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7945" windowHeight="12375" firstSheet="2"/>
  </bookViews>
  <sheets>
    <sheet name="总览" sheetId="5" r:id="rId1"/>
    <sheet name="梦灵养成" sheetId="7" r:id="rId2"/>
    <sheet name="洗练性价比" sheetId="1" r:id="rId3"/>
    <sheet name="符文总览" sheetId="2" r:id="rId4"/>
    <sheet name="符文权重" sheetId="3" r:id="rId5"/>
    <sheet name="星妙" sheetId="8" r:id="rId6"/>
    <sheet name="价值表" sheetId="9" r:id="rId7"/>
    <sheet name="Sheet1" sheetId="10" r:id="rId8"/>
  </sheets>
  <definedNames>
    <definedName name="_xlnm._FilterDatabase" localSheetId="3" hidden="1">符文总览!$A$1:$AL$1390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G1" authorId="0">
      <text>
        <r>
          <rPr>
            <b/>
            <sz val="9"/>
            <rFont val="宋体"/>
            <scheme val="minor"/>
            <charset val="0"/>
          </rPr>
          <t>Administrator:</t>
        </r>
        <r>
          <rPr>
            <sz val="9"/>
            <rFont val="宋体"/>
            <scheme val="minor"/>
            <charset val="0"/>
          </rPr>
          <t xml:space="preserve">
影响符文总览是否展示</t>
        </r>
      </text>
    </comment>
    <comment ref="AH1" authorId="0">
      <text>
        <r>
          <rPr>
            <b/>
            <sz val="9"/>
            <rFont val="宋体"/>
            <scheme val="minor"/>
            <charset val="0"/>
          </rPr>
          <t>Administrator:</t>
        </r>
        <r>
          <rPr>
            <sz val="9"/>
            <rFont val="宋体"/>
            <scheme val="minor"/>
            <charset val="0"/>
          </rPr>
          <t xml:space="preserve">
洗练此符文的时候会弹出确认提示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<sst xmlns="http://schemas.openxmlformats.org/spreadsheetml/2006/main" count="11282" uniqueCount="1908">
  <si>
    <t>总结</t>
  </si>
  <si>
    <t>1、档次6几率过高，90天看不出问题，再往后可能有</t>
  </si>
  <si>
    <t>预期付费</t>
  </si>
  <si>
    <t>价值</t>
  </si>
  <si>
    <t>用户层级</t>
  </si>
  <si>
    <t>级别</t>
  </si>
  <si>
    <t>体力</t>
  </si>
  <si>
    <t>首日付费</t>
  </si>
  <si>
    <t>每日付费</t>
  </si>
  <si>
    <t>梦灵养成</t>
  </si>
  <si>
    <t>强化养成</t>
  </si>
  <si>
    <t>符文养成</t>
  </si>
  <si>
    <t>秘宝养成</t>
  </si>
  <si>
    <t>皮肤养成</t>
  </si>
  <si>
    <t>钻石</t>
  </si>
  <si>
    <t>非R</t>
  </si>
  <si>
    <t>小R</t>
  </si>
  <si>
    <t>中R</t>
  </si>
  <si>
    <t>大R</t>
  </si>
  <si>
    <t>超R</t>
  </si>
  <si>
    <t>#不计入符文本体</t>
  </si>
  <si>
    <t>养成模块</t>
  </si>
  <si>
    <t>每日产出</t>
  </si>
  <si>
    <t>首周产出</t>
  </si>
  <si>
    <t>付费比重</t>
  </si>
  <si>
    <t>产出总览</t>
  </si>
  <si>
    <t>性价比</t>
  </si>
  <si>
    <t>天数</t>
  </si>
  <si>
    <t>充值金额</t>
  </si>
  <si>
    <t>参数</t>
  </si>
  <si>
    <t>每周兑换个数</t>
  </si>
  <si>
    <t>#当没有满图鉴基本概率低，满图鉴后产的多</t>
  </si>
  <si>
    <t>来源</t>
  </si>
  <si>
    <t>阶段节点</t>
  </si>
  <si>
    <t>核心奖励</t>
  </si>
  <si>
    <t>梦灵品质</t>
  </si>
  <si>
    <t>梦灵倍率</t>
  </si>
  <si>
    <t>梦灵系数</t>
  </si>
  <si>
    <t>升阶系数</t>
  </si>
  <si>
    <t>主C</t>
  </si>
  <si>
    <t>招募等级</t>
  </si>
  <si>
    <t>蓝卡</t>
  </si>
  <si>
    <t>紫卡</t>
  </si>
  <si>
    <t>橙卡</t>
  </si>
  <si>
    <t>红卡</t>
  </si>
  <si>
    <t>升级经验</t>
  </si>
  <si>
    <t>升级经验2</t>
  </si>
  <si>
    <t>列1</t>
  </si>
  <si>
    <t>星铸</t>
  </si>
  <si>
    <t>寒冰射手</t>
  </si>
  <si>
    <t>炽焰巫师</t>
  </si>
  <si>
    <t>吟游诗人</t>
  </si>
  <si>
    <t>摇滚巨石</t>
  </si>
  <si>
    <t>泥巴少女</t>
  </si>
  <si>
    <t>雷震子</t>
  </si>
  <si>
    <t>忍者鲨手</t>
  </si>
  <si>
    <t>甜心护士</t>
  </si>
  <si>
    <t>路飞</t>
  </si>
  <si>
    <t>镭射眼</t>
  </si>
  <si>
    <t>轮巡</t>
  </si>
  <si>
    <t>东方不败</t>
  </si>
  <si>
    <t>亚瑟</t>
  </si>
  <si>
    <t>唐小僧</t>
  </si>
  <si>
    <t>蜘蛛女王</t>
  </si>
  <si>
    <t>神灯王子</t>
  </si>
  <si>
    <t>关羽</t>
  </si>
  <si>
    <t>神算诸葛</t>
  </si>
  <si>
    <t>我爱沙</t>
  </si>
  <si>
    <t>后羿</t>
  </si>
  <si>
    <t>抽数</t>
  </si>
  <si>
    <t>海拉</t>
  </si>
  <si>
    <t>强度系数</t>
  </si>
  <si>
    <t>主C角色</t>
  </si>
  <si>
    <t>=</t>
  </si>
  <si>
    <t>招募/星铸</t>
  </si>
  <si>
    <t>卡池1</t>
  </si>
  <si>
    <t>卡池2</t>
  </si>
  <si>
    <t>卡池3</t>
  </si>
  <si>
    <t>卡池4</t>
  </si>
  <si>
    <t>卡池5</t>
  </si>
  <si>
    <t>卡池6</t>
  </si>
  <si>
    <t>卡池7</t>
  </si>
  <si>
    <t>梦灵等级</t>
  </si>
  <si>
    <t>蓝</t>
  </si>
  <si>
    <t>紫</t>
  </si>
  <si>
    <t>橙</t>
  </si>
  <si>
    <t>红</t>
  </si>
  <si>
    <t>实际概率集</t>
  </si>
  <si>
    <t>符文品质</t>
  </si>
  <si>
    <t>档次</t>
  </si>
  <si>
    <t>修正概率</t>
  </si>
  <si>
    <t>部位1</t>
  </si>
  <si>
    <t>部位2</t>
  </si>
  <si>
    <t>部位3</t>
  </si>
  <si>
    <t>部位4</t>
  </si>
  <si>
    <t>部位5</t>
  </si>
  <si>
    <t>部位6</t>
  </si>
  <si>
    <t>单颗定价</t>
  </si>
  <si>
    <t>洗练期望</t>
  </si>
  <si>
    <t>洗练品质</t>
  </si>
  <si>
    <t>洗练消耗</t>
  </si>
  <si>
    <t>橙色</t>
  </si>
  <si>
    <t>洗练预期与性价比</t>
  </si>
  <si>
    <t>档次收益</t>
  </si>
  <si>
    <t>洗练预期</t>
  </si>
  <si>
    <t>等级</t>
  </si>
  <si>
    <t>攻击</t>
  </si>
  <si>
    <t>3（稀释）</t>
  </si>
  <si>
    <t>3（非稀释）</t>
  </si>
  <si>
    <t>3（怪物类）</t>
  </si>
  <si>
    <t>白</t>
  </si>
  <si>
    <t>绿</t>
  </si>
  <si>
    <t>彩</t>
  </si>
  <si>
    <t>3选1</t>
  </si>
  <si>
    <t>4选2</t>
  </si>
  <si>
    <t>3选2.5</t>
  </si>
  <si>
    <t>2选1</t>
  </si>
  <si>
    <t>ID</t>
  </si>
  <si>
    <t>洗练花费</t>
  </si>
  <si>
    <t>洗练次数</t>
  </si>
  <si>
    <t>预期强度</t>
  </si>
  <si>
    <t>符文id
要求唯一
不同品质的相同效果的符文id不同
参考道具id规则
53+部位[0~3]+品质[1~7]+级别[0~5]+序号+版本号【原始无需】</t>
  </si>
  <si>
    <t>#</t>
  </si>
  <si>
    <r>
      <rPr>
        <b/>
        <sz val="9"/>
        <color indexed="53"/>
        <rFont val="微软雅黑"/>
        <charset val="134"/>
      </rPr>
      <t>效果类型
(</t>
    </r>
    <r>
      <rPr>
        <b/>
        <sz val="9"/>
        <color indexed="30"/>
        <rFont val="微软雅黑"/>
        <charset val="134"/>
      </rPr>
      <t>纯公式</t>
    </r>
    <r>
      <rPr>
        <b/>
        <sz val="9"/>
        <color indexed="53"/>
        <rFont val="微软雅黑"/>
        <charset val="134"/>
      </rPr>
      <t>)</t>
    </r>
  </si>
  <si>
    <t>品质</t>
  </si>
  <si>
    <t xml:space="preserve">部位列表
[1,2,3,4,5,6]
1-头盔
2-衣服
3-护臂
4-裤子
5-鞋子
6-手套
</t>
  </si>
  <si>
    <t>部位1概率</t>
  </si>
  <si>
    <t>部位2概率</t>
  </si>
  <si>
    <t>部位3概率</t>
  </si>
  <si>
    <t>部位4概率</t>
  </si>
  <si>
    <t>部位5概率</t>
  </si>
  <si>
    <t>部位6概率</t>
  </si>
  <si>
    <t>生效对象类型
主角（公共，一般用于加属性）
梦灵（用于给特定梦灵加属性或效果，生效对象列表必须填）
基地（用于给基地加属性或效果）
主角+梦灵（用于给主角和梦灵加效果，不用于加属性）
职业梦灵（对应职业生效，生效对象列表配职业[1,2,3]）</t>
  </si>
  <si>
    <t>生效对象列表
[unit_id1,unit_id2...]
1-warrior 3-hunter 2-mage 6-drug 5-control 7-summon</t>
  </si>
  <si>
    <t>基础符文属性</t>
  </si>
  <si>
    <t>效果列表</t>
  </si>
  <si>
    <t>属性列表</t>
  </si>
  <si>
    <t>战力</t>
  </si>
  <si>
    <t>权重
生成和重铸时使用的权重</t>
  </si>
  <si>
    <t>解锁条件</t>
  </si>
  <si>
    <t>名称</t>
  </si>
  <si>
    <t>描述
（蓝色字体表示用了公式）</t>
  </si>
  <si>
    <r>
      <rPr>
        <b/>
        <sz val="9"/>
        <color indexed="53"/>
        <rFont val="微软雅黑"/>
        <charset val="134"/>
      </rPr>
      <t>总览效果类型
(</t>
    </r>
    <r>
      <rPr>
        <b/>
        <sz val="9"/>
        <color indexed="30"/>
        <rFont val="微软雅黑"/>
        <charset val="134"/>
      </rPr>
      <t>纯公式</t>
    </r>
    <r>
      <rPr>
        <b/>
        <sz val="9"/>
        <color indexed="53"/>
        <rFont val="微软雅黑"/>
        <charset val="134"/>
      </rPr>
      <t>)</t>
    </r>
  </si>
  <si>
    <t>总览符文效果属性列表</t>
  </si>
  <si>
    <t>稀有标签</t>
  </si>
  <si>
    <t>展示隐藏
填1隐藏显示</t>
  </si>
  <si>
    <t>洗练拦截
（数字1进行拦截）</t>
  </si>
  <si>
    <t>首ID</t>
  </si>
  <si>
    <t>描述
(%s会替换成右边的系数)</t>
  </si>
  <si>
    <t>描述系数</t>
  </si>
  <si>
    <t>实际阶级备注</t>
  </si>
  <si>
    <t>rune_id</t>
  </si>
  <si>
    <t>effect_type</t>
  </si>
  <si>
    <t>quality</t>
  </si>
  <si>
    <t>part_list</t>
  </si>
  <si>
    <t>affect_type</t>
  </si>
  <si>
    <t>affect_list</t>
  </si>
  <si>
    <t>base_attr_list</t>
  </si>
  <si>
    <t>effect_list</t>
  </si>
  <si>
    <t>attr_list</t>
  </si>
  <si>
    <t>power</t>
  </si>
  <si>
    <t>weight</t>
  </si>
  <si>
    <t>condition</t>
  </si>
  <si>
    <t>name</t>
  </si>
  <si>
    <t>desc</t>
  </si>
  <si>
    <t>effec_desc_type</t>
  </si>
  <si>
    <t>effect_attr_list</t>
  </si>
  <si>
    <t>grade</t>
  </si>
  <si>
    <t>rare_tag</t>
  </si>
  <si>
    <t>show_in_rune</t>
  </si>
  <si>
    <t>intercept</t>
  </si>
  <si>
    <t>新版</t>
  </si>
  <si>
    <t>1档↓</t>
  </si>
  <si>
    <t>公式:=LET(key,TRIM(P6),c,XLOOKUP(key&amp;"",符文总览!A:A&amp;"",符文总览!C:C,""),IF(OR(LEN(A6)=0,LEN(key)=0),"",IF(ISNUMBER(MATCH(c,{1,2},0)),1,"")))</t>
  </si>
  <si>
    <t>[1,2,3,4,5,6]</t>
  </si>
  <si>
    <t>主角+梦灵</t>
  </si>
  <si>
    <t>[{atk,20}]</t>
  </si>
  <si>
    <t>普通符文</t>
  </si>
  <si>
    <t/>
  </si>
  <si>
    <t xml:space="preserve">攻击力&lt;color=#54b76b&gt;+%s&lt;/color&gt; </t>
  </si>
  <si>
    <t>[{atk,30}]</t>
  </si>
  <si>
    <t>优秀符文</t>
  </si>
  <si>
    <t>[{atk,40}]</t>
  </si>
  <si>
    <t>稀有符文</t>
  </si>
  <si>
    <t>[{atk,50}]</t>
  </si>
  <si>
    <t>史诗符文</t>
  </si>
  <si>
    <t>[{atk,64}]</t>
  </si>
  <si>
    <t>传说符文</t>
  </si>
  <si>
    <t>[{atk,80}]</t>
  </si>
  <si>
    <t>神话符文</t>
  </si>
  <si>
    <t>[{atk,100}]</t>
  </si>
  <si>
    <t>创世符文</t>
  </si>
  <si>
    <t>职业梦灵</t>
  </si>
  <si>
    <t>[3]</t>
  </si>
  <si>
    <t>[{hunter_atk,30}]</t>
  </si>
  <si>
    <t>射手职业攻击力&lt;color=#54b76b&gt;+%s&lt;/color&gt;</t>
  </si>
  <si>
    <t>[{hunter_atk,40}]</t>
  </si>
  <si>
    <t>[{hunter_atk,50}]</t>
  </si>
  <si>
    <t>[{hunter_atk,75}]</t>
  </si>
  <si>
    <t>[{hunter_atk,96}]</t>
  </si>
  <si>
    <t>[{hunter_atk,120}]</t>
  </si>
  <si>
    <t>[{hunter_atk,150}]</t>
  </si>
  <si>
    <t>[1]</t>
  </si>
  <si>
    <t>[{warrior_atk,30}]</t>
  </si>
  <si>
    <t>战士职业攻击力&lt;color=#54b76b&gt;+%s&lt;/color&gt;</t>
  </si>
  <si>
    <t>[{warrior_atk,40}]</t>
  </si>
  <si>
    <t>[{warrior_atk,50}]</t>
  </si>
  <si>
    <t>[{warrior_atk,75}]</t>
  </si>
  <si>
    <t>[{warrior_atk,96}]</t>
  </si>
  <si>
    <t>[{warrior_atk,120}]</t>
  </si>
  <si>
    <t>[{warrior_atk,150}]</t>
  </si>
  <si>
    <t>[2]</t>
  </si>
  <si>
    <t>[{mage_atk,30}]</t>
  </si>
  <si>
    <t>法师职业攻击力&lt;color=#54b76b&gt;+%s&lt;/color&gt;</t>
  </si>
  <si>
    <t>[{mage_atk,40}]</t>
  </si>
  <si>
    <t>[{mage_atk,50}]</t>
  </si>
  <si>
    <t>[{mage_atk,75}]</t>
  </si>
  <si>
    <t>[{mage_atk,96}]</t>
  </si>
  <si>
    <t>[{mage_atk,120}]</t>
  </si>
  <si>
    <t>[{mage_atk,150}]</t>
  </si>
  <si>
    <t>[6]</t>
  </si>
  <si>
    <t>[{drug_atk,30}]</t>
  </si>
  <si>
    <t>毒系职业攻击力&lt;color=#54b76b&gt;+%s&lt;/color&gt;</t>
  </si>
  <si>
    <t>[{drug_atk,40}]</t>
  </si>
  <si>
    <t>[{drug_atk,50}]</t>
  </si>
  <si>
    <t>[{drug_atk,75}]</t>
  </si>
  <si>
    <t>[{drug_atk,96}]</t>
  </si>
  <si>
    <t>[{drug_atk,120}]</t>
  </si>
  <si>
    <t>[{drug_atk,150}]</t>
  </si>
  <si>
    <t>不投放</t>
  </si>
  <si>
    <t>[5]</t>
  </si>
  <si>
    <t>[{control_atk,30}]</t>
  </si>
  <si>
    <t>控制职业攻击力&lt;color=#54b76b&gt;+%s&lt;/color&gt;</t>
  </si>
  <si>
    <t>[{control_atk,40}]</t>
  </si>
  <si>
    <t>[{control_atk,50}]</t>
  </si>
  <si>
    <t>[{control_atk,75}]</t>
  </si>
  <si>
    <t>[{control_atk,96}]</t>
  </si>
  <si>
    <t>[{control_atk,120}]</t>
  </si>
  <si>
    <t>[{control_atk,150}]</t>
  </si>
  <si>
    <t>[7]</t>
  </si>
  <si>
    <t>[{summon_atk,30}]</t>
  </si>
  <si>
    <t>召唤职业攻击力&lt;color=#54b76b&gt;+%s&lt;/color&gt;</t>
  </si>
  <si>
    <t>[{summon_atk,40}]</t>
  </si>
  <si>
    <t>[{summon_atk,50}]</t>
  </si>
  <si>
    <t>[{summon_atk,75}]</t>
  </si>
  <si>
    <t>[{summon_atk,96}]</t>
  </si>
  <si>
    <t>[{summon_atk,120}]</t>
  </si>
  <si>
    <t>[{summon_atk,150}]</t>
  </si>
  <si>
    <t>[{global_dmg_rate,300}]</t>
  </si>
  <si>
    <t>队长和梦灵伤害&lt;color=#54b76b&gt;+%s%&lt;/color&gt;</t>
  </si>
  <si>
    <t>[{global_dmg_rate,400}]</t>
  </si>
  <si>
    <t>[{global_dmg_rate,500}]</t>
  </si>
  <si>
    <t>[{global_dmg_rate,600}]</t>
  </si>
  <si>
    <t>[{global_dmg_rate,800}]</t>
  </si>
  <si>
    <t>[{global_dmg_rate,1000}]</t>
  </si>
  <si>
    <t>[{global_dmg_rate,1200}]</t>
  </si>
  <si>
    <t>主角</t>
  </si>
  <si>
    <t>[{captain_dmg_rate,1000}]</t>
  </si>
  <si>
    <t>队长伤害&lt;color=#54b76b&gt;+%s%&lt;/color&gt;</t>
  </si>
  <si>
    <t>[{captain_dmg_rate,1500}]</t>
  </si>
  <si>
    <t>[{captain_dmg_rate,2000}]</t>
  </si>
  <si>
    <t>[{captain_dmg_rate,2500}]</t>
  </si>
  <si>
    <t>[{captain_dmg_rate,3200}]</t>
  </si>
  <si>
    <t>[{captain_dmg_rate,4000}]</t>
  </si>
  <si>
    <t>[{captain_dmg_rate,5000}]</t>
  </si>
  <si>
    <t>[{warrior_dmg_rate,400}]</t>
  </si>
  <si>
    <t>战士职业伤害&lt;color=#54b76b&gt;+%s%&lt;/color&gt;</t>
  </si>
  <si>
    <t>[{warrior_dmg_rate,600}]</t>
  </si>
  <si>
    <t>[{warrior_dmg_rate,800}]</t>
  </si>
  <si>
    <t>[{warrior_dmg_rate,1000}]</t>
  </si>
  <si>
    <t>[{warrior_dmg_rate,1250}]</t>
  </si>
  <si>
    <t>[{warrior_dmg_rate,1500}]</t>
  </si>
  <si>
    <t>[{warrior_dmg_rate,2000}]</t>
  </si>
  <si>
    <t>[{hunter_dmg_rate,400}]</t>
  </si>
  <si>
    <t>射手职业伤害&lt;color=#54b76b&gt;+%s%&lt;/color&gt;</t>
  </si>
  <si>
    <t>[{hunter_dmg_rate,600}]</t>
  </si>
  <si>
    <t>[{hunter_dmg_rate,800}]</t>
  </si>
  <si>
    <t>[{hunter_dmg_rate,1000}]</t>
  </si>
  <si>
    <t>[{hunter_dmg_rate,1250}]</t>
  </si>
  <si>
    <t>[{hunter_dmg_rate,1500}]</t>
  </si>
  <si>
    <t>[{hunter_dmg_rate,2000}]</t>
  </si>
  <si>
    <t>[{mage_dmg_rate,400}]</t>
  </si>
  <si>
    <t>法师职业伤害&lt;color=#54b76b&gt;+%s%&lt;/color&gt;</t>
  </si>
  <si>
    <t>[{mage_dmg_rate,600}]</t>
  </si>
  <si>
    <t>[{mage_dmg_rate,800}]</t>
  </si>
  <si>
    <t>[{mage_dmg_rate,1000}]</t>
  </si>
  <si>
    <t>[{mage_dmg_rate,1250}]</t>
  </si>
  <si>
    <t>[{mage_dmg_rate,1500}]</t>
  </si>
  <si>
    <t>[{mage_dmg_rate,2000}]</t>
  </si>
  <si>
    <t>[{drug_dmg_rate,400}]</t>
  </si>
  <si>
    <t>毒系职业伤害&lt;color=#54b76b&gt;+%s%&lt;/color&gt;</t>
  </si>
  <si>
    <t>[{drug_dmg_rate,600}]</t>
  </si>
  <si>
    <t>[{drug_dmg_rate,800}]</t>
  </si>
  <si>
    <t>[{drug_dmg_rate,1000}]</t>
  </si>
  <si>
    <t>[{drug_dmg_rate,1250}]</t>
  </si>
  <si>
    <t>[{drug_dmg_rate,1500}]</t>
  </si>
  <si>
    <t>[{drug_dmg_rate,2000}]</t>
  </si>
  <si>
    <t>[{control_dmg_rate,400}]</t>
  </si>
  <si>
    <t>控制职业伤害&lt;color=#54b76b&gt;+%s%&lt;/color&gt;</t>
  </si>
  <si>
    <t>[{control_dmg_rate,600}]</t>
  </si>
  <si>
    <t>[{control_dmg_rate,800}]</t>
  </si>
  <si>
    <t>[{control_dmg_rate,1000}]</t>
  </si>
  <si>
    <t>[{control_dmg_rate,1250}]</t>
  </si>
  <si>
    <t>[{control_dmg_rate,1500}]</t>
  </si>
  <si>
    <t>[{control_dmg_rate,2000}]</t>
  </si>
  <si>
    <t>[{summon_dmg_rate,400}]</t>
  </si>
  <si>
    <t>召唤职业伤害&lt;color=#54b76b&gt;+%s%&lt;/color&gt;</t>
  </si>
  <si>
    <t>[{summon_dmg_rate,600}]</t>
  </si>
  <si>
    <t>[{summon_dmg_rate,800}]</t>
  </si>
  <si>
    <t>[{summon_dmg_rate,1000}]</t>
  </si>
  <si>
    <t>[{summon_dmg_rate,1250}]</t>
  </si>
  <si>
    <t>[{summon_dmg_rate,1500}]</t>
  </si>
  <si>
    <t>[{summon_dmg_rate,2000}]</t>
  </si>
  <si>
    <t>对远程怪物伤害&lt;color=#54b76b&gt;+%s%&lt;/color&gt;</t>
  </si>
  <si>
    <t>[{ranged_monster_hit_rate,1000}]</t>
  </si>
  <si>
    <t>[{ranged_monster_hit_rate,1500}]</t>
  </si>
  <si>
    <t>[{ranged_monster_hit_rate,2000}]</t>
  </si>
  <si>
    <t>[{ranged_monster_hit_rate,2500}]</t>
  </si>
  <si>
    <t>[{ranged_monster_hit_rate,3200}]</t>
  </si>
  <si>
    <t>[{ranged_monster_hit_rate,4000}]</t>
  </si>
  <si>
    <t>[{ranged_monster_hit_rate,5000}]</t>
  </si>
  <si>
    <t>对肉盾怪物伤害&lt;color=#54b76b&gt;+%s%&lt;/color&gt;</t>
  </si>
  <si>
    <t>[{tank_monster_hit_rate,1000}]</t>
  </si>
  <si>
    <t>[{tank_monster_hit_rate,1500}]</t>
  </si>
  <si>
    <t>[{tank_monster_hit_rate,2000}]</t>
  </si>
  <si>
    <t>[{tank_monster_hit_rate,2500}]</t>
  </si>
  <si>
    <t>[{tank_monster_hit_rate,3200}]</t>
  </si>
  <si>
    <t>[{tank_monster_hit_rate,4000}]</t>
  </si>
  <si>
    <t>[{tank_monster_hit_rate,5000}]</t>
  </si>
  <si>
    <t>对高速怪物伤害&lt;color=#54b76b&gt;+%s%&lt;/color&gt;</t>
  </si>
  <si>
    <t>[{fast_monster_hit_rate,1000}]</t>
  </si>
  <si>
    <t>[{fast_monster_hit_rate,1500}]</t>
  </si>
  <si>
    <t>[{fast_monster_hit_rate,2000}]</t>
  </si>
  <si>
    <t>[{fast_monster_hit_rate,2500}]</t>
  </si>
  <si>
    <t>[{fast_monster_hit_rate,3200}]</t>
  </si>
  <si>
    <t>[{fast_monster_hit_rate,4000}]</t>
  </si>
  <si>
    <t>[{fast_monster_hit_rate,5000}]</t>
  </si>
  <si>
    <t>2档↓</t>
  </si>
  <si>
    <t>对血量高于70%的怪物伤害&lt;color=#54b76b&gt;+%s%&lt;/color&gt;</t>
  </si>
  <si>
    <t>[1,3,5]</t>
  </si>
  <si>
    <t>对有负面状态的怪物伤害&lt;color=#54b76b&gt;+%s%&lt;/color&gt;</t>
  </si>
  <si>
    <t>[2,4,6]</t>
  </si>
  <si>
    <t>梦灵可免疫&lt;color=#54b76b&gt;%s&lt;/color&gt;次伤害</t>
  </si>
  <si>
    <t>[2,5]</t>
  </si>
  <si>
    <t>梦灵</t>
  </si>
  <si>
    <t>最前排梦灵获得&lt;color=#54b76b&gt;%s%&lt;/color&gt;最大生命值</t>
  </si>
  <si>
    <t>[1,4]</t>
  </si>
  <si>
    <t>最前排梦灵获得相当于&lt;color=#54b76b&gt;%s%&lt;/color&gt;最大生命值的护盾</t>
  </si>
  <si>
    <t>[3,6]</t>
  </si>
  <si>
    <t>受到远程怪伤害降低&lt;color=#54b76b&gt;%s%&lt;/color&gt;</t>
  </si>
  <si>
    <t>3档↓</t>
  </si>
  <si>
    <t>队长技能冷却缩短&lt;color=#54b76b&gt;%s%&lt;/color&gt;</t>
  </si>
  <si>
    <t>[1,6]</t>
  </si>
  <si>
    <t>暴击伤害&lt;color=#54b76b&gt;+%s%&lt;/color&gt;</t>
  </si>
  <si>
    <t>[{global_crit_dmg,2000}]</t>
  </si>
  <si>
    <t>[{global_crit_dmg,3000}]</t>
  </si>
  <si>
    <t>[{global_crit_dmg,4000}]</t>
  </si>
  <si>
    <t>[{global_crit_dmg,5000}]</t>
  </si>
  <si>
    <t>[{global_crit_dmg,6500}]</t>
  </si>
  <si>
    <t>[{global_crit_dmg,8000}]</t>
  </si>
  <si>
    <t>[{global_crit_dmg,10000}]</t>
  </si>
  <si>
    <t>进入战斗前60秒对怪物伤害&lt;color=#54b76b&gt;+%s%&lt;/color&gt;</t>
  </si>
  <si>
    <t>对精英和首领伤害&lt;color=#54b76b&gt;+%s%&lt;/color&gt;</t>
  </si>
  <si>
    <t>[{elitist_monster_hit_rate,1000},{boss_monster_hit_rate,1000}]</t>
  </si>
  <si>
    <t>[{elitist_monster_hit_rate,1500},{boss_monster_hit_rate,1500}]</t>
  </si>
  <si>
    <t>[{elitist_monster_hit_rate,2000},{boss_monster_hit_rate,2000}]</t>
  </si>
  <si>
    <t>[{elitist_monster_hit_rate,2500},{boss_monster_hit_rate,2500}]</t>
  </si>
  <si>
    <t>[{elitist_monster_hit_rate,3200},{boss_monster_hit_rate,3200}]</t>
  </si>
  <si>
    <t>[{elitist_monster_hit_rate,4000},{boss_monster_hit_rate,4000}]</t>
  </si>
  <si>
    <t>[{elitist_monster_hit_rate,5000},{boss_monster_hit_rate,5000}]</t>
  </si>
  <si>
    <t>击杀精英或首领后全队回复&lt;color=#54b76b&gt;%s%&lt;/color&gt;血量</t>
  </si>
  <si>
    <t>[3,4]</t>
  </si>
  <si>
    <t>队长每释放一次[咻咻的弹簧锤]，所有梦灵伤害&lt;color=#54b76b&gt;+%s%&lt;/color&gt;</t>
  </si>
  <si>
    <t>[1,3]</t>
  </si>
  <si>
    <t>队长每释放一次[咻咻的弹簧锤]，所有梦灵伤害&lt;color=#54b76b&gt;+%s%&lt;/color&gt;，最多8次</t>
  </si>
  <si>
    <t>队长每触发一次暴击，所有梦灵伤害&lt;color=#54b76b&gt;+%s%&lt;/color&gt;</t>
  </si>
  <si>
    <t>[2,4]</t>
  </si>
  <si>
    <t>队长每触发一次暴击，所有梦灵伤害&lt;color=#54b76b&gt;+%s%&lt;/color&gt;，最多8次</t>
  </si>
  <si>
    <t>梦灵血量首次低于30%，获得最大生命&lt;color=#54b76b&gt;%s%&lt;/color&gt;的护盾</t>
  </si>
  <si>
    <t>梦灵获得祝福时，全体梦灵恢复%s%生命值</t>
  </si>
  <si>
    <t>[5,6]</t>
  </si>
  <si>
    <t>梦灵获得祝福时，全体梦灵恢复&lt;color=#54b76b&gt;%s%&lt;/color&gt;生命值</t>
  </si>
  <si>
    <t>梦灵血量低于65%，伤害+&lt;color=#54b76b&gt;10%&lt;/color&gt;</t>
  </si>
  <si>
    <t>梦灵血量低于&lt;color=#54b76b&gt;65%&lt;/color&gt;，伤害&lt;color=#54b76b&gt;+%s%&lt;/color&gt;</t>
  </si>
  <si>
    <t>梦灵血量低于65%，伤害+&lt;color=#54b76b&gt;15%&lt;/color&gt;</t>
  </si>
  <si>
    <t>梦灵血量低于65%，伤害+&lt;color=#54b76b&gt;20%&lt;/color&gt;</t>
  </si>
  <si>
    <t>梦灵血量低于65%，伤害+&lt;color=#54b76b&gt;30%&lt;/color&gt;</t>
  </si>
  <si>
    <t>梦灵血量低于65%，伤害+&lt;color=#54b76b&gt;40%&lt;/color&gt;</t>
  </si>
  <si>
    <t>梦灵血量低于65%，伤害+&lt;color=#54b76b&gt;50%&lt;/color&gt;</t>
  </si>
  <si>
    <t>梦灵血量低于65%，伤害+&lt;color=#54b76b&gt;60%&lt;/color&gt;</t>
  </si>
  <si>
    <t>4档↓</t>
  </si>
  <si>
    <t>梦灵满血时，伤害&lt;color=#54b76b&gt;+%s%&lt;/color&gt;</t>
  </si>
  <si>
    <t>队长暴击+%s%</t>
  </si>
  <si>
    <t>队长暴击率&lt;color=#54b76b&gt;+%s%&lt;/color&gt;</t>
  </si>
  <si>
    <t>[{captain_crit_rate,300}]</t>
  </si>
  <si>
    <t>[{captain_crit_rate,400}]</t>
  </si>
  <si>
    <t>[{captain_crit_rate,500}]</t>
  </si>
  <si>
    <t>[{captain_crit_rate,600}]</t>
  </si>
  <si>
    <t>[{captain_crit_rate,700}]</t>
  </si>
  <si>
    <t>每次穿透时，伤害+%s%</t>
  </si>
  <si>
    <t>每次穿透时，伤害&lt;color=#54b76b&gt;+%s%&lt;/color&gt;</t>
  </si>
  <si>
    <t>每次弹射时，伤害+%s%</t>
  </si>
  <si>
    <t>每次弹射时，伤害&lt;color=#54b76b&gt;+%s%&lt;/color&gt;</t>
  </si>
  <si>
    <t>梦灵技能范围大小+%s%</t>
  </si>
  <si>
    <t>[4]</t>
  </si>
  <si>
    <t>梦灵技能范围大小&lt;color=#54b76b&gt;+%s%&lt;/color&gt;</t>
  </si>
  <si>
    <t>梦灵对近距离敌人的伤害+%s%</t>
  </si>
  <si>
    <t>梦灵对近距离敌人的伤害&lt;color=#54b76b&gt;+%s%&lt;/color&gt;</t>
  </si>
  <si>
    <t>梦灵对半场外敌人的伤害+%s%</t>
  </si>
  <si>
    <t>梦灵对半场外敌人的伤害&lt;color=#54b76b&gt;+%s%&lt;/color&gt;</t>
  </si>
  <si>
    <t>5档↓</t>
  </si>
  <si>
    <t>梦灵每升阶一次后，所有伤害&lt;color=#54b76b&gt;+%s%&lt;/color&gt;</t>
  </si>
  <si>
    <t>5505011</t>
  </si>
  <si>
    <t>[{global_atk,4}]</t>
  </si>
  <si>
    <t>[5505011]</t>
  </si>
  <si>
    <t>[{global_atk,8}]</t>
  </si>
  <si>
    <t>[5505012]</t>
  </si>
  <si>
    <t>[{global_atk,12}]</t>
  </si>
  <si>
    <t>[5505013]</t>
  </si>
  <si>
    <t>[8]</t>
  </si>
  <si>
    <t>[{global_atk,16}]</t>
  </si>
  <si>
    <t>[5505014]</t>
  </si>
  <si>
    <t>[10]</t>
  </si>
  <si>
    <t>[{global_atk,20}]</t>
  </si>
  <si>
    <t>[5505015]</t>
  </si>
  <si>
    <t>[15]</t>
  </si>
  <si>
    <t>[{global_atk,24}]</t>
  </si>
  <si>
    <t>[5505016]</t>
  </si>
  <si>
    <t>[20]</t>
  </si>
  <si>
    <t>[{global_atk,28}]</t>
  </si>
  <si>
    <t>[5505017]</t>
  </si>
  <si>
    <t>[25]</t>
  </si>
  <si>
    <t>战士</t>
  </si>
  <si>
    <t>战士攻击范围&lt;color=#54b76b&gt;+1&lt;/color&gt;格</t>
  </si>
  <si>
    <t>5505021</t>
  </si>
  <si>
    <t>[5505021]</t>
  </si>
  <si>
    <t>[0]</t>
  </si>
  <si>
    <t>战士攻击范围&lt;color=#54b76b&gt;+1&lt;/color&gt;格,伤害&lt;color=#54b76b&gt;+%s%&lt;/color&gt;</t>
  </si>
  <si>
    <t>[5505022]</t>
  </si>
  <si>
    <t>[5505023]</t>
  </si>
  <si>
    <t>[5505024]</t>
  </si>
  <si>
    <t>战士攻击范围&lt;color=#54b76b&gt;+1&lt;/color&gt;格,伤害&lt;color=#54b76b&gt;+15%&lt;/color&gt;</t>
  </si>
  <si>
    <t>[5505025]</t>
  </si>
  <si>
    <t>[{battle_dmg_rate,1500}]</t>
  </si>
  <si>
    <t>战士攻击范围&lt;color=#54b76b&gt;+1&lt;/color&gt;格,伤害&lt;color=#54b76b&gt;+35%&lt;/color&gt;</t>
  </si>
  <si>
    <t>[5505026]</t>
  </si>
  <si>
    <t>[{battle_dmg_rate,3500}]</t>
  </si>
  <si>
    <t>[35]</t>
  </si>
  <si>
    <t>战士攻击范围&lt;color=#54b76b&gt;+1&lt;/color&gt;格,伤害&lt;color=#54b76b&gt;+55%&lt;/color&gt;</t>
  </si>
  <si>
    <t>[5505027]</t>
  </si>
  <si>
    <t>[{battle_dmg_rate,5500}]</t>
  </si>
  <si>
    <t>[55]</t>
  </si>
  <si>
    <t xml:space="preserve">战士充能后，首次伤害&lt;color=#54b76b&gt;+%s%&lt;/color&gt;
</t>
  </si>
  <si>
    <t>5505031</t>
  </si>
  <si>
    <t>[5505031]</t>
  </si>
  <si>
    <t>[5505032]</t>
  </si>
  <si>
    <t>[5505033]</t>
  </si>
  <si>
    <t>[5505034]</t>
  </si>
  <si>
    <t>[80]</t>
  </si>
  <si>
    <t>[5505035]</t>
  </si>
  <si>
    <t>[140]</t>
  </si>
  <si>
    <t>[5505036]</t>
  </si>
  <si>
    <t>[200]</t>
  </si>
  <si>
    <t>[5505037]</t>
  </si>
  <si>
    <t>[260]</t>
  </si>
  <si>
    <t>战士能量耗尽后&lt;color=#54b76b&gt;%s%&lt;/color&gt;概率立刻快速充能</t>
  </si>
  <si>
    <t>5505041</t>
  </si>
  <si>
    <t>[5505041]</t>
  </si>
  <si>
    <t>[5505042]</t>
  </si>
  <si>
    <t>[5505043]</t>
  </si>
  <si>
    <t>[5505044]</t>
  </si>
  <si>
    <t>[5505045]</t>
  </si>
  <si>
    <t>[32]</t>
  </si>
  <si>
    <t>[5505046]</t>
  </si>
  <si>
    <t>[45]</t>
  </si>
  <si>
    <t>[5505047]</t>
  </si>
  <si>
    <t>[60]</t>
  </si>
  <si>
    <t>射手</t>
  </si>
  <si>
    <t>射手的每次攻击提高&lt;color=#54b76b&gt;%s%&lt;/color&gt;伤害，充能时重置</t>
  </si>
  <si>
    <t>5505051</t>
  </si>
  <si>
    <t>[5505051]</t>
  </si>
  <si>
    <t>[5505052]</t>
  </si>
  <si>
    <t>[5505053]</t>
  </si>
  <si>
    <t>[5505054]</t>
  </si>
  <si>
    <t>[5505055]</t>
  </si>
  <si>
    <t>[5505056]</t>
  </si>
  <si>
    <t>[5505057]</t>
  </si>
  <si>
    <t>[30]</t>
  </si>
  <si>
    <t>射手穿透或弹射时，有&lt;color=#54b76b&gt;%s%&lt;/color&gt;概率不消耗次数</t>
  </si>
  <si>
    <t>5505061</t>
  </si>
  <si>
    <t>[5505061]</t>
  </si>
  <si>
    <t>[5505062]</t>
  </si>
  <si>
    <t>[12]</t>
  </si>
  <si>
    <t>[5505063]</t>
  </si>
  <si>
    <t>[18]</t>
  </si>
  <si>
    <t>[5505064]</t>
  </si>
  <si>
    <t>[5505065]</t>
  </si>
  <si>
    <t>[40]</t>
  </si>
  <si>
    <t>[5505066]</t>
  </si>
  <si>
    <t>[5505067]</t>
  </si>
  <si>
    <t>[75]</t>
  </si>
  <si>
    <t>射手普攻时有&lt;color=#54b76b&gt;%s%&lt;/color&gt;概率额外攻击1次</t>
  </si>
  <si>
    <t>5505071</t>
  </si>
  <si>
    <t>[5505071]</t>
  </si>
  <si>
    <t>[5505072]</t>
  </si>
  <si>
    <t>[5505073]</t>
  </si>
  <si>
    <t>[5505074]</t>
  </si>
  <si>
    <t>[5505075]</t>
  </si>
  <si>
    <t>[5505076]</t>
  </si>
  <si>
    <t>[5505077]</t>
  </si>
  <si>
    <t>法师</t>
  </si>
  <si>
    <t>法师职业暴击时，最终暴击伤害将在80%~&lt;color=#54b76b&gt;%s%&lt;/color&gt;之间波动</t>
  </si>
  <si>
    <t>5505081</t>
  </si>
  <si>
    <t>[5505081]</t>
  </si>
  <si>
    <t>[110]</t>
  </si>
  <si>
    <t>[5505082]</t>
  </si>
  <si>
    <t>[115]</t>
  </si>
  <si>
    <t>[5505083]</t>
  </si>
  <si>
    <t>[120]</t>
  </si>
  <si>
    <t>[5505084]</t>
  </si>
  <si>
    <t>[130]</t>
  </si>
  <si>
    <t>[5505085]</t>
  </si>
  <si>
    <t>[150]</t>
  </si>
  <si>
    <t>[5505086]</t>
  </si>
  <si>
    <t>[180]</t>
  </si>
  <si>
    <t>[5505087]</t>
  </si>
  <si>
    <t>[240]</t>
  </si>
  <si>
    <t>法师职业的大招冷却时间缩短&lt;color=#54b76b&gt;%s%&lt;/color&gt;</t>
  </si>
  <si>
    <t>5505091</t>
  </si>
  <si>
    <t>[5505091]</t>
  </si>
  <si>
    <t>[5505092]</t>
  </si>
  <si>
    <t>[5505093]</t>
  </si>
  <si>
    <t>[5505094]</t>
  </si>
  <si>
    <t>[5505095]</t>
  </si>
  <si>
    <t>[5505096]</t>
  </si>
  <si>
    <t>[5505097]</t>
  </si>
  <si>
    <t>法师对血量低于50%敌人有&lt;color=#54b76b&gt;%s%&lt;/color&gt;额外暴击几率</t>
  </si>
  <si>
    <t>控制</t>
  </si>
  <si>
    <t>控制职业有&lt;color=#54b76b&gt;%s%&lt;/color&gt;的概率控制时间延长100%</t>
  </si>
  <si>
    <t>被施加控制的怪物5s内受到伤害&lt;color=#54b76b&gt;+%s%&lt;/color&gt;</t>
  </si>
  <si>
    <t>每选择一个控制梦灵的词条，所有控制梦灵伤害&lt;color=#54b76b&gt;+%s%&lt;/color&gt;</t>
  </si>
  <si>
    <t>毒系</t>
  </si>
  <si>
    <t>毒系职业施加中毒效果时，有&lt;color=#54b76b&gt;%s%&lt;/color&gt;概率触发[剧毒]，造成当前层数的毒系伤害</t>
  </si>
  <si>
    <t>每次触发中毒伤害，下次中毒伤害额外&lt;color=#54b76b&gt;+%s%&lt;/color&gt;</t>
  </si>
  <si>
    <t>毒系职业中毒层数上限提升&lt;color=#54b76b&gt;%s%&lt;/color&gt;</t>
  </si>
  <si>
    <t>毒系职业中毒层数上限提升&lt;color=#54b77b&gt;%s%&lt;/color&gt;</t>
  </si>
  <si>
    <t>毒系职业中毒层数上限提升&lt;color=#54b78b&gt;%s%&lt;/color&gt;</t>
  </si>
  <si>
    <t>毒系职业中毒层数上限提升&lt;color=#54b79b&gt;%s%&lt;/color&gt;</t>
  </si>
  <si>
    <t>毒系职业中毒层数上限提升&lt;color=#54b80b&gt;%s%&lt;/color&gt;</t>
  </si>
  <si>
    <t>毒系职业中毒层数上限提升&lt;color=#54b81b&gt;%s%&lt;/color&gt;</t>
  </si>
  <si>
    <t>毒系职业中毒层数上限提升&lt;color=#54b82b&gt;%s%&lt;/color&gt;</t>
  </si>
  <si>
    <t>召唤</t>
  </si>
  <si>
    <t>召唤师召唤物持续时间&lt;color=#54b76b&gt;+%s%&lt;/color&gt;</t>
  </si>
  <si>
    <t>召唤师召唤物死亡前，无敌&lt;color=#54b76b&gt;%s&lt;/color&gt;秒</t>
  </si>
  <si>
    <t>召唤师召唤物每嘲讽1个敌人，召唤物最大生命值&lt;color=#54b76b&gt;+%s%&lt;/color&gt;</t>
  </si>
  <si>
    <t>6档↓</t>
  </si>
  <si>
    <t>攻击满血怪物时，暴击率&lt;color=#54b76b&gt;+%s%&lt;/color&gt;</t>
  </si>
  <si>
    <t>[3,5]</t>
  </si>
  <si>
    <t>无视怪物所有类型&lt;color=#54b76b&gt;%s%&lt;/color&gt;的抗性</t>
  </si>
  <si>
    <t>[{global_ignore_red,3000}]</t>
  </si>
  <si>
    <t>[{global_ignore_red,4000}]</t>
  </si>
  <si>
    <t>[{global_ignore_red,5000}]</t>
  </si>
  <si>
    <t>[{global_ignore_red,6000}]</t>
  </si>
  <si>
    <t>伤害在80%~&lt;color=#54b76b&gt;%s%&lt;/color&gt;之间浮动</t>
  </si>
  <si>
    <t>梦灵暴击率&lt;color=#54b76b&gt;+%s%&lt;/color&gt;</t>
  </si>
  <si>
    <t>[{global_crit_rate,400}]</t>
  </si>
  <si>
    <t>[{global_crit_rate,500}]</t>
  </si>
  <si>
    <t>[{global_crit_rate,600}]</t>
  </si>
  <si>
    <t>[{global_crit_rate,700}]</t>
  </si>
  <si>
    <t>释放普攻时&lt;color=#54b76b&gt;%s%&lt;/color&gt;概率额外释放1次(连发)</t>
  </si>
  <si>
    <t>释放普攻时&lt;color=#54b76b&gt;%s%&lt;/color&gt;概率额外释放1次</t>
  </si>
  <si>
    <t>伤害有&lt;color=#54b76b&gt;%s%&lt;/color&gt;概率造成2次命中</t>
  </si>
  <si>
    <t>攻击范围+1，伤害&lt;color=#54b76b&gt;+%s%&lt;/color&gt;</t>
  </si>
  <si>
    <t>攻击范围+1</t>
  </si>
  <si>
    <t>攻击范围&lt;color=#54b76b&gt;+1&lt;/color&gt;格，伤害&lt;color=#54b76b&gt;+%s%&lt;/color&gt;</t>
  </si>
  <si>
    <t>[{battle_dmg_rate,500}]</t>
  </si>
  <si>
    <t>[{battle_dmg_rate,1000}]</t>
  </si>
  <si>
    <t>攻击范围&lt;color=#54b76b&gt;+2&lt;/color&gt;格，伤害&lt;color=#54b76b&gt;+%s%&lt;/color&gt;</t>
  </si>
  <si>
    <t>充能后获得&lt;color=#54b76b&gt;%s%&lt;/color&gt;攻速3秒</t>
  </si>
  <si>
    <t>能量耗尽时&lt;color=#54b76b&gt;%s%&lt;/color&gt;概率跳过充能</t>
  </si>
  <si>
    <t>[{energy_recover_finish_rate,500}]</t>
  </si>
  <si>
    <t>[{energy_recover_finish_rate,800}]</t>
  </si>
  <si>
    <t>[{energy_recover_finish_rate,1200}]</t>
  </si>
  <si>
    <t>[{energy_recover_finish_rate,1500}]</t>
  </si>
  <si>
    <t>DOT伤害享受&lt;color=#54b76b&gt;%s%&lt;/color&gt;暴击几率加成</t>
  </si>
  <si>
    <t>负面伤害享受&lt;color=#54b76b&gt;%s%&lt;/color&gt;暴击几率加成</t>
  </si>
  <si>
    <t>[{dot_crit_rate_scale,1000}]</t>
  </si>
  <si>
    <t>[{dot_crit_rate_scale,2000}]</t>
  </si>
  <si>
    <t>[{dot_crit_rate_scale,2500}]</t>
  </si>
  <si>
    <t>[{dot_crit_rate_scale,3500}]</t>
  </si>
  <si>
    <t>对负面状态的敌人造成暴击后, &lt;color=#54b76b&gt;%s%&lt;/color&gt;概率使敌人所有负面状态持续时间+1s, 最多+3s. 直到敌人的移除所有负面状态</t>
  </si>
  <si>
    <t>梦灵专属551↓</t>
  </si>
  <si>
    <t>蓝色梦灵(1,2)-(4档)↓</t>
  </si>
  <si>
    <t>[1310100]</t>
  </si>
  <si>
    <t>[5301220]</t>
  </si>
  <si>
    <t>[{8,1000}]</t>
  </si>
  <si>
    <t>[50]</t>
  </si>
  <si>
    <t>寒冰射手攻击时，&lt;color=#54b76b&gt;35%&lt;/color&gt;几率释放&lt;color=#54b76b&gt;1&lt;/color&gt;个伤害&lt;color=#54b76b&gt;50%&lt;/color&gt;的冰锥</t>
  </si>
  <si>
    <t>[5302220]</t>
  </si>
  <si>
    <t>[{8,1500}]</t>
  </si>
  <si>
    <t>[70]</t>
  </si>
  <si>
    <t>寒冰射手攻击时，&lt;color=#54b76b&gt;35%&lt;/color&gt;几率释放&lt;color=#54b76b&gt;1&lt;/color&gt;个伤害&lt;color=#54b76b&gt;70%&lt;/color&gt;的冰锥</t>
  </si>
  <si>
    <t>[5301221]</t>
  </si>
  <si>
    <t>寒冰射手箭矢穿透&lt;color=#54b76b&gt;+1&lt;/color&gt;，伤害&lt;color=#54b76b&gt;-20%&lt;/color&gt;</t>
  </si>
  <si>
    <t>[5302221]</t>
  </si>
  <si>
    <t>寒冰射手箭矢穿透&lt;color=#54b76b&gt;+1&lt;/color&gt;，伤害&lt;color=#54b76b&gt;-10%&lt;/color&gt;</t>
  </si>
  <si>
    <t>[1210400]</t>
  </si>
  <si>
    <t>[5301223]</t>
  </si>
  <si>
    <t>炽焰巫师烤鸡有&lt;color=#54b76b&gt;15%&lt;/color&gt;概率点燃怪物</t>
  </si>
  <si>
    <t>[5302223]</t>
  </si>
  <si>
    <t>炽焰巫师烤鸡有&lt;color=#54b76b&gt;25%&lt;/color&gt;概率点燃怪物</t>
  </si>
  <si>
    <t>[5301224]</t>
  </si>
  <si>
    <t>炽焰巫师烤鸡弹跳次数&lt;color=#54b76b&gt;+1&lt;/color&gt;，伤害&lt;color=#54b76b&gt;-20%&lt;/color&gt;</t>
  </si>
  <si>
    <t>[5302224]</t>
  </si>
  <si>
    <t>炽焰巫师烤鸡弹跳次数&lt;color=#54b76b&gt;+1&lt;/color&gt;，伤害&lt;color=#54b76b&gt;-15%&lt;/color&gt;</t>
  </si>
  <si>
    <t>[1230100]</t>
  </si>
  <si>
    <t>[5301226]</t>
  </si>
  <si>
    <t>[{8,500}]</t>
  </si>
  <si>
    <t>吟游诗人施加祝福时&lt;color=#54b76b&gt;50%&lt;/color&gt;几率攻击1个敌人并附加&lt;color=#54b76b&gt;15%[易伤]&lt;/color&gt;</t>
  </si>
  <si>
    <t>[5302226]</t>
  </si>
  <si>
    <t>[{8,750}]</t>
  </si>
  <si>
    <t>吟游诗人施加祝福时&lt;color=#54b76b&gt;50%&lt;/color&gt;几率攻击1个敌人并附加&lt;color=#54b76b&gt;20%[易伤]&lt;/color&gt;</t>
  </si>
  <si>
    <t>[5301227]</t>
  </si>
  <si>
    <t>吟游诗人增幅持续时间&lt;color=#54b76b&gt;+1秒&lt;/color&gt;</t>
  </si>
  <si>
    <t>[5302227]</t>
  </si>
  <si>
    <t>[1.5]</t>
  </si>
  <si>
    <t>吟游诗人增幅持续时间&lt;color=#54b76b&gt;+1.5秒&lt;/color&gt;</t>
  </si>
  <si>
    <t>紫色梦灵(3,4)-(4档)↓</t>
  </si>
  <si>
    <t>[1420200]</t>
  </si>
  <si>
    <t>[5302229]</t>
  </si>
  <si>
    <t>[{8,600}]</t>
  </si>
  <si>
    <t>摇滚巨石&lt;color=#54b76b&gt;12&lt;/color&gt;秒内没受到攻击，可获得&lt;color=#54b76b&gt;1&lt;/color&gt;层[免伤盾]，上限&lt;color=#54b76b&gt;1&lt;/color&gt;层</t>
  </si>
  <si>
    <t>[5303229]</t>
  </si>
  <si>
    <t>[{8,900}]</t>
  </si>
  <si>
    <t>摇滚巨石&lt;color=#54b76b&gt;12&lt;/color&gt;秒内没受到攻击，可获得&lt;color=#54b76b&gt;1&lt;/color&gt;层[免伤盾]，上限&lt;color=#54b76b&gt;2&lt;/color&gt;层</t>
  </si>
  <si>
    <t>[5304229]</t>
  </si>
  <si>
    <t>[{8,1200}]</t>
  </si>
  <si>
    <t>摇滚巨石&lt;color=#54b76b&gt;12&lt;/color&gt;秒内没受到攻击，可获得&lt;color=#54b76b&gt;1&lt;/color&gt;层[免伤盾]，上限&lt;color=#54b76b&gt;3&lt;/color&gt;层</t>
  </si>
  <si>
    <t>[{be_heal_rate,2000}]</t>
  </si>
  <si>
    <t>摇滚巨石受到的治疗量&lt;color=#54b76b&gt;+20%&lt;/color&gt;</t>
  </si>
  <si>
    <t>[{be_heal_rate,2500}]</t>
  </si>
  <si>
    <t>摇滚巨石受到的治疗量&lt;color=#54b76b&gt;+25%&lt;/color&gt;</t>
  </si>
  <si>
    <t>[{be_heal_rate,3000}]</t>
  </si>
  <si>
    <t>摇滚巨石受到的治疗量&lt;color=#54b76b&gt;+30%&lt;/color&gt;</t>
  </si>
  <si>
    <t>[5302231]</t>
  </si>
  <si>
    <t>摇滚巨石攻击被控制的敌人时，伤害&lt;color=#54b76b&gt;+12%&lt;/color&gt;</t>
  </si>
  <si>
    <t>[5303231]</t>
  </si>
  <si>
    <t>摇滚巨石攻击被控制的敌人时，伤害&lt;color=#54b76b&gt;+18%&lt;/color&gt;</t>
  </si>
  <si>
    <t>[5304231]</t>
  </si>
  <si>
    <t>[24]</t>
  </si>
  <si>
    <t>摇滚巨石攻击被控制的敌人时，伤害&lt;color=#54b76b&gt;+24%&lt;/color&gt;</t>
  </si>
  <si>
    <t>果冻少女</t>
  </si>
  <si>
    <t>[1320100]</t>
  </si>
  <si>
    <t>[5302233]</t>
  </si>
  <si>
    <t>果冻少女冻冻弹射&lt;color=#54b76b&gt;+1&lt;/color&gt;，伤害&lt;color=#54b76b&gt;-45%&lt;/color&gt;</t>
  </si>
  <si>
    <t>[5303233]</t>
  </si>
  <si>
    <t>[{8,1800}]</t>
  </si>
  <si>
    <t>果冻少女冻冻弹射&lt;color=#54b76b&gt;+1&lt;/color&gt;，伤害&lt;color=#54b76b&gt;-40%&lt;/color&gt;</t>
  </si>
  <si>
    <t>[5304233]</t>
  </si>
  <si>
    <t>[{8,2400}]</t>
  </si>
  <si>
    <t>[36]</t>
  </si>
  <si>
    <t>果冻少女冻冻弹射&lt;color=#54b76b&gt;+1&lt;/color&gt;，伤害&lt;color=#54b76b&gt;-36%&lt;/color&gt;</t>
  </si>
  <si>
    <t>[{dot_hit_rate,2500}]</t>
  </si>
  <si>
    <t>果冻少女中毒伤害&lt;color=#54b76b&gt;+25%&lt;/color&gt;</t>
  </si>
  <si>
    <t>[{dot_hit_rate,3600}]</t>
  </si>
  <si>
    <t>果冻少女中毒伤害&lt;color=#54b76b&gt;+36%&lt;/color&gt;</t>
  </si>
  <si>
    <t>[{dot_hit_rate,4800}]</t>
  </si>
  <si>
    <t>[48]</t>
  </si>
  <si>
    <t>果冻少女中毒伤害&lt;color=#54b76b&gt;+48%&lt;/color&gt;</t>
  </si>
  <si>
    <t>[5302235]</t>
  </si>
  <si>
    <t>果冻少女中毒时间&lt;color=#54b76b&gt;+20%&lt;/color&gt;</t>
  </si>
  <si>
    <t>[5303235]</t>
  </si>
  <si>
    <t>果冻少女中毒时间&lt;color=#54b76b&gt;+30%&lt;/color&gt;</t>
  </si>
  <si>
    <t>[5304235]</t>
  </si>
  <si>
    <t>果冻少女中毒时间&lt;color=#54b76b&gt;+40%&lt;/color&gt;</t>
  </si>
  <si>
    <t>[1310300]</t>
  </si>
  <si>
    <t>[{crit_rate,300}]</t>
  </si>
  <si>
    <t>雷震子暴击&lt;color=#54b76b&gt;+3%&lt;/color&gt;</t>
  </si>
  <si>
    <t>[{crit_rate,500}]</t>
  </si>
  <si>
    <t>雷震子暴击&lt;color=#54b76b&gt;+5%&lt;/color&gt;</t>
  </si>
  <si>
    <t>[{crit_rate,700}]</t>
  </si>
  <si>
    <t>雷震子暴击&lt;color=#54b76b&gt;+7%&lt;/color&gt;</t>
  </si>
  <si>
    <t>[5302238]</t>
  </si>
  <si>
    <t>雷震子闪电链对中毒的敌人造成伤害时，造成&lt;color=#54b76b&gt;15%&lt;/color&gt;额外伤害</t>
  </si>
  <si>
    <t>[5303238]</t>
  </si>
  <si>
    <t>[22]</t>
  </si>
  <si>
    <t>雷震子闪电链对中毒的敌人造成伤害时，造成&lt;color=#54b76b&gt;22%&lt;/color&gt;额外伤害</t>
  </si>
  <si>
    <t>[5304238]</t>
  </si>
  <si>
    <t>雷震子闪电链对中毒的敌人造成伤害时，造成&lt;color=#54b76b&gt;30%&lt;/color&gt;额外伤害</t>
  </si>
  <si>
    <t>[5302239]</t>
  </si>
  <si>
    <t>雷震子大招冷却缩减&lt;color=#54b76b&gt;25%&lt;/color&gt;</t>
  </si>
  <si>
    <t>[5303239]</t>
  </si>
  <si>
    <t>雷震子大招冷却缩减&lt;color=#54b76b&gt;35%&lt;/color&gt;</t>
  </si>
  <si>
    <t>[5304239]</t>
  </si>
  <si>
    <t>雷震子大招冷却缩减&lt;color=#54b76b&gt;50%&lt;/color&gt;</t>
  </si>
  <si>
    <t>[1210600]</t>
  </si>
  <si>
    <t>[{energy_reuse_rate,1200}]</t>
  </si>
  <si>
    <t>忍者鲨手手里剑&lt;color=#54b76b&gt;15%&lt;/color&gt;几率不消耗能量</t>
  </si>
  <si>
    <t>[{energy_reuse_rate,1800}]</t>
  </si>
  <si>
    <t>忍者鲨手手里剑&lt;color=#54b76b&gt;22%&lt;/color&gt;几率不消耗能量</t>
  </si>
  <si>
    <t>[{energy_reuse_rate,2400}]</t>
  </si>
  <si>
    <t>忍者鲨手手里剑&lt;color=#54b76b&gt;30%&lt;/color&gt;几率不消耗能量</t>
  </si>
  <si>
    <t>[5302242]</t>
  </si>
  <si>
    <t>忍者鲨手对减速的敌人造成伤害时，造成&lt;color=#54b76b&gt;12%&lt;/color&gt;额外伤害</t>
  </si>
  <si>
    <t>[5303242]</t>
  </si>
  <si>
    <t>忍者鲨手对减速的敌人造成伤害时，造成&lt;color=#54b76b&gt;18%&lt;/color&gt;额外伤害</t>
  </si>
  <si>
    <t>[5304242]</t>
  </si>
  <si>
    <t>忍者鲨手对减速的敌人造成伤害时，造成&lt;color=#54b76b&gt;24%&lt;/color&gt;额外伤害</t>
  </si>
  <si>
    <t>[5302243]</t>
  </si>
  <si>
    <t>忍者鲨手有&lt;color=#54b76b&gt;12%&lt;/color&gt;的概率额外扔出一发手里剑</t>
  </si>
  <si>
    <t>[5303243]</t>
  </si>
  <si>
    <t>[16]</t>
  </si>
  <si>
    <t>忍者鲨手有&lt;color=#54b76b&gt;16%&lt;/color&gt;的概率额外扔出一发手里剑</t>
  </si>
  <si>
    <t>[5304243]</t>
  </si>
  <si>
    <t>忍者鲨手有&lt;color=#54b76b&gt;20%&lt;/color&gt;的概率额外扔出一发手里剑</t>
  </si>
  <si>
    <t>甜心护士符文</t>
  </si>
  <si>
    <t>[1230400]</t>
  </si>
  <si>
    <t>[5302245]</t>
  </si>
  <si>
    <t>甜心护士额外发射&lt;color=#54b76b&gt;1&lt;/color&gt;个针筒</t>
  </si>
  <si>
    <t>[5303245]</t>
  </si>
  <si>
    <t>甜心护士额外发射&lt;color=#54b76b&gt;2&lt;/color&gt;个针筒</t>
  </si>
  <si>
    <t>[5304245]</t>
  </si>
  <si>
    <t>甜心护士额外发射&lt;color=#54b76b&gt;3&lt;/color&gt;个针筒</t>
  </si>
  <si>
    <t>[5302246]</t>
  </si>
  <si>
    <t>甜心护士医疗包治疗效果&lt;color=#54b76b&gt;+20%&lt;/color&gt;</t>
  </si>
  <si>
    <t>[5303246]</t>
  </si>
  <si>
    <t>甜心护士医疗包治疗效果&lt;color=#54b76b&gt;+30%&lt;/color&gt;</t>
  </si>
  <si>
    <t>[5304246]</t>
  </si>
  <si>
    <t>甜心护士医疗包治疗效果&lt;color=#54b76b&gt;+40%&lt;/color&gt;</t>
  </si>
  <si>
    <t>[5302247]</t>
  </si>
  <si>
    <t>甜心护士医疗包能量消耗&lt;color=#54b76b&gt;-20%&lt;/color&gt;</t>
  </si>
  <si>
    <t>[5303247]</t>
  </si>
  <si>
    <t>甜心护士医疗包能量消耗&lt;color=#54b76b&gt;-30%&lt;/color&gt;</t>
  </si>
  <si>
    <t>[5304247]</t>
  </si>
  <si>
    <t>甜心护士医疗包能量消耗&lt;color=#54b76b&gt;-50%&lt;/color&gt;</t>
  </si>
  <si>
    <t>路人符文</t>
  </si>
  <si>
    <t>[1210700]</t>
  </si>
  <si>
    <t>[5302334]</t>
  </si>
  <si>
    <t>[{1,280}]</t>
  </si>
  <si>
    <t>路人血量低于50%时，霸王轰拳护盾效果&lt;color=#54b76b&gt;+25%&lt;/color&gt;，持续时间&lt;color=#54b76b&gt;+50%&lt;/color&gt;</t>
  </si>
  <si>
    <t>[5303334]</t>
  </si>
  <si>
    <t>[{1,240}]</t>
  </si>
  <si>
    <t>[5304334]</t>
  </si>
  <si>
    <t>[{1,200}]</t>
  </si>
  <si>
    <t>路人血量低于50%时，霸王轰拳护盾效果&lt;color=#54b76b&gt;+40%&lt;/color&gt;，持续时间&lt;color=#54b76b&gt;+75%&lt;/color&gt;</t>
  </si>
  <si>
    <t>[5302335]</t>
  </si>
  <si>
    <t>路人血量越低技能尺寸越大，至多&lt;color=#54b76b&gt;36%&lt;/color&gt;</t>
  </si>
  <si>
    <t>[5303335]</t>
  </si>
  <si>
    <t>[5304335]</t>
  </si>
  <si>
    <t>路人血量越低技能尺寸越大，至多&lt;color=#54b76b&gt;54%&lt;/color&gt;</t>
  </si>
  <si>
    <t>[5302336]</t>
  </si>
  <si>
    <t>路人每次释放弹簧机关枪有&lt;color=#54b76b&gt;10%&lt;/color&gt;概率额外释放&lt;color=#54b76b&gt;1&lt;/color&gt;次</t>
  </si>
  <si>
    <t>[5303336]</t>
  </si>
  <si>
    <t>[5304336]</t>
  </si>
  <si>
    <t>路人每次释放弹簧机关枪有&lt;color=#54b76b&gt;15%&lt;/color&gt;概率额外释放&lt;color=#54b76b&gt;1&lt;/color&gt;次</t>
  </si>
  <si>
    <t>橙色梦灵(5,6,7)-(4档)↓</t>
  </si>
  <si>
    <t>关羽符文</t>
  </si>
  <si>
    <t>[1110100]</t>
  </si>
  <si>
    <t>[5304249]</t>
  </si>
  <si>
    <t>关羽对血量高于&lt;color=#54b76b&gt;75%&lt;/color&gt;的敌人，暴击率&lt;color=#54b76b&gt;+20%&lt;/color&gt;</t>
  </si>
  <si>
    <t>[5305249]</t>
  </si>
  <si>
    <t>关羽对血量高于&lt;color=#54b76b&gt;75%&lt;/color&gt;的敌人，暴击率&lt;color=#54b76b&gt;+25%&lt;/color&gt;</t>
  </si>
  <si>
    <t>[5306249]</t>
  </si>
  <si>
    <t>关羽对血量高于&lt;color=#54b76b&gt;75%&lt;/color&gt;的敌人，暴击率&lt;color=#54b76b&gt;+32%&lt;/color&gt;</t>
  </si>
  <si>
    <t>[5307249]</t>
  </si>
  <si>
    <t>关羽对血量高于&lt;color=#54b76b&gt;75%&lt;/color&gt;的敌人，暴击率&lt;color=#54b76b&gt;+40%&lt;/color&gt;</t>
  </si>
  <si>
    <t>[5304250]</t>
  </si>
  <si>
    <t>关羽充能时&lt;color=#54b76b&gt;18%&lt;/color&gt;几率能量上限&lt;color=#54b76b&gt;+50%&lt;/color&gt;，持续到下次充能，最多叠&lt;color=#54b76b&gt;3&lt;/color&gt;次</t>
  </si>
  <si>
    <t>[5305250]</t>
  </si>
  <si>
    <t>关羽充能时&lt;color=#54b76b&gt;25%&lt;/color&gt;几率能量上限&lt;color=#54b76b&gt;+50%&lt;/color&gt;，持续到下次充能，最多叠&lt;color=#54b76b&gt;3&lt;/color&gt;次</t>
  </si>
  <si>
    <t>[5306250]</t>
  </si>
  <si>
    <t>关羽充能时&lt;color=#54b76b&gt;35%&lt;/color&gt;几率能量上限&lt;color=#54b76b&gt;+50%&lt;/color&gt;，持续到下次充能，最多叠&lt;color=#54b76b&gt;3&lt;/color&gt;次</t>
  </si>
  <si>
    <t>[5307250]</t>
  </si>
  <si>
    <t>关羽充能时&lt;color=#54b76b&gt;45%&lt;/color&gt;几率能量上限&lt;color=#54b76b&gt;+50%&lt;/color&gt;，持续到下次充能，最多叠&lt;color=#54b76b&gt;3&lt;/color&gt;次</t>
  </si>
  <si>
    <t>[5304251]</t>
  </si>
  <si>
    <t>[{battle_dmg_rate,800}]</t>
  </si>
  <si>
    <t>关羽的攻击距离&lt;color=#54b76b&gt;+20%&lt;/color&gt;，伤害&lt;color=#54b76b&gt;+8%&lt;/color&gt;</t>
  </si>
  <si>
    <t>[5305251]</t>
  </si>
  <si>
    <t>关羽的攻击距离&lt;color=#54b76b&gt;+20%&lt;/color&gt;，伤害&lt;color=#54b76b&gt;+15%&lt;/color&gt;</t>
  </si>
  <si>
    <t>[5306251]</t>
  </si>
  <si>
    <t>[{battle_dmg_rate,3000}]</t>
  </si>
  <si>
    <t>关羽的攻击距离&lt;color=#54b76b&gt;+20%&lt;/color&gt;，伤害&lt;color=#54b76b&gt;+30%&lt;/color&gt;</t>
  </si>
  <si>
    <t>[5307251]</t>
  </si>
  <si>
    <t>[{battle_dmg_rate,4500}]</t>
  </si>
  <si>
    <t>关羽的攻击距离&lt;color=#54b76b&gt;+20%&lt;/color&gt;，伤害&lt;color=#54b76b&gt;+45%&lt;/color&gt;</t>
  </si>
  <si>
    <t>亚瑟符文</t>
  </si>
  <si>
    <t>[1210300]</t>
  </si>
  <si>
    <t>[5304253]</t>
  </si>
  <si>
    <t>亚瑟死亡时，立即召唤自身&lt;color=#54b76b&gt;30%&lt;/color&gt;最大生命值的警盾，持续&lt;color=#54b76b&gt;12&lt;/color&gt;秒，并嘲讽范围内全部敌人</t>
  </si>
  <si>
    <t>[5305253]</t>
  </si>
  <si>
    <t>[{8,1400}]</t>
  </si>
  <si>
    <t>亚瑟死亡时，立即召唤自身&lt;color=#54b76b&gt;40%&lt;/color&gt;最大生命值的警盾，持续&lt;color=#54b76b&gt;12&lt;/color&gt;秒，并嘲讽范围内全部敌人</t>
  </si>
  <si>
    <t>[5306253]</t>
  </si>
  <si>
    <t>亚瑟死亡时，立即召唤自身&lt;color=#54b76b&gt;50%&lt;/color&gt;最大生命值的警盾，持续&lt;color=#54b76b&gt;12&lt;/color&gt;秒，并嘲讽范围内全部敌人</t>
  </si>
  <si>
    <t>[5307253]</t>
  </si>
  <si>
    <t>[{8,2250}]</t>
  </si>
  <si>
    <t>亚瑟死亡时，立即召唤自身&lt;color=#54b76b&gt;60%&lt;/color&gt;最大生命值的警盾，持续&lt;color=#54b76b&gt;12&lt;/color&gt;秒，并嘲讽范围内全部敌人</t>
  </si>
  <si>
    <t>[5304254]</t>
  </si>
  <si>
    <t>亚瑟的[正当防卫]有&lt;color=#54b76b&gt;2%&lt;/color&gt;概率秒杀普通怪物（不超过亚瑟攻击力2500%）</t>
  </si>
  <si>
    <t>[5305254]</t>
  </si>
  <si>
    <t>亚瑟的[正当防卫]有&lt;color=#54b76b&gt;3%&lt;/color&gt;概率秒杀普通怪物（不超过亚瑟攻击力3000%）</t>
  </si>
  <si>
    <t>[5306254]</t>
  </si>
  <si>
    <t>亚瑟的[正当防卫]有&lt;color=#54b76b&gt;4%&lt;/color&gt;概率秒杀普通怪物（不超过亚瑟攻击力3500%）</t>
  </si>
  <si>
    <t>[5307254]</t>
  </si>
  <si>
    <t>亚瑟的[正当防卫]有&lt;color=#54b76b&gt;5%&lt;/color&gt;概率秒杀普通怪物（不超过亚瑟攻击力4000%）</t>
  </si>
  <si>
    <t>[5304255]</t>
  </si>
  <si>
    <t>亚瑟首次生命低于35%时，立刻恢复&lt;color=#54b76b&gt;20%&lt;/color&gt;最大生命值</t>
  </si>
  <si>
    <t>[5305255]</t>
  </si>
  <si>
    <t>[28]</t>
  </si>
  <si>
    <t>亚瑟首次生命低于35%时，立刻恢复&lt;color=#54b76b&gt;28%&lt;/color&gt;最大生命值</t>
  </si>
  <si>
    <t>[5306255]</t>
  </si>
  <si>
    <t>亚瑟首次生命低于35%时，立刻恢复&lt;color=#54b76b&gt;36%&lt;/color&gt;最大生命值</t>
  </si>
  <si>
    <t>[5307255]</t>
  </si>
  <si>
    <t>亚瑟首次生命低于35%时，立刻恢复&lt;color=#54b76b&gt;45%&lt;/color&gt;最大生命值</t>
  </si>
  <si>
    <t>东方不败符文</t>
  </si>
  <si>
    <t>[1130100]</t>
  </si>
  <si>
    <t>[{energy_recover_rate,1000},{energy_recover_finish_rate,2000}]</t>
  </si>
  <si>
    <t>[{8,2000}]</t>
  </si>
  <si>
    <t>东方不败攻击充能效率提高&lt;color=#54b76b&gt;10%&lt;/color&gt;，有&lt;color=#54b76b&gt;15%&lt;/color&gt;几率立即完成</t>
  </si>
  <si>
    <t>[{energy_recover_rate,1500},{energy_recover_finish_rate,2000}]</t>
  </si>
  <si>
    <t>[{8,2800}]</t>
  </si>
  <si>
    <t>东方不败攻击充能效率提高&lt;color=#54b76b&gt;15%&lt;/color&gt;，有&lt;color=#54b76b&gt;15%&lt;/color&gt;几率立即完成</t>
  </si>
  <si>
    <t>[{energy_recover_rate,2000},{energy_recover_finish_rate,2000}]</t>
  </si>
  <si>
    <t>[{8,3600}]</t>
  </si>
  <si>
    <t>东方不败攻击充能效率提高&lt;color=#54b76b&gt;20%&lt;/color&gt;，有&lt;color=#54b76b&gt;15%&lt;/color&gt;几率立即完成</t>
  </si>
  <si>
    <t>[{energy_recover_rate,3000},{energy_recover_finish_rate,2000}]</t>
  </si>
  <si>
    <t>[{8,4500}]</t>
  </si>
  <si>
    <t>东方不败攻击充能效率提高&lt;color=#54b76b&gt;30%&lt;/color&gt;，有&lt;color=#54b76b&gt;15%&lt;/color&gt;几率立即完成</t>
  </si>
  <si>
    <t>[5304258]</t>
  </si>
  <si>
    <t>[{battle_dmg_rate,-2000}]</t>
  </si>
  <si>
    <t>东方不败有&lt;color=#54b76b&gt;50%&lt;/color&gt;概率飞针+1，伤害&lt;color=#54b76b&gt;-20%&lt;/color&gt;</t>
  </si>
  <si>
    <t>[5305258]</t>
  </si>
  <si>
    <t>东方不败有&lt;color=#54b76b&gt;60%&lt;/color&gt;概率飞针+1，伤害&lt;color=#54b76b&gt;-20%&lt;/color&gt;</t>
  </si>
  <si>
    <t>[5306258]</t>
  </si>
  <si>
    <t>东方不败有&lt;color=#54b76b&gt;70%&lt;/color&gt;概率飞针+1，伤害&lt;color=#54b76b&gt;-20%&lt;/color&gt;</t>
  </si>
  <si>
    <t>[5307258]</t>
  </si>
  <si>
    <t>东方不败有&lt;color=#54b76b&gt;80%&lt;/color&gt;概率飞针+1，伤害&lt;color=#54b76b&gt;-20%&lt;/color&gt;</t>
  </si>
  <si>
    <t>[5304259]</t>
  </si>
  <si>
    <t>东方不败击杀目标时，攻速提升&lt;color=#54b76b&gt;30%&lt;/color&gt;，持续5秒</t>
  </si>
  <si>
    <t>[5305259]</t>
  </si>
  <si>
    <t>东方不败击杀目标时，攻速提升&lt;color=#54b76b&gt;40%&lt;/color&gt;，持续5秒</t>
  </si>
  <si>
    <t>[5306259]</t>
  </si>
  <si>
    <t>东方不败击杀目标时，攻速提升&lt;color=#54b76b&gt;50%&lt;/color&gt;，持续5秒</t>
  </si>
  <si>
    <t>[5307259]</t>
  </si>
  <si>
    <t>东方不败击杀目标时，攻速提升&lt;color=#54b76b&gt;60%&lt;/color&gt;，持续5秒</t>
  </si>
  <si>
    <t>镭射眼符文</t>
  </si>
  <si>
    <t>[1530100]</t>
  </si>
  <si>
    <t>[5304261]</t>
  </si>
  <si>
    <t>镭射眼对减速的敌人造成伤害时，暴击率&lt;color=#54b76b&gt;+8%&lt;/color&gt;</t>
  </si>
  <si>
    <t>[5305261]</t>
  </si>
  <si>
    <t>镭射眼对减速的敌人造成伤害时，暴击率&lt;color=#54b76b&gt;+10%&lt;/color&gt;</t>
  </si>
  <si>
    <t>[5306261]</t>
  </si>
  <si>
    <t>镭射眼对减速的敌人造成伤害时，暴击率&lt;color=#54b76b&gt;+12%&lt;/color&gt;</t>
  </si>
  <si>
    <t>[5307261]</t>
  </si>
  <si>
    <t>[14]</t>
  </si>
  <si>
    <t>镭射眼对减速的敌人造成伤害时，暴击率&lt;color=#54b76b&gt;+14%&lt;/color&gt;</t>
  </si>
  <si>
    <t>[5304262]</t>
  </si>
  <si>
    <t>镭射眼对主目标的敌人造成暴击时，会额外造成最大生命值的&lt;color=#54b76b&gt;7%&lt;/color&gt;伤害（400%攻击力上限）</t>
  </si>
  <si>
    <t>[5305262]</t>
  </si>
  <si>
    <t>镭射眼对主目标的敌人造成暴击时，会额外造成最大生命值的&lt;color=#54b76b&gt;10%&lt;/color&gt;伤害（560%攻击力上限）</t>
  </si>
  <si>
    <t>[5306262]</t>
  </si>
  <si>
    <t>[13]</t>
  </si>
  <si>
    <t>镭射眼对主目标的敌人造成暴击时，会额外造成最大生命值的&lt;color=#54b76b&gt;13%&lt;/color&gt;伤害（720%攻击力上限）</t>
  </si>
  <si>
    <t>[5307262]</t>
  </si>
  <si>
    <t>镭射眼对主目标的敌人造成暴击时，会额外造成最大生命值的&lt;color=#54b76b&gt;16%&lt;/color&gt;伤害（900%攻击力上限）</t>
  </si>
  <si>
    <t>[5304263]</t>
  </si>
  <si>
    <t>[0.5]</t>
  </si>
  <si>
    <t>镭射眼暴击时，大招的冷却降低&lt;color=#54b76b&gt;0.5&lt;/color&gt;秒</t>
  </si>
  <si>
    <t>[5305263]</t>
  </si>
  <si>
    <t>[0.7]</t>
  </si>
  <si>
    <t>镭射眼暴击时，大招的冷却降低&lt;color=#54b76b&gt;0.7&lt;/color&gt;秒</t>
  </si>
  <si>
    <t>[5306263]</t>
  </si>
  <si>
    <t>[0.9]</t>
  </si>
  <si>
    <t>镭射眼暴击时，大招的冷却降低&lt;color=#54b76b&gt;0.9&lt;/color&gt;秒</t>
  </si>
  <si>
    <t>[5307263]</t>
  </si>
  <si>
    <t>[1.2]</t>
  </si>
  <si>
    <t>镭射眼暴击时，大招的冷却降低&lt;color=#54b76b&gt;1.2&lt;/color&gt;秒</t>
  </si>
  <si>
    <t>神灯王子符文</t>
  </si>
  <si>
    <t>[1140200]</t>
  </si>
  <si>
    <t>[5304265]</t>
  </si>
  <si>
    <t>被神灯王子复活的梦灵，免疫所有伤害&lt;color=#54b76b&gt;1&lt;/color&gt;秒（最多生效4次）</t>
  </si>
  <si>
    <t>[5305265]</t>
  </si>
  <si>
    <t>被神灯王子复活的梦灵，免疫所有伤害&lt;color=#54b76b&gt;3&lt;/color&gt;秒（最多生效4次）</t>
  </si>
  <si>
    <t>[5306265]</t>
  </si>
  <si>
    <t>被神灯王子复活的梦灵，免疫所有伤害&lt;color=#54b76b&gt;5&lt;/color&gt;秒（最多生效4次）</t>
  </si>
  <si>
    <t>[5307265]</t>
  </si>
  <si>
    <t>被神灯王子复活的梦灵，免疫所有伤害&lt;color=#54b76b&gt;7&lt;/color&gt;秒（最多生效4次）</t>
  </si>
  <si>
    <t>[5304266]</t>
  </si>
  <si>
    <t>神灯王子【愿能】提供的充能加速效果&lt;color=#54b76b&gt;+15%&lt;/color&gt;</t>
  </si>
  <si>
    <t>[5305266]</t>
  </si>
  <si>
    <t>神灯王子【愿能】提供的充能加速效果&lt;color=#54b76b&gt;+30%&lt;/color&gt;</t>
  </si>
  <si>
    <t>[5306266]</t>
  </si>
  <si>
    <t>神灯王子【愿能】提供的充能加速效果&lt;color=#54b76b&gt;+45%&lt;/color&gt;</t>
  </si>
  <si>
    <t>[5307266]</t>
  </si>
  <si>
    <t>神灯王子【愿能】提供的充能加速效果&lt;color=#54b76b&gt;+60%&lt;/color&gt;</t>
  </si>
  <si>
    <t>[5304267]</t>
  </si>
  <si>
    <t>神灯王子攻击有&lt;color=#54b76b&gt;10%&lt;/color&gt;概率使全体梦灵获得：下次充能加速&lt;color=#54b76b&gt;+50%&lt;/color&gt;</t>
  </si>
  <si>
    <t>[5305267]</t>
  </si>
  <si>
    <t>[100]</t>
  </si>
  <si>
    <t>神灯王子攻击有&lt;color=#54b76b&gt;15%&lt;/color&gt;概率使全体梦灵获得：下次充能加速&lt;color=#54b76b&gt;+100%&lt;/color&gt;</t>
  </si>
  <si>
    <t>[5306267]</t>
  </si>
  <si>
    <t>神灯王子攻击有&lt;color=#54b76b&gt;15%&lt;/color&gt;概率使全体梦灵获得：下次充能加速&lt;color=#54b76b&gt;+200%&lt;/color&gt;</t>
  </si>
  <si>
    <t>[5307267]</t>
  </si>
  <si>
    <t>[300]</t>
  </si>
  <si>
    <t>神灯王子攻击有&lt;color=#54b76b&gt;15%&lt;/color&gt;概率使全体梦灵获得：下次充能加速&lt;color=#54b76b&gt;+300%&lt;/color&gt;</t>
  </si>
  <si>
    <t>唐小僧符文</t>
  </si>
  <si>
    <t>[1140100]</t>
  </si>
  <si>
    <t>[5304269]</t>
  </si>
  <si>
    <t>唐小僧[符咒]消失时爆炸，造成&lt;color=#54b76b&gt;20%&lt;/color&gt;伤害</t>
  </si>
  <si>
    <t>[5305269]</t>
  </si>
  <si>
    <t>唐小僧[符咒]消失时爆炸，造成&lt;color=#54b76b&gt;28%&lt;/color&gt;伤害</t>
  </si>
  <si>
    <t>[5306269]</t>
  </si>
  <si>
    <t>唐小僧[符咒]消失时爆炸，造成&lt;color=#54b76b&gt;36%&lt;/color&gt;伤害</t>
  </si>
  <si>
    <t>[5307269]</t>
  </si>
  <si>
    <t>唐小僧[符咒]消失时爆炸，造成&lt;color=#54b76b&gt;45%&lt;/color&gt;伤害</t>
  </si>
  <si>
    <t>[5304270]</t>
  </si>
  <si>
    <t>唐小僧攻击被&lt;color=#54b76b&gt;[控制]&lt;/color&gt;的目标时，暴击率&lt;color=#54b76b&gt;+8%&lt;/color&gt;</t>
  </si>
  <si>
    <t>[5305270]</t>
  </si>
  <si>
    <t>唐小僧攻击被&lt;color=#54b76b&gt;[控制]&lt;/color&gt;的目标时，暴击率&lt;color=#54b76b&gt;+10%&lt;/color&gt;</t>
  </si>
  <si>
    <t>[5306270]</t>
  </si>
  <si>
    <t>唐小僧攻击被&lt;color=#54b76b&gt;[控制]&lt;/color&gt;的目标时，暴击率&lt;color=#54b76b&gt;+12%&lt;/color&gt;</t>
  </si>
  <si>
    <t>[5307270]</t>
  </si>
  <si>
    <t>唐小僧攻击被&lt;color=#54b76b&gt;[控制]&lt;/color&gt;的目标时，暴击率&lt;color=#54b76b&gt;+14%&lt;/color&gt;</t>
  </si>
  <si>
    <t>[5304271]</t>
  </si>
  <si>
    <t>唐小僧[木鱼]释放时&lt;color=#54b76b&gt;20%&lt;/color&gt;几率数量&lt;color=#54b76b&gt;+1&lt;/color&gt;</t>
  </si>
  <si>
    <t>[5305271]</t>
  </si>
  <si>
    <t>唐小僧[木鱼]释放时&lt;color=#54b76b&gt;28%&lt;/color&gt;几率数量&lt;color=#54b76b&gt;+1&lt;/color&gt;</t>
  </si>
  <si>
    <t>[5306271]</t>
  </si>
  <si>
    <t>唐小僧[木鱼]释放时&lt;color=#54b76b&gt;35%&lt;/color&gt;几率数量&lt;color=#54b76b&gt;+1&lt;/color&gt;</t>
  </si>
  <si>
    <t>[5307271]</t>
  </si>
  <si>
    <t>唐小僧[木鱼]释放时&lt;color=#54b76b&gt;45%&lt;/color&gt;几率数量&lt;color=#54b76b&gt;+1&lt;/color&gt;</t>
  </si>
  <si>
    <t>蜘蛛女皇符文</t>
  </si>
  <si>
    <t>[1430700]</t>
  </si>
  <si>
    <t>[5304273]</t>
  </si>
  <si>
    <t>蜘蛛女皇的地刺叠加&lt;color=#54b76b&gt;1层&lt;/color&gt;中毒</t>
  </si>
  <si>
    <t>[5305273]</t>
  </si>
  <si>
    <t>蜘蛛女皇的地刺叠加&lt;color=#54b76b&gt;1层&lt;/color&gt;中毒（&lt;color=#54b76b&gt;40%&lt;/color&gt;概率2层）</t>
  </si>
  <si>
    <t>[5306273]</t>
  </si>
  <si>
    <t>蜘蛛女皇的地刺叠加&lt;color=#54b76b&gt;1层&lt;/color&gt;中毒（&lt;color=#54b76b&gt;70%&lt;/color&gt;概率2层）</t>
  </si>
  <si>
    <t>[5307273]</t>
  </si>
  <si>
    <t>蜘蛛女皇的地刺叠加&lt;color=#54b76b&gt;2层&lt;/color&gt;中毒</t>
  </si>
  <si>
    <t>[5304274]</t>
  </si>
  <si>
    <t>蜘蛛女皇对目标有&lt;color=#54b76b&gt;30%&lt;/color&gt;几率释放蜘蛛网，减速&lt;color=#54b76b&gt;30%&lt;/color&gt;，&lt;color=#54b76b&gt;2秒&lt;/color&gt;</t>
  </si>
  <si>
    <t>[5305274]</t>
  </si>
  <si>
    <t>蜘蛛女皇对目标有&lt;color=#54b76b&gt;30%&lt;/color&gt;几率释放蜘蛛网，减速&lt;color=#54b76b&gt;40%&lt;/color&gt;，&lt;color=#54b76b&gt;2秒&lt;/color&gt;</t>
  </si>
  <si>
    <t>[5306274]</t>
  </si>
  <si>
    <t>蜘蛛女皇对目标有&lt;color=#54b76b&gt;30%&lt;/color&gt;几率释放蜘蛛网，减速&lt;color=#54b76b&gt;50%&lt;/color&gt;，&lt;color=#54b76b&gt;2秒&lt;/color&gt;</t>
  </si>
  <si>
    <t>[5307274]</t>
  </si>
  <si>
    <t>蜘蛛女皇对目标有&lt;color=#54b76b&gt;30%&lt;/color&gt;几率释放蜘蛛网，减速&lt;color=#54b76b&gt;60%&lt;/color&gt;，&lt;color=#54b76b&gt;2秒&lt;/color&gt;</t>
  </si>
  <si>
    <t>[{dot_hit_rate,2000},{drug_ignore_red,2000}]</t>
  </si>
  <si>
    <t>蜘蛛女皇的中毒伤害&lt;color=#54b76b&gt;+20%&lt;/color&gt;，忽视中毒抗性&lt;color=#54b76b&gt;+20%&lt;/color&gt;</t>
  </si>
  <si>
    <t>[{dot_hit_rate,2800},{drug_ignore_red,2000}]</t>
  </si>
  <si>
    <t>蜘蛛女皇的中毒伤害&lt;color=#54b76b&gt;+28%&lt;/color&gt;，忽视中毒抗性&lt;color=#54b76b&gt;+20%&lt;/color&gt;</t>
  </si>
  <si>
    <t>[{dot_hit_rate,3600},{drug_ignore_red,2000}]</t>
  </si>
  <si>
    <t>蜘蛛女皇的中毒伤害&lt;color=#54b76b&gt;+36%&lt;/color&gt;，忽视中毒抗性&lt;color=#54b76b&gt;+20%&lt;/color&gt;</t>
  </si>
  <si>
    <t>[{dot_hit_rate,4500},{drug_ignore_red,2000}]</t>
  </si>
  <si>
    <t>蜘蛛女皇的中毒伤害&lt;color=#54b76b&gt;+45%&lt;/color&gt;，忽视中毒抗性&lt;color=#54b76b&gt;+20%&lt;/color&gt;</t>
  </si>
  <si>
    <t>红色梦灵(5,6,7)-(8档)↓</t>
  </si>
  <si>
    <t>海拉符文</t>
  </si>
  <si>
    <t>[1410200]</t>
  </si>
  <si>
    <t>[5304277]</t>
  </si>
  <si>
    <t>海拉释放奥义后，下次攻击&lt;color=#54b76b&gt;40%&lt;/color&gt;概率灵魂&lt;color=#54b76b&gt;+10&lt;/color&gt;层</t>
  </si>
  <si>
    <t>[5305277]</t>
  </si>
  <si>
    <t>海拉释放强化普攻后，下次普攻有&lt;color=#54b76b&gt;25%&lt;/color&gt;概率灵魂&lt;color=#54b76b&gt;+30&lt;/color&gt;层灵魂</t>
  </si>
  <si>
    <t>[5306277]</t>
  </si>
  <si>
    <t>海拉释放强化普攻后，下次普攻有&lt;color=#54b76b&gt;30%&lt;/color&gt;概率灵魂&lt;color=#54b76b&gt;+30&lt;/color&gt;层灵魂</t>
  </si>
  <si>
    <t>[5307277]</t>
  </si>
  <si>
    <t>海拉释放强化普攻后，下次普攻有&lt;color=#54b76b&gt;35%&lt;/color&gt;概率灵魂&lt;color=#54b76b&gt;+30&lt;/color&gt;层灵魂</t>
  </si>
  <si>
    <t>[5304278]</t>
  </si>
  <si>
    <t>海拉每获得1层灵魂，攻速&lt;color=#54b76b&gt;+3%&lt;/color&gt;</t>
  </si>
  <si>
    <t>[5305278]</t>
  </si>
  <si>
    <t>海拉每获得1层灵魂，攻速&lt;color=#54b76b&gt;+4%&lt;/color&gt;</t>
  </si>
  <si>
    <t>[5306278]</t>
  </si>
  <si>
    <t>海拉每获得1层灵魂，攻速&lt;color=#54b76b&gt;+6%&lt;/color&gt;</t>
  </si>
  <si>
    <t>[5307278]</t>
  </si>
  <si>
    <t>海拉每获得1层灵魂，攻速&lt;color=#54b76b&gt;+8%&lt;/color&gt;</t>
  </si>
  <si>
    <t>[5304279]</t>
  </si>
  <si>
    <t>海拉每层【灵魂】伤害加成效果提升&lt;color=#54b76b&gt;80%&lt;/color&gt;</t>
  </si>
  <si>
    <t>[5305279]</t>
  </si>
  <si>
    <t>海拉每层[灵魂]使伤害&lt;color=#54b76b&gt;+2%&lt;/color&gt;</t>
  </si>
  <si>
    <t>[5306279]</t>
  </si>
  <si>
    <t>[2.5]</t>
  </si>
  <si>
    <t>海拉每层[灵魂]使伤害&lt;color=#54b76b&gt;+2.5%&lt;/color&gt;</t>
  </si>
  <si>
    <t>[5307279]</t>
  </si>
  <si>
    <t>海拉每层[灵魂]使伤害&lt;color=#54b76b&gt;+3%&lt;/color&gt;</t>
  </si>
  <si>
    <t>后羿符文</t>
  </si>
  <si>
    <t>[1530200]</t>
  </si>
  <si>
    <t>[5304281]</t>
  </si>
  <si>
    <t>后羿每次命中敌人有&lt;color=#54b76b&gt;25%&lt;/color&gt;几率分出一支射向怪物的箭</t>
  </si>
  <si>
    <t>[5305281]</t>
  </si>
  <si>
    <t>后羿每次命中敌人有&lt;color=#54b76b&gt;35%&lt;/color&gt;几率分出一支射向怪物的箭</t>
  </si>
  <si>
    <t>[5306281]</t>
  </si>
  <si>
    <t>后羿每次命中敌人有&lt;color=#54b76b&gt;50%&lt;/color&gt;几率分出一支射向怪物的箭</t>
  </si>
  <si>
    <t>[5307281]</t>
  </si>
  <si>
    <t>后羿每次命中敌人有&lt;color=#54b76b&gt;75%&lt;/color&gt;几率分出一支射向怪物的箭</t>
  </si>
  <si>
    <t>[5304282]</t>
  </si>
  <si>
    <t>[250]</t>
  </si>
  <si>
    <t>后羿充能后提高&lt;color=#54b76b&gt;250%&lt;/color&gt;攻速，持续3s</t>
  </si>
  <si>
    <t>[5305282]</t>
  </si>
  <si>
    <t>[350]</t>
  </si>
  <si>
    <t>后羿充能后提高&lt;color=#54b76b&gt;350%&lt;/color&gt;攻速，持续3s</t>
  </si>
  <si>
    <t>[5306282]</t>
  </si>
  <si>
    <t>[450]</t>
  </si>
  <si>
    <t>后羿充能后提高&lt;color=#54b76b&gt;450%&lt;/color&gt;攻速，持续3s</t>
  </si>
  <si>
    <t>[5307282]</t>
  </si>
  <si>
    <t>[550]</t>
  </si>
  <si>
    <t>后羿充能后提高&lt;color=#54b76b&gt;550%&lt;/color&gt;攻速，持续3s</t>
  </si>
  <si>
    <t>[5304283]</t>
  </si>
  <si>
    <t>后羿添加喉咙上火标记时&lt;color=#54b76b&gt;50%&lt;/color&gt;几率立即叠满</t>
  </si>
  <si>
    <t>[5305283]</t>
  </si>
  <si>
    <t>后羿添加喉咙上火标记时&lt;color=#54b76b&gt;70%&lt;/color&gt;几率立即叠满</t>
  </si>
  <si>
    <t>[5306283]</t>
  </si>
  <si>
    <t>[85]</t>
  </si>
  <si>
    <t>后羿添加喉咙上火标记时&lt;color=#54b76b&gt;85%&lt;/color&gt;几率立即叠满</t>
  </si>
  <si>
    <t>[5307283]</t>
  </si>
  <si>
    <t>后羿添加喉咙上火标记时&lt;color=#54b76b&gt;100%&lt;/color&gt;几率立即叠满</t>
  </si>
  <si>
    <t>诸葛符文</t>
  </si>
  <si>
    <t>[1420300]</t>
  </si>
  <si>
    <t>[5304285]</t>
  </si>
  <si>
    <t>诸葛奥义会对怪物追击最大生命值&lt;color=#54b76b&gt;6%&lt;/color&gt;的血量伤害（不超过1200%攻击力）</t>
  </si>
  <si>
    <t>[5305285]</t>
  </si>
  <si>
    <t>诸葛奥义会对怪物追击最大生命值&lt;color=#54b76b&gt;8%&lt;/color&gt;的血量伤害（不超过1600%攻击力）</t>
  </si>
  <si>
    <t>[5306285]</t>
  </si>
  <si>
    <t>诸葛奥义会对怪物追击最大生命值&lt;color=#54b76b&gt;10%&lt;/color&gt;的血量伤害（不超过2000%攻击力）</t>
  </si>
  <si>
    <t>[5307285]</t>
  </si>
  <si>
    <t>诸葛奥义会对怪物追击最大生命值&lt;color=#54b76b&gt;12%&lt;/color&gt;的血量伤害（不超过2500%攻击力）</t>
  </si>
  <si>
    <t>[5304286]</t>
  </si>
  <si>
    <t>[155]</t>
  </si>
  <si>
    <t>诸葛龙卷的暴击伤害在80%~&lt;color=#54b76b&gt;155%&lt;/color&gt;之间波动</t>
  </si>
  <si>
    <t>[5305286]</t>
  </si>
  <si>
    <t>[165]</t>
  </si>
  <si>
    <t>诸葛龙卷的暴击伤害在80%~&lt;color=#54b76b&gt;165%&lt;/color&gt;之间波动</t>
  </si>
  <si>
    <t>[5306286]</t>
  </si>
  <si>
    <t>[175]</t>
  </si>
  <si>
    <t>诸葛龙卷的暴击伤害在80%~&lt;color=#54b76b&gt;175%&lt;/color&gt;之间波动</t>
  </si>
  <si>
    <t>[5307286]</t>
  </si>
  <si>
    <t>[185]</t>
  </si>
  <si>
    <t>诸葛龙卷的暴击伤害在80%~&lt;color=#54b76b&gt;185%&lt;/color&gt;之间波动</t>
  </si>
  <si>
    <t>[5304287]</t>
  </si>
  <si>
    <t>[0.07]</t>
  </si>
  <si>
    <t>诸葛奥义每击杀1个敌人会延长下次奥义持续时间&lt;color=#54b76b&gt;0.07&lt;/color&gt;秒，上限3秒</t>
  </si>
  <si>
    <t>[5305287]</t>
  </si>
  <si>
    <t>[0.1]</t>
  </si>
  <si>
    <t>诸葛奥义每击杀1个敌人会延长下次奥义持续时间&lt;color=#54b76b&gt;0.1&lt;/color&gt;秒，上限3.5秒</t>
  </si>
  <si>
    <t>[5306287]</t>
  </si>
  <si>
    <t>[0.13]</t>
  </si>
  <si>
    <t>诸葛奥义每击杀1个敌人会延长下次奥义持续时间&lt;color=#54b76b&gt;0.13&lt;/color&gt;秒，上限4秒</t>
  </si>
  <si>
    <t>[5307287]</t>
  </si>
  <si>
    <t>[0.16]</t>
  </si>
  <si>
    <t>诸葛奥义每击杀1个敌人会延长下次奥义持续时间&lt;color=#54b76b&gt;0.16&lt;/color&gt;秒，上限5秒</t>
  </si>
  <si>
    <t>[1130200]</t>
  </si>
  <si>
    <t>[5304294]</t>
  </si>
  <si>
    <t>我爱沙守鹤击杀敌人，恢复自身&lt;color=#31921E&gt;0.5%&lt;/color&gt;最大生命，持续时间&lt;color=#31921E&gt;+0.5&lt;/color&gt;秒，最多增加&lt;color=#31921E&gt;2.5&lt;/color&gt;秒</t>
  </si>
  <si>
    <t>[5305294]</t>
  </si>
  <si>
    <t>我爱沙守鹤击杀敌人，恢复自身&lt;color=#31921E&gt;1%&lt;/color&gt;最大生命，持续时间&lt;color=#31921E&gt;+0.5&lt;/color&gt;秒，最多增加&lt;color=#31921E&gt;5&lt;/color&gt;秒</t>
  </si>
  <si>
    <t>[5306294]</t>
  </si>
  <si>
    <t>我爱沙守鹤击杀敌人，恢复自身&lt;color=#31921E&gt;1%&lt;/color&gt;最大生命，持续时间&lt;color=#31921E&gt;1&lt;/color&gt;秒，最多增加&lt;color=#31921E&gt;8&lt;/color&gt;秒</t>
  </si>
  <si>
    <t>[5307294]</t>
  </si>
  <si>
    <t>我爱沙守鹤击杀敌人，恢复自身&lt;color=#31921E&gt;1.5%&lt;/color&gt;最大生命，持续时间&lt;color=#31921E&gt;1&lt;/color&gt;秒，最多增加&lt;color=#31921E&gt;10&lt;/color&gt;秒</t>
  </si>
  <si>
    <t>[5304295]</t>
  </si>
  <si>
    <t>我爱沙陷流之沙的护盾效果&lt;color=#31921E&gt;+25%&lt;/color&gt;</t>
  </si>
  <si>
    <t>[5305295]</t>
  </si>
  <si>
    <t>我爱沙陷流之沙的护盾效果&lt;color=#31921E&gt;+35%&lt;/color&gt;</t>
  </si>
  <si>
    <t>[5306295]</t>
  </si>
  <si>
    <t>我爱沙陷流之沙的护盾效果&lt;color=#31921E&gt;+45%&lt;/color&gt;</t>
  </si>
  <si>
    <t>[5307295]</t>
  </si>
  <si>
    <t>我爱沙陷流之沙的护盾效果&lt;color=#31921E&gt;+55%&lt;/color&gt;</t>
  </si>
  <si>
    <t>[5304296]</t>
  </si>
  <si>
    <t>我爱沙陷流之沙的沙环伤害&lt;color=#31921E&gt;+25%&lt;/color&gt;</t>
  </si>
  <si>
    <t>[5305296]</t>
  </si>
  <si>
    <t>我爱沙陷流之沙的沙环伤害&lt;color=#31921E&gt;+35%&lt;/color&gt;</t>
  </si>
  <si>
    <t>[5306296]</t>
  </si>
  <si>
    <t>我爱沙陷流之沙的沙环伤害&lt;color=#31921E&gt;+45%&lt;/color&gt;</t>
  </si>
  <si>
    <t>[5307296]</t>
  </si>
  <si>
    <t>我爱沙陷流之沙的沙环伤害&lt;color=#31921E&gt;+55%&lt;/color&gt;</t>
  </si>
  <si>
    <t>妲己符文</t>
  </si>
  <si>
    <t>[1120100]</t>
  </si>
  <si>
    <t>[5304289]</t>
  </si>
  <si>
    <t>[1200]</t>
  </si>
  <si>
    <t>妲己狂热粉丝解除魅惑时, 会受到妲己&lt;color=#54b76b&gt;1200%&lt;/color&gt;攻击力的伤害</t>
  </si>
  <si>
    <t>[5305289]</t>
  </si>
  <si>
    <t>[1600]</t>
  </si>
  <si>
    <t>妲己狂热粉丝解除魅惑时, 会受到妲己&lt;color=#54b76b&gt;1600%&lt;/color&gt;攻击力的伤害</t>
  </si>
  <si>
    <t>[5306289]</t>
  </si>
  <si>
    <t>[2000]</t>
  </si>
  <si>
    <t>妲己狂热粉丝解除魅惑时, 会受到妲己&lt;color=#54b76b&gt;2000%&lt;/color&gt;攻击力的伤害</t>
  </si>
  <si>
    <t>[5307289]</t>
  </si>
  <si>
    <t>[2400]</t>
  </si>
  <si>
    <t>妲己狂热粉丝解除魅惑时, 会受到妲己&lt;color=#54b76b&gt;2400%&lt;/color&gt;攻击力的伤害</t>
  </si>
  <si>
    <t>[5304290]</t>
  </si>
  <si>
    <t>妲己每次普攻有&lt;color=#54b76b&gt;25%&lt;/color&gt;概率使下次普攻直接变成强化狐火</t>
  </si>
  <si>
    <t>[5305290]</t>
  </si>
  <si>
    <t>妲己每次普攻有&lt;color=#54b76b&gt;35%&lt;/color&gt;概率使下次普攻直接变成强化狐火</t>
  </si>
  <si>
    <t>[5306290]</t>
  </si>
  <si>
    <t>妲己每次普攻有&lt;color=#54b76b&gt;45%&lt;/color&gt;概率使下次普攻直接变成强化狐火</t>
  </si>
  <si>
    <t>[5307290]</t>
  </si>
  <si>
    <t>妲己每次普攻有&lt;color=#54b76b&gt;55%&lt;/color&gt;概率使下次普攻直接变成强化狐火</t>
  </si>
  <si>
    <t>[5304291]</t>
  </si>
  <si>
    <t>妲己狐火持续时间&lt;color=#54b76b&gt;+1&lt;/color&gt;秒,若狐火击杀敌人则有&lt;color=#54b76b&gt;55%&lt;/color&gt;概率使本次狐火弹射+&lt;color=#54b76b&gt;1&lt;/color&gt;</t>
  </si>
  <si>
    <t>[5305291]</t>
  </si>
  <si>
    <t>妲己狐火持续时间&lt;color=#54b76b&gt;+1&lt;/color&gt;秒,若狐火击杀敌人则有&lt;color=#54b76b&gt;70%&lt;/color&gt;概率使本次狐火弹射+&lt;color=#54b76b&gt;1&lt;/color&gt;</t>
  </si>
  <si>
    <t>[5306291]</t>
  </si>
  <si>
    <t>妲己狐火持续时间&lt;color=#54b76b&gt;+2&lt;/color&gt;秒,若狐火击杀敌人则有&lt;color=#54b76b&gt;85%&lt;/color&gt;概率使本次狐火弹射+&lt;color=#54b76b&gt;1&lt;/color&gt;</t>
  </si>
  <si>
    <t>[5307291]</t>
  </si>
  <si>
    <t>妲己狐火持续时间&lt;color=#54b76b&gt;+3&lt;/color&gt;秒,若狐火击杀敌人则有&lt;color=#54b76b&gt;100%&lt;/color&gt;概率使本次狐火弹射+&lt;color=#54b76b&gt;1&lt;/color&gt;</t>
  </si>
  <si>
    <t>[{1,320}]</t>
  </si>
  <si>
    <t>攻击力&lt;color=#54b76b&gt;+20&lt;/color&gt;</t>
  </si>
  <si>
    <t>攻击力&lt;color=#54b76b&gt;+30&lt;/color&gt;</t>
  </si>
  <si>
    <t>攻击力&lt;color=#54b76b&gt;+40&lt;/color&gt;</t>
  </si>
  <si>
    <t>攻击力&lt;color=#54b76b&gt;+50&lt;/color&gt;</t>
  </si>
  <si>
    <t>[{1,180}]</t>
  </si>
  <si>
    <t>攻击力&lt;color=#54b76b&gt;+64&lt;/color&gt;</t>
  </si>
  <si>
    <t>[64]</t>
  </si>
  <si>
    <t>[{1,150}]</t>
  </si>
  <si>
    <t>攻击力&lt;color=#54b76b&gt;+80&lt;/color&gt;</t>
  </si>
  <si>
    <t>[{1,100}]</t>
  </si>
  <si>
    <t>攻击力&lt;color=#54b76b&gt;+100&lt;/color&gt;</t>
  </si>
  <si>
    <t>射手职业攻击力&lt;color=#54b76b&gt;+30&lt;/color&gt;</t>
  </si>
  <si>
    <t>射手职业攻击力&lt;color=#54b76b&gt;+40&lt;/color&gt;</t>
  </si>
  <si>
    <t>射手职业攻击力&lt;color=#54b76b&gt;+50&lt;/color&gt;</t>
  </si>
  <si>
    <t>射手职业攻击力&lt;color=#54b76b&gt;+75&lt;/color&gt;</t>
  </si>
  <si>
    <t>射手职业攻击力&lt;color=#54b76b&gt;+96&lt;/color&gt;</t>
  </si>
  <si>
    <t>[96]</t>
  </si>
  <si>
    <t>射手职业攻击力&lt;color=#54b76b&gt;+120&lt;/color&gt;</t>
  </si>
  <si>
    <t>射手职业攻击力&lt;color=#54b76b&gt;+150&lt;/color&gt;</t>
  </si>
  <si>
    <t>战士职业攻击力&lt;color=#54b76b&gt;+30&lt;/color&gt;</t>
  </si>
  <si>
    <t>战士职业攻击力&lt;color=#54b76b&gt;+40&lt;/color&gt;</t>
  </si>
  <si>
    <t>战士职业攻击力&lt;color=#54b76b&gt;+50&lt;/color&gt;</t>
  </si>
  <si>
    <t>战士职业攻击力&lt;color=#54b76b&gt;+75&lt;/color&gt;</t>
  </si>
  <si>
    <t>战士职业攻击力&lt;color=#54b76b&gt;+96&lt;/color&gt;</t>
  </si>
  <si>
    <t>战士职业攻击力&lt;color=#54b76b&gt;+120&lt;/color&gt;</t>
  </si>
  <si>
    <t>战士职业攻击力&lt;color=#54b76b&gt;+150&lt;/color&gt;</t>
  </si>
  <si>
    <t>法师职业攻击力&lt;color=#54b76b&gt;+30&lt;/color&gt;</t>
  </si>
  <si>
    <t>法师职业攻击力&lt;color=#54b76b&gt;+40&lt;/color&gt;</t>
  </si>
  <si>
    <t>法师职业攻击力&lt;color=#54b76b&gt;+50&lt;/color&gt;</t>
  </si>
  <si>
    <t>法师职业攻击力&lt;color=#54b76b&gt;+75&lt;/color&gt;</t>
  </si>
  <si>
    <t>法师职业攻击力&lt;color=#54b76b&gt;+96&lt;/color&gt;</t>
  </si>
  <si>
    <t>法师职业攻击力&lt;color=#54b76b&gt;+120&lt;/color&gt;</t>
  </si>
  <si>
    <t>法师职业攻击力&lt;color=#54b76b&gt;+150&lt;/color&gt;</t>
  </si>
  <si>
    <t>毒系职业攻击力&lt;color=#54b76b&gt;+30&lt;/color&gt;</t>
  </si>
  <si>
    <t>毒系职业攻击力&lt;color=#54b76b&gt;+40&lt;/color&gt;</t>
  </si>
  <si>
    <t>毒系职业攻击力&lt;color=#54b76b&gt;+50&lt;/color&gt;</t>
  </si>
  <si>
    <t>毒系职业攻击力&lt;color=#54b76b&gt;+75&lt;/color&gt;</t>
  </si>
  <si>
    <t>毒系职业攻击力&lt;color=#54b76b&gt;+96&lt;/color&gt;</t>
  </si>
  <si>
    <t>毒系职业攻击力&lt;color=#54b76b&gt;+120&lt;/color&gt;</t>
  </si>
  <si>
    <t>毒系职业攻击力&lt;color=#54b76b&gt;+150&lt;/color&gt;</t>
  </si>
  <si>
    <t>控制职业攻击力&lt;color=#54b76b&gt;+30&lt;/color&gt;</t>
  </si>
  <si>
    <t>控制职业攻击力&lt;color=#54b76b&gt;+40&lt;/color&gt;</t>
  </si>
  <si>
    <t>控制职业攻击力&lt;color=#54b76b&gt;+50&lt;/color&gt;</t>
  </si>
  <si>
    <t>控制职业攻击力&lt;color=#54b76b&gt;+75&lt;/color&gt;</t>
  </si>
  <si>
    <t>控制职业攻击力&lt;color=#54b76b&gt;+96&lt;/color&gt;</t>
  </si>
  <si>
    <t>控制职业攻击力&lt;color=#54b76b&gt;+120&lt;/color&gt;</t>
  </si>
  <si>
    <t>控制职业攻击力&lt;color=#54b76b&gt;+150&lt;/color&gt;</t>
  </si>
  <si>
    <t>召唤职业攻击力&lt;color=#54b76b&gt;+30&lt;/color&gt;</t>
  </si>
  <si>
    <t>召唤职业攻击力&lt;color=#54b76b&gt;+40&lt;/color&gt;</t>
  </si>
  <si>
    <t>召唤职业攻击力&lt;color=#54b76b&gt;+50&lt;/color&gt;</t>
  </si>
  <si>
    <t>召唤职业攻击力&lt;color=#54b76b&gt;+75&lt;/color&gt;</t>
  </si>
  <si>
    <t>召唤职业攻击力&lt;color=#54b76b&gt;+96&lt;/color&gt;</t>
  </si>
  <si>
    <t>召唤职业攻击力&lt;color=#54b76b&gt;+120&lt;/color&gt;</t>
  </si>
  <si>
    <t>召唤职业攻击力&lt;color=#54b76b&gt;+150&lt;/color&gt;</t>
  </si>
  <si>
    <t>[5303107]</t>
  </si>
  <si>
    <t>队长技能冷却缩短&lt;color=#54b76b&gt;20%&lt;/color&gt;</t>
  </si>
  <si>
    <t>[5304107]</t>
  </si>
  <si>
    <t>队长技能冷却缩短&lt;color=#54b76b&gt;25%&lt;/color&gt;</t>
  </si>
  <si>
    <t>[5305107]</t>
  </si>
  <si>
    <t>队长技能冷却缩短&lt;color=#54b76b&gt;30%&lt;/color&gt;</t>
  </si>
  <si>
    <t>[5306107]</t>
  </si>
  <si>
    <t>队长技能冷却缩短&lt;color=#54b76b&gt;35%&lt;/color&gt;</t>
  </si>
  <si>
    <t>[5307107]</t>
  </si>
  <si>
    <t>队长技能冷却缩短&lt;color=#54b76b&gt;40%&lt;/color&gt;</t>
  </si>
  <si>
    <t>[{2,400}]</t>
  </si>
  <si>
    <t>队长和梦灵伤害&lt;color=#54b76b&gt;+4%&lt;/color&gt;</t>
  </si>
  <si>
    <t>[{2,500}]</t>
  </si>
  <si>
    <t>队长和梦灵伤害&lt;color=#54b76b&gt;+5%&lt;/color&gt;</t>
  </si>
  <si>
    <t>[{2,600}]</t>
  </si>
  <si>
    <t>队长和梦灵伤害&lt;color=#54b76b&gt;+6%&lt;/color&gt;</t>
  </si>
  <si>
    <t>[{2,800}]</t>
  </si>
  <si>
    <t>队长和梦灵伤害&lt;color=#54b76b&gt;+8%&lt;/color&gt;</t>
  </si>
  <si>
    <t>[{2,1000}]</t>
  </si>
  <si>
    <t>队长和梦灵伤害&lt;color=#54b76b&gt;+10%&lt;/color&gt;</t>
  </si>
  <si>
    <t>[{2,1200}]</t>
  </si>
  <si>
    <t>队长和梦灵伤害&lt;color=#54b76b&gt;+12%&lt;/color&gt;</t>
  </si>
  <si>
    <t>队长伤害&lt;color=#54b76b&gt;+10%&lt;/color&gt;</t>
  </si>
  <si>
    <t>队长伤害&lt;color=#54b76b&gt;+15%&lt;/color&gt;</t>
  </si>
  <si>
    <t>队长伤害&lt;color=#54b76b&gt;+20%&lt;/color&gt;</t>
  </si>
  <si>
    <t>队长伤害&lt;color=#54b76b&gt;+25%&lt;/color&gt;</t>
  </si>
  <si>
    <t>队长伤害&lt;color=#54b76b&gt;+32%&lt;/color&gt;</t>
  </si>
  <si>
    <t>队长伤害&lt;color=#54b76b&gt;+40%&lt;/color&gt;</t>
  </si>
  <si>
    <t>队长伤害&lt;color=#54b76b&gt;+50%&lt;/color&gt;</t>
  </si>
  <si>
    <t>队长暴击率&lt;color=#54b76b&gt;+3%&lt;/color&gt;</t>
  </si>
  <si>
    <t>队长暴击率&lt;color=#54b76b&gt;+4%&lt;/color&gt;</t>
  </si>
  <si>
    <t>队长暴击率&lt;color=#54b76b&gt;+5%&lt;/color&gt;</t>
  </si>
  <si>
    <t>队长暴击率&lt;color=#54b76b&gt;+6%&lt;/color&gt;</t>
  </si>
  <si>
    <t>队长暴击率&lt;color=#54b76b&gt;+7%&lt;/color&gt;</t>
  </si>
  <si>
    <t>战士职业伤害&lt;color=#54b76b&gt;+4%&lt;/color&gt;</t>
  </si>
  <si>
    <t>战士职业伤害&lt;color=#54b76b&gt;+6%&lt;/color&gt;</t>
  </si>
  <si>
    <t>战士职业伤害&lt;color=#54b76b&gt;+8%&lt;/color&gt;</t>
  </si>
  <si>
    <t>战士职业伤害&lt;color=#54b76b&gt;+10%&lt;/color&gt;</t>
  </si>
  <si>
    <t>[{2,1250}]</t>
  </si>
  <si>
    <t>战士职业伤害&lt;color=#54b76b&gt;+12.5%&lt;/color&gt;</t>
  </si>
  <si>
    <t>[12.5]</t>
  </si>
  <si>
    <t>[{2,1500}]</t>
  </si>
  <si>
    <t>战士职业伤害&lt;color=#54b76b&gt;+15%&lt;/color&gt;</t>
  </si>
  <si>
    <t>[{2,2000}]</t>
  </si>
  <si>
    <t>战士职业伤害&lt;color=#54b76b&gt;+20%&lt;/color&gt;</t>
  </si>
  <si>
    <t>射手职业伤害&lt;color=#54b76b&gt;+4%&lt;/color&gt;</t>
  </si>
  <si>
    <t>射手职业伤害&lt;color=#54b76b&gt;+6%&lt;/color&gt;</t>
  </si>
  <si>
    <t>射手职业伤害&lt;color=#54b76b&gt;+8%&lt;/color&gt;</t>
  </si>
  <si>
    <t>射手职业伤害&lt;color=#54b76b&gt;+10%&lt;/color&gt;</t>
  </si>
  <si>
    <t>射手职业伤害&lt;color=#54b76b&gt;+12.5%&lt;/color&gt;</t>
  </si>
  <si>
    <t>射手职业伤害&lt;color=#54b76b&gt;+15%&lt;/color&gt;</t>
  </si>
  <si>
    <t>射手职业伤害&lt;color=#54b76b&gt;+20%&lt;/color&gt;</t>
  </si>
  <si>
    <t>法师职业伤害&lt;color=#54b76b&gt;+4%&lt;/color&gt;</t>
  </si>
  <si>
    <t>法师职业伤害&lt;color=#54b76b&gt;+6%&lt;/color&gt;</t>
  </si>
  <si>
    <t>法师职业伤害&lt;color=#54b76b&gt;+8%&lt;/color&gt;</t>
  </si>
  <si>
    <t>法师职业伤害&lt;color=#54b76b&gt;+10%&lt;/color&gt;</t>
  </si>
  <si>
    <t>法师职业伤害&lt;color=#54b76b&gt;+12.5%&lt;/color&gt;</t>
  </si>
  <si>
    <t>法师职业伤害&lt;color=#54b76b&gt;+15%&lt;/color&gt;</t>
  </si>
  <si>
    <t>法师职业伤害&lt;color=#54b76b&gt;+20%&lt;/color&gt;</t>
  </si>
  <si>
    <t>毒系职业伤害&lt;color=#54b76b&gt;+4%&lt;/color&gt;</t>
  </si>
  <si>
    <t>毒系职业伤害&lt;color=#54b76b&gt;+6%&lt;/color&gt;</t>
  </si>
  <si>
    <t>毒系职业伤害&lt;color=#54b76b&gt;+8%&lt;/color&gt;</t>
  </si>
  <si>
    <t>毒系职业伤害&lt;color=#54b76b&gt;+10%&lt;/color&gt;</t>
  </si>
  <si>
    <t>毒系职业伤害&lt;color=#54b76b&gt;+12.5%&lt;/color&gt;</t>
  </si>
  <si>
    <t>毒系职业伤害&lt;color=#54b76b&gt;+15%&lt;/color&gt;</t>
  </si>
  <si>
    <t>毒系职业伤害&lt;color=#54b76b&gt;+20%&lt;/color&gt;</t>
  </si>
  <si>
    <t>控制职业伤害&lt;color=#54b76b&gt;+4%&lt;/color&gt;</t>
  </si>
  <si>
    <t>控制职业伤害&lt;color=#54b76b&gt;+6%&lt;/color&gt;</t>
  </si>
  <si>
    <t>控制职业伤害&lt;color=#54b76b&gt;+8%&lt;/color&gt;</t>
  </si>
  <si>
    <t>控制职业伤害&lt;color=#54b76b&gt;+10%&lt;/color&gt;</t>
  </si>
  <si>
    <t>控制职业伤害&lt;color=#54b76b&gt;+12.5%&lt;/color&gt;</t>
  </si>
  <si>
    <t>控制职业伤害&lt;color=#54b76b&gt;+15%&lt;/color&gt;</t>
  </si>
  <si>
    <t>控制职业伤害&lt;color=#54b76b&gt;+20%&lt;/color&gt;</t>
  </si>
  <si>
    <t>召唤职业伤害&lt;color=#54b76b&gt;+4%&lt;/color&gt;</t>
  </si>
  <si>
    <t>召唤职业伤害&lt;color=#54b76b&gt;+6%&lt;/color&gt;</t>
  </si>
  <si>
    <t>召唤职业伤害&lt;color=#54b76b&gt;+8%&lt;/color&gt;</t>
  </si>
  <si>
    <t>召唤职业伤害&lt;color=#54b76b&gt;+10%&lt;/color&gt;</t>
  </si>
  <si>
    <t>召唤职业伤害&lt;color=#54b76b&gt;+12.5%&lt;/color&gt;</t>
  </si>
  <si>
    <t>召唤职业伤害&lt;color=#54b76b&gt;+15%&lt;/color&gt;</t>
  </si>
  <si>
    <t>召唤职业伤害&lt;color=#54b76b&gt;+20%&lt;/color&gt;</t>
  </si>
  <si>
    <t>[{3,500}]</t>
  </si>
  <si>
    <t>对远程怪物伤害&lt;color=#54b76b&gt;+10%&lt;/color&gt;</t>
  </si>
  <si>
    <t>[{3,750}]</t>
  </si>
  <si>
    <t>对远程怪物伤害&lt;color=#54b76b&gt;+15%&lt;/color&gt;</t>
  </si>
  <si>
    <t>[{3,1000}]</t>
  </si>
  <si>
    <t>对远程怪物伤害&lt;color=#54b76b&gt;+20%&lt;/color&gt;</t>
  </si>
  <si>
    <t>[{3,1250}]</t>
  </si>
  <si>
    <t>对远程怪物伤害&lt;color=#54b76b&gt;+25%&lt;/color&gt;</t>
  </si>
  <si>
    <t>[{3,1600}]</t>
  </si>
  <si>
    <t>对远程怪物伤害&lt;color=#54b76b&gt;+32%&lt;/color&gt;</t>
  </si>
  <si>
    <t>[{3,2000}]</t>
  </si>
  <si>
    <t>对远程怪物伤害&lt;color=#54b76b&gt;+40%&lt;/color&gt;</t>
  </si>
  <si>
    <t>[{3,2500}]</t>
  </si>
  <si>
    <t>对远程怪物伤害&lt;color=#54b76b&gt;+50%&lt;/color&gt;</t>
  </si>
  <si>
    <t>对肉盾怪物伤害&lt;color=#54b76b&gt;+10%&lt;/color&gt;</t>
  </si>
  <si>
    <t>对肉盾怪物伤害&lt;color=#54b76b&gt;+15%&lt;/color&gt;</t>
  </si>
  <si>
    <t>对肉盾怪物伤害&lt;color=#54b76b&gt;+20%&lt;/color&gt;</t>
  </si>
  <si>
    <t>对肉盾怪物伤害&lt;color=#54b76b&gt;+25%&lt;/color&gt;</t>
  </si>
  <si>
    <t>对肉盾怪物伤害&lt;color=#54b76b&gt;+32%&lt;/color&gt;</t>
  </si>
  <si>
    <t>对肉盾怪物伤害&lt;color=#54b76b&gt;+40%&lt;/color&gt;</t>
  </si>
  <si>
    <t>对肉盾怪物伤害&lt;color=#54b76b&gt;+50%&lt;/color&gt;</t>
  </si>
  <si>
    <t>对高速怪物伤害&lt;color=#54b76b&gt;+10%&lt;/color&gt;</t>
  </si>
  <si>
    <t>对高速怪物伤害&lt;color=#54b76b&gt;+15%&lt;/color&gt;</t>
  </si>
  <si>
    <t>对高速怪物伤害&lt;color=#54b76b&gt;+20%&lt;/color&gt;</t>
  </si>
  <si>
    <t>对高速怪物伤害&lt;color=#54b76b&gt;+25%&lt;/color&gt;</t>
  </si>
  <si>
    <t>对高速怪物伤害&lt;color=#54b76b&gt;+32%&lt;/color&gt;</t>
  </si>
  <si>
    <t>对高速怪物伤害&lt;color=#54b76b&gt;+40%&lt;/color&gt;</t>
  </si>
  <si>
    <t>对高速怪物伤害&lt;color=#54b76b&gt;+50%&lt;/color&gt;</t>
  </si>
  <si>
    <t>[5301120]</t>
  </si>
  <si>
    <t>[{3,300}]</t>
  </si>
  <si>
    <t>对血量高于70%的怪物伤害&lt;color=#54b76b&gt;+10%&lt;/color&gt;</t>
  </si>
  <si>
    <t>[5302120]</t>
  </si>
  <si>
    <t>对血量高于70%的怪物伤害&lt;color=#54b76b&gt;+15%&lt;/color&gt;</t>
  </si>
  <si>
    <t>[5303120]</t>
  </si>
  <si>
    <t>[{3,666}]</t>
  </si>
  <si>
    <t>对血量高于70%的怪物伤害&lt;color=#54b76b&gt;+20%&lt;/color&gt;</t>
  </si>
  <si>
    <t>[5304120]</t>
  </si>
  <si>
    <t>[{3,833}]</t>
  </si>
  <si>
    <t>对血量高于70%的怪物伤害&lt;color=#54b76b&gt;+25%&lt;/color&gt;</t>
  </si>
  <si>
    <t>[5305120]</t>
  </si>
  <si>
    <t>[{3,1066}]</t>
  </si>
  <si>
    <t>对血量高于70%的怪物伤害&lt;color=#54b76b&gt;+32%&lt;/color&gt;</t>
  </si>
  <si>
    <t>[5306120]</t>
  </si>
  <si>
    <t>[{3,1333}]</t>
  </si>
  <si>
    <t>对血量高于70%的怪物伤害&lt;color=#54b76b&gt;+40%&lt;/color&gt;</t>
  </si>
  <si>
    <t>[5307120]</t>
  </si>
  <si>
    <t>[{3,1666}]</t>
  </si>
  <si>
    <t>对血量高于70%的怪物伤害&lt;color=#54b76b&gt;+50%&lt;/color&gt;</t>
  </si>
  <si>
    <t>[{global_max_hp,300}]</t>
  </si>
  <si>
    <t>梦灵血量&lt;color=#54b76b&gt;+300&lt;/color&gt;</t>
  </si>
  <si>
    <t>[{global_max_hp,500}]</t>
  </si>
  <si>
    <t>梦灵血量&lt;color=#54b76b&gt;+500&lt;/color&gt;</t>
  </si>
  <si>
    <t>[500]</t>
  </si>
  <si>
    <t>[{global_max_hp,800}]</t>
  </si>
  <si>
    <t>梦灵血量&lt;color=#54b76b&gt;+800&lt;/color&gt;</t>
  </si>
  <si>
    <t>[800]</t>
  </si>
  <si>
    <t>[{global_max_hp,1100}]</t>
  </si>
  <si>
    <t>梦灵血量&lt;color=#54b76b&gt;+1100&lt;/color&gt;</t>
  </si>
  <si>
    <t>[1100]</t>
  </si>
  <si>
    <t>[{global_max_hp,1500}]</t>
  </si>
  <si>
    <t>梦灵血量&lt;color=#54b76b&gt;+1500&lt;/color&gt;</t>
  </si>
  <si>
    <t>[1500]</t>
  </si>
  <si>
    <t>[5302122]</t>
  </si>
  <si>
    <t>远程怪物对梦灵造成伤害&lt;color=#54b76b&gt;-3%&lt;/color&gt;</t>
  </si>
  <si>
    <t>[5303122]</t>
  </si>
  <si>
    <t>远程怪物对梦灵造成伤害&lt;color=#54b76b&gt;-3.5%&lt;/color&gt;</t>
  </si>
  <si>
    <t>[3.5]</t>
  </si>
  <si>
    <t>[5304122]</t>
  </si>
  <si>
    <t>远程怪物对梦灵造成伤害&lt;color=#54b76b&gt;-4%&lt;/color&gt;</t>
  </si>
  <si>
    <t>[5305122]</t>
  </si>
  <si>
    <t>远程怪物对梦灵造成伤害&lt;color=#54b76b&gt;-4.5%&lt;/color&gt;</t>
  </si>
  <si>
    <t>[4.5]</t>
  </si>
  <si>
    <t>[5306122]</t>
  </si>
  <si>
    <t>远程怪物对梦灵造成伤害&lt;color=#54b76b&gt;-5%&lt;/color&gt;</t>
  </si>
  <si>
    <t>[5307122]</t>
  </si>
  <si>
    <t>远程怪物对梦灵造成伤害&lt;color=#54b76b&gt;-6%&lt;/color&gt;</t>
  </si>
  <si>
    <t>[2,6]</t>
  </si>
  <si>
    <t>[5301123]</t>
  </si>
  <si>
    <t>[{1001,600}]</t>
  </si>
  <si>
    <t>技能效果持续时间&lt;color=#54b76b&gt;+10%&lt;/color&gt;</t>
  </si>
  <si>
    <t>[5302123]</t>
  </si>
  <si>
    <t>[{1001,1200}]</t>
  </si>
  <si>
    <t>技能效果持续时间&lt;color=#54b76b&gt;+20%&lt;/color&gt;</t>
  </si>
  <si>
    <t>[5303123]</t>
  </si>
  <si>
    <t>[{1001,1800}]</t>
  </si>
  <si>
    <t>技能效果持续时间&lt;color=#54b76b&gt;+30%&lt;/color&gt;</t>
  </si>
  <si>
    <t>[5304123]</t>
  </si>
  <si>
    <t>[{1001,2400}]</t>
  </si>
  <si>
    <t>技能效果持续时间&lt;color=#54b76b&gt;+40%&lt;/color&gt;</t>
  </si>
  <si>
    <t>[5305123]</t>
  </si>
  <si>
    <t>[{1001,3000}]</t>
  </si>
  <si>
    <t>技能效果持续时间&lt;color=#54b76b&gt;+50%&lt;/color&gt;</t>
  </si>
  <si>
    <t>[5306123]</t>
  </si>
  <si>
    <t>[{1001,3600}]</t>
  </si>
  <si>
    <t>技能效果持续时间&lt;color=#54b76b&gt;+60%&lt;/color&gt;</t>
  </si>
  <si>
    <t>[5307123]</t>
  </si>
  <si>
    <t>[{1001,4200}]</t>
  </si>
  <si>
    <t>技能效果持续时间&lt;color=#54b76b&gt;+70%&lt;/color&gt;</t>
  </si>
  <si>
    <t>[{global_dmg_rate,350}]</t>
  </si>
  <si>
    <t>梦灵伤害&lt;color=#54b76b&gt;+3.5%&lt;/color&gt;</t>
  </si>
  <si>
    <t>梦灵伤害&lt;color=#54b76b&gt;+5%&lt;/color&gt;</t>
  </si>
  <si>
    <t>梦灵伤害&lt;color=#54b76b&gt;+6%&lt;/color&gt;</t>
  </si>
  <si>
    <t>梦灵伤害&lt;color=#54b76b&gt;+8%&lt;/color&gt;</t>
  </si>
  <si>
    <t>梦灵伤害&lt;color=#54b76b&gt;+10%&lt;/color&gt;</t>
  </si>
  <si>
    <t>[{global_dmg_rate,1250}]</t>
  </si>
  <si>
    <t>梦灵伤害&lt;color=#54b76b&gt;+12.5%&lt;/color&gt;</t>
  </si>
  <si>
    <t>[{global_dmg_rate,1500}]</t>
  </si>
  <si>
    <t>梦灵伤害&lt;color=#54b76b&gt;+15%&lt;/color&gt;</t>
  </si>
  <si>
    <t>[5303201]</t>
  </si>
  <si>
    <t>梦灵血量低于50%，伤害&lt;color=#54b76b&gt;+20%&lt;/color&gt;</t>
  </si>
  <si>
    <t>[5304201]</t>
  </si>
  <si>
    <t>梦灵血量低于50%，伤害&lt;color=#54b76b&gt;+25%&lt;/color&gt;</t>
  </si>
  <si>
    <t>[5305201]</t>
  </si>
  <si>
    <t>[{2,1600}]</t>
  </si>
  <si>
    <t>梦灵血量低于50%，伤害&lt;color=#54b76b&gt;+32%&lt;/color&gt;</t>
  </si>
  <si>
    <t>[5306201]</t>
  </si>
  <si>
    <t>梦灵血量低于50%，伤害&lt;color=#54b76b&gt;+40%&lt;/color&gt;</t>
  </si>
  <si>
    <t>[5307201]</t>
  </si>
  <si>
    <t>[{2,2500}]</t>
  </si>
  <si>
    <t>梦灵血量低于50%，伤害&lt;color=#54b76b&gt;+50%&lt;/color&gt;</t>
  </si>
  <si>
    <t>√</t>
  </si>
  <si>
    <t>[5303202]</t>
  </si>
  <si>
    <t>梦灵满血时，伤害&lt;color=#54b76b&gt;+20%&lt;/color&gt;</t>
  </si>
  <si>
    <t>[5304202]</t>
  </si>
  <si>
    <t>梦灵满血时，伤害&lt;color=#54b76b&gt;+25%&lt;/color&gt;</t>
  </si>
  <si>
    <t>[5305202]</t>
  </si>
  <si>
    <t>[{2,3000}]</t>
  </si>
  <si>
    <t>梦灵满血时，伤害&lt;color=#54b76b&gt;+30%&lt;/color&gt;</t>
  </si>
  <si>
    <t>[5306202]</t>
  </si>
  <si>
    <t>[{2,3500}]</t>
  </si>
  <si>
    <t>梦灵满血时，伤害&lt;color=#54b76b&gt;+35%&lt;/color&gt;</t>
  </si>
  <si>
    <t>[5307202]</t>
  </si>
  <si>
    <t>[{2,4000}]</t>
  </si>
  <si>
    <t>梦灵满血时，伤害&lt;color=#54b76b&gt;+40%&lt;/color&gt;</t>
  </si>
  <si>
    <t>[1,2,3]</t>
  </si>
  <si>
    <t>[5303203]</t>
  </si>
  <si>
    <t>进入战斗前60秒对怪物伤害&lt;color=#54b76b&gt;+20%&lt;/color&gt;</t>
  </si>
  <si>
    <t>[5304203]</t>
  </si>
  <si>
    <t>进入战斗前60秒对怪物伤害&lt;color=#54b76b&gt;+25%&lt;/color&gt;</t>
  </si>
  <si>
    <t>[5305203]</t>
  </si>
  <si>
    <t>进入战斗前60秒对怪物伤害&lt;color=#54b76b&gt;+32%&lt;/color&gt;</t>
  </si>
  <si>
    <t>[5306203]</t>
  </si>
  <si>
    <t>进入战斗前60秒对怪物伤害&lt;color=#54b76b&gt;+40%&lt;/color&gt;</t>
  </si>
  <si>
    <t>[5307203]</t>
  </si>
  <si>
    <t>进入战斗前60秒对怪物伤害&lt;color=#54b76b&gt;+50%&lt;/color&gt;</t>
  </si>
  <si>
    <t>[3,5,6]</t>
  </si>
  <si>
    <t>[5303204]</t>
  </si>
  <si>
    <t>对有负面状态的怪物伤害&lt;color=#54b76b&gt;+20%&lt;/color&gt;</t>
  </si>
  <si>
    <t>[5304204]</t>
  </si>
  <si>
    <t>对有负面状态的怪物伤害&lt;color=#54b76b&gt;+25%&lt;/color&gt;</t>
  </si>
  <si>
    <t>[5305204]</t>
  </si>
  <si>
    <t>对有负面状态的怪物伤害&lt;color=#54b76b&gt;+32%&lt;/color&gt;</t>
  </si>
  <si>
    <t>[5306204]</t>
  </si>
  <si>
    <t>对有负面状态的怪物伤害&lt;color=#54b76b&gt;+40%&lt;/color&gt;</t>
  </si>
  <si>
    <t>[5307204]</t>
  </si>
  <si>
    <t>对有负面状态的怪物伤害&lt;color=#54b76b&gt;+50%&lt;/color&gt;</t>
  </si>
  <si>
    <t>[5302205]</t>
  </si>
  <si>
    <t>梦灵可免疫&lt;color=#54b76b&gt;1&lt;/color&gt;次伤害</t>
  </si>
  <si>
    <t>[5303205]</t>
  </si>
  <si>
    <t>梦灵可免疫&lt;color=#54b76b&gt;3&lt;/color&gt;次伤害</t>
  </si>
  <si>
    <t>[5304205]</t>
  </si>
  <si>
    <t>梦灵可免疫&lt;color=#54b76b&gt;5&lt;/color&gt;次伤害</t>
  </si>
  <si>
    <t>[5305205]</t>
  </si>
  <si>
    <t>梦灵可免疫&lt;color=#54b76b&gt;6&lt;/color&gt;次伤害</t>
  </si>
  <si>
    <t>[5306205]</t>
  </si>
  <si>
    <t>梦灵可免疫&lt;color=#54b76b&gt;7&lt;/color&gt;次伤害</t>
  </si>
  <si>
    <t>[5307205]</t>
  </si>
  <si>
    <t>梦灵可免疫&lt;color=#54b76b&gt;8&lt;/color&gt;次伤害</t>
  </si>
  <si>
    <t>[2,5,6]</t>
  </si>
  <si>
    <t>[1,2,4]</t>
  </si>
  <si>
    <t>对精英和首领伤害&lt;color=#54b76b&gt;+15%&lt;/color&gt;</t>
  </si>
  <si>
    <t>对精英和首领伤害&lt;color=#54b76b&gt;+20%&lt;/color&gt;</t>
  </si>
  <si>
    <t>对精英和首领伤害&lt;color=#54b76b&gt;+25%&lt;/color&gt;</t>
  </si>
  <si>
    <t>对精英和首领伤害&lt;color=#54b76b&gt;+32%&lt;/color&gt;</t>
  </si>
  <si>
    <t>[{3,1500}]</t>
  </si>
  <si>
    <t>对精英和首领伤害&lt;color=#54b76b&gt;+40%&lt;/color&gt;</t>
  </si>
  <si>
    <t>对精英和首领伤害&lt;color=#54b76b&gt;+50%&lt;/color&gt;</t>
  </si>
  <si>
    <t>[1,2,5]</t>
  </si>
  <si>
    <t>暴击伤害&lt;color=#54b76b&gt;+30%&lt;/color&gt;</t>
  </si>
  <si>
    <t>暴击伤害&lt;color=#54b76b&gt;+40%&lt;/color&gt;</t>
  </si>
  <si>
    <t>暴击伤害&lt;color=#54b76b&gt;+50%&lt;/color&gt;</t>
  </si>
  <si>
    <t>暴击伤害&lt;color=#54b76b&gt;+60%&lt;/color&gt;</t>
  </si>
  <si>
    <t>暴击伤害&lt;color=#54b76b&gt;+70%&lt;/color&gt;</t>
  </si>
  <si>
    <t>[1,4,6]</t>
  </si>
  <si>
    <t>[1,3,4]</t>
  </si>
  <si>
    <t>[5301124]</t>
  </si>
  <si>
    <t>[{1002,150}]</t>
  </si>
  <si>
    <t>最前排梦灵获得&lt;color=#54b76b&gt;10%&lt;/color&gt;最大生命值</t>
  </si>
  <si>
    <t>[5302124]</t>
  </si>
  <si>
    <t>[{1002,200}]</t>
  </si>
  <si>
    <t>最前排梦灵获得&lt;color=#54b76b&gt;15%&lt;/color&gt;最大生命值</t>
  </si>
  <si>
    <t>[5303124]</t>
  </si>
  <si>
    <t>[{1002,250}]</t>
  </si>
  <si>
    <t>最前排梦灵获得&lt;color=#54b76b&gt;25%&lt;/color&gt;最大生命值</t>
  </si>
  <si>
    <t>[5304124]</t>
  </si>
  <si>
    <t>[{1002,300}]</t>
  </si>
  <si>
    <t>最前排梦灵获得&lt;color=#54b76b&gt;30%&lt;/color&gt;最大生命值</t>
  </si>
  <si>
    <t>[5305124]</t>
  </si>
  <si>
    <t>[{1002,350}]</t>
  </si>
  <si>
    <t>最前排梦灵获得&lt;color=#54b76b&gt;36%&lt;/color&gt;最大生命值</t>
  </si>
  <si>
    <t>[5306124]</t>
  </si>
  <si>
    <t>[{1002,400}]</t>
  </si>
  <si>
    <t>最前排梦灵获得&lt;color=#54b76b&gt;45%&lt;/color&gt;最大生命值</t>
  </si>
  <si>
    <t>[5307124]</t>
  </si>
  <si>
    <t>[{1002,500}]</t>
  </si>
  <si>
    <t>最前排梦灵获得&lt;color=#54b76b&gt;55%&lt;/color&gt;最大生命值</t>
  </si>
  <si>
    <t>[1,2]</t>
  </si>
  <si>
    <t>[5305211]</t>
  </si>
  <si>
    <t>击杀精英或首领后全队回复&lt;color=#54b76b&gt;10%&lt;/color&gt;血量</t>
  </si>
  <si>
    <t>[5306211]</t>
  </si>
  <si>
    <t>击杀精英或首领后全队回复&lt;color=#54b76b&gt;20%&lt;/color&gt;血量</t>
  </si>
  <si>
    <t>[5307211]</t>
  </si>
  <si>
    <t>击杀精英或首领后全队回复&lt;color=#54b76b&gt;30%&lt;/color&gt;血量</t>
  </si>
  <si>
    <t>[5305214]</t>
  </si>
  <si>
    <t>[{1003,3000}]</t>
  </si>
  <si>
    <t>队长每释放一次[咻咻的弹簧锤]，所有梦灵伤害&lt;color=#54b76b&gt;+3%&lt;/color&gt;</t>
  </si>
  <si>
    <t>[5306214]</t>
  </si>
  <si>
    <t>[{1003,4000}]</t>
  </si>
  <si>
    <t>队长每释放一次[咻咻的弹簧锤]，所有梦灵伤害&lt;color=#54b76b&gt;+4%&lt;/color&gt;</t>
  </si>
  <si>
    <t>[5307214]</t>
  </si>
  <si>
    <t>[{1003,5000}]</t>
  </si>
  <si>
    <t>队长每释放一次[咻咻的弹簧锤]，所有梦灵伤害&lt;color=#54b76b&gt;+5%&lt;/color&gt;</t>
  </si>
  <si>
    <t>[5305215]</t>
  </si>
  <si>
    <t>队长每触发一次暴击，所有梦灵伤害&lt;color=#54b76b&gt;+2%&lt;/color&gt;</t>
  </si>
  <si>
    <t>[2.2]</t>
  </si>
  <si>
    <t>[5306215]</t>
  </si>
  <si>
    <t>队长每触发一次暴击，所有梦灵伤害&lt;color=#54b76b&gt;+3%&lt;/color&gt;</t>
  </si>
  <si>
    <t>[5307215]</t>
  </si>
  <si>
    <t>队长每触发一次暴击，所有梦灵伤害&lt;color=#54b76b&gt;+4%&lt;/color&gt;</t>
  </si>
  <si>
    <t>[5302249]</t>
  </si>
  <si>
    <t>关羽对血量高于&lt;color=#54b76b&gt;75%&lt;/color&gt;的敌人，暴击率&lt;color=#54b76b&gt;+10%&lt;/color&gt;</t>
  </si>
  <si>
    <t>[5303249]</t>
  </si>
  <si>
    <t>关羽对血量高于&lt;color=#54b76b&gt;75%&lt;/color&gt;的敌人，暴击率&lt;color=#54b76b&gt;+15%&lt;/color&gt;</t>
  </si>
  <si>
    <t>[5302250]</t>
  </si>
  <si>
    <t>关羽充能时&lt;color=#54b76b&gt;8%&lt;/color&gt;几率能量上限&lt;color=#54b76b&gt;+50%&lt;/color&gt;，持续到下次充能，最多叠&lt;color=#54b76b&gt;3&lt;/color&gt;次</t>
  </si>
  <si>
    <t>[5303250]</t>
  </si>
  <si>
    <t>关羽充能时&lt;color=#54b76b&gt;12%&lt;/color&gt;几率能量上限&lt;color=#54b76b&gt;+50%&lt;/color&gt;，持续到下次充能，最多叠&lt;color=#54b76b&gt;3&lt;/color&gt;次</t>
  </si>
  <si>
    <t>[5302251]</t>
  </si>
  <si>
    <t>[{battle_dmg_rate,300}]</t>
  </si>
  <si>
    <t>关羽的攻击距离&lt;color=#54b76b&gt;+20%&lt;/color&gt;，伤害&lt;color=#54b76b&gt;+3%&lt;/color&gt;</t>
  </si>
  <si>
    <t>[5303251]</t>
  </si>
  <si>
    <t>关羽的攻击距离&lt;color=#54b76b&gt;+20%&lt;/color&gt;，伤害&lt;color=#54b76b&gt;+5%&lt;/color&gt;</t>
  </si>
  <si>
    <t>海拉释放强化普攻后，下次普攻有&lt;color=#54b76b&gt;20%&lt;/color&gt;概率灵魂&lt;color=#54b76b&gt;+30&lt;/color&gt;层灵魂</t>
  </si>
  <si>
    <t>海拉每层[灵魂]使伤害&lt;color=#54b76b&gt;+1.5%&lt;/color&gt;</t>
  </si>
  <si>
    <t>[5305301]</t>
  </si>
  <si>
    <t>[{1004,2500}]</t>
  </si>
  <si>
    <t>战士初始护盾提升&lt;color=#54b76b&gt;50%&lt;/color&gt;</t>
  </si>
  <si>
    <t>[5306301]</t>
  </si>
  <si>
    <t>[{1004,3200}]</t>
  </si>
  <si>
    <t>战士初始护盾提升&lt;color=#54b76b&gt;70%&lt;/color&gt;</t>
  </si>
  <si>
    <t>[5307301]</t>
  </si>
  <si>
    <t>[{1004,4000}]</t>
  </si>
  <si>
    <t>战士初始护盾提升&lt;color=#54b76b&gt;100%&lt;/color&gt;</t>
  </si>
  <si>
    <t>[5305302]</t>
  </si>
  <si>
    <t>战士承受最大血量&lt;color=#54b76b&gt;2%&lt;/color&gt;的伤害时，恢复受到伤害的&lt;color=#54b76b&gt;20%&lt;/color&gt;的生命</t>
  </si>
  <si>
    <t>战士承受最大血量&lt;color=#54b76b&gt;2%&lt;/color&gt;的伤害时，恢复受到伤害的&lt;color=#54b76b&gt;30%&lt;/color&gt;的生命</t>
  </si>
  <si>
    <t>[5306302]</t>
  </si>
  <si>
    <t>战士承受最大血量&lt;color=#54b76b&gt;2%&lt;/color&gt;的伤害时，恢复受到伤害的&lt;color=#54b76b&gt;40%&lt;/color&gt;的生命</t>
  </si>
  <si>
    <t>[5307302]</t>
  </si>
  <si>
    <t>战士承受最大血量&lt;color=#54b76b&gt;2%&lt;/color&gt;的伤害时，恢复受到伤害的&lt;color=#54b76b&gt;50%&lt;/color&gt;的生命</t>
  </si>
  <si>
    <t>[5305303]</t>
  </si>
  <si>
    <t>每击杀10个单位，所有战士恢复最大生命值的&lt;color=#54b76b&gt;1%&lt;/color&gt;血量</t>
  </si>
  <si>
    <t>[0.75]</t>
  </si>
  <si>
    <t>[5306303]</t>
  </si>
  <si>
    <t>每击杀10个单位，所有战士恢复最大生命值的&lt;color=#54b76b&gt;1.2%&lt;/color&gt;血量</t>
  </si>
  <si>
    <t>[5307303]</t>
  </si>
  <si>
    <t>每击杀10个单位，所有战士恢复最大生命值的&lt;color=#54b76b&gt;1.5%&lt;/color&gt;血量</t>
  </si>
  <si>
    <t>[5305305]</t>
  </si>
  <si>
    <t>战士职业受到攻击时，攻速提高&lt;color=#54b76b&gt;20%&lt;/color&gt;，可叠加10层，持续5s</t>
  </si>
  <si>
    <t>[5306305]</t>
  </si>
  <si>
    <t>战士职业受到攻击时，攻速提高&lt;color=#54b76b&gt;27%&lt;/color&gt;，可叠加10层，持续5s</t>
  </si>
  <si>
    <t>[27]</t>
  </si>
  <si>
    <t>[5307305]</t>
  </si>
  <si>
    <t>战士职业受到攻击时，攻速提高&lt;color=#54b76b&gt;34%&lt;/color&gt;，可叠加10层，持续5s</t>
  </si>
  <si>
    <t>[34]</t>
  </si>
  <si>
    <t>[5305306]</t>
  </si>
  <si>
    <t>法师职业暴击时，最终暴击伤害将在80%~&lt;color=#54b76b&gt;150%&lt;/color&gt;之间波动</t>
  </si>
  <si>
    <t>[5306306]</t>
  </si>
  <si>
    <t>法师职业暴击时，最终暴击伤害将在80%~&lt;color=#54b76b&gt;180%&lt;/color&gt;之间波动</t>
  </si>
  <si>
    <t>[5307306]</t>
  </si>
  <si>
    <t>法师职业暴击时，最终暴击伤害将在80%~&lt;color=#54b76b&gt;240%&lt;/color&gt;之间波动</t>
  </si>
  <si>
    <t>[5305307]</t>
  </si>
  <si>
    <t>法师职业的大招冷却时间缩短&lt;color=#54b76b&gt;25%&lt;/color&gt;</t>
  </si>
  <si>
    <t>[5306307]</t>
  </si>
  <si>
    <t>法师职业的大招冷却时间缩短&lt;color=#54b76b&gt;35%&lt;/color&gt;</t>
  </si>
  <si>
    <t>[5307307]</t>
  </si>
  <si>
    <t>法师职业的大招冷却时间缩短&lt;color=#54b76b&gt;40%&lt;/color&gt;</t>
  </si>
  <si>
    <t>[5305308]</t>
  </si>
  <si>
    <t>毒系职业技能命中时，立即叠&lt;color=#54b76b&gt;2&lt;/color&gt;层毒</t>
  </si>
  <si>
    <t>[5306308]</t>
  </si>
  <si>
    <t>毒系职业技能命中时，立即叠&lt;color=#54b76b&gt;2&lt;/color&gt;层毒（&lt;color=#54b76b&gt;30%&lt;/color&gt;概率3层）</t>
  </si>
  <si>
    <t>[5307308]</t>
  </si>
  <si>
    <t>毒系职业技能命中时，立即叠&lt;color=#54b76b&gt;2&lt;/color&gt;层毒（&lt;color=#54b76b&gt;60%&lt;/color&gt;概率3层）</t>
  </si>
  <si>
    <t>[5305309]</t>
  </si>
  <si>
    <t>毒系职业施加中毒效果时，有50%概率触发[剧毒]，造成&lt;color=#54b76b&gt;60%&lt;/color&gt;毒系伤害</t>
  </si>
  <si>
    <t>[5306309]</t>
  </si>
  <si>
    <t>毒系职业施加中毒效果时，有50%概率触发[剧毒]，造成&lt;color=#54b76b&gt;75%&lt;/color&gt;毒系伤害</t>
  </si>
  <si>
    <t>[5307309]</t>
  </si>
  <si>
    <t>毒系职业施加中毒效果时，有50%概率触发[剧毒]，造成&lt;color=#54b76b&gt;100%&lt;/color&gt;毒系伤害</t>
  </si>
  <si>
    <t>[5305310]</t>
  </si>
  <si>
    <t>每次触发中毒伤害，下次中毒伤害额外&lt;color=#54b76b&gt;+1.5%&lt;/color&gt;</t>
  </si>
  <si>
    <t>每次触发中毒伤害，下次中毒伤害额外&lt;color=#54b76b&gt;+2%&lt;/color&gt;</t>
  </si>
  <si>
    <t>[5306310]</t>
  </si>
  <si>
    <t>每次触发中毒伤害，下次中毒伤害额外&lt;color=#54b76b&gt;+2.5%&lt;/color&gt;</t>
  </si>
  <si>
    <t>[5307310]</t>
  </si>
  <si>
    <t>每次触发中毒伤害，下次中毒伤害额外&lt;color=#54b76b&gt;+3%&lt;/color&gt;</t>
  </si>
  <si>
    <t>毒系职业有&lt;color=#54b76b&gt;30%&lt;/color&gt;概率无视毒系抗性</t>
  </si>
  <si>
    <t>毒系职业有&lt;color=#54b76b&gt;40%&lt;/color&gt;概率无视毒系抗性</t>
  </si>
  <si>
    <t>毒系职业有&lt;color=#54b76b&gt;50%&lt;/color&gt;概率无视毒系抗性</t>
  </si>
  <si>
    <t>[5305312]</t>
  </si>
  <si>
    <t>控制职业有&lt;color=#54b76b&gt;25%&lt;/color&gt;的概率控制时间延长100%</t>
  </si>
  <si>
    <t>[5306312]</t>
  </si>
  <si>
    <t>控制职业有&lt;color=#54b76b&gt;32%&lt;/color&gt;的概率控制时间延长100%</t>
  </si>
  <si>
    <t>[5307312]</t>
  </si>
  <si>
    <t>控制职业有&lt;color=#54b76b&gt;40%&lt;/color&gt;的概率控制时间延长100%</t>
  </si>
  <si>
    <t>[5305315]</t>
  </si>
  <si>
    <t>每选择一个控制梦灵的词条，所有控制梦灵伤害&lt;color=#54b76b&gt;+10%&lt;/color&gt;</t>
  </si>
  <si>
    <t>[5306315]</t>
  </si>
  <si>
    <t>每选择一个控制梦灵的词条，所有控制梦灵伤害&lt;color=#54b76b&gt;+15%&lt;/color&gt;</t>
  </si>
  <si>
    <t>[5307315]</t>
  </si>
  <si>
    <t>每选择一个控制梦灵的词条，所有控制梦灵伤害&lt;color=#54b76b&gt;+20%&lt;/color&gt;</t>
  </si>
  <si>
    <t>[5305316]</t>
  </si>
  <si>
    <t>被施加控制的怪物5s内受到伤害&lt;color=#54b76b&gt;+20%&lt;/color&gt;</t>
  </si>
  <si>
    <t>被施加控制的怪物5s内受到伤害&lt;color=#54b76b&gt;+25%&lt;/color&gt;</t>
  </si>
  <si>
    <t>[5306316]</t>
  </si>
  <si>
    <t>被施加控制的怪物5s内受到伤害&lt;color=#54b76b&gt;+30%&lt;/color&gt;</t>
  </si>
  <si>
    <t>[5307316]</t>
  </si>
  <si>
    <t>被施加控制的怪物5s内受到伤害&lt;color=#54b76b&gt;+35%&lt;/color&gt;</t>
  </si>
  <si>
    <t>[5305317]</t>
  </si>
  <si>
    <t>[{battle_dmg_rate,-2500}]</t>
  </si>
  <si>
    <t>射手的弹道技能穿透&lt;color=#54b76b&gt;+2&lt;/color&gt;，伤害&lt;color=#54b76b&gt;-25%&lt;/color&gt;</t>
  </si>
  <si>
    <t>[-25]</t>
  </si>
  <si>
    <t>[5306317]</t>
  </si>
  <si>
    <t>射手的弹道技能穿透&lt;color=#54b76b&gt;+2&lt;/color&gt;</t>
  </si>
  <si>
    <t>[5307317]</t>
  </si>
  <si>
    <t>射手的弹道技能穿透&lt;color=#54b76b&gt;+2&lt;/color&gt;，伤害&lt;color=#54b76b&gt;+10%&lt;/color&gt;</t>
  </si>
  <si>
    <t>[5305318]</t>
  </si>
  <si>
    <t>射手的每次攻击提高&lt;color=#54b76b&gt;4%&lt;/color&gt;伤害，最大提升&lt;color=#54b76b&gt;80&lt;/color&gt;%，充能时重置</t>
  </si>
  <si>
    <t>[5306318]</t>
  </si>
  <si>
    <t>射手的每次攻击提高&lt;color=#54b76b&gt;5%&lt;/color&gt;伤害，最大提升&lt;color=#54b76b&gt;100&lt;/color&gt;%，充能时重置</t>
  </si>
  <si>
    <t>[5307318]</t>
  </si>
  <si>
    <t>射手的每次攻击提高&lt;color=#54b76b&gt;6%&lt;/color&gt;伤害，最大提升&lt;color=#54b76b&gt;120&lt;/color&gt;%，充能时重置</t>
  </si>
  <si>
    <t>[5305319]</t>
  </si>
  <si>
    <t>[{1005,1500}]</t>
  </si>
  <si>
    <t>攻击满血怪物时，暴击率&lt;color=#54b76b&gt;+32%&lt;/color&gt;</t>
  </si>
  <si>
    <t>[5306319]</t>
  </si>
  <si>
    <t>[{1005,2200}]</t>
  </si>
  <si>
    <t>攻击满血怪物时，暴击率&lt;color=#54b76b&gt;+48%&lt;/color&gt;</t>
  </si>
  <si>
    <t>[5307319]</t>
  </si>
  <si>
    <t>[{1005,3000}]</t>
  </si>
  <si>
    <t>攻击满血怪物时，暴击率&lt;color=#54b76b&gt;+64%&lt;/color&gt;</t>
  </si>
  <si>
    <t>[5305320]</t>
  </si>
  <si>
    <t>梦灵血量首次低于30%，获得最大生命&lt;color=#54b76b&gt;20%&lt;/color&gt;的护盾</t>
  </si>
  <si>
    <t>[5306320]</t>
  </si>
  <si>
    <t>[{1005,4000}]</t>
  </si>
  <si>
    <t>梦灵血量首次低于30%，获得最大生命&lt;color=#54b76b&gt;30%&lt;/color&gt;的护盾</t>
  </si>
  <si>
    <t>[5307320]</t>
  </si>
  <si>
    <t>[{1005,5000}]</t>
  </si>
  <si>
    <t>梦灵血量首次低于30%，获得最大生命&lt;color=#54b76b&gt;40%&lt;/color&gt;的护盾</t>
  </si>
  <si>
    <t>[5305321]</t>
  </si>
  <si>
    <t>梦灵每升阶一次后，所有伤害&lt;color=#54b76b&gt;+15%&lt;/color&gt;</t>
  </si>
  <si>
    <t>[5306321]</t>
  </si>
  <si>
    <t>梦灵每升阶一次后，所有伤害&lt;color=#54b76b&gt;+20%&lt;/color&gt;</t>
  </si>
  <si>
    <t>[5307321]</t>
  </si>
  <si>
    <t>梦灵每升阶一次后，所有伤害&lt;color=#54b76b&gt;+25%&lt;/color&gt;</t>
  </si>
  <si>
    <t>[5305322]</t>
  </si>
  <si>
    <t>某一职业不被怪物抗性克制时，对该怪物的伤害&lt;color=#54b76b&gt;+35%&lt;/color&gt;</t>
  </si>
  <si>
    <t>[5306322]</t>
  </si>
  <si>
    <t>某一职业不被怪物抗性克制时，对该怪物的伤害&lt;color=#54b76b&gt;+50%&lt;/color&gt;</t>
  </si>
  <si>
    <t>[5307322]</t>
  </si>
  <si>
    <t>某一职业不被怪物抗性克制时，对该怪物的伤害&lt;color=#54b76b&gt;+65%&lt;/color&gt;</t>
  </si>
  <si>
    <t>[65]</t>
  </si>
  <si>
    <t>[5305323]</t>
  </si>
  <si>
    <t>某一梦灵的异想收藏数量每次达到3层后，该职业的梦灵伤害&lt;color=#54b76b&gt;+50%&lt;/color&gt;</t>
  </si>
  <si>
    <t>[5306323]</t>
  </si>
  <si>
    <t>某一梦灵的异想收藏数量每次达到3层后，该职业的梦灵伤害&lt;color=#54b76b&gt;+75%&lt;/color&gt;</t>
  </si>
  <si>
    <t>[5307323]</t>
  </si>
  <si>
    <t>某一梦灵的异想收藏数量每次达到3层后，该职业的梦灵伤害&lt;color=#54b76b&gt;+100%&lt;/color&gt;</t>
  </si>
  <si>
    <t>[5305324]</t>
  </si>
  <si>
    <t>梦灵血量每降低10%，该梦灵的伤害&lt;color=#54b76b&gt;+5%&lt;/color&gt;</t>
  </si>
  <si>
    <t>[5306324]</t>
  </si>
  <si>
    <t>梦灵血量每降低10%，该梦灵的伤害&lt;color=#54b76b&gt;+7%&lt;/color&gt;</t>
  </si>
  <si>
    <t>[5307324]</t>
  </si>
  <si>
    <t>梦灵血量每降低10%，该梦灵的伤害&lt;color=#54b76b&gt;+10%&lt;/color&gt;</t>
  </si>
  <si>
    <t>[5304326]</t>
  </si>
  <si>
    <t>[{1006,1000}]</t>
  </si>
  <si>
    <t>[超绝手速]异想收藏攻速&lt;color=#54b76b&gt;+18%&lt;/color&gt;</t>
  </si>
  <si>
    <t>[5305326]</t>
  </si>
  <si>
    <t>[{1006,1500}]</t>
  </si>
  <si>
    <t>[超绝手速]异想收藏攻速&lt;color=#54b76b&gt;+24%&lt;/color&gt;</t>
  </si>
  <si>
    <t>[5306326]</t>
  </si>
  <si>
    <t>[{1006,2000}]</t>
  </si>
  <si>
    <t>[超绝手速]异想收藏攻速&lt;color=#54b76b&gt;+30%&lt;/color&gt;</t>
  </si>
  <si>
    <t>[5307326]</t>
  </si>
  <si>
    <t>[{1006,2500}]</t>
  </si>
  <si>
    <t>[超绝手速]异想收藏攻速&lt;color=#54b76b&gt;+38%&lt;/color&gt;</t>
  </si>
  <si>
    <t>[38]</t>
  </si>
  <si>
    <t>[5305327]</t>
  </si>
  <si>
    <t>[{1006,3000}]</t>
  </si>
  <si>
    <t>[超绝手速]变异为攻速&lt;color=#54b76b&gt;+150%&lt;/color&gt;，最终伤害&lt;color=#54b76b&gt;-30%&lt;/color&gt;</t>
  </si>
  <si>
    <t>[5306327]</t>
  </si>
  <si>
    <t>[{1006,4000}]</t>
  </si>
  <si>
    <t>[超绝手速]变异为攻速&lt;color=#54b76b&gt;+150%&lt;/color&gt;，最终伤害&lt;color=#54b76b&gt;-10%&lt;/color&gt;</t>
  </si>
  <si>
    <t>[5307327]</t>
  </si>
  <si>
    <t>[{1006,5000}]</t>
  </si>
  <si>
    <t>[超绝手速]变异为攻速&lt;color=#54b76b&gt;+150%&lt;/color&gt;，最终伤害&lt;color=#54b76b&gt;+10%&lt;/color&gt;</t>
  </si>
  <si>
    <t>[5305328]</t>
  </si>
  <si>
    <t>[肚子胀气]变异为技能大小&lt;color=#54b76b&gt;+120%&lt;/color&gt;，最终伤害&lt;color=#54b76b&gt;-30%&lt;/color&gt;</t>
  </si>
  <si>
    <t>[5306328]</t>
  </si>
  <si>
    <t>[肚子胀气]变异为技能大小&lt;color=#54b76b&gt;+120%&lt;/color&gt;，最终伤害&lt;color=#54b76b&gt;-10%&lt;/color&gt;</t>
  </si>
  <si>
    <t>[5307328]</t>
  </si>
  <si>
    <t>[肚子胀气]变异为技能大小&lt;color=#54b76b&gt;+120%&lt;/color&gt;，最终伤害&lt;color=#54b76b&gt;+10%&lt;/color&gt;</t>
  </si>
  <si>
    <t>[5304329]</t>
  </si>
  <si>
    <t>[肚子胀气]异想收藏的技能大小&lt;color=#54b76b&gt;+15%&lt;/color&gt;</t>
  </si>
  <si>
    <t>[5305329]</t>
  </si>
  <si>
    <t>[肚子胀气]异想收藏的技能大小&lt;color=#54b76b&gt;+20%&lt;/color&gt;</t>
  </si>
  <si>
    <t>[5306329]</t>
  </si>
  <si>
    <t>[肚子胀气]异想收藏的技能大小&lt;color=#54b76b&gt;+25%&lt;/color&gt;</t>
  </si>
  <si>
    <t>[5307329]</t>
  </si>
  <si>
    <t>[肚子胀气]异想收藏的技能大小&lt;color=#54b76b&gt;+30%&lt;/color&gt;</t>
  </si>
  <si>
    <t>[5304330]</t>
  </si>
  <si>
    <t>[爆裂果实]的爆炸伤害提高&lt;color=#54b76b&gt;10%&lt;/color&gt;</t>
  </si>
  <si>
    <t>[5305330]</t>
  </si>
  <si>
    <t>[爆裂果实]的爆炸伤害提高&lt;color=#54b76b&gt;15%&lt;/color&gt;</t>
  </si>
  <si>
    <t>[5306330]</t>
  </si>
  <si>
    <t>[爆裂果实]的爆炸伤害提高&lt;color=#54b76b&gt;20%&lt;/color&gt;</t>
  </si>
  <si>
    <t>[5307330]</t>
  </si>
  <si>
    <t>[爆裂果实]的爆炸伤害提高&lt;color=#54b76b&gt;25%&lt;/color&gt;</t>
  </si>
  <si>
    <t>[5304402]</t>
  </si>
  <si>
    <t>[电光一闪]的弹射伤害提高&lt;color=#54b76b&gt;10%&lt;/color&gt;</t>
  </si>
  <si>
    <t>[5305402]</t>
  </si>
  <si>
    <t>[电光一闪]的弹射伤害提高&lt;color=#54b76b&gt;20%&lt;/color&gt;</t>
  </si>
  <si>
    <t>[5306402]</t>
  </si>
  <si>
    <t>[电光一闪]的弹射伤害提高&lt;color=#54b76b&gt;30%&lt;/color&gt;</t>
  </si>
  <si>
    <t>[5307402]</t>
  </si>
  <si>
    <t>[电光一闪]的弹射伤害提高&lt;color=#54b76b&gt;40%&lt;/color&gt;</t>
  </si>
  <si>
    <t>[5305403]</t>
  </si>
  <si>
    <t>[电光一闪]变异为弹射&lt;color=#54b76b&gt;+1&lt;/color&gt;，每弹射一名敌人，伤害&lt;color=#54b76b&gt;+8%&lt;/color&gt;，最多&lt;color=#54b76b&gt;40%&lt;/color&gt;</t>
  </si>
  <si>
    <t>[5306403]</t>
  </si>
  <si>
    <t>[电光一闪]变异为弹射&lt;color=#54b76b&gt;+1&lt;/color&gt;，每弹射一名敌人，伤害&lt;color=#54b76b&gt;+12%&lt;/color&gt;，最多&lt;color=#54b76b&gt;60%&lt;/color&gt;</t>
  </si>
  <si>
    <t>[5307403]</t>
  </si>
  <si>
    <t>[电光一闪]变异为弹射&lt;color=#54b76b&gt;+1&lt;/color&gt;，每弹射一名敌人，伤害&lt;color=#54b76b&gt;+16%&lt;/color&gt;，最多&lt;color=#54b76b&gt;80%&lt;/color&gt;</t>
  </si>
  <si>
    <t>[5305405]</t>
  </si>
  <si>
    <t>[班主任的凝视]变异为穿透&lt;color=#54b76b&gt;+1&lt;/color&gt;，每穿透一名敌人，伤害&lt;color=#54b76b&gt;+8%&lt;/color&gt;，最多&lt;color=#54b76b&gt;40%&lt;/color&gt;</t>
  </si>
  <si>
    <t>[5306405]</t>
  </si>
  <si>
    <t>[班主任的凝视]变异为穿透&lt;color=#54b76b&gt;+1&lt;/color&gt;，每穿透一名敌人，伤害&lt;color=#54b76b&gt;+12%&lt;/color&gt;，最多&lt;color=#54b76b&gt;60%&lt;/color&gt;</t>
  </si>
  <si>
    <t>[5307405]</t>
  </si>
  <si>
    <t>[班主任的凝视]变异为穿透&lt;color=#54b76b&gt;+1&lt;/color&gt;，每穿透一名敌人，伤害&lt;color=#54b76b&gt;+16%&lt;/color&gt;，最多&lt;color=#54b76b&gt;80%&lt;/color&gt;</t>
  </si>
  <si>
    <t>[5305406]</t>
  </si>
  <si>
    <t>[时间相对论]的持续时间提高&lt;color=#54b76b&gt;40%&lt;/color&gt;</t>
  </si>
  <si>
    <t>[5306406]</t>
  </si>
  <si>
    <t>[时间相对论]的持续时间提高&lt;color=#54b76b&gt;60%&lt;/color&gt;</t>
  </si>
  <si>
    <t>[5307406]</t>
  </si>
  <si>
    <t>[时间相对论]的持续时间提高&lt;color=#54b76b&gt;80%&lt;/color&gt;</t>
  </si>
  <si>
    <t>[5305410]</t>
  </si>
  <si>
    <t>攻击时有&lt;color=#54b76b&gt;24%&lt;/color&gt;的概率无视冷却时间</t>
  </si>
  <si>
    <t>[5306410]</t>
  </si>
  <si>
    <t>攻击时有&lt;color=#54b76b&gt;30%&lt;/color&gt;的概率无视冷却时间</t>
  </si>
  <si>
    <t>[5307410]</t>
  </si>
  <si>
    <t>攻击时有&lt;color=#54b76b&gt;36%&lt;/color&gt;的概率无视冷却时间</t>
  </si>
  <si>
    <t>[{1005,2000}]</t>
  </si>
  <si>
    <t>无视怪物所有类型&lt;color=#54b76b&gt;30%&lt;/color&gt;的抗性</t>
  </si>
  <si>
    <t>无视怪物所有类型&lt;color=#54b76b&gt;40%&lt;/color&gt;的抗性</t>
  </si>
  <si>
    <t>无视怪物所有类型&lt;color=#54b76b&gt;50%&lt;/color&gt;的抗性</t>
  </si>
  <si>
    <t>无视怪物所有类型&lt;color=#54b76b&gt;60%&lt;/color&gt;的抗性</t>
  </si>
  <si>
    <t>[5305412]</t>
  </si>
  <si>
    <t>伤害在80%~&lt;color=#54b76b&gt;150%&lt;/color&gt;之间浮动</t>
  </si>
  <si>
    <t>[5306412]</t>
  </si>
  <si>
    <t>伤害在80%~&lt;color=#54b76b&gt;180%&lt;/color&gt;之间浮动</t>
  </si>
  <si>
    <t>[5307412]</t>
  </si>
  <si>
    <t>伤害在80%~&lt;color=#54b76b&gt;210%&lt;/color&gt;之间浮动</t>
  </si>
  <si>
    <t>[210]</t>
  </si>
  <si>
    <t>[{energy_recover_rate,1500}]</t>
  </si>
  <si>
    <t>梦灵充能时间缩短&lt;color=#54b76b&gt;15%&lt;/color&gt;</t>
  </si>
  <si>
    <t>[{energy_recover_rate,2000}]</t>
  </si>
  <si>
    <t>梦灵充能时间缩短&lt;color=#54b76b&gt;20%&lt;/color&gt;</t>
  </si>
  <si>
    <t>[{energy_recover_rate,3000}]</t>
  </si>
  <si>
    <t>梦灵充能时间缩短&lt;color=#54b76b&gt;30%&lt;/color&gt;</t>
  </si>
  <si>
    <t>[{energy_recover_rate,4000}]</t>
  </si>
  <si>
    <t>梦灵充能时间缩短&lt;color=#54b76b&gt;40%&lt;/color&gt;</t>
  </si>
  <si>
    <t>梦灵暴击率&lt;color=#54b76b&gt;+4%&lt;/color&gt;</t>
  </si>
  <si>
    <t>梦灵暴击率&lt;color=#54b76b&gt;+5%&lt;/color&gt;</t>
  </si>
  <si>
    <t>梦灵暴击率&lt;color=#54b76b&gt;+6%&lt;/color&gt;</t>
  </si>
  <si>
    <t>梦灵暴击率&lt;color=#54b76b&gt;+7%&lt;/color&gt;</t>
  </si>
  <si>
    <t>[5305415]</t>
  </si>
  <si>
    <t>[多重分裂]分裂的大小和伤害提升&lt;color=#54b76b&gt;12%&lt;/color&gt;</t>
  </si>
  <si>
    <t>[5306415]</t>
  </si>
  <si>
    <t>[多重分裂]分裂的大小和伤害提升&lt;color=#54b76b&gt;18%&lt;/color&gt;</t>
  </si>
  <si>
    <t>[5307415]</t>
  </si>
  <si>
    <t>[多重分裂]分裂的大小和伤害提升&lt;color=#54b76b&gt;24%&lt;/color&gt;</t>
  </si>
  <si>
    <t>[多重分裂]变异为每飞行3000米，分裂出一个技能，伤害和大小为原技能的&lt;color=#54b76b&gt;25%&lt;/color&gt;</t>
  </si>
  <si>
    <t>[多重分裂]变异为每飞行3000米，分裂出一个技能，伤害和大小为原技能的&lt;color=#54b76b&gt;35%&lt;/color&gt;</t>
  </si>
  <si>
    <t>[多重分裂]变异为每飞行3000米，分裂出一个技能，伤害和大小为原技能的&lt;color=#54b76b&gt;50%&lt;/color&gt;</t>
  </si>
  <si>
    <t>[5305417]</t>
  </si>
  <si>
    <t>[买一送一]变异为技能齐射&lt;color=#54b76b&gt;+3&lt;/color&gt;，能量消耗&lt;color=#54b76b&gt;+100%&lt;/color&gt;</t>
  </si>
  <si>
    <t>[5306417]</t>
  </si>
  <si>
    <t>[买一送一]变异为技能齐射&lt;color=#54b76b&gt;+3&lt;/color&gt;，能量消耗&lt;color=#54b76b&gt;+70%&lt;/color&gt;</t>
  </si>
  <si>
    <t>[5307417]</t>
  </si>
  <si>
    <t>[买一送一]变异为技能齐射&lt;color=#54b76b&gt;+3&lt;/color&gt;，能量消耗&lt;color=#54b76b&gt;+50%&lt;/color&gt;</t>
  </si>
  <si>
    <t>[5305418]</t>
  </si>
  <si>
    <t>[群聊复读机]变异为&lt;color=#54b76b&gt;20%&lt;/color&gt;概率二重施法，&lt;color=#54b76b&gt;15%&lt;/color&gt;概率三重施法，&lt;color=#54b76b&gt;10%&lt;/color&gt;概率四重施法</t>
  </si>
  <si>
    <t>[5306418]</t>
  </si>
  <si>
    <t>[群聊复读机]变异为&lt;color=#54b76b&gt;30%&lt;/color&gt;概率二重施法，&lt;color=#54b76b&gt;20%&lt;/color&gt;概率三重施法，&lt;color=#54b76b&gt;10%&lt;/color&gt;概率四重施法</t>
  </si>
  <si>
    <t>[5307418]</t>
  </si>
  <si>
    <t>[群聊复读机]变异为&lt;color=#54b76b&gt;40%&lt;/color&gt;概率二重施法，&lt;color=#54b76b&gt;25%&lt;/color&gt;概率三重施法，&lt;color=#54b76b&gt;15%&lt;/color&gt;概率四重施法</t>
  </si>
  <si>
    <t>[5305503]</t>
  </si>
  <si>
    <t>2阶及以上造成伤害追加最大生命值&lt;color=#54b76b&gt;0.75%&lt;/color&gt;（不超过5倍攻击力）</t>
  </si>
  <si>
    <t>[5306503]</t>
  </si>
  <si>
    <t>2阶及以上造成伤害追加最大生命值&lt;color=#54b76b&gt;1.1%&lt;/color&gt;（不超过7倍攻击力）</t>
  </si>
  <si>
    <t>[1.1]</t>
  </si>
  <si>
    <t>[5307503]</t>
  </si>
  <si>
    <t>2阶及以上造成伤害追加最大生命值&lt;color=#54b76b&gt;1.45%&lt;/color&gt;（不超过9倍攻击力）</t>
  </si>
  <si>
    <t>[1.45]</t>
  </si>
  <si>
    <t>[5305505]</t>
  </si>
  <si>
    <t>2阶及以上梦灵有&lt;color=#54b76b&gt;0.5%&lt;/color&gt;概率秒杀小怪（不超过50倍攻击力）</t>
  </si>
  <si>
    <t>[0.8]</t>
  </si>
  <si>
    <t>[5306505]</t>
  </si>
  <si>
    <t>2阶及以上梦灵有&lt;color=#54b76b&gt;1%&lt;/color&gt;概率秒杀小怪（不超过100倍攻击力）</t>
  </si>
  <si>
    <t>[5307505]</t>
  </si>
  <si>
    <t>2阶及以上梦灵有&lt;color=#54b76b&gt;1.5%&lt;/color&gt;概率秒杀小怪（不超过150倍攻击力）</t>
  </si>
  <si>
    <t>[5305506]</t>
  </si>
  <si>
    <t>2阶及以上梦灵暴击时追加目标最大生命&lt;color=#54b76b&gt;1.5%&lt;/color&gt;伤害（不超过5倍攻击力）</t>
  </si>
  <si>
    <t>[5306506]</t>
  </si>
  <si>
    <t>2阶及以上梦灵暴击时追加目标最大生命&lt;color=#54b76b&gt;2%&lt;/color&gt;伤害（不超过7倍攻击力）</t>
  </si>
  <si>
    <t>[5307506]</t>
  </si>
  <si>
    <t>2阶及以上梦灵暴击时追加目标最大生命&lt;color=#54b76b&gt;2.5%&lt;/color&gt;伤害（不超过9倍攻击力）</t>
  </si>
  <si>
    <t>1~40w</t>
  </si>
  <si>
    <t>1~10w, 10~30w.</t>
  </si>
  <si>
    <t>部位列表</t>
  </si>
  <si>
    <r>
      <rPr>
        <b/>
        <sz val="10"/>
        <color rgb="FFFA7D00"/>
        <rFont val="微软雅黑"/>
        <charset val="134"/>
      </rPr>
      <t xml:space="preserve">洗练权重
重铸时使用的权重
</t>
    </r>
    <r>
      <rPr>
        <b/>
        <sz val="10"/>
        <color rgb="FFFF0000"/>
        <rFont val="微软雅黑"/>
        <charset val="134"/>
      </rPr>
      <t>万分比</t>
    </r>
  </si>
  <si>
    <t>洗练保底次数</t>
  </si>
  <si>
    <t>洗练权重
生成时使用的权重
万分比</t>
  </si>
  <si>
    <t>guaranteed</t>
  </si>
  <si>
    <t>compose_weight</t>
  </si>
  <si>
    <t>compose_guaranteed</t>
  </si>
  <si>
    <t>轮次</t>
  </si>
  <si>
    <t>节点</t>
  </si>
  <si>
    <t>物品类型</t>
  </si>
  <si>
    <t>数量</t>
  </si>
  <si>
    <t>返利</t>
  </si>
  <si>
    <t>筑梦快递箱</t>
  </si>
  <si>
    <t>初愿摇杆</t>
  </si>
  <si>
    <t>秘藏摇杆</t>
  </si>
  <si>
    <t>裂开了</t>
  </si>
  <si>
    <t>幻梦晶核</t>
  </si>
  <si>
    <t>梦愿水晶</t>
  </si>
  <si>
    <t>关羽&amp;神灯</t>
  </si>
  <si>
    <t>我爱沙&amp;海拉</t>
  </si>
  <si>
    <t>妲己</t>
  </si>
  <si>
    <t>白蛇</t>
  </si>
  <si>
    <t>后羿&amp;诸葛</t>
  </si>
  <si>
    <t>备份</t>
  </si>
  <si>
    <t>紫卡皮肤</t>
  </si>
  <si>
    <t>海拉&amp;我爱沙</t>
  </si>
  <si>
    <t>超能特饮</t>
  </si>
  <si>
    <t>金币</t>
  </si>
  <si>
    <t>稀有传说符文</t>
  </si>
  <si>
    <t>随机神话符文</t>
  </si>
  <si>
    <t>序号</t>
  </si>
  <si>
    <t>道具ID</t>
  </si>
  <si>
    <t>道具名称</t>
  </si>
  <si>
    <t>类别</t>
  </si>
  <si>
    <t>钻石价值</t>
  </si>
  <si>
    <t>RMB售价</t>
  </si>
  <si>
    <t>途径1</t>
  </si>
  <si>
    <t>途径2</t>
  </si>
  <si>
    <t>标准折扣</t>
  </si>
  <si>
    <t>备注</t>
  </si>
  <si>
    <t>整体思路</t>
  </si>
  <si>
    <t>货币类</t>
  </si>
  <si>
    <t>任务/成就/主线三星</t>
  </si>
  <si>
    <t>充值</t>
  </si>
  <si>
    <t>做各阶层的能力阶梯</t>
  </si>
  <si>
    <t>快捷购买</t>
  </si>
  <si>
    <t>日周月商店</t>
  </si>
  <si>
    <t>星珀</t>
  </si>
  <si>
    <t>每日特惠</t>
  </si>
  <si>
    <t>排行冲刺</t>
  </si>
  <si>
    <t>做中R的付费质感（前期中R）</t>
  </si>
  <si>
    <t>战令宝箱</t>
  </si>
  <si>
    <t>每日特惠宝箱</t>
  </si>
  <si>
    <t>咩菲特的雕像</t>
  </si>
  <si>
    <t>织梦宝箱</t>
  </si>
  <si>
    <t>筑梦典藏箱</t>
  </si>
  <si>
    <t>巡航门票</t>
  </si>
  <si>
    <t>能量特饮</t>
  </si>
  <si>
    <t>梦灵类</t>
  </si>
  <si>
    <t>体力产出</t>
  </si>
  <si>
    <t>做非R的基础体验</t>
  </si>
  <si>
    <t>梦境招募券</t>
  </si>
  <si>
    <t>情绪净化/主线任务</t>
  </si>
  <si>
    <t>商店购买</t>
  </si>
  <si>
    <t>做各阶层的能力阶梯（前期质变）</t>
  </si>
  <si>
    <t>招募累计</t>
  </si>
  <si>
    <t>心愿招募</t>
  </si>
  <si>
    <t>神灯</t>
  </si>
  <si>
    <t>限定招募</t>
  </si>
  <si>
    <t>做大R的付费边界（后期质变）</t>
  </si>
  <si>
    <t>稀有梦灵</t>
  </si>
  <si>
    <t>英雄招募</t>
  </si>
  <si>
    <t>史诗梦灵</t>
  </si>
  <si>
    <t>传说梦灵</t>
  </si>
  <si>
    <t>神话梦灵</t>
  </si>
  <si>
    <t>彩虹梦灵</t>
  </si>
  <si>
    <t>稀有梦灵碎片</t>
  </si>
  <si>
    <t>史诗梦灵碎片</t>
  </si>
  <si>
    <t>传说梦灵碎片</t>
  </si>
  <si>
    <t>神话梦灵碎片</t>
  </si>
  <si>
    <t>彩虹梦灵碎片</t>
  </si>
  <si>
    <t>公会贡献</t>
  </si>
  <si>
    <t>转运石</t>
  </si>
  <si>
    <t>友情值</t>
  </si>
  <si>
    <t>装备强化书</t>
  </si>
  <si>
    <t>装备类</t>
  </si>
  <si>
    <t>做非R长线活跃养成</t>
  </si>
  <si>
    <t>锻造晶石</t>
  </si>
  <si>
    <t>装备洗练</t>
  </si>
  <si>
    <t>主线装备箱</t>
  </si>
  <si>
    <t>队长大箱子</t>
  </si>
  <si>
    <t>队长小箱子</t>
  </si>
  <si>
    <t>随机普通装备</t>
  </si>
  <si>
    <t>随机优秀装备</t>
  </si>
  <si>
    <t>随机稀有装备</t>
  </si>
  <si>
    <t>随机史诗装备</t>
  </si>
  <si>
    <t>随机传说装备</t>
  </si>
  <si>
    <t>随机神话装备</t>
  </si>
  <si>
    <t>随机创世装备</t>
  </si>
  <si>
    <t>宝石类</t>
  </si>
  <si>
    <t>宝石低抽</t>
  </si>
  <si>
    <t>宝石高抽</t>
  </si>
  <si>
    <t>符引结晶</t>
  </si>
  <si>
    <t>低级洗练石</t>
  </si>
  <si>
    <t>高级洗练石</t>
  </si>
  <si>
    <t>做中R的付费质感</t>
  </si>
  <si>
    <t>白宝石</t>
  </si>
  <si>
    <t>绿宝石</t>
  </si>
  <si>
    <t>蓝宝石</t>
  </si>
  <si>
    <t>紫宝石</t>
  </si>
  <si>
    <t>橙宝石</t>
  </si>
  <si>
    <t>红宝石</t>
  </si>
  <si>
    <t>做大R的付费质感</t>
  </si>
  <si>
    <t>彩宝石</t>
  </si>
  <si>
    <t>做大R的付费边界</t>
  </si>
  <si>
    <t>符文宝箱</t>
  </si>
  <si>
    <t>织梦微尘</t>
  </si>
  <si>
    <t>基因类</t>
  </si>
  <si>
    <t>基因低级材料</t>
  </si>
  <si>
    <t>潜能棱晶</t>
  </si>
  <si>
    <t>主线三星</t>
  </si>
  <si>
    <t>基因高级材料</t>
  </si>
  <si>
    <t>加速沙漏</t>
  </si>
  <si>
    <t>通过SS类活动做分层</t>
  </si>
  <si>
    <t>晶石</t>
  </si>
  <si>
    <t>秘宝类</t>
  </si>
  <si>
    <t>公会活动</t>
  </si>
  <si>
    <t>竞技场币</t>
  </si>
  <si>
    <t>抽奖道具</t>
  </si>
  <si>
    <t>运营活动</t>
  </si>
  <si>
    <t>史诗梦灵皮肤</t>
  </si>
  <si>
    <t>传说梦灵皮肤</t>
  </si>
  <si>
    <t>神话梦灵皮肤</t>
  </si>
  <si>
    <t>传说武器皮肤</t>
  </si>
  <si>
    <t>神话武器皮肤</t>
  </si>
  <si>
    <t>传说时装皮肤</t>
  </si>
  <si>
    <t>做中小R的钻销体系+大R的付费隔绝</t>
  </si>
  <si>
    <t>神话时装皮肤</t>
  </si>
  <si>
    <t>传说船体皮肤</t>
  </si>
  <si>
    <t>神话船体皮肤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</si>
</sst>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[=0]&quot;&quot;;General"/>
    <numFmt numFmtId="178" formatCode="0.0%"/>
    <numFmt numFmtId="179" formatCode="0.0_ "/>
    <numFmt numFmtId="180" formatCode="0_);[Red]\(0\)"/>
  </numFmts>
  <fonts count="47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sz val="10"/>
      <name val="微软雅黑"/>
      <charset val="134"/>
    </font>
    <font>
      <sz val="10"/>
      <color theme="0"/>
      <name val="微软雅黑"/>
      <charset val="134"/>
    </font>
    <font>
      <sz val="10"/>
      <color rgb="FF000000"/>
      <name val="微软雅黑"/>
      <charset val="134"/>
    </font>
    <font>
      <b/>
      <sz val="10"/>
      <color rgb="FFFA7D00"/>
      <name val="微软雅黑"/>
      <charset val="134"/>
    </font>
    <font>
      <sz val="12"/>
      <color rgb="FF000000"/>
      <name val="微软雅黑"/>
      <charset val="134"/>
    </font>
    <font>
      <b/>
      <sz val="9"/>
      <color indexed="53"/>
      <name val="微软雅黑"/>
      <charset val="134"/>
    </font>
    <font>
      <sz val="9"/>
      <color indexed="8"/>
      <name val="微软雅黑"/>
      <charset val="134"/>
    </font>
    <font>
      <sz val="9"/>
      <name val="微软雅黑"/>
      <charset val="134"/>
    </font>
    <font>
      <b/>
      <sz val="9"/>
      <color indexed="30"/>
      <name val="微软雅黑"/>
      <charset val="134"/>
    </font>
    <font>
      <sz val="9"/>
      <color indexed="30"/>
      <name val="微软雅黑"/>
      <charset val="134"/>
    </font>
    <font>
      <b/>
      <sz val="10"/>
      <color indexed="10"/>
      <name val="微软雅黑"/>
      <charset val="134"/>
    </font>
    <font>
      <sz val="9"/>
      <color indexed="62"/>
      <name val="微软雅黑"/>
      <charset val="134"/>
    </font>
    <font>
      <b/>
      <sz val="9"/>
      <color indexed="8"/>
      <name val="微软雅黑"/>
      <charset val="134"/>
    </font>
    <font>
      <b/>
      <sz val="9"/>
      <color indexed="10"/>
      <name val="微软雅黑"/>
      <charset val="134"/>
    </font>
    <font>
      <sz val="9"/>
      <color indexed="10"/>
      <name val="微软雅黑"/>
      <charset val="134"/>
    </font>
    <font>
      <sz val="9"/>
      <color indexed="8"/>
      <name val="å®ä½"/>
      <charset val="134"/>
    </font>
    <font>
      <b/>
      <sz val="9"/>
      <color indexed="21"/>
      <name val="微软雅黑"/>
      <charset val="134"/>
    </font>
    <font>
      <b/>
      <sz val="18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rgb="FF000000"/>
      <name val="等线"/>
      <charset val="134"/>
    </font>
    <font>
      <b/>
      <sz val="10"/>
      <color theme="4"/>
      <name val="微软雅黑"/>
      <charset val="134"/>
    </font>
    <font>
      <b/>
      <sz val="10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0"/>
      <scheme val="minor"/>
    </font>
    <font>
      <sz val="9"/>
      <name val="宋体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BCEE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21" borderId="7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22" borderId="10" applyNumberFormat="0" applyAlignment="0" applyProtection="0">
      <alignment vertical="center"/>
    </xf>
    <xf numFmtId="0" fontId="35" fillId="14" borderId="11" applyNumberFormat="0" applyAlignment="0" applyProtection="0">
      <alignment vertical="center"/>
    </xf>
    <xf numFmtId="0" fontId="36" fillId="14" borderId="10" applyNumberFormat="0" applyAlignment="0" applyProtection="0">
      <alignment vertical="center"/>
    </xf>
    <xf numFmtId="0" fontId="37" fillId="23" borderId="12" applyNumberFormat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</cellStyleXfs>
  <cellXfs count="14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76" fontId="2" fillId="0" borderId="3" xfId="0" applyNumberFormat="1" applyFont="1" applyFill="1" applyBorder="1" applyAlignment="1">
      <alignment horizontal="center" vertical="center"/>
    </xf>
    <xf numFmtId="9" fontId="2" fillId="0" borderId="3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9" fontId="2" fillId="4" borderId="0" xfId="3" applyFont="1" applyFill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/>
    <xf numFmtId="0" fontId="7" fillId="6" borderId="0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 applyProtection="1"/>
    <xf numFmtId="177" fontId="6" fillId="0" borderId="0" xfId="0" applyNumberFormat="1" applyFont="1" applyFill="1" applyBorder="1" applyAlignment="1" applyProtection="1">
      <alignment horizontal="center"/>
    </xf>
    <xf numFmtId="176" fontId="6" fillId="0" borderId="0" xfId="0" applyNumberFormat="1" applyFont="1" applyFill="1" applyBorder="1" applyAlignment="1" applyProtection="1"/>
    <xf numFmtId="177" fontId="6" fillId="5" borderId="0" xfId="0" applyNumberFormat="1" applyFont="1" applyFill="1" applyBorder="1" applyAlignment="1" applyProtection="1">
      <alignment horizontal="center"/>
    </xf>
    <xf numFmtId="0" fontId="8" fillId="0" borderId="0" xfId="0" applyNumberFormat="1" applyFont="1" applyFill="1" applyBorder="1" applyAlignment="1" applyProtection="1">
      <alignment horizontal="center"/>
    </xf>
    <xf numFmtId="0" fontId="9" fillId="6" borderId="0" xfId="0" applyNumberFormat="1" applyFont="1" applyFill="1" applyBorder="1" applyAlignment="1" applyProtection="1">
      <alignment horizontal="center" vertical="center" wrapText="1"/>
    </xf>
    <xf numFmtId="0" fontId="9" fillId="0" borderId="0" xfId="0" applyNumberFormat="1" applyFont="1" applyFill="1" applyBorder="1" applyAlignment="1" applyProtection="1">
      <alignment horizontal="center" vertical="center" wrapText="1"/>
    </xf>
    <xf numFmtId="0" fontId="9" fillId="7" borderId="0" xfId="0" applyNumberFormat="1" applyFont="1" applyFill="1" applyBorder="1" applyAlignment="1" applyProtection="1">
      <alignment horizontal="center" vertical="center" wrapText="1"/>
    </xf>
    <xf numFmtId="0" fontId="9" fillId="8" borderId="0" xfId="0" applyNumberFormat="1" applyFont="1" applyFill="1" applyBorder="1" applyAlignment="1" applyProtection="1">
      <alignment horizontal="center" vertical="center" wrapText="1"/>
    </xf>
    <xf numFmtId="0" fontId="10" fillId="8" borderId="0" xfId="0" applyNumberFormat="1" applyFont="1" applyFill="1" applyBorder="1" applyAlignment="1" applyProtection="1">
      <alignment horizontal="center" vertical="center" wrapText="1"/>
    </xf>
    <xf numFmtId="0" fontId="9" fillId="9" borderId="0" xfId="0" applyNumberFormat="1" applyFont="1" applyFill="1" applyBorder="1" applyAlignment="1" applyProtection="1">
      <alignment horizontal="center" vertical="center" wrapText="1"/>
    </xf>
    <xf numFmtId="0" fontId="9" fillId="5" borderId="0" xfId="0" applyNumberFormat="1" applyFont="1" applyFill="1" applyBorder="1" applyAlignment="1" applyProtection="1">
      <alignment horizontal="center" vertical="center" wrapText="1"/>
    </xf>
    <xf numFmtId="0" fontId="10" fillId="9" borderId="0" xfId="0" applyNumberFormat="1" applyFont="1" applyFill="1" applyBorder="1" applyAlignment="1" applyProtection="1">
      <alignment horizontal="center" vertical="center" wrapText="1"/>
    </xf>
    <xf numFmtId="0" fontId="10" fillId="5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11" fillId="0" borderId="0" xfId="0" applyNumberFormat="1" applyFont="1" applyFill="1" applyBorder="1" applyAlignment="1" applyProtection="1">
      <alignment horizontal="left" vertical="center" wrapText="1"/>
    </xf>
    <xf numFmtId="0" fontId="9" fillId="6" borderId="0" xfId="0" applyNumberFormat="1" applyFont="1" applyFill="1" applyBorder="1" applyAlignment="1" applyProtection="1">
      <alignment horizontal="center" vertical="center"/>
    </xf>
    <xf numFmtId="0" fontId="12" fillId="6" borderId="0" xfId="0" applyNumberFormat="1" applyFont="1" applyFill="1" applyBorder="1" applyAlignment="1" applyProtection="1">
      <alignment horizontal="center" vertical="center" wrapText="1"/>
    </xf>
    <xf numFmtId="0" fontId="9" fillId="6" borderId="0" xfId="0" applyNumberFormat="1" applyFont="1" applyFill="1" applyBorder="1" applyAlignment="1" applyProtection="1">
      <alignment horizontal="left" vertical="center" wrapText="1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0" fillId="7" borderId="0" xfId="0" applyNumberFormat="1" applyFont="1" applyFill="1" applyBorder="1" applyAlignment="1" applyProtection="1">
      <alignment horizontal="center" vertical="center"/>
    </xf>
    <xf numFmtId="0" fontId="9" fillId="7" borderId="0" xfId="0" applyNumberFormat="1" applyFont="1" applyFill="1" applyBorder="1" applyAlignment="1" applyProtection="1">
      <alignment horizontal="center" vertical="center"/>
    </xf>
    <xf numFmtId="0" fontId="10" fillId="7" borderId="0" xfId="0" applyNumberFormat="1" applyFont="1" applyFill="1" applyBorder="1" applyAlignment="1" applyProtection="1">
      <alignment horizontal="center" vertical="center" wrapText="1"/>
    </xf>
    <xf numFmtId="0" fontId="11" fillId="7" borderId="0" xfId="0" applyNumberFormat="1" applyFont="1" applyFill="1" applyBorder="1" applyAlignment="1" applyProtection="1">
      <alignment horizontal="center" vertical="center" wrapText="1"/>
    </xf>
    <xf numFmtId="0" fontId="11" fillId="7" borderId="0" xfId="0" applyNumberFormat="1" applyFont="1" applyFill="1" applyBorder="1" applyAlignment="1" applyProtection="1">
      <alignment horizontal="left" vertical="center" wrapText="1"/>
    </xf>
    <xf numFmtId="0" fontId="13" fillId="0" borderId="0" xfId="0" applyNumberFormat="1" applyFont="1" applyFill="1" applyBorder="1" applyAlignment="1" applyProtection="1">
      <alignment horizontal="center" vertical="center" wrapText="1"/>
    </xf>
    <xf numFmtId="0" fontId="14" fillId="0" borderId="0" xfId="0" applyNumberFormat="1" applyFont="1" applyFill="1" applyBorder="1" applyAlignment="1" applyProtection="1">
      <alignment horizontal="center" vertical="center"/>
    </xf>
    <xf numFmtId="0" fontId="12" fillId="0" borderId="0" xfId="0" applyNumberFormat="1" applyFont="1" applyFill="1" applyBorder="1" applyAlignment="1" applyProtection="1">
      <alignment horizontal="center" vertical="center"/>
    </xf>
    <xf numFmtId="178" fontId="10" fillId="0" borderId="0" xfId="3" applyNumberFormat="1" applyFont="1" applyFill="1" applyBorder="1" applyAlignment="1" applyProtection="1">
      <alignment horizontal="center" vertical="center"/>
    </xf>
    <xf numFmtId="0" fontId="15" fillId="0" borderId="0" xfId="0" applyNumberFormat="1" applyFont="1" applyFill="1" applyBorder="1" applyAlignment="1" applyProtection="1">
      <alignment horizontal="center" vertical="center" wrapText="1"/>
    </xf>
    <xf numFmtId="0" fontId="13" fillId="0" borderId="0" xfId="0" applyNumberFormat="1" applyFont="1" applyFill="1" applyBorder="1" applyAlignment="1" applyProtection="1">
      <alignment horizontal="left" vertical="center" wrapText="1"/>
    </xf>
    <xf numFmtId="0" fontId="16" fillId="0" borderId="0" xfId="0" applyNumberFormat="1" applyFont="1" applyFill="1" applyBorder="1" applyAlignment="1" applyProtection="1">
      <alignment horizontal="center" vertical="center"/>
    </xf>
    <xf numFmtId="0" fontId="11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</xf>
    <xf numFmtId="0" fontId="13" fillId="8" borderId="0" xfId="0" applyNumberFormat="1" applyFont="1" applyFill="1" applyBorder="1" applyAlignment="1" applyProtection="1">
      <alignment horizontal="center" vertical="center" wrapText="1"/>
    </xf>
    <xf numFmtId="0" fontId="11" fillId="8" borderId="0" xfId="0" applyNumberFormat="1" applyFont="1" applyFill="1" applyBorder="1" applyAlignment="1" applyProtection="1">
      <alignment horizontal="center" vertical="center"/>
    </xf>
    <xf numFmtId="0" fontId="13" fillId="8" borderId="0" xfId="0" applyNumberFormat="1" applyFont="1" applyFill="1" applyBorder="1" applyAlignment="1" applyProtection="1">
      <alignment horizontal="center" vertical="center"/>
    </xf>
    <xf numFmtId="0" fontId="10" fillId="8" borderId="0" xfId="0" applyNumberFormat="1" applyFont="1" applyFill="1" applyBorder="1" applyAlignment="1" applyProtection="1">
      <alignment horizontal="center" vertical="center"/>
    </xf>
    <xf numFmtId="0" fontId="15" fillId="8" borderId="0" xfId="0" applyNumberFormat="1" applyFont="1" applyFill="1" applyBorder="1" applyAlignment="1" applyProtection="1">
      <alignment horizontal="center" vertical="center" wrapText="1"/>
    </xf>
    <xf numFmtId="0" fontId="11" fillId="8" borderId="0" xfId="0" applyNumberFormat="1" applyFont="1" applyFill="1" applyBorder="1" applyAlignment="1" applyProtection="1">
      <alignment horizontal="center" vertical="center" wrapText="1"/>
    </xf>
    <xf numFmtId="0" fontId="11" fillId="8" borderId="0" xfId="0" applyNumberFormat="1" applyFont="1" applyFill="1" applyBorder="1" applyAlignment="1" applyProtection="1">
      <alignment horizontal="left" vertical="center"/>
    </xf>
    <xf numFmtId="0" fontId="13" fillId="8" borderId="0" xfId="0" applyNumberFormat="1" applyFont="1" applyFill="1" applyBorder="1" applyAlignment="1" applyProtection="1">
      <alignment horizontal="left" vertical="center" wrapText="1"/>
    </xf>
    <xf numFmtId="0" fontId="9" fillId="0" borderId="0" xfId="0" applyNumberFormat="1" applyFont="1" applyFill="1" applyBorder="1" applyAlignment="1" applyProtection="1">
      <alignment horizontal="left" vertical="center" wrapText="1"/>
    </xf>
    <xf numFmtId="178" fontId="10" fillId="10" borderId="0" xfId="3" applyNumberFormat="1" applyFont="1" applyFill="1" applyBorder="1" applyAlignment="1" applyProtection="1">
      <alignment horizontal="center" vertical="center"/>
    </xf>
    <xf numFmtId="0" fontId="9" fillId="8" borderId="0" xfId="0" applyNumberFormat="1" applyFont="1" applyFill="1" applyBorder="1" applyAlignment="1" applyProtection="1">
      <alignment horizontal="center" vertical="center"/>
    </xf>
    <xf numFmtId="9" fontId="10" fillId="0" borderId="0" xfId="0" applyNumberFormat="1" applyFont="1" applyFill="1" applyBorder="1" applyAlignment="1" applyProtection="1">
      <alignment horizontal="center" vertical="center"/>
    </xf>
    <xf numFmtId="0" fontId="10" fillId="11" borderId="0" xfId="0" applyNumberFormat="1" applyFont="1" applyFill="1" applyBorder="1" applyAlignment="1" applyProtection="1">
      <alignment horizontal="center" vertical="center"/>
    </xf>
    <xf numFmtId="0" fontId="10" fillId="8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17" fillId="0" borderId="0" xfId="0" applyNumberFormat="1" applyFont="1" applyFill="1" applyBorder="1" applyAlignment="1" applyProtection="1">
      <alignment horizontal="center" vertical="center" wrapText="1"/>
    </xf>
    <xf numFmtId="0" fontId="10" fillId="8" borderId="0" xfId="0" applyNumberFormat="1" applyFont="1" applyFill="1" applyBorder="1" applyAlignment="1" applyProtection="1">
      <alignment horizontal="left" vertical="center" wrapText="1"/>
    </xf>
    <xf numFmtId="0" fontId="10" fillId="0" borderId="0" xfId="0" applyNumberFormat="1" applyFont="1" applyFill="1" applyBorder="1" applyAlignment="1" applyProtection="1">
      <alignment horizontal="left" vertical="center" wrapText="1"/>
    </xf>
    <xf numFmtId="0" fontId="18" fillId="8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/>
    <xf numFmtId="0" fontId="19" fillId="0" borderId="0" xfId="0" applyNumberFormat="1" applyFont="1" applyFill="1" applyBorder="1" applyAlignment="1" applyProtection="1">
      <alignment horizontal="center"/>
    </xf>
    <xf numFmtId="0" fontId="20" fillId="0" borderId="0" xfId="0" applyNumberFormat="1" applyFont="1" applyFill="1" applyBorder="1" applyAlignment="1" applyProtection="1">
      <alignment horizontal="center" vertical="center" wrapText="1"/>
    </xf>
    <xf numFmtId="0" fontId="10" fillId="9" borderId="0" xfId="0" applyNumberFormat="1" applyFont="1" applyFill="1" applyBorder="1" applyAlignment="1" applyProtection="1">
      <alignment horizontal="center" vertical="center"/>
    </xf>
    <xf numFmtId="0" fontId="10" fillId="12" borderId="0" xfId="0" applyNumberFormat="1" applyFont="1" applyFill="1" applyBorder="1" applyAlignment="1" applyProtection="1">
      <alignment horizontal="center" vertical="center"/>
    </xf>
    <xf numFmtId="0" fontId="10" fillId="5" borderId="0" xfId="0" applyNumberFormat="1" applyFont="1" applyFill="1" applyBorder="1" applyAlignment="1" applyProtection="1">
      <alignment horizontal="center" vertical="center"/>
    </xf>
    <xf numFmtId="0" fontId="11" fillId="9" borderId="0" xfId="0" applyNumberFormat="1" applyFont="1" applyFill="1" applyBorder="1" applyAlignment="1" applyProtection="1">
      <alignment horizontal="center" vertical="center" wrapText="1"/>
    </xf>
    <xf numFmtId="0" fontId="13" fillId="9" borderId="0" xfId="0" applyNumberFormat="1" applyFont="1" applyFill="1" applyBorder="1" applyAlignment="1" applyProtection="1">
      <alignment horizontal="center" vertical="center"/>
    </xf>
    <xf numFmtId="0" fontId="11" fillId="9" borderId="0" xfId="0" applyNumberFormat="1" applyFont="1" applyFill="1" applyBorder="1" applyAlignment="1" applyProtection="1">
      <alignment horizontal="left" vertical="center" wrapText="1"/>
    </xf>
    <xf numFmtId="0" fontId="13" fillId="5" borderId="0" xfId="0" applyNumberFormat="1" applyFont="1" applyFill="1" applyBorder="1" applyAlignment="1" applyProtection="1">
      <alignment horizontal="center" vertical="center"/>
    </xf>
    <xf numFmtId="0" fontId="11" fillId="5" borderId="0" xfId="0" applyNumberFormat="1" applyFont="1" applyFill="1" applyBorder="1" applyAlignment="1" applyProtection="1">
      <alignment horizontal="center" vertical="center" wrapText="1"/>
    </xf>
    <xf numFmtId="0" fontId="11" fillId="5" borderId="0" xfId="0" applyNumberFormat="1" applyFont="1" applyFill="1" applyBorder="1" applyAlignment="1" applyProtection="1">
      <alignment horizontal="center" vertical="center"/>
    </xf>
    <xf numFmtId="0" fontId="11" fillId="5" borderId="0" xfId="0" applyNumberFormat="1" applyFont="1" applyFill="1" applyBorder="1" applyAlignment="1" applyProtection="1">
      <alignment horizontal="left" vertical="center" wrapText="1"/>
    </xf>
    <xf numFmtId="0" fontId="9" fillId="9" borderId="0" xfId="0" applyNumberFormat="1" applyFont="1" applyFill="1" applyBorder="1" applyAlignment="1" applyProtection="1">
      <alignment horizontal="center" vertical="center"/>
    </xf>
    <xf numFmtId="0" fontId="17" fillId="9" borderId="0" xfId="0" applyNumberFormat="1" applyFont="1" applyFill="1" applyBorder="1" applyAlignment="1" applyProtection="1">
      <alignment horizontal="center" vertical="center" wrapText="1"/>
    </xf>
    <xf numFmtId="0" fontId="11" fillId="13" borderId="0" xfId="0" applyNumberFormat="1" applyFont="1" applyFill="1" applyBorder="1" applyAlignment="1" applyProtection="1">
      <alignment horizontal="center" vertical="center" wrapText="1"/>
    </xf>
    <xf numFmtId="0" fontId="10" fillId="14" borderId="0" xfId="0" applyNumberFormat="1" applyFont="1" applyFill="1" applyBorder="1" applyAlignment="1" applyProtection="1">
      <alignment horizontal="center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9" fontId="2" fillId="0" borderId="0" xfId="3" applyFont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178" fontId="2" fillId="0" borderId="0" xfId="3" applyNumberFormat="1" applyFont="1" applyAlignment="1">
      <alignment horizontal="center" vertical="center"/>
    </xf>
    <xf numFmtId="178" fontId="2" fillId="15" borderId="0" xfId="3" applyNumberFormat="1" applyFont="1" applyFill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0" fillId="0" borderId="0" xfId="0">
      <alignment vertical="center"/>
    </xf>
    <xf numFmtId="0" fontId="1" fillId="16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4" fillId="0" borderId="6" xfId="3" applyNumberFormat="1" applyFont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5" fillId="3" borderId="4" xfId="0" applyFont="1" applyFill="1" applyBorder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1" fontId="2" fillId="4" borderId="4" xfId="0" applyNumberFormat="1" applyFont="1" applyFill="1" applyBorder="1" applyAlignment="1">
      <alignment horizontal="center" vertical="center"/>
    </xf>
    <xf numFmtId="9" fontId="2" fillId="4" borderId="4" xfId="3" applyFont="1" applyFill="1" applyBorder="1" applyAlignment="1">
      <alignment horizontal="center" vertical="center"/>
    </xf>
    <xf numFmtId="9" fontId="2" fillId="4" borderId="4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9" fontId="24" fillId="0" borderId="6" xfId="3" applyFont="1" applyFill="1" applyBorder="1" applyAlignment="1">
      <alignment horizontal="center" vertical="center"/>
    </xf>
    <xf numFmtId="178" fontId="24" fillId="0" borderId="6" xfId="3" applyNumberFormat="1" applyFont="1" applyFill="1" applyBorder="1" applyAlignment="1">
      <alignment horizontal="center" vertical="center"/>
    </xf>
    <xf numFmtId="0" fontId="24" fillId="0" borderId="6" xfId="0" applyFont="1" applyFill="1" applyBorder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1" fontId="2" fillId="5" borderId="4" xfId="0" applyNumberFormat="1" applyFont="1" applyFill="1" applyBorder="1" applyAlignment="1">
      <alignment horizontal="center" vertical="center"/>
    </xf>
    <xf numFmtId="9" fontId="2" fillId="5" borderId="4" xfId="3" applyFont="1" applyFill="1" applyBorder="1" applyAlignment="1">
      <alignment horizontal="center" vertical="center"/>
    </xf>
    <xf numFmtId="9" fontId="2" fillId="0" borderId="5" xfId="3" applyFont="1" applyFill="1" applyBorder="1" applyAlignment="1">
      <alignment horizontal="center" vertical="center"/>
    </xf>
    <xf numFmtId="0" fontId="2" fillId="5" borderId="4" xfId="0" applyNumberFormat="1" applyFont="1" applyFill="1" applyBorder="1" applyAlignment="1">
      <alignment horizontal="center" vertical="center"/>
    </xf>
    <xf numFmtId="0" fontId="1" fillId="17" borderId="3" xfId="0" applyFont="1" applyFill="1" applyBorder="1" applyAlignment="1">
      <alignment horizontal="center" vertical="center"/>
    </xf>
    <xf numFmtId="0" fontId="1" fillId="18" borderId="3" xfId="0" applyFont="1" applyFill="1" applyBorder="1" applyAlignment="1">
      <alignment horizontal="center" vertical="center"/>
    </xf>
    <xf numFmtId="0" fontId="1" fillId="19" borderId="3" xfId="0" applyFont="1" applyFill="1" applyBorder="1" applyAlignment="1">
      <alignment horizontal="center" vertical="center"/>
    </xf>
    <xf numFmtId="0" fontId="1" fillId="20" borderId="3" xfId="0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176" fontId="2" fillId="0" borderId="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2" fillId="4" borderId="0" xfId="0" applyNumberFormat="1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179" fontId="22" fillId="0" borderId="0" xfId="0" applyNumberFormat="1" applyFont="1" applyAlignment="1">
      <alignment horizontal="center" vertical="center"/>
    </xf>
    <xf numFmtId="176" fontId="22" fillId="0" borderId="0" xfId="0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5" fillId="18" borderId="0" xfId="0" applyFont="1" applyFill="1" applyAlignment="1">
      <alignment horizontal="center" vertical="center"/>
    </xf>
    <xf numFmtId="180" fontId="2" fillId="0" borderId="0" xfId="3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6">
    <dxf>
      <font>
        <name val="微软雅黑"/>
        <scheme val="none"/>
        <charset val="134"/>
        <family val="0"/>
        <b val="1"/>
        <i val="0"/>
        <strike val="0"/>
        <u val="none"/>
        <sz val="10"/>
        <color theme="1"/>
      </font>
      <alignment horizontal="left" vertical="center"/>
    </dxf>
    <dxf>
      <font>
        <name val="微软雅黑"/>
        <scheme val="none"/>
        <charset val="134"/>
        <family val="0"/>
        <b val="1"/>
        <i val="0"/>
        <strike val="0"/>
        <u val="none"/>
        <sz val="10"/>
        <color theme="1"/>
      </font>
      <numFmt numFmtId="0" formatCode="General"/>
      <alignment horizontal="left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1"/>
        <i val="0"/>
        <strike val="0"/>
        <u val="none"/>
        <sz val="10"/>
        <color theme="1"/>
      </font>
      <alignment horizontal="left" vertical="center"/>
    </dxf>
    <dxf>
      <font>
        <name val="微软雅黑"/>
        <scheme val="none"/>
        <charset val="134"/>
        <family val="0"/>
        <b val="1"/>
        <i val="0"/>
        <strike val="0"/>
        <u val="none"/>
        <sz val="10"/>
        <color theme="1"/>
      </font>
      <numFmt numFmtId="0" formatCode="General"/>
      <alignment horizontal="left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8" formatCode="0.0%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8" formatCode="0.0%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8" formatCode="0.0%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8" formatCode="0.0%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8" formatCode="0.0%"/>
      <alignment horizontal="center" vertical="center"/>
    </dxf>
    <dxf>
      <font>
        <name val="微软雅黑"/>
        <scheme val="none"/>
        <charset val="134"/>
        <family val="0"/>
        <b val="1"/>
        <i val="0"/>
        <strike val="0"/>
        <u val="none"/>
        <sz val="10"/>
        <color rgb="FFFF0000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 vertical="center"/>
    </dxf>
    <dxf>
      <font>
        <name val="微软雅黑"/>
        <scheme val="none"/>
        <charset val="134"/>
        <family val="0"/>
        <b val="1"/>
        <i val="0"/>
        <strike val="0"/>
        <u val="none"/>
        <sz val="10"/>
        <color theme="1"/>
      </font>
      <alignment horizontal="left" vertical="center"/>
    </dxf>
    <dxf>
      <font>
        <name val="微软雅黑"/>
        <scheme val="none"/>
        <charset val="134"/>
        <family val="0"/>
        <b val="1"/>
        <i val="0"/>
        <strike val="0"/>
        <u val="none"/>
        <sz val="10"/>
        <color theme="1"/>
      </font>
      <numFmt numFmtId="0" formatCode="General"/>
      <alignment horizontal="left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0_ "/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单关消耗钻石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总览!$J$45</c:f>
              <c:strCache>
                <c:ptCount val="1"/>
                <c:pt idx="0">
                  <c:v>梦灵养成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总览!$J$46:$J$345</c:f>
              <c:numCache>
                <c:formatCode>0_ </c:formatCode>
                <c:ptCount val="300"/>
                <c:pt idx="0">
                  <c:v>5400</c:v>
                </c:pt>
                <c:pt idx="1">
                  <c:v>3600</c:v>
                </c:pt>
                <c:pt idx="2">
                  <c:v>1800</c:v>
                </c:pt>
                <c:pt idx="3">
                  <c:v>9000</c:v>
                </c:pt>
                <c:pt idx="4">
                  <c:v>14400</c:v>
                </c:pt>
                <c:pt idx="5">
                  <c:v>12600</c:v>
                </c:pt>
                <c:pt idx="6">
                  <c:v>10800</c:v>
                </c:pt>
                <c:pt idx="7">
                  <c:v>10800</c:v>
                </c:pt>
                <c:pt idx="8">
                  <c:v>10800</c:v>
                </c:pt>
                <c:pt idx="9">
                  <c:v>9000</c:v>
                </c:pt>
                <c:pt idx="10">
                  <c:v>9000</c:v>
                </c:pt>
                <c:pt idx="11">
                  <c:v>7200</c:v>
                </c:pt>
                <c:pt idx="12">
                  <c:v>5400</c:v>
                </c:pt>
                <c:pt idx="13">
                  <c:v>5400</c:v>
                </c:pt>
                <c:pt idx="14">
                  <c:v>3600</c:v>
                </c:pt>
                <c:pt idx="15">
                  <c:v>3600</c:v>
                </c:pt>
                <c:pt idx="16">
                  <c:v>1800</c:v>
                </c:pt>
                <c:pt idx="17">
                  <c:v>10800</c:v>
                </c:pt>
                <c:pt idx="18">
                  <c:v>10800</c:v>
                </c:pt>
                <c:pt idx="19">
                  <c:v>9000</c:v>
                </c:pt>
                <c:pt idx="20">
                  <c:v>9000</c:v>
                </c:pt>
                <c:pt idx="21">
                  <c:v>12600</c:v>
                </c:pt>
                <c:pt idx="22">
                  <c:v>10800</c:v>
                </c:pt>
                <c:pt idx="23">
                  <c:v>10800</c:v>
                </c:pt>
                <c:pt idx="24">
                  <c:v>9000</c:v>
                </c:pt>
                <c:pt idx="25">
                  <c:v>9000</c:v>
                </c:pt>
                <c:pt idx="26">
                  <c:v>7200</c:v>
                </c:pt>
                <c:pt idx="27">
                  <c:v>5400</c:v>
                </c:pt>
                <c:pt idx="28">
                  <c:v>5400</c:v>
                </c:pt>
                <c:pt idx="29">
                  <c:v>3600</c:v>
                </c:pt>
                <c:pt idx="30">
                  <c:v>3600</c:v>
                </c:pt>
                <c:pt idx="31">
                  <c:v>1800</c:v>
                </c:pt>
                <c:pt idx="32">
                  <c:v>3600</c:v>
                </c:pt>
                <c:pt idx="33">
                  <c:v>3600</c:v>
                </c:pt>
                <c:pt idx="34">
                  <c:v>1800</c:v>
                </c:pt>
                <c:pt idx="35">
                  <c:v>1800</c:v>
                </c:pt>
                <c:pt idx="36">
                  <c:v>27000</c:v>
                </c:pt>
                <c:pt idx="37">
                  <c:v>25200</c:v>
                </c:pt>
                <c:pt idx="38">
                  <c:v>25200</c:v>
                </c:pt>
                <c:pt idx="39">
                  <c:v>23400</c:v>
                </c:pt>
                <c:pt idx="40">
                  <c:v>23400</c:v>
                </c:pt>
                <c:pt idx="41">
                  <c:v>21600</c:v>
                </c:pt>
                <c:pt idx="42">
                  <c:v>19800</c:v>
                </c:pt>
                <c:pt idx="43">
                  <c:v>19800</c:v>
                </c:pt>
                <c:pt idx="44">
                  <c:v>18000</c:v>
                </c:pt>
                <c:pt idx="45">
                  <c:v>18000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7200</c:v>
                </c:pt>
                <c:pt idx="50">
                  <c:v>7200</c:v>
                </c:pt>
                <c:pt idx="51">
                  <c:v>5400</c:v>
                </c:pt>
                <c:pt idx="52">
                  <c:v>9000</c:v>
                </c:pt>
                <c:pt idx="53">
                  <c:v>9000</c:v>
                </c:pt>
                <c:pt idx="54">
                  <c:v>7200</c:v>
                </c:pt>
                <c:pt idx="55">
                  <c:v>7200</c:v>
                </c:pt>
                <c:pt idx="56">
                  <c:v>5400</c:v>
                </c:pt>
                <c:pt idx="57">
                  <c:v>3600</c:v>
                </c:pt>
                <c:pt idx="58">
                  <c:v>3600</c:v>
                </c:pt>
                <c:pt idx="59">
                  <c:v>1800</c:v>
                </c:pt>
                <c:pt idx="60">
                  <c:v>1800</c:v>
                </c:pt>
                <c:pt idx="61">
                  <c:v>7200</c:v>
                </c:pt>
                <c:pt idx="62">
                  <c:v>5400</c:v>
                </c:pt>
                <c:pt idx="63">
                  <c:v>5400</c:v>
                </c:pt>
                <c:pt idx="64">
                  <c:v>3600</c:v>
                </c:pt>
                <c:pt idx="65">
                  <c:v>3600</c:v>
                </c:pt>
                <c:pt idx="66">
                  <c:v>1800</c:v>
                </c:pt>
                <c:pt idx="67">
                  <c:v>23400</c:v>
                </c:pt>
                <c:pt idx="68">
                  <c:v>23400</c:v>
                </c:pt>
                <c:pt idx="69">
                  <c:v>21600</c:v>
                </c:pt>
                <c:pt idx="70">
                  <c:v>21600</c:v>
                </c:pt>
                <c:pt idx="71">
                  <c:v>19800</c:v>
                </c:pt>
                <c:pt idx="72">
                  <c:v>18000</c:v>
                </c:pt>
                <c:pt idx="73">
                  <c:v>18000</c:v>
                </c:pt>
                <c:pt idx="74">
                  <c:v>16200</c:v>
                </c:pt>
                <c:pt idx="75">
                  <c:v>16200</c:v>
                </c:pt>
                <c:pt idx="76">
                  <c:v>14400</c:v>
                </c:pt>
                <c:pt idx="77">
                  <c:v>12600</c:v>
                </c:pt>
                <c:pt idx="78">
                  <c:v>12600</c:v>
                </c:pt>
                <c:pt idx="79">
                  <c:v>10800</c:v>
                </c:pt>
                <c:pt idx="80">
                  <c:v>10800</c:v>
                </c:pt>
                <c:pt idx="81">
                  <c:v>9000</c:v>
                </c:pt>
                <c:pt idx="82">
                  <c:v>14400</c:v>
                </c:pt>
                <c:pt idx="83">
                  <c:v>14400</c:v>
                </c:pt>
                <c:pt idx="84">
                  <c:v>12600</c:v>
                </c:pt>
                <c:pt idx="85">
                  <c:v>12600</c:v>
                </c:pt>
                <c:pt idx="86">
                  <c:v>10800</c:v>
                </c:pt>
                <c:pt idx="87">
                  <c:v>9000</c:v>
                </c:pt>
                <c:pt idx="88">
                  <c:v>9000</c:v>
                </c:pt>
                <c:pt idx="89">
                  <c:v>7200</c:v>
                </c:pt>
                <c:pt idx="90">
                  <c:v>7200</c:v>
                </c:pt>
                <c:pt idx="91">
                  <c:v>5400</c:v>
                </c:pt>
                <c:pt idx="92">
                  <c:v>3600</c:v>
                </c:pt>
                <c:pt idx="93">
                  <c:v>3600</c:v>
                </c:pt>
                <c:pt idx="94">
                  <c:v>1800</c:v>
                </c:pt>
                <c:pt idx="95">
                  <c:v>1800</c:v>
                </c:pt>
                <c:pt idx="96">
                  <c:v>10800</c:v>
                </c:pt>
                <c:pt idx="97">
                  <c:v>9000</c:v>
                </c:pt>
                <c:pt idx="98">
                  <c:v>9000</c:v>
                </c:pt>
                <c:pt idx="99">
                  <c:v>7200</c:v>
                </c:pt>
                <c:pt idx="100">
                  <c:v>7200</c:v>
                </c:pt>
                <c:pt idx="101">
                  <c:v>21600</c:v>
                </c:pt>
                <c:pt idx="102">
                  <c:v>19800</c:v>
                </c:pt>
                <c:pt idx="103">
                  <c:v>19800</c:v>
                </c:pt>
                <c:pt idx="104">
                  <c:v>18000</c:v>
                </c:pt>
                <c:pt idx="105">
                  <c:v>18000</c:v>
                </c:pt>
                <c:pt idx="106">
                  <c:v>19800</c:v>
                </c:pt>
                <c:pt idx="107">
                  <c:v>18000</c:v>
                </c:pt>
                <c:pt idx="108">
                  <c:v>18000</c:v>
                </c:pt>
                <c:pt idx="109">
                  <c:v>16200</c:v>
                </c:pt>
                <c:pt idx="110">
                  <c:v>16200</c:v>
                </c:pt>
                <c:pt idx="111">
                  <c:v>14400</c:v>
                </c:pt>
                <c:pt idx="112">
                  <c:v>12600</c:v>
                </c:pt>
                <c:pt idx="113">
                  <c:v>12600</c:v>
                </c:pt>
                <c:pt idx="114">
                  <c:v>10800</c:v>
                </c:pt>
                <c:pt idx="115">
                  <c:v>10800</c:v>
                </c:pt>
                <c:pt idx="116">
                  <c:v>9000</c:v>
                </c:pt>
                <c:pt idx="117">
                  <c:v>7200</c:v>
                </c:pt>
                <c:pt idx="118">
                  <c:v>7200</c:v>
                </c:pt>
                <c:pt idx="119">
                  <c:v>5400</c:v>
                </c:pt>
                <c:pt idx="120">
                  <c:v>5400</c:v>
                </c:pt>
                <c:pt idx="121">
                  <c:v>10800</c:v>
                </c:pt>
                <c:pt idx="122">
                  <c:v>9000</c:v>
                </c:pt>
                <c:pt idx="123">
                  <c:v>9000</c:v>
                </c:pt>
                <c:pt idx="124">
                  <c:v>7200</c:v>
                </c:pt>
                <c:pt idx="125">
                  <c:v>7200</c:v>
                </c:pt>
                <c:pt idx="126">
                  <c:v>5400</c:v>
                </c:pt>
                <c:pt idx="127">
                  <c:v>3600</c:v>
                </c:pt>
                <c:pt idx="128">
                  <c:v>3600</c:v>
                </c:pt>
                <c:pt idx="129">
                  <c:v>1800</c:v>
                </c:pt>
                <c:pt idx="130">
                  <c:v>1800</c:v>
                </c:pt>
                <c:pt idx="131">
                  <c:v>34200</c:v>
                </c:pt>
                <c:pt idx="132">
                  <c:v>32400</c:v>
                </c:pt>
                <c:pt idx="133">
                  <c:v>32400</c:v>
                </c:pt>
                <c:pt idx="134">
                  <c:v>30600</c:v>
                </c:pt>
                <c:pt idx="135">
                  <c:v>30600</c:v>
                </c:pt>
                <c:pt idx="136">
                  <c:v>28800</c:v>
                </c:pt>
                <c:pt idx="137">
                  <c:v>34200</c:v>
                </c:pt>
                <c:pt idx="138">
                  <c:v>34200</c:v>
                </c:pt>
                <c:pt idx="139">
                  <c:v>32400</c:v>
                </c:pt>
                <c:pt idx="140">
                  <c:v>32400</c:v>
                </c:pt>
                <c:pt idx="141">
                  <c:v>30600</c:v>
                </c:pt>
                <c:pt idx="142">
                  <c:v>28800</c:v>
                </c:pt>
                <c:pt idx="143">
                  <c:v>28800</c:v>
                </c:pt>
                <c:pt idx="144">
                  <c:v>27000</c:v>
                </c:pt>
                <c:pt idx="145">
                  <c:v>27000</c:v>
                </c:pt>
                <c:pt idx="146">
                  <c:v>25200</c:v>
                </c:pt>
                <c:pt idx="147">
                  <c:v>23400</c:v>
                </c:pt>
                <c:pt idx="148">
                  <c:v>23400</c:v>
                </c:pt>
                <c:pt idx="149">
                  <c:v>21600</c:v>
                </c:pt>
                <c:pt idx="150">
                  <c:v>21600</c:v>
                </c:pt>
                <c:pt idx="151">
                  <c:v>19800</c:v>
                </c:pt>
                <c:pt idx="152">
                  <c:v>18000</c:v>
                </c:pt>
                <c:pt idx="153">
                  <c:v>18000</c:v>
                </c:pt>
                <c:pt idx="154">
                  <c:v>16200</c:v>
                </c:pt>
                <c:pt idx="155">
                  <c:v>16200</c:v>
                </c:pt>
                <c:pt idx="156">
                  <c:v>21600</c:v>
                </c:pt>
                <c:pt idx="157">
                  <c:v>19800</c:v>
                </c:pt>
                <c:pt idx="158">
                  <c:v>19800</c:v>
                </c:pt>
                <c:pt idx="159">
                  <c:v>18000</c:v>
                </c:pt>
                <c:pt idx="160">
                  <c:v>18000</c:v>
                </c:pt>
                <c:pt idx="161">
                  <c:v>16200</c:v>
                </c:pt>
                <c:pt idx="162">
                  <c:v>14400</c:v>
                </c:pt>
                <c:pt idx="163">
                  <c:v>14400</c:v>
                </c:pt>
                <c:pt idx="164">
                  <c:v>12600</c:v>
                </c:pt>
                <c:pt idx="165">
                  <c:v>12600</c:v>
                </c:pt>
                <c:pt idx="166">
                  <c:v>10800</c:v>
                </c:pt>
                <c:pt idx="167">
                  <c:v>9000</c:v>
                </c:pt>
                <c:pt idx="168">
                  <c:v>9000</c:v>
                </c:pt>
                <c:pt idx="169">
                  <c:v>7200</c:v>
                </c:pt>
                <c:pt idx="170">
                  <c:v>7200</c:v>
                </c:pt>
                <c:pt idx="171">
                  <c:v>5400</c:v>
                </c:pt>
                <c:pt idx="172">
                  <c:v>3600</c:v>
                </c:pt>
                <c:pt idx="173">
                  <c:v>3600</c:v>
                </c:pt>
                <c:pt idx="174">
                  <c:v>1800</c:v>
                </c:pt>
                <c:pt idx="175">
                  <c:v>1800</c:v>
                </c:pt>
                <c:pt idx="176">
                  <c:v>36000</c:v>
                </c:pt>
                <c:pt idx="177">
                  <c:v>34200</c:v>
                </c:pt>
                <c:pt idx="178">
                  <c:v>34200</c:v>
                </c:pt>
                <c:pt idx="179">
                  <c:v>32400</c:v>
                </c:pt>
                <c:pt idx="180">
                  <c:v>32400</c:v>
                </c:pt>
                <c:pt idx="181">
                  <c:v>30600</c:v>
                </c:pt>
                <c:pt idx="182">
                  <c:v>28800</c:v>
                </c:pt>
                <c:pt idx="183">
                  <c:v>28800</c:v>
                </c:pt>
                <c:pt idx="184">
                  <c:v>27000</c:v>
                </c:pt>
                <c:pt idx="185">
                  <c:v>27000</c:v>
                </c:pt>
                <c:pt idx="186">
                  <c:v>25200</c:v>
                </c:pt>
                <c:pt idx="187">
                  <c:v>23400</c:v>
                </c:pt>
                <c:pt idx="188">
                  <c:v>23400</c:v>
                </c:pt>
                <c:pt idx="189">
                  <c:v>21600</c:v>
                </c:pt>
                <c:pt idx="190">
                  <c:v>21600</c:v>
                </c:pt>
                <c:pt idx="191">
                  <c:v>19800</c:v>
                </c:pt>
                <c:pt idx="192">
                  <c:v>18000</c:v>
                </c:pt>
                <c:pt idx="193">
                  <c:v>18000</c:v>
                </c:pt>
                <c:pt idx="194">
                  <c:v>36000</c:v>
                </c:pt>
                <c:pt idx="195">
                  <c:v>36000</c:v>
                </c:pt>
                <c:pt idx="196">
                  <c:v>34200</c:v>
                </c:pt>
                <c:pt idx="197">
                  <c:v>32400</c:v>
                </c:pt>
                <c:pt idx="198">
                  <c:v>32400</c:v>
                </c:pt>
                <c:pt idx="199">
                  <c:v>30600</c:v>
                </c:pt>
                <c:pt idx="200">
                  <c:v>30600</c:v>
                </c:pt>
                <c:pt idx="201">
                  <c:v>37800</c:v>
                </c:pt>
                <c:pt idx="202">
                  <c:v>36000</c:v>
                </c:pt>
                <c:pt idx="203">
                  <c:v>36000</c:v>
                </c:pt>
                <c:pt idx="204">
                  <c:v>34200</c:v>
                </c:pt>
                <c:pt idx="205">
                  <c:v>34200</c:v>
                </c:pt>
                <c:pt idx="206">
                  <c:v>32400</c:v>
                </c:pt>
                <c:pt idx="207">
                  <c:v>30600</c:v>
                </c:pt>
                <c:pt idx="208">
                  <c:v>30600</c:v>
                </c:pt>
                <c:pt idx="209">
                  <c:v>28800</c:v>
                </c:pt>
                <c:pt idx="210">
                  <c:v>28800</c:v>
                </c:pt>
                <c:pt idx="211">
                  <c:v>27000</c:v>
                </c:pt>
                <c:pt idx="212">
                  <c:v>25200</c:v>
                </c:pt>
                <c:pt idx="213">
                  <c:v>25200</c:v>
                </c:pt>
                <c:pt idx="214">
                  <c:v>23400</c:v>
                </c:pt>
                <c:pt idx="215">
                  <c:v>23400</c:v>
                </c:pt>
                <c:pt idx="216">
                  <c:v>21600</c:v>
                </c:pt>
                <c:pt idx="217">
                  <c:v>19800</c:v>
                </c:pt>
                <c:pt idx="218">
                  <c:v>19800</c:v>
                </c:pt>
                <c:pt idx="219">
                  <c:v>18000</c:v>
                </c:pt>
                <c:pt idx="220">
                  <c:v>18000</c:v>
                </c:pt>
                <c:pt idx="221">
                  <c:v>16200</c:v>
                </c:pt>
                <c:pt idx="222">
                  <c:v>14400</c:v>
                </c:pt>
                <c:pt idx="223">
                  <c:v>14400</c:v>
                </c:pt>
                <c:pt idx="224">
                  <c:v>12600</c:v>
                </c:pt>
                <c:pt idx="225">
                  <c:v>12600</c:v>
                </c:pt>
                <c:pt idx="226">
                  <c:v>10800</c:v>
                </c:pt>
                <c:pt idx="227">
                  <c:v>9000</c:v>
                </c:pt>
                <c:pt idx="228">
                  <c:v>9000</c:v>
                </c:pt>
                <c:pt idx="229">
                  <c:v>7200</c:v>
                </c:pt>
                <c:pt idx="230">
                  <c:v>7200</c:v>
                </c:pt>
                <c:pt idx="231">
                  <c:v>5400</c:v>
                </c:pt>
                <c:pt idx="232">
                  <c:v>3600</c:v>
                </c:pt>
                <c:pt idx="233">
                  <c:v>3600</c:v>
                </c:pt>
                <c:pt idx="234">
                  <c:v>1800</c:v>
                </c:pt>
                <c:pt idx="235">
                  <c:v>1800</c:v>
                </c:pt>
                <c:pt idx="236">
                  <c:v>45000</c:v>
                </c:pt>
                <c:pt idx="237">
                  <c:v>43200</c:v>
                </c:pt>
                <c:pt idx="238">
                  <c:v>43200</c:v>
                </c:pt>
                <c:pt idx="239">
                  <c:v>41400</c:v>
                </c:pt>
                <c:pt idx="240">
                  <c:v>41400</c:v>
                </c:pt>
                <c:pt idx="241">
                  <c:v>39600</c:v>
                </c:pt>
                <c:pt idx="242">
                  <c:v>37800</c:v>
                </c:pt>
                <c:pt idx="243">
                  <c:v>37800</c:v>
                </c:pt>
                <c:pt idx="244">
                  <c:v>36000</c:v>
                </c:pt>
                <c:pt idx="245">
                  <c:v>36000</c:v>
                </c:pt>
                <c:pt idx="246">
                  <c:v>52200</c:v>
                </c:pt>
                <c:pt idx="247">
                  <c:v>50400</c:v>
                </c:pt>
                <c:pt idx="248">
                  <c:v>50400</c:v>
                </c:pt>
                <c:pt idx="249">
                  <c:v>48600</c:v>
                </c:pt>
                <c:pt idx="250">
                  <c:v>48600</c:v>
                </c:pt>
                <c:pt idx="251">
                  <c:v>46800</c:v>
                </c:pt>
                <c:pt idx="252">
                  <c:v>45000</c:v>
                </c:pt>
                <c:pt idx="253">
                  <c:v>45000</c:v>
                </c:pt>
                <c:pt idx="254">
                  <c:v>43200</c:v>
                </c:pt>
                <c:pt idx="255">
                  <c:v>43200</c:v>
                </c:pt>
                <c:pt idx="256">
                  <c:v>41400</c:v>
                </c:pt>
                <c:pt idx="257">
                  <c:v>39600</c:v>
                </c:pt>
                <c:pt idx="258">
                  <c:v>39600</c:v>
                </c:pt>
                <c:pt idx="259">
                  <c:v>37800</c:v>
                </c:pt>
                <c:pt idx="260">
                  <c:v>37800</c:v>
                </c:pt>
                <c:pt idx="261">
                  <c:v>36000</c:v>
                </c:pt>
                <c:pt idx="262">
                  <c:v>34200</c:v>
                </c:pt>
                <c:pt idx="263">
                  <c:v>34200</c:v>
                </c:pt>
                <c:pt idx="264">
                  <c:v>50400</c:v>
                </c:pt>
                <c:pt idx="265">
                  <c:v>50400</c:v>
                </c:pt>
                <c:pt idx="266">
                  <c:v>48600</c:v>
                </c:pt>
                <c:pt idx="267">
                  <c:v>46800</c:v>
                </c:pt>
                <c:pt idx="268">
                  <c:v>46800</c:v>
                </c:pt>
                <c:pt idx="269">
                  <c:v>45000</c:v>
                </c:pt>
                <c:pt idx="270">
                  <c:v>45000</c:v>
                </c:pt>
                <c:pt idx="271">
                  <c:v>43200</c:v>
                </c:pt>
                <c:pt idx="272">
                  <c:v>41400</c:v>
                </c:pt>
                <c:pt idx="273">
                  <c:v>41400</c:v>
                </c:pt>
                <c:pt idx="274">
                  <c:v>39600</c:v>
                </c:pt>
                <c:pt idx="275">
                  <c:v>39600</c:v>
                </c:pt>
                <c:pt idx="276">
                  <c:v>37800</c:v>
                </c:pt>
                <c:pt idx="277">
                  <c:v>66600</c:v>
                </c:pt>
                <c:pt idx="278">
                  <c:v>66600</c:v>
                </c:pt>
                <c:pt idx="279">
                  <c:v>64800</c:v>
                </c:pt>
                <c:pt idx="280">
                  <c:v>64800</c:v>
                </c:pt>
                <c:pt idx="281">
                  <c:v>63000</c:v>
                </c:pt>
                <c:pt idx="282">
                  <c:v>61200</c:v>
                </c:pt>
                <c:pt idx="283">
                  <c:v>61200</c:v>
                </c:pt>
                <c:pt idx="284">
                  <c:v>59400</c:v>
                </c:pt>
                <c:pt idx="285">
                  <c:v>59400</c:v>
                </c:pt>
                <c:pt idx="286">
                  <c:v>57600</c:v>
                </c:pt>
                <c:pt idx="287">
                  <c:v>55800</c:v>
                </c:pt>
                <c:pt idx="288">
                  <c:v>55800</c:v>
                </c:pt>
                <c:pt idx="289">
                  <c:v>54000</c:v>
                </c:pt>
                <c:pt idx="290">
                  <c:v>54000</c:v>
                </c:pt>
                <c:pt idx="291">
                  <c:v>52200</c:v>
                </c:pt>
                <c:pt idx="292">
                  <c:v>50400</c:v>
                </c:pt>
                <c:pt idx="293">
                  <c:v>50400</c:v>
                </c:pt>
                <c:pt idx="294">
                  <c:v>109800</c:v>
                </c:pt>
                <c:pt idx="295">
                  <c:v>109800</c:v>
                </c:pt>
                <c:pt idx="296">
                  <c:v>108000</c:v>
                </c:pt>
                <c:pt idx="297">
                  <c:v>106200</c:v>
                </c:pt>
                <c:pt idx="298">
                  <c:v>106200</c:v>
                </c:pt>
                <c:pt idx="299">
                  <c:v>104400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总览!$K$45</c:f>
              <c:strCache>
                <c:ptCount val="1"/>
                <c:pt idx="0">
                  <c:v>强化养成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总览!$K$46:$K$345</c:f>
              <c:numCache>
                <c:formatCode>0_ </c:formatCode>
                <c:ptCount val="300"/>
                <c:pt idx="0">
                  <c:v>70</c:v>
                </c:pt>
                <c:pt idx="1">
                  <c:v>140</c:v>
                </c:pt>
                <c:pt idx="2">
                  <c:v>210</c:v>
                </c:pt>
                <c:pt idx="3">
                  <c:v>280</c:v>
                </c:pt>
                <c:pt idx="4">
                  <c:v>350</c:v>
                </c:pt>
                <c:pt idx="5">
                  <c:v>420</c:v>
                </c:pt>
                <c:pt idx="6">
                  <c:v>490</c:v>
                </c:pt>
                <c:pt idx="7">
                  <c:v>560</c:v>
                </c:pt>
                <c:pt idx="8">
                  <c:v>630</c:v>
                </c:pt>
                <c:pt idx="9">
                  <c:v>700</c:v>
                </c:pt>
                <c:pt idx="10">
                  <c:v>770</c:v>
                </c:pt>
                <c:pt idx="11">
                  <c:v>840</c:v>
                </c:pt>
                <c:pt idx="12">
                  <c:v>910</c:v>
                </c:pt>
                <c:pt idx="13">
                  <c:v>980</c:v>
                </c:pt>
                <c:pt idx="14">
                  <c:v>1050</c:v>
                </c:pt>
                <c:pt idx="15">
                  <c:v>1120</c:v>
                </c:pt>
                <c:pt idx="16">
                  <c:v>1190</c:v>
                </c:pt>
                <c:pt idx="17">
                  <c:v>1260</c:v>
                </c:pt>
                <c:pt idx="18">
                  <c:v>1330</c:v>
                </c:pt>
                <c:pt idx="19">
                  <c:v>1400</c:v>
                </c:pt>
                <c:pt idx="20">
                  <c:v>1470</c:v>
                </c:pt>
                <c:pt idx="21">
                  <c:v>1540</c:v>
                </c:pt>
                <c:pt idx="22">
                  <c:v>1610</c:v>
                </c:pt>
                <c:pt idx="23">
                  <c:v>1680</c:v>
                </c:pt>
                <c:pt idx="24">
                  <c:v>1750</c:v>
                </c:pt>
                <c:pt idx="25">
                  <c:v>1820</c:v>
                </c:pt>
                <c:pt idx="26">
                  <c:v>1890</c:v>
                </c:pt>
                <c:pt idx="27">
                  <c:v>1960</c:v>
                </c:pt>
                <c:pt idx="28">
                  <c:v>2030</c:v>
                </c:pt>
                <c:pt idx="29">
                  <c:v>2100</c:v>
                </c:pt>
                <c:pt idx="30">
                  <c:v>2170</c:v>
                </c:pt>
                <c:pt idx="31">
                  <c:v>2240</c:v>
                </c:pt>
                <c:pt idx="32">
                  <c:v>2310</c:v>
                </c:pt>
                <c:pt idx="33">
                  <c:v>2380</c:v>
                </c:pt>
                <c:pt idx="34">
                  <c:v>2450</c:v>
                </c:pt>
                <c:pt idx="35">
                  <c:v>2520</c:v>
                </c:pt>
                <c:pt idx="36">
                  <c:v>2590</c:v>
                </c:pt>
                <c:pt idx="37">
                  <c:v>2660</c:v>
                </c:pt>
                <c:pt idx="38">
                  <c:v>2730</c:v>
                </c:pt>
                <c:pt idx="39">
                  <c:v>2800</c:v>
                </c:pt>
                <c:pt idx="40">
                  <c:v>2870</c:v>
                </c:pt>
                <c:pt idx="41">
                  <c:v>2940</c:v>
                </c:pt>
                <c:pt idx="42">
                  <c:v>3010</c:v>
                </c:pt>
                <c:pt idx="43">
                  <c:v>3080</c:v>
                </c:pt>
                <c:pt idx="44">
                  <c:v>3150</c:v>
                </c:pt>
                <c:pt idx="45">
                  <c:v>3220</c:v>
                </c:pt>
                <c:pt idx="46">
                  <c:v>3290</c:v>
                </c:pt>
                <c:pt idx="47">
                  <c:v>3360</c:v>
                </c:pt>
                <c:pt idx="48">
                  <c:v>3430</c:v>
                </c:pt>
                <c:pt idx="49">
                  <c:v>3500</c:v>
                </c:pt>
                <c:pt idx="50">
                  <c:v>3570</c:v>
                </c:pt>
                <c:pt idx="51">
                  <c:v>3640</c:v>
                </c:pt>
                <c:pt idx="52">
                  <c:v>3710</c:v>
                </c:pt>
                <c:pt idx="53">
                  <c:v>3780</c:v>
                </c:pt>
                <c:pt idx="54">
                  <c:v>3850</c:v>
                </c:pt>
                <c:pt idx="55">
                  <c:v>3920</c:v>
                </c:pt>
                <c:pt idx="56">
                  <c:v>3990</c:v>
                </c:pt>
                <c:pt idx="57">
                  <c:v>4060</c:v>
                </c:pt>
                <c:pt idx="58">
                  <c:v>4130</c:v>
                </c:pt>
                <c:pt idx="59">
                  <c:v>4200</c:v>
                </c:pt>
                <c:pt idx="60">
                  <c:v>4270</c:v>
                </c:pt>
                <c:pt idx="61">
                  <c:v>4340</c:v>
                </c:pt>
                <c:pt idx="62">
                  <c:v>4410</c:v>
                </c:pt>
                <c:pt idx="63">
                  <c:v>4480</c:v>
                </c:pt>
                <c:pt idx="64">
                  <c:v>4550</c:v>
                </c:pt>
                <c:pt idx="65">
                  <c:v>4620</c:v>
                </c:pt>
                <c:pt idx="66">
                  <c:v>4690</c:v>
                </c:pt>
                <c:pt idx="67">
                  <c:v>4760</c:v>
                </c:pt>
                <c:pt idx="68">
                  <c:v>4830</c:v>
                </c:pt>
                <c:pt idx="69">
                  <c:v>4900</c:v>
                </c:pt>
                <c:pt idx="70">
                  <c:v>4970</c:v>
                </c:pt>
                <c:pt idx="71">
                  <c:v>5040</c:v>
                </c:pt>
                <c:pt idx="72">
                  <c:v>5110</c:v>
                </c:pt>
                <c:pt idx="73">
                  <c:v>5180</c:v>
                </c:pt>
                <c:pt idx="74">
                  <c:v>5250</c:v>
                </c:pt>
                <c:pt idx="75">
                  <c:v>5320</c:v>
                </c:pt>
                <c:pt idx="76">
                  <c:v>5390</c:v>
                </c:pt>
                <c:pt idx="77">
                  <c:v>5460</c:v>
                </c:pt>
                <c:pt idx="78">
                  <c:v>5530</c:v>
                </c:pt>
                <c:pt idx="79">
                  <c:v>5600</c:v>
                </c:pt>
                <c:pt idx="80">
                  <c:v>5670</c:v>
                </c:pt>
                <c:pt idx="81">
                  <c:v>5740</c:v>
                </c:pt>
                <c:pt idx="82">
                  <c:v>5810</c:v>
                </c:pt>
                <c:pt idx="83">
                  <c:v>5880</c:v>
                </c:pt>
                <c:pt idx="84">
                  <c:v>5950</c:v>
                </c:pt>
                <c:pt idx="85">
                  <c:v>6020</c:v>
                </c:pt>
                <c:pt idx="86">
                  <c:v>6090</c:v>
                </c:pt>
                <c:pt idx="87">
                  <c:v>6160</c:v>
                </c:pt>
                <c:pt idx="88">
                  <c:v>6230</c:v>
                </c:pt>
                <c:pt idx="89">
                  <c:v>6300</c:v>
                </c:pt>
                <c:pt idx="90">
                  <c:v>6370</c:v>
                </c:pt>
                <c:pt idx="91">
                  <c:v>6440</c:v>
                </c:pt>
                <c:pt idx="92">
                  <c:v>6510</c:v>
                </c:pt>
                <c:pt idx="93">
                  <c:v>6580</c:v>
                </c:pt>
                <c:pt idx="94">
                  <c:v>6650</c:v>
                </c:pt>
                <c:pt idx="95">
                  <c:v>6720</c:v>
                </c:pt>
                <c:pt idx="96">
                  <c:v>6790</c:v>
                </c:pt>
                <c:pt idx="97">
                  <c:v>6860</c:v>
                </c:pt>
                <c:pt idx="98">
                  <c:v>6930</c:v>
                </c:pt>
                <c:pt idx="99">
                  <c:v>7000</c:v>
                </c:pt>
                <c:pt idx="100">
                  <c:v>7070</c:v>
                </c:pt>
                <c:pt idx="101">
                  <c:v>7140</c:v>
                </c:pt>
                <c:pt idx="102">
                  <c:v>7210</c:v>
                </c:pt>
                <c:pt idx="103">
                  <c:v>7280</c:v>
                </c:pt>
                <c:pt idx="104">
                  <c:v>7350</c:v>
                </c:pt>
                <c:pt idx="105">
                  <c:v>7420</c:v>
                </c:pt>
                <c:pt idx="106">
                  <c:v>7490</c:v>
                </c:pt>
                <c:pt idx="107">
                  <c:v>7560</c:v>
                </c:pt>
                <c:pt idx="108">
                  <c:v>7630</c:v>
                </c:pt>
                <c:pt idx="109">
                  <c:v>7700</c:v>
                </c:pt>
                <c:pt idx="110">
                  <c:v>7770</c:v>
                </c:pt>
                <c:pt idx="111">
                  <c:v>7840</c:v>
                </c:pt>
                <c:pt idx="112">
                  <c:v>7910</c:v>
                </c:pt>
                <c:pt idx="113">
                  <c:v>7980</c:v>
                </c:pt>
                <c:pt idx="114">
                  <c:v>8050</c:v>
                </c:pt>
                <c:pt idx="115">
                  <c:v>8120</c:v>
                </c:pt>
                <c:pt idx="116">
                  <c:v>8190</c:v>
                </c:pt>
                <c:pt idx="117">
                  <c:v>8260</c:v>
                </c:pt>
                <c:pt idx="118">
                  <c:v>8330</c:v>
                </c:pt>
                <c:pt idx="119">
                  <c:v>8400</c:v>
                </c:pt>
                <c:pt idx="120">
                  <c:v>8470</c:v>
                </c:pt>
                <c:pt idx="121">
                  <c:v>8540</c:v>
                </c:pt>
                <c:pt idx="122">
                  <c:v>8610</c:v>
                </c:pt>
                <c:pt idx="123">
                  <c:v>8680</c:v>
                </c:pt>
                <c:pt idx="124">
                  <c:v>8750</c:v>
                </c:pt>
                <c:pt idx="125">
                  <c:v>8820</c:v>
                </c:pt>
                <c:pt idx="126">
                  <c:v>8890</c:v>
                </c:pt>
                <c:pt idx="127">
                  <c:v>8960</c:v>
                </c:pt>
                <c:pt idx="128">
                  <c:v>9030</c:v>
                </c:pt>
                <c:pt idx="129">
                  <c:v>9100</c:v>
                </c:pt>
                <c:pt idx="130">
                  <c:v>9170</c:v>
                </c:pt>
                <c:pt idx="131">
                  <c:v>9240</c:v>
                </c:pt>
                <c:pt idx="132">
                  <c:v>9310</c:v>
                </c:pt>
                <c:pt idx="133">
                  <c:v>9380</c:v>
                </c:pt>
                <c:pt idx="134">
                  <c:v>9450</c:v>
                </c:pt>
                <c:pt idx="135">
                  <c:v>9520</c:v>
                </c:pt>
                <c:pt idx="136">
                  <c:v>9590</c:v>
                </c:pt>
                <c:pt idx="137">
                  <c:v>9660</c:v>
                </c:pt>
                <c:pt idx="138">
                  <c:v>9730</c:v>
                </c:pt>
                <c:pt idx="139">
                  <c:v>9800</c:v>
                </c:pt>
                <c:pt idx="140">
                  <c:v>9870</c:v>
                </c:pt>
                <c:pt idx="141">
                  <c:v>9940</c:v>
                </c:pt>
                <c:pt idx="142">
                  <c:v>10010</c:v>
                </c:pt>
                <c:pt idx="143">
                  <c:v>10080</c:v>
                </c:pt>
                <c:pt idx="144">
                  <c:v>10150</c:v>
                </c:pt>
                <c:pt idx="145">
                  <c:v>10220</c:v>
                </c:pt>
                <c:pt idx="146">
                  <c:v>10290</c:v>
                </c:pt>
                <c:pt idx="147">
                  <c:v>10360</c:v>
                </c:pt>
                <c:pt idx="148">
                  <c:v>10430</c:v>
                </c:pt>
                <c:pt idx="149">
                  <c:v>10500</c:v>
                </c:pt>
                <c:pt idx="150">
                  <c:v>10570</c:v>
                </c:pt>
                <c:pt idx="151">
                  <c:v>10640</c:v>
                </c:pt>
                <c:pt idx="152">
                  <c:v>10710</c:v>
                </c:pt>
                <c:pt idx="153">
                  <c:v>10780</c:v>
                </c:pt>
                <c:pt idx="154">
                  <c:v>10850</c:v>
                </c:pt>
                <c:pt idx="155">
                  <c:v>10920</c:v>
                </c:pt>
                <c:pt idx="156">
                  <c:v>10990</c:v>
                </c:pt>
                <c:pt idx="157">
                  <c:v>11060</c:v>
                </c:pt>
                <c:pt idx="158">
                  <c:v>11130</c:v>
                </c:pt>
                <c:pt idx="159">
                  <c:v>11200</c:v>
                </c:pt>
                <c:pt idx="160">
                  <c:v>11270</c:v>
                </c:pt>
                <c:pt idx="161">
                  <c:v>11340</c:v>
                </c:pt>
                <c:pt idx="162">
                  <c:v>11410</c:v>
                </c:pt>
                <c:pt idx="163">
                  <c:v>11480</c:v>
                </c:pt>
                <c:pt idx="164">
                  <c:v>11550</c:v>
                </c:pt>
                <c:pt idx="165">
                  <c:v>11620</c:v>
                </c:pt>
                <c:pt idx="166">
                  <c:v>11690</c:v>
                </c:pt>
                <c:pt idx="167">
                  <c:v>11760</c:v>
                </c:pt>
                <c:pt idx="168">
                  <c:v>11830</c:v>
                </c:pt>
                <c:pt idx="169">
                  <c:v>11900</c:v>
                </c:pt>
                <c:pt idx="170">
                  <c:v>11970</c:v>
                </c:pt>
                <c:pt idx="171">
                  <c:v>12040</c:v>
                </c:pt>
                <c:pt idx="172">
                  <c:v>12110</c:v>
                </c:pt>
                <c:pt idx="173">
                  <c:v>12180</c:v>
                </c:pt>
                <c:pt idx="174">
                  <c:v>12250</c:v>
                </c:pt>
                <c:pt idx="175">
                  <c:v>12320</c:v>
                </c:pt>
                <c:pt idx="176">
                  <c:v>12390</c:v>
                </c:pt>
                <c:pt idx="177">
                  <c:v>12460</c:v>
                </c:pt>
                <c:pt idx="178">
                  <c:v>12530</c:v>
                </c:pt>
                <c:pt idx="179">
                  <c:v>12600</c:v>
                </c:pt>
                <c:pt idx="180">
                  <c:v>12670</c:v>
                </c:pt>
                <c:pt idx="181">
                  <c:v>12740</c:v>
                </c:pt>
                <c:pt idx="182">
                  <c:v>12810</c:v>
                </c:pt>
                <c:pt idx="183">
                  <c:v>12880</c:v>
                </c:pt>
                <c:pt idx="184">
                  <c:v>12950</c:v>
                </c:pt>
                <c:pt idx="185">
                  <c:v>13020</c:v>
                </c:pt>
                <c:pt idx="186">
                  <c:v>13090</c:v>
                </c:pt>
                <c:pt idx="187">
                  <c:v>13160</c:v>
                </c:pt>
                <c:pt idx="188">
                  <c:v>13230</c:v>
                </c:pt>
                <c:pt idx="189">
                  <c:v>13300</c:v>
                </c:pt>
                <c:pt idx="190">
                  <c:v>13370</c:v>
                </c:pt>
                <c:pt idx="191">
                  <c:v>13440</c:v>
                </c:pt>
                <c:pt idx="192">
                  <c:v>13510</c:v>
                </c:pt>
                <c:pt idx="193">
                  <c:v>13580</c:v>
                </c:pt>
                <c:pt idx="194">
                  <c:v>13650</c:v>
                </c:pt>
                <c:pt idx="195">
                  <c:v>13720</c:v>
                </c:pt>
                <c:pt idx="196">
                  <c:v>13790</c:v>
                </c:pt>
                <c:pt idx="197">
                  <c:v>13860</c:v>
                </c:pt>
                <c:pt idx="198">
                  <c:v>13930</c:v>
                </c:pt>
                <c:pt idx="199">
                  <c:v>14000</c:v>
                </c:pt>
                <c:pt idx="200">
                  <c:v>14070</c:v>
                </c:pt>
                <c:pt idx="201">
                  <c:v>14140</c:v>
                </c:pt>
                <c:pt idx="202">
                  <c:v>14210</c:v>
                </c:pt>
                <c:pt idx="203">
                  <c:v>14280</c:v>
                </c:pt>
                <c:pt idx="204">
                  <c:v>14350</c:v>
                </c:pt>
                <c:pt idx="205">
                  <c:v>14420</c:v>
                </c:pt>
                <c:pt idx="206">
                  <c:v>14490</c:v>
                </c:pt>
                <c:pt idx="207">
                  <c:v>14560</c:v>
                </c:pt>
                <c:pt idx="208">
                  <c:v>14630</c:v>
                </c:pt>
                <c:pt idx="209">
                  <c:v>14700</c:v>
                </c:pt>
                <c:pt idx="210">
                  <c:v>14770</c:v>
                </c:pt>
                <c:pt idx="211">
                  <c:v>14840</c:v>
                </c:pt>
                <c:pt idx="212">
                  <c:v>14910</c:v>
                </c:pt>
                <c:pt idx="213">
                  <c:v>14980</c:v>
                </c:pt>
                <c:pt idx="214">
                  <c:v>15050</c:v>
                </c:pt>
                <c:pt idx="215">
                  <c:v>15120</c:v>
                </c:pt>
                <c:pt idx="216">
                  <c:v>15190</c:v>
                </c:pt>
                <c:pt idx="217">
                  <c:v>15260</c:v>
                </c:pt>
                <c:pt idx="218">
                  <c:v>15330</c:v>
                </c:pt>
                <c:pt idx="219">
                  <c:v>15400</c:v>
                </c:pt>
                <c:pt idx="220">
                  <c:v>15470</c:v>
                </c:pt>
                <c:pt idx="221">
                  <c:v>15540</c:v>
                </c:pt>
                <c:pt idx="222">
                  <c:v>15610</c:v>
                </c:pt>
                <c:pt idx="223">
                  <c:v>15680</c:v>
                </c:pt>
                <c:pt idx="224">
                  <c:v>15750</c:v>
                </c:pt>
                <c:pt idx="225">
                  <c:v>15820</c:v>
                </c:pt>
                <c:pt idx="226">
                  <c:v>15890</c:v>
                </c:pt>
                <c:pt idx="227">
                  <c:v>15960</c:v>
                </c:pt>
                <c:pt idx="228">
                  <c:v>16030</c:v>
                </c:pt>
                <c:pt idx="229">
                  <c:v>16100</c:v>
                </c:pt>
                <c:pt idx="230">
                  <c:v>16170</c:v>
                </c:pt>
                <c:pt idx="231">
                  <c:v>16240</c:v>
                </c:pt>
                <c:pt idx="232">
                  <c:v>16310</c:v>
                </c:pt>
                <c:pt idx="233">
                  <c:v>16380</c:v>
                </c:pt>
                <c:pt idx="234">
                  <c:v>16450</c:v>
                </c:pt>
                <c:pt idx="235">
                  <c:v>16520</c:v>
                </c:pt>
                <c:pt idx="236">
                  <c:v>16590</c:v>
                </c:pt>
                <c:pt idx="237">
                  <c:v>16660</c:v>
                </c:pt>
                <c:pt idx="238">
                  <c:v>16730</c:v>
                </c:pt>
                <c:pt idx="239">
                  <c:v>16800</c:v>
                </c:pt>
                <c:pt idx="240">
                  <c:v>16870</c:v>
                </c:pt>
                <c:pt idx="241">
                  <c:v>16940</c:v>
                </c:pt>
                <c:pt idx="242">
                  <c:v>17010</c:v>
                </c:pt>
                <c:pt idx="243">
                  <c:v>17080</c:v>
                </c:pt>
                <c:pt idx="244">
                  <c:v>17150</c:v>
                </c:pt>
                <c:pt idx="245">
                  <c:v>17220</c:v>
                </c:pt>
                <c:pt idx="246">
                  <c:v>17290</c:v>
                </c:pt>
                <c:pt idx="247">
                  <c:v>17360</c:v>
                </c:pt>
                <c:pt idx="248">
                  <c:v>17430</c:v>
                </c:pt>
                <c:pt idx="249">
                  <c:v>17500</c:v>
                </c:pt>
                <c:pt idx="250">
                  <c:v>17570</c:v>
                </c:pt>
                <c:pt idx="251">
                  <c:v>17640</c:v>
                </c:pt>
                <c:pt idx="252">
                  <c:v>17710</c:v>
                </c:pt>
                <c:pt idx="253">
                  <c:v>17780</c:v>
                </c:pt>
                <c:pt idx="254">
                  <c:v>17850</c:v>
                </c:pt>
                <c:pt idx="255">
                  <c:v>17920</c:v>
                </c:pt>
                <c:pt idx="256">
                  <c:v>17990</c:v>
                </c:pt>
                <c:pt idx="257">
                  <c:v>18060</c:v>
                </c:pt>
                <c:pt idx="258">
                  <c:v>18130</c:v>
                </c:pt>
                <c:pt idx="259">
                  <c:v>18200</c:v>
                </c:pt>
                <c:pt idx="260">
                  <c:v>18270</c:v>
                </c:pt>
                <c:pt idx="261">
                  <c:v>18340</c:v>
                </c:pt>
                <c:pt idx="262">
                  <c:v>18410</c:v>
                </c:pt>
                <c:pt idx="263">
                  <c:v>18480</c:v>
                </c:pt>
                <c:pt idx="264">
                  <c:v>18550</c:v>
                </c:pt>
                <c:pt idx="265">
                  <c:v>18620</c:v>
                </c:pt>
                <c:pt idx="266">
                  <c:v>18690</c:v>
                </c:pt>
                <c:pt idx="267">
                  <c:v>18760</c:v>
                </c:pt>
                <c:pt idx="268">
                  <c:v>18830</c:v>
                </c:pt>
                <c:pt idx="269">
                  <c:v>18900</c:v>
                </c:pt>
                <c:pt idx="270">
                  <c:v>18970</c:v>
                </c:pt>
                <c:pt idx="271">
                  <c:v>19040</c:v>
                </c:pt>
                <c:pt idx="272">
                  <c:v>19110</c:v>
                </c:pt>
                <c:pt idx="273">
                  <c:v>19180</c:v>
                </c:pt>
                <c:pt idx="274">
                  <c:v>19250</c:v>
                </c:pt>
                <c:pt idx="275">
                  <c:v>19320</c:v>
                </c:pt>
                <c:pt idx="276">
                  <c:v>19390</c:v>
                </c:pt>
                <c:pt idx="277">
                  <c:v>19460</c:v>
                </c:pt>
                <c:pt idx="278">
                  <c:v>19530</c:v>
                </c:pt>
                <c:pt idx="279">
                  <c:v>19600</c:v>
                </c:pt>
                <c:pt idx="280">
                  <c:v>19670</c:v>
                </c:pt>
                <c:pt idx="281">
                  <c:v>19740</c:v>
                </c:pt>
                <c:pt idx="282">
                  <c:v>19810</c:v>
                </c:pt>
                <c:pt idx="283">
                  <c:v>19880</c:v>
                </c:pt>
                <c:pt idx="284">
                  <c:v>19950</c:v>
                </c:pt>
                <c:pt idx="285">
                  <c:v>20020</c:v>
                </c:pt>
                <c:pt idx="286">
                  <c:v>20090</c:v>
                </c:pt>
                <c:pt idx="287">
                  <c:v>20160</c:v>
                </c:pt>
                <c:pt idx="288">
                  <c:v>20230</c:v>
                </c:pt>
                <c:pt idx="289">
                  <c:v>20300</c:v>
                </c:pt>
                <c:pt idx="290">
                  <c:v>20370</c:v>
                </c:pt>
                <c:pt idx="291">
                  <c:v>20440</c:v>
                </c:pt>
                <c:pt idx="292">
                  <c:v>20510</c:v>
                </c:pt>
                <c:pt idx="293">
                  <c:v>20580</c:v>
                </c:pt>
                <c:pt idx="294">
                  <c:v>20650</c:v>
                </c:pt>
                <c:pt idx="295">
                  <c:v>20720</c:v>
                </c:pt>
                <c:pt idx="296">
                  <c:v>20790</c:v>
                </c:pt>
                <c:pt idx="297">
                  <c:v>20860</c:v>
                </c:pt>
                <c:pt idx="298">
                  <c:v>20930</c:v>
                </c:pt>
                <c:pt idx="299">
                  <c:v>21000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总览!$L$45</c:f>
              <c:strCache>
                <c:ptCount val="1"/>
                <c:pt idx="0">
                  <c:v>符文养成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总览!$L$46:$L$345</c:f>
              <c:numCache>
                <c:formatCode>0_ </c:formatCode>
                <c:ptCount val="300"/>
                <c:pt idx="0">
                  <c:v>2880</c:v>
                </c:pt>
                <c:pt idx="1">
                  <c:v>2880</c:v>
                </c:pt>
                <c:pt idx="2">
                  <c:v>2880</c:v>
                </c:pt>
                <c:pt idx="3">
                  <c:v>2880</c:v>
                </c:pt>
                <c:pt idx="4">
                  <c:v>2880</c:v>
                </c:pt>
                <c:pt idx="5">
                  <c:v>2880</c:v>
                </c:pt>
                <c:pt idx="6">
                  <c:v>2880</c:v>
                </c:pt>
                <c:pt idx="7">
                  <c:v>2880</c:v>
                </c:pt>
                <c:pt idx="8">
                  <c:v>2880</c:v>
                </c:pt>
                <c:pt idx="9">
                  <c:v>2880</c:v>
                </c:pt>
                <c:pt idx="10">
                  <c:v>3240</c:v>
                </c:pt>
                <c:pt idx="11">
                  <c:v>3240</c:v>
                </c:pt>
                <c:pt idx="12">
                  <c:v>3600</c:v>
                </c:pt>
                <c:pt idx="13">
                  <c:v>3960</c:v>
                </c:pt>
                <c:pt idx="14">
                  <c:v>3960</c:v>
                </c:pt>
                <c:pt idx="15">
                  <c:v>4320</c:v>
                </c:pt>
                <c:pt idx="16">
                  <c:v>4680</c:v>
                </c:pt>
                <c:pt idx="17">
                  <c:v>4680</c:v>
                </c:pt>
                <c:pt idx="18">
                  <c:v>4680</c:v>
                </c:pt>
                <c:pt idx="19">
                  <c:v>4680</c:v>
                </c:pt>
                <c:pt idx="20">
                  <c:v>4680</c:v>
                </c:pt>
                <c:pt idx="21">
                  <c:v>4680</c:v>
                </c:pt>
                <c:pt idx="22">
                  <c:v>4680</c:v>
                </c:pt>
                <c:pt idx="23">
                  <c:v>4680</c:v>
                </c:pt>
                <c:pt idx="24">
                  <c:v>4680</c:v>
                </c:pt>
                <c:pt idx="25">
                  <c:v>4680</c:v>
                </c:pt>
                <c:pt idx="26">
                  <c:v>4680</c:v>
                </c:pt>
                <c:pt idx="27">
                  <c:v>4680</c:v>
                </c:pt>
                <c:pt idx="28">
                  <c:v>4680</c:v>
                </c:pt>
                <c:pt idx="29">
                  <c:v>4680</c:v>
                </c:pt>
                <c:pt idx="30">
                  <c:v>4680</c:v>
                </c:pt>
                <c:pt idx="31">
                  <c:v>4680</c:v>
                </c:pt>
                <c:pt idx="32">
                  <c:v>4680</c:v>
                </c:pt>
                <c:pt idx="33">
                  <c:v>4680</c:v>
                </c:pt>
                <c:pt idx="34">
                  <c:v>4680</c:v>
                </c:pt>
                <c:pt idx="35">
                  <c:v>4680</c:v>
                </c:pt>
                <c:pt idx="36">
                  <c:v>4680</c:v>
                </c:pt>
                <c:pt idx="37">
                  <c:v>4680</c:v>
                </c:pt>
                <c:pt idx="38">
                  <c:v>4680</c:v>
                </c:pt>
                <c:pt idx="39">
                  <c:v>4680</c:v>
                </c:pt>
                <c:pt idx="40">
                  <c:v>4680</c:v>
                </c:pt>
                <c:pt idx="41">
                  <c:v>4680</c:v>
                </c:pt>
                <c:pt idx="42">
                  <c:v>4680</c:v>
                </c:pt>
                <c:pt idx="43">
                  <c:v>4680</c:v>
                </c:pt>
                <c:pt idx="44">
                  <c:v>4680</c:v>
                </c:pt>
                <c:pt idx="45">
                  <c:v>4680</c:v>
                </c:pt>
                <c:pt idx="46">
                  <c:v>4680</c:v>
                </c:pt>
                <c:pt idx="47">
                  <c:v>4680</c:v>
                </c:pt>
                <c:pt idx="48">
                  <c:v>4680</c:v>
                </c:pt>
                <c:pt idx="49">
                  <c:v>4680</c:v>
                </c:pt>
                <c:pt idx="50">
                  <c:v>4680</c:v>
                </c:pt>
                <c:pt idx="51">
                  <c:v>4680</c:v>
                </c:pt>
                <c:pt idx="52">
                  <c:v>4680</c:v>
                </c:pt>
                <c:pt idx="53">
                  <c:v>4680</c:v>
                </c:pt>
                <c:pt idx="54">
                  <c:v>4680</c:v>
                </c:pt>
                <c:pt idx="55">
                  <c:v>4680</c:v>
                </c:pt>
                <c:pt idx="56">
                  <c:v>4680</c:v>
                </c:pt>
                <c:pt idx="57">
                  <c:v>4680</c:v>
                </c:pt>
                <c:pt idx="58">
                  <c:v>4680</c:v>
                </c:pt>
                <c:pt idx="59">
                  <c:v>4680</c:v>
                </c:pt>
                <c:pt idx="60">
                  <c:v>4680</c:v>
                </c:pt>
                <c:pt idx="61">
                  <c:v>4680</c:v>
                </c:pt>
                <c:pt idx="62">
                  <c:v>4680</c:v>
                </c:pt>
                <c:pt idx="63">
                  <c:v>4680</c:v>
                </c:pt>
                <c:pt idx="64">
                  <c:v>4680</c:v>
                </c:pt>
                <c:pt idx="65">
                  <c:v>4680</c:v>
                </c:pt>
                <c:pt idx="66">
                  <c:v>4680</c:v>
                </c:pt>
                <c:pt idx="67">
                  <c:v>4680</c:v>
                </c:pt>
                <c:pt idx="68">
                  <c:v>4680</c:v>
                </c:pt>
                <c:pt idx="69">
                  <c:v>4680</c:v>
                </c:pt>
                <c:pt idx="70">
                  <c:v>4680</c:v>
                </c:pt>
                <c:pt idx="71">
                  <c:v>4680</c:v>
                </c:pt>
                <c:pt idx="72">
                  <c:v>4680</c:v>
                </c:pt>
                <c:pt idx="73">
                  <c:v>4680</c:v>
                </c:pt>
                <c:pt idx="74">
                  <c:v>4680</c:v>
                </c:pt>
                <c:pt idx="75">
                  <c:v>4680</c:v>
                </c:pt>
                <c:pt idx="76">
                  <c:v>4680</c:v>
                </c:pt>
                <c:pt idx="77">
                  <c:v>4680</c:v>
                </c:pt>
                <c:pt idx="78">
                  <c:v>4680</c:v>
                </c:pt>
                <c:pt idx="79">
                  <c:v>4680</c:v>
                </c:pt>
                <c:pt idx="80">
                  <c:v>4680</c:v>
                </c:pt>
                <c:pt idx="81">
                  <c:v>4680</c:v>
                </c:pt>
                <c:pt idx="82">
                  <c:v>4680</c:v>
                </c:pt>
                <c:pt idx="83">
                  <c:v>4680</c:v>
                </c:pt>
                <c:pt idx="84">
                  <c:v>4680</c:v>
                </c:pt>
                <c:pt idx="85">
                  <c:v>4680</c:v>
                </c:pt>
                <c:pt idx="86">
                  <c:v>4680</c:v>
                </c:pt>
                <c:pt idx="87">
                  <c:v>4680</c:v>
                </c:pt>
                <c:pt idx="88">
                  <c:v>4680</c:v>
                </c:pt>
                <c:pt idx="89">
                  <c:v>4680</c:v>
                </c:pt>
                <c:pt idx="90">
                  <c:v>4680</c:v>
                </c:pt>
                <c:pt idx="91">
                  <c:v>4680</c:v>
                </c:pt>
                <c:pt idx="92">
                  <c:v>4680</c:v>
                </c:pt>
                <c:pt idx="93">
                  <c:v>4680</c:v>
                </c:pt>
                <c:pt idx="94">
                  <c:v>4680</c:v>
                </c:pt>
                <c:pt idx="95">
                  <c:v>4680</c:v>
                </c:pt>
                <c:pt idx="96">
                  <c:v>4680</c:v>
                </c:pt>
                <c:pt idx="97">
                  <c:v>4680</c:v>
                </c:pt>
                <c:pt idx="98">
                  <c:v>4680</c:v>
                </c:pt>
                <c:pt idx="99">
                  <c:v>4680</c:v>
                </c:pt>
                <c:pt idx="100">
                  <c:v>4680</c:v>
                </c:pt>
                <c:pt idx="101">
                  <c:v>4680</c:v>
                </c:pt>
                <c:pt idx="102">
                  <c:v>4680</c:v>
                </c:pt>
                <c:pt idx="103">
                  <c:v>4680</c:v>
                </c:pt>
                <c:pt idx="104">
                  <c:v>4680</c:v>
                </c:pt>
                <c:pt idx="105">
                  <c:v>4680</c:v>
                </c:pt>
                <c:pt idx="106">
                  <c:v>4680</c:v>
                </c:pt>
                <c:pt idx="107">
                  <c:v>4680</c:v>
                </c:pt>
                <c:pt idx="108">
                  <c:v>4680</c:v>
                </c:pt>
                <c:pt idx="109">
                  <c:v>4680</c:v>
                </c:pt>
                <c:pt idx="110">
                  <c:v>4680</c:v>
                </c:pt>
                <c:pt idx="111">
                  <c:v>4680</c:v>
                </c:pt>
                <c:pt idx="112">
                  <c:v>4680</c:v>
                </c:pt>
                <c:pt idx="113">
                  <c:v>4680</c:v>
                </c:pt>
                <c:pt idx="114">
                  <c:v>4680</c:v>
                </c:pt>
                <c:pt idx="115">
                  <c:v>4680</c:v>
                </c:pt>
                <c:pt idx="116">
                  <c:v>4680</c:v>
                </c:pt>
                <c:pt idx="117">
                  <c:v>4680</c:v>
                </c:pt>
                <c:pt idx="118">
                  <c:v>4680</c:v>
                </c:pt>
                <c:pt idx="119">
                  <c:v>4680</c:v>
                </c:pt>
                <c:pt idx="120">
                  <c:v>4680</c:v>
                </c:pt>
                <c:pt idx="121">
                  <c:v>4680</c:v>
                </c:pt>
                <c:pt idx="122">
                  <c:v>4680</c:v>
                </c:pt>
                <c:pt idx="123">
                  <c:v>4680</c:v>
                </c:pt>
                <c:pt idx="124">
                  <c:v>4680</c:v>
                </c:pt>
                <c:pt idx="125">
                  <c:v>4680</c:v>
                </c:pt>
                <c:pt idx="126">
                  <c:v>4680</c:v>
                </c:pt>
                <c:pt idx="127">
                  <c:v>4680</c:v>
                </c:pt>
                <c:pt idx="128">
                  <c:v>4680</c:v>
                </c:pt>
                <c:pt idx="129">
                  <c:v>4680</c:v>
                </c:pt>
                <c:pt idx="130">
                  <c:v>4680</c:v>
                </c:pt>
                <c:pt idx="131">
                  <c:v>4680</c:v>
                </c:pt>
                <c:pt idx="132">
                  <c:v>4680</c:v>
                </c:pt>
                <c:pt idx="133">
                  <c:v>4680</c:v>
                </c:pt>
                <c:pt idx="134">
                  <c:v>4680</c:v>
                </c:pt>
                <c:pt idx="135">
                  <c:v>4680</c:v>
                </c:pt>
                <c:pt idx="136">
                  <c:v>4680</c:v>
                </c:pt>
                <c:pt idx="137">
                  <c:v>4680</c:v>
                </c:pt>
                <c:pt idx="138">
                  <c:v>4680</c:v>
                </c:pt>
                <c:pt idx="139">
                  <c:v>4680</c:v>
                </c:pt>
                <c:pt idx="140">
                  <c:v>4680</c:v>
                </c:pt>
                <c:pt idx="141">
                  <c:v>4680</c:v>
                </c:pt>
                <c:pt idx="142">
                  <c:v>4680</c:v>
                </c:pt>
                <c:pt idx="143">
                  <c:v>4680</c:v>
                </c:pt>
                <c:pt idx="144">
                  <c:v>4680</c:v>
                </c:pt>
                <c:pt idx="145">
                  <c:v>4680</c:v>
                </c:pt>
                <c:pt idx="146">
                  <c:v>4680</c:v>
                </c:pt>
                <c:pt idx="147">
                  <c:v>4680</c:v>
                </c:pt>
                <c:pt idx="148">
                  <c:v>4680</c:v>
                </c:pt>
                <c:pt idx="149">
                  <c:v>4680</c:v>
                </c:pt>
                <c:pt idx="150">
                  <c:v>4680</c:v>
                </c:pt>
                <c:pt idx="151">
                  <c:v>4680</c:v>
                </c:pt>
                <c:pt idx="152">
                  <c:v>4680</c:v>
                </c:pt>
                <c:pt idx="153">
                  <c:v>4680</c:v>
                </c:pt>
                <c:pt idx="154">
                  <c:v>4680</c:v>
                </c:pt>
                <c:pt idx="155">
                  <c:v>4680</c:v>
                </c:pt>
                <c:pt idx="156">
                  <c:v>4680</c:v>
                </c:pt>
                <c:pt idx="157">
                  <c:v>4680</c:v>
                </c:pt>
                <c:pt idx="158">
                  <c:v>4680</c:v>
                </c:pt>
                <c:pt idx="159">
                  <c:v>4680</c:v>
                </c:pt>
                <c:pt idx="160">
                  <c:v>4680</c:v>
                </c:pt>
                <c:pt idx="161">
                  <c:v>4680</c:v>
                </c:pt>
                <c:pt idx="162">
                  <c:v>4680</c:v>
                </c:pt>
                <c:pt idx="163">
                  <c:v>4680</c:v>
                </c:pt>
                <c:pt idx="164">
                  <c:v>4680</c:v>
                </c:pt>
                <c:pt idx="165">
                  <c:v>4680</c:v>
                </c:pt>
                <c:pt idx="166">
                  <c:v>4680</c:v>
                </c:pt>
                <c:pt idx="167">
                  <c:v>4680</c:v>
                </c:pt>
                <c:pt idx="168">
                  <c:v>4680</c:v>
                </c:pt>
                <c:pt idx="169">
                  <c:v>4680</c:v>
                </c:pt>
                <c:pt idx="170">
                  <c:v>4680</c:v>
                </c:pt>
                <c:pt idx="171">
                  <c:v>4680</c:v>
                </c:pt>
                <c:pt idx="172">
                  <c:v>4680</c:v>
                </c:pt>
                <c:pt idx="173">
                  <c:v>4680</c:v>
                </c:pt>
                <c:pt idx="174">
                  <c:v>4680</c:v>
                </c:pt>
                <c:pt idx="175">
                  <c:v>4680</c:v>
                </c:pt>
                <c:pt idx="176">
                  <c:v>4680</c:v>
                </c:pt>
                <c:pt idx="177">
                  <c:v>4680</c:v>
                </c:pt>
                <c:pt idx="178">
                  <c:v>4680</c:v>
                </c:pt>
                <c:pt idx="179">
                  <c:v>4680</c:v>
                </c:pt>
                <c:pt idx="180">
                  <c:v>4680</c:v>
                </c:pt>
                <c:pt idx="181">
                  <c:v>4680</c:v>
                </c:pt>
                <c:pt idx="182">
                  <c:v>4680</c:v>
                </c:pt>
                <c:pt idx="183">
                  <c:v>4680</c:v>
                </c:pt>
                <c:pt idx="184">
                  <c:v>4680</c:v>
                </c:pt>
                <c:pt idx="185">
                  <c:v>4680</c:v>
                </c:pt>
                <c:pt idx="186">
                  <c:v>4680</c:v>
                </c:pt>
                <c:pt idx="187">
                  <c:v>4680</c:v>
                </c:pt>
                <c:pt idx="188">
                  <c:v>4680</c:v>
                </c:pt>
                <c:pt idx="189">
                  <c:v>4680</c:v>
                </c:pt>
                <c:pt idx="190">
                  <c:v>4680</c:v>
                </c:pt>
                <c:pt idx="191">
                  <c:v>4680</c:v>
                </c:pt>
                <c:pt idx="192">
                  <c:v>4680</c:v>
                </c:pt>
                <c:pt idx="193">
                  <c:v>4680</c:v>
                </c:pt>
                <c:pt idx="194">
                  <c:v>4680</c:v>
                </c:pt>
                <c:pt idx="195">
                  <c:v>4680</c:v>
                </c:pt>
                <c:pt idx="196">
                  <c:v>4680</c:v>
                </c:pt>
                <c:pt idx="197">
                  <c:v>4680</c:v>
                </c:pt>
                <c:pt idx="198">
                  <c:v>4680</c:v>
                </c:pt>
                <c:pt idx="199">
                  <c:v>4680</c:v>
                </c:pt>
                <c:pt idx="200">
                  <c:v>4680</c:v>
                </c:pt>
                <c:pt idx="201">
                  <c:v>4680</c:v>
                </c:pt>
                <c:pt idx="202">
                  <c:v>4680</c:v>
                </c:pt>
                <c:pt idx="203">
                  <c:v>4680</c:v>
                </c:pt>
                <c:pt idx="204">
                  <c:v>4680</c:v>
                </c:pt>
                <c:pt idx="205">
                  <c:v>4680</c:v>
                </c:pt>
                <c:pt idx="206">
                  <c:v>4680</c:v>
                </c:pt>
                <c:pt idx="207">
                  <c:v>4680</c:v>
                </c:pt>
                <c:pt idx="208">
                  <c:v>4680</c:v>
                </c:pt>
                <c:pt idx="209">
                  <c:v>4680</c:v>
                </c:pt>
                <c:pt idx="210">
                  <c:v>4680</c:v>
                </c:pt>
                <c:pt idx="211">
                  <c:v>4680</c:v>
                </c:pt>
                <c:pt idx="212">
                  <c:v>4680</c:v>
                </c:pt>
                <c:pt idx="213">
                  <c:v>4680</c:v>
                </c:pt>
                <c:pt idx="214">
                  <c:v>4680</c:v>
                </c:pt>
                <c:pt idx="215">
                  <c:v>4680</c:v>
                </c:pt>
                <c:pt idx="216">
                  <c:v>4680</c:v>
                </c:pt>
                <c:pt idx="217">
                  <c:v>4680</c:v>
                </c:pt>
                <c:pt idx="218">
                  <c:v>4680</c:v>
                </c:pt>
                <c:pt idx="219">
                  <c:v>4680</c:v>
                </c:pt>
                <c:pt idx="220">
                  <c:v>4680</c:v>
                </c:pt>
                <c:pt idx="221">
                  <c:v>4680</c:v>
                </c:pt>
                <c:pt idx="222">
                  <c:v>4680</c:v>
                </c:pt>
                <c:pt idx="223">
                  <c:v>4680</c:v>
                </c:pt>
                <c:pt idx="224">
                  <c:v>4680</c:v>
                </c:pt>
                <c:pt idx="225">
                  <c:v>4680</c:v>
                </c:pt>
                <c:pt idx="226">
                  <c:v>4680</c:v>
                </c:pt>
                <c:pt idx="227">
                  <c:v>4680</c:v>
                </c:pt>
                <c:pt idx="228">
                  <c:v>4680</c:v>
                </c:pt>
                <c:pt idx="229">
                  <c:v>4680</c:v>
                </c:pt>
                <c:pt idx="230">
                  <c:v>4680</c:v>
                </c:pt>
                <c:pt idx="231">
                  <c:v>4680</c:v>
                </c:pt>
                <c:pt idx="232">
                  <c:v>4680</c:v>
                </c:pt>
                <c:pt idx="233">
                  <c:v>4680</c:v>
                </c:pt>
                <c:pt idx="234">
                  <c:v>4680</c:v>
                </c:pt>
                <c:pt idx="235">
                  <c:v>4680</c:v>
                </c:pt>
                <c:pt idx="236">
                  <c:v>4680</c:v>
                </c:pt>
                <c:pt idx="237">
                  <c:v>4680</c:v>
                </c:pt>
                <c:pt idx="238">
                  <c:v>4680</c:v>
                </c:pt>
                <c:pt idx="239">
                  <c:v>4680</c:v>
                </c:pt>
                <c:pt idx="240">
                  <c:v>4680</c:v>
                </c:pt>
                <c:pt idx="241">
                  <c:v>4680</c:v>
                </c:pt>
                <c:pt idx="242">
                  <c:v>4680</c:v>
                </c:pt>
                <c:pt idx="243">
                  <c:v>4680</c:v>
                </c:pt>
                <c:pt idx="244">
                  <c:v>4680</c:v>
                </c:pt>
                <c:pt idx="245">
                  <c:v>4680</c:v>
                </c:pt>
                <c:pt idx="246">
                  <c:v>4680</c:v>
                </c:pt>
                <c:pt idx="247">
                  <c:v>4680</c:v>
                </c:pt>
                <c:pt idx="248">
                  <c:v>4680</c:v>
                </c:pt>
                <c:pt idx="249">
                  <c:v>4680</c:v>
                </c:pt>
                <c:pt idx="250">
                  <c:v>4680</c:v>
                </c:pt>
                <c:pt idx="251">
                  <c:v>4680</c:v>
                </c:pt>
                <c:pt idx="252">
                  <c:v>4680</c:v>
                </c:pt>
                <c:pt idx="253">
                  <c:v>4680</c:v>
                </c:pt>
                <c:pt idx="254">
                  <c:v>4680</c:v>
                </c:pt>
                <c:pt idx="255">
                  <c:v>4680</c:v>
                </c:pt>
                <c:pt idx="256">
                  <c:v>4680</c:v>
                </c:pt>
                <c:pt idx="257">
                  <c:v>4680</c:v>
                </c:pt>
                <c:pt idx="258">
                  <c:v>4680</c:v>
                </c:pt>
                <c:pt idx="259">
                  <c:v>4680</c:v>
                </c:pt>
                <c:pt idx="260">
                  <c:v>4680</c:v>
                </c:pt>
                <c:pt idx="261">
                  <c:v>4680</c:v>
                </c:pt>
                <c:pt idx="262">
                  <c:v>4680</c:v>
                </c:pt>
                <c:pt idx="263">
                  <c:v>4680</c:v>
                </c:pt>
                <c:pt idx="264">
                  <c:v>4680</c:v>
                </c:pt>
                <c:pt idx="265">
                  <c:v>4680</c:v>
                </c:pt>
                <c:pt idx="266">
                  <c:v>4680</c:v>
                </c:pt>
                <c:pt idx="267">
                  <c:v>4680</c:v>
                </c:pt>
                <c:pt idx="268">
                  <c:v>4680</c:v>
                </c:pt>
                <c:pt idx="269">
                  <c:v>4680</c:v>
                </c:pt>
                <c:pt idx="270">
                  <c:v>4680</c:v>
                </c:pt>
                <c:pt idx="271">
                  <c:v>4680</c:v>
                </c:pt>
                <c:pt idx="272">
                  <c:v>4680</c:v>
                </c:pt>
                <c:pt idx="273">
                  <c:v>4680</c:v>
                </c:pt>
                <c:pt idx="274">
                  <c:v>4680</c:v>
                </c:pt>
                <c:pt idx="275">
                  <c:v>4680</c:v>
                </c:pt>
                <c:pt idx="276">
                  <c:v>4680</c:v>
                </c:pt>
                <c:pt idx="277">
                  <c:v>4680</c:v>
                </c:pt>
                <c:pt idx="278">
                  <c:v>4680</c:v>
                </c:pt>
                <c:pt idx="279">
                  <c:v>4680</c:v>
                </c:pt>
                <c:pt idx="280">
                  <c:v>4680</c:v>
                </c:pt>
                <c:pt idx="281">
                  <c:v>4680</c:v>
                </c:pt>
                <c:pt idx="282">
                  <c:v>4680</c:v>
                </c:pt>
                <c:pt idx="283">
                  <c:v>4680</c:v>
                </c:pt>
                <c:pt idx="284">
                  <c:v>4680</c:v>
                </c:pt>
                <c:pt idx="285">
                  <c:v>4680</c:v>
                </c:pt>
                <c:pt idx="286">
                  <c:v>4680</c:v>
                </c:pt>
                <c:pt idx="287">
                  <c:v>4680</c:v>
                </c:pt>
                <c:pt idx="288">
                  <c:v>4680</c:v>
                </c:pt>
                <c:pt idx="289">
                  <c:v>4680</c:v>
                </c:pt>
                <c:pt idx="290">
                  <c:v>4680</c:v>
                </c:pt>
                <c:pt idx="291">
                  <c:v>4680</c:v>
                </c:pt>
                <c:pt idx="292">
                  <c:v>4680</c:v>
                </c:pt>
                <c:pt idx="293">
                  <c:v>4680</c:v>
                </c:pt>
                <c:pt idx="294">
                  <c:v>4680</c:v>
                </c:pt>
                <c:pt idx="295">
                  <c:v>4680</c:v>
                </c:pt>
                <c:pt idx="296">
                  <c:v>4680</c:v>
                </c:pt>
                <c:pt idx="297">
                  <c:v>4680</c:v>
                </c:pt>
                <c:pt idx="298">
                  <c:v>4680</c:v>
                </c:pt>
                <c:pt idx="299">
                  <c:v>4680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85468613"/>
        <c:axId val="466459237"/>
      </c:lineChart>
      <c:catAx>
        <c:axId val="3854686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6459237"/>
        <c:crosses val="autoZero"/>
        <c:auto val="1"/>
        <c:lblAlgn val="ctr"/>
        <c:lblOffset val="100"/>
        <c:noMultiLvlLbl val="0"/>
      </c:catAx>
      <c:valAx>
        <c:axId val="4664592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54686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6e38453-c643-4434-aaec-06f92b2c4a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132715</xdr:colOff>
      <xdr:row>25</xdr:row>
      <xdr:rowOff>279400</xdr:rowOff>
    </xdr:from>
    <xdr:to>
      <xdr:col>20</xdr:col>
      <xdr:colOff>351155</xdr:colOff>
      <xdr:row>41</xdr:row>
      <xdr:rowOff>70485</xdr:rowOff>
    </xdr:to>
    <xdr:graphicFrame>
      <xdr:nvGraphicFramePr>
        <xdr:cNvPr id="2" name="图表 1"/>
        <xdr:cNvGraphicFramePr/>
      </xdr:nvGraphicFramePr>
      <xdr:xfrm>
        <a:off x="8346440" y="5622925"/>
        <a:ext cx="5704840" cy="3248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抽卡预期_13" displayName="抽卡预期_13" ref="B29:U629" totalsRowShown="0">
  <tableColumns count="20">
    <tableColumn id="1" name="天数" dataDxfId="0"/>
    <tableColumn id="2" name="抽数" dataDxfId="1">
      <calculatedColumnFormula>总览!D20</calculatedColumnFormula>
    </tableColumn>
    <tableColumn id="3" name="寒冰射手" dataDxfId="2">
      <calculatedColumnFormula>IFERROR(MATCH(D635*10,OFFSET($AP$635:$AP$734,0,D$631),1),0)</calculatedColumnFormula>
    </tableColumn>
    <tableColumn id="4" name="炽焰巫师" dataDxfId="3">
      <calculatedColumnFormula>IFERROR(MATCH(E635*10,OFFSET($AP$635:$AP$734,0,E$631),1),0)</calculatedColumnFormula>
    </tableColumn>
    <tableColumn id="5" name="吟游诗人" dataDxfId="4">
      <calculatedColumnFormula>IFERROR(MATCH(F635*10,OFFSET($AP$635:$AP$734,0,F$631),1),0)</calculatedColumnFormula>
    </tableColumn>
    <tableColumn id="6" name="摇滚巨石" dataDxfId="5">
      <calculatedColumnFormula>IFERROR(MATCH(G635*10,OFFSET($AP$635:$AP$734,0,G$631),1),0)</calculatedColumnFormula>
    </tableColumn>
    <tableColumn id="7" name="泥巴少女" dataDxfId="6">
      <calculatedColumnFormula>IFERROR(MATCH(H635*10,OFFSET($AP$635:$AP$734,0,H$631),1),0)</calculatedColumnFormula>
    </tableColumn>
    <tableColumn id="8" name="雷震子" dataDxfId="7">
      <calculatedColumnFormula>IFERROR(MATCH(I635*10,OFFSET($AP$635:$AP$734,0,I$631),1),0)</calculatedColumnFormula>
    </tableColumn>
    <tableColumn id="9" name="忍者鲨手" dataDxfId="8">
      <calculatedColumnFormula>IFERROR(MATCH(J635*10,OFFSET($AP$635:$AP$734,0,J$631),1),0)</calculatedColumnFormula>
    </tableColumn>
    <tableColumn id="10" name="甜心护士" dataDxfId="9">
      <calculatedColumnFormula>IFERROR(MATCH(K635*10,OFFSET($AP$635:$AP$734,0,K$631),1),0)</calculatedColumnFormula>
    </tableColumn>
    <tableColumn id="11" name="路飞" dataDxfId="10">
      <calculatedColumnFormula>IFERROR(MATCH(L635*10,OFFSET($AP$635:$AP$734,0,L$631),1),0)</calculatedColumnFormula>
    </tableColumn>
    <tableColumn id="12" name="镭射眼" dataDxfId="11">
      <calculatedColumnFormula>IFERROR(MATCH(M635*10,OFFSET($AP$635:$AP$734,0,M$631),1),0)</calculatedColumnFormula>
    </tableColumn>
    <tableColumn id="13" name="东方不败" dataDxfId="12">
      <calculatedColumnFormula>IFERROR(MATCH(N635*10,OFFSET($AP$635:$AP$734,0,N$631),1),0)</calculatedColumnFormula>
    </tableColumn>
    <tableColumn id="14" name="亚瑟" dataDxfId="13">
      <calculatedColumnFormula>IFERROR(MATCH(O635*10,OFFSET($AP$635:$AP$734,0,O$631),1),0)</calculatedColumnFormula>
    </tableColumn>
    <tableColumn id="15" name="蜘蛛女王" dataDxfId="14">
      <calculatedColumnFormula>IFERROR(MATCH(P635*10,OFFSET($AP$635:$AP$734,0,P$631),1),0)</calculatedColumnFormula>
    </tableColumn>
    <tableColumn id="16" name="唐小僧" dataDxfId="15">
      <calculatedColumnFormula>IFERROR(MATCH(Q635*10,OFFSET($AP$635:$AP$734,0,Q$631),1),0)</calculatedColumnFormula>
    </tableColumn>
    <tableColumn id="17" name="神灯王子" dataDxfId="16">
      <calculatedColumnFormula>IFERROR(MATCH(R635*10,OFFSET($AP$635:$AP$734,0,R$631),1),0)</calculatedColumnFormula>
    </tableColumn>
    <tableColumn id="18" name="关羽" dataDxfId="17">
      <calculatedColumnFormula>IFERROR(MATCH(S635*10,OFFSET($AP$635:$AP$734,0,S$631),1),0)</calculatedColumnFormula>
    </tableColumn>
    <tableColumn id="19" name="后羿" dataDxfId="18">
      <calculatedColumnFormula>IFERROR(MATCH(T635*10,OFFSET($AP$635:$AP$734,0,T$631),1),0)</calculatedColumnFormula>
    </tableColumn>
    <tableColumn id="20" name="海拉" dataDxfId="19">
      <calculatedColumnFormula>IFERROR(MATCH(U635*10,OFFSET($AP$635:$AP$734,0,U$631),1),0)</calculatedColumnFormula>
    </tableColumn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抽卡预期_11" displayName="抽卡预期_11" ref="B1236:U1836" totalsRowShown="0">
  <tableColumns count="20">
    <tableColumn id="1" name="天数" dataDxfId="20"/>
    <tableColumn id="2" name="抽数" dataDxfId="21">
      <calculatedColumnFormula>C935</calculatedColumnFormula>
    </tableColumn>
    <tableColumn id="3" name="寒冰射手" dataDxfId="22"/>
    <tableColumn id="4" name="炽焰巫师" dataDxfId="23"/>
    <tableColumn id="5" name="吟游诗人" dataDxfId="24"/>
    <tableColumn id="6" name="摇滚巨石" dataDxfId="25"/>
    <tableColumn id="7" name="泥巴少女" dataDxfId="26"/>
    <tableColumn id="8" name="雷震子" dataDxfId="27"/>
    <tableColumn id="9" name="忍者鲨手" dataDxfId="28"/>
    <tableColumn id="10" name="甜心护士" dataDxfId="29"/>
    <tableColumn id="11" name="路飞" dataDxfId="30"/>
    <tableColumn id="12" name="镭射眼" dataDxfId="31"/>
    <tableColumn id="13" name="东方不败" dataDxfId="32"/>
    <tableColumn id="14" name="亚瑟" dataDxfId="33"/>
    <tableColumn id="15" name="蜘蛛女王" dataDxfId="34"/>
    <tableColumn id="16" name="唐小僧" dataDxfId="35"/>
    <tableColumn id="17" name="神灯王子" dataDxfId="36"/>
    <tableColumn id="18" name="关羽" dataDxfId="37"/>
    <tableColumn id="19" name="后羿" dataDxfId="38"/>
    <tableColumn id="20" name="海拉" dataDxfId="39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英雄信息" displayName="英雄信息" ref="B8:I27" totalsRowShown="0">
  <tableColumns count="8">
    <tableColumn id="1" name="来源" dataDxfId="40"/>
    <tableColumn id="2" name="阶段节点" dataDxfId="41"/>
    <tableColumn id="3" name="核心奖励" dataDxfId="42"/>
    <tableColumn id="4" name="梦灵品质" dataDxfId="43"/>
    <tableColumn id="5" name="梦灵倍率" dataDxfId="44"/>
    <tableColumn id="6" name="梦灵系数" dataDxfId="45"/>
    <tableColumn id="7" name="升阶系数" dataDxfId="46"/>
    <tableColumn id="8" name="主C" dataDxfId="47">
      <calculatedColumnFormula>D9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招募概率" displayName="招募概率" ref="K8:R15" totalsRowShown="0">
  <tableColumns count="8">
    <tableColumn id="1" name="招募等级" dataDxfId="48"/>
    <tableColumn id="2" name="蓝卡" dataDxfId="49"/>
    <tableColumn id="3" name="紫卡" dataDxfId="50"/>
    <tableColumn id="4" name="橙卡" dataDxfId="51"/>
    <tableColumn id="5" name="红卡" dataDxfId="52"/>
    <tableColumn id="6" name="升级经验" dataDxfId="53"/>
    <tableColumn id="7" name="升级经验2" dataDxfId="54"/>
    <tableColumn id="8" name="列1" dataDxfId="55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抽卡预期" displayName="抽卡预期" ref="B634:U1234" totalsRowShown="0">
  <tableColumns count="20">
    <tableColumn id="1" name="天数" dataDxfId="56"/>
    <tableColumn id="2" name="抽数" dataDxfId="57">
      <calculatedColumnFormula>C330</calculatedColumnFormula>
    </tableColumn>
    <tableColumn id="3" name="寒冰射手" dataDxfId="58">
      <calculatedColumnFormula array="1">IF(D1237=1,OFFSET($W$634,$B635,D$631-1)/SUMPRODUCT(--($D$631:$V$631=D$631),--($D1237:$V1237=1)),0)+SUM(D634)+IF(COUNTIF(D$1237:D1237,1)=1,5,0)+IF(COUNTIF(E635:$W635,"&gt;"&amp;0)&lt;5,IF(AND(COUNTIF(D$1237:D1237,1)&gt;7,MOD(1+IFERROR(MATCH($C635,总览!$D$46:$D$345,1)+1,1),7)=0),$C$3,0),0)</calculatedColumnFormula>
    </tableColumn>
    <tableColumn id="4" name="炽焰巫师" dataDxfId="59">
      <calculatedColumnFormula array="1">IF(E1237=1,OFFSET($W$634,$B635,E$631-1)/SUMPRODUCT(--($D$631:$V$631=E$631),--($D1237:$V1237=1)),0)+SUM(E634)+IF(COUNTIF(E$1237:E1237,1)=1,5,0)+IF(COUNTIF(F635:$W635,"&gt;"&amp;0)&lt;5,IF(AND(COUNTIF(E$1237:E1237,1)&gt;7,MOD(1+IFERROR(MATCH($C635,总览!$D$46:$D$345,1)+1,1),7)=0),$C$3,0),0)</calculatedColumnFormula>
    </tableColumn>
    <tableColumn id="5" name="吟游诗人" dataDxfId="60">
      <calculatedColumnFormula array="1">IF(F1237=1,OFFSET($W$634,$B635,F$631-1)/SUMPRODUCT(--($D$631:$V$631=F$631),--($D1237:$V1237=1)),0)+SUM(F634)+IF(COUNTIF(F$1237:F1237,1)=1,5,0)+IF(COUNTIF(G635:$W635,"&gt;"&amp;0)&lt;5,IF(AND(COUNTIF(F$1237:F1237,1)&gt;7,MOD(1+IFERROR(MATCH($C635,总览!$D$46:$D$345,1)+1,1),7)=0),$C$3,0),0)</calculatedColumnFormula>
    </tableColumn>
    <tableColumn id="6" name="摇滚巨石" dataDxfId="61">
      <calculatedColumnFormula array="1">IF(G1237=1,OFFSET($W$634,$B635,G$631-1)/SUMPRODUCT(--($D$631:$V$631=G$631),--($D1237:$V1237=1)),0)+SUM(G634)+IF(COUNTIF(G$1237:G1237,1)=1,5,0)+IF(COUNTIF(H635:$W635,"&gt;"&amp;0)&lt;5,IF(AND(COUNTIF(G$1237:G1237,1)&gt;7,MOD(1+IFERROR(MATCH($C635,总览!$D$46:$D$345,1)+1,1),7)=0),$C$3,0),0)</calculatedColumnFormula>
    </tableColumn>
    <tableColumn id="7" name="泥巴少女" dataDxfId="62">
      <calculatedColumnFormula array="1">IF(H1237=1,OFFSET($W$634,$B635,H$631-1)/SUMPRODUCT(--($D$631:$V$631=H$631),--($D1237:$V1237=1)),0)+SUM(H634)+IF(COUNTIF(H$1237:H1237,1)=1,5,0)+IF(COUNTIF(I635:$W635,"&gt;"&amp;0)&lt;5,IF(AND(COUNTIF(H$1237:H1237,1)&gt;7,MOD(1+IFERROR(MATCH($C635,总览!$D$46:$D$345,1)+1,1),7)=0),$C$3,0),0)</calculatedColumnFormula>
    </tableColumn>
    <tableColumn id="8" name="雷震子" dataDxfId="63">
      <calculatedColumnFormula array="1">IF(I1237=1,OFFSET($W$634,$B635,I$631-1)/SUMPRODUCT(--($D$631:$V$631=I$631),--($D1237:$V1237=1)),0)+SUM(I634)+IF(COUNTIF(I$1237:I1237,1)=1,5,0)+IF(COUNTIF(J635:$W635,"&gt;"&amp;0)&lt;5,IF(AND(COUNTIF(I$1237:I1237,1)&gt;7,MOD(1+IFERROR(MATCH($C635,总览!$D$46:$D$345,1)+1,1),7)=0),$C$3,0),0)</calculatedColumnFormula>
    </tableColumn>
    <tableColumn id="9" name="忍者鲨手" dataDxfId="64">
      <calculatedColumnFormula array="1">IF(J1237=1,OFFSET($W$634,$B635,J$631-1)/SUMPRODUCT(--($D$631:$V$631=J$631),--($D1237:$V1237=1)),0)+SUM(J634)+IF(COUNTIF(J$1237:J1237,1)=1,5,0)+IF(COUNTIF(K635:$W635,"&gt;"&amp;0)&lt;5,IF(AND(COUNTIF(J$1237:J1237,1)&gt;7,MOD(1+IFERROR(MATCH($C635,总览!$D$46:$D$345,1)+1,1),7)=0),$C$3,0),0)</calculatedColumnFormula>
    </tableColumn>
    <tableColumn id="10" name="甜心护士" dataDxfId="65">
      <calculatedColumnFormula array="1">IF(K1237=1,OFFSET($W$634,$B635,K$631-1)/SUMPRODUCT(--($D$631:$V$631=K$631),--($D1237:$V1237=1)),0)+SUM(K634)+IF(COUNTIF(K$1237:K1237,1)=1,5,0)+IF(COUNTIF(L635:$W635,"&gt;"&amp;0)&lt;5,IF(AND(COUNTIF(K$1237:K1237,1)&gt;7,MOD(1+IFERROR(MATCH($C635,总览!$D$46:$D$345,1)+1,1),7)=0),$C$3,0),0)</calculatedColumnFormula>
    </tableColumn>
    <tableColumn id="11" name="路飞" dataDxfId="66">
      <calculatedColumnFormula array="1">IF(L1237=1,OFFSET($W$634,$B635,L$631-1)/SUMPRODUCT(--($D$631:$V$631=L$631),--($D1237:$V1237=1)),0)+SUM(L634)+IF(COUNTIF(L$1237:L1237,1)=1,5,0)+IF(COUNTIF(M635:$W635,"&gt;"&amp;0)&lt;5,IF(AND(COUNTIF(L$1237:L1237,1)&gt;7,MOD(1+IFERROR(MATCH($C635,总览!$D$46:$D$345,1)+1,1),7)=0),$C$3,0),0)</calculatedColumnFormula>
    </tableColumn>
    <tableColumn id="12" name="镭射眼" dataDxfId="67">
      <calculatedColumnFormula array="1">IF(M1237=1,OFFSET($W$634,$B635,M$631-1)/SUMPRODUCT(--($D$631:$V$631=M$631),--($D1237:$V1237=1)),0)+SUM(M634)+IF(COUNTIF(M$1237:M1237,1)=1,5,0)+IF(COUNTIF(N635:$W635,"&gt;"&amp;0)&lt;5,IF(AND(COUNTIF(M$1237:M1237,1)&gt;7,MOD(1+IFERROR(MATCH($C635,总览!$D$46:$D$345,1)+1,1),7)=0),$C$3,0),0)</calculatedColumnFormula>
    </tableColumn>
    <tableColumn id="13" name="东方不败" dataDxfId="68">
      <calculatedColumnFormula array="1">IF(N1237=1,OFFSET($W$634,$B635,N$631-1)/SUMPRODUCT(--($D$631:$V$631=N$631),--($D1237:$V1237=1)),0)+SUM(N634)+IF(COUNTIF(N$1237:N1237,1)=1,5,0)+IF(COUNTIF(O635:$W635,"&gt;"&amp;0)&lt;5,IF(AND(COUNTIF(N$1237:N1237,1)&gt;7,MOD(1+IFERROR(MATCH($C635,总览!$D$46:$D$345,1)+1,1),7)=0),$C$3,0),0)</calculatedColumnFormula>
    </tableColumn>
    <tableColumn id="14" name="亚瑟" dataDxfId="69">
      <calculatedColumnFormula array="1">IF(O1237=1,OFFSET($W$634,$B635,O$631-1)/SUMPRODUCT(--($D$631:$V$631=O$631),--($D1237:$V1237=1)),0)+SUM(O634)+IF(COUNTIF(O$1237:O1237,1)=1,5,0)+IF(COUNTIF(P635:$W635,"&gt;"&amp;0)&lt;5,IF(AND(COUNTIF(O$1237:O1237,1)&gt;7,MOD(1+IFERROR(MATCH($C635,总览!$D$46:$D$345,1)+1,1),7)=0),$C$3,0),0)</calculatedColumnFormula>
    </tableColumn>
    <tableColumn id="15" name="蜘蛛女王" dataDxfId="70">
      <calculatedColumnFormula array="1">IF(P1237=1,OFFSET($W$634,$B635,P$631-1)/SUMPRODUCT(--($D$631:$V$631=P$631),--($D1237:$V1237=1)),0)+SUM(P634)+IF(COUNTIF(P$1237:P1237,1)=1,5,0)+IF(COUNTIF(Q635:$W635,"&gt;"&amp;0)&lt;5,IF(AND(COUNTIF(P$1237:P1237,1)&gt;7,MOD(1+IFERROR(MATCH($C635,总览!$D$46:$D$345,1)+1,1),7)=0),$C$3,0),0)</calculatedColumnFormula>
    </tableColumn>
    <tableColumn id="16" name="唐小僧" dataDxfId="71">
      <calculatedColumnFormula array="1">IF(Q1237=1,OFFSET($W$634,$B635,Q$631-1)/SUMPRODUCT(--($D$631:$V$631=Q$631),--($D1237:$V1237=1)),0)+SUM(Q634)+IF(COUNTIF(Q$1237:Q1237,1)=1,5,0)+IF(COUNTIF(R635:$W635,"&gt;"&amp;0)&lt;5,IF(AND(COUNTIF(Q$1237:Q1237,1)&gt;7,MOD(1+IFERROR(MATCH($C635,总览!$D$46:$D$345,1)+1,1),7)=0),$C$3,0),0)</calculatedColumnFormula>
    </tableColumn>
    <tableColumn id="17" name="神灯王子" dataDxfId="72">
      <calculatedColumnFormula array="1">IF(R1237=1,OFFSET($W$634,$B635,R$631-1)/SUMPRODUCT(--($D$631:$V$631=R$631),--($D1237:$V1237=1)),0)+SUM(R634)+IF(COUNTIF(R$1237:R1237,1)=1,5,0)+IF(COUNTIF(S635:$W635,"&gt;"&amp;0)&lt;5,IF(AND(COUNTIF(R$1237:R1237,1)&gt;7,MOD(1+IFERROR(MATCH($C635,总览!$D$46:$D$345,1)+1,1),7)=0),$C$3,0),0)</calculatedColumnFormula>
    </tableColumn>
    <tableColumn id="18" name="关羽" dataDxfId="73">
      <calculatedColumnFormula array="1">IF(S1237=1,OFFSET($W$634,$B635,S$631-1)/SUMPRODUCT(--($D$631:$V$631=S$631),--($D1237:$V1237=1)),0)+SUM(S634)+IF(COUNTIF(S$1237:S1237,1)=1,5,0)+IF(COUNTIF(T635:$W635,"&gt;"&amp;0)&lt;5,IF(AND(COUNTIF(S$1237:S1237,1)&gt;7,MOD(1+IFERROR(MATCH($C635,总览!$D$46:$D$345,1)+1,1),7)=0),$C$3,0),0)</calculatedColumnFormula>
    </tableColumn>
    <tableColumn id="19" name="后羿" dataDxfId="74">
      <calculatedColumnFormula array="1">IF(T1237=1,OFFSET($W$634,$B635,T$631-1)/SUMPRODUCT(--($D$631:$V$631=T$631),--($D1237:$V1237=1)),0)+SUM(T634)+IF(COUNTIF(T$1237:T1237,1)=1,5,0)+IF(COUNTIF(U635:$W635,"&gt;"&amp;0)&lt;5,IF(AND(COUNTIF(T$1237:T1237,1)&gt;7,MOD(1+IFERROR(MATCH($C635,总览!$D$46:$D$345,1)+1,1),7)=0),$C$3,0),0)</calculatedColumnFormula>
    </tableColumn>
    <tableColumn id="20" name="我爱沙" dataDxfId="75">
      <calculatedColumnFormula array="1">IF(U1237=1,OFFSET($W$634,$B635,U$631-1)/SUMPRODUCT(--($D$631:$V$631=U$631),--($D1237:$V1237=1)),0)+SUM(U634)+IF(COUNTIF(U$1237:U1237,1)=1,5,0)+IF(COUNTIF(V635:$W635,"&gt;"&amp;0)&lt;5,IF(AND(COUNTIF(U$1237:U1237,1)&gt;7,MOD(1+IFERROR(MATCH($C635,总览!$D$46:$D$345,1)+1,1),7)=0),$C$3,0),0)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2:O345"/>
  <sheetViews>
    <sheetView showGridLines="0" tabSelected="1" zoomScale="120" zoomScaleNormal="120" topLeftCell="A22" workbookViewId="0">
      <selection activeCell="J46" sqref="J46"/>
    </sheetView>
  </sheetViews>
  <sheetFormatPr defaultColWidth="9" defaultRowHeight="16.5"/>
  <cols>
    <col min="1" max="1" width="8.75" style="95" customWidth="1"/>
    <col min="2" max="2" width="9" style="95"/>
    <col min="3" max="3" width="8.95" style="95" customWidth="1"/>
    <col min="4" max="4" width="8.95833333333333" style="95" customWidth="1"/>
    <col min="5" max="7" width="9" style="95"/>
    <col min="8" max="8" width="9.16666666666667" style="95" customWidth="1"/>
    <col min="9" max="9" width="9.06666666666667" style="95" customWidth="1"/>
    <col min="10" max="11" width="8.95" style="95" customWidth="1"/>
    <col min="12" max="16384" width="9" style="95"/>
  </cols>
  <sheetData>
    <row r="2" ht="24.75" spans="1:2">
      <c r="A2" s="93" t="s">
        <v>0</v>
      </c>
    </row>
    <row r="4" spans="1:2">
      <c r="B4" s="137" t="s">
        <v>1</v>
      </c>
    </row>
    <row r="6" spans="1:2">
      <c r="B6" s="137"/>
    </row>
    <row r="26" s="93" customFormat="1" ht="24.75" spans="1:15">
      <c r="A26" s="93" t="s">
        <v>2</v>
      </c>
    </row>
    <row r="27" s="94" customFormat="1" spans="1:15">
      <c r="B27" s="138"/>
      <c r="C27" s="138" t="s">
        <v>3</v>
      </c>
      <c r="D27" s="138"/>
      <c r="E27" s="138"/>
      <c r="F27" s="138"/>
      <c r="G27" s="138">
        <v>30</v>
      </c>
      <c r="H27" s="138">
        <v>5</v>
      </c>
      <c r="I27" s="138">
        <v>60</v>
      </c>
      <c r="J27" s="138"/>
      <c r="K27" s="138"/>
      <c r="N27" s="94">
        <f>694*90</f>
        <v>62460</v>
      </c>
      <c r="O27" s="94">
        <f>N27*0.4</f>
        <v>24984</v>
      </c>
    </row>
    <row r="28" s="94" customFormat="1" spans="1:15">
      <c r="B28" s="138" t="s">
        <v>4</v>
      </c>
      <c r="C28" s="138" t="s">
        <v>5</v>
      </c>
      <c r="D28" s="138" t="s">
        <v>6</v>
      </c>
      <c r="E28" s="138" t="s">
        <v>7</v>
      </c>
      <c r="F28" s="138" t="s">
        <v>8</v>
      </c>
      <c r="G28" s="138" t="s">
        <v>9</v>
      </c>
      <c r="H28" s="138" t="s">
        <v>10</v>
      </c>
      <c r="I28" s="138" t="s">
        <v>11</v>
      </c>
      <c r="J28" s="138" t="s">
        <v>12</v>
      </c>
      <c r="K28" s="138" t="s">
        <v>13</v>
      </c>
      <c r="L28" s="138" t="s">
        <v>14</v>
      </c>
    </row>
    <row r="29" s="94" customFormat="1" spans="1:15">
      <c r="B29" s="95" t="s">
        <v>15</v>
      </c>
      <c r="C29" s="138">
        <v>1</v>
      </c>
      <c r="D29" s="138">
        <v>210</v>
      </c>
      <c r="E29" s="138">
        <v>0</v>
      </c>
      <c r="F29" s="138">
        <v>0</v>
      </c>
      <c r="G29" s="138">
        <v>60</v>
      </c>
      <c r="H29" s="138">
        <v>1000</v>
      </c>
      <c r="I29" s="139">
        <f>4</f>
        <v>4</v>
      </c>
      <c r="J29" s="139"/>
      <c r="K29" s="94"/>
      <c r="L29" s="138">
        <v>450</v>
      </c>
    </row>
    <row r="30" s="94" customFormat="1" spans="1:15">
      <c r="B30" s="95" t="s">
        <v>16</v>
      </c>
      <c r="C30" s="138">
        <v>2</v>
      </c>
      <c r="D30" s="138">
        <v>280</v>
      </c>
      <c r="E30" s="138">
        <f>30+6</f>
        <v>36</v>
      </c>
      <c r="F30" s="140">
        <f>(18+30+28+68+12*4)/30</f>
        <v>6.4</v>
      </c>
      <c r="G30" s="138">
        <v>70</v>
      </c>
      <c r="H30" s="140">
        <v>1100</v>
      </c>
      <c r="I30" s="139">
        <f>F30/328*24+4</f>
        <v>4.46829268292683</v>
      </c>
      <c r="J30" s="139"/>
      <c r="K30" s="94"/>
      <c r="L30" s="138">
        <v>720</v>
      </c>
    </row>
    <row r="31" s="94" customFormat="1" spans="1:15">
      <c r="B31" s="95" t="s">
        <v>17</v>
      </c>
      <c r="C31" s="138">
        <v>3</v>
      </c>
      <c r="D31" s="138">
        <v>420</v>
      </c>
      <c r="E31" s="138">
        <f>198+128+30+6</f>
        <v>362</v>
      </c>
      <c r="F31" s="140">
        <f>(18+30+28+68+25*30+12*4)/30</f>
        <v>31.4</v>
      </c>
      <c r="G31" s="138">
        <v>90</v>
      </c>
      <c r="H31" s="140">
        <v>1300</v>
      </c>
      <c r="I31" s="139">
        <f>F31/328*24+4</f>
        <v>6.29756097560976</v>
      </c>
      <c r="J31" s="139"/>
      <c r="K31" s="94"/>
      <c r="L31" s="138">
        <v>840</v>
      </c>
    </row>
    <row r="32" s="94" customFormat="1" spans="1:15">
      <c r="B32" s="95" t="s">
        <v>18</v>
      </c>
      <c r="C32" s="138">
        <v>4</v>
      </c>
      <c r="D32" s="138">
        <v>560</v>
      </c>
      <c r="E32" s="138">
        <f>648+328+198+128+30+6+4000</f>
        <v>5338</v>
      </c>
      <c r="F32" s="140">
        <f>(18+30+28*2+68*2+25*30+12*4+328+648*30)/30</f>
        <v>693.533333333333</v>
      </c>
      <c r="G32" s="138">
        <v>110</v>
      </c>
      <c r="H32" s="140">
        <v>1500</v>
      </c>
      <c r="I32" s="139">
        <f>F32/328*24+4</f>
        <v>54.7463414634146</v>
      </c>
      <c r="J32" s="139"/>
      <c r="K32" s="94"/>
      <c r="L32" s="138">
        <v>1000</v>
      </c>
    </row>
    <row r="33" s="94" customFormat="1" spans="2:15">
      <c r="B33" s="95" t="s">
        <v>19</v>
      </c>
      <c r="C33" s="138">
        <v>5</v>
      </c>
      <c r="D33" s="138">
        <v>720</v>
      </c>
      <c r="E33" s="138">
        <v>20000</v>
      </c>
      <c r="F33" s="140">
        <v>2000</v>
      </c>
      <c r="G33" s="138">
        <v>120</v>
      </c>
      <c r="H33" s="140">
        <v>2000</v>
      </c>
      <c r="I33" s="139">
        <f>F33/328*24+4.5</f>
        <v>150.841463414634</v>
      </c>
      <c r="J33" s="139"/>
      <c r="K33" s="94"/>
      <c r="L33" s="138">
        <v>2000</v>
      </c>
    </row>
    <row r="34" s="94" customFormat="1" spans="2:15">
      <c r="B34" s="95"/>
      <c r="C34" s="138"/>
    </row>
    <row r="35" s="94" customFormat="1" spans="2:15">
      <c r="B35" s="137" t="s">
        <v>20</v>
      </c>
      <c r="C35" s="138"/>
    </row>
    <row r="36" s="94" customFormat="1" spans="2:15">
      <c r="B36" s="95" t="s">
        <v>21</v>
      </c>
      <c r="C36" s="95" t="s">
        <v>22</v>
      </c>
      <c r="D36" s="98" t="s">
        <v>23</v>
      </c>
      <c r="E36" s="98" t="s">
        <v>24</v>
      </c>
      <c r="F36" s="98" t="s">
        <v>3</v>
      </c>
      <c r="J36" s="96"/>
      <c r="K36" s="96"/>
    </row>
    <row r="37" spans="2:15">
      <c r="B37" s="95" t="s">
        <v>9</v>
      </c>
      <c r="C37" s="95">
        <f ca="1" t="shared" ref="C37:C42" si="0">OFFSET($F$28,$C$44,MATCH($B37,$G$28:$M$28,0))</f>
        <v>60</v>
      </c>
      <c r="D37" s="141">
        <f ca="1">C37</f>
        <v>60</v>
      </c>
      <c r="E37" s="98">
        <v>0.5</v>
      </c>
      <c r="F37" s="141">
        <v>18</v>
      </c>
    </row>
    <row r="38" spans="2:15">
      <c r="B38" s="95" t="s">
        <v>10</v>
      </c>
      <c r="C38" s="95">
        <f ca="1" t="shared" si="0"/>
        <v>1000</v>
      </c>
      <c r="D38" s="141"/>
      <c r="E38" s="98">
        <v>0</v>
      </c>
      <c r="F38" s="141">
        <v>5</v>
      </c>
      <c r="G38" s="98"/>
      <c r="H38" s="98"/>
      <c r="I38" s="98"/>
      <c r="J38" s="100"/>
      <c r="K38" s="100"/>
    </row>
    <row r="39" spans="2:15">
      <c r="B39" s="95" t="s">
        <v>11</v>
      </c>
      <c r="C39" s="102">
        <f ca="1" t="shared" si="0"/>
        <v>4</v>
      </c>
      <c r="D39" s="141">
        <f>11</f>
        <v>11</v>
      </c>
      <c r="E39" s="98">
        <v>0.3</v>
      </c>
      <c r="F39" s="141">
        <v>60</v>
      </c>
      <c r="G39" s="98"/>
      <c r="H39" s="98"/>
      <c r="I39" s="98"/>
      <c r="J39" s="100"/>
      <c r="K39" s="100"/>
    </row>
    <row r="40" spans="2:15">
      <c r="B40" s="95" t="s">
        <v>12</v>
      </c>
      <c r="C40" s="95">
        <f ca="1" t="shared" si="0"/>
        <v>0</v>
      </c>
      <c r="D40" s="141"/>
      <c r="E40" s="98">
        <v>0</v>
      </c>
      <c r="F40" s="141">
        <v>0.33</v>
      </c>
      <c r="G40" s="98"/>
      <c r="H40" s="98"/>
      <c r="I40" s="98"/>
      <c r="J40" s="100"/>
      <c r="K40" s="100"/>
    </row>
    <row r="41" spans="2:15">
      <c r="B41" s="95" t="s">
        <v>13</v>
      </c>
      <c r="C41" s="95">
        <f ca="1" t="shared" si="0"/>
        <v>0</v>
      </c>
      <c r="D41" s="141"/>
      <c r="E41" s="98">
        <v>0</v>
      </c>
      <c r="F41" s="141">
        <v>2000</v>
      </c>
      <c r="G41" s="98"/>
      <c r="H41" s="98"/>
      <c r="I41" s="98"/>
      <c r="J41" s="100"/>
      <c r="K41" s="100"/>
    </row>
    <row r="42" spans="2:15">
      <c r="B42" s="95" t="s">
        <v>14</v>
      </c>
      <c r="C42" s="95">
        <f ca="1" t="shared" si="0"/>
        <v>450</v>
      </c>
      <c r="D42" s="141">
        <v>1200</v>
      </c>
      <c r="E42" s="98">
        <v>0</v>
      </c>
      <c r="F42" s="141">
        <v>1</v>
      </c>
      <c r="G42" s="98"/>
      <c r="H42" s="98"/>
      <c r="I42" s="98"/>
      <c r="J42" s="100"/>
      <c r="K42" s="100"/>
    </row>
    <row r="43" spans="2:15">
      <c r="F43" s="98"/>
      <c r="G43" s="98"/>
      <c r="H43" s="141">
        <f ca="1">E46*0.07</f>
        <v>70</v>
      </c>
      <c r="I43" s="98"/>
      <c r="J43" s="100"/>
      <c r="K43" s="100"/>
    </row>
    <row r="44" spans="2:15">
      <c r="B44" s="142" t="str">
        <f ca="1">OFFSET($B$28,C44,0)</f>
        <v>非R</v>
      </c>
      <c r="C44" s="142">
        <v>1</v>
      </c>
      <c r="D44" s="95" t="s">
        <v>25</v>
      </c>
      <c r="F44" s="98"/>
      <c r="G44" s="98"/>
      <c r="H44" s="98"/>
      <c r="I44" s="98"/>
      <c r="J44" s="100" t="s">
        <v>26</v>
      </c>
      <c r="K44" s="100"/>
    </row>
    <row r="45" spans="2:15">
      <c r="B45" s="95" t="s">
        <v>27</v>
      </c>
      <c r="C45" s="95" t="s">
        <v>28</v>
      </c>
      <c r="D45" s="95" t="s">
        <v>9</v>
      </c>
      <c r="E45" s="95" t="s">
        <v>10</v>
      </c>
      <c r="F45" s="98" t="s">
        <v>11</v>
      </c>
      <c r="G45" s="98" t="s">
        <v>12</v>
      </c>
      <c r="H45" s="98" t="s">
        <v>13</v>
      </c>
      <c r="I45" s="98" t="s">
        <v>14</v>
      </c>
      <c r="J45" s="95" t="s">
        <v>9</v>
      </c>
      <c r="K45" s="95" t="s">
        <v>10</v>
      </c>
      <c r="L45" s="98" t="s">
        <v>11</v>
      </c>
      <c r="M45" s="98" t="s">
        <v>12</v>
      </c>
      <c r="N45" s="98" t="s">
        <v>13</v>
      </c>
      <c r="O45" s="98" t="s">
        <v>14</v>
      </c>
    </row>
    <row r="46" spans="2:15">
      <c r="B46" s="95">
        <v>1</v>
      </c>
      <c r="C46" s="95">
        <f>_xlfn.XLOOKUP(C44,$C$28:$C$33,$E$28:$E$33)</f>
        <v>0</v>
      </c>
      <c r="D46" s="143">
        <f ca="1" t="shared" ref="D46:I46" si="1">OFFSET($B$36,MATCH(D$45,$B$37:$B$42,0),1)*$B46+OFFSET($B$36,MATCH(D$45,$B$37:$B$42,0),2)*MIN($B46,7)+OFFSET($E$36,MATCH(D$45,$B$37:$B$42,0),0)*$C46*1.1/OFFSET($F$36,MATCH(D$45,$B$37:$B$42,0),0)</f>
        <v>120</v>
      </c>
      <c r="E46" s="143">
        <f ca="1" t="shared" si="1"/>
        <v>1000</v>
      </c>
      <c r="F46" s="143">
        <f ca="1" t="shared" si="1"/>
        <v>15</v>
      </c>
      <c r="G46" s="143">
        <f ca="1" t="shared" si="1"/>
        <v>0</v>
      </c>
      <c r="H46" s="143">
        <f ca="1" t="shared" si="1"/>
        <v>0</v>
      </c>
      <c r="I46" s="143">
        <f ca="1" t="shared" si="1"/>
        <v>1650</v>
      </c>
      <c r="J46" s="101">
        <f ca="1">OFFSET(梦灵养成!$Y$29,MATCH(D46,梦灵养成!$C$30:$C$629,1),0)</f>
        <v>5400</v>
      </c>
      <c r="K46" s="101">
        <f ca="1">E46*0.07</f>
        <v>70</v>
      </c>
      <c r="L46" s="101">
        <f ca="1">OFFSET(洗练性价比!$N$52,MATCH(F46*60,洗练性价比!$C$53:$C$2052,1),0)</f>
        <v>2880</v>
      </c>
    </row>
    <row r="47" spans="2:15">
      <c r="B47" s="95">
        <v>2</v>
      </c>
      <c r="C47" s="101">
        <f>C46+_xlfn.XLOOKUP($C$44,$C$28:$C$33,$F$28:$F$33)</f>
        <v>0</v>
      </c>
      <c r="D47" s="143">
        <f ca="1" t="shared" ref="D47:D110" si="2">OFFSET($B$36,MATCH(D$45,$B$37:$B$42,0),1)*$B47+OFFSET($B$36,MATCH(D$45,$B$37:$B$42,0),2)*MIN($B47,7)+OFFSET($E$36,MATCH(D$45,$B$37:$B$42,0),0)*$C47*1.1/OFFSET($F$36,MATCH(D$45,$B$37:$B$42,0),0)</f>
        <v>240</v>
      </c>
      <c r="E47" s="143">
        <f ca="1" t="shared" ref="E47:E110" si="3">OFFSET($B$36,MATCH(E$45,$B$37:$B$42,0),1)*$B47+OFFSET($B$36,MATCH(E$45,$B$37:$B$42,0),2)*MIN($B47,7)+OFFSET($E$36,MATCH(E$45,$B$37:$B$42,0),0)*$C47*1.1/OFFSET($F$36,MATCH(E$45,$B$37:$B$42,0),0)</f>
        <v>2000</v>
      </c>
      <c r="F47" s="143">
        <f ca="1" t="shared" ref="F47:F110" si="4">OFFSET($B$36,MATCH(F$45,$B$37:$B$42,0),1)*$B47+OFFSET($B$36,MATCH(F$45,$B$37:$B$42,0),2)*MIN($B47,7)+OFFSET($E$36,MATCH(F$45,$B$37:$B$42,0),0)*$C47*1.1/OFFSET($F$36,MATCH(F$45,$B$37:$B$42,0),0)</f>
        <v>30</v>
      </c>
      <c r="G47" s="143">
        <f ca="1" t="shared" ref="G47:G110" si="5">OFFSET($B$36,MATCH(G$45,$B$37:$B$42,0),1)*$B47+OFFSET($B$36,MATCH(G$45,$B$37:$B$42,0),2)*MIN($B47,7)+OFFSET($E$36,MATCH(G$45,$B$37:$B$42,0),0)*$C47*1.1/OFFSET($F$36,MATCH(G$45,$B$37:$B$42,0),0)</f>
        <v>0</v>
      </c>
      <c r="H47" s="143">
        <f ca="1" t="shared" ref="H47:H110" si="6">OFFSET($B$36,MATCH(H$45,$B$37:$B$42,0),1)*$B47+OFFSET($B$36,MATCH(H$45,$B$37:$B$42,0),2)*MIN($B47,7)+OFFSET($E$36,MATCH(H$45,$B$37:$B$42,0),0)*$C47*1.1/OFFSET($F$36,MATCH(H$45,$B$37:$B$42,0),0)</f>
        <v>0</v>
      </c>
      <c r="I47" s="143">
        <f ca="1" t="shared" ref="I47:I110" si="7">OFFSET($B$36,MATCH(I$45,$B$37:$B$42,0),1)*$B47+OFFSET($B$36,MATCH(I$45,$B$37:$B$42,0),2)*MIN($B47,7)+OFFSET($E$36,MATCH(I$45,$B$37:$B$42,0),0)*$C47*1.1/OFFSET($F$36,MATCH(I$45,$B$37:$B$42,0),0)</f>
        <v>3300</v>
      </c>
      <c r="J47" s="101">
        <f ca="1">OFFSET(梦灵养成!$Y$29,MATCH(D47,梦灵养成!$C$30:$C$629,1),0)</f>
        <v>3600</v>
      </c>
      <c r="K47" s="101">
        <f ca="1" t="shared" ref="K47:K110" si="8">E47*0.07</f>
        <v>140</v>
      </c>
      <c r="L47" s="101">
        <f ca="1">OFFSET(洗练性价比!$N$52,MATCH(F47*60,洗练性价比!$C$53:$C$2052,1),0)</f>
        <v>2880</v>
      </c>
    </row>
    <row r="48" spans="2:15">
      <c r="B48" s="95">
        <v>3</v>
      </c>
      <c r="C48" s="101">
        <f t="shared" ref="C48:C111" si="9">C47+_xlfn.XLOOKUP($C$44,$C$28:$C$33,$F$28:$F$33)</f>
        <v>0</v>
      </c>
      <c r="D48" s="143">
        <f ca="1" t="shared" si="2"/>
        <v>360</v>
      </c>
      <c r="E48" s="143">
        <f ca="1" t="shared" si="3"/>
        <v>3000</v>
      </c>
      <c r="F48" s="143">
        <f ca="1" t="shared" si="4"/>
        <v>45</v>
      </c>
      <c r="G48" s="143">
        <f ca="1" t="shared" si="5"/>
        <v>0</v>
      </c>
      <c r="H48" s="143">
        <f ca="1" t="shared" si="6"/>
        <v>0</v>
      </c>
      <c r="I48" s="143">
        <f ca="1" t="shared" si="7"/>
        <v>4950</v>
      </c>
      <c r="J48" s="101">
        <f ca="1">OFFSET(梦灵养成!$Y$29,MATCH(D48,梦灵养成!$C$30:$C$629,1),0)</f>
        <v>1800</v>
      </c>
      <c r="K48" s="101">
        <f ca="1" t="shared" si="8"/>
        <v>210</v>
      </c>
      <c r="L48" s="101">
        <f ca="1">OFFSET(洗练性价比!$N$52,MATCH(F48*60,洗练性价比!$C$53:$C$2052,1),0)</f>
        <v>2880</v>
      </c>
    </row>
    <row r="49" spans="1:12">
      <c r="B49" s="95">
        <v>4</v>
      </c>
      <c r="C49" s="101">
        <f t="shared" si="9"/>
        <v>0</v>
      </c>
      <c r="D49" s="143">
        <f ca="1" t="shared" si="2"/>
        <v>480</v>
      </c>
      <c r="E49" s="143">
        <f ca="1" t="shared" si="3"/>
        <v>4000</v>
      </c>
      <c r="F49" s="143">
        <f ca="1" t="shared" si="4"/>
        <v>60</v>
      </c>
      <c r="G49" s="143">
        <f ca="1" t="shared" si="5"/>
        <v>0</v>
      </c>
      <c r="H49" s="143">
        <f ca="1" t="shared" si="6"/>
        <v>0</v>
      </c>
      <c r="I49" s="143">
        <f ca="1" t="shared" si="7"/>
        <v>6600</v>
      </c>
      <c r="J49" s="101">
        <f ca="1">OFFSET(梦灵养成!$Y$29,MATCH(D49,梦灵养成!$C$30:$C$629,1),0)</f>
        <v>9000</v>
      </c>
      <c r="K49" s="101">
        <f ca="1" t="shared" si="8"/>
        <v>280</v>
      </c>
      <c r="L49" s="101">
        <f ca="1">OFFSET(洗练性价比!$N$52,MATCH(F49*60,洗练性价比!$C$53:$C$2052,1),0)</f>
        <v>2880</v>
      </c>
    </row>
    <row r="50" spans="1:12">
      <c r="B50" s="95">
        <v>5</v>
      </c>
      <c r="C50" s="101">
        <f t="shared" si="9"/>
        <v>0</v>
      </c>
      <c r="D50" s="143">
        <f ca="1" t="shared" si="2"/>
        <v>600</v>
      </c>
      <c r="E50" s="143">
        <f ca="1" t="shared" si="3"/>
        <v>5000</v>
      </c>
      <c r="F50" s="143">
        <f ca="1" t="shared" si="4"/>
        <v>75</v>
      </c>
      <c r="G50" s="143">
        <f ca="1" t="shared" si="5"/>
        <v>0</v>
      </c>
      <c r="H50" s="143">
        <f ca="1" t="shared" si="6"/>
        <v>0</v>
      </c>
      <c r="I50" s="143">
        <f ca="1" t="shared" si="7"/>
        <v>8250</v>
      </c>
      <c r="J50" s="101">
        <f ca="1">OFFSET(梦灵养成!$Y$29,MATCH(D50,梦灵养成!$C$30:$C$629,1),0)</f>
        <v>14400</v>
      </c>
      <c r="K50" s="101">
        <f ca="1" t="shared" si="8"/>
        <v>350</v>
      </c>
      <c r="L50" s="101">
        <f ca="1">OFFSET(洗练性价比!$N$52,MATCH(F50*60,洗练性价比!$C$53:$C$2052,1),0)</f>
        <v>2880</v>
      </c>
    </row>
    <row r="51" spans="1:12">
      <c r="B51" s="95">
        <v>6</v>
      </c>
      <c r="C51" s="101">
        <f t="shared" si="9"/>
        <v>0</v>
      </c>
      <c r="D51" s="143">
        <f ca="1" t="shared" si="2"/>
        <v>720</v>
      </c>
      <c r="E51" s="143">
        <f ca="1" t="shared" si="3"/>
        <v>6000</v>
      </c>
      <c r="F51" s="143">
        <f ca="1" t="shared" si="4"/>
        <v>90</v>
      </c>
      <c r="G51" s="143">
        <f ca="1" t="shared" si="5"/>
        <v>0</v>
      </c>
      <c r="H51" s="143">
        <f ca="1" t="shared" si="6"/>
        <v>0</v>
      </c>
      <c r="I51" s="143">
        <f ca="1" t="shared" si="7"/>
        <v>9900</v>
      </c>
      <c r="J51" s="101">
        <f ca="1">OFFSET(梦灵养成!$Y$29,MATCH(D51,梦灵养成!$C$30:$C$629,1),0)</f>
        <v>12600</v>
      </c>
      <c r="K51" s="101">
        <f ca="1" t="shared" si="8"/>
        <v>420</v>
      </c>
      <c r="L51" s="101">
        <f ca="1">OFFSET(洗练性价比!$N$52,MATCH(F51*60,洗练性价比!$C$53:$C$2052,1),0)</f>
        <v>2880</v>
      </c>
    </row>
    <row r="52" spans="1:12">
      <c r="B52" s="95">
        <v>7</v>
      </c>
      <c r="C52" s="101">
        <f t="shared" si="9"/>
        <v>0</v>
      </c>
      <c r="D52" s="143">
        <f ca="1" t="shared" si="2"/>
        <v>840</v>
      </c>
      <c r="E52" s="143">
        <f ca="1" t="shared" si="3"/>
        <v>7000</v>
      </c>
      <c r="F52" s="143">
        <f ca="1" t="shared" si="4"/>
        <v>105</v>
      </c>
      <c r="G52" s="143">
        <f ca="1" t="shared" si="5"/>
        <v>0</v>
      </c>
      <c r="H52" s="143">
        <f ca="1" t="shared" si="6"/>
        <v>0</v>
      </c>
      <c r="I52" s="143">
        <f ca="1" t="shared" si="7"/>
        <v>11550</v>
      </c>
      <c r="J52" s="101">
        <f ca="1">OFFSET(梦灵养成!$Y$29,MATCH(D52,梦灵养成!$C$30:$C$629,1),0)</f>
        <v>10800</v>
      </c>
      <c r="K52" s="101">
        <f ca="1" t="shared" si="8"/>
        <v>490</v>
      </c>
      <c r="L52" s="101">
        <f ca="1">OFFSET(洗练性价比!$N$52,MATCH(F52*60,洗练性价比!$C$53:$C$2052,1),0)</f>
        <v>2880</v>
      </c>
    </row>
    <row r="53" spans="1:12">
      <c r="B53" s="95">
        <v>8</v>
      </c>
      <c r="C53" s="101">
        <f t="shared" si="9"/>
        <v>0</v>
      </c>
      <c r="D53" s="143">
        <f ca="1" t="shared" si="2"/>
        <v>900</v>
      </c>
      <c r="E53" s="143">
        <f ca="1" t="shared" si="3"/>
        <v>8000</v>
      </c>
      <c r="F53" s="143">
        <f ca="1" t="shared" si="4"/>
        <v>109</v>
      </c>
      <c r="G53" s="143">
        <f ca="1" t="shared" si="5"/>
        <v>0</v>
      </c>
      <c r="H53" s="143">
        <f ca="1" t="shared" si="6"/>
        <v>0</v>
      </c>
      <c r="I53" s="143">
        <f ca="1" t="shared" si="7"/>
        <v>12000</v>
      </c>
      <c r="J53" s="101">
        <f ca="1">OFFSET(梦灵养成!$Y$29,MATCH(D53,梦灵养成!$C$30:$C$629,1),0)</f>
        <v>10800</v>
      </c>
      <c r="K53" s="101">
        <f ca="1" t="shared" si="8"/>
        <v>560</v>
      </c>
      <c r="L53" s="101">
        <f ca="1">OFFSET(洗练性价比!$N$52,MATCH(F53*60,洗练性价比!$C$53:$C$2052,1),0)</f>
        <v>2880</v>
      </c>
    </row>
    <row r="54" spans="1:12">
      <c r="B54" s="95">
        <v>9</v>
      </c>
      <c r="C54" s="101">
        <f t="shared" si="9"/>
        <v>0</v>
      </c>
      <c r="D54" s="143">
        <f ca="1" t="shared" si="2"/>
        <v>960</v>
      </c>
      <c r="E54" s="143">
        <f ca="1" t="shared" si="3"/>
        <v>9000</v>
      </c>
      <c r="F54" s="143">
        <f ca="1" t="shared" si="4"/>
        <v>113</v>
      </c>
      <c r="G54" s="143">
        <f ca="1" t="shared" si="5"/>
        <v>0</v>
      </c>
      <c r="H54" s="143">
        <f ca="1" t="shared" si="6"/>
        <v>0</v>
      </c>
      <c r="I54" s="143">
        <f ca="1" t="shared" si="7"/>
        <v>12450</v>
      </c>
      <c r="J54" s="101">
        <f ca="1">OFFSET(梦灵养成!$Y$29,MATCH(D54,梦灵养成!$C$30:$C$629,1),0)</f>
        <v>10800</v>
      </c>
      <c r="K54" s="101">
        <f ca="1" t="shared" si="8"/>
        <v>630</v>
      </c>
      <c r="L54" s="101">
        <f ca="1">OFFSET(洗练性价比!$N$52,MATCH(F54*60,洗练性价比!$C$53:$C$2052,1),0)</f>
        <v>2880</v>
      </c>
    </row>
    <row r="55" spans="1:12">
      <c r="B55" s="95">
        <v>10</v>
      </c>
      <c r="C55" s="101">
        <f t="shared" si="9"/>
        <v>0</v>
      </c>
      <c r="D55" s="143">
        <f ca="1" t="shared" si="2"/>
        <v>1020</v>
      </c>
      <c r="E55" s="143">
        <f ca="1" t="shared" si="3"/>
        <v>10000</v>
      </c>
      <c r="F55" s="143">
        <f ca="1" t="shared" si="4"/>
        <v>117</v>
      </c>
      <c r="G55" s="143">
        <f ca="1" t="shared" si="5"/>
        <v>0</v>
      </c>
      <c r="H55" s="143">
        <f ca="1" t="shared" si="6"/>
        <v>0</v>
      </c>
      <c r="I55" s="143">
        <f ca="1" t="shared" si="7"/>
        <v>12900</v>
      </c>
      <c r="J55" s="101">
        <f ca="1">OFFSET(梦灵养成!$Y$29,MATCH(D55,梦灵养成!$C$30:$C$629,1),0)</f>
        <v>9000</v>
      </c>
      <c r="K55" s="101">
        <f ca="1" t="shared" si="8"/>
        <v>700</v>
      </c>
      <c r="L55" s="101">
        <f ca="1">OFFSET(洗练性价比!$N$52,MATCH(F55*60,洗练性价比!$C$53:$C$2052,1),0)</f>
        <v>2880</v>
      </c>
    </row>
    <row r="56" spans="1:12">
      <c r="B56" s="95">
        <v>11</v>
      </c>
      <c r="C56" s="101">
        <f t="shared" si="9"/>
        <v>0</v>
      </c>
      <c r="D56" s="143">
        <f ca="1" t="shared" si="2"/>
        <v>1080</v>
      </c>
      <c r="E56" s="143">
        <f ca="1" t="shared" si="3"/>
        <v>11000</v>
      </c>
      <c r="F56" s="143">
        <f ca="1" t="shared" si="4"/>
        <v>121</v>
      </c>
      <c r="G56" s="143">
        <f ca="1" t="shared" si="5"/>
        <v>0</v>
      </c>
      <c r="H56" s="143">
        <f ca="1" t="shared" si="6"/>
        <v>0</v>
      </c>
      <c r="I56" s="143">
        <f ca="1" t="shared" si="7"/>
        <v>13350</v>
      </c>
      <c r="J56" s="101">
        <f ca="1">OFFSET(梦灵养成!$Y$29,MATCH(D56,梦灵养成!$C$30:$C$629,1),0)</f>
        <v>9000</v>
      </c>
      <c r="K56" s="101">
        <f ca="1" t="shared" si="8"/>
        <v>770</v>
      </c>
      <c r="L56" s="101">
        <f ca="1">OFFSET(洗练性价比!$N$52,MATCH(F56*60,洗练性价比!$C$53:$C$2052,1),0)</f>
        <v>3240</v>
      </c>
    </row>
    <row r="57" spans="1:12">
      <c r="B57" s="95">
        <v>12</v>
      </c>
      <c r="C57" s="101">
        <f t="shared" si="9"/>
        <v>0</v>
      </c>
      <c r="D57" s="143">
        <f ca="1" t="shared" si="2"/>
        <v>1140</v>
      </c>
      <c r="E57" s="143">
        <f ca="1" t="shared" si="3"/>
        <v>12000</v>
      </c>
      <c r="F57" s="143">
        <f ca="1" t="shared" si="4"/>
        <v>125</v>
      </c>
      <c r="G57" s="143">
        <f ca="1" t="shared" si="5"/>
        <v>0</v>
      </c>
      <c r="H57" s="143">
        <f ca="1" t="shared" si="6"/>
        <v>0</v>
      </c>
      <c r="I57" s="143">
        <f ca="1" t="shared" si="7"/>
        <v>13800</v>
      </c>
      <c r="J57" s="101">
        <f ca="1">OFFSET(梦灵养成!$Y$29,MATCH(D57,梦灵养成!$C$30:$C$629,1),0)</f>
        <v>7200</v>
      </c>
      <c r="K57" s="101">
        <f ca="1" t="shared" si="8"/>
        <v>840</v>
      </c>
      <c r="L57" s="101">
        <f ca="1">OFFSET(洗练性价比!$N$52,MATCH(F57*60,洗练性价比!$C$53:$C$2052,1),0)</f>
        <v>3240</v>
      </c>
    </row>
    <row r="58" spans="1:12">
      <c r="B58" s="95">
        <v>13</v>
      </c>
      <c r="C58" s="101">
        <f t="shared" si="9"/>
        <v>0</v>
      </c>
      <c r="D58" s="143">
        <f ca="1" t="shared" si="2"/>
        <v>1200</v>
      </c>
      <c r="E58" s="143">
        <f ca="1" t="shared" si="3"/>
        <v>13000</v>
      </c>
      <c r="F58" s="143">
        <f ca="1" t="shared" si="4"/>
        <v>129</v>
      </c>
      <c r="G58" s="143">
        <f ca="1" t="shared" si="5"/>
        <v>0</v>
      </c>
      <c r="H58" s="143">
        <f ca="1" t="shared" si="6"/>
        <v>0</v>
      </c>
      <c r="I58" s="143">
        <f ca="1" t="shared" si="7"/>
        <v>14250</v>
      </c>
      <c r="J58" s="101">
        <f ca="1">OFFSET(梦灵养成!$Y$29,MATCH(D58,梦灵养成!$C$30:$C$629,1),0)</f>
        <v>5400</v>
      </c>
      <c r="K58" s="101">
        <f ca="1" t="shared" si="8"/>
        <v>910</v>
      </c>
      <c r="L58" s="101">
        <f ca="1">OFFSET(洗练性价比!$N$52,MATCH(F58*60,洗练性价比!$C$53:$C$2052,1),0)</f>
        <v>3600</v>
      </c>
    </row>
    <row r="59" spans="1:12">
      <c r="B59" s="95">
        <v>14</v>
      </c>
      <c r="C59" s="101">
        <f t="shared" si="9"/>
        <v>0</v>
      </c>
      <c r="D59" s="143">
        <f ca="1" t="shared" si="2"/>
        <v>1260</v>
      </c>
      <c r="E59" s="143">
        <f ca="1" t="shared" si="3"/>
        <v>14000</v>
      </c>
      <c r="F59" s="143">
        <f ca="1" t="shared" si="4"/>
        <v>133</v>
      </c>
      <c r="G59" s="143">
        <f ca="1" t="shared" si="5"/>
        <v>0</v>
      </c>
      <c r="H59" s="143">
        <f ca="1" t="shared" si="6"/>
        <v>0</v>
      </c>
      <c r="I59" s="143">
        <f ca="1" t="shared" si="7"/>
        <v>14700</v>
      </c>
      <c r="J59" s="101">
        <f ca="1">OFFSET(梦灵养成!$Y$29,MATCH(D59,梦灵养成!$C$30:$C$629,1),0)</f>
        <v>5400</v>
      </c>
      <c r="K59" s="101">
        <f ca="1" t="shared" si="8"/>
        <v>980</v>
      </c>
      <c r="L59" s="101">
        <f ca="1">OFFSET(洗练性价比!$N$52,MATCH(F59*60,洗练性价比!$C$53:$C$2052,1),0)</f>
        <v>3960</v>
      </c>
    </row>
    <row r="60" spans="1:12">
      <c r="B60" s="95">
        <v>15</v>
      </c>
      <c r="C60" s="101">
        <f t="shared" si="9"/>
        <v>0</v>
      </c>
      <c r="D60" s="143">
        <f ca="1" t="shared" si="2"/>
        <v>1320</v>
      </c>
      <c r="E60" s="143">
        <f ca="1" t="shared" si="3"/>
        <v>15000</v>
      </c>
      <c r="F60" s="143">
        <f ca="1" t="shared" si="4"/>
        <v>137</v>
      </c>
      <c r="G60" s="143">
        <f ca="1" t="shared" si="5"/>
        <v>0</v>
      </c>
      <c r="H60" s="143">
        <f ca="1" t="shared" si="6"/>
        <v>0</v>
      </c>
      <c r="I60" s="143">
        <f ca="1" t="shared" si="7"/>
        <v>15150</v>
      </c>
      <c r="J60" s="101">
        <f ca="1">OFFSET(梦灵养成!$Y$29,MATCH(D60,梦灵养成!$C$30:$C$629,1),0)</f>
        <v>3600</v>
      </c>
      <c r="K60" s="101">
        <f ca="1" t="shared" si="8"/>
        <v>1050</v>
      </c>
      <c r="L60" s="101">
        <f ca="1">OFFSET(洗练性价比!$N$52,MATCH(F60*60,洗练性价比!$C$53:$C$2052,1),0)</f>
        <v>3960</v>
      </c>
    </row>
    <row r="61" spans="1:12">
      <c r="B61" s="95">
        <v>16</v>
      </c>
      <c r="C61" s="101">
        <f t="shared" si="9"/>
        <v>0</v>
      </c>
      <c r="D61" s="143">
        <f ca="1" t="shared" si="2"/>
        <v>1380</v>
      </c>
      <c r="E61" s="143">
        <f ca="1" t="shared" si="3"/>
        <v>16000</v>
      </c>
      <c r="F61" s="143">
        <f ca="1" t="shared" si="4"/>
        <v>141</v>
      </c>
      <c r="G61" s="143">
        <f ca="1" t="shared" si="5"/>
        <v>0</v>
      </c>
      <c r="H61" s="143">
        <f ca="1" t="shared" si="6"/>
        <v>0</v>
      </c>
      <c r="I61" s="143">
        <f ca="1" t="shared" si="7"/>
        <v>15600</v>
      </c>
      <c r="J61" s="101">
        <f ca="1">OFFSET(梦灵养成!$Y$29,MATCH(D61,梦灵养成!$C$30:$C$629,1),0)</f>
        <v>3600</v>
      </c>
      <c r="K61" s="101">
        <f ca="1" t="shared" si="8"/>
        <v>1120</v>
      </c>
      <c r="L61" s="101">
        <f ca="1">OFFSET(洗练性价比!$N$52,MATCH(F61*60,洗练性价比!$C$53:$C$2052,1),0)</f>
        <v>4320</v>
      </c>
    </row>
    <row r="62" spans="1:12">
      <c r="B62" s="95">
        <v>17</v>
      </c>
      <c r="C62" s="101">
        <f t="shared" si="9"/>
        <v>0</v>
      </c>
      <c r="D62" s="143">
        <f ca="1" t="shared" si="2"/>
        <v>1440</v>
      </c>
      <c r="E62" s="143">
        <f ca="1" t="shared" si="3"/>
        <v>17000</v>
      </c>
      <c r="F62" s="143">
        <f ca="1" t="shared" si="4"/>
        <v>145</v>
      </c>
      <c r="G62" s="143">
        <f ca="1" t="shared" si="5"/>
        <v>0</v>
      </c>
      <c r="H62" s="143">
        <f ca="1" t="shared" si="6"/>
        <v>0</v>
      </c>
      <c r="I62" s="143">
        <f ca="1" t="shared" si="7"/>
        <v>16050</v>
      </c>
      <c r="J62" s="101">
        <f ca="1">OFFSET(梦灵养成!$Y$29,MATCH(D62,梦灵养成!$C$30:$C$629,1),0)</f>
        <v>1800</v>
      </c>
      <c r="K62" s="101">
        <f ca="1" t="shared" si="8"/>
        <v>1190</v>
      </c>
      <c r="L62" s="101">
        <f ca="1">OFFSET(洗练性价比!$N$52,MATCH(F62*60,洗练性价比!$C$53:$C$2052,1),0)</f>
        <v>4680</v>
      </c>
    </row>
    <row r="63" s="93" customFormat="1" ht="24.75" spans="1:12">
      <c r="A63" s="95"/>
      <c r="B63" s="95">
        <v>18</v>
      </c>
      <c r="C63" s="101">
        <f t="shared" si="9"/>
        <v>0</v>
      </c>
      <c r="D63" s="143">
        <f ca="1" t="shared" si="2"/>
        <v>1500</v>
      </c>
      <c r="E63" s="143">
        <f ca="1" t="shared" si="3"/>
        <v>18000</v>
      </c>
      <c r="F63" s="143">
        <f ca="1" t="shared" si="4"/>
        <v>149</v>
      </c>
      <c r="G63" s="143">
        <f ca="1" t="shared" si="5"/>
        <v>0</v>
      </c>
      <c r="H63" s="143">
        <f ca="1" t="shared" si="6"/>
        <v>0</v>
      </c>
      <c r="I63" s="143">
        <f ca="1" t="shared" si="7"/>
        <v>16500</v>
      </c>
      <c r="J63" s="101">
        <f ca="1">OFFSET(梦灵养成!$Y$29,MATCH(D63,梦灵养成!$C$30:$C$629,1),0)</f>
        <v>10800</v>
      </c>
      <c r="K63" s="101">
        <f ca="1" t="shared" si="8"/>
        <v>1260</v>
      </c>
      <c r="L63" s="101">
        <f ca="1">OFFSET(洗练性价比!$N$52,MATCH(F63*60,洗练性价比!$C$53:$C$2052,1),0)</f>
        <v>4680</v>
      </c>
    </row>
    <row r="64" spans="1:12">
      <c r="B64" s="95">
        <v>19</v>
      </c>
      <c r="C64" s="101">
        <f t="shared" si="9"/>
        <v>0</v>
      </c>
      <c r="D64" s="143">
        <f ca="1" t="shared" si="2"/>
        <v>1560</v>
      </c>
      <c r="E64" s="143">
        <f ca="1" t="shared" si="3"/>
        <v>19000</v>
      </c>
      <c r="F64" s="143">
        <f ca="1" t="shared" si="4"/>
        <v>153</v>
      </c>
      <c r="G64" s="143">
        <f ca="1" t="shared" si="5"/>
        <v>0</v>
      </c>
      <c r="H64" s="143">
        <f ca="1" t="shared" si="6"/>
        <v>0</v>
      </c>
      <c r="I64" s="143">
        <f ca="1" t="shared" si="7"/>
        <v>16950</v>
      </c>
      <c r="J64" s="101">
        <f ca="1">OFFSET(梦灵养成!$Y$29,MATCH(D64,梦灵养成!$C$30:$C$629,1),0)</f>
        <v>10800</v>
      </c>
      <c r="K64" s="101">
        <f ca="1" t="shared" si="8"/>
        <v>1330</v>
      </c>
      <c r="L64" s="101">
        <f ca="1">OFFSET(洗练性价比!$N$52,MATCH(F64*60,洗练性价比!$C$53:$C$2052,1),0)</f>
        <v>4680</v>
      </c>
    </row>
    <row r="65" spans="2:12">
      <c r="B65" s="95">
        <v>20</v>
      </c>
      <c r="C65" s="101">
        <f t="shared" si="9"/>
        <v>0</v>
      </c>
      <c r="D65" s="143">
        <f ca="1" t="shared" si="2"/>
        <v>1620</v>
      </c>
      <c r="E65" s="143">
        <f ca="1" t="shared" si="3"/>
        <v>20000</v>
      </c>
      <c r="F65" s="143">
        <f ca="1" t="shared" si="4"/>
        <v>157</v>
      </c>
      <c r="G65" s="143">
        <f ca="1" t="shared" si="5"/>
        <v>0</v>
      </c>
      <c r="H65" s="143">
        <f ca="1" t="shared" si="6"/>
        <v>0</v>
      </c>
      <c r="I65" s="143">
        <f ca="1" t="shared" si="7"/>
        <v>17400</v>
      </c>
      <c r="J65" s="101">
        <f ca="1">OFFSET(梦灵养成!$Y$29,MATCH(D65,梦灵养成!$C$30:$C$629,1),0)</f>
        <v>9000</v>
      </c>
      <c r="K65" s="101">
        <f ca="1" t="shared" si="8"/>
        <v>1400</v>
      </c>
      <c r="L65" s="101">
        <f ca="1">OFFSET(洗练性价比!$N$52,MATCH(F65*60,洗练性价比!$C$53:$C$2052,1),0)</f>
        <v>4680</v>
      </c>
    </row>
    <row r="66" spans="2:12">
      <c r="B66" s="95">
        <v>21</v>
      </c>
      <c r="C66" s="101">
        <f t="shared" si="9"/>
        <v>0</v>
      </c>
      <c r="D66" s="143">
        <f ca="1" t="shared" si="2"/>
        <v>1680</v>
      </c>
      <c r="E66" s="143">
        <f ca="1" t="shared" si="3"/>
        <v>21000</v>
      </c>
      <c r="F66" s="143">
        <f ca="1" t="shared" si="4"/>
        <v>161</v>
      </c>
      <c r="G66" s="143">
        <f ca="1" t="shared" si="5"/>
        <v>0</v>
      </c>
      <c r="H66" s="143">
        <f ca="1" t="shared" si="6"/>
        <v>0</v>
      </c>
      <c r="I66" s="143">
        <f ca="1" t="shared" si="7"/>
        <v>17850</v>
      </c>
      <c r="J66" s="101">
        <f ca="1">OFFSET(梦灵养成!$Y$29,MATCH(D66,梦灵养成!$C$30:$C$629,1),0)</f>
        <v>9000</v>
      </c>
      <c r="K66" s="101">
        <f ca="1" t="shared" si="8"/>
        <v>1470</v>
      </c>
      <c r="L66" s="101">
        <f ca="1">OFFSET(洗练性价比!$N$52,MATCH(F66*60,洗练性价比!$C$53:$C$2052,1),0)</f>
        <v>4680</v>
      </c>
    </row>
    <row r="67" spans="2:12">
      <c r="B67" s="95">
        <v>22</v>
      </c>
      <c r="C67" s="101">
        <f t="shared" si="9"/>
        <v>0</v>
      </c>
      <c r="D67" s="143">
        <f ca="1" t="shared" si="2"/>
        <v>1740</v>
      </c>
      <c r="E67" s="143">
        <f ca="1" t="shared" si="3"/>
        <v>22000</v>
      </c>
      <c r="F67" s="143">
        <f ca="1" t="shared" si="4"/>
        <v>165</v>
      </c>
      <c r="G67" s="143">
        <f ca="1" t="shared" si="5"/>
        <v>0</v>
      </c>
      <c r="H67" s="143">
        <f ca="1" t="shared" si="6"/>
        <v>0</v>
      </c>
      <c r="I67" s="143">
        <f ca="1" t="shared" si="7"/>
        <v>18300</v>
      </c>
      <c r="J67" s="101">
        <f ca="1">OFFSET(梦灵养成!$Y$29,MATCH(D67,梦灵养成!$C$30:$C$629,1),0)</f>
        <v>12600</v>
      </c>
      <c r="K67" s="101">
        <f ca="1" t="shared" si="8"/>
        <v>1540</v>
      </c>
      <c r="L67" s="101">
        <f ca="1">OFFSET(洗练性价比!$N$52,MATCH(F67*60,洗练性价比!$C$53:$C$2052,1),0)</f>
        <v>4680</v>
      </c>
    </row>
    <row r="68" spans="2:12">
      <c r="B68" s="95">
        <v>23</v>
      </c>
      <c r="C68" s="101">
        <f t="shared" si="9"/>
        <v>0</v>
      </c>
      <c r="D68" s="143">
        <f ca="1" t="shared" si="2"/>
        <v>1800</v>
      </c>
      <c r="E68" s="143">
        <f ca="1" t="shared" si="3"/>
        <v>23000</v>
      </c>
      <c r="F68" s="143">
        <f ca="1" t="shared" si="4"/>
        <v>169</v>
      </c>
      <c r="G68" s="143">
        <f ca="1" t="shared" si="5"/>
        <v>0</v>
      </c>
      <c r="H68" s="143">
        <f ca="1" t="shared" si="6"/>
        <v>0</v>
      </c>
      <c r="I68" s="143">
        <f ca="1" t="shared" si="7"/>
        <v>18750</v>
      </c>
      <c r="J68" s="101">
        <f ca="1">OFFSET(梦灵养成!$Y$29,MATCH(D68,梦灵养成!$C$30:$C$629,1),0)</f>
        <v>10800</v>
      </c>
      <c r="K68" s="101">
        <f ca="1" t="shared" si="8"/>
        <v>1610</v>
      </c>
      <c r="L68" s="101">
        <f ca="1">OFFSET(洗练性价比!$N$52,MATCH(F68*60,洗练性价比!$C$53:$C$2052,1),0)</f>
        <v>4680</v>
      </c>
    </row>
    <row r="69" spans="2:12">
      <c r="B69" s="95">
        <v>24</v>
      </c>
      <c r="C69" s="101">
        <f t="shared" si="9"/>
        <v>0</v>
      </c>
      <c r="D69" s="143">
        <f ca="1" t="shared" si="2"/>
        <v>1860</v>
      </c>
      <c r="E69" s="143">
        <f ca="1" t="shared" si="3"/>
        <v>24000</v>
      </c>
      <c r="F69" s="143">
        <f ca="1" t="shared" si="4"/>
        <v>173</v>
      </c>
      <c r="G69" s="143">
        <f ca="1" t="shared" si="5"/>
        <v>0</v>
      </c>
      <c r="H69" s="143">
        <f ca="1" t="shared" si="6"/>
        <v>0</v>
      </c>
      <c r="I69" s="143">
        <f ca="1" t="shared" si="7"/>
        <v>19200</v>
      </c>
      <c r="J69" s="101">
        <f ca="1">OFFSET(梦灵养成!$Y$29,MATCH(D69,梦灵养成!$C$30:$C$629,1),0)</f>
        <v>10800</v>
      </c>
      <c r="K69" s="101">
        <f ca="1" t="shared" si="8"/>
        <v>1680</v>
      </c>
      <c r="L69" s="101">
        <f ca="1">OFFSET(洗练性价比!$N$52,MATCH(F69*60,洗练性价比!$C$53:$C$2052,1),0)</f>
        <v>4680</v>
      </c>
    </row>
    <row r="70" spans="2:12">
      <c r="B70" s="95">
        <v>25</v>
      </c>
      <c r="C70" s="101">
        <f t="shared" si="9"/>
        <v>0</v>
      </c>
      <c r="D70" s="143">
        <f ca="1" t="shared" si="2"/>
        <v>1920</v>
      </c>
      <c r="E70" s="143">
        <f ca="1" t="shared" si="3"/>
        <v>25000</v>
      </c>
      <c r="F70" s="143">
        <f ca="1" t="shared" si="4"/>
        <v>177</v>
      </c>
      <c r="G70" s="143">
        <f ca="1" t="shared" si="5"/>
        <v>0</v>
      </c>
      <c r="H70" s="143">
        <f ca="1" t="shared" si="6"/>
        <v>0</v>
      </c>
      <c r="I70" s="143">
        <f ca="1" t="shared" si="7"/>
        <v>19650</v>
      </c>
      <c r="J70" s="101">
        <f ca="1">OFFSET(梦灵养成!$Y$29,MATCH(D70,梦灵养成!$C$30:$C$629,1),0)</f>
        <v>9000</v>
      </c>
      <c r="K70" s="101">
        <f ca="1" t="shared" si="8"/>
        <v>1750</v>
      </c>
      <c r="L70" s="101">
        <f ca="1">OFFSET(洗练性价比!$N$52,MATCH(F70*60,洗练性价比!$C$53:$C$2052,1),0)</f>
        <v>4680</v>
      </c>
    </row>
    <row r="71" spans="2:12">
      <c r="B71" s="95">
        <v>26</v>
      </c>
      <c r="C71" s="101">
        <f t="shared" si="9"/>
        <v>0</v>
      </c>
      <c r="D71" s="143">
        <f ca="1" t="shared" si="2"/>
        <v>1980</v>
      </c>
      <c r="E71" s="143">
        <f ca="1" t="shared" si="3"/>
        <v>26000</v>
      </c>
      <c r="F71" s="143">
        <f ca="1" t="shared" si="4"/>
        <v>181</v>
      </c>
      <c r="G71" s="143">
        <f ca="1" t="shared" si="5"/>
        <v>0</v>
      </c>
      <c r="H71" s="143">
        <f ca="1" t="shared" si="6"/>
        <v>0</v>
      </c>
      <c r="I71" s="143">
        <f ca="1" t="shared" si="7"/>
        <v>20100</v>
      </c>
      <c r="J71" s="101">
        <f ca="1">OFFSET(梦灵养成!$Y$29,MATCH(D71,梦灵养成!$C$30:$C$629,1),0)</f>
        <v>9000</v>
      </c>
      <c r="K71" s="101">
        <f ca="1" t="shared" si="8"/>
        <v>1820</v>
      </c>
      <c r="L71" s="101">
        <f ca="1">OFFSET(洗练性价比!$N$52,MATCH(F71*60,洗练性价比!$C$53:$C$2052,1),0)</f>
        <v>4680</v>
      </c>
    </row>
    <row r="72" spans="2:12">
      <c r="B72" s="95">
        <v>27</v>
      </c>
      <c r="C72" s="101">
        <f t="shared" si="9"/>
        <v>0</v>
      </c>
      <c r="D72" s="143">
        <f ca="1" t="shared" si="2"/>
        <v>2040</v>
      </c>
      <c r="E72" s="143">
        <f ca="1" t="shared" si="3"/>
        <v>27000</v>
      </c>
      <c r="F72" s="143">
        <f ca="1" t="shared" si="4"/>
        <v>185</v>
      </c>
      <c r="G72" s="143">
        <f ca="1" t="shared" si="5"/>
        <v>0</v>
      </c>
      <c r="H72" s="143">
        <f ca="1" t="shared" si="6"/>
        <v>0</v>
      </c>
      <c r="I72" s="143">
        <f ca="1" t="shared" si="7"/>
        <v>20550</v>
      </c>
      <c r="J72" s="101">
        <f ca="1">OFFSET(梦灵养成!$Y$29,MATCH(D72,梦灵养成!$C$30:$C$629,1),0)</f>
        <v>7200</v>
      </c>
      <c r="K72" s="101">
        <f ca="1" t="shared" si="8"/>
        <v>1890</v>
      </c>
      <c r="L72" s="101">
        <f ca="1">OFFSET(洗练性价比!$N$52,MATCH(F72*60,洗练性价比!$C$53:$C$2052,1),0)</f>
        <v>4680</v>
      </c>
    </row>
    <row r="73" spans="2:12">
      <c r="B73" s="95">
        <v>28</v>
      </c>
      <c r="C73" s="101">
        <f t="shared" si="9"/>
        <v>0</v>
      </c>
      <c r="D73" s="143">
        <f ca="1" t="shared" si="2"/>
        <v>2100</v>
      </c>
      <c r="E73" s="143">
        <f ca="1" t="shared" si="3"/>
        <v>28000</v>
      </c>
      <c r="F73" s="143">
        <f ca="1" t="shared" si="4"/>
        <v>189</v>
      </c>
      <c r="G73" s="143">
        <f ca="1" t="shared" si="5"/>
        <v>0</v>
      </c>
      <c r="H73" s="143">
        <f ca="1" t="shared" si="6"/>
        <v>0</v>
      </c>
      <c r="I73" s="143">
        <f ca="1" t="shared" si="7"/>
        <v>21000</v>
      </c>
      <c r="J73" s="101">
        <f ca="1">OFFSET(梦灵养成!$Y$29,MATCH(D73,梦灵养成!$C$30:$C$629,1),0)</f>
        <v>5400</v>
      </c>
      <c r="K73" s="101">
        <f ca="1" t="shared" si="8"/>
        <v>1960</v>
      </c>
      <c r="L73" s="101">
        <f ca="1">OFFSET(洗练性价比!$N$52,MATCH(F73*60,洗练性价比!$C$53:$C$2052,1),0)</f>
        <v>4680</v>
      </c>
    </row>
    <row r="74" spans="2:12">
      <c r="B74" s="95">
        <v>29</v>
      </c>
      <c r="C74" s="101">
        <f t="shared" si="9"/>
        <v>0</v>
      </c>
      <c r="D74" s="143">
        <f ca="1" t="shared" si="2"/>
        <v>2160</v>
      </c>
      <c r="E74" s="143">
        <f ca="1" t="shared" si="3"/>
        <v>29000</v>
      </c>
      <c r="F74" s="143">
        <f ca="1" t="shared" si="4"/>
        <v>193</v>
      </c>
      <c r="G74" s="143">
        <f ca="1" t="shared" si="5"/>
        <v>0</v>
      </c>
      <c r="H74" s="143">
        <f ca="1" t="shared" si="6"/>
        <v>0</v>
      </c>
      <c r="I74" s="143">
        <f ca="1" t="shared" si="7"/>
        <v>21450</v>
      </c>
      <c r="J74" s="101">
        <f ca="1">OFFSET(梦灵养成!$Y$29,MATCH(D74,梦灵养成!$C$30:$C$629,1),0)</f>
        <v>5400</v>
      </c>
      <c r="K74" s="101">
        <f ca="1" t="shared" si="8"/>
        <v>2030</v>
      </c>
      <c r="L74" s="101">
        <f ca="1">OFFSET(洗练性价比!$N$52,MATCH(F74*60,洗练性价比!$C$53:$C$2052,1),0)</f>
        <v>4680</v>
      </c>
    </row>
    <row r="75" spans="2:12">
      <c r="B75" s="95">
        <v>30</v>
      </c>
      <c r="C75" s="101">
        <f t="shared" si="9"/>
        <v>0</v>
      </c>
      <c r="D75" s="143">
        <f ca="1" t="shared" si="2"/>
        <v>2220</v>
      </c>
      <c r="E75" s="143">
        <f ca="1" t="shared" si="3"/>
        <v>30000</v>
      </c>
      <c r="F75" s="143">
        <f ca="1" t="shared" si="4"/>
        <v>197</v>
      </c>
      <c r="G75" s="143">
        <f ca="1" t="shared" si="5"/>
        <v>0</v>
      </c>
      <c r="H75" s="143">
        <f ca="1" t="shared" si="6"/>
        <v>0</v>
      </c>
      <c r="I75" s="143">
        <f ca="1" t="shared" si="7"/>
        <v>21900</v>
      </c>
      <c r="J75" s="101">
        <f ca="1">OFFSET(梦灵养成!$Y$29,MATCH(D75,梦灵养成!$C$30:$C$629,1),0)</f>
        <v>3600</v>
      </c>
      <c r="K75" s="101">
        <f ca="1" t="shared" si="8"/>
        <v>2100</v>
      </c>
      <c r="L75" s="101">
        <f ca="1">OFFSET(洗练性价比!$N$52,MATCH(F75*60,洗练性价比!$C$53:$C$2052,1),0)</f>
        <v>4680</v>
      </c>
    </row>
    <row r="76" spans="2:12">
      <c r="B76" s="95">
        <v>31</v>
      </c>
      <c r="C76" s="101">
        <f t="shared" si="9"/>
        <v>0</v>
      </c>
      <c r="D76" s="143">
        <f ca="1" t="shared" si="2"/>
        <v>2280</v>
      </c>
      <c r="E76" s="143">
        <f ca="1" t="shared" si="3"/>
        <v>31000</v>
      </c>
      <c r="F76" s="143">
        <f ca="1" t="shared" si="4"/>
        <v>201</v>
      </c>
      <c r="G76" s="143">
        <f ca="1" t="shared" si="5"/>
        <v>0</v>
      </c>
      <c r="H76" s="143">
        <f ca="1" t="shared" si="6"/>
        <v>0</v>
      </c>
      <c r="I76" s="143">
        <f ca="1" t="shared" si="7"/>
        <v>22350</v>
      </c>
      <c r="J76" s="101">
        <f ca="1">OFFSET(梦灵养成!$Y$29,MATCH(D76,梦灵养成!$C$30:$C$629,1),0)</f>
        <v>3600</v>
      </c>
      <c r="K76" s="101">
        <f ca="1" t="shared" si="8"/>
        <v>2170</v>
      </c>
      <c r="L76" s="101">
        <f ca="1">OFFSET(洗练性价比!$N$52,MATCH(F76*60,洗练性价比!$C$53:$C$2052,1),0)</f>
        <v>4680</v>
      </c>
    </row>
    <row r="77" spans="2:12">
      <c r="B77" s="95">
        <v>32</v>
      </c>
      <c r="C77" s="101">
        <f t="shared" si="9"/>
        <v>0</v>
      </c>
      <c r="D77" s="143">
        <f ca="1" t="shared" si="2"/>
        <v>2340</v>
      </c>
      <c r="E77" s="143">
        <f ca="1" t="shared" si="3"/>
        <v>32000</v>
      </c>
      <c r="F77" s="143">
        <f ca="1" t="shared" si="4"/>
        <v>205</v>
      </c>
      <c r="G77" s="143">
        <f ca="1" t="shared" si="5"/>
        <v>0</v>
      </c>
      <c r="H77" s="143">
        <f ca="1" t="shared" si="6"/>
        <v>0</v>
      </c>
      <c r="I77" s="143">
        <f ca="1" t="shared" si="7"/>
        <v>22800</v>
      </c>
      <c r="J77" s="101">
        <f ca="1">OFFSET(梦灵养成!$Y$29,MATCH(D77,梦灵养成!$C$30:$C$629,1),0)</f>
        <v>1800</v>
      </c>
      <c r="K77" s="101">
        <f ca="1" t="shared" si="8"/>
        <v>2240</v>
      </c>
      <c r="L77" s="101">
        <f ca="1">OFFSET(洗练性价比!$N$52,MATCH(F77*60,洗练性价比!$C$53:$C$2052,1),0)</f>
        <v>4680</v>
      </c>
    </row>
    <row r="78" spans="2:12">
      <c r="B78" s="95">
        <v>33</v>
      </c>
      <c r="C78" s="101">
        <f t="shared" si="9"/>
        <v>0</v>
      </c>
      <c r="D78" s="143">
        <f ca="1" t="shared" si="2"/>
        <v>2400</v>
      </c>
      <c r="E78" s="143">
        <f ca="1" t="shared" si="3"/>
        <v>33000</v>
      </c>
      <c r="F78" s="143">
        <f ca="1" t="shared" si="4"/>
        <v>209</v>
      </c>
      <c r="G78" s="143">
        <f ca="1" t="shared" si="5"/>
        <v>0</v>
      </c>
      <c r="H78" s="143">
        <f ca="1" t="shared" si="6"/>
        <v>0</v>
      </c>
      <c r="I78" s="143">
        <f ca="1" t="shared" si="7"/>
        <v>23250</v>
      </c>
      <c r="J78" s="101">
        <f ca="1">OFFSET(梦灵养成!$Y$29,MATCH(D78,梦灵养成!$C$30:$C$629,1),0)</f>
        <v>3600</v>
      </c>
      <c r="K78" s="101">
        <f ca="1" t="shared" si="8"/>
        <v>2310</v>
      </c>
      <c r="L78" s="101">
        <f ca="1">OFFSET(洗练性价比!$N$52,MATCH(F78*60,洗练性价比!$C$53:$C$2052,1),0)</f>
        <v>4680</v>
      </c>
    </row>
    <row r="79" spans="2:12">
      <c r="B79" s="95">
        <v>34</v>
      </c>
      <c r="C79" s="101">
        <f t="shared" si="9"/>
        <v>0</v>
      </c>
      <c r="D79" s="143">
        <f ca="1" t="shared" si="2"/>
        <v>2460</v>
      </c>
      <c r="E79" s="143">
        <f ca="1" t="shared" si="3"/>
        <v>34000</v>
      </c>
      <c r="F79" s="143">
        <f ca="1" t="shared" si="4"/>
        <v>213</v>
      </c>
      <c r="G79" s="143">
        <f ca="1" t="shared" si="5"/>
        <v>0</v>
      </c>
      <c r="H79" s="143">
        <f ca="1" t="shared" si="6"/>
        <v>0</v>
      </c>
      <c r="I79" s="143">
        <f ca="1" t="shared" si="7"/>
        <v>23700</v>
      </c>
      <c r="J79" s="101">
        <f ca="1">OFFSET(梦灵养成!$Y$29,MATCH(D79,梦灵养成!$C$30:$C$629,1),0)</f>
        <v>3600</v>
      </c>
      <c r="K79" s="101">
        <f ca="1" t="shared" si="8"/>
        <v>2380</v>
      </c>
      <c r="L79" s="101">
        <f ca="1">OFFSET(洗练性价比!$N$52,MATCH(F79*60,洗练性价比!$C$53:$C$2052,1),0)</f>
        <v>4680</v>
      </c>
    </row>
    <row r="80" spans="2:12">
      <c r="B80" s="95">
        <v>35</v>
      </c>
      <c r="C80" s="101">
        <f t="shared" si="9"/>
        <v>0</v>
      </c>
      <c r="D80" s="143">
        <f ca="1" t="shared" si="2"/>
        <v>2520</v>
      </c>
      <c r="E80" s="143">
        <f ca="1" t="shared" si="3"/>
        <v>35000</v>
      </c>
      <c r="F80" s="143">
        <f ca="1" t="shared" si="4"/>
        <v>217</v>
      </c>
      <c r="G80" s="143">
        <f ca="1" t="shared" si="5"/>
        <v>0</v>
      </c>
      <c r="H80" s="143">
        <f ca="1" t="shared" si="6"/>
        <v>0</v>
      </c>
      <c r="I80" s="143">
        <f ca="1" t="shared" si="7"/>
        <v>24150</v>
      </c>
      <c r="J80" s="101">
        <f ca="1">OFFSET(梦灵养成!$Y$29,MATCH(D80,梦灵养成!$C$30:$C$629,1),0)</f>
        <v>1800</v>
      </c>
      <c r="K80" s="101">
        <f ca="1" t="shared" si="8"/>
        <v>2450</v>
      </c>
      <c r="L80" s="101">
        <f ca="1">OFFSET(洗练性价比!$N$52,MATCH(F80*60,洗练性价比!$C$53:$C$2052,1),0)</f>
        <v>4680</v>
      </c>
    </row>
    <row r="81" spans="2:12">
      <c r="B81" s="95">
        <v>36</v>
      </c>
      <c r="C81" s="101">
        <f t="shared" si="9"/>
        <v>0</v>
      </c>
      <c r="D81" s="143">
        <f ca="1" t="shared" si="2"/>
        <v>2580</v>
      </c>
      <c r="E81" s="143">
        <f ca="1" t="shared" si="3"/>
        <v>36000</v>
      </c>
      <c r="F81" s="143">
        <f ca="1" t="shared" si="4"/>
        <v>221</v>
      </c>
      <c r="G81" s="143">
        <f ca="1" t="shared" si="5"/>
        <v>0</v>
      </c>
      <c r="H81" s="143">
        <f ca="1" t="shared" si="6"/>
        <v>0</v>
      </c>
      <c r="I81" s="143">
        <f ca="1" t="shared" si="7"/>
        <v>24600</v>
      </c>
      <c r="J81" s="101">
        <f ca="1">OFFSET(梦灵养成!$Y$29,MATCH(D81,梦灵养成!$C$30:$C$629,1),0)</f>
        <v>1800</v>
      </c>
      <c r="K81" s="101">
        <f ca="1" t="shared" si="8"/>
        <v>2520</v>
      </c>
      <c r="L81" s="101">
        <f ca="1">OFFSET(洗练性价比!$N$52,MATCH(F81*60,洗练性价比!$C$53:$C$2052,1),0)</f>
        <v>4680</v>
      </c>
    </row>
    <row r="82" spans="2:12">
      <c r="B82" s="95">
        <v>37</v>
      </c>
      <c r="C82" s="101">
        <f t="shared" si="9"/>
        <v>0</v>
      </c>
      <c r="D82" s="143">
        <f ca="1" t="shared" si="2"/>
        <v>2640</v>
      </c>
      <c r="E82" s="143">
        <f ca="1" t="shared" si="3"/>
        <v>37000</v>
      </c>
      <c r="F82" s="143">
        <f ca="1" t="shared" si="4"/>
        <v>225</v>
      </c>
      <c r="G82" s="143">
        <f ca="1" t="shared" si="5"/>
        <v>0</v>
      </c>
      <c r="H82" s="143">
        <f ca="1" t="shared" si="6"/>
        <v>0</v>
      </c>
      <c r="I82" s="143">
        <f ca="1" t="shared" si="7"/>
        <v>25050</v>
      </c>
      <c r="J82" s="101">
        <f ca="1">OFFSET(梦灵养成!$Y$29,MATCH(D82,梦灵养成!$C$30:$C$629,1),0)</f>
        <v>27000</v>
      </c>
      <c r="K82" s="101">
        <f ca="1" t="shared" si="8"/>
        <v>2590</v>
      </c>
      <c r="L82" s="101">
        <f ca="1">OFFSET(洗练性价比!$N$52,MATCH(F82*60,洗练性价比!$C$53:$C$2052,1),0)</f>
        <v>4680</v>
      </c>
    </row>
    <row r="83" spans="2:12">
      <c r="B83" s="95">
        <v>38</v>
      </c>
      <c r="C83" s="101">
        <f t="shared" si="9"/>
        <v>0</v>
      </c>
      <c r="D83" s="143">
        <f ca="1" t="shared" si="2"/>
        <v>2700</v>
      </c>
      <c r="E83" s="143">
        <f ca="1" t="shared" si="3"/>
        <v>38000</v>
      </c>
      <c r="F83" s="143">
        <f ca="1" t="shared" si="4"/>
        <v>229</v>
      </c>
      <c r="G83" s="143">
        <f ca="1" t="shared" si="5"/>
        <v>0</v>
      </c>
      <c r="H83" s="143">
        <f ca="1" t="shared" si="6"/>
        <v>0</v>
      </c>
      <c r="I83" s="143">
        <f ca="1" t="shared" si="7"/>
        <v>25500</v>
      </c>
      <c r="J83" s="101">
        <f ca="1">OFFSET(梦灵养成!$Y$29,MATCH(D83,梦灵养成!$C$30:$C$629,1),0)</f>
        <v>25200</v>
      </c>
      <c r="K83" s="101">
        <f ca="1" t="shared" si="8"/>
        <v>2660</v>
      </c>
      <c r="L83" s="101">
        <f ca="1">OFFSET(洗练性价比!$N$52,MATCH(F83*60,洗练性价比!$C$53:$C$2052,1),0)</f>
        <v>4680</v>
      </c>
    </row>
    <row r="84" spans="2:12">
      <c r="B84" s="95">
        <v>39</v>
      </c>
      <c r="C84" s="101">
        <f t="shared" si="9"/>
        <v>0</v>
      </c>
      <c r="D84" s="143">
        <f ca="1" t="shared" si="2"/>
        <v>2760</v>
      </c>
      <c r="E84" s="143">
        <f ca="1" t="shared" si="3"/>
        <v>39000</v>
      </c>
      <c r="F84" s="143">
        <f ca="1" t="shared" si="4"/>
        <v>233</v>
      </c>
      <c r="G84" s="143">
        <f ca="1" t="shared" si="5"/>
        <v>0</v>
      </c>
      <c r="H84" s="143">
        <f ca="1" t="shared" si="6"/>
        <v>0</v>
      </c>
      <c r="I84" s="143">
        <f ca="1" t="shared" si="7"/>
        <v>25950</v>
      </c>
      <c r="J84" s="101">
        <f ca="1">OFFSET(梦灵养成!$Y$29,MATCH(D84,梦灵养成!$C$30:$C$629,1),0)</f>
        <v>25200</v>
      </c>
      <c r="K84" s="101">
        <f ca="1" t="shared" si="8"/>
        <v>2730</v>
      </c>
      <c r="L84" s="101">
        <f ca="1">OFFSET(洗练性价比!$N$52,MATCH(F84*60,洗练性价比!$C$53:$C$2052,1),0)</f>
        <v>4680</v>
      </c>
    </row>
    <row r="85" spans="2:12">
      <c r="B85" s="95">
        <v>40</v>
      </c>
      <c r="C85" s="101">
        <f t="shared" si="9"/>
        <v>0</v>
      </c>
      <c r="D85" s="143">
        <f ca="1" t="shared" si="2"/>
        <v>2820</v>
      </c>
      <c r="E85" s="143">
        <f ca="1" t="shared" si="3"/>
        <v>40000</v>
      </c>
      <c r="F85" s="143">
        <f ca="1" t="shared" si="4"/>
        <v>237</v>
      </c>
      <c r="G85" s="143">
        <f ca="1" t="shared" si="5"/>
        <v>0</v>
      </c>
      <c r="H85" s="143">
        <f ca="1" t="shared" si="6"/>
        <v>0</v>
      </c>
      <c r="I85" s="143">
        <f ca="1" t="shared" si="7"/>
        <v>26400</v>
      </c>
      <c r="J85" s="101">
        <f ca="1">OFFSET(梦灵养成!$Y$29,MATCH(D85,梦灵养成!$C$30:$C$629,1),0)</f>
        <v>23400</v>
      </c>
      <c r="K85" s="101">
        <f ca="1" t="shared" si="8"/>
        <v>2800</v>
      </c>
      <c r="L85" s="101">
        <f ca="1">OFFSET(洗练性价比!$N$52,MATCH(F85*60,洗练性价比!$C$53:$C$2052,1),0)</f>
        <v>4680</v>
      </c>
    </row>
    <row r="86" spans="2:12">
      <c r="B86" s="95">
        <v>41</v>
      </c>
      <c r="C86" s="101">
        <f t="shared" si="9"/>
        <v>0</v>
      </c>
      <c r="D86" s="143">
        <f ca="1" t="shared" si="2"/>
        <v>2880</v>
      </c>
      <c r="E86" s="143">
        <f ca="1" t="shared" si="3"/>
        <v>41000</v>
      </c>
      <c r="F86" s="143">
        <f ca="1" t="shared" si="4"/>
        <v>241</v>
      </c>
      <c r="G86" s="143">
        <f ca="1" t="shared" si="5"/>
        <v>0</v>
      </c>
      <c r="H86" s="143">
        <f ca="1" t="shared" si="6"/>
        <v>0</v>
      </c>
      <c r="I86" s="143">
        <f ca="1" t="shared" si="7"/>
        <v>26850</v>
      </c>
      <c r="J86" s="101">
        <f ca="1">OFFSET(梦灵养成!$Y$29,MATCH(D86,梦灵养成!$C$30:$C$629,1),0)</f>
        <v>23400</v>
      </c>
      <c r="K86" s="101">
        <f ca="1" t="shared" si="8"/>
        <v>2870</v>
      </c>
      <c r="L86" s="101">
        <f ca="1">OFFSET(洗练性价比!$N$52,MATCH(F86*60,洗练性价比!$C$53:$C$2052,1),0)</f>
        <v>4680</v>
      </c>
    </row>
    <row r="87" spans="2:12">
      <c r="B87" s="95">
        <v>42</v>
      </c>
      <c r="C87" s="101">
        <f t="shared" si="9"/>
        <v>0</v>
      </c>
      <c r="D87" s="143">
        <f ca="1" t="shared" si="2"/>
        <v>2940</v>
      </c>
      <c r="E87" s="143">
        <f ca="1" t="shared" si="3"/>
        <v>42000</v>
      </c>
      <c r="F87" s="143">
        <f ca="1" t="shared" si="4"/>
        <v>245</v>
      </c>
      <c r="G87" s="143">
        <f ca="1" t="shared" si="5"/>
        <v>0</v>
      </c>
      <c r="H87" s="143">
        <f ca="1" t="shared" si="6"/>
        <v>0</v>
      </c>
      <c r="I87" s="143">
        <f ca="1" t="shared" si="7"/>
        <v>27300</v>
      </c>
      <c r="J87" s="101">
        <f ca="1">OFFSET(梦灵养成!$Y$29,MATCH(D87,梦灵养成!$C$30:$C$629,1),0)</f>
        <v>21600</v>
      </c>
      <c r="K87" s="101">
        <f ca="1" t="shared" si="8"/>
        <v>2940</v>
      </c>
      <c r="L87" s="101">
        <f ca="1">OFFSET(洗练性价比!$N$52,MATCH(F87*60,洗练性价比!$C$53:$C$2052,1),0)</f>
        <v>4680</v>
      </c>
    </row>
    <row r="88" spans="2:12">
      <c r="B88" s="95">
        <v>43</v>
      </c>
      <c r="C88" s="101">
        <f t="shared" si="9"/>
        <v>0</v>
      </c>
      <c r="D88" s="143">
        <f ca="1" t="shared" si="2"/>
        <v>3000</v>
      </c>
      <c r="E88" s="143">
        <f ca="1" t="shared" si="3"/>
        <v>43000</v>
      </c>
      <c r="F88" s="143">
        <f ca="1" t="shared" si="4"/>
        <v>249</v>
      </c>
      <c r="G88" s="143">
        <f ca="1" t="shared" si="5"/>
        <v>0</v>
      </c>
      <c r="H88" s="143">
        <f ca="1" t="shared" si="6"/>
        <v>0</v>
      </c>
      <c r="I88" s="143">
        <f ca="1" t="shared" si="7"/>
        <v>27750</v>
      </c>
      <c r="J88" s="101">
        <f ca="1">OFFSET(梦灵养成!$Y$29,MATCH(D88,梦灵养成!$C$30:$C$629,1),0)</f>
        <v>19800</v>
      </c>
      <c r="K88" s="101">
        <f ca="1" t="shared" si="8"/>
        <v>3010</v>
      </c>
      <c r="L88" s="101">
        <f ca="1">OFFSET(洗练性价比!$N$52,MATCH(F88*60,洗练性价比!$C$53:$C$2052,1),0)</f>
        <v>4680</v>
      </c>
    </row>
    <row r="89" spans="2:12">
      <c r="B89" s="95">
        <v>44</v>
      </c>
      <c r="C89" s="101">
        <f t="shared" si="9"/>
        <v>0</v>
      </c>
      <c r="D89" s="143">
        <f ca="1" t="shared" si="2"/>
        <v>3060</v>
      </c>
      <c r="E89" s="143">
        <f ca="1" t="shared" si="3"/>
        <v>44000</v>
      </c>
      <c r="F89" s="143">
        <f ca="1" t="shared" si="4"/>
        <v>253</v>
      </c>
      <c r="G89" s="143">
        <f ca="1" t="shared" si="5"/>
        <v>0</v>
      </c>
      <c r="H89" s="143">
        <f ca="1" t="shared" si="6"/>
        <v>0</v>
      </c>
      <c r="I89" s="143">
        <f ca="1" t="shared" si="7"/>
        <v>28200</v>
      </c>
      <c r="J89" s="101">
        <f ca="1">OFFSET(梦灵养成!$Y$29,MATCH(D89,梦灵养成!$C$30:$C$629,1),0)</f>
        <v>19800</v>
      </c>
      <c r="K89" s="101">
        <f ca="1" t="shared" si="8"/>
        <v>3080</v>
      </c>
      <c r="L89" s="101">
        <f ca="1">OFFSET(洗练性价比!$N$52,MATCH(F89*60,洗练性价比!$C$53:$C$2052,1),0)</f>
        <v>4680</v>
      </c>
    </row>
    <row r="90" spans="2:12">
      <c r="B90" s="95">
        <v>45</v>
      </c>
      <c r="C90" s="101">
        <f t="shared" si="9"/>
        <v>0</v>
      </c>
      <c r="D90" s="143">
        <f ca="1" t="shared" si="2"/>
        <v>3120</v>
      </c>
      <c r="E90" s="143">
        <f ca="1" t="shared" si="3"/>
        <v>45000</v>
      </c>
      <c r="F90" s="143">
        <f ca="1" t="shared" si="4"/>
        <v>257</v>
      </c>
      <c r="G90" s="143">
        <f ca="1" t="shared" si="5"/>
        <v>0</v>
      </c>
      <c r="H90" s="143">
        <f ca="1" t="shared" si="6"/>
        <v>0</v>
      </c>
      <c r="I90" s="143">
        <f ca="1" t="shared" si="7"/>
        <v>28650</v>
      </c>
      <c r="J90" s="101">
        <f ca="1">OFFSET(梦灵养成!$Y$29,MATCH(D90,梦灵养成!$C$30:$C$629,1),0)</f>
        <v>18000</v>
      </c>
      <c r="K90" s="101">
        <f ca="1" t="shared" si="8"/>
        <v>3150</v>
      </c>
      <c r="L90" s="101">
        <f ca="1">OFFSET(洗练性价比!$N$52,MATCH(F90*60,洗练性价比!$C$53:$C$2052,1),0)</f>
        <v>4680</v>
      </c>
    </row>
    <row r="91" spans="2:12">
      <c r="B91" s="95">
        <v>46</v>
      </c>
      <c r="C91" s="101">
        <f t="shared" si="9"/>
        <v>0</v>
      </c>
      <c r="D91" s="143">
        <f ca="1" t="shared" si="2"/>
        <v>3180</v>
      </c>
      <c r="E91" s="143">
        <f ca="1" t="shared" si="3"/>
        <v>46000</v>
      </c>
      <c r="F91" s="143">
        <f ca="1" t="shared" si="4"/>
        <v>261</v>
      </c>
      <c r="G91" s="143">
        <f ca="1" t="shared" si="5"/>
        <v>0</v>
      </c>
      <c r="H91" s="143">
        <f ca="1" t="shared" si="6"/>
        <v>0</v>
      </c>
      <c r="I91" s="143">
        <f ca="1" t="shared" si="7"/>
        <v>29100</v>
      </c>
      <c r="J91" s="101">
        <f ca="1">OFFSET(梦灵养成!$Y$29,MATCH(D91,梦灵养成!$C$30:$C$629,1),0)</f>
        <v>18000</v>
      </c>
      <c r="K91" s="101">
        <f ca="1" t="shared" si="8"/>
        <v>3220</v>
      </c>
      <c r="L91" s="101">
        <f ca="1">OFFSET(洗练性价比!$N$52,MATCH(F91*60,洗练性价比!$C$53:$C$2052,1),0)</f>
        <v>4680</v>
      </c>
    </row>
    <row r="92" spans="2:12">
      <c r="B92" s="95">
        <v>47</v>
      </c>
      <c r="C92" s="101">
        <f t="shared" si="9"/>
        <v>0</v>
      </c>
      <c r="D92" s="143">
        <f ca="1" t="shared" si="2"/>
        <v>3240</v>
      </c>
      <c r="E92" s="143">
        <f ca="1" t="shared" si="3"/>
        <v>47000</v>
      </c>
      <c r="F92" s="143">
        <f ca="1" t="shared" si="4"/>
        <v>265</v>
      </c>
      <c r="G92" s="143">
        <f ca="1" t="shared" si="5"/>
        <v>0</v>
      </c>
      <c r="H92" s="143">
        <f ca="1" t="shared" si="6"/>
        <v>0</v>
      </c>
      <c r="I92" s="143">
        <f ca="1" t="shared" si="7"/>
        <v>29550</v>
      </c>
      <c r="J92" s="101">
        <f ca="1">OFFSET(梦灵养成!$Y$29,MATCH(D92,梦灵养成!$C$30:$C$629,1),0)</f>
        <v>0</v>
      </c>
      <c r="K92" s="101">
        <f ca="1" t="shared" si="8"/>
        <v>3290</v>
      </c>
      <c r="L92" s="101">
        <f ca="1">OFFSET(洗练性价比!$N$52,MATCH(F92*60,洗练性价比!$C$53:$C$2052,1),0)</f>
        <v>4680</v>
      </c>
    </row>
    <row r="93" spans="2:12">
      <c r="B93" s="95">
        <v>48</v>
      </c>
      <c r="C93" s="101">
        <f t="shared" si="9"/>
        <v>0</v>
      </c>
      <c r="D93" s="143">
        <f ca="1" t="shared" si="2"/>
        <v>3300</v>
      </c>
      <c r="E93" s="143">
        <f ca="1" t="shared" si="3"/>
        <v>48000</v>
      </c>
      <c r="F93" s="143">
        <f ca="1" t="shared" si="4"/>
        <v>269</v>
      </c>
      <c r="G93" s="143">
        <f ca="1" t="shared" si="5"/>
        <v>0</v>
      </c>
      <c r="H93" s="143">
        <f ca="1" t="shared" si="6"/>
        <v>0</v>
      </c>
      <c r="I93" s="143">
        <f ca="1" t="shared" si="7"/>
        <v>30000</v>
      </c>
      <c r="J93" s="101">
        <f ca="1">OFFSET(梦灵养成!$Y$29,MATCH(D93,梦灵养成!$C$30:$C$629,1),0)</f>
        <v>0</v>
      </c>
      <c r="K93" s="101">
        <f ca="1" t="shared" si="8"/>
        <v>3360</v>
      </c>
      <c r="L93" s="101">
        <f ca="1">OFFSET(洗练性价比!$N$52,MATCH(F93*60,洗练性价比!$C$53:$C$2052,1),0)</f>
        <v>4680</v>
      </c>
    </row>
    <row r="94" spans="2:12">
      <c r="B94" s="95">
        <v>49</v>
      </c>
      <c r="C94" s="101">
        <f t="shared" si="9"/>
        <v>0</v>
      </c>
      <c r="D94" s="143">
        <f ca="1" t="shared" si="2"/>
        <v>3360</v>
      </c>
      <c r="E94" s="143">
        <f ca="1" t="shared" si="3"/>
        <v>49000</v>
      </c>
      <c r="F94" s="143">
        <f ca="1" t="shared" si="4"/>
        <v>273</v>
      </c>
      <c r="G94" s="143">
        <f ca="1" t="shared" si="5"/>
        <v>0</v>
      </c>
      <c r="H94" s="143">
        <f ca="1" t="shared" si="6"/>
        <v>0</v>
      </c>
      <c r="I94" s="143">
        <f ca="1" t="shared" si="7"/>
        <v>30450</v>
      </c>
      <c r="J94" s="101">
        <f ca="1">OFFSET(梦灵养成!$Y$29,MATCH(D94,梦灵养成!$C$30:$C$629,1),0)</f>
        <v>0</v>
      </c>
      <c r="K94" s="101">
        <f ca="1" t="shared" si="8"/>
        <v>3430</v>
      </c>
      <c r="L94" s="101">
        <f ca="1">OFFSET(洗练性价比!$N$52,MATCH(F94*60,洗练性价比!$C$53:$C$2052,1),0)</f>
        <v>4680</v>
      </c>
    </row>
    <row r="95" spans="2:12">
      <c r="B95" s="95">
        <v>50</v>
      </c>
      <c r="C95" s="101">
        <f t="shared" si="9"/>
        <v>0</v>
      </c>
      <c r="D95" s="143">
        <f ca="1" t="shared" si="2"/>
        <v>3420</v>
      </c>
      <c r="E95" s="143">
        <f ca="1" t="shared" si="3"/>
        <v>50000</v>
      </c>
      <c r="F95" s="143">
        <f ca="1" t="shared" si="4"/>
        <v>277</v>
      </c>
      <c r="G95" s="143">
        <f ca="1" t="shared" si="5"/>
        <v>0</v>
      </c>
      <c r="H95" s="143">
        <f ca="1" t="shared" si="6"/>
        <v>0</v>
      </c>
      <c r="I95" s="143">
        <f ca="1" t="shared" si="7"/>
        <v>30900</v>
      </c>
      <c r="J95" s="101">
        <f ca="1">OFFSET(梦灵养成!$Y$29,MATCH(D95,梦灵养成!$C$30:$C$629,1),0)</f>
        <v>7200</v>
      </c>
      <c r="K95" s="101">
        <f ca="1" t="shared" si="8"/>
        <v>3500</v>
      </c>
      <c r="L95" s="101">
        <f ca="1">OFFSET(洗练性价比!$N$52,MATCH(F95*60,洗练性价比!$C$53:$C$2052,1),0)</f>
        <v>4680</v>
      </c>
    </row>
    <row r="96" spans="2:12">
      <c r="B96" s="95">
        <v>51</v>
      </c>
      <c r="C96" s="101">
        <f t="shared" si="9"/>
        <v>0</v>
      </c>
      <c r="D96" s="143">
        <f ca="1" t="shared" si="2"/>
        <v>3480</v>
      </c>
      <c r="E96" s="143">
        <f ca="1" t="shared" si="3"/>
        <v>51000</v>
      </c>
      <c r="F96" s="143">
        <f ca="1" t="shared" si="4"/>
        <v>281</v>
      </c>
      <c r="G96" s="143">
        <f ca="1" t="shared" si="5"/>
        <v>0</v>
      </c>
      <c r="H96" s="143">
        <f ca="1" t="shared" si="6"/>
        <v>0</v>
      </c>
      <c r="I96" s="143">
        <f ca="1" t="shared" si="7"/>
        <v>31350</v>
      </c>
      <c r="J96" s="101">
        <f ca="1">OFFSET(梦灵养成!$Y$29,MATCH(D96,梦灵养成!$C$30:$C$629,1),0)</f>
        <v>7200</v>
      </c>
      <c r="K96" s="101">
        <f ca="1" t="shared" si="8"/>
        <v>3570</v>
      </c>
      <c r="L96" s="101">
        <f ca="1">OFFSET(洗练性价比!$N$52,MATCH(F96*60,洗练性价比!$C$53:$C$2052,1),0)</f>
        <v>4680</v>
      </c>
    </row>
    <row r="97" spans="2:12">
      <c r="B97" s="95">
        <v>52</v>
      </c>
      <c r="C97" s="101">
        <f t="shared" si="9"/>
        <v>0</v>
      </c>
      <c r="D97" s="143">
        <f ca="1" t="shared" si="2"/>
        <v>3540</v>
      </c>
      <c r="E97" s="143">
        <f ca="1" t="shared" si="3"/>
        <v>52000</v>
      </c>
      <c r="F97" s="143">
        <f ca="1" t="shared" si="4"/>
        <v>285</v>
      </c>
      <c r="G97" s="143">
        <f ca="1" t="shared" si="5"/>
        <v>0</v>
      </c>
      <c r="H97" s="143">
        <f ca="1" t="shared" si="6"/>
        <v>0</v>
      </c>
      <c r="I97" s="143">
        <f ca="1" t="shared" si="7"/>
        <v>31800</v>
      </c>
      <c r="J97" s="101">
        <f ca="1">OFFSET(梦灵养成!$Y$29,MATCH(D97,梦灵养成!$C$30:$C$629,1),0)</f>
        <v>5400</v>
      </c>
      <c r="K97" s="101">
        <f ca="1" t="shared" si="8"/>
        <v>3640</v>
      </c>
      <c r="L97" s="101">
        <f ca="1">OFFSET(洗练性价比!$N$52,MATCH(F97*60,洗练性价比!$C$53:$C$2052,1),0)</f>
        <v>4680</v>
      </c>
    </row>
    <row r="98" spans="2:12">
      <c r="B98" s="95">
        <v>53</v>
      </c>
      <c r="C98" s="101">
        <f t="shared" si="9"/>
        <v>0</v>
      </c>
      <c r="D98" s="143">
        <f ca="1" t="shared" si="2"/>
        <v>3600</v>
      </c>
      <c r="E98" s="143">
        <f ca="1" t="shared" si="3"/>
        <v>53000</v>
      </c>
      <c r="F98" s="143">
        <f ca="1" t="shared" si="4"/>
        <v>289</v>
      </c>
      <c r="G98" s="143">
        <f ca="1" t="shared" si="5"/>
        <v>0</v>
      </c>
      <c r="H98" s="143">
        <f ca="1" t="shared" si="6"/>
        <v>0</v>
      </c>
      <c r="I98" s="143">
        <f ca="1" t="shared" si="7"/>
        <v>32250</v>
      </c>
      <c r="J98" s="101">
        <f ca="1">OFFSET(梦灵养成!$Y$29,MATCH(D98,梦灵养成!$C$30:$C$629,1),0)</f>
        <v>9000</v>
      </c>
      <c r="K98" s="101">
        <f ca="1" t="shared" si="8"/>
        <v>3710</v>
      </c>
      <c r="L98" s="101">
        <f ca="1">OFFSET(洗练性价比!$N$52,MATCH(F98*60,洗练性价比!$C$53:$C$2052,1),0)</f>
        <v>4680</v>
      </c>
    </row>
    <row r="99" spans="2:12">
      <c r="B99" s="95">
        <v>54</v>
      </c>
      <c r="C99" s="101">
        <f t="shared" si="9"/>
        <v>0</v>
      </c>
      <c r="D99" s="143">
        <f ca="1" t="shared" si="2"/>
        <v>3660</v>
      </c>
      <c r="E99" s="143">
        <f ca="1" t="shared" si="3"/>
        <v>54000</v>
      </c>
      <c r="F99" s="143">
        <f ca="1" t="shared" si="4"/>
        <v>293</v>
      </c>
      <c r="G99" s="143">
        <f ca="1" t="shared" si="5"/>
        <v>0</v>
      </c>
      <c r="H99" s="143">
        <f ca="1" t="shared" si="6"/>
        <v>0</v>
      </c>
      <c r="I99" s="143">
        <f ca="1" t="shared" si="7"/>
        <v>32700</v>
      </c>
      <c r="J99" s="101">
        <f ca="1">OFFSET(梦灵养成!$Y$29,MATCH(D99,梦灵养成!$C$30:$C$629,1),0)</f>
        <v>9000</v>
      </c>
      <c r="K99" s="101">
        <f ca="1" t="shared" si="8"/>
        <v>3780</v>
      </c>
      <c r="L99" s="101">
        <f ca="1">OFFSET(洗练性价比!$N$52,MATCH(F99*60,洗练性价比!$C$53:$C$2052,1),0)</f>
        <v>4680</v>
      </c>
    </row>
    <row r="100" spans="2:12">
      <c r="B100" s="95">
        <v>55</v>
      </c>
      <c r="C100" s="101">
        <f t="shared" si="9"/>
        <v>0</v>
      </c>
      <c r="D100" s="143">
        <f ca="1" t="shared" si="2"/>
        <v>3720</v>
      </c>
      <c r="E100" s="143">
        <f ca="1" t="shared" si="3"/>
        <v>55000</v>
      </c>
      <c r="F100" s="143">
        <f ca="1" t="shared" si="4"/>
        <v>297</v>
      </c>
      <c r="G100" s="143">
        <f ca="1" t="shared" si="5"/>
        <v>0</v>
      </c>
      <c r="H100" s="143">
        <f ca="1" t="shared" si="6"/>
        <v>0</v>
      </c>
      <c r="I100" s="143">
        <f ca="1" t="shared" si="7"/>
        <v>33150</v>
      </c>
      <c r="J100" s="101">
        <f ca="1">OFFSET(梦灵养成!$Y$29,MATCH(D100,梦灵养成!$C$30:$C$629,1),0)</f>
        <v>7200</v>
      </c>
      <c r="K100" s="101">
        <f ca="1" t="shared" si="8"/>
        <v>3850</v>
      </c>
      <c r="L100" s="101">
        <f ca="1">OFFSET(洗练性价比!$N$52,MATCH(F100*60,洗练性价比!$C$53:$C$2052,1),0)</f>
        <v>4680</v>
      </c>
    </row>
    <row r="101" spans="2:12">
      <c r="B101" s="95">
        <v>56</v>
      </c>
      <c r="C101" s="101">
        <f t="shared" si="9"/>
        <v>0</v>
      </c>
      <c r="D101" s="143">
        <f ca="1" t="shared" si="2"/>
        <v>3780</v>
      </c>
      <c r="E101" s="143">
        <f ca="1" t="shared" si="3"/>
        <v>56000</v>
      </c>
      <c r="F101" s="143">
        <f ca="1" t="shared" si="4"/>
        <v>301</v>
      </c>
      <c r="G101" s="143">
        <f ca="1" t="shared" si="5"/>
        <v>0</v>
      </c>
      <c r="H101" s="143">
        <f ca="1" t="shared" si="6"/>
        <v>0</v>
      </c>
      <c r="I101" s="143">
        <f ca="1" t="shared" si="7"/>
        <v>33600</v>
      </c>
      <c r="J101" s="101">
        <f ca="1">OFFSET(梦灵养成!$Y$29,MATCH(D101,梦灵养成!$C$30:$C$629,1),0)</f>
        <v>7200</v>
      </c>
      <c r="K101" s="101">
        <f ca="1" t="shared" si="8"/>
        <v>3920</v>
      </c>
      <c r="L101" s="101">
        <f ca="1">OFFSET(洗练性价比!$N$52,MATCH(F101*60,洗练性价比!$C$53:$C$2052,1),0)</f>
        <v>4680</v>
      </c>
    </row>
    <row r="102" spans="2:12">
      <c r="B102" s="95">
        <v>57</v>
      </c>
      <c r="C102" s="101">
        <f t="shared" si="9"/>
        <v>0</v>
      </c>
      <c r="D102" s="143">
        <f ca="1" t="shared" si="2"/>
        <v>3840</v>
      </c>
      <c r="E102" s="143">
        <f ca="1" t="shared" si="3"/>
        <v>57000</v>
      </c>
      <c r="F102" s="143">
        <f ca="1" t="shared" si="4"/>
        <v>305</v>
      </c>
      <c r="G102" s="143">
        <f ca="1" t="shared" si="5"/>
        <v>0</v>
      </c>
      <c r="H102" s="143">
        <f ca="1" t="shared" si="6"/>
        <v>0</v>
      </c>
      <c r="I102" s="143">
        <f ca="1" t="shared" si="7"/>
        <v>34050</v>
      </c>
      <c r="J102" s="101">
        <f ca="1">OFFSET(梦灵养成!$Y$29,MATCH(D102,梦灵养成!$C$30:$C$629,1),0)</f>
        <v>5400</v>
      </c>
      <c r="K102" s="101">
        <f ca="1" t="shared" si="8"/>
        <v>3990</v>
      </c>
      <c r="L102" s="101">
        <f ca="1">OFFSET(洗练性价比!$N$52,MATCH(F102*60,洗练性价比!$C$53:$C$2052,1),0)</f>
        <v>4680</v>
      </c>
    </row>
    <row r="103" spans="2:12">
      <c r="B103" s="95">
        <v>58</v>
      </c>
      <c r="C103" s="101">
        <f t="shared" si="9"/>
        <v>0</v>
      </c>
      <c r="D103" s="143">
        <f ca="1" t="shared" si="2"/>
        <v>3900</v>
      </c>
      <c r="E103" s="143">
        <f ca="1" t="shared" si="3"/>
        <v>58000</v>
      </c>
      <c r="F103" s="143">
        <f ca="1" t="shared" si="4"/>
        <v>309</v>
      </c>
      <c r="G103" s="143">
        <f ca="1" t="shared" si="5"/>
        <v>0</v>
      </c>
      <c r="H103" s="143">
        <f ca="1" t="shared" si="6"/>
        <v>0</v>
      </c>
      <c r="I103" s="143">
        <f ca="1" t="shared" si="7"/>
        <v>34500</v>
      </c>
      <c r="J103" s="101">
        <f ca="1">OFFSET(梦灵养成!$Y$29,MATCH(D103,梦灵养成!$C$30:$C$629,1),0)</f>
        <v>3600</v>
      </c>
      <c r="K103" s="101">
        <f ca="1" t="shared" si="8"/>
        <v>4060</v>
      </c>
      <c r="L103" s="101">
        <f ca="1">OFFSET(洗练性价比!$N$52,MATCH(F103*60,洗练性价比!$C$53:$C$2052,1),0)</f>
        <v>4680</v>
      </c>
    </row>
    <row r="104" spans="2:12">
      <c r="B104" s="95">
        <v>59</v>
      </c>
      <c r="C104" s="101">
        <f t="shared" si="9"/>
        <v>0</v>
      </c>
      <c r="D104" s="143">
        <f ca="1" t="shared" si="2"/>
        <v>3960</v>
      </c>
      <c r="E104" s="143">
        <f ca="1" t="shared" si="3"/>
        <v>59000</v>
      </c>
      <c r="F104" s="143">
        <f ca="1" t="shared" si="4"/>
        <v>313</v>
      </c>
      <c r="G104" s="143">
        <f ca="1" t="shared" si="5"/>
        <v>0</v>
      </c>
      <c r="H104" s="143">
        <f ca="1" t="shared" si="6"/>
        <v>0</v>
      </c>
      <c r="I104" s="143">
        <f ca="1" t="shared" si="7"/>
        <v>34950</v>
      </c>
      <c r="J104" s="101">
        <f ca="1">OFFSET(梦灵养成!$Y$29,MATCH(D104,梦灵养成!$C$30:$C$629,1),0)</f>
        <v>3600</v>
      </c>
      <c r="K104" s="101">
        <f ca="1" t="shared" si="8"/>
        <v>4130</v>
      </c>
      <c r="L104" s="101">
        <f ca="1">OFFSET(洗练性价比!$N$52,MATCH(F104*60,洗练性价比!$C$53:$C$2052,1),0)</f>
        <v>4680</v>
      </c>
    </row>
    <row r="105" spans="2:12">
      <c r="B105" s="95">
        <v>60</v>
      </c>
      <c r="C105" s="101">
        <f t="shared" si="9"/>
        <v>0</v>
      </c>
      <c r="D105" s="143">
        <f ca="1" t="shared" si="2"/>
        <v>4020</v>
      </c>
      <c r="E105" s="143">
        <f ca="1" t="shared" si="3"/>
        <v>60000</v>
      </c>
      <c r="F105" s="143">
        <f ca="1" t="shared" si="4"/>
        <v>317</v>
      </c>
      <c r="G105" s="143">
        <f ca="1" t="shared" si="5"/>
        <v>0</v>
      </c>
      <c r="H105" s="143">
        <f ca="1" t="shared" si="6"/>
        <v>0</v>
      </c>
      <c r="I105" s="143">
        <f ca="1" t="shared" si="7"/>
        <v>35400</v>
      </c>
      <c r="J105" s="101">
        <f ca="1">OFFSET(梦灵养成!$Y$29,MATCH(D105,梦灵养成!$C$30:$C$629,1),0)</f>
        <v>1800</v>
      </c>
      <c r="K105" s="101">
        <f ca="1" t="shared" si="8"/>
        <v>4200</v>
      </c>
      <c r="L105" s="101">
        <f ca="1">OFFSET(洗练性价比!$N$52,MATCH(F105*60,洗练性价比!$C$53:$C$2052,1),0)</f>
        <v>4680</v>
      </c>
    </row>
    <row r="106" spans="2:12">
      <c r="B106" s="95">
        <v>61</v>
      </c>
      <c r="C106" s="101">
        <f t="shared" si="9"/>
        <v>0</v>
      </c>
      <c r="D106" s="143">
        <f ca="1" t="shared" si="2"/>
        <v>4080</v>
      </c>
      <c r="E106" s="143">
        <f ca="1" t="shared" si="3"/>
        <v>61000</v>
      </c>
      <c r="F106" s="143">
        <f ca="1" t="shared" si="4"/>
        <v>321</v>
      </c>
      <c r="G106" s="143">
        <f ca="1" t="shared" si="5"/>
        <v>0</v>
      </c>
      <c r="H106" s="143">
        <f ca="1" t="shared" si="6"/>
        <v>0</v>
      </c>
      <c r="I106" s="143">
        <f ca="1" t="shared" si="7"/>
        <v>35850</v>
      </c>
      <c r="J106" s="101">
        <f ca="1">OFFSET(梦灵养成!$Y$29,MATCH(D106,梦灵养成!$C$30:$C$629,1),0)</f>
        <v>1800</v>
      </c>
      <c r="K106" s="101">
        <f ca="1" t="shared" si="8"/>
        <v>4270</v>
      </c>
      <c r="L106" s="101">
        <f ca="1">OFFSET(洗练性价比!$N$52,MATCH(F106*60,洗练性价比!$C$53:$C$2052,1),0)</f>
        <v>4680</v>
      </c>
    </row>
    <row r="107" spans="2:12">
      <c r="B107" s="95">
        <v>62</v>
      </c>
      <c r="C107" s="101">
        <f t="shared" si="9"/>
        <v>0</v>
      </c>
      <c r="D107" s="143">
        <f ca="1" t="shared" si="2"/>
        <v>4140</v>
      </c>
      <c r="E107" s="143">
        <f ca="1" t="shared" si="3"/>
        <v>62000</v>
      </c>
      <c r="F107" s="143">
        <f ca="1" t="shared" si="4"/>
        <v>325</v>
      </c>
      <c r="G107" s="143">
        <f ca="1" t="shared" si="5"/>
        <v>0</v>
      </c>
      <c r="H107" s="143">
        <f ca="1" t="shared" si="6"/>
        <v>0</v>
      </c>
      <c r="I107" s="143">
        <f ca="1" t="shared" si="7"/>
        <v>36300</v>
      </c>
      <c r="J107" s="101">
        <f ca="1">OFFSET(梦灵养成!$Y$29,MATCH(D107,梦灵养成!$C$30:$C$629,1),0)</f>
        <v>7200</v>
      </c>
      <c r="K107" s="101">
        <f ca="1" t="shared" si="8"/>
        <v>4340</v>
      </c>
      <c r="L107" s="101">
        <f ca="1">OFFSET(洗练性价比!$N$52,MATCH(F107*60,洗练性价比!$C$53:$C$2052,1),0)</f>
        <v>4680</v>
      </c>
    </row>
    <row r="108" spans="2:12">
      <c r="B108" s="95">
        <v>63</v>
      </c>
      <c r="C108" s="101">
        <f t="shared" si="9"/>
        <v>0</v>
      </c>
      <c r="D108" s="143">
        <f ca="1" t="shared" si="2"/>
        <v>4200</v>
      </c>
      <c r="E108" s="143">
        <f ca="1" t="shared" si="3"/>
        <v>63000</v>
      </c>
      <c r="F108" s="143">
        <f ca="1" t="shared" si="4"/>
        <v>329</v>
      </c>
      <c r="G108" s="143">
        <f ca="1" t="shared" si="5"/>
        <v>0</v>
      </c>
      <c r="H108" s="143">
        <f ca="1" t="shared" si="6"/>
        <v>0</v>
      </c>
      <c r="I108" s="143">
        <f ca="1" t="shared" si="7"/>
        <v>36750</v>
      </c>
      <c r="J108" s="101">
        <f ca="1">OFFSET(梦灵养成!$Y$29,MATCH(D108,梦灵养成!$C$30:$C$629,1),0)</f>
        <v>5400</v>
      </c>
      <c r="K108" s="101">
        <f ca="1" t="shared" si="8"/>
        <v>4410</v>
      </c>
      <c r="L108" s="101">
        <f ca="1">OFFSET(洗练性价比!$N$52,MATCH(F108*60,洗练性价比!$C$53:$C$2052,1),0)</f>
        <v>4680</v>
      </c>
    </row>
    <row r="109" spans="2:12">
      <c r="B109" s="95">
        <v>64</v>
      </c>
      <c r="C109" s="101">
        <f t="shared" si="9"/>
        <v>0</v>
      </c>
      <c r="D109" s="143">
        <f ca="1" t="shared" si="2"/>
        <v>4260</v>
      </c>
      <c r="E109" s="143">
        <f ca="1" t="shared" si="3"/>
        <v>64000</v>
      </c>
      <c r="F109" s="143">
        <f ca="1" t="shared" si="4"/>
        <v>333</v>
      </c>
      <c r="G109" s="143">
        <f ca="1" t="shared" si="5"/>
        <v>0</v>
      </c>
      <c r="H109" s="143">
        <f ca="1" t="shared" si="6"/>
        <v>0</v>
      </c>
      <c r="I109" s="143">
        <f ca="1" t="shared" si="7"/>
        <v>37200</v>
      </c>
      <c r="J109" s="101">
        <f ca="1">OFFSET(梦灵养成!$Y$29,MATCH(D109,梦灵养成!$C$30:$C$629,1),0)</f>
        <v>5400</v>
      </c>
      <c r="K109" s="101">
        <f ca="1" t="shared" si="8"/>
        <v>4480</v>
      </c>
      <c r="L109" s="101">
        <f ca="1">OFFSET(洗练性价比!$N$52,MATCH(F109*60,洗练性价比!$C$53:$C$2052,1),0)</f>
        <v>4680</v>
      </c>
    </row>
    <row r="110" spans="2:12">
      <c r="B110" s="95">
        <v>65</v>
      </c>
      <c r="C110" s="101">
        <f t="shared" si="9"/>
        <v>0</v>
      </c>
      <c r="D110" s="143">
        <f ca="1" t="shared" si="2"/>
        <v>4320</v>
      </c>
      <c r="E110" s="143">
        <f ca="1" t="shared" si="3"/>
        <v>65000</v>
      </c>
      <c r="F110" s="143">
        <f ca="1" t="shared" si="4"/>
        <v>337</v>
      </c>
      <c r="G110" s="143">
        <f ca="1" t="shared" si="5"/>
        <v>0</v>
      </c>
      <c r="H110" s="143">
        <f ca="1" t="shared" si="6"/>
        <v>0</v>
      </c>
      <c r="I110" s="143">
        <f ca="1" t="shared" si="7"/>
        <v>37650</v>
      </c>
      <c r="J110" s="101">
        <f ca="1">OFFSET(梦灵养成!$Y$29,MATCH(D110,梦灵养成!$C$30:$C$629,1),0)</f>
        <v>3600</v>
      </c>
      <c r="K110" s="101">
        <f ca="1" t="shared" si="8"/>
        <v>4550</v>
      </c>
      <c r="L110" s="101">
        <f ca="1">OFFSET(洗练性价比!$N$52,MATCH(F110*60,洗练性价比!$C$53:$C$2052,1),0)</f>
        <v>4680</v>
      </c>
    </row>
    <row r="111" spans="2:12">
      <c r="B111" s="95">
        <v>66</v>
      </c>
      <c r="C111" s="101">
        <f t="shared" si="9"/>
        <v>0</v>
      </c>
      <c r="D111" s="143">
        <f ca="1" t="shared" ref="D111:D174" si="10">OFFSET($B$36,MATCH(D$45,$B$37:$B$42,0),1)*$B111+OFFSET($B$36,MATCH(D$45,$B$37:$B$42,0),2)*MIN($B111,7)+OFFSET($E$36,MATCH(D$45,$B$37:$B$42,0),0)*$C111*1.1/OFFSET($F$36,MATCH(D$45,$B$37:$B$42,0),0)</f>
        <v>4380</v>
      </c>
      <c r="E111" s="143">
        <f ca="1" t="shared" ref="E111:E174" si="11">OFFSET($B$36,MATCH(E$45,$B$37:$B$42,0),1)*$B111+OFFSET($B$36,MATCH(E$45,$B$37:$B$42,0),2)*MIN($B111,7)+OFFSET($E$36,MATCH(E$45,$B$37:$B$42,0),0)*$C111*1.1/OFFSET($F$36,MATCH(E$45,$B$37:$B$42,0),0)</f>
        <v>66000</v>
      </c>
      <c r="F111" s="143">
        <f ca="1" t="shared" ref="F111:F174" si="12">OFFSET($B$36,MATCH(F$45,$B$37:$B$42,0),1)*$B111+OFFSET($B$36,MATCH(F$45,$B$37:$B$42,0),2)*MIN($B111,7)+OFFSET($E$36,MATCH(F$45,$B$37:$B$42,0),0)*$C111*1.1/OFFSET($F$36,MATCH(F$45,$B$37:$B$42,0),0)</f>
        <v>341</v>
      </c>
      <c r="G111" s="143">
        <f ca="1" t="shared" ref="G111:G174" si="13">OFFSET($B$36,MATCH(G$45,$B$37:$B$42,0),1)*$B111+OFFSET($B$36,MATCH(G$45,$B$37:$B$42,0),2)*MIN($B111,7)+OFFSET($E$36,MATCH(G$45,$B$37:$B$42,0),0)*$C111*1.1/OFFSET($F$36,MATCH(G$45,$B$37:$B$42,0),0)</f>
        <v>0</v>
      </c>
      <c r="H111" s="143">
        <f ca="1" t="shared" ref="H111:H174" si="14">OFFSET($B$36,MATCH(H$45,$B$37:$B$42,0),1)*$B111+OFFSET($B$36,MATCH(H$45,$B$37:$B$42,0),2)*MIN($B111,7)+OFFSET($E$36,MATCH(H$45,$B$37:$B$42,0),0)*$C111*1.1/OFFSET($F$36,MATCH(H$45,$B$37:$B$42,0),0)</f>
        <v>0</v>
      </c>
      <c r="I111" s="143">
        <f ca="1" t="shared" ref="I111:I174" si="15">OFFSET($B$36,MATCH(I$45,$B$37:$B$42,0),1)*$B111+OFFSET($B$36,MATCH(I$45,$B$37:$B$42,0),2)*MIN($B111,7)+OFFSET($E$36,MATCH(I$45,$B$37:$B$42,0),0)*$C111*1.1/OFFSET($F$36,MATCH(I$45,$B$37:$B$42,0),0)</f>
        <v>38100</v>
      </c>
      <c r="J111" s="101">
        <f ca="1">OFFSET(梦灵养成!$Y$29,MATCH(D111,梦灵养成!$C$30:$C$629,1),0)</f>
        <v>3600</v>
      </c>
      <c r="K111" s="101">
        <f ca="1" t="shared" ref="K111:K174" si="16">E111*0.07</f>
        <v>4620</v>
      </c>
      <c r="L111" s="101">
        <f ca="1">OFFSET(洗练性价比!$N$52,MATCH(F111*60,洗练性价比!$C$53:$C$2052,1),0)</f>
        <v>4680</v>
      </c>
    </row>
    <row r="112" spans="2:12">
      <c r="B112" s="95">
        <v>67</v>
      </c>
      <c r="C112" s="101">
        <f t="shared" ref="C112:C175" si="17">C111+_xlfn.XLOOKUP($C$44,$C$28:$C$33,$F$28:$F$33)</f>
        <v>0</v>
      </c>
      <c r="D112" s="143">
        <f ca="1" t="shared" si="10"/>
        <v>4440</v>
      </c>
      <c r="E112" s="143">
        <f ca="1" t="shared" si="11"/>
        <v>67000</v>
      </c>
      <c r="F112" s="143">
        <f ca="1" t="shared" si="12"/>
        <v>345</v>
      </c>
      <c r="G112" s="143">
        <f ca="1" t="shared" si="13"/>
        <v>0</v>
      </c>
      <c r="H112" s="143">
        <f ca="1" t="shared" si="14"/>
        <v>0</v>
      </c>
      <c r="I112" s="143">
        <f ca="1" t="shared" si="15"/>
        <v>38550</v>
      </c>
      <c r="J112" s="101">
        <f ca="1">OFFSET(梦灵养成!$Y$29,MATCH(D112,梦灵养成!$C$30:$C$629,1),0)</f>
        <v>1800</v>
      </c>
      <c r="K112" s="101">
        <f ca="1" t="shared" si="16"/>
        <v>4690</v>
      </c>
      <c r="L112" s="101">
        <f ca="1">OFFSET(洗练性价比!$N$52,MATCH(F112*60,洗练性价比!$C$53:$C$2052,1),0)</f>
        <v>4680</v>
      </c>
    </row>
    <row r="113" spans="2:12">
      <c r="B113" s="95">
        <v>68</v>
      </c>
      <c r="C113" s="101">
        <f t="shared" si="17"/>
        <v>0</v>
      </c>
      <c r="D113" s="143">
        <f ca="1" t="shared" si="10"/>
        <v>4500</v>
      </c>
      <c r="E113" s="143">
        <f ca="1" t="shared" si="11"/>
        <v>68000</v>
      </c>
      <c r="F113" s="143">
        <f ca="1" t="shared" si="12"/>
        <v>349</v>
      </c>
      <c r="G113" s="143">
        <f ca="1" t="shared" si="13"/>
        <v>0</v>
      </c>
      <c r="H113" s="143">
        <f ca="1" t="shared" si="14"/>
        <v>0</v>
      </c>
      <c r="I113" s="143">
        <f ca="1" t="shared" si="15"/>
        <v>39000</v>
      </c>
      <c r="J113" s="101">
        <f ca="1">OFFSET(梦灵养成!$Y$29,MATCH(D113,梦灵养成!$C$30:$C$629,1),0)</f>
        <v>23400</v>
      </c>
      <c r="K113" s="101">
        <f ca="1" t="shared" si="16"/>
        <v>4760</v>
      </c>
      <c r="L113" s="101">
        <f ca="1">OFFSET(洗练性价比!$N$52,MATCH(F113*60,洗练性价比!$C$53:$C$2052,1),0)</f>
        <v>4680</v>
      </c>
    </row>
    <row r="114" spans="2:12">
      <c r="B114" s="95">
        <v>69</v>
      </c>
      <c r="C114" s="101">
        <f t="shared" si="17"/>
        <v>0</v>
      </c>
      <c r="D114" s="143">
        <f ca="1" t="shared" si="10"/>
        <v>4560</v>
      </c>
      <c r="E114" s="143">
        <f ca="1" t="shared" si="11"/>
        <v>69000</v>
      </c>
      <c r="F114" s="143">
        <f ca="1" t="shared" si="12"/>
        <v>353</v>
      </c>
      <c r="G114" s="143">
        <f ca="1" t="shared" si="13"/>
        <v>0</v>
      </c>
      <c r="H114" s="143">
        <f ca="1" t="shared" si="14"/>
        <v>0</v>
      </c>
      <c r="I114" s="143">
        <f ca="1" t="shared" si="15"/>
        <v>39450</v>
      </c>
      <c r="J114" s="101">
        <f ca="1">OFFSET(梦灵养成!$Y$29,MATCH(D114,梦灵养成!$C$30:$C$629,1),0)</f>
        <v>23400</v>
      </c>
      <c r="K114" s="101">
        <f ca="1" t="shared" si="16"/>
        <v>4830</v>
      </c>
      <c r="L114" s="101">
        <f ca="1">OFFSET(洗练性价比!$N$52,MATCH(F114*60,洗练性价比!$C$53:$C$2052,1),0)</f>
        <v>4680</v>
      </c>
    </row>
    <row r="115" spans="2:12">
      <c r="B115" s="95">
        <v>70</v>
      </c>
      <c r="C115" s="101">
        <f t="shared" si="17"/>
        <v>0</v>
      </c>
      <c r="D115" s="143">
        <f ca="1" t="shared" si="10"/>
        <v>4620</v>
      </c>
      <c r="E115" s="143">
        <f ca="1" t="shared" si="11"/>
        <v>70000</v>
      </c>
      <c r="F115" s="143">
        <f ca="1" t="shared" si="12"/>
        <v>357</v>
      </c>
      <c r="G115" s="143">
        <f ca="1" t="shared" si="13"/>
        <v>0</v>
      </c>
      <c r="H115" s="143">
        <f ca="1" t="shared" si="14"/>
        <v>0</v>
      </c>
      <c r="I115" s="143">
        <f ca="1" t="shared" si="15"/>
        <v>39900</v>
      </c>
      <c r="J115" s="101">
        <f ca="1">OFFSET(梦灵养成!$Y$29,MATCH(D115,梦灵养成!$C$30:$C$629,1),0)</f>
        <v>21600</v>
      </c>
      <c r="K115" s="101">
        <f ca="1" t="shared" si="16"/>
        <v>4900</v>
      </c>
      <c r="L115" s="101">
        <f ca="1">OFFSET(洗练性价比!$N$52,MATCH(F115*60,洗练性价比!$C$53:$C$2052,1),0)</f>
        <v>4680</v>
      </c>
    </row>
    <row r="116" spans="2:12">
      <c r="B116" s="95">
        <v>71</v>
      </c>
      <c r="C116" s="101">
        <f t="shared" si="17"/>
        <v>0</v>
      </c>
      <c r="D116" s="143">
        <f ca="1" t="shared" si="10"/>
        <v>4680</v>
      </c>
      <c r="E116" s="143">
        <f ca="1" t="shared" si="11"/>
        <v>71000</v>
      </c>
      <c r="F116" s="143">
        <f ca="1" t="shared" si="12"/>
        <v>361</v>
      </c>
      <c r="G116" s="143">
        <f ca="1" t="shared" si="13"/>
        <v>0</v>
      </c>
      <c r="H116" s="143">
        <f ca="1" t="shared" si="14"/>
        <v>0</v>
      </c>
      <c r="I116" s="143">
        <f ca="1" t="shared" si="15"/>
        <v>40350</v>
      </c>
      <c r="J116" s="101">
        <f ca="1">OFFSET(梦灵养成!$Y$29,MATCH(D116,梦灵养成!$C$30:$C$629,1),0)</f>
        <v>21600</v>
      </c>
      <c r="K116" s="101">
        <f ca="1" t="shared" si="16"/>
        <v>4970</v>
      </c>
      <c r="L116" s="101">
        <f ca="1">OFFSET(洗练性价比!$N$52,MATCH(F116*60,洗练性价比!$C$53:$C$2052,1),0)</f>
        <v>4680</v>
      </c>
    </row>
    <row r="117" spans="2:12">
      <c r="B117" s="95">
        <v>72</v>
      </c>
      <c r="C117" s="101">
        <f t="shared" si="17"/>
        <v>0</v>
      </c>
      <c r="D117" s="143">
        <f ca="1" t="shared" si="10"/>
        <v>4740</v>
      </c>
      <c r="E117" s="143">
        <f ca="1" t="shared" si="11"/>
        <v>72000</v>
      </c>
      <c r="F117" s="143">
        <f ca="1" t="shared" si="12"/>
        <v>365</v>
      </c>
      <c r="G117" s="143">
        <f ca="1" t="shared" si="13"/>
        <v>0</v>
      </c>
      <c r="H117" s="143">
        <f ca="1" t="shared" si="14"/>
        <v>0</v>
      </c>
      <c r="I117" s="143">
        <f ca="1" t="shared" si="15"/>
        <v>40800</v>
      </c>
      <c r="J117" s="101">
        <f ca="1">OFFSET(梦灵养成!$Y$29,MATCH(D117,梦灵养成!$C$30:$C$629,1),0)</f>
        <v>19800</v>
      </c>
      <c r="K117" s="101">
        <f ca="1" t="shared" si="16"/>
        <v>5040</v>
      </c>
      <c r="L117" s="101">
        <f ca="1">OFFSET(洗练性价比!$N$52,MATCH(F117*60,洗练性价比!$C$53:$C$2052,1),0)</f>
        <v>4680</v>
      </c>
    </row>
    <row r="118" spans="2:12">
      <c r="B118" s="95">
        <v>73</v>
      </c>
      <c r="C118" s="101">
        <f t="shared" si="17"/>
        <v>0</v>
      </c>
      <c r="D118" s="143">
        <f ca="1" t="shared" si="10"/>
        <v>4800</v>
      </c>
      <c r="E118" s="143">
        <f ca="1" t="shared" si="11"/>
        <v>73000</v>
      </c>
      <c r="F118" s="143">
        <f ca="1" t="shared" si="12"/>
        <v>369</v>
      </c>
      <c r="G118" s="143">
        <f ca="1" t="shared" si="13"/>
        <v>0</v>
      </c>
      <c r="H118" s="143">
        <f ca="1" t="shared" si="14"/>
        <v>0</v>
      </c>
      <c r="I118" s="143">
        <f ca="1" t="shared" si="15"/>
        <v>41250</v>
      </c>
      <c r="J118" s="101">
        <f ca="1">OFFSET(梦灵养成!$Y$29,MATCH(D118,梦灵养成!$C$30:$C$629,1),0)</f>
        <v>18000</v>
      </c>
      <c r="K118" s="101">
        <f ca="1" t="shared" si="16"/>
        <v>5110</v>
      </c>
      <c r="L118" s="101">
        <f ca="1">OFFSET(洗练性价比!$N$52,MATCH(F118*60,洗练性价比!$C$53:$C$2052,1),0)</f>
        <v>4680</v>
      </c>
    </row>
    <row r="119" spans="2:12">
      <c r="B119" s="95">
        <v>74</v>
      </c>
      <c r="C119" s="101">
        <f t="shared" si="17"/>
        <v>0</v>
      </c>
      <c r="D119" s="143">
        <f ca="1" t="shared" si="10"/>
        <v>4860</v>
      </c>
      <c r="E119" s="143">
        <f ca="1" t="shared" si="11"/>
        <v>74000</v>
      </c>
      <c r="F119" s="143">
        <f ca="1" t="shared" si="12"/>
        <v>373</v>
      </c>
      <c r="G119" s="143">
        <f ca="1" t="shared" si="13"/>
        <v>0</v>
      </c>
      <c r="H119" s="143">
        <f ca="1" t="shared" si="14"/>
        <v>0</v>
      </c>
      <c r="I119" s="143">
        <f ca="1" t="shared" si="15"/>
        <v>41700</v>
      </c>
      <c r="J119" s="101">
        <f ca="1">OFFSET(梦灵养成!$Y$29,MATCH(D119,梦灵养成!$C$30:$C$629,1),0)</f>
        <v>18000</v>
      </c>
      <c r="K119" s="101">
        <f ca="1" t="shared" si="16"/>
        <v>5180</v>
      </c>
      <c r="L119" s="101">
        <f ca="1">OFFSET(洗练性价比!$N$52,MATCH(F119*60,洗练性价比!$C$53:$C$2052,1),0)</f>
        <v>4680</v>
      </c>
    </row>
    <row r="120" spans="2:12">
      <c r="B120" s="95">
        <v>75</v>
      </c>
      <c r="C120" s="101">
        <f t="shared" si="17"/>
        <v>0</v>
      </c>
      <c r="D120" s="143">
        <f ca="1" t="shared" si="10"/>
        <v>4920</v>
      </c>
      <c r="E120" s="143">
        <f ca="1" t="shared" si="11"/>
        <v>75000</v>
      </c>
      <c r="F120" s="143">
        <f ca="1" t="shared" si="12"/>
        <v>377</v>
      </c>
      <c r="G120" s="143">
        <f ca="1" t="shared" si="13"/>
        <v>0</v>
      </c>
      <c r="H120" s="143">
        <f ca="1" t="shared" si="14"/>
        <v>0</v>
      </c>
      <c r="I120" s="143">
        <f ca="1" t="shared" si="15"/>
        <v>42150</v>
      </c>
      <c r="J120" s="101">
        <f ca="1">OFFSET(梦灵养成!$Y$29,MATCH(D120,梦灵养成!$C$30:$C$629,1),0)</f>
        <v>16200</v>
      </c>
      <c r="K120" s="101">
        <f ca="1" t="shared" si="16"/>
        <v>5250</v>
      </c>
      <c r="L120" s="101">
        <f ca="1">OFFSET(洗练性价比!$N$52,MATCH(F120*60,洗练性价比!$C$53:$C$2052,1),0)</f>
        <v>4680</v>
      </c>
    </row>
    <row r="121" spans="2:12">
      <c r="B121" s="95">
        <v>76</v>
      </c>
      <c r="C121" s="101">
        <f t="shared" si="17"/>
        <v>0</v>
      </c>
      <c r="D121" s="143">
        <f ca="1" t="shared" si="10"/>
        <v>4980</v>
      </c>
      <c r="E121" s="143">
        <f ca="1" t="shared" si="11"/>
        <v>76000</v>
      </c>
      <c r="F121" s="143">
        <f ca="1" t="shared" si="12"/>
        <v>381</v>
      </c>
      <c r="G121" s="143">
        <f ca="1" t="shared" si="13"/>
        <v>0</v>
      </c>
      <c r="H121" s="143">
        <f ca="1" t="shared" si="14"/>
        <v>0</v>
      </c>
      <c r="I121" s="143">
        <f ca="1" t="shared" si="15"/>
        <v>42600</v>
      </c>
      <c r="J121" s="101">
        <f ca="1">OFFSET(梦灵养成!$Y$29,MATCH(D121,梦灵养成!$C$30:$C$629,1),0)</f>
        <v>16200</v>
      </c>
      <c r="K121" s="101">
        <f ca="1" t="shared" si="16"/>
        <v>5320</v>
      </c>
      <c r="L121" s="101">
        <f ca="1">OFFSET(洗练性价比!$N$52,MATCH(F121*60,洗练性价比!$C$53:$C$2052,1),0)</f>
        <v>4680</v>
      </c>
    </row>
    <row r="122" spans="2:12">
      <c r="B122" s="95">
        <v>77</v>
      </c>
      <c r="C122" s="101">
        <f t="shared" si="17"/>
        <v>0</v>
      </c>
      <c r="D122" s="143">
        <f ca="1" t="shared" si="10"/>
        <v>5040</v>
      </c>
      <c r="E122" s="143">
        <f ca="1" t="shared" si="11"/>
        <v>77000</v>
      </c>
      <c r="F122" s="143">
        <f ca="1" t="shared" si="12"/>
        <v>385</v>
      </c>
      <c r="G122" s="143">
        <f ca="1" t="shared" si="13"/>
        <v>0</v>
      </c>
      <c r="H122" s="143">
        <f ca="1" t="shared" si="14"/>
        <v>0</v>
      </c>
      <c r="I122" s="143">
        <f ca="1" t="shared" si="15"/>
        <v>43050</v>
      </c>
      <c r="J122" s="101">
        <f ca="1">OFFSET(梦灵养成!$Y$29,MATCH(D122,梦灵养成!$C$30:$C$629,1),0)</f>
        <v>14400</v>
      </c>
      <c r="K122" s="101">
        <f ca="1" t="shared" si="16"/>
        <v>5390</v>
      </c>
      <c r="L122" s="101">
        <f ca="1">OFFSET(洗练性价比!$N$52,MATCH(F122*60,洗练性价比!$C$53:$C$2052,1),0)</f>
        <v>4680</v>
      </c>
    </row>
    <row r="123" spans="2:12">
      <c r="B123" s="95">
        <v>78</v>
      </c>
      <c r="C123" s="101">
        <f t="shared" si="17"/>
        <v>0</v>
      </c>
      <c r="D123" s="143">
        <f ca="1" t="shared" si="10"/>
        <v>5100</v>
      </c>
      <c r="E123" s="143">
        <f ca="1" t="shared" si="11"/>
        <v>78000</v>
      </c>
      <c r="F123" s="143">
        <f ca="1" t="shared" si="12"/>
        <v>389</v>
      </c>
      <c r="G123" s="143">
        <f ca="1" t="shared" si="13"/>
        <v>0</v>
      </c>
      <c r="H123" s="143">
        <f ca="1" t="shared" si="14"/>
        <v>0</v>
      </c>
      <c r="I123" s="143">
        <f ca="1" t="shared" si="15"/>
        <v>43500</v>
      </c>
      <c r="J123" s="101">
        <f ca="1">OFFSET(梦灵养成!$Y$29,MATCH(D123,梦灵养成!$C$30:$C$629,1),0)</f>
        <v>12600</v>
      </c>
      <c r="K123" s="101">
        <f ca="1" t="shared" si="16"/>
        <v>5460</v>
      </c>
      <c r="L123" s="101">
        <f ca="1">OFFSET(洗练性价比!$N$52,MATCH(F123*60,洗练性价比!$C$53:$C$2052,1),0)</f>
        <v>4680</v>
      </c>
    </row>
    <row r="124" spans="2:12">
      <c r="B124" s="95">
        <v>79</v>
      </c>
      <c r="C124" s="101">
        <f t="shared" si="17"/>
        <v>0</v>
      </c>
      <c r="D124" s="143">
        <f ca="1" t="shared" si="10"/>
        <v>5160</v>
      </c>
      <c r="E124" s="143">
        <f ca="1" t="shared" si="11"/>
        <v>79000</v>
      </c>
      <c r="F124" s="143">
        <f ca="1" t="shared" si="12"/>
        <v>393</v>
      </c>
      <c r="G124" s="143">
        <f ca="1" t="shared" si="13"/>
        <v>0</v>
      </c>
      <c r="H124" s="143">
        <f ca="1" t="shared" si="14"/>
        <v>0</v>
      </c>
      <c r="I124" s="143">
        <f ca="1" t="shared" si="15"/>
        <v>43950</v>
      </c>
      <c r="J124" s="101">
        <f ca="1">OFFSET(梦灵养成!$Y$29,MATCH(D124,梦灵养成!$C$30:$C$629,1),0)</f>
        <v>12600</v>
      </c>
      <c r="K124" s="101">
        <f ca="1" t="shared" si="16"/>
        <v>5530</v>
      </c>
      <c r="L124" s="101">
        <f ca="1">OFFSET(洗练性价比!$N$52,MATCH(F124*60,洗练性价比!$C$53:$C$2052,1),0)</f>
        <v>4680</v>
      </c>
    </row>
    <row r="125" spans="2:12">
      <c r="B125" s="95">
        <v>80</v>
      </c>
      <c r="C125" s="101">
        <f t="shared" si="17"/>
        <v>0</v>
      </c>
      <c r="D125" s="143">
        <f ca="1" t="shared" si="10"/>
        <v>5220</v>
      </c>
      <c r="E125" s="143">
        <f ca="1" t="shared" si="11"/>
        <v>80000</v>
      </c>
      <c r="F125" s="143">
        <f ca="1" t="shared" si="12"/>
        <v>397</v>
      </c>
      <c r="G125" s="143">
        <f ca="1" t="shared" si="13"/>
        <v>0</v>
      </c>
      <c r="H125" s="143">
        <f ca="1" t="shared" si="14"/>
        <v>0</v>
      </c>
      <c r="I125" s="143">
        <f ca="1" t="shared" si="15"/>
        <v>44400</v>
      </c>
      <c r="J125" s="101">
        <f ca="1">OFFSET(梦灵养成!$Y$29,MATCH(D125,梦灵养成!$C$30:$C$629,1),0)</f>
        <v>10800</v>
      </c>
      <c r="K125" s="101">
        <f ca="1" t="shared" si="16"/>
        <v>5600</v>
      </c>
      <c r="L125" s="101">
        <f ca="1">OFFSET(洗练性价比!$N$52,MATCH(F125*60,洗练性价比!$C$53:$C$2052,1),0)</f>
        <v>4680</v>
      </c>
    </row>
    <row r="126" spans="2:12">
      <c r="B126" s="95">
        <v>81</v>
      </c>
      <c r="C126" s="101">
        <f t="shared" si="17"/>
        <v>0</v>
      </c>
      <c r="D126" s="143">
        <f ca="1" t="shared" si="10"/>
        <v>5280</v>
      </c>
      <c r="E126" s="143">
        <f ca="1" t="shared" si="11"/>
        <v>81000</v>
      </c>
      <c r="F126" s="143">
        <f ca="1" t="shared" si="12"/>
        <v>401</v>
      </c>
      <c r="G126" s="143">
        <f ca="1" t="shared" si="13"/>
        <v>0</v>
      </c>
      <c r="H126" s="143">
        <f ca="1" t="shared" si="14"/>
        <v>0</v>
      </c>
      <c r="I126" s="143">
        <f ca="1" t="shared" si="15"/>
        <v>44850</v>
      </c>
      <c r="J126" s="101">
        <f ca="1">OFFSET(梦灵养成!$Y$29,MATCH(D126,梦灵养成!$C$30:$C$629,1),0)</f>
        <v>10800</v>
      </c>
      <c r="K126" s="101">
        <f ca="1" t="shared" si="16"/>
        <v>5670</v>
      </c>
      <c r="L126" s="101">
        <f ca="1">OFFSET(洗练性价比!$N$52,MATCH(F126*60,洗练性价比!$C$53:$C$2052,1),0)</f>
        <v>4680</v>
      </c>
    </row>
    <row r="127" spans="2:12">
      <c r="B127" s="95">
        <v>82</v>
      </c>
      <c r="C127" s="101">
        <f t="shared" si="17"/>
        <v>0</v>
      </c>
      <c r="D127" s="143">
        <f ca="1" t="shared" si="10"/>
        <v>5340</v>
      </c>
      <c r="E127" s="143">
        <f ca="1" t="shared" si="11"/>
        <v>82000</v>
      </c>
      <c r="F127" s="143">
        <f ca="1" t="shared" si="12"/>
        <v>405</v>
      </c>
      <c r="G127" s="143">
        <f ca="1" t="shared" si="13"/>
        <v>0</v>
      </c>
      <c r="H127" s="143">
        <f ca="1" t="shared" si="14"/>
        <v>0</v>
      </c>
      <c r="I127" s="143">
        <f ca="1" t="shared" si="15"/>
        <v>45300</v>
      </c>
      <c r="J127" s="101">
        <f ca="1">OFFSET(梦灵养成!$Y$29,MATCH(D127,梦灵养成!$C$30:$C$629,1),0)</f>
        <v>9000</v>
      </c>
      <c r="K127" s="101">
        <f ca="1" t="shared" si="16"/>
        <v>5740</v>
      </c>
      <c r="L127" s="101">
        <f ca="1">OFFSET(洗练性价比!$N$52,MATCH(F127*60,洗练性价比!$C$53:$C$2052,1),0)</f>
        <v>4680</v>
      </c>
    </row>
    <row r="128" spans="2:12">
      <c r="B128" s="95">
        <v>83</v>
      </c>
      <c r="C128" s="101">
        <f t="shared" si="17"/>
        <v>0</v>
      </c>
      <c r="D128" s="143">
        <f ca="1" t="shared" si="10"/>
        <v>5400</v>
      </c>
      <c r="E128" s="143">
        <f ca="1" t="shared" si="11"/>
        <v>83000</v>
      </c>
      <c r="F128" s="143">
        <f ca="1" t="shared" si="12"/>
        <v>409</v>
      </c>
      <c r="G128" s="143">
        <f ca="1" t="shared" si="13"/>
        <v>0</v>
      </c>
      <c r="H128" s="143">
        <f ca="1" t="shared" si="14"/>
        <v>0</v>
      </c>
      <c r="I128" s="143">
        <f ca="1" t="shared" si="15"/>
        <v>45750</v>
      </c>
      <c r="J128" s="101">
        <f ca="1">OFFSET(梦灵养成!$Y$29,MATCH(D128,梦灵养成!$C$30:$C$629,1),0)</f>
        <v>14400</v>
      </c>
      <c r="K128" s="101">
        <f ca="1" t="shared" si="16"/>
        <v>5810</v>
      </c>
      <c r="L128" s="101">
        <f ca="1">OFFSET(洗练性价比!$N$52,MATCH(F128*60,洗练性价比!$C$53:$C$2052,1),0)</f>
        <v>4680</v>
      </c>
    </row>
    <row r="129" spans="2:12">
      <c r="B129" s="95">
        <v>84</v>
      </c>
      <c r="C129" s="101">
        <f t="shared" si="17"/>
        <v>0</v>
      </c>
      <c r="D129" s="143">
        <f ca="1" t="shared" si="10"/>
        <v>5460</v>
      </c>
      <c r="E129" s="143">
        <f ca="1" t="shared" si="11"/>
        <v>84000</v>
      </c>
      <c r="F129" s="143">
        <f ca="1" t="shared" si="12"/>
        <v>413</v>
      </c>
      <c r="G129" s="143">
        <f ca="1" t="shared" si="13"/>
        <v>0</v>
      </c>
      <c r="H129" s="143">
        <f ca="1" t="shared" si="14"/>
        <v>0</v>
      </c>
      <c r="I129" s="143">
        <f ca="1" t="shared" si="15"/>
        <v>46200</v>
      </c>
      <c r="J129" s="101">
        <f ca="1">OFFSET(梦灵养成!$Y$29,MATCH(D129,梦灵养成!$C$30:$C$629,1),0)</f>
        <v>14400</v>
      </c>
      <c r="K129" s="101">
        <f ca="1" t="shared" si="16"/>
        <v>5880</v>
      </c>
      <c r="L129" s="101">
        <f ca="1">OFFSET(洗练性价比!$N$52,MATCH(F129*60,洗练性价比!$C$53:$C$2052,1),0)</f>
        <v>4680</v>
      </c>
    </row>
    <row r="130" spans="2:12">
      <c r="B130" s="95">
        <v>85</v>
      </c>
      <c r="C130" s="101">
        <f t="shared" si="17"/>
        <v>0</v>
      </c>
      <c r="D130" s="143">
        <f ca="1" t="shared" si="10"/>
        <v>5520</v>
      </c>
      <c r="E130" s="143">
        <f ca="1" t="shared" si="11"/>
        <v>85000</v>
      </c>
      <c r="F130" s="143">
        <f ca="1" t="shared" si="12"/>
        <v>417</v>
      </c>
      <c r="G130" s="143">
        <f ca="1" t="shared" si="13"/>
        <v>0</v>
      </c>
      <c r="H130" s="143">
        <f ca="1" t="shared" si="14"/>
        <v>0</v>
      </c>
      <c r="I130" s="143">
        <f ca="1" t="shared" si="15"/>
        <v>46650</v>
      </c>
      <c r="J130" s="101">
        <f ca="1">OFFSET(梦灵养成!$Y$29,MATCH(D130,梦灵养成!$C$30:$C$629,1),0)</f>
        <v>12600</v>
      </c>
      <c r="K130" s="101">
        <f ca="1" t="shared" si="16"/>
        <v>5950</v>
      </c>
      <c r="L130" s="101">
        <f ca="1">OFFSET(洗练性价比!$N$52,MATCH(F130*60,洗练性价比!$C$53:$C$2052,1),0)</f>
        <v>4680</v>
      </c>
    </row>
    <row r="131" spans="2:12">
      <c r="B131" s="95">
        <v>86</v>
      </c>
      <c r="C131" s="101">
        <f t="shared" si="17"/>
        <v>0</v>
      </c>
      <c r="D131" s="143">
        <f ca="1" t="shared" si="10"/>
        <v>5580</v>
      </c>
      <c r="E131" s="143">
        <f ca="1" t="shared" si="11"/>
        <v>86000</v>
      </c>
      <c r="F131" s="143">
        <f ca="1" t="shared" si="12"/>
        <v>421</v>
      </c>
      <c r="G131" s="143">
        <f ca="1" t="shared" si="13"/>
        <v>0</v>
      </c>
      <c r="H131" s="143">
        <f ca="1" t="shared" si="14"/>
        <v>0</v>
      </c>
      <c r="I131" s="143">
        <f ca="1" t="shared" si="15"/>
        <v>47100</v>
      </c>
      <c r="J131" s="101">
        <f ca="1">OFFSET(梦灵养成!$Y$29,MATCH(D131,梦灵养成!$C$30:$C$629,1),0)</f>
        <v>12600</v>
      </c>
      <c r="K131" s="101">
        <f ca="1" t="shared" si="16"/>
        <v>6020</v>
      </c>
      <c r="L131" s="101">
        <f ca="1">OFFSET(洗练性价比!$N$52,MATCH(F131*60,洗练性价比!$C$53:$C$2052,1),0)</f>
        <v>4680</v>
      </c>
    </row>
    <row r="132" spans="2:12">
      <c r="B132" s="95">
        <v>87</v>
      </c>
      <c r="C132" s="101">
        <f t="shared" si="17"/>
        <v>0</v>
      </c>
      <c r="D132" s="143">
        <f ca="1" t="shared" si="10"/>
        <v>5640</v>
      </c>
      <c r="E132" s="143">
        <f ca="1" t="shared" si="11"/>
        <v>87000</v>
      </c>
      <c r="F132" s="143">
        <f ca="1" t="shared" si="12"/>
        <v>425</v>
      </c>
      <c r="G132" s="143">
        <f ca="1" t="shared" si="13"/>
        <v>0</v>
      </c>
      <c r="H132" s="143">
        <f ca="1" t="shared" si="14"/>
        <v>0</v>
      </c>
      <c r="I132" s="143">
        <f ca="1" t="shared" si="15"/>
        <v>47550</v>
      </c>
      <c r="J132" s="101">
        <f ca="1">OFFSET(梦灵养成!$Y$29,MATCH(D132,梦灵养成!$C$30:$C$629,1),0)</f>
        <v>10800</v>
      </c>
      <c r="K132" s="101">
        <f ca="1" t="shared" si="16"/>
        <v>6090</v>
      </c>
      <c r="L132" s="101">
        <f ca="1">OFFSET(洗练性价比!$N$52,MATCH(F132*60,洗练性价比!$C$53:$C$2052,1),0)</f>
        <v>4680</v>
      </c>
    </row>
    <row r="133" spans="2:12">
      <c r="B133" s="95">
        <v>88</v>
      </c>
      <c r="C133" s="101">
        <f t="shared" si="17"/>
        <v>0</v>
      </c>
      <c r="D133" s="143">
        <f ca="1" t="shared" si="10"/>
        <v>5700</v>
      </c>
      <c r="E133" s="143">
        <f ca="1" t="shared" si="11"/>
        <v>88000</v>
      </c>
      <c r="F133" s="143">
        <f ca="1" t="shared" si="12"/>
        <v>429</v>
      </c>
      <c r="G133" s="143">
        <f ca="1" t="shared" si="13"/>
        <v>0</v>
      </c>
      <c r="H133" s="143">
        <f ca="1" t="shared" si="14"/>
        <v>0</v>
      </c>
      <c r="I133" s="143">
        <f ca="1" t="shared" si="15"/>
        <v>48000</v>
      </c>
      <c r="J133" s="101">
        <f ca="1">OFFSET(梦灵养成!$Y$29,MATCH(D133,梦灵养成!$C$30:$C$629,1),0)</f>
        <v>9000</v>
      </c>
      <c r="K133" s="101">
        <f ca="1" t="shared" si="16"/>
        <v>6160</v>
      </c>
      <c r="L133" s="101">
        <f ca="1">OFFSET(洗练性价比!$N$52,MATCH(F133*60,洗练性价比!$C$53:$C$2052,1),0)</f>
        <v>4680</v>
      </c>
    </row>
    <row r="134" spans="2:12">
      <c r="B134" s="95">
        <v>89</v>
      </c>
      <c r="C134" s="101">
        <f t="shared" si="17"/>
        <v>0</v>
      </c>
      <c r="D134" s="143">
        <f ca="1" t="shared" si="10"/>
        <v>5760</v>
      </c>
      <c r="E134" s="143">
        <f ca="1" t="shared" si="11"/>
        <v>89000</v>
      </c>
      <c r="F134" s="143">
        <f ca="1" t="shared" si="12"/>
        <v>433</v>
      </c>
      <c r="G134" s="143">
        <f ca="1" t="shared" si="13"/>
        <v>0</v>
      </c>
      <c r="H134" s="143">
        <f ca="1" t="shared" si="14"/>
        <v>0</v>
      </c>
      <c r="I134" s="143">
        <f ca="1" t="shared" si="15"/>
        <v>48450</v>
      </c>
      <c r="J134" s="101">
        <f ca="1">OFFSET(梦灵养成!$Y$29,MATCH(D134,梦灵养成!$C$30:$C$629,1),0)</f>
        <v>9000</v>
      </c>
      <c r="K134" s="101">
        <f ca="1" t="shared" si="16"/>
        <v>6230</v>
      </c>
      <c r="L134" s="101">
        <f ca="1">OFFSET(洗练性价比!$N$52,MATCH(F134*60,洗练性价比!$C$53:$C$2052,1),0)</f>
        <v>4680</v>
      </c>
    </row>
    <row r="135" spans="2:12">
      <c r="B135" s="95">
        <v>90</v>
      </c>
      <c r="C135" s="101">
        <f t="shared" si="17"/>
        <v>0</v>
      </c>
      <c r="D135" s="143">
        <f ca="1" t="shared" si="10"/>
        <v>5820</v>
      </c>
      <c r="E135" s="143">
        <f ca="1" t="shared" si="11"/>
        <v>90000</v>
      </c>
      <c r="F135" s="143">
        <f ca="1" t="shared" si="12"/>
        <v>437</v>
      </c>
      <c r="G135" s="143">
        <f ca="1" t="shared" si="13"/>
        <v>0</v>
      </c>
      <c r="H135" s="143">
        <f ca="1" t="shared" si="14"/>
        <v>0</v>
      </c>
      <c r="I135" s="143">
        <f ca="1" t="shared" si="15"/>
        <v>48900</v>
      </c>
      <c r="J135" s="101">
        <f ca="1">OFFSET(梦灵养成!$Y$29,MATCH(D135,梦灵养成!$C$30:$C$629,1),0)</f>
        <v>7200</v>
      </c>
      <c r="K135" s="101">
        <f ca="1" t="shared" si="16"/>
        <v>6300</v>
      </c>
      <c r="L135" s="101">
        <f ca="1">OFFSET(洗练性价比!$N$52,MATCH(F135*60,洗练性价比!$C$53:$C$2052,1),0)</f>
        <v>4680</v>
      </c>
    </row>
    <row r="136" spans="2:12">
      <c r="B136" s="95">
        <v>91</v>
      </c>
      <c r="C136" s="101">
        <f t="shared" si="17"/>
        <v>0</v>
      </c>
      <c r="D136" s="143">
        <f ca="1" t="shared" si="10"/>
        <v>5880</v>
      </c>
      <c r="E136" s="143">
        <f ca="1" t="shared" si="11"/>
        <v>91000</v>
      </c>
      <c r="F136" s="143">
        <f ca="1" t="shared" si="12"/>
        <v>441</v>
      </c>
      <c r="G136" s="143">
        <f ca="1" t="shared" si="13"/>
        <v>0</v>
      </c>
      <c r="H136" s="143">
        <f ca="1" t="shared" si="14"/>
        <v>0</v>
      </c>
      <c r="I136" s="143">
        <f ca="1" t="shared" si="15"/>
        <v>49350</v>
      </c>
      <c r="J136" s="101">
        <f ca="1">OFFSET(梦灵养成!$Y$29,MATCH(D136,梦灵养成!$C$30:$C$629,1),0)</f>
        <v>7200</v>
      </c>
      <c r="K136" s="101">
        <f ca="1" t="shared" si="16"/>
        <v>6370</v>
      </c>
      <c r="L136" s="101">
        <f ca="1">OFFSET(洗练性价比!$N$52,MATCH(F136*60,洗练性价比!$C$53:$C$2052,1),0)</f>
        <v>4680</v>
      </c>
    </row>
    <row r="137" spans="2:12">
      <c r="B137" s="95">
        <v>92</v>
      </c>
      <c r="C137" s="101">
        <f t="shared" si="17"/>
        <v>0</v>
      </c>
      <c r="D137" s="143">
        <f ca="1" t="shared" si="10"/>
        <v>5940</v>
      </c>
      <c r="E137" s="143">
        <f ca="1" t="shared" si="11"/>
        <v>92000</v>
      </c>
      <c r="F137" s="143">
        <f ca="1" t="shared" si="12"/>
        <v>445</v>
      </c>
      <c r="G137" s="143">
        <f ca="1" t="shared" si="13"/>
        <v>0</v>
      </c>
      <c r="H137" s="143">
        <f ca="1" t="shared" si="14"/>
        <v>0</v>
      </c>
      <c r="I137" s="143">
        <f ca="1" t="shared" si="15"/>
        <v>49800</v>
      </c>
      <c r="J137" s="101">
        <f ca="1">OFFSET(梦灵养成!$Y$29,MATCH(D137,梦灵养成!$C$30:$C$629,1),0)</f>
        <v>5400</v>
      </c>
      <c r="K137" s="101">
        <f ca="1" t="shared" si="16"/>
        <v>6440</v>
      </c>
      <c r="L137" s="101">
        <f ca="1">OFFSET(洗练性价比!$N$52,MATCH(F137*60,洗练性价比!$C$53:$C$2052,1),0)</f>
        <v>4680</v>
      </c>
    </row>
    <row r="138" spans="2:12">
      <c r="B138" s="95">
        <v>93</v>
      </c>
      <c r="C138" s="101">
        <f t="shared" si="17"/>
        <v>0</v>
      </c>
      <c r="D138" s="143">
        <f ca="1" t="shared" si="10"/>
        <v>6000</v>
      </c>
      <c r="E138" s="143">
        <f ca="1" t="shared" si="11"/>
        <v>93000</v>
      </c>
      <c r="F138" s="143">
        <f ca="1" t="shared" si="12"/>
        <v>449</v>
      </c>
      <c r="G138" s="143">
        <f ca="1" t="shared" si="13"/>
        <v>0</v>
      </c>
      <c r="H138" s="143">
        <f ca="1" t="shared" si="14"/>
        <v>0</v>
      </c>
      <c r="I138" s="143">
        <f ca="1" t="shared" si="15"/>
        <v>50250</v>
      </c>
      <c r="J138" s="101">
        <f ca="1">OFFSET(梦灵养成!$Y$29,MATCH(D138,梦灵养成!$C$30:$C$629,1),0)</f>
        <v>3600</v>
      </c>
      <c r="K138" s="101">
        <f ca="1" t="shared" si="16"/>
        <v>6510</v>
      </c>
      <c r="L138" s="101">
        <f ca="1">OFFSET(洗练性价比!$N$52,MATCH(F138*60,洗练性价比!$C$53:$C$2052,1),0)</f>
        <v>4680</v>
      </c>
    </row>
    <row r="139" spans="2:12">
      <c r="B139" s="95">
        <v>94</v>
      </c>
      <c r="C139" s="101">
        <f t="shared" si="17"/>
        <v>0</v>
      </c>
      <c r="D139" s="143">
        <f ca="1" t="shared" si="10"/>
        <v>6060</v>
      </c>
      <c r="E139" s="143">
        <f ca="1" t="shared" si="11"/>
        <v>94000</v>
      </c>
      <c r="F139" s="143">
        <f ca="1" t="shared" si="12"/>
        <v>453</v>
      </c>
      <c r="G139" s="143">
        <f ca="1" t="shared" si="13"/>
        <v>0</v>
      </c>
      <c r="H139" s="143">
        <f ca="1" t="shared" si="14"/>
        <v>0</v>
      </c>
      <c r="I139" s="143">
        <f ca="1" t="shared" si="15"/>
        <v>50700</v>
      </c>
      <c r="J139" s="101">
        <f ca="1">OFFSET(梦灵养成!$Y$29,MATCH(D139,梦灵养成!$C$30:$C$629,1),0)</f>
        <v>3600</v>
      </c>
      <c r="K139" s="101">
        <f ca="1" t="shared" si="16"/>
        <v>6580</v>
      </c>
      <c r="L139" s="101">
        <f ca="1">OFFSET(洗练性价比!$N$52,MATCH(F139*60,洗练性价比!$C$53:$C$2052,1),0)</f>
        <v>4680</v>
      </c>
    </row>
    <row r="140" spans="2:12">
      <c r="B140" s="95">
        <v>95</v>
      </c>
      <c r="C140" s="101">
        <f t="shared" si="17"/>
        <v>0</v>
      </c>
      <c r="D140" s="143">
        <f ca="1" t="shared" si="10"/>
        <v>6120</v>
      </c>
      <c r="E140" s="143">
        <f ca="1" t="shared" si="11"/>
        <v>95000</v>
      </c>
      <c r="F140" s="143">
        <f ca="1" t="shared" si="12"/>
        <v>457</v>
      </c>
      <c r="G140" s="143">
        <f ca="1" t="shared" si="13"/>
        <v>0</v>
      </c>
      <c r="H140" s="143">
        <f ca="1" t="shared" si="14"/>
        <v>0</v>
      </c>
      <c r="I140" s="143">
        <f ca="1" t="shared" si="15"/>
        <v>51150</v>
      </c>
      <c r="J140" s="101">
        <f ca="1">OFFSET(梦灵养成!$Y$29,MATCH(D140,梦灵养成!$C$30:$C$629,1),0)</f>
        <v>1800</v>
      </c>
      <c r="K140" s="101">
        <f ca="1" t="shared" si="16"/>
        <v>6650</v>
      </c>
      <c r="L140" s="101">
        <f ca="1">OFFSET(洗练性价比!$N$52,MATCH(F140*60,洗练性价比!$C$53:$C$2052,1),0)</f>
        <v>4680</v>
      </c>
    </row>
    <row r="141" spans="2:12">
      <c r="B141" s="95">
        <v>96</v>
      </c>
      <c r="C141" s="101">
        <f t="shared" si="17"/>
        <v>0</v>
      </c>
      <c r="D141" s="143">
        <f ca="1" t="shared" si="10"/>
        <v>6180</v>
      </c>
      <c r="E141" s="143">
        <f ca="1" t="shared" si="11"/>
        <v>96000</v>
      </c>
      <c r="F141" s="143">
        <f ca="1" t="shared" si="12"/>
        <v>461</v>
      </c>
      <c r="G141" s="143">
        <f ca="1" t="shared" si="13"/>
        <v>0</v>
      </c>
      <c r="H141" s="143">
        <f ca="1" t="shared" si="14"/>
        <v>0</v>
      </c>
      <c r="I141" s="143">
        <f ca="1" t="shared" si="15"/>
        <v>51600</v>
      </c>
      <c r="J141" s="101">
        <f ca="1">OFFSET(梦灵养成!$Y$29,MATCH(D141,梦灵养成!$C$30:$C$629,1),0)</f>
        <v>1800</v>
      </c>
      <c r="K141" s="101">
        <f ca="1" t="shared" si="16"/>
        <v>6720</v>
      </c>
      <c r="L141" s="101">
        <f ca="1">OFFSET(洗练性价比!$N$52,MATCH(F141*60,洗练性价比!$C$53:$C$2052,1),0)</f>
        <v>4680</v>
      </c>
    </row>
    <row r="142" spans="2:12">
      <c r="B142" s="95">
        <v>97</v>
      </c>
      <c r="C142" s="101">
        <f t="shared" si="17"/>
        <v>0</v>
      </c>
      <c r="D142" s="143">
        <f ca="1" t="shared" si="10"/>
        <v>6240</v>
      </c>
      <c r="E142" s="143">
        <f ca="1" t="shared" si="11"/>
        <v>97000</v>
      </c>
      <c r="F142" s="143">
        <f ca="1" t="shared" si="12"/>
        <v>465</v>
      </c>
      <c r="G142" s="143">
        <f ca="1" t="shared" si="13"/>
        <v>0</v>
      </c>
      <c r="H142" s="143">
        <f ca="1" t="shared" si="14"/>
        <v>0</v>
      </c>
      <c r="I142" s="143">
        <f ca="1" t="shared" si="15"/>
        <v>52050</v>
      </c>
      <c r="J142" s="101">
        <f ca="1">OFFSET(梦灵养成!$Y$29,MATCH(D142,梦灵养成!$C$30:$C$629,1),0)</f>
        <v>10800</v>
      </c>
      <c r="K142" s="101">
        <f ca="1" t="shared" si="16"/>
        <v>6790</v>
      </c>
      <c r="L142" s="101">
        <f ca="1">OFFSET(洗练性价比!$N$52,MATCH(F142*60,洗练性价比!$C$53:$C$2052,1),0)</f>
        <v>4680</v>
      </c>
    </row>
    <row r="143" spans="2:12">
      <c r="B143" s="95">
        <v>98</v>
      </c>
      <c r="C143" s="101">
        <f t="shared" si="17"/>
        <v>0</v>
      </c>
      <c r="D143" s="143">
        <f ca="1" t="shared" si="10"/>
        <v>6300</v>
      </c>
      <c r="E143" s="143">
        <f ca="1" t="shared" si="11"/>
        <v>98000</v>
      </c>
      <c r="F143" s="143">
        <f ca="1" t="shared" si="12"/>
        <v>469</v>
      </c>
      <c r="G143" s="143">
        <f ca="1" t="shared" si="13"/>
        <v>0</v>
      </c>
      <c r="H143" s="143">
        <f ca="1" t="shared" si="14"/>
        <v>0</v>
      </c>
      <c r="I143" s="143">
        <f ca="1" t="shared" si="15"/>
        <v>52500</v>
      </c>
      <c r="J143" s="101">
        <f ca="1">OFFSET(梦灵养成!$Y$29,MATCH(D143,梦灵养成!$C$30:$C$629,1),0)</f>
        <v>9000</v>
      </c>
      <c r="K143" s="101">
        <f ca="1" t="shared" si="16"/>
        <v>6860</v>
      </c>
      <c r="L143" s="101">
        <f ca="1">OFFSET(洗练性价比!$N$52,MATCH(F143*60,洗练性价比!$C$53:$C$2052,1),0)</f>
        <v>4680</v>
      </c>
    </row>
    <row r="144" spans="2:12">
      <c r="B144" s="95">
        <v>99</v>
      </c>
      <c r="C144" s="101">
        <f t="shared" si="17"/>
        <v>0</v>
      </c>
      <c r="D144" s="143">
        <f ca="1" t="shared" si="10"/>
        <v>6360</v>
      </c>
      <c r="E144" s="143">
        <f ca="1" t="shared" si="11"/>
        <v>99000</v>
      </c>
      <c r="F144" s="143">
        <f ca="1" t="shared" si="12"/>
        <v>473</v>
      </c>
      <c r="G144" s="143">
        <f ca="1" t="shared" si="13"/>
        <v>0</v>
      </c>
      <c r="H144" s="143">
        <f ca="1" t="shared" si="14"/>
        <v>0</v>
      </c>
      <c r="I144" s="143">
        <f ca="1" t="shared" si="15"/>
        <v>52950</v>
      </c>
      <c r="J144" s="101">
        <f ca="1">OFFSET(梦灵养成!$Y$29,MATCH(D144,梦灵养成!$C$30:$C$629,1),0)</f>
        <v>9000</v>
      </c>
      <c r="K144" s="101">
        <f ca="1" t="shared" si="16"/>
        <v>6930</v>
      </c>
      <c r="L144" s="101">
        <f ca="1">OFFSET(洗练性价比!$N$52,MATCH(F144*60,洗练性价比!$C$53:$C$2052,1),0)</f>
        <v>4680</v>
      </c>
    </row>
    <row r="145" spans="2:12">
      <c r="B145" s="95">
        <v>100</v>
      </c>
      <c r="C145" s="101">
        <f t="shared" si="17"/>
        <v>0</v>
      </c>
      <c r="D145" s="143">
        <f ca="1" t="shared" si="10"/>
        <v>6420</v>
      </c>
      <c r="E145" s="143">
        <f ca="1" t="shared" si="11"/>
        <v>100000</v>
      </c>
      <c r="F145" s="143">
        <f ca="1" t="shared" si="12"/>
        <v>477</v>
      </c>
      <c r="G145" s="143">
        <f ca="1" t="shared" si="13"/>
        <v>0</v>
      </c>
      <c r="H145" s="143">
        <f ca="1" t="shared" si="14"/>
        <v>0</v>
      </c>
      <c r="I145" s="143">
        <f ca="1" t="shared" si="15"/>
        <v>53400</v>
      </c>
      <c r="J145" s="101">
        <f ca="1">OFFSET(梦灵养成!$Y$29,MATCH(D145,梦灵养成!$C$30:$C$629,1),0)</f>
        <v>7200</v>
      </c>
      <c r="K145" s="101">
        <f ca="1" t="shared" si="16"/>
        <v>7000</v>
      </c>
      <c r="L145" s="101">
        <f ca="1">OFFSET(洗练性价比!$N$52,MATCH(F145*60,洗练性价比!$C$53:$C$2052,1),0)</f>
        <v>4680</v>
      </c>
    </row>
    <row r="146" spans="2:12">
      <c r="B146" s="95">
        <v>101</v>
      </c>
      <c r="C146" s="101">
        <f t="shared" si="17"/>
        <v>0</v>
      </c>
      <c r="D146" s="143">
        <f ca="1" t="shared" si="10"/>
        <v>6480</v>
      </c>
      <c r="E146" s="143">
        <f ca="1" t="shared" si="11"/>
        <v>101000</v>
      </c>
      <c r="F146" s="143">
        <f ca="1" t="shared" si="12"/>
        <v>481</v>
      </c>
      <c r="G146" s="143">
        <f ca="1" t="shared" si="13"/>
        <v>0</v>
      </c>
      <c r="H146" s="143">
        <f ca="1" t="shared" si="14"/>
        <v>0</v>
      </c>
      <c r="I146" s="143">
        <f ca="1" t="shared" si="15"/>
        <v>53850</v>
      </c>
      <c r="J146" s="101">
        <f ca="1">OFFSET(梦灵养成!$Y$29,MATCH(D146,梦灵养成!$C$30:$C$629,1),0)</f>
        <v>7200</v>
      </c>
      <c r="K146" s="101">
        <f ca="1" t="shared" si="16"/>
        <v>7070</v>
      </c>
      <c r="L146" s="101">
        <f ca="1">OFFSET(洗练性价比!$N$52,MATCH(F146*60,洗练性价比!$C$53:$C$2052,1),0)</f>
        <v>4680</v>
      </c>
    </row>
    <row r="147" spans="2:12">
      <c r="B147" s="95">
        <v>102</v>
      </c>
      <c r="C147" s="101">
        <f t="shared" si="17"/>
        <v>0</v>
      </c>
      <c r="D147" s="143">
        <f ca="1" t="shared" si="10"/>
        <v>6540</v>
      </c>
      <c r="E147" s="143">
        <f ca="1" t="shared" si="11"/>
        <v>102000</v>
      </c>
      <c r="F147" s="143">
        <f ca="1" t="shared" si="12"/>
        <v>485</v>
      </c>
      <c r="G147" s="143">
        <f ca="1" t="shared" si="13"/>
        <v>0</v>
      </c>
      <c r="H147" s="143">
        <f ca="1" t="shared" si="14"/>
        <v>0</v>
      </c>
      <c r="I147" s="143">
        <f ca="1" t="shared" si="15"/>
        <v>54300</v>
      </c>
      <c r="J147" s="101">
        <f ca="1">OFFSET(梦灵养成!$Y$29,MATCH(D147,梦灵养成!$C$30:$C$629,1),0)</f>
        <v>21600</v>
      </c>
      <c r="K147" s="101">
        <f ca="1" t="shared" si="16"/>
        <v>7140</v>
      </c>
      <c r="L147" s="101">
        <f ca="1">OFFSET(洗练性价比!$N$52,MATCH(F147*60,洗练性价比!$C$53:$C$2052,1),0)</f>
        <v>4680</v>
      </c>
    </row>
    <row r="148" spans="2:12">
      <c r="B148" s="95">
        <v>103</v>
      </c>
      <c r="C148" s="101">
        <f t="shared" si="17"/>
        <v>0</v>
      </c>
      <c r="D148" s="143">
        <f ca="1" t="shared" si="10"/>
        <v>6600</v>
      </c>
      <c r="E148" s="143">
        <f ca="1" t="shared" si="11"/>
        <v>103000</v>
      </c>
      <c r="F148" s="143">
        <f ca="1" t="shared" si="12"/>
        <v>489</v>
      </c>
      <c r="G148" s="143">
        <f ca="1" t="shared" si="13"/>
        <v>0</v>
      </c>
      <c r="H148" s="143">
        <f ca="1" t="shared" si="14"/>
        <v>0</v>
      </c>
      <c r="I148" s="143">
        <f ca="1" t="shared" si="15"/>
        <v>54750</v>
      </c>
      <c r="J148" s="101">
        <f ca="1">OFFSET(梦灵养成!$Y$29,MATCH(D148,梦灵养成!$C$30:$C$629,1),0)</f>
        <v>19800</v>
      </c>
      <c r="K148" s="101">
        <f ca="1" t="shared" si="16"/>
        <v>7210</v>
      </c>
      <c r="L148" s="101">
        <f ca="1">OFFSET(洗练性价比!$N$52,MATCH(F148*60,洗练性价比!$C$53:$C$2052,1),0)</f>
        <v>4680</v>
      </c>
    </row>
    <row r="149" spans="2:12">
      <c r="B149" s="95">
        <v>104</v>
      </c>
      <c r="C149" s="101">
        <f t="shared" si="17"/>
        <v>0</v>
      </c>
      <c r="D149" s="143">
        <f ca="1" t="shared" si="10"/>
        <v>6660</v>
      </c>
      <c r="E149" s="143">
        <f ca="1" t="shared" si="11"/>
        <v>104000</v>
      </c>
      <c r="F149" s="143">
        <f ca="1" t="shared" si="12"/>
        <v>493</v>
      </c>
      <c r="G149" s="143">
        <f ca="1" t="shared" si="13"/>
        <v>0</v>
      </c>
      <c r="H149" s="143">
        <f ca="1" t="shared" si="14"/>
        <v>0</v>
      </c>
      <c r="I149" s="143">
        <f ca="1" t="shared" si="15"/>
        <v>55200</v>
      </c>
      <c r="J149" s="101">
        <f ca="1">OFFSET(梦灵养成!$Y$29,MATCH(D149,梦灵养成!$C$30:$C$629,1),0)</f>
        <v>19800</v>
      </c>
      <c r="K149" s="101">
        <f ca="1" t="shared" si="16"/>
        <v>7280</v>
      </c>
      <c r="L149" s="101">
        <f ca="1">OFFSET(洗练性价比!$N$52,MATCH(F149*60,洗练性价比!$C$53:$C$2052,1),0)</f>
        <v>4680</v>
      </c>
    </row>
    <row r="150" spans="2:12">
      <c r="B150" s="95">
        <v>105</v>
      </c>
      <c r="C150" s="101">
        <f t="shared" si="17"/>
        <v>0</v>
      </c>
      <c r="D150" s="143">
        <f ca="1" t="shared" si="10"/>
        <v>6720</v>
      </c>
      <c r="E150" s="143">
        <f ca="1" t="shared" si="11"/>
        <v>105000</v>
      </c>
      <c r="F150" s="143">
        <f ca="1" t="shared" si="12"/>
        <v>497</v>
      </c>
      <c r="G150" s="143">
        <f ca="1" t="shared" si="13"/>
        <v>0</v>
      </c>
      <c r="H150" s="143">
        <f ca="1" t="shared" si="14"/>
        <v>0</v>
      </c>
      <c r="I150" s="143">
        <f ca="1" t="shared" si="15"/>
        <v>55650</v>
      </c>
      <c r="J150" s="101">
        <f ca="1">OFFSET(梦灵养成!$Y$29,MATCH(D150,梦灵养成!$C$30:$C$629,1),0)</f>
        <v>18000</v>
      </c>
      <c r="K150" s="101">
        <f ca="1" t="shared" si="16"/>
        <v>7350</v>
      </c>
      <c r="L150" s="101">
        <f ca="1">OFFSET(洗练性价比!$N$52,MATCH(F150*60,洗练性价比!$C$53:$C$2052,1),0)</f>
        <v>4680</v>
      </c>
    </row>
    <row r="151" spans="2:12">
      <c r="B151" s="95">
        <v>106</v>
      </c>
      <c r="C151" s="101">
        <f t="shared" si="17"/>
        <v>0</v>
      </c>
      <c r="D151" s="143">
        <f ca="1" t="shared" si="10"/>
        <v>6780</v>
      </c>
      <c r="E151" s="143">
        <f ca="1" t="shared" si="11"/>
        <v>106000</v>
      </c>
      <c r="F151" s="143">
        <f ca="1" t="shared" si="12"/>
        <v>501</v>
      </c>
      <c r="G151" s="143">
        <f ca="1" t="shared" si="13"/>
        <v>0</v>
      </c>
      <c r="H151" s="143">
        <f ca="1" t="shared" si="14"/>
        <v>0</v>
      </c>
      <c r="I151" s="143">
        <f ca="1" t="shared" si="15"/>
        <v>56100</v>
      </c>
      <c r="J151" s="101">
        <f ca="1">OFFSET(梦灵养成!$Y$29,MATCH(D151,梦灵养成!$C$30:$C$629,1),0)</f>
        <v>18000</v>
      </c>
      <c r="K151" s="101">
        <f ca="1" t="shared" si="16"/>
        <v>7420</v>
      </c>
      <c r="L151" s="101">
        <f ca="1">OFFSET(洗练性价比!$N$52,MATCH(F151*60,洗练性价比!$C$53:$C$2052,1),0)</f>
        <v>4680</v>
      </c>
    </row>
    <row r="152" spans="2:12">
      <c r="B152" s="95">
        <v>107</v>
      </c>
      <c r="C152" s="101">
        <f t="shared" si="17"/>
        <v>0</v>
      </c>
      <c r="D152" s="143">
        <f ca="1" t="shared" si="10"/>
        <v>6840</v>
      </c>
      <c r="E152" s="143">
        <f ca="1" t="shared" si="11"/>
        <v>107000</v>
      </c>
      <c r="F152" s="143">
        <f ca="1" t="shared" si="12"/>
        <v>505</v>
      </c>
      <c r="G152" s="143">
        <f ca="1" t="shared" si="13"/>
        <v>0</v>
      </c>
      <c r="H152" s="143">
        <f ca="1" t="shared" si="14"/>
        <v>0</v>
      </c>
      <c r="I152" s="143">
        <f ca="1" t="shared" si="15"/>
        <v>56550</v>
      </c>
      <c r="J152" s="101">
        <f ca="1">OFFSET(梦灵养成!$Y$29,MATCH(D152,梦灵养成!$C$30:$C$629,1),0)</f>
        <v>19800</v>
      </c>
      <c r="K152" s="101">
        <f ca="1" t="shared" si="16"/>
        <v>7490</v>
      </c>
      <c r="L152" s="101">
        <f ca="1">OFFSET(洗练性价比!$N$52,MATCH(F152*60,洗练性价比!$C$53:$C$2052,1),0)</f>
        <v>4680</v>
      </c>
    </row>
    <row r="153" spans="2:12">
      <c r="B153" s="95">
        <v>108</v>
      </c>
      <c r="C153" s="101">
        <f t="shared" si="17"/>
        <v>0</v>
      </c>
      <c r="D153" s="143">
        <f ca="1" t="shared" si="10"/>
        <v>6900</v>
      </c>
      <c r="E153" s="143">
        <f ca="1" t="shared" si="11"/>
        <v>108000</v>
      </c>
      <c r="F153" s="143">
        <f ca="1" t="shared" si="12"/>
        <v>509</v>
      </c>
      <c r="G153" s="143">
        <f ca="1" t="shared" si="13"/>
        <v>0</v>
      </c>
      <c r="H153" s="143">
        <f ca="1" t="shared" si="14"/>
        <v>0</v>
      </c>
      <c r="I153" s="143">
        <f ca="1" t="shared" si="15"/>
        <v>57000</v>
      </c>
      <c r="J153" s="101">
        <f ca="1">OFFSET(梦灵养成!$Y$29,MATCH(D153,梦灵养成!$C$30:$C$629,1),0)</f>
        <v>18000</v>
      </c>
      <c r="K153" s="101">
        <f ca="1" t="shared" si="16"/>
        <v>7560</v>
      </c>
      <c r="L153" s="101">
        <f ca="1">OFFSET(洗练性价比!$N$52,MATCH(F153*60,洗练性价比!$C$53:$C$2052,1),0)</f>
        <v>4680</v>
      </c>
    </row>
    <row r="154" spans="2:12">
      <c r="B154" s="95">
        <v>109</v>
      </c>
      <c r="C154" s="101">
        <f t="shared" si="17"/>
        <v>0</v>
      </c>
      <c r="D154" s="143">
        <f ca="1" t="shared" si="10"/>
        <v>6960</v>
      </c>
      <c r="E154" s="143">
        <f ca="1" t="shared" si="11"/>
        <v>109000</v>
      </c>
      <c r="F154" s="143">
        <f ca="1" t="shared" si="12"/>
        <v>513</v>
      </c>
      <c r="G154" s="143">
        <f ca="1" t="shared" si="13"/>
        <v>0</v>
      </c>
      <c r="H154" s="143">
        <f ca="1" t="shared" si="14"/>
        <v>0</v>
      </c>
      <c r="I154" s="143">
        <f ca="1" t="shared" si="15"/>
        <v>57450</v>
      </c>
      <c r="J154" s="101">
        <f ca="1">OFFSET(梦灵养成!$Y$29,MATCH(D154,梦灵养成!$C$30:$C$629,1),0)</f>
        <v>18000</v>
      </c>
      <c r="K154" s="101">
        <f ca="1" t="shared" si="16"/>
        <v>7630</v>
      </c>
      <c r="L154" s="101">
        <f ca="1">OFFSET(洗练性价比!$N$52,MATCH(F154*60,洗练性价比!$C$53:$C$2052,1),0)</f>
        <v>4680</v>
      </c>
    </row>
    <row r="155" spans="2:12">
      <c r="B155" s="95">
        <v>110</v>
      </c>
      <c r="C155" s="101">
        <f t="shared" si="17"/>
        <v>0</v>
      </c>
      <c r="D155" s="143">
        <f ca="1" t="shared" si="10"/>
        <v>7020</v>
      </c>
      <c r="E155" s="143">
        <f ca="1" t="shared" si="11"/>
        <v>110000</v>
      </c>
      <c r="F155" s="143">
        <f ca="1" t="shared" si="12"/>
        <v>517</v>
      </c>
      <c r="G155" s="143">
        <f ca="1" t="shared" si="13"/>
        <v>0</v>
      </c>
      <c r="H155" s="143">
        <f ca="1" t="shared" si="14"/>
        <v>0</v>
      </c>
      <c r="I155" s="143">
        <f ca="1" t="shared" si="15"/>
        <v>57900</v>
      </c>
      <c r="J155" s="101">
        <f ca="1">OFFSET(梦灵养成!$Y$29,MATCH(D155,梦灵养成!$C$30:$C$629,1),0)</f>
        <v>16200</v>
      </c>
      <c r="K155" s="101">
        <f ca="1" t="shared" si="16"/>
        <v>7700</v>
      </c>
      <c r="L155" s="101">
        <f ca="1">OFFSET(洗练性价比!$N$52,MATCH(F155*60,洗练性价比!$C$53:$C$2052,1),0)</f>
        <v>4680</v>
      </c>
    </row>
    <row r="156" spans="2:12">
      <c r="B156" s="95">
        <v>111</v>
      </c>
      <c r="C156" s="101">
        <f t="shared" si="17"/>
        <v>0</v>
      </c>
      <c r="D156" s="143">
        <f ca="1" t="shared" si="10"/>
        <v>7080</v>
      </c>
      <c r="E156" s="143">
        <f ca="1" t="shared" si="11"/>
        <v>111000</v>
      </c>
      <c r="F156" s="143">
        <f ca="1" t="shared" si="12"/>
        <v>521</v>
      </c>
      <c r="G156" s="143">
        <f ca="1" t="shared" si="13"/>
        <v>0</v>
      </c>
      <c r="H156" s="143">
        <f ca="1" t="shared" si="14"/>
        <v>0</v>
      </c>
      <c r="I156" s="143">
        <f ca="1" t="shared" si="15"/>
        <v>58350</v>
      </c>
      <c r="J156" s="101">
        <f ca="1">OFFSET(梦灵养成!$Y$29,MATCH(D156,梦灵养成!$C$30:$C$629,1),0)</f>
        <v>16200</v>
      </c>
      <c r="K156" s="101">
        <f ca="1" t="shared" si="16"/>
        <v>7770</v>
      </c>
      <c r="L156" s="101">
        <f ca="1">OFFSET(洗练性价比!$N$52,MATCH(F156*60,洗练性价比!$C$53:$C$2052,1),0)</f>
        <v>4680</v>
      </c>
    </row>
    <row r="157" spans="2:12">
      <c r="B157" s="95">
        <v>112</v>
      </c>
      <c r="C157" s="101">
        <f t="shared" si="17"/>
        <v>0</v>
      </c>
      <c r="D157" s="143">
        <f ca="1" t="shared" si="10"/>
        <v>7140</v>
      </c>
      <c r="E157" s="143">
        <f ca="1" t="shared" si="11"/>
        <v>112000</v>
      </c>
      <c r="F157" s="143">
        <f ca="1" t="shared" si="12"/>
        <v>525</v>
      </c>
      <c r="G157" s="143">
        <f ca="1" t="shared" si="13"/>
        <v>0</v>
      </c>
      <c r="H157" s="143">
        <f ca="1" t="shared" si="14"/>
        <v>0</v>
      </c>
      <c r="I157" s="143">
        <f ca="1" t="shared" si="15"/>
        <v>58800</v>
      </c>
      <c r="J157" s="101">
        <f ca="1">OFFSET(梦灵养成!$Y$29,MATCH(D157,梦灵养成!$C$30:$C$629,1),0)</f>
        <v>14400</v>
      </c>
      <c r="K157" s="101">
        <f ca="1" t="shared" si="16"/>
        <v>7840</v>
      </c>
      <c r="L157" s="101">
        <f ca="1">OFFSET(洗练性价比!$N$52,MATCH(F157*60,洗练性价比!$C$53:$C$2052,1),0)</f>
        <v>4680</v>
      </c>
    </row>
    <row r="158" spans="2:12">
      <c r="B158" s="95">
        <v>113</v>
      </c>
      <c r="C158" s="101">
        <f t="shared" si="17"/>
        <v>0</v>
      </c>
      <c r="D158" s="143">
        <f ca="1" t="shared" si="10"/>
        <v>7200</v>
      </c>
      <c r="E158" s="143">
        <f ca="1" t="shared" si="11"/>
        <v>113000</v>
      </c>
      <c r="F158" s="143">
        <f ca="1" t="shared" si="12"/>
        <v>529</v>
      </c>
      <c r="G158" s="143">
        <f ca="1" t="shared" si="13"/>
        <v>0</v>
      </c>
      <c r="H158" s="143">
        <f ca="1" t="shared" si="14"/>
        <v>0</v>
      </c>
      <c r="I158" s="143">
        <f ca="1" t="shared" si="15"/>
        <v>59250</v>
      </c>
      <c r="J158" s="101">
        <f ca="1">OFFSET(梦灵养成!$Y$29,MATCH(D158,梦灵养成!$C$30:$C$629,1),0)</f>
        <v>12600</v>
      </c>
      <c r="K158" s="101">
        <f ca="1" t="shared" si="16"/>
        <v>7910</v>
      </c>
      <c r="L158" s="101">
        <f ca="1">OFFSET(洗练性价比!$N$52,MATCH(F158*60,洗练性价比!$C$53:$C$2052,1),0)</f>
        <v>4680</v>
      </c>
    </row>
    <row r="159" spans="2:12">
      <c r="B159" s="95">
        <v>114</v>
      </c>
      <c r="C159" s="101">
        <f t="shared" si="17"/>
        <v>0</v>
      </c>
      <c r="D159" s="143">
        <f ca="1" t="shared" si="10"/>
        <v>7260</v>
      </c>
      <c r="E159" s="143">
        <f ca="1" t="shared" si="11"/>
        <v>114000</v>
      </c>
      <c r="F159" s="143">
        <f ca="1" t="shared" si="12"/>
        <v>533</v>
      </c>
      <c r="G159" s="143">
        <f ca="1" t="shared" si="13"/>
        <v>0</v>
      </c>
      <c r="H159" s="143">
        <f ca="1" t="shared" si="14"/>
        <v>0</v>
      </c>
      <c r="I159" s="143">
        <f ca="1" t="shared" si="15"/>
        <v>59700</v>
      </c>
      <c r="J159" s="101">
        <f ca="1">OFFSET(梦灵养成!$Y$29,MATCH(D159,梦灵养成!$C$30:$C$629,1),0)</f>
        <v>12600</v>
      </c>
      <c r="K159" s="101">
        <f ca="1" t="shared" si="16"/>
        <v>7980</v>
      </c>
      <c r="L159" s="101">
        <f ca="1">OFFSET(洗练性价比!$N$52,MATCH(F159*60,洗练性价比!$C$53:$C$2052,1),0)</f>
        <v>4680</v>
      </c>
    </row>
    <row r="160" spans="2:12">
      <c r="B160" s="95">
        <v>115</v>
      </c>
      <c r="C160" s="101">
        <f t="shared" si="17"/>
        <v>0</v>
      </c>
      <c r="D160" s="143">
        <f ca="1" t="shared" si="10"/>
        <v>7320</v>
      </c>
      <c r="E160" s="143">
        <f ca="1" t="shared" si="11"/>
        <v>115000</v>
      </c>
      <c r="F160" s="143">
        <f ca="1" t="shared" si="12"/>
        <v>537</v>
      </c>
      <c r="G160" s="143">
        <f ca="1" t="shared" si="13"/>
        <v>0</v>
      </c>
      <c r="H160" s="143">
        <f ca="1" t="shared" si="14"/>
        <v>0</v>
      </c>
      <c r="I160" s="143">
        <f ca="1" t="shared" si="15"/>
        <v>60150</v>
      </c>
      <c r="J160" s="101">
        <f ca="1">OFFSET(梦灵养成!$Y$29,MATCH(D160,梦灵养成!$C$30:$C$629,1),0)</f>
        <v>10800</v>
      </c>
      <c r="K160" s="101">
        <f ca="1" t="shared" si="16"/>
        <v>8050</v>
      </c>
      <c r="L160" s="101">
        <f ca="1">OFFSET(洗练性价比!$N$52,MATCH(F160*60,洗练性价比!$C$53:$C$2052,1),0)</f>
        <v>4680</v>
      </c>
    </row>
    <row r="161" spans="2:12">
      <c r="B161" s="95">
        <v>116</v>
      </c>
      <c r="C161" s="101">
        <f t="shared" si="17"/>
        <v>0</v>
      </c>
      <c r="D161" s="143">
        <f ca="1" t="shared" si="10"/>
        <v>7380</v>
      </c>
      <c r="E161" s="143">
        <f ca="1" t="shared" si="11"/>
        <v>116000</v>
      </c>
      <c r="F161" s="143">
        <f ca="1" t="shared" si="12"/>
        <v>541</v>
      </c>
      <c r="G161" s="143">
        <f ca="1" t="shared" si="13"/>
        <v>0</v>
      </c>
      <c r="H161" s="143">
        <f ca="1" t="shared" si="14"/>
        <v>0</v>
      </c>
      <c r="I161" s="143">
        <f ca="1" t="shared" si="15"/>
        <v>60600</v>
      </c>
      <c r="J161" s="101">
        <f ca="1">OFFSET(梦灵养成!$Y$29,MATCH(D161,梦灵养成!$C$30:$C$629,1),0)</f>
        <v>10800</v>
      </c>
      <c r="K161" s="101">
        <f ca="1" t="shared" si="16"/>
        <v>8120</v>
      </c>
      <c r="L161" s="101">
        <f ca="1">OFFSET(洗练性价比!$N$52,MATCH(F161*60,洗练性价比!$C$53:$C$2052,1),0)</f>
        <v>4680</v>
      </c>
    </row>
    <row r="162" spans="2:12">
      <c r="B162" s="95">
        <v>117</v>
      </c>
      <c r="C162" s="101">
        <f t="shared" si="17"/>
        <v>0</v>
      </c>
      <c r="D162" s="143">
        <f ca="1" t="shared" si="10"/>
        <v>7440</v>
      </c>
      <c r="E162" s="143">
        <f ca="1" t="shared" si="11"/>
        <v>117000</v>
      </c>
      <c r="F162" s="143">
        <f ca="1" t="shared" si="12"/>
        <v>545</v>
      </c>
      <c r="G162" s="143">
        <f ca="1" t="shared" si="13"/>
        <v>0</v>
      </c>
      <c r="H162" s="143">
        <f ca="1" t="shared" si="14"/>
        <v>0</v>
      </c>
      <c r="I162" s="143">
        <f ca="1" t="shared" si="15"/>
        <v>61050</v>
      </c>
      <c r="J162" s="101">
        <f ca="1">OFFSET(梦灵养成!$Y$29,MATCH(D162,梦灵养成!$C$30:$C$629,1),0)</f>
        <v>9000</v>
      </c>
      <c r="K162" s="101">
        <f ca="1" t="shared" si="16"/>
        <v>8190</v>
      </c>
      <c r="L162" s="101">
        <f ca="1">OFFSET(洗练性价比!$N$52,MATCH(F162*60,洗练性价比!$C$53:$C$2052,1),0)</f>
        <v>4680</v>
      </c>
    </row>
    <row r="163" spans="2:12">
      <c r="B163" s="95">
        <v>118</v>
      </c>
      <c r="C163" s="101">
        <f t="shared" si="17"/>
        <v>0</v>
      </c>
      <c r="D163" s="143">
        <f ca="1" t="shared" si="10"/>
        <v>7500</v>
      </c>
      <c r="E163" s="143">
        <f ca="1" t="shared" si="11"/>
        <v>118000</v>
      </c>
      <c r="F163" s="143">
        <f ca="1" t="shared" si="12"/>
        <v>549</v>
      </c>
      <c r="G163" s="143">
        <f ca="1" t="shared" si="13"/>
        <v>0</v>
      </c>
      <c r="H163" s="143">
        <f ca="1" t="shared" si="14"/>
        <v>0</v>
      </c>
      <c r="I163" s="143">
        <f ca="1" t="shared" si="15"/>
        <v>61500</v>
      </c>
      <c r="J163" s="101">
        <f ca="1">OFFSET(梦灵养成!$Y$29,MATCH(D163,梦灵养成!$C$30:$C$629,1),0)</f>
        <v>7200</v>
      </c>
      <c r="K163" s="101">
        <f ca="1" t="shared" si="16"/>
        <v>8260</v>
      </c>
      <c r="L163" s="101">
        <f ca="1">OFFSET(洗练性价比!$N$52,MATCH(F163*60,洗练性价比!$C$53:$C$2052,1),0)</f>
        <v>4680</v>
      </c>
    </row>
    <row r="164" spans="2:12">
      <c r="B164" s="95">
        <v>119</v>
      </c>
      <c r="C164" s="101">
        <f t="shared" si="17"/>
        <v>0</v>
      </c>
      <c r="D164" s="143">
        <f ca="1" t="shared" si="10"/>
        <v>7560</v>
      </c>
      <c r="E164" s="143">
        <f ca="1" t="shared" si="11"/>
        <v>119000</v>
      </c>
      <c r="F164" s="143">
        <f ca="1" t="shared" si="12"/>
        <v>553</v>
      </c>
      <c r="G164" s="143">
        <f ca="1" t="shared" si="13"/>
        <v>0</v>
      </c>
      <c r="H164" s="143">
        <f ca="1" t="shared" si="14"/>
        <v>0</v>
      </c>
      <c r="I164" s="143">
        <f ca="1" t="shared" si="15"/>
        <v>61950</v>
      </c>
      <c r="J164" s="101">
        <f ca="1">OFFSET(梦灵养成!$Y$29,MATCH(D164,梦灵养成!$C$30:$C$629,1),0)</f>
        <v>7200</v>
      </c>
      <c r="K164" s="101">
        <f ca="1" t="shared" si="16"/>
        <v>8330</v>
      </c>
      <c r="L164" s="101">
        <f ca="1">OFFSET(洗练性价比!$N$52,MATCH(F164*60,洗练性价比!$C$53:$C$2052,1),0)</f>
        <v>4680</v>
      </c>
    </row>
    <row r="165" spans="2:12">
      <c r="B165" s="95">
        <v>120</v>
      </c>
      <c r="C165" s="101">
        <f t="shared" si="17"/>
        <v>0</v>
      </c>
      <c r="D165" s="143">
        <f ca="1" t="shared" si="10"/>
        <v>7620</v>
      </c>
      <c r="E165" s="143">
        <f ca="1" t="shared" si="11"/>
        <v>120000</v>
      </c>
      <c r="F165" s="143">
        <f ca="1" t="shared" si="12"/>
        <v>557</v>
      </c>
      <c r="G165" s="143">
        <f ca="1" t="shared" si="13"/>
        <v>0</v>
      </c>
      <c r="H165" s="143">
        <f ca="1" t="shared" si="14"/>
        <v>0</v>
      </c>
      <c r="I165" s="143">
        <f ca="1" t="shared" si="15"/>
        <v>62400</v>
      </c>
      <c r="J165" s="101">
        <f ca="1">OFFSET(梦灵养成!$Y$29,MATCH(D165,梦灵养成!$C$30:$C$629,1),0)</f>
        <v>5400</v>
      </c>
      <c r="K165" s="101">
        <f ca="1" t="shared" si="16"/>
        <v>8400</v>
      </c>
      <c r="L165" s="101">
        <f ca="1">OFFSET(洗练性价比!$N$52,MATCH(F165*60,洗练性价比!$C$53:$C$2052,1),0)</f>
        <v>4680</v>
      </c>
    </row>
    <row r="166" spans="2:12">
      <c r="B166" s="95">
        <v>121</v>
      </c>
      <c r="C166" s="101">
        <f t="shared" si="17"/>
        <v>0</v>
      </c>
      <c r="D166" s="143">
        <f ca="1" t="shared" si="10"/>
        <v>7680</v>
      </c>
      <c r="E166" s="143">
        <f ca="1" t="shared" si="11"/>
        <v>121000</v>
      </c>
      <c r="F166" s="143">
        <f ca="1" t="shared" si="12"/>
        <v>561</v>
      </c>
      <c r="G166" s="143">
        <f ca="1" t="shared" si="13"/>
        <v>0</v>
      </c>
      <c r="H166" s="143">
        <f ca="1" t="shared" si="14"/>
        <v>0</v>
      </c>
      <c r="I166" s="143">
        <f ca="1" t="shared" si="15"/>
        <v>62850</v>
      </c>
      <c r="J166" s="101">
        <f ca="1">OFFSET(梦灵养成!$Y$29,MATCH(D166,梦灵养成!$C$30:$C$629,1),0)</f>
        <v>5400</v>
      </c>
      <c r="K166" s="101">
        <f ca="1" t="shared" si="16"/>
        <v>8470</v>
      </c>
      <c r="L166" s="101">
        <f ca="1">OFFSET(洗练性价比!$N$52,MATCH(F166*60,洗练性价比!$C$53:$C$2052,1),0)</f>
        <v>4680</v>
      </c>
    </row>
    <row r="167" spans="2:12">
      <c r="B167" s="95">
        <v>122</v>
      </c>
      <c r="C167" s="101">
        <f t="shared" si="17"/>
        <v>0</v>
      </c>
      <c r="D167" s="143">
        <f ca="1" t="shared" si="10"/>
        <v>7740</v>
      </c>
      <c r="E167" s="143">
        <f ca="1" t="shared" si="11"/>
        <v>122000</v>
      </c>
      <c r="F167" s="143">
        <f ca="1" t="shared" si="12"/>
        <v>565</v>
      </c>
      <c r="G167" s="143">
        <f ca="1" t="shared" si="13"/>
        <v>0</v>
      </c>
      <c r="H167" s="143">
        <f ca="1" t="shared" si="14"/>
        <v>0</v>
      </c>
      <c r="I167" s="143">
        <f ca="1" t="shared" si="15"/>
        <v>63300</v>
      </c>
      <c r="J167" s="101">
        <f ca="1">OFFSET(梦灵养成!$Y$29,MATCH(D167,梦灵养成!$C$30:$C$629,1),0)</f>
        <v>10800</v>
      </c>
      <c r="K167" s="101">
        <f ca="1" t="shared" si="16"/>
        <v>8540</v>
      </c>
      <c r="L167" s="101">
        <f ca="1">OFFSET(洗练性价比!$N$52,MATCH(F167*60,洗练性价比!$C$53:$C$2052,1),0)</f>
        <v>4680</v>
      </c>
    </row>
    <row r="168" spans="2:12">
      <c r="B168" s="95">
        <v>123</v>
      </c>
      <c r="C168" s="101">
        <f t="shared" si="17"/>
        <v>0</v>
      </c>
      <c r="D168" s="143">
        <f ca="1" t="shared" si="10"/>
        <v>7800</v>
      </c>
      <c r="E168" s="143">
        <f ca="1" t="shared" si="11"/>
        <v>123000</v>
      </c>
      <c r="F168" s="143">
        <f ca="1" t="shared" si="12"/>
        <v>569</v>
      </c>
      <c r="G168" s="143">
        <f ca="1" t="shared" si="13"/>
        <v>0</v>
      </c>
      <c r="H168" s="143">
        <f ca="1" t="shared" si="14"/>
        <v>0</v>
      </c>
      <c r="I168" s="143">
        <f ca="1" t="shared" si="15"/>
        <v>63750</v>
      </c>
      <c r="J168" s="101">
        <f ca="1">OFFSET(梦灵养成!$Y$29,MATCH(D168,梦灵养成!$C$30:$C$629,1),0)</f>
        <v>9000</v>
      </c>
      <c r="K168" s="101">
        <f ca="1" t="shared" si="16"/>
        <v>8610</v>
      </c>
      <c r="L168" s="101">
        <f ca="1">OFFSET(洗练性价比!$N$52,MATCH(F168*60,洗练性价比!$C$53:$C$2052,1),0)</f>
        <v>4680</v>
      </c>
    </row>
    <row r="169" spans="2:12">
      <c r="B169" s="95">
        <v>124</v>
      </c>
      <c r="C169" s="101">
        <f t="shared" si="17"/>
        <v>0</v>
      </c>
      <c r="D169" s="143">
        <f ca="1" t="shared" si="10"/>
        <v>7860</v>
      </c>
      <c r="E169" s="143">
        <f ca="1" t="shared" si="11"/>
        <v>124000</v>
      </c>
      <c r="F169" s="143">
        <f ca="1" t="shared" si="12"/>
        <v>573</v>
      </c>
      <c r="G169" s="143">
        <f ca="1" t="shared" si="13"/>
        <v>0</v>
      </c>
      <c r="H169" s="143">
        <f ca="1" t="shared" si="14"/>
        <v>0</v>
      </c>
      <c r="I169" s="143">
        <f ca="1" t="shared" si="15"/>
        <v>64200</v>
      </c>
      <c r="J169" s="101">
        <f ca="1">OFFSET(梦灵养成!$Y$29,MATCH(D169,梦灵养成!$C$30:$C$629,1),0)</f>
        <v>9000</v>
      </c>
      <c r="K169" s="101">
        <f ca="1" t="shared" si="16"/>
        <v>8680</v>
      </c>
      <c r="L169" s="101">
        <f ca="1">OFFSET(洗练性价比!$N$52,MATCH(F169*60,洗练性价比!$C$53:$C$2052,1),0)</f>
        <v>4680</v>
      </c>
    </row>
    <row r="170" spans="2:12">
      <c r="B170" s="95">
        <v>125</v>
      </c>
      <c r="C170" s="101">
        <f t="shared" si="17"/>
        <v>0</v>
      </c>
      <c r="D170" s="143">
        <f ca="1" t="shared" si="10"/>
        <v>7920</v>
      </c>
      <c r="E170" s="143">
        <f ca="1" t="shared" si="11"/>
        <v>125000</v>
      </c>
      <c r="F170" s="143">
        <f ca="1" t="shared" si="12"/>
        <v>577</v>
      </c>
      <c r="G170" s="143">
        <f ca="1" t="shared" si="13"/>
        <v>0</v>
      </c>
      <c r="H170" s="143">
        <f ca="1" t="shared" si="14"/>
        <v>0</v>
      </c>
      <c r="I170" s="143">
        <f ca="1" t="shared" si="15"/>
        <v>64650</v>
      </c>
      <c r="J170" s="101">
        <f ca="1">OFFSET(梦灵养成!$Y$29,MATCH(D170,梦灵养成!$C$30:$C$629,1),0)</f>
        <v>7200</v>
      </c>
      <c r="K170" s="101">
        <f ca="1" t="shared" si="16"/>
        <v>8750</v>
      </c>
      <c r="L170" s="101">
        <f ca="1">OFFSET(洗练性价比!$N$52,MATCH(F170*60,洗练性价比!$C$53:$C$2052,1),0)</f>
        <v>4680</v>
      </c>
    </row>
    <row r="171" spans="2:12">
      <c r="B171" s="95">
        <v>126</v>
      </c>
      <c r="C171" s="101">
        <f t="shared" si="17"/>
        <v>0</v>
      </c>
      <c r="D171" s="143">
        <f ca="1" t="shared" si="10"/>
        <v>7980</v>
      </c>
      <c r="E171" s="143">
        <f ca="1" t="shared" si="11"/>
        <v>126000</v>
      </c>
      <c r="F171" s="143">
        <f ca="1" t="shared" si="12"/>
        <v>581</v>
      </c>
      <c r="G171" s="143">
        <f ca="1" t="shared" si="13"/>
        <v>0</v>
      </c>
      <c r="H171" s="143">
        <f ca="1" t="shared" si="14"/>
        <v>0</v>
      </c>
      <c r="I171" s="143">
        <f ca="1" t="shared" si="15"/>
        <v>65100</v>
      </c>
      <c r="J171" s="101">
        <f ca="1">OFFSET(梦灵养成!$Y$29,MATCH(D171,梦灵养成!$C$30:$C$629,1),0)</f>
        <v>7200</v>
      </c>
      <c r="K171" s="101">
        <f ca="1" t="shared" si="16"/>
        <v>8820</v>
      </c>
      <c r="L171" s="101">
        <f ca="1">OFFSET(洗练性价比!$N$52,MATCH(F171*60,洗练性价比!$C$53:$C$2052,1),0)</f>
        <v>4680</v>
      </c>
    </row>
    <row r="172" spans="2:12">
      <c r="B172" s="95">
        <v>127</v>
      </c>
      <c r="C172" s="101">
        <f t="shared" si="17"/>
        <v>0</v>
      </c>
      <c r="D172" s="143">
        <f ca="1" t="shared" si="10"/>
        <v>8040</v>
      </c>
      <c r="E172" s="143">
        <f ca="1" t="shared" si="11"/>
        <v>127000</v>
      </c>
      <c r="F172" s="143">
        <f ca="1" t="shared" si="12"/>
        <v>585</v>
      </c>
      <c r="G172" s="143">
        <f ca="1" t="shared" si="13"/>
        <v>0</v>
      </c>
      <c r="H172" s="143">
        <f ca="1" t="shared" si="14"/>
        <v>0</v>
      </c>
      <c r="I172" s="143">
        <f ca="1" t="shared" si="15"/>
        <v>65550</v>
      </c>
      <c r="J172" s="101">
        <f ca="1">OFFSET(梦灵养成!$Y$29,MATCH(D172,梦灵养成!$C$30:$C$629,1),0)</f>
        <v>5400</v>
      </c>
      <c r="K172" s="101">
        <f ca="1" t="shared" si="16"/>
        <v>8890</v>
      </c>
      <c r="L172" s="101">
        <f ca="1">OFFSET(洗练性价比!$N$52,MATCH(F172*60,洗练性价比!$C$53:$C$2052,1),0)</f>
        <v>4680</v>
      </c>
    </row>
    <row r="173" spans="2:12">
      <c r="B173" s="95">
        <v>128</v>
      </c>
      <c r="C173" s="101">
        <f t="shared" si="17"/>
        <v>0</v>
      </c>
      <c r="D173" s="143">
        <f ca="1" t="shared" si="10"/>
        <v>8100</v>
      </c>
      <c r="E173" s="143">
        <f ca="1" t="shared" si="11"/>
        <v>128000</v>
      </c>
      <c r="F173" s="143">
        <f ca="1" t="shared" si="12"/>
        <v>589</v>
      </c>
      <c r="G173" s="143">
        <f ca="1" t="shared" si="13"/>
        <v>0</v>
      </c>
      <c r="H173" s="143">
        <f ca="1" t="shared" si="14"/>
        <v>0</v>
      </c>
      <c r="I173" s="143">
        <f ca="1" t="shared" si="15"/>
        <v>66000</v>
      </c>
      <c r="J173" s="101">
        <f ca="1">OFFSET(梦灵养成!$Y$29,MATCH(D173,梦灵养成!$C$30:$C$629,1),0)</f>
        <v>3600</v>
      </c>
      <c r="K173" s="101">
        <f ca="1" t="shared" si="16"/>
        <v>8960</v>
      </c>
      <c r="L173" s="101">
        <f ca="1">OFFSET(洗练性价比!$N$52,MATCH(F173*60,洗练性价比!$C$53:$C$2052,1),0)</f>
        <v>4680</v>
      </c>
    </row>
    <row r="174" spans="2:12">
      <c r="B174" s="95">
        <v>129</v>
      </c>
      <c r="C174" s="101">
        <f t="shared" si="17"/>
        <v>0</v>
      </c>
      <c r="D174" s="143">
        <f ca="1" t="shared" si="10"/>
        <v>8160</v>
      </c>
      <c r="E174" s="143">
        <f ca="1" t="shared" si="11"/>
        <v>129000</v>
      </c>
      <c r="F174" s="143">
        <f ca="1" t="shared" si="12"/>
        <v>593</v>
      </c>
      <c r="G174" s="143">
        <f ca="1" t="shared" si="13"/>
        <v>0</v>
      </c>
      <c r="H174" s="143">
        <f ca="1" t="shared" si="14"/>
        <v>0</v>
      </c>
      <c r="I174" s="143">
        <f ca="1" t="shared" si="15"/>
        <v>66450</v>
      </c>
      <c r="J174" s="101">
        <f ca="1">OFFSET(梦灵养成!$Y$29,MATCH(D174,梦灵养成!$C$30:$C$629,1),0)</f>
        <v>3600</v>
      </c>
      <c r="K174" s="101">
        <f ca="1" t="shared" si="16"/>
        <v>9030</v>
      </c>
      <c r="L174" s="101">
        <f ca="1">OFFSET(洗练性价比!$N$52,MATCH(F174*60,洗练性价比!$C$53:$C$2052,1),0)</f>
        <v>4680</v>
      </c>
    </row>
    <row r="175" spans="2:12">
      <c r="B175" s="95">
        <v>130</v>
      </c>
      <c r="C175" s="101">
        <f t="shared" si="17"/>
        <v>0</v>
      </c>
      <c r="D175" s="143">
        <f ca="1" t="shared" ref="D175:D238" si="18">OFFSET($B$36,MATCH(D$45,$B$37:$B$42,0),1)*$B175+OFFSET($B$36,MATCH(D$45,$B$37:$B$42,0),2)*MIN($B175,7)+OFFSET($E$36,MATCH(D$45,$B$37:$B$42,0),0)*$C175*1.1/OFFSET($F$36,MATCH(D$45,$B$37:$B$42,0),0)</f>
        <v>8220</v>
      </c>
      <c r="E175" s="143">
        <f ca="1" t="shared" ref="E175:E238" si="19">OFFSET($B$36,MATCH(E$45,$B$37:$B$42,0),1)*$B175+OFFSET($B$36,MATCH(E$45,$B$37:$B$42,0),2)*MIN($B175,7)+OFFSET($E$36,MATCH(E$45,$B$37:$B$42,0),0)*$C175*1.1/OFFSET($F$36,MATCH(E$45,$B$37:$B$42,0),0)</f>
        <v>130000</v>
      </c>
      <c r="F175" s="143">
        <f ca="1" t="shared" ref="F175:F238" si="20">OFFSET($B$36,MATCH(F$45,$B$37:$B$42,0),1)*$B175+OFFSET($B$36,MATCH(F$45,$B$37:$B$42,0),2)*MIN($B175,7)+OFFSET($E$36,MATCH(F$45,$B$37:$B$42,0),0)*$C175*1.1/OFFSET($F$36,MATCH(F$45,$B$37:$B$42,0),0)</f>
        <v>597</v>
      </c>
      <c r="G175" s="143">
        <f ca="1" t="shared" ref="G175:G238" si="21">OFFSET($B$36,MATCH(G$45,$B$37:$B$42,0),1)*$B175+OFFSET($B$36,MATCH(G$45,$B$37:$B$42,0),2)*MIN($B175,7)+OFFSET($E$36,MATCH(G$45,$B$37:$B$42,0),0)*$C175*1.1/OFFSET($F$36,MATCH(G$45,$B$37:$B$42,0),0)</f>
        <v>0</v>
      </c>
      <c r="H175" s="143">
        <f ca="1" t="shared" ref="H175:H238" si="22">OFFSET($B$36,MATCH(H$45,$B$37:$B$42,0),1)*$B175+OFFSET($B$36,MATCH(H$45,$B$37:$B$42,0),2)*MIN($B175,7)+OFFSET($E$36,MATCH(H$45,$B$37:$B$42,0),0)*$C175*1.1/OFFSET($F$36,MATCH(H$45,$B$37:$B$42,0),0)</f>
        <v>0</v>
      </c>
      <c r="I175" s="143">
        <f ca="1" t="shared" ref="I175:I238" si="23">OFFSET($B$36,MATCH(I$45,$B$37:$B$42,0),1)*$B175+OFFSET($B$36,MATCH(I$45,$B$37:$B$42,0),2)*MIN($B175,7)+OFFSET($E$36,MATCH(I$45,$B$37:$B$42,0),0)*$C175*1.1/OFFSET($F$36,MATCH(I$45,$B$37:$B$42,0),0)</f>
        <v>66900</v>
      </c>
      <c r="J175" s="101">
        <f ca="1">OFFSET(梦灵养成!$Y$29,MATCH(D175,梦灵养成!$C$30:$C$629,1),0)</f>
        <v>1800</v>
      </c>
      <c r="K175" s="101">
        <f ca="1" t="shared" ref="K175:K238" si="24">E175*0.07</f>
        <v>9100</v>
      </c>
      <c r="L175" s="101">
        <f ca="1">OFFSET(洗练性价比!$N$52,MATCH(F175*60,洗练性价比!$C$53:$C$2052,1),0)</f>
        <v>4680</v>
      </c>
    </row>
    <row r="176" spans="2:12">
      <c r="B176" s="95">
        <v>131</v>
      </c>
      <c r="C176" s="101">
        <f t="shared" ref="C176:C239" si="25">C175+_xlfn.XLOOKUP($C$44,$C$28:$C$33,$F$28:$F$33)</f>
        <v>0</v>
      </c>
      <c r="D176" s="143">
        <f ca="1" t="shared" si="18"/>
        <v>8280</v>
      </c>
      <c r="E176" s="143">
        <f ca="1" t="shared" si="19"/>
        <v>131000</v>
      </c>
      <c r="F176" s="143">
        <f ca="1" t="shared" si="20"/>
        <v>601</v>
      </c>
      <c r="G176" s="143">
        <f ca="1" t="shared" si="21"/>
        <v>0</v>
      </c>
      <c r="H176" s="143">
        <f ca="1" t="shared" si="22"/>
        <v>0</v>
      </c>
      <c r="I176" s="143">
        <f ca="1" t="shared" si="23"/>
        <v>67350</v>
      </c>
      <c r="J176" s="101">
        <f ca="1">OFFSET(梦灵养成!$Y$29,MATCH(D176,梦灵养成!$C$30:$C$629,1),0)</f>
        <v>1800</v>
      </c>
      <c r="K176" s="101">
        <f ca="1" t="shared" si="24"/>
        <v>9170</v>
      </c>
      <c r="L176" s="101">
        <f ca="1">OFFSET(洗练性价比!$N$52,MATCH(F176*60,洗练性价比!$C$53:$C$2052,1),0)</f>
        <v>4680</v>
      </c>
    </row>
    <row r="177" spans="2:12">
      <c r="B177" s="95">
        <v>132</v>
      </c>
      <c r="C177" s="101">
        <f t="shared" si="25"/>
        <v>0</v>
      </c>
      <c r="D177" s="143">
        <f ca="1" t="shared" si="18"/>
        <v>8340</v>
      </c>
      <c r="E177" s="143">
        <f ca="1" t="shared" si="19"/>
        <v>132000</v>
      </c>
      <c r="F177" s="143">
        <f ca="1" t="shared" si="20"/>
        <v>605</v>
      </c>
      <c r="G177" s="143">
        <f ca="1" t="shared" si="21"/>
        <v>0</v>
      </c>
      <c r="H177" s="143">
        <f ca="1" t="shared" si="22"/>
        <v>0</v>
      </c>
      <c r="I177" s="143">
        <f ca="1" t="shared" si="23"/>
        <v>67800</v>
      </c>
      <c r="J177" s="101">
        <f ca="1">OFFSET(梦灵养成!$Y$29,MATCH(D177,梦灵养成!$C$30:$C$629,1),0)</f>
        <v>34200</v>
      </c>
      <c r="K177" s="101">
        <f ca="1" t="shared" si="24"/>
        <v>9240</v>
      </c>
      <c r="L177" s="101">
        <f ca="1">OFFSET(洗练性价比!$N$52,MATCH(F177*60,洗练性价比!$C$53:$C$2052,1),0)</f>
        <v>4680</v>
      </c>
    </row>
    <row r="178" spans="2:12">
      <c r="B178" s="95">
        <v>133</v>
      </c>
      <c r="C178" s="101">
        <f t="shared" si="25"/>
        <v>0</v>
      </c>
      <c r="D178" s="143">
        <f ca="1" t="shared" si="18"/>
        <v>8400</v>
      </c>
      <c r="E178" s="143">
        <f ca="1" t="shared" si="19"/>
        <v>133000</v>
      </c>
      <c r="F178" s="143">
        <f ca="1" t="shared" si="20"/>
        <v>609</v>
      </c>
      <c r="G178" s="143">
        <f ca="1" t="shared" si="21"/>
        <v>0</v>
      </c>
      <c r="H178" s="143">
        <f ca="1" t="shared" si="22"/>
        <v>0</v>
      </c>
      <c r="I178" s="143">
        <f ca="1" t="shared" si="23"/>
        <v>68250</v>
      </c>
      <c r="J178" s="101">
        <f ca="1">OFFSET(梦灵养成!$Y$29,MATCH(D178,梦灵养成!$C$30:$C$629,1),0)</f>
        <v>32400</v>
      </c>
      <c r="K178" s="101">
        <f ca="1" t="shared" si="24"/>
        <v>9310</v>
      </c>
      <c r="L178" s="101">
        <f ca="1">OFFSET(洗练性价比!$N$52,MATCH(F178*60,洗练性价比!$C$53:$C$2052,1),0)</f>
        <v>4680</v>
      </c>
    </row>
    <row r="179" spans="2:12">
      <c r="B179" s="95">
        <v>134</v>
      </c>
      <c r="C179" s="101">
        <f t="shared" si="25"/>
        <v>0</v>
      </c>
      <c r="D179" s="143">
        <f ca="1" t="shared" si="18"/>
        <v>8460</v>
      </c>
      <c r="E179" s="143">
        <f ca="1" t="shared" si="19"/>
        <v>134000</v>
      </c>
      <c r="F179" s="143">
        <f ca="1" t="shared" si="20"/>
        <v>613</v>
      </c>
      <c r="G179" s="143">
        <f ca="1" t="shared" si="21"/>
        <v>0</v>
      </c>
      <c r="H179" s="143">
        <f ca="1" t="shared" si="22"/>
        <v>0</v>
      </c>
      <c r="I179" s="143">
        <f ca="1" t="shared" si="23"/>
        <v>68700</v>
      </c>
      <c r="J179" s="101">
        <f ca="1">OFFSET(梦灵养成!$Y$29,MATCH(D179,梦灵养成!$C$30:$C$629,1),0)</f>
        <v>32400</v>
      </c>
      <c r="K179" s="101">
        <f ca="1" t="shared" si="24"/>
        <v>9380</v>
      </c>
      <c r="L179" s="101">
        <f ca="1">OFFSET(洗练性价比!$N$52,MATCH(F179*60,洗练性价比!$C$53:$C$2052,1),0)</f>
        <v>4680</v>
      </c>
    </row>
    <row r="180" spans="2:12">
      <c r="B180" s="95">
        <v>135</v>
      </c>
      <c r="C180" s="101">
        <f t="shared" si="25"/>
        <v>0</v>
      </c>
      <c r="D180" s="143">
        <f ca="1" t="shared" si="18"/>
        <v>8520</v>
      </c>
      <c r="E180" s="143">
        <f ca="1" t="shared" si="19"/>
        <v>135000</v>
      </c>
      <c r="F180" s="143">
        <f ca="1" t="shared" si="20"/>
        <v>617</v>
      </c>
      <c r="G180" s="143">
        <f ca="1" t="shared" si="21"/>
        <v>0</v>
      </c>
      <c r="H180" s="143">
        <f ca="1" t="shared" si="22"/>
        <v>0</v>
      </c>
      <c r="I180" s="143">
        <f ca="1" t="shared" si="23"/>
        <v>69150</v>
      </c>
      <c r="J180" s="101">
        <f ca="1">OFFSET(梦灵养成!$Y$29,MATCH(D180,梦灵养成!$C$30:$C$629,1),0)</f>
        <v>30600</v>
      </c>
      <c r="K180" s="101">
        <f ca="1" t="shared" si="24"/>
        <v>9450</v>
      </c>
      <c r="L180" s="101">
        <f ca="1">OFFSET(洗练性价比!$N$52,MATCH(F180*60,洗练性价比!$C$53:$C$2052,1),0)</f>
        <v>4680</v>
      </c>
    </row>
    <row r="181" spans="2:12">
      <c r="B181" s="95">
        <v>136</v>
      </c>
      <c r="C181" s="101">
        <f t="shared" si="25"/>
        <v>0</v>
      </c>
      <c r="D181" s="143">
        <f ca="1" t="shared" si="18"/>
        <v>8580</v>
      </c>
      <c r="E181" s="143">
        <f ca="1" t="shared" si="19"/>
        <v>136000</v>
      </c>
      <c r="F181" s="143">
        <f ca="1" t="shared" si="20"/>
        <v>621</v>
      </c>
      <c r="G181" s="143">
        <f ca="1" t="shared" si="21"/>
        <v>0</v>
      </c>
      <c r="H181" s="143">
        <f ca="1" t="shared" si="22"/>
        <v>0</v>
      </c>
      <c r="I181" s="143">
        <f ca="1" t="shared" si="23"/>
        <v>69600</v>
      </c>
      <c r="J181" s="101">
        <f ca="1">OFFSET(梦灵养成!$Y$29,MATCH(D181,梦灵养成!$C$30:$C$629,1),0)</f>
        <v>30600</v>
      </c>
      <c r="K181" s="101">
        <f ca="1" t="shared" si="24"/>
        <v>9520</v>
      </c>
      <c r="L181" s="101">
        <f ca="1">OFFSET(洗练性价比!$N$52,MATCH(F181*60,洗练性价比!$C$53:$C$2052,1),0)</f>
        <v>4680</v>
      </c>
    </row>
    <row r="182" spans="2:12">
      <c r="B182" s="95">
        <v>137</v>
      </c>
      <c r="C182" s="101">
        <f t="shared" si="25"/>
        <v>0</v>
      </c>
      <c r="D182" s="143">
        <f ca="1" t="shared" si="18"/>
        <v>8640</v>
      </c>
      <c r="E182" s="143">
        <f ca="1" t="shared" si="19"/>
        <v>137000</v>
      </c>
      <c r="F182" s="143">
        <f ca="1" t="shared" si="20"/>
        <v>625</v>
      </c>
      <c r="G182" s="143">
        <f ca="1" t="shared" si="21"/>
        <v>0</v>
      </c>
      <c r="H182" s="143">
        <f ca="1" t="shared" si="22"/>
        <v>0</v>
      </c>
      <c r="I182" s="143">
        <f ca="1" t="shared" si="23"/>
        <v>70050</v>
      </c>
      <c r="J182" s="101">
        <f ca="1">OFFSET(梦灵养成!$Y$29,MATCH(D182,梦灵养成!$C$30:$C$629,1),0)</f>
        <v>28800</v>
      </c>
      <c r="K182" s="101">
        <f ca="1" t="shared" si="24"/>
        <v>9590</v>
      </c>
      <c r="L182" s="101">
        <f ca="1">OFFSET(洗练性价比!$N$52,MATCH(F182*60,洗练性价比!$C$53:$C$2052,1),0)</f>
        <v>4680</v>
      </c>
    </row>
    <row r="183" spans="2:12">
      <c r="B183" s="95">
        <v>138</v>
      </c>
      <c r="C183" s="101">
        <f t="shared" si="25"/>
        <v>0</v>
      </c>
      <c r="D183" s="143">
        <f ca="1" t="shared" si="18"/>
        <v>8700</v>
      </c>
      <c r="E183" s="143">
        <f ca="1" t="shared" si="19"/>
        <v>138000</v>
      </c>
      <c r="F183" s="143">
        <f ca="1" t="shared" si="20"/>
        <v>629</v>
      </c>
      <c r="G183" s="143">
        <f ca="1" t="shared" si="21"/>
        <v>0</v>
      </c>
      <c r="H183" s="143">
        <f ca="1" t="shared" si="22"/>
        <v>0</v>
      </c>
      <c r="I183" s="143">
        <f ca="1" t="shared" si="23"/>
        <v>70500</v>
      </c>
      <c r="J183" s="101">
        <f ca="1">OFFSET(梦灵养成!$Y$29,MATCH(D183,梦灵养成!$C$30:$C$629,1),0)</f>
        <v>34200</v>
      </c>
      <c r="K183" s="101">
        <f ca="1" t="shared" si="24"/>
        <v>9660</v>
      </c>
      <c r="L183" s="101">
        <f ca="1">OFFSET(洗练性价比!$N$52,MATCH(F183*60,洗练性价比!$C$53:$C$2052,1),0)</f>
        <v>4680</v>
      </c>
    </row>
    <row r="184" spans="2:12">
      <c r="B184" s="95">
        <v>139</v>
      </c>
      <c r="C184" s="101">
        <f t="shared" si="25"/>
        <v>0</v>
      </c>
      <c r="D184" s="143">
        <f ca="1" t="shared" si="18"/>
        <v>8760</v>
      </c>
      <c r="E184" s="143">
        <f ca="1" t="shared" si="19"/>
        <v>139000</v>
      </c>
      <c r="F184" s="143">
        <f ca="1" t="shared" si="20"/>
        <v>633</v>
      </c>
      <c r="G184" s="143">
        <f ca="1" t="shared" si="21"/>
        <v>0</v>
      </c>
      <c r="H184" s="143">
        <f ca="1" t="shared" si="22"/>
        <v>0</v>
      </c>
      <c r="I184" s="143">
        <f ca="1" t="shared" si="23"/>
        <v>70950</v>
      </c>
      <c r="J184" s="101">
        <f ca="1">OFFSET(梦灵养成!$Y$29,MATCH(D184,梦灵养成!$C$30:$C$629,1),0)</f>
        <v>34200</v>
      </c>
      <c r="K184" s="101">
        <f ca="1" t="shared" si="24"/>
        <v>9730</v>
      </c>
      <c r="L184" s="101">
        <f ca="1">OFFSET(洗练性价比!$N$52,MATCH(F184*60,洗练性价比!$C$53:$C$2052,1),0)</f>
        <v>4680</v>
      </c>
    </row>
    <row r="185" spans="2:12">
      <c r="B185" s="95">
        <v>140</v>
      </c>
      <c r="C185" s="101">
        <f t="shared" si="25"/>
        <v>0</v>
      </c>
      <c r="D185" s="143">
        <f ca="1" t="shared" si="18"/>
        <v>8820</v>
      </c>
      <c r="E185" s="143">
        <f ca="1" t="shared" si="19"/>
        <v>140000</v>
      </c>
      <c r="F185" s="143">
        <f ca="1" t="shared" si="20"/>
        <v>637</v>
      </c>
      <c r="G185" s="143">
        <f ca="1" t="shared" si="21"/>
        <v>0</v>
      </c>
      <c r="H185" s="143">
        <f ca="1" t="shared" si="22"/>
        <v>0</v>
      </c>
      <c r="I185" s="143">
        <f ca="1" t="shared" si="23"/>
        <v>71400</v>
      </c>
      <c r="J185" s="101">
        <f ca="1">OFFSET(梦灵养成!$Y$29,MATCH(D185,梦灵养成!$C$30:$C$629,1),0)</f>
        <v>32400</v>
      </c>
      <c r="K185" s="101">
        <f ca="1" t="shared" si="24"/>
        <v>9800</v>
      </c>
      <c r="L185" s="101">
        <f ca="1">OFFSET(洗练性价比!$N$52,MATCH(F185*60,洗练性价比!$C$53:$C$2052,1),0)</f>
        <v>4680</v>
      </c>
    </row>
    <row r="186" spans="2:12">
      <c r="B186" s="95">
        <v>141</v>
      </c>
      <c r="C186" s="101">
        <f t="shared" si="25"/>
        <v>0</v>
      </c>
      <c r="D186" s="143">
        <f ca="1" t="shared" si="18"/>
        <v>8880</v>
      </c>
      <c r="E186" s="143">
        <f ca="1" t="shared" si="19"/>
        <v>141000</v>
      </c>
      <c r="F186" s="143">
        <f ca="1" t="shared" si="20"/>
        <v>641</v>
      </c>
      <c r="G186" s="143">
        <f ca="1" t="shared" si="21"/>
        <v>0</v>
      </c>
      <c r="H186" s="143">
        <f ca="1" t="shared" si="22"/>
        <v>0</v>
      </c>
      <c r="I186" s="143">
        <f ca="1" t="shared" si="23"/>
        <v>71850</v>
      </c>
      <c r="J186" s="101">
        <f ca="1">OFFSET(梦灵养成!$Y$29,MATCH(D186,梦灵养成!$C$30:$C$629,1),0)</f>
        <v>32400</v>
      </c>
      <c r="K186" s="101">
        <f ca="1" t="shared" si="24"/>
        <v>9870</v>
      </c>
      <c r="L186" s="101">
        <f ca="1">OFFSET(洗练性价比!$N$52,MATCH(F186*60,洗练性价比!$C$53:$C$2052,1),0)</f>
        <v>4680</v>
      </c>
    </row>
    <row r="187" spans="2:12">
      <c r="B187" s="95">
        <v>142</v>
      </c>
      <c r="C187" s="101">
        <f t="shared" si="25"/>
        <v>0</v>
      </c>
      <c r="D187" s="143">
        <f ca="1" t="shared" si="18"/>
        <v>8940</v>
      </c>
      <c r="E187" s="143">
        <f ca="1" t="shared" si="19"/>
        <v>142000</v>
      </c>
      <c r="F187" s="143">
        <f ca="1" t="shared" si="20"/>
        <v>645</v>
      </c>
      <c r="G187" s="143">
        <f ca="1" t="shared" si="21"/>
        <v>0</v>
      </c>
      <c r="H187" s="143">
        <f ca="1" t="shared" si="22"/>
        <v>0</v>
      </c>
      <c r="I187" s="143">
        <f ca="1" t="shared" si="23"/>
        <v>72300</v>
      </c>
      <c r="J187" s="101">
        <f ca="1">OFFSET(梦灵养成!$Y$29,MATCH(D187,梦灵养成!$C$30:$C$629,1),0)</f>
        <v>30600</v>
      </c>
      <c r="K187" s="101">
        <f ca="1" t="shared" si="24"/>
        <v>9940</v>
      </c>
      <c r="L187" s="101">
        <f ca="1">OFFSET(洗练性价比!$N$52,MATCH(F187*60,洗练性价比!$C$53:$C$2052,1),0)</f>
        <v>4680</v>
      </c>
    </row>
    <row r="188" spans="2:12">
      <c r="B188" s="95">
        <v>143</v>
      </c>
      <c r="C188" s="101">
        <f t="shared" si="25"/>
        <v>0</v>
      </c>
      <c r="D188" s="143">
        <f ca="1" t="shared" si="18"/>
        <v>9000</v>
      </c>
      <c r="E188" s="143">
        <f ca="1" t="shared" si="19"/>
        <v>143000</v>
      </c>
      <c r="F188" s="143">
        <f ca="1" t="shared" si="20"/>
        <v>649</v>
      </c>
      <c r="G188" s="143">
        <f ca="1" t="shared" si="21"/>
        <v>0</v>
      </c>
      <c r="H188" s="143">
        <f ca="1" t="shared" si="22"/>
        <v>0</v>
      </c>
      <c r="I188" s="143">
        <f ca="1" t="shared" si="23"/>
        <v>72750</v>
      </c>
      <c r="J188" s="101">
        <f ca="1">OFFSET(梦灵养成!$Y$29,MATCH(D188,梦灵养成!$C$30:$C$629,1),0)</f>
        <v>28800</v>
      </c>
      <c r="K188" s="101">
        <f ca="1" t="shared" si="24"/>
        <v>10010</v>
      </c>
      <c r="L188" s="101">
        <f ca="1">OFFSET(洗练性价比!$N$52,MATCH(F188*60,洗练性价比!$C$53:$C$2052,1),0)</f>
        <v>4680</v>
      </c>
    </row>
    <row r="189" spans="2:12">
      <c r="B189" s="95">
        <v>144</v>
      </c>
      <c r="C189" s="101">
        <f t="shared" si="25"/>
        <v>0</v>
      </c>
      <c r="D189" s="143">
        <f ca="1" t="shared" si="18"/>
        <v>9060</v>
      </c>
      <c r="E189" s="143">
        <f ca="1" t="shared" si="19"/>
        <v>144000</v>
      </c>
      <c r="F189" s="143">
        <f ca="1" t="shared" si="20"/>
        <v>653</v>
      </c>
      <c r="G189" s="143">
        <f ca="1" t="shared" si="21"/>
        <v>0</v>
      </c>
      <c r="H189" s="143">
        <f ca="1" t="shared" si="22"/>
        <v>0</v>
      </c>
      <c r="I189" s="143">
        <f ca="1" t="shared" si="23"/>
        <v>73200</v>
      </c>
      <c r="J189" s="101">
        <f ca="1">OFFSET(梦灵养成!$Y$29,MATCH(D189,梦灵养成!$C$30:$C$629,1),0)</f>
        <v>28800</v>
      </c>
      <c r="K189" s="101">
        <f ca="1" t="shared" si="24"/>
        <v>10080</v>
      </c>
      <c r="L189" s="101">
        <f ca="1">OFFSET(洗练性价比!$N$52,MATCH(F189*60,洗练性价比!$C$53:$C$2052,1),0)</f>
        <v>4680</v>
      </c>
    </row>
    <row r="190" spans="2:12">
      <c r="B190" s="95">
        <v>145</v>
      </c>
      <c r="C190" s="101">
        <f t="shared" si="25"/>
        <v>0</v>
      </c>
      <c r="D190" s="143">
        <f ca="1" t="shared" si="18"/>
        <v>9120</v>
      </c>
      <c r="E190" s="143">
        <f ca="1" t="shared" si="19"/>
        <v>145000</v>
      </c>
      <c r="F190" s="143">
        <f ca="1" t="shared" si="20"/>
        <v>657</v>
      </c>
      <c r="G190" s="143">
        <f ca="1" t="shared" si="21"/>
        <v>0</v>
      </c>
      <c r="H190" s="143">
        <f ca="1" t="shared" si="22"/>
        <v>0</v>
      </c>
      <c r="I190" s="143">
        <f ca="1" t="shared" si="23"/>
        <v>73650</v>
      </c>
      <c r="J190" s="101">
        <f ca="1">OFFSET(梦灵养成!$Y$29,MATCH(D190,梦灵养成!$C$30:$C$629,1),0)</f>
        <v>27000</v>
      </c>
      <c r="K190" s="101">
        <f ca="1" t="shared" si="24"/>
        <v>10150</v>
      </c>
      <c r="L190" s="101">
        <f ca="1">OFFSET(洗练性价比!$N$52,MATCH(F190*60,洗练性价比!$C$53:$C$2052,1),0)</f>
        <v>4680</v>
      </c>
    </row>
    <row r="191" spans="2:12">
      <c r="B191" s="95">
        <v>146</v>
      </c>
      <c r="C191" s="101">
        <f t="shared" si="25"/>
        <v>0</v>
      </c>
      <c r="D191" s="143">
        <f ca="1" t="shared" si="18"/>
        <v>9180</v>
      </c>
      <c r="E191" s="143">
        <f ca="1" t="shared" si="19"/>
        <v>146000</v>
      </c>
      <c r="F191" s="143">
        <f ca="1" t="shared" si="20"/>
        <v>661</v>
      </c>
      <c r="G191" s="143">
        <f ca="1" t="shared" si="21"/>
        <v>0</v>
      </c>
      <c r="H191" s="143">
        <f ca="1" t="shared" si="22"/>
        <v>0</v>
      </c>
      <c r="I191" s="143">
        <f ca="1" t="shared" si="23"/>
        <v>74100</v>
      </c>
      <c r="J191" s="101">
        <f ca="1">OFFSET(梦灵养成!$Y$29,MATCH(D191,梦灵养成!$C$30:$C$629,1),0)</f>
        <v>27000</v>
      </c>
      <c r="K191" s="101">
        <f ca="1" t="shared" si="24"/>
        <v>10220</v>
      </c>
      <c r="L191" s="101">
        <f ca="1">OFFSET(洗练性价比!$N$52,MATCH(F191*60,洗练性价比!$C$53:$C$2052,1),0)</f>
        <v>4680</v>
      </c>
    </row>
    <row r="192" spans="2:12">
      <c r="B192" s="95">
        <v>147</v>
      </c>
      <c r="C192" s="101">
        <f t="shared" si="25"/>
        <v>0</v>
      </c>
      <c r="D192" s="143">
        <f ca="1" t="shared" si="18"/>
        <v>9240</v>
      </c>
      <c r="E192" s="143">
        <f ca="1" t="shared" si="19"/>
        <v>147000</v>
      </c>
      <c r="F192" s="143">
        <f ca="1" t="shared" si="20"/>
        <v>665</v>
      </c>
      <c r="G192" s="143">
        <f ca="1" t="shared" si="21"/>
        <v>0</v>
      </c>
      <c r="H192" s="143">
        <f ca="1" t="shared" si="22"/>
        <v>0</v>
      </c>
      <c r="I192" s="143">
        <f ca="1" t="shared" si="23"/>
        <v>74550</v>
      </c>
      <c r="J192" s="101">
        <f ca="1">OFFSET(梦灵养成!$Y$29,MATCH(D192,梦灵养成!$C$30:$C$629,1),0)</f>
        <v>25200</v>
      </c>
      <c r="K192" s="101">
        <f ca="1" t="shared" si="24"/>
        <v>10290</v>
      </c>
      <c r="L192" s="101">
        <f ca="1">OFFSET(洗练性价比!$N$52,MATCH(F192*60,洗练性价比!$C$53:$C$2052,1),0)</f>
        <v>4680</v>
      </c>
    </row>
    <row r="193" spans="2:12">
      <c r="B193" s="95">
        <v>148</v>
      </c>
      <c r="C193" s="101">
        <f t="shared" si="25"/>
        <v>0</v>
      </c>
      <c r="D193" s="143">
        <f ca="1" t="shared" si="18"/>
        <v>9300</v>
      </c>
      <c r="E193" s="143">
        <f ca="1" t="shared" si="19"/>
        <v>148000</v>
      </c>
      <c r="F193" s="143">
        <f ca="1" t="shared" si="20"/>
        <v>669</v>
      </c>
      <c r="G193" s="143">
        <f ca="1" t="shared" si="21"/>
        <v>0</v>
      </c>
      <c r="H193" s="143">
        <f ca="1" t="shared" si="22"/>
        <v>0</v>
      </c>
      <c r="I193" s="143">
        <f ca="1" t="shared" si="23"/>
        <v>75000</v>
      </c>
      <c r="J193" s="101">
        <f ca="1">OFFSET(梦灵养成!$Y$29,MATCH(D193,梦灵养成!$C$30:$C$629,1),0)</f>
        <v>23400</v>
      </c>
      <c r="K193" s="101">
        <f ca="1" t="shared" si="24"/>
        <v>10360</v>
      </c>
      <c r="L193" s="101">
        <f ca="1">OFFSET(洗练性价比!$N$52,MATCH(F193*60,洗练性价比!$C$53:$C$2052,1),0)</f>
        <v>4680</v>
      </c>
    </row>
    <row r="194" spans="2:12">
      <c r="B194" s="95">
        <v>149</v>
      </c>
      <c r="C194" s="101">
        <f t="shared" si="25"/>
        <v>0</v>
      </c>
      <c r="D194" s="143">
        <f ca="1" t="shared" si="18"/>
        <v>9360</v>
      </c>
      <c r="E194" s="143">
        <f ca="1" t="shared" si="19"/>
        <v>149000</v>
      </c>
      <c r="F194" s="143">
        <f ca="1" t="shared" si="20"/>
        <v>673</v>
      </c>
      <c r="G194" s="143">
        <f ca="1" t="shared" si="21"/>
        <v>0</v>
      </c>
      <c r="H194" s="143">
        <f ca="1" t="shared" si="22"/>
        <v>0</v>
      </c>
      <c r="I194" s="143">
        <f ca="1" t="shared" si="23"/>
        <v>75450</v>
      </c>
      <c r="J194" s="101">
        <f ca="1">OFFSET(梦灵养成!$Y$29,MATCH(D194,梦灵养成!$C$30:$C$629,1),0)</f>
        <v>23400</v>
      </c>
      <c r="K194" s="101">
        <f ca="1" t="shared" si="24"/>
        <v>10430</v>
      </c>
      <c r="L194" s="101">
        <f ca="1">OFFSET(洗练性价比!$N$52,MATCH(F194*60,洗练性价比!$C$53:$C$2052,1),0)</f>
        <v>4680</v>
      </c>
    </row>
    <row r="195" spans="2:12">
      <c r="B195" s="95">
        <v>150</v>
      </c>
      <c r="C195" s="101">
        <f t="shared" si="25"/>
        <v>0</v>
      </c>
      <c r="D195" s="143">
        <f ca="1" t="shared" si="18"/>
        <v>9420</v>
      </c>
      <c r="E195" s="143">
        <f ca="1" t="shared" si="19"/>
        <v>150000</v>
      </c>
      <c r="F195" s="143">
        <f ca="1" t="shared" si="20"/>
        <v>677</v>
      </c>
      <c r="G195" s="143">
        <f ca="1" t="shared" si="21"/>
        <v>0</v>
      </c>
      <c r="H195" s="143">
        <f ca="1" t="shared" si="22"/>
        <v>0</v>
      </c>
      <c r="I195" s="143">
        <f ca="1" t="shared" si="23"/>
        <v>75900</v>
      </c>
      <c r="J195" s="101">
        <f ca="1">OFFSET(梦灵养成!$Y$29,MATCH(D195,梦灵养成!$C$30:$C$629,1),0)</f>
        <v>21600</v>
      </c>
      <c r="K195" s="101">
        <f ca="1" t="shared" si="24"/>
        <v>10500</v>
      </c>
      <c r="L195" s="101">
        <f ca="1">OFFSET(洗练性价比!$N$52,MATCH(F195*60,洗练性价比!$C$53:$C$2052,1),0)</f>
        <v>4680</v>
      </c>
    </row>
    <row r="196" spans="2:12">
      <c r="B196" s="95">
        <v>151</v>
      </c>
      <c r="C196" s="101">
        <f t="shared" si="25"/>
        <v>0</v>
      </c>
      <c r="D196" s="143">
        <f ca="1" t="shared" si="18"/>
        <v>9480</v>
      </c>
      <c r="E196" s="143">
        <f ca="1" t="shared" si="19"/>
        <v>151000</v>
      </c>
      <c r="F196" s="143">
        <f ca="1" t="shared" si="20"/>
        <v>681</v>
      </c>
      <c r="G196" s="143">
        <f ca="1" t="shared" si="21"/>
        <v>0</v>
      </c>
      <c r="H196" s="143">
        <f ca="1" t="shared" si="22"/>
        <v>0</v>
      </c>
      <c r="I196" s="143">
        <f ca="1" t="shared" si="23"/>
        <v>76350</v>
      </c>
      <c r="J196" s="101">
        <f ca="1">OFFSET(梦灵养成!$Y$29,MATCH(D196,梦灵养成!$C$30:$C$629,1),0)</f>
        <v>21600</v>
      </c>
      <c r="K196" s="101">
        <f ca="1" t="shared" si="24"/>
        <v>10570</v>
      </c>
      <c r="L196" s="101">
        <f ca="1">OFFSET(洗练性价比!$N$52,MATCH(F196*60,洗练性价比!$C$53:$C$2052,1),0)</f>
        <v>4680</v>
      </c>
    </row>
    <row r="197" spans="2:12">
      <c r="B197" s="95">
        <v>152</v>
      </c>
      <c r="C197" s="101">
        <f t="shared" si="25"/>
        <v>0</v>
      </c>
      <c r="D197" s="143">
        <f ca="1" t="shared" si="18"/>
        <v>9540</v>
      </c>
      <c r="E197" s="143">
        <f ca="1" t="shared" si="19"/>
        <v>152000</v>
      </c>
      <c r="F197" s="143">
        <f ca="1" t="shared" si="20"/>
        <v>685</v>
      </c>
      <c r="G197" s="143">
        <f ca="1" t="shared" si="21"/>
        <v>0</v>
      </c>
      <c r="H197" s="143">
        <f ca="1" t="shared" si="22"/>
        <v>0</v>
      </c>
      <c r="I197" s="143">
        <f ca="1" t="shared" si="23"/>
        <v>76800</v>
      </c>
      <c r="J197" s="101">
        <f ca="1">OFFSET(梦灵养成!$Y$29,MATCH(D197,梦灵养成!$C$30:$C$629,1),0)</f>
        <v>19800</v>
      </c>
      <c r="K197" s="101">
        <f ca="1" t="shared" si="24"/>
        <v>10640</v>
      </c>
      <c r="L197" s="101">
        <f ca="1">OFFSET(洗练性价比!$N$52,MATCH(F197*60,洗练性价比!$C$53:$C$2052,1),0)</f>
        <v>4680</v>
      </c>
    </row>
    <row r="198" spans="2:12">
      <c r="B198" s="95">
        <v>153</v>
      </c>
      <c r="C198" s="101">
        <f t="shared" si="25"/>
        <v>0</v>
      </c>
      <c r="D198" s="143">
        <f ca="1" t="shared" si="18"/>
        <v>9600</v>
      </c>
      <c r="E198" s="143">
        <f ca="1" t="shared" si="19"/>
        <v>153000</v>
      </c>
      <c r="F198" s="143">
        <f ca="1" t="shared" si="20"/>
        <v>689</v>
      </c>
      <c r="G198" s="143">
        <f ca="1" t="shared" si="21"/>
        <v>0</v>
      </c>
      <c r="H198" s="143">
        <f ca="1" t="shared" si="22"/>
        <v>0</v>
      </c>
      <c r="I198" s="143">
        <f ca="1" t="shared" si="23"/>
        <v>77250</v>
      </c>
      <c r="J198" s="101">
        <f ca="1">OFFSET(梦灵养成!$Y$29,MATCH(D198,梦灵养成!$C$30:$C$629,1),0)</f>
        <v>18000</v>
      </c>
      <c r="K198" s="101">
        <f ca="1" t="shared" si="24"/>
        <v>10710</v>
      </c>
      <c r="L198" s="101">
        <f ca="1">OFFSET(洗练性价比!$N$52,MATCH(F198*60,洗练性价比!$C$53:$C$2052,1),0)</f>
        <v>4680</v>
      </c>
    </row>
    <row r="199" spans="2:12">
      <c r="B199" s="95">
        <v>154</v>
      </c>
      <c r="C199" s="101">
        <f t="shared" si="25"/>
        <v>0</v>
      </c>
      <c r="D199" s="143">
        <f ca="1" t="shared" si="18"/>
        <v>9660</v>
      </c>
      <c r="E199" s="143">
        <f ca="1" t="shared" si="19"/>
        <v>154000</v>
      </c>
      <c r="F199" s="143">
        <f ca="1" t="shared" si="20"/>
        <v>693</v>
      </c>
      <c r="G199" s="143">
        <f ca="1" t="shared" si="21"/>
        <v>0</v>
      </c>
      <c r="H199" s="143">
        <f ca="1" t="shared" si="22"/>
        <v>0</v>
      </c>
      <c r="I199" s="143">
        <f ca="1" t="shared" si="23"/>
        <v>77700</v>
      </c>
      <c r="J199" s="101">
        <f ca="1">OFFSET(梦灵养成!$Y$29,MATCH(D199,梦灵养成!$C$30:$C$629,1),0)</f>
        <v>18000</v>
      </c>
      <c r="K199" s="101">
        <f ca="1" t="shared" si="24"/>
        <v>10780</v>
      </c>
      <c r="L199" s="101">
        <f ca="1">OFFSET(洗练性价比!$N$52,MATCH(F199*60,洗练性价比!$C$53:$C$2052,1),0)</f>
        <v>4680</v>
      </c>
    </row>
    <row r="200" spans="2:12">
      <c r="B200" s="95">
        <v>155</v>
      </c>
      <c r="C200" s="101">
        <f t="shared" si="25"/>
        <v>0</v>
      </c>
      <c r="D200" s="143">
        <f ca="1" t="shared" si="18"/>
        <v>9720</v>
      </c>
      <c r="E200" s="143">
        <f ca="1" t="shared" si="19"/>
        <v>155000</v>
      </c>
      <c r="F200" s="143">
        <f ca="1" t="shared" si="20"/>
        <v>697</v>
      </c>
      <c r="G200" s="143">
        <f ca="1" t="shared" si="21"/>
        <v>0</v>
      </c>
      <c r="H200" s="143">
        <f ca="1" t="shared" si="22"/>
        <v>0</v>
      </c>
      <c r="I200" s="143">
        <f ca="1" t="shared" si="23"/>
        <v>78150</v>
      </c>
      <c r="J200" s="101">
        <f ca="1">OFFSET(梦灵养成!$Y$29,MATCH(D200,梦灵养成!$C$30:$C$629,1),0)</f>
        <v>16200</v>
      </c>
      <c r="K200" s="101">
        <f ca="1" t="shared" si="24"/>
        <v>10850</v>
      </c>
      <c r="L200" s="101">
        <f ca="1">OFFSET(洗练性价比!$N$52,MATCH(F200*60,洗练性价比!$C$53:$C$2052,1),0)</f>
        <v>4680</v>
      </c>
    </row>
    <row r="201" spans="2:12">
      <c r="B201" s="95">
        <v>156</v>
      </c>
      <c r="C201" s="101">
        <f t="shared" si="25"/>
        <v>0</v>
      </c>
      <c r="D201" s="143">
        <f ca="1" t="shared" si="18"/>
        <v>9780</v>
      </c>
      <c r="E201" s="143">
        <f ca="1" t="shared" si="19"/>
        <v>156000</v>
      </c>
      <c r="F201" s="143">
        <f ca="1" t="shared" si="20"/>
        <v>701</v>
      </c>
      <c r="G201" s="143">
        <f ca="1" t="shared" si="21"/>
        <v>0</v>
      </c>
      <c r="H201" s="143">
        <f ca="1" t="shared" si="22"/>
        <v>0</v>
      </c>
      <c r="I201" s="143">
        <f ca="1" t="shared" si="23"/>
        <v>78600</v>
      </c>
      <c r="J201" s="101">
        <f ca="1">OFFSET(梦灵养成!$Y$29,MATCH(D201,梦灵养成!$C$30:$C$629,1),0)</f>
        <v>16200</v>
      </c>
      <c r="K201" s="101">
        <f ca="1" t="shared" si="24"/>
        <v>10920</v>
      </c>
      <c r="L201" s="101">
        <f ca="1">OFFSET(洗练性价比!$N$52,MATCH(F201*60,洗练性价比!$C$53:$C$2052,1),0)</f>
        <v>4680</v>
      </c>
    </row>
    <row r="202" spans="2:12">
      <c r="B202" s="95">
        <v>157</v>
      </c>
      <c r="C202" s="101">
        <f t="shared" si="25"/>
        <v>0</v>
      </c>
      <c r="D202" s="143">
        <f ca="1" t="shared" si="18"/>
        <v>9840</v>
      </c>
      <c r="E202" s="143">
        <f ca="1" t="shared" si="19"/>
        <v>157000</v>
      </c>
      <c r="F202" s="143">
        <f ca="1" t="shared" si="20"/>
        <v>705</v>
      </c>
      <c r="G202" s="143">
        <f ca="1" t="shared" si="21"/>
        <v>0</v>
      </c>
      <c r="H202" s="143">
        <f ca="1" t="shared" si="22"/>
        <v>0</v>
      </c>
      <c r="I202" s="143">
        <f ca="1" t="shared" si="23"/>
        <v>79050</v>
      </c>
      <c r="J202" s="101">
        <f ca="1">OFFSET(梦灵养成!$Y$29,MATCH(D202,梦灵养成!$C$30:$C$629,1),0)</f>
        <v>21600</v>
      </c>
      <c r="K202" s="101">
        <f ca="1" t="shared" si="24"/>
        <v>10990</v>
      </c>
      <c r="L202" s="101">
        <f ca="1">OFFSET(洗练性价比!$N$52,MATCH(F202*60,洗练性价比!$C$53:$C$2052,1),0)</f>
        <v>4680</v>
      </c>
    </row>
    <row r="203" spans="2:12">
      <c r="B203" s="95">
        <v>158</v>
      </c>
      <c r="C203" s="101">
        <f t="shared" si="25"/>
        <v>0</v>
      </c>
      <c r="D203" s="143">
        <f ca="1" t="shared" si="18"/>
        <v>9900</v>
      </c>
      <c r="E203" s="143">
        <f ca="1" t="shared" si="19"/>
        <v>158000</v>
      </c>
      <c r="F203" s="143">
        <f ca="1" t="shared" si="20"/>
        <v>709</v>
      </c>
      <c r="G203" s="143">
        <f ca="1" t="shared" si="21"/>
        <v>0</v>
      </c>
      <c r="H203" s="143">
        <f ca="1" t="shared" si="22"/>
        <v>0</v>
      </c>
      <c r="I203" s="143">
        <f ca="1" t="shared" si="23"/>
        <v>79500</v>
      </c>
      <c r="J203" s="101">
        <f ca="1">OFFSET(梦灵养成!$Y$29,MATCH(D203,梦灵养成!$C$30:$C$629,1),0)</f>
        <v>19800</v>
      </c>
      <c r="K203" s="101">
        <f ca="1" t="shared" si="24"/>
        <v>11060</v>
      </c>
      <c r="L203" s="101">
        <f ca="1">OFFSET(洗练性价比!$N$52,MATCH(F203*60,洗练性价比!$C$53:$C$2052,1),0)</f>
        <v>4680</v>
      </c>
    </row>
    <row r="204" spans="2:12">
      <c r="B204" s="95">
        <v>159</v>
      </c>
      <c r="C204" s="101">
        <f t="shared" si="25"/>
        <v>0</v>
      </c>
      <c r="D204" s="143">
        <f ca="1" t="shared" si="18"/>
        <v>9960</v>
      </c>
      <c r="E204" s="143">
        <f ca="1" t="shared" si="19"/>
        <v>159000</v>
      </c>
      <c r="F204" s="143">
        <f ca="1" t="shared" si="20"/>
        <v>713</v>
      </c>
      <c r="G204" s="143">
        <f ca="1" t="shared" si="21"/>
        <v>0</v>
      </c>
      <c r="H204" s="143">
        <f ca="1" t="shared" si="22"/>
        <v>0</v>
      </c>
      <c r="I204" s="143">
        <f ca="1" t="shared" si="23"/>
        <v>79950</v>
      </c>
      <c r="J204" s="101">
        <f ca="1">OFFSET(梦灵养成!$Y$29,MATCH(D204,梦灵养成!$C$30:$C$629,1),0)</f>
        <v>19800</v>
      </c>
      <c r="K204" s="101">
        <f ca="1" t="shared" si="24"/>
        <v>11130</v>
      </c>
      <c r="L204" s="101">
        <f ca="1">OFFSET(洗练性价比!$N$52,MATCH(F204*60,洗练性价比!$C$53:$C$2052,1),0)</f>
        <v>4680</v>
      </c>
    </row>
    <row r="205" spans="2:12">
      <c r="B205" s="95">
        <v>160</v>
      </c>
      <c r="C205" s="101">
        <f t="shared" si="25"/>
        <v>0</v>
      </c>
      <c r="D205" s="143">
        <f ca="1" t="shared" si="18"/>
        <v>10020</v>
      </c>
      <c r="E205" s="143">
        <f ca="1" t="shared" si="19"/>
        <v>160000</v>
      </c>
      <c r="F205" s="143">
        <f ca="1" t="shared" si="20"/>
        <v>717</v>
      </c>
      <c r="G205" s="143">
        <f ca="1" t="shared" si="21"/>
        <v>0</v>
      </c>
      <c r="H205" s="143">
        <f ca="1" t="shared" si="22"/>
        <v>0</v>
      </c>
      <c r="I205" s="143">
        <f ca="1" t="shared" si="23"/>
        <v>80400</v>
      </c>
      <c r="J205" s="101">
        <f ca="1">OFFSET(梦灵养成!$Y$29,MATCH(D205,梦灵养成!$C$30:$C$629,1),0)</f>
        <v>18000</v>
      </c>
      <c r="K205" s="101">
        <f ca="1" t="shared" si="24"/>
        <v>11200</v>
      </c>
      <c r="L205" s="101">
        <f ca="1">OFFSET(洗练性价比!$N$52,MATCH(F205*60,洗练性价比!$C$53:$C$2052,1),0)</f>
        <v>4680</v>
      </c>
    </row>
    <row r="206" spans="2:12">
      <c r="B206" s="95">
        <v>161</v>
      </c>
      <c r="C206" s="101">
        <f t="shared" si="25"/>
        <v>0</v>
      </c>
      <c r="D206" s="143">
        <f ca="1" t="shared" si="18"/>
        <v>10080</v>
      </c>
      <c r="E206" s="143">
        <f ca="1" t="shared" si="19"/>
        <v>161000</v>
      </c>
      <c r="F206" s="143">
        <f ca="1" t="shared" si="20"/>
        <v>721</v>
      </c>
      <c r="G206" s="143">
        <f ca="1" t="shared" si="21"/>
        <v>0</v>
      </c>
      <c r="H206" s="143">
        <f ca="1" t="shared" si="22"/>
        <v>0</v>
      </c>
      <c r="I206" s="143">
        <f ca="1" t="shared" si="23"/>
        <v>80850</v>
      </c>
      <c r="J206" s="101">
        <f ca="1">OFFSET(梦灵养成!$Y$29,MATCH(D206,梦灵养成!$C$30:$C$629,1),0)</f>
        <v>18000</v>
      </c>
      <c r="K206" s="101">
        <f ca="1" t="shared" si="24"/>
        <v>11270</v>
      </c>
      <c r="L206" s="101">
        <f ca="1">OFFSET(洗练性价比!$N$52,MATCH(F206*60,洗练性价比!$C$53:$C$2052,1),0)</f>
        <v>4680</v>
      </c>
    </row>
    <row r="207" spans="2:12">
      <c r="B207" s="95">
        <v>162</v>
      </c>
      <c r="C207" s="101">
        <f t="shared" si="25"/>
        <v>0</v>
      </c>
      <c r="D207" s="143">
        <f ca="1" t="shared" si="18"/>
        <v>10140</v>
      </c>
      <c r="E207" s="143">
        <f ca="1" t="shared" si="19"/>
        <v>162000</v>
      </c>
      <c r="F207" s="143">
        <f ca="1" t="shared" si="20"/>
        <v>725</v>
      </c>
      <c r="G207" s="143">
        <f ca="1" t="shared" si="21"/>
        <v>0</v>
      </c>
      <c r="H207" s="143">
        <f ca="1" t="shared" si="22"/>
        <v>0</v>
      </c>
      <c r="I207" s="143">
        <f ca="1" t="shared" si="23"/>
        <v>81300</v>
      </c>
      <c r="J207" s="101">
        <f ca="1">OFFSET(梦灵养成!$Y$29,MATCH(D207,梦灵养成!$C$30:$C$629,1),0)</f>
        <v>16200</v>
      </c>
      <c r="K207" s="101">
        <f ca="1" t="shared" si="24"/>
        <v>11340</v>
      </c>
      <c r="L207" s="101">
        <f ca="1">OFFSET(洗练性价比!$N$52,MATCH(F207*60,洗练性价比!$C$53:$C$2052,1),0)</f>
        <v>4680</v>
      </c>
    </row>
    <row r="208" spans="2:12">
      <c r="B208" s="95">
        <v>163</v>
      </c>
      <c r="C208" s="101">
        <f t="shared" si="25"/>
        <v>0</v>
      </c>
      <c r="D208" s="143">
        <f ca="1" t="shared" si="18"/>
        <v>10200</v>
      </c>
      <c r="E208" s="143">
        <f ca="1" t="shared" si="19"/>
        <v>163000</v>
      </c>
      <c r="F208" s="143">
        <f ca="1" t="shared" si="20"/>
        <v>729</v>
      </c>
      <c r="G208" s="143">
        <f ca="1" t="shared" si="21"/>
        <v>0</v>
      </c>
      <c r="H208" s="143">
        <f ca="1" t="shared" si="22"/>
        <v>0</v>
      </c>
      <c r="I208" s="143">
        <f ca="1" t="shared" si="23"/>
        <v>81750</v>
      </c>
      <c r="J208" s="101">
        <f ca="1">OFFSET(梦灵养成!$Y$29,MATCH(D208,梦灵养成!$C$30:$C$629,1),0)</f>
        <v>14400</v>
      </c>
      <c r="K208" s="101">
        <f ca="1" t="shared" si="24"/>
        <v>11410</v>
      </c>
      <c r="L208" s="101">
        <f ca="1">OFFSET(洗练性价比!$N$52,MATCH(F208*60,洗练性价比!$C$53:$C$2052,1),0)</f>
        <v>4680</v>
      </c>
    </row>
    <row r="209" spans="2:12">
      <c r="B209" s="95">
        <v>164</v>
      </c>
      <c r="C209" s="101">
        <f t="shared" si="25"/>
        <v>0</v>
      </c>
      <c r="D209" s="143">
        <f ca="1" t="shared" si="18"/>
        <v>10260</v>
      </c>
      <c r="E209" s="143">
        <f ca="1" t="shared" si="19"/>
        <v>164000</v>
      </c>
      <c r="F209" s="143">
        <f ca="1" t="shared" si="20"/>
        <v>733</v>
      </c>
      <c r="G209" s="143">
        <f ca="1" t="shared" si="21"/>
        <v>0</v>
      </c>
      <c r="H209" s="143">
        <f ca="1" t="shared" si="22"/>
        <v>0</v>
      </c>
      <c r="I209" s="143">
        <f ca="1" t="shared" si="23"/>
        <v>82200</v>
      </c>
      <c r="J209" s="101">
        <f ca="1">OFFSET(梦灵养成!$Y$29,MATCH(D209,梦灵养成!$C$30:$C$629,1),0)</f>
        <v>14400</v>
      </c>
      <c r="K209" s="101">
        <f ca="1" t="shared" si="24"/>
        <v>11480</v>
      </c>
      <c r="L209" s="101">
        <f ca="1">OFFSET(洗练性价比!$N$52,MATCH(F209*60,洗练性价比!$C$53:$C$2052,1),0)</f>
        <v>4680</v>
      </c>
    </row>
    <row r="210" spans="2:12">
      <c r="B210" s="95">
        <v>165</v>
      </c>
      <c r="C210" s="101">
        <f t="shared" si="25"/>
        <v>0</v>
      </c>
      <c r="D210" s="143">
        <f ca="1" t="shared" si="18"/>
        <v>10320</v>
      </c>
      <c r="E210" s="143">
        <f ca="1" t="shared" si="19"/>
        <v>165000</v>
      </c>
      <c r="F210" s="143">
        <f ca="1" t="shared" si="20"/>
        <v>737</v>
      </c>
      <c r="G210" s="143">
        <f ca="1" t="shared" si="21"/>
        <v>0</v>
      </c>
      <c r="H210" s="143">
        <f ca="1" t="shared" si="22"/>
        <v>0</v>
      </c>
      <c r="I210" s="143">
        <f ca="1" t="shared" si="23"/>
        <v>82650</v>
      </c>
      <c r="J210" s="101">
        <f ca="1">OFFSET(梦灵养成!$Y$29,MATCH(D210,梦灵养成!$C$30:$C$629,1),0)</f>
        <v>12600</v>
      </c>
      <c r="K210" s="101">
        <f ca="1" t="shared" si="24"/>
        <v>11550</v>
      </c>
      <c r="L210" s="101">
        <f ca="1">OFFSET(洗练性价比!$N$52,MATCH(F210*60,洗练性价比!$C$53:$C$2052,1),0)</f>
        <v>4680</v>
      </c>
    </row>
    <row r="211" spans="2:12">
      <c r="B211" s="95">
        <v>166</v>
      </c>
      <c r="C211" s="101">
        <f t="shared" si="25"/>
        <v>0</v>
      </c>
      <c r="D211" s="143">
        <f ca="1" t="shared" si="18"/>
        <v>10380</v>
      </c>
      <c r="E211" s="143">
        <f ca="1" t="shared" si="19"/>
        <v>166000</v>
      </c>
      <c r="F211" s="143">
        <f ca="1" t="shared" si="20"/>
        <v>741</v>
      </c>
      <c r="G211" s="143">
        <f ca="1" t="shared" si="21"/>
        <v>0</v>
      </c>
      <c r="H211" s="143">
        <f ca="1" t="shared" si="22"/>
        <v>0</v>
      </c>
      <c r="I211" s="143">
        <f ca="1" t="shared" si="23"/>
        <v>83100</v>
      </c>
      <c r="J211" s="101">
        <f ca="1">OFFSET(梦灵养成!$Y$29,MATCH(D211,梦灵养成!$C$30:$C$629,1),0)</f>
        <v>12600</v>
      </c>
      <c r="K211" s="101">
        <f ca="1" t="shared" si="24"/>
        <v>11620</v>
      </c>
      <c r="L211" s="101">
        <f ca="1">OFFSET(洗练性价比!$N$52,MATCH(F211*60,洗练性价比!$C$53:$C$2052,1),0)</f>
        <v>4680</v>
      </c>
    </row>
    <row r="212" spans="2:12">
      <c r="B212" s="95">
        <v>167</v>
      </c>
      <c r="C212" s="101">
        <f t="shared" si="25"/>
        <v>0</v>
      </c>
      <c r="D212" s="143">
        <f ca="1" t="shared" si="18"/>
        <v>10440</v>
      </c>
      <c r="E212" s="143">
        <f ca="1" t="shared" si="19"/>
        <v>167000</v>
      </c>
      <c r="F212" s="143">
        <f ca="1" t="shared" si="20"/>
        <v>745</v>
      </c>
      <c r="G212" s="143">
        <f ca="1" t="shared" si="21"/>
        <v>0</v>
      </c>
      <c r="H212" s="143">
        <f ca="1" t="shared" si="22"/>
        <v>0</v>
      </c>
      <c r="I212" s="143">
        <f ca="1" t="shared" si="23"/>
        <v>83550</v>
      </c>
      <c r="J212" s="101">
        <f ca="1">OFFSET(梦灵养成!$Y$29,MATCH(D212,梦灵养成!$C$30:$C$629,1),0)</f>
        <v>10800</v>
      </c>
      <c r="K212" s="101">
        <f ca="1" t="shared" si="24"/>
        <v>11690</v>
      </c>
      <c r="L212" s="101">
        <f ca="1">OFFSET(洗练性价比!$N$52,MATCH(F212*60,洗练性价比!$C$53:$C$2052,1),0)</f>
        <v>4680</v>
      </c>
    </row>
    <row r="213" spans="2:12">
      <c r="B213" s="95">
        <v>168</v>
      </c>
      <c r="C213" s="101">
        <f t="shared" si="25"/>
        <v>0</v>
      </c>
      <c r="D213" s="143">
        <f ca="1" t="shared" si="18"/>
        <v>10500</v>
      </c>
      <c r="E213" s="143">
        <f ca="1" t="shared" si="19"/>
        <v>168000</v>
      </c>
      <c r="F213" s="143">
        <f ca="1" t="shared" si="20"/>
        <v>749</v>
      </c>
      <c r="G213" s="143">
        <f ca="1" t="shared" si="21"/>
        <v>0</v>
      </c>
      <c r="H213" s="143">
        <f ca="1" t="shared" si="22"/>
        <v>0</v>
      </c>
      <c r="I213" s="143">
        <f ca="1" t="shared" si="23"/>
        <v>84000</v>
      </c>
      <c r="J213" s="101">
        <f ca="1">OFFSET(梦灵养成!$Y$29,MATCH(D213,梦灵养成!$C$30:$C$629,1),0)</f>
        <v>9000</v>
      </c>
      <c r="K213" s="101">
        <f ca="1" t="shared" si="24"/>
        <v>11760</v>
      </c>
      <c r="L213" s="101">
        <f ca="1">OFFSET(洗练性价比!$N$52,MATCH(F213*60,洗练性价比!$C$53:$C$2052,1),0)</f>
        <v>4680</v>
      </c>
    </row>
    <row r="214" spans="2:12">
      <c r="B214" s="95">
        <v>169</v>
      </c>
      <c r="C214" s="101">
        <f t="shared" si="25"/>
        <v>0</v>
      </c>
      <c r="D214" s="143">
        <f ca="1" t="shared" si="18"/>
        <v>10560</v>
      </c>
      <c r="E214" s="143">
        <f ca="1" t="shared" si="19"/>
        <v>169000</v>
      </c>
      <c r="F214" s="143">
        <f ca="1" t="shared" si="20"/>
        <v>753</v>
      </c>
      <c r="G214" s="143">
        <f ca="1" t="shared" si="21"/>
        <v>0</v>
      </c>
      <c r="H214" s="143">
        <f ca="1" t="shared" si="22"/>
        <v>0</v>
      </c>
      <c r="I214" s="143">
        <f ca="1" t="shared" si="23"/>
        <v>84450</v>
      </c>
      <c r="J214" s="101">
        <f ca="1">OFFSET(梦灵养成!$Y$29,MATCH(D214,梦灵养成!$C$30:$C$629,1),0)</f>
        <v>9000</v>
      </c>
      <c r="K214" s="101">
        <f ca="1" t="shared" si="24"/>
        <v>11830</v>
      </c>
      <c r="L214" s="101">
        <f ca="1">OFFSET(洗练性价比!$N$52,MATCH(F214*60,洗练性价比!$C$53:$C$2052,1),0)</f>
        <v>4680</v>
      </c>
    </row>
    <row r="215" spans="2:12">
      <c r="B215" s="95">
        <v>170</v>
      </c>
      <c r="C215" s="101">
        <f t="shared" si="25"/>
        <v>0</v>
      </c>
      <c r="D215" s="143">
        <f ca="1" t="shared" si="18"/>
        <v>10620</v>
      </c>
      <c r="E215" s="143">
        <f ca="1" t="shared" si="19"/>
        <v>170000</v>
      </c>
      <c r="F215" s="143">
        <f ca="1" t="shared" si="20"/>
        <v>757</v>
      </c>
      <c r="G215" s="143">
        <f ca="1" t="shared" si="21"/>
        <v>0</v>
      </c>
      <c r="H215" s="143">
        <f ca="1" t="shared" si="22"/>
        <v>0</v>
      </c>
      <c r="I215" s="143">
        <f ca="1" t="shared" si="23"/>
        <v>84900</v>
      </c>
      <c r="J215" s="101">
        <f ca="1">OFFSET(梦灵养成!$Y$29,MATCH(D215,梦灵养成!$C$30:$C$629,1),0)</f>
        <v>7200</v>
      </c>
      <c r="K215" s="101">
        <f ca="1" t="shared" si="24"/>
        <v>11900</v>
      </c>
      <c r="L215" s="101">
        <f ca="1">OFFSET(洗练性价比!$N$52,MATCH(F215*60,洗练性价比!$C$53:$C$2052,1),0)</f>
        <v>4680</v>
      </c>
    </row>
    <row r="216" spans="2:12">
      <c r="B216" s="95">
        <v>171</v>
      </c>
      <c r="C216" s="101">
        <f t="shared" si="25"/>
        <v>0</v>
      </c>
      <c r="D216" s="143">
        <f ca="1" t="shared" si="18"/>
        <v>10680</v>
      </c>
      <c r="E216" s="143">
        <f ca="1" t="shared" si="19"/>
        <v>171000</v>
      </c>
      <c r="F216" s="143">
        <f ca="1" t="shared" si="20"/>
        <v>761</v>
      </c>
      <c r="G216" s="143">
        <f ca="1" t="shared" si="21"/>
        <v>0</v>
      </c>
      <c r="H216" s="143">
        <f ca="1" t="shared" si="22"/>
        <v>0</v>
      </c>
      <c r="I216" s="143">
        <f ca="1" t="shared" si="23"/>
        <v>85350</v>
      </c>
      <c r="J216" s="101">
        <f ca="1">OFFSET(梦灵养成!$Y$29,MATCH(D216,梦灵养成!$C$30:$C$629,1),0)</f>
        <v>7200</v>
      </c>
      <c r="K216" s="101">
        <f ca="1" t="shared" si="24"/>
        <v>11970</v>
      </c>
      <c r="L216" s="101">
        <f ca="1">OFFSET(洗练性价比!$N$52,MATCH(F216*60,洗练性价比!$C$53:$C$2052,1),0)</f>
        <v>4680</v>
      </c>
    </row>
    <row r="217" spans="2:12">
      <c r="B217" s="95">
        <v>172</v>
      </c>
      <c r="C217" s="101">
        <f t="shared" si="25"/>
        <v>0</v>
      </c>
      <c r="D217" s="143">
        <f ca="1" t="shared" si="18"/>
        <v>10740</v>
      </c>
      <c r="E217" s="143">
        <f ca="1" t="shared" si="19"/>
        <v>172000</v>
      </c>
      <c r="F217" s="143">
        <f ca="1" t="shared" si="20"/>
        <v>765</v>
      </c>
      <c r="G217" s="143">
        <f ca="1" t="shared" si="21"/>
        <v>0</v>
      </c>
      <c r="H217" s="143">
        <f ca="1" t="shared" si="22"/>
        <v>0</v>
      </c>
      <c r="I217" s="143">
        <f ca="1" t="shared" si="23"/>
        <v>85800</v>
      </c>
      <c r="J217" s="101">
        <f ca="1">OFFSET(梦灵养成!$Y$29,MATCH(D217,梦灵养成!$C$30:$C$629,1),0)</f>
        <v>5400</v>
      </c>
      <c r="K217" s="101">
        <f ca="1" t="shared" si="24"/>
        <v>12040</v>
      </c>
      <c r="L217" s="101">
        <f ca="1">OFFSET(洗练性价比!$N$52,MATCH(F217*60,洗练性价比!$C$53:$C$2052,1),0)</f>
        <v>4680</v>
      </c>
    </row>
    <row r="218" spans="2:12">
      <c r="B218" s="95">
        <v>173</v>
      </c>
      <c r="C218" s="101">
        <f t="shared" si="25"/>
        <v>0</v>
      </c>
      <c r="D218" s="143">
        <f ca="1" t="shared" si="18"/>
        <v>10800</v>
      </c>
      <c r="E218" s="143">
        <f ca="1" t="shared" si="19"/>
        <v>173000</v>
      </c>
      <c r="F218" s="143">
        <f ca="1" t="shared" si="20"/>
        <v>769</v>
      </c>
      <c r="G218" s="143">
        <f ca="1" t="shared" si="21"/>
        <v>0</v>
      </c>
      <c r="H218" s="143">
        <f ca="1" t="shared" si="22"/>
        <v>0</v>
      </c>
      <c r="I218" s="143">
        <f ca="1" t="shared" si="23"/>
        <v>86250</v>
      </c>
      <c r="J218" s="101">
        <f ca="1">OFFSET(梦灵养成!$Y$29,MATCH(D218,梦灵养成!$C$30:$C$629,1),0)</f>
        <v>3600</v>
      </c>
      <c r="K218" s="101">
        <f ca="1" t="shared" si="24"/>
        <v>12110</v>
      </c>
      <c r="L218" s="101">
        <f ca="1">OFFSET(洗练性价比!$N$52,MATCH(F218*60,洗练性价比!$C$53:$C$2052,1),0)</f>
        <v>4680</v>
      </c>
    </row>
    <row r="219" spans="2:12">
      <c r="B219" s="95">
        <v>174</v>
      </c>
      <c r="C219" s="101">
        <f t="shared" si="25"/>
        <v>0</v>
      </c>
      <c r="D219" s="143">
        <f ca="1" t="shared" si="18"/>
        <v>10860</v>
      </c>
      <c r="E219" s="143">
        <f ca="1" t="shared" si="19"/>
        <v>174000</v>
      </c>
      <c r="F219" s="143">
        <f ca="1" t="shared" si="20"/>
        <v>773</v>
      </c>
      <c r="G219" s="143">
        <f ca="1" t="shared" si="21"/>
        <v>0</v>
      </c>
      <c r="H219" s="143">
        <f ca="1" t="shared" si="22"/>
        <v>0</v>
      </c>
      <c r="I219" s="143">
        <f ca="1" t="shared" si="23"/>
        <v>86700</v>
      </c>
      <c r="J219" s="101">
        <f ca="1">OFFSET(梦灵养成!$Y$29,MATCH(D219,梦灵养成!$C$30:$C$629,1),0)</f>
        <v>3600</v>
      </c>
      <c r="K219" s="101">
        <f ca="1" t="shared" si="24"/>
        <v>12180</v>
      </c>
      <c r="L219" s="101">
        <f ca="1">OFFSET(洗练性价比!$N$52,MATCH(F219*60,洗练性价比!$C$53:$C$2052,1),0)</f>
        <v>4680</v>
      </c>
    </row>
    <row r="220" spans="2:12">
      <c r="B220" s="95">
        <v>175</v>
      </c>
      <c r="C220" s="101">
        <f t="shared" si="25"/>
        <v>0</v>
      </c>
      <c r="D220" s="143">
        <f ca="1" t="shared" si="18"/>
        <v>10920</v>
      </c>
      <c r="E220" s="143">
        <f ca="1" t="shared" si="19"/>
        <v>175000</v>
      </c>
      <c r="F220" s="143">
        <f ca="1" t="shared" si="20"/>
        <v>777</v>
      </c>
      <c r="G220" s="143">
        <f ca="1" t="shared" si="21"/>
        <v>0</v>
      </c>
      <c r="H220" s="143">
        <f ca="1" t="shared" si="22"/>
        <v>0</v>
      </c>
      <c r="I220" s="143">
        <f ca="1" t="shared" si="23"/>
        <v>87150</v>
      </c>
      <c r="J220" s="101">
        <f ca="1">OFFSET(梦灵养成!$Y$29,MATCH(D220,梦灵养成!$C$30:$C$629,1),0)</f>
        <v>1800</v>
      </c>
      <c r="K220" s="101">
        <f ca="1" t="shared" si="24"/>
        <v>12250</v>
      </c>
      <c r="L220" s="101">
        <f ca="1">OFFSET(洗练性价比!$N$52,MATCH(F220*60,洗练性价比!$C$53:$C$2052,1),0)</f>
        <v>4680</v>
      </c>
    </row>
    <row r="221" spans="2:12">
      <c r="B221" s="95">
        <v>176</v>
      </c>
      <c r="C221" s="101">
        <f t="shared" si="25"/>
        <v>0</v>
      </c>
      <c r="D221" s="143">
        <f ca="1" t="shared" si="18"/>
        <v>10980</v>
      </c>
      <c r="E221" s="143">
        <f ca="1" t="shared" si="19"/>
        <v>176000</v>
      </c>
      <c r="F221" s="143">
        <f ca="1" t="shared" si="20"/>
        <v>781</v>
      </c>
      <c r="G221" s="143">
        <f ca="1" t="shared" si="21"/>
        <v>0</v>
      </c>
      <c r="H221" s="143">
        <f ca="1" t="shared" si="22"/>
        <v>0</v>
      </c>
      <c r="I221" s="143">
        <f ca="1" t="shared" si="23"/>
        <v>87600</v>
      </c>
      <c r="J221" s="101">
        <f ca="1">OFFSET(梦灵养成!$Y$29,MATCH(D221,梦灵养成!$C$30:$C$629,1),0)</f>
        <v>1800</v>
      </c>
      <c r="K221" s="101">
        <f ca="1" t="shared" si="24"/>
        <v>12320</v>
      </c>
      <c r="L221" s="101">
        <f ca="1">OFFSET(洗练性价比!$N$52,MATCH(F221*60,洗练性价比!$C$53:$C$2052,1),0)</f>
        <v>4680</v>
      </c>
    </row>
    <row r="222" spans="2:12">
      <c r="B222" s="95">
        <v>177</v>
      </c>
      <c r="C222" s="101">
        <f t="shared" si="25"/>
        <v>0</v>
      </c>
      <c r="D222" s="143">
        <f ca="1" t="shared" si="18"/>
        <v>11040</v>
      </c>
      <c r="E222" s="143">
        <f ca="1" t="shared" si="19"/>
        <v>177000</v>
      </c>
      <c r="F222" s="143">
        <f ca="1" t="shared" si="20"/>
        <v>785</v>
      </c>
      <c r="G222" s="143">
        <f ca="1" t="shared" si="21"/>
        <v>0</v>
      </c>
      <c r="H222" s="143">
        <f ca="1" t="shared" si="22"/>
        <v>0</v>
      </c>
      <c r="I222" s="143">
        <f ca="1" t="shared" si="23"/>
        <v>88050</v>
      </c>
      <c r="J222" s="101">
        <f ca="1">OFFSET(梦灵养成!$Y$29,MATCH(D222,梦灵养成!$C$30:$C$629,1),0)</f>
        <v>36000</v>
      </c>
      <c r="K222" s="101">
        <f ca="1" t="shared" si="24"/>
        <v>12390</v>
      </c>
      <c r="L222" s="101">
        <f ca="1">OFFSET(洗练性价比!$N$52,MATCH(F222*60,洗练性价比!$C$53:$C$2052,1),0)</f>
        <v>4680</v>
      </c>
    </row>
    <row r="223" spans="2:12">
      <c r="B223" s="95">
        <v>178</v>
      </c>
      <c r="C223" s="101">
        <f t="shared" si="25"/>
        <v>0</v>
      </c>
      <c r="D223" s="143">
        <f ca="1" t="shared" si="18"/>
        <v>11100</v>
      </c>
      <c r="E223" s="143">
        <f ca="1" t="shared" si="19"/>
        <v>178000</v>
      </c>
      <c r="F223" s="143">
        <f ca="1" t="shared" si="20"/>
        <v>789</v>
      </c>
      <c r="G223" s="143">
        <f ca="1" t="shared" si="21"/>
        <v>0</v>
      </c>
      <c r="H223" s="143">
        <f ca="1" t="shared" si="22"/>
        <v>0</v>
      </c>
      <c r="I223" s="143">
        <f ca="1" t="shared" si="23"/>
        <v>88500</v>
      </c>
      <c r="J223" s="101">
        <f ca="1">OFFSET(梦灵养成!$Y$29,MATCH(D223,梦灵养成!$C$30:$C$629,1),0)</f>
        <v>34200</v>
      </c>
      <c r="K223" s="101">
        <f ca="1" t="shared" si="24"/>
        <v>12460</v>
      </c>
      <c r="L223" s="101">
        <f ca="1">OFFSET(洗练性价比!$N$52,MATCH(F223*60,洗练性价比!$C$53:$C$2052,1),0)</f>
        <v>4680</v>
      </c>
    </row>
    <row r="224" spans="2:12">
      <c r="B224" s="95">
        <v>179</v>
      </c>
      <c r="C224" s="101">
        <f t="shared" si="25"/>
        <v>0</v>
      </c>
      <c r="D224" s="143">
        <f ca="1" t="shared" si="18"/>
        <v>11160</v>
      </c>
      <c r="E224" s="143">
        <f ca="1" t="shared" si="19"/>
        <v>179000</v>
      </c>
      <c r="F224" s="143">
        <f ca="1" t="shared" si="20"/>
        <v>793</v>
      </c>
      <c r="G224" s="143">
        <f ca="1" t="shared" si="21"/>
        <v>0</v>
      </c>
      <c r="H224" s="143">
        <f ca="1" t="shared" si="22"/>
        <v>0</v>
      </c>
      <c r="I224" s="143">
        <f ca="1" t="shared" si="23"/>
        <v>88950</v>
      </c>
      <c r="J224" s="101">
        <f ca="1">OFFSET(梦灵养成!$Y$29,MATCH(D224,梦灵养成!$C$30:$C$629,1),0)</f>
        <v>34200</v>
      </c>
      <c r="K224" s="101">
        <f ca="1" t="shared" si="24"/>
        <v>12530</v>
      </c>
      <c r="L224" s="101">
        <f ca="1">OFFSET(洗练性价比!$N$52,MATCH(F224*60,洗练性价比!$C$53:$C$2052,1),0)</f>
        <v>4680</v>
      </c>
    </row>
    <row r="225" spans="2:12">
      <c r="B225" s="95">
        <v>180</v>
      </c>
      <c r="C225" s="101">
        <f t="shared" si="25"/>
        <v>0</v>
      </c>
      <c r="D225" s="143">
        <f ca="1" t="shared" si="18"/>
        <v>11220</v>
      </c>
      <c r="E225" s="143">
        <f ca="1" t="shared" si="19"/>
        <v>180000</v>
      </c>
      <c r="F225" s="143">
        <f ca="1" t="shared" si="20"/>
        <v>797</v>
      </c>
      <c r="G225" s="143">
        <f ca="1" t="shared" si="21"/>
        <v>0</v>
      </c>
      <c r="H225" s="143">
        <f ca="1" t="shared" si="22"/>
        <v>0</v>
      </c>
      <c r="I225" s="143">
        <f ca="1" t="shared" si="23"/>
        <v>89400</v>
      </c>
      <c r="J225" s="101">
        <f ca="1">OFFSET(梦灵养成!$Y$29,MATCH(D225,梦灵养成!$C$30:$C$629,1),0)</f>
        <v>32400</v>
      </c>
      <c r="K225" s="101">
        <f ca="1" t="shared" si="24"/>
        <v>12600</v>
      </c>
      <c r="L225" s="101">
        <f ca="1">OFFSET(洗练性价比!$N$52,MATCH(F225*60,洗练性价比!$C$53:$C$2052,1),0)</f>
        <v>4680</v>
      </c>
    </row>
    <row r="226" spans="2:12">
      <c r="B226" s="95">
        <v>181</v>
      </c>
      <c r="C226" s="101">
        <f t="shared" si="25"/>
        <v>0</v>
      </c>
      <c r="D226" s="143">
        <f ca="1" t="shared" si="18"/>
        <v>11280</v>
      </c>
      <c r="E226" s="143">
        <f ca="1" t="shared" si="19"/>
        <v>181000</v>
      </c>
      <c r="F226" s="143">
        <f ca="1" t="shared" si="20"/>
        <v>801</v>
      </c>
      <c r="G226" s="143">
        <f ca="1" t="shared" si="21"/>
        <v>0</v>
      </c>
      <c r="H226" s="143">
        <f ca="1" t="shared" si="22"/>
        <v>0</v>
      </c>
      <c r="I226" s="143">
        <f ca="1" t="shared" si="23"/>
        <v>89850</v>
      </c>
      <c r="J226" s="101">
        <f ca="1">OFFSET(梦灵养成!$Y$29,MATCH(D226,梦灵养成!$C$30:$C$629,1),0)</f>
        <v>32400</v>
      </c>
      <c r="K226" s="101">
        <f ca="1" t="shared" si="24"/>
        <v>12670</v>
      </c>
      <c r="L226" s="101">
        <f ca="1">OFFSET(洗练性价比!$N$52,MATCH(F226*60,洗练性价比!$C$53:$C$2052,1),0)</f>
        <v>4680</v>
      </c>
    </row>
    <row r="227" spans="2:12">
      <c r="B227" s="95">
        <v>182</v>
      </c>
      <c r="C227" s="101">
        <f t="shared" si="25"/>
        <v>0</v>
      </c>
      <c r="D227" s="143">
        <f ca="1" t="shared" si="18"/>
        <v>11340</v>
      </c>
      <c r="E227" s="143">
        <f ca="1" t="shared" si="19"/>
        <v>182000</v>
      </c>
      <c r="F227" s="143">
        <f ca="1" t="shared" si="20"/>
        <v>805</v>
      </c>
      <c r="G227" s="143">
        <f ca="1" t="shared" si="21"/>
        <v>0</v>
      </c>
      <c r="H227" s="143">
        <f ca="1" t="shared" si="22"/>
        <v>0</v>
      </c>
      <c r="I227" s="143">
        <f ca="1" t="shared" si="23"/>
        <v>90300</v>
      </c>
      <c r="J227" s="101">
        <f ca="1">OFFSET(梦灵养成!$Y$29,MATCH(D227,梦灵养成!$C$30:$C$629,1),0)</f>
        <v>30600</v>
      </c>
      <c r="K227" s="101">
        <f ca="1" t="shared" si="24"/>
        <v>12740</v>
      </c>
      <c r="L227" s="101">
        <f ca="1">OFFSET(洗练性价比!$N$52,MATCH(F227*60,洗练性价比!$C$53:$C$2052,1),0)</f>
        <v>4680</v>
      </c>
    </row>
    <row r="228" spans="2:12">
      <c r="B228" s="95">
        <v>183</v>
      </c>
      <c r="C228" s="101">
        <f t="shared" si="25"/>
        <v>0</v>
      </c>
      <c r="D228" s="143">
        <f ca="1" t="shared" si="18"/>
        <v>11400</v>
      </c>
      <c r="E228" s="143">
        <f ca="1" t="shared" si="19"/>
        <v>183000</v>
      </c>
      <c r="F228" s="143">
        <f ca="1" t="shared" si="20"/>
        <v>809</v>
      </c>
      <c r="G228" s="143">
        <f ca="1" t="shared" si="21"/>
        <v>0</v>
      </c>
      <c r="H228" s="143">
        <f ca="1" t="shared" si="22"/>
        <v>0</v>
      </c>
      <c r="I228" s="143">
        <f ca="1" t="shared" si="23"/>
        <v>90750</v>
      </c>
      <c r="J228" s="101">
        <f ca="1">OFFSET(梦灵养成!$Y$29,MATCH(D228,梦灵养成!$C$30:$C$629,1),0)</f>
        <v>28800</v>
      </c>
      <c r="K228" s="101">
        <f ca="1" t="shared" si="24"/>
        <v>12810</v>
      </c>
      <c r="L228" s="101">
        <f ca="1">OFFSET(洗练性价比!$N$52,MATCH(F228*60,洗练性价比!$C$53:$C$2052,1),0)</f>
        <v>4680</v>
      </c>
    </row>
    <row r="229" spans="2:12">
      <c r="B229" s="95">
        <v>184</v>
      </c>
      <c r="C229" s="101">
        <f t="shared" si="25"/>
        <v>0</v>
      </c>
      <c r="D229" s="143">
        <f ca="1" t="shared" si="18"/>
        <v>11460</v>
      </c>
      <c r="E229" s="143">
        <f ca="1" t="shared" si="19"/>
        <v>184000</v>
      </c>
      <c r="F229" s="143">
        <f ca="1" t="shared" si="20"/>
        <v>813</v>
      </c>
      <c r="G229" s="143">
        <f ca="1" t="shared" si="21"/>
        <v>0</v>
      </c>
      <c r="H229" s="143">
        <f ca="1" t="shared" si="22"/>
        <v>0</v>
      </c>
      <c r="I229" s="143">
        <f ca="1" t="shared" si="23"/>
        <v>91200</v>
      </c>
      <c r="J229" s="101">
        <f ca="1">OFFSET(梦灵养成!$Y$29,MATCH(D229,梦灵养成!$C$30:$C$629,1),0)</f>
        <v>28800</v>
      </c>
      <c r="K229" s="101">
        <f ca="1" t="shared" si="24"/>
        <v>12880</v>
      </c>
      <c r="L229" s="101">
        <f ca="1">OFFSET(洗练性价比!$N$52,MATCH(F229*60,洗练性价比!$C$53:$C$2052,1),0)</f>
        <v>4680</v>
      </c>
    </row>
    <row r="230" spans="2:12">
      <c r="B230" s="95">
        <v>185</v>
      </c>
      <c r="C230" s="101">
        <f t="shared" si="25"/>
        <v>0</v>
      </c>
      <c r="D230" s="143">
        <f ca="1" t="shared" si="18"/>
        <v>11520</v>
      </c>
      <c r="E230" s="143">
        <f ca="1" t="shared" si="19"/>
        <v>185000</v>
      </c>
      <c r="F230" s="143">
        <f ca="1" t="shared" si="20"/>
        <v>817</v>
      </c>
      <c r="G230" s="143">
        <f ca="1" t="shared" si="21"/>
        <v>0</v>
      </c>
      <c r="H230" s="143">
        <f ca="1" t="shared" si="22"/>
        <v>0</v>
      </c>
      <c r="I230" s="143">
        <f ca="1" t="shared" si="23"/>
        <v>91650</v>
      </c>
      <c r="J230" s="101">
        <f ca="1">OFFSET(梦灵养成!$Y$29,MATCH(D230,梦灵养成!$C$30:$C$629,1),0)</f>
        <v>27000</v>
      </c>
      <c r="K230" s="101">
        <f ca="1" t="shared" si="24"/>
        <v>12950</v>
      </c>
      <c r="L230" s="101">
        <f ca="1">OFFSET(洗练性价比!$N$52,MATCH(F230*60,洗练性价比!$C$53:$C$2052,1),0)</f>
        <v>4680</v>
      </c>
    </row>
    <row r="231" spans="2:12">
      <c r="B231" s="95">
        <v>186</v>
      </c>
      <c r="C231" s="101">
        <f t="shared" si="25"/>
        <v>0</v>
      </c>
      <c r="D231" s="143">
        <f ca="1" t="shared" si="18"/>
        <v>11580</v>
      </c>
      <c r="E231" s="143">
        <f ca="1" t="shared" si="19"/>
        <v>186000</v>
      </c>
      <c r="F231" s="143">
        <f ca="1" t="shared" si="20"/>
        <v>821</v>
      </c>
      <c r="G231" s="143">
        <f ca="1" t="shared" si="21"/>
        <v>0</v>
      </c>
      <c r="H231" s="143">
        <f ca="1" t="shared" si="22"/>
        <v>0</v>
      </c>
      <c r="I231" s="143">
        <f ca="1" t="shared" si="23"/>
        <v>92100</v>
      </c>
      <c r="J231" s="101">
        <f ca="1">OFFSET(梦灵养成!$Y$29,MATCH(D231,梦灵养成!$C$30:$C$629,1),0)</f>
        <v>27000</v>
      </c>
      <c r="K231" s="101">
        <f ca="1" t="shared" si="24"/>
        <v>13020</v>
      </c>
      <c r="L231" s="101">
        <f ca="1">OFFSET(洗练性价比!$N$52,MATCH(F231*60,洗练性价比!$C$53:$C$2052,1),0)</f>
        <v>4680</v>
      </c>
    </row>
    <row r="232" spans="2:12">
      <c r="B232" s="95">
        <v>187</v>
      </c>
      <c r="C232" s="101">
        <f t="shared" si="25"/>
        <v>0</v>
      </c>
      <c r="D232" s="143">
        <f ca="1" t="shared" si="18"/>
        <v>11640</v>
      </c>
      <c r="E232" s="143">
        <f ca="1" t="shared" si="19"/>
        <v>187000</v>
      </c>
      <c r="F232" s="143">
        <f ca="1" t="shared" si="20"/>
        <v>825</v>
      </c>
      <c r="G232" s="143">
        <f ca="1" t="shared" si="21"/>
        <v>0</v>
      </c>
      <c r="H232" s="143">
        <f ca="1" t="shared" si="22"/>
        <v>0</v>
      </c>
      <c r="I232" s="143">
        <f ca="1" t="shared" si="23"/>
        <v>92550</v>
      </c>
      <c r="J232" s="101">
        <f ca="1">OFFSET(梦灵养成!$Y$29,MATCH(D232,梦灵养成!$C$30:$C$629,1),0)</f>
        <v>25200</v>
      </c>
      <c r="K232" s="101">
        <f ca="1" t="shared" si="24"/>
        <v>13090</v>
      </c>
      <c r="L232" s="101">
        <f ca="1">OFFSET(洗练性价比!$N$52,MATCH(F232*60,洗练性价比!$C$53:$C$2052,1),0)</f>
        <v>4680</v>
      </c>
    </row>
    <row r="233" spans="2:12">
      <c r="B233" s="95">
        <v>188</v>
      </c>
      <c r="C233" s="101">
        <f t="shared" si="25"/>
        <v>0</v>
      </c>
      <c r="D233" s="143">
        <f ca="1" t="shared" si="18"/>
        <v>11700</v>
      </c>
      <c r="E233" s="143">
        <f ca="1" t="shared" si="19"/>
        <v>188000</v>
      </c>
      <c r="F233" s="143">
        <f ca="1" t="shared" si="20"/>
        <v>829</v>
      </c>
      <c r="G233" s="143">
        <f ca="1" t="shared" si="21"/>
        <v>0</v>
      </c>
      <c r="H233" s="143">
        <f ca="1" t="shared" si="22"/>
        <v>0</v>
      </c>
      <c r="I233" s="143">
        <f ca="1" t="shared" si="23"/>
        <v>93000</v>
      </c>
      <c r="J233" s="101">
        <f ca="1">OFFSET(梦灵养成!$Y$29,MATCH(D233,梦灵养成!$C$30:$C$629,1),0)</f>
        <v>23400</v>
      </c>
      <c r="K233" s="101">
        <f ca="1" t="shared" si="24"/>
        <v>13160</v>
      </c>
      <c r="L233" s="101">
        <f ca="1">OFFSET(洗练性价比!$N$52,MATCH(F233*60,洗练性价比!$C$53:$C$2052,1),0)</f>
        <v>4680</v>
      </c>
    </row>
    <row r="234" spans="2:12">
      <c r="B234" s="95">
        <v>189</v>
      </c>
      <c r="C234" s="101">
        <f t="shared" si="25"/>
        <v>0</v>
      </c>
      <c r="D234" s="143">
        <f ca="1" t="shared" si="18"/>
        <v>11760</v>
      </c>
      <c r="E234" s="143">
        <f ca="1" t="shared" si="19"/>
        <v>189000</v>
      </c>
      <c r="F234" s="143">
        <f ca="1" t="shared" si="20"/>
        <v>833</v>
      </c>
      <c r="G234" s="143">
        <f ca="1" t="shared" si="21"/>
        <v>0</v>
      </c>
      <c r="H234" s="143">
        <f ca="1" t="shared" si="22"/>
        <v>0</v>
      </c>
      <c r="I234" s="143">
        <f ca="1" t="shared" si="23"/>
        <v>93450</v>
      </c>
      <c r="J234" s="101">
        <f ca="1">OFFSET(梦灵养成!$Y$29,MATCH(D234,梦灵养成!$C$30:$C$629,1),0)</f>
        <v>23400</v>
      </c>
      <c r="K234" s="101">
        <f ca="1" t="shared" si="24"/>
        <v>13230</v>
      </c>
      <c r="L234" s="101">
        <f ca="1">OFFSET(洗练性价比!$N$52,MATCH(F234*60,洗练性价比!$C$53:$C$2052,1),0)</f>
        <v>4680</v>
      </c>
    </row>
    <row r="235" spans="2:12">
      <c r="B235" s="95">
        <v>190</v>
      </c>
      <c r="C235" s="101">
        <f t="shared" si="25"/>
        <v>0</v>
      </c>
      <c r="D235" s="143">
        <f ca="1" t="shared" si="18"/>
        <v>11820</v>
      </c>
      <c r="E235" s="143">
        <f ca="1" t="shared" si="19"/>
        <v>190000</v>
      </c>
      <c r="F235" s="143">
        <f ca="1" t="shared" si="20"/>
        <v>837</v>
      </c>
      <c r="G235" s="143">
        <f ca="1" t="shared" si="21"/>
        <v>0</v>
      </c>
      <c r="H235" s="143">
        <f ca="1" t="shared" si="22"/>
        <v>0</v>
      </c>
      <c r="I235" s="143">
        <f ca="1" t="shared" si="23"/>
        <v>93900</v>
      </c>
      <c r="J235" s="101">
        <f ca="1">OFFSET(梦灵养成!$Y$29,MATCH(D235,梦灵养成!$C$30:$C$629,1),0)</f>
        <v>21600</v>
      </c>
      <c r="K235" s="101">
        <f ca="1" t="shared" si="24"/>
        <v>13300</v>
      </c>
      <c r="L235" s="101">
        <f ca="1">OFFSET(洗练性价比!$N$52,MATCH(F235*60,洗练性价比!$C$53:$C$2052,1),0)</f>
        <v>4680</v>
      </c>
    </row>
    <row r="236" spans="2:12">
      <c r="B236" s="95">
        <v>191</v>
      </c>
      <c r="C236" s="101">
        <f t="shared" si="25"/>
        <v>0</v>
      </c>
      <c r="D236" s="143">
        <f ca="1" t="shared" si="18"/>
        <v>11880</v>
      </c>
      <c r="E236" s="143">
        <f ca="1" t="shared" si="19"/>
        <v>191000</v>
      </c>
      <c r="F236" s="143">
        <f ca="1" t="shared" si="20"/>
        <v>841</v>
      </c>
      <c r="G236" s="143">
        <f ca="1" t="shared" si="21"/>
        <v>0</v>
      </c>
      <c r="H236" s="143">
        <f ca="1" t="shared" si="22"/>
        <v>0</v>
      </c>
      <c r="I236" s="143">
        <f ca="1" t="shared" si="23"/>
        <v>94350</v>
      </c>
      <c r="J236" s="101">
        <f ca="1">OFFSET(梦灵养成!$Y$29,MATCH(D236,梦灵养成!$C$30:$C$629,1),0)</f>
        <v>21600</v>
      </c>
      <c r="K236" s="101">
        <f ca="1" t="shared" si="24"/>
        <v>13370</v>
      </c>
      <c r="L236" s="101">
        <f ca="1">OFFSET(洗练性价比!$N$52,MATCH(F236*60,洗练性价比!$C$53:$C$2052,1),0)</f>
        <v>4680</v>
      </c>
    </row>
    <row r="237" spans="2:12">
      <c r="B237" s="95">
        <v>192</v>
      </c>
      <c r="C237" s="101">
        <f t="shared" si="25"/>
        <v>0</v>
      </c>
      <c r="D237" s="143">
        <f ca="1" t="shared" si="18"/>
        <v>11940</v>
      </c>
      <c r="E237" s="143">
        <f ca="1" t="shared" si="19"/>
        <v>192000</v>
      </c>
      <c r="F237" s="143">
        <f ca="1" t="shared" si="20"/>
        <v>845</v>
      </c>
      <c r="G237" s="143">
        <f ca="1" t="shared" si="21"/>
        <v>0</v>
      </c>
      <c r="H237" s="143">
        <f ca="1" t="shared" si="22"/>
        <v>0</v>
      </c>
      <c r="I237" s="143">
        <f ca="1" t="shared" si="23"/>
        <v>94800</v>
      </c>
      <c r="J237" s="101">
        <f ca="1">OFFSET(梦灵养成!$Y$29,MATCH(D237,梦灵养成!$C$30:$C$629,1),0)</f>
        <v>19800</v>
      </c>
      <c r="K237" s="101">
        <f ca="1" t="shared" si="24"/>
        <v>13440</v>
      </c>
      <c r="L237" s="101">
        <f ca="1">OFFSET(洗练性价比!$N$52,MATCH(F237*60,洗练性价比!$C$53:$C$2052,1),0)</f>
        <v>4680</v>
      </c>
    </row>
    <row r="238" spans="2:12">
      <c r="B238" s="95">
        <v>193</v>
      </c>
      <c r="C238" s="101">
        <f t="shared" si="25"/>
        <v>0</v>
      </c>
      <c r="D238" s="143">
        <f ca="1" t="shared" si="18"/>
        <v>12000</v>
      </c>
      <c r="E238" s="143">
        <f ca="1" t="shared" si="19"/>
        <v>193000</v>
      </c>
      <c r="F238" s="143">
        <f ca="1" t="shared" si="20"/>
        <v>849</v>
      </c>
      <c r="G238" s="143">
        <f ca="1" t="shared" si="21"/>
        <v>0</v>
      </c>
      <c r="H238" s="143">
        <f ca="1" t="shared" si="22"/>
        <v>0</v>
      </c>
      <c r="I238" s="143">
        <f ca="1" t="shared" si="23"/>
        <v>95250</v>
      </c>
      <c r="J238" s="101">
        <f ca="1">OFFSET(梦灵养成!$Y$29,MATCH(D238,梦灵养成!$C$30:$C$629,1),0)</f>
        <v>18000</v>
      </c>
      <c r="K238" s="101">
        <f ca="1" t="shared" si="24"/>
        <v>13510</v>
      </c>
      <c r="L238" s="101">
        <f ca="1">OFFSET(洗练性价比!$N$52,MATCH(F238*60,洗练性价比!$C$53:$C$2052,1),0)</f>
        <v>4680</v>
      </c>
    </row>
    <row r="239" spans="2:12">
      <c r="B239" s="95">
        <v>194</v>
      </c>
      <c r="C239" s="101">
        <f t="shared" si="25"/>
        <v>0</v>
      </c>
      <c r="D239" s="143">
        <f ca="1" t="shared" ref="D239:D302" si="26">OFFSET($B$36,MATCH(D$45,$B$37:$B$42,0),1)*$B239+OFFSET($B$36,MATCH(D$45,$B$37:$B$42,0),2)*MIN($B239,7)+OFFSET($E$36,MATCH(D$45,$B$37:$B$42,0),0)*$C239*1.1/OFFSET($F$36,MATCH(D$45,$B$37:$B$42,0),0)</f>
        <v>12060</v>
      </c>
      <c r="E239" s="143">
        <f ca="1" t="shared" ref="E239:E302" si="27">OFFSET($B$36,MATCH(E$45,$B$37:$B$42,0),1)*$B239+OFFSET($B$36,MATCH(E$45,$B$37:$B$42,0),2)*MIN($B239,7)+OFFSET($E$36,MATCH(E$45,$B$37:$B$42,0),0)*$C239*1.1/OFFSET($F$36,MATCH(E$45,$B$37:$B$42,0),0)</f>
        <v>194000</v>
      </c>
      <c r="F239" s="143">
        <f ca="1" t="shared" ref="F239:F302" si="28">OFFSET($B$36,MATCH(F$45,$B$37:$B$42,0),1)*$B239+OFFSET($B$36,MATCH(F$45,$B$37:$B$42,0),2)*MIN($B239,7)+OFFSET($E$36,MATCH(F$45,$B$37:$B$42,0),0)*$C239*1.1/OFFSET($F$36,MATCH(F$45,$B$37:$B$42,0),0)</f>
        <v>853</v>
      </c>
      <c r="G239" s="143">
        <f ca="1" t="shared" ref="G239:G302" si="29">OFFSET($B$36,MATCH(G$45,$B$37:$B$42,0),1)*$B239+OFFSET($B$36,MATCH(G$45,$B$37:$B$42,0),2)*MIN($B239,7)+OFFSET($E$36,MATCH(G$45,$B$37:$B$42,0),0)*$C239*1.1/OFFSET($F$36,MATCH(G$45,$B$37:$B$42,0),0)</f>
        <v>0</v>
      </c>
      <c r="H239" s="143">
        <f ca="1" t="shared" ref="H239:H302" si="30">OFFSET($B$36,MATCH(H$45,$B$37:$B$42,0),1)*$B239+OFFSET($B$36,MATCH(H$45,$B$37:$B$42,0),2)*MIN($B239,7)+OFFSET($E$36,MATCH(H$45,$B$37:$B$42,0),0)*$C239*1.1/OFFSET($F$36,MATCH(H$45,$B$37:$B$42,0),0)</f>
        <v>0</v>
      </c>
      <c r="I239" s="143">
        <f ca="1" t="shared" ref="I239:I302" si="31">OFFSET($B$36,MATCH(I$45,$B$37:$B$42,0),1)*$B239+OFFSET($B$36,MATCH(I$45,$B$37:$B$42,0),2)*MIN($B239,7)+OFFSET($E$36,MATCH(I$45,$B$37:$B$42,0),0)*$C239*1.1/OFFSET($F$36,MATCH(I$45,$B$37:$B$42,0),0)</f>
        <v>95700</v>
      </c>
      <c r="J239" s="101">
        <f ca="1">OFFSET(梦灵养成!$Y$29,MATCH(D239,梦灵养成!$C$30:$C$629,1),0)</f>
        <v>18000</v>
      </c>
      <c r="K239" s="101">
        <f ca="1" t="shared" ref="K239:K302" si="32">E239*0.07</f>
        <v>13580</v>
      </c>
      <c r="L239" s="101">
        <f ca="1">OFFSET(洗练性价比!$N$52,MATCH(F239*60,洗练性价比!$C$53:$C$2052,1),0)</f>
        <v>4680</v>
      </c>
    </row>
    <row r="240" spans="2:12">
      <c r="B240" s="95">
        <v>195</v>
      </c>
      <c r="C240" s="101">
        <f t="shared" ref="C240:C303" si="33">C239+_xlfn.XLOOKUP($C$44,$C$28:$C$33,$F$28:$F$33)</f>
        <v>0</v>
      </c>
      <c r="D240" s="143">
        <f ca="1" t="shared" si="26"/>
        <v>12120</v>
      </c>
      <c r="E240" s="143">
        <f ca="1" t="shared" si="27"/>
        <v>195000</v>
      </c>
      <c r="F240" s="143">
        <f ca="1" t="shared" si="28"/>
        <v>857</v>
      </c>
      <c r="G240" s="143">
        <f ca="1" t="shared" si="29"/>
        <v>0</v>
      </c>
      <c r="H240" s="143">
        <f ca="1" t="shared" si="30"/>
        <v>0</v>
      </c>
      <c r="I240" s="143">
        <f ca="1" t="shared" si="31"/>
        <v>96150</v>
      </c>
      <c r="J240" s="101">
        <f ca="1">OFFSET(梦灵养成!$Y$29,MATCH(D240,梦灵养成!$C$30:$C$629,1),0)</f>
        <v>36000</v>
      </c>
      <c r="K240" s="101">
        <f ca="1" t="shared" si="32"/>
        <v>13650</v>
      </c>
      <c r="L240" s="101">
        <f ca="1">OFFSET(洗练性价比!$N$52,MATCH(F240*60,洗练性价比!$C$53:$C$2052,1),0)</f>
        <v>4680</v>
      </c>
    </row>
    <row r="241" spans="2:12">
      <c r="B241" s="95">
        <v>196</v>
      </c>
      <c r="C241" s="101">
        <f t="shared" si="33"/>
        <v>0</v>
      </c>
      <c r="D241" s="143">
        <f ca="1" t="shared" si="26"/>
        <v>12180</v>
      </c>
      <c r="E241" s="143">
        <f ca="1" t="shared" si="27"/>
        <v>196000</v>
      </c>
      <c r="F241" s="143">
        <f ca="1" t="shared" si="28"/>
        <v>861</v>
      </c>
      <c r="G241" s="143">
        <f ca="1" t="shared" si="29"/>
        <v>0</v>
      </c>
      <c r="H241" s="143">
        <f ca="1" t="shared" si="30"/>
        <v>0</v>
      </c>
      <c r="I241" s="143">
        <f ca="1" t="shared" si="31"/>
        <v>96600</v>
      </c>
      <c r="J241" s="101">
        <f ca="1">OFFSET(梦灵养成!$Y$29,MATCH(D241,梦灵养成!$C$30:$C$629,1),0)</f>
        <v>36000</v>
      </c>
      <c r="K241" s="101">
        <f ca="1" t="shared" si="32"/>
        <v>13720</v>
      </c>
      <c r="L241" s="101">
        <f ca="1">OFFSET(洗练性价比!$N$52,MATCH(F241*60,洗练性价比!$C$53:$C$2052,1),0)</f>
        <v>4680</v>
      </c>
    </row>
    <row r="242" spans="2:12">
      <c r="B242" s="95">
        <v>197</v>
      </c>
      <c r="C242" s="101">
        <f t="shared" si="33"/>
        <v>0</v>
      </c>
      <c r="D242" s="143">
        <f ca="1" t="shared" si="26"/>
        <v>12240</v>
      </c>
      <c r="E242" s="143">
        <f ca="1" t="shared" si="27"/>
        <v>197000</v>
      </c>
      <c r="F242" s="143">
        <f ca="1" t="shared" si="28"/>
        <v>865</v>
      </c>
      <c r="G242" s="143">
        <f ca="1" t="shared" si="29"/>
        <v>0</v>
      </c>
      <c r="H242" s="143">
        <f ca="1" t="shared" si="30"/>
        <v>0</v>
      </c>
      <c r="I242" s="143">
        <f ca="1" t="shared" si="31"/>
        <v>97050</v>
      </c>
      <c r="J242" s="101">
        <f ca="1">OFFSET(梦灵养成!$Y$29,MATCH(D242,梦灵养成!$C$30:$C$629,1),0)</f>
        <v>34200</v>
      </c>
      <c r="K242" s="101">
        <f ca="1" t="shared" si="32"/>
        <v>13790</v>
      </c>
      <c r="L242" s="101">
        <f ca="1">OFFSET(洗练性价比!$N$52,MATCH(F242*60,洗练性价比!$C$53:$C$2052,1),0)</f>
        <v>4680</v>
      </c>
    </row>
    <row r="243" spans="2:12">
      <c r="B243" s="95">
        <v>198</v>
      </c>
      <c r="C243" s="101">
        <f t="shared" si="33"/>
        <v>0</v>
      </c>
      <c r="D243" s="143">
        <f ca="1" t="shared" si="26"/>
        <v>12300</v>
      </c>
      <c r="E243" s="143">
        <f ca="1" t="shared" si="27"/>
        <v>198000</v>
      </c>
      <c r="F243" s="143">
        <f ca="1" t="shared" si="28"/>
        <v>869</v>
      </c>
      <c r="G243" s="143">
        <f ca="1" t="shared" si="29"/>
        <v>0</v>
      </c>
      <c r="H243" s="143">
        <f ca="1" t="shared" si="30"/>
        <v>0</v>
      </c>
      <c r="I243" s="143">
        <f ca="1" t="shared" si="31"/>
        <v>97500</v>
      </c>
      <c r="J243" s="101">
        <f ca="1">OFFSET(梦灵养成!$Y$29,MATCH(D243,梦灵养成!$C$30:$C$629,1),0)</f>
        <v>32400</v>
      </c>
      <c r="K243" s="101">
        <f ca="1" t="shared" si="32"/>
        <v>13860</v>
      </c>
      <c r="L243" s="101">
        <f ca="1">OFFSET(洗练性价比!$N$52,MATCH(F243*60,洗练性价比!$C$53:$C$2052,1),0)</f>
        <v>4680</v>
      </c>
    </row>
    <row r="244" spans="2:12">
      <c r="B244" s="95">
        <v>199</v>
      </c>
      <c r="C244" s="101">
        <f t="shared" si="33"/>
        <v>0</v>
      </c>
      <c r="D244" s="143">
        <f ca="1" t="shared" si="26"/>
        <v>12360</v>
      </c>
      <c r="E244" s="143">
        <f ca="1" t="shared" si="27"/>
        <v>199000</v>
      </c>
      <c r="F244" s="143">
        <f ca="1" t="shared" si="28"/>
        <v>873</v>
      </c>
      <c r="G244" s="143">
        <f ca="1" t="shared" si="29"/>
        <v>0</v>
      </c>
      <c r="H244" s="143">
        <f ca="1" t="shared" si="30"/>
        <v>0</v>
      </c>
      <c r="I244" s="143">
        <f ca="1" t="shared" si="31"/>
        <v>97950</v>
      </c>
      <c r="J244" s="101">
        <f ca="1">OFFSET(梦灵养成!$Y$29,MATCH(D244,梦灵养成!$C$30:$C$629,1),0)</f>
        <v>32400</v>
      </c>
      <c r="K244" s="101">
        <f ca="1" t="shared" si="32"/>
        <v>13930</v>
      </c>
      <c r="L244" s="101">
        <f ca="1">OFFSET(洗练性价比!$N$52,MATCH(F244*60,洗练性价比!$C$53:$C$2052,1),0)</f>
        <v>4680</v>
      </c>
    </row>
    <row r="245" spans="2:12">
      <c r="B245" s="95">
        <v>200</v>
      </c>
      <c r="C245" s="101">
        <f t="shared" si="33"/>
        <v>0</v>
      </c>
      <c r="D245" s="143">
        <f ca="1" t="shared" si="26"/>
        <v>12420</v>
      </c>
      <c r="E245" s="143">
        <f ca="1" t="shared" si="27"/>
        <v>200000</v>
      </c>
      <c r="F245" s="143">
        <f ca="1" t="shared" si="28"/>
        <v>877</v>
      </c>
      <c r="G245" s="143">
        <f ca="1" t="shared" si="29"/>
        <v>0</v>
      </c>
      <c r="H245" s="143">
        <f ca="1" t="shared" si="30"/>
        <v>0</v>
      </c>
      <c r="I245" s="143">
        <f ca="1" t="shared" si="31"/>
        <v>98400</v>
      </c>
      <c r="J245" s="101">
        <f ca="1">OFFSET(梦灵养成!$Y$29,MATCH(D245,梦灵养成!$C$30:$C$629,1),0)</f>
        <v>30600</v>
      </c>
      <c r="K245" s="101">
        <f ca="1" t="shared" si="32"/>
        <v>14000</v>
      </c>
      <c r="L245" s="101">
        <f ca="1">OFFSET(洗练性价比!$N$52,MATCH(F245*60,洗练性价比!$C$53:$C$2052,1),0)</f>
        <v>4680</v>
      </c>
    </row>
    <row r="246" spans="2:12">
      <c r="B246" s="95">
        <v>201</v>
      </c>
      <c r="C246" s="101">
        <f t="shared" si="33"/>
        <v>0</v>
      </c>
      <c r="D246" s="143">
        <f ca="1" t="shared" si="26"/>
        <v>12480</v>
      </c>
      <c r="E246" s="143">
        <f ca="1" t="shared" si="27"/>
        <v>201000</v>
      </c>
      <c r="F246" s="143">
        <f ca="1" t="shared" si="28"/>
        <v>881</v>
      </c>
      <c r="G246" s="143">
        <f ca="1" t="shared" si="29"/>
        <v>0</v>
      </c>
      <c r="H246" s="143">
        <f ca="1" t="shared" si="30"/>
        <v>0</v>
      </c>
      <c r="I246" s="143">
        <f ca="1" t="shared" si="31"/>
        <v>98850</v>
      </c>
      <c r="J246" s="101">
        <f ca="1">OFFSET(梦灵养成!$Y$29,MATCH(D246,梦灵养成!$C$30:$C$629,1),0)</f>
        <v>30600</v>
      </c>
      <c r="K246" s="101">
        <f ca="1" t="shared" si="32"/>
        <v>14070</v>
      </c>
      <c r="L246" s="101">
        <f ca="1">OFFSET(洗练性价比!$N$52,MATCH(F246*60,洗练性价比!$C$53:$C$2052,1),0)</f>
        <v>4680</v>
      </c>
    </row>
    <row r="247" spans="2:12">
      <c r="B247" s="95">
        <v>202</v>
      </c>
      <c r="C247" s="101">
        <f t="shared" si="33"/>
        <v>0</v>
      </c>
      <c r="D247" s="143">
        <f ca="1" t="shared" si="26"/>
        <v>12540</v>
      </c>
      <c r="E247" s="143">
        <f ca="1" t="shared" si="27"/>
        <v>202000</v>
      </c>
      <c r="F247" s="143">
        <f ca="1" t="shared" si="28"/>
        <v>885</v>
      </c>
      <c r="G247" s="143">
        <f ca="1" t="shared" si="29"/>
        <v>0</v>
      </c>
      <c r="H247" s="143">
        <f ca="1" t="shared" si="30"/>
        <v>0</v>
      </c>
      <c r="I247" s="143">
        <f ca="1" t="shared" si="31"/>
        <v>99300</v>
      </c>
      <c r="J247" s="101">
        <f ca="1">OFFSET(梦灵养成!$Y$29,MATCH(D247,梦灵养成!$C$30:$C$629,1),0)</f>
        <v>37800</v>
      </c>
      <c r="K247" s="101">
        <f ca="1" t="shared" si="32"/>
        <v>14140</v>
      </c>
      <c r="L247" s="101">
        <f ca="1">OFFSET(洗练性价比!$N$52,MATCH(F247*60,洗练性价比!$C$53:$C$2052,1),0)</f>
        <v>4680</v>
      </c>
    </row>
    <row r="248" spans="2:12">
      <c r="B248" s="95">
        <v>203</v>
      </c>
      <c r="C248" s="101">
        <f t="shared" si="33"/>
        <v>0</v>
      </c>
      <c r="D248" s="143">
        <f ca="1" t="shared" si="26"/>
        <v>12600</v>
      </c>
      <c r="E248" s="143">
        <f ca="1" t="shared" si="27"/>
        <v>203000</v>
      </c>
      <c r="F248" s="143">
        <f ca="1" t="shared" si="28"/>
        <v>889</v>
      </c>
      <c r="G248" s="143">
        <f ca="1" t="shared" si="29"/>
        <v>0</v>
      </c>
      <c r="H248" s="143">
        <f ca="1" t="shared" si="30"/>
        <v>0</v>
      </c>
      <c r="I248" s="143">
        <f ca="1" t="shared" si="31"/>
        <v>99750</v>
      </c>
      <c r="J248" s="101">
        <f ca="1">OFFSET(梦灵养成!$Y$29,MATCH(D248,梦灵养成!$C$30:$C$629,1),0)</f>
        <v>36000</v>
      </c>
      <c r="K248" s="101">
        <f ca="1" t="shared" si="32"/>
        <v>14210</v>
      </c>
      <c r="L248" s="101">
        <f ca="1">OFFSET(洗练性价比!$N$52,MATCH(F248*60,洗练性价比!$C$53:$C$2052,1),0)</f>
        <v>4680</v>
      </c>
    </row>
    <row r="249" spans="2:12">
      <c r="B249" s="95">
        <v>204</v>
      </c>
      <c r="C249" s="101">
        <f t="shared" si="33"/>
        <v>0</v>
      </c>
      <c r="D249" s="143">
        <f ca="1" t="shared" si="26"/>
        <v>12660</v>
      </c>
      <c r="E249" s="143">
        <f ca="1" t="shared" si="27"/>
        <v>204000</v>
      </c>
      <c r="F249" s="143">
        <f ca="1" t="shared" si="28"/>
        <v>893</v>
      </c>
      <c r="G249" s="143">
        <f ca="1" t="shared" si="29"/>
        <v>0</v>
      </c>
      <c r="H249" s="143">
        <f ca="1" t="shared" si="30"/>
        <v>0</v>
      </c>
      <c r="I249" s="143">
        <f ca="1" t="shared" si="31"/>
        <v>100200</v>
      </c>
      <c r="J249" s="101">
        <f ca="1">OFFSET(梦灵养成!$Y$29,MATCH(D249,梦灵养成!$C$30:$C$629,1),0)</f>
        <v>36000</v>
      </c>
      <c r="K249" s="101">
        <f ca="1" t="shared" si="32"/>
        <v>14280</v>
      </c>
      <c r="L249" s="101">
        <f ca="1">OFFSET(洗练性价比!$N$52,MATCH(F249*60,洗练性价比!$C$53:$C$2052,1),0)</f>
        <v>4680</v>
      </c>
    </row>
    <row r="250" spans="2:12">
      <c r="B250" s="95">
        <v>205</v>
      </c>
      <c r="C250" s="101">
        <f t="shared" si="33"/>
        <v>0</v>
      </c>
      <c r="D250" s="143">
        <f ca="1" t="shared" si="26"/>
        <v>12720</v>
      </c>
      <c r="E250" s="143">
        <f ca="1" t="shared" si="27"/>
        <v>205000</v>
      </c>
      <c r="F250" s="143">
        <f ca="1" t="shared" si="28"/>
        <v>897</v>
      </c>
      <c r="G250" s="143">
        <f ca="1" t="shared" si="29"/>
        <v>0</v>
      </c>
      <c r="H250" s="143">
        <f ca="1" t="shared" si="30"/>
        <v>0</v>
      </c>
      <c r="I250" s="143">
        <f ca="1" t="shared" si="31"/>
        <v>100650</v>
      </c>
      <c r="J250" s="101">
        <f ca="1">OFFSET(梦灵养成!$Y$29,MATCH(D250,梦灵养成!$C$30:$C$629,1),0)</f>
        <v>34200</v>
      </c>
      <c r="K250" s="101">
        <f ca="1" t="shared" si="32"/>
        <v>14350</v>
      </c>
      <c r="L250" s="101">
        <f ca="1">OFFSET(洗练性价比!$N$52,MATCH(F250*60,洗练性价比!$C$53:$C$2052,1),0)</f>
        <v>4680</v>
      </c>
    </row>
    <row r="251" spans="2:12">
      <c r="B251" s="95">
        <v>206</v>
      </c>
      <c r="C251" s="101">
        <f t="shared" si="33"/>
        <v>0</v>
      </c>
      <c r="D251" s="143">
        <f ca="1" t="shared" si="26"/>
        <v>12780</v>
      </c>
      <c r="E251" s="143">
        <f ca="1" t="shared" si="27"/>
        <v>206000</v>
      </c>
      <c r="F251" s="143">
        <f ca="1" t="shared" si="28"/>
        <v>901</v>
      </c>
      <c r="G251" s="143">
        <f ca="1" t="shared" si="29"/>
        <v>0</v>
      </c>
      <c r="H251" s="143">
        <f ca="1" t="shared" si="30"/>
        <v>0</v>
      </c>
      <c r="I251" s="143">
        <f ca="1" t="shared" si="31"/>
        <v>101100</v>
      </c>
      <c r="J251" s="101">
        <f ca="1">OFFSET(梦灵养成!$Y$29,MATCH(D251,梦灵养成!$C$30:$C$629,1),0)</f>
        <v>34200</v>
      </c>
      <c r="K251" s="101">
        <f ca="1" t="shared" si="32"/>
        <v>14420</v>
      </c>
      <c r="L251" s="101">
        <f ca="1">OFFSET(洗练性价比!$N$52,MATCH(F251*60,洗练性价比!$C$53:$C$2052,1),0)</f>
        <v>4680</v>
      </c>
    </row>
    <row r="252" spans="2:12">
      <c r="B252" s="95">
        <v>207</v>
      </c>
      <c r="C252" s="101">
        <f t="shared" si="33"/>
        <v>0</v>
      </c>
      <c r="D252" s="143">
        <f ca="1" t="shared" si="26"/>
        <v>12840</v>
      </c>
      <c r="E252" s="143">
        <f ca="1" t="shared" si="27"/>
        <v>207000</v>
      </c>
      <c r="F252" s="143">
        <f ca="1" t="shared" si="28"/>
        <v>905</v>
      </c>
      <c r="G252" s="143">
        <f ca="1" t="shared" si="29"/>
        <v>0</v>
      </c>
      <c r="H252" s="143">
        <f ca="1" t="shared" si="30"/>
        <v>0</v>
      </c>
      <c r="I252" s="143">
        <f ca="1" t="shared" si="31"/>
        <v>101550</v>
      </c>
      <c r="J252" s="101">
        <f ca="1">OFFSET(梦灵养成!$Y$29,MATCH(D252,梦灵养成!$C$30:$C$629,1),0)</f>
        <v>32400</v>
      </c>
      <c r="K252" s="101">
        <f ca="1" t="shared" si="32"/>
        <v>14490</v>
      </c>
      <c r="L252" s="101">
        <f ca="1">OFFSET(洗练性价比!$N$52,MATCH(F252*60,洗练性价比!$C$53:$C$2052,1),0)</f>
        <v>4680</v>
      </c>
    </row>
    <row r="253" spans="2:12">
      <c r="B253" s="95">
        <v>208</v>
      </c>
      <c r="C253" s="101">
        <f t="shared" si="33"/>
        <v>0</v>
      </c>
      <c r="D253" s="143">
        <f ca="1" t="shared" si="26"/>
        <v>12900</v>
      </c>
      <c r="E253" s="143">
        <f ca="1" t="shared" si="27"/>
        <v>208000</v>
      </c>
      <c r="F253" s="143">
        <f ca="1" t="shared" si="28"/>
        <v>909</v>
      </c>
      <c r="G253" s="143">
        <f ca="1" t="shared" si="29"/>
        <v>0</v>
      </c>
      <c r="H253" s="143">
        <f ca="1" t="shared" si="30"/>
        <v>0</v>
      </c>
      <c r="I253" s="143">
        <f ca="1" t="shared" si="31"/>
        <v>102000</v>
      </c>
      <c r="J253" s="101">
        <f ca="1">OFFSET(梦灵养成!$Y$29,MATCH(D253,梦灵养成!$C$30:$C$629,1),0)</f>
        <v>30600</v>
      </c>
      <c r="K253" s="101">
        <f ca="1" t="shared" si="32"/>
        <v>14560</v>
      </c>
      <c r="L253" s="101">
        <f ca="1">OFFSET(洗练性价比!$N$52,MATCH(F253*60,洗练性价比!$C$53:$C$2052,1),0)</f>
        <v>4680</v>
      </c>
    </row>
    <row r="254" spans="2:12">
      <c r="B254" s="95">
        <v>209</v>
      </c>
      <c r="C254" s="101">
        <f t="shared" si="33"/>
        <v>0</v>
      </c>
      <c r="D254" s="143">
        <f ca="1" t="shared" si="26"/>
        <v>12960</v>
      </c>
      <c r="E254" s="143">
        <f ca="1" t="shared" si="27"/>
        <v>209000</v>
      </c>
      <c r="F254" s="143">
        <f ca="1" t="shared" si="28"/>
        <v>913</v>
      </c>
      <c r="G254" s="143">
        <f ca="1" t="shared" si="29"/>
        <v>0</v>
      </c>
      <c r="H254" s="143">
        <f ca="1" t="shared" si="30"/>
        <v>0</v>
      </c>
      <c r="I254" s="143">
        <f ca="1" t="shared" si="31"/>
        <v>102450</v>
      </c>
      <c r="J254" s="101">
        <f ca="1">OFFSET(梦灵养成!$Y$29,MATCH(D254,梦灵养成!$C$30:$C$629,1),0)</f>
        <v>30600</v>
      </c>
      <c r="K254" s="101">
        <f ca="1" t="shared" si="32"/>
        <v>14630</v>
      </c>
      <c r="L254" s="101">
        <f ca="1">OFFSET(洗练性价比!$N$52,MATCH(F254*60,洗练性价比!$C$53:$C$2052,1),0)</f>
        <v>4680</v>
      </c>
    </row>
    <row r="255" spans="2:12">
      <c r="B255" s="95">
        <v>210</v>
      </c>
      <c r="C255" s="101">
        <f t="shared" si="33"/>
        <v>0</v>
      </c>
      <c r="D255" s="143">
        <f ca="1" t="shared" si="26"/>
        <v>13020</v>
      </c>
      <c r="E255" s="143">
        <f ca="1" t="shared" si="27"/>
        <v>210000</v>
      </c>
      <c r="F255" s="143">
        <f ca="1" t="shared" si="28"/>
        <v>917</v>
      </c>
      <c r="G255" s="143">
        <f ca="1" t="shared" si="29"/>
        <v>0</v>
      </c>
      <c r="H255" s="143">
        <f ca="1" t="shared" si="30"/>
        <v>0</v>
      </c>
      <c r="I255" s="143">
        <f ca="1" t="shared" si="31"/>
        <v>102900</v>
      </c>
      <c r="J255" s="101">
        <f ca="1">OFFSET(梦灵养成!$Y$29,MATCH(D255,梦灵养成!$C$30:$C$629,1),0)</f>
        <v>28800</v>
      </c>
      <c r="K255" s="101">
        <f ca="1" t="shared" si="32"/>
        <v>14700</v>
      </c>
      <c r="L255" s="101">
        <f ca="1">OFFSET(洗练性价比!$N$52,MATCH(F255*60,洗练性价比!$C$53:$C$2052,1),0)</f>
        <v>4680</v>
      </c>
    </row>
    <row r="256" spans="2:12">
      <c r="B256" s="95">
        <v>211</v>
      </c>
      <c r="C256" s="101">
        <f t="shared" si="33"/>
        <v>0</v>
      </c>
      <c r="D256" s="143">
        <f ca="1" t="shared" si="26"/>
        <v>13080</v>
      </c>
      <c r="E256" s="143">
        <f ca="1" t="shared" si="27"/>
        <v>211000</v>
      </c>
      <c r="F256" s="143">
        <f ca="1" t="shared" si="28"/>
        <v>921</v>
      </c>
      <c r="G256" s="143">
        <f ca="1" t="shared" si="29"/>
        <v>0</v>
      </c>
      <c r="H256" s="143">
        <f ca="1" t="shared" si="30"/>
        <v>0</v>
      </c>
      <c r="I256" s="143">
        <f ca="1" t="shared" si="31"/>
        <v>103350</v>
      </c>
      <c r="J256" s="101">
        <f ca="1">OFFSET(梦灵养成!$Y$29,MATCH(D256,梦灵养成!$C$30:$C$629,1),0)</f>
        <v>28800</v>
      </c>
      <c r="K256" s="101">
        <f ca="1" t="shared" si="32"/>
        <v>14770</v>
      </c>
      <c r="L256" s="101">
        <f ca="1">OFFSET(洗练性价比!$N$52,MATCH(F256*60,洗练性价比!$C$53:$C$2052,1),0)</f>
        <v>4680</v>
      </c>
    </row>
    <row r="257" spans="2:12">
      <c r="B257" s="95">
        <v>212</v>
      </c>
      <c r="C257" s="101">
        <f t="shared" si="33"/>
        <v>0</v>
      </c>
      <c r="D257" s="143">
        <f ca="1" t="shared" si="26"/>
        <v>13140</v>
      </c>
      <c r="E257" s="143">
        <f ca="1" t="shared" si="27"/>
        <v>212000</v>
      </c>
      <c r="F257" s="143">
        <f ca="1" t="shared" si="28"/>
        <v>925</v>
      </c>
      <c r="G257" s="143">
        <f ca="1" t="shared" si="29"/>
        <v>0</v>
      </c>
      <c r="H257" s="143">
        <f ca="1" t="shared" si="30"/>
        <v>0</v>
      </c>
      <c r="I257" s="143">
        <f ca="1" t="shared" si="31"/>
        <v>103800</v>
      </c>
      <c r="J257" s="101">
        <f ca="1">OFFSET(梦灵养成!$Y$29,MATCH(D257,梦灵养成!$C$30:$C$629,1),0)</f>
        <v>27000</v>
      </c>
      <c r="K257" s="101">
        <f ca="1" t="shared" si="32"/>
        <v>14840</v>
      </c>
      <c r="L257" s="101">
        <f ca="1">OFFSET(洗练性价比!$N$52,MATCH(F257*60,洗练性价比!$C$53:$C$2052,1),0)</f>
        <v>4680</v>
      </c>
    </row>
    <row r="258" spans="2:12">
      <c r="B258" s="95">
        <v>213</v>
      </c>
      <c r="C258" s="101">
        <f t="shared" si="33"/>
        <v>0</v>
      </c>
      <c r="D258" s="143">
        <f ca="1" t="shared" si="26"/>
        <v>13200</v>
      </c>
      <c r="E258" s="143">
        <f ca="1" t="shared" si="27"/>
        <v>213000</v>
      </c>
      <c r="F258" s="143">
        <f ca="1" t="shared" si="28"/>
        <v>929</v>
      </c>
      <c r="G258" s="143">
        <f ca="1" t="shared" si="29"/>
        <v>0</v>
      </c>
      <c r="H258" s="143">
        <f ca="1" t="shared" si="30"/>
        <v>0</v>
      </c>
      <c r="I258" s="143">
        <f ca="1" t="shared" si="31"/>
        <v>104250</v>
      </c>
      <c r="J258" s="101">
        <f ca="1">OFFSET(梦灵养成!$Y$29,MATCH(D258,梦灵养成!$C$30:$C$629,1),0)</f>
        <v>25200</v>
      </c>
      <c r="K258" s="101">
        <f ca="1" t="shared" si="32"/>
        <v>14910</v>
      </c>
      <c r="L258" s="101">
        <f ca="1">OFFSET(洗练性价比!$N$52,MATCH(F258*60,洗练性价比!$C$53:$C$2052,1),0)</f>
        <v>4680</v>
      </c>
    </row>
    <row r="259" spans="2:12">
      <c r="B259" s="95">
        <v>214</v>
      </c>
      <c r="C259" s="101">
        <f t="shared" si="33"/>
        <v>0</v>
      </c>
      <c r="D259" s="143">
        <f ca="1" t="shared" si="26"/>
        <v>13260</v>
      </c>
      <c r="E259" s="143">
        <f ca="1" t="shared" si="27"/>
        <v>214000</v>
      </c>
      <c r="F259" s="143">
        <f ca="1" t="shared" si="28"/>
        <v>933</v>
      </c>
      <c r="G259" s="143">
        <f ca="1" t="shared" si="29"/>
        <v>0</v>
      </c>
      <c r="H259" s="143">
        <f ca="1" t="shared" si="30"/>
        <v>0</v>
      </c>
      <c r="I259" s="143">
        <f ca="1" t="shared" si="31"/>
        <v>104700</v>
      </c>
      <c r="J259" s="101">
        <f ca="1">OFFSET(梦灵养成!$Y$29,MATCH(D259,梦灵养成!$C$30:$C$629,1),0)</f>
        <v>25200</v>
      </c>
      <c r="K259" s="101">
        <f ca="1" t="shared" si="32"/>
        <v>14980</v>
      </c>
      <c r="L259" s="101">
        <f ca="1">OFFSET(洗练性价比!$N$52,MATCH(F259*60,洗练性价比!$C$53:$C$2052,1),0)</f>
        <v>4680</v>
      </c>
    </row>
    <row r="260" spans="2:12">
      <c r="B260" s="95">
        <v>215</v>
      </c>
      <c r="C260" s="101">
        <f t="shared" si="33"/>
        <v>0</v>
      </c>
      <c r="D260" s="143">
        <f ca="1" t="shared" si="26"/>
        <v>13320</v>
      </c>
      <c r="E260" s="143">
        <f ca="1" t="shared" si="27"/>
        <v>215000</v>
      </c>
      <c r="F260" s="143">
        <f ca="1" t="shared" si="28"/>
        <v>937</v>
      </c>
      <c r="G260" s="143">
        <f ca="1" t="shared" si="29"/>
        <v>0</v>
      </c>
      <c r="H260" s="143">
        <f ca="1" t="shared" si="30"/>
        <v>0</v>
      </c>
      <c r="I260" s="143">
        <f ca="1" t="shared" si="31"/>
        <v>105150</v>
      </c>
      <c r="J260" s="101">
        <f ca="1">OFFSET(梦灵养成!$Y$29,MATCH(D260,梦灵养成!$C$30:$C$629,1),0)</f>
        <v>23400</v>
      </c>
      <c r="K260" s="101">
        <f ca="1" t="shared" si="32"/>
        <v>15050</v>
      </c>
      <c r="L260" s="101">
        <f ca="1">OFFSET(洗练性价比!$N$52,MATCH(F260*60,洗练性价比!$C$53:$C$2052,1),0)</f>
        <v>4680</v>
      </c>
    </row>
    <row r="261" spans="2:12">
      <c r="B261" s="95">
        <v>216</v>
      </c>
      <c r="C261" s="101">
        <f t="shared" si="33"/>
        <v>0</v>
      </c>
      <c r="D261" s="143">
        <f ca="1" t="shared" si="26"/>
        <v>13380</v>
      </c>
      <c r="E261" s="143">
        <f ca="1" t="shared" si="27"/>
        <v>216000</v>
      </c>
      <c r="F261" s="143">
        <f ca="1" t="shared" si="28"/>
        <v>941</v>
      </c>
      <c r="G261" s="143">
        <f ca="1" t="shared" si="29"/>
        <v>0</v>
      </c>
      <c r="H261" s="143">
        <f ca="1" t="shared" si="30"/>
        <v>0</v>
      </c>
      <c r="I261" s="143">
        <f ca="1" t="shared" si="31"/>
        <v>105600</v>
      </c>
      <c r="J261" s="101">
        <f ca="1">OFFSET(梦灵养成!$Y$29,MATCH(D261,梦灵养成!$C$30:$C$629,1),0)</f>
        <v>23400</v>
      </c>
      <c r="K261" s="101">
        <f ca="1" t="shared" si="32"/>
        <v>15120</v>
      </c>
      <c r="L261" s="101">
        <f ca="1">OFFSET(洗练性价比!$N$52,MATCH(F261*60,洗练性价比!$C$53:$C$2052,1),0)</f>
        <v>4680</v>
      </c>
    </row>
    <row r="262" spans="2:12">
      <c r="B262" s="95">
        <v>217</v>
      </c>
      <c r="C262" s="101">
        <f t="shared" si="33"/>
        <v>0</v>
      </c>
      <c r="D262" s="143">
        <f ca="1" t="shared" si="26"/>
        <v>13440</v>
      </c>
      <c r="E262" s="143">
        <f ca="1" t="shared" si="27"/>
        <v>217000</v>
      </c>
      <c r="F262" s="143">
        <f ca="1" t="shared" si="28"/>
        <v>945</v>
      </c>
      <c r="G262" s="143">
        <f ca="1" t="shared" si="29"/>
        <v>0</v>
      </c>
      <c r="H262" s="143">
        <f ca="1" t="shared" si="30"/>
        <v>0</v>
      </c>
      <c r="I262" s="143">
        <f ca="1" t="shared" si="31"/>
        <v>106050</v>
      </c>
      <c r="J262" s="101">
        <f ca="1">OFFSET(梦灵养成!$Y$29,MATCH(D262,梦灵养成!$C$30:$C$629,1),0)</f>
        <v>21600</v>
      </c>
      <c r="K262" s="101">
        <f ca="1" t="shared" si="32"/>
        <v>15190</v>
      </c>
      <c r="L262" s="101">
        <f ca="1">OFFSET(洗练性价比!$N$52,MATCH(F262*60,洗练性价比!$C$53:$C$2052,1),0)</f>
        <v>4680</v>
      </c>
    </row>
    <row r="263" spans="2:12">
      <c r="B263" s="95">
        <v>218</v>
      </c>
      <c r="C263" s="101">
        <f t="shared" si="33"/>
        <v>0</v>
      </c>
      <c r="D263" s="143">
        <f ca="1" t="shared" si="26"/>
        <v>13500</v>
      </c>
      <c r="E263" s="143">
        <f ca="1" t="shared" si="27"/>
        <v>218000</v>
      </c>
      <c r="F263" s="143">
        <f ca="1" t="shared" si="28"/>
        <v>949</v>
      </c>
      <c r="G263" s="143">
        <f ca="1" t="shared" si="29"/>
        <v>0</v>
      </c>
      <c r="H263" s="143">
        <f ca="1" t="shared" si="30"/>
        <v>0</v>
      </c>
      <c r="I263" s="143">
        <f ca="1" t="shared" si="31"/>
        <v>106500</v>
      </c>
      <c r="J263" s="101">
        <f ca="1">OFFSET(梦灵养成!$Y$29,MATCH(D263,梦灵养成!$C$30:$C$629,1),0)</f>
        <v>19800</v>
      </c>
      <c r="K263" s="101">
        <f ca="1" t="shared" si="32"/>
        <v>15260</v>
      </c>
      <c r="L263" s="101">
        <f ca="1">OFFSET(洗练性价比!$N$52,MATCH(F263*60,洗练性价比!$C$53:$C$2052,1),0)</f>
        <v>4680</v>
      </c>
    </row>
    <row r="264" spans="2:12">
      <c r="B264" s="95">
        <v>219</v>
      </c>
      <c r="C264" s="101">
        <f t="shared" si="33"/>
        <v>0</v>
      </c>
      <c r="D264" s="143">
        <f ca="1" t="shared" si="26"/>
        <v>13560</v>
      </c>
      <c r="E264" s="143">
        <f ca="1" t="shared" si="27"/>
        <v>219000</v>
      </c>
      <c r="F264" s="143">
        <f ca="1" t="shared" si="28"/>
        <v>953</v>
      </c>
      <c r="G264" s="143">
        <f ca="1" t="shared" si="29"/>
        <v>0</v>
      </c>
      <c r="H264" s="143">
        <f ca="1" t="shared" si="30"/>
        <v>0</v>
      </c>
      <c r="I264" s="143">
        <f ca="1" t="shared" si="31"/>
        <v>106950</v>
      </c>
      <c r="J264" s="101">
        <f ca="1">OFFSET(梦灵养成!$Y$29,MATCH(D264,梦灵养成!$C$30:$C$629,1),0)</f>
        <v>19800</v>
      </c>
      <c r="K264" s="101">
        <f ca="1" t="shared" si="32"/>
        <v>15330</v>
      </c>
      <c r="L264" s="101">
        <f ca="1">OFFSET(洗练性价比!$N$52,MATCH(F264*60,洗练性价比!$C$53:$C$2052,1),0)</f>
        <v>4680</v>
      </c>
    </row>
    <row r="265" spans="2:12">
      <c r="B265" s="95">
        <v>220</v>
      </c>
      <c r="C265" s="101">
        <f t="shared" si="33"/>
        <v>0</v>
      </c>
      <c r="D265" s="143">
        <f ca="1" t="shared" si="26"/>
        <v>13620</v>
      </c>
      <c r="E265" s="143">
        <f ca="1" t="shared" si="27"/>
        <v>220000</v>
      </c>
      <c r="F265" s="143">
        <f ca="1" t="shared" si="28"/>
        <v>957</v>
      </c>
      <c r="G265" s="143">
        <f ca="1" t="shared" si="29"/>
        <v>0</v>
      </c>
      <c r="H265" s="143">
        <f ca="1" t="shared" si="30"/>
        <v>0</v>
      </c>
      <c r="I265" s="143">
        <f ca="1" t="shared" si="31"/>
        <v>107400</v>
      </c>
      <c r="J265" s="101">
        <f ca="1">OFFSET(梦灵养成!$Y$29,MATCH(D265,梦灵养成!$C$30:$C$629,1),0)</f>
        <v>18000</v>
      </c>
      <c r="K265" s="101">
        <f ca="1" t="shared" si="32"/>
        <v>15400</v>
      </c>
      <c r="L265" s="101">
        <f ca="1">OFFSET(洗练性价比!$N$52,MATCH(F265*60,洗练性价比!$C$53:$C$2052,1),0)</f>
        <v>4680</v>
      </c>
    </row>
    <row r="266" spans="2:12">
      <c r="B266" s="95">
        <v>221</v>
      </c>
      <c r="C266" s="101">
        <f t="shared" si="33"/>
        <v>0</v>
      </c>
      <c r="D266" s="143">
        <f ca="1" t="shared" si="26"/>
        <v>13680</v>
      </c>
      <c r="E266" s="143">
        <f ca="1" t="shared" si="27"/>
        <v>221000</v>
      </c>
      <c r="F266" s="143">
        <f ca="1" t="shared" si="28"/>
        <v>961</v>
      </c>
      <c r="G266" s="143">
        <f ca="1" t="shared" si="29"/>
        <v>0</v>
      </c>
      <c r="H266" s="143">
        <f ca="1" t="shared" si="30"/>
        <v>0</v>
      </c>
      <c r="I266" s="143">
        <f ca="1" t="shared" si="31"/>
        <v>107850</v>
      </c>
      <c r="J266" s="101">
        <f ca="1">OFFSET(梦灵养成!$Y$29,MATCH(D266,梦灵养成!$C$30:$C$629,1),0)</f>
        <v>18000</v>
      </c>
      <c r="K266" s="101">
        <f ca="1" t="shared" si="32"/>
        <v>15470</v>
      </c>
      <c r="L266" s="101">
        <f ca="1">OFFSET(洗练性价比!$N$52,MATCH(F266*60,洗练性价比!$C$53:$C$2052,1),0)</f>
        <v>4680</v>
      </c>
    </row>
    <row r="267" spans="2:12">
      <c r="B267" s="95">
        <v>222</v>
      </c>
      <c r="C267" s="101">
        <f t="shared" si="33"/>
        <v>0</v>
      </c>
      <c r="D267" s="143">
        <f ca="1" t="shared" si="26"/>
        <v>13740</v>
      </c>
      <c r="E267" s="143">
        <f ca="1" t="shared" si="27"/>
        <v>222000</v>
      </c>
      <c r="F267" s="143">
        <f ca="1" t="shared" si="28"/>
        <v>965</v>
      </c>
      <c r="G267" s="143">
        <f ca="1" t="shared" si="29"/>
        <v>0</v>
      </c>
      <c r="H267" s="143">
        <f ca="1" t="shared" si="30"/>
        <v>0</v>
      </c>
      <c r="I267" s="143">
        <f ca="1" t="shared" si="31"/>
        <v>108300</v>
      </c>
      <c r="J267" s="101">
        <f ca="1">OFFSET(梦灵养成!$Y$29,MATCH(D267,梦灵养成!$C$30:$C$629,1),0)</f>
        <v>16200</v>
      </c>
      <c r="K267" s="101">
        <f ca="1" t="shared" si="32"/>
        <v>15540</v>
      </c>
      <c r="L267" s="101">
        <f ca="1">OFFSET(洗练性价比!$N$52,MATCH(F267*60,洗练性价比!$C$53:$C$2052,1),0)</f>
        <v>4680</v>
      </c>
    </row>
    <row r="268" spans="2:12">
      <c r="B268" s="95">
        <v>223</v>
      </c>
      <c r="C268" s="101">
        <f t="shared" si="33"/>
        <v>0</v>
      </c>
      <c r="D268" s="143">
        <f ca="1" t="shared" si="26"/>
        <v>13800</v>
      </c>
      <c r="E268" s="143">
        <f ca="1" t="shared" si="27"/>
        <v>223000</v>
      </c>
      <c r="F268" s="143">
        <f ca="1" t="shared" si="28"/>
        <v>969</v>
      </c>
      <c r="G268" s="143">
        <f ca="1" t="shared" si="29"/>
        <v>0</v>
      </c>
      <c r="H268" s="143">
        <f ca="1" t="shared" si="30"/>
        <v>0</v>
      </c>
      <c r="I268" s="143">
        <f ca="1" t="shared" si="31"/>
        <v>108750</v>
      </c>
      <c r="J268" s="101">
        <f ca="1">OFFSET(梦灵养成!$Y$29,MATCH(D268,梦灵养成!$C$30:$C$629,1),0)</f>
        <v>14400</v>
      </c>
      <c r="K268" s="101">
        <f ca="1" t="shared" si="32"/>
        <v>15610</v>
      </c>
      <c r="L268" s="101">
        <f ca="1">OFFSET(洗练性价比!$N$52,MATCH(F268*60,洗练性价比!$C$53:$C$2052,1),0)</f>
        <v>4680</v>
      </c>
    </row>
    <row r="269" spans="2:12">
      <c r="B269" s="95">
        <v>224</v>
      </c>
      <c r="C269" s="101">
        <f t="shared" si="33"/>
        <v>0</v>
      </c>
      <c r="D269" s="143">
        <f ca="1" t="shared" si="26"/>
        <v>13860</v>
      </c>
      <c r="E269" s="143">
        <f ca="1" t="shared" si="27"/>
        <v>224000</v>
      </c>
      <c r="F269" s="143">
        <f ca="1" t="shared" si="28"/>
        <v>973</v>
      </c>
      <c r="G269" s="143">
        <f ca="1" t="shared" si="29"/>
        <v>0</v>
      </c>
      <c r="H269" s="143">
        <f ca="1" t="shared" si="30"/>
        <v>0</v>
      </c>
      <c r="I269" s="143">
        <f ca="1" t="shared" si="31"/>
        <v>109200</v>
      </c>
      <c r="J269" s="101">
        <f ca="1">OFFSET(梦灵养成!$Y$29,MATCH(D269,梦灵养成!$C$30:$C$629,1),0)</f>
        <v>14400</v>
      </c>
      <c r="K269" s="101">
        <f ca="1" t="shared" si="32"/>
        <v>15680</v>
      </c>
      <c r="L269" s="101">
        <f ca="1">OFFSET(洗练性价比!$N$52,MATCH(F269*60,洗练性价比!$C$53:$C$2052,1),0)</f>
        <v>4680</v>
      </c>
    </row>
    <row r="270" spans="2:12">
      <c r="B270" s="95">
        <v>225</v>
      </c>
      <c r="C270" s="101">
        <f t="shared" si="33"/>
        <v>0</v>
      </c>
      <c r="D270" s="143">
        <f ca="1" t="shared" si="26"/>
        <v>13920</v>
      </c>
      <c r="E270" s="143">
        <f ca="1" t="shared" si="27"/>
        <v>225000</v>
      </c>
      <c r="F270" s="143">
        <f ca="1" t="shared" si="28"/>
        <v>977</v>
      </c>
      <c r="G270" s="143">
        <f ca="1" t="shared" si="29"/>
        <v>0</v>
      </c>
      <c r="H270" s="143">
        <f ca="1" t="shared" si="30"/>
        <v>0</v>
      </c>
      <c r="I270" s="143">
        <f ca="1" t="shared" si="31"/>
        <v>109650</v>
      </c>
      <c r="J270" s="101">
        <f ca="1">OFFSET(梦灵养成!$Y$29,MATCH(D270,梦灵养成!$C$30:$C$629,1),0)</f>
        <v>12600</v>
      </c>
      <c r="K270" s="101">
        <f ca="1" t="shared" si="32"/>
        <v>15750</v>
      </c>
      <c r="L270" s="101">
        <f ca="1">OFFSET(洗练性价比!$N$52,MATCH(F270*60,洗练性价比!$C$53:$C$2052,1),0)</f>
        <v>4680</v>
      </c>
    </row>
    <row r="271" spans="2:12">
      <c r="B271" s="95">
        <v>226</v>
      </c>
      <c r="C271" s="101">
        <f t="shared" si="33"/>
        <v>0</v>
      </c>
      <c r="D271" s="143">
        <f ca="1" t="shared" si="26"/>
        <v>13980</v>
      </c>
      <c r="E271" s="143">
        <f ca="1" t="shared" si="27"/>
        <v>226000</v>
      </c>
      <c r="F271" s="143">
        <f ca="1" t="shared" si="28"/>
        <v>981</v>
      </c>
      <c r="G271" s="143">
        <f ca="1" t="shared" si="29"/>
        <v>0</v>
      </c>
      <c r="H271" s="143">
        <f ca="1" t="shared" si="30"/>
        <v>0</v>
      </c>
      <c r="I271" s="143">
        <f ca="1" t="shared" si="31"/>
        <v>110100</v>
      </c>
      <c r="J271" s="101">
        <f ca="1">OFFSET(梦灵养成!$Y$29,MATCH(D271,梦灵养成!$C$30:$C$629,1),0)</f>
        <v>12600</v>
      </c>
      <c r="K271" s="101">
        <f ca="1" t="shared" si="32"/>
        <v>15820</v>
      </c>
      <c r="L271" s="101">
        <f ca="1">OFFSET(洗练性价比!$N$52,MATCH(F271*60,洗练性价比!$C$53:$C$2052,1),0)</f>
        <v>4680</v>
      </c>
    </row>
    <row r="272" spans="2:12">
      <c r="B272" s="95">
        <v>227</v>
      </c>
      <c r="C272" s="101">
        <f t="shared" si="33"/>
        <v>0</v>
      </c>
      <c r="D272" s="143">
        <f ca="1" t="shared" si="26"/>
        <v>14040</v>
      </c>
      <c r="E272" s="143">
        <f ca="1" t="shared" si="27"/>
        <v>227000</v>
      </c>
      <c r="F272" s="143">
        <f ca="1" t="shared" si="28"/>
        <v>985</v>
      </c>
      <c r="G272" s="143">
        <f ca="1" t="shared" si="29"/>
        <v>0</v>
      </c>
      <c r="H272" s="143">
        <f ca="1" t="shared" si="30"/>
        <v>0</v>
      </c>
      <c r="I272" s="143">
        <f ca="1" t="shared" si="31"/>
        <v>110550</v>
      </c>
      <c r="J272" s="101">
        <f ca="1">OFFSET(梦灵养成!$Y$29,MATCH(D272,梦灵养成!$C$30:$C$629,1),0)</f>
        <v>10800</v>
      </c>
      <c r="K272" s="101">
        <f ca="1" t="shared" si="32"/>
        <v>15890</v>
      </c>
      <c r="L272" s="101">
        <f ca="1">OFFSET(洗练性价比!$N$52,MATCH(F272*60,洗练性价比!$C$53:$C$2052,1),0)</f>
        <v>4680</v>
      </c>
    </row>
    <row r="273" spans="2:12">
      <c r="B273" s="95">
        <v>228</v>
      </c>
      <c r="C273" s="101">
        <f t="shared" si="33"/>
        <v>0</v>
      </c>
      <c r="D273" s="143">
        <f ca="1" t="shared" si="26"/>
        <v>14100</v>
      </c>
      <c r="E273" s="143">
        <f ca="1" t="shared" si="27"/>
        <v>228000</v>
      </c>
      <c r="F273" s="143">
        <f ca="1" t="shared" si="28"/>
        <v>989</v>
      </c>
      <c r="G273" s="143">
        <f ca="1" t="shared" si="29"/>
        <v>0</v>
      </c>
      <c r="H273" s="143">
        <f ca="1" t="shared" si="30"/>
        <v>0</v>
      </c>
      <c r="I273" s="143">
        <f ca="1" t="shared" si="31"/>
        <v>111000</v>
      </c>
      <c r="J273" s="101">
        <f ca="1">OFFSET(梦灵养成!$Y$29,MATCH(D273,梦灵养成!$C$30:$C$629,1),0)</f>
        <v>9000</v>
      </c>
      <c r="K273" s="101">
        <f ca="1" t="shared" si="32"/>
        <v>15960</v>
      </c>
      <c r="L273" s="101">
        <f ca="1">OFFSET(洗练性价比!$N$52,MATCH(F273*60,洗练性价比!$C$53:$C$2052,1),0)</f>
        <v>4680</v>
      </c>
    </row>
    <row r="274" spans="2:12">
      <c r="B274" s="95">
        <v>229</v>
      </c>
      <c r="C274" s="101">
        <f t="shared" si="33"/>
        <v>0</v>
      </c>
      <c r="D274" s="143">
        <f ca="1" t="shared" si="26"/>
        <v>14160</v>
      </c>
      <c r="E274" s="143">
        <f ca="1" t="shared" si="27"/>
        <v>229000</v>
      </c>
      <c r="F274" s="143">
        <f ca="1" t="shared" si="28"/>
        <v>993</v>
      </c>
      <c r="G274" s="143">
        <f ca="1" t="shared" si="29"/>
        <v>0</v>
      </c>
      <c r="H274" s="143">
        <f ca="1" t="shared" si="30"/>
        <v>0</v>
      </c>
      <c r="I274" s="143">
        <f ca="1" t="shared" si="31"/>
        <v>111450</v>
      </c>
      <c r="J274" s="101">
        <f ca="1">OFFSET(梦灵养成!$Y$29,MATCH(D274,梦灵养成!$C$30:$C$629,1),0)</f>
        <v>9000</v>
      </c>
      <c r="K274" s="101">
        <f ca="1" t="shared" si="32"/>
        <v>16030</v>
      </c>
      <c r="L274" s="101">
        <f ca="1">OFFSET(洗练性价比!$N$52,MATCH(F274*60,洗练性价比!$C$53:$C$2052,1),0)</f>
        <v>4680</v>
      </c>
    </row>
    <row r="275" spans="2:12">
      <c r="B275" s="95">
        <v>230</v>
      </c>
      <c r="C275" s="101">
        <f t="shared" si="33"/>
        <v>0</v>
      </c>
      <c r="D275" s="143">
        <f ca="1" t="shared" si="26"/>
        <v>14220</v>
      </c>
      <c r="E275" s="143">
        <f ca="1" t="shared" si="27"/>
        <v>230000</v>
      </c>
      <c r="F275" s="143">
        <f ca="1" t="shared" si="28"/>
        <v>997</v>
      </c>
      <c r="G275" s="143">
        <f ca="1" t="shared" si="29"/>
        <v>0</v>
      </c>
      <c r="H275" s="143">
        <f ca="1" t="shared" si="30"/>
        <v>0</v>
      </c>
      <c r="I275" s="143">
        <f ca="1" t="shared" si="31"/>
        <v>111900</v>
      </c>
      <c r="J275" s="101">
        <f ca="1">OFFSET(梦灵养成!$Y$29,MATCH(D275,梦灵养成!$C$30:$C$629,1),0)</f>
        <v>7200</v>
      </c>
      <c r="K275" s="101">
        <f ca="1" t="shared" si="32"/>
        <v>16100</v>
      </c>
      <c r="L275" s="101">
        <f ca="1">OFFSET(洗练性价比!$N$52,MATCH(F275*60,洗练性价比!$C$53:$C$2052,1),0)</f>
        <v>4680</v>
      </c>
    </row>
    <row r="276" spans="2:12">
      <c r="B276" s="95">
        <v>231</v>
      </c>
      <c r="C276" s="101">
        <f t="shared" si="33"/>
        <v>0</v>
      </c>
      <c r="D276" s="143">
        <f ca="1" t="shared" si="26"/>
        <v>14280</v>
      </c>
      <c r="E276" s="143">
        <f ca="1" t="shared" si="27"/>
        <v>231000</v>
      </c>
      <c r="F276" s="143">
        <f ca="1" t="shared" si="28"/>
        <v>1001</v>
      </c>
      <c r="G276" s="143">
        <f ca="1" t="shared" si="29"/>
        <v>0</v>
      </c>
      <c r="H276" s="143">
        <f ca="1" t="shared" si="30"/>
        <v>0</v>
      </c>
      <c r="I276" s="143">
        <f ca="1" t="shared" si="31"/>
        <v>112350</v>
      </c>
      <c r="J276" s="101">
        <f ca="1">OFFSET(梦灵养成!$Y$29,MATCH(D276,梦灵养成!$C$30:$C$629,1),0)</f>
        <v>7200</v>
      </c>
      <c r="K276" s="101">
        <f ca="1" t="shared" si="32"/>
        <v>16170</v>
      </c>
      <c r="L276" s="101">
        <f ca="1">OFFSET(洗练性价比!$N$52,MATCH(F276*60,洗练性价比!$C$53:$C$2052,1),0)</f>
        <v>4680</v>
      </c>
    </row>
    <row r="277" spans="2:12">
      <c r="B277" s="95">
        <v>232</v>
      </c>
      <c r="C277" s="101">
        <f t="shared" si="33"/>
        <v>0</v>
      </c>
      <c r="D277" s="143">
        <f ca="1" t="shared" si="26"/>
        <v>14340</v>
      </c>
      <c r="E277" s="143">
        <f ca="1" t="shared" si="27"/>
        <v>232000</v>
      </c>
      <c r="F277" s="143">
        <f ca="1" t="shared" si="28"/>
        <v>1005</v>
      </c>
      <c r="G277" s="143">
        <f ca="1" t="shared" si="29"/>
        <v>0</v>
      </c>
      <c r="H277" s="143">
        <f ca="1" t="shared" si="30"/>
        <v>0</v>
      </c>
      <c r="I277" s="143">
        <f ca="1" t="shared" si="31"/>
        <v>112800</v>
      </c>
      <c r="J277" s="101">
        <f ca="1">OFFSET(梦灵养成!$Y$29,MATCH(D277,梦灵养成!$C$30:$C$629,1),0)</f>
        <v>5400</v>
      </c>
      <c r="K277" s="101">
        <f ca="1" t="shared" si="32"/>
        <v>16240</v>
      </c>
      <c r="L277" s="101">
        <f ca="1">OFFSET(洗练性价比!$N$52,MATCH(F277*60,洗练性价比!$C$53:$C$2052,1),0)</f>
        <v>4680</v>
      </c>
    </row>
    <row r="278" spans="2:12">
      <c r="B278" s="95">
        <v>233</v>
      </c>
      <c r="C278" s="101">
        <f t="shared" si="33"/>
        <v>0</v>
      </c>
      <c r="D278" s="143">
        <f ca="1" t="shared" si="26"/>
        <v>14400</v>
      </c>
      <c r="E278" s="143">
        <f ca="1" t="shared" si="27"/>
        <v>233000</v>
      </c>
      <c r="F278" s="143">
        <f ca="1" t="shared" si="28"/>
        <v>1009</v>
      </c>
      <c r="G278" s="143">
        <f ca="1" t="shared" si="29"/>
        <v>0</v>
      </c>
      <c r="H278" s="143">
        <f ca="1" t="shared" si="30"/>
        <v>0</v>
      </c>
      <c r="I278" s="143">
        <f ca="1" t="shared" si="31"/>
        <v>113250</v>
      </c>
      <c r="J278" s="101">
        <f ca="1">OFFSET(梦灵养成!$Y$29,MATCH(D278,梦灵养成!$C$30:$C$629,1),0)</f>
        <v>3600</v>
      </c>
      <c r="K278" s="101">
        <f ca="1" t="shared" si="32"/>
        <v>16310</v>
      </c>
      <c r="L278" s="101">
        <f ca="1">OFFSET(洗练性价比!$N$52,MATCH(F278*60,洗练性价比!$C$53:$C$2052,1),0)</f>
        <v>4680</v>
      </c>
    </row>
    <row r="279" spans="2:12">
      <c r="B279" s="95">
        <v>234</v>
      </c>
      <c r="C279" s="101">
        <f t="shared" si="33"/>
        <v>0</v>
      </c>
      <c r="D279" s="143">
        <f ca="1" t="shared" si="26"/>
        <v>14460</v>
      </c>
      <c r="E279" s="143">
        <f ca="1" t="shared" si="27"/>
        <v>234000</v>
      </c>
      <c r="F279" s="143">
        <f ca="1" t="shared" si="28"/>
        <v>1013</v>
      </c>
      <c r="G279" s="143">
        <f ca="1" t="shared" si="29"/>
        <v>0</v>
      </c>
      <c r="H279" s="143">
        <f ca="1" t="shared" si="30"/>
        <v>0</v>
      </c>
      <c r="I279" s="143">
        <f ca="1" t="shared" si="31"/>
        <v>113700</v>
      </c>
      <c r="J279" s="101">
        <f ca="1">OFFSET(梦灵养成!$Y$29,MATCH(D279,梦灵养成!$C$30:$C$629,1),0)</f>
        <v>3600</v>
      </c>
      <c r="K279" s="101">
        <f ca="1" t="shared" si="32"/>
        <v>16380</v>
      </c>
      <c r="L279" s="101">
        <f ca="1">OFFSET(洗练性价比!$N$52,MATCH(F279*60,洗练性价比!$C$53:$C$2052,1),0)</f>
        <v>4680</v>
      </c>
    </row>
    <row r="280" spans="2:12">
      <c r="B280" s="95">
        <v>235</v>
      </c>
      <c r="C280" s="101">
        <f t="shared" si="33"/>
        <v>0</v>
      </c>
      <c r="D280" s="143">
        <f ca="1" t="shared" si="26"/>
        <v>14520</v>
      </c>
      <c r="E280" s="143">
        <f ca="1" t="shared" si="27"/>
        <v>235000</v>
      </c>
      <c r="F280" s="143">
        <f ca="1" t="shared" si="28"/>
        <v>1017</v>
      </c>
      <c r="G280" s="143">
        <f ca="1" t="shared" si="29"/>
        <v>0</v>
      </c>
      <c r="H280" s="143">
        <f ca="1" t="shared" si="30"/>
        <v>0</v>
      </c>
      <c r="I280" s="143">
        <f ca="1" t="shared" si="31"/>
        <v>114150</v>
      </c>
      <c r="J280" s="101">
        <f ca="1">OFFSET(梦灵养成!$Y$29,MATCH(D280,梦灵养成!$C$30:$C$629,1),0)</f>
        <v>1800</v>
      </c>
      <c r="K280" s="101">
        <f ca="1" t="shared" si="32"/>
        <v>16450</v>
      </c>
      <c r="L280" s="101">
        <f ca="1">OFFSET(洗练性价比!$N$52,MATCH(F280*60,洗练性价比!$C$53:$C$2052,1),0)</f>
        <v>4680</v>
      </c>
    </row>
    <row r="281" spans="2:12">
      <c r="B281" s="95">
        <v>236</v>
      </c>
      <c r="C281" s="101">
        <f t="shared" si="33"/>
        <v>0</v>
      </c>
      <c r="D281" s="143">
        <f ca="1" t="shared" si="26"/>
        <v>14580</v>
      </c>
      <c r="E281" s="143">
        <f ca="1" t="shared" si="27"/>
        <v>236000</v>
      </c>
      <c r="F281" s="143">
        <f ca="1" t="shared" si="28"/>
        <v>1021</v>
      </c>
      <c r="G281" s="143">
        <f ca="1" t="shared" si="29"/>
        <v>0</v>
      </c>
      <c r="H281" s="143">
        <f ca="1" t="shared" si="30"/>
        <v>0</v>
      </c>
      <c r="I281" s="143">
        <f ca="1" t="shared" si="31"/>
        <v>114600</v>
      </c>
      <c r="J281" s="101">
        <f ca="1">OFFSET(梦灵养成!$Y$29,MATCH(D281,梦灵养成!$C$30:$C$629,1),0)</f>
        <v>1800</v>
      </c>
      <c r="K281" s="101">
        <f ca="1" t="shared" si="32"/>
        <v>16520</v>
      </c>
      <c r="L281" s="101">
        <f ca="1">OFFSET(洗练性价比!$N$52,MATCH(F281*60,洗练性价比!$C$53:$C$2052,1),0)</f>
        <v>4680</v>
      </c>
    </row>
    <row r="282" spans="2:12">
      <c r="B282" s="95">
        <v>237</v>
      </c>
      <c r="C282" s="101">
        <f t="shared" si="33"/>
        <v>0</v>
      </c>
      <c r="D282" s="143">
        <f ca="1" t="shared" si="26"/>
        <v>14640</v>
      </c>
      <c r="E282" s="143">
        <f ca="1" t="shared" si="27"/>
        <v>237000</v>
      </c>
      <c r="F282" s="143">
        <f ca="1" t="shared" si="28"/>
        <v>1025</v>
      </c>
      <c r="G282" s="143">
        <f ca="1" t="shared" si="29"/>
        <v>0</v>
      </c>
      <c r="H282" s="143">
        <f ca="1" t="shared" si="30"/>
        <v>0</v>
      </c>
      <c r="I282" s="143">
        <f ca="1" t="shared" si="31"/>
        <v>115050</v>
      </c>
      <c r="J282" s="101">
        <f ca="1">OFFSET(梦灵养成!$Y$29,MATCH(D282,梦灵养成!$C$30:$C$629,1),0)</f>
        <v>45000</v>
      </c>
      <c r="K282" s="101">
        <f ca="1" t="shared" si="32"/>
        <v>16590</v>
      </c>
      <c r="L282" s="101">
        <f ca="1">OFFSET(洗练性价比!$N$52,MATCH(F282*60,洗练性价比!$C$53:$C$2052,1),0)</f>
        <v>4680</v>
      </c>
    </row>
    <row r="283" spans="2:12">
      <c r="B283" s="95">
        <v>238</v>
      </c>
      <c r="C283" s="101">
        <f t="shared" si="33"/>
        <v>0</v>
      </c>
      <c r="D283" s="143">
        <f ca="1" t="shared" si="26"/>
        <v>14700</v>
      </c>
      <c r="E283" s="143">
        <f ca="1" t="shared" si="27"/>
        <v>238000</v>
      </c>
      <c r="F283" s="143">
        <f ca="1" t="shared" si="28"/>
        <v>1029</v>
      </c>
      <c r="G283" s="143">
        <f ca="1" t="shared" si="29"/>
        <v>0</v>
      </c>
      <c r="H283" s="143">
        <f ca="1" t="shared" si="30"/>
        <v>0</v>
      </c>
      <c r="I283" s="143">
        <f ca="1" t="shared" si="31"/>
        <v>115500</v>
      </c>
      <c r="J283" s="101">
        <f ca="1">OFFSET(梦灵养成!$Y$29,MATCH(D283,梦灵养成!$C$30:$C$629,1),0)</f>
        <v>43200</v>
      </c>
      <c r="K283" s="101">
        <f ca="1" t="shared" si="32"/>
        <v>16660</v>
      </c>
      <c r="L283" s="101">
        <f ca="1">OFFSET(洗练性价比!$N$52,MATCH(F283*60,洗练性价比!$C$53:$C$2052,1),0)</f>
        <v>4680</v>
      </c>
    </row>
    <row r="284" spans="2:12">
      <c r="B284" s="95">
        <v>239</v>
      </c>
      <c r="C284" s="101">
        <f t="shared" si="33"/>
        <v>0</v>
      </c>
      <c r="D284" s="143">
        <f ca="1" t="shared" si="26"/>
        <v>14760</v>
      </c>
      <c r="E284" s="143">
        <f ca="1" t="shared" si="27"/>
        <v>239000</v>
      </c>
      <c r="F284" s="143">
        <f ca="1" t="shared" si="28"/>
        <v>1033</v>
      </c>
      <c r="G284" s="143">
        <f ca="1" t="shared" si="29"/>
        <v>0</v>
      </c>
      <c r="H284" s="143">
        <f ca="1" t="shared" si="30"/>
        <v>0</v>
      </c>
      <c r="I284" s="143">
        <f ca="1" t="shared" si="31"/>
        <v>115950</v>
      </c>
      <c r="J284" s="101">
        <f ca="1">OFFSET(梦灵养成!$Y$29,MATCH(D284,梦灵养成!$C$30:$C$629,1),0)</f>
        <v>43200</v>
      </c>
      <c r="K284" s="101">
        <f ca="1" t="shared" si="32"/>
        <v>16730</v>
      </c>
      <c r="L284" s="101">
        <f ca="1">OFFSET(洗练性价比!$N$52,MATCH(F284*60,洗练性价比!$C$53:$C$2052,1),0)</f>
        <v>4680</v>
      </c>
    </row>
    <row r="285" spans="2:12">
      <c r="B285" s="95">
        <v>240</v>
      </c>
      <c r="C285" s="101">
        <f t="shared" si="33"/>
        <v>0</v>
      </c>
      <c r="D285" s="143">
        <f ca="1" t="shared" si="26"/>
        <v>14820</v>
      </c>
      <c r="E285" s="143">
        <f ca="1" t="shared" si="27"/>
        <v>240000</v>
      </c>
      <c r="F285" s="143">
        <f ca="1" t="shared" si="28"/>
        <v>1037</v>
      </c>
      <c r="G285" s="143">
        <f ca="1" t="shared" si="29"/>
        <v>0</v>
      </c>
      <c r="H285" s="143">
        <f ca="1" t="shared" si="30"/>
        <v>0</v>
      </c>
      <c r="I285" s="143">
        <f ca="1" t="shared" si="31"/>
        <v>116400</v>
      </c>
      <c r="J285" s="101">
        <f ca="1">OFFSET(梦灵养成!$Y$29,MATCH(D285,梦灵养成!$C$30:$C$629,1),0)</f>
        <v>41400</v>
      </c>
      <c r="K285" s="101">
        <f ca="1" t="shared" si="32"/>
        <v>16800</v>
      </c>
      <c r="L285" s="101">
        <f ca="1">OFFSET(洗练性价比!$N$52,MATCH(F285*60,洗练性价比!$C$53:$C$2052,1),0)</f>
        <v>4680</v>
      </c>
    </row>
    <row r="286" spans="2:12">
      <c r="B286" s="95">
        <v>241</v>
      </c>
      <c r="C286" s="101">
        <f t="shared" si="33"/>
        <v>0</v>
      </c>
      <c r="D286" s="143">
        <f ca="1" t="shared" si="26"/>
        <v>14880</v>
      </c>
      <c r="E286" s="143">
        <f ca="1" t="shared" si="27"/>
        <v>241000</v>
      </c>
      <c r="F286" s="143">
        <f ca="1" t="shared" si="28"/>
        <v>1041</v>
      </c>
      <c r="G286" s="143">
        <f ca="1" t="shared" si="29"/>
        <v>0</v>
      </c>
      <c r="H286" s="143">
        <f ca="1" t="shared" si="30"/>
        <v>0</v>
      </c>
      <c r="I286" s="143">
        <f ca="1" t="shared" si="31"/>
        <v>116850</v>
      </c>
      <c r="J286" s="101">
        <f ca="1">OFFSET(梦灵养成!$Y$29,MATCH(D286,梦灵养成!$C$30:$C$629,1),0)</f>
        <v>41400</v>
      </c>
      <c r="K286" s="101">
        <f ca="1" t="shared" si="32"/>
        <v>16870</v>
      </c>
      <c r="L286" s="101">
        <f ca="1">OFFSET(洗练性价比!$N$52,MATCH(F286*60,洗练性价比!$C$53:$C$2052,1),0)</f>
        <v>4680</v>
      </c>
    </row>
    <row r="287" spans="2:12">
      <c r="B287" s="95">
        <v>242</v>
      </c>
      <c r="C287" s="101">
        <f t="shared" si="33"/>
        <v>0</v>
      </c>
      <c r="D287" s="143">
        <f ca="1" t="shared" si="26"/>
        <v>14940</v>
      </c>
      <c r="E287" s="143">
        <f ca="1" t="shared" si="27"/>
        <v>242000</v>
      </c>
      <c r="F287" s="143">
        <f ca="1" t="shared" si="28"/>
        <v>1045</v>
      </c>
      <c r="G287" s="143">
        <f ca="1" t="shared" si="29"/>
        <v>0</v>
      </c>
      <c r="H287" s="143">
        <f ca="1" t="shared" si="30"/>
        <v>0</v>
      </c>
      <c r="I287" s="143">
        <f ca="1" t="shared" si="31"/>
        <v>117300</v>
      </c>
      <c r="J287" s="101">
        <f ca="1">OFFSET(梦灵养成!$Y$29,MATCH(D287,梦灵养成!$C$30:$C$629,1),0)</f>
        <v>39600</v>
      </c>
      <c r="K287" s="101">
        <f ca="1" t="shared" si="32"/>
        <v>16940</v>
      </c>
      <c r="L287" s="101">
        <f ca="1">OFFSET(洗练性价比!$N$52,MATCH(F287*60,洗练性价比!$C$53:$C$2052,1),0)</f>
        <v>4680</v>
      </c>
    </row>
    <row r="288" spans="2:12">
      <c r="B288" s="95">
        <v>243</v>
      </c>
      <c r="C288" s="101">
        <f t="shared" si="33"/>
        <v>0</v>
      </c>
      <c r="D288" s="143">
        <f ca="1" t="shared" si="26"/>
        <v>15000</v>
      </c>
      <c r="E288" s="143">
        <f ca="1" t="shared" si="27"/>
        <v>243000</v>
      </c>
      <c r="F288" s="143">
        <f ca="1" t="shared" si="28"/>
        <v>1049</v>
      </c>
      <c r="G288" s="143">
        <f ca="1" t="shared" si="29"/>
        <v>0</v>
      </c>
      <c r="H288" s="143">
        <f ca="1" t="shared" si="30"/>
        <v>0</v>
      </c>
      <c r="I288" s="143">
        <f ca="1" t="shared" si="31"/>
        <v>117750</v>
      </c>
      <c r="J288" s="101">
        <f ca="1">OFFSET(梦灵养成!$Y$29,MATCH(D288,梦灵养成!$C$30:$C$629,1),0)</f>
        <v>37800</v>
      </c>
      <c r="K288" s="101">
        <f ca="1" t="shared" si="32"/>
        <v>17010</v>
      </c>
      <c r="L288" s="101">
        <f ca="1">OFFSET(洗练性价比!$N$52,MATCH(F288*60,洗练性价比!$C$53:$C$2052,1),0)</f>
        <v>4680</v>
      </c>
    </row>
    <row r="289" spans="2:12">
      <c r="B289" s="95">
        <v>244</v>
      </c>
      <c r="C289" s="101">
        <f t="shared" si="33"/>
        <v>0</v>
      </c>
      <c r="D289" s="143">
        <f ca="1" t="shared" si="26"/>
        <v>15060</v>
      </c>
      <c r="E289" s="143">
        <f ca="1" t="shared" si="27"/>
        <v>244000</v>
      </c>
      <c r="F289" s="143">
        <f ca="1" t="shared" si="28"/>
        <v>1053</v>
      </c>
      <c r="G289" s="143">
        <f ca="1" t="shared" si="29"/>
        <v>0</v>
      </c>
      <c r="H289" s="143">
        <f ca="1" t="shared" si="30"/>
        <v>0</v>
      </c>
      <c r="I289" s="143">
        <f ca="1" t="shared" si="31"/>
        <v>118200</v>
      </c>
      <c r="J289" s="101">
        <f ca="1">OFFSET(梦灵养成!$Y$29,MATCH(D289,梦灵养成!$C$30:$C$629,1),0)</f>
        <v>37800</v>
      </c>
      <c r="K289" s="101">
        <f ca="1" t="shared" si="32"/>
        <v>17080</v>
      </c>
      <c r="L289" s="101">
        <f ca="1">OFFSET(洗练性价比!$N$52,MATCH(F289*60,洗练性价比!$C$53:$C$2052,1),0)</f>
        <v>4680</v>
      </c>
    </row>
    <row r="290" spans="2:12">
      <c r="B290" s="95">
        <v>245</v>
      </c>
      <c r="C290" s="101">
        <f t="shared" si="33"/>
        <v>0</v>
      </c>
      <c r="D290" s="143">
        <f ca="1" t="shared" si="26"/>
        <v>15120</v>
      </c>
      <c r="E290" s="143">
        <f ca="1" t="shared" si="27"/>
        <v>245000</v>
      </c>
      <c r="F290" s="143">
        <f ca="1" t="shared" si="28"/>
        <v>1057</v>
      </c>
      <c r="G290" s="143">
        <f ca="1" t="shared" si="29"/>
        <v>0</v>
      </c>
      <c r="H290" s="143">
        <f ca="1" t="shared" si="30"/>
        <v>0</v>
      </c>
      <c r="I290" s="143">
        <f ca="1" t="shared" si="31"/>
        <v>118650</v>
      </c>
      <c r="J290" s="101">
        <f ca="1">OFFSET(梦灵养成!$Y$29,MATCH(D290,梦灵养成!$C$30:$C$629,1),0)</f>
        <v>36000</v>
      </c>
      <c r="K290" s="101">
        <f ca="1" t="shared" si="32"/>
        <v>17150</v>
      </c>
      <c r="L290" s="101">
        <f ca="1">OFFSET(洗练性价比!$N$52,MATCH(F290*60,洗练性价比!$C$53:$C$2052,1),0)</f>
        <v>4680</v>
      </c>
    </row>
    <row r="291" spans="2:12">
      <c r="B291" s="95">
        <v>246</v>
      </c>
      <c r="C291" s="101">
        <f t="shared" si="33"/>
        <v>0</v>
      </c>
      <c r="D291" s="143">
        <f ca="1" t="shared" si="26"/>
        <v>15180</v>
      </c>
      <c r="E291" s="143">
        <f ca="1" t="shared" si="27"/>
        <v>246000</v>
      </c>
      <c r="F291" s="143">
        <f ca="1" t="shared" si="28"/>
        <v>1061</v>
      </c>
      <c r="G291" s="143">
        <f ca="1" t="shared" si="29"/>
        <v>0</v>
      </c>
      <c r="H291" s="143">
        <f ca="1" t="shared" si="30"/>
        <v>0</v>
      </c>
      <c r="I291" s="143">
        <f ca="1" t="shared" si="31"/>
        <v>119100</v>
      </c>
      <c r="J291" s="101">
        <f ca="1">OFFSET(梦灵养成!$Y$29,MATCH(D291,梦灵养成!$C$30:$C$629,1),0)</f>
        <v>36000</v>
      </c>
      <c r="K291" s="101">
        <f ca="1" t="shared" si="32"/>
        <v>17220</v>
      </c>
      <c r="L291" s="101">
        <f ca="1">OFFSET(洗练性价比!$N$52,MATCH(F291*60,洗练性价比!$C$53:$C$2052,1),0)</f>
        <v>4680</v>
      </c>
    </row>
    <row r="292" spans="2:12">
      <c r="B292" s="95">
        <v>247</v>
      </c>
      <c r="C292" s="101">
        <f t="shared" si="33"/>
        <v>0</v>
      </c>
      <c r="D292" s="143">
        <f ca="1" t="shared" si="26"/>
        <v>15240</v>
      </c>
      <c r="E292" s="143">
        <f ca="1" t="shared" si="27"/>
        <v>247000</v>
      </c>
      <c r="F292" s="143">
        <f ca="1" t="shared" si="28"/>
        <v>1065</v>
      </c>
      <c r="G292" s="143">
        <f ca="1" t="shared" si="29"/>
        <v>0</v>
      </c>
      <c r="H292" s="143">
        <f ca="1" t="shared" si="30"/>
        <v>0</v>
      </c>
      <c r="I292" s="143">
        <f ca="1" t="shared" si="31"/>
        <v>119550</v>
      </c>
      <c r="J292" s="101">
        <f ca="1">OFFSET(梦灵养成!$Y$29,MATCH(D292,梦灵养成!$C$30:$C$629,1),0)</f>
        <v>52200</v>
      </c>
      <c r="K292" s="101">
        <f ca="1" t="shared" si="32"/>
        <v>17290</v>
      </c>
      <c r="L292" s="101">
        <f ca="1">OFFSET(洗练性价比!$N$52,MATCH(F292*60,洗练性价比!$C$53:$C$2052,1),0)</f>
        <v>4680</v>
      </c>
    </row>
    <row r="293" spans="2:12">
      <c r="B293" s="95">
        <v>248</v>
      </c>
      <c r="C293" s="101">
        <f t="shared" si="33"/>
        <v>0</v>
      </c>
      <c r="D293" s="143">
        <f ca="1" t="shared" si="26"/>
        <v>15300</v>
      </c>
      <c r="E293" s="143">
        <f ca="1" t="shared" si="27"/>
        <v>248000</v>
      </c>
      <c r="F293" s="143">
        <f ca="1" t="shared" si="28"/>
        <v>1069</v>
      </c>
      <c r="G293" s="143">
        <f ca="1" t="shared" si="29"/>
        <v>0</v>
      </c>
      <c r="H293" s="143">
        <f ca="1" t="shared" si="30"/>
        <v>0</v>
      </c>
      <c r="I293" s="143">
        <f ca="1" t="shared" si="31"/>
        <v>120000</v>
      </c>
      <c r="J293" s="101">
        <f ca="1">OFFSET(梦灵养成!$Y$29,MATCH(D293,梦灵养成!$C$30:$C$629,1),0)</f>
        <v>50400</v>
      </c>
      <c r="K293" s="101">
        <f ca="1" t="shared" si="32"/>
        <v>17360</v>
      </c>
      <c r="L293" s="101">
        <f ca="1">OFFSET(洗练性价比!$N$52,MATCH(F293*60,洗练性价比!$C$53:$C$2052,1),0)</f>
        <v>4680</v>
      </c>
    </row>
    <row r="294" spans="2:12">
      <c r="B294" s="95">
        <v>249</v>
      </c>
      <c r="C294" s="101">
        <f t="shared" si="33"/>
        <v>0</v>
      </c>
      <c r="D294" s="143">
        <f ca="1" t="shared" si="26"/>
        <v>15360</v>
      </c>
      <c r="E294" s="143">
        <f ca="1" t="shared" si="27"/>
        <v>249000</v>
      </c>
      <c r="F294" s="143">
        <f ca="1" t="shared" si="28"/>
        <v>1073</v>
      </c>
      <c r="G294" s="143">
        <f ca="1" t="shared" si="29"/>
        <v>0</v>
      </c>
      <c r="H294" s="143">
        <f ca="1" t="shared" si="30"/>
        <v>0</v>
      </c>
      <c r="I294" s="143">
        <f ca="1" t="shared" si="31"/>
        <v>120450</v>
      </c>
      <c r="J294" s="101">
        <f ca="1">OFFSET(梦灵养成!$Y$29,MATCH(D294,梦灵养成!$C$30:$C$629,1),0)</f>
        <v>50400</v>
      </c>
      <c r="K294" s="101">
        <f ca="1" t="shared" si="32"/>
        <v>17430</v>
      </c>
      <c r="L294" s="101">
        <f ca="1">OFFSET(洗练性价比!$N$52,MATCH(F294*60,洗练性价比!$C$53:$C$2052,1),0)</f>
        <v>4680</v>
      </c>
    </row>
    <row r="295" spans="2:12">
      <c r="B295" s="95">
        <v>250</v>
      </c>
      <c r="C295" s="101">
        <f t="shared" si="33"/>
        <v>0</v>
      </c>
      <c r="D295" s="143">
        <f ca="1" t="shared" si="26"/>
        <v>15420</v>
      </c>
      <c r="E295" s="143">
        <f ca="1" t="shared" si="27"/>
        <v>250000</v>
      </c>
      <c r="F295" s="143">
        <f ca="1" t="shared" si="28"/>
        <v>1077</v>
      </c>
      <c r="G295" s="143">
        <f ca="1" t="shared" si="29"/>
        <v>0</v>
      </c>
      <c r="H295" s="143">
        <f ca="1" t="shared" si="30"/>
        <v>0</v>
      </c>
      <c r="I295" s="143">
        <f ca="1" t="shared" si="31"/>
        <v>120900</v>
      </c>
      <c r="J295" s="101">
        <f ca="1">OFFSET(梦灵养成!$Y$29,MATCH(D295,梦灵养成!$C$30:$C$629,1),0)</f>
        <v>48600</v>
      </c>
      <c r="K295" s="101">
        <f ca="1" t="shared" si="32"/>
        <v>17500</v>
      </c>
      <c r="L295" s="101">
        <f ca="1">OFFSET(洗练性价比!$N$52,MATCH(F295*60,洗练性价比!$C$53:$C$2052,1),0)</f>
        <v>4680</v>
      </c>
    </row>
    <row r="296" spans="2:12">
      <c r="B296" s="95">
        <v>251</v>
      </c>
      <c r="C296" s="101">
        <f t="shared" si="33"/>
        <v>0</v>
      </c>
      <c r="D296" s="143">
        <f ca="1" t="shared" si="26"/>
        <v>15480</v>
      </c>
      <c r="E296" s="143">
        <f ca="1" t="shared" si="27"/>
        <v>251000</v>
      </c>
      <c r="F296" s="143">
        <f ca="1" t="shared" si="28"/>
        <v>1081</v>
      </c>
      <c r="G296" s="143">
        <f ca="1" t="shared" si="29"/>
        <v>0</v>
      </c>
      <c r="H296" s="143">
        <f ca="1" t="shared" si="30"/>
        <v>0</v>
      </c>
      <c r="I296" s="143">
        <f ca="1" t="shared" si="31"/>
        <v>121350</v>
      </c>
      <c r="J296" s="101">
        <f ca="1">OFFSET(梦灵养成!$Y$29,MATCH(D296,梦灵养成!$C$30:$C$629,1),0)</f>
        <v>48600</v>
      </c>
      <c r="K296" s="101">
        <f ca="1" t="shared" si="32"/>
        <v>17570</v>
      </c>
      <c r="L296" s="101">
        <f ca="1">OFFSET(洗练性价比!$N$52,MATCH(F296*60,洗练性价比!$C$53:$C$2052,1),0)</f>
        <v>4680</v>
      </c>
    </row>
    <row r="297" spans="2:12">
      <c r="B297" s="95">
        <v>252</v>
      </c>
      <c r="C297" s="101">
        <f t="shared" si="33"/>
        <v>0</v>
      </c>
      <c r="D297" s="143">
        <f ca="1" t="shared" si="26"/>
        <v>15540</v>
      </c>
      <c r="E297" s="143">
        <f ca="1" t="shared" si="27"/>
        <v>252000</v>
      </c>
      <c r="F297" s="143">
        <f ca="1" t="shared" si="28"/>
        <v>1085</v>
      </c>
      <c r="G297" s="143">
        <f ca="1" t="shared" si="29"/>
        <v>0</v>
      </c>
      <c r="H297" s="143">
        <f ca="1" t="shared" si="30"/>
        <v>0</v>
      </c>
      <c r="I297" s="143">
        <f ca="1" t="shared" si="31"/>
        <v>121800</v>
      </c>
      <c r="J297" s="101">
        <f ca="1">OFFSET(梦灵养成!$Y$29,MATCH(D297,梦灵养成!$C$30:$C$629,1),0)</f>
        <v>46800</v>
      </c>
      <c r="K297" s="101">
        <f ca="1" t="shared" si="32"/>
        <v>17640</v>
      </c>
      <c r="L297" s="101">
        <f ca="1">OFFSET(洗练性价比!$N$52,MATCH(F297*60,洗练性价比!$C$53:$C$2052,1),0)</f>
        <v>4680</v>
      </c>
    </row>
    <row r="298" spans="2:12">
      <c r="B298" s="95">
        <v>253</v>
      </c>
      <c r="C298" s="101">
        <f t="shared" si="33"/>
        <v>0</v>
      </c>
      <c r="D298" s="143">
        <f ca="1" t="shared" si="26"/>
        <v>15600</v>
      </c>
      <c r="E298" s="143">
        <f ca="1" t="shared" si="27"/>
        <v>253000</v>
      </c>
      <c r="F298" s="143">
        <f ca="1" t="shared" si="28"/>
        <v>1089</v>
      </c>
      <c r="G298" s="143">
        <f ca="1" t="shared" si="29"/>
        <v>0</v>
      </c>
      <c r="H298" s="143">
        <f ca="1" t="shared" si="30"/>
        <v>0</v>
      </c>
      <c r="I298" s="143">
        <f ca="1" t="shared" si="31"/>
        <v>122250</v>
      </c>
      <c r="J298" s="101">
        <f ca="1">OFFSET(梦灵养成!$Y$29,MATCH(D298,梦灵养成!$C$30:$C$629,1),0)</f>
        <v>45000</v>
      </c>
      <c r="K298" s="101">
        <f ca="1" t="shared" si="32"/>
        <v>17710</v>
      </c>
      <c r="L298" s="101">
        <f ca="1">OFFSET(洗练性价比!$N$52,MATCH(F298*60,洗练性价比!$C$53:$C$2052,1),0)</f>
        <v>4680</v>
      </c>
    </row>
    <row r="299" spans="2:12">
      <c r="B299" s="95">
        <v>254</v>
      </c>
      <c r="C299" s="101">
        <f t="shared" si="33"/>
        <v>0</v>
      </c>
      <c r="D299" s="143">
        <f ca="1" t="shared" si="26"/>
        <v>15660</v>
      </c>
      <c r="E299" s="143">
        <f ca="1" t="shared" si="27"/>
        <v>254000</v>
      </c>
      <c r="F299" s="143">
        <f ca="1" t="shared" si="28"/>
        <v>1093</v>
      </c>
      <c r="G299" s="143">
        <f ca="1" t="shared" si="29"/>
        <v>0</v>
      </c>
      <c r="H299" s="143">
        <f ca="1" t="shared" si="30"/>
        <v>0</v>
      </c>
      <c r="I299" s="143">
        <f ca="1" t="shared" si="31"/>
        <v>122700</v>
      </c>
      <c r="J299" s="101">
        <f ca="1">OFFSET(梦灵养成!$Y$29,MATCH(D299,梦灵养成!$C$30:$C$629,1),0)</f>
        <v>45000</v>
      </c>
      <c r="K299" s="101">
        <f ca="1" t="shared" si="32"/>
        <v>17780</v>
      </c>
      <c r="L299" s="101">
        <f ca="1">OFFSET(洗练性价比!$N$52,MATCH(F299*60,洗练性价比!$C$53:$C$2052,1),0)</f>
        <v>4680</v>
      </c>
    </row>
    <row r="300" spans="2:12">
      <c r="B300" s="95">
        <v>255</v>
      </c>
      <c r="C300" s="101">
        <f t="shared" si="33"/>
        <v>0</v>
      </c>
      <c r="D300" s="143">
        <f ca="1" t="shared" si="26"/>
        <v>15720</v>
      </c>
      <c r="E300" s="143">
        <f ca="1" t="shared" si="27"/>
        <v>255000</v>
      </c>
      <c r="F300" s="143">
        <f ca="1" t="shared" si="28"/>
        <v>1097</v>
      </c>
      <c r="G300" s="143">
        <f ca="1" t="shared" si="29"/>
        <v>0</v>
      </c>
      <c r="H300" s="143">
        <f ca="1" t="shared" si="30"/>
        <v>0</v>
      </c>
      <c r="I300" s="143">
        <f ca="1" t="shared" si="31"/>
        <v>123150</v>
      </c>
      <c r="J300" s="101">
        <f ca="1">OFFSET(梦灵养成!$Y$29,MATCH(D300,梦灵养成!$C$30:$C$629,1),0)</f>
        <v>43200</v>
      </c>
      <c r="K300" s="101">
        <f ca="1" t="shared" si="32"/>
        <v>17850</v>
      </c>
      <c r="L300" s="101">
        <f ca="1">OFFSET(洗练性价比!$N$52,MATCH(F300*60,洗练性价比!$C$53:$C$2052,1),0)</f>
        <v>4680</v>
      </c>
    </row>
    <row r="301" spans="2:12">
      <c r="B301" s="95">
        <v>256</v>
      </c>
      <c r="C301" s="101">
        <f t="shared" si="33"/>
        <v>0</v>
      </c>
      <c r="D301" s="143">
        <f ca="1" t="shared" si="26"/>
        <v>15780</v>
      </c>
      <c r="E301" s="143">
        <f ca="1" t="shared" si="27"/>
        <v>256000</v>
      </c>
      <c r="F301" s="143">
        <f ca="1" t="shared" si="28"/>
        <v>1101</v>
      </c>
      <c r="G301" s="143">
        <f ca="1" t="shared" si="29"/>
        <v>0</v>
      </c>
      <c r="H301" s="143">
        <f ca="1" t="shared" si="30"/>
        <v>0</v>
      </c>
      <c r="I301" s="143">
        <f ca="1" t="shared" si="31"/>
        <v>123600</v>
      </c>
      <c r="J301" s="101">
        <f ca="1">OFFSET(梦灵养成!$Y$29,MATCH(D301,梦灵养成!$C$30:$C$629,1),0)</f>
        <v>43200</v>
      </c>
      <c r="K301" s="101">
        <f ca="1" t="shared" si="32"/>
        <v>17920</v>
      </c>
      <c r="L301" s="101">
        <f ca="1">OFFSET(洗练性价比!$N$52,MATCH(F301*60,洗练性价比!$C$53:$C$2052,1),0)</f>
        <v>4680</v>
      </c>
    </row>
    <row r="302" spans="2:12">
      <c r="B302" s="95">
        <v>257</v>
      </c>
      <c r="C302" s="101">
        <f t="shared" si="33"/>
        <v>0</v>
      </c>
      <c r="D302" s="143">
        <f ca="1" t="shared" si="26"/>
        <v>15840</v>
      </c>
      <c r="E302" s="143">
        <f ca="1" t="shared" si="27"/>
        <v>257000</v>
      </c>
      <c r="F302" s="143">
        <f ca="1" t="shared" si="28"/>
        <v>1105</v>
      </c>
      <c r="G302" s="143">
        <f ca="1" t="shared" si="29"/>
        <v>0</v>
      </c>
      <c r="H302" s="143">
        <f ca="1" t="shared" si="30"/>
        <v>0</v>
      </c>
      <c r="I302" s="143">
        <f ca="1" t="shared" si="31"/>
        <v>124050</v>
      </c>
      <c r="J302" s="101">
        <f ca="1">OFFSET(梦灵养成!$Y$29,MATCH(D302,梦灵养成!$C$30:$C$629,1),0)</f>
        <v>41400</v>
      </c>
      <c r="K302" s="101">
        <f ca="1" t="shared" si="32"/>
        <v>17990</v>
      </c>
      <c r="L302" s="101">
        <f ca="1">OFFSET(洗练性价比!$N$52,MATCH(F302*60,洗练性价比!$C$53:$C$2052,1),0)</f>
        <v>4680</v>
      </c>
    </row>
    <row r="303" spans="2:12">
      <c r="B303" s="95">
        <v>258</v>
      </c>
      <c r="C303" s="101">
        <f t="shared" si="33"/>
        <v>0</v>
      </c>
      <c r="D303" s="143">
        <f ca="1" t="shared" ref="D303:D345" si="34">OFFSET($B$36,MATCH(D$45,$B$37:$B$42,0),1)*$B303+OFFSET($B$36,MATCH(D$45,$B$37:$B$42,0),2)*MIN($B303,7)+OFFSET($E$36,MATCH(D$45,$B$37:$B$42,0),0)*$C303*1.1/OFFSET($F$36,MATCH(D$45,$B$37:$B$42,0),0)</f>
        <v>15900</v>
      </c>
      <c r="E303" s="143">
        <f ca="1" t="shared" ref="E303:E345" si="35">OFFSET($B$36,MATCH(E$45,$B$37:$B$42,0),1)*$B303+OFFSET($B$36,MATCH(E$45,$B$37:$B$42,0),2)*MIN($B303,7)+OFFSET($E$36,MATCH(E$45,$B$37:$B$42,0),0)*$C303*1.1/OFFSET($F$36,MATCH(E$45,$B$37:$B$42,0),0)</f>
        <v>258000</v>
      </c>
      <c r="F303" s="143">
        <f ca="1" t="shared" ref="F303:F345" si="36">OFFSET($B$36,MATCH(F$45,$B$37:$B$42,0),1)*$B303+OFFSET($B$36,MATCH(F$45,$B$37:$B$42,0),2)*MIN($B303,7)+OFFSET($E$36,MATCH(F$45,$B$37:$B$42,0),0)*$C303*1.1/OFFSET($F$36,MATCH(F$45,$B$37:$B$42,0),0)</f>
        <v>1109</v>
      </c>
      <c r="G303" s="143">
        <f ca="1" t="shared" ref="G303:G345" si="37">OFFSET($B$36,MATCH(G$45,$B$37:$B$42,0),1)*$B303+OFFSET($B$36,MATCH(G$45,$B$37:$B$42,0),2)*MIN($B303,7)+OFFSET($E$36,MATCH(G$45,$B$37:$B$42,0),0)*$C303*1.1/OFFSET($F$36,MATCH(G$45,$B$37:$B$42,0),0)</f>
        <v>0</v>
      </c>
      <c r="H303" s="143">
        <f ca="1" t="shared" ref="H303:H345" si="38">OFFSET($B$36,MATCH(H$45,$B$37:$B$42,0),1)*$B303+OFFSET($B$36,MATCH(H$45,$B$37:$B$42,0),2)*MIN($B303,7)+OFFSET($E$36,MATCH(H$45,$B$37:$B$42,0),0)*$C303*1.1/OFFSET($F$36,MATCH(H$45,$B$37:$B$42,0),0)</f>
        <v>0</v>
      </c>
      <c r="I303" s="143">
        <f ca="1" t="shared" ref="I303:I345" si="39">OFFSET($B$36,MATCH(I$45,$B$37:$B$42,0),1)*$B303+OFFSET($B$36,MATCH(I$45,$B$37:$B$42,0),2)*MIN($B303,7)+OFFSET($E$36,MATCH(I$45,$B$37:$B$42,0),0)*$C303*1.1/OFFSET($F$36,MATCH(I$45,$B$37:$B$42,0),0)</f>
        <v>124500</v>
      </c>
      <c r="J303" s="101">
        <f ca="1">OFFSET(梦灵养成!$Y$29,MATCH(D303,梦灵养成!$C$30:$C$629,1),0)</f>
        <v>39600</v>
      </c>
      <c r="K303" s="101">
        <f ca="1" t="shared" ref="K303:K345" si="40">E303*0.07</f>
        <v>18060</v>
      </c>
      <c r="L303" s="101">
        <f ca="1">OFFSET(洗练性价比!$N$52,MATCH(F303*60,洗练性价比!$C$53:$C$2052,1),0)</f>
        <v>4680</v>
      </c>
    </row>
    <row r="304" spans="2:12">
      <c r="B304" s="95">
        <v>259</v>
      </c>
      <c r="C304" s="101">
        <f t="shared" ref="C304:C345" si="41">C303+_xlfn.XLOOKUP($C$44,$C$28:$C$33,$F$28:$F$33)</f>
        <v>0</v>
      </c>
      <c r="D304" s="143">
        <f ca="1" t="shared" si="34"/>
        <v>15960</v>
      </c>
      <c r="E304" s="143">
        <f ca="1" t="shared" si="35"/>
        <v>259000</v>
      </c>
      <c r="F304" s="143">
        <f ca="1" t="shared" si="36"/>
        <v>1113</v>
      </c>
      <c r="G304" s="143">
        <f ca="1" t="shared" si="37"/>
        <v>0</v>
      </c>
      <c r="H304" s="143">
        <f ca="1" t="shared" si="38"/>
        <v>0</v>
      </c>
      <c r="I304" s="143">
        <f ca="1" t="shared" si="39"/>
        <v>124950</v>
      </c>
      <c r="J304" s="101">
        <f ca="1">OFFSET(梦灵养成!$Y$29,MATCH(D304,梦灵养成!$C$30:$C$629,1),0)</f>
        <v>39600</v>
      </c>
      <c r="K304" s="101">
        <f ca="1" t="shared" si="40"/>
        <v>18130</v>
      </c>
      <c r="L304" s="101">
        <f ca="1">OFFSET(洗练性价比!$N$52,MATCH(F304*60,洗练性价比!$C$53:$C$2052,1),0)</f>
        <v>4680</v>
      </c>
    </row>
    <row r="305" spans="2:12">
      <c r="B305" s="95">
        <v>260</v>
      </c>
      <c r="C305" s="101">
        <f t="shared" si="41"/>
        <v>0</v>
      </c>
      <c r="D305" s="143">
        <f ca="1" t="shared" si="34"/>
        <v>16020</v>
      </c>
      <c r="E305" s="143">
        <f ca="1" t="shared" si="35"/>
        <v>260000</v>
      </c>
      <c r="F305" s="143">
        <f ca="1" t="shared" si="36"/>
        <v>1117</v>
      </c>
      <c r="G305" s="143">
        <f ca="1" t="shared" si="37"/>
        <v>0</v>
      </c>
      <c r="H305" s="143">
        <f ca="1" t="shared" si="38"/>
        <v>0</v>
      </c>
      <c r="I305" s="143">
        <f ca="1" t="shared" si="39"/>
        <v>125400</v>
      </c>
      <c r="J305" s="101">
        <f ca="1">OFFSET(梦灵养成!$Y$29,MATCH(D305,梦灵养成!$C$30:$C$629,1),0)</f>
        <v>37800</v>
      </c>
      <c r="K305" s="101">
        <f ca="1" t="shared" si="40"/>
        <v>18200</v>
      </c>
      <c r="L305" s="101">
        <f ca="1">OFFSET(洗练性价比!$N$52,MATCH(F305*60,洗练性价比!$C$53:$C$2052,1),0)</f>
        <v>4680</v>
      </c>
    </row>
    <row r="306" spans="2:12">
      <c r="B306" s="95">
        <v>261</v>
      </c>
      <c r="C306" s="101">
        <f t="shared" si="41"/>
        <v>0</v>
      </c>
      <c r="D306" s="143">
        <f ca="1" t="shared" si="34"/>
        <v>16080</v>
      </c>
      <c r="E306" s="143">
        <f ca="1" t="shared" si="35"/>
        <v>261000</v>
      </c>
      <c r="F306" s="143">
        <f ca="1" t="shared" si="36"/>
        <v>1121</v>
      </c>
      <c r="G306" s="143">
        <f ca="1" t="shared" si="37"/>
        <v>0</v>
      </c>
      <c r="H306" s="143">
        <f ca="1" t="shared" si="38"/>
        <v>0</v>
      </c>
      <c r="I306" s="143">
        <f ca="1" t="shared" si="39"/>
        <v>125850</v>
      </c>
      <c r="J306" s="101">
        <f ca="1">OFFSET(梦灵养成!$Y$29,MATCH(D306,梦灵养成!$C$30:$C$629,1),0)</f>
        <v>37800</v>
      </c>
      <c r="K306" s="101">
        <f ca="1" t="shared" si="40"/>
        <v>18270</v>
      </c>
      <c r="L306" s="101">
        <f ca="1">OFFSET(洗练性价比!$N$52,MATCH(F306*60,洗练性价比!$C$53:$C$2052,1),0)</f>
        <v>4680</v>
      </c>
    </row>
    <row r="307" spans="2:12">
      <c r="B307" s="95">
        <v>262</v>
      </c>
      <c r="C307" s="101">
        <f t="shared" si="41"/>
        <v>0</v>
      </c>
      <c r="D307" s="143">
        <f ca="1" t="shared" si="34"/>
        <v>16140</v>
      </c>
      <c r="E307" s="143">
        <f ca="1" t="shared" si="35"/>
        <v>262000</v>
      </c>
      <c r="F307" s="143">
        <f ca="1" t="shared" si="36"/>
        <v>1125</v>
      </c>
      <c r="G307" s="143">
        <f ca="1" t="shared" si="37"/>
        <v>0</v>
      </c>
      <c r="H307" s="143">
        <f ca="1" t="shared" si="38"/>
        <v>0</v>
      </c>
      <c r="I307" s="143">
        <f ca="1" t="shared" si="39"/>
        <v>126300</v>
      </c>
      <c r="J307" s="101">
        <f ca="1">OFFSET(梦灵养成!$Y$29,MATCH(D307,梦灵养成!$C$30:$C$629,1),0)</f>
        <v>36000</v>
      </c>
      <c r="K307" s="101">
        <f ca="1" t="shared" si="40"/>
        <v>18340</v>
      </c>
      <c r="L307" s="101">
        <f ca="1">OFFSET(洗练性价比!$N$52,MATCH(F307*60,洗练性价比!$C$53:$C$2052,1),0)</f>
        <v>4680</v>
      </c>
    </row>
    <row r="308" spans="2:12">
      <c r="B308" s="95">
        <v>263</v>
      </c>
      <c r="C308" s="101">
        <f t="shared" si="41"/>
        <v>0</v>
      </c>
      <c r="D308" s="143">
        <f ca="1" t="shared" si="34"/>
        <v>16200</v>
      </c>
      <c r="E308" s="143">
        <f ca="1" t="shared" si="35"/>
        <v>263000</v>
      </c>
      <c r="F308" s="143">
        <f ca="1" t="shared" si="36"/>
        <v>1129</v>
      </c>
      <c r="G308" s="143">
        <f ca="1" t="shared" si="37"/>
        <v>0</v>
      </c>
      <c r="H308" s="143">
        <f ca="1" t="shared" si="38"/>
        <v>0</v>
      </c>
      <c r="I308" s="143">
        <f ca="1" t="shared" si="39"/>
        <v>126750</v>
      </c>
      <c r="J308" s="101">
        <f ca="1">OFFSET(梦灵养成!$Y$29,MATCH(D308,梦灵养成!$C$30:$C$629,1),0)</f>
        <v>34200</v>
      </c>
      <c r="K308" s="101">
        <f ca="1" t="shared" si="40"/>
        <v>18410</v>
      </c>
      <c r="L308" s="101">
        <f ca="1">OFFSET(洗练性价比!$N$52,MATCH(F308*60,洗练性价比!$C$53:$C$2052,1),0)</f>
        <v>4680</v>
      </c>
    </row>
    <row r="309" spans="2:12">
      <c r="B309" s="95">
        <v>264</v>
      </c>
      <c r="C309" s="101">
        <f t="shared" si="41"/>
        <v>0</v>
      </c>
      <c r="D309" s="143">
        <f ca="1" t="shared" si="34"/>
        <v>16260</v>
      </c>
      <c r="E309" s="143">
        <f ca="1" t="shared" si="35"/>
        <v>264000</v>
      </c>
      <c r="F309" s="143">
        <f ca="1" t="shared" si="36"/>
        <v>1133</v>
      </c>
      <c r="G309" s="143">
        <f ca="1" t="shared" si="37"/>
        <v>0</v>
      </c>
      <c r="H309" s="143">
        <f ca="1" t="shared" si="38"/>
        <v>0</v>
      </c>
      <c r="I309" s="143">
        <f ca="1" t="shared" si="39"/>
        <v>127200</v>
      </c>
      <c r="J309" s="101">
        <f ca="1">OFFSET(梦灵养成!$Y$29,MATCH(D309,梦灵养成!$C$30:$C$629,1),0)</f>
        <v>34200</v>
      </c>
      <c r="K309" s="101">
        <f ca="1" t="shared" si="40"/>
        <v>18480</v>
      </c>
      <c r="L309" s="101">
        <f ca="1">OFFSET(洗练性价比!$N$52,MATCH(F309*60,洗练性价比!$C$53:$C$2052,1),0)</f>
        <v>4680</v>
      </c>
    </row>
    <row r="310" spans="2:12">
      <c r="B310" s="95">
        <v>265</v>
      </c>
      <c r="C310" s="101">
        <f t="shared" si="41"/>
        <v>0</v>
      </c>
      <c r="D310" s="143">
        <f ca="1" t="shared" si="34"/>
        <v>16320</v>
      </c>
      <c r="E310" s="143">
        <f ca="1" t="shared" si="35"/>
        <v>265000</v>
      </c>
      <c r="F310" s="143">
        <f ca="1" t="shared" si="36"/>
        <v>1137</v>
      </c>
      <c r="G310" s="143">
        <f ca="1" t="shared" si="37"/>
        <v>0</v>
      </c>
      <c r="H310" s="143">
        <f ca="1" t="shared" si="38"/>
        <v>0</v>
      </c>
      <c r="I310" s="143">
        <f ca="1" t="shared" si="39"/>
        <v>127650</v>
      </c>
      <c r="J310" s="101">
        <f ca="1">OFFSET(梦灵养成!$Y$29,MATCH(D310,梦灵养成!$C$30:$C$629,1),0)</f>
        <v>50400</v>
      </c>
      <c r="K310" s="101">
        <f ca="1" t="shared" si="40"/>
        <v>18550</v>
      </c>
      <c r="L310" s="101">
        <f ca="1">OFFSET(洗练性价比!$N$52,MATCH(F310*60,洗练性价比!$C$53:$C$2052,1),0)</f>
        <v>4680</v>
      </c>
    </row>
    <row r="311" spans="2:12">
      <c r="B311" s="95">
        <v>266</v>
      </c>
      <c r="C311" s="101">
        <f t="shared" si="41"/>
        <v>0</v>
      </c>
      <c r="D311" s="143">
        <f ca="1" t="shared" si="34"/>
        <v>16380</v>
      </c>
      <c r="E311" s="143">
        <f ca="1" t="shared" si="35"/>
        <v>266000</v>
      </c>
      <c r="F311" s="143">
        <f ca="1" t="shared" si="36"/>
        <v>1141</v>
      </c>
      <c r="G311" s="143">
        <f ca="1" t="shared" si="37"/>
        <v>0</v>
      </c>
      <c r="H311" s="143">
        <f ca="1" t="shared" si="38"/>
        <v>0</v>
      </c>
      <c r="I311" s="143">
        <f ca="1" t="shared" si="39"/>
        <v>128100</v>
      </c>
      <c r="J311" s="101">
        <f ca="1">OFFSET(梦灵养成!$Y$29,MATCH(D311,梦灵养成!$C$30:$C$629,1),0)</f>
        <v>50400</v>
      </c>
      <c r="K311" s="101">
        <f ca="1" t="shared" si="40"/>
        <v>18620</v>
      </c>
      <c r="L311" s="101">
        <f ca="1">OFFSET(洗练性价比!$N$52,MATCH(F311*60,洗练性价比!$C$53:$C$2052,1),0)</f>
        <v>4680</v>
      </c>
    </row>
    <row r="312" spans="2:12">
      <c r="B312" s="95">
        <v>267</v>
      </c>
      <c r="C312" s="101">
        <f t="shared" si="41"/>
        <v>0</v>
      </c>
      <c r="D312" s="143">
        <f ca="1" t="shared" si="34"/>
        <v>16440</v>
      </c>
      <c r="E312" s="143">
        <f ca="1" t="shared" si="35"/>
        <v>267000</v>
      </c>
      <c r="F312" s="143">
        <f ca="1" t="shared" si="36"/>
        <v>1145</v>
      </c>
      <c r="G312" s="143">
        <f ca="1" t="shared" si="37"/>
        <v>0</v>
      </c>
      <c r="H312" s="143">
        <f ca="1" t="shared" si="38"/>
        <v>0</v>
      </c>
      <c r="I312" s="143">
        <f ca="1" t="shared" si="39"/>
        <v>128550</v>
      </c>
      <c r="J312" s="101">
        <f ca="1">OFFSET(梦灵养成!$Y$29,MATCH(D312,梦灵养成!$C$30:$C$629,1),0)</f>
        <v>48600</v>
      </c>
      <c r="K312" s="101">
        <f ca="1" t="shared" si="40"/>
        <v>18690</v>
      </c>
      <c r="L312" s="101">
        <f ca="1">OFFSET(洗练性价比!$N$52,MATCH(F312*60,洗练性价比!$C$53:$C$2052,1),0)</f>
        <v>4680</v>
      </c>
    </row>
    <row r="313" spans="2:12">
      <c r="B313" s="95">
        <v>268</v>
      </c>
      <c r="C313" s="101">
        <f t="shared" si="41"/>
        <v>0</v>
      </c>
      <c r="D313" s="143">
        <f ca="1" t="shared" si="34"/>
        <v>16500</v>
      </c>
      <c r="E313" s="143">
        <f ca="1" t="shared" si="35"/>
        <v>268000</v>
      </c>
      <c r="F313" s="143">
        <f ca="1" t="shared" si="36"/>
        <v>1149</v>
      </c>
      <c r="G313" s="143">
        <f ca="1" t="shared" si="37"/>
        <v>0</v>
      </c>
      <c r="H313" s="143">
        <f ca="1" t="shared" si="38"/>
        <v>0</v>
      </c>
      <c r="I313" s="143">
        <f ca="1" t="shared" si="39"/>
        <v>129000</v>
      </c>
      <c r="J313" s="101">
        <f ca="1">OFFSET(梦灵养成!$Y$29,MATCH(D313,梦灵养成!$C$30:$C$629,1),0)</f>
        <v>46800</v>
      </c>
      <c r="K313" s="101">
        <f ca="1" t="shared" si="40"/>
        <v>18760</v>
      </c>
      <c r="L313" s="101">
        <f ca="1">OFFSET(洗练性价比!$N$52,MATCH(F313*60,洗练性价比!$C$53:$C$2052,1),0)</f>
        <v>4680</v>
      </c>
    </row>
    <row r="314" spans="2:12">
      <c r="B314" s="95">
        <v>269</v>
      </c>
      <c r="C314" s="101">
        <f t="shared" si="41"/>
        <v>0</v>
      </c>
      <c r="D314" s="143">
        <f ca="1" t="shared" si="34"/>
        <v>16560</v>
      </c>
      <c r="E314" s="143">
        <f ca="1" t="shared" si="35"/>
        <v>269000</v>
      </c>
      <c r="F314" s="143">
        <f ca="1" t="shared" si="36"/>
        <v>1153</v>
      </c>
      <c r="G314" s="143">
        <f ca="1" t="shared" si="37"/>
        <v>0</v>
      </c>
      <c r="H314" s="143">
        <f ca="1" t="shared" si="38"/>
        <v>0</v>
      </c>
      <c r="I314" s="143">
        <f ca="1" t="shared" si="39"/>
        <v>129450</v>
      </c>
      <c r="J314" s="101">
        <f ca="1">OFFSET(梦灵养成!$Y$29,MATCH(D314,梦灵养成!$C$30:$C$629,1),0)</f>
        <v>46800</v>
      </c>
      <c r="K314" s="101">
        <f ca="1" t="shared" si="40"/>
        <v>18830</v>
      </c>
      <c r="L314" s="101">
        <f ca="1">OFFSET(洗练性价比!$N$52,MATCH(F314*60,洗练性价比!$C$53:$C$2052,1),0)</f>
        <v>4680</v>
      </c>
    </row>
    <row r="315" spans="2:12">
      <c r="B315" s="95">
        <v>270</v>
      </c>
      <c r="C315" s="101">
        <f t="shared" si="41"/>
        <v>0</v>
      </c>
      <c r="D315" s="143">
        <f ca="1" t="shared" si="34"/>
        <v>16620</v>
      </c>
      <c r="E315" s="143">
        <f ca="1" t="shared" si="35"/>
        <v>270000</v>
      </c>
      <c r="F315" s="143">
        <f ca="1" t="shared" si="36"/>
        <v>1157</v>
      </c>
      <c r="G315" s="143">
        <f ca="1" t="shared" si="37"/>
        <v>0</v>
      </c>
      <c r="H315" s="143">
        <f ca="1" t="shared" si="38"/>
        <v>0</v>
      </c>
      <c r="I315" s="143">
        <f ca="1" t="shared" si="39"/>
        <v>129900</v>
      </c>
      <c r="J315" s="101">
        <f ca="1">OFFSET(梦灵养成!$Y$29,MATCH(D315,梦灵养成!$C$30:$C$629,1),0)</f>
        <v>45000</v>
      </c>
      <c r="K315" s="101">
        <f ca="1" t="shared" si="40"/>
        <v>18900</v>
      </c>
      <c r="L315" s="101">
        <f ca="1">OFFSET(洗练性价比!$N$52,MATCH(F315*60,洗练性价比!$C$53:$C$2052,1),0)</f>
        <v>4680</v>
      </c>
    </row>
    <row r="316" spans="2:12">
      <c r="B316" s="95">
        <v>271</v>
      </c>
      <c r="C316" s="101">
        <f t="shared" si="41"/>
        <v>0</v>
      </c>
      <c r="D316" s="143">
        <f ca="1" t="shared" si="34"/>
        <v>16680</v>
      </c>
      <c r="E316" s="143">
        <f ca="1" t="shared" si="35"/>
        <v>271000</v>
      </c>
      <c r="F316" s="143">
        <f ca="1" t="shared" si="36"/>
        <v>1161</v>
      </c>
      <c r="G316" s="143">
        <f ca="1" t="shared" si="37"/>
        <v>0</v>
      </c>
      <c r="H316" s="143">
        <f ca="1" t="shared" si="38"/>
        <v>0</v>
      </c>
      <c r="I316" s="143">
        <f ca="1" t="shared" si="39"/>
        <v>130350</v>
      </c>
      <c r="J316" s="101">
        <f ca="1">OFFSET(梦灵养成!$Y$29,MATCH(D316,梦灵养成!$C$30:$C$629,1),0)</f>
        <v>45000</v>
      </c>
      <c r="K316" s="101">
        <f ca="1" t="shared" si="40"/>
        <v>18970</v>
      </c>
      <c r="L316" s="101">
        <f ca="1">OFFSET(洗练性价比!$N$52,MATCH(F316*60,洗练性价比!$C$53:$C$2052,1),0)</f>
        <v>4680</v>
      </c>
    </row>
    <row r="317" spans="2:12">
      <c r="B317" s="95">
        <v>272</v>
      </c>
      <c r="C317" s="101">
        <f t="shared" si="41"/>
        <v>0</v>
      </c>
      <c r="D317" s="143">
        <f ca="1" t="shared" si="34"/>
        <v>16740</v>
      </c>
      <c r="E317" s="143">
        <f ca="1" t="shared" si="35"/>
        <v>272000</v>
      </c>
      <c r="F317" s="143">
        <f ca="1" t="shared" si="36"/>
        <v>1165</v>
      </c>
      <c r="G317" s="143">
        <f ca="1" t="shared" si="37"/>
        <v>0</v>
      </c>
      <c r="H317" s="143">
        <f ca="1" t="shared" si="38"/>
        <v>0</v>
      </c>
      <c r="I317" s="143">
        <f ca="1" t="shared" si="39"/>
        <v>130800</v>
      </c>
      <c r="J317" s="101">
        <f ca="1">OFFSET(梦灵养成!$Y$29,MATCH(D317,梦灵养成!$C$30:$C$629,1),0)</f>
        <v>43200</v>
      </c>
      <c r="K317" s="101">
        <f ca="1" t="shared" si="40"/>
        <v>19040</v>
      </c>
      <c r="L317" s="101">
        <f ca="1">OFFSET(洗练性价比!$N$52,MATCH(F317*60,洗练性价比!$C$53:$C$2052,1),0)</f>
        <v>4680</v>
      </c>
    </row>
    <row r="318" spans="2:12">
      <c r="B318" s="95">
        <v>273</v>
      </c>
      <c r="C318" s="101">
        <f t="shared" si="41"/>
        <v>0</v>
      </c>
      <c r="D318" s="143">
        <f ca="1" t="shared" si="34"/>
        <v>16800</v>
      </c>
      <c r="E318" s="143">
        <f ca="1" t="shared" si="35"/>
        <v>273000</v>
      </c>
      <c r="F318" s="143">
        <f ca="1" t="shared" si="36"/>
        <v>1169</v>
      </c>
      <c r="G318" s="143">
        <f ca="1" t="shared" si="37"/>
        <v>0</v>
      </c>
      <c r="H318" s="143">
        <f ca="1" t="shared" si="38"/>
        <v>0</v>
      </c>
      <c r="I318" s="143">
        <f ca="1" t="shared" si="39"/>
        <v>131250</v>
      </c>
      <c r="J318" s="101">
        <f ca="1">OFFSET(梦灵养成!$Y$29,MATCH(D318,梦灵养成!$C$30:$C$629,1),0)</f>
        <v>41400</v>
      </c>
      <c r="K318" s="101">
        <f ca="1" t="shared" si="40"/>
        <v>19110</v>
      </c>
      <c r="L318" s="101">
        <f ca="1">OFFSET(洗练性价比!$N$52,MATCH(F318*60,洗练性价比!$C$53:$C$2052,1),0)</f>
        <v>4680</v>
      </c>
    </row>
    <row r="319" spans="2:12">
      <c r="B319" s="95">
        <v>274</v>
      </c>
      <c r="C319" s="101">
        <f t="shared" si="41"/>
        <v>0</v>
      </c>
      <c r="D319" s="143">
        <f ca="1" t="shared" si="34"/>
        <v>16860</v>
      </c>
      <c r="E319" s="143">
        <f ca="1" t="shared" si="35"/>
        <v>274000</v>
      </c>
      <c r="F319" s="143">
        <f ca="1" t="shared" si="36"/>
        <v>1173</v>
      </c>
      <c r="G319" s="143">
        <f ca="1" t="shared" si="37"/>
        <v>0</v>
      </c>
      <c r="H319" s="143">
        <f ca="1" t="shared" si="38"/>
        <v>0</v>
      </c>
      <c r="I319" s="143">
        <f ca="1" t="shared" si="39"/>
        <v>131700</v>
      </c>
      <c r="J319" s="101">
        <f ca="1">OFFSET(梦灵养成!$Y$29,MATCH(D319,梦灵养成!$C$30:$C$629,1),0)</f>
        <v>41400</v>
      </c>
      <c r="K319" s="101">
        <f ca="1" t="shared" si="40"/>
        <v>19180</v>
      </c>
      <c r="L319" s="101">
        <f ca="1">OFFSET(洗练性价比!$N$52,MATCH(F319*60,洗练性价比!$C$53:$C$2052,1),0)</f>
        <v>4680</v>
      </c>
    </row>
    <row r="320" spans="2:12">
      <c r="B320" s="95">
        <v>275</v>
      </c>
      <c r="C320" s="101">
        <f t="shared" si="41"/>
        <v>0</v>
      </c>
      <c r="D320" s="143">
        <f ca="1" t="shared" si="34"/>
        <v>16920</v>
      </c>
      <c r="E320" s="143">
        <f ca="1" t="shared" si="35"/>
        <v>275000</v>
      </c>
      <c r="F320" s="143">
        <f ca="1" t="shared" si="36"/>
        <v>1177</v>
      </c>
      <c r="G320" s="143">
        <f ca="1" t="shared" si="37"/>
        <v>0</v>
      </c>
      <c r="H320" s="143">
        <f ca="1" t="shared" si="38"/>
        <v>0</v>
      </c>
      <c r="I320" s="143">
        <f ca="1" t="shared" si="39"/>
        <v>132150</v>
      </c>
      <c r="J320" s="101">
        <f ca="1">OFFSET(梦灵养成!$Y$29,MATCH(D320,梦灵养成!$C$30:$C$629,1),0)</f>
        <v>39600</v>
      </c>
      <c r="K320" s="101">
        <f ca="1" t="shared" si="40"/>
        <v>19250</v>
      </c>
      <c r="L320" s="101">
        <f ca="1">OFFSET(洗练性价比!$N$52,MATCH(F320*60,洗练性价比!$C$53:$C$2052,1),0)</f>
        <v>4680</v>
      </c>
    </row>
    <row r="321" spans="2:12">
      <c r="B321" s="95">
        <v>276</v>
      </c>
      <c r="C321" s="101">
        <f t="shared" si="41"/>
        <v>0</v>
      </c>
      <c r="D321" s="143">
        <f ca="1" t="shared" si="34"/>
        <v>16980</v>
      </c>
      <c r="E321" s="143">
        <f ca="1" t="shared" si="35"/>
        <v>276000</v>
      </c>
      <c r="F321" s="143">
        <f ca="1" t="shared" si="36"/>
        <v>1181</v>
      </c>
      <c r="G321" s="143">
        <f ca="1" t="shared" si="37"/>
        <v>0</v>
      </c>
      <c r="H321" s="143">
        <f ca="1" t="shared" si="38"/>
        <v>0</v>
      </c>
      <c r="I321" s="143">
        <f ca="1" t="shared" si="39"/>
        <v>132600</v>
      </c>
      <c r="J321" s="101">
        <f ca="1">OFFSET(梦灵养成!$Y$29,MATCH(D321,梦灵养成!$C$30:$C$629,1),0)</f>
        <v>39600</v>
      </c>
      <c r="K321" s="101">
        <f ca="1" t="shared" si="40"/>
        <v>19320</v>
      </c>
      <c r="L321" s="101">
        <f ca="1">OFFSET(洗练性价比!$N$52,MATCH(F321*60,洗练性价比!$C$53:$C$2052,1),0)</f>
        <v>4680</v>
      </c>
    </row>
    <row r="322" spans="2:12">
      <c r="B322" s="95">
        <v>277</v>
      </c>
      <c r="C322" s="101">
        <f t="shared" si="41"/>
        <v>0</v>
      </c>
      <c r="D322" s="143">
        <f ca="1" t="shared" si="34"/>
        <v>17040</v>
      </c>
      <c r="E322" s="143">
        <f ca="1" t="shared" si="35"/>
        <v>277000</v>
      </c>
      <c r="F322" s="143">
        <f ca="1" t="shared" si="36"/>
        <v>1185</v>
      </c>
      <c r="G322" s="143">
        <f ca="1" t="shared" si="37"/>
        <v>0</v>
      </c>
      <c r="H322" s="143">
        <f ca="1" t="shared" si="38"/>
        <v>0</v>
      </c>
      <c r="I322" s="143">
        <f ca="1" t="shared" si="39"/>
        <v>133050</v>
      </c>
      <c r="J322" s="101">
        <f ca="1">OFFSET(梦灵养成!$Y$29,MATCH(D322,梦灵养成!$C$30:$C$629,1),0)</f>
        <v>37800</v>
      </c>
      <c r="K322" s="101">
        <f ca="1" t="shared" si="40"/>
        <v>19390</v>
      </c>
      <c r="L322" s="101">
        <f ca="1">OFFSET(洗练性价比!$N$52,MATCH(F322*60,洗练性价比!$C$53:$C$2052,1),0)</f>
        <v>4680</v>
      </c>
    </row>
    <row r="323" spans="2:12">
      <c r="B323" s="95">
        <v>278</v>
      </c>
      <c r="C323" s="101">
        <f t="shared" si="41"/>
        <v>0</v>
      </c>
      <c r="D323" s="143">
        <f ca="1" t="shared" si="34"/>
        <v>17100</v>
      </c>
      <c r="E323" s="143">
        <f ca="1" t="shared" si="35"/>
        <v>278000</v>
      </c>
      <c r="F323" s="143">
        <f ca="1" t="shared" si="36"/>
        <v>1189</v>
      </c>
      <c r="G323" s="143">
        <f ca="1" t="shared" si="37"/>
        <v>0</v>
      </c>
      <c r="H323" s="143">
        <f ca="1" t="shared" si="38"/>
        <v>0</v>
      </c>
      <c r="I323" s="143">
        <f ca="1" t="shared" si="39"/>
        <v>133500</v>
      </c>
      <c r="J323" s="101">
        <f ca="1">OFFSET(梦灵养成!$Y$29,MATCH(D323,梦灵养成!$C$30:$C$629,1),0)</f>
        <v>66600</v>
      </c>
      <c r="K323" s="101">
        <f ca="1" t="shared" si="40"/>
        <v>19460</v>
      </c>
      <c r="L323" s="101">
        <f ca="1">OFFSET(洗练性价比!$N$52,MATCH(F323*60,洗练性价比!$C$53:$C$2052,1),0)</f>
        <v>4680</v>
      </c>
    </row>
    <row r="324" spans="2:12">
      <c r="B324" s="95">
        <v>279</v>
      </c>
      <c r="C324" s="101">
        <f t="shared" si="41"/>
        <v>0</v>
      </c>
      <c r="D324" s="143">
        <f ca="1" t="shared" si="34"/>
        <v>17160</v>
      </c>
      <c r="E324" s="143">
        <f ca="1" t="shared" si="35"/>
        <v>279000</v>
      </c>
      <c r="F324" s="143">
        <f ca="1" t="shared" si="36"/>
        <v>1193</v>
      </c>
      <c r="G324" s="143">
        <f ca="1" t="shared" si="37"/>
        <v>0</v>
      </c>
      <c r="H324" s="143">
        <f ca="1" t="shared" si="38"/>
        <v>0</v>
      </c>
      <c r="I324" s="143">
        <f ca="1" t="shared" si="39"/>
        <v>133950</v>
      </c>
      <c r="J324" s="101">
        <f ca="1">OFFSET(梦灵养成!$Y$29,MATCH(D324,梦灵养成!$C$30:$C$629,1),0)</f>
        <v>66600</v>
      </c>
      <c r="K324" s="101">
        <f ca="1" t="shared" si="40"/>
        <v>19530</v>
      </c>
      <c r="L324" s="101">
        <f ca="1">OFFSET(洗练性价比!$N$52,MATCH(F324*60,洗练性价比!$C$53:$C$2052,1),0)</f>
        <v>4680</v>
      </c>
    </row>
    <row r="325" spans="2:12">
      <c r="B325" s="95">
        <v>280</v>
      </c>
      <c r="C325" s="101">
        <f t="shared" si="41"/>
        <v>0</v>
      </c>
      <c r="D325" s="143">
        <f ca="1" t="shared" si="34"/>
        <v>17220</v>
      </c>
      <c r="E325" s="143">
        <f ca="1" t="shared" si="35"/>
        <v>280000</v>
      </c>
      <c r="F325" s="143">
        <f ca="1" t="shared" si="36"/>
        <v>1197</v>
      </c>
      <c r="G325" s="143">
        <f ca="1" t="shared" si="37"/>
        <v>0</v>
      </c>
      <c r="H325" s="143">
        <f ca="1" t="shared" si="38"/>
        <v>0</v>
      </c>
      <c r="I325" s="143">
        <f ca="1" t="shared" si="39"/>
        <v>134400</v>
      </c>
      <c r="J325" s="101">
        <f ca="1">OFFSET(梦灵养成!$Y$29,MATCH(D325,梦灵养成!$C$30:$C$629,1),0)</f>
        <v>64800</v>
      </c>
      <c r="K325" s="101">
        <f ca="1" t="shared" si="40"/>
        <v>19600</v>
      </c>
      <c r="L325" s="101">
        <f ca="1">OFFSET(洗练性价比!$N$52,MATCH(F325*60,洗练性价比!$C$53:$C$2052,1),0)</f>
        <v>4680</v>
      </c>
    </row>
    <row r="326" spans="2:12">
      <c r="B326" s="95">
        <v>281</v>
      </c>
      <c r="C326" s="101">
        <f t="shared" si="41"/>
        <v>0</v>
      </c>
      <c r="D326" s="143">
        <f ca="1" t="shared" si="34"/>
        <v>17280</v>
      </c>
      <c r="E326" s="143">
        <f ca="1" t="shared" si="35"/>
        <v>281000</v>
      </c>
      <c r="F326" s="143">
        <f ca="1" t="shared" si="36"/>
        <v>1201</v>
      </c>
      <c r="G326" s="143">
        <f ca="1" t="shared" si="37"/>
        <v>0</v>
      </c>
      <c r="H326" s="143">
        <f ca="1" t="shared" si="38"/>
        <v>0</v>
      </c>
      <c r="I326" s="143">
        <f ca="1" t="shared" si="39"/>
        <v>134850</v>
      </c>
      <c r="J326" s="101">
        <f ca="1">OFFSET(梦灵养成!$Y$29,MATCH(D326,梦灵养成!$C$30:$C$629,1),0)</f>
        <v>64800</v>
      </c>
      <c r="K326" s="101">
        <f ca="1" t="shared" si="40"/>
        <v>19670</v>
      </c>
      <c r="L326" s="101">
        <f ca="1">OFFSET(洗练性价比!$N$52,MATCH(F326*60,洗练性价比!$C$53:$C$2052,1),0)</f>
        <v>4680</v>
      </c>
    </row>
    <row r="327" spans="2:12">
      <c r="B327" s="95">
        <v>282</v>
      </c>
      <c r="C327" s="101">
        <f t="shared" si="41"/>
        <v>0</v>
      </c>
      <c r="D327" s="143">
        <f ca="1" t="shared" si="34"/>
        <v>17340</v>
      </c>
      <c r="E327" s="143">
        <f ca="1" t="shared" si="35"/>
        <v>282000</v>
      </c>
      <c r="F327" s="143">
        <f ca="1" t="shared" si="36"/>
        <v>1205</v>
      </c>
      <c r="G327" s="143">
        <f ca="1" t="shared" si="37"/>
        <v>0</v>
      </c>
      <c r="H327" s="143">
        <f ca="1" t="shared" si="38"/>
        <v>0</v>
      </c>
      <c r="I327" s="143">
        <f ca="1" t="shared" si="39"/>
        <v>135300</v>
      </c>
      <c r="J327" s="101">
        <f ca="1">OFFSET(梦灵养成!$Y$29,MATCH(D327,梦灵养成!$C$30:$C$629,1),0)</f>
        <v>63000</v>
      </c>
      <c r="K327" s="101">
        <f ca="1" t="shared" si="40"/>
        <v>19740</v>
      </c>
      <c r="L327" s="101">
        <f ca="1">OFFSET(洗练性价比!$N$52,MATCH(F327*60,洗练性价比!$C$53:$C$2052,1),0)</f>
        <v>4680</v>
      </c>
    </row>
    <row r="328" spans="2:12">
      <c r="B328" s="95">
        <v>283</v>
      </c>
      <c r="C328" s="101">
        <f t="shared" si="41"/>
        <v>0</v>
      </c>
      <c r="D328" s="143">
        <f ca="1" t="shared" si="34"/>
        <v>17400</v>
      </c>
      <c r="E328" s="143">
        <f ca="1" t="shared" si="35"/>
        <v>283000</v>
      </c>
      <c r="F328" s="143">
        <f ca="1" t="shared" si="36"/>
        <v>1209</v>
      </c>
      <c r="G328" s="143">
        <f ca="1" t="shared" si="37"/>
        <v>0</v>
      </c>
      <c r="H328" s="143">
        <f ca="1" t="shared" si="38"/>
        <v>0</v>
      </c>
      <c r="I328" s="143">
        <f ca="1" t="shared" si="39"/>
        <v>135750</v>
      </c>
      <c r="J328" s="101">
        <f ca="1">OFFSET(梦灵养成!$Y$29,MATCH(D328,梦灵养成!$C$30:$C$629,1),0)</f>
        <v>61200</v>
      </c>
      <c r="K328" s="101">
        <f ca="1" t="shared" si="40"/>
        <v>19810</v>
      </c>
      <c r="L328" s="101">
        <f ca="1">OFFSET(洗练性价比!$N$52,MATCH(F328*60,洗练性价比!$C$53:$C$2052,1),0)</f>
        <v>4680</v>
      </c>
    </row>
    <row r="329" spans="2:12">
      <c r="B329" s="95">
        <v>284</v>
      </c>
      <c r="C329" s="101">
        <f t="shared" si="41"/>
        <v>0</v>
      </c>
      <c r="D329" s="143">
        <f ca="1" t="shared" si="34"/>
        <v>17460</v>
      </c>
      <c r="E329" s="143">
        <f ca="1" t="shared" si="35"/>
        <v>284000</v>
      </c>
      <c r="F329" s="143">
        <f ca="1" t="shared" si="36"/>
        <v>1213</v>
      </c>
      <c r="G329" s="143">
        <f ca="1" t="shared" si="37"/>
        <v>0</v>
      </c>
      <c r="H329" s="143">
        <f ca="1" t="shared" si="38"/>
        <v>0</v>
      </c>
      <c r="I329" s="143">
        <f ca="1" t="shared" si="39"/>
        <v>136200</v>
      </c>
      <c r="J329" s="101">
        <f ca="1">OFFSET(梦灵养成!$Y$29,MATCH(D329,梦灵养成!$C$30:$C$629,1),0)</f>
        <v>61200</v>
      </c>
      <c r="K329" s="101">
        <f ca="1" t="shared" si="40"/>
        <v>19880</v>
      </c>
      <c r="L329" s="101">
        <f ca="1">OFFSET(洗练性价比!$N$52,MATCH(F329*60,洗练性价比!$C$53:$C$2052,1),0)</f>
        <v>4680</v>
      </c>
    </row>
    <row r="330" spans="2:12">
      <c r="B330" s="95">
        <v>285</v>
      </c>
      <c r="C330" s="101">
        <f t="shared" si="41"/>
        <v>0</v>
      </c>
      <c r="D330" s="143">
        <f ca="1" t="shared" si="34"/>
        <v>17520</v>
      </c>
      <c r="E330" s="143">
        <f ca="1" t="shared" si="35"/>
        <v>285000</v>
      </c>
      <c r="F330" s="143">
        <f ca="1" t="shared" si="36"/>
        <v>1217</v>
      </c>
      <c r="G330" s="143">
        <f ca="1" t="shared" si="37"/>
        <v>0</v>
      </c>
      <c r="H330" s="143">
        <f ca="1" t="shared" si="38"/>
        <v>0</v>
      </c>
      <c r="I330" s="143">
        <f ca="1" t="shared" si="39"/>
        <v>136650</v>
      </c>
      <c r="J330" s="101">
        <f ca="1">OFFSET(梦灵养成!$Y$29,MATCH(D330,梦灵养成!$C$30:$C$629,1),0)</f>
        <v>59400</v>
      </c>
      <c r="K330" s="101">
        <f ca="1" t="shared" si="40"/>
        <v>19950</v>
      </c>
      <c r="L330" s="101">
        <f ca="1">OFFSET(洗练性价比!$N$52,MATCH(F330*60,洗练性价比!$C$53:$C$2052,1),0)</f>
        <v>4680</v>
      </c>
    </row>
    <row r="331" spans="2:12">
      <c r="B331" s="95">
        <v>286</v>
      </c>
      <c r="C331" s="101">
        <f t="shared" si="41"/>
        <v>0</v>
      </c>
      <c r="D331" s="143">
        <f ca="1" t="shared" si="34"/>
        <v>17580</v>
      </c>
      <c r="E331" s="143">
        <f ca="1" t="shared" si="35"/>
        <v>286000</v>
      </c>
      <c r="F331" s="143">
        <f ca="1" t="shared" si="36"/>
        <v>1221</v>
      </c>
      <c r="G331" s="143">
        <f ca="1" t="shared" si="37"/>
        <v>0</v>
      </c>
      <c r="H331" s="143">
        <f ca="1" t="shared" si="38"/>
        <v>0</v>
      </c>
      <c r="I331" s="143">
        <f ca="1" t="shared" si="39"/>
        <v>137100</v>
      </c>
      <c r="J331" s="101">
        <f ca="1">OFFSET(梦灵养成!$Y$29,MATCH(D331,梦灵养成!$C$30:$C$629,1),0)</f>
        <v>59400</v>
      </c>
      <c r="K331" s="101">
        <f ca="1" t="shared" si="40"/>
        <v>20020</v>
      </c>
      <c r="L331" s="101">
        <f ca="1">OFFSET(洗练性价比!$N$52,MATCH(F331*60,洗练性价比!$C$53:$C$2052,1),0)</f>
        <v>4680</v>
      </c>
    </row>
    <row r="332" spans="2:12">
      <c r="B332" s="95">
        <v>287</v>
      </c>
      <c r="C332" s="101">
        <f t="shared" si="41"/>
        <v>0</v>
      </c>
      <c r="D332" s="143">
        <f ca="1" t="shared" si="34"/>
        <v>17640</v>
      </c>
      <c r="E332" s="143">
        <f ca="1" t="shared" si="35"/>
        <v>287000</v>
      </c>
      <c r="F332" s="143">
        <f ca="1" t="shared" si="36"/>
        <v>1225</v>
      </c>
      <c r="G332" s="143">
        <f ca="1" t="shared" si="37"/>
        <v>0</v>
      </c>
      <c r="H332" s="143">
        <f ca="1" t="shared" si="38"/>
        <v>0</v>
      </c>
      <c r="I332" s="143">
        <f ca="1" t="shared" si="39"/>
        <v>137550</v>
      </c>
      <c r="J332" s="101">
        <f ca="1">OFFSET(梦灵养成!$Y$29,MATCH(D332,梦灵养成!$C$30:$C$629,1),0)</f>
        <v>57600</v>
      </c>
      <c r="K332" s="101">
        <f ca="1" t="shared" si="40"/>
        <v>20090</v>
      </c>
      <c r="L332" s="101">
        <f ca="1">OFFSET(洗练性价比!$N$52,MATCH(F332*60,洗练性价比!$C$53:$C$2052,1),0)</f>
        <v>4680</v>
      </c>
    </row>
    <row r="333" spans="2:12">
      <c r="B333" s="95">
        <v>288</v>
      </c>
      <c r="C333" s="101">
        <f t="shared" si="41"/>
        <v>0</v>
      </c>
      <c r="D333" s="143">
        <f ca="1" t="shared" si="34"/>
        <v>17700</v>
      </c>
      <c r="E333" s="143">
        <f ca="1" t="shared" si="35"/>
        <v>288000</v>
      </c>
      <c r="F333" s="143">
        <f ca="1" t="shared" si="36"/>
        <v>1229</v>
      </c>
      <c r="G333" s="143">
        <f ca="1" t="shared" si="37"/>
        <v>0</v>
      </c>
      <c r="H333" s="143">
        <f ca="1" t="shared" si="38"/>
        <v>0</v>
      </c>
      <c r="I333" s="143">
        <f ca="1" t="shared" si="39"/>
        <v>138000</v>
      </c>
      <c r="J333" s="101">
        <f ca="1">OFFSET(梦灵养成!$Y$29,MATCH(D333,梦灵养成!$C$30:$C$629,1),0)</f>
        <v>55800</v>
      </c>
      <c r="K333" s="101">
        <f ca="1" t="shared" si="40"/>
        <v>20160</v>
      </c>
      <c r="L333" s="101">
        <f ca="1">OFFSET(洗练性价比!$N$52,MATCH(F333*60,洗练性价比!$C$53:$C$2052,1),0)</f>
        <v>4680</v>
      </c>
    </row>
    <row r="334" spans="2:12">
      <c r="B334" s="95">
        <v>289</v>
      </c>
      <c r="C334" s="101">
        <f t="shared" si="41"/>
        <v>0</v>
      </c>
      <c r="D334" s="143">
        <f ca="1" t="shared" si="34"/>
        <v>17760</v>
      </c>
      <c r="E334" s="143">
        <f ca="1" t="shared" si="35"/>
        <v>289000</v>
      </c>
      <c r="F334" s="143">
        <f ca="1" t="shared" si="36"/>
        <v>1233</v>
      </c>
      <c r="G334" s="143">
        <f ca="1" t="shared" si="37"/>
        <v>0</v>
      </c>
      <c r="H334" s="143">
        <f ca="1" t="shared" si="38"/>
        <v>0</v>
      </c>
      <c r="I334" s="143">
        <f ca="1" t="shared" si="39"/>
        <v>138450</v>
      </c>
      <c r="J334" s="101">
        <f ca="1">OFFSET(梦灵养成!$Y$29,MATCH(D334,梦灵养成!$C$30:$C$629,1),0)</f>
        <v>55800</v>
      </c>
      <c r="K334" s="101">
        <f ca="1" t="shared" si="40"/>
        <v>20230</v>
      </c>
      <c r="L334" s="101">
        <f ca="1">OFFSET(洗练性价比!$N$52,MATCH(F334*60,洗练性价比!$C$53:$C$2052,1),0)</f>
        <v>4680</v>
      </c>
    </row>
    <row r="335" spans="2:12">
      <c r="B335" s="95">
        <v>290</v>
      </c>
      <c r="C335" s="101">
        <f t="shared" si="41"/>
        <v>0</v>
      </c>
      <c r="D335" s="143">
        <f ca="1" t="shared" si="34"/>
        <v>17820</v>
      </c>
      <c r="E335" s="143">
        <f ca="1" t="shared" si="35"/>
        <v>290000</v>
      </c>
      <c r="F335" s="143">
        <f ca="1" t="shared" si="36"/>
        <v>1237</v>
      </c>
      <c r="G335" s="143">
        <f ca="1" t="shared" si="37"/>
        <v>0</v>
      </c>
      <c r="H335" s="143">
        <f ca="1" t="shared" si="38"/>
        <v>0</v>
      </c>
      <c r="I335" s="143">
        <f ca="1" t="shared" si="39"/>
        <v>138900</v>
      </c>
      <c r="J335" s="101">
        <f ca="1">OFFSET(梦灵养成!$Y$29,MATCH(D335,梦灵养成!$C$30:$C$629,1),0)</f>
        <v>54000</v>
      </c>
      <c r="K335" s="101">
        <f ca="1" t="shared" si="40"/>
        <v>20300</v>
      </c>
      <c r="L335" s="101">
        <f ca="1">OFFSET(洗练性价比!$N$52,MATCH(F335*60,洗练性价比!$C$53:$C$2052,1),0)</f>
        <v>4680</v>
      </c>
    </row>
    <row r="336" spans="2:12">
      <c r="B336" s="95">
        <v>291</v>
      </c>
      <c r="C336" s="101">
        <f t="shared" si="41"/>
        <v>0</v>
      </c>
      <c r="D336" s="143">
        <f ca="1" t="shared" si="34"/>
        <v>17880</v>
      </c>
      <c r="E336" s="143">
        <f ca="1" t="shared" si="35"/>
        <v>291000</v>
      </c>
      <c r="F336" s="143">
        <f ca="1" t="shared" si="36"/>
        <v>1241</v>
      </c>
      <c r="G336" s="143">
        <f ca="1" t="shared" si="37"/>
        <v>0</v>
      </c>
      <c r="H336" s="143">
        <f ca="1" t="shared" si="38"/>
        <v>0</v>
      </c>
      <c r="I336" s="143">
        <f ca="1" t="shared" si="39"/>
        <v>139350</v>
      </c>
      <c r="J336" s="101">
        <f ca="1">OFFSET(梦灵养成!$Y$29,MATCH(D336,梦灵养成!$C$30:$C$629,1),0)</f>
        <v>54000</v>
      </c>
      <c r="K336" s="101">
        <f ca="1" t="shared" si="40"/>
        <v>20370</v>
      </c>
      <c r="L336" s="101">
        <f ca="1">OFFSET(洗练性价比!$N$52,MATCH(F336*60,洗练性价比!$C$53:$C$2052,1),0)</f>
        <v>4680</v>
      </c>
    </row>
    <row r="337" spans="2:12">
      <c r="B337" s="95">
        <v>292</v>
      </c>
      <c r="C337" s="101">
        <f t="shared" si="41"/>
        <v>0</v>
      </c>
      <c r="D337" s="143">
        <f ca="1" t="shared" si="34"/>
        <v>17940</v>
      </c>
      <c r="E337" s="143">
        <f ca="1" t="shared" si="35"/>
        <v>292000</v>
      </c>
      <c r="F337" s="143">
        <f ca="1" t="shared" si="36"/>
        <v>1245</v>
      </c>
      <c r="G337" s="143">
        <f ca="1" t="shared" si="37"/>
        <v>0</v>
      </c>
      <c r="H337" s="143">
        <f ca="1" t="shared" si="38"/>
        <v>0</v>
      </c>
      <c r="I337" s="143">
        <f ca="1" t="shared" si="39"/>
        <v>139800</v>
      </c>
      <c r="J337" s="101">
        <f ca="1">OFFSET(梦灵养成!$Y$29,MATCH(D337,梦灵养成!$C$30:$C$629,1),0)</f>
        <v>52200</v>
      </c>
      <c r="K337" s="101">
        <f ca="1" t="shared" si="40"/>
        <v>20440</v>
      </c>
      <c r="L337" s="101">
        <f ca="1">OFFSET(洗练性价比!$N$52,MATCH(F337*60,洗练性价比!$C$53:$C$2052,1),0)</f>
        <v>4680</v>
      </c>
    </row>
    <row r="338" spans="2:12">
      <c r="B338" s="95">
        <v>293</v>
      </c>
      <c r="C338" s="101">
        <f t="shared" si="41"/>
        <v>0</v>
      </c>
      <c r="D338" s="143">
        <f ca="1" t="shared" si="34"/>
        <v>18000</v>
      </c>
      <c r="E338" s="143">
        <f ca="1" t="shared" si="35"/>
        <v>293000</v>
      </c>
      <c r="F338" s="143">
        <f ca="1" t="shared" si="36"/>
        <v>1249</v>
      </c>
      <c r="G338" s="143">
        <f ca="1" t="shared" si="37"/>
        <v>0</v>
      </c>
      <c r="H338" s="143">
        <f ca="1" t="shared" si="38"/>
        <v>0</v>
      </c>
      <c r="I338" s="143">
        <f ca="1" t="shared" si="39"/>
        <v>140250</v>
      </c>
      <c r="J338" s="101">
        <f ca="1">OFFSET(梦灵养成!$Y$29,MATCH(D338,梦灵养成!$C$30:$C$629,1),0)</f>
        <v>50400</v>
      </c>
      <c r="K338" s="101">
        <f ca="1" t="shared" si="40"/>
        <v>20510</v>
      </c>
      <c r="L338" s="101">
        <f ca="1">OFFSET(洗练性价比!$N$52,MATCH(F338*60,洗练性价比!$C$53:$C$2052,1),0)</f>
        <v>4680</v>
      </c>
    </row>
    <row r="339" spans="2:12">
      <c r="B339" s="95">
        <v>294</v>
      </c>
      <c r="C339" s="101">
        <f t="shared" si="41"/>
        <v>0</v>
      </c>
      <c r="D339" s="143">
        <f ca="1" t="shared" si="34"/>
        <v>18060</v>
      </c>
      <c r="E339" s="143">
        <f ca="1" t="shared" si="35"/>
        <v>294000</v>
      </c>
      <c r="F339" s="143">
        <f ca="1" t="shared" si="36"/>
        <v>1253</v>
      </c>
      <c r="G339" s="143">
        <f ca="1" t="shared" si="37"/>
        <v>0</v>
      </c>
      <c r="H339" s="143">
        <f ca="1" t="shared" si="38"/>
        <v>0</v>
      </c>
      <c r="I339" s="143">
        <f ca="1" t="shared" si="39"/>
        <v>140700</v>
      </c>
      <c r="J339" s="101">
        <f ca="1">OFFSET(梦灵养成!$Y$29,MATCH(D339,梦灵养成!$C$30:$C$629,1),0)</f>
        <v>50400</v>
      </c>
      <c r="K339" s="101">
        <f ca="1" t="shared" si="40"/>
        <v>20580</v>
      </c>
      <c r="L339" s="101">
        <f ca="1">OFFSET(洗练性价比!$N$52,MATCH(F339*60,洗练性价比!$C$53:$C$2052,1),0)</f>
        <v>4680</v>
      </c>
    </row>
    <row r="340" spans="2:12">
      <c r="B340" s="95">
        <v>295</v>
      </c>
      <c r="C340" s="101">
        <f t="shared" si="41"/>
        <v>0</v>
      </c>
      <c r="D340" s="143">
        <f ca="1" t="shared" si="34"/>
        <v>18120</v>
      </c>
      <c r="E340" s="143">
        <f ca="1" t="shared" si="35"/>
        <v>295000</v>
      </c>
      <c r="F340" s="143">
        <f ca="1" t="shared" si="36"/>
        <v>1257</v>
      </c>
      <c r="G340" s="143">
        <f ca="1" t="shared" si="37"/>
        <v>0</v>
      </c>
      <c r="H340" s="143">
        <f ca="1" t="shared" si="38"/>
        <v>0</v>
      </c>
      <c r="I340" s="143">
        <f ca="1" t="shared" si="39"/>
        <v>141150</v>
      </c>
      <c r="J340" s="101">
        <f ca="1">OFFSET(梦灵养成!$Y$29,MATCH(D340,梦灵养成!$C$30:$C$629,1),0)</f>
        <v>109800</v>
      </c>
      <c r="K340" s="101">
        <f ca="1" t="shared" si="40"/>
        <v>20650</v>
      </c>
      <c r="L340" s="101">
        <f ca="1">OFFSET(洗练性价比!$N$52,MATCH(F340*60,洗练性价比!$C$53:$C$2052,1),0)</f>
        <v>4680</v>
      </c>
    </row>
    <row r="341" spans="2:12">
      <c r="B341" s="95">
        <v>296</v>
      </c>
      <c r="C341" s="101">
        <f t="shared" si="41"/>
        <v>0</v>
      </c>
      <c r="D341" s="143">
        <f ca="1" t="shared" si="34"/>
        <v>18180</v>
      </c>
      <c r="E341" s="143">
        <f ca="1" t="shared" si="35"/>
        <v>296000</v>
      </c>
      <c r="F341" s="143">
        <f ca="1" t="shared" si="36"/>
        <v>1261</v>
      </c>
      <c r="G341" s="143">
        <f ca="1" t="shared" si="37"/>
        <v>0</v>
      </c>
      <c r="H341" s="143">
        <f ca="1" t="shared" si="38"/>
        <v>0</v>
      </c>
      <c r="I341" s="143">
        <f ca="1" t="shared" si="39"/>
        <v>141600</v>
      </c>
      <c r="J341" s="101">
        <f ca="1">OFFSET(梦灵养成!$Y$29,MATCH(D341,梦灵养成!$C$30:$C$629,1),0)</f>
        <v>109800</v>
      </c>
      <c r="K341" s="101">
        <f ca="1" t="shared" si="40"/>
        <v>20720</v>
      </c>
      <c r="L341" s="101">
        <f ca="1">OFFSET(洗练性价比!$N$52,MATCH(F341*60,洗练性价比!$C$53:$C$2052,1),0)</f>
        <v>4680</v>
      </c>
    </row>
    <row r="342" spans="2:12">
      <c r="B342" s="95">
        <v>297</v>
      </c>
      <c r="C342" s="101">
        <f t="shared" si="41"/>
        <v>0</v>
      </c>
      <c r="D342" s="143">
        <f ca="1" t="shared" si="34"/>
        <v>18240</v>
      </c>
      <c r="E342" s="143">
        <f ca="1" t="shared" si="35"/>
        <v>297000</v>
      </c>
      <c r="F342" s="143">
        <f ca="1" t="shared" si="36"/>
        <v>1265</v>
      </c>
      <c r="G342" s="143">
        <f ca="1" t="shared" si="37"/>
        <v>0</v>
      </c>
      <c r="H342" s="143">
        <f ca="1" t="shared" si="38"/>
        <v>0</v>
      </c>
      <c r="I342" s="143">
        <f ca="1" t="shared" si="39"/>
        <v>142050</v>
      </c>
      <c r="J342" s="101">
        <f ca="1">OFFSET(梦灵养成!$Y$29,MATCH(D342,梦灵养成!$C$30:$C$629,1),0)</f>
        <v>108000</v>
      </c>
      <c r="K342" s="101">
        <f ca="1" t="shared" si="40"/>
        <v>20790</v>
      </c>
      <c r="L342" s="101">
        <f ca="1">OFFSET(洗练性价比!$N$52,MATCH(F342*60,洗练性价比!$C$53:$C$2052,1),0)</f>
        <v>4680</v>
      </c>
    </row>
    <row r="343" spans="2:12">
      <c r="B343" s="95">
        <v>298</v>
      </c>
      <c r="C343" s="101">
        <f t="shared" si="41"/>
        <v>0</v>
      </c>
      <c r="D343" s="143">
        <f ca="1" t="shared" si="34"/>
        <v>18300</v>
      </c>
      <c r="E343" s="143">
        <f ca="1" t="shared" si="35"/>
        <v>298000</v>
      </c>
      <c r="F343" s="143">
        <f ca="1" t="shared" si="36"/>
        <v>1269</v>
      </c>
      <c r="G343" s="143">
        <f ca="1" t="shared" si="37"/>
        <v>0</v>
      </c>
      <c r="H343" s="143">
        <f ca="1" t="shared" si="38"/>
        <v>0</v>
      </c>
      <c r="I343" s="143">
        <f ca="1" t="shared" si="39"/>
        <v>142500</v>
      </c>
      <c r="J343" s="101">
        <f ca="1">OFFSET(梦灵养成!$Y$29,MATCH(D343,梦灵养成!$C$30:$C$629,1),0)</f>
        <v>106200</v>
      </c>
      <c r="K343" s="101">
        <f ca="1" t="shared" si="40"/>
        <v>20860</v>
      </c>
      <c r="L343" s="101">
        <f ca="1">OFFSET(洗练性价比!$N$52,MATCH(F343*60,洗练性价比!$C$53:$C$2052,1),0)</f>
        <v>4680</v>
      </c>
    </row>
    <row r="344" spans="2:12">
      <c r="B344" s="95">
        <v>299</v>
      </c>
      <c r="C344" s="101">
        <f t="shared" si="41"/>
        <v>0</v>
      </c>
      <c r="D344" s="143">
        <f ca="1" t="shared" si="34"/>
        <v>18360</v>
      </c>
      <c r="E344" s="143">
        <f ca="1" t="shared" si="35"/>
        <v>299000</v>
      </c>
      <c r="F344" s="143">
        <f ca="1" t="shared" si="36"/>
        <v>1273</v>
      </c>
      <c r="G344" s="143">
        <f ca="1" t="shared" si="37"/>
        <v>0</v>
      </c>
      <c r="H344" s="143">
        <f ca="1" t="shared" si="38"/>
        <v>0</v>
      </c>
      <c r="I344" s="143">
        <f ca="1" t="shared" si="39"/>
        <v>142950</v>
      </c>
      <c r="J344" s="101">
        <f ca="1">OFFSET(梦灵养成!$Y$29,MATCH(D344,梦灵养成!$C$30:$C$629,1),0)</f>
        <v>106200</v>
      </c>
      <c r="K344" s="101">
        <f ca="1" t="shared" si="40"/>
        <v>20930</v>
      </c>
      <c r="L344" s="101">
        <f ca="1">OFFSET(洗练性价比!$N$52,MATCH(F344*60,洗练性价比!$C$53:$C$2052,1),0)</f>
        <v>4680</v>
      </c>
    </row>
    <row r="345" spans="2:12">
      <c r="B345" s="95">
        <v>300</v>
      </c>
      <c r="C345" s="101">
        <f t="shared" si="41"/>
        <v>0</v>
      </c>
      <c r="D345" s="143">
        <f ca="1" t="shared" si="34"/>
        <v>18420</v>
      </c>
      <c r="E345" s="143">
        <f ca="1" t="shared" si="35"/>
        <v>300000</v>
      </c>
      <c r="F345" s="143">
        <f ca="1" t="shared" si="36"/>
        <v>1277</v>
      </c>
      <c r="G345" s="143">
        <f ca="1" t="shared" si="37"/>
        <v>0</v>
      </c>
      <c r="H345" s="143">
        <f ca="1" t="shared" si="38"/>
        <v>0</v>
      </c>
      <c r="I345" s="143">
        <f ca="1" t="shared" si="39"/>
        <v>143400</v>
      </c>
      <c r="J345" s="101">
        <f ca="1">OFFSET(梦灵养成!$Y$29,MATCH(D345,梦灵养成!$C$30:$C$629,1),0)</f>
        <v>104400</v>
      </c>
      <c r="K345" s="101">
        <f ca="1" t="shared" si="40"/>
        <v>21000</v>
      </c>
      <c r="L345" s="101">
        <f ca="1">OFFSET(洗练性价比!$N$52,MATCH(F345*60,洗练性价比!$C$53:$C$2052,1),0)</f>
        <v>4680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2:AT1836"/>
  <sheetViews>
    <sheetView showGridLines="0" zoomScale="115" zoomScaleNormal="115" topLeftCell="A3" workbookViewId="0">
      <selection activeCell="E17" sqref="E17"/>
    </sheetView>
  </sheetViews>
  <sheetFormatPr defaultColWidth="9" defaultRowHeight="13.5"/>
  <cols>
    <col min="1" max="1" width="9" style="106"/>
    <col min="2" max="2" width="11.625" style="106" customWidth="1"/>
    <col min="3" max="3" width="12.625" style="106"/>
    <col min="4" max="4" width="14.25" style="106" customWidth="1"/>
    <col min="5" max="6" width="12.625" style="106"/>
    <col min="7" max="11" width="9" style="106"/>
    <col min="12" max="12" width="9" style="106" customWidth="1"/>
    <col min="13" max="15" width="9" style="106"/>
    <col min="16" max="16" width="10.2166666666667" style="106" customWidth="1"/>
    <col min="17" max="33" width="9" style="106"/>
    <col min="34" max="40" width="9" style="106" customWidth="1"/>
    <col min="41" max="16384" width="9" style="106"/>
  </cols>
  <sheetData>
    <row r="2" s="106" customFormat="1" ht="16.5" spans="2:18">
      <c r="B2" s="107" t="s">
        <v>29</v>
      </c>
      <c r="C2" s="107"/>
    </row>
    <row r="3" s="106" customFormat="1" ht="16.5" spans="2:18">
      <c r="B3" s="108" t="s">
        <v>30</v>
      </c>
      <c r="C3" s="109">
        <v>5</v>
      </c>
    </row>
    <row r="7" s="106" customFormat="1" ht="16.5" spans="2:18">
      <c r="L7" s="110" t="s">
        <v>31</v>
      </c>
      <c r="M7" s="110"/>
      <c r="N7" s="110"/>
      <c r="O7" s="110"/>
    </row>
    <row r="8" s="106" customFormat="1" ht="16.5" spans="2:18">
      <c r="B8" s="111" t="s">
        <v>32</v>
      </c>
      <c r="C8" s="111" t="s">
        <v>33</v>
      </c>
      <c r="D8" s="111" t="s">
        <v>34</v>
      </c>
      <c r="E8" s="111" t="s">
        <v>35</v>
      </c>
      <c r="F8" s="111" t="s">
        <v>36</v>
      </c>
      <c r="G8" s="111" t="s">
        <v>37</v>
      </c>
      <c r="H8" s="111" t="s">
        <v>38</v>
      </c>
      <c r="I8" s="111" t="s">
        <v>39</v>
      </c>
      <c r="K8" s="107" t="s">
        <v>40</v>
      </c>
      <c r="L8" s="107" t="s">
        <v>41</v>
      </c>
      <c r="M8" s="107" t="s">
        <v>42</v>
      </c>
      <c r="N8" s="107" t="s">
        <v>43</v>
      </c>
      <c r="O8" s="107" t="s">
        <v>44</v>
      </c>
      <c r="P8" s="107" t="s">
        <v>45</v>
      </c>
      <c r="Q8" s="107" t="s">
        <v>46</v>
      </c>
      <c r="R8" s="112" t="s">
        <v>47</v>
      </c>
    </row>
    <row r="9" s="106" customFormat="1" ht="16.5" spans="2:18">
      <c r="B9" s="11" t="s">
        <v>48</v>
      </c>
      <c r="C9" s="113">
        <v>0</v>
      </c>
      <c r="D9" s="113" t="s">
        <v>49</v>
      </c>
      <c r="E9" s="113">
        <v>1</v>
      </c>
      <c r="F9" s="114">
        <v>1</v>
      </c>
      <c r="G9" s="115">
        <v>0.04</v>
      </c>
      <c r="H9" s="116">
        <v>1</v>
      </c>
      <c r="I9" s="115" t="str">
        <f>D9</f>
        <v>寒冰射手</v>
      </c>
      <c r="K9" s="117">
        <v>1</v>
      </c>
      <c r="L9" s="118">
        <v>0.4</v>
      </c>
      <c r="M9" s="118">
        <v>0.1</v>
      </c>
      <c r="N9" s="119"/>
      <c r="O9" s="118"/>
      <c r="P9" s="120">
        <v>450</v>
      </c>
      <c r="Q9" s="120">
        <f>SUM($P$9:P9)</f>
        <v>450</v>
      </c>
      <c r="R9" s="121"/>
    </row>
    <row r="10" s="106" customFormat="1" ht="16.5" spans="2:18">
      <c r="B10" s="11" t="s">
        <v>48</v>
      </c>
      <c r="C10" s="113">
        <v>0</v>
      </c>
      <c r="D10" s="113" t="s">
        <v>50</v>
      </c>
      <c r="E10" s="113">
        <v>1</v>
      </c>
      <c r="F10" s="114">
        <v>1</v>
      </c>
      <c r="G10" s="115">
        <v>0.04</v>
      </c>
      <c r="H10" s="116">
        <v>1</v>
      </c>
      <c r="I10" s="115" t="str">
        <f>I9</f>
        <v>寒冰射手</v>
      </c>
      <c r="K10" s="117">
        <v>2</v>
      </c>
      <c r="L10" s="118">
        <v>0.355</v>
      </c>
      <c r="M10" s="118">
        <v>0.12</v>
      </c>
      <c r="N10" s="119">
        <v>0.025</v>
      </c>
      <c r="O10" s="119"/>
      <c r="P10" s="120">
        <v>909</v>
      </c>
      <c r="Q10" s="120">
        <f>SUM($P$9:P10)</f>
        <v>1359</v>
      </c>
      <c r="R10" s="121"/>
    </row>
    <row r="11" s="106" customFormat="1" ht="16.5" spans="2:18">
      <c r="B11" s="11" t="s">
        <v>48</v>
      </c>
      <c r="C11" s="113">
        <v>0</v>
      </c>
      <c r="D11" s="113" t="s">
        <v>51</v>
      </c>
      <c r="E11" s="113">
        <v>1</v>
      </c>
      <c r="F11" s="114">
        <v>1</v>
      </c>
      <c r="G11" s="115">
        <v>0.04</v>
      </c>
      <c r="H11" s="116">
        <v>1</v>
      </c>
      <c r="I11" s="115" t="str">
        <f>I10</f>
        <v>寒冰射手</v>
      </c>
      <c r="K11" s="117">
        <v>3</v>
      </c>
      <c r="L11" s="118">
        <v>0.31</v>
      </c>
      <c r="M11" s="118">
        <v>0.14</v>
      </c>
      <c r="N11" s="119">
        <v>0.05</v>
      </c>
      <c r="O11" s="119"/>
      <c r="P11" s="120">
        <v>1818</v>
      </c>
      <c r="Q11" s="120">
        <f>SUM($P$9:P11)</f>
        <v>3177</v>
      </c>
      <c r="R11" s="121"/>
    </row>
    <row r="12" s="106" customFormat="1" ht="16.5" spans="2:18">
      <c r="B12" s="11" t="s">
        <v>48</v>
      </c>
      <c r="C12" s="113">
        <v>10</v>
      </c>
      <c r="D12" s="113" t="s">
        <v>52</v>
      </c>
      <c r="E12" s="113">
        <v>2</v>
      </c>
      <c r="F12" s="114">
        <v>1.15</v>
      </c>
      <c r="G12" s="115">
        <v>0.05</v>
      </c>
      <c r="H12" s="116">
        <v>2</v>
      </c>
      <c r="I12" s="115" t="str">
        <f>D12</f>
        <v>摇滚巨石</v>
      </c>
      <c r="K12" s="117">
        <v>4</v>
      </c>
      <c r="L12" s="118">
        <v>0.264226324699144</v>
      </c>
      <c r="M12" s="118">
        <v>0.16</v>
      </c>
      <c r="N12" s="119">
        <v>0.06</v>
      </c>
      <c r="O12" s="119">
        <v>0.0157736753008561</v>
      </c>
      <c r="P12" s="120">
        <v>2727</v>
      </c>
      <c r="Q12" s="120">
        <f>SUM($P$9:P12)</f>
        <v>5904</v>
      </c>
      <c r="R12" s="121"/>
    </row>
    <row r="13" s="106" customFormat="1" ht="16.5" spans="2:18">
      <c r="B13" s="11" t="s">
        <v>48</v>
      </c>
      <c r="C13" s="113">
        <v>40</v>
      </c>
      <c r="D13" s="113" t="s">
        <v>53</v>
      </c>
      <c r="E13" s="113">
        <v>2</v>
      </c>
      <c r="F13" s="114">
        <v>1.15</v>
      </c>
      <c r="G13" s="115">
        <v>0.05</v>
      </c>
      <c r="H13" s="116">
        <v>2</v>
      </c>
      <c r="I13" s="115" t="str">
        <f>D13</f>
        <v>泥巴少女</v>
      </c>
      <c r="K13" s="117">
        <v>5</v>
      </c>
      <c r="L13" s="118">
        <v>0.216942067191022</v>
      </c>
      <c r="M13" s="118">
        <v>0.18</v>
      </c>
      <c r="N13" s="119">
        <v>0.08</v>
      </c>
      <c r="O13" s="119">
        <v>0.0230579328089777</v>
      </c>
      <c r="P13" s="120">
        <v>3636</v>
      </c>
      <c r="Q13" s="120">
        <f>SUM($P$9:P13)</f>
        <v>9540</v>
      </c>
      <c r="R13" s="121"/>
    </row>
    <row r="14" s="106" customFormat="1" ht="16.5" spans="2:18">
      <c r="B14" s="11" t="s">
        <v>48</v>
      </c>
      <c r="C14" s="113">
        <v>80</v>
      </c>
      <c r="D14" s="113" t="s">
        <v>54</v>
      </c>
      <c r="E14" s="113">
        <v>2</v>
      </c>
      <c r="F14" s="114">
        <v>1.15</v>
      </c>
      <c r="G14" s="115">
        <v>0.05</v>
      </c>
      <c r="H14" s="116">
        <v>2</v>
      </c>
      <c r="I14" s="115" t="str">
        <f>D14</f>
        <v>雷震子</v>
      </c>
      <c r="K14" s="117">
        <v>6</v>
      </c>
      <c r="L14" s="118">
        <v>0.168502200646615</v>
      </c>
      <c r="M14" s="118">
        <v>0.2</v>
      </c>
      <c r="N14" s="119">
        <v>0.1</v>
      </c>
      <c r="O14" s="119">
        <v>0.0314977993533847</v>
      </c>
      <c r="P14" s="120">
        <v>4545</v>
      </c>
      <c r="Q14" s="120">
        <f>SUM($P$9:P14)</f>
        <v>14085</v>
      </c>
      <c r="R14" s="121"/>
    </row>
    <row r="15" s="106" customFormat="1" ht="16.5" spans="2:18">
      <c r="B15" s="11" t="s">
        <v>48</v>
      </c>
      <c r="C15" s="113">
        <v>150</v>
      </c>
      <c r="D15" s="113" t="s">
        <v>55</v>
      </c>
      <c r="E15" s="113">
        <v>2</v>
      </c>
      <c r="F15" s="114">
        <v>1.15</v>
      </c>
      <c r="G15" s="115">
        <v>0.05</v>
      </c>
      <c r="H15" s="116">
        <v>2</v>
      </c>
      <c r="I15" s="115" t="str">
        <f>I14</f>
        <v>雷震子</v>
      </c>
      <c r="K15" s="117"/>
      <c r="L15" s="118">
        <v>0.168502200646615</v>
      </c>
      <c r="M15" s="118">
        <v>0.2</v>
      </c>
      <c r="N15" s="119">
        <v>0.1</v>
      </c>
      <c r="O15" s="119">
        <v>0.0314977993533847</v>
      </c>
      <c r="P15" s="120">
        <v>999999</v>
      </c>
      <c r="Q15" s="120">
        <v>9999999</v>
      </c>
    </row>
    <row r="16" s="106" customFormat="1" ht="16.5" spans="2:18">
      <c r="B16" s="11" t="s">
        <v>48</v>
      </c>
      <c r="C16" s="113">
        <v>200</v>
      </c>
      <c r="D16" s="113" t="s">
        <v>56</v>
      </c>
      <c r="E16" s="113">
        <v>2</v>
      </c>
      <c r="F16" s="114">
        <v>1.15</v>
      </c>
      <c r="G16" s="115">
        <v>0.05</v>
      </c>
      <c r="H16" s="116">
        <v>2</v>
      </c>
      <c r="I16" s="115" t="str">
        <f>I15</f>
        <v>雷震子</v>
      </c>
    </row>
    <row r="17" s="106" customFormat="1" ht="16.5" spans="2:26">
      <c r="B17" s="11" t="s">
        <v>48</v>
      </c>
      <c r="C17" s="113">
        <v>280</v>
      </c>
      <c r="D17" s="113" t="s">
        <v>57</v>
      </c>
      <c r="E17" s="113">
        <v>2</v>
      </c>
      <c r="F17" s="114">
        <v>1.15</v>
      </c>
      <c r="G17" s="115">
        <v>0.05</v>
      </c>
      <c r="H17" s="116">
        <v>3</v>
      </c>
      <c r="I17" s="115" t="str">
        <f>I16</f>
        <v>雷震子</v>
      </c>
    </row>
    <row r="18" s="106" customFormat="1" ht="16.5" spans="2:26">
      <c r="B18" s="11" t="s">
        <v>48</v>
      </c>
      <c r="C18" s="113">
        <f>(351+431)/2</f>
        <v>391</v>
      </c>
      <c r="D18" s="11" t="s">
        <v>58</v>
      </c>
      <c r="E18" s="11">
        <v>3</v>
      </c>
      <c r="F18" s="114">
        <v>1.35</v>
      </c>
      <c r="G18" s="115">
        <v>0.06</v>
      </c>
      <c r="H18" s="116">
        <v>4</v>
      </c>
      <c r="I18" s="115" t="str">
        <f>D18</f>
        <v>镭射眼</v>
      </c>
    </row>
    <row r="19" s="106" customFormat="1" ht="16.5" spans="2:26">
      <c r="B19" s="11" t="s">
        <v>59</v>
      </c>
      <c r="C19" s="122">
        <v>699</v>
      </c>
      <c r="D19" s="14" t="s">
        <v>60</v>
      </c>
      <c r="E19" s="11">
        <v>3</v>
      </c>
      <c r="F19" s="123">
        <v>1.35</v>
      </c>
      <c r="G19" s="115">
        <v>0.06</v>
      </c>
      <c r="H19" s="116">
        <v>4</v>
      </c>
      <c r="I19" s="115" t="str">
        <f>I18</f>
        <v>镭射眼</v>
      </c>
      <c r="K19" s="107"/>
      <c r="L19" s="107">
        <v>1</v>
      </c>
      <c r="M19" s="107">
        <v>5</v>
      </c>
      <c r="N19" s="107">
        <v>10</v>
      </c>
      <c r="O19" s="107">
        <v>15</v>
      </c>
      <c r="P19" s="107">
        <v>20</v>
      </c>
      <c r="Q19" s="107">
        <v>25</v>
      </c>
      <c r="R19" s="107">
        <v>30</v>
      </c>
    </row>
    <row r="20" s="106" customFormat="1" ht="16.5" spans="2:26">
      <c r="B20" s="11" t="s">
        <v>48</v>
      </c>
      <c r="C20" s="113">
        <v>600</v>
      </c>
      <c r="D20" s="11" t="s">
        <v>61</v>
      </c>
      <c r="E20" s="11">
        <v>3</v>
      </c>
      <c r="F20" s="114">
        <v>1.35</v>
      </c>
      <c r="G20" s="115">
        <v>0.06</v>
      </c>
      <c r="H20" s="116">
        <v>4</v>
      </c>
      <c r="I20" s="115" t="str">
        <f>I19</f>
        <v>镭射眼</v>
      </c>
      <c r="K20" s="117">
        <v>1</v>
      </c>
      <c r="L20" s="124">
        <v>1</v>
      </c>
      <c r="M20" s="124">
        <v>1</v>
      </c>
      <c r="N20" s="124">
        <v>1.1</v>
      </c>
      <c r="O20" s="124">
        <v>1.98</v>
      </c>
      <c r="P20" s="124">
        <v>2.2</v>
      </c>
      <c r="Q20" s="124">
        <v>2.64</v>
      </c>
      <c r="R20" s="124">
        <v>2.88</v>
      </c>
    </row>
    <row r="21" s="106" customFormat="1" ht="16.5" spans="2:26">
      <c r="B21" s="11" t="s">
        <v>59</v>
      </c>
      <c r="C21" s="122">
        <v>995</v>
      </c>
      <c r="D21" s="125" t="s">
        <v>62</v>
      </c>
      <c r="E21" s="11">
        <v>3</v>
      </c>
      <c r="F21" s="123">
        <v>1.35</v>
      </c>
      <c r="G21" s="115">
        <v>0.06</v>
      </c>
      <c r="H21" s="116">
        <v>4</v>
      </c>
      <c r="I21" s="115" t="str">
        <f>I20</f>
        <v>镭射眼</v>
      </c>
      <c r="K21" s="117">
        <v>2</v>
      </c>
      <c r="L21" s="124">
        <v>1.15</v>
      </c>
      <c r="M21" s="124">
        <v>1.15</v>
      </c>
      <c r="N21" s="124">
        <v>1.39</v>
      </c>
      <c r="O21" s="124">
        <v>1.95</v>
      </c>
      <c r="P21" s="124">
        <v>2.36</v>
      </c>
      <c r="Q21" s="124">
        <v>3.3</v>
      </c>
      <c r="R21" s="124">
        <v>3.63</v>
      </c>
    </row>
    <row r="22" s="106" customFormat="1" ht="16.5" spans="2:26">
      <c r="B22" s="11" t="s">
        <v>48</v>
      </c>
      <c r="C22" s="113">
        <v>1450</v>
      </c>
      <c r="D22" s="11" t="s">
        <v>63</v>
      </c>
      <c r="E22" s="11">
        <v>3</v>
      </c>
      <c r="F22" s="114">
        <v>1.35</v>
      </c>
      <c r="G22" s="115">
        <v>0.06</v>
      </c>
      <c r="H22" s="116">
        <v>5</v>
      </c>
      <c r="I22" s="115" t="str">
        <f>D22</f>
        <v>蜘蛛女王</v>
      </c>
      <c r="K22" s="117">
        <v>3</v>
      </c>
      <c r="L22" s="124">
        <v>1.15</v>
      </c>
      <c r="M22" s="124">
        <v>1.15</v>
      </c>
      <c r="N22" s="124">
        <v>1.61</v>
      </c>
      <c r="O22" s="124">
        <v>1.95</v>
      </c>
      <c r="P22" s="124">
        <v>2.73</v>
      </c>
      <c r="Q22" s="124">
        <v>3.3</v>
      </c>
      <c r="R22" s="124">
        <v>3.63</v>
      </c>
    </row>
    <row r="23" s="106" customFormat="1" ht="16.5" spans="2:26">
      <c r="B23" s="11" t="s">
        <v>48</v>
      </c>
      <c r="C23" s="113">
        <v>1989.15009041591</v>
      </c>
      <c r="D23" s="11" t="s">
        <v>64</v>
      </c>
      <c r="E23" s="11">
        <v>3</v>
      </c>
      <c r="F23" s="114">
        <v>1.35</v>
      </c>
      <c r="G23" s="115">
        <v>0.06</v>
      </c>
      <c r="H23" s="116">
        <v>5</v>
      </c>
      <c r="I23" s="115" t="str">
        <f>D22</f>
        <v>蜘蛛女王</v>
      </c>
      <c r="K23" s="117">
        <v>4</v>
      </c>
      <c r="L23" s="124">
        <v>1.35</v>
      </c>
      <c r="M23" s="124">
        <v>1.35</v>
      </c>
      <c r="N23" s="124">
        <v>1.76</v>
      </c>
      <c r="O23" s="124">
        <v>3.16</v>
      </c>
      <c r="P23" s="124">
        <v>3.79</v>
      </c>
      <c r="Q23" s="124">
        <v>5.05</v>
      </c>
      <c r="R23" s="124">
        <v>7.28</v>
      </c>
    </row>
    <row r="24" s="106" customFormat="1" ht="16.5" spans="2:26">
      <c r="B24" s="11" t="s">
        <v>48</v>
      </c>
      <c r="C24" s="113">
        <v>2201</v>
      </c>
      <c r="D24" s="11" t="s">
        <v>65</v>
      </c>
      <c r="E24" s="11">
        <v>3</v>
      </c>
      <c r="F24" s="114">
        <v>1.35</v>
      </c>
      <c r="G24" s="115">
        <v>0.06</v>
      </c>
      <c r="H24" s="116">
        <v>6</v>
      </c>
      <c r="I24" s="115" t="str">
        <f>I23</f>
        <v>蜘蛛女王</v>
      </c>
      <c r="K24" s="117">
        <v>5</v>
      </c>
      <c r="L24" s="124">
        <v>2.025</v>
      </c>
      <c r="M24" s="124">
        <v>2.025</v>
      </c>
      <c r="N24" s="124">
        <v>2.43</v>
      </c>
      <c r="O24" s="124">
        <v>4.38</v>
      </c>
      <c r="P24" s="124">
        <v>5.685</v>
      </c>
      <c r="Q24" s="124">
        <v>7.575</v>
      </c>
      <c r="R24" s="124">
        <v>10.92</v>
      </c>
    </row>
    <row r="25" s="106" customFormat="1" ht="16.5" spans="2:26">
      <c r="B25" s="11" t="s">
        <v>59</v>
      </c>
      <c r="C25" s="113">
        <v>3150</v>
      </c>
      <c r="D25" s="11" t="s">
        <v>66</v>
      </c>
      <c r="E25" s="11">
        <v>4</v>
      </c>
      <c r="F25" s="114">
        <v>1.6</v>
      </c>
      <c r="G25" s="115">
        <v>0.1</v>
      </c>
      <c r="H25" s="116">
        <v>7</v>
      </c>
      <c r="I25" s="115" t="str">
        <f>D25</f>
        <v>神算诸葛</v>
      </c>
      <c r="K25" s="117">
        <v>6</v>
      </c>
      <c r="L25" s="124">
        <v>2.025</v>
      </c>
      <c r="M25" s="124">
        <v>2.025</v>
      </c>
      <c r="N25" s="124">
        <v>3.645</v>
      </c>
      <c r="O25" s="124">
        <v>4.38</v>
      </c>
      <c r="P25" s="124">
        <v>5.685</v>
      </c>
      <c r="Q25" s="124">
        <v>8.535</v>
      </c>
      <c r="R25" s="124">
        <v>10.92</v>
      </c>
    </row>
    <row r="26" s="106" customFormat="1" ht="16.5" spans="2:26">
      <c r="B26" s="11" t="s">
        <v>48</v>
      </c>
      <c r="C26" s="113">
        <v>3842.67631103074</v>
      </c>
      <c r="D26" s="11" t="s">
        <v>67</v>
      </c>
      <c r="E26" s="11">
        <v>4</v>
      </c>
      <c r="F26" s="114">
        <v>1.6</v>
      </c>
      <c r="G26" s="115">
        <v>0.1</v>
      </c>
      <c r="H26" s="116">
        <v>7</v>
      </c>
      <c r="I26" s="115" t="str">
        <f>D25</f>
        <v>神算诸葛</v>
      </c>
      <c r="K26" s="117">
        <v>7</v>
      </c>
      <c r="L26" s="124">
        <v>2.025</v>
      </c>
      <c r="M26" s="124">
        <v>2.025</v>
      </c>
      <c r="N26" s="124">
        <v>3.645</v>
      </c>
      <c r="O26" s="124">
        <v>4.38</v>
      </c>
      <c r="P26" s="124">
        <v>5.685</v>
      </c>
      <c r="Q26" s="124">
        <v>8.535</v>
      </c>
      <c r="R26" s="124">
        <v>10.92</v>
      </c>
    </row>
    <row r="27" s="106" customFormat="1" ht="16.5" spans="2:26">
      <c r="B27" s="11" t="s">
        <v>48</v>
      </c>
      <c r="C27" s="113">
        <v>4550</v>
      </c>
      <c r="D27" s="11" t="s">
        <v>68</v>
      </c>
      <c r="E27" s="11">
        <v>4</v>
      </c>
      <c r="F27" s="114">
        <v>1.6</v>
      </c>
      <c r="G27" s="115">
        <v>0.1</v>
      </c>
      <c r="H27" s="116">
        <v>7</v>
      </c>
      <c r="I27" s="115" t="str">
        <f>I26</f>
        <v>神算诸葛</v>
      </c>
    </row>
    <row r="29" s="106" customFormat="1" ht="16.5" spans="2:26">
      <c r="B29" s="107" t="s">
        <v>27</v>
      </c>
      <c r="C29" s="107" t="s">
        <v>69</v>
      </c>
      <c r="D29" s="126" t="s">
        <v>49</v>
      </c>
      <c r="E29" s="126" t="s">
        <v>50</v>
      </c>
      <c r="F29" s="126" t="s">
        <v>51</v>
      </c>
      <c r="G29" s="127" t="s">
        <v>52</v>
      </c>
      <c r="H29" s="127" t="s">
        <v>53</v>
      </c>
      <c r="I29" s="127" t="s">
        <v>54</v>
      </c>
      <c r="J29" s="127" t="s">
        <v>55</v>
      </c>
      <c r="K29" s="127" t="s">
        <v>56</v>
      </c>
      <c r="L29" s="127" t="s">
        <v>57</v>
      </c>
      <c r="M29" s="128" t="s">
        <v>58</v>
      </c>
      <c r="N29" s="128" t="s">
        <v>60</v>
      </c>
      <c r="O29" s="128" t="s">
        <v>61</v>
      </c>
      <c r="P29" s="128" t="s">
        <v>63</v>
      </c>
      <c r="Q29" s="128" t="s">
        <v>62</v>
      </c>
      <c r="R29" s="128" t="s">
        <v>64</v>
      </c>
      <c r="S29" s="128" t="s">
        <v>65</v>
      </c>
      <c r="T29" s="129" t="s">
        <v>68</v>
      </c>
      <c r="U29" s="129" t="s">
        <v>70</v>
      </c>
      <c r="V29" s="129" t="s">
        <v>66</v>
      </c>
      <c r="W29" s="107" t="s">
        <v>71</v>
      </c>
      <c r="X29" s="107" t="s">
        <v>72</v>
      </c>
      <c r="Y29" s="107" t="s">
        <v>26</v>
      </c>
      <c r="Z29" s="106" t="s">
        <v>38</v>
      </c>
    </row>
    <row r="30" s="106" customFormat="1" ht="16.5" spans="2:26">
      <c r="B30" s="117">
        <v>1</v>
      </c>
      <c r="C30" s="130">
        <v>100</v>
      </c>
      <c r="D30" s="131">
        <f ca="1">IFERROR(MATCH(D635*10,OFFSET($AP$635:$AP$734,0,D$631),1),0)</f>
        <v>9</v>
      </c>
      <c r="E30" s="131">
        <f ca="1" t="shared" ref="E30:V30" si="0">IFERROR(MATCH(E635*10,OFFSET($AP$635:$AP$734,0,E$631),1),0)</f>
        <v>9</v>
      </c>
      <c r="F30" s="131">
        <f ca="1" t="shared" si="0"/>
        <v>9</v>
      </c>
      <c r="G30" s="131">
        <f ca="1" t="shared" si="0"/>
        <v>6</v>
      </c>
      <c r="H30" s="131">
        <f ca="1" t="shared" si="0"/>
        <v>6</v>
      </c>
      <c r="I30" s="131">
        <f ca="1" t="shared" si="0"/>
        <v>6</v>
      </c>
      <c r="J30" s="131">
        <f ca="1" t="shared" si="0"/>
        <v>0</v>
      </c>
      <c r="K30" s="131">
        <f ca="1" t="shared" si="0"/>
        <v>0</v>
      </c>
      <c r="L30" s="131">
        <f ca="1" t="shared" si="0"/>
        <v>0</v>
      </c>
      <c r="M30" s="131">
        <f ca="1" t="shared" si="0"/>
        <v>0</v>
      </c>
      <c r="N30" s="131">
        <f ca="1" t="shared" si="0"/>
        <v>0</v>
      </c>
      <c r="O30" s="131">
        <f ca="1" t="shared" si="0"/>
        <v>0</v>
      </c>
      <c r="P30" s="131">
        <f ca="1" t="shared" si="0"/>
        <v>0</v>
      </c>
      <c r="Q30" s="131">
        <f ca="1" t="shared" si="0"/>
        <v>0</v>
      </c>
      <c r="R30" s="131">
        <f ca="1" t="shared" si="0"/>
        <v>0</v>
      </c>
      <c r="S30" s="131">
        <f ca="1" t="shared" si="0"/>
        <v>0</v>
      </c>
      <c r="T30" s="131">
        <f ca="1" t="shared" si="0"/>
        <v>0</v>
      </c>
      <c r="U30" s="131">
        <f ca="1" t="shared" si="0"/>
        <v>0</v>
      </c>
      <c r="V30" s="131">
        <f ca="1" t="shared" si="0"/>
        <v>0</v>
      </c>
      <c r="W30" s="124">
        <f ca="1">OFFSET($K$19,_xlfn.XLOOKUP(X30,$D$9:$D$28,$H$9:$H$28),MATCH(OFFSET($C$29,B30,MATCH(X30,$D$29:$V$29,0)),$L$19:$R$19,1))*(1+(OFFSET($C$29,B30,MATCH(X30,$D$29:$V$29,0))-1)*_xlfn.XLOOKUP(X30,梦灵养成!$D$9:$D$28,梦灵养成!$G$9:$G$28))</f>
        <v>1.4375</v>
      </c>
      <c r="X30" s="106" t="str">
        <f ca="1" t="shared" ref="X30:X93" si="1">OFFSET($I$8,MATCH(C30,$C$9:$C$27,1),0)</f>
        <v>雷震子</v>
      </c>
      <c r="Y30" s="95">
        <f ca="1">MAX((OFFSET($C$29,MATCH(W30*1.07,$W$30:$W$629,1)+1,0)-C30)*18,0)</f>
        <v>5400</v>
      </c>
      <c r="Z30" s="96">
        <f ca="1">_xlfn.XLOOKUP(X30,$D$9:$D$27,$G$9:$G$27)*(OFFSET($B30,0,MATCH($X30,$D$29:$V$29,0)+1)-1)+1</f>
        <v>1.25</v>
      </c>
    </row>
    <row r="31" s="106" customFormat="1" ht="16.5" spans="2:26">
      <c r="B31" s="117">
        <v>2</v>
      </c>
      <c r="C31" s="130">
        <f>C30+100</f>
        <v>200</v>
      </c>
      <c r="D31" s="131">
        <f ca="1" t="shared" ref="D31:D94" si="2">IFERROR(MATCH(D636*10,OFFSET($AP$635:$AP$734,0,D$631),1),0)</f>
        <v>11</v>
      </c>
      <c r="E31" s="131">
        <f ca="1" t="shared" ref="E31:E94" si="3">IFERROR(MATCH(E636*10,OFFSET($AP$635:$AP$734,0,E$631),1),0)</f>
        <v>11</v>
      </c>
      <c r="F31" s="131">
        <f ca="1" t="shared" ref="F31:F94" si="4">IFERROR(MATCH(F636*10,OFFSET($AP$635:$AP$734,0,F$631),1),0)</f>
        <v>11</v>
      </c>
      <c r="G31" s="131">
        <f ca="1" t="shared" ref="G31:G94" si="5">IFERROR(MATCH(G636*10,OFFSET($AP$635:$AP$734,0,G$631),1),0)</f>
        <v>6</v>
      </c>
      <c r="H31" s="131">
        <f ca="1" t="shared" ref="H31:H94" si="6">IFERROR(MATCH(H636*10,OFFSET($AP$635:$AP$734,0,H$631),1),0)</f>
        <v>6</v>
      </c>
      <c r="I31" s="131">
        <f ca="1" t="shared" ref="I31:I94" si="7">IFERROR(MATCH(I636*10,OFFSET($AP$635:$AP$734,0,I$631),1),0)</f>
        <v>6</v>
      </c>
      <c r="J31" s="131">
        <f ca="1" t="shared" ref="J31:J94" si="8">IFERROR(MATCH(J636*10,OFFSET($AP$635:$AP$734,0,J$631),1),0)</f>
        <v>5</v>
      </c>
      <c r="K31" s="131">
        <f ca="1" t="shared" ref="K31:K94" si="9">IFERROR(MATCH(K636*10,OFFSET($AP$635:$AP$734,0,K$631),1),0)</f>
        <v>0</v>
      </c>
      <c r="L31" s="131">
        <f ca="1" t="shared" ref="L31:L94" si="10">IFERROR(MATCH(L636*10,OFFSET($AP$635:$AP$734,0,L$631),1),0)</f>
        <v>0</v>
      </c>
      <c r="M31" s="131">
        <f ca="1" t="shared" ref="M31:M94" si="11">IFERROR(MATCH(M636*10,OFFSET($AP$635:$AP$734,0,M$631),1),0)</f>
        <v>0</v>
      </c>
      <c r="N31" s="131">
        <f ca="1" t="shared" ref="N31:N94" si="12">IFERROR(MATCH(N636*10,OFFSET($AP$635:$AP$734,0,N$631),1),0)</f>
        <v>0</v>
      </c>
      <c r="O31" s="131">
        <f ca="1" t="shared" ref="O31:O94" si="13">IFERROR(MATCH(O636*10,OFFSET($AP$635:$AP$734,0,O$631),1),0)</f>
        <v>0</v>
      </c>
      <c r="P31" s="131">
        <f ca="1" t="shared" ref="P31:P94" si="14">IFERROR(MATCH(P636*10,OFFSET($AP$635:$AP$734,0,P$631),1),0)</f>
        <v>0</v>
      </c>
      <c r="Q31" s="131">
        <f ca="1" t="shared" ref="Q31:Q94" si="15">IFERROR(MATCH(Q636*10,OFFSET($AP$635:$AP$734,0,Q$631),1),0)</f>
        <v>0</v>
      </c>
      <c r="R31" s="131">
        <f ca="1" t="shared" ref="R31:R94" si="16">IFERROR(MATCH(R636*10,OFFSET($AP$635:$AP$734,0,R$631),1),0)</f>
        <v>0</v>
      </c>
      <c r="S31" s="131">
        <f ca="1" t="shared" ref="S31:S94" si="17">IFERROR(MATCH(S636*10,OFFSET($AP$635:$AP$734,0,S$631),1),0)</f>
        <v>0</v>
      </c>
      <c r="T31" s="131">
        <f ca="1" t="shared" ref="T31:T94" si="18">IFERROR(MATCH(T636*10,OFFSET($AP$635:$AP$734,0,T$631),1),0)</f>
        <v>0</v>
      </c>
      <c r="U31" s="131">
        <f ca="1" t="shared" ref="U31:U94" si="19">IFERROR(MATCH(U636*10,OFFSET($AP$635:$AP$734,0,U$631),1),0)</f>
        <v>0</v>
      </c>
      <c r="V31" s="131">
        <f ca="1" t="shared" ref="V31:V94" si="20">IFERROR(MATCH(V636*10,OFFSET($AP$635:$AP$734,0,V$631),1),0)</f>
        <v>0</v>
      </c>
      <c r="W31" s="124">
        <f ca="1">OFFSET($K$19,_xlfn.XLOOKUP(X31,$D$9:$D$28,$H$9:$H$28),MATCH(OFFSET($C$29,B31,MATCH(X31,$D$29:$V$29,0)),$L$19:$R$19,1))*(1+(OFFSET($C$29,B31,MATCH(X31,$D$29:$V$29,0))-1)*_xlfn.XLOOKUP(X31,梦灵养成!$D$9:$D$28,梦灵养成!$G$9:$G$28))</f>
        <v>1.4375</v>
      </c>
      <c r="X31" s="106" t="str">
        <f ca="1" t="shared" si="1"/>
        <v>雷震子</v>
      </c>
      <c r="Y31" s="95">
        <f ca="1" t="shared" ref="Y31:Y94" si="21">MAX((OFFSET($C$29,MATCH(W31*1.07,$W$30:$W$629,1)+1,0)-C31)*18,0)</f>
        <v>3600</v>
      </c>
      <c r="Z31" s="96">
        <f ca="1" t="shared" ref="Z31:Z94" si="22">_xlfn.XLOOKUP(X31,$D$9:$D$27,$G$9:$G$27)*(OFFSET($B31,0,MATCH($X31,$D$29:$V$29,0)+1)-1)+1</f>
        <v>1.25</v>
      </c>
    </row>
    <row r="32" s="106" customFormat="1" ht="16.5" spans="2:26">
      <c r="B32" s="117">
        <v>3</v>
      </c>
      <c r="C32" s="130">
        <f t="shared" ref="C32:C95" si="23">C31+100</f>
        <v>300</v>
      </c>
      <c r="D32" s="131">
        <f ca="1" t="shared" si="2"/>
        <v>14</v>
      </c>
      <c r="E32" s="131">
        <f ca="1" t="shared" si="3"/>
        <v>14</v>
      </c>
      <c r="F32" s="131">
        <f ca="1" t="shared" si="4"/>
        <v>14</v>
      </c>
      <c r="G32" s="131">
        <f ca="1" t="shared" si="5"/>
        <v>7</v>
      </c>
      <c r="H32" s="131">
        <f ca="1" t="shared" si="6"/>
        <v>7</v>
      </c>
      <c r="I32" s="131">
        <f ca="1" t="shared" si="7"/>
        <v>7</v>
      </c>
      <c r="J32" s="131">
        <f ca="1" t="shared" si="8"/>
        <v>6</v>
      </c>
      <c r="K32" s="131">
        <f ca="1" t="shared" si="9"/>
        <v>5</v>
      </c>
      <c r="L32" s="131">
        <f ca="1" t="shared" si="10"/>
        <v>5</v>
      </c>
      <c r="M32" s="131">
        <f ca="1" t="shared" si="11"/>
        <v>0</v>
      </c>
      <c r="N32" s="131">
        <f ca="1" t="shared" si="12"/>
        <v>0</v>
      </c>
      <c r="O32" s="131">
        <f ca="1" t="shared" si="13"/>
        <v>0</v>
      </c>
      <c r="P32" s="131">
        <f ca="1" t="shared" si="14"/>
        <v>0</v>
      </c>
      <c r="Q32" s="131">
        <f ca="1" t="shared" si="15"/>
        <v>0</v>
      </c>
      <c r="R32" s="131">
        <f ca="1" t="shared" si="16"/>
        <v>0</v>
      </c>
      <c r="S32" s="131">
        <f ca="1" t="shared" si="17"/>
        <v>0</v>
      </c>
      <c r="T32" s="131">
        <f ca="1" t="shared" si="18"/>
        <v>0</v>
      </c>
      <c r="U32" s="131">
        <f ca="1" t="shared" si="19"/>
        <v>0</v>
      </c>
      <c r="V32" s="131">
        <f ca="1" t="shared" si="20"/>
        <v>0</v>
      </c>
      <c r="W32" s="124">
        <f ca="1">OFFSET($K$19,_xlfn.XLOOKUP(X32,$D$9:$D$28,$H$9:$H$28),MATCH(OFFSET($C$29,B32,MATCH(X32,$D$29:$V$29,0)),$L$19:$R$19,1))*(1+(OFFSET($C$29,B32,MATCH(X32,$D$29:$V$29,0))-1)*_xlfn.XLOOKUP(X32,梦灵养成!$D$9:$D$28,梦灵养成!$G$9:$G$28))</f>
        <v>1.495</v>
      </c>
      <c r="X32" s="106" t="str">
        <f ca="1" t="shared" si="1"/>
        <v>雷震子</v>
      </c>
      <c r="Y32" s="95">
        <f ca="1" t="shared" si="21"/>
        <v>1800</v>
      </c>
      <c r="Z32" s="96">
        <f ca="1" t="shared" si="22"/>
        <v>1.3</v>
      </c>
    </row>
    <row r="33" s="106" customFormat="1" ht="16.5" spans="2:26">
      <c r="B33" s="117">
        <v>4</v>
      </c>
      <c r="C33" s="130">
        <f t="shared" si="23"/>
        <v>400</v>
      </c>
      <c r="D33" s="131">
        <f ca="1" t="shared" si="2"/>
        <v>15</v>
      </c>
      <c r="E33" s="131">
        <f ca="1" t="shared" si="3"/>
        <v>15</v>
      </c>
      <c r="F33" s="131">
        <f ca="1" t="shared" si="4"/>
        <v>15</v>
      </c>
      <c r="G33" s="131">
        <f ca="1" t="shared" si="5"/>
        <v>8</v>
      </c>
      <c r="H33" s="131">
        <f ca="1" t="shared" si="6"/>
        <v>8</v>
      </c>
      <c r="I33" s="131">
        <f ca="1" t="shared" si="7"/>
        <v>8</v>
      </c>
      <c r="J33" s="131">
        <f ca="1" t="shared" si="8"/>
        <v>6</v>
      </c>
      <c r="K33" s="131">
        <f ca="1" t="shared" si="9"/>
        <v>6</v>
      </c>
      <c r="L33" s="131">
        <f ca="1" t="shared" si="10"/>
        <v>6</v>
      </c>
      <c r="M33" s="131">
        <f ca="1" t="shared" si="11"/>
        <v>5</v>
      </c>
      <c r="N33" s="131">
        <f ca="1" t="shared" si="12"/>
        <v>0</v>
      </c>
      <c r="O33" s="131">
        <f ca="1" t="shared" si="13"/>
        <v>0</v>
      </c>
      <c r="P33" s="131">
        <f ca="1" t="shared" si="14"/>
        <v>0</v>
      </c>
      <c r="Q33" s="131">
        <f ca="1" t="shared" si="15"/>
        <v>0</v>
      </c>
      <c r="R33" s="131">
        <f ca="1" t="shared" si="16"/>
        <v>0</v>
      </c>
      <c r="S33" s="131">
        <f ca="1" t="shared" si="17"/>
        <v>0</v>
      </c>
      <c r="T33" s="131">
        <f ca="1" t="shared" si="18"/>
        <v>0</v>
      </c>
      <c r="U33" s="131">
        <f ca="1" t="shared" si="19"/>
        <v>0</v>
      </c>
      <c r="V33" s="131">
        <f ca="1" t="shared" si="20"/>
        <v>0</v>
      </c>
      <c r="W33" s="124">
        <f ca="1">OFFSET($K$19,_xlfn.XLOOKUP(X33,$D$9:$D$28,$H$9:$H$28),MATCH(OFFSET($C$29,B33,MATCH(X33,$D$29:$V$29,0)),$L$19:$R$19,1))*(1+(OFFSET($C$29,B33,MATCH(X33,$D$29:$V$29,0))-1)*_xlfn.XLOOKUP(X33,梦灵养成!$D$9:$D$28,梦灵养成!$G$9:$G$28))</f>
        <v>1.674</v>
      </c>
      <c r="X33" s="106" t="str">
        <f ca="1" t="shared" si="1"/>
        <v>镭射眼</v>
      </c>
      <c r="Y33" s="95">
        <f ca="1" t="shared" si="21"/>
        <v>9000</v>
      </c>
      <c r="Z33" s="96">
        <f ca="1" t="shared" si="22"/>
        <v>1.24</v>
      </c>
    </row>
    <row r="34" s="106" customFormat="1" ht="16.5" spans="2:26">
      <c r="B34" s="117">
        <v>5</v>
      </c>
      <c r="C34" s="130">
        <f t="shared" si="23"/>
        <v>500</v>
      </c>
      <c r="D34" s="131">
        <f ca="1" t="shared" si="2"/>
        <v>17</v>
      </c>
      <c r="E34" s="131">
        <f ca="1" t="shared" si="3"/>
        <v>17</v>
      </c>
      <c r="F34" s="131">
        <f ca="1" t="shared" si="4"/>
        <v>17</v>
      </c>
      <c r="G34" s="131">
        <f ca="1" t="shared" si="5"/>
        <v>8</v>
      </c>
      <c r="H34" s="131">
        <f ca="1" t="shared" si="6"/>
        <v>8</v>
      </c>
      <c r="I34" s="131">
        <f ca="1" t="shared" si="7"/>
        <v>8</v>
      </c>
      <c r="J34" s="131">
        <f ca="1" t="shared" si="8"/>
        <v>7</v>
      </c>
      <c r="K34" s="131">
        <f ca="1" t="shared" si="9"/>
        <v>6</v>
      </c>
      <c r="L34" s="131">
        <f ca="1" t="shared" si="10"/>
        <v>6</v>
      </c>
      <c r="M34" s="131">
        <f ca="1" t="shared" si="11"/>
        <v>5</v>
      </c>
      <c r="N34" s="131">
        <f ca="1" t="shared" si="12"/>
        <v>0</v>
      </c>
      <c r="O34" s="131">
        <f ca="1" t="shared" si="13"/>
        <v>0</v>
      </c>
      <c r="P34" s="131">
        <f ca="1" t="shared" si="14"/>
        <v>0</v>
      </c>
      <c r="Q34" s="131">
        <f ca="1" t="shared" si="15"/>
        <v>0</v>
      </c>
      <c r="R34" s="131">
        <f ca="1" t="shared" si="16"/>
        <v>0</v>
      </c>
      <c r="S34" s="131">
        <f ca="1" t="shared" si="17"/>
        <v>0</v>
      </c>
      <c r="T34" s="131">
        <f ca="1" t="shared" si="18"/>
        <v>0</v>
      </c>
      <c r="U34" s="131">
        <f ca="1" t="shared" si="19"/>
        <v>0</v>
      </c>
      <c r="V34" s="131">
        <f ca="1" t="shared" si="20"/>
        <v>0</v>
      </c>
      <c r="W34" s="124">
        <f ca="1">OFFSET($K$19,_xlfn.XLOOKUP(X34,$D$9:$D$28,$H$9:$H$28),MATCH(OFFSET($C$29,B34,MATCH(X34,$D$29:$V$29,0)),$L$19:$R$19,1))*(1+(OFFSET($C$29,B34,MATCH(X34,$D$29:$V$29,0))-1)*_xlfn.XLOOKUP(X34,梦灵养成!$D$9:$D$28,梦灵养成!$G$9:$G$28))</f>
        <v>1.674</v>
      </c>
      <c r="X34" s="106" t="str">
        <f ca="1" t="shared" si="1"/>
        <v>镭射眼</v>
      </c>
      <c r="Y34" s="95">
        <f ca="1" t="shared" si="21"/>
        <v>7200</v>
      </c>
      <c r="Z34" s="96">
        <f ca="1" t="shared" si="22"/>
        <v>1.24</v>
      </c>
    </row>
    <row r="35" s="106" customFormat="1" ht="16.5" spans="2:26">
      <c r="B35" s="117">
        <v>6</v>
      </c>
      <c r="C35" s="130">
        <f t="shared" si="23"/>
        <v>600</v>
      </c>
      <c r="D35" s="131">
        <f ca="1" t="shared" si="2"/>
        <v>18</v>
      </c>
      <c r="E35" s="131">
        <f ca="1" t="shared" si="3"/>
        <v>18</v>
      </c>
      <c r="F35" s="131">
        <f ca="1" t="shared" si="4"/>
        <v>18</v>
      </c>
      <c r="G35" s="131">
        <f ca="1" t="shared" si="5"/>
        <v>9</v>
      </c>
      <c r="H35" s="131">
        <f ca="1" t="shared" si="6"/>
        <v>9</v>
      </c>
      <c r="I35" s="131">
        <f ca="1" t="shared" si="7"/>
        <v>9</v>
      </c>
      <c r="J35" s="131">
        <f ca="1" t="shared" si="8"/>
        <v>8</v>
      </c>
      <c r="K35" s="131">
        <f ca="1" t="shared" si="9"/>
        <v>7</v>
      </c>
      <c r="L35" s="131">
        <f ca="1" t="shared" si="10"/>
        <v>7</v>
      </c>
      <c r="M35" s="131">
        <f ca="1" t="shared" si="11"/>
        <v>6</v>
      </c>
      <c r="N35" s="131">
        <f ca="1" t="shared" si="12"/>
        <v>0</v>
      </c>
      <c r="O35" s="131">
        <f ca="1" t="shared" si="13"/>
        <v>0</v>
      </c>
      <c r="P35" s="131">
        <f ca="1" t="shared" si="14"/>
        <v>0</v>
      </c>
      <c r="Q35" s="131">
        <f ca="1" t="shared" si="15"/>
        <v>0</v>
      </c>
      <c r="R35" s="131">
        <f ca="1" t="shared" si="16"/>
        <v>0</v>
      </c>
      <c r="S35" s="131">
        <f ca="1" t="shared" si="17"/>
        <v>0</v>
      </c>
      <c r="T35" s="131">
        <f ca="1" t="shared" si="18"/>
        <v>0</v>
      </c>
      <c r="U35" s="131">
        <f ca="1" t="shared" si="19"/>
        <v>0</v>
      </c>
      <c r="V35" s="131">
        <f ca="1" t="shared" si="20"/>
        <v>0</v>
      </c>
      <c r="W35" s="124">
        <f ca="1">OFFSET($K$19,_xlfn.XLOOKUP(X35,$D$9:$D$28,$H$9:$H$28),MATCH(OFFSET($C$29,B35,MATCH(X35,$D$29:$V$29,0)),$L$19:$R$19,1))*(1+(OFFSET($C$29,B35,MATCH(X35,$D$29:$V$29,0))-1)*_xlfn.XLOOKUP(X35,梦灵养成!$D$9:$D$28,梦灵养成!$G$9:$G$28))</f>
        <v>1.755</v>
      </c>
      <c r="X35" s="106" t="str">
        <f ca="1" t="shared" si="1"/>
        <v>镭射眼</v>
      </c>
      <c r="Y35" s="95">
        <f ca="1" t="shared" si="21"/>
        <v>14400</v>
      </c>
      <c r="Z35" s="96">
        <f ca="1" t="shared" si="22"/>
        <v>1.3</v>
      </c>
    </row>
    <row r="36" s="106" customFormat="1" ht="16.5" spans="2:26">
      <c r="B36" s="117">
        <v>7</v>
      </c>
      <c r="C36" s="130">
        <f t="shared" si="23"/>
        <v>700</v>
      </c>
      <c r="D36" s="131">
        <f ca="1" t="shared" si="2"/>
        <v>19</v>
      </c>
      <c r="E36" s="131">
        <f ca="1" t="shared" si="3"/>
        <v>19</v>
      </c>
      <c r="F36" s="131">
        <f ca="1" t="shared" si="4"/>
        <v>19</v>
      </c>
      <c r="G36" s="131">
        <f ca="1" t="shared" si="5"/>
        <v>10</v>
      </c>
      <c r="H36" s="131">
        <f ca="1" t="shared" si="6"/>
        <v>10</v>
      </c>
      <c r="I36" s="131">
        <f ca="1" t="shared" si="7"/>
        <v>10</v>
      </c>
      <c r="J36" s="131">
        <f ca="1" t="shared" si="8"/>
        <v>8</v>
      </c>
      <c r="K36" s="131">
        <f ca="1" t="shared" si="9"/>
        <v>8</v>
      </c>
      <c r="L36" s="131">
        <f ca="1" t="shared" si="10"/>
        <v>8</v>
      </c>
      <c r="M36" s="131">
        <f ca="1" t="shared" si="11"/>
        <v>6</v>
      </c>
      <c r="N36" s="131">
        <f ca="1" t="shared" si="12"/>
        <v>5</v>
      </c>
      <c r="O36" s="131">
        <f ca="1" t="shared" si="13"/>
        <v>5</v>
      </c>
      <c r="P36" s="131">
        <f ca="1" t="shared" si="14"/>
        <v>0</v>
      </c>
      <c r="Q36" s="131">
        <f ca="1" t="shared" si="15"/>
        <v>0</v>
      </c>
      <c r="R36" s="131">
        <f ca="1" t="shared" si="16"/>
        <v>0</v>
      </c>
      <c r="S36" s="131">
        <f ca="1" t="shared" si="17"/>
        <v>0</v>
      </c>
      <c r="T36" s="131">
        <f ca="1" t="shared" si="18"/>
        <v>0</v>
      </c>
      <c r="U36" s="131">
        <f ca="1" t="shared" si="19"/>
        <v>0</v>
      </c>
      <c r="V36" s="131">
        <f ca="1" t="shared" si="20"/>
        <v>0</v>
      </c>
      <c r="W36" s="124">
        <f ca="1">OFFSET($K$19,_xlfn.XLOOKUP(X36,$D$9:$D$28,$H$9:$H$28),MATCH(OFFSET($C$29,B36,MATCH(X36,$D$29:$V$29,0)),$L$19:$R$19,1))*(1+(OFFSET($C$29,B36,MATCH(X36,$D$29:$V$29,0))-1)*_xlfn.XLOOKUP(X36,梦灵养成!$D$9:$D$28,梦灵养成!$G$9:$G$28))</f>
        <v>1.755</v>
      </c>
      <c r="X36" s="106" t="str">
        <f ca="1" t="shared" si="1"/>
        <v>镭射眼</v>
      </c>
      <c r="Y36" s="95">
        <f ca="1" t="shared" si="21"/>
        <v>12600</v>
      </c>
      <c r="Z36" s="96">
        <f ca="1" t="shared" si="22"/>
        <v>1.3</v>
      </c>
    </row>
    <row r="37" s="106" customFormat="1" ht="16.5" spans="2:26">
      <c r="B37" s="117">
        <v>8</v>
      </c>
      <c r="C37" s="130">
        <f t="shared" si="23"/>
        <v>800</v>
      </c>
      <c r="D37" s="131">
        <f ca="1" t="shared" si="2"/>
        <v>20</v>
      </c>
      <c r="E37" s="131">
        <f ca="1" t="shared" si="3"/>
        <v>20</v>
      </c>
      <c r="F37" s="131">
        <f ca="1" t="shared" si="4"/>
        <v>20</v>
      </c>
      <c r="G37" s="131">
        <f ca="1" t="shared" si="5"/>
        <v>10</v>
      </c>
      <c r="H37" s="131">
        <f ca="1" t="shared" si="6"/>
        <v>10</v>
      </c>
      <c r="I37" s="131">
        <f ca="1" t="shared" si="7"/>
        <v>10</v>
      </c>
      <c r="J37" s="131">
        <f ca="1" t="shared" si="8"/>
        <v>9</v>
      </c>
      <c r="K37" s="131">
        <f ca="1" t="shared" si="9"/>
        <v>8</v>
      </c>
      <c r="L37" s="131">
        <f ca="1" t="shared" si="10"/>
        <v>8</v>
      </c>
      <c r="M37" s="131">
        <f ca="1" t="shared" si="11"/>
        <v>6</v>
      </c>
      <c r="N37" s="131">
        <f ca="1" t="shared" si="12"/>
        <v>5</v>
      </c>
      <c r="O37" s="131">
        <f ca="1" t="shared" si="13"/>
        <v>5</v>
      </c>
      <c r="P37" s="131">
        <f ca="1" t="shared" si="14"/>
        <v>0</v>
      </c>
      <c r="Q37" s="131">
        <f ca="1" t="shared" si="15"/>
        <v>0</v>
      </c>
      <c r="R37" s="131">
        <f ca="1" t="shared" si="16"/>
        <v>0</v>
      </c>
      <c r="S37" s="131">
        <f ca="1" t="shared" si="17"/>
        <v>0</v>
      </c>
      <c r="T37" s="131">
        <f ca="1" t="shared" si="18"/>
        <v>0</v>
      </c>
      <c r="U37" s="131">
        <f ca="1" t="shared" si="19"/>
        <v>0</v>
      </c>
      <c r="V37" s="131">
        <f ca="1" t="shared" si="20"/>
        <v>0</v>
      </c>
      <c r="W37" s="124">
        <f ca="1">OFFSET($K$19,_xlfn.XLOOKUP(X37,$D$9:$D$28,$H$9:$H$28),MATCH(OFFSET($C$29,B37,MATCH(X37,$D$29:$V$29,0)),$L$19:$R$19,1))*(1+(OFFSET($C$29,B37,MATCH(X37,$D$29:$V$29,0))-1)*_xlfn.XLOOKUP(X37,梦灵养成!$D$9:$D$28,梦灵养成!$G$9:$G$28))</f>
        <v>1.755</v>
      </c>
      <c r="X37" s="106" t="str">
        <f ca="1" t="shared" si="1"/>
        <v>镭射眼</v>
      </c>
      <c r="Y37" s="95">
        <f ca="1" t="shared" si="21"/>
        <v>10800</v>
      </c>
      <c r="Z37" s="96">
        <f ca="1" t="shared" si="22"/>
        <v>1.3</v>
      </c>
    </row>
    <row r="38" s="106" customFormat="1" ht="16.5" spans="2:26">
      <c r="B38" s="117">
        <v>9</v>
      </c>
      <c r="C38" s="130">
        <f t="shared" si="23"/>
        <v>900</v>
      </c>
      <c r="D38" s="131">
        <f ca="1" t="shared" si="2"/>
        <v>21</v>
      </c>
      <c r="E38" s="131">
        <f ca="1" t="shared" si="3"/>
        <v>21</v>
      </c>
      <c r="F38" s="131">
        <f ca="1" t="shared" si="4"/>
        <v>21</v>
      </c>
      <c r="G38" s="131">
        <f ca="1" t="shared" si="5"/>
        <v>10</v>
      </c>
      <c r="H38" s="131">
        <f ca="1" t="shared" si="6"/>
        <v>10</v>
      </c>
      <c r="I38" s="131">
        <f ca="1" t="shared" si="7"/>
        <v>10</v>
      </c>
      <c r="J38" s="131">
        <f ca="1" t="shared" si="8"/>
        <v>10</v>
      </c>
      <c r="K38" s="131">
        <f ca="1" t="shared" si="9"/>
        <v>9</v>
      </c>
      <c r="L38" s="131">
        <f ca="1" t="shared" si="10"/>
        <v>9</v>
      </c>
      <c r="M38" s="131">
        <f ca="1" t="shared" si="11"/>
        <v>7</v>
      </c>
      <c r="N38" s="131">
        <f ca="1" t="shared" si="12"/>
        <v>5</v>
      </c>
      <c r="O38" s="131">
        <f ca="1" t="shared" si="13"/>
        <v>5</v>
      </c>
      <c r="P38" s="131">
        <f ca="1" t="shared" si="14"/>
        <v>0</v>
      </c>
      <c r="Q38" s="131">
        <f ca="1" t="shared" si="15"/>
        <v>0</v>
      </c>
      <c r="R38" s="131">
        <f ca="1" t="shared" si="16"/>
        <v>0</v>
      </c>
      <c r="S38" s="131">
        <f ca="1" t="shared" si="17"/>
        <v>0</v>
      </c>
      <c r="T38" s="131">
        <f ca="1" t="shared" si="18"/>
        <v>0</v>
      </c>
      <c r="U38" s="131">
        <f ca="1" t="shared" si="19"/>
        <v>0</v>
      </c>
      <c r="V38" s="131">
        <f ca="1" t="shared" si="20"/>
        <v>0</v>
      </c>
      <c r="W38" s="124">
        <f ca="1">OFFSET($K$19,_xlfn.XLOOKUP(X38,$D$9:$D$28,$H$9:$H$28),MATCH(OFFSET($C$29,B38,MATCH(X38,$D$29:$V$29,0)),$L$19:$R$19,1))*(1+(OFFSET($C$29,B38,MATCH(X38,$D$29:$V$29,0))-1)*_xlfn.XLOOKUP(X38,梦灵养成!$D$9:$D$28,梦灵养成!$G$9:$G$28))</f>
        <v>1.836</v>
      </c>
      <c r="X38" s="106" t="str">
        <f ca="1" t="shared" si="1"/>
        <v>镭射眼</v>
      </c>
      <c r="Y38" s="95">
        <f ca="1" t="shared" si="21"/>
        <v>10800</v>
      </c>
      <c r="Z38" s="96">
        <f ca="1" t="shared" si="22"/>
        <v>1.36</v>
      </c>
    </row>
    <row r="39" s="106" customFormat="1" ht="16.5" spans="2:26">
      <c r="B39" s="117">
        <v>10</v>
      </c>
      <c r="C39" s="130">
        <f t="shared" si="23"/>
        <v>1000</v>
      </c>
      <c r="D39" s="131">
        <f ca="1" t="shared" si="2"/>
        <v>22</v>
      </c>
      <c r="E39" s="131">
        <f ca="1" t="shared" si="3"/>
        <v>22</v>
      </c>
      <c r="F39" s="131">
        <f ca="1" t="shared" si="4"/>
        <v>22</v>
      </c>
      <c r="G39" s="131">
        <f ca="1" t="shared" si="5"/>
        <v>11</v>
      </c>
      <c r="H39" s="131">
        <f ca="1" t="shared" si="6"/>
        <v>11</v>
      </c>
      <c r="I39" s="131">
        <f ca="1" t="shared" si="7"/>
        <v>11</v>
      </c>
      <c r="J39" s="131">
        <f ca="1" t="shared" si="8"/>
        <v>10</v>
      </c>
      <c r="K39" s="131">
        <f ca="1" t="shared" si="9"/>
        <v>10</v>
      </c>
      <c r="L39" s="131">
        <f ca="1" t="shared" si="10"/>
        <v>10</v>
      </c>
      <c r="M39" s="131">
        <f ca="1" t="shared" si="11"/>
        <v>7</v>
      </c>
      <c r="N39" s="131">
        <f ca="1" t="shared" si="12"/>
        <v>6</v>
      </c>
      <c r="O39" s="131">
        <f ca="1" t="shared" si="13"/>
        <v>6</v>
      </c>
      <c r="P39" s="131">
        <f ca="1" t="shared" si="14"/>
        <v>0</v>
      </c>
      <c r="Q39" s="131">
        <f ca="1" t="shared" si="15"/>
        <v>5</v>
      </c>
      <c r="R39" s="131">
        <f ca="1" t="shared" si="16"/>
        <v>0</v>
      </c>
      <c r="S39" s="131">
        <f ca="1" t="shared" si="17"/>
        <v>0</v>
      </c>
      <c r="T39" s="131">
        <f ca="1" t="shared" si="18"/>
        <v>0</v>
      </c>
      <c r="U39" s="131">
        <f ca="1" t="shared" si="19"/>
        <v>0</v>
      </c>
      <c r="V39" s="131">
        <f ca="1" t="shared" si="20"/>
        <v>0</v>
      </c>
      <c r="W39" s="124">
        <f ca="1">OFFSET($K$19,_xlfn.XLOOKUP(X39,$D$9:$D$28,$H$9:$H$28),MATCH(OFFSET($C$29,B39,MATCH(X39,$D$29:$V$29,0)),$L$19:$R$19,1))*(1+(OFFSET($C$29,B39,MATCH(X39,$D$29:$V$29,0))-1)*_xlfn.XLOOKUP(X39,梦灵养成!$D$9:$D$28,梦灵养成!$G$9:$G$28))</f>
        <v>1.836</v>
      </c>
      <c r="X39" s="106" t="str">
        <f ca="1" t="shared" si="1"/>
        <v>镭射眼</v>
      </c>
      <c r="Y39" s="95">
        <f ca="1" t="shared" si="21"/>
        <v>9000</v>
      </c>
      <c r="Z39" s="96">
        <f ca="1" t="shared" si="22"/>
        <v>1.36</v>
      </c>
    </row>
    <row r="40" s="106" customFormat="1" ht="16.5" spans="2:26">
      <c r="B40" s="117">
        <v>11</v>
      </c>
      <c r="C40" s="130">
        <f t="shared" si="23"/>
        <v>1100</v>
      </c>
      <c r="D40" s="131">
        <f ca="1" t="shared" si="2"/>
        <v>23</v>
      </c>
      <c r="E40" s="131">
        <f ca="1" t="shared" si="3"/>
        <v>23</v>
      </c>
      <c r="F40" s="131">
        <f ca="1" t="shared" si="4"/>
        <v>23</v>
      </c>
      <c r="G40" s="131">
        <f ca="1" t="shared" si="5"/>
        <v>11</v>
      </c>
      <c r="H40" s="131">
        <f ca="1" t="shared" si="6"/>
        <v>11</v>
      </c>
      <c r="I40" s="131">
        <f ca="1" t="shared" si="7"/>
        <v>11</v>
      </c>
      <c r="J40" s="131">
        <f ca="1" t="shared" si="8"/>
        <v>10</v>
      </c>
      <c r="K40" s="131">
        <f ca="1" t="shared" si="9"/>
        <v>10</v>
      </c>
      <c r="L40" s="131">
        <f ca="1" t="shared" si="10"/>
        <v>10</v>
      </c>
      <c r="M40" s="131">
        <f ca="1" t="shared" si="11"/>
        <v>7</v>
      </c>
      <c r="N40" s="131">
        <f ca="1" t="shared" si="12"/>
        <v>6</v>
      </c>
      <c r="O40" s="131">
        <f ca="1" t="shared" si="13"/>
        <v>6</v>
      </c>
      <c r="P40" s="131">
        <f ca="1" t="shared" si="14"/>
        <v>0</v>
      </c>
      <c r="Q40" s="131">
        <f ca="1" t="shared" si="15"/>
        <v>5</v>
      </c>
      <c r="R40" s="131">
        <f ca="1" t="shared" si="16"/>
        <v>0</v>
      </c>
      <c r="S40" s="131">
        <f ca="1" t="shared" si="17"/>
        <v>0</v>
      </c>
      <c r="T40" s="131">
        <f ca="1" t="shared" si="18"/>
        <v>0</v>
      </c>
      <c r="U40" s="131">
        <f ca="1" t="shared" si="19"/>
        <v>0</v>
      </c>
      <c r="V40" s="131">
        <f ca="1" t="shared" si="20"/>
        <v>0</v>
      </c>
      <c r="W40" s="124">
        <f ca="1">OFFSET($K$19,_xlfn.XLOOKUP(X40,$D$9:$D$28,$H$9:$H$28),MATCH(OFFSET($C$29,B40,MATCH(X40,$D$29:$V$29,0)),$L$19:$R$19,1))*(1+(OFFSET($C$29,B40,MATCH(X40,$D$29:$V$29,0))-1)*_xlfn.XLOOKUP(X40,梦灵养成!$D$9:$D$28,梦灵养成!$G$9:$G$28))</f>
        <v>1.836</v>
      </c>
      <c r="X40" s="106" t="str">
        <f ca="1" t="shared" si="1"/>
        <v>镭射眼</v>
      </c>
      <c r="Y40" s="95">
        <f ca="1" t="shared" si="21"/>
        <v>7200</v>
      </c>
      <c r="Z40" s="96">
        <f ca="1" t="shared" si="22"/>
        <v>1.36</v>
      </c>
    </row>
    <row r="41" s="106" customFormat="1" ht="16.5" spans="2:26">
      <c r="B41" s="117">
        <v>12</v>
      </c>
      <c r="C41" s="130">
        <f t="shared" si="23"/>
        <v>1200</v>
      </c>
      <c r="D41" s="131">
        <f ca="1" t="shared" si="2"/>
        <v>24</v>
      </c>
      <c r="E41" s="131">
        <f ca="1" t="shared" si="3"/>
        <v>24</v>
      </c>
      <c r="F41" s="131">
        <f ca="1" t="shared" si="4"/>
        <v>24</v>
      </c>
      <c r="G41" s="131">
        <f ca="1" t="shared" si="5"/>
        <v>11</v>
      </c>
      <c r="H41" s="131">
        <f ca="1" t="shared" si="6"/>
        <v>11</v>
      </c>
      <c r="I41" s="131">
        <f ca="1" t="shared" si="7"/>
        <v>11</v>
      </c>
      <c r="J41" s="131">
        <f ca="1" t="shared" si="8"/>
        <v>11</v>
      </c>
      <c r="K41" s="131">
        <f ca="1" t="shared" si="9"/>
        <v>10</v>
      </c>
      <c r="L41" s="131">
        <f ca="1" t="shared" si="10"/>
        <v>10</v>
      </c>
      <c r="M41" s="131">
        <f ca="1" t="shared" si="11"/>
        <v>7</v>
      </c>
      <c r="N41" s="131">
        <f ca="1" t="shared" si="12"/>
        <v>6</v>
      </c>
      <c r="O41" s="131">
        <f ca="1" t="shared" si="13"/>
        <v>6</v>
      </c>
      <c r="P41" s="131">
        <f ca="1" t="shared" si="14"/>
        <v>0</v>
      </c>
      <c r="Q41" s="131">
        <f ca="1" t="shared" si="15"/>
        <v>5</v>
      </c>
      <c r="R41" s="131">
        <f ca="1" t="shared" si="16"/>
        <v>0</v>
      </c>
      <c r="S41" s="131">
        <f ca="1" t="shared" si="17"/>
        <v>0</v>
      </c>
      <c r="T41" s="131">
        <f ca="1" t="shared" si="18"/>
        <v>0</v>
      </c>
      <c r="U41" s="131">
        <f ca="1" t="shared" si="19"/>
        <v>0</v>
      </c>
      <c r="V41" s="131">
        <f ca="1" t="shared" si="20"/>
        <v>0</v>
      </c>
      <c r="W41" s="124">
        <f ca="1">OFFSET($K$19,_xlfn.XLOOKUP(X41,$D$9:$D$28,$H$9:$H$28),MATCH(OFFSET($C$29,B41,MATCH(X41,$D$29:$V$29,0)),$L$19:$R$19,1))*(1+(OFFSET($C$29,B41,MATCH(X41,$D$29:$V$29,0))-1)*_xlfn.XLOOKUP(X41,梦灵养成!$D$9:$D$28,梦灵养成!$G$9:$G$28))</f>
        <v>1.836</v>
      </c>
      <c r="X41" s="106" t="str">
        <f ca="1" t="shared" si="1"/>
        <v>镭射眼</v>
      </c>
      <c r="Y41" s="95">
        <f ca="1" t="shared" si="21"/>
        <v>5400</v>
      </c>
      <c r="Z41" s="96">
        <f ca="1" t="shared" si="22"/>
        <v>1.36</v>
      </c>
    </row>
    <row r="42" s="106" customFormat="1" ht="16.5" spans="2:26">
      <c r="B42" s="117">
        <v>13</v>
      </c>
      <c r="C42" s="130">
        <f t="shared" si="23"/>
        <v>1300</v>
      </c>
      <c r="D42" s="131">
        <f ca="1" t="shared" si="2"/>
        <v>25</v>
      </c>
      <c r="E42" s="131">
        <f ca="1" t="shared" si="3"/>
        <v>25</v>
      </c>
      <c r="F42" s="131">
        <f ca="1" t="shared" si="4"/>
        <v>25</v>
      </c>
      <c r="G42" s="131">
        <f ca="1" t="shared" si="5"/>
        <v>12</v>
      </c>
      <c r="H42" s="131">
        <f ca="1" t="shared" si="6"/>
        <v>12</v>
      </c>
      <c r="I42" s="131">
        <f ca="1" t="shared" si="7"/>
        <v>12</v>
      </c>
      <c r="J42" s="131">
        <f ca="1" t="shared" si="8"/>
        <v>11</v>
      </c>
      <c r="K42" s="131">
        <f ca="1" t="shared" si="9"/>
        <v>11</v>
      </c>
      <c r="L42" s="131">
        <f ca="1" t="shared" si="10"/>
        <v>11</v>
      </c>
      <c r="M42" s="131">
        <f ca="1" t="shared" si="11"/>
        <v>7</v>
      </c>
      <c r="N42" s="131">
        <f ca="1" t="shared" si="12"/>
        <v>6</v>
      </c>
      <c r="O42" s="131">
        <f ca="1" t="shared" si="13"/>
        <v>6</v>
      </c>
      <c r="P42" s="131">
        <f ca="1" t="shared" si="14"/>
        <v>0</v>
      </c>
      <c r="Q42" s="131">
        <f ca="1" t="shared" si="15"/>
        <v>5</v>
      </c>
      <c r="R42" s="131">
        <f ca="1" t="shared" si="16"/>
        <v>0</v>
      </c>
      <c r="S42" s="131">
        <f ca="1" t="shared" si="17"/>
        <v>0</v>
      </c>
      <c r="T42" s="131">
        <f ca="1" t="shared" si="18"/>
        <v>0</v>
      </c>
      <c r="U42" s="131">
        <f ca="1" t="shared" si="19"/>
        <v>0</v>
      </c>
      <c r="V42" s="131">
        <f ca="1" t="shared" si="20"/>
        <v>0</v>
      </c>
      <c r="W42" s="124">
        <f ca="1">OFFSET($K$19,_xlfn.XLOOKUP(X42,$D$9:$D$28,$H$9:$H$28),MATCH(OFFSET($C$29,B42,MATCH(X42,$D$29:$V$29,0)),$L$19:$R$19,1))*(1+(OFFSET($C$29,B42,MATCH(X42,$D$29:$V$29,0))-1)*_xlfn.XLOOKUP(X42,梦灵养成!$D$9:$D$28,梦灵养成!$G$9:$G$28))</f>
        <v>1.836</v>
      </c>
      <c r="X42" s="106" t="str">
        <f ca="1" t="shared" si="1"/>
        <v>镭射眼</v>
      </c>
      <c r="Y42" s="95">
        <f ca="1" t="shared" si="21"/>
        <v>3600</v>
      </c>
      <c r="Z42" s="96">
        <f ca="1" t="shared" si="22"/>
        <v>1.36</v>
      </c>
    </row>
    <row r="43" s="106" customFormat="1" ht="16.5" spans="2:26">
      <c r="B43" s="117">
        <v>14</v>
      </c>
      <c r="C43" s="130">
        <f t="shared" si="23"/>
        <v>1400</v>
      </c>
      <c r="D43" s="131">
        <f ca="1" t="shared" si="2"/>
        <v>25</v>
      </c>
      <c r="E43" s="131">
        <f ca="1" t="shared" si="3"/>
        <v>25</v>
      </c>
      <c r="F43" s="131">
        <f ca="1" t="shared" si="4"/>
        <v>25</v>
      </c>
      <c r="G43" s="131">
        <f ca="1" t="shared" si="5"/>
        <v>12</v>
      </c>
      <c r="H43" s="131">
        <f ca="1" t="shared" si="6"/>
        <v>12</v>
      </c>
      <c r="I43" s="131">
        <f ca="1" t="shared" si="7"/>
        <v>12</v>
      </c>
      <c r="J43" s="131">
        <f ca="1" t="shared" si="8"/>
        <v>11</v>
      </c>
      <c r="K43" s="131">
        <f ca="1" t="shared" si="9"/>
        <v>11</v>
      </c>
      <c r="L43" s="131">
        <f ca="1" t="shared" si="10"/>
        <v>11</v>
      </c>
      <c r="M43" s="131">
        <f ca="1" t="shared" si="11"/>
        <v>8</v>
      </c>
      <c r="N43" s="131">
        <f ca="1" t="shared" si="12"/>
        <v>6</v>
      </c>
      <c r="O43" s="131">
        <f ca="1" t="shared" si="13"/>
        <v>6</v>
      </c>
      <c r="P43" s="131">
        <f ca="1" t="shared" si="14"/>
        <v>0</v>
      </c>
      <c r="Q43" s="131">
        <f ca="1" t="shared" si="15"/>
        <v>6</v>
      </c>
      <c r="R43" s="131">
        <f ca="1" t="shared" si="16"/>
        <v>0</v>
      </c>
      <c r="S43" s="131">
        <f ca="1" t="shared" si="17"/>
        <v>0</v>
      </c>
      <c r="T43" s="131">
        <f ca="1" t="shared" si="18"/>
        <v>0</v>
      </c>
      <c r="U43" s="131">
        <f ca="1" t="shared" si="19"/>
        <v>0</v>
      </c>
      <c r="V43" s="131">
        <f ca="1" t="shared" si="20"/>
        <v>0</v>
      </c>
      <c r="W43" s="124">
        <f ca="1">OFFSET($K$19,_xlfn.XLOOKUP(X43,$D$9:$D$28,$H$9:$H$28),MATCH(OFFSET($C$29,B43,MATCH(X43,$D$29:$V$29,0)),$L$19:$R$19,1))*(1+(OFFSET($C$29,B43,MATCH(X43,$D$29:$V$29,0))-1)*_xlfn.XLOOKUP(X43,梦灵养成!$D$9:$D$28,梦灵养成!$G$9:$G$28))</f>
        <v>1.917</v>
      </c>
      <c r="X43" s="106" t="str">
        <f ca="1" t="shared" si="1"/>
        <v>镭射眼</v>
      </c>
      <c r="Y43" s="95">
        <f ca="1" t="shared" si="21"/>
        <v>1800</v>
      </c>
      <c r="Z43" s="96">
        <f ca="1" t="shared" si="22"/>
        <v>1.42</v>
      </c>
    </row>
    <row r="44" s="106" customFormat="1" ht="16.5" spans="2:26">
      <c r="B44" s="117">
        <v>15</v>
      </c>
      <c r="C44" s="130">
        <f t="shared" si="23"/>
        <v>1500</v>
      </c>
      <c r="D44" s="131">
        <f ca="1" t="shared" si="2"/>
        <v>26</v>
      </c>
      <c r="E44" s="131">
        <f ca="1" t="shared" si="3"/>
        <v>26</v>
      </c>
      <c r="F44" s="131">
        <f ca="1" t="shared" si="4"/>
        <v>26</v>
      </c>
      <c r="G44" s="131">
        <f ca="1" t="shared" si="5"/>
        <v>12</v>
      </c>
      <c r="H44" s="131">
        <f ca="1" t="shared" si="6"/>
        <v>12</v>
      </c>
      <c r="I44" s="131">
        <f ca="1" t="shared" si="7"/>
        <v>12</v>
      </c>
      <c r="J44" s="131">
        <f ca="1" t="shared" si="8"/>
        <v>12</v>
      </c>
      <c r="K44" s="131">
        <f ca="1" t="shared" si="9"/>
        <v>11</v>
      </c>
      <c r="L44" s="131">
        <f ca="1" t="shared" si="10"/>
        <v>11</v>
      </c>
      <c r="M44" s="131">
        <f ca="1" t="shared" si="11"/>
        <v>8</v>
      </c>
      <c r="N44" s="131">
        <f ca="1" t="shared" si="12"/>
        <v>7</v>
      </c>
      <c r="O44" s="131">
        <f ca="1" t="shared" si="13"/>
        <v>7</v>
      </c>
      <c r="P44" s="131">
        <f ca="1" t="shared" si="14"/>
        <v>5</v>
      </c>
      <c r="Q44" s="131">
        <f ca="1" t="shared" si="15"/>
        <v>6</v>
      </c>
      <c r="R44" s="131">
        <f ca="1" t="shared" si="16"/>
        <v>0</v>
      </c>
      <c r="S44" s="131">
        <f ca="1" t="shared" si="17"/>
        <v>0</v>
      </c>
      <c r="T44" s="131">
        <f ca="1" t="shared" si="18"/>
        <v>0</v>
      </c>
      <c r="U44" s="131">
        <f ca="1" t="shared" si="19"/>
        <v>0</v>
      </c>
      <c r="V44" s="131">
        <f ca="1" t="shared" si="20"/>
        <v>0</v>
      </c>
      <c r="W44" s="124">
        <f ca="1">OFFSET($K$19,_xlfn.XLOOKUP(X44,$D$9:$D$28,$H$9:$H$28),MATCH(OFFSET($C$29,B44,MATCH(X44,$D$29:$V$29,0)),$L$19:$R$19,1))*(1+(OFFSET($C$29,B44,MATCH(X44,$D$29:$V$29,0))-1)*_xlfn.XLOOKUP(X44,梦灵养成!$D$9:$D$28,梦灵养成!$G$9:$G$28))</f>
        <v>2.511</v>
      </c>
      <c r="X44" s="106" t="str">
        <f ca="1" t="shared" si="1"/>
        <v>蜘蛛女王</v>
      </c>
      <c r="Y44" s="95">
        <f ca="1" t="shared" si="21"/>
        <v>10800</v>
      </c>
      <c r="Z44" s="96">
        <f ca="1" t="shared" si="22"/>
        <v>1.24</v>
      </c>
    </row>
    <row r="45" s="106" customFormat="1" ht="16.5" spans="2:26">
      <c r="B45" s="117">
        <v>16</v>
      </c>
      <c r="C45" s="130">
        <f t="shared" si="23"/>
        <v>1600</v>
      </c>
      <c r="D45" s="131">
        <f ca="1" t="shared" si="2"/>
        <v>26</v>
      </c>
      <c r="E45" s="131">
        <f ca="1" t="shared" si="3"/>
        <v>26</v>
      </c>
      <c r="F45" s="131">
        <f ca="1" t="shared" si="4"/>
        <v>26</v>
      </c>
      <c r="G45" s="131">
        <f ca="1" t="shared" si="5"/>
        <v>13</v>
      </c>
      <c r="H45" s="131">
        <f ca="1" t="shared" si="6"/>
        <v>13</v>
      </c>
      <c r="I45" s="131">
        <f ca="1" t="shared" si="7"/>
        <v>13</v>
      </c>
      <c r="J45" s="131">
        <f ca="1" t="shared" si="8"/>
        <v>12</v>
      </c>
      <c r="K45" s="131">
        <f ca="1" t="shared" si="9"/>
        <v>12</v>
      </c>
      <c r="L45" s="131">
        <f ca="1" t="shared" si="10"/>
        <v>12</v>
      </c>
      <c r="M45" s="131">
        <f ca="1" t="shared" si="11"/>
        <v>8</v>
      </c>
      <c r="N45" s="131">
        <f ca="1" t="shared" si="12"/>
        <v>9</v>
      </c>
      <c r="O45" s="131">
        <f ca="1" t="shared" si="13"/>
        <v>9</v>
      </c>
      <c r="P45" s="131">
        <f ca="1" t="shared" si="14"/>
        <v>5</v>
      </c>
      <c r="Q45" s="131">
        <f ca="1" t="shared" si="15"/>
        <v>6</v>
      </c>
      <c r="R45" s="131">
        <f ca="1" t="shared" si="16"/>
        <v>0</v>
      </c>
      <c r="S45" s="131">
        <f ca="1" t="shared" si="17"/>
        <v>0</v>
      </c>
      <c r="T45" s="131">
        <f ca="1" t="shared" si="18"/>
        <v>0</v>
      </c>
      <c r="U45" s="131">
        <f ca="1" t="shared" si="19"/>
        <v>0</v>
      </c>
      <c r="V45" s="131">
        <f ca="1" t="shared" si="20"/>
        <v>0</v>
      </c>
      <c r="W45" s="124">
        <f ca="1">OFFSET($K$19,_xlfn.XLOOKUP(X45,$D$9:$D$28,$H$9:$H$28),MATCH(OFFSET($C$29,B45,MATCH(X45,$D$29:$V$29,0)),$L$19:$R$19,1))*(1+(OFFSET($C$29,B45,MATCH(X45,$D$29:$V$29,0))-1)*_xlfn.XLOOKUP(X45,梦灵养成!$D$9:$D$28,梦灵养成!$G$9:$G$28))</f>
        <v>2.511</v>
      </c>
      <c r="X45" s="106" t="str">
        <f ca="1" t="shared" si="1"/>
        <v>蜘蛛女王</v>
      </c>
      <c r="Y45" s="95">
        <f ca="1" t="shared" si="21"/>
        <v>9000</v>
      </c>
      <c r="Z45" s="96">
        <f ca="1" t="shared" si="22"/>
        <v>1.24</v>
      </c>
    </row>
    <row r="46" s="106" customFormat="1" ht="16.5" spans="2:26">
      <c r="B46" s="117">
        <v>17</v>
      </c>
      <c r="C46" s="130">
        <f t="shared" si="23"/>
        <v>1700</v>
      </c>
      <c r="D46" s="131">
        <f ca="1" t="shared" si="2"/>
        <v>27</v>
      </c>
      <c r="E46" s="131">
        <f ca="1" t="shared" si="3"/>
        <v>27</v>
      </c>
      <c r="F46" s="131">
        <f ca="1" t="shared" si="4"/>
        <v>27</v>
      </c>
      <c r="G46" s="131">
        <f ca="1" t="shared" si="5"/>
        <v>13</v>
      </c>
      <c r="H46" s="131">
        <f ca="1" t="shared" si="6"/>
        <v>13</v>
      </c>
      <c r="I46" s="131">
        <f ca="1" t="shared" si="7"/>
        <v>13</v>
      </c>
      <c r="J46" s="131">
        <f ca="1" t="shared" si="8"/>
        <v>12</v>
      </c>
      <c r="K46" s="131">
        <f ca="1" t="shared" si="9"/>
        <v>12</v>
      </c>
      <c r="L46" s="131">
        <f ca="1" t="shared" si="10"/>
        <v>12</v>
      </c>
      <c r="M46" s="131">
        <f ca="1" t="shared" si="11"/>
        <v>9</v>
      </c>
      <c r="N46" s="131">
        <f ca="1" t="shared" si="12"/>
        <v>9</v>
      </c>
      <c r="O46" s="131">
        <f ca="1" t="shared" si="13"/>
        <v>9</v>
      </c>
      <c r="P46" s="131">
        <f ca="1" t="shared" si="14"/>
        <v>6</v>
      </c>
      <c r="Q46" s="131">
        <f ca="1" t="shared" si="15"/>
        <v>7</v>
      </c>
      <c r="R46" s="131">
        <f ca="1" t="shared" si="16"/>
        <v>0</v>
      </c>
      <c r="S46" s="131">
        <f ca="1" t="shared" si="17"/>
        <v>0</v>
      </c>
      <c r="T46" s="131">
        <f ca="1" t="shared" si="18"/>
        <v>0</v>
      </c>
      <c r="U46" s="131">
        <f ca="1" t="shared" si="19"/>
        <v>0</v>
      </c>
      <c r="V46" s="131">
        <f ca="1" t="shared" si="20"/>
        <v>0</v>
      </c>
      <c r="W46" s="124">
        <f ca="1">OFFSET($K$19,_xlfn.XLOOKUP(X46,$D$9:$D$28,$H$9:$H$28),MATCH(OFFSET($C$29,B46,MATCH(X46,$D$29:$V$29,0)),$L$19:$R$19,1))*(1+(OFFSET($C$29,B46,MATCH(X46,$D$29:$V$29,0))-1)*_xlfn.XLOOKUP(X46,梦灵养成!$D$9:$D$28,梦灵养成!$G$9:$G$28))</f>
        <v>2.6325</v>
      </c>
      <c r="X46" s="106" t="str">
        <f ca="1" t="shared" si="1"/>
        <v>蜘蛛女王</v>
      </c>
      <c r="Y46" s="95">
        <f ca="1" t="shared" si="21"/>
        <v>12600</v>
      </c>
      <c r="Z46" s="96">
        <f ca="1" t="shared" si="22"/>
        <v>1.3</v>
      </c>
    </row>
    <row r="47" s="106" customFormat="1" ht="16.5" spans="2:26">
      <c r="B47" s="117">
        <v>18</v>
      </c>
      <c r="C47" s="130">
        <f t="shared" si="23"/>
        <v>1800</v>
      </c>
      <c r="D47" s="131">
        <f ca="1" t="shared" si="2"/>
        <v>27</v>
      </c>
      <c r="E47" s="131">
        <f ca="1" t="shared" si="3"/>
        <v>27</v>
      </c>
      <c r="F47" s="131">
        <f ca="1" t="shared" si="4"/>
        <v>27</v>
      </c>
      <c r="G47" s="131">
        <f ca="1" t="shared" si="5"/>
        <v>13</v>
      </c>
      <c r="H47" s="131">
        <f ca="1" t="shared" si="6"/>
        <v>13</v>
      </c>
      <c r="I47" s="131">
        <f ca="1" t="shared" si="7"/>
        <v>13</v>
      </c>
      <c r="J47" s="131">
        <f ca="1" t="shared" si="8"/>
        <v>13</v>
      </c>
      <c r="K47" s="131">
        <f ca="1" t="shared" si="9"/>
        <v>12</v>
      </c>
      <c r="L47" s="131">
        <f ca="1" t="shared" si="10"/>
        <v>12</v>
      </c>
      <c r="M47" s="131">
        <f ca="1" t="shared" si="11"/>
        <v>9</v>
      </c>
      <c r="N47" s="131">
        <f ca="1" t="shared" si="12"/>
        <v>9</v>
      </c>
      <c r="O47" s="131">
        <f ca="1" t="shared" si="13"/>
        <v>9</v>
      </c>
      <c r="P47" s="131">
        <f ca="1" t="shared" si="14"/>
        <v>6</v>
      </c>
      <c r="Q47" s="131">
        <f ca="1" t="shared" si="15"/>
        <v>7</v>
      </c>
      <c r="R47" s="131">
        <f ca="1" t="shared" si="16"/>
        <v>0</v>
      </c>
      <c r="S47" s="131">
        <f ca="1" t="shared" si="17"/>
        <v>0</v>
      </c>
      <c r="T47" s="131">
        <f ca="1" t="shared" si="18"/>
        <v>0</v>
      </c>
      <c r="U47" s="131">
        <f ca="1" t="shared" si="19"/>
        <v>0</v>
      </c>
      <c r="V47" s="131">
        <f ca="1" t="shared" si="20"/>
        <v>0</v>
      </c>
      <c r="W47" s="124">
        <f ca="1">OFFSET($K$19,_xlfn.XLOOKUP(X47,$D$9:$D$28,$H$9:$H$28),MATCH(OFFSET($C$29,B47,MATCH(X47,$D$29:$V$29,0)),$L$19:$R$19,1))*(1+(OFFSET($C$29,B47,MATCH(X47,$D$29:$V$29,0))-1)*_xlfn.XLOOKUP(X47,梦灵养成!$D$9:$D$28,梦灵养成!$G$9:$G$28))</f>
        <v>2.6325</v>
      </c>
      <c r="X47" s="106" t="str">
        <f ca="1" t="shared" si="1"/>
        <v>蜘蛛女王</v>
      </c>
      <c r="Y47" s="95">
        <f ca="1" t="shared" si="21"/>
        <v>10800</v>
      </c>
      <c r="Z47" s="96">
        <f ca="1" t="shared" si="22"/>
        <v>1.3</v>
      </c>
    </row>
    <row r="48" s="106" customFormat="1" ht="16.5" spans="2:26">
      <c r="B48" s="117">
        <v>19</v>
      </c>
      <c r="C48" s="130">
        <f t="shared" si="23"/>
        <v>1900</v>
      </c>
      <c r="D48" s="131">
        <f ca="1" t="shared" si="2"/>
        <v>28</v>
      </c>
      <c r="E48" s="131">
        <f ca="1" t="shared" si="3"/>
        <v>28</v>
      </c>
      <c r="F48" s="131">
        <f ca="1" t="shared" si="4"/>
        <v>28</v>
      </c>
      <c r="G48" s="131">
        <f ca="1" t="shared" si="5"/>
        <v>14</v>
      </c>
      <c r="H48" s="131">
        <f ca="1" t="shared" si="6"/>
        <v>14</v>
      </c>
      <c r="I48" s="131">
        <f ca="1" t="shared" si="7"/>
        <v>14</v>
      </c>
      <c r="J48" s="131">
        <f ca="1" t="shared" si="8"/>
        <v>13</v>
      </c>
      <c r="K48" s="131">
        <f ca="1" t="shared" si="9"/>
        <v>13</v>
      </c>
      <c r="L48" s="131">
        <f ca="1" t="shared" si="10"/>
        <v>13</v>
      </c>
      <c r="M48" s="131">
        <f ca="1" t="shared" si="11"/>
        <v>9</v>
      </c>
      <c r="N48" s="131">
        <f ca="1" t="shared" si="12"/>
        <v>10</v>
      </c>
      <c r="O48" s="131">
        <f ca="1" t="shared" si="13"/>
        <v>10</v>
      </c>
      <c r="P48" s="131">
        <f ca="1" t="shared" si="14"/>
        <v>6</v>
      </c>
      <c r="Q48" s="131">
        <f ca="1" t="shared" si="15"/>
        <v>7</v>
      </c>
      <c r="R48" s="131">
        <f ca="1" t="shared" si="16"/>
        <v>0</v>
      </c>
      <c r="S48" s="131">
        <f ca="1" t="shared" si="17"/>
        <v>0</v>
      </c>
      <c r="T48" s="131">
        <f ca="1" t="shared" si="18"/>
        <v>0</v>
      </c>
      <c r="U48" s="131">
        <f ca="1" t="shared" si="19"/>
        <v>0</v>
      </c>
      <c r="V48" s="131">
        <f ca="1" t="shared" si="20"/>
        <v>0</v>
      </c>
      <c r="W48" s="124">
        <f ca="1">OFFSET($K$19,_xlfn.XLOOKUP(X48,$D$9:$D$28,$H$9:$H$28),MATCH(OFFSET($C$29,B48,MATCH(X48,$D$29:$V$29,0)),$L$19:$R$19,1))*(1+(OFFSET($C$29,B48,MATCH(X48,$D$29:$V$29,0))-1)*_xlfn.XLOOKUP(X48,梦灵养成!$D$9:$D$28,梦灵养成!$G$9:$G$28))</f>
        <v>2.6325</v>
      </c>
      <c r="X48" s="106" t="str">
        <f ca="1" t="shared" si="1"/>
        <v>蜘蛛女王</v>
      </c>
      <c r="Y48" s="95">
        <f ca="1" t="shared" si="21"/>
        <v>9000</v>
      </c>
      <c r="Z48" s="96">
        <f ca="1" t="shared" si="22"/>
        <v>1.3</v>
      </c>
    </row>
    <row r="49" s="106" customFormat="1" ht="16.5" spans="2:26">
      <c r="B49" s="117">
        <v>20</v>
      </c>
      <c r="C49" s="130">
        <f t="shared" si="23"/>
        <v>2000</v>
      </c>
      <c r="D49" s="131">
        <f ca="1" t="shared" si="2"/>
        <v>28</v>
      </c>
      <c r="E49" s="131">
        <f ca="1" t="shared" si="3"/>
        <v>28</v>
      </c>
      <c r="F49" s="131">
        <f ca="1" t="shared" si="4"/>
        <v>28</v>
      </c>
      <c r="G49" s="131">
        <f ca="1" t="shared" si="5"/>
        <v>14</v>
      </c>
      <c r="H49" s="131">
        <f ca="1" t="shared" si="6"/>
        <v>14</v>
      </c>
      <c r="I49" s="131">
        <f ca="1" t="shared" si="7"/>
        <v>14</v>
      </c>
      <c r="J49" s="131">
        <f ca="1" t="shared" si="8"/>
        <v>14</v>
      </c>
      <c r="K49" s="131">
        <f ca="1" t="shared" si="9"/>
        <v>13</v>
      </c>
      <c r="L49" s="131">
        <f ca="1" t="shared" si="10"/>
        <v>13</v>
      </c>
      <c r="M49" s="131">
        <f ca="1" t="shared" si="11"/>
        <v>10</v>
      </c>
      <c r="N49" s="131">
        <f ca="1" t="shared" si="12"/>
        <v>10</v>
      </c>
      <c r="O49" s="131">
        <f ca="1" t="shared" si="13"/>
        <v>11</v>
      </c>
      <c r="P49" s="131">
        <f ca="1" t="shared" si="14"/>
        <v>6</v>
      </c>
      <c r="Q49" s="131">
        <f ca="1" t="shared" si="15"/>
        <v>9</v>
      </c>
      <c r="R49" s="131">
        <f ca="1" t="shared" si="16"/>
        <v>5</v>
      </c>
      <c r="S49" s="131">
        <f ca="1" t="shared" si="17"/>
        <v>0</v>
      </c>
      <c r="T49" s="131">
        <f ca="1" t="shared" si="18"/>
        <v>0</v>
      </c>
      <c r="U49" s="131">
        <f ca="1" t="shared" si="19"/>
        <v>0</v>
      </c>
      <c r="V49" s="131">
        <f ca="1" t="shared" si="20"/>
        <v>0</v>
      </c>
      <c r="W49" s="124">
        <f ca="1">OFFSET($K$19,_xlfn.XLOOKUP(X49,$D$9:$D$28,$H$9:$H$28),MATCH(OFFSET($C$29,B49,MATCH(X49,$D$29:$V$29,0)),$L$19:$R$19,1))*(1+(OFFSET($C$29,B49,MATCH(X49,$D$29:$V$29,0))-1)*_xlfn.XLOOKUP(X49,梦灵养成!$D$9:$D$28,梦灵养成!$G$9:$G$28))</f>
        <v>2.6325</v>
      </c>
      <c r="X49" s="106" t="str">
        <f ca="1" t="shared" si="1"/>
        <v>蜘蛛女王</v>
      </c>
      <c r="Y49" s="95">
        <f ca="1" t="shared" si="21"/>
        <v>7200</v>
      </c>
      <c r="Z49" s="96">
        <f ca="1" t="shared" si="22"/>
        <v>1.3</v>
      </c>
    </row>
    <row r="50" s="106" customFormat="1" ht="16.5" spans="2:26">
      <c r="B50" s="117">
        <v>21</v>
      </c>
      <c r="C50" s="130">
        <f t="shared" si="23"/>
        <v>2100</v>
      </c>
      <c r="D50" s="131">
        <f ca="1" t="shared" si="2"/>
        <v>28</v>
      </c>
      <c r="E50" s="131">
        <f ca="1" t="shared" si="3"/>
        <v>28</v>
      </c>
      <c r="F50" s="131">
        <f ca="1" t="shared" si="4"/>
        <v>28</v>
      </c>
      <c r="G50" s="131">
        <f ca="1" t="shared" si="5"/>
        <v>15</v>
      </c>
      <c r="H50" s="131">
        <f ca="1" t="shared" si="6"/>
        <v>15</v>
      </c>
      <c r="I50" s="131">
        <f ca="1" t="shared" si="7"/>
        <v>15</v>
      </c>
      <c r="J50" s="131">
        <f ca="1" t="shared" si="8"/>
        <v>14</v>
      </c>
      <c r="K50" s="131">
        <f ca="1" t="shared" si="9"/>
        <v>14</v>
      </c>
      <c r="L50" s="131">
        <f ca="1" t="shared" si="10"/>
        <v>14</v>
      </c>
      <c r="M50" s="131">
        <f ca="1" t="shared" si="11"/>
        <v>10</v>
      </c>
      <c r="N50" s="131">
        <f ca="1" t="shared" si="12"/>
        <v>10</v>
      </c>
      <c r="O50" s="131">
        <f ca="1" t="shared" si="13"/>
        <v>11</v>
      </c>
      <c r="P50" s="131">
        <f ca="1" t="shared" si="14"/>
        <v>7</v>
      </c>
      <c r="Q50" s="131">
        <f ca="1" t="shared" si="15"/>
        <v>10</v>
      </c>
      <c r="R50" s="131">
        <f ca="1" t="shared" si="16"/>
        <v>5</v>
      </c>
      <c r="S50" s="131">
        <f ca="1" t="shared" si="17"/>
        <v>0</v>
      </c>
      <c r="T50" s="131">
        <f ca="1" t="shared" si="18"/>
        <v>0</v>
      </c>
      <c r="U50" s="131">
        <f ca="1" t="shared" si="19"/>
        <v>0</v>
      </c>
      <c r="V50" s="131">
        <f ca="1" t="shared" si="20"/>
        <v>0</v>
      </c>
      <c r="W50" s="124">
        <f ca="1">OFFSET($K$19,_xlfn.XLOOKUP(X50,$D$9:$D$28,$H$9:$H$28),MATCH(OFFSET($C$29,B50,MATCH(X50,$D$29:$V$29,0)),$L$19:$R$19,1))*(1+(OFFSET($C$29,B50,MATCH(X50,$D$29:$V$29,0))-1)*_xlfn.XLOOKUP(X50,梦灵养成!$D$9:$D$28,梦灵养成!$G$9:$G$28))</f>
        <v>2.754</v>
      </c>
      <c r="X50" s="106" t="str">
        <f ca="1" t="shared" si="1"/>
        <v>蜘蛛女王</v>
      </c>
      <c r="Y50" s="95">
        <f ca="1" t="shared" si="21"/>
        <v>5400</v>
      </c>
      <c r="Z50" s="96">
        <f ca="1" t="shared" si="22"/>
        <v>1.36</v>
      </c>
    </row>
    <row r="51" s="106" customFormat="1" ht="16.5" spans="2:26">
      <c r="B51" s="117">
        <v>22</v>
      </c>
      <c r="C51" s="130">
        <f t="shared" si="23"/>
        <v>2200</v>
      </c>
      <c r="D51" s="131">
        <f ca="1" t="shared" si="2"/>
        <v>29</v>
      </c>
      <c r="E51" s="131">
        <f ca="1" t="shared" si="3"/>
        <v>29</v>
      </c>
      <c r="F51" s="131">
        <f ca="1" t="shared" si="4"/>
        <v>29</v>
      </c>
      <c r="G51" s="131">
        <f ca="1" t="shared" si="5"/>
        <v>15</v>
      </c>
      <c r="H51" s="131">
        <f ca="1" t="shared" si="6"/>
        <v>15</v>
      </c>
      <c r="I51" s="131">
        <f ca="1" t="shared" si="7"/>
        <v>15</v>
      </c>
      <c r="J51" s="131">
        <f ca="1" t="shared" si="8"/>
        <v>14</v>
      </c>
      <c r="K51" s="131">
        <f ca="1" t="shared" si="9"/>
        <v>14</v>
      </c>
      <c r="L51" s="131">
        <f ca="1" t="shared" si="10"/>
        <v>14</v>
      </c>
      <c r="M51" s="131">
        <f ca="1" t="shared" si="11"/>
        <v>10</v>
      </c>
      <c r="N51" s="131">
        <f ca="1" t="shared" si="12"/>
        <v>10</v>
      </c>
      <c r="O51" s="131">
        <f ca="1" t="shared" si="13"/>
        <v>11</v>
      </c>
      <c r="P51" s="131">
        <f ca="1" t="shared" si="14"/>
        <v>7</v>
      </c>
      <c r="Q51" s="131">
        <f ca="1" t="shared" si="15"/>
        <v>10</v>
      </c>
      <c r="R51" s="131">
        <f ca="1" t="shared" si="16"/>
        <v>5</v>
      </c>
      <c r="S51" s="131">
        <f ca="1" t="shared" si="17"/>
        <v>0</v>
      </c>
      <c r="T51" s="131">
        <f ca="1" t="shared" si="18"/>
        <v>0</v>
      </c>
      <c r="U51" s="131">
        <f ca="1" t="shared" si="19"/>
        <v>0</v>
      </c>
      <c r="V51" s="131">
        <f ca="1" t="shared" si="20"/>
        <v>0</v>
      </c>
      <c r="W51" s="124">
        <f ca="1">OFFSET($K$19,_xlfn.XLOOKUP(X51,$D$9:$D$28,$H$9:$H$28),MATCH(OFFSET($C$29,B51,MATCH(X51,$D$29:$V$29,0)),$L$19:$R$19,1))*(1+(OFFSET($C$29,B51,MATCH(X51,$D$29:$V$29,0))-1)*_xlfn.XLOOKUP(X51,梦灵养成!$D$9:$D$28,梦灵养成!$G$9:$G$28))</f>
        <v>2.754</v>
      </c>
      <c r="X51" s="106" t="str">
        <f ca="1" t="shared" si="1"/>
        <v>蜘蛛女王</v>
      </c>
      <c r="Y51" s="95">
        <f ca="1" t="shared" si="21"/>
        <v>3600</v>
      </c>
      <c r="Z51" s="96">
        <f ca="1" t="shared" si="22"/>
        <v>1.36</v>
      </c>
    </row>
    <row r="52" s="106" customFormat="1" ht="16.5" spans="2:26">
      <c r="B52" s="117">
        <v>23</v>
      </c>
      <c r="C52" s="130">
        <f t="shared" si="23"/>
        <v>2300</v>
      </c>
      <c r="D52" s="131">
        <f ca="1" t="shared" si="2"/>
        <v>29</v>
      </c>
      <c r="E52" s="131">
        <f ca="1" t="shared" si="3"/>
        <v>29</v>
      </c>
      <c r="F52" s="131">
        <f ca="1" t="shared" si="4"/>
        <v>29</v>
      </c>
      <c r="G52" s="131">
        <f ca="1" t="shared" si="5"/>
        <v>15</v>
      </c>
      <c r="H52" s="131">
        <f ca="1" t="shared" si="6"/>
        <v>15</v>
      </c>
      <c r="I52" s="131">
        <f ca="1" t="shared" si="7"/>
        <v>15</v>
      </c>
      <c r="J52" s="131">
        <f ca="1" t="shared" si="8"/>
        <v>15</v>
      </c>
      <c r="K52" s="131">
        <f ca="1" t="shared" si="9"/>
        <v>14</v>
      </c>
      <c r="L52" s="131">
        <f ca="1" t="shared" si="10"/>
        <v>14</v>
      </c>
      <c r="M52" s="131">
        <f ca="1" t="shared" si="11"/>
        <v>10</v>
      </c>
      <c r="N52" s="131">
        <f ca="1" t="shared" si="12"/>
        <v>10</v>
      </c>
      <c r="O52" s="131">
        <f ca="1" t="shared" si="13"/>
        <v>11</v>
      </c>
      <c r="P52" s="131">
        <f ca="1" t="shared" si="14"/>
        <v>7</v>
      </c>
      <c r="Q52" s="131">
        <f ca="1" t="shared" si="15"/>
        <v>10</v>
      </c>
      <c r="R52" s="131">
        <f ca="1" t="shared" si="16"/>
        <v>6</v>
      </c>
      <c r="S52" s="131">
        <f ca="1" t="shared" si="17"/>
        <v>5</v>
      </c>
      <c r="T52" s="131">
        <f ca="1" t="shared" si="18"/>
        <v>0</v>
      </c>
      <c r="U52" s="131">
        <f ca="1" t="shared" si="19"/>
        <v>0</v>
      </c>
      <c r="V52" s="131">
        <f ca="1" t="shared" si="20"/>
        <v>0</v>
      </c>
      <c r="W52" s="124">
        <f ca="1">OFFSET($K$19,_xlfn.XLOOKUP(X52,$D$9:$D$28,$H$9:$H$28),MATCH(OFFSET($C$29,B52,MATCH(X52,$D$29:$V$29,0)),$L$19:$R$19,1))*(1+(OFFSET($C$29,B52,MATCH(X52,$D$29:$V$29,0))-1)*_xlfn.XLOOKUP(X52,梦灵养成!$D$9:$D$28,梦灵养成!$G$9:$G$28))</f>
        <v>2.754</v>
      </c>
      <c r="X52" s="106" t="str">
        <f ca="1" t="shared" si="1"/>
        <v>蜘蛛女王</v>
      </c>
      <c r="Y52" s="95">
        <f ca="1" t="shared" si="21"/>
        <v>1800</v>
      </c>
      <c r="Z52" s="96">
        <f ca="1" t="shared" si="22"/>
        <v>1.36</v>
      </c>
    </row>
    <row r="53" s="106" customFormat="1" ht="16.5" spans="2:26">
      <c r="B53" s="117">
        <v>24</v>
      </c>
      <c r="C53" s="130">
        <f t="shared" si="23"/>
        <v>2400</v>
      </c>
      <c r="D53" s="131">
        <f ca="1" t="shared" si="2"/>
        <v>30</v>
      </c>
      <c r="E53" s="131">
        <f ca="1" t="shared" si="3"/>
        <v>30</v>
      </c>
      <c r="F53" s="131">
        <f ca="1" t="shared" si="4"/>
        <v>30</v>
      </c>
      <c r="G53" s="131">
        <f ca="1" t="shared" si="5"/>
        <v>15</v>
      </c>
      <c r="H53" s="131">
        <f ca="1" t="shared" si="6"/>
        <v>15</v>
      </c>
      <c r="I53" s="131">
        <f ca="1" t="shared" si="7"/>
        <v>15</v>
      </c>
      <c r="J53" s="131">
        <f ca="1" t="shared" si="8"/>
        <v>15</v>
      </c>
      <c r="K53" s="131">
        <f ca="1" t="shared" si="9"/>
        <v>15</v>
      </c>
      <c r="L53" s="131">
        <f ca="1" t="shared" si="10"/>
        <v>15</v>
      </c>
      <c r="M53" s="131">
        <f ca="1" t="shared" si="11"/>
        <v>10</v>
      </c>
      <c r="N53" s="131">
        <f ca="1" t="shared" si="12"/>
        <v>10</v>
      </c>
      <c r="O53" s="131">
        <f ca="1" t="shared" si="13"/>
        <v>11</v>
      </c>
      <c r="P53" s="131">
        <f ca="1" t="shared" si="14"/>
        <v>9</v>
      </c>
      <c r="Q53" s="131">
        <f ca="1" t="shared" si="15"/>
        <v>11</v>
      </c>
      <c r="R53" s="131">
        <f ca="1" t="shared" si="16"/>
        <v>6</v>
      </c>
      <c r="S53" s="131">
        <f ca="1" t="shared" si="17"/>
        <v>5</v>
      </c>
      <c r="T53" s="131">
        <f ca="1" t="shared" si="18"/>
        <v>0</v>
      </c>
      <c r="U53" s="131">
        <f ca="1" t="shared" si="19"/>
        <v>0</v>
      </c>
      <c r="V53" s="131">
        <f ca="1" t="shared" si="20"/>
        <v>0</v>
      </c>
      <c r="W53" s="124">
        <f ca="1">OFFSET($K$19,_xlfn.XLOOKUP(X53,$D$9:$D$28,$H$9:$H$28),MATCH(OFFSET($C$29,B53,MATCH(X53,$D$29:$V$29,0)),$L$19:$R$19,1))*(1+(OFFSET($C$29,B53,MATCH(X53,$D$29:$V$29,0))-1)*_xlfn.XLOOKUP(X53,梦灵养成!$D$9:$D$28,梦灵养成!$G$9:$G$28))</f>
        <v>2.997</v>
      </c>
      <c r="X53" s="106" t="str">
        <f ca="1" t="shared" si="1"/>
        <v>蜘蛛女王</v>
      </c>
      <c r="Y53" s="95">
        <f ca="1" t="shared" si="21"/>
        <v>3600</v>
      </c>
      <c r="Z53" s="96">
        <f ca="1" t="shared" si="22"/>
        <v>1.48</v>
      </c>
    </row>
    <row r="54" s="106" customFormat="1" ht="16.5" spans="2:26">
      <c r="B54" s="117">
        <v>25</v>
      </c>
      <c r="C54" s="130">
        <f t="shared" si="23"/>
        <v>2500</v>
      </c>
      <c r="D54" s="131">
        <f ca="1" t="shared" si="2"/>
        <v>30</v>
      </c>
      <c r="E54" s="131">
        <f ca="1" t="shared" si="3"/>
        <v>30</v>
      </c>
      <c r="F54" s="131">
        <f ca="1" t="shared" si="4"/>
        <v>30</v>
      </c>
      <c r="G54" s="131">
        <f ca="1" t="shared" si="5"/>
        <v>16</v>
      </c>
      <c r="H54" s="131">
        <f ca="1" t="shared" si="6"/>
        <v>16</v>
      </c>
      <c r="I54" s="131">
        <f ca="1" t="shared" si="7"/>
        <v>16</v>
      </c>
      <c r="J54" s="131">
        <f ca="1" t="shared" si="8"/>
        <v>15</v>
      </c>
      <c r="K54" s="131">
        <f ca="1" t="shared" si="9"/>
        <v>15</v>
      </c>
      <c r="L54" s="131">
        <f ca="1" t="shared" si="10"/>
        <v>15</v>
      </c>
      <c r="M54" s="131">
        <f ca="1" t="shared" si="11"/>
        <v>10</v>
      </c>
      <c r="N54" s="131">
        <f ca="1" t="shared" si="12"/>
        <v>10</v>
      </c>
      <c r="O54" s="131">
        <f ca="1" t="shared" si="13"/>
        <v>11</v>
      </c>
      <c r="P54" s="131">
        <f ca="1" t="shared" si="14"/>
        <v>9</v>
      </c>
      <c r="Q54" s="131">
        <f ca="1" t="shared" si="15"/>
        <v>11</v>
      </c>
      <c r="R54" s="131">
        <f ca="1" t="shared" si="16"/>
        <v>6</v>
      </c>
      <c r="S54" s="131">
        <f ca="1" t="shared" si="17"/>
        <v>5</v>
      </c>
      <c r="T54" s="131">
        <f ca="1" t="shared" si="18"/>
        <v>0</v>
      </c>
      <c r="U54" s="131">
        <f ca="1" t="shared" si="19"/>
        <v>0</v>
      </c>
      <c r="V54" s="131">
        <f ca="1" t="shared" si="20"/>
        <v>0</v>
      </c>
      <c r="W54" s="124">
        <f ca="1">OFFSET($K$19,_xlfn.XLOOKUP(X54,$D$9:$D$28,$H$9:$H$28),MATCH(OFFSET($C$29,B54,MATCH(X54,$D$29:$V$29,0)),$L$19:$R$19,1))*(1+(OFFSET($C$29,B54,MATCH(X54,$D$29:$V$29,0))-1)*_xlfn.XLOOKUP(X54,梦灵养成!$D$9:$D$28,梦灵养成!$G$9:$G$28))</f>
        <v>2.997</v>
      </c>
      <c r="X54" s="106" t="str">
        <f ca="1" t="shared" si="1"/>
        <v>蜘蛛女王</v>
      </c>
      <c r="Y54" s="95">
        <f ca="1" t="shared" si="21"/>
        <v>1800</v>
      </c>
      <c r="Z54" s="96">
        <f ca="1" t="shared" si="22"/>
        <v>1.48</v>
      </c>
    </row>
    <row r="55" s="106" customFormat="1" ht="16.5" spans="2:26">
      <c r="B55" s="117">
        <v>26</v>
      </c>
      <c r="C55" s="130">
        <f t="shared" si="23"/>
        <v>2600</v>
      </c>
      <c r="D55" s="131">
        <f ca="1" t="shared" si="2"/>
        <v>30</v>
      </c>
      <c r="E55" s="131">
        <f ca="1" t="shared" si="3"/>
        <v>30</v>
      </c>
      <c r="F55" s="131">
        <f ca="1" t="shared" si="4"/>
        <v>30</v>
      </c>
      <c r="G55" s="131">
        <f ca="1" t="shared" si="5"/>
        <v>16</v>
      </c>
      <c r="H55" s="131">
        <f ca="1" t="shared" si="6"/>
        <v>16</v>
      </c>
      <c r="I55" s="131">
        <f ca="1" t="shared" si="7"/>
        <v>16</v>
      </c>
      <c r="J55" s="131">
        <f ca="1" t="shared" si="8"/>
        <v>15</v>
      </c>
      <c r="K55" s="131">
        <f ca="1" t="shared" si="9"/>
        <v>15</v>
      </c>
      <c r="L55" s="131">
        <f ca="1" t="shared" si="10"/>
        <v>15</v>
      </c>
      <c r="M55" s="131">
        <f ca="1" t="shared" si="11"/>
        <v>10</v>
      </c>
      <c r="N55" s="131">
        <f ca="1" t="shared" si="12"/>
        <v>11</v>
      </c>
      <c r="O55" s="131">
        <f ca="1" t="shared" si="13"/>
        <v>11</v>
      </c>
      <c r="P55" s="131">
        <f ca="1" t="shared" si="14"/>
        <v>10</v>
      </c>
      <c r="Q55" s="131">
        <f ca="1" t="shared" si="15"/>
        <v>11</v>
      </c>
      <c r="R55" s="131">
        <f ca="1" t="shared" si="16"/>
        <v>6</v>
      </c>
      <c r="S55" s="131">
        <f ca="1" t="shared" si="17"/>
        <v>5</v>
      </c>
      <c r="T55" s="131">
        <f ca="1" t="shared" si="18"/>
        <v>0</v>
      </c>
      <c r="U55" s="131">
        <f ca="1" t="shared" si="19"/>
        <v>0</v>
      </c>
      <c r="V55" s="131">
        <f ca="1" t="shared" si="20"/>
        <v>0</v>
      </c>
      <c r="W55" s="124">
        <f ca="1">OFFSET($K$19,_xlfn.XLOOKUP(X55,$D$9:$D$28,$H$9:$H$28),MATCH(OFFSET($C$29,B55,MATCH(X55,$D$29:$V$29,0)),$L$19:$R$19,1))*(1+(OFFSET($C$29,B55,MATCH(X55,$D$29:$V$29,0))-1)*_xlfn.XLOOKUP(X55,梦灵养成!$D$9:$D$28,梦灵养成!$G$9:$G$28))</f>
        <v>3.7422</v>
      </c>
      <c r="X55" s="106" t="str">
        <f ca="1" t="shared" si="1"/>
        <v>蜘蛛女王</v>
      </c>
      <c r="Y55" s="95">
        <f ca="1" t="shared" si="21"/>
        <v>27000</v>
      </c>
      <c r="Z55" s="96">
        <f ca="1" t="shared" si="22"/>
        <v>1.54</v>
      </c>
    </row>
    <row r="56" s="106" customFormat="1" ht="16.5" spans="2:26">
      <c r="B56" s="117">
        <v>27</v>
      </c>
      <c r="C56" s="130">
        <f t="shared" si="23"/>
        <v>2700</v>
      </c>
      <c r="D56" s="131">
        <f ca="1" t="shared" si="2"/>
        <v>30</v>
      </c>
      <c r="E56" s="131">
        <f ca="1" t="shared" si="3"/>
        <v>30</v>
      </c>
      <c r="F56" s="131">
        <f ca="1" t="shared" si="4"/>
        <v>30</v>
      </c>
      <c r="G56" s="131">
        <f ca="1" t="shared" si="5"/>
        <v>16</v>
      </c>
      <c r="H56" s="131">
        <f ca="1" t="shared" si="6"/>
        <v>16</v>
      </c>
      <c r="I56" s="131">
        <f ca="1" t="shared" si="7"/>
        <v>16</v>
      </c>
      <c r="J56" s="131">
        <f ca="1" t="shared" si="8"/>
        <v>16</v>
      </c>
      <c r="K56" s="131">
        <f ca="1" t="shared" si="9"/>
        <v>15</v>
      </c>
      <c r="L56" s="131">
        <f ca="1" t="shared" si="10"/>
        <v>15</v>
      </c>
      <c r="M56" s="131">
        <f ca="1" t="shared" si="11"/>
        <v>10</v>
      </c>
      <c r="N56" s="131">
        <f ca="1" t="shared" si="12"/>
        <v>11</v>
      </c>
      <c r="O56" s="131">
        <f ca="1" t="shared" si="13"/>
        <v>11</v>
      </c>
      <c r="P56" s="131">
        <f ca="1" t="shared" si="14"/>
        <v>10</v>
      </c>
      <c r="Q56" s="131">
        <f ca="1" t="shared" si="15"/>
        <v>11</v>
      </c>
      <c r="R56" s="131">
        <f ca="1" t="shared" si="16"/>
        <v>7</v>
      </c>
      <c r="S56" s="131">
        <f ca="1" t="shared" si="17"/>
        <v>6</v>
      </c>
      <c r="T56" s="131">
        <f ca="1" t="shared" si="18"/>
        <v>0</v>
      </c>
      <c r="U56" s="131">
        <f ca="1" t="shared" si="19"/>
        <v>0</v>
      </c>
      <c r="V56" s="131">
        <f ca="1" t="shared" si="20"/>
        <v>0</v>
      </c>
      <c r="W56" s="124">
        <f ca="1">OFFSET($K$19,_xlfn.XLOOKUP(X56,$D$9:$D$28,$H$9:$H$28),MATCH(OFFSET($C$29,B56,MATCH(X56,$D$29:$V$29,0)),$L$19:$R$19,1))*(1+(OFFSET($C$29,B56,MATCH(X56,$D$29:$V$29,0))-1)*_xlfn.XLOOKUP(X56,梦灵养成!$D$9:$D$28,梦灵养成!$G$9:$G$28))</f>
        <v>3.7422</v>
      </c>
      <c r="X56" s="106" t="str">
        <f ca="1" t="shared" si="1"/>
        <v>蜘蛛女王</v>
      </c>
      <c r="Y56" s="95">
        <f ca="1" t="shared" si="21"/>
        <v>25200</v>
      </c>
      <c r="Z56" s="96">
        <f ca="1" t="shared" si="22"/>
        <v>1.54</v>
      </c>
    </row>
    <row r="57" s="106" customFormat="1" ht="16.5" spans="2:26">
      <c r="B57" s="117">
        <v>28</v>
      </c>
      <c r="C57" s="130">
        <f t="shared" si="23"/>
        <v>2800</v>
      </c>
      <c r="D57" s="131">
        <f ca="1" t="shared" si="2"/>
        <v>30</v>
      </c>
      <c r="E57" s="131">
        <f ca="1" t="shared" si="3"/>
        <v>30</v>
      </c>
      <c r="F57" s="131">
        <f ca="1" t="shared" si="4"/>
        <v>30</v>
      </c>
      <c r="G57" s="131">
        <f ca="1" t="shared" si="5"/>
        <v>16</v>
      </c>
      <c r="H57" s="131">
        <f ca="1" t="shared" si="6"/>
        <v>16</v>
      </c>
      <c r="I57" s="131">
        <f ca="1" t="shared" si="7"/>
        <v>16</v>
      </c>
      <c r="J57" s="131">
        <f ca="1" t="shared" si="8"/>
        <v>16</v>
      </c>
      <c r="K57" s="131">
        <f ca="1" t="shared" si="9"/>
        <v>16</v>
      </c>
      <c r="L57" s="131">
        <f ca="1" t="shared" si="10"/>
        <v>16</v>
      </c>
      <c r="M57" s="131">
        <f ca="1" t="shared" si="11"/>
        <v>11</v>
      </c>
      <c r="N57" s="131">
        <f ca="1" t="shared" si="12"/>
        <v>11</v>
      </c>
      <c r="O57" s="131">
        <f ca="1" t="shared" si="13"/>
        <v>12</v>
      </c>
      <c r="P57" s="131">
        <f ca="1" t="shared" si="14"/>
        <v>10</v>
      </c>
      <c r="Q57" s="131">
        <f ca="1" t="shared" si="15"/>
        <v>11</v>
      </c>
      <c r="R57" s="131">
        <f ca="1" t="shared" si="16"/>
        <v>7</v>
      </c>
      <c r="S57" s="131">
        <f ca="1" t="shared" si="17"/>
        <v>6</v>
      </c>
      <c r="T57" s="131">
        <f ca="1" t="shared" si="18"/>
        <v>0</v>
      </c>
      <c r="U57" s="131">
        <f ca="1" t="shared" si="19"/>
        <v>0</v>
      </c>
      <c r="V57" s="131">
        <f ca="1" t="shared" si="20"/>
        <v>0</v>
      </c>
      <c r="W57" s="124">
        <f ca="1">OFFSET($K$19,_xlfn.XLOOKUP(X57,$D$9:$D$28,$H$9:$H$28),MATCH(OFFSET($C$29,B57,MATCH(X57,$D$29:$V$29,0)),$L$19:$R$19,1))*(1+(OFFSET($C$29,B57,MATCH(X57,$D$29:$V$29,0))-1)*_xlfn.XLOOKUP(X57,梦灵养成!$D$9:$D$28,梦灵养成!$G$9:$G$28))</f>
        <v>3.7422</v>
      </c>
      <c r="X57" s="106" t="str">
        <f ca="1" t="shared" si="1"/>
        <v>蜘蛛女王</v>
      </c>
      <c r="Y57" s="95">
        <f ca="1" t="shared" si="21"/>
        <v>23400</v>
      </c>
      <c r="Z57" s="96">
        <f ca="1" t="shared" si="22"/>
        <v>1.54</v>
      </c>
    </row>
    <row r="58" s="106" customFormat="1" ht="16.5" spans="2:26">
      <c r="B58" s="117">
        <v>29</v>
      </c>
      <c r="C58" s="130">
        <f t="shared" si="23"/>
        <v>2900</v>
      </c>
      <c r="D58" s="131">
        <f ca="1" t="shared" si="2"/>
        <v>31</v>
      </c>
      <c r="E58" s="131">
        <f ca="1" t="shared" si="3"/>
        <v>31</v>
      </c>
      <c r="F58" s="131">
        <f ca="1" t="shared" si="4"/>
        <v>31</v>
      </c>
      <c r="G58" s="131">
        <f ca="1" t="shared" si="5"/>
        <v>17</v>
      </c>
      <c r="H58" s="131">
        <f ca="1" t="shared" si="6"/>
        <v>17</v>
      </c>
      <c r="I58" s="131">
        <f ca="1" t="shared" si="7"/>
        <v>17</v>
      </c>
      <c r="J58" s="131">
        <f ca="1" t="shared" si="8"/>
        <v>16</v>
      </c>
      <c r="K58" s="131">
        <f ca="1" t="shared" si="9"/>
        <v>16</v>
      </c>
      <c r="L58" s="131">
        <f ca="1" t="shared" si="10"/>
        <v>16</v>
      </c>
      <c r="M58" s="131">
        <f ca="1" t="shared" si="11"/>
        <v>11</v>
      </c>
      <c r="N58" s="131">
        <f ca="1" t="shared" si="12"/>
        <v>11</v>
      </c>
      <c r="O58" s="131">
        <f ca="1" t="shared" si="13"/>
        <v>12</v>
      </c>
      <c r="P58" s="131">
        <f ca="1" t="shared" si="14"/>
        <v>10</v>
      </c>
      <c r="Q58" s="131">
        <f ca="1" t="shared" si="15"/>
        <v>11</v>
      </c>
      <c r="R58" s="131">
        <f ca="1" t="shared" si="16"/>
        <v>7</v>
      </c>
      <c r="S58" s="131">
        <f ca="1" t="shared" si="17"/>
        <v>6</v>
      </c>
      <c r="T58" s="131">
        <f ca="1" t="shared" si="18"/>
        <v>0</v>
      </c>
      <c r="U58" s="131">
        <f ca="1" t="shared" si="19"/>
        <v>0</v>
      </c>
      <c r="V58" s="131">
        <f ca="1" t="shared" si="20"/>
        <v>0</v>
      </c>
      <c r="W58" s="124">
        <f ca="1">OFFSET($K$19,_xlfn.XLOOKUP(X58,$D$9:$D$28,$H$9:$H$28),MATCH(OFFSET($C$29,B58,MATCH(X58,$D$29:$V$29,0)),$L$19:$R$19,1))*(1+(OFFSET($C$29,B58,MATCH(X58,$D$29:$V$29,0))-1)*_xlfn.XLOOKUP(X58,梦灵养成!$D$9:$D$28,梦灵养成!$G$9:$G$28))</f>
        <v>3.7422</v>
      </c>
      <c r="X58" s="106" t="str">
        <f ca="1" t="shared" si="1"/>
        <v>蜘蛛女王</v>
      </c>
      <c r="Y58" s="95">
        <f ca="1" t="shared" si="21"/>
        <v>21600</v>
      </c>
      <c r="Z58" s="96">
        <f ca="1" t="shared" si="22"/>
        <v>1.54</v>
      </c>
    </row>
    <row r="59" s="106" customFormat="1" ht="16.5" spans="2:26">
      <c r="B59" s="117">
        <v>30</v>
      </c>
      <c r="C59" s="130">
        <f t="shared" si="23"/>
        <v>3000</v>
      </c>
      <c r="D59" s="131">
        <f ca="1" t="shared" si="2"/>
        <v>31</v>
      </c>
      <c r="E59" s="131">
        <f ca="1" t="shared" si="3"/>
        <v>31</v>
      </c>
      <c r="F59" s="131">
        <f ca="1" t="shared" si="4"/>
        <v>31</v>
      </c>
      <c r="G59" s="131">
        <f ca="1" t="shared" si="5"/>
        <v>17</v>
      </c>
      <c r="H59" s="131">
        <f ca="1" t="shared" si="6"/>
        <v>17</v>
      </c>
      <c r="I59" s="131">
        <f ca="1" t="shared" si="7"/>
        <v>17</v>
      </c>
      <c r="J59" s="131">
        <f ca="1" t="shared" si="8"/>
        <v>17</v>
      </c>
      <c r="K59" s="131">
        <f ca="1" t="shared" si="9"/>
        <v>16</v>
      </c>
      <c r="L59" s="131">
        <f ca="1" t="shared" si="10"/>
        <v>16</v>
      </c>
      <c r="M59" s="131">
        <f ca="1" t="shared" si="11"/>
        <v>11</v>
      </c>
      <c r="N59" s="131">
        <f ca="1" t="shared" si="12"/>
        <v>11</v>
      </c>
      <c r="O59" s="131">
        <f ca="1" t="shared" si="13"/>
        <v>12</v>
      </c>
      <c r="P59" s="131">
        <f ca="1" t="shared" si="14"/>
        <v>10</v>
      </c>
      <c r="Q59" s="131">
        <f ca="1" t="shared" si="15"/>
        <v>11</v>
      </c>
      <c r="R59" s="131">
        <f ca="1" t="shared" si="16"/>
        <v>7</v>
      </c>
      <c r="S59" s="131">
        <f ca="1" t="shared" si="17"/>
        <v>6</v>
      </c>
      <c r="T59" s="131">
        <f ca="1" t="shared" si="18"/>
        <v>0</v>
      </c>
      <c r="U59" s="131">
        <f ca="1" t="shared" si="19"/>
        <v>0</v>
      </c>
      <c r="V59" s="131">
        <f ca="1" t="shared" si="20"/>
        <v>0</v>
      </c>
      <c r="W59" s="124">
        <f ca="1">OFFSET($K$19,_xlfn.XLOOKUP(X59,$D$9:$D$28,$H$9:$H$28),MATCH(OFFSET($C$29,B59,MATCH(X59,$D$29:$V$29,0)),$L$19:$R$19,1))*(1+(OFFSET($C$29,B59,MATCH(X59,$D$29:$V$29,0))-1)*_xlfn.XLOOKUP(X59,梦灵养成!$D$9:$D$28,梦灵养成!$G$9:$G$28))</f>
        <v>3.7422</v>
      </c>
      <c r="X59" s="106" t="str">
        <f ca="1" t="shared" si="1"/>
        <v>蜘蛛女王</v>
      </c>
      <c r="Y59" s="95">
        <f ca="1" t="shared" si="21"/>
        <v>19800</v>
      </c>
      <c r="Z59" s="96">
        <f ca="1" t="shared" si="22"/>
        <v>1.54</v>
      </c>
    </row>
    <row r="60" s="106" customFormat="1" ht="16.5" spans="2:26">
      <c r="B60" s="117">
        <v>31</v>
      </c>
      <c r="C60" s="130">
        <f t="shared" si="23"/>
        <v>3100</v>
      </c>
      <c r="D60" s="131">
        <f ca="1" t="shared" si="2"/>
        <v>31</v>
      </c>
      <c r="E60" s="131">
        <f ca="1" t="shared" si="3"/>
        <v>31</v>
      </c>
      <c r="F60" s="131">
        <f ca="1" t="shared" si="4"/>
        <v>31</v>
      </c>
      <c r="G60" s="131">
        <f ca="1" t="shared" si="5"/>
        <v>17</v>
      </c>
      <c r="H60" s="131">
        <f ca="1" t="shared" si="6"/>
        <v>17</v>
      </c>
      <c r="I60" s="131">
        <f ca="1" t="shared" si="7"/>
        <v>17</v>
      </c>
      <c r="J60" s="131">
        <f ca="1" t="shared" si="8"/>
        <v>17</v>
      </c>
      <c r="K60" s="131">
        <f ca="1" t="shared" si="9"/>
        <v>16</v>
      </c>
      <c r="L60" s="131">
        <f ca="1" t="shared" si="10"/>
        <v>16</v>
      </c>
      <c r="M60" s="131">
        <f ca="1" t="shared" si="11"/>
        <v>11</v>
      </c>
      <c r="N60" s="131">
        <f ca="1" t="shared" si="12"/>
        <v>11</v>
      </c>
      <c r="O60" s="131">
        <f ca="1" t="shared" si="13"/>
        <v>12</v>
      </c>
      <c r="P60" s="131">
        <f ca="1" t="shared" si="14"/>
        <v>10</v>
      </c>
      <c r="Q60" s="131">
        <f ca="1" t="shared" si="15"/>
        <v>12</v>
      </c>
      <c r="R60" s="131">
        <f ca="1" t="shared" si="16"/>
        <v>7</v>
      </c>
      <c r="S60" s="131">
        <f ca="1" t="shared" si="17"/>
        <v>7</v>
      </c>
      <c r="T60" s="131">
        <f ca="1" t="shared" si="18"/>
        <v>0</v>
      </c>
      <c r="U60" s="131">
        <f ca="1" t="shared" si="19"/>
        <v>0</v>
      </c>
      <c r="V60" s="131">
        <f ca="1" t="shared" si="20"/>
        <v>0</v>
      </c>
      <c r="W60" s="124">
        <f ca="1">OFFSET($K$19,_xlfn.XLOOKUP(X60,$D$9:$D$28,$H$9:$H$28),MATCH(OFFSET($C$29,B60,MATCH(X60,$D$29:$V$29,0)),$L$19:$R$19,1))*(1+(OFFSET($C$29,B60,MATCH(X60,$D$29:$V$29,0))-1)*_xlfn.XLOOKUP(X60,梦灵养成!$D$9:$D$28,梦灵养成!$G$9:$G$28))</f>
        <v>3.7422</v>
      </c>
      <c r="X60" s="106" t="str">
        <f ca="1" t="shared" si="1"/>
        <v>蜘蛛女王</v>
      </c>
      <c r="Y60" s="95">
        <f ca="1" t="shared" si="21"/>
        <v>18000</v>
      </c>
      <c r="Z60" s="96">
        <f ca="1" t="shared" si="22"/>
        <v>1.54</v>
      </c>
    </row>
    <row r="61" s="106" customFormat="1" ht="16.5" spans="2:26">
      <c r="B61" s="117">
        <v>32</v>
      </c>
      <c r="C61" s="130">
        <f t="shared" si="23"/>
        <v>3200</v>
      </c>
      <c r="D61" s="131">
        <f ca="1" t="shared" si="2"/>
        <v>31</v>
      </c>
      <c r="E61" s="131">
        <f ca="1" t="shared" si="3"/>
        <v>31</v>
      </c>
      <c r="F61" s="131">
        <f ca="1" t="shared" si="4"/>
        <v>31</v>
      </c>
      <c r="G61" s="131">
        <f ca="1" t="shared" si="5"/>
        <v>17</v>
      </c>
      <c r="H61" s="131">
        <f ca="1" t="shared" si="6"/>
        <v>17</v>
      </c>
      <c r="I61" s="131">
        <f ca="1" t="shared" si="7"/>
        <v>17</v>
      </c>
      <c r="J61" s="131">
        <f ca="1" t="shared" si="8"/>
        <v>17</v>
      </c>
      <c r="K61" s="131">
        <f ca="1" t="shared" si="9"/>
        <v>17</v>
      </c>
      <c r="L61" s="131">
        <f ca="1" t="shared" si="10"/>
        <v>17</v>
      </c>
      <c r="M61" s="131">
        <f ca="1" t="shared" si="11"/>
        <v>11</v>
      </c>
      <c r="N61" s="131">
        <f ca="1" t="shared" si="12"/>
        <v>11</v>
      </c>
      <c r="O61" s="131">
        <f ca="1" t="shared" si="13"/>
        <v>12</v>
      </c>
      <c r="P61" s="131">
        <f ca="1" t="shared" si="14"/>
        <v>10</v>
      </c>
      <c r="Q61" s="131">
        <f ca="1" t="shared" si="15"/>
        <v>12</v>
      </c>
      <c r="R61" s="131">
        <f ca="1" t="shared" si="16"/>
        <v>8</v>
      </c>
      <c r="S61" s="131">
        <f ca="1" t="shared" si="17"/>
        <v>7</v>
      </c>
      <c r="T61" s="131">
        <f ca="1" t="shared" si="18"/>
        <v>0</v>
      </c>
      <c r="U61" s="131">
        <f ca="1" t="shared" si="19"/>
        <v>0</v>
      </c>
      <c r="V61" s="131">
        <f ca="1" t="shared" si="20"/>
        <v>5</v>
      </c>
      <c r="W61" s="124">
        <f ca="1">OFFSET($K$19,_xlfn.XLOOKUP(X61,$D$9:$D$28,$H$9:$H$28),MATCH(OFFSET($C$29,B61,MATCH(X61,$D$29:$V$29,0)),$L$19:$R$19,1))*(1+(OFFSET($C$29,B61,MATCH(X61,$D$29:$V$29,0))-1)*_xlfn.XLOOKUP(X61,梦灵养成!$D$9:$D$28,梦灵养成!$G$9:$G$28))</f>
        <v>2.835</v>
      </c>
      <c r="X61" s="106" t="str">
        <f ca="1" t="shared" si="1"/>
        <v>神算诸葛</v>
      </c>
      <c r="Y61" s="95">
        <f ca="1" t="shared" si="21"/>
        <v>0</v>
      </c>
      <c r="Z61" s="96">
        <f ca="1" t="shared" si="22"/>
        <v>1.4</v>
      </c>
    </row>
    <row r="62" s="106" customFormat="1" ht="16.5" spans="2:26">
      <c r="B62" s="117">
        <v>33</v>
      </c>
      <c r="C62" s="130">
        <f t="shared" si="23"/>
        <v>3300</v>
      </c>
      <c r="D62" s="131">
        <f ca="1" t="shared" si="2"/>
        <v>32</v>
      </c>
      <c r="E62" s="131">
        <f ca="1" t="shared" si="3"/>
        <v>32</v>
      </c>
      <c r="F62" s="131">
        <f ca="1" t="shared" si="4"/>
        <v>32</v>
      </c>
      <c r="G62" s="131">
        <f ca="1" t="shared" si="5"/>
        <v>18</v>
      </c>
      <c r="H62" s="131">
        <f ca="1" t="shared" si="6"/>
        <v>18</v>
      </c>
      <c r="I62" s="131">
        <f ca="1" t="shared" si="7"/>
        <v>18</v>
      </c>
      <c r="J62" s="131">
        <f ca="1" t="shared" si="8"/>
        <v>17</v>
      </c>
      <c r="K62" s="131">
        <f ca="1" t="shared" si="9"/>
        <v>17</v>
      </c>
      <c r="L62" s="131">
        <f ca="1" t="shared" si="10"/>
        <v>17</v>
      </c>
      <c r="M62" s="131">
        <f ca="1" t="shared" si="11"/>
        <v>11</v>
      </c>
      <c r="N62" s="131">
        <f ca="1" t="shared" si="12"/>
        <v>11</v>
      </c>
      <c r="O62" s="131">
        <f ca="1" t="shared" si="13"/>
        <v>12</v>
      </c>
      <c r="P62" s="131">
        <f ca="1" t="shared" si="14"/>
        <v>10</v>
      </c>
      <c r="Q62" s="131">
        <f ca="1" t="shared" si="15"/>
        <v>12</v>
      </c>
      <c r="R62" s="131">
        <f ca="1" t="shared" si="16"/>
        <v>8</v>
      </c>
      <c r="S62" s="131">
        <f ca="1" t="shared" si="17"/>
        <v>7</v>
      </c>
      <c r="T62" s="131">
        <f ca="1" t="shared" si="18"/>
        <v>0</v>
      </c>
      <c r="U62" s="131">
        <f ca="1" t="shared" si="19"/>
        <v>0</v>
      </c>
      <c r="V62" s="131">
        <f ca="1" t="shared" si="20"/>
        <v>5</v>
      </c>
      <c r="W62" s="124">
        <f ca="1">OFFSET($K$19,_xlfn.XLOOKUP(X62,$D$9:$D$28,$H$9:$H$28),MATCH(OFFSET($C$29,B62,MATCH(X62,$D$29:$V$29,0)),$L$19:$R$19,1))*(1+(OFFSET($C$29,B62,MATCH(X62,$D$29:$V$29,0))-1)*_xlfn.XLOOKUP(X62,梦灵养成!$D$9:$D$28,梦灵养成!$G$9:$G$28))</f>
        <v>2.835</v>
      </c>
      <c r="X62" s="106" t="str">
        <f ca="1" t="shared" si="1"/>
        <v>神算诸葛</v>
      </c>
      <c r="Y62" s="95">
        <f ca="1" t="shared" si="21"/>
        <v>0</v>
      </c>
      <c r="Z62" s="96">
        <f ca="1" t="shared" si="22"/>
        <v>1.4</v>
      </c>
    </row>
    <row r="63" s="106" customFormat="1" ht="16.5" spans="2:26">
      <c r="B63" s="117">
        <v>34</v>
      </c>
      <c r="C63" s="130">
        <f t="shared" si="23"/>
        <v>3400</v>
      </c>
      <c r="D63" s="131">
        <f ca="1" t="shared" si="2"/>
        <v>32</v>
      </c>
      <c r="E63" s="131">
        <f ca="1" t="shared" si="3"/>
        <v>32</v>
      </c>
      <c r="F63" s="131">
        <f ca="1" t="shared" si="4"/>
        <v>32</v>
      </c>
      <c r="G63" s="131">
        <f ca="1" t="shared" si="5"/>
        <v>18</v>
      </c>
      <c r="H63" s="131">
        <f ca="1" t="shared" si="6"/>
        <v>18</v>
      </c>
      <c r="I63" s="131">
        <f ca="1" t="shared" si="7"/>
        <v>18</v>
      </c>
      <c r="J63" s="131">
        <f ca="1" t="shared" si="8"/>
        <v>18</v>
      </c>
      <c r="K63" s="131">
        <f ca="1" t="shared" si="9"/>
        <v>17</v>
      </c>
      <c r="L63" s="131">
        <f ca="1" t="shared" si="10"/>
        <v>17</v>
      </c>
      <c r="M63" s="131">
        <f ca="1" t="shared" si="11"/>
        <v>11</v>
      </c>
      <c r="N63" s="131">
        <f ca="1" t="shared" si="12"/>
        <v>12</v>
      </c>
      <c r="O63" s="131">
        <f ca="1" t="shared" si="13"/>
        <v>12</v>
      </c>
      <c r="P63" s="131">
        <f ca="1" t="shared" si="14"/>
        <v>11</v>
      </c>
      <c r="Q63" s="131">
        <f ca="1" t="shared" si="15"/>
        <v>12</v>
      </c>
      <c r="R63" s="131">
        <f ca="1" t="shared" si="16"/>
        <v>8</v>
      </c>
      <c r="S63" s="131">
        <f ca="1" t="shared" si="17"/>
        <v>7</v>
      </c>
      <c r="T63" s="131">
        <f ca="1" t="shared" si="18"/>
        <v>0</v>
      </c>
      <c r="U63" s="131">
        <f ca="1" t="shared" si="19"/>
        <v>0</v>
      </c>
      <c r="V63" s="131">
        <f ca="1" t="shared" si="20"/>
        <v>6</v>
      </c>
      <c r="W63" s="124">
        <f ca="1">OFFSET($K$19,_xlfn.XLOOKUP(X63,$D$9:$D$28,$H$9:$H$28),MATCH(OFFSET($C$29,B63,MATCH(X63,$D$29:$V$29,0)),$L$19:$R$19,1))*(1+(OFFSET($C$29,B63,MATCH(X63,$D$29:$V$29,0))-1)*_xlfn.XLOOKUP(X63,梦灵养成!$D$9:$D$28,梦灵养成!$G$9:$G$28))</f>
        <v>3.0375</v>
      </c>
      <c r="X63" s="106" t="str">
        <f ca="1" t="shared" si="1"/>
        <v>神算诸葛</v>
      </c>
      <c r="Y63" s="95">
        <f ca="1" t="shared" si="21"/>
        <v>7200</v>
      </c>
      <c r="Z63" s="96">
        <f ca="1" t="shared" si="22"/>
        <v>1.5</v>
      </c>
    </row>
    <row r="64" s="106" customFormat="1" ht="16.5" spans="2:26">
      <c r="B64" s="117">
        <v>35</v>
      </c>
      <c r="C64" s="130">
        <f t="shared" si="23"/>
        <v>3500</v>
      </c>
      <c r="D64" s="131">
        <f ca="1" t="shared" si="2"/>
        <v>32</v>
      </c>
      <c r="E64" s="131">
        <f ca="1" t="shared" si="3"/>
        <v>32</v>
      </c>
      <c r="F64" s="131">
        <f ca="1" t="shared" si="4"/>
        <v>32</v>
      </c>
      <c r="G64" s="131">
        <f ca="1" t="shared" si="5"/>
        <v>18</v>
      </c>
      <c r="H64" s="131">
        <f ca="1" t="shared" si="6"/>
        <v>18</v>
      </c>
      <c r="I64" s="131">
        <f ca="1" t="shared" si="7"/>
        <v>18</v>
      </c>
      <c r="J64" s="131">
        <f ca="1" t="shared" si="8"/>
        <v>18</v>
      </c>
      <c r="K64" s="131">
        <f ca="1" t="shared" si="9"/>
        <v>18</v>
      </c>
      <c r="L64" s="131">
        <f ca="1" t="shared" si="10"/>
        <v>18</v>
      </c>
      <c r="M64" s="131">
        <f ca="1" t="shared" si="11"/>
        <v>11</v>
      </c>
      <c r="N64" s="131">
        <f ca="1" t="shared" si="12"/>
        <v>12</v>
      </c>
      <c r="O64" s="131">
        <f ca="1" t="shared" si="13"/>
        <v>13</v>
      </c>
      <c r="P64" s="131">
        <f ca="1" t="shared" si="14"/>
        <v>11</v>
      </c>
      <c r="Q64" s="131">
        <f ca="1" t="shared" si="15"/>
        <v>12</v>
      </c>
      <c r="R64" s="131">
        <f ca="1" t="shared" si="16"/>
        <v>9</v>
      </c>
      <c r="S64" s="131">
        <f ca="1" t="shared" si="17"/>
        <v>8</v>
      </c>
      <c r="T64" s="131">
        <f ca="1" t="shared" si="18"/>
        <v>0</v>
      </c>
      <c r="U64" s="131">
        <f ca="1" t="shared" si="19"/>
        <v>0</v>
      </c>
      <c r="V64" s="131">
        <f ca="1" t="shared" si="20"/>
        <v>6</v>
      </c>
      <c r="W64" s="124">
        <f ca="1">OFFSET($K$19,_xlfn.XLOOKUP(X64,$D$9:$D$28,$H$9:$H$28),MATCH(OFFSET($C$29,B64,MATCH(X64,$D$29:$V$29,0)),$L$19:$R$19,1))*(1+(OFFSET($C$29,B64,MATCH(X64,$D$29:$V$29,0))-1)*_xlfn.XLOOKUP(X64,梦灵养成!$D$9:$D$28,梦灵养成!$G$9:$G$28))</f>
        <v>3.0375</v>
      </c>
      <c r="X64" s="106" t="str">
        <f ca="1" t="shared" si="1"/>
        <v>神算诸葛</v>
      </c>
      <c r="Y64" s="95">
        <f ca="1" t="shared" si="21"/>
        <v>5400</v>
      </c>
      <c r="Z64" s="96">
        <f ca="1" t="shared" si="22"/>
        <v>1.5</v>
      </c>
    </row>
    <row r="65" s="106" customFormat="1" ht="16.5" spans="2:26">
      <c r="B65" s="117">
        <v>36</v>
      </c>
      <c r="C65" s="130">
        <f t="shared" si="23"/>
        <v>3600</v>
      </c>
      <c r="D65" s="131">
        <f ca="1" t="shared" si="2"/>
        <v>32</v>
      </c>
      <c r="E65" s="131">
        <f ca="1" t="shared" si="3"/>
        <v>32</v>
      </c>
      <c r="F65" s="131">
        <f ca="1" t="shared" si="4"/>
        <v>32</v>
      </c>
      <c r="G65" s="131">
        <f ca="1" t="shared" si="5"/>
        <v>19</v>
      </c>
      <c r="H65" s="131">
        <f ca="1" t="shared" si="6"/>
        <v>19</v>
      </c>
      <c r="I65" s="131">
        <f ca="1" t="shared" si="7"/>
        <v>19</v>
      </c>
      <c r="J65" s="131">
        <f ca="1" t="shared" si="8"/>
        <v>18</v>
      </c>
      <c r="K65" s="131">
        <f ca="1" t="shared" si="9"/>
        <v>18</v>
      </c>
      <c r="L65" s="131">
        <f ca="1" t="shared" si="10"/>
        <v>18</v>
      </c>
      <c r="M65" s="131">
        <f ca="1" t="shared" si="11"/>
        <v>12</v>
      </c>
      <c r="N65" s="131">
        <f ca="1" t="shared" si="12"/>
        <v>12</v>
      </c>
      <c r="O65" s="131">
        <f ca="1" t="shared" si="13"/>
        <v>13</v>
      </c>
      <c r="P65" s="131">
        <f ca="1" t="shared" si="14"/>
        <v>11</v>
      </c>
      <c r="Q65" s="131">
        <f ca="1" t="shared" si="15"/>
        <v>12</v>
      </c>
      <c r="R65" s="131">
        <f ca="1" t="shared" si="16"/>
        <v>9</v>
      </c>
      <c r="S65" s="131">
        <f ca="1" t="shared" si="17"/>
        <v>8</v>
      </c>
      <c r="T65" s="131">
        <f ca="1" t="shared" si="18"/>
        <v>0</v>
      </c>
      <c r="U65" s="131">
        <f ca="1" t="shared" si="19"/>
        <v>0</v>
      </c>
      <c r="V65" s="131">
        <f ca="1" t="shared" si="20"/>
        <v>7</v>
      </c>
      <c r="W65" s="124">
        <f ca="1">OFFSET($K$19,_xlfn.XLOOKUP(X65,$D$9:$D$28,$H$9:$H$28),MATCH(OFFSET($C$29,B65,MATCH(X65,$D$29:$V$29,0)),$L$19:$R$19,1))*(1+(OFFSET($C$29,B65,MATCH(X65,$D$29:$V$29,0))-1)*_xlfn.XLOOKUP(X65,梦灵养成!$D$9:$D$28,梦灵养成!$G$9:$G$28))</f>
        <v>3.24</v>
      </c>
      <c r="X65" s="106" t="str">
        <f ca="1" t="shared" si="1"/>
        <v>神算诸葛</v>
      </c>
      <c r="Y65" s="95">
        <f ca="1" t="shared" si="21"/>
        <v>9000</v>
      </c>
      <c r="Z65" s="96">
        <f ca="1" t="shared" si="22"/>
        <v>1.6</v>
      </c>
    </row>
    <row r="66" s="106" customFormat="1" ht="16.5" spans="2:26">
      <c r="B66" s="117">
        <v>37</v>
      </c>
      <c r="C66" s="130">
        <f t="shared" si="23"/>
        <v>3700</v>
      </c>
      <c r="D66" s="131">
        <f ca="1" t="shared" si="2"/>
        <v>32</v>
      </c>
      <c r="E66" s="131">
        <f ca="1" t="shared" si="3"/>
        <v>32</v>
      </c>
      <c r="F66" s="131">
        <f ca="1" t="shared" si="4"/>
        <v>32</v>
      </c>
      <c r="G66" s="131">
        <f ca="1" t="shared" si="5"/>
        <v>19</v>
      </c>
      <c r="H66" s="131">
        <f ca="1" t="shared" si="6"/>
        <v>19</v>
      </c>
      <c r="I66" s="131">
        <f ca="1" t="shared" si="7"/>
        <v>19</v>
      </c>
      <c r="J66" s="131">
        <f ca="1" t="shared" si="8"/>
        <v>19</v>
      </c>
      <c r="K66" s="131">
        <f ca="1" t="shared" si="9"/>
        <v>18</v>
      </c>
      <c r="L66" s="131">
        <f ca="1" t="shared" si="10"/>
        <v>18</v>
      </c>
      <c r="M66" s="131">
        <f ca="1" t="shared" si="11"/>
        <v>12</v>
      </c>
      <c r="N66" s="131">
        <f ca="1" t="shared" si="12"/>
        <v>12</v>
      </c>
      <c r="O66" s="131">
        <f ca="1" t="shared" si="13"/>
        <v>13</v>
      </c>
      <c r="P66" s="131">
        <f ca="1" t="shared" si="14"/>
        <v>11</v>
      </c>
      <c r="Q66" s="131">
        <f ca="1" t="shared" si="15"/>
        <v>13</v>
      </c>
      <c r="R66" s="131">
        <f ca="1" t="shared" si="16"/>
        <v>10</v>
      </c>
      <c r="S66" s="131">
        <f ca="1" t="shared" si="17"/>
        <v>10</v>
      </c>
      <c r="T66" s="131">
        <f ca="1" t="shared" si="18"/>
        <v>0</v>
      </c>
      <c r="U66" s="131">
        <f ca="1" t="shared" si="19"/>
        <v>0</v>
      </c>
      <c r="V66" s="131">
        <f ca="1" t="shared" si="20"/>
        <v>7</v>
      </c>
      <c r="W66" s="124">
        <f ca="1">OFFSET($K$19,_xlfn.XLOOKUP(X66,$D$9:$D$28,$H$9:$H$28),MATCH(OFFSET($C$29,B66,MATCH(X66,$D$29:$V$29,0)),$L$19:$R$19,1))*(1+(OFFSET($C$29,B66,MATCH(X66,$D$29:$V$29,0))-1)*_xlfn.XLOOKUP(X66,梦灵养成!$D$9:$D$28,梦灵养成!$G$9:$G$28))</f>
        <v>3.24</v>
      </c>
      <c r="X66" s="106" t="str">
        <f ca="1" t="shared" si="1"/>
        <v>神算诸葛</v>
      </c>
      <c r="Y66" s="95">
        <f ca="1" t="shared" si="21"/>
        <v>7200</v>
      </c>
      <c r="Z66" s="96">
        <f ca="1" t="shared" si="22"/>
        <v>1.6</v>
      </c>
    </row>
    <row r="67" s="106" customFormat="1" ht="16.5" spans="2:26">
      <c r="B67" s="117">
        <v>38</v>
      </c>
      <c r="C67" s="130">
        <f t="shared" si="23"/>
        <v>3800</v>
      </c>
      <c r="D67" s="131">
        <f ca="1" t="shared" si="2"/>
        <v>32</v>
      </c>
      <c r="E67" s="131">
        <f ca="1" t="shared" si="3"/>
        <v>32</v>
      </c>
      <c r="F67" s="131">
        <f ca="1" t="shared" si="4"/>
        <v>32</v>
      </c>
      <c r="G67" s="131">
        <f ca="1" t="shared" si="5"/>
        <v>19</v>
      </c>
      <c r="H67" s="131">
        <f ca="1" t="shared" si="6"/>
        <v>19</v>
      </c>
      <c r="I67" s="131">
        <f ca="1" t="shared" si="7"/>
        <v>19</v>
      </c>
      <c r="J67" s="131">
        <f ca="1" t="shared" si="8"/>
        <v>19</v>
      </c>
      <c r="K67" s="131">
        <f ca="1" t="shared" si="9"/>
        <v>19</v>
      </c>
      <c r="L67" s="131">
        <f ca="1" t="shared" si="10"/>
        <v>19</v>
      </c>
      <c r="M67" s="131">
        <f ca="1" t="shared" si="11"/>
        <v>12</v>
      </c>
      <c r="N67" s="131">
        <f ca="1" t="shared" si="12"/>
        <v>12</v>
      </c>
      <c r="O67" s="131">
        <f ca="1" t="shared" si="13"/>
        <v>13</v>
      </c>
      <c r="P67" s="131">
        <f ca="1" t="shared" si="14"/>
        <v>11</v>
      </c>
      <c r="Q67" s="131">
        <f ca="1" t="shared" si="15"/>
        <v>13</v>
      </c>
      <c r="R67" s="131">
        <f ca="1" t="shared" si="16"/>
        <v>10</v>
      </c>
      <c r="S67" s="131">
        <f ca="1" t="shared" si="17"/>
        <v>10</v>
      </c>
      <c r="T67" s="131">
        <f ca="1" t="shared" si="18"/>
        <v>0</v>
      </c>
      <c r="U67" s="131">
        <f ca="1" t="shared" si="19"/>
        <v>0</v>
      </c>
      <c r="V67" s="131">
        <f ca="1" t="shared" si="20"/>
        <v>8</v>
      </c>
      <c r="W67" s="124">
        <f ca="1">OFFSET($K$19,_xlfn.XLOOKUP(X67,$D$9:$D$28,$H$9:$H$28),MATCH(OFFSET($C$29,B67,MATCH(X67,$D$29:$V$29,0)),$L$19:$R$19,1))*(1+(OFFSET($C$29,B67,MATCH(X67,$D$29:$V$29,0))-1)*_xlfn.XLOOKUP(X67,梦灵养成!$D$9:$D$28,梦灵养成!$G$9:$G$28))</f>
        <v>3.4425</v>
      </c>
      <c r="X67" s="106" t="str">
        <f ca="1" t="shared" si="1"/>
        <v>神算诸葛</v>
      </c>
      <c r="Y67" s="95">
        <f ca="1" t="shared" si="21"/>
        <v>5400</v>
      </c>
      <c r="Z67" s="96">
        <f ca="1" t="shared" si="22"/>
        <v>1.7</v>
      </c>
    </row>
    <row r="68" s="106" customFormat="1" ht="16.5" spans="2:26">
      <c r="B68" s="117">
        <v>39</v>
      </c>
      <c r="C68" s="130">
        <f t="shared" si="23"/>
        <v>3900</v>
      </c>
      <c r="D68" s="131">
        <f ca="1" t="shared" si="2"/>
        <v>33</v>
      </c>
      <c r="E68" s="131">
        <f ca="1" t="shared" si="3"/>
        <v>33</v>
      </c>
      <c r="F68" s="131">
        <f ca="1" t="shared" si="4"/>
        <v>33</v>
      </c>
      <c r="G68" s="131">
        <f ca="1" t="shared" si="5"/>
        <v>19</v>
      </c>
      <c r="H68" s="131">
        <f ca="1" t="shared" si="6"/>
        <v>19</v>
      </c>
      <c r="I68" s="131">
        <f ca="1" t="shared" si="7"/>
        <v>19</v>
      </c>
      <c r="J68" s="131">
        <f ca="1" t="shared" si="8"/>
        <v>19</v>
      </c>
      <c r="K68" s="131">
        <f ca="1" t="shared" si="9"/>
        <v>19</v>
      </c>
      <c r="L68" s="131">
        <f ca="1" t="shared" si="10"/>
        <v>19</v>
      </c>
      <c r="M68" s="131">
        <f ca="1" t="shared" si="11"/>
        <v>12</v>
      </c>
      <c r="N68" s="131">
        <f ca="1" t="shared" si="12"/>
        <v>12</v>
      </c>
      <c r="O68" s="131">
        <f ca="1" t="shared" si="13"/>
        <v>13</v>
      </c>
      <c r="P68" s="131">
        <f ca="1" t="shared" si="14"/>
        <v>11</v>
      </c>
      <c r="Q68" s="131">
        <f ca="1" t="shared" si="15"/>
        <v>14</v>
      </c>
      <c r="R68" s="131">
        <f ca="1" t="shared" si="16"/>
        <v>10</v>
      </c>
      <c r="S68" s="131">
        <f ca="1" t="shared" si="17"/>
        <v>10</v>
      </c>
      <c r="T68" s="131">
        <f ca="1" t="shared" si="18"/>
        <v>0</v>
      </c>
      <c r="U68" s="131">
        <f ca="1" t="shared" si="19"/>
        <v>5</v>
      </c>
      <c r="V68" s="131">
        <f ca="1" t="shared" si="20"/>
        <v>8</v>
      </c>
      <c r="W68" s="124">
        <f ca="1">OFFSET($K$19,_xlfn.XLOOKUP(X68,$D$9:$D$28,$H$9:$H$28),MATCH(OFFSET($C$29,B68,MATCH(X68,$D$29:$V$29,0)),$L$19:$R$19,1))*(1+(OFFSET($C$29,B68,MATCH(X68,$D$29:$V$29,0))-1)*_xlfn.XLOOKUP(X68,梦灵养成!$D$9:$D$28,梦灵养成!$G$9:$G$28))</f>
        <v>3.4425</v>
      </c>
      <c r="X68" s="106" t="str">
        <f ca="1" t="shared" si="1"/>
        <v>神算诸葛</v>
      </c>
      <c r="Y68" s="95">
        <f ca="1" t="shared" si="21"/>
        <v>3600</v>
      </c>
      <c r="Z68" s="96">
        <f ca="1" t="shared" si="22"/>
        <v>1.7</v>
      </c>
    </row>
    <row r="69" s="106" customFormat="1" ht="16.5" spans="2:26">
      <c r="B69" s="117">
        <v>40</v>
      </c>
      <c r="C69" s="130">
        <f t="shared" si="23"/>
        <v>4000</v>
      </c>
      <c r="D69" s="131">
        <f ca="1" t="shared" si="2"/>
        <v>33</v>
      </c>
      <c r="E69" s="131">
        <f ca="1" t="shared" si="3"/>
        <v>33</v>
      </c>
      <c r="F69" s="131">
        <f ca="1" t="shared" si="4"/>
        <v>33</v>
      </c>
      <c r="G69" s="131">
        <f ca="1" t="shared" si="5"/>
        <v>20</v>
      </c>
      <c r="H69" s="131">
        <f ca="1" t="shared" si="6"/>
        <v>20</v>
      </c>
      <c r="I69" s="131">
        <f ca="1" t="shared" si="7"/>
        <v>20</v>
      </c>
      <c r="J69" s="131">
        <f ca="1" t="shared" si="8"/>
        <v>19</v>
      </c>
      <c r="K69" s="131">
        <f ca="1" t="shared" si="9"/>
        <v>19</v>
      </c>
      <c r="L69" s="131">
        <f ca="1" t="shared" si="10"/>
        <v>19</v>
      </c>
      <c r="M69" s="131">
        <f ca="1" t="shared" si="11"/>
        <v>12</v>
      </c>
      <c r="N69" s="131">
        <f ca="1" t="shared" si="12"/>
        <v>12</v>
      </c>
      <c r="O69" s="131">
        <f ca="1" t="shared" si="13"/>
        <v>13</v>
      </c>
      <c r="P69" s="131">
        <f ca="1" t="shared" si="14"/>
        <v>11</v>
      </c>
      <c r="Q69" s="131">
        <f ca="1" t="shared" si="15"/>
        <v>14</v>
      </c>
      <c r="R69" s="131">
        <f ca="1" t="shared" si="16"/>
        <v>11</v>
      </c>
      <c r="S69" s="131">
        <f ca="1" t="shared" si="17"/>
        <v>10</v>
      </c>
      <c r="T69" s="131">
        <f ca="1" t="shared" si="18"/>
        <v>0</v>
      </c>
      <c r="U69" s="131">
        <f ca="1" t="shared" si="19"/>
        <v>5</v>
      </c>
      <c r="V69" s="131">
        <f ca="1" t="shared" si="20"/>
        <v>8</v>
      </c>
      <c r="W69" s="124">
        <f ca="1">OFFSET($K$19,_xlfn.XLOOKUP(X69,$D$9:$D$28,$H$9:$H$28),MATCH(OFFSET($C$29,B69,MATCH(X69,$D$29:$V$29,0)),$L$19:$R$19,1))*(1+(OFFSET($C$29,B69,MATCH(X69,$D$29:$V$29,0))-1)*_xlfn.XLOOKUP(X69,梦灵养成!$D$9:$D$28,梦灵养成!$G$9:$G$28))</f>
        <v>3.4425</v>
      </c>
      <c r="X69" s="106" t="str">
        <f ca="1" t="shared" si="1"/>
        <v>神算诸葛</v>
      </c>
      <c r="Y69" s="95">
        <f ca="1" t="shared" si="21"/>
        <v>1800</v>
      </c>
      <c r="Z69" s="96">
        <f ca="1" t="shared" si="22"/>
        <v>1.7</v>
      </c>
    </row>
    <row r="70" s="106" customFormat="1" ht="16.5" spans="2:26">
      <c r="B70" s="117">
        <v>41</v>
      </c>
      <c r="C70" s="130">
        <f t="shared" si="23"/>
        <v>4100</v>
      </c>
      <c r="D70" s="131">
        <f ca="1" t="shared" si="2"/>
        <v>33</v>
      </c>
      <c r="E70" s="131">
        <f ca="1" t="shared" si="3"/>
        <v>33</v>
      </c>
      <c r="F70" s="131">
        <f ca="1" t="shared" si="4"/>
        <v>33</v>
      </c>
      <c r="G70" s="131">
        <f ca="1" t="shared" si="5"/>
        <v>20</v>
      </c>
      <c r="H70" s="131">
        <f ca="1" t="shared" si="6"/>
        <v>20</v>
      </c>
      <c r="I70" s="131">
        <f ca="1" t="shared" si="7"/>
        <v>20</v>
      </c>
      <c r="J70" s="131">
        <f ca="1" t="shared" si="8"/>
        <v>20</v>
      </c>
      <c r="K70" s="131">
        <f ca="1" t="shared" si="9"/>
        <v>19</v>
      </c>
      <c r="L70" s="131">
        <f ca="1" t="shared" si="10"/>
        <v>19</v>
      </c>
      <c r="M70" s="131">
        <f ca="1" t="shared" si="11"/>
        <v>12</v>
      </c>
      <c r="N70" s="131">
        <f ca="1" t="shared" si="12"/>
        <v>13</v>
      </c>
      <c r="O70" s="131">
        <f ca="1" t="shared" si="13"/>
        <v>13</v>
      </c>
      <c r="P70" s="131">
        <f ca="1" t="shared" si="14"/>
        <v>12</v>
      </c>
      <c r="Q70" s="131">
        <f ca="1" t="shared" si="15"/>
        <v>14</v>
      </c>
      <c r="R70" s="131">
        <f ca="1" t="shared" si="16"/>
        <v>12</v>
      </c>
      <c r="S70" s="131">
        <f ca="1" t="shared" si="17"/>
        <v>11</v>
      </c>
      <c r="T70" s="131">
        <f ca="1" t="shared" si="18"/>
        <v>0</v>
      </c>
      <c r="U70" s="131">
        <f ca="1" t="shared" si="19"/>
        <v>5</v>
      </c>
      <c r="V70" s="131">
        <f ca="1" t="shared" si="20"/>
        <v>10</v>
      </c>
      <c r="W70" s="124">
        <f ca="1">OFFSET($K$19,_xlfn.XLOOKUP(X70,$D$9:$D$28,$H$9:$H$28),MATCH(OFFSET($C$29,B70,MATCH(X70,$D$29:$V$29,0)),$L$19:$R$19,1))*(1+(OFFSET($C$29,B70,MATCH(X70,$D$29:$V$29,0))-1)*_xlfn.XLOOKUP(X70,梦灵养成!$D$9:$D$28,梦灵养成!$G$9:$G$28))</f>
        <v>6.9255</v>
      </c>
      <c r="X70" s="106" t="str">
        <f ca="1" t="shared" si="1"/>
        <v>神算诸葛</v>
      </c>
      <c r="Y70" s="95">
        <f ca="1" t="shared" si="21"/>
        <v>7200</v>
      </c>
      <c r="Z70" s="96">
        <f ca="1" t="shared" si="22"/>
        <v>1.9</v>
      </c>
    </row>
    <row r="71" s="106" customFormat="1" ht="16.5" spans="2:26">
      <c r="B71" s="117">
        <v>42</v>
      </c>
      <c r="C71" s="130">
        <f t="shared" si="23"/>
        <v>4200</v>
      </c>
      <c r="D71" s="131">
        <f ca="1" t="shared" si="2"/>
        <v>33</v>
      </c>
      <c r="E71" s="131">
        <f ca="1" t="shared" si="3"/>
        <v>33</v>
      </c>
      <c r="F71" s="131">
        <f ca="1" t="shared" si="4"/>
        <v>33</v>
      </c>
      <c r="G71" s="131">
        <f ca="1" t="shared" si="5"/>
        <v>20</v>
      </c>
      <c r="H71" s="131">
        <f ca="1" t="shared" si="6"/>
        <v>20</v>
      </c>
      <c r="I71" s="131">
        <f ca="1" t="shared" si="7"/>
        <v>20</v>
      </c>
      <c r="J71" s="131">
        <f ca="1" t="shared" si="8"/>
        <v>20</v>
      </c>
      <c r="K71" s="131">
        <f ca="1" t="shared" si="9"/>
        <v>20</v>
      </c>
      <c r="L71" s="131">
        <f ca="1" t="shared" si="10"/>
        <v>20</v>
      </c>
      <c r="M71" s="131">
        <f ca="1" t="shared" si="11"/>
        <v>12</v>
      </c>
      <c r="N71" s="131">
        <f ca="1" t="shared" si="12"/>
        <v>13</v>
      </c>
      <c r="O71" s="131">
        <f ca="1" t="shared" si="13"/>
        <v>14</v>
      </c>
      <c r="P71" s="131">
        <f ca="1" t="shared" si="14"/>
        <v>12</v>
      </c>
      <c r="Q71" s="131">
        <f ca="1" t="shared" si="15"/>
        <v>14</v>
      </c>
      <c r="R71" s="131">
        <f ca="1" t="shared" si="16"/>
        <v>12</v>
      </c>
      <c r="S71" s="131">
        <f ca="1" t="shared" si="17"/>
        <v>11</v>
      </c>
      <c r="T71" s="131">
        <f ca="1" t="shared" si="18"/>
        <v>0</v>
      </c>
      <c r="U71" s="131">
        <f ca="1" t="shared" si="19"/>
        <v>6</v>
      </c>
      <c r="V71" s="131">
        <f ca="1" t="shared" si="20"/>
        <v>10</v>
      </c>
      <c r="W71" s="124">
        <f ca="1">OFFSET($K$19,_xlfn.XLOOKUP(X71,$D$9:$D$28,$H$9:$H$28),MATCH(OFFSET($C$29,B71,MATCH(X71,$D$29:$V$29,0)),$L$19:$R$19,1))*(1+(OFFSET($C$29,B71,MATCH(X71,$D$29:$V$29,0))-1)*_xlfn.XLOOKUP(X71,梦灵养成!$D$9:$D$28,梦灵养成!$G$9:$G$28))</f>
        <v>6.9255</v>
      </c>
      <c r="X71" s="106" t="str">
        <f ca="1" t="shared" si="1"/>
        <v>神算诸葛</v>
      </c>
      <c r="Y71" s="95">
        <f ca="1" t="shared" si="21"/>
        <v>5400</v>
      </c>
      <c r="Z71" s="96">
        <f ca="1" t="shared" si="22"/>
        <v>1.9</v>
      </c>
    </row>
    <row r="72" s="106" customFormat="1" ht="16.5" spans="2:26">
      <c r="B72" s="117">
        <v>43</v>
      </c>
      <c r="C72" s="130">
        <f t="shared" si="23"/>
        <v>4300</v>
      </c>
      <c r="D72" s="131">
        <f ca="1" t="shared" si="2"/>
        <v>33</v>
      </c>
      <c r="E72" s="131">
        <f ca="1" t="shared" si="3"/>
        <v>33</v>
      </c>
      <c r="F72" s="131">
        <f ca="1" t="shared" si="4"/>
        <v>33</v>
      </c>
      <c r="G72" s="131">
        <f ca="1" t="shared" si="5"/>
        <v>20</v>
      </c>
      <c r="H72" s="131">
        <f ca="1" t="shared" si="6"/>
        <v>20</v>
      </c>
      <c r="I72" s="131">
        <f ca="1" t="shared" si="7"/>
        <v>20</v>
      </c>
      <c r="J72" s="131">
        <f ca="1" t="shared" si="8"/>
        <v>20</v>
      </c>
      <c r="K72" s="131">
        <f ca="1" t="shared" si="9"/>
        <v>20</v>
      </c>
      <c r="L72" s="131">
        <f ca="1" t="shared" si="10"/>
        <v>20</v>
      </c>
      <c r="M72" s="131">
        <f ca="1" t="shared" si="11"/>
        <v>13</v>
      </c>
      <c r="N72" s="131">
        <f ca="1" t="shared" si="12"/>
        <v>13</v>
      </c>
      <c r="O72" s="131">
        <f ca="1" t="shared" si="13"/>
        <v>14</v>
      </c>
      <c r="P72" s="131">
        <f ca="1" t="shared" si="14"/>
        <v>12</v>
      </c>
      <c r="Q72" s="131">
        <f ca="1" t="shared" si="15"/>
        <v>14</v>
      </c>
      <c r="R72" s="131">
        <f ca="1" t="shared" si="16"/>
        <v>12</v>
      </c>
      <c r="S72" s="131">
        <f ca="1" t="shared" si="17"/>
        <v>11</v>
      </c>
      <c r="T72" s="131">
        <f ca="1" t="shared" si="18"/>
        <v>0</v>
      </c>
      <c r="U72" s="131">
        <f ca="1" t="shared" si="19"/>
        <v>6</v>
      </c>
      <c r="V72" s="131">
        <f ca="1" t="shared" si="20"/>
        <v>10</v>
      </c>
      <c r="W72" s="124">
        <f ca="1">OFFSET($K$19,_xlfn.XLOOKUP(X72,$D$9:$D$28,$H$9:$H$28),MATCH(OFFSET($C$29,B72,MATCH(X72,$D$29:$V$29,0)),$L$19:$R$19,1))*(1+(OFFSET($C$29,B72,MATCH(X72,$D$29:$V$29,0))-1)*_xlfn.XLOOKUP(X72,梦灵养成!$D$9:$D$28,梦灵养成!$G$9:$G$28))</f>
        <v>6.9255</v>
      </c>
      <c r="X72" s="106" t="str">
        <f ca="1" t="shared" si="1"/>
        <v>神算诸葛</v>
      </c>
      <c r="Y72" s="95">
        <f ca="1" t="shared" si="21"/>
        <v>3600</v>
      </c>
      <c r="Z72" s="96">
        <f ca="1" t="shared" si="22"/>
        <v>1.9</v>
      </c>
    </row>
    <row r="73" s="106" customFormat="1" ht="16.5" spans="2:26">
      <c r="B73" s="117">
        <v>44</v>
      </c>
      <c r="C73" s="130">
        <f t="shared" si="23"/>
        <v>4400</v>
      </c>
      <c r="D73" s="131">
        <f ca="1" t="shared" si="2"/>
        <v>34</v>
      </c>
      <c r="E73" s="131">
        <f ca="1" t="shared" si="3"/>
        <v>34</v>
      </c>
      <c r="F73" s="131">
        <f ca="1" t="shared" si="4"/>
        <v>34</v>
      </c>
      <c r="G73" s="131">
        <f ca="1" t="shared" si="5"/>
        <v>21</v>
      </c>
      <c r="H73" s="131">
        <f ca="1" t="shared" si="6"/>
        <v>21</v>
      </c>
      <c r="I73" s="131">
        <f ca="1" t="shared" si="7"/>
        <v>21</v>
      </c>
      <c r="J73" s="131">
        <f ca="1" t="shared" si="8"/>
        <v>20</v>
      </c>
      <c r="K73" s="131">
        <f ca="1" t="shared" si="9"/>
        <v>20</v>
      </c>
      <c r="L73" s="131">
        <f ca="1" t="shared" si="10"/>
        <v>20</v>
      </c>
      <c r="M73" s="131">
        <f ca="1" t="shared" si="11"/>
        <v>13</v>
      </c>
      <c r="N73" s="131">
        <f ca="1" t="shared" si="12"/>
        <v>13</v>
      </c>
      <c r="O73" s="131">
        <f ca="1" t="shared" si="13"/>
        <v>14</v>
      </c>
      <c r="P73" s="131">
        <f ca="1" t="shared" si="14"/>
        <v>12</v>
      </c>
      <c r="Q73" s="131">
        <f ca="1" t="shared" si="15"/>
        <v>14</v>
      </c>
      <c r="R73" s="131">
        <f ca="1" t="shared" si="16"/>
        <v>12</v>
      </c>
      <c r="S73" s="131">
        <f ca="1" t="shared" si="17"/>
        <v>12</v>
      </c>
      <c r="T73" s="131">
        <f ca="1" t="shared" si="18"/>
        <v>0</v>
      </c>
      <c r="U73" s="131">
        <f ca="1" t="shared" si="19"/>
        <v>6</v>
      </c>
      <c r="V73" s="131">
        <f ca="1" t="shared" si="20"/>
        <v>10</v>
      </c>
      <c r="W73" s="124">
        <f ca="1">OFFSET($K$19,_xlfn.XLOOKUP(X73,$D$9:$D$28,$H$9:$H$28),MATCH(OFFSET($C$29,B73,MATCH(X73,$D$29:$V$29,0)),$L$19:$R$19,1))*(1+(OFFSET($C$29,B73,MATCH(X73,$D$29:$V$29,0))-1)*_xlfn.XLOOKUP(X73,梦灵养成!$D$9:$D$28,梦灵养成!$G$9:$G$28))</f>
        <v>6.9255</v>
      </c>
      <c r="X73" s="106" t="str">
        <f ca="1" t="shared" si="1"/>
        <v>神算诸葛</v>
      </c>
      <c r="Y73" s="95">
        <f ca="1" t="shared" si="21"/>
        <v>1800</v>
      </c>
      <c r="Z73" s="96">
        <f ca="1" t="shared" si="22"/>
        <v>1.9</v>
      </c>
    </row>
    <row r="74" s="106" customFormat="1" ht="16.5" spans="2:26">
      <c r="B74" s="117">
        <v>45</v>
      </c>
      <c r="C74" s="130">
        <f t="shared" si="23"/>
        <v>4500</v>
      </c>
      <c r="D74" s="131">
        <f ca="1" t="shared" si="2"/>
        <v>34</v>
      </c>
      <c r="E74" s="131">
        <f ca="1" t="shared" si="3"/>
        <v>34</v>
      </c>
      <c r="F74" s="131">
        <f ca="1" t="shared" si="4"/>
        <v>34</v>
      </c>
      <c r="G74" s="131">
        <f ca="1" t="shared" si="5"/>
        <v>21</v>
      </c>
      <c r="H74" s="131">
        <f ca="1" t="shared" si="6"/>
        <v>21</v>
      </c>
      <c r="I74" s="131">
        <f ca="1" t="shared" si="7"/>
        <v>21</v>
      </c>
      <c r="J74" s="131">
        <f ca="1" t="shared" si="8"/>
        <v>21</v>
      </c>
      <c r="K74" s="131">
        <f ca="1" t="shared" si="9"/>
        <v>20</v>
      </c>
      <c r="L74" s="131">
        <f ca="1" t="shared" si="10"/>
        <v>20</v>
      </c>
      <c r="M74" s="131">
        <f ca="1" t="shared" si="11"/>
        <v>13</v>
      </c>
      <c r="N74" s="131">
        <f ca="1" t="shared" si="12"/>
        <v>13</v>
      </c>
      <c r="O74" s="131">
        <f ca="1" t="shared" si="13"/>
        <v>14</v>
      </c>
      <c r="P74" s="131">
        <f ca="1" t="shared" si="14"/>
        <v>12</v>
      </c>
      <c r="Q74" s="131">
        <f ca="1" t="shared" si="15"/>
        <v>14</v>
      </c>
      <c r="R74" s="131">
        <f ca="1" t="shared" si="16"/>
        <v>13</v>
      </c>
      <c r="S74" s="131">
        <f ca="1" t="shared" si="17"/>
        <v>13</v>
      </c>
      <c r="T74" s="131">
        <f ca="1" t="shared" si="18"/>
        <v>0</v>
      </c>
      <c r="U74" s="131">
        <f ca="1" t="shared" si="19"/>
        <v>6</v>
      </c>
      <c r="V74" s="131">
        <f ca="1" t="shared" si="20"/>
        <v>12</v>
      </c>
      <c r="W74" s="124">
        <f ca="1">OFFSET($K$19,_xlfn.XLOOKUP(X74,$D$9:$D$28,$H$9:$H$28),MATCH(OFFSET($C$29,B74,MATCH(X74,$D$29:$V$29,0)),$L$19:$R$19,1))*(1+(OFFSET($C$29,B74,MATCH(X74,$D$29:$V$29,0))-1)*_xlfn.XLOOKUP(X74,梦灵养成!$D$9:$D$28,梦灵养成!$G$9:$G$28))</f>
        <v>7.6545</v>
      </c>
      <c r="X74" s="106" t="str">
        <f ca="1" t="shared" si="1"/>
        <v>神算诸葛</v>
      </c>
      <c r="Y74" s="95">
        <f ca="1" t="shared" si="21"/>
        <v>23400</v>
      </c>
      <c r="Z74" s="96">
        <f ca="1" t="shared" si="22"/>
        <v>2.1</v>
      </c>
    </row>
    <row r="75" s="106" customFormat="1" ht="16.5" spans="2:26">
      <c r="B75" s="117">
        <v>46</v>
      </c>
      <c r="C75" s="130">
        <f t="shared" si="23"/>
        <v>4600</v>
      </c>
      <c r="D75" s="131">
        <f ca="1" t="shared" si="2"/>
        <v>34</v>
      </c>
      <c r="E75" s="131">
        <f ca="1" t="shared" si="3"/>
        <v>34</v>
      </c>
      <c r="F75" s="131">
        <f ca="1" t="shared" si="4"/>
        <v>34</v>
      </c>
      <c r="G75" s="131">
        <f ca="1" t="shared" si="5"/>
        <v>21</v>
      </c>
      <c r="H75" s="131">
        <f ca="1" t="shared" si="6"/>
        <v>21</v>
      </c>
      <c r="I75" s="131">
        <f ca="1" t="shared" si="7"/>
        <v>21</v>
      </c>
      <c r="J75" s="131">
        <f ca="1" t="shared" si="8"/>
        <v>21</v>
      </c>
      <c r="K75" s="131">
        <f ca="1" t="shared" si="9"/>
        <v>21</v>
      </c>
      <c r="L75" s="131">
        <f ca="1" t="shared" si="10"/>
        <v>21</v>
      </c>
      <c r="M75" s="131">
        <f ca="1" t="shared" si="11"/>
        <v>13</v>
      </c>
      <c r="N75" s="131">
        <f ca="1" t="shared" si="12"/>
        <v>13</v>
      </c>
      <c r="O75" s="131">
        <f ca="1" t="shared" si="13"/>
        <v>14</v>
      </c>
      <c r="P75" s="131">
        <f ca="1" t="shared" si="14"/>
        <v>12</v>
      </c>
      <c r="Q75" s="131">
        <f ca="1" t="shared" si="15"/>
        <v>15</v>
      </c>
      <c r="R75" s="131">
        <f ca="1" t="shared" si="16"/>
        <v>13</v>
      </c>
      <c r="S75" s="131">
        <f ca="1" t="shared" si="17"/>
        <v>13</v>
      </c>
      <c r="T75" s="131">
        <f ca="1" t="shared" si="18"/>
        <v>5</v>
      </c>
      <c r="U75" s="131">
        <f ca="1" t="shared" si="19"/>
        <v>7</v>
      </c>
      <c r="V75" s="131">
        <f ca="1" t="shared" si="20"/>
        <v>12</v>
      </c>
      <c r="W75" s="124">
        <f ca="1">OFFSET($K$19,_xlfn.XLOOKUP(X75,$D$9:$D$28,$H$9:$H$28),MATCH(OFFSET($C$29,B75,MATCH(X75,$D$29:$V$29,0)),$L$19:$R$19,1))*(1+(OFFSET($C$29,B75,MATCH(X75,$D$29:$V$29,0))-1)*_xlfn.XLOOKUP(X75,梦灵养成!$D$9:$D$28,梦灵养成!$G$9:$G$28))</f>
        <v>7.6545</v>
      </c>
      <c r="X75" s="106" t="str">
        <f ca="1" t="shared" si="1"/>
        <v>神算诸葛</v>
      </c>
      <c r="Y75" s="95">
        <f ca="1" t="shared" si="21"/>
        <v>21600</v>
      </c>
      <c r="Z75" s="96">
        <f ca="1" t="shared" si="22"/>
        <v>2.1</v>
      </c>
    </row>
    <row r="76" s="106" customFormat="1" ht="16.5" spans="2:26">
      <c r="B76" s="117">
        <v>47</v>
      </c>
      <c r="C76" s="130">
        <f t="shared" si="23"/>
        <v>4700</v>
      </c>
      <c r="D76" s="131">
        <f ca="1" t="shared" si="2"/>
        <v>34</v>
      </c>
      <c r="E76" s="131">
        <f ca="1" t="shared" si="3"/>
        <v>34</v>
      </c>
      <c r="F76" s="131">
        <f ca="1" t="shared" si="4"/>
        <v>34</v>
      </c>
      <c r="G76" s="131">
        <f ca="1" t="shared" si="5"/>
        <v>21</v>
      </c>
      <c r="H76" s="131">
        <f ca="1" t="shared" si="6"/>
        <v>21</v>
      </c>
      <c r="I76" s="131">
        <f ca="1" t="shared" si="7"/>
        <v>21</v>
      </c>
      <c r="J76" s="131">
        <f ca="1" t="shared" si="8"/>
        <v>21</v>
      </c>
      <c r="K76" s="131">
        <f ca="1" t="shared" si="9"/>
        <v>21</v>
      </c>
      <c r="L76" s="131">
        <f ca="1" t="shared" si="10"/>
        <v>21</v>
      </c>
      <c r="M76" s="131">
        <f ca="1" t="shared" si="11"/>
        <v>13</v>
      </c>
      <c r="N76" s="131">
        <f ca="1" t="shared" si="12"/>
        <v>13</v>
      </c>
      <c r="O76" s="131">
        <f ca="1" t="shared" si="13"/>
        <v>14</v>
      </c>
      <c r="P76" s="131">
        <f ca="1" t="shared" si="14"/>
        <v>12</v>
      </c>
      <c r="Q76" s="131">
        <f ca="1" t="shared" si="15"/>
        <v>15</v>
      </c>
      <c r="R76" s="131">
        <f ca="1" t="shared" si="16"/>
        <v>13</v>
      </c>
      <c r="S76" s="131">
        <f ca="1" t="shared" si="17"/>
        <v>13</v>
      </c>
      <c r="T76" s="131">
        <f ca="1" t="shared" si="18"/>
        <v>5</v>
      </c>
      <c r="U76" s="131">
        <f ca="1" t="shared" si="19"/>
        <v>7</v>
      </c>
      <c r="V76" s="131">
        <f ca="1" t="shared" si="20"/>
        <v>12</v>
      </c>
      <c r="W76" s="124">
        <f ca="1">OFFSET($K$19,_xlfn.XLOOKUP(X76,$D$9:$D$28,$H$9:$H$28),MATCH(OFFSET($C$29,B76,MATCH(X76,$D$29:$V$29,0)),$L$19:$R$19,1))*(1+(OFFSET($C$29,B76,MATCH(X76,$D$29:$V$29,0))-1)*_xlfn.XLOOKUP(X76,梦灵养成!$D$9:$D$28,梦灵养成!$G$9:$G$28))</f>
        <v>7.6545</v>
      </c>
      <c r="X76" s="106" t="str">
        <f ca="1" t="shared" si="1"/>
        <v>神算诸葛</v>
      </c>
      <c r="Y76" s="95">
        <f ca="1" t="shared" si="21"/>
        <v>19800</v>
      </c>
      <c r="Z76" s="96">
        <f ca="1" t="shared" si="22"/>
        <v>2.1</v>
      </c>
    </row>
    <row r="77" s="106" customFormat="1" ht="16.5" spans="2:26">
      <c r="B77" s="117">
        <v>48</v>
      </c>
      <c r="C77" s="130">
        <f t="shared" si="23"/>
        <v>4800</v>
      </c>
      <c r="D77" s="131">
        <f ca="1" t="shared" si="2"/>
        <v>34</v>
      </c>
      <c r="E77" s="131">
        <f ca="1" t="shared" si="3"/>
        <v>34</v>
      </c>
      <c r="F77" s="131">
        <f ca="1" t="shared" si="4"/>
        <v>34</v>
      </c>
      <c r="G77" s="131">
        <f ca="1" t="shared" si="5"/>
        <v>21</v>
      </c>
      <c r="H77" s="131">
        <f ca="1" t="shared" si="6"/>
        <v>21</v>
      </c>
      <c r="I77" s="131">
        <f ca="1" t="shared" si="7"/>
        <v>21</v>
      </c>
      <c r="J77" s="131">
        <f ca="1" t="shared" si="8"/>
        <v>21</v>
      </c>
      <c r="K77" s="131">
        <f ca="1" t="shared" si="9"/>
        <v>21</v>
      </c>
      <c r="L77" s="131">
        <f ca="1" t="shared" si="10"/>
        <v>21</v>
      </c>
      <c r="M77" s="131">
        <f ca="1" t="shared" si="11"/>
        <v>13</v>
      </c>
      <c r="N77" s="131">
        <f ca="1" t="shared" si="12"/>
        <v>14</v>
      </c>
      <c r="O77" s="131">
        <f ca="1" t="shared" si="13"/>
        <v>14</v>
      </c>
      <c r="P77" s="131">
        <f ca="1" t="shared" si="14"/>
        <v>13</v>
      </c>
      <c r="Q77" s="131">
        <f ca="1" t="shared" si="15"/>
        <v>15</v>
      </c>
      <c r="R77" s="131">
        <f ca="1" t="shared" si="16"/>
        <v>13</v>
      </c>
      <c r="S77" s="131">
        <f ca="1" t="shared" si="17"/>
        <v>13</v>
      </c>
      <c r="T77" s="131">
        <f ca="1" t="shared" si="18"/>
        <v>5</v>
      </c>
      <c r="U77" s="131">
        <f ca="1" t="shared" si="19"/>
        <v>7</v>
      </c>
      <c r="V77" s="131">
        <f ca="1" t="shared" si="20"/>
        <v>12</v>
      </c>
      <c r="W77" s="124">
        <f ca="1">OFFSET($K$19,_xlfn.XLOOKUP(X77,$D$9:$D$28,$H$9:$H$28),MATCH(OFFSET($C$29,B77,MATCH(X77,$D$29:$V$29,0)),$L$19:$R$19,1))*(1+(OFFSET($C$29,B77,MATCH(X77,$D$29:$V$29,0))-1)*_xlfn.XLOOKUP(X77,梦灵养成!$D$9:$D$28,梦灵养成!$G$9:$G$28))</f>
        <v>7.6545</v>
      </c>
      <c r="X77" s="106" t="str">
        <f ca="1" t="shared" si="1"/>
        <v>神算诸葛</v>
      </c>
      <c r="Y77" s="95">
        <f ca="1" t="shared" si="21"/>
        <v>18000</v>
      </c>
      <c r="Z77" s="96">
        <f ca="1" t="shared" si="22"/>
        <v>2.1</v>
      </c>
    </row>
    <row r="78" s="106" customFormat="1" ht="16.5" spans="2:26">
      <c r="B78" s="117">
        <v>49</v>
      </c>
      <c r="C78" s="130">
        <f t="shared" si="23"/>
        <v>4900</v>
      </c>
      <c r="D78" s="131">
        <f ca="1" t="shared" si="2"/>
        <v>34</v>
      </c>
      <c r="E78" s="131">
        <f ca="1" t="shared" si="3"/>
        <v>34</v>
      </c>
      <c r="F78" s="131">
        <f ca="1" t="shared" si="4"/>
        <v>34</v>
      </c>
      <c r="G78" s="131">
        <f ca="1" t="shared" si="5"/>
        <v>22</v>
      </c>
      <c r="H78" s="131">
        <f ca="1" t="shared" si="6"/>
        <v>22</v>
      </c>
      <c r="I78" s="131">
        <f ca="1" t="shared" si="7"/>
        <v>22</v>
      </c>
      <c r="J78" s="131">
        <f ca="1" t="shared" si="8"/>
        <v>21</v>
      </c>
      <c r="K78" s="131">
        <f ca="1" t="shared" si="9"/>
        <v>21</v>
      </c>
      <c r="L78" s="131">
        <f ca="1" t="shared" si="10"/>
        <v>21</v>
      </c>
      <c r="M78" s="131">
        <f ca="1" t="shared" si="11"/>
        <v>13</v>
      </c>
      <c r="N78" s="131">
        <f ca="1" t="shared" si="12"/>
        <v>14</v>
      </c>
      <c r="O78" s="131">
        <f ca="1" t="shared" si="13"/>
        <v>15</v>
      </c>
      <c r="P78" s="131">
        <f ca="1" t="shared" si="14"/>
        <v>13</v>
      </c>
      <c r="Q78" s="131">
        <f ca="1" t="shared" si="15"/>
        <v>15</v>
      </c>
      <c r="R78" s="131">
        <f ca="1" t="shared" si="16"/>
        <v>14</v>
      </c>
      <c r="S78" s="131">
        <f ca="1" t="shared" si="17"/>
        <v>13</v>
      </c>
      <c r="T78" s="131">
        <f ca="1" t="shared" si="18"/>
        <v>5</v>
      </c>
      <c r="U78" s="131">
        <f ca="1" t="shared" si="19"/>
        <v>7</v>
      </c>
      <c r="V78" s="131">
        <f ca="1" t="shared" si="20"/>
        <v>12</v>
      </c>
      <c r="W78" s="124">
        <f ca="1">OFFSET($K$19,_xlfn.XLOOKUP(X78,$D$9:$D$28,$H$9:$H$28),MATCH(OFFSET($C$29,B78,MATCH(X78,$D$29:$V$29,0)),$L$19:$R$19,1))*(1+(OFFSET($C$29,B78,MATCH(X78,$D$29:$V$29,0))-1)*_xlfn.XLOOKUP(X78,梦灵养成!$D$9:$D$28,梦灵养成!$G$9:$G$28))</f>
        <v>7.6545</v>
      </c>
      <c r="X78" s="106" t="str">
        <f ca="1" t="shared" si="1"/>
        <v>神算诸葛</v>
      </c>
      <c r="Y78" s="95">
        <f ca="1" t="shared" si="21"/>
        <v>16200</v>
      </c>
      <c r="Z78" s="96">
        <f ca="1" t="shared" si="22"/>
        <v>2.1</v>
      </c>
    </row>
    <row r="79" s="106" customFormat="1" ht="16.5" spans="2:26">
      <c r="B79" s="117">
        <v>50</v>
      </c>
      <c r="C79" s="130">
        <f t="shared" si="23"/>
        <v>5000</v>
      </c>
      <c r="D79" s="131">
        <f ca="1" t="shared" si="2"/>
        <v>35</v>
      </c>
      <c r="E79" s="131">
        <f ca="1" t="shared" si="3"/>
        <v>35</v>
      </c>
      <c r="F79" s="131">
        <f ca="1" t="shared" si="4"/>
        <v>35</v>
      </c>
      <c r="G79" s="131">
        <f ca="1" t="shared" si="5"/>
        <v>22</v>
      </c>
      <c r="H79" s="131">
        <f ca="1" t="shared" si="6"/>
        <v>22</v>
      </c>
      <c r="I79" s="131">
        <f ca="1" t="shared" si="7"/>
        <v>22</v>
      </c>
      <c r="J79" s="131">
        <f ca="1" t="shared" si="8"/>
        <v>22</v>
      </c>
      <c r="K79" s="131">
        <f ca="1" t="shared" si="9"/>
        <v>21</v>
      </c>
      <c r="L79" s="131">
        <f ca="1" t="shared" si="10"/>
        <v>21</v>
      </c>
      <c r="M79" s="131">
        <f ca="1" t="shared" si="11"/>
        <v>14</v>
      </c>
      <c r="N79" s="131">
        <f ca="1" t="shared" si="12"/>
        <v>14</v>
      </c>
      <c r="O79" s="131">
        <f ca="1" t="shared" si="13"/>
        <v>15</v>
      </c>
      <c r="P79" s="131">
        <f ca="1" t="shared" si="14"/>
        <v>13</v>
      </c>
      <c r="Q79" s="131">
        <f ca="1" t="shared" si="15"/>
        <v>15</v>
      </c>
      <c r="R79" s="131">
        <f ca="1" t="shared" si="16"/>
        <v>14</v>
      </c>
      <c r="S79" s="131">
        <f ca="1" t="shared" si="17"/>
        <v>13</v>
      </c>
      <c r="T79" s="131">
        <f ca="1" t="shared" si="18"/>
        <v>5</v>
      </c>
      <c r="U79" s="131">
        <f ca="1" t="shared" si="19"/>
        <v>7</v>
      </c>
      <c r="V79" s="131">
        <f ca="1" t="shared" si="20"/>
        <v>12</v>
      </c>
      <c r="W79" s="124">
        <f ca="1">OFFSET($K$19,_xlfn.XLOOKUP(X79,$D$9:$D$28,$H$9:$H$28),MATCH(OFFSET($C$29,B79,MATCH(X79,$D$29:$V$29,0)),$L$19:$R$19,1))*(1+(OFFSET($C$29,B79,MATCH(X79,$D$29:$V$29,0))-1)*_xlfn.XLOOKUP(X79,梦灵养成!$D$9:$D$28,梦灵养成!$G$9:$G$28))</f>
        <v>7.6545</v>
      </c>
      <c r="X79" s="106" t="str">
        <f ca="1" t="shared" si="1"/>
        <v>神算诸葛</v>
      </c>
      <c r="Y79" s="95">
        <f ca="1" t="shared" si="21"/>
        <v>14400</v>
      </c>
      <c r="Z79" s="96">
        <f ca="1" t="shared" si="22"/>
        <v>2.1</v>
      </c>
    </row>
    <row r="80" s="106" customFormat="1" ht="16.5" spans="2:26">
      <c r="B80" s="117">
        <v>51</v>
      </c>
      <c r="C80" s="130">
        <f t="shared" si="23"/>
        <v>5100</v>
      </c>
      <c r="D80" s="131">
        <f ca="1" t="shared" si="2"/>
        <v>35</v>
      </c>
      <c r="E80" s="131">
        <f ca="1" t="shared" si="3"/>
        <v>35</v>
      </c>
      <c r="F80" s="131">
        <f ca="1" t="shared" si="4"/>
        <v>35</v>
      </c>
      <c r="G80" s="131">
        <f ca="1" t="shared" si="5"/>
        <v>22</v>
      </c>
      <c r="H80" s="131">
        <f ca="1" t="shared" si="6"/>
        <v>22</v>
      </c>
      <c r="I80" s="131">
        <f ca="1" t="shared" si="7"/>
        <v>22</v>
      </c>
      <c r="J80" s="131">
        <f ca="1" t="shared" si="8"/>
        <v>22</v>
      </c>
      <c r="K80" s="131">
        <f ca="1" t="shared" si="9"/>
        <v>22</v>
      </c>
      <c r="L80" s="131">
        <f ca="1" t="shared" si="10"/>
        <v>22</v>
      </c>
      <c r="M80" s="131">
        <f ca="1" t="shared" si="11"/>
        <v>14</v>
      </c>
      <c r="N80" s="131">
        <f ca="1" t="shared" si="12"/>
        <v>14</v>
      </c>
      <c r="O80" s="131">
        <f ca="1" t="shared" si="13"/>
        <v>15</v>
      </c>
      <c r="P80" s="131">
        <f ca="1" t="shared" si="14"/>
        <v>13</v>
      </c>
      <c r="Q80" s="131">
        <f ca="1" t="shared" si="15"/>
        <v>15</v>
      </c>
      <c r="R80" s="131">
        <f ca="1" t="shared" si="16"/>
        <v>14</v>
      </c>
      <c r="S80" s="131">
        <f ca="1" t="shared" si="17"/>
        <v>13</v>
      </c>
      <c r="T80" s="131">
        <f ca="1" t="shared" si="18"/>
        <v>6</v>
      </c>
      <c r="U80" s="131">
        <f ca="1" t="shared" si="19"/>
        <v>7</v>
      </c>
      <c r="V80" s="131">
        <f ca="1" t="shared" si="20"/>
        <v>12</v>
      </c>
      <c r="W80" s="124">
        <f ca="1">OFFSET($K$19,_xlfn.XLOOKUP(X80,$D$9:$D$28,$H$9:$H$28),MATCH(OFFSET($C$29,B80,MATCH(X80,$D$29:$V$29,0)),$L$19:$R$19,1))*(1+(OFFSET($C$29,B80,MATCH(X80,$D$29:$V$29,0))-1)*_xlfn.XLOOKUP(X80,梦灵养成!$D$9:$D$28,梦灵养成!$G$9:$G$28))</f>
        <v>7.6545</v>
      </c>
      <c r="X80" s="106" t="str">
        <f ca="1" t="shared" si="1"/>
        <v>神算诸葛</v>
      </c>
      <c r="Y80" s="95">
        <f ca="1" t="shared" si="21"/>
        <v>12600</v>
      </c>
      <c r="Z80" s="96">
        <f ca="1" t="shared" si="22"/>
        <v>2.1</v>
      </c>
    </row>
    <row r="81" s="106" customFormat="1" ht="16.5" spans="2:26">
      <c r="B81" s="117">
        <v>52</v>
      </c>
      <c r="C81" s="130">
        <f t="shared" si="23"/>
        <v>5200</v>
      </c>
      <c r="D81" s="131">
        <f ca="1" t="shared" si="2"/>
        <v>35</v>
      </c>
      <c r="E81" s="131">
        <f ca="1" t="shared" si="3"/>
        <v>35</v>
      </c>
      <c r="F81" s="131">
        <f ca="1" t="shared" si="4"/>
        <v>35</v>
      </c>
      <c r="G81" s="131">
        <f ca="1" t="shared" si="5"/>
        <v>22</v>
      </c>
      <c r="H81" s="131">
        <f ca="1" t="shared" si="6"/>
        <v>22</v>
      </c>
      <c r="I81" s="131">
        <f ca="1" t="shared" si="7"/>
        <v>22</v>
      </c>
      <c r="J81" s="131">
        <f ca="1" t="shared" si="8"/>
        <v>22</v>
      </c>
      <c r="K81" s="131">
        <f ca="1" t="shared" si="9"/>
        <v>22</v>
      </c>
      <c r="L81" s="131">
        <f ca="1" t="shared" si="10"/>
        <v>22</v>
      </c>
      <c r="M81" s="131">
        <f ca="1" t="shared" si="11"/>
        <v>14</v>
      </c>
      <c r="N81" s="131">
        <f ca="1" t="shared" si="12"/>
        <v>14</v>
      </c>
      <c r="O81" s="131">
        <f ca="1" t="shared" si="13"/>
        <v>15</v>
      </c>
      <c r="P81" s="131">
        <f ca="1" t="shared" si="14"/>
        <v>13</v>
      </c>
      <c r="Q81" s="131">
        <f ca="1" t="shared" si="15"/>
        <v>15</v>
      </c>
      <c r="R81" s="131">
        <f ca="1" t="shared" si="16"/>
        <v>14</v>
      </c>
      <c r="S81" s="131">
        <f ca="1" t="shared" si="17"/>
        <v>14</v>
      </c>
      <c r="T81" s="131">
        <f ca="1" t="shared" si="18"/>
        <v>6</v>
      </c>
      <c r="U81" s="131">
        <f ca="1" t="shared" si="19"/>
        <v>8</v>
      </c>
      <c r="V81" s="131">
        <f ca="1" t="shared" si="20"/>
        <v>12</v>
      </c>
      <c r="W81" s="124">
        <f ca="1">OFFSET($K$19,_xlfn.XLOOKUP(X81,$D$9:$D$28,$H$9:$H$28),MATCH(OFFSET($C$29,B81,MATCH(X81,$D$29:$V$29,0)),$L$19:$R$19,1))*(1+(OFFSET($C$29,B81,MATCH(X81,$D$29:$V$29,0))-1)*_xlfn.XLOOKUP(X81,梦灵养成!$D$9:$D$28,梦灵养成!$G$9:$G$28))</f>
        <v>7.6545</v>
      </c>
      <c r="X81" s="106" t="str">
        <f ca="1" t="shared" si="1"/>
        <v>神算诸葛</v>
      </c>
      <c r="Y81" s="95">
        <f ca="1" t="shared" si="21"/>
        <v>10800</v>
      </c>
      <c r="Z81" s="96">
        <f ca="1" t="shared" si="22"/>
        <v>2.1</v>
      </c>
    </row>
    <row r="82" s="106" customFormat="1" ht="16.5" spans="2:26">
      <c r="B82" s="117">
        <v>53</v>
      </c>
      <c r="C82" s="130">
        <f t="shared" si="23"/>
        <v>5300</v>
      </c>
      <c r="D82" s="131">
        <f ca="1" t="shared" si="2"/>
        <v>35</v>
      </c>
      <c r="E82" s="131">
        <f ca="1" t="shared" si="3"/>
        <v>35</v>
      </c>
      <c r="F82" s="131">
        <f ca="1" t="shared" si="4"/>
        <v>35</v>
      </c>
      <c r="G82" s="131">
        <f ca="1" t="shared" si="5"/>
        <v>23</v>
      </c>
      <c r="H82" s="131">
        <f ca="1" t="shared" si="6"/>
        <v>23</v>
      </c>
      <c r="I82" s="131">
        <f ca="1" t="shared" si="7"/>
        <v>23</v>
      </c>
      <c r="J82" s="131">
        <f ca="1" t="shared" si="8"/>
        <v>22</v>
      </c>
      <c r="K82" s="131">
        <f ca="1" t="shared" si="9"/>
        <v>22</v>
      </c>
      <c r="L82" s="131">
        <f ca="1" t="shared" si="10"/>
        <v>22</v>
      </c>
      <c r="M82" s="131">
        <f ca="1" t="shared" si="11"/>
        <v>14</v>
      </c>
      <c r="N82" s="131">
        <f ca="1" t="shared" si="12"/>
        <v>14</v>
      </c>
      <c r="O82" s="131">
        <f ca="1" t="shared" si="13"/>
        <v>15</v>
      </c>
      <c r="P82" s="131">
        <f ca="1" t="shared" si="14"/>
        <v>13</v>
      </c>
      <c r="Q82" s="131">
        <f ca="1" t="shared" si="15"/>
        <v>15</v>
      </c>
      <c r="R82" s="131">
        <f ca="1" t="shared" si="16"/>
        <v>14</v>
      </c>
      <c r="S82" s="131">
        <f ca="1" t="shared" si="17"/>
        <v>14</v>
      </c>
      <c r="T82" s="131">
        <f ca="1" t="shared" si="18"/>
        <v>6</v>
      </c>
      <c r="U82" s="131">
        <f ca="1" t="shared" si="19"/>
        <v>8</v>
      </c>
      <c r="V82" s="131">
        <f ca="1" t="shared" si="20"/>
        <v>12</v>
      </c>
      <c r="W82" s="124">
        <f ca="1">OFFSET($K$19,_xlfn.XLOOKUP(X82,$D$9:$D$28,$H$9:$H$28),MATCH(OFFSET($C$29,B82,MATCH(X82,$D$29:$V$29,0)),$L$19:$R$19,1))*(1+(OFFSET($C$29,B82,MATCH(X82,$D$29:$V$29,0))-1)*_xlfn.XLOOKUP(X82,梦灵养成!$D$9:$D$28,梦灵养成!$G$9:$G$28))</f>
        <v>7.6545</v>
      </c>
      <c r="X82" s="106" t="str">
        <f ca="1" t="shared" si="1"/>
        <v>神算诸葛</v>
      </c>
      <c r="Y82" s="95">
        <f ca="1" t="shared" si="21"/>
        <v>9000</v>
      </c>
      <c r="Z82" s="96">
        <f ca="1" t="shared" si="22"/>
        <v>2.1</v>
      </c>
    </row>
    <row r="83" s="106" customFormat="1" ht="16.5" spans="2:26">
      <c r="B83" s="117">
        <v>54</v>
      </c>
      <c r="C83" s="130">
        <f t="shared" si="23"/>
        <v>5400</v>
      </c>
      <c r="D83" s="131">
        <f ca="1" t="shared" si="2"/>
        <v>35</v>
      </c>
      <c r="E83" s="131">
        <f ca="1" t="shared" si="3"/>
        <v>35</v>
      </c>
      <c r="F83" s="131">
        <f ca="1" t="shared" si="4"/>
        <v>35</v>
      </c>
      <c r="G83" s="131">
        <f ca="1" t="shared" si="5"/>
        <v>23</v>
      </c>
      <c r="H83" s="131">
        <f ca="1" t="shared" si="6"/>
        <v>23</v>
      </c>
      <c r="I83" s="131">
        <f ca="1" t="shared" si="7"/>
        <v>23</v>
      </c>
      <c r="J83" s="131">
        <f ca="1" t="shared" si="8"/>
        <v>23</v>
      </c>
      <c r="K83" s="131">
        <f ca="1" t="shared" si="9"/>
        <v>22</v>
      </c>
      <c r="L83" s="131">
        <f ca="1" t="shared" si="10"/>
        <v>22</v>
      </c>
      <c r="M83" s="131">
        <f ca="1" t="shared" si="11"/>
        <v>14</v>
      </c>
      <c r="N83" s="131">
        <f ca="1" t="shared" si="12"/>
        <v>14</v>
      </c>
      <c r="O83" s="131">
        <f ca="1" t="shared" si="13"/>
        <v>15</v>
      </c>
      <c r="P83" s="131">
        <f ca="1" t="shared" si="14"/>
        <v>13</v>
      </c>
      <c r="Q83" s="131">
        <f ca="1" t="shared" si="15"/>
        <v>15</v>
      </c>
      <c r="R83" s="131">
        <f ca="1" t="shared" si="16"/>
        <v>14</v>
      </c>
      <c r="S83" s="131">
        <f ca="1" t="shared" si="17"/>
        <v>14</v>
      </c>
      <c r="T83" s="131">
        <f ca="1" t="shared" si="18"/>
        <v>6</v>
      </c>
      <c r="U83" s="131">
        <f ca="1" t="shared" si="19"/>
        <v>8</v>
      </c>
      <c r="V83" s="131">
        <f ca="1" t="shared" si="20"/>
        <v>13</v>
      </c>
      <c r="W83" s="124">
        <f ca="1">OFFSET($K$19,_xlfn.XLOOKUP(X83,$D$9:$D$28,$H$9:$H$28),MATCH(OFFSET($C$29,B83,MATCH(X83,$D$29:$V$29,0)),$L$19:$R$19,1))*(1+(OFFSET($C$29,B83,MATCH(X83,$D$29:$V$29,0))-1)*_xlfn.XLOOKUP(X83,梦灵养成!$D$9:$D$28,梦灵养成!$G$9:$G$28))</f>
        <v>8.019</v>
      </c>
      <c r="X83" s="106" t="str">
        <f ca="1" t="shared" si="1"/>
        <v>神算诸葛</v>
      </c>
      <c r="Y83" s="95">
        <f ca="1" t="shared" si="21"/>
        <v>14400</v>
      </c>
      <c r="Z83" s="96">
        <f ca="1" t="shared" si="22"/>
        <v>2.2</v>
      </c>
    </row>
    <row r="84" s="106" customFormat="1" ht="16.5" spans="2:26">
      <c r="B84" s="117">
        <v>55</v>
      </c>
      <c r="C84" s="130">
        <f t="shared" si="23"/>
        <v>5500</v>
      </c>
      <c r="D84" s="131">
        <f ca="1" t="shared" si="2"/>
        <v>35</v>
      </c>
      <c r="E84" s="131">
        <f ca="1" t="shared" si="3"/>
        <v>35</v>
      </c>
      <c r="F84" s="131">
        <f ca="1" t="shared" si="4"/>
        <v>35</v>
      </c>
      <c r="G84" s="131">
        <f ca="1" t="shared" si="5"/>
        <v>23</v>
      </c>
      <c r="H84" s="131">
        <f ca="1" t="shared" si="6"/>
        <v>23</v>
      </c>
      <c r="I84" s="131">
        <f ca="1" t="shared" si="7"/>
        <v>23</v>
      </c>
      <c r="J84" s="131">
        <f ca="1" t="shared" si="8"/>
        <v>23</v>
      </c>
      <c r="K84" s="131">
        <f ca="1" t="shared" si="9"/>
        <v>23</v>
      </c>
      <c r="L84" s="131">
        <f ca="1" t="shared" si="10"/>
        <v>23</v>
      </c>
      <c r="M84" s="131">
        <f ca="1" t="shared" si="11"/>
        <v>14</v>
      </c>
      <c r="N84" s="131">
        <f ca="1" t="shared" si="12"/>
        <v>15</v>
      </c>
      <c r="O84" s="131">
        <f ca="1" t="shared" si="13"/>
        <v>15</v>
      </c>
      <c r="P84" s="131">
        <f ca="1" t="shared" si="14"/>
        <v>14</v>
      </c>
      <c r="Q84" s="131">
        <f ca="1" t="shared" si="15"/>
        <v>15</v>
      </c>
      <c r="R84" s="131">
        <f ca="1" t="shared" si="16"/>
        <v>14</v>
      </c>
      <c r="S84" s="131">
        <f ca="1" t="shared" si="17"/>
        <v>14</v>
      </c>
      <c r="T84" s="131">
        <f ca="1" t="shared" si="18"/>
        <v>6</v>
      </c>
      <c r="U84" s="131">
        <f ca="1" t="shared" si="19"/>
        <v>8</v>
      </c>
      <c r="V84" s="131">
        <f ca="1" t="shared" si="20"/>
        <v>13</v>
      </c>
      <c r="W84" s="124">
        <f ca="1">OFFSET($K$19,_xlfn.XLOOKUP(X84,$D$9:$D$28,$H$9:$H$28),MATCH(OFFSET($C$29,B84,MATCH(X84,$D$29:$V$29,0)),$L$19:$R$19,1))*(1+(OFFSET($C$29,B84,MATCH(X84,$D$29:$V$29,0))-1)*_xlfn.XLOOKUP(X84,梦灵养成!$D$9:$D$28,梦灵养成!$G$9:$G$28))</f>
        <v>8.019</v>
      </c>
      <c r="X84" s="106" t="str">
        <f ca="1" t="shared" si="1"/>
        <v>神算诸葛</v>
      </c>
      <c r="Y84" s="95">
        <f ca="1" t="shared" si="21"/>
        <v>12600</v>
      </c>
      <c r="Z84" s="96">
        <f ca="1" t="shared" si="22"/>
        <v>2.2</v>
      </c>
    </row>
    <row r="85" s="106" customFormat="1" ht="16.5" spans="2:26">
      <c r="B85" s="117">
        <v>56</v>
      </c>
      <c r="C85" s="130">
        <f t="shared" si="23"/>
        <v>5600</v>
      </c>
      <c r="D85" s="131">
        <f ca="1" t="shared" si="2"/>
        <v>35</v>
      </c>
      <c r="E85" s="131">
        <f ca="1" t="shared" si="3"/>
        <v>35</v>
      </c>
      <c r="F85" s="131">
        <f ca="1" t="shared" si="4"/>
        <v>35</v>
      </c>
      <c r="G85" s="131">
        <f ca="1" t="shared" si="5"/>
        <v>23</v>
      </c>
      <c r="H85" s="131">
        <f ca="1" t="shared" si="6"/>
        <v>23</v>
      </c>
      <c r="I85" s="131">
        <f ca="1" t="shared" si="7"/>
        <v>23</v>
      </c>
      <c r="J85" s="131">
        <f ca="1" t="shared" si="8"/>
        <v>23</v>
      </c>
      <c r="K85" s="131">
        <f ca="1" t="shared" si="9"/>
        <v>23</v>
      </c>
      <c r="L85" s="131">
        <f ca="1" t="shared" si="10"/>
        <v>23</v>
      </c>
      <c r="M85" s="131">
        <f ca="1" t="shared" si="11"/>
        <v>14</v>
      </c>
      <c r="N85" s="131">
        <f ca="1" t="shared" si="12"/>
        <v>15</v>
      </c>
      <c r="O85" s="131">
        <f ca="1" t="shared" si="13"/>
        <v>15</v>
      </c>
      <c r="P85" s="131">
        <f ca="1" t="shared" si="14"/>
        <v>14</v>
      </c>
      <c r="Q85" s="131">
        <f ca="1" t="shared" si="15"/>
        <v>15</v>
      </c>
      <c r="R85" s="131">
        <f ca="1" t="shared" si="16"/>
        <v>15</v>
      </c>
      <c r="S85" s="131">
        <f ca="1" t="shared" si="17"/>
        <v>14</v>
      </c>
      <c r="T85" s="131">
        <f ca="1" t="shared" si="18"/>
        <v>6</v>
      </c>
      <c r="U85" s="131">
        <f ca="1" t="shared" si="19"/>
        <v>8</v>
      </c>
      <c r="V85" s="131">
        <f ca="1" t="shared" si="20"/>
        <v>13</v>
      </c>
      <c r="W85" s="124">
        <f ca="1">OFFSET($K$19,_xlfn.XLOOKUP(X85,$D$9:$D$28,$H$9:$H$28),MATCH(OFFSET($C$29,B85,MATCH(X85,$D$29:$V$29,0)),$L$19:$R$19,1))*(1+(OFFSET($C$29,B85,MATCH(X85,$D$29:$V$29,0))-1)*_xlfn.XLOOKUP(X85,梦灵养成!$D$9:$D$28,梦灵养成!$G$9:$G$28))</f>
        <v>8.019</v>
      </c>
      <c r="X85" s="106" t="str">
        <f ca="1" t="shared" si="1"/>
        <v>神算诸葛</v>
      </c>
      <c r="Y85" s="95">
        <f ca="1" t="shared" si="21"/>
        <v>10800</v>
      </c>
      <c r="Z85" s="96">
        <f ca="1" t="shared" si="22"/>
        <v>2.2</v>
      </c>
    </row>
    <row r="86" s="106" customFormat="1" ht="16.5" spans="2:26">
      <c r="B86" s="117">
        <v>57</v>
      </c>
      <c r="C86" s="130">
        <f t="shared" si="23"/>
        <v>5700</v>
      </c>
      <c r="D86" s="131">
        <f ca="1" t="shared" si="2"/>
        <v>35</v>
      </c>
      <c r="E86" s="131">
        <f ca="1" t="shared" si="3"/>
        <v>35</v>
      </c>
      <c r="F86" s="131">
        <f ca="1" t="shared" si="4"/>
        <v>35</v>
      </c>
      <c r="G86" s="131">
        <f ca="1" t="shared" si="5"/>
        <v>23</v>
      </c>
      <c r="H86" s="131">
        <f ca="1" t="shared" si="6"/>
        <v>23</v>
      </c>
      <c r="I86" s="131">
        <f ca="1" t="shared" si="7"/>
        <v>23</v>
      </c>
      <c r="J86" s="131">
        <f ca="1" t="shared" si="8"/>
        <v>23</v>
      </c>
      <c r="K86" s="131">
        <f ca="1" t="shared" si="9"/>
        <v>23</v>
      </c>
      <c r="L86" s="131">
        <f ca="1" t="shared" si="10"/>
        <v>23</v>
      </c>
      <c r="M86" s="131">
        <f ca="1" t="shared" si="11"/>
        <v>15</v>
      </c>
      <c r="N86" s="131">
        <f ca="1" t="shared" si="12"/>
        <v>15</v>
      </c>
      <c r="O86" s="131">
        <f ca="1" t="shared" si="13"/>
        <v>15</v>
      </c>
      <c r="P86" s="131">
        <f ca="1" t="shared" si="14"/>
        <v>14</v>
      </c>
      <c r="Q86" s="131">
        <f ca="1" t="shared" si="15"/>
        <v>16</v>
      </c>
      <c r="R86" s="131">
        <f ca="1" t="shared" si="16"/>
        <v>15</v>
      </c>
      <c r="S86" s="131">
        <f ca="1" t="shared" si="17"/>
        <v>14</v>
      </c>
      <c r="T86" s="131">
        <f ca="1" t="shared" si="18"/>
        <v>7</v>
      </c>
      <c r="U86" s="131">
        <f ca="1" t="shared" si="19"/>
        <v>8</v>
      </c>
      <c r="V86" s="131">
        <f ca="1" t="shared" si="20"/>
        <v>13</v>
      </c>
      <c r="W86" s="124">
        <f ca="1">OFFSET($K$19,_xlfn.XLOOKUP(X86,$D$9:$D$28,$H$9:$H$28),MATCH(OFFSET($C$29,B86,MATCH(X86,$D$29:$V$29,0)),$L$19:$R$19,1))*(1+(OFFSET($C$29,B86,MATCH(X86,$D$29:$V$29,0))-1)*_xlfn.XLOOKUP(X86,梦灵养成!$D$9:$D$28,梦灵养成!$G$9:$G$28))</f>
        <v>8.019</v>
      </c>
      <c r="X86" s="106" t="str">
        <f ca="1" t="shared" si="1"/>
        <v>神算诸葛</v>
      </c>
      <c r="Y86" s="95">
        <f ca="1" t="shared" si="21"/>
        <v>9000</v>
      </c>
      <c r="Z86" s="96">
        <f ca="1" t="shared" si="22"/>
        <v>2.2</v>
      </c>
    </row>
    <row r="87" s="106" customFormat="1" ht="16.5" spans="2:26">
      <c r="B87" s="117">
        <v>58</v>
      </c>
      <c r="C87" s="130">
        <f t="shared" si="23"/>
        <v>5800</v>
      </c>
      <c r="D87" s="131">
        <f ca="1" t="shared" si="2"/>
        <v>36</v>
      </c>
      <c r="E87" s="131">
        <f ca="1" t="shared" si="3"/>
        <v>36</v>
      </c>
      <c r="F87" s="131">
        <f ca="1" t="shared" si="4"/>
        <v>36</v>
      </c>
      <c r="G87" s="131">
        <f ca="1" t="shared" si="5"/>
        <v>24</v>
      </c>
      <c r="H87" s="131">
        <f ca="1" t="shared" si="6"/>
        <v>24</v>
      </c>
      <c r="I87" s="131">
        <f ca="1" t="shared" si="7"/>
        <v>24</v>
      </c>
      <c r="J87" s="131">
        <f ca="1" t="shared" si="8"/>
        <v>23</v>
      </c>
      <c r="K87" s="131">
        <f ca="1" t="shared" si="9"/>
        <v>23</v>
      </c>
      <c r="L87" s="131">
        <f ca="1" t="shared" si="10"/>
        <v>23</v>
      </c>
      <c r="M87" s="131">
        <f ca="1" t="shared" si="11"/>
        <v>15</v>
      </c>
      <c r="N87" s="131">
        <f ca="1" t="shared" si="12"/>
        <v>15</v>
      </c>
      <c r="O87" s="131">
        <f ca="1" t="shared" si="13"/>
        <v>15</v>
      </c>
      <c r="P87" s="131">
        <f ca="1" t="shared" si="14"/>
        <v>14</v>
      </c>
      <c r="Q87" s="131">
        <f ca="1" t="shared" si="15"/>
        <v>16</v>
      </c>
      <c r="R87" s="131">
        <f ca="1" t="shared" si="16"/>
        <v>15</v>
      </c>
      <c r="S87" s="131">
        <f ca="1" t="shared" si="17"/>
        <v>15</v>
      </c>
      <c r="T87" s="131">
        <f ca="1" t="shared" si="18"/>
        <v>8</v>
      </c>
      <c r="U87" s="131">
        <f ca="1" t="shared" si="19"/>
        <v>10</v>
      </c>
      <c r="V87" s="131">
        <f ca="1" t="shared" si="20"/>
        <v>14</v>
      </c>
      <c r="W87" s="124">
        <f ca="1">OFFSET($K$19,_xlfn.XLOOKUP(X87,$D$9:$D$28,$H$9:$H$28),MATCH(OFFSET($C$29,B87,MATCH(X87,$D$29:$V$29,0)),$L$19:$R$19,1))*(1+(OFFSET($C$29,B87,MATCH(X87,$D$29:$V$29,0))-1)*_xlfn.XLOOKUP(X87,梦灵养成!$D$9:$D$28,梦灵养成!$G$9:$G$28))</f>
        <v>8.3835</v>
      </c>
      <c r="X87" s="106" t="str">
        <f ca="1" t="shared" si="1"/>
        <v>神算诸葛</v>
      </c>
      <c r="Y87" s="95">
        <f ca="1" t="shared" si="21"/>
        <v>7200</v>
      </c>
      <c r="Z87" s="96">
        <f ca="1" t="shared" si="22"/>
        <v>2.3</v>
      </c>
    </row>
    <row r="88" s="106" customFormat="1" ht="16.5" spans="2:26">
      <c r="B88" s="117">
        <v>59</v>
      </c>
      <c r="C88" s="130">
        <f t="shared" si="23"/>
        <v>5900</v>
      </c>
      <c r="D88" s="131">
        <f ca="1" t="shared" si="2"/>
        <v>36</v>
      </c>
      <c r="E88" s="131">
        <f ca="1" t="shared" si="3"/>
        <v>36</v>
      </c>
      <c r="F88" s="131">
        <f ca="1" t="shared" si="4"/>
        <v>36</v>
      </c>
      <c r="G88" s="131">
        <f ca="1" t="shared" si="5"/>
        <v>24</v>
      </c>
      <c r="H88" s="131">
        <f ca="1" t="shared" si="6"/>
        <v>24</v>
      </c>
      <c r="I88" s="131">
        <f ca="1" t="shared" si="7"/>
        <v>24</v>
      </c>
      <c r="J88" s="131">
        <f ca="1" t="shared" si="8"/>
        <v>24</v>
      </c>
      <c r="K88" s="131">
        <f ca="1" t="shared" si="9"/>
        <v>23</v>
      </c>
      <c r="L88" s="131">
        <f ca="1" t="shared" si="10"/>
        <v>23</v>
      </c>
      <c r="M88" s="131">
        <f ca="1" t="shared" si="11"/>
        <v>15</v>
      </c>
      <c r="N88" s="131">
        <f ca="1" t="shared" si="12"/>
        <v>15</v>
      </c>
      <c r="O88" s="131">
        <f ca="1" t="shared" si="13"/>
        <v>15</v>
      </c>
      <c r="P88" s="131">
        <f ca="1" t="shared" si="14"/>
        <v>14</v>
      </c>
      <c r="Q88" s="131">
        <f ca="1" t="shared" si="15"/>
        <v>16</v>
      </c>
      <c r="R88" s="131">
        <f ca="1" t="shared" si="16"/>
        <v>15</v>
      </c>
      <c r="S88" s="131">
        <f ca="1" t="shared" si="17"/>
        <v>15</v>
      </c>
      <c r="T88" s="131">
        <f ca="1" t="shared" si="18"/>
        <v>9</v>
      </c>
      <c r="U88" s="131">
        <f ca="1" t="shared" si="19"/>
        <v>10</v>
      </c>
      <c r="V88" s="131">
        <f ca="1" t="shared" si="20"/>
        <v>14</v>
      </c>
      <c r="W88" s="124">
        <f ca="1">OFFSET($K$19,_xlfn.XLOOKUP(X88,$D$9:$D$28,$H$9:$H$28),MATCH(OFFSET($C$29,B88,MATCH(X88,$D$29:$V$29,0)),$L$19:$R$19,1))*(1+(OFFSET($C$29,B88,MATCH(X88,$D$29:$V$29,0))-1)*_xlfn.XLOOKUP(X88,梦灵养成!$D$9:$D$28,梦灵养成!$G$9:$G$28))</f>
        <v>8.3835</v>
      </c>
      <c r="X88" s="106" t="str">
        <f ca="1" t="shared" si="1"/>
        <v>神算诸葛</v>
      </c>
      <c r="Y88" s="95">
        <f ca="1" t="shared" si="21"/>
        <v>5400</v>
      </c>
      <c r="Z88" s="96">
        <f ca="1" t="shared" si="22"/>
        <v>2.3</v>
      </c>
    </row>
    <row r="89" s="106" customFormat="1" ht="16.5" spans="2:26">
      <c r="B89" s="117">
        <v>60</v>
      </c>
      <c r="C89" s="130">
        <f t="shared" si="23"/>
        <v>6000</v>
      </c>
      <c r="D89" s="131">
        <f ca="1" t="shared" si="2"/>
        <v>36</v>
      </c>
      <c r="E89" s="131">
        <f ca="1" t="shared" si="3"/>
        <v>36</v>
      </c>
      <c r="F89" s="131">
        <f ca="1" t="shared" si="4"/>
        <v>36</v>
      </c>
      <c r="G89" s="131">
        <f ca="1" t="shared" si="5"/>
        <v>24</v>
      </c>
      <c r="H89" s="131">
        <f ca="1" t="shared" si="6"/>
        <v>24</v>
      </c>
      <c r="I89" s="131">
        <f ca="1" t="shared" si="7"/>
        <v>24</v>
      </c>
      <c r="J89" s="131">
        <f ca="1" t="shared" si="8"/>
        <v>24</v>
      </c>
      <c r="K89" s="131">
        <f ca="1" t="shared" si="9"/>
        <v>24</v>
      </c>
      <c r="L89" s="131">
        <f ca="1" t="shared" si="10"/>
        <v>24</v>
      </c>
      <c r="M89" s="131">
        <f ca="1" t="shared" si="11"/>
        <v>15</v>
      </c>
      <c r="N89" s="131">
        <f ca="1" t="shared" si="12"/>
        <v>15</v>
      </c>
      <c r="O89" s="131">
        <f ca="1" t="shared" si="13"/>
        <v>16</v>
      </c>
      <c r="P89" s="131">
        <f ca="1" t="shared" si="14"/>
        <v>14</v>
      </c>
      <c r="Q89" s="131">
        <f ca="1" t="shared" si="15"/>
        <v>16</v>
      </c>
      <c r="R89" s="131">
        <f ca="1" t="shared" si="16"/>
        <v>15</v>
      </c>
      <c r="S89" s="131">
        <f ca="1" t="shared" si="17"/>
        <v>15</v>
      </c>
      <c r="T89" s="131">
        <f ca="1" t="shared" si="18"/>
        <v>9</v>
      </c>
      <c r="U89" s="131">
        <f ca="1" t="shared" si="19"/>
        <v>10</v>
      </c>
      <c r="V89" s="131">
        <f ca="1" t="shared" si="20"/>
        <v>14</v>
      </c>
      <c r="W89" s="124">
        <f ca="1">OFFSET($K$19,_xlfn.XLOOKUP(X89,$D$9:$D$28,$H$9:$H$28),MATCH(OFFSET($C$29,B89,MATCH(X89,$D$29:$V$29,0)),$L$19:$R$19,1))*(1+(OFFSET($C$29,B89,MATCH(X89,$D$29:$V$29,0))-1)*_xlfn.XLOOKUP(X89,梦灵养成!$D$9:$D$28,梦灵养成!$G$9:$G$28))</f>
        <v>8.3835</v>
      </c>
      <c r="X89" s="106" t="str">
        <f ca="1" t="shared" si="1"/>
        <v>神算诸葛</v>
      </c>
      <c r="Y89" s="95">
        <f ca="1" t="shared" si="21"/>
        <v>3600</v>
      </c>
      <c r="Z89" s="96">
        <f ca="1" t="shared" si="22"/>
        <v>2.3</v>
      </c>
    </row>
    <row r="90" s="106" customFormat="1" ht="16.5" spans="2:26">
      <c r="B90" s="117">
        <v>61</v>
      </c>
      <c r="C90" s="130">
        <f t="shared" si="23"/>
        <v>6100</v>
      </c>
      <c r="D90" s="131">
        <f ca="1" t="shared" si="2"/>
        <v>36</v>
      </c>
      <c r="E90" s="131">
        <f ca="1" t="shared" si="3"/>
        <v>36</v>
      </c>
      <c r="F90" s="131">
        <f ca="1" t="shared" si="4"/>
        <v>36</v>
      </c>
      <c r="G90" s="131">
        <f ca="1" t="shared" si="5"/>
        <v>24</v>
      </c>
      <c r="H90" s="131">
        <f ca="1" t="shared" si="6"/>
        <v>24</v>
      </c>
      <c r="I90" s="131">
        <f ca="1" t="shared" si="7"/>
        <v>24</v>
      </c>
      <c r="J90" s="131">
        <f ca="1" t="shared" si="8"/>
        <v>24</v>
      </c>
      <c r="K90" s="131">
        <f ca="1" t="shared" si="9"/>
        <v>24</v>
      </c>
      <c r="L90" s="131">
        <f ca="1" t="shared" si="10"/>
        <v>24</v>
      </c>
      <c r="M90" s="131">
        <f ca="1" t="shared" si="11"/>
        <v>15</v>
      </c>
      <c r="N90" s="131">
        <f ca="1" t="shared" si="12"/>
        <v>15</v>
      </c>
      <c r="O90" s="131">
        <f ca="1" t="shared" si="13"/>
        <v>16</v>
      </c>
      <c r="P90" s="131">
        <f ca="1" t="shared" si="14"/>
        <v>15</v>
      </c>
      <c r="Q90" s="131">
        <f ca="1" t="shared" si="15"/>
        <v>16</v>
      </c>
      <c r="R90" s="131">
        <f ca="1" t="shared" si="16"/>
        <v>15</v>
      </c>
      <c r="S90" s="131">
        <f ca="1" t="shared" si="17"/>
        <v>15</v>
      </c>
      <c r="T90" s="131">
        <f ca="1" t="shared" si="18"/>
        <v>9</v>
      </c>
      <c r="U90" s="131">
        <f ca="1" t="shared" si="19"/>
        <v>10</v>
      </c>
      <c r="V90" s="131">
        <f ca="1" t="shared" si="20"/>
        <v>14</v>
      </c>
      <c r="W90" s="124">
        <f ca="1">OFFSET($K$19,_xlfn.XLOOKUP(X90,$D$9:$D$28,$H$9:$H$28),MATCH(OFFSET($C$29,B90,MATCH(X90,$D$29:$V$29,0)),$L$19:$R$19,1))*(1+(OFFSET($C$29,B90,MATCH(X90,$D$29:$V$29,0))-1)*_xlfn.XLOOKUP(X90,梦灵养成!$D$9:$D$28,梦灵养成!$G$9:$G$28))</f>
        <v>8.3835</v>
      </c>
      <c r="X90" s="106" t="str">
        <f ca="1" t="shared" si="1"/>
        <v>神算诸葛</v>
      </c>
      <c r="Y90" s="95">
        <f ca="1" t="shared" si="21"/>
        <v>1800</v>
      </c>
      <c r="Z90" s="96">
        <f ca="1" t="shared" si="22"/>
        <v>2.3</v>
      </c>
    </row>
    <row r="91" s="106" customFormat="1" ht="16.5" spans="2:26">
      <c r="B91" s="117">
        <v>62</v>
      </c>
      <c r="C91" s="130">
        <f t="shared" si="23"/>
        <v>6200</v>
      </c>
      <c r="D91" s="131">
        <f ca="1" t="shared" si="2"/>
        <v>36</v>
      </c>
      <c r="E91" s="131">
        <f ca="1" t="shared" si="3"/>
        <v>36</v>
      </c>
      <c r="F91" s="131">
        <f ca="1" t="shared" si="4"/>
        <v>36</v>
      </c>
      <c r="G91" s="131">
        <f ca="1" t="shared" si="5"/>
        <v>25</v>
      </c>
      <c r="H91" s="131">
        <f ca="1" t="shared" si="6"/>
        <v>25</v>
      </c>
      <c r="I91" s="131">
        <f ca="1" t="shared" si="7"/>
        <v>25</v>
      </c>
      <c r="J91" s="131">
        <f ca="1" t="shared" si="8"/>
        <v>24</v>
      </c>
      <c r="K91" s="131">
        <f ca="1" t="shared" si="9"/>
        <v>24</v>
      </c>
      <c r="L91" s="131">
        <f ca="1" t="shared" si="10"/>
        <v>24</v>
      </c>
      <c r="M91" s="131">
        <f ca="1" t="shared" si="11"/>
        <v>15</v>
      </c>
      <c r="N91" s="131">
        <f ca="1" t="shared" si="12"/>
        <v>15</v>
      </c>
      <c r="O91" s="131">
        <f ca="1" t="shared" si="13"/>
        <v>16</v>
      </c>
      <c r="P91" s="131">
        <f ca="1" t="shared" si="14"/>
        <v>15</v>
      </c>
      <c r="Q91" s="131">
        <f ca="1" t="shared" si="15"/>
        <v>16</v>
      </c>
      <c r="R91" s="131">
        <f ca="1" t="shared" si="16"/>
        <v>15</v>
      </c>
      <c r="S91" s="131">
        <f ca="1" t="shared" si="17"/>
        <v>16</v>
      </c>
      <c r="T91" s="131">
        <f ca="1" t="shared" si="18"/>
        <v>10</v>
      </c>
      <c r="U91" s="131">
        <f ca="1" t="shared" si="19"/>
        <v>12</v>
      </c>
      <c r="V91" s="131">
        <f ca="1" t="shared" si="20"/>
        <v>15</v>
      </c>
      <c r="W91" s="124">
        <f ca="1">OFFSET($K$19,_xlfn.XLOOKUP(X91,$D$9:$D$28,$H$9:$H$28),MATCH(OFFSET($C$29,B91,MATCH(X91,$D$29:$V$29,0)),$L$19:$R$19,1))*(1+(OFFSET($C$29,B91,MATCH(X91,$D$29:$V$29,0))-1)*_xlfn.XLOOKUP(X91,梦灵养成!$D$9:$D$28,梦灵养成!$G$9:$G$28))</f>
        <v>10.512</v>
      </c>
      <c r="X91" s="106" t="str">
        <f ca="1" t="shared" si="1"/>
        <v>神算诸葛</v>
      </c>
      <c r="Y91" s="95">
        <f ca="1" t="shared" si="21"/>
        <v>10800</v>
      </c>
      <c r="Z91" s="96">
        <f ca="1" t="shared" si="22"/>
        <v>2.4</v>
      </c>
    </row>
    <row r="92" s="106" customFormat="1" ht="16.5" spans="2:26">
      <c r="B92" s="117">
        <v>63</v>
      </c>
      <c r="C92" s="130">
        <f t="shared" si="23"/>
        <v>6300</v>
      </c>
      <c r="D92" s="131">
        <f ca="1" t="shared" si="2"/>
        <v>36</v>
      </c>
      <c r="E92" s="131">
        <f ca="1" t="shared" si="3"/>
        <v>36</v>
      </c>
      <c r="F92" s="131">
        <f ca="1" t="shared" si="4"/>
        <v>36</v>
      </c>
      <c r="G92" s="131">
        <f ca="1" t="shared" si="5"/>
        <v>25</v>
      </c>
      <c r="H92" s="131">
        <f ca="1" t="shared" si="6"/>
        <v>25</v>
      </c>
      <c r="I92" s="131">
        <f ca="1" t="shared" si="7"/>
        <v>25</v>
      </c>
      <c r="J92" s="131">
        <f ca="1" t="shared" si="8"/>
        <v>25</v>
      </c>
      <c r="K92" s="131">
        <f ca="1" t="shared" si="9"/>
        <v>24</v>
      </c>
      <c r="L92" s="131">
        <f ca="1" t="shared" si="10"/>
        <v>24</v>
      </c>
      <c r="M92" s="131">
        <f ca="1" t="shared" si="11"/>
        <v>15</v>
      </c>
      <c r="N92" s="131">
        <f ca="1" t="shared" si="12"/>
        <v>15</v>
      </c>
      <c r="O92" s="131">
        <f ca="1" t="shared" si="13"/>
        <v>16</v>
      </c>
      <c r="P92" s="131">
        <f ca="1" t="shared" si="14"/>
        <v>15</v>
      </c>
      <c r="Q92" s="131">
        <f ca="1" t="shared" si="15"/>
        <v>16</v>
      </c>
      <c r="R92" s="131">
        <f ca="1" t="shared" si="16"/>
        <v>15</v>
      </c>
      <c r="S92" s="131">
        <f ca="1" t="shared" si="17"/>
        <v>16</v>
      </c>
      <c r="T92" s="131">
        <f ca="1" t="shared" si="18"/>
        <v>11</v>
      </c>
      <c r="U92" s="131">
        <f ca="1" t="shared" si="19"/>
        <v>12</v>
      </c>
      <c r="V92" s="131">
        <f ca="1" t="shared" si="20"/>
        <v>15</v>
      </c>
      <c r="W92" s="124">
        <f ca="1">OFFSET($K$19,_xlfn.XLOOKUP(X92,$D$9:$D$28,$H$9:$H$28),MATCH(OFFSET($C$29,B92,MATCH(X92,$D$29:$V$29,0)),$L$19:$R$19,1))*(1+(OFFSET($C$29,B92,MATCH(X92,$D$29:$V$29,0))-1)*_xlfn.XLOOKUP(X92,梦灵养成!$D$9:$D$28,梦灵养成!$G$9:$G$28))</f>
        <v>10.512</v>
      </c>
      <c r="X92" s="106" t="str">
        <f ca="1" t="shared" si="1"/>
        <v>神算诸葛</v>
      </c>
      <c r="Y92" s="95">
        <f ca="1" t="shared" si="21"/>
        <v>9000</v>
      </c>
      <c r="Z92" s="96">
        <f ca="1" t="shared" si="22"/>
        <v>2.4</v>
      </c>
    </row>
    <row r="93" s="106" customFormat="1" ht="16.5" spans="2:26">
      <c r="B93" s="117">
        <v>64</v>
      </c>
      <c r="C93" s="130">
        <f t="shared" si="23"/>
        <v>6400</v>
      </c>
      <c r="D93" s="131">
        <f ca="1" t="shared" si="2"/>
        <v>36</v>
      </c>
      <c r="E93" s="131">
        <f ca="1" t="shared" si="3"/>
        <v>36</v>
      </c>
      <c r="F93" s="131">
        <f ca="1" t="shared" si="4"/>
        <v>36</v>
      </c>
      <c r="G93" s="131">
        <f ca="1" t="shared" si="5"/>
        <v>25</v>
      </c>
      <c r="H93" s="131">
        <f ca="1" t="shared" si="6"/>
        <v>25</v>
      </c>
      <c r="I93" s="131">
        <f ca="1" t="shared" si="7"/>
        <v>25</v>
      </c>
      <c r="J93" s="131">
        <f ca="1" t="shared" si="8"/>
        <v>25</v>
      </c>
      <c r="K93" s="131">
        <f ca="1" t="shared" si="9"/>
        <v>25</v>
      </c>
      <c r="L93" s="131">
        <f ca="1" t="shared" si="10"/>
        <v>25</v>
      </c>
      <c r="M93" s="131">
        <f ca="1" t="shared" si="11"/>
        <v>15</v>
      </c>
      <c r="N93" s="131">
        <f ca="1" t="shared" si="12"/>
        <v>16</v>
      </c>
      <c r="O93" s="131">
        <f ca="1" t="shared" si="13"/>
        <v>16</v>
      </c>
      <c r="P93" s="131">
        <f ca="1" t="shared" si="14"/>
        <v>15</v>
      </c>
      <c r="Q93" s="131">
        <f ca="1" t="shared" si="15"/>
        <v>16</v>
      </c>
      <c r="R93" s="131">
        <f ca="1" t="shared" si="16"/>
        <v>15</v>
      </c>
      <c r="S93" s="131">
        <f ca="1" t="shared" si="17"/>
        <v>16</v>
      </c>
      <c r="T93" s="131">
        <f ca="1" t="shared" si="18"/>
        <v>11</v>
      </c>
      <c r="U93" s="131">
        <f ca="1" t="shared" si="19"/>
        <v>12</v>
      </c>
      <c r="V93" s="131">
        <f ca="1" t="shared" si="20"/>
        <v>15</v>
      </c>
      <c r="W93" s="124">
        <f ca="1">OFFSET($K$19,_xlfn.XLOOKUP(X93,$D$9:$D$28,$H$9:$H$28),MATCH(OFFSET($C$29,B93,MATCH(X93,$D$29:$V$29,0)),$L$19:$R$19,1))*(1+(OFFSET($C$29,B93,MATCH(X93,$D$29:$V$29,0))-1)*_xlfn.XLOOKUP(X93,梦灵养成!$D$9:$D$28,梦灵养成!$G$9:$G$28))</f>
        <v>10.512</v>
      </c>
      <c r="X93" s="106" t="str">
        <f ca="1" t="shared" si="1"/>
        <v>神算诸葛</v>
      </c>
      <c r="Y93" s="95">
        <f ca="1" t="shared" si="21"/>
        <v>7200</v>
      </c>
      <c r="Z93" s="96">
        <f ca="1" t="shared" si="22"/>
        <v>2.4</v>
      </c>
    </row>
    <row r="94" s="106" customFormat="1" ht="16.5" spans="2:26">
      <c r="B94" s="117">
        <v>65</v>
      </c>
      <c r="C94" s="130">
        <f t="shared" si="23"/>
        <v>6500</v>
      </c>
      <c r="D94" s="131">
        <f ca="1" t="shared" si="2"/>
        <v>36</v>
      </c>
      <c r="E94" s="131">
        <f ca="1" t="shared" si="3"/>
        <v>36</v>
      </c>
      <c r="F94" s="131">
        <f ca="1" t="shared" si="4"/>
        <v>36</v>
      </c>
      <c r="G94" s="131">
        <f ca="1" t="shared" si="5"/>
        <v>25</v>
      </c>
      <c r="H94" s="131">
        <f ca="1" t="shared" si="6"/>
        <v>25</v>
      </c>
      <c r="I94" s="131">
        <f ca="1" t="shared" si="7"/>
        <v>25</v>
      </c>
      <c r="J94" s="131">
        <f ca="1" t="shared" si="8"/>
        <v>25</v>
      </c>
      <c r="K94" s="131">
        <f ca="1" t="shared" si="9"/>
        <v>25</v>
      </c>
      <c r="L94" s="131">
        <f ca="1" t="shared" si="10"/>
        <v>25</v>
      </c>
      <c r="M94" s="131">
        <f ca="1" t="shared" si="11"/>
        <v>16</v>
      </c>
      <c r="N94" s="131">
        <f ca="1" t="shared" si="12"/>
        <v>16</v>
      </c>
      <c r="O94" s="131">
        <f ca="1" t="shared" si="13"/>
        <v>16</v>
      </c>
      <c r="P94" s="131">
        <f ca="1" t="shared" si="14"/>
        <v>15</v>
      </c>
      <c r="Q94" s="131">
        <f ca="1" t="shared" si="15"/>
        <v>17</v>
      </c>
      <c r="R94" s="131">
        <f ca="1" t="shared" si="16"/>
        <v>16</v>
      </c>
      <c r="S94" s="131">
        <f ca="1" t="shared" si="17"/>
        <v>16</v>
      </c>
      <c r="T94" s="131">
        <f ca="1" t="shared" si="18"/>
        <v>11</v>
      </c>
      <c r="U94" s="131">
        <f ca="1" t="shared" si="19"/>
        <v>12</v>
      </c>
      <c r="V94" s="131">
        <f ca="1" t="shared" si="20"/>
        <v>16</v>
      </c>
      <c r="W94" s="124">
        <f ca="1">OFFSET($K$19,_xlfn.XLOOKUP(X94,$D$9:$D$28,$H$9:$H$28),MATCH(OFFSET($C$29,B94,MATCH(X94,$D$29:$V$29,0)),$L$19:$R$19,1))*(1+(OFFSET($C$29,B94,MATCH(X94,$D$29:$V$29,0))-1)*_xlfn.XLOOKUP(X94,梦灵养成!$D$9:$D$28,梦灵养成!$G$9:$G$28))</f>
        <v>10.95</v>
      </c>
      <c r="X94" s="106" t="str">
        <f ca="1" t="shared" ref="X94:X157" si="24">OFFSET($I$8,MATCH(C94,$C$9:$C$27,1),0)</f>
        <v>神算诸葛</v>
      </c>
      <c r="Y94" s="95">
        <f ca="1" t="shared" si="21"/>
        <v>21600</v>
      </c>
      <c r="Z94" s="96">
        <f ca="1" t="shared" si="22"/>
        <v>2.5</v>
      </c>
    </row>
    <row r="95" s="106" customFormat="1" ht="16.5" spans="2:26">
      <c r="B95" s="117">
        <v>66</v>
      </c>
      <c r="C95" s="130">
        <f t="shared" si="23"/>
        <v>6600</v>
      </c>
      <c r="D95" s="131">
        <f ca="1" t="shared" ref="D95:D158" si="25">IFERROR(MATCH(D700*10,OFFSET($AP$635:$AP$734,0,D$631),1),0)</f>
        <v>36</v>
      </c>
      <c r="E95" s="131">
        <f ca="1" t="shared" ref="E95:E158" si="26">IFERROR(MATCH(E700*10,OFFSET($AP$635:$AP$734,0,E$631),1),0)</f>
        <v>36</v>
      </c>
      <c r="F95" s="131">
        <f ca="1" t="shared" ref="F95:F158" si="27">IFERROR(MATCH(F700*10,OFFSET($AP$635:$AP$734,0,F$631),1),0)</f>
        <v>36</v>
      </c>
      <c r="G95" s="131">
        <f ca="1" t="shared" ref="G95:G158" si="28">IFERROR(MATCH(G700*10,OFFSET($AP$635:$AP$734,0,G$631),1),0)</f>
        <v>25</v>
      </c>
      <c r="H95" s="131">
        <f ca="1" t="shared" ref="H95:H158" si="29">IFERROR(MATCH(H700*10,OFFSET($AP$635:$AP$734,0,H$631),1),0)</f>
        <v>25</v>
      </c>
      <c r="I95" s="131">
        <f ca="1" t="shared" ref="I95:I158" si="30">IFERROR(MATCH(I700*10,OFFSET($AP$635:$AP$734,0,I$631),1),0)</f>
        <v>25</v>
      </c>
      <c r="J95" s="131">
        <f ca="1" t="shared" ref="J95:J158" si="31">IFERROR(MATCH(J700*10,OFFSET($AP$635:$AP$734,0,J$631),1),0)</f>
        <v>25</v>
      </c>
      <c r="K95" s="131">
        <f ca="1" t="shared" ref="K95:K158" si="32">IFERROR(MATCH(K700*10,OFFSET($AP$635:$AP$734,0,K$631),1),0)</f>
        <v>25</v>
      </c>
      <c r="L95" s="131">
        <f ca="1" t="shared" ref="L95:L158" si="33">IFERROR(MATCH(L700*10,OFFSET($AP$635:$AP$734,0,L$631),1),0)</f>
        <v>25</v>
      </c>
      <c r="M95" s="131">
        <f ca="1" t="shared" ref="M95:M158" si="34">IFERROR(MATCH(M700*10,OFFSET($AP$635:$AP$734,0,M$631),1),0)</f>
        <v>16</v>
      </c>
      <c r="N95" s="131">
        <f ca="1" t="shared" ref="N95:N158" si="35">IFERROR(MATCH(N700*10,OFFSET($AP$635:$AP$734,0,N$631),1),0)</f>
        <v>16</v>
      </c>
      <c r="O95" s="131">
        <f ca="1" t="shared" ref="O95:O158" si="36">IFERROR(MATCH(O700*10,OFFSET($AP$635:$AP$734,0,O$631),1),0)</f>
        <v>16</v>
      </c>
      <c r="P95" s="131">
        <f ca="1" t="shared" ref="P95:P158" si="37">IFERROR(MATCH(P700*10,OFFSET($AP$635:$AP$734,0,P$631),1),0)</f>
        <v>15</v>
      </c>
      <c r="Q95" s="131">
        <f ca="1" t="shared" ref="Q95:Q158" si="38">IFERROR(MATCH(Q700*10,OFFSET($AP$635:$AP$734,0,Q$631),1),0)</f>
        <v>17</v>
      </c>
      <c r="R95" s="131">
        <f ca="1" t="shared" ref="R95:R158" si="39">IFERROR(MATCH(R700*10,OFFSET($AP$635:$AP$734,0,R$631),1),0)</f>
        <v>16</v>
      </c>
      <c r="S95" s="131">
        <f ca="1" t="shared" ref="S95:S158" si="40">IFERROR(MATCH(S700*10,OFFSET($AP$635:$AP$734,0,S$631),1),0)</f>
        <v>17</v>
      </c>
      <c r="T95" s="131">
        <f ca="1" t="shared" ref="T95:T158" si="41">IFERROR(MATCH(T700*10,OFFSET($AP$635:$AP$734,0,T$631),1),0)</f>
        <v>12</v>
      </c>
      <c r="U95" s="131">
        <f ca="1" t="shared" ref="U95:U158" si="42">IFERROR(MATCH(U700*10,OFFSET($AP$635:$AP$734,0,U$631),1),0)</f>
        <v>13</v>
      </c>
      <c r="V95" s="131">
        <f ca="1" t="shared" ref="V95:V158" si="43">IFERROR(MATCH(V700*10,OFFSET($AP$635:$AP$734,0,V$631),1),0)</f>
        <v>16</v>
      </c>
      <c r="W95" s="124">
        <f ca="1">OFFSET($K$19,_xlfn.XLOOKUP(X95,$D$9:$D$28,$H$9:$H$28),MATCH(OFFSET($C$29,B95,MATCH(X95,$D$29:$V$29,0)),$L$19:$R$19,1))*(1+(OFFSET($C$29,B95,MATCH(X95,$D$29:$V$29,0))-1)*_xlfn.XLOOKUP(X95,梦灵养成!$D$9:$D$28,梦灵养成!$G$9:$G$28))</f>
        <v>10.95</v>
      </c>
      <c r="X95" s="106" t="str">
        <f ca="1" t="shared" si="24"/>
        <v>神算诸葛</v>
      </c>
      <c r="Y95" s="95">
        <f ca="1" t="shared" ref="Y95:Y158" si="44">MAX((OFFSET($C$29,MATCH(W95*1.07,$W$30:$W$629,1)+1,0)-C95)*18,0)</f>
        <v>19800</v>
      </c>
      <c r="Z95" s="96">
        <f ca="1" t="shared" ref="Z95:Z158" si="45">_xlfn.XLOOKUP(X95,$D$9:$D$27,$G$9:$G$27)*(OFFSET($B95,0,MATCH($X95,$D$29:$V$29,0)+1)-1)+1</f>
        <v>2.5</v>
      </c>
    </row>
    <row r="96" s="106" customFormat="1" ht="16.5" spans="2:26">
      <c r="B96" s="117">
        <v>67</v>
      </c>
      <c r="C96" s="130">
        <f t="shared" ref="C96:C159" si="46">C95+100</f>
        <v>6700</v>
      </c>
      <c r="D96" s="131">
        <f ca="1" t="shared" si="25"/>
        <v>36</v>
      </c>
      <c r="E96" s="131">
        <f ca="1" t="shared" si="26"/>
        <v>36</v>
      </c>
      <c r="F96" s="131">
        <f ca="1" t="shared" si="27"/>
        <v>36</v>
      </c>
      <c r="G96" s="131">
        <f ca="1" t="shared" si="28"/>
        <v>25</v>
      </c>
      <c r="H96" s="131">
        <f ca="1" t="shared" si="29"/>
        <v>25</v>
      </c>
      <c r="I96" s="131">
        <f ca="1" t="shared" si="30"/>
        <v>25</v>
      </c>
      <c r="J96" s="131">
        <f ca="1" t="shared" si="31"/>
        <v>25</v>
      </c>
      <c r="K96" s="131">
        <f ca="1" t="shared" si="32"/>
        <v>25</v>
      </c>
      <c r="L96" s="131">
        <f ca="1" t="shared" si="33"/>
        <v>25</v>
      </c>
      <c r="M96" s="131">
        <f ca="1" t="shared" si="34"/>
        <v>16</v>
      </c>
      <c r="N96" s="131">
        <f ca="1" t="shared" si="35"/>
        <v>16</v>
      </c>
      <c r="O96" s="131">
        <f ca="1" t="shared" si="36"/>
        <v>16</v>
      </c>
      <c r="P96" s="131">
        <f ca="1" t="shared" si="37"/>
        <v>15</v>
      </c>
      <c r="Q96" s="131">
        <f ca="1" t="shared" si="38"/>
        <v>17</v>
      </c>
      <c r="R96" s="131">
        <f ca="1" t="shared" si="39"/>
        <v>16</v>
      </c>
      <c r="S96" s="131">
        <f ca="1" t="shared" si="40"/>
        <v>17</v>
      </c>
      <c r="T96" s="131">
        <f ca="1" t="shared" si="41"/>
        <v>12</v>
      </c>
      <c r="U96" s="131">
        <f ca="1" t="shared" si="42"/>
        <v>13</v>
      </c>
      <c r="V96" s="131">
        <f ca="1" t="shared" si="43"/>
        <v>16</v>
      </c>
      <c r="W96" s="124">
        <f ca="1">OFFSET($K$19,_xlfn.XLOOKUP(X96,$D$9:$D$28,$H$9:$H$28),MATCH(OFFSET($C$29,B96,MATCH(X96,$D$29:$V$29,0)),$L$19:$R$19,1))*(1+(OFFSET($C$29,B96,MATCH(X96,$D$29:$V$29,0))-1)*_xlfn.XLOOKUP(X96,梦灵养成!$D$9:$D$28,梦灵养成!$G$9:$G$28))</f>
        <v>10.95</v>
      </c>
      <c r="X96" s="106" t="str">
        <f ca="1" t="shared" si="24"/>
        <v>神算诸葛</v>
      </c>
      <c r="Y96" s="95">
        <f ca="1" t="shared" si="44"/>
        <v>18000</v>
      </c>
      <c r="Z96" s="96">
        <f ca="1" t="shared" si="45"/>
        <v>2.5</v>
      </c>
    </row>
    <row r="97" s="106" customFormat="1" ht="16.5" spans="2:26">
      <c r="B97" s="117">
        <v>68</v>
      </c>
      <c r="C97" s="130">
        <f t="shared" si="46"/>
        <v>6800</v>
      </c>
      <c r="D97" s="131">
        <f ca="1" t="shared" si="25"/>
        <v>37</v>
      </c>
      <c r="E97" s="131">
        <f ca="1" t="shared" si="26"/>
        <v>37</v>
      </c>
      <c r="F97" s="131">
        <f ca="1" t="shared" si="27"/>
        <v>37</v>
      </c>
      <c r="G97" s="131">
        <f ca="1" t="shared" si="28"/>
        <v>25</v>
      </c>
      <c r="H97" s="131">
        <f ca="1" t="shared" si="29"/>
        <v>25</v>
      </c>
      <c r="I97" s="131">
        <f ca="1" t="shared" si="30"/>
        <v>25</v>
      </c>
      <c r="J97" s="131">
        <f ca="1" t="shared" si="31"/>
        <v>25</v>
      </c>
      <c r="K97" s="131">
        <f ca="1" t="shared" si="32"/>
        <v>25</v>
      </c>
      <c r="L97" s="131">
        <f ca="1" t="shared" si="33"/>
        <v>25</v>
      </c>
      <c r="M97" s="131">
        <f ca="1" t="shared" si="34"/>
        <v>16</v>
      </c>
      <c r="N97" s="131">
        <f ca="1" t="shared" si="35"/>
        <v>16</v>
      </c>
      <c r="O97" s="131">
        <f ca="1" t="shared" si="36"/>
        <v>17</v>
      </c>
      <c r="P97" s="131">
        <f ca="1" t="shared" si="37"/>
        <v>15</v>
      </c>
      <c r="Q97" s="131">
        <f ca="1" t="shared" si="38"/>
        <v>17</v>
      </c>
      <c r="R97" s="131">
        <f ca="1" t="shared" si="39"/>
        <v>16</v>
      </c>
      <c r="S97" s="131">
        <f ca="1" t="shared" si="40"/>
        <v>17</v>
      </c>
      <c r="T97" s="131">
        <f ca="1" t="shared" si="41"/>
        <v>12</v>
      </c>
      <c r="U97" s="131">
        <f ca="1" t="shared" si="42"/>
        <v>13</v>
      </c>
      <c r="V97" s="131">
        <f ca="1" t="shared" si="43"/>
        <v>17</v>
      </c>
      <c r="W97" s="124">
        <f ca="1">OFFSET($K$19,_xlfn.XLOOKUP(X97,$D$9:$D$28,$H$9:$H$28),MATCH(OFFSET($C$29,B97,MATCH(X97,$D$29:$V$29,0)),$L$19:$R$19,1))*(1+(OFFSET($C$29,B97,MATCH(X97,$D$29:$V$29,0))-1)*_xlfn.XLOOKUP(X97,梦灵养成!$D$9:$D$28,梦灵养成!$G$9:$G$28))</f>
        <v>11.388</v>
      </c>
      <c r="X97" s="106" t="str">
        <f ca="1" t="shared" si="24"/>
        <v>神算诸葛</v>
      </c>
      <c r="Y97" s="95">
        <f ca="1" t="shared" si="44"/>
        <v>19800</v>
      </c>
      <c r="Z97" s="96">
        <f ca="1" t="shared" si="45"/>
        <v>2.6</v>
      </c>
    </row>
    <row r="98" s="106" customFormat="1" ht="16.5" spans="2:26">
      <c r="B98" s="117">
        <v>69</v>
      </c>
      <c r="C98" s="130">
        <f t="shared" si="46"/>
        <v>6900</v>
      </c>
      <c r="D98" s="131">
        <f ca="1" t="shared" si="25"/>
        <v>37</v>
      </c>
      <c r="E98" s="131">
        <f ca="1" t="shared" si="26"/>
        <v>37</v>
      </c>
      <c r="F98" s="131">
        <f ca="1" t="shared" si="27"/>
        <v>37</v>
      </c>
      <c r="G98" s="131">
        <f ca="1" t="shared" si="28"/>
        <v>25</v>
      </c>
      <c r="H98" s="131">
        <f ca="1" t="shared" si="29"/>
        <v>25</v>
      </c>
      <c r="I98" s="131">
        <f ca="1" t="shared" si="30"/>
        <v>25</v>
      </c>
      <c r="J98" s="131">
        <f ca="1" t="shared" si="31"/>
        <v>25</v>
      </c>
      <c r="K98" s="131">
        <f ca="1" t="shared" si="32"/>
        <v>25</v>
      </c>
      <c r="L98" s="131">
        <f ca="1" t="shared" si="33"/>
        <v>25</v>
      </c>
      <c r="M98" s="131">
        <f ca="1" t="shared" si="34"/>
        <v>16</v>
      </c>
      <c r="N98" s="131">
        <f ca="1" t="shared" si="35"/>
        <v>16</v>
      </c>
      <c r="O98" s="131">
        <f ca="1" t="shared" si="36"/>
        <v>17</v>
      </c>
      <c r="P98" s="131">
        <f ca="1" t="shared" si="37"/>
        <v>16</v>
      </c>
      <c r="Q98" s="131">
        <f ca="1" t="shared" si="38"/>
        <v>17</v>
      </c>
      <c r="R98" s="131">
        <f ca="1" t="shared" si="39"/>
        <v>16</v>
      </c>
      <c r="S98" s="131">
        <f ca="1" t="shared" si="40"/>
        <v>17</v>
      </c>
      <c r="T98" s="131">
        <f ca="1" t="shared" si="41"/>
        <v>13</v>
      </c>
      <c r="U98" s="131">
        <f ca="1" t="shared" si="42"/>
        <v>14</v>
      </c>
      <c r="V98" s="131">
        <f ca="1" t="shared" si="43"/>
        <v>17</v>
      </c>
      <c r="W98" s="124">
        <f ca="1">OFFSET($K$19,_xlfn.XLOOKUP(X98,$D$9:$D$28,$H$9:$H$28),MATCH(OFFSET($C$29,B98,MATCH(X98,$D$29:$V$29,0)),$L$19:$R$19,1))*(1+(OFFSET($C$29,B98,MATCH(X98,$D$29:$V$29,0))-1)*_xlfn.XLOOKUP(X98,梦灵养成!$D$9:$D$28,梦灵养成!$G$9:$G$28))</f>
        <v>11.388</v>
      </c>
      <c r="X98" s="106" t="str">
        <f ca="1" t="shared" si="24"/>
        <v>神算诸葛</v>
      </c>
      <c r="Y98" s="95">
        <f ca="1" t="shared" si="44"/>
        <v>18000</v>
      </c>
      <c r="Z98" s="96">
        <f ca="1" t="shared" si="45"/>
        <v>2.6</v>
      </c>
    </row>
    <row r="99" s="106" customFormat="1" ht="16.5" spans="2:26">
      <c r="B99" s="117">
        <v>70</v>
      </c>
      <c r="C99" s="130">
        <f t="shared" si="46"/>
        <v>7000</v>
      </c>
      <c r="D99" s="131">
        <f ca="1" t="shared" si="25"/>
        <v>37</v>
      </c>
      <c r="E99" s="131">
        <f ca="1" t="shared" si="26"/>
        <v>37</v>
      </c>
      <c r="F99" s="131">
        <f ca="1" t="shared" si="27"/>
        <v>37</v>
      </c>
      <c r="G99" s="131">
        <f ca="1" t="shared" si="28"/>
        <v>26</v>
      </c>
      <c r="H99" s="131">
        <f ca="1" t="shared" si="29"/>
        <v>26</v>
      </c>
      <c r="I99" s="131">
        <f ca="1" t="shared" si="30"/>
        <v>26</v>
      </c>
      <c r="J99" s="131">
        <f ca="1" t="shared" si="31"/>
        <v>25</v>
      </c>
      <c r="K99" s="131">
        <f ca="1" t="shared" si="32"/>
        <v>25</v>
      </c>
      <c r="L99" s="131">
        <f ca="1" t="shared" si="33"/>
        <v>25</v>
      </c>
      <c r="M99" s="131">
        <f ca="1" t="shared" si="34"/>
        <v>16</v>
      </c>
      <c r="N99" s="131">
        <f ca="1" t="shared" si="35"/>
        <v>16</v>
      </c>
      <c r="O99" s="131">
        <f ca="1" t="shared" si="36"/>
        <v>17</v>
      </c>
      <c r="P99" s="131">
        <f ca="1" t="shared" si="37"/>
        <v>16</v>
      </c>
      <c r="Q99" s="131">
        <f ca="1" t="shared" si="38"/>
        <v>17</v>
      </c>
      <c r="R99" s="131">
        <f ca="1" t="shared" si="39"/>
        <v>16</v>
      </c>
      <c r="S99" s="131">
        <f ca="1" t="shared" si="40"/>
        <v>18</v>
      </c>
      <c r="T99" s="131">
        <f ca="1" t="shared" si="41"/>
        <v>13</v>
      </c>
      <c r="U99" s="131">
        <f ca="1" t="shared" si="42"/>
        <v>14</v>
      </c>
      <c r="V99" s="131">
        <f ca="1" t="shared" si="43"/>
        <v>17</v>
      </c>
      <c r="W99" s="124">
        <f ca="1">OFFSET($K$19,_xlfn.XLOOKUP(X99,$D$9:$D$28,$H$9:$H$28),MATCH(OFFSET($C$29,B99,MATCH(X99,$D$29:$V$29,0)),$L$19:$R$19,1))*(1+(OFFSET($C$29,B99,MATCH(X99,$D$29:$V$29,0))-1)*_xlfn.XLOOKUP(X99,梦灵养成!$D$9:$D$28,梦灵养成!$G$9:$G$28))</f>
        <v>11.388</v>
      </c>
      <c r="X99" s="106" t="str">
        <f ca="1" t="shared" si="24"/>
        <v>神算诸葛</v>
      </c>
      <c r="Y99" s="95">
        <f ca="1" t="shared" si="44"/>
        <v>16200</v>
      </c>
      <c r="Z99" s="96">
        <f ca="1" t="shared" si="45"/>
        <v>2.6</v>
      </c>
    </row>
    <row r="100" s="106" customFormat="1" ht="16.5" spans="2:26">
      <c r="B100" s="117">
        <v>71</v>
      </c>
      <c r="C100" s="130">
        <f t="shared" si="46"/>
        <v>7100</v>
      </c>
      <c r="D100" s="131">
        <f ca="1" t="shared" si="25"/>
        <v>37</v>
      </c>
      <c r="E100" s="131">
        <f ca="1" t="shared" si="26"/>
        <v>37</v>
      </c>
      <c r="F100" s="131">
        <f ca="1" t="shared" si="27"/>
        <v>37</v>
      </c>
      <c r="G100" s="131">
        <f ca="1" t="shared" si="28"/>
        <v>26</v>
      </c>
      <c r="H100" s="131">
        <f ca="1" t="shared" si="29"/>
        <v>26</v>
      </c>
      <c r="I100" s="131">
        <f ca="1" t="shared" si="30"/>
        <v>26</v>
      </c>
      <c r="J100" s="131">
        <f ca="1" t="shared" si="31"/>
        <v>26</v>
      </c>
      <c r="K100" s="131">
        <f ca="1" t="shared" si="32"/>
        <v>25</v>
      </c>
      <c r="L100" s="131">
        <f ca="1" t="shared" si="33"/>
        <v>25</v>
      </c>
      <c r="M100" s="131">
        <f ca="1" t="shared" si="34"/>
        <v>16</v>
      </c>
      <c r="N100" s="131">
        <f ca="1" t="shared" si="35"/>
        <v>16</v>
      </c>
      <c r="O100" s="131">
        <f ca="1" t="shared" si="36"/>
        <v>17</v>
      </c>
      <c r="P100" s="131">
        <f ca="1" t="shared" si="37"/>
        <v>16</v>
      </c>
      <c r="Q100" s="131">
        <f ca="1" t="shared" si="38"/>
        <v>17</v>
      </c>
      <c r="R100" s="131">
        <f ca="1" t="shared" si="39"/>
        <v>16</v>
      </c>
      <c r="S100" s="131">
        <f ca="1" t="shared" si="40"/>
        <v>18</v>
      </c>
      <c r="T100" s="131">
        <f ca="1" t="shared" si="41"/>
        <v>13</v>
      </c>
      <c r="U100" s="131">
        <f ca="1" t="shared" si="42"/>
        <v>14</v>
      </c>
      <c r="V100" s="131">
        <f ca="1" t="shared" si="43"/>
        <v>17</v>
      </c>
      <c r="W100" s="124">
        <f ca="1">OFFSET($K$19,_xlfn.XLOOKUP(X100,$D$9:$D$28,$H$9:$H$28),MATCH(OFFSET($C$29,B100,MATCH(X100,$D$29:$V$29,0)),$L$19:$R$19,1))*(1+(OFFSET($C$29,B100,MATCH(X100,$D$29:$V$29,0))-1)*_xlfn.XLOOKUP(X100,梦灵养成!$D$9:$D$28,梦灵养成!$G$9:$G$28))</f>
        <v>11.388</v>
      </c>
      <c r="X100" s="106" t="str">
        <f ca="1" t="shared" si="24"/>
        <v>神算诸葛</v>
      </c>
      <c r="Y100" s="95">
        <f ca="1" t="shared" si="44"/>
        <v>14400</v>
      </c>
      <c r="Z100" s="96">
        <f ca="1" t="shared" si="45"/>
        <v>2.6</v>
      </c>
    </row>
    <row r="101" s="106" customFormat="1" ht="16.5" spans="2:26">
      <c r="B101" s="117">
        <v>72</v>
      </c>
      <c r="C101" s="130">
        <f t="shared" si="46"/>
        <v>7200</v>
      </c>
      <c r="D101" s="131">
        <f ca="1" t="shared" si="25"/>
        <v>37</v>
      </c>
      <c r="E101" s="131">
        <f ca="1" t="shared" si="26"/>
        <v>37</v>
      </c>
      <c r="F101" s="131">
        <f ca="1" t="shared" si="27"/>
        <v>37</v>
      </c>
      <c r="G101" s="131">
        <f ca="1" t="shared" si="28"/>
        <v>26</v>
      </c>
      <c r="H101" s="131">
        <f ca="1" t="shared" si="29"/>
        <v>26</v>
      </c>
      <c r="I101" s="131">
        <f ca="1" t="shared" si="30"/>
        <v>26</v>
      </c>
      <c r="J101" s="131">
        <f ca="1" t="shared" si="31"/>
        <v>26</v>
      </c>
      <c r="K101" s="131">
        <f ca="1" t="shared" si="32"/>
        <v>26</v>
      </c>
      <c r="L101" s="131">
        <f ca="1" t="shared" si="33"/>
        <v>26</v>
      </c>
      <c r="M101" s="131">
        <f ca="1" t="shared" si="34"/>
        <v>16</v>
      </c>
      <c r="N101" s="131">
        <f ca="1" t="shared" si="35"/>
        <v>17</v>
      </c>
      <c r="O101" s="131">
        <f ca="1" t="shared" si="36"/>
        <v>17</v>
      </c>
      <c r="P101" s="131">
        <f ca="1" t="shared" si="37"/>
        <v>16</v>
      </c>
      <c r="Q101" s="131">
        <f ca="1" t="shared" si="38"/>
        <v>17</v>
      </c>
      <c r="R101" s="131">
        <f ca="1" t="shared" si="39"/>
        <v>16</v>
      </c>
      <c r="S101" s="131">
        <f ca="1" t="shared" si="40"/>
        <v>18</v>
      </c>
      <c r="T101" s="131">
        <f ca="1" t="shared" si="41"/>
        <v>13</v>
      </c>
      <c r="U101" s="131">
        <f ca="1" t="shared" si="42"/>
        <v>14</v>
      </c>
      <c r="V101" s="131">
        <f ca="1" t="shared" si="43"/>
        <v>17</v>
      </c>
      <c r="W101" s="124">
        <f ca="1">OFFSET($K$19,_xlfn.XLOOKUP(X101,$D$9:$D$28,$H$9:$H$28),MATCH(OFFSET($C$29,B101,MATCH(X101,$D$29:$V$29,0)),$L$19:$R$19,1))*(1+(OFFSET($C$29,B101,MATCH(X101,$D$29:$V$29,0))-1)*_xlfn.XLOOKUP(X101,梦灵养成!$D$9:$D$28,梦灵养成!$G$9:$G$28))</f>
        <v>11.388</v>
      </c>
      <c r="X101" s="106" t="str">
        <f ca="1" t="shared" si="24"/>
        <v>神算诸葛</v>
      </c>
      <c r="Y101" s="95">
        <f ca="1" t="shared" si="44"/>
        <v>12600</v>
      </c>
      <c r="Z101" s="96">
        <f ca="1" t="shared" si="45"/>
        <v>2.6</v>
      </c>
    </row>
    <row r="102" s="106" customFormat="1" ht="16.5" spans="2:26">
      <c r="B102" s="117">
        <v>73</v>
      </c>
      <c r="C102" s="130">
        <f t="shared" si="46"/>
        <v>7300</v>
      </c>
      <c r="D102" s="131">
        <f ca="1" t="shared" si="25"/>
        <v>37</v>
      </c>
      <c r="E102" s="131">
        <f ca="1" t="shared" si="26"/>
        <v>37</v>
      </c>
      <c r="F102" s="131">
        <f ca="1" t="shared" si="27"/>
        <v>37</v>
      </c>
      <c r="G102" s="131">
        <f ca="1" t="shared" si="28"/>
        <v>26</v>
      </c>
      <c r="H102" s="131">
        <f ca="1" t="shared" si="29"/>
        <v>26</v>
      </c>
      <c r="I102" s="131">
        <f ca="1" t="shared" si="30"/>
        <v>26</v>
      </c>
      <c r="J102" s="131">
        <f ca="1" t="shared" si="31"/>
        <v>26</v>
      </c>
      <c r="K102" s="131">
        <f ca="1" t="shared" si="32"/>
        <v>26</v>
      </c>
      <c r="L102" s="131">
        <f ca="1" t="shared" si="33"/>
        <v>26</v>
      </c>
      <c r="M102" s="131">
        <f ca="1" t="shared" si="34"/>
        <v>17</v>
      </c>
      <c r="N102" s="131">
        <f ca="1" t="shared" si="35"/>
        <v>17</v>
      </c>
      <c r="O102" s="131">
        <f ca="1" t="shared" si="36"/>
        <v>17</v>
      </c>
      <c r="P102" s="131">
        <f ca="1" t="shared" si="37"/>
        <v>16</v>
      </c>
      <c r="Q102" s="131">
        <f ca="1" t="shared" si="38"/>
        <v>18</v>
      </c>
      <c r="R102" s="131">
        <f ca="1" t="shared" si="39"/>
        <v>17</v>
      </c>
      <c r="S102" s="131">
        <f ca="1" t="shared" si="40"/>
        <v>18</v>
      </c>
      <c r="T102" s="131">
        <f ca="1" t="shared" si="41"/>
        <v>13</v>
      </c>
      <c r="U102" s="131">
        <f ca="1" t="shared" si="42"/>
        <v>14</v>
      </c>
      <c r="V102" s="131">
        <f ca="1" t="shared" si="43"/>
        <v>17</v>
      </c>
      <c r="W102" s="124">
        <f ca="1">OFFSET($K$19,_xlfn.XLOOKUP(X102,$D$9:$D$28,$H$9:$H$28),MATCH(OFFSET($C$29,B102,MATCH(X102,$D$29:$V$29,0)),$L$19:$R$19,1))*(1+(OFFSET($C$29,B102,MATCH(X102,$D$29:$V$29,0))-1)*_xlfn.XLOOKUP(X102,梦灵养成!$D$9:$D$28,梦灵养成!$G$9:$G$28))</f>
        <v>11.388</v>
      </c>
      <c r="X102" s="106" t="str">
        <f ca="1" t="shared" si="24"/>
        <v>神算诸葛</v>
      </c>
      <c r="Y102" s="95">
        <f ca="1" t="shared" si="44"/>
        <v>10800</v>
      </c>
      <c r="Z102" s="96">
        <f ca="1" t="shared" si="45"/>
        <v>2.6</v>
      </c>
    </row>
    <row r="103" s="106" customFormat="1" ht="16.5" spans="2:26">
      <c r="B103" s="117">
        <v>74</v>
      </c>
      <c r="C103" s="130">
        <f t="shared" si="46"/>
        <v>7400</v>
      </c>
      <c r="D103" s="131">
        <f ca="1" t="shared" si="25"/>
        <v>37</v>
      </c>
      <c r="E103" s="131">
        <f ca="1" t="shared" si="26"/>
        <v>37</v>
      </c>
      <c r="F103" s="131">
        <f ca="1" t="shared" si="27"/>
        <v>37</v>
      </c>
      <c r="G103" s="131">
        <f ca="1" t="shared" si="28"/>
        <v>26</v>
      </c>
      <c r="H103" s="131">
        <f ca="1" t="shared" si="29"/>
        <v>26</v>
      </c>
      <c r="I103" s="131">
        <f ca="1" t="shared" si="30"/>
        <v>26</v>
      </c>
      <c r="J103" s="131">
        <f ca="1" t="shared" si="31"/>
        <v>26</v>
      </c>
      <c r="K103" s="131">
        <f ca="1" t="shared" si="32"/>
        <v>26</v>
      </c>
      <c r="L103" s="131">
        <f ca="1" t="shared" si="33"/>
        <v>26</v>
      </c>
      <c r="M103" s="131">
        <f ca="1" t="shared" si="34"/>
        <v>17</v>
      </c>
      <c r="N103" s="131">
        <f ca="1" t="shared" si="35"/>
        <v>17</v>
      </c>
      <c r="O103" s="131">
        <f ca="1" t="shared" si="36"/>
        <v>17</v>
      </c>
      <c r="P103" s="131">
        <f ca="1" t="shared" si="37"/>
        <v>16</v>
      </c>
      <c r="Q103" s="131">
        <f ca="1" t="shared" si="38"/>
        <v>18</v>
      </c>
      <c r="R103" s="131">
        <f ca="1" t="shared" si="39"/>
        <v>17</v>
      </c>
      <c r="S103" s="131">
        <f ca="1" t="shared" si="40"/>
        <v>18</v>
      </c>
      <c r="T103" s="131">
        <f ca="1" t="shared" si="41"/>
        <v>13</v>
      </c>
      <c r="U103" s="131">
        <f ca="1" t="shared" si="42"/>
        <v>14</v>
      </c>
      <c r="V103" s="131">
        <f ca="1" t="shared" si="43"/>
        <v>17</v>
      </c>
      <c r="W103" s="124">
        <f ca="1">OFFSET($K$19,_xlfn.XLOOKUP(X103,$D$9:$D$28,$H$9:$H$28),MATCH(OFFSET($C$29,B103,MATCH(X103,$D$29:$V$29,0)),$L$19:$R$19,1))*(1+(OFFSET($C$29,B103,MATCH(X103,$D$29:$V$29,0))-1)*_xlfn.XLOOKUP(X103,梦灵养成!$D$9:$D$28,梦灵养成!$G$9:$G$28))</f>
        <v>11.388</v>
      </c>
      <c r="X103" s="106" t="str">
        <f ca="1" t="shared" si="24"/>
        <v>神算诸葛</v>
      </c>
      <c r="Y103" s="95">
        <f ca="1" t="shared" si="44"/>
        <v>9000</v>
      </c>
      <c r="Z103" s="96">
        <f ca="1" t="shared" si="45"/>
        <v>2.6</v>
      </c>
    </row>
    <row r="104" s="106" customFormat="1" ht="16.5" spans="2:26">
      <c r="B104" s="117">
        <v>75</v>
      </c>
      <c r="C104" s="130">
        <f t="shared" si="46"/>
        <v>7500</v>
      </c>
      <c r="D104" s="131">
        <f ca="1" t="shared" si="25"/>
        <v>37</v>
      </c>
      <c r="E104" s="131">
        <f ca="1" t="shared" si="26"/>
        <v>37</v>
      </c>
      <c r="F104" s="131">
        <f ca="1" t="shared" si="27"/>
        <v>37</v>
      </c>
      <c r="G104" s="131">
        <f ca="1" t="shared" si="28"/>
        <v>26</v>
      </c>
      <c r="H104" s="131">
        <f ca="1" t="shared" si="29"/>
        <v>26</v>
      </c>
      <c r="I104" s="131">
        <f ca="1" t="shared" si="30"/>
        <v>26</v>
      </c>
      <c r="J104" s="131">
        <f ca="1" t="shared" si="31"/>
        <v>26</v>
      </c>
      <c r="K104" s="131">
        <f ca="1" t="shared" si="32"/>
        <v>26</v>
      </c>
      <c r="L104" s="131">
        <f ca="1" t="shared" si="33"/>
        <v>26</v>
      </c>
      <c r="M104" s="131">
        <f ca="1" t="shared" si="34"/>
        <v>17</v>
      </c>
      <c r="N104" s="131">
        <f ca="1" t="shared" si="35"/>
        <v>17</v>
      </c>
      <c r="O104" s="131">
        <f ca="1" t="shared" si="36"/>
        <v>17</v>
      </c>
      <c r="P104" s="131">
        <f ca="1" t="shared" si="37"/>
        <v>16</v>
      </c>
      <c r="Q104" s="131">
        <f ca="1" t="shared" si="38"/>
        <v>18</v>
      </c>
      <c r="R104" s="131">
        <f ca="1" t="shared" si="39"/>
        <v>17</v>
      </c>
      <c r="S104" s="131">
        <f ca="1" t="shared" si="40"/>
        <v>18</v>
      </c>
      <c r="T104" s="131">
        <f ca="1" t="shared" si="41"/>
        <v>13</v>
      </c>
      <c r="U104" s="131">
        <f ca="1" t="shared" si="42"/>
        <v>15</v>
      </c>
      <c r="V104" s="131">
        <f ca="1" t="shared" si="43"/>
        <v>17</v>
      </c>
      <c r="W104" s="124">
        <f ca="1">OFFSET($K$19,_xlfn.XLOOKUP(X104,$D$9:$D$28,$H$9:$H$28),MATCH(OFFSET($C$29,B104,MATCH(X104,$D$29:$V$29,0)),$L$19:$R$19,1))*(1+(OFFSET($C$29,B104,MATCH(X104,$D$29:$V$29,0))-1)*_xlfn.XLOOKUP(X104,梦灵养成!$D$9:$D$28,梦灵养成!$G$9:$G$28))</f>
        <v>11.388</v>
      </c>
      <c r="X104" s="106" t="str">
        <f ca="1" t="shared" si="24"/>
        <v>神算诸葛</v>
      </c>
      <c r="Y104" s="95">
        <f ca="1" t="shared" si="44"/>
        <v>7200</v>
      </c>
      <c r="Z104" s="96">
        <f ca="1" t="shared" si="45"/>
        <v>2.6</v>
      </c>
    </row>
    <row r="105" s="106" customFormat="1" ht="16.5" spans="2:26">
      <c r="B105" s="117">
        <v>76</v>
      </c>
      <c r="C105" s="130">
        <f t="shared" si="46"/>
        <v>7600</v>
      </c>
      <c r="D105" s="131">
        <f ca="1" t="shared" si="25"/>
        <v>37</v>
      </c>
      <c r="E105" s="131">
        <f ca="1" t="shared" si="26"/>
        <v>37</v>
      </c>
      <c r="F105" s="131">
        <f ca="1" t="shared" si="27"/>
        <v>37</v>
      </c>
      <c r="G105" s="131">
        <f ca="1" t="shared" si="28"/>
        <v>26</v>
      </c>
      <c r="H105" s="131">
        <f ca="1" t="shared" si="29"/>
        <v>26</v>
      </c>
      <c r="I105" s="131">
        <f ca="1" t="shared" si="30"/>
        <v>26</v>
      </c>
      <c r="J105" s="131">
        <f ca="1" t="shared" si="31"/>
        <v>26</v>
      </c>
      <c r="K105" s="131">
        <f ca="1" t="shared" si="32"/>
        <v>26</v>
      </c>
      <c r="L105" s="131">
        <f ca="1" t="shared" si="33"/>
        <v>26</v>
      </c>
      <c r="M105" s="131">
        <f ca="1" t="shared" si="34"/>
        <v>17</v>
      </c>
      <c r="N105" s="131">
        <f ca="1" t="shared" si="35"/>
        <v>17</v>
      </c>
      <c r="O105" s="131">
        <f ca="1" t="shared" si="36"/>
        <v>18</v>
      </c>
      <c r="P105" s="131">
        <f ca="1" t="shared" si="37"/>
        <v>16</v>
      </c>
      <c r="Q105" s="131">
        <f ca="1" t="shared" si="38"/>
        <v>18</v>
      </c>
      <c r="R105" s="131">
        <f ca="1" t="shared" si="39"/>
        <v>17</v>
      </c>
      <c r="S105" s="131">
        <f ca="1" t="shared" si="40"/>
        <v>18</v>
      </c>
      <c r="T105" s="131">
        <f ca="1" t="shared" si="41"/>
        <v>14</v>
      </c>
      <c r="U105" s="131">
        <f ca="1" t="shared" si="42"/>
        <v>15</v>
      </c>
      <c r="V105" s="131">
        <f ca="1" t="shared" si="43"/>
        <v>17</v>
      </c>
      <c r="W105" s="124">
        <f ca="1">OFFSET($K$19,_xlfn.XLOOKUP(X105,$D$9:$D$28,$H$9:$H$28),MATCH(OFFSET($C$29,B105,MATCH(X105,$D$29:$V$29,0)),$L$19:$R$19,1))*(1+(OFFSET($C$29,B105,MATCH(X105,$D$29:$V$29,0))-1)*_xlfn.XLOOKUP(X105,梦灵养成!$D$9:$D$28,梦灵养成!$G$9:$G$28))</f>
        <v>11.388</v>
      </c>
      <c r="X105" s="106" t="str">
        <f ca="1" t="shared" si="24"/>
        <v>神算诸葛</v>
      </c>
      <c r="Y105" s="95">
        <f ca="1" t="shared" si="44"/>
        <v>5400</v>
      </c>
      <c r="Z105" s="96">
        <f ca="1" t="shared" si="45"/>
        <v>2.6</v>
      </c>
    </row>
    <row r="106" s="106" customFormat="1" ht="16.5" spans="2:26">
      <c r="B106" s="117">
        <v>77</v>
      </c>
      <c r="C106" s="130">
        <f t="shared" si="46"/>
        <v>7700</v>
      </c>
      <c r="D106" s="131">
        <f ca="1" t="shared" si="25"/>
        <v>37</v>
      </c>
      <c r="E106" s="131">
        <f ca="1" t="shared" si="26"/>
        <v>37</v>
      </c>
      <c r="F106" s="131">
        <f ca="1" t="shared" si="27"/>
        <v>37</v>
      </c>
      <c r="G106" s="131">
        <f ca="1" t="shared" si="28"/>
        <v>26</v>
      </c>
      <c r="H106" s="131">
        <f ca="1" t="shared" si="29"/>
        <v>26</v>
      </c>
      <c r="I106" s="131">
        <f ca="1" t="shared" si="30"/>
        <v>26</v>
      </c>
      <c r="J106" s="131">
        <f ca="1" t="shared" si="31"/>
        <v>26</v>
      </c>
      <c r="K106" s="131">
        <f ca="1" t="shared" si="32"/>
        <v>26</v>
      </c>
      <c r="L106" s="131">
        <f ca="1" t="shared" si="33"/>
        <v>26</v>
      </c>
      <c r="M106" s="131">
        <f ca="1" t="shared" si="34"/>
        <v>17</v>
      </c>
      <c r="N106" s="131">
        <f ca="1" t="shared" si="35"/>
        <v>17</v>
      </c>
      <c r="O106" s="131">
        <f ca="1" t="shared" si="36"/>
        <v>18</v>
      </c>
      <c r="P106" s="131">
        <f ca="1" t="shared" si="37"/>
        <v>17</v>
      </c>
      <c r="Q106" s="131">
        <f ca="1" t="shared" si="38"/>
        <v>18</v>
      </c>
      <c r="R106" s="131">
        <f ca="1" t="shared" si="39"/>
        <v>17</v>
      </c>
      <c r="S106" s="131">
        <f ca="1" t="shared" si="40"/>
        <v>18</v>
      </c>
      <c r="T106" s="131">
        <f ca="1" t="shared" si="41"/>
        <v>14</v>
      </c>
      <c r="U106" s="131">
        <f ca="1" t="shared" si="42"/>
        <v>15</v>
      </c>
      <c r="V106" s="131">
        <f ca="1" t="shared" si="43"/>
        <v>18</v>
      </c>
      <c r="W106" s="124">
        <f ca="1">OFFSET($K$19,_xlfn.XLOOKUP(X106,$D$9:$D$28,$H$9:$H$28),MATCH(OFFSET($C$29,B106,MATCH(X106,$D$29:$V$29,0)),$L$19:$R$19,1))*(1+(OFFSET($C$29,B106,MATCH(X106,$D$29:$V$29,0))-1)*_xlfn.XLOOKUP(X106,梦灵养成!$D$9:$D$28,梦灵养成!$G$9:$G$28))</f>
        <v>11.826</v>
      </c>
      <c r="X106" s="106" t="str">
        <f ca="1" t="shared" si="24"/>
        <v>神算诸葛</v>
      </c>
      <c r="Y106" s="95">
        <f ca="1" t="shared" si="44"/>
        <v>10800</v>
      </c>
      <c r="Z106" s="96">
        <f ca="1" t="shared" si="45"/>
        <v>2.7</v>
      </c>
    </row>
    <row r="107" s="106" customFormat="1" ht="16.5" spans="2:26">
      <c r="B107" s="117">
        <v>78</v>
      </c>
      <c r="C107" s="130">
        <f t="shared" si="46"/>
        <v>7800</v>
      </c>
      <c r="D107" s="131">
        <f ca="1" t="shared" si="25"/>
        <v>38</v>
      </c>
      <c r="E107" s="131">
        <f ca="1" t="shared" si="26"/>
        <v>38</v>
      </c>
      <c r="F107" s="131">
        <f ca="1" t="shared" si="27"/>
        <v>38</v>
      </c>
      <c r="G107" s="131">
        <f ca="1" t="shared" si="28"/>
        <v>27</v>
      </c>
      <c r="H107" s="131">
        <f ca="1" t="shared" si="29"/>
        <v>27</v>
      </c>
      <c r="I107" s="131">
        <f ca="1" t="shared" si="30"/>
        <v>27</v>
      </c>
      <c r="J107" s="131">
        <f ca="1" t="shared" si="31"/>
        <v>26</v>
      </c>
      <c r="K107" s="131">
        <f ca="1" t="shared" si="32"/>
        <v>26</v>
      </c>
      <c r="L107" s="131">
        <f ca="1" t="shared" si="33"/>
        <v>26</v>
      </c>
      <c r="M107" s="131">
        <f ca="1" t="shared" si="34"/>
        <v>17</v>
      </c>
      <c r="N107" s="131">
        <f ca="1" t="shared" si="35"/>
        <v>17</v>
      </c>
      <c r="O107" s="131">
        <f ca="1" t="shared" si="36"/>
        <v>18</v>
      </c>
      <c r="P107" s="131">
        <f ca="1" t="shared" si="37"/>
        <v>17</v>
      </c>
      <c r="Q107" s="131">
        <f ca="1" t="shared" si="38"/>
        <v>18</v>
      </c>
      <c r="R107" s="131">
        <f ca="1" t="shared" si="39"/>
        <v>17</v>
      </c>
      <c r="S107" s="131">
        <f ca="1" t="shared" si="40"/>
        <v>19</v>
      </c>
      <c r="T107" s="131">
        <f ca="1" t="shared" si="41"/>
        <v>14</v>
      </c>
      <c r="U107" s="131">
        <f ca="1" t="shared" si="42"/>
        <v>15</v>
      </c>
      <c r="V107" s="131">
        <f ca="1" t="shared" si="43"/>
        <v>18</v>
      </c>
      <c r="W107" s="124">
        <f ca="1">OFFSET($K$19,_xlfn.XLOOKUP(X107,$D$9:$D$28,$H$9:$H$28),MATCH(OFFSET($C$29,B107,MATCH(X107,$D$29:$V$29,0)),$L$19:$R$19,1))*(1+(OFFSET($C$29,B107,MATCH(X107,$D$29:$V$29,0))-1)*_xlfn.XLOOKUP(X107,梦灵养成!$D$9:$D$28,梦灵养成!$G$9:$G$28))</f>
        <v>11.826</v>
      </c>
      <c r="X107" s="106" t="str">
        <f ca="1" t="shared" si="24"/>
        <v>神算诸葛</v>
      </c>
      <c r="Y107" s="95">
        <f ca="1" t="shared" si="44"/>
        <v>9000</v>
      </c>
      <c r="Z107" s="96">
        <f ca="1" t="shared" si="45"/>
        <v>2.7</v>
      </c>
    </row>
    <row r="108" s="106" customFormat="1" ht="16.5" spans="2:26">
      <c r="B108" s="117">
        <v>79</v>
      </c>
      <c r="C108" s="130">
        <f t="shared" si="46"/>
        <v>7900</v>
      </c>
      <c r="D108" s="131">
        <f ca="1" t="shared" si="25"/>
        <v>38</v>
      </c>
      <c r="E108" s="131">
        <f ca="1" t="shared" si="26"/>
        <v>38</v>
      </c>
      <c r="F108" s="131">
        <f ca="1" t="shared" si="27"/>
        <v>38</v>
      </c>
      <c r="G108" s="131">
        <f ca="1" t="shared" si="28"/>
        <v>27</v>
      </c>
      <c r="H108" s="131">
        <f ca="1" t="shared" si="29"/>
        <v>27</v>
      </c>
      <c r="I108" s="131">
        <f ca="1" t="shared" si="30"/>
        <v>27</v>
      </c>
      <c r="J108" s="131">
        <f ca="1" t="shared" si="31"/>
        <v>27</v>
      </c>
      <c r="K108" s="131">
        <f ca="1" t="shared" si="32"/>
        <v>26</v>
      </c>
      <c r="L108" s="131">
        <f ca="1" t="shared" si="33"/>
        <v>26</v>
      </c>
      <c r="M108" s="131">
        <f ca="1" t="shared" si="34"/>
        <v>17</v>
      </c>
      <c r="N108" s="131">
        <f ca="1" t="shared" si="35"/>
        <v>17</v>
      </c>
      <c r="O108" s="131">
        <f ca="1" t="shared" si="36"/>
        <v>18</v>
      </c>
      <c r="P108" s="131">
        <f ca="1" t="shared" si="37"/>
        <v>17</v>
      </c>
      <c r="Q108" s="131">
        <f ca="1" t="shared" si="38"/>
        <v>18</v>
      </c>
      <c r="R108" s="131">
        <f ca="1" t="shared" si="39"/>
        <v>17</v>
      </c>
      <c r="S108" s="131">
        <f ca="1" t="shared" si="40"/>
        <v>19</v>
      </c>
      <c r="T108" s="131">
        <f ca="1" t="shared" si="41"/>
        <v>15</v>
      </c>
      <c r="U108" s="131">
        <f ca="1" t="shared" si="42"/>
        <v>16</v>
      </c>
      <c r="V108" s="131">
        <f ca="1" t="shared" si="43"/>
        <v>19</v>
      </c>
      <c r="W108" s="124">
        <f ca="1">OFFSET($K$19,_xlfn.XLOOKUP(X108,$D$9:$D$28,$H$9:$H$28),MATCH(OFFSET($C$29,B108,MATCH(X108,$D$29:$V$29,0)),$L$19:$R$19,1))*(1+(OFFSET($C$29,B108,MATCH(X108,$D$29:$V$29,0))-1)*_xlfn.XLOOKUP(X108,梦灵养成!$D$9:$D$28,梦灵养成!$G$9:$G$28))</f>
        <v>12.264</v>
      </c>
      <c r="X108" s="106" t="str">
        <f ca="1" t="shared" si="24"/>
        <v>神算诸葛</v>
      </c>
      <c r="Y108" s="95">
        <f ca="1" t="shared" si="44"/>
        <v>7200</v>
      </c>
      <c r="Z108" s="96">
        <f ca="1" t="shared" si="45"/>
        <v>2.8</v>
      </c>
    </row>
    <row r="109" s="106" customFormat="1" ht="16.5" spans="2:26">
      <c r="B109" s="117">
        <v>80</v>
      </c>
      <c r="C109" s="130">
        <f t="shared" si="46"/>
        <v>8000</v>
      </c>
      <c r="D109" s="131">
        <f ca="1" t="shared" si="25"/>
        <v>38</v>
      </c>
      <c r="E109" s="131">
        <f ca="1" t="shared" si="26"/>
        <v>38</v>
      </c>
      <c r="F109" s="131">
        <f ca="1" t="shared" si="27"/>
        <v>38</v>
      </c>
      <c r="G109" s="131">
        <f ca="1" t="shared" si="28"/>
        <v>27</v>
      </c>
      <c r="H109" s="131">
        <f ca="1" t="shared" si="29"/>
        <v>27</v>
      </c>
      <c r="I109" s="131">
        <f ca="1" t="shared" si="30"/>
        <v>27</v>
      </c>
      <c r="J109" s="131">
        <f ca="1" t="shared" si="31"/>
        <v>27</v>
      </c>
      <c r="K109" s="131">
        <f ca="1" t="shared" si="32"/>
        <v>27</v>
      </c>
      <c r="L109" s="131">
        <f ca="1" t="shared" si="33"/>
        <v>27</v>
      </c>
      <c r="M109" s="131">
        <f ca="1" t="shared" si="34"/>
        <v>17</v>
      </c>
      <c r="N109" s="131">
        <f ca="1" t="shared" si="35"/>
        <v>18</v>
      </c>
      <c r="O109" s="131">
        <f ca="1" t="shared" si="36"/>
        <v>18</v>
      </c>
      <c r="P109" s="131">
        <f ca="1" t="shared" si="37"/>
        <v>17</v>
      </c>
      <c r="Q109" s="131">
        <f ca="1" t="shared" si="38"/>
        <v>18</v>
      </c>
      <c r="R109" s="131">
        <f ca="1" t="shared" si="39"/>
        <v>17</v>
      </c>
      <c r="S109" s="131">
        <f ca="1" t="shared" si="40"/>
        <v>19</v>
      </c>
      <c r="T109" s="131">
        <f ca="1" t="shared" si="41"/>
        <v>15</v>
      </c>
      <c r="U109" s="131">
        <f ca="1" t="shared" si="42"/>
        <v>16</v>
      </c>
      <c r="V109" s="131">
        <f ca="1" t="shared" si="43"/>
        <v>19</v>
      </c>
      <c r="W109" s="124">
        <f ca="1">OFFSET($K$19,_xlfn.XLOOKUP(X109,$D$9:$D$28,$H$9:$H$28),MATCH(OFFSET($C$29,B109,MATCH(X109,$D$29:$V$29,0)),$L$19:$R$19,1))*(1+(OFFSET($C$29,B109,MATCH(X109,$D$29:$V$29,0))-1)*_xlfn.XLOOKUP(X109,梦灵养成!$D$9:$D$28,梦灵养成!$G$9:$G$28))</f>
        <v>12.264</v>
      </c>
      <c r="X109" s="106" t="str">
        <f ca="1" t="shared" si="24"/>
        <v>神算诸葛</v>
      </c>
      <c r="Y109" s="95">
        <f ca="1" t="shared" si="44"/>
        <v>5400</v>
      </c>
      <c r="Z109" s="96">
        <f ca="1" t="shared" si="45"/>
        <v>2.8</v>
      </c>
    </row>
    <row r="110" s="106" customFormat="1" ht="16.5" spans="2:26">
      <c r="B110" s="117">
        <v>81</v>
      </c>
      <c r="C110" s="130">
        <f t="shared" si="46"/>
        <v>8100</v>
      </c>
      <c r="D110" s="131">
        <f ca="1" t="shared" si="25"/>
        <v>38</v>
      </c>
      <c r="E110" s="131">
        <f ca="1" t="shared" si="26"/>
        <v>38</v>
      </c>
      <c r="F110" s="131">
        <f ca="1" t="shared" si="27"/>
        <v>38</v>
      </c>
      <c r="G110" s="131">
        <f ca="1" t="shared" si="28"/>
        <v>27</v>
      </c>
      <c r="H110" s="131">
        <f ca="1" t="shared" si="29"/>
        <v>27</v>
      </c>
      <c r="I110" s="131">
        <f ca="1" t="shared" si="30"/>
        <v>27</v>
      </c>
      <c r="J110" s="131">
        <f ca="1" t="shared" si="31"/>
        <v>27</v>
      </c>
      <c r="K110" s="131">
        <f ca="1" t="shared" si="32"/>
        <v>27</v>
      </c>
      <c r="L110" s="131">
        <f ca="1" t="shared" si="33"/>
        <v>27</v>
      </c>
      <c r="M110" s="131">
        <f ca="1" t="shared" si="34"/>
        <v>18</v>
      </c>
      <c r="N110" s="131">
        <f ca="1" t="shared" si="35"/>
        <v>18</v>
      </c>
      <c r="O110" s="131">
        <f ca="1" t="shared" si="36"/>
        <v>18</v>
      </c>
      <c r="P110" s="131">
        <f ca="1" t="shared" si="37"/>
        <v>17</v>
      </c>
      <c r="Q110" s="131">
        <f ca="1" t="shared" si="38"/>
        <v>19</v>
      </c>
      <c r="R110" s="131">
        <f ca="1" t="shared" si="39"/>
        <v>18</v>
      </c>
      <c r="S110" s="131">
        <f ca="1" t="shared" si="40"/>
        <v>20</v>
      </c>
      <c r="T110" s="131">
        <f ca="1" t="shared" si="41"/>
        <v>15</v>
      </c>
      <c r="U110" s="131">
        <f ca="1" t="shared" si="42"/>
        <v>16</v>
      </c>
      <c r="V110" s="131">
        <f ca="1" t="shared" si="43"/>
        <v>19</v>
      </c>
      <c r="W110" s="124">
        <f ca="1">OFFSET($K$19,_xlfn.XLOOKUP(X110,$D$9:$D$28,$H$9:$H$28),MATCH(OFFSET($C$29,B110,MATCH(X110,$D$29:$V$29,0)),$L$19:$R$19,1))*(1+(OFFSET($C$29,B110,MATCH(X110,$D$29:$V$29,0))-1)*_xlfn.XLOOKUP(X110,梦灵养成!$D$9:$D$28,梦灵养成!$G$9:$G$28))</f>
        <v>12.264</v>
      </c>
      <c r="X110" s="106" t="str">
        <f ca="1" t="shared" si="24"/>
        <v>神算诸葛</v>
      </c>
      <c r="Y110" s="95">
        <f ca="1" t="shared" si="44"/>
        <v>3600</v>
      </c>
      <c r="Z110" s="96">
        <f ca="1" t="shared" si="45"/>
        <v>2.8</v>
      </c>
    </row>
    <row r="111" s="106" customFormat="1" ht="16.5" spans="2:26">
      <c r="B111" s="117">
        <v>82</v>
      </c>
      <c r="C111" s="130">
        <f t="shared" si="46"/>
        <v>8200</v>
      </c>
      <c r="D111" s="131">
        <f ca="1" t="shared" si="25"/>
        <v>38</v>
      </c>
      <c r="E111" s="131">
        <f ca="1" t="shared" si="26"/>
        <v>38</v>
      </c>
      <c r="F111" s="131">
        <f ca="1" t="shared" si="27"/>
        <v>38</v>
      </c>
      <c r="G111" s="131">
        <f ca="1" t="shared" si="28"/>
        <v>27</v>
      </c>
      <c r="H111" s="131">
        <f ca="1" t="shared" si="29"/>
        <v>27</v>
      </c>
      <c r="I111" s="131">
        <f ca="1" t="shared" si="30"/>
        <v>27</v>
      </c>
      <c r="J111" s="131">
        <f ca="1" t="shared" si="31"/>
        <v>27</v>
      </c>
      <c r="K111" s="131">
        <f ca="1" t="shared" si="32"/>
        <v>27</v>
      </c>
      <c r="L111" s="131">
        <f ca="1" t="shared" si="33"/>
        <v>27</v>
      </c>
      <c r="M111" s="131">
        <f ca="1" t="shared" si="34"/>
        <v>18</v>
      </c>
      <c r="N111" s="131">
        <f ca="1" t="shared" si="35"/>
        <v>18</v>
      </c>
      <c r="O111" s="131">
        <f ca="1" t="shared" si="36"/>
        <v>18</v>
      </c>
      <c r="P111" s="131">
        <f ca="1" t="shared" si="37"/>
        <v>17</v>
      </c>
      <c r="Q111" s="131">
        <f ca="1" t="shared" si="38"/>
        <v>19</v>
      </c>
      <c r="R111" s="131">
        <f ca="1" t="shared" si="39"/>
        <v>18</v>
      </c>
      <c r="S111" s="131">
        <f ca="1" t="shared" si="40"/>
        <v>20</v>
      </c>
      <c r="T111" s="131">
        <f ca="1" t="shared" si="41"/>
        <v>15</v>
      </c>
      <c r="U111" s="131">
        <f ca="1" t="shared" si="42"/>
        <v>16</v>
      </c>
      <c r="V111" s="131">
        <f ca="1" t="shared" si="43"/>
        <v>19</v>
      </c>
      <c r="W111" s="124">
        <f ca="1">OFFSET($K$19,_xlfn.XLOOKUP(X111,$D$9:$D$28,$H$9:$H$28),MATCH(OFFSET($C$29,B111,MATCH(X111,$D$29:$V$29,0)),$L$19:$R$19,1))*(1+(OFFSET($C$29,B111,MATCH(X111,$D$29:$V$29,0))-1)*_xlfn.XLOOKUP(X111,梦灵养成!$D$9:$D$28,梦灵养成!$G$9:$G$28))</f>
        <v>12.264</v>
      </c>
      <c r="X111" s="106" t="str">
        <f ca="1" t="shared" si="24"/>
        <v>神算诸葛</v>
      </c>
      <c r="Y111" s="95">
        <f ca="1" t="shared" si="44"/>
        <v>1800</v>
      </c>
      <c r="Z111" s="96">
        <f ca="1" t="shared" si="45"/>
        <v>2.8</v>
      </c>
    </row>
    <row r="112" s="106" customFormat="1" ht="16.5" spans="2:26">
      <c r="B112" s="117">
        <v>83</v>
      </c>
      <c r="C112" s="130">
        <f t="shared" si="46"/>
        <v>8300</v>
      </c>
      <c r="D112" s="131">
        <f ca="1" t="shared" si="25"/>
        <v>38</v>
      </c>
      <c r="E112" s="131">
        <f ca="1" t="shared" si="26"/>
        <v>38</v>
      </c>
      <c r="F112" s="131">
        <f ca="1" t="shared" si="27"/>
        <v>38</v>
      </c>
      <c r="G112" s="131">
        <f ca="1" t="shared" si="28"/>
        <v>27</v>
      </c>
      <c r="H112" s="131">
        <f ca="1" t="shared" si="29"/>
        <v>27</v>
      </c>
      <c r="I112" s="131">
        <f ca="1" t="shared" si="30"/>
        <v>27</v>
      </c>
      <c r="J112" s="131">
        <f ca="1" t="shared" si="31"/>
        <v>27</v>
      </c>
      <c r="K112" s="131">
        <f ca="1" t="shared" si="32"/>
        <v>27</v>
      </c>
      <c r="L112" s="131">
        <f ca="1" t="shared" si="33"/>
        <v>27</v>
      </c>
      <c r="M112" s="131">
        <f ca="1" t="shared" si="34"/>
        <v>18</v>
      </c>
      <c r="N112" s="131">
        <f ca="1" t="shared" si="35"/>
        <v>18</v>
      </c>
      <c r="O112" s="131">
        <f ca="1" t="shared" si="36"/>
        <v>19</v>
      </c>
      <c r="P112" s="131">
        <f ca="1" t="shared" si="37"/>
        <v>17</v>
      </c>
      <c r="Q112" s="131">
        <f ca="1" t="shared" si="38"/>
        <v>19</v>
      </c>
      <c r="R112" s="131">
        <f ca="1" t="shared" si="39"/>
        <v>18</v>
      </c>
      <c r="S112" s="131">
        <f ca="1" t="shared" si="40"/>
        <v>20</v>
      </c>
      <c r="T112" s="131">
        <f ca="1" t="shared" si="41"/>
        <v>16</v>
      </c>
      <c r="U112" s="131">
        <f ca="1" t="shared" si="42"/>
        <v>17</v>
      </c>
      <c r="V112" s="131">
        <f ca="1" t="shared" si="43"/>
        <v>20</v>
      </c>
      <c r="W112" s="124">
        <f ca="1">OFFSET($K$19,_xlfn.XLOOKUP(X112,$D$9:$D$28,$H$9:$H$28),MATCH(OFFSET($C$29,B112,MATCH(X112,$D$29:$V$29,0)),$L$19:$R$19,1))*(1+(OFFSET($C$29,B112,MATCH(X112,$D$29:$V$29,0))-1)*_xlfn.XLOOKUP(X112,梦灵养成!$D$9:$D$28,梦灵养成!$G$9:$G$28))</f>
        <v>16.4865</v>
      </c>
      <c r="X112" s="106" t="str">
        <f ca="1" t="shared" si="24"/>
        <v>神算诸葛</v>
      </c>
      <c r="Y112" s="95">
        <f ca="1" t="shared" si="44"/>
        <v>34200</v>
      </c>
      <c r="Z112" s="96">
        <f ca="1" t="shared" si="45"/>
        <v>2.9</v>
      </c>
    </row>
    <row r="113" s="106" customFormat="1" ht="16.5" spans="2:26">
      <c r="B113" s="117">
        <v>84</v>
      </c>
      <c r="C113" s="130">
        <f t="shared" si="46"/>
        <v>8400</v>
      </c>
      <c r="D113" s="131">
        <f ca="1" t="shared" si="25"/>
        <v>38</v>
      </c>
      <c r="E113" s="131">
        <f ca="1" t="shared" si="26"/>
        <v>38</v>
      </c>
      <c r="F113" s="131">
        <f ca="1" t="shared" si="27"/>
        <v>38</v>
      </c>
      <c r="G113" s="131">
        <f ca="1" t="shared" si="28"/>
        <v>27</v>
      </c>
      <c r="H113" s="131">
        <f ca="1" t="shared" si="29"/>
        <v>27</v>
      </c>
      <c r="I113" s="131">
        <f ca="1" t="shared" si="30"/>
        <v>27</v>
      </c>
      <c r="J113" s="131">
        <f ca="1" t="shared" si="31"/>
        <v>27</v>
      </c>
      <c r="K113" s="131">
        <f ca="1" t="shared" si="32"/>
        <v>27</v>
      </c>
      <c r="L113" s="131">
        <f ca="1" t="shared" si="33"/>
        <v>27</v>
      </c>
      <c r="M113" s="131">
        <f ca="1" t="shared" si="34"/>
        <v>18</v>
      </c>
      <c r="N113" s="131">
        <f ca="1" t="shared" si="35"/>
        <v>18</v>
      </c>
      <c r="O113" s="131">
        <f ca="1" t="shared" si="36"/>
        <v>19</v>
      </c>
      <c r="P113" s="131">
        <f ca="1" t="shared" si="37"/>
        <v>17</v>
      </c>
      <c r="Q113" s="131">
        <f ca="1" t="shared" si="38"/>
        <v>19</v>
      </c>
      <c r="R113" s="131">
        <f ca="1" t="shared" si="39"/>
        <v>18</v>
      </c>
      <c r="S113" s="131">
        <f ca="1" t="shared" si="40"/>
        <v>20</v>
      </c>
      <c r="T113" s="131">
        <f ca="1" t="shared" si="41"/>
        <v>16</v>
      </c>
      <c r="U113" s="131">
        <f ca="1" t="shared" si="42"/>
        <v>17</v>
      </c>
      <c r="V113" s="131">
        <f ca="1" t="shared" si="43"/>
        <v>20</v>
      </c>
      <c r="W113" s="124">
        <f ca="1">OFFSET($K$19,_xlfn.XLOOKUP(X113,$D$9:$D$28,$H$9:$H$28),MATCH(OFFSET($C$29,B113,MATCH(X113,$D$29:$V$29,0)),$L$19:$R$19,1))*(1+(OFFSET($C$29,B113,MATCH(X113,$D$29:$V$29,0))-1)*_xlfn.XLOOKUP(X113,梦灵养成!$D$9:$D$28,梦灵养成!$G$9:$G$28))</f>
        <v>16.4865</v>
      </c>
      <c r="X113" s="106" t="str">
        <f ca="1" t="shared" si="24"/>
        <v>神算诸葛</v>
      </c>
      <c r="Y113" s="95">
        <f ca="1" t="shared" si="44"/>
        <v>32400</v>
      </c>
      <c r="Z113" s="96">
        <f ca="1" t="shared" si="45"/>
        <v>2.9</v>
      </c>
    </row>
    <row r="114" s="106" customFormat="1" ht="16.5" spans="2:26">
      <c r="B114" s="117">
        <v>85</v>
      </c>
      <c r="C114" s="130">
        <f t="shared" si="46"/>
        <v>8500</v>
      </c>
      <c r="D114" s="131">
        <f ca="1" t="shared" si="25"/>
        <v>38</v>
      </c>
      <c r="E114" s="131">
        <f ca="1" t="shared" si="26"/>
        <v>38</v>
      </c>
      <c r="F114" s="131">
        <f ca="1" t="shared" si="27"/>
        <v>38</v>
      </c>
      <c r="G114" s="131">
        <f ca="1" t="shared" si="28"/>
        <v>27</v>
      </c>
      <c r="H114" s="131">
        <f ca="1" t="shared" si="29"/>
        <v>27</v>
      </c>
      <c r="I114" s="131">
        <f ca="1" t="shared" si="30"/>
        <v>27</v>
      </c>
      <c r="J114" s="131">
        <f ca="1" t="shared" si="31"/>
        <v>27</v>
      </c>
      <c r="K114" s="131">
        <f ca="1" t="shared" si="32"/>
        <v>27</v>
      </c>
      <c r="L114" s="131">
        <f ca="1" t="shared" si="33"/>
        <v>27</v>
      </c>
      <c r="M114" s="131">
        <f ca="1" t="shared" si="34"/>
        <v>18</v>
      </c>
      <c r="N114" s="131">
        <f ca="1" t="shared" si="35"/>
        <v>18</v>
      </c>
      <c r="O114" s="131">
        <f ca="1" t="shared" si="36"/>
        <v>19</v>
      </c>
      <c r="P114" s="131">
        <f ca="1" t="shared" si="37"/>
        <v>18</v>
      </c>
      <c r="Q114" s="131">
        <f ca="1" t="shared" si="38"/>
        <v>19</v>
      </c>
      <c r="R114" s="131">
        <f ca="1" t="shared" si="39"/>
        <v>18</v>
      </c>
      <c r="S114" s="131">
        <f ca="1" t="shared" si="40"/>
        <v>20</v>
      </c>
      <c r="T114" s="131">
        <f ca="1" t="shared" si="41"/>
        <v>16</v>
      </c>
      <c r="U114" s="131">
        <f ca="1" t="shared" si="42"/>
        <v>17</v>
      </c>
      <c r="V114" s="131">
        <f ca="1" t="shared" si="43"/>
        <v>20</v>
      </c>
      <c r="W114" s="124">
        <f ca="1">OFFSET($K$19,_xlfn.XLOOKUP(X114,$D$9:$D$28,$H$9:$H$28),MATCH(OFFSET($C$29,B114,MATCH(X114,$D$29:$V$29,0)),$L$19:$R$19,1))*(1+(OFFSET($C$29,B114,MATCH(X114,$D$29:$V$29,0))-1)*_xlfn.XLOOKUP(X114,梦灵养成!$D$9:$D$28,梦灵养成!$G$9:$G$28))</f>
        <v>16.4865</v>
      </c>
      <c r="X114" s="106" t="str">
        <f ca="1" t="shared" si="24"/>
        <v>神算诸葛</v>
      </c>
      <c r="Y114" s="95">
        <f ca="1" t="shared" si="44"/>
        <v>30600</v>
      </c>
      <c r="Z114" s="96">
        <f ca="1" t="shared" si="45"/>
        <v>2.9</v>
      </c>
    </row>
    <row r="115" s="106" customFormat="1" ht="16.5" spans="2:26">
      <c r="B115" s="117">
        <v>86</v>
      </c>
      <c r="C115" s="130">
        <f t="shared" si="46"/>
        <v>8600</v>
      </c>
      <c r="D115" s="131">
        <f ca="1" t="shared" si="25"/>
        <v>38</v>
      </c>
      <c r="E115" s="131">
        <f ca="1" t="shared" si="26"/>
        <v>38</v>
      </c>
      <c r="F115" s="131">
        <f ca="1" t="shared" si="27"/>
        <v>38</v>
      </c>
      <c r="G115" s="131">
        <f ca="1" t="shared" si="28"/>
        <v>28</v>
      </c>
      <c r="H115" s="131">
        <f ca="1" t="shared" si="29"/>
        <v>28</v>
      </c>
      <c r="I115" s="131">
        <f ca="1" t="shared" si="30"/>
        <v>28</v>
      </c>
      <c r="J115" s="131">
        <f ca="1" t="shared" si="31"/>
        <v>27</v>
      </c>
      <c r="K115" s="131">
        <f ca="1" t="shared" si="32"/>
        <v>27</v>
      </c>
      <c r="L115" s="131">
        <f ca="1" t="shared" si="33"/>
        <v>27</v>
      </c>
      <c r="M115" s="131">
        <f ca="1" t="shared" si="34"/>
        <v>18</v>
      </c>
      <c r="N115" s="131">
        <f ca="1" t="shared" si="35"/>
        <v>18</v>
      </c>
      <c r="O115" s="131">
        <f ca="1" t="shared" si="36"/>
        <v>19</v>
      </c>
      <c r="P115" s="131">
        <f ca="1" t="shared" si="37"/>
        <v>18</v>
      </c>
      <c r="Q115" s="131">
        <f ca="1" t="shared" si="38"/>
        <v>19</v>
      </c>
      <c r="R115" s="131">
        <f ca="1" t="shared" si="39"/>
        <v>18</v>
      </c>
      <c r="S115" s="131">
        <f ca="1" t="shared" si="40"/>
        <v>20</v>
      </c>
      <c r="T115" s="131">
        <f ca="1" t="shared" si="41"/>
        <v>16</v>
      </c>
      <c r="U115" s="131">
        <f ca="1" t="shared" si="42"/>
        <v>17</v>
      </c>
      <c r="V115" s="131">
        <f ca="1" t="shared" si="43"/>
        <v>20</v>
      </c>
      <c r="W115" s="124">
        <f ca="1">OFFSET($K$19,_xlfn.XLOOKUP(X115,$D$9:$D$28,$H$9:$H$28),MATCH(OFFSET($C$29,B115,MATCH(X115,$D$29:$V$29,0)),$L$19:$R$19,1))*(1+(OFFSET($C$29,B115,MATCH(X115,$D$29:$V$29,0))-1)*_xlfn.XLOOKUP(X115,梦灵养成!$D$9:$D$28,梦灵养成!$G$9:$G$28))</f>
        <v>16.4865</v>
      </c>
      <c r="X115" s="106" t="str">
        <f ca="1" t="shared" si="24"/>
        <v>神算诸葛</v>
      </c>
      <c r="Y115" s="95">
        <f ca="1" t="shared" si="44"/>
        <v>28800</v>
      </c>
      <c r="Z115" s="96">
        <f ca="1" t="shared" si="45"/>
        <v>2.9</v>
      </c>
    </row>
    <row r="116" s="106" customFormat="1" ht="16.5" spans="2:26">
      <c r="B116" s="117">
        <v>87</v>
      </c>
      <c r="C116" s="130">
        <f t="shared" si="46"/>
        <v>8700</v>
      </c>
      <c r="D116" s="131">
        <f ca="1" t="shared" si="25"/>
        <v>38</v>
      </c>
      <c r="E116" s="131">
        <f ca="1" t="shared" si="26"/>
        <v>38</v>
      </c>
      <c r="F116" s="131">
        <f ca="1" t="shared" si="27"/>
        <v>38</v>
      </c>
      <c r="G116" s="131">
        <f ca="1" t="shared" si="28"/>
        <v>28</v>
      </c>
      <c r="H116" s="131">
        <f ca="1" t="shared" si="29"/>
        <v>28</v>
      </c>
      <c r="I116" s="131">
        <f ca="1" t="shared" si="30"/>
        <v>28</v>
      </c>
      <c r="J116" s="131">
        <f ca="1" t="shared" si="31"/>
        <v>28</v>
      </c>
      <c r="K116" s="131">
        <f ca="1" t="shared" si="32"/>
        <v>27</v>
      </c>
      <c r="L116" s="131">
        <f ca="1" t="shared" si="33"/>
        <v>27</v>
      </c>
      <c r="M116" s="131">
        <f ca="1" t="shared" si="34"/>
        <v>18</v>
      </c>
      <c r="N116" s="131">
        <f ca="1" t="shared" si="35"/>
        <v>18</v>
      </c>
      <c r="O116" s="131">
        <f ca="1" t="shared" si="36"/>
        <v>19</v>
      </c>
      <c r="P116" s="131">
        <f ca="1" t="shared" si="37"/>
        <v>18</v>
      </c>
      <c r="Q116" s="131">
        <f ca="1" t="shared" si="38"/>
        <v>19</v>
      </c>
      <c r="R116" s="131">
        <f ca="1" t="shared" si="39"/>
        <v>18</v>
      </c>
      <c r="S116" s="131">
        <f ca="1" t="shared" si="40"/>
        <v>21</v>
      </c>
      <c r="T116" s="131">
        <f ca="1" t="shared" si="41"/>
        <v>17</v>
      </c>
      <c r="U116" s="131">
        <f ca="1" t="shared" si="42"/>
        <v>18</v>
      </c>
      <c r="V116" s="131">
        <f ca="1" t="shared" si="43"/>
        <v>21</v>
      </c>
      <c r="W116" s="124">
        <f ca="1">OFFSET($K$19,_xlfn.XLOOKUP(X116,$D$9:$D$28,$H$9:$H$28),MATCH(OFFSET($C$29,B116,MATCH(X116,$D$29:$V$29,0)),$L$19:$R$19,1))*(1+(OFFSET($C$29,B116,MATCH(X116,$D$29:$V$29,0))-1)*_xlfn.XLOOKUP(X116,梦灵养成!$D$9:$D$28,梦灵养成!$G$9:$G$28))</f>
        <v>17.055</v>
      </c>
      <c r="X116" s="106" t="str">
        <f ca="1" t="shared" si="24"/>
        <v>神算诸葛</v>
      </c>
      <c r="Y116" s="95">
        <f ca="1" t="shared" si="44"/>
        <v>34200</v>
      </c>
      <c r="Z116" s="96">
        <f ca="1" t="shared" si="45"/>
        <v>3</v>
      </c>
    </row>
    <row r="117" s="106" customFormat="1" ht="16.5" spans="2:26">
      <c r="B117" s="117">
        <v>88</v>
      </c>
      <c r="C117" s="130">
        <f t="shared" si="46"/>
        <v>8800</v>
      </c>
      <c r="D117" s="131">
        <f ca="1" t="shared" si="25"/>
        <v>39</v>
      </c>
      <c r="E117" s="131">
        <f ca="1" t="shared" si="26"/>
        <v>39</v>
      </c>
      <c r="F117" s="131">
        <f ca="1" t="shared" si="27"/>
        <v>39</v>
      </c>
      <c r="G117" s="131">
        <f ca="1" t="shared" si="28"/>
        <v>28</v>
      </c>
      <c r="H117" s="131">
        <f ca="1" t="shared" si="29"/>
        <v>28</v>
      </c>
      <c r="I117" s="131">
        <f ca="1" t="shared" si="30"/>
        <v>28</v>
      </c>
      <c r="J117" s="131">
        <f ca="1" t="shared" si="31"/>
        <v>28</v>
      </c>
      <c r="K117" s="131">
        <f ca="1" t="shared" si="32"/>
        <v>28</v>
      </c>
      <c r="L117" s="131">
        <f ca="1" t="shared" si="33"/>
        <v>28</v>
      </c>
      <c r="M117" s="131">
        <f ca="1" t="shared" si="34"/>
        <v>18</v>
      </c>
      <c r="N117" s="131">
        <f ca="1" t="shared" si="35"/>
        <v>19</v>
      </c>
      <c r="O117" s="131">
        <f ca="1" t="shared" si="36"/>
        <v>19</v>
      </c>
      <c r="P117" s="131">
        <f ca="1" t="shared" si="37"/>
        <v>18</v>
      </c>
      <c r="Q117" s="131">
        <f ca="1" t="shared" si="38"/>
        <v>19</v>
      </c>
      <c r="R117" s="131">
        <f ca="1" t="shared" si="39"/>
        <v>18</v>
      </c>
      <c r="S117" s="131">
        <f ca="1" t="shared" si="40"/>
        <v>21</v>
      </c>
      <c r="T117" s="131">
        <f ca="1" t="shared" si="41"/>
        <v>17</v>
      </c>
      <c r="U117" s="131">
        <f ca="1" t="shared" si="42"/>
        <v>18</v>
      </c>
      <c r="V117" s="131">
        <f ca="1" t="shared" si="43"/>
        <v>21</v>
      </c>
      <c r="W117" s="124">
        <f ca="1">OFFSET($K$19,_xlfn.XLOOKUP(X117,$D$9:$D$28,$H$9:$H$28),MATCH(OFFSET($C$29,B117,MATCH(X117,$D$29:$V$29,0)),$L$19:$R$19,1))*(1+(OFFSET($C$29,B117,MATCH(X117,$D$29:$V$29,0))-1)*_xlfn.XLOOKUP(X117,梦灵养成!$D$9:$D$28,梦灵养成!$G$9:$G$28))</f>
        <v>17.055</v>
      </c>
      <c r="X117" s="106" t="str">
        <f ca="1" t="shared" si="24"/>
        <v>神算诸葛</v>
      </c>
      <c r="Y117" s="95">
        <f ca="1" t="shared" si="44"/>
        <v>32400</v>
      </c>
      <c r="Z117" s="96">
        <f ca="1" t="shared" si="45"/>
        <v>3</v>
      </c>
    </row>
    <row r="118" s="106" customFormat="1" ht="16.5" spans="2:26">
      <c r="B118" s="117">
        <v>89</v>
      </c>
      <c r="C118" s="130">
        <f t="shared" si="46"/>
        <v>8900</v>
      </c>
      <c r="D118" s="131">
        <f ca="1" t="shared" si="25"/>
        <v>39</v>
      </c>
      <c r="E118" s="131">
        <f ca="1" t="shared" si="26"/>
        <v>39</v>
      </c>
      <c r="F118" s="131">
        <f ca="1" t="shared" si="27"/>
        <v>39</v>
      </c>
      <c r="G118" s="131">
        <f ca="1" t="shared" si="28"/>
        <v>28</v>
      </c>
      <c r="H118" s="131">
        <f ca="1" t="shared" si="29"/>
        <v>28</v>
      </c>
      <c r="I118" s="131">
        <f ca="1" t="shared" si="30"/>
        <v>28</v>
      </c>
      <c r="J118" s="131">
        <f ca="1" t="shared" si="31"/>
        <v>28</v>
      </c>
      <c r="K118" s="131">
        <f ca="1" t="shared" si="32"/>
        <v>28</v>
      </c>
      <c r="L118" s="131">
        <f ca="1" t="shared" si="33"/>
        <v>28</v>
      </c>
      <c r="M118" s="131">
        <f ca="1" t="shared" si="34"/>
        <v>19</v>
      </c>
      <c r="N118" s="131">
        <f ca="1" t="shared" si="35"/>
        <v>19</v>
      </c>
      <c r="O118" s="131">
        <f ca="1" t="shared" si="36"/>
        <v>19</v>
      </c>
      <c r="P118" s="131">
        <f ca="1" t="shared" si="37"/>
        <v>18</v>
      </c>
      <c r="Q118" s="131">
        <f ca="1" t="shared" si="38"/>
        <v>20</v>
      </c>
      <c r="R118" s="131">
        <f ca="1" t="shared" si="39"/>
        <v>19</v>
      </c>
      <c r="S118" s="131">
        <f ca="1" t="shared" si="40"/>
        <v>21</v>
      </c>
      <c r="T118" s="131">
        <f ca="1" t="shared" si="41"/>
        <v>17</v>
      </c>
      <c r="U118" s="131">
        <f ca="1" t="shared" si="42"/>
        <v>18</v>
      </c>
      <c r="V118" s="131">
        <f ca="1" t="shared" si="43"/>
        <v>21</v>
      </c>
      <c r="W118" s="124">
        <f ca="1">OFFSET($K$19,_xlfn.XLOOKUP(X118,$D$9:$D$28,$H$9:$H$28),MATCH(OFFSET($C$29,B118,MATCH(X118,$D$29:$V$29,0)),$L$19:$R$19,1))*(1+(OFFSET($C$29,B118,MATCH(X118,$D$29:$V$29,0))-1)*_xlfn.XLOOKUP(X118,梦灵养成!$D$9:$D$28,梦灵养成!$G$9:$G$28))</f>
        <v>17.055</v>
      </c>
      <c r="X118" s="106" t="str">
        <f ca="1" t="shared" si="24"/>
        <v>神算诸葛</v>
      </c>
      <c r="Y118" s="95">
        <f ca="1" t="shared" si="44"/>
        <v>30600</v>
      </c>
      <c r="Z118" s="96">
        <f ca="1" t="shared" si="45"/>
        <v>3</v>
      </c>
    </row>
    <row r="119" s="106" customFormat="1" ht="16.5" spans="2:26">
      <c r="B119" s="117">
        <v>90</v>
      </c>
      <c r="C119" s="130">
        <f t="shared" si="46"/>
        <v>9000</v>
      </c>
      <c r="D119" s="131">
        <f ca="1" t="shared" si="25"/>
        <v>39</v>
      </c>
      <c r="E119" s="131">
        <f ca="1" t="shared" si="26"/>
        <v>39</v>
      </c>
      <c r="F119" s="131">
        <f ca="1" t="shared" si="27"/>
        <v>39</v>
      </c>
      <c r="G119" s="131">
        <f ca="1" t="shared" si="28"/>
        <v>28</v>
      </c>
      <c r="H119" s="131">
        <f ca="1" t="shared" si="29"/>
        <v>28</v>
      </c>
      <c r="I119" s="131">
        <f ca="1" t="shared" si="30"/>
        <v>28</v>
      </c>
      <c r="J119" s="131">
        <f ca="1" t="shared" si="31"/>
        <v>28</v>
      </c>
      <c r="K119" s="131">
        <f ca="1" t="shared" si="32"/>
        <v>28</v>
      </c>
      <c r="L119" s="131">
        <f ca="1" t="shared" si="33"/>
        <v>28</v>
      </c>
      <c r="M119" s="131">
        <f ca="1" t="shared" si="34"/>
        <v>19</v>
      </c>
      <c r="N119" s="131">
        <f ca="1" t="shared" si="35"/>
        <v>19</v>
      </c>
      <c r="O119" s="131">
        <f ca="1" t="shared" si="36"/>
        <v>19</v>
      </c>
      <c r="P119" s="131">
        <f ca="1" t="shared" si="37"/>
        <v>18</v>
      </c>
      <c r="Q119" s="131">
        <f ca="1" t="shared" si="38"/>
        <v>20</v>
      </c>
      <c r="R119" s="131">
        <f ca="1" t="shared" si="39"/>
        <v>19</v>
      </c>
      <c r="S119" s="131">
        <f ca="1" t="shared" si="40"/>
        <v>21</v>
      </c>
      <c r="T119" s="131">
        <f ca="1" t="shared" si="41"/>
        <v>18</v>
      </c>
      <c r="U119" s="131">
        <f ca="1" t="shared" si="42"/>
        <v>18</v>
      </c>
      <c r="V119" s="131">
        <f ca="1" t="shared" si="43"/>
        <v>21</v>
      </c>
      <c r="W119" s="124">
        <f ca="1">OFFSET($K$19,_xlfn.XLOOKUP(X119,$D$9:$D$28,$H$9:$H$28),MATCH(OFFSET($C$29,B119,MATCH(X119,$D$29:$V$29,0)),$L$19:$R$19,1))*(1+(OFFSET($C$29,B119,MATCH(X119,$D$29:$V$29,0))-1)*_xlfn.XLOOKUP(X119,梦灵养成!$D$9:$D$28,梦灵养成!$G$9:$G$28))</f>
        <v>17.055</v>
      </c>
      <c r="X119" s="106" t="str">
        <f ca="1" t="shared" si="24"/>
        <v>神算诸葛</v>
      </c>
      <c r="Y119" s="95">
        <f ca="1" t="shared" si="44"/>
        <v>28800</v>
      </c>
      <c r="Z119" s="96">
        <f ca="1" t="shared" si="45"/>
        <v>3</v>
      </c>
    </row>
    <row r="120" s="106" customFormat="1" ht="16.5" spans="2:26">
      <c r="B120" s="117">
        <v>91</v>
      </c>
      <c r="C120" s="130">
        <f t="shared" si="46"/>
        <v>9100</v>
      </c>
      <c r="D120" s="131">
        <f ca="1" t="shared" si="25"/>
        <v>39</v>
      </c>
      <c r="E120" s="131">
        <f ca="1" t="shared" si="26"/>
        <v>39</v>
      </c>
      <c r="F120" s="131">
        <f ca="1" t="shared" si="27"/>
        <v>39</v>
      </c>
      <c r="G120" s="131">
        <f ca="1" t="shared" si="28"/>
        <v>28</v>
      </c>
      <c r="H120" s="131">
        <f ca="1" t="shared" si="29"/>
        <v>28</v>
      </c>
      <c r="I120" s="131">
        <f ca="1" t="shared" si="30"/>
        <v>28</v>
      </c>
      <c r="J120" s="131">
        <f ca="1" t="shared" si="31"/>
        <v>28</v>
      </c>
      <c r="K120" s="131">
        <f ca="1" t="shared" si="32"/>
        <v>28</v>
      </c>
      <c r="L120" s="131">
        <f ca="1" t="shared" si="33"/>
        <v>28</v>
      </c>
      <c r="M120" s="131">
        <f ca="1" t="shared" si="34"/>
        <v>19</v>
      </c>
      <c r="N120" s="131">
        <f ca="1" t="shared" si="35"/>
        <v>19</v>
      </c>
      <c r="O120" s="131">
        <f ca="1" t="shared" si="36"/>
        <v>20</v>
      </c>
      <c r="P120" s="131">
        <f ca="1" t="shared" si="37"/>
        <v>18</v>
      </c>
      <c r="Q120" s="131">
        <f ca="1" t="shared" si="38"/>
        <v>20</v>
      </c>
      <c r="R120" s="131">
        <f ca="1" t="shared" si="39"/>
        <v>19</v>
      </c>
      <c r="S120" s="131">
        <f ca="1" t="shared" si="40"/>
        <v>21</v>
      </c>
      <c r="T120" s="131">
        <f ca="1" t="shared" si="41"/>
        <v>18</v>
      </c>
      <c r="U120" s="131">
        <f ca="1" t="shared" si="42"/>
        <v>18</v>
      </c>
      <c r="V120" s="131">
        <f ca="1" t="shared" si="43"/>
        <v>21</v>
      </c>
      <c r="W120" s="124">
        <f ca="1">OFFSET($K$19,_xlfn.XLOOKUP(X120,$D$9:$D$28,$H$9:$H$28),MATCH(OFFSET($C$29,B120,MATCH(X120,$D$29:$V$29,0)),$L$19:$R$19,1))*(1+(OFFSET($C$29,B120,MATCH(X120,$D$29:$V$29,0))-1)*_xlfn.XLOOKUP(X120,梦灵养成!$D$9:$D$28,梦灵养成!$G$9:$G$28))</f>
        <v>17.055</v>
      </c>
      <c r="X120" s="106" t="str">
        <f ca="1" t="shared" si="24"/>
        <v>神算诸葛</v>
      </c>
      <c r="Y120" s="95">
        <f ca="1" t="shared" si="44"/>
        <v>27000</v>
      </c>
      <c r="Z120" s="96">
        <f ca="1" t="shared" si="45"/>
        <v>3</v>
      </c>
    </row>
    <row r="121" s="106" customFormat="1" ht="16.5" spans="2:26">
      <c r="B121" s="117">
        <v>92</v>
      </c>
      <c r="C121" s="130">
        <f t="shared" si="46"/>
        <v>9200</v>
      </c>
      <c r="D121" s="131">
        <f ca="1" t="shared" si="25"/>
        <v>39</v>
      </c>
      <c r="E121" s="131">
        <f ca="1" t="shared" si="26"/>
        <v>39</v>
      </c>
      <c r="F121" s="131">
        <f ca="1" t="shared" si="27"/>
        <v>39</v>
      </c>
      <c r="G121" s="131">
        <f ca="1" t="shared" si="28"/>
        <v>28</v>
      </c>
      <c r="H121" s="131">
        <f ca="1" t="shared" si="29"/>
        <v>28</v>
      </c>
      <c r="I121" s="131">
        <f ca="1" t="shared" si="30"/>
        <v>28</v>
      </c>
      <c r="J121" s="131">
        <f ca="1" t="shared" si="31"/>
        <v>28</v>
      </c>
      <c r="K121" s="131">
        <f ca="1" t="shared" si="32"/>
        <v>28</v>
      </c>
      <c r="L121" s="131">
        <f ca="1" t="shared" si="33"/>
        <v>28</v>
      </c>
      <c r="M121" s="131">
        <f ca="1" t="shared" si="34"/>
        <v>19</v>
      </c>
      <c r="N121" s="131">
        <f ca="1" t="shared" si="35"/>
        <v>19</v>
      </c>
      <c r="O121" s="131">
        <f ca="1" t="shared" si="36"/>
        <v>20</v>
      </c>
      <c r="P121" s="131">
        <f ca="1" t="shared" si="37"/>
        <v>18</v>
      </c>
      <c r="Q121" s="131">
        <f ca="1" t="shared" si="38"/>
        <v>20</v>
      </c>
      <c r="R121" s="131">
        <f ca="1" t="shared" si="39"/>
        <v>19</v>
      </c>
      <c r="S121" s="131">
        <f ca="1" t="shared" si="40"/>
        <v>21</v>
      </c>
      <c r="T121" s="131">
        <f ca="1" t="shared" si="41"/>
        <v>18</v>
      </c>
      <c r="U121" s="131">
        <f ca="1" t="shared" si="42"/>
        <v>19</v>
      </c>
      <c r="V121" s="131">
        <f ca="1" t="shared" si="43"/>
        <v>21</v>
      </c>
      <c r="W121" s="124">
        <f ca="1">OFFSET($K$19,_xlfn.XLOOKUP(X121,$D$9:$D$28,$H$9:$H$28),MATCH(OFFSET($C$29,B121,MATCH(X121,$D$29:$V$29,0)),$L$19:$R$19,1))*(1+(OFFSET($C$29,B121,MATCH(X121,$D$29:$V$29,0))-1)*_xlfn.XLOOKUP(X121,梦灵养成!$D$9:$D$28,梦灵养成!$G$9:$G$28))</f>
        <v>17.055</v>
      </c>
      <c r="X121" s="106" t="str">
        <f ca="1" t="shared" si="24"/>
        <v>神算诸葛</v>
      </c>
      <c r="Y121" s="95">
        <f ca="1" t="shared" si="44"/>
        <v>25200</v>
      </c>
      <c r="Z121" s="96">
        <f ca="1" t="shared" si="45"/>
        <v>3</v>
      </c>
    </row>
    <row r="122" s="106" customFormat="1" ht="16.5" spans="2:26">
      <c r="B122" s="117">
        <v>93</v>
      </c>
      <c r="C122" s="130">
        <f t="shared" si="46"/>
        <v>9300</v>
      </c>
      <c r="D122" s="131">
        <f ca="1" t="shared" si="25"/>
        <v>39</v>
      </c>
      <c r="E122" s="131">
        <f ca="1" t="shared" si="26"/>
        <v>39</v>
      </c>
      <c r="F122" s="131">
        <f ca="1" t="shared" si="27"/>
        <v>39</v>
      </c>
      <c r="G122" s="131">
        <f ca="1" t="shared" si="28"/>
        <v>28</v>
      </c>
      <c r="H122" s="131">
        <f ca="1" t="shared" si="29"/>
        <v>28</v>
      </c>
      <c r="I122" s="131">
        <f ca="1" t="shared" si="30"/>
        <v>28</v>
      </c>
      <c r="J122" s="131">
        <f ca="1" t="shared" si="31"/>
        <v>28</v>
      </c>
      <c r="K122" s="131">
        <f ca="1" t="shared" si="32"/>
        <v>28</v>
      </c>
      <c r="L122" s="131">
        <f ca="1" t="shared" si="33"/>
        <v>28</v>
      </c>
      <c r="M122" s="131">
        <f ca="1" t="shared" si="34"/>
        <v>19</v>
      </c>
      <c r="N122" s="131">
        <f ca="1" t="shared" si="35"/>
        <v>19</v>
      </c>
      <c r="O122" s="131">
        <f ca="1" t="shared" si="36"/>
        <v>20</v>
      </c>
      <c r="P122" s="131">
        <f ca="1" t="shared" si="37"/>
        <v>19</v>
      </c>
      <c r="Q122" s="131">
        <f ca="1" t="shared" si="38"/>
        <v>20</v>
      </c>
      <c r="R122" s="131">
        <f ca="1" t="shared" si="39"/>
        <v>19</v>
      </c>
      <c r="S122" s="131">
        <f ca="1" t="shared" si="40"/>
        <v>22</v>
      </c>
      <c r="T122" s="131">
        <f ca="1" t="shared" si="41"/>
        <v>18</v>
      </c>
      <c r="U122" s="131">
        <f ca="1" t="shared" si="42"/>
        <v>19</v>
      </c>
      <c r="V122" s="131">
        <f ca="1" t="shared" si="43"/>
        <v>21</v>
      </c>
      <c r="W122" s="124">
        <f ca="1">OFFSET($K$19,_xlfn.XLOOKUP(X122,$D$9:$D$28,$H$9:$H$28),MATCH(OFFSET($C$29,B122,MATCH(X122,$D$29:$V$29,0)),$L$19:$R$19,1))*(1+(OFFSET($C$29,B122,MATCH(X122,$D$29:$V$29,0))-1)*_xlfn.XLOOKUP(X122,梦灵养成!$D$9:$D$28,梦灵养成!$G$9:$G$28))</f>
        <v>17.055</v>
      </c>
      <c r="X122" s="106" t="str">
        <f ca="1" t="shared" si="24"/>
        <v>神算诸葛</v>
      </c>
      <c r="Y122" s="95">
        <f ca="1" t="shared" si="44"/>
        <v>23400</v>
      </c>
      <c r="Z122" s="96">
        <f ca="1" t="shared" si="45"/>
        <v>3</v>
      </c>
    </row>
    <row r="123" s="106" customFormat="1" ht="16.5" spans="2:26">
      <c r="B123" s="117">
        <v>94</v>
      </c>
      <c r="C123" s="130">
        <f t="shared" si="46"/>
        <v>9400</v>
      </c>
      <c r="D123" s="131">
        <f ca="1" t="shared" si="25"/>
        <v>39</v>
      </c>
      <c r="E123" s="131">
        <f ca="1" t="shared" si="26"/>
        <v>39</v>
      </c>
      <c r="F123" s="131">
        <f ca="1" t="shared" si="27"/>
        <v>39</v>
      </c>
      <c r="G123" s="131">
        <f ca="1" t="shared" si="28"/>
        <v>29</v>
      </c>
      <c r="H123" s="131">
        <f ca="1" t="shared" si="29"/>
        <v>29</v>
      </c>
      <c r="I123" s="131">
        <f ca="1" t="shared" si="30"/>
        <v>29</v>
      </c>
      <c r="J123" s="131">
        <f ca="1" t="shared" si="31"/>
        <v>28</v>
      </c>
      <c r="K123" s="131">
        <f ca="1" t="shared" si="32"/>
        <v>28</v>
      </c>
      <c r="L123" s="131">
        <f ca="1" t="shared" si="33"/>
        <v>28</v>
      </c>
      <c r="M123" s="131">
        <f ca="1" t="shared" si="34"/>
        <v>19</v>
      </c>
      <c r="N123" s="131">
        <f ca="1" t="shared" si="35"/>
        <v>19</v>
      </c>
      <c r="O123" s="131">
        <f ca="1" t="shared" si="36"/>
        <v>20</v>
      </c>
      <c r="P123" s="131">
        <f ca="1" t="shared" si="37"/>
        <v>19</v>
      </c>
      <c r="Q123" s="131">
        <f ca="1" t="shared" si="38"/>
        <v>20</v>
      </c>
      <c r="R123" s="131">
        <f ca="1" t="shared" si="39"/>
        <v>19</v>
      </c>
      <c r="S123" s="131">
        <f ca="1" t="shared" si="40"/>
        <v>22</v>
      </c>
      <c r="T123" s="131">
        <f ca="1" t="shared" si="41"/>
        <v>18</v>
      </c>
      <c r="U123" s="131">
        <f ca="1" t="shared" si="42"/>
        <v>19</v>
      </c>
      <c r="V123" s="131">
        <f ca="1" t="shared" si="43"/>
        <v>21</v>
      </c>
      <c r="W123" s="124">
        <f ca="1">OFFSET($K$19,_xlfn.XLOOKUP(X123,$D$9:$D$28,$H$9:$H$28),MATCH(OFFSET($C$29,B123,MATCH(X123,$D$29:$V$29,0)),$L$19:$R$19,1))*(1+(OFFSET($C$29,B123,MATCH(X123,$D$29:$V$29,0))-1)*_xlfn.XLOOKUP(X123,梦灵养成!$D$9:$D$28,梦灵养成!$G$9:$G$28))</f>
        <v>17.055</v>
      </c>
      <c r="X123" s="106" t="str">
        <f ca="1" t="shared" si="24"/>
        <v>神算诸葛</v>
      </c>
      <c r="Y123" s="95">
        <f ca="1" t="shared" si="44"/>
        <v>21600</v>
      </c>
      <c r="Z123" s="96">
        <f ca="1" t="shared" si="45"/>
        <v>3</v>
      </c>
    </row>
    <row r="124" s="106" customFormat="1" ht="16.5" spans="2:26">
      <c r="B124" s="117">
        <v>95</v>
      </c>
      <c r="C124" s="130">
        <f t="shared" si="46"/>
        <v>9500</v>
      </c>
      <c r="D124" s="131">
        <f ca="1" t="shared" si="25"/>
        <v>39</v>
      </c>
      <c r="E124" s="131">
        <f ca="1" t="shared" si="26"/>
        <v>39</v>
      </c>
      <c r="F124" s="131">
        <f ca="1" t="shared" si="27"/>
        <v>39</v>
      </c>
      <c r="G124" s="131">
        <f ca="1" t="shared" si="28"/>
        <v>29</v>
      </c>
      <c r="H124" s="131">
        <f ca="1" t="shared" si="29"/>
        <v>29</v>
      </c>
      <c r="I124" s="131">
        <f ca="1" t="shared" si="30"/>
        <v>29</v>
      </c>
      <c r="J124" s="131">
        <f ca="1" t="shared" si="31"/>
        <v>29</v>
      </c>
      <c r="K124" s="131">
        <f ca="1" t="shared" si="32"/>
        <v>28</v>
      </c>
      <c r="L124" s="131">
        <f ca="1" t="shared" si="33"/>
        <v>28</v>
      </c>
      <c r="M124" s="131">
        <f ca="1" t="shared" si="34"/>
        <v>19</v>
      </c>
      <c r="N124" s="131">
        <f ca="1" t="shared" si="35"/>
        <v>19</v>
      </c>
      <c r="O124" s="131">
        <f ca="1" t="shared" si="36"/>
        <v>20</v>
      </c>
      <c r="P124" s="131">
        <f ca="1" t="shared" si="37"/>
        <v>19</v>
      </c>
      <c r="Q124" s="131">
        <f ca="1" t="shared" si="38"/>
        <v>20</v>
      </c>
      <c r="R124" s="131">
        <f ca="1" t="shared" si="39"/>
        <v>19</v>
      </c>
      <c r="S124" s="131">
        <f ca="1" t="shared" si="40"/>
        <v>22</v>
      </c>
      <c r="T124" s="131">
        <f ca="1" t="shared" si="41"/>
        <v>18</v>
      </c>
      <c r="U124" s="131">
        <f ca="1" t="shared" si="42"/>
        <v>19</v>
      </c>
      <c r="V124" s="131">
        <f ca="1" t="shared" si="43"/>
        <v>21</v>
      </c>
      <c r="W124" s="124">
        <f ca="1">OFFSET($K$19,_xlfn.XLOOKUP(X124,$D$9:$D$28,$H$9:$H$28),MATCH(OFFSET($C$29,B124,MATCH(X124,$D$29:$V$29,0)),$L$19:$R$19,1))*(1+(OFFSET($C$29,B124,MATCH(X124,$D$29:$V$29,0))-1)*_xlfn.XLOOKUP(X124,梦灵养成!$D$9:$D$28,梦灵养成!$G$9:$G$28))</f>
        <v>17.055</v>
      </c>
      <c r="X124" s="106" t="str">
        <f ca="1" t="shared" si="24"/>
        <v>神算诸葛</v>
      </c>
      <c r="Y124" s="95">
        <f ca="1" t="shared" si="44"/>
        <v>19800</v>
      </c>
      <c r="Z124" s="96">
        <f ca="1" t="shared" si="45"/>
        <v>3</v>
      </c>
    </row>
    <row r="125" s="106" customFormat="1" ht="16.5" spans="2:26">
      <c r="B125" s="117">
        <v>96</v>
      </c>
      <c r="C125" s="130">
        <f t="shared" si="46"/>
        <v>9600</v>
      </c>
      <c r="D125" s="131">
        <f ca="1" t="shared" si="25"/>
        <v>39</v>
      </c>
      <c r="E125" s="131">
        <f ca="1" t="shared" si="26"/>
        <v>39</v>
      </c>
      <c r="F125" s="131">
        <f ca="1" t="shared" si="27"/>
        <v>39</v>
      </c>
      <c r="G125" s="131">
        <f ca="1" t="shared" si="28"/>
        <v>29</v>
      </c>
      <c r="H125" s="131">
        <f ca="1" t="shared" si="29"/>
        <v>29</v>
      </c>
      <c r="I125" s="131">
        <f ca="1" t="shared" si="30"/>
        <v>29</v>
      </c>
      <c r="J125" s="131">
        <f ca="1" t="shared" si="31"/>
        <v>29</v>
      </c>
      <c r="K125" s="131">
        <f ca="1" t="shared" si="32"/>
        <v>29</v>
      </c>
      <c r="L125" s="131">
        <f ca="1" t="shared" si="33"/>
        <v>29</v>
      </c>
      <c r="M125" s="131">
        <f ca="1" t="shared" si="34"/>
        <v>19</v>
      </c>
      <c r="N125" s="131">
        <f ca="1" t="shared" si="35"/>
        <v>20</v>
      </c>
      <c r="O125" s="131">
        <f ca="1" t="shared" si="36"/>
        <v>20</v>
      </c>
      <c r="P125" s="131">
        <f ca="1" t="shared" si="37"/>
        <v>19</v>
      </c>
      <c r="Q125" s="131">
        <f ca="1" t="shared" si="38"/>
        <v>20</v>
      </c>
      <c r="R125" s="131">
        <f ca="1" t="shared" si="39"/>
        <v>20</v>
      </c>
      <c r="S125" s="131">
        <f ca="1" t="shared" si="40"/>
        <v>22</v>
      </c>
      <c r="T125" s="131">
        <f ca="1" t="shared" si="41"/>
        <v>18</v>
      </c>
      <c r="U125" s="131">
        <f ca="1" t="shared" si="42"/>
        <v>19</v>
      </c>
      <c r="V125" s="131">
        <f ca="1" t="shared" si="43"/>
        <v>21</v>
      </c>
      <c r="W125" s="124">
        <f ca="1">OFFSET($K$19,_xlfn.XLOOKUP(X125,$D$9:$D$28,$H$9:$H$28),MATCH(OFFSET($C$29,B125,MATCH(X125,$D$29:$V$29,0)),$L$19:$R$19,1))*(1+(OFFSET($C$29,B125,MATCH(X125,$D$29:$V$29,0))-1)*_xlfn.XLOOKUP(X125,梦灵养成!$D$9:$D$28,梦灵养成!$G$9:$G$28))</f>
        <v>17.055</v>
      </c>
      <c r="X125" s="106" t="str">
        <f ca="1" t="shared" si="24"/>
        <v>神算诸葛</v>
      </c>
      <c r="Y125" s="95">
        <f ca="1" t="shared" si="44"/>
        <v>18000</v>
      </c>
      <c r="Z125" s="96">
        <f ca="1" t="shared" si="45"/>
        <v>3</v>
      </c>
    </row>
    <row r="126" s="106" customFormat="1" ht="16.5" spans="2:26">
      <c r="B126" s="117">
        <v>97</v>
      </c>
      <c r="C126" s="130">
        <f t="shared" si="46"/>
        <v>9700</v>
      </c>
      <c r="D126" s="131">
        <f ca="1" t="shared" si="25"/>
        <v>39</v>
      </c>
      <c r="E126" s="131">
        <f ca="1" t="shared" si="26"/>
        <v>39</v>
      </c>
      <c r="F126" s="131">
        <f ca="1" t="shared" si="27"/>
        <v>39</v>
      </c>
      <c r="G126" s="131">
        <f ca="1" t="shared" si="28"/>
        <v>29</v>
      </c>
      <c r="H126" s="131">
        <f ca="1" t="shared" si="29"/>
        <v>29</v>
      </c>
      <c r="I126" s="131">
        <f ca="1" t="shared" si="30"/>
        <v>29</v>
      </c>
      <c r="J126" s="131">
        <f ca="1" t="shared" si="31"/>
        <v>29</v>
      </c>
      <c r="K126" s="131">
        <f ca="1" t="shared" si="32"/>
        <v>29</v>
      </c>
      <c r="L126" s="131">
        <f ca="1" t="shared" si="33"/>
        <v>29</v>
      </c>
      <c r="M126" s="131">
        <f ca="1" t="shared" si="34"/>
        <v>20</v>
      </c>
      <c r="N126" s="131">
        <f ca="1" t="shared" si="35"/>
        <v>20</v>
      </c>
      <c r="O126" s="131">
        <f ca="1" t="shared" si="36"/>
        <v>20</v>
      </c>
      <c r="P126" s="131">
        <f ca="1" t="shared" si="37"/>
        <v>19</v>
      </c>
      <c r="Q126" s="131">
        <f ca="1" t="shared" si="38"/>
        <v>20</v>
      </c>
      <c r="R126" s="131">
        <f ca="1" t="shared" si="39"/>
        <v>20</v>
      </c>
      <c r="S126" s="131">
        <f ca="1" t="shared" si="40"/>
        <v>22</v>
      </c>
      <c r="T126" s="131">
        <f ca="1" t="shared" si="41"/>
        <v>18</v>
      </c>
      <c r="U126" s="131">
        <f ca="1" t="shared" si="42"/>
        <v>19</v>
      </c>
      <c r="V126" s="131">
        <f ca="1" t="shared" si="43"/>
        <v>21</v>
      </c>
      <c r="W126" s="124">
        <f ca="1">OFFSET($K$19,_xlfn.XLOOKUP(X126,$D$9:$D$28,$H$9:$H$28),MATCH(OFFSET($C$29,B126,MATCH(X126,$D$29:$V$29,0)),$L$19:$R$19,1))*(1+(OFFSET($C$29,B126,MATCH(X126,$D$29:$V$29,0))-1)*_xlfn.XLOOKUP(X126,梦灵养成!$D$9:$D$28,梦灵养成!$G$9:$G$28))</f>
        <v>17.055</v>
      </c>
      <c r="X126" s="106" t="str">
        <f ca="1" t="shared" si="24"/>
        <v>神算诸葛</v>
      </c>
      <c r="Y126" s="95">
        <f ca="1" t="shared" si="44"/>
        <v>16200</v>
      </c>
      <c r="Z126" s="96">
        <f ca="1" t="shared" si="45"/>
        <v>3</v>
      </c>
    </row>
    <row r="127" s="106" customFormat="1" ht="16.5" spans="2:26">
      <c r="B127" s="117">
        <v>98</v>
      </c>
      <c r="C127" s="130">
        <f t="shared" si="46"/>
        <v>9800</v>
      </c>
      <c r="D127" s="131">
        <f ca="1" t="shared" si="25"/>
        <v>40</v>
      </c>
      <c r="E127" s="131">
        <f ca="1" t="shared" si="26"/>
        <v>40</v>
      </c>
      <c r="F127" s="131">
        <f ca="1" t="shared" si="27"/>
        <v>40</v>
      </c>
      <c r="G127" s="131">
        <f ca="1" t="shared" si="28"/>
        <v>29</v>
      </c>
      <c r="H127" s="131">
        <f ca="1" t="shared" si="29"/>
        <v>29</v>
      </c>
      <c r="I127" s="131">
        <f ca="1" t="shared" si="30"/>
        <v>29</v>
      </c>
      <c r="J127" s="131">
        <f ca="1" t="shared" si="31"/>
        <v>29</v>
      </c>
      <c r="K127" s="131">
        <f ca="1" t="shared" si="32"/>
        <v>29</v>
      </c>
      <c r="L127" s="131">
        <f ca="1" t="shared" si="33"/>
        <v>29</v>
      </c>
      <c r="M127" s="131">
        <f ca="1" t="shared" si="34"/>
        <v>20</v>
      </c>
      <c r="N127" s="131">
        <f ca="1" t="shared" si="35"/>
        <v>20</v>
      </c>
      <c r="O127" s="131">
        <f ca="1" t="shared" si="36"/>
        <v>20</v>
      </c>
      <c r="P127" s="131">
        <f ca="1" t="shared" si="37"/>
        <v>19</v>
      </c>
      <c r="Q127" s="131">
        <f ca="1" t="shared" si="38"/>
        <v>20</v>
      </c>
      <c r="R127" s="131">
        <f ca="1" t="shared" si="39"/>
        <v>20</v>
      </c>
      <c r="S127" s="131">
        <f ca="1" t="shared" si="40"/>
        <v>22</v>
      </c>
      <c r="T127" s="131">
        <f ca="1" t="shared" si="41"/>
        <v>19</v>
      </c>
      <c r="U127" s="131">
        <f ca="1" t="shared" si="42"/>
        <v>19</v>
      </c>
      <c r="V127" s="131">
        <f ca="1" t="shared" si="43"/>
        <v>22</v>
      </c>
      <c r="W127" s="124">
        <f ca="1">OFFSET($K$19,_xlfn.XLOOKUP(X127,$D$9:$D$28,$H$9:$H$28),MATCH(OFFSET($C$29,B127,MATCH(X127,$D$29:$V$29,0)),$L$19:$R$19,1))*(1+(OFFSET($C$29,B127,MATCH(X127,$D$29:$V$29,0))-1)*_xlfn.XLOOKUP(X127,梦灵养成!$D$9:$D$28,梦灵养成!$G$9:$G$28))</f>
        <v>17.6235</v>
      </c>
      <c r="X127" s="106" t="str">
        <f ca="1" t="shared" si="24"/>
        <v>神算诸葛</v>
      </c>
      <c r="Y127" s="95">
        <f ca="1" t="shared" si="44"/>
        <v>21600</v>
      </c>
      <c r="Z127" s="96">
        <f ca="1" t="shared" si="45"/>
        <v>3.1</v>
      </c>
    </row>
    <row r="128" s="106" customFormat="1" ht="16.5" spans="2:26">
      <c r="B128" s="117">
        <v>99</v>
      </c>
      <c r="C128" s="130">
        <f t="shared" si="46"/>
        <v>9900</v>
      </c>
      <c r="D128" s="131">
        <f ca="1" t="shared" si="25"/>
        <v>40</v>
      </c>
      <c r="E128" s="131">
        <f ca="1" t="shared" si="26"/>
        <v>40</v>
      </c>
      <c r="F128" s="131">
        <f ca="1" t="shared" si="27"/>
        <v>40</v>
      </c>
      <c r="G128" s="131">
        <f ca="1" t="shared" si="28"/>
        <v>29</v>
      </c>
      <c r="H128" s="131">
        <f ca="1" t="shared" si="29"/>
        <v>29</v>
      </c>
      <c r="I128" s="131">
        <f ca="1" t="shared" si="30"/>
        <v>29</v>
      </c>
      <c r="J128" s="131">
        <f ca="1" t="shared" si="31"/>
        <v>29</v>
      </c>
      <c r="K128" s="131">
        <f ca="1" t="shared" si="32"/>
        <v>29</v>
      </c>
      <c r="L128" s="131">
        <f ca="1" t="shared" si="33"/>
        <v>29</v>
      </c>
      <c r="M128" s="131">
        <f ca="1" t="shared" si="34"/>
        <v>20</v>
      </c>
      <c r="N128" s="131">
        <f ca="1" t="shared" si="35"/>
        <v>20</v>
      </c>
      <c r="O128" s="131">
        <f ca="1" t="shared" si="36"/>
        <v>20</v>
      </c>
      <c r="P128" s="131">
        <f ca="1" t="shared" si="37"/>
        <v>19</v>
      </c>
      <c r="Q128" s="131">
        <f ca="1" t="shared" si="38"/>
        <v>21</v>
      </c>
      <c r="R128" s="131">
        <f ca="1" t="shared" si="39"/>
        <v>20</v>
      </c>
      <c r="S128" s="131">
        <f ca="1" t="shared" si="40"/>
        <v>22</v>
      </c>
      <c r="T128" s="131">
        <f ca="1" t="shared" si="41"/>
        <v>19</v>
      </c>
      <c r="U128" s="131">
        <f ca="1" t="shared" si="42"/>
        <v>19</v>
      </c>
      <c r="V128" s="131">
        <f ca="1" t="shared" si="43"/>
        <v>22</v>
      </c>
      <c r="W128" s="124">
        <f ca="1">OFFSET($K$19,_xlfn.XLOOKUP(X128,$D$9:$D$28,$H$9:$H$28),MATCH(OFFSET($C$29,B128,MATCH(X128,$D$29:$V$29,0)),$L$19:$R$19,1))*(1+(OFFSET($C$29,B128,MATCH(X128,$D$29:$V$29,0))-1)*_xlfn.XLOOKUP(X128,梦灵养成!$D$9:$D$28,梦灵养成!$G$9:$G$28))</f>
        <v>17.6235</v>
      </c>
      <c r="X128" s="106" t="str">
        <f ca="1" t="shared" si="24"/>
        <v>神算诸葛</v>
      </c>
      <c r="Y128" s="95">
        <f ca="1" t="shared" si="44"/>
        <v>19800</v>
      </c>
      <c r="Z128" s="96">
        <f ca="1" t="shared" si="45"/>
        <v>3.1</v>
      </c>
    </row>
    <row r="129" s="106" customFormat="1" ht="16.5" spans="2:26">
      <c r="B129" s="117">
        <v>100</v>
      </c>
      <c r="C129" s="130">
        <f t="shared" si="46"/>
        <v>10000</v>
      </c>
      <c r="D129" s="131">
        <f ca="1" t="shared" si="25"/>
        <v>40</v>
      </c>
      <c r="E129" s="131">
        <f ca="1" t="shared" si="26"/>
        <v>40</v>
      </c>
      <c r="F129" s="131">
        <f ca="1" t="shared" si="27"/>
        <v>40</v>
      </c>
      <c r="G129" s="131">
        <f ca="1" t="shared" si="28"/>
        <v>29</v>
      </c>
      <c r="H129" s="131">
        <f ca="1" t="shared" si="29"/>
        <v>29</v>
      </c>
      <c r="I129" s="131">
        <f ca="1" t="shared" si="30"/>
        <v>29</v>
      </c>
      <c r="J129" s="131">
        <f ca="1" t="shared" si="31"/>
        <v>29</v>
      </c>
      <c r="K129" s="131">
        <f ca="1" t="shared" si="32"/>
        <v>29</v>
      </c>
      <c r="L129" s="131">
        <f ca="1" t="shared" si="33"/>
        <v>29</v>
      </c>
      <c r="M129" s="131">
        <f ca="1" t="shared" si="34"/>
        <v>20</v>
      </c>
      <c r="N129" s="131">
        <f ca="1" t="shared" si="35"/>
        <v>20</v>
      </c>
      <c r="O129" s="131">
        <f ca="1" t="shared" si="36"/>
        <v>20</v>
      </c>
      <c r="P129" s="131">
        <f ca="1" t="shared" si="37"/>
        <v>20</v>
      </c>
      <c r="Q129" s="131">
        <f ca="1" t="shared" si="38"/>
        <v>21</v>
      </c>
      <c r="R129" s="131">
        <f ca="1" t="shared" si="39"/>
        <v>20</v>
      </c>
      <c r="S129" s="131">
        <f ca="1" t="shared" si="40"/>
        <v>23</v>
      </c>
      <c r="T129" s="131">
        <f ca="1" t="shared" si="41"/>
        <v>20</v>
      </c>
      <c r="U129" s="131">
        <f ca="1" t="shared" si="42"/>
        <v>20</v>
      </c>
      <c r="V129" s="131">
        <f ca="1" t="shared" si="43"/>
        <v>22</v>
      </c>
      <c r="W129" s="124">
        <f ca="1">OFFSET($K$19,_xlfn.XLOOKUP(X129,$D$9:$D$28,$H$9:$H$28),MATCH(OFFSET($C$29,B129,MATCH(X129,$D$29:$V$29,0)),$L$19:$R$19,1))*(1+(OFFSET($C$29,B129,MATCH(X129,$D$29:$V$29,0))-1)*_xlfn.XLOOKUP(X129,梦灵养成!$D$9:$D$28,梦灵养成!$G$9:$G$28))</f>
        <v>17.6235</v>
      </c>
      <c r="X129" s="106" t="str">
        <f ca="1" t="shared" si="24"/>
        <v>神算诸葛</v>
      </c>
      <c r="Y129" s="95">
        <f ca="1" t="shared" si="44"/>
        <v>18000</v>
      </c>
      <c r="Z129" s="96">
        <f ca="1" t="shared" si="45"/>
        <v>3.1</v>
      </c>
    </row>
    <row r="130" s="106" customFormat="1" ht="16.5" spans="2:26">
      <c r="B130" s="117">
        <v>101</v>
      </c>
      <c r="C130" s="130">
        <f t="shared" si="46"/>
        <v>10100</v>
      </c>
      <c r="D130" s="131">
        <f ca="1" t="shared" si="25"/>
        <v>40</v>
      </c>
      <c r="E130" s="131">
        <f ca="1" t="shared" si="26"/>
        <v>40</v>
      </c>
      <c r="F130" s="131">
        <f ca="1" t="shared" si="27"/>
        <v>40</v>
      </c>
      <c r="G130" s="131">
        <f ca="1" t="shared" si="28"/>
        <v>30</v>
      </c>
      <c r="H130" s="131">
        <f ca="1" t="shared" si="29"/>
        <v>30</v>
      </c>
      <c r="I130" s="131">
        <f ca="1" t="shared" si="30"/>
        <v>30</v>
      </c>
      <c r="J130" s="131">
        <f ca="1" t="shared" si="31"/>
        <v>29</v>
      </c>
      <c r="K130" s="131">
        <f ca="1" t="shared" si="32"/>
        <v>29</v>
      </c>
      <c r="L130" s="131">
        <f ca="1" t="shared" si="33"/>
        <v>29</v>
      </c>
      <c r="M130" s="131">
        <f ca="1" t="shared" si="34"/>
        <v>20</v>
      </c>
      <c r="N130" s="131">
        <f ca="1" t="shared" si="35"/>
        <v>20</v>
      </c>
      <c r="O130" s="131">
        <f ca="1" t="shared" si="36"/>
        <v>21</v>
      </c>
      <c r="P130" s="131">
        <f ca="1" t="shared" si="37"/>
        <v>20</v>
      </c>
      <c r="Q130" s="131">
        <f ca="1" t="shared" si="38"/>
        <v>21</v>
      </c>
      <c r="R130" s="131">
        <f ca="1" t="shared" si="39"/>
        <v>20</v>
      </c>
      <c r="S130" s="131">
        <f ca="1" t="shared" si="40"/>
        <v>23</v>
      </c>
      <c r="T130" s="131">
        <f ca="1" t="shared" si="41"/>
        <v>20</v>
      </c>
      <c r="U130" s="131">
        <f ca="1" t="shared" si="42"/>
        <v>20</v>
      </c>
      <c r="V130" s="131">
        <f ca="1" t="shared" si="43"/>
        <v>22</v>
      </c>
      <c r="W130" s="124">
        <f ca="1">OFFSET($K$19,_xlfn.XLOOKUP(X130,$D$9:$D$28,$H$9:$H$28),MATCH(OFFSET($C$29,B130,MATCH(X130,$D$29:$V$29,0)),$L$19:$R$19,1))*(1+(OFFSET($C$29,B130,MATCH(X130,$D$29:$V$29,0))-1)*_xlfn.XLOOKUP(X130,梦灵养成!$D$9:$D$28,梦灵养成!$G$9:$G$28))</f>
        <v>17.6235</v>
      </c>
      <c r="X130" s="106" t="str">
        <f ca="1" t="shared" si="24"/>
        <v>神算诸葛</v>
      </c>
      <c r="Y130" s="95">
        <f ca="1" t="shared" si="44"/>
        <v>16200</v>
      </c>
      <c r="Z130" s="96">
        <f ca="1" t="shared" si="45"/>
        <v>3.1</v>
      </c>
    </row>
    <row r="131" s="106" customFormat="1" ht="16.5" spans="2:26">
      <c r="B131" s="117">
        <v>102</v>
      </c>
      <c r="C131" s="130">
        <f t="shared" si="46"/>
        <v>10200</v>
      </c>
      <c r="D131" s="131">
        <f ca="1" t="shared" si="25"/>
        <v>40</v>
      </c>
      <c r="E131" s="131">
        <f ca="1" t="shared" si="26"/>
        <v>40</v>
      </c>
      <c r="F131" s="131">
        <f ca="1" t="shared" si="27"/>
        <v>40</v>
      </c>
      <c r="G131" s="131">
        <f ca="1" t="shared" si="28"/>
        <v>30</v>
      </c>
      <c r="H131" s="131">
        <f ca="1" t="shared" si="29"/>
        <v>30</v>
      </c>
      <c r="I131" s="131">
        <f ca="1" t="shared" si="30"/>
        <v>30</v>
      </c>
      <c r="J131" s="131">
        <f ca="1" t="shared" si="31"/>
        <v>30</v>
      </c>
      <c r="K131" s="131">
        <f ca="1" t="shared" si="32"/>
        <v>29</v>
      </c>
      <c r="L131" s="131">
        <f ca="1" t="shared" si="33"/>
        <v>29</v>
      </c>
      <c r="M131" s="131">
        <f ca="1" t="shared" si="34"/>
        <v>20</v>
      </c>
      <c r="N131" s="131">
        <f ca="1" t="shared" si="35"/>
        <v>20</v>
      </c>
      <c r="O131" s="131">
        <f ca="1" t="shared" si="36"/>
        <v>21</v>
      </c>
      <c r="P131" s="131">
        <f ca="1" t="shared" si="37"/>
        <v>20</v>
      </c>
      <c r="Q131" s="131">
        <f ca="1" t="shared" si="38"/>
        <v>21</v>
      </c>
      <c r="R131" s="131">
        <f ca="1" t="shared" si="39"/>
        <v>20</v>
      </c>
      <c r="S131" s="131">
        <f ca="1" t="shared" si="40"/>
        <v>23</v>
      </c>
      <c r="T131" s="131">
        <f ca="1" t="shared" si="41"/>
        <v>20</v>
      </c>
      <c r="U131" s="131">
        <f ca="1" t="shared" si="42"/>
        <v>20</v>
      </c>
      <c r="V131" s="131">
        <f ca="1" t="shared" si="43"/>
        <v>23</v>
      </c>
      <c r="W131" s="124">
        <f ca="1">OFFSET($K$19,_xlfn.XLOOKUP(X131,$D$9:$D$28,$H$9:$H$28),MATCH(OFFSET($C$29,B131,MATCH(X131,$D$29:$V$29,0)),$L$19:$R$19,1))*(1+(OFFSET($C$29,B131,MATCH(X131,$D$29:$V$29,0))-1)*_xlfn.XLOOKUP(X131,梦灵养成!$D$9:$D$28,梦灵养成!$G$9:$G$28))</f>
        <v>18.192</v>
      </c>
      <c r="X131" s="106" t="str">
        <f ca="1" t="shared" si="24"/>
        <v>神算诸葛</v>
      </c>
      <c r="Y131" s="95">
        <f ca="1" t="shared" si="44"/>
        <v>14400</v>
      </c>
      <c r="Z131" s="96">
        <f ca="1" t="shared" si="45"/>
        <v>3.2</v>
      </c>
    </row>
    <row r="132" s="106" customFormat="1" ht="16.5" spans="2:26">
      <c r="B132" s="117">
        <v>103</v>
      </c>
      <c r="C132" s="130">
        <f t="shared" si="46"/>
        <v>10300</v>
      </c>
      <c r="D132" s="131">
        <f ca="1" t="shared" si="25"/>
        <v>40</v>
      </c>
      <c r="E132" s="131">
        <f ca="1" t="shared" si="26"/>
        <v>40</v>
      </c>
      <c r="F132" s="131">
        <f ca="1" t="shared" si="27"/>
        <v>40</v>
      </c>
      <c r="G132" s="131">
        <f ca="1" t="shared" si="28"/>
        <v>30</v>
      </c>
      <c r="H132" s="131">
        <f ca="1" t="shared" si="29"/>
        <v>30</v>
      </c>
      <c r="I132" s="131">
        <f ca="1" t="shared" si="30"/>
        <v>30</v>
      </c>
      <c r="J132" s="131">
        <f ca="1" t="shared" si="31"/>
        <v>30</v>
      </c>
      <c r="K132" s="131">
        <f ca="1" t="shared" si="32"/>
        <v>30</v>
      </c>
      <c r="L132" s="131">
        <f ca="1" t="shared" si="33"/>
        <v>30</v>
      </c>
      <c r="M132" s="131">
        <f ca="1" t="shared" si="34"/>
        <v>20</v>
      </c>
      <c r="N132" s="131">
        <f ca="1" t="shared" si="35"/>
        <v>20</v>
      </c>
      <c r="O132" s="131">
        <f ca="1" t="shared" si="36"/>
        <v>21</v>
      </c>
      <c r="P132" s="131">
        <f ca="1" t="shared" si="37"/>
        <v>20</v>
      </c>
      <c r="Q132" s="131">
        <f ca="1" t="shared" si="38"/>
        <v>21</v>
      </c>
      <c r="R132" s="131">
        <f ca="1" t="shared" si="39"/>
        <v>20</v>
      </c>
      <c r="S132" s="131">
        <f ca="1" t="shared" si="40"/>
        <v>23</v>
      </c>
      <c r="T132" s="131">
        <f ca="1" t="shared" si="41"/>
        <v>20</v>
      </c>
      <c r="U132" s="131">
        <f ca="1" t="shared" si="42"/>
        <v>20</v>
      </c>
      <c r="V132" s="131">
        <f ca="1" t="shared" si="43"/>
        <v>23</v>
      </c>
      <c r="W132" s="124">
        <f ca="1">OFFSET($K$19,_xlfn.XLOOKUP(X132,$D$9:$D$28,$H$9:$H$28),MATCH(OFFSET($C$29,B132,MATCH(X132,$D$29:$V$29,0)),$L$19:$R$19,1))*(1+(OFFSET($C$29,B132,MATCH(X132,$D$29:$V$29,0))-1)*_xlfn.XLOOKUP(X132,梦灵养成!$D$9:$D$28,梦灵养成!$G$9:$G$28))</f>
        <v>18.192</v>
      </c>
      <c r="X132" s="106" t="str">
        <f ca="1" t="shared" si="24"/>
        <v>神算诸葛</v>
      </c>
      <c r="Y132" s="95">
        <f ca="1" t="shared" si="44"/>
        <v>12600</v>
      </c>
      <c r="Z132" s="96">
        <f ca="1" t="shared" si="45"/>
        <v>3.2</v>
      </c>
    </row>
    <row r="133" s="106" customFormat="1" ht="16.5" spans="2:26">
      <c r="B133" s="117">
        <v>104</v>
      </c>
      <c r="C133" s="130">
        <f t="shared" si="46"/>
        <v>10400</v>
      </c>
      <c r="D133" s="131">
        <f ca="1" t="shared" si="25"/>
        <v>40</v>
      </c>
      <c r="E133" s="131">
        <f ca="1" t="shared" si="26"/>
        <v>40</v>
      </c>
      <c r="F133" s="131">
        <f ca="1" t="shared" si="27"/>
        <v>40</v>
      </c>
      <c r="G133" s="131">
        <f ca="1" t="shared" si="28"/>
        <v>30</v>
      </c>
      <c r="H133" s="131">
        <f ca="1" t="shared" si="29"/>
        <v>30</v>
      </c>
      <c r="I133" s="131">
        <f ca="1" t="shared" si="30"/>
        <v>30</v>
      </c>
      <c r="J133" s="131">
        <f ca="1" t="shared" si="31"/>
        <v>30</v>
      </c>
      <c r="K133" s="131">
        <f ca="1" t="shared" si="32"/>
        <v>30</v>
      </c>
      <c r="L133" s="131">
        <f ca="1" t="shared" si="33"/>
        <v>30</v>
      </c>
      <c r="M133" s="131">
        <f ca="1" t="shared" si="34"/>
        <v>20</v>
      </c>
      <c r="N133" s="131">
        <f ca="1" t="shared" si="35"/>
        <v>21</v>
      </c>
      <c r="O133" s="131">
        <f ca="1" t="shared" si="36"/>
        <v>21</v>
      </c>
      <c r="P133" s="131">
        <f ca="1" t="shared" si="37"/>
        <v>20</v>
      </c>
      <c r="Q133" s="131">
        <f ca="1" t="shared" si="38"/>
        <v>21</v>
      </c>
      <c r="R133" s="131">
        <f ca="1" t="shared" si="39"/>
        <v>20</v>
      </c>
      <c r="S133" s="131">
        <f ca="1" t="shared" si="40"/>
        <v>24</v>
      </c>
      <c r="T133" s="131">
        <f ca="1" t="shared" si="41"/>
        <v>21</v>
      </c>
      <c r="U133" s="131">
        <f ca="1" t="shared" si="42"/>
        <v>21</v>
      </c>
      <c r="V133" s="131">
        <f ca="1" t="shared" si="43"/>
        <v>23</v>
      </c>
      <c r="W133" s="124">
        <f ca="1">OFFSET($K$19,_xlfn.XLOOKUP(X133,$D$9:$D$28,$H$9:$H$28),MATCH(OFFSET($C$29,B133,MATCH(X133,$D$29:$V$29,0)),$L$19:$R$19,1))*(1+(OFFSET($C$29,B133,MATCH(X133,$D$29:$V$29,0))-1)*_xlfn.XLOOKUP(X133,梦灵养成!$D$9:$D$28,梦灵养成!$G$9:$G$28))</f>
        <v>18.192</v>
      </c>
      <c r="X133" s="106" t="str">
        <f ca="1" t="shared" si="24"/>
        <v>神算诸葛</v>
      </c>
      <c r="Y133" s="95">
        <f ca="1" t="shared" si="44"/>
        <v>10800</v>
      </c>
      <c r="Z133" s="96">
        <f ca="1" t="shared" si="45"/>
        <v>3.2</v>
      </c>
    </row>
    <row r="134" s="106" customFormat="1" ht="16.5" spans="2:26">
      <c r="B134" s="117">
        <v>105</v>
      </c>
      <c r="C134" s="130">
        <f t="shared" si="46"/>
        <v>10500</v>
      </c>
      <c r="D134" s="131">
        <f ca="1" t="shared" si="25"/>
        <v>40</v>
      </c>
      <c r="E134" s="131">
        <f ca="1" t="shared" si="26"/>
        <v>40</v>
      </c>
      <c r="F134" s="131">
        <f ca="1" t="shared" si="27"/>
        <v>40</v>
      </c>
      <c r="G134" s="131">
        <f ca="1" t="shared" si="28"/>
        <v>30</v>
      </c>
      <c r="H134" s="131">
        <f ca="1" t="shared" si="29"/>
        <v>30</v>
      </c>
      <c r="I134" s="131">
        <f ca="1" t="shared" si="30"/>
        <v>30</v>
      </c>
      <c r="J134" s="131">
        <f ca="1" t="shared" si="31"/>
        <v>30</v>
      </c>
      <c r="K134" s="131">
        <f ca="1" t="shared" si="32"/>
        <v>30</v>
      </c>
      <c r="L134" s="131">
        <f ca="1" t="shared" si="33"/>
        <v>30</v>
      </c>
      <c r="M134" s="131">
        <f ca="1" t="shared" si="34"/>
        <v>21</v>
      </c>
      <c r="N134" s="131">
        <f ca="1" t="shared" si="35"/>
        <v>21</v>
      </c>
      <c r="O134" s="131">
        <f ca="1" t="shared" si="36"/>
        <v>21</v>
      </c>
      <c r="P134" s="131">
        <f ca="1" t="shared" si="37"/>
        <v>20</v>
      </c>
      <c r="Q134" s="131">
        <f ca="1" t="shared" si="38"/>
        <v>21</v>
      </c>
      <c r="R134" s="131">
        <f ca="1" t="shared" si="39"/>
        <v>21</v>
      </c>
      <c r="S134" s="131">
        <f ca="1" t="shared" si="40"/>
        <v>24</v>
      </c>
      <c r="T134" s="131">
        <f ca="1" t="shared" si="41"/>
        <v>21</v>
      </c>
      <c r="U134" s="131">
        <f ca="1" t="shared" si="42"/>
        <v>21</v>
      </c>
      <c r="V134" s="131">
        <f ca="1" t="shared" si="43"/>
        <v>23</v>
      </c>
      <c r="W134" s="124">
        <f ca="1">OFFSET($K$19,_xlfn.XLOOKUP(X134,$D$9:$D$28,$H$9:$H$28),MATCH(OFFSET($C$29,B134,MATCH(X134,$D$29:$V$29,0)),$L$19:$R$19,1))*(1+(OFFSET($C$29,B134,MATCH(X134,$D$29:$V$29,0))-1)*_xlfn.XLOOKUP(X134,梦灵养成!$D$9:$D$28,梦灵养成!$G$9:$G$28))</f>
        <v>18.192</v>
      </c>
      <c r="X134" s="106" t="str">
        <f ca="1" t="shared" si="24"/>
        <v>神算诸葛</v>
      </c>
      <c r="Y134" s="95">
        <f ca="1" t="shared" si="44"/>
        <v>9000</v>
      </c>
      <c r="Z134" s="96">
        <f ca="1" t="shared" si="45"/>
        <v>3.2</v>
      </c>
    </row>
    <row r="135" s="106" customFormat="1" ht="16.5" spans="2:26">
      <c r="B135" s="117">
        <v>106</v>
      </c>
      <c r="C135" s="130">
        <f t="shared" si="46"/>
        <v>10600</v>
      </c>
      <c r="D135" s="131">
        <f ca="1" t="shared" si="25"/>
        <v>40</v>
      </c>
      <c r="E135" s="131">
        <f ca="1" t="shared" si="26"/>
        <v>40</v>
      </c>
      <c r="F135" s="131">
        <f ca="1" t="shared" si="27"/>
        <v>40</v>
      </c>
      <c r="G135" s="131">
        <f ca="1" t="shared" si="28"/>
        <v>30</v>
      </c>
      <c r="H135" s="131">
        <f ca="1" t="shared" si="29"/>
        <v>30</v>
      </c>
      <c r="I135" s="131">
        <f ca="1" t="shared" si="30"/>
        <v>30</v>
      </c>
      <c r="J135" s="131">
        <f ca="1" t="shared" si="31"/>
        <v>30</v>
      </c>
      <c r="K135" s="131">
        <f ca="1" t="shared" si="32"/>
        <v>30</v>
      </c>
      <c r="L135" s="131">
        <f ca="1" t="shared" si="33"/>
        <v>30</v>
      </c>
      <c r="M135" s="131">
        <f ca="1" t="shared" si="34"/>
        <v>21</v>
      </c>
      <c r="N135" s="131">
        <f ca="1" t="shared" si="35"/>
        <v>21</v>
      </c>
      <c r="O135" s="131">
        <f ca="1" t="shared" si="36"/>
        <v>21</v>
      </c>
      <c r="P135" s="131">
        <f ca="1" t="shared" si="37"/>
        <v>20</v>
      </c>
      <c r="Q135" s="131">
        <f ca="1" t="shared" si="38"/>
        <v>21</v>
      </c>
      <c r="R135" s="131">
        <f ca="1" t="shared" si="39"/>
        <v>21</v>
      </c>
      <c r="S135" s="131">
        <f ca="1" t="shared" si="40"/>
        <v>24</v>
      </c>
      <c r="T135" s="131">
        <f ca="1" t="shared" si="41"/>
        <v>21</v>
      </c>
      <c r="U135" s="131">
        <f ca="1" t="shared" si="42"/>
        <v>21</v>
      </c>
      <c r="V135" s="131">
        <f ca="1" t="shared" si="43"/>
        <v>24</v>
      </c>
      <c r="W135" s="124">
        <f ca="1">OFFSET($K$19,_xlfn.XLOOKUP(X135,$D$9:$D$28,$H$9:$H$28),MATCH(OFFSET($C$29,B135,MATCH(X135,$D$29:$V$29,0)),$L$19:$R$19,1))*(1+(OFFSET($C$29,B135,MATCH(X135,$D$29:$V$29,0))-1)*_xlfn.XLOOKUP(X135,梦灵养成!$D$9:$D$28,梦灵养成!$G$9:$G$28))</f>
        <v>18.7605</v>
      </c>
      <c r="X135" s="106" t="str">
        <f ca="1" t="shared" si="24"/>
        <v>神算诸葛</v>
      </c>
      <c r="Y135" s="95">
        <f ca="1" t="shared" si="44"/>
        <v>7200</v>
      </c>
      <c r="Z135" s="96">
        <f ca="1" t="shared" si="45"/>
        <v>3.3</v>
      </c>
    </row>
    <row r="136" s="106" customFormat="1" ht="16.5" spans="2:26">
      <c r="B136" s="117">
        <v>107</v>
      </c>
      <c r="C136" s="130">
        <f t="shared" si="46"/>
        <v>10700</v>
      </c>
      <c r="D136" s="131">
        <f ca="1" t="shared" si="25"/>
        <v>40</v>
      </c>
      <c r="E136" s="131">
        <f ca="1" t="shared" si="26"/>
        <v>40</v>
      </c>
      <c r="F136" s="131">
        <f ca="1" t="shared" si="27"/>
        <v>40</v>
      </c>
      <c r="G136" s="131">
        <f ca="1" t="shared" si="28"/>
        <v>30</v>
      </c>
      <c r="H136" s="131">
        <f ca="1" t="shared" si="29"/>
        <v>30</v>
      </c>
      <c r="I136" s="131">
        <f ca="1" t="shared" si="30"/>
        <v>30</v>
      </c>
      <c r="J136" s="131">
        <f ca="1" t="shared" si="31"/>
        <v>30</v>
      </c>
      <c r="K136" s="131">
        <f ca="1" t="shared" si="32"/>
        <v>30</v>
      </c>
      <c r="L136" s="131">
        <f ca="1" t="shared" si="33"/>
        <v>30</v>
      </c>
      <c r="M136" s="131">
        <f ca="1" t="shared" si="34"/>
        <v>21</v>
      </c>
      <c r="N136" s="131">
        <f ca="1" t="shared" si="35"/>
        <v>21</v>
      </c>
      <c r="O136" s="131">
        <f ca="1" t="shared" si="36"/>
        <v>21</v>
      </c>
      <c r="P136" s="131">
        <f ca="1" t="shared" si="37"/>
        <v>20</v>
      </c>
      <c r="Q136" s="131">
        <f ca="1" t="shared" si="38"/>
        <v>22</v>
      </c>
      <c r="R136" s="131">
        <f ca="1" t="shared" si="39"/>
        <v>21</v>
      </c>
      <c r="S136" s="131">
        <f ca="1" t="shared" si="40"/>
        <v>24</v>
      </c>
      <c r="T136" s="131">
        <f ca="1" t="shared" si="41"/>
        <v>21</v>
      </c>
      <c r="U136" s="131">
        <f ca="1" t="shared" si="42"/>
        <v>22</v>
      </c>
      <c r="V136" s="131">
        <f ca="1" t="shared" si="43"/>
        <v>24</v>
      </c>
      <c r="W136" s="124">
        <f ca="1">OFFSET($K$19,_xlfn.XLOOKUP(X136,$D$9:$D$28,$H$9:$H$28),MATCH(OFFSET($C$29,B136,MATCH(X136,$D$29:$V$29,0)),$L$19:$R$19,1))*(1+(OFFSET($C$29,B136,MATCH(X136,$D$29:$V$29,0))-1)*_xlfn.XLOOKUP(X136,梦灵养成!$D$9:$D$28,梦灵养成!$G$9:$G$28))</f>
        <v>18.7605</v>
      </c>
      <c r="X136" s="106" t="str">
        <f ca="1" t="shared" si="24"/>
        <v>神算诸葛</v>
      </c>
      <c r="Y136" s="95">
        <f ca="1" t="shared" si="44"/>
        <v>5400</v>
      </c>
      <c r="Z136" s="96">
        <f ca="1" t="shared" si="45"/>
        <v>3.3</v>
      </c>
    </row>
    <row r="137" s="106" customFormat="1" ht="16.5" spans="2:26">
      <c r="B137" s="117">
        <v>108</v>
      </c>
      <c r="C137" s="130">
        <f t="shared" si="46"/>
        <v>10800</v>
      </c>
      <c r="D137" s="131">
        <f ca="1" t="shared" si="25"/>
        <v>40</v>
      </c>
      <c r="E137" s="131">
        <f ca="1" t="shared" si="26"/>
        <v>40</v>
      </c>
      <c r="F137" s="131">
        <f ca="1" t="shared" si="27"/>
        <v>40</v>
      </c>
      <c r="G137" s="131">
        <f ca="1" t="shared" si="28"/>
        <v>30</v>
      </c>
      <c r="H137" s="131">
        <f ca="1" t="shared" si="29"/>
        <v>30</v>
      </c>
      <c r="I137" s="131">
        <f ca="1" t="shared" si="30"/>
        <v>30</v>
      </c>
      <c r="J137" s="131">
        <f ca="1" t="shared" si="31"/>
        <v>30</v>
      </c>
      <c r="K137" s="131">
        <f ca="1" t="shared" si="32"/>
        <v>30</v>
      </c>
      <c r="L137" s="131">
        <f ca="1" t="shared" si="33"/>
        <v>30</v>
      </c>
      <c r="M137" s="131">
        <f ca="1" t="shared" si="34"/>
        <v>21</v>
      </c>
      <c r="N137" s="131">
        <f ca="1" t="shared" si="35"/>
        <v>21</v>
      </c>
      <c r="O137" s="131">
        <f ca="1" t="shared" si="36"/>
        <v>21</v>
      </c>
      <c r="P137" s="131">
        <f ca="1" t="shared" si="37"/>
        <v>21</v>
      </c>
      <c r="Q137" s="131">
        <f ca="1" t="shared" si="38"/>
        <v>22</v>
      </c>
      <c r="R137" s="131">
        <f ca="1" t="shared" si="39"/>
        <v>21</v>
      </c>
      <c r="S137" s="131">
        <f ca="1" t="shared" si="40"/>
        <v>24</v>
      </c>
      <c r="T137" s="131">
        <f ca="1" t="shared" si="41"/>
        <v>22</v>
      </c>
      <c r="U137" s="131">
        <f ca="1" t="shared" si="42"/>
        <v>22</v>
      </c>
      <c r="V137" s="131">
        <f ca="1" t="shared" si="43"/>
        <v>24</v>
      </c>
      <c r="W137" s="124">
        <f ca="1">OFFSET($K$19,_xlfn.XLOOKUP(X137,$D$9:$D$28,$H$9:$H$28),MATCH(OFFSET($C$29,B137,MATCH(X137,$D$29:$V$29,0)),$L$19:$R$19,1))*(1+(OFFSET($C$29,B137,MATCH(X137,$D$29:$V$29,0))-1)*_xlfn.XLOOKUP(X137,梦灵养成!$D$9:$D$28,梦灵养成!$G$9:$G$28))</f>
        <v>18.7605</v>
      </c>
      <c r="X137" s="106" t="str">
        <f ca="1" t="shared" si="24"/>
        <v>神算诸葛</v>
      </c>
      <c r="Y137" s="95">
        <f ca="1" t="shared" si="44"/>
        <v>3600</v>
      </c>
      <c r="Z137" s="96">
        <f ca="1" t="shared" si="45"/>
        <v>3.3</v>
      </c>
    </row>
    <row r="138" s="106" customFormat="1" ht="16.5" spans="2:26">
      <c r="B138" s="117">
        <v>109</v>
      </c>
      <c r="C138" s="130">
        <f t="shared" si="46"/>
        <v>10900</v>
      </c>
      <c r="D138" s="131">
        <f ca="1" t="shared" si="25"/>
        <v>40</v>
      </c>
      <c r="E138" s="131">
        <f ca="1" t="shared" si="26"/>
        <v>40</v>
      </c>
      <c r="F138" s="131">
        <f ca="1" t="shared" si="27"/>
        <v>40</v>
      </c>
      <c r="G138" s="131">
        <f ca="1" t="shared" si="28"/>
        <v>30</v>
      </c>
      <c r="H138" s="131">
        <f ca="1" t="shared" si="29"/>
        <v>30</v>
      </c>
      <c r="I138" s="131">
        <f ca="1" t="shared" si="30"/>
        <v>30</v>
      </c>
      <c r="J138" s="131">
        <f ca="1" t="shared" si="31"/>
        <v>30</v>
      </c>
      <c r="K138" s="131">
        <f ca="1" t="shared" si="32"/>
        <v>30</v>
      </c>
      <c r="L138" s="131">
        <f ca="1" t="shared" si="33"/>
        <v>30</v>
      </c>
      <c r="M138" s="131">
        <f ca="1" t="shared" si="34"/>
        <v>21</v>
      </c>
      <c r="N138" s="131">
        <f ca="1" t="shared" si="35"/>
        <v>21</v>
      </c>
      <c r="O138" s="131">
        <f ca="1" t="shared" si="36"/>
        <v>22</v>
      </c>
      <c r="P138" s="131">
        <f ca="1" t="shared" si="37"/>
        <v>21</v>
      </c>
      <c r="Q138" s="131">
        <f ca="1" t="shared" si="38"/>
        <v>22</v>
      </c>
      <c r="R138" s="131">
        <f ca="1" t="shared" si="39"/>
        <v>21</v>
      </c>
      <c r="S138" s="131">
        <f ca="1" t="shared" si="40"/>
        <v>25</v>
      </c>
      <c r="T138" s="131">
        <f ca="1" t="shared" si="41"/>
        <v>22</v>
      </c>
      <c r="U138" s="131">
        <f ca="1" t="shared" si="42"/>
        <v>22</v>
      </c>
      <c r="V138" s="131">
        <f ca="1" t="shared" si="43"/>
        <v>24</v>
      </c>
      <c r="W138" s="124">
        <f ca="1">OFFSET($K$19,_xlfn.XLOOKUP(X138,$D$9:$D$28,$H$9:$H$28),MATCH(OFFSET($C$29,B138,MATCH(X138,$D$29:$V$29,0)),$L$19:$R$19,1))*(1+(OFFSET($C$29,B138,MATCH(X138,$D$29:$V$29,0))-1)*_xlfn.XLOOKUP(X138,梦灵养成!$D$9:$D$28,梦灵养成!$G$9:$G$28))</f>
        <v>18.7605</v>
      </c>
      <c r="X138" s="106" t="str">
        <f ca="1" t="shared" si="24"/>
        <v>神算诸葛</v>
      </c>
      <c r="Y138" s="95">
        <f ca="1" t="shared" si="44"/>
        <v>1800</v>
      </c>
      <c r="Z138" s="96">
        <f ca="1" t="shared" si="45"/>
        <v>3.3</v>
      </c>
    </row>
    <row r="139" s="106" customFormat="1" ht="16.5" spans="2:26">
      <c r="B139" s="117">
        <v>110</v>
      </c>
      <c r="C139" s="130">
        <f t="shared" si="46"/>
        <v>11000</v>
      </c>
      <c r="D139" s="131">
        <f ca="1" t="shared" si="25"/>
        <v>40</v>
      </c>
      <c r="E139" s="131">
        <f ca="1" t="shared" si="26"/>
        <v>40</v>
      </c>
      <c r="F139" s="131">
        <f ca="1" t="shared" si="27"/>
        <v>40</v>
      </c>
      <c r="G139" s="131">
        <f ca="1" t="shared" si="28"/>
        <v>30</v>
      </c>
      <c r="H139" s="131">
        <f ca="1" t="shared" si="29"/>
        <v>30</v>
      </c>
      <c r="I139" s="131">
        <f ca="1" t="shared" si="30"/>
        <v>30</v>
      </c>
      <c r="J139" s="131">
        <f ca="1" t="shared" si="31"/>
        <v>30</v>
      </c>
      <c r="K139" s="131">
        <f ca="1" t="shared" si="32"/>
        <v>30</v>
      </c>
      <c r="L139" s="131">
        <f ca="1" t="shared" si="33"/>
        <v>30</v>
      </c>
      <c r="M139" s="131">
        <f ca="1" t="shared" si="34"/>
        <v>21</v>
      </c>
      <c r="N139" s="131">
        <f ca="1" t="shared" si="35"/>
        <v>21</v>
      </c>
      <c r="O139" s="131">
        <f ca="1" t="shared" si="36"/>
        <v>22</v>
      </c>
      <c r="P139" s="131">
        <f ca="1" t="shared" si="37"/>
        <v>21</v>
      </c>
      <c r="Q139" s="131">
        <f ca="1" t="shared" si="38"/>
        <v>22</v>
      </c>
      <c r="R139" s="131">
        <f ca="1" t="shared" si="39"/>
        <v>21</v>
      </c>
      <c r="S139" s="131">
        <f ca="1" t="shared" si="40"/>
        <v>25</v>
      </c>
      <c r="T139" s="131">
        <f ca="1" t="shared" si="41"/>
        <v>22</v>
      </c>
      <c r="U139" s="131">
        <f ca="1" t="shared" si="42"/>
        <v>22</v>
      </c>
      <c r="V139" s="131">
        <f ca="1" t="shared" si="43"/>
        <v>25</v>
      </c>
      <c r="W139" s="124">
        <f ca="1">OFFSET($K$19,_xlfn.XLOOKUP(X139,$D$9:$D$28,$H$9:$H$28),MATCH(OFFSET($C$29,B139,MATCH(X139,$D$29:$V$29,0)),$L$19:$R$19,1))*(1+(OFFSET($C$29,B139,MATCH(X139,$D$29:$V$29,0))-1)*_xlfn.XLOOKUP(X139,梦灵养成!$D$9:$D$28,梦灵养成!$G$9:$G$28))</f>
        <v>29.019</v>
      </c>
      <c r="X139" s="106" t="str">
        <f ca="1" t="shared" si="24"/>
        <v>神算诸葛</v>
      </c>
      <c r="Y139" s="95">
        <f ca="1" t="shared" si="44"/>
        <v>36000</v>
      </c>
      <c r="Z139" s="96">
        <f ca="1" t="shared" si="45"/>
        <v>3.4</v>
      </c>
    </row>
    <row r="140" s="106" customFormat="1" ht="16.5" spans="2:26">
      <c r="B140" s="117">
        <v>111</v>
      </c>
      <c r="C140" s="130">
        <f t="shared" si="46"/>
        <v>11100</v>
      </c>
      <c r="D140" s="131">
        <f ca="1" t="shared" si="25"/>
        <v>40</v>
      </c>
      <c r="E140" s="131">
        <f ca="1" t="shared" si="26"/>
        <v>40</v>
      </c>
      <c r="F140" s="131">
        <f ca="1" t="shared" si="27"/>
        <v>40</v>
      </c>
      <c r="G140" s="131">
        <f ca="1" t="shared" si="28"/>
        <v>30</v>
      </c>
      <c r="H140" s="131">
        <f ca="1" t="shared" si="29"/>
        <v>30</v>
      </c>
      <c r="I140" s="131">
        <f ca="1" t="shared" si="30"/>
        <v>30</v>
      </c>
      <c r="J140" s="131">
        <f ca="1" t="shared" si="31"/>
        <v>30</v>
      </c>
      <c r="K140" s="131">
        <f ca="1" t="shared" si="32"/>
        <v>30</v>
      </c>
      <c r="L140" s="131">
        <f ca="1" t="shared" si="33"/>
        <v>30</v>
      </c>
      <c r="M140" s="131">
        <f ca="1" t="shared" si="34"/>
        <v>21</v>
      </c>
      <c r="N140" s="131">
        <f ca="1" t="shared" si="35"/>
        <v>21</v>
      </c>
      <c r="O140" s="131">
        <f ca="1" t="shared" si="36"/>
        <v>22</v>
      </c>
      <c r="P140" s="131">
        <f ca="1" t="shared" si="37"/>
        <v>21</v>
      </c>
      <c r="Q140" s="131">
        <f ca="1" t="shared" si="38"/>
        <v>22</v>
      </c>
      <c r="R140" s="131">
        <f ca="1" t="shared" si="39"/>
        <v>21</v>
      </c>
      <c r="S140" s="131">
        <f ca="1" t="shared" si="40"/>
        <v>25</v>
      </c>
      <c r="T140" s="131">
        <f ca="1" t="shared" si="41"/>
        <v>22</v>
      </c>
      <c r="U140" s="131">
        <f ca="1" t="shared" si="42"/>
        <v>23</v>
      </c>
      <c r="V140" s="131">
        <f ca="1" t="shared" si="43"/>
        <v>25</v>
      </c>
      <c r="W140" s="124">
        <f ca="1">OFFSET($K$19,_xlfn.XLOOKUP(X140,$D$9:$D$28,$H$9:$H$28),MATCH(OFFSET($C$29,B140,MATCH(X140,$D$29:$V$29,0)),$L$19:$R$19,1))*(1+(OFFSET($C$29,B140,MATCH(X140,$D$29:$V$29,0))-1)*_xlfn.XLOOKUP(X140,梦灵养成!$D$9:$D$28,梦灵养成!$G$9:$G$28))</f>
        <v>29.019</v>
      </c>
      <c r="X140" s="106" t="str">
        <f ca="1" t="shared" si="24"/>
        <v>神算诸葛</v>
      </c>
      <c r="Y140" s="95">
        <f ca="1" t="shared" si="44"/>
        <v>34200</v>
      </c>
      <c r="Z140" s="96">
        <f ca="1" t="shared" si="45"/>
        <v>3.4</v>
      </c>
    </row>
    <row r="141" s="106" customFormat="1" ht="16.5" spans="2:26">
      <c r="B141" s="117">
        <v>112</v>
      </c>
      <c r="C141" s="130">
        <f t="shared" si="46"/>
        <v>11200</v>
      </c>
      <c r="D141" s="131">
        <f ca="1" t="shared" si="25"/>
        <v>40</v>
      </c>
      <c r="E141" s="131">
        <f ca="1" t="shared" si="26"/>
        <v>40</v>
      </c>
      <c r="F141" s="131">
        <f ca="1" t="shared" si="27"/>
        <v>40</v>
      </c>
      <c r="G141" s="131">
        <f ca="1" t="shared" si="28"/>
        <v>30</v>
      </c>
      <c r="H141" s="131">
        <f ca="1" t="shared" si="29"/>
        <v>30</v>
      </c>
      <c r="I141" s="131">
        <f ca="1" t="shared" si="30"/>
        <v>30</v>
      </c>
      <c r="J141" s="131">
        <f ca="1" t="shared" si="31"/>
        <v>30</v>
      </c>
      <c r="K141" s="131">
        <f ca="1" t="shared" si="32"/>
        <v>30</v>
      </c>
      <c r="L141" s="131">
        <f ca="1" t="shared" si="33"/>
        <v>30</v>
      </c>
      <c r="M141" s="131">
        <f ca="1" t="shared" si="34"/>
        <v>21</v>
      </c>
      <c r="N141" s="131">
        <f ca="1" t="shared" si="35"/>
        <v>22</v>
      </c>
      <c r="O141" s="131">
        <f ca="1" t="shared" si="36"/>
        <v>22</v>
      </c>
      <c r="P141" s="131">
        <f ca="1" t="shared" si="37"/>
        <v>21</v>
      </c>
      <c r="Q141" s="131">
        <f ca="1" t="shared" si="38"/>
        <v>22</v>
      </c>
      <c r="R141" s="131">
        <f ca="1" t="shared" si="39"/>
        <v>21</v>
      </c>
      <c r="S141" s="131">
        <f ca="1" t="shared" si="40"/>
        <v>25</v>
      </c>
      <c r="T141" s="131">
        <f ca="1" t="shared" si="41"/>
        <v>22</v>
      </c>
      <c r="U141" s="131">
        <f ca="1" t="shared" si="42"/>
        <v>23</v>
      </c>
      <c r="V141" s="131">
        <f ca="1" t="shared" si="43"/>
        <v>25</v>
      </c>
      <c r="W141" s="124">
        <f ca="1">OFFSET($K$19,_xlfn.XLOOKUP(X141,$D$9:$D$28,$H$9:$H$28),MATCH(OFFSET($C$29,B141,MATCH(X141,$D$29:$V$29,0)),$L$19:$R$19,1))*(1+(OFFSET($C$29,B141,MATCH(X141,$D$29:$V$29,0))-1)*_xlfn.XLOOKUP(X141,梦灵养成!$D$9:$D$28,梦灵养成!$G$9:$G$28))</f>
        <v>29.019</v>
      </c>
      <c r="X141" s="106" t="str">
        <f ca="1" t="shared" si="24"/>
        <v>神算诸葛</v>
      </c>
      <c r="Y141" s="95">
        <f ca="1" t="shared" si="44"/>
        <v>32400</v>
      </c>
      <c r="Z141" s="96">
        <f ca="1" t="shared" si="45"/>
        <v>3.4</v>
      </c>
    </row>
    <row r="142" s="106" customFormat="1" ht="16.5" spans="2:26">
      <c r="B142" s="117">
        <v>113</v>
      </c>
      <c r="C142" s="130">
        <f t="shared" si="46"/>
        <v>11300</v>
      </c>
      <c r="D142" s="131">
        <f ca="1" t="shared" si="25"/>
        <v>40</v>
      </c>
      <c r="E142" s="131">
        <f ca="1" t="shared" si="26"/>
        <v>40</v>
      </c>
      <c r="F142" s="131">
        <f ca="1" t="shared" si="27"/>
        <v>40</v>
      </c>
      <c r="G142" s="131">
        <f ca="1" t="shared" si="28"/>
        <v>30</v>
      </c>
      <c r="H142" s="131">
        <f ca="1" t="shared" si="29"/>
        <v>30</v>
      </c>
      <c r="I142" s="131">
        <f ca="1" t="shared" si="30"/>
        <v>30</v>
      </c>
      <c r="J142" s="131">
        <f ca="1" t="shared" si="31"/>
        <v>30</v>
      </c>
      <c r="K142" s="131">
        <f ca="1" t="shared" si="32"/>
        <v>30</v>
      </c>
      <c r="L142" s="131">
        <f ca="1" t="shared" si="33"/>
        <v>30</v>
      </c>
      <c r="M142" s="131">
        <f ca="1" t="shared" si="34"/>
        <v>22</v>
      </c>
      <c r="N142" s="131">
        <f ca="1" t="shared" si="35"/>
        <v>22</v>
      </c>
      <c r="O142" s="131">
        <f ca="1" t="shared" si="36"/>
        <v>22</v>
      </c>
      <c r="P142" s="131">
        <f ca="1" t="shared" si="37"/>
        <v>21</v>
      </c>
      <c r="Q142" s="131">
        <f ca="1" t="shared" si="38"/>
        <v>22</v>
      </c>
      <c r="R142" s="131">
        <f ca="1" t="shared" si="39"/>
        <v>22</v>
      </c>
      <c r="S142" s="131">
        <f ca="1" t="shared" si="40"/>
        <v>25</v>
      </c>
      <c r="T142" s="131">
        <f ca="1" t="shared" si="41"/>
        <v>22</v>
      </c>
      <c r="U142" s="131">
        <f ca="1" t="shared" si="42"/>
        <v>23</v>
      </c>
      <c r="V142" s="131">
        <f ca="1" t="shared" si="43"/>
        <v>25</v>
      </c>
      <c r="W142" s="124">
        <f ca="1">OFFSET($K$19,_xlfn.XLOOKUP(X142,$D$9:$D$28,$H$9:$H$28),MATCH(OFFSET($C$29,B142,MATCH(X142,$D$29:$V$29,0)),$L$19:$R$19,1))*(1+(OFFSET($C$29,B142,MATCH(X142,$D$29:$V$29,0))-1)*_xlfn.XLOOKUP(X142,梦灵养成!$D$9:$D$28,梦灵养成!$G$9:$G$28))</f>
        <v>29.019</v>
      </c>
      <c r="X142" s="106" t="str">
        <f ca="1" t="shared" si="24"/>
        <v>神算诸葛</v>
      </c>
      <c r="Y142" s="95">
        <f ca="1" t="shared" si="44"/>
        <v>30600</v>
      </c>
      <c r="Z142" s="96">
        <f ca="1" t="shared" si="45"/>
        <v>3.4</v>
      </c>
    </row>
    <row r="143" s="106" customFormat="1" ht="16.5" spans="2:26">
      <c r="B143" s="117">
        <v>114</v>
      </c>
      <c r="C143" s="130">
        <f t="shared" si="46"/>
        <v>11400</v>
      </c>
      <c r="D143" s="131">
        <f ca="1" t="shared" si="25"/>
        <v>40</v>
      </c>
      <c r="E143" s="131">
        <f ca="1" t="shared" si="26"/>
        <v>40</v>
      </c>
      <c r="F143" s="131">
        <f ca="1" t="shared" si="27"/>
        <v>40</v>
      </c>
      <c r="G143" s="131">
        <f ca="1" t="shared" si="28"/>
        <v>30</v>
      </c>
      <c r="H143" s="131">
        <f ca="1" t="shared" si="29"/>
        <v>30</v>
      </c>
      <c r="I143" s="131">
        <f ca="1" t="shared" si="30"/>
        <v>30</v>
      </c>
      <c r="J143" s="131">
        <f ca="1" t="shared" si="31"/>
        <v>30</v>
      </c>
      <c r="K143" s="131">
        <f ca="1" t="shared" si="32"/>
        <v>30</v>
      </c>
      <c r="L143" s="131">
        <f ca="1" t="shared" si="33"/>
        <v>30</v>
      </c>
      <c r="M143" s="131">
        <f ca="1" t="shared" si="34"/>
        <v>22</v>
      </c>
      <c r="N143" s="131">
        <f ca="1" t="shared" si="35"/>
        <v>22</v>
      </c>
      <c r="O143" s="131">
        <f ca="1" t="shared" si="36"/>
        <v>22</v>
      </c>
      <c r="P143" s="131">
        <f ca="1" t="shared" si="37"/>
        <v>21</v>
      </c>
      <c r="Q143" s="131">
        <f ca="1" t="shared" si="38"/>
        <v>22</v>
      </c>
      <c r="R143" s="131">
        <f ca="1" t="shared" si="39"/>
        <v>22</v>
      </c>
      <c r="S143" s="131">
        <f ca="1" t="shared" si="40"/>
        <v>25</v>
      </c>
      <c r="T143" s="131">
        <f ca="1" t="shared" si="41"/>
        <v>22</v>
      </c>
      <c r="U143" s="131">
        <f ca="1" t="shared" si="42"/>
        <v>23</v>
      </c>
      <c r="V143" s="131">
        <f ca="1" t="shared" si="43"/>
        <v>25</v>
      </c>
      <c r="W143" s="124">
        <f ca="1">OFFSET($K$19,_xlfn.XLOOKUP(X143,$D$9:$D$28,$H$9:$H$28),MATCH(OFFSET($C$29,B143,MATCH(X143,$D$29:$V$29,0)),$L$19:$R$19,1))*(1+(OFFSET($C$29,B143,MATCH(X143,$D$29:$V$29,0))-1)*_xlfn.XLOOKUP(X143,梦灵养成!$D$9:$D$28,梦灵养成!$G$9:$G$28))</f>
        <v>29.019</v>
      </c>
      <c r="X143" s="106" t="str">
        <f ca="1" t="shared" si="24"/>
        <v>神算诸葛</v>
      </c>
      <c r="Y143" s="95">
        <f ca="1" t="shared" si="44"/>
        <v>28800</v>
      </c>
      <c r="Z143" s="96">
        <f ca="1" t="shared" si="45"/>
        <v>3.4</v>
      </c>
    </row>
    <row r="144" s="106" customFormat="1" ht="16.5" spans="2:26">
      <c r="B144" s="117">
        <v>115</v>
      </c>
      <c r="C144" s="130">
        <f t="shared" si="46"/>
        <v>11500</v>
      </c>
      <c r="D144" s="131">
        <f ca="1" t="shared" si="25"/>
        <v>40</v>
      </c>
      <c r="E144" s="131">
        <f ca="1" t="shared" si="26"/>
        <v>40</v>
      </c>
      <c r="F144" s="131">
        <f ca="1" t="shared" si="27"/>
        <v>40</v>
      </c>
      <c r="G144" s="131">
        <f ca="1" t="shared" si="28"/>
        <v>30</v>
      </c>
      <c r="H144" s="131">
        <f ca="1" t="shared" si="29"/>
        <v>30</v>
      </c>
      <c r="I144" s="131">
        <f ca="1" t="shared" si="30"/>
        <v>30</v>
      </c>
      <c r="J144" s="131">
        <f ca="1" t="shared" si="31"/>
        <v>30</v>
      </c>
      <c r="K144" s="131">
        <f ca="1" t="shared" si="32"/>
        <v>30</v>
      </c>
      <c r="L144" s="131">
        <f ca="1" t="shared" si="33"/>
        <v>30</v>
      </c>
      <c r="M144" s="131">
        <f ca="1" t="shared" si="34"/>
        <v>22</v>
      </c>
      <c r="N144" s="131">
        <f ca="1" t="shared" si="35"/>
        <v>22</v>
      </c>
      <c r="O144" s="131">
        <f ca="1" t="shared" si="36"/>
        <v>22</v>
      </c>
      <c r="P144" s="131">
        <f ca="1" t="shared" si="37"/>
        <v>21</v>
      </c>
      <c r="Q144" s="131">
        <f ca="1" t="shared" si="38"/>
        <v>22</v>
      </c>
      <c r="R144" s="131">
        <f ca="1" t="shared" si="39"/>
        <v>22</v>
      </c>
      <c r="S144" s="131">
        <f ca="1" t="shared" si="40"/>
        <v>25</v>
      </c>
      <c r="T144" s="131">
        <f ca="1" t="shared" si="41"/>
        <v>22</v>
      </c>
      <c r="U144" s="131">
        <f ca="1" t="shared" si="42"/>
        <v>23</v>
      </c>
      <c r="V144" s="131">
        <f ca="1" t="shared" si="43"/>
        <v>25</v>
      </c>
      <c r="W144" s="124">
        <f ca="1">OFFSET($K$19,_xlfn.XLOOKUP(X144,$D$9:$D$28,$H$9:$H$28),MATCH(OFFSET($C$29,B144,MATCH(X144,$D$29:$V$29,0)),$L$19:$R$19,1))*(1+(OFFSET($C$29,B144,MATCH(X144,$D$29:$V$29,0))-1)*_xlfn.XLOOKUP(X144,梦灵养成!$D$9:$D$28,梦灵养成!$G$9:$G$28))</f>
        <v>29.019</v>
      </c>
      <c r="X144" s="106" t="str">
        <f ca="1" t="shared" si="24"/>
        <v>神算诸葛</v>
      </c>
      <c r="Y144" s="95">
        <f ca="1" t="shared" si="44"/>
        <v>27000</v>
      </c>
      <c r="Z144" s="96">
        <f ca="1" t="shared" si="45"/>
        <v>3.4</v>
      </c>
    </row>
    <row r="145" s="106" customFormat="1" ht="16.5" spans="2:26">
      <c r="B145" s="117">
        <v>116</v>
      </c>
      <c r="C145" s="130">
        <f t="shared" si="46"/>
        <v>11600</v>
      </c>
      <c r="D145" s="131">
        <f ca="1" t="shared" si="25"/>
        <v>40</v>
      </c>
      <c r="E145" s="131">
        <f ca="1" t="shared" si="26"/>
        <v>40</v>
      </c>
      <c r="F145" s="131">
        <f ca="1" t="shared" si="27"/>
        <v>40</v>
      </c>
      <c r="G145" s="131">
        <f ca="1" t="shared" si="28"/>
        <v>31</v>
      </c>
      <c r="H145" s="131">
        <f ca="1" t="shared" si="29"/>
        <v>31</v>
      </c>
      <c r="I145" s="131">
        <f ca="1" t="shared" si="30"/>
        <v>31</v>
      </c>
      <c r="J145" s="131">
        <f ca="1" t="shared" si="31"/>
        <v>30</v>
      </c>
      <c r="K145" s="131">
        <f ca="1" t="shared" si="32"/>
        <v>30</v>
      </c>
      <c r="L145" s="131">
        <f ca="1" t="shared" si="33"/>
        <v>30</v>
      </c>
      <c r="M145" s="131">
        <f ca="1" t="shared" si="34"/>
        <v>22</v>
      </c>
      <c r="N145" s="131">
        <f ca="1" t="shared" si="35"/>
        <v>22</v>
      </c>
      <c r="O145" s="131">
        <f ca="1" t="shared" si="36"/>
        <v>22</v>
      </c>
      <c r="P145" s="131">
        <f ca="1" t="shared" si="37"/>
        <v>21</v>
      </c>
      <c r="Q145" s="131">
        <f ca="1" t="shared" si="38"/>
        <v>23</v>
      </c>
      <c r="R145" s="131">
        <f ca="1" t="shared" si="39"/>
        <v>22</v>
      </c>
      <c r="S145" s="131">
        <f ca="1" t="shared" si="40"/>
        <v>25</v>
      </c>
      <c r="T145" s="131">
        <f ca="1" t="shared" si="41"/>
        <v>22</v>
      </c>
      <c r="U145" s="131">
        <f ca="1" t="shared" si="42"/>
        <v>23</v>
      </c>
      <c r="V145" s="131">
        <f ca="1" t="shared" si="43"/>
        <v>25</v>
      </c>
      <c r="W145" s="124">
        <f ca="1">OFFSET($K$19,_xlfn.XLOOKUP(X145,$D$9:$D$28,$H$9:$H$28),MATCH(OFFSET($C$29,B145,MATCH(X145,$D$29:$V$29,0)),$L$19:$R$19,1))*(1+(OFFSET($C$29,B145,MATCH(X145,$D$29:$V$29,0))-1)*_xlfn.XLOOKUP(X145,梦灵养成!$D$9:$D$28,梦灵养成!$G$9:$G$28))</f>
        <v>29.019</v>
      </c>
      <c r="X145" s="106" t="str">
        <f ca="1" t="shared" si="24"/>
        <v>神算诸葛</v>
      </c>
      <c r="Y145" s="95">
        <f ca="1" t="shared" si="44"/>
        <v>25200</v>
      </c>
      <c r="Z145" s="96">
        <f ca="1" t="shared" si="45"/>
        <v>3.4</v>
      </c>
    </row>
    <row r="146" s="106" customFormat="1" ht="16.5" spans="2:26">
      <c r="B146" s="117">
        <v>117</v>
      </c>
      <c r="C146" s="130">
        <f t="shared" si="46"/>
        <v>11700</v>
      </c>
      <c r="D146" s="131">
        <f ca="1" t="shared" si="25"/>
        <v>41</v>
      </c>
      <c r="E146" s="131">
        <f ca="1" t="shared" si="26"/>
        <v>41</v>
      </c>
      <c r="F146" s="131">
        <f ca="1" t="shared" si="27"/>
        <v>41</v>
      </c>
      <c r="G146" s="131">
        <f ca="1" t="shared" si="28"/>
        <v>31</v>
      </c>
      <c r="H146" s="131">
        <f ca="1" t="shared" si="29"/>
        <v>31</v>
      </c>
      <c r="I146" s="131">
        <f ca="1" t="shared" si="30"/>
        <v>31</v>
      </c>
      <c r="J146" s="131">
        <f ca="1" t="shared" si="31"/>
        <v>31</v>
      </c>
      <c r="K146" s="131">
        <f ca="1" t="shared" si="32"/>
        <v>31</v>
      </c>
      <c r="L146" s="131">
        <f ca="1" t="shared" si="33"/>
        <v>31</v>
      </c>
      <c r="M146" s="131">
        <f ca="1" t="shared" si="34"/>
        <v>22</v>
      </c>
      <c r="N146" s="131">
        <f ca="1" t="shared" si="35"/>
        <v>22</v>
      </c>
      <c r="O146" s="131">
        <f ca="1" t="shared" si="36"/>
        <v>23</v>
      </c>
      <c r="P146" s="131">
        <f ca="1" t="shared" si="37"/>
        <v>22</v>
      </c>
      <c r="Q146" s="131">
        <f ca="1" t="shared" si="38"/>
        <v>23</v>
      </c>
      <c r="R146" s="131">
        <f ca="1" t="shared" si="39"/>
        <v>22</v>
      </c>
      <c r="S146" s="131">
        <f ca="1" t="shared" si="40"/>
        <v>25</v>
      </c>
      <c r="T146" s="131">
        <f ca="1" t="shared" si="41"/>
        <v>23</v>
      </c>
      <c r="U146" s="131">
        <f ca="1" t="shared" si="42"/>
        <v>23</v>
      </c>
      <c r="V146" s="131">
        <f ca="1" t="shared" si="43"/>
        <v>25</v>
      </c>
      <c r="W146" s="124">
        <f ca="1">OFFSET($K$19,_xlfn.XLOOKUP(X146,$D$9:$D$28,$H$9:$H$28),MATCH(OFFSET($C$29,B146,MATCH(X146,$D$29:$V$29,0)),$L$19:$R$19,1))*(1+(OFFSET($C$29,B146,MATCH(X146,$D$29:$V$29,0))-1)*_xlfn.XLOOKUP(X146,梦灵养成!$D$9:$D$28,梦灵养成!$G$9:$G$28))</f>
        <v>29.019</v>
      </c>
      <c r="X146" s="106" t="str">
        <f ca="1" t="shared" si="24"/>
        <v>神算诸葛</v>
      </c>
      <c r="Y146" s="95">
        <f ca="1" t="shared" si="44"/>
        <v>23400</v>
      </c>
      <c r="Z146" s="96">
        <f ca="1" t="shared" si="45"/>
        <v>3.4</v>
      </c>
    </row>
    <row r="147" s="106" customFormat="1" ht="16.5" spans="2:26">
      <c r="B147" s="117">
        <v>118</v>
      </c>
      <c r="C147" s="130">
        <f t="shared" si="46"/>
        <v>11800</v>
      </c>
      <c r="D147" s="131">
        <f ca="1" t="shared" si="25"/>
        <v>41</v>
      </c>
      <c r="E147" s="131">
        <f ca="1" t="shared" si="26"/>
        <v>41</v>
      </c>
      <c r="F147" s="131">
        <f ca="1" t="shared" si="27"/>
        <v>41</v>
      </c>
      <c r="G147" s="131">
        <f ca="1" t="shared" si="28"/>
        <v>31</v>
      </c>
      <c r="H147" s="131">
        <f ca="1" t="shared" si="29"/>
        <v>31</v>
      </c>
      <c r="I147" s="131">
        <f ca="1" t="shared" si="30"/>
        <v>31</v>
      </c>
      <c r="J147" s="131">
        <f ca="1" t="shared" si="31"/>
        <v>31</v>
      </c>
      <c r="K147" s="131">
        <f ca="1" t="shared" si="32"/>
        <v>31</v>
      </c>
      <c r="L147" s="131">
        <f ca="1" t="shared" si="33"/>
        <v>31</v>
      </c>
      <c r="M147" s="131">
        <f ca="1" t="shared" si="34"/>
        <v>22</v>
      </c>
      <c r="N147" s="131">
        <f ca="1" t="shared" si="35"/>
        <v>22</v>
      </c>
      <c r="O147" s="131">
        <f ca="1" t="shared" si="36"/>
        <v>23</v>
      </c>
      <c r="P147" s="131">
        <f ca="1" t="shared" si="37"/>
        <v>22</v>
      </c>
      <c r="Q147" s="131">
        <f ca="1" t="shared" si="38"/>
        <v>23</v>
      </c>
      <c r="R147" s="131">
        <f ca="1" t="shared" si="39"/>
        <v>22</v>
      </c>
      <c r="S147" s="131">
        <f ca="1" t="shared" si="40"/>
        <v>25</v>
      </c>
      <c r="T147" s="131">
        <f ca="1" t="shared" si="41"/>
        <v>23</v>
      </c>
      <c r="U147" s="131">
        <f ca="1" t="shared" si="42"/>
        <v>23</v>
      </c>
      <c r="V147" s="131">
        <f ca="1" t="shared" si="43"/>
        <v>25</v>
      </c>
      <c r="W147" s="124">
        <f ca="1">OFFSET($K$19,_xlfn.XLOOKUP(X147,$D$9:$D$28,$H$9:$H$28),MATCH(OFFSET($C$29,B147,MATCH(X147,$D$29:$V$29,0)),$L$19:$R$19,1))*(1+(OFFSET($C$29,B147,MATCH(X147,$D$29:$V$29,0))-1)*_xlfn.XLOOKUP(X147,梦灵养成!$D$9:$D$28,梦灵养成!$G$9:$G$28))</f>
        <v>29.019</v>
      </c>
      <c r="X147" s="106" t="str">
        <f ca="1" t="shared" si="24"/>
        <v>神算诸葛</v>
      </c>
      <c r="Y147" s="95">
        <f ca="1" t="shared" si="44"/>
        <v>21600</v>
      </c>
      <c r="Z147" s="96">
        <f ca="1" t="shared" si="45"/>
        <v>3.4</v>
      </c>
    </row>
    <row r="148" s="106" customFormat="1" ht="16.5" spans="2:26">
      <c r="B148" s="117">
        <v>119</v>
      </c>
      <c r="C148" s="130">
        <f t="shared" si="46"/>
        <v>11900</v>
      </c>
      <c r="D148" s="131">
        <f ca="1" t="shared" si="25"/>
        <v>41</v>
      </c>
      <c r="E148" s="131">
        <f ca="1" t="shared" si="26"/>
        <v>41</v>
      </c>
      <c r="F148" s="131">
        <f ca="1" t="shared" si="27"/>
        <v>41</v>
      </c>
      <c r="G148" s="131">
        <f ca="1" t="shared" si="28"/>
        <v>31</v>
      </c>
      <c r="H148" s="131">
        <f ca="1" t="shared" si="29"/>
        <v>31</v>
      </c>
      <c r="I148" s="131">
        <f ca="1" t="shared" si="30"/>
        <v>31</v>
      </c>
      <c r="J148" s="131">
        <f ca="1" t="shared" si="31"/>
        <v>31</v>
      </c>
      <c r="K148" s="131">
        <f ca="1" t="shared" si="32"/>
        <v>31</v>
      </c>
      <c r="L148" s="131">
        <f ca="1" t="shared" si="33"/>
        <v>31</v>
      </c>
      <c r="M148" s="131">
        <f ca="1" t="shared" si="34"/>
        <v>22</v>
      </c>
      <c r="N148" s="131">
        <f ca="1" t="shared" si="35"/>
        <v>22</v>
      </c>
      <c r="O148" s="131">
        <f ca="1" t="shared" si="36"/>
        <v>23</v>
      </c>
      <c r="P148" s="131">
        <f ca="1" t="shared" si="37"/>
        <v>22</v>
      </c>
      <c r="Q148" s="131">
        <f ca="1" t="shared" si="38"/>
        <v>23</v>
      </c>
      <c r="R148" s="131">
        <f ca="1" t="shared" si="39"/>
        <v>22</v>
      </c>
      <c r="S148" s="131">
        <f ca="1" t="shared" si="40"/>
        <v>25</v>
      </c>
      <c r="T148" s="131">
        <f ca="1" t="shared" si="41"/>
        <v>23</v>
      </c>
      <c r="U148" s="131">
        <f ca="1" t="shared" si="42"/>
        <v>23</v>
      </c>
      <c r="V148" s="131">
        <f ca="1" t="shared" si="43"/>
        <v>25</v>
      </c>
      <c r="W148" s="124">
        <f ca="1">OFFSET($K$19,_xlfn.XLOOKUP(X148,$D$9:$D$28,$H$9:$H$28),MATCH(OFFSET($C$29,B148,MATCH(X148,$D$29:$V$29,0)),$L$19:$R$19,1))*(1+(OFFSET($C$29,B148,MATCH(X148,$D$29:$V$29,0))-1)*_xlfn.XLOOKUP(X148,梦灵养成!$D$9:$D$28,梦灵养成!$G$9:$G$28))</f>
        <v>29.019</v>
      </c>
      <c r="X148" s="106" t="str">
        <f ca="1" t="shared" si="24"/>
        <v>神算诸葛</v>
      </c>
      <c r="Y148" s="95">
        <f ca="1" t="shared" si="44"/>
        <v>19800</v>
      </c>
      <c r="Z148" s="96">
        <f ca="1" t="shared" si="45"/>
        <v>3.4</v>
      </c>
    </row>
    <row r="149" s="106" customFormat="1" ht="16.5" spans="2:26">
      <c r="B149" s="117">
        <v>120</v>
      </c>
      <c r="C149" s="130">
        <f t="shared" si="46"/>
        <v>12000</v>
      </c>
      <c r="D149" s="131">
        <f ca="1" t="shared" si="25"/>
        <v>41</v>
      </c>
      <c r="E149" s="131">
        <f ca="1" t="shared" si="26"/>
        <v>41</v>
      </c>
      <c r="F149" s="131">
        <f ca="1" t="shared" si="27"/>
        <v>41</v>
      </c>
      <c r="G149" s="131">
        <f ca="1" t="shared" si="28"/>
        <v>31</v>
      </c>
      <c r="H149" s="131">
        <f ca="1" t="shared" si="29"/>
        <v>31</v>
      </c>
      <c r="I149" s="131">
        <f ca="1" t="shared" si="30"/>
        <v>31</v>
      </c>
      <c r="J149" s="131">
        <f ca="1" t="shared" si="31"/>
        <v>31</v>
      </c>
      <c r="K149" s="131">
        <f ca="1" t="shared" si="32"/>
        <v>31</v>
      </c>
      <c r="L149" s="131">
        <f ca="1" t="shared" si="33"/>
        <v>31</v>
      </c>
      <c r="M149" s="131">
        <f ca="1" t="shared" si="34"/>
        <v>22</v>
      </c>
      <c r="N149" s="131">
        <f ca="1" t="shared" si="35"/>
        <v>22</v>
      </c>
      <c r="O149" s="131">
        <f ca="1" t="shared" si="36"/>
        <v>23</v>
      </c>
      <c r="P149" s="131">
        <f ca="1" t="shared" si="37"/>
        <v>22</v>
      </c>
      <c r="Q149" s="131">
        <f ca="1" t="shared" si="38"/>
        <v>23</v>
      </c>
      <c r="R149" s="131">
        <f ca="1" t="shared" si="39"/>
        <v>22</v>
      </c>
      <c r="S149" s="131">
        <f ca="1" t="shared" si="40"/>
        <v>25</v>
      </c>
      <c r="T149" s="131">
        <f ca="1" t="shared" si="41"/>
        <v>23</v>
      </c>
      <c r="U149" s="131">
        <f ca="1" t="shared" si="42"/>
        <v>24</v>
      </c>
      <c r="V149" s="131">
        <f ca="1" t="shared" si="43"/>
        <v>25</v>
      </c>
      <c r="W149" s="124">
        <f ca="1">OFFSET($K$19,_xlfn.XLOOKUP(X149,$D$9:$D$28,$H$9:$H$28),MATCH(OFFSET($C$29,B149,MATCH(X149,$D$29:$V$29,0)),$L$19:$R$19,1))*(1+(OFFSET($C$29,B149,MATCH(X149,$D$29:$V$29,0))-1)*_xlfn.XLOOKUP(X149,梦灵养成!$D$9:$D$28,梦灵养成!$G$9:$G$28))</f>
        <v>29.019</v>
      </c>
      <c r="X149" s="106" t="str">
        <f ca="1" t="shared" si="24"/>
        <v>神算诸葛</v>
      </c>
      <c r="Y149" s="95">
        <f ca="1" t="shared" si="44"/>
        <v>18000</v>
      </c>
      <c r="Z149" s="96">
        <f ca="1" t="shared" si="45"/>
        <v>3.4</v>
      </c>
    </row>
    <row r="150" s="106" customFormat="1" ht="16.5" spans="2:26">
      <c r="B150" s="117">
        <v>121</v>
      </c>
      <c r="C150" s="130">
        <f t="shared" si="46"/>
        <v>12100</v>
      </c>
      <c r="D150" s="131">
        <f ca="1" t="shared" si="25"/>
        <v>41</v>
      </c>
      <c r="E150" s="131">
        <f ca="1" t="shared" si="26"/>
        <v>41</v>
      </c>
      <c r="F150" s="131">
        <f ca="1" t="shared" si="27"/>
        <v>41</v>
      </c>
      <c r="G150" s="131">
        <f ca="1" t="shared" si="28"/>
        <v>31</v>
      </c>
      <c r="H150" s="131">
        <f ca="1" t="shared" si="29"/>
        <v>31</v>
      </c>
      <c r="I150" s="131">
        <f ca="1" t="shared" si="30"/>
        <v>31</v>
      </c>
      <c r="J150" s="131">
        <f ca="1" t="shared" si="31"/>
        <v>31</v>
      </c>
      <c r="K150" s="131">
        <f ca="1" t="shared" si="32"/>
        <v>31</v>
      </c>
      <c r="L150" s="131">
        <f ca="1" t="shared" si="33"/>
        <v>31</v>
      </c>
      <c r="M150" s="131">
        <f ca="1" t="shared" si="34"/>
        <v>22</v>
      </c>
      <c r="N150" s="131">
        <f ca="1" t="shared" si="35"/>
        <v>23</v>
      </c>
      <c r="O150" s="131">
        <f ca="1" t="shared" si="36"/>
        <v>23</v>
      </c>
      <c r="P150" s="131">
        <f ca="1" t="shared" si="37"/>
        <v>22</v>
      </c>
      <c r="Q150" s="131">
        <f ca="1" t="shared" si="38"/>
        <v>23</v>
      </c>
      <c r="R150" s="131">
        <f ca="1" t="shared" si="39"/>
        <v>22</v>
      </c>
      <c r="S150" s="131">
        <f ca="1" t="shared" si="40"/>
        <v>26</v>
      </c>
      <c r="T150" s="131">
        <f ca="1" t="shared" si="41"/>
        <v>24</v>
      </c>
      <c r="U150" s="131">
        <f ca="1" t="shared" si="42"/>
        <v>24</v>
      </c>
      <c r="V150" s="131">
        <f ca="1" t="shared" si="43"/>
        <v>26</v>
      </c>
      <c r="W150" s="124">
        <f ca="1">OFFSET($K$19,_xlfn.XLOOKUP(X150,$D$9:$D$28,$H$9:$H$28),MATCH(OFFSET($C$29,B150,MATCH(X150,$D$29:$V$29,0)),$L$19:$R$19,1))*(1+(OFFSET($C$29,B150,MATCH(X150,$D$29:$V$29,0))-1)*_xlfn.XLOOKUP(X150,梦灵养成!$D$9:$D$28,梦灵养成!$G$9:$G$28))</f>
        <v>29.8725</v>
      </c>
      <c r="X150" s="106" t="str">
        <f ca="1" t="shared" si="24"/>
        <v>神算诸葛</v>
      </c>
      <c r="Y150" s="95">
        <f ca="1" t="shared" si="44"/>
        <v>36000</v>
      </c>
      <c r="Z150" s="96">
        <f ca="1" t="shared" si="45"/>
        <v>3.5</v>
      </c>
    </row>
    <row r="151" s="106" customFormat="1" ht="16.5" spans="2:26">
      <c r="B151" s="117">
        <v>122</v>
      </c>
      <c r="C151" s="130">
        <f t="shared" si="46"/>
        <v>12200</v>
      </c>
      <c r="D151" s="131">
        <f ca="1" t="shared" si="25"/>
        <v>41</v>
      </c>
      <c r="E151" s="131">
        <f ca="1" t="shared" si="26"/>
        <v>41</v>
      </c>
      <c r="F151" s="131">
        <f ca="1" t="shared" si="27"/>
        <v>41</v>
      </c>
      <c r="G151" s="131">
        <f ca="1" t="shared" si="28"/>
        <v>31</v>
      </c>
      <c r="H151" s="131">
        <f ca="1" t="shared" si="29"/>
        <v>31</v>
      </c>
      <c r="I151" s="131">
        <f ca="1" t="shared" si="30"/>
        <v>31</v>
      </c>
      <c r="J151" s="131">
        <f ca="1" t="shared" si="31"/>
        <v>31</v>
      </c>
      <c r="K151" s="131">
        <f ca="1" t="shared" si="32"/>
        <v>31</v>
      </c>
      <c r="L151" s="131">
        <f ca="1" t="shared" si="33"/>
        <v>31</v>
      </c>
      <c r="M151" s="131">
        <f ca="1" t="shared" si="34"/>
        <v>23</v>
      </c>
      <c r="N151" s="131">
        <f ca="1" t="shared" si="35"/>
        <v>23</v>
      </c>
      <c r="O151" s="131">
        <f ca="1" t="shared" si="36"/>
        <v>23</v>
      </c>
      <c r="P151" s="131">
        <f ca="1" t="shared" si="37"/>
        <v>22</v>
      </c>
      <c r="Q151" s="131">
        <f ca="1" t="shared" si="38"/>
        <v>23</v>
      </c>
      <c r="R151" s="131">
        <f ca="1" t="shared" si="39"/>
        <v>23</v>
      </c>
      <c r="S151" s="131">
        <f ca="1" t="shared" si="40"/>
        <v>26</v>
      </c>
      <c r="T151" s="131">
        <f ca="1" t="shared" si="41"/>
        <v>24</v>
      </c>
      <c r="U151" s="131">
        <f ca="1" t="shared" si="42"/>
        <v>24</v>
      </c>
      <c r="V151" s="131">
        <f ca="1" t="shared" si="43"/>
        <v>26</v>
      </c>
      <c r="W151" s="124">
        <f ca="1">OFFSET($K$19,_xlfn.XLOOKUP(X151,$D$9:$D$28,$H$9:$H$28),MATCH(OFFSET($C$29,B151,MATCH(X151,$D$29:$V$29,0)),$L$19:$R$19,1))*(1+(OFFSET($C$29,B151,MATCH(X151,$D$29:$V$29,0))-1)*_xlfn.XLOOKUP(X151,梦灵养成!$D$9:$D$28,梦灵养成!$G$9:$G$28))</f>
        <v>29.8725</v>
      </c>
      <c r="X151" s="106" t="str">
        <f ca="1" t="shared" si="24"/>
        <v>神算诸葛</v>
      </c>
      <c r="Y151" s="95">
        <f ca="1" t="shared" si="44"/>
        <v>34200</v>
      </c>
      <c r="Z151" s="96">
        <f ca="1" t="shared" si="45"/>
        <v>3.5</v>
      </c>
    </row>
    <row r="152" s="106" customFormat="1" ht="16.5" spans="2:26">
      <c r="B152" s="117">
        <v>123</v>
      </c>
      <c r="C152" s="130">
        <f t="shared" si="46"/>
        <v>12300</v>
      </c>
      <c r="D152" s="131">
        <f ca="1" t="shared" si="25"/>
        <v>41</v>
      </c>
      <c r="E152" s="131">
        <f ca="1" t="shared" si="26"/>
        <v>41</v>
      </c>
      <c r="F152" s="131">
        <f ca="1" t="shared" si="27"/>
        <v>41</v>
      </c>
      <c r="G152" s="131">
        <f ca="1" t="shared" si="28"/>
        <v>31</v>
      </c>
      <c r="H152" s="131">
        <f ca="1" t="shared" si="29"/>
        <v>31</v>
      </c>
      <c r="I152" s="131">
        <f ca="1" t="shared" si="30"/>
        <v>31</v>
      </c>
      <c r="J152" s="131">
        <f ca="1" t="shared" si="31"/>
        <v>31</v>
      </c>
      <c r="K152" s="131">
        <f ca="1" t="shared" si="32"/>
        <v>31</v>
      </c>
      <c r="L152" s="131">
        <f ca="1" t="shared" si="33"/>
        <v>31</v>
      </c>
      <c r="M152" s="131">
        <f ca="1" t="shared" si="34"/>
        <v>23</v>
      </c>
      <c r="N152" s="131">
        <f ca="1" t="shared" si="35"/>
        <v>23</v>
      </c>
      <c r="O152" s="131">
        <f ca="1" t="shared" si="36"/>
        <v>23</v>
      </c>
      <c r="P152" s="131">
        <f ca="1" t="shared" si="37"/>
        <v>22</v>
      </c>
      <c r="Q152" s="131">
        <f ca="1" t="shared" si="38"/>
        <v>23</v>
      </c>
      <c r="R152" s="131">
        <f ca="1" t="shared" si="39"/>
        <v>23</v>
      </c>
      <c r="S152" s="131">
        <f ca="1" t="shared" si="40"/>
        <v>26</v>
      </c>
      <c r="T152" s="131">
        <f ca="1" t="shared" si="41"/>
        <v>24</v>
      </c>
      <c r="U152" s="131">
        <f ca="1" t="shared" si="42"/>
        <v>24</v>
      </c>
      <c r="V152" s="131">
        <f ca="1" t="shared" si="43"/>
        <v>26</v>
      </c>
      <c r="W152" s="124">
        <f ca="1">OFFSET($K$19,_xlfn.XLOOKUP(X152,$D$9:$D$28,$H$9:$H$28),MATCH(OFFSET($C$29,B152,MATCH(X152,$D$29:$V$29,0)),$L$19:$R$19,1))*(1+(OFFSET($C$29,B152,MATCH(X152,$D$29:$V$29,0))-1)*_xlfn.XLOOKUP(X152,梦灵养成!$D$9:$D$28,梦灵养成!$G$9:$G$28))</f>
        <v>29.8725</v>
      </c>
      <c r="X152" s="106" t="str">
        <f ca="1" t="shared" si="24"/>
        <v>神算诸葛</v>
      </c>
      <c r="Y152" s="95">
        <f ca="1" t="shared" si="44"/>
        <v>32400</v>
      </c>
      <c r="Z152" s="96">
        <f ca="1" t="shared" si="45"/>
        <v>3.5</v>
      </c>
    </row>
    <row r="153" s="106" customFormat="1" ht="16.5" spans="2:26">
      <c r="B153" s="117">
        <v>124</v>
      </c>
      <c r="C153" s="130">
        <f t="shared" si="46"/>
        <v>12400</v>
      </c>
      <c r="D153" s="131">
        <f ca="1" t="shared" si="25"/>
        <v>41</v>
      </c>
      <c r="E153" s="131">
        <f ca="1" t="shared" si="26"/>
        <v>41</v>
      </c>
      <c r="F153" s="131">
        <f ca="1" t="shared" si="27"/>
        <v>41</v>
      </c>
      <c r="G153" s="131">
        <f ca="1" t="shared" si="28"/>
        <v>31</v>
      </c>
      <c r="H153" s="131">
        <f ca="1" t="shared" si="29"/>
        <v>31</v>
      </c>
      <c r="I153" s="131">
        <f ca="1" t="shared" si="30"/>
        <v>31</v>
      </c>
      <c r="J153" s="131">
        <f ca="1" t="shared" si="31"/>
        <v>31</v>
      </c>
      <c r="K153" s="131">
        <f ca="1" t="shared" si="32"/>
        <v>31</v>
      </c>
      <c r="L153" s="131">
        <f ca="1" t="shared" si="33"/>
        <v>31</v>
      </c>
      <c r="M153" s="131">
        <f ca="1" t="shared" si="34"/>
        <v>23</v>
      </c>
      <c r="N153" s="131">
        <f ca="1" t="shared" si="35"/>
        <v>23</v>
      </c>
      <c r="O153" s="131">
        <f ca="1" t="shared" si="36"/>
        <v>23</v>
      </c>
      <c r="P153" s="131">
        <f ca="1" t="shared" si="37"/>
        <v>22</v>
      </c>
      <c r="Q153" s="131">
        <f ca="1" t="shared" si="38"/>
        <v>24</v>
      </c>
      <c r="R153" s="131">
        <f ca="1" t="shared" si="39"/>
        <v>23</v>
      </c>
      <c r="S153" s="131">
        <f ca="1" t="shared" si="40"/>
        <v>26</v>
      </c>
      <c r="T153" s="131">
        <f ca="1" t="shared" si="41"/>
        <v>24</v>
      </c>
      <c r="U153" s="131">
        <f ca="1" t="shared" si="42"/>
        <v>25</v>
      </c>
      <c r="V153" s="131">
        <f ca="1" t="shared" si="43"/>
        <v>26</v>
      </c>
      <c r="W153" s="124">
        <f ca="1">OFFSET($K$19,_xlfn.XLOOKUP(X153,$D$9:$D$28,$H$9:$H$28),MATCH(OFFSET($C$29,B153,MATCH(X153,$D$29:$V$29,0)),$L$19:$R$19,1))*(1+(OFFSET($C$29,B153,MATCH(X153,$D$29:$V$29,0))-1)*_xlfn.XLOOKUP(X153,梦灵养成!$D$9:$D$28,梦灵养成!$G$9:$G$28))</f>
        <v>29.8725</v>
      </c>
      <c r="X153" s="106" t="str">
        <f ca="1" t="shared" si="24"/>
        <v>神算诸葛</v>
      </c>
      <c r="Y153" s="95">
        <f ca="1" t="shared" si="44"/>
        <v>30600</v>
      </c>
      <c r="Z153" s="96">
        <f ca="1" t="shared" si="45"/>
        <v>3.5</v>
      </c>
    </row>
    <row r="154" s="106" customFormat="1" ht="16.5" spans="2:26">
      <c r="B154" s="117">
        <v>125</v>
      </c>
      <c r="C154" s="130">
        <f t="shared" si="46"/>
        <v>12500</v>
      </c>
      <c r="D154" s="131">
        <f ca="1" t="shared" si="25"/>
        <v>41</v>
      </c>
      <c r="E154" s="131">
        <f ca="1" t="shared" si="26"/>
        <v>41</v>
      </c>
      <c r="F154" s="131">
        <f ca="1" t="shared" si="27"/>
        <v>41</v>
      </c>
      <c r="G154" s="131">
        <f ca="1" t="shared" si="28"/>
        <v>31</v>
      </c>
      <c r="H154" s="131">
        <f ca="1" t="shared" si="29"/>
        <v>31</v>
      </c>
      <c r="I154" s="131">
        <f ca="1" t="shared" si="30"/>
        <v>31</v>
      </c>
      <c r="J154" s="131">
        <f ca="1" t="shared" si="31"/>
        <v>31</v>
      </c>
      <c r="K154" s="131">
        <f ca="1" t="shared" si="32"/>
        <v>31</v>
      </c>
      <c r="L154" s="131">
        <f ca="1" t="shared" si="33"/>
        <v>31</v>
      </c>
      <c r="M154" s="131">
        <f ca="1" t="shared" si="34"/>
        <v>23</v>
      </c>
      <c r="N154" s="131">
        <f ca="1" t="shared" si="35"/>
        <v>23</v>
      </c>
      <c r="O154" s="131">
        <f ca="1" t="shared" si="36"/>
        <v>23</v>
      </c>
      <c r="P154" s="131">
        <f ca="1" t="shared" si="37"/>
        <v>23</v>
      </c>
      <c r="Q154" s="131">
        <f ca="1" t="shared" si="38"/>
        <v>24</v>
      </c>
      <c r="R154" s="131">
        <f ca="1" t="shared" si="39"/>
        <v>23</v>
      </c>
      <c r="S154" s="131">
        <f ca="1" t="shared" si="40"/>
        <v>26</v>
      </c>
      <c r="T154" s="131">
        <f ca="1" t="shared" si="41"/>
        <v>25</v>
      </c>
      <c r="U154" s="131">
        <f ca="1" t="shared" si="42"/>
        <v>25</v>
      </c>
      <c r="V154" s="131">
        <f ca="1" t="shared" si="43"/>
        <v>27</v>
      </c>
      <c r="W154" s="124">
        <f ca="1">OFFSET($K$19,_xlfn.XLOOKUP(X154,$D$9:$D$28,$H$9:$H$28),MATCH(OFFSET($C$29,B154,MATCH(X154,$D$29:$V$29,0)),$L$19:$R$19,1))*(1+(OFFSET($C$29,B154,MATCH(X154,$D$29:$V$29,0))-1)*_xlfn.XLOOKUP(X154,梦灵养成!$D$9:$D$28,梦灵养成!$G$9:$G$28))</f>
        <v>30.726</v>
      </c>
      <c r="X154" s="106" t="str">
        <f ca="1" t="shared" si="24"/>
        <v>神算诸葛</v>
      </c>
      <c r="Y154" s="95">
        <f ca="1" t="shared" si="44"/>
        <v>37800</v>
      </c>
      <c r="Z154" s="96">
        <f ca="1" t="shared" si="45"/>
        <v>3.6</v>
      </c>
    </row>
    <row r="155" s="106" customFormat="1" ht="16.5" spans="2:26">
      <c r="B155" s="117">
        <v>126</v>
      </c>
      <c r="C155" s="130">
        <f t="shared" si="46"/>
        <v>12600</v>
      </c>
      <c r="D155" s="131">
        <f ca="1" t="shared" si="25"/>
        <v>41</v>
      </c>
      <c r="E155" s="131">
        <f ca="1" t="shared" si="26"/>
        <v>41</v>
      </c>
      <c r="F155" s="131">
        <f ca="1" t="shared" si="27"/>
        <v>41</v>
      </c>
      <c r="G155" s="131">
        <f ca="1" t="shared" si="28"/>
        <v>31</v>
      </c>
      <c r="H155" s="131">
        <f ca="1" t="shared" si="29"/>
        <v>31</v>
      </c>
      <c r="I155" s="131">
        <f ca="1" t="shared" si="30"/>
        <v>31</v>
      </c>
      <c r="J155" s="131">
        <f ca="1" t="shared" si="31"/>
        <v>31</v>
      </c>
      <c r="K155" s="131">
        <f ca="1" t="shared" si="32"/>
        <v>31</v>
      </c>
      <c r="L155" s="131">
        <f ca="1" t="shared" si="33"/>
        <v>31</v>
      </c>
      <c r="M155" s="131">
        <f ca="1" t="shared" si="34"/>
        <v>23</v>
      </c>
      <c r="N155" s="131">
        <f ca="1" t="shared" si="35"/>
        <v>23</v>
      </c>
      <c r="O155" s="131">
        <f ca="1" t="shared" si="36"/>
        <v>24</v>
      </c>
      <c r="P155" s="131">
        <f ca="1" t="shared" si="37"/>
        <v>23</v>
      </c>
      <c r="Q155" s="131">
        <f ca="1" t="shared" si="38"/>
        <v>24</v>
      </c>
      <c r="R155" s="131">
        <f ca="1" t="shared" si="39"/>
        <v>23</v>
      </c>
      <c r="S155" s="131">
        <f ca="1" t="shared" si="40"/>
        <v>26</v>
      </c>
      <c r="T155" s="131">
        <f ca="1" t="shared" si="41"/>
        <v>25</v>
      </c>
      <c r="U155" s="131">
        <f ca="1" t="shared" si="42"/>
        <v>25</v>
      </c>
      <c r="V155" s="131">
        <f ca="1" t="shared" si="43"/>
        <v>27</v>
      </c>
      <c r="W155" s="124">
        <f ca="1">OFFSET($K$19,_xlfn.XLOOKUP(X155,$D$9:$D$28,$H$9:$H$28),MATCH(OFFSET($C$29,B155,MATCH(X155,$D$29:$V$29,0)),$L$19:$R$19,1))*(1+(OFFSET($C$29,B155,MATCH(X155,$D$29:$V$29,0))-1)*_xlfn.XLOOKUP(X155,梦灵养成!$D$9:$D$28,梦灵养成!$G$9:$G$28))</f>
        <v>30.726</v>
      </c>
      <c r="X155" s="106" t="str">
        <f ca="1" t="shared" si="24"/>
        <v>神算诸葛</v>
      </c>
      <c r="Y155" s="95">
        <f ca="1" t="shared" si="44"/>
        <v>36000</v>
      </c>
      <c r="Z155" s="96">
        <f ca="1" t="shared" si="45"/>
        <v>3.6</v>
      </c>
    </row>
    <row r="156" s="106" customFormat="1" ht="16.5" spans="2:26">
      <c r="B156" s="117">
        <v>127</v>
      </c>
      <c r="C156" s="130">
        <f t="shared" si="46"/>
        <v>12700</v>
      </c>
      <c r="D156" s="131">
        <f ca="1" t="shared" si="25"/>
        <v>41</v>
      </c>
      <c r="E156" s="131">
        <f ca="1" t="shared" si="26"/>
        <v>41</v>
      </c>
      <c r="F156" s="131">
        <f ca="1" t="shared" si="27"/>
        <v>41</v>
      </c>
      <c r="G156" s="131">
        <f ca="1" t="shared" si="28"/>
        <v>31</v>
      </c>
      <c r="H156" s="131">
        <f ca="1" t="shared" si="29"/>
        <v>31</v>
      </c>
      <c r="I156" s="131">
        <f ca="1" t="shared" si="30"/>
        <v>31</v>
      </c>
      <c r="J156" s="131">
        <f ca="1" t="shared" si="31"/>
        <v>31</v>
      </c>
      <c r="K156" s="131">
        <f ca="1" t="shared" si="32"/>
        <v>31</v>
      </c>
      <c r="L156" s="131">
        <f ca="1" t="shared" si="33"/>
        <v>31</v>
      </c>
      <c r="M156" s="131">
        <f ca="1" t="shared" si="34"/>
        <v>23</v>
      </c>
      <c r="N156" s="131">
        <f ca="1" t="shared" si="35"/>
        <v>23</v>
      </c>
      <c r="O156" s="131">
        <f ca="1" t="shared" si="36"/>
        <v>24</v>
      </c>
      <c r="P156" s="131">
        <f ca="1" t="shared" si="37"/>
        <v>23</v>
      </c>
      <c r="Q156" s="131">
        <f ca="1" t="shared" si="38"/>
        <v>24</v>
      </c>
      <c r="R156" s="131">
        <f ca="1" t="shared" si="39"/>
        <v>23</v>
      </c>
      <c r="S156" s="131">
        <f ca="1" t="shared" si="40"/>
        <v>27</v>
      </c>
      <c r="T156" s="131">
        <f ca="1" t="shared" si="41"/>
        <v>25</v>
      </c>
      <c r="U156" s="131">
        <f ca="1" t="shared" si="42"/>
        <v>25</v>
      </c>
      <c r="V156" s="131">
        <f ca="1" t="shared" si="43"/>
        <v>27</v>
      </c>
      <c r="W156" s="124">
        <f ca="1">OFFSET($K$19,_xlfn.XLOOKUP(X156,$D$9:$D$28,$H$9:$H$28),MATCH(OFFSET($C$29,B156,MATCH(X156,$D$29:$V$29,0)),$L$19:$R$19,1))*(1+(OFFSET($C$29,B156,MATCH(X156,$D$29:$V$29,0))-1)*_xlfn.XLOOKUP(X156,梦灵养成!$D$9:$D$28,梦灵养成!$G$9:$G$28))</f>
        <v>30.726</v>
      </c>
      <c r="X156" s="106" t="str">
        <f ca="1" t="shared" si="24"/>
        <v>神算诸葛</v>
      </c>
      <c r="Y156" s="95">
        <f ca="1" t="shared" si="44"/>
        <v>34200</v>
      </c>
      <c r="Z156" s="96">
        <f ca="1" t="shared" si="45"/>
        <v>3.6</v>
      </c>
    </row>
    <row r="157" s="106" customFormat="1" ht="16.5" spans="2:26">
      <c r="B157" s="117">
        <v>128</v>
      </c>
      <c r="C157" s="130">
        <f t="shared" si="46"/>
        <v>12800</v>
      </c>
      <c r="D157" s="131">
        <f ca="1" t="shared" si="25"/>
        <v>41</v>
      </c>
      <c r="E157" s="131">
        <f ca="1" t="shared" si="26"/>
        <v>41</v>
      </c>
      <c r="F157" s="131">
        <f ca="1" t="shared" si="27"/>
        <v>41</v>
      </c>
      <c r="G157" s="131">
        <f ca="1" t="shared" si="28"/>
        <v>31</v>
      </c>
      <c r="H157" s="131">
        <f ca="1" t="shared" si="29"/>
        <v>31</v>
      </c>
      <c r="I157" s="131">
        <f ca="1" t="shared" si="30"/>
        <v>31</v>
      </c>
      <c r="J157" s="131">
        <f ca="1" t="shared" si="31"/>
        <v>31</v>
      </c>
      <c r="K157" s="131">
        <f ca="1" t="shared" si="32"/>
        <v>31</v>
      </c>
      <c r="L157" s="131">
        <f ca="1" t="shared" si="33"/>
        <v>31</v>
      </c>
      <c r="M157" s="131">
        <f ca="1" t="shared" si="34"/>
        <v>23</v>
      </c>
      <c r="N157" s="131">
        <f ca="1" t="shared" si="35"/>
        <v>23</v>
      </c>
      <c r="O157" s="131">
        <f ca="1" t="shared" si="36"/>
        <v>24</v>
      </c>
      <c r="P157" s="131">
        <f ca="1" t="shared" si="37"/>
        <v>23</v>
      </c>
      <c r="Q157" s="131">
        <f ca="1" t="shared" si="38"/>
        <v>24</v>
      </c>
      <c r="R157" s="131">
        <f ca="1" t="shared" si="39"/>
        <v>23</v>
      </c>
      <c r="S157" s="131">
        <f ca="1" t="shared" si="40"/>
        <v>27</v>
      </c>
      <c r="T157" s="131">
        <f ca="1" t="shared" si="41"/>
        <v>25</v>
      </c>
      <c r="U157" s="131">
        <f ca="1" t="shared" si="42"/>
        <v>25</v>
      </c>
      <c r="V157" s="131">
        <f ca="1" t="shared" si="43"/>
        <v>27</v>
      </c>
      <c r="W157" s="124">
        <f ca="1">OFFSET($K$19,_xlfn.XLOOKUP(X157,$D$9:$D$28,$H$9:$H$28),MATCH(OFFSET($C$29,B157,MATCH(X157,$D$29:$V$29,0)),$L$19:$R$19,1))*(1+(OFFSET($C$29,B157,MATCH(X157,$D$29:$V$29,0))-1)*_xlfn.XLOOKUP(X157,梦灵养成!$D$9:$D$28,梦灵养成!$G$9:$G$28))</f>
        <v>30.726</v>
      </c>
      <c r="X157" s="106" t="str">
        <f ca="1" t="shared" si="24"/>
        <v>神算诸葛</v>
      </c>
      <c r="Y157" s="95">
        <f ca="1" t="shared" si="44"/>
        <v>32400</v>
      </c>
      <c r="Z157" s="96">
        <f ca="1" t="shared" si="45"/>
        <v>3.6</v>
      </c>
    </row>
    <row r="158" s="106" customFormat="1" ht="16.5" spans="2:26">
      <c r="B158" s="117">
        <v>129</v>
      </c>
      <c r="C158" s="130">
        <f t="shared" si="46"/>
        <v>12900</v>
      </c>
      <c r="D158" s="131">
        <f ca="1" t="shared" si="25"/>
        <v>41</v>
      </c>
      <c r="E158" s="131">
        <f ca="1" t="shared" si="26"/>
        <v>41</v>
      </c>
      <c r="F158" s="131">
        <f ca="1" t="shared" si="27"/>
        <v>41</v>
      </c>
      <c r="G158" s="131">
        <f ca="1" t="shared" si="28"/>
        <v>31</v>
      </c>
      <c r="H158" s="131">
        <f ca="1" t="shared" si="29"/>
        <v>31</v>
      </c>
      <c r="I158" s="131">
        <f ca="1" t="shared" si="30"/>
        <v>31</v>
      </c>
      <c r="J158" s="131">
        <f ca="1" t="shared" si="31"/>
        <v>31</v>
      </c>
      <c r="K158" s="131">
        <f ca="1" t="shared" si="32"/>
        <v>31</v>
      </c>
      <c r="L158" s="131">
        <f ca="1" t="shared" si="33"/>
        <v>31</v>
      </c>
      <c r="M158" s="131">
        <f ca="1" t="shared" si="34"/>
        <v>23</v>
      </c>
      <c r="N158" s="131">
        <f ca="1" t="shared" si="35"/>
        <v>24</v>
      </c>
      <c r="O158" s="131">
        <f ca="1" t="shared" si="36"/>
        <v>24</v>
      </c>
      <c r="P158" s="131">
        <f ca="1" t="shared" si="37"/>
        <v>23</v>
      </c>
      <c r="Q158" s="131">
        <f ca="1" t="shared" si="38"/>
        <v>24</v>
      </c>
      <c r="R158" s="131">
        <f ca="1" t="shared" si="39"/>
        <v>23</v>
      </c>
      <c r="S158" s="131">
        <f ca="1" t="shared" si="40"/>
        <v>27</v>
      </c>
      <c r="T158" s="131">
        <f ca="1" t="shared" si="41"/>
        <v>25</v>
      </c>
      <c r="U158" s="131">
        <f ca="1" t="shared" si="42"/>
        <v>26</v>
      </c>
      <c r="V158" s="131">
        <f ca="1" t="shared" si="43"/>
        <v>27</v>
      </c>
      <c r="W158" s="124">
        <f ca="1">OFFSET($K$19,_xlfn.XLOOKUP(X158,$D$9:$D$28,$H$9:$H$28),MATCH(OFFSET($C$29,B158,MATCH(X158,$D$29:$V$29,0)),$L$19:$R$19,1))*(1+(OFFSET($C$29,B158,MATCH(X158,$D$29:$V$29,0))-1)*_xlfn.XLOOKUP(X158,梦灵养成!$D$9:$D$28,梦灵养成!$G$9:$G$28))</f>
        <v>30.726</v>
      </c>
      <c r="X158" s="106" t="str">
        <f ca="1" t="shared" ref="X158:X221" si="47">OFFSET($I$8,MATCH(C158,$C$9:$C$27,1),0)</f>
        <v>神算诸葛</v>
      </c>
      <c r="Y158" s="95">
        <f ca="1" t="shared" si="44"/>
        <v>30600</v>
      </c>
      <c r="Z158" s="96">
        <f ca="1" t="shared" si="45"/>
        <v>3.6</v>
      </c>
    </row>
    <row r="159" s="106" customFormat="1" ht="16.5" spans="2:26">
      <c r="B159" s="117">
        <v>130</v>
      </c>
      <c r="C159" s="130">
        <f t="shared" si="46"/>
        <v>13000</v>
      </c>
      <c r="D159" s="131">
        <f ca="1" t="shared" ref="D159:D222" si="48">IFERROR(MATCH(D764*10,OFFSET($AP$635:$AP$734,0,D$631),1),0)</f>
        <v>41</v>
      </c>
      <c r="E159" s="131">
        <f ca="1" t="shared" ref="E159:E222" si="49">IFERROR(MATCH(E764*10,OFFSET($AP$635:$AP$734,0,E$631),1),0)</f>
        <v>41</v>
      </c>
      <c r="F159" s="131">
        <f ca="1" t="shared" ref="F159:F222" si="50">IFERROR(MATCH(F764*10,OFFSET($AP$635:$AP$734,0,F$631),1),0)</f>
        <v>41</v>
      </c>
      <c r="G159" s="131">
        <f ca="1" t="shared" ref="G159:G222" si="51">IFERROR(MATCH(G764*10,OFFSET($AP$635:$AP$734,0,G$631),1),0)</f>
        <v>32</v>
      </c>
      <c r="H159" s="131">
        <f ca="1" t="shared" ref="H159:H222" si="52">IFERROR(MATCH(H764*10,OFFSET($AP$635:$AP$734,0,H$631),1),0)</f>
        <v>32</v>
      </c>
      <c r="I159" s="131">
        <f ca="1" t="shared" ref="I159:I222" si="53">IFERROR(MATCH(I764*10,OFFSET($AP$635:$AP$734,0,I$631),1),0)</f>
        <v>32</v>
      </c>
      <c r="J159" s="131">
        <f ca="1" t="shared" ref="J159:J222" si="54">IFERROR(MATCH(J764*10,OFFSET($AP$635:$AP$734,0,J$631),1),0)</f>
        <v>31</v>
      </c>
      <c r="K159" s="131">
        <f ca="1" t="shared" ref="K159:K222" si="55">IFERROR(MATCH(K764*10,OFFSET($AP$635:$AP$734,0,K$631),1),0)</f>
        <v>31</v>
      </c>
      <c r="L159" s="131">
        <f ca="1" t="shared" ref="L159:L222" si="56">IFERROR(MATCH(L764*10,OFFSET($AP$635:$AP$734,0,L$631),1),0)</f>
        <v>31</v>
      </c>
      <c r="M159" s="131">
        <f ca="1" t="shared" ref="M159:M222" si="57">IFERROR(MATCH(M764*10,OFFSET($AP$635:$AP$734,0,M$631),1),0)</f>
        <v>24</v>
      </c>
      <c r="N159" s="131">
        <f ca="1" t="shared" ref="N159:N222" si="58">IFERROR(MATCH(N764*10,OFFSET($AP$635:$AP$734,0,N$631),1),0)</f>
        <v>24</v>
      </c>
      <c r="O159" s="131">
        <f ca="1" t="shared" ref="O159:O222" si="59">IFERROR(MATCH(O764*10,OFFSET($AP$635:$AP$734,0,O$631),1),0)</f>
        <v>24</v>
      </c>
      <c r="P159" s="131">
        <f ca="1" t="shared" ref="P159:P222" si="60">IFERROR(MATCH(P764*10,OFFSET($AP$635:$AP$734,0,P$631),1),0)</f>
        <v>23</v>
      </c>
      <c r="Q159" s="131">
        <f ca="1" t="shared" ref="Q159:Q222" si="61">IFERROR(MATCH(Q764*10,OFFSET($AP$635:$AP$734,0,Q$631),1),0)</f>
        <v>24</v>
      </c>
      <c r="R159" s="131">
        <f ca="1" t="shared" ref="R159:R222" si="62">IFERROR(MATCH(R764*10,OFFSET($AP$635:$AP$734,0,R$631),1),0)</f>
        <v>24</v>
      </c>
      <c r="S159" s="131">
        <f ca="1" t="shared" ref="S159:S222" si="63">IFERROR(MATCH(S764*10,OFFSET($AP$635:$AP$734,0,S$631),1),0)</f>
        <v>27</v>
      </c>
      <c r="T159" s="131">
        <f ca="1" t="shared" ref="T159:T222" si="64">IFERROR(MATCH(T764*10,OFFSET($AP$635:$AP$734,0,T$631),1),0)</f>
        <v>25</v>
      </c>
      <c r="U159" s="131">
        <f ca="1" t="shared" ref="U159:U222" si="65">IFERROR(MATCH(U764*10,OFFSET($AP$635:$AP$734,0,U$631),1),0)</f>
        <v>26</v>
      </c>
      <c r="V159" s="131">
        <f ca="1" t="shared" ref="V159:V222" si="66">IFERROR(MATCH(V764*10,OFFSET($AP$635:$AP$734,0,V$631),1),0)</f>
        <v>28</v>
      </c>
      <c r="W159" s="124">
        <f ca="1">OFFSET($K$19,_xlfn.XLOOKUP(X159,$D$9:$D$28,$H$9:$H$28),MATCH(OFFSET($C$29,B159,MATCH(X159,$D$29:$V$29,0)),$L$19:$R$19,1))*(1+(OFFSET($C$29,B159,MATCH(X159,$D$29:$V$29,0))-1)*_xlfn.XLOOKUP(X159,梦灵养成!$D$9:$D$28,梦灵养成!$G$9:$G$28))</f>
        <v>31.5795</v>
      </c>
      <c r="X159" s="106" t="str">
        <f ca="1" t="shared" si="47"/>
        <v>神算诸葛</v>
      </c>
      <c r="Y159" s="95">
        <f ca="1" t="shared" ref="Y159:Y222" si="67">MAX((OFFSET($C$29,MATCH(W159*1.07,$W$30:$W$629,1)+1,0)-C159)*18,0)</f>
        <v>28800</v>
      </c>
      <c r="Z159" s="96">
        <f ca="1" t="shared" ref="Z159:Z222" si="68">_xlfn.XLOOKUP(X159,$D$9:$D$27,$G$9:$G$27)*(OFFSET($B159,0,MATCH($X159,$D$29:$V$29,0)+1)-1)+1</f>
        <v>3.7</v>
      </c>
    </row>
    <row r="160" s="106" customFormat="1" ht="16.5" spans="2:26">
      <c r="B160" s="117">
        <v>131</v>
      </c>
      <c r="C160" s="130">
        <f t="shared" ref="C160:C223" si="69">C159+100</f>
        <v>13100</v>
      </c>
      <c r="D160" s="131">
        <f ca="1" t="shared" si="48"/>
        <v>41</v>
      </c>
      <c r="E160" s="131">
        <f ca="1" t="shared" si="49"/>
        <v>41</v>
      </c>
      <c r="F160" s="131">
        <f ca="1" t="shared" si="50"/>
        <v>41</v>
      </c>
      <c r="G160" s="131">
        <f ca="1" t="shared" si="51"/>
        <v>32</v>
      </c>
      <c r="H160" s="131">
        <f ca="1" t="shared" si="52"/>
        <v>32</v>
      </c>
      <c r="I160" s="131">
        <f ca="1" t="shared" si="53"/>
        <v>32</v>
      </c>
      <c r="J160" s="131">
        <f ca="1" t="shared" si="54"/>
        <v>32</v>
      </c>
      <c r="K160" s="131">
        <f ca="1" t="shared" si="55"/>
        <v>31</v>
      </c>
      <c r="L160" s="131">
        <f ca="1" t="shared" si="56"/>
        <v>31</v>
      </c>
      <c r="M160" s="131">
        <f ca="1" t="shared" si="57"/>
        <v>24</v>
      </c>
      <c r="N160" s="131">
        <f ca="1" t="shared" si="58"/>
        <v>24</v>
      </c>
      <c r="O160" s="131">
        <f ca="1" t="shared" si="59"/>
        <v>24</v>
      </c>
      <c r="P160" s="131">
        <f ca="1" t="shared" si="60"/>
        <v>23</v>
      </c>
      <c r="Q160" s="131">
        <f ca="1" t="shared" si="61"/>
        <v>24</v>
      </c>
      <c r="R160" s="131">
        <f ca="1" t="shared" si="62"/>
        <v>24</v>
      </c>
      <c r="S160" s="131">
        <f ca="1" t="shared" si="63"/>
        <v>27</v>
      </c>
      <c r="T160" s="131">
        <f ca="1" t="shared" si="64"/>
        <v>26</v>
      </c>
      <c r="U160" s="131">
        <f ca="1" t="shared" si="65"/>
        <v>26</v>
      </c>
      <c r="V160" s="131">
        <f ca="1" t="shared" si="66"/>
        <v>28</v>
      </c>
      <c r="W160" s="124">
        <f ca="1">OFFSET($K$19,_xlfn.XLOOKUP(X160,$D$9:$D$28,$H$9:$H$28),MATCH(OFFSET($C$29,B160,MATCH(X160,$D$29:$V$29,0)),$L$19:$R$19,1))*(1+(OFFSET($C$29,B160,MATCH(X160,$D$29:$V$29,0))-1)*_xlfn.XLOOKUP(X160,梦灵养成!$D$9:$D$28,梦灵养成!$G$9:$G$28))</f>
        <v>31.5795</v>
      </c>
      <c r="X160" s="106" t="str">
        <f ca="1" t="shared" si="47"/>
        <v>神算诸葛</v>
      </c>
      <c r="Y160" s="95">
        <f ca="1" t="shared" si="67"/>
        <v>27000</v>
      </c>
      <c r="Z160" s="96">
        <f ca="1" t="shared" si="68"/>
        <v>3.7</v>
      </c>
    </row>
    <row r="161" s="106" customFormat="1" ht="16.5" spans="2:26">
      <c r="B161" s="117">
        <v>132</v>
      </c>
      <c r="C161" s="130">
        <f t="shared" si="69"/>
        <v>13200</v>
      </c>
      <c r="D161" s="131">
        <f ca="1" t="shared" si="48"/>
        <v>41</v>
      </c>
      <c r="E161" s="131">
        <f ca="1" t="shared" si="49"/>
        <v>41</v>
      </c>
      <c r="F161" s="131">
        <f ca="1" t="shared" si="50"/>
        <v>41</v>
      </c>
      <c r="G161" s="131">
        <f ca="1" t="shared" si="51"/>
        <v>32</v>
      </c>
      <c r="H161" s="131">
        <f ca="1" t="shared" si="52"/>
        <v>32</v>
      </c>
      <c r="I161" s="131">
        <f ca="1" t="shared" si="53"/>
        <v>32</v>
      </c>
      <c r="J161" s="131">
        <f ca="1" t="shared" si="54"/>
        <v>32</v>
      </c>
      <c r="K161" s="131">
        <f ca="1" t="shared" si="55"/>
        <v>32</v>
      </c>
      <c r="L161" s="131">
        <f ca="1" t="shared" si="56"/>
        <v>32</v>
      </c>
      <c r="M161" s="131">
        <f ca="1" t="shared" si="57"/>
        <v>24</v>
      </c>
      <c r="N161" s="131">
        <f ca="1" t="shared" si="58"/>
        <v>24</v>
      </c>
      <c r="O161" s="131">
        <f ca="1" t="shared" si="59"/>
        <v>24</v>
      </c>
      <c r="P161" s="131">
        <f ca="1" t="shared" si="60"/>
        <v>23</v>
      </c>
      <c r="Q161" s="131">
        <f ca="1" t="shared" si="61"/>
        <v>25</v>
      </c>
      <c r="R161" s="131">
        <f ca="1" t="shared" si="62"/>
        <v>24</v>
      </c>
      <c r="S161" s="131">
        <f ca="1" t="shared" si="63"/>
        <v>27</v>
      </c>
      <c r="T161" s="131">
        <f ca="1" t="shared" si="64"/>
        <v>26</v>
      </c>
      <c r="U161" s="131">
        <f ca="1" t="shared" si="65"/>
        <v>26</v>
      </c>
      <c r="V161" s="131">
        <f ca="1" t="shared" si="66"/>
        <v>28</v>
      </c>
      <c r="W161" s="124">
        <f ca="1">OFFSET($K$19,_xlfn.XLOOKUP(X161,$D$9:$D$28,$H$9:$H$28),MATCH(OFFSET($C$29,B161,MATCH(X161,$D$29:$V$29,0)),$L$19:$R$19,1))*(1+(OFFSET($C$29,B161,MATCH(X161,$D$29:$V$29,0))-1)*_xlfn.XLOOKUP(X161,梦灵养成!$D$9:$D$28,梦灵养成!$G$9:$G$28))</f>
        <v>31.5795</v>
      </c>
      <c r="X161" s="106" t="str">
        <f ca="1" t="shared" si="47"/>
        <v>神算诸葛</v>
      </c>
      <c r="Y161" s="95">
        <f ca="1" t="shared" si="67"/>
        <v>25200</v>
      </c>
      <c r="Z161" s="96">
        <f ca="1" t="shared" si="68"/>
        <v>3.7</v>
      </c>
    </row>
    <row r="162" s="106" customFormat="1" ht="16.5" spans="2:26">
      <c r="B162" s="117">
        <v>133</v>
      </c>
      <c r="C162" s="130">
        <f t="shared" si="69"/>
        <v>13300</v>
      </c>
      <c r="D162" s="131">
        <f ca="1" t="shared" si="48"/>
        <v>41</v>
      </c>
      <c r="E162" s="131">
        <f ca="1" t="shared" si="49"/>
        <v>41</v>
      </c>
      <c r="F162" s="131">
        <f ca="1" t="shared" si="50"/>
        <v>41</v>
      </c>
      <c r="G162" s="131">
        <f ca="1" t="shared" si="51"/>
        <v>32</v>
      </c>
      <c r="H162" s="131">
        <f ca="1" t="shared" si="52"/>
        <v>32</v>
      </c>
      <c r="I162" s="131">
        <f ca="1" t="shared" si="53"/>
        <v>32</v>
      </c>
      <c r="J162" s="131">
        <f ca="1" t="shared" si="54"/>
        <v>32</v>
      </c>
      <c r="K162" s="131">
        <f ca="1" t="shared" si="55"/>
        <v>32</v>
      </c>
      <c r="L162" s="131">
        <f ca="1" t="shared" si="56"/>
        <v>32</v>
      </c>
      <c r="M162" s="131">
        <f ca="1" t="shared" si="57"/>
        <v>24</v>
      </c>
      <c r="N162" s="131">
        <f ca="1" t="shared" si="58"/>
        <v>24</v>
      </c>
      <c r="O162" s="131">
        <f ca="1" t="shared" si="59"/>
        <v>24</v>
      </c>
      <c r="P162" s="131">
        <f ca="1" t="shared" si="60"/>
        <v>24</v>
      </c>
      <c r="Q162" s="131">
        <f ca="1" t="shared" si="61"/>
        <v>25</v>
      </c>
      <c r="R162" s="131">
        <f ca="1" t="shared" si="62"/>
        <v>24</v>
      </c>
      <c r="S162" s="131">
        <f ca="1" t="shared" si="63"/>
        <v>27</v>
      </c>
      <c r="T162" s="131">
        <f ca="1" t="shared" si="64"/>
        <v>26</v>
      </c>
      <c r="U162" s="131">
        <f ca="1" t="shared" si="65"/>
        <v>26</v>
      </c>
      <c r="V162" s="131">
        <f ca="1" t="shared" si="66"/>
        <v>28</v>
      </c>
      <c r="W162" s="124">
        <f ca="1">OFFSET($K$19,_xlfn.XLOOKUP(X162,$D$9:$D$28,$H$9:$H$28),MATCH(OFFSET($C$29,B162,MATCH(X162,$D$29:$V$29,0)),$L$19:$R$19,1))*(1+(OFFSET($C$29,B162,MATCH(X162,$D$29:$V$29,0))-1)*_xlfn.XLOOKUP(X162,梦灵养成!$D$9:$D$28,梦灵养成!$G$9:$G$28))</f>
        <v>31.5795</v>
      </c>
      <c r="X162" s="106" t="str">
        <f ca="1" t="shared" si="47"/>
        <v>神算诸葛</v>
      </c>
      <c r="Y162" s="95">
        <f ca="1" t="shared" si="67"/>
        <v>23400</v>
      </c>
      <c r="Z162" s="96">
        <f ca="1" t="shared" si="68"/>
        <v>3.7</v>
      </c>
    </row>
    <row r="163" s="106" customFormat="1" ht="16.5" spans="2:26">
      <c r="B163" s="117">
        <v>134</v>
      </c>
      <c r="C163" s="130">
        <f t="shared" si="69"/>
        <v>13400</v>
      </c>
      <c r="D163" s="131">
        <f ca="1" t="shared" si="48"/>
        <v>41</v>
      </c>
      <c r="E163" s="131">
        <f ca="1" t="shared" si="49"/>
        <v>41</v>
      </c>
      <c r="F163" s="131">
        <f ca="1" t="shared" si="50"/>
        <v>41</v>
      </c>
      <c r="G163" s="131">
        <f ca="1" t="shared" si="51"/>
        <v>32</v>
      </c>
      <c r="H163" s="131">
        <f ca="1" t="shared" si="52"/>
        <v>32</v>
      </c>
      <c r="I163" s="131">
        <f ca="1" t="shared" si="53"/>
        <v>32</v>
      </c>
      <c r="J163" s="131">
        <f ca="1" t="shared" si="54"/>
        <v>32</v>
      </c>
      <c r="K163" s="131">
        <f ca="1" t="shared" si="55"/>
        <v>32</v>
      </c>
      <c r="L163" s="131">
        <f ca="1" t="shared" si="56"/>
        <v>32</v>
      </c>
      <c r="M163" s="131">
        <f ca="1" t="shared" si="57"/>
        <v>24</v>
      </c>
      <c r="N163" s="131">
        <f ca="1" t="shared" si="58"/>
        <v>24</v>
      </c>
      <c r="O163" s="131">
        <f ca="1" t="shared" si="59"/>
        <v>25</v>
      </c>
      <c r="P163" s="131">
        <f ca="1" t="shared" si="60"/>
        <v>24</v>
      </c>
      <c r="Q163" s="131">
        <f ca="1" t="shared" si="61"/>
        <v>25</v>
      </c>
      <c r="R163" s="131">
        <f ca="1" t="shared" si="62"/>
        <v>24</v>
      </c>
      <c r="S163" s="131">
        <f ca="1" t="shared" si="63"/>
        <v>27</v>
      </c>
      <c r="T163" s="131">
        <f ca="1" t="shared" si="64"/>
        <v>26</v>
      </c>
      <c r="U163" s="131">
        <f ca="1" t="shared" si="65"/>
        <v>26</v>
      </c>
      <c r="V163" s="131">
        <f ca="1" t="shared" si="66"/>
        <v>28</v>
      </c>
      <c r="W163" s="124">
        <f ca="1">OFFSET($K$19,_xlfn.XLOOKUP(X163,$D$9:$D$28,$H$9:$H$28),MATCH(OFFSET($C$29,B163,MATCH(X163,$D$29:$V$29,0)),$L$19:$R$19,1))*(1+(OFFSET($C$29,B163,MATCH(X163,$D$29:$V$29,0))-1)*_xlfn.XLOOKUP(X163,梦灵养成!$D$9:$D$28,梦灵养成!$G$9:$G$28))</f>
        <v>31.5795</v>
      </c>
      <c r="X163" s="106" t="str">
        <f ca="1" t="shared" si="47"/>
        <v>神算诸葛</v>
      </c>
      <c r="Y163" s="95">
        <f ca="1" t="shared" si="67"/>
        <v>21600</v>
      </c>
      <c r="Z163" s="96">
        <f ca="1" t="shared" si="68"/>
        <v>3.7</v>
      </c>
    </row>
    <row r="164" s="106" customFormat="1" ht="16.5" spans="2:26">
      <c r="B164" s="117">
        <v>135</v>
      </c>
      <c r="C164" s="130">
        <f t="shared" si="69"/>
        <v>13500</v>
      </c>
      <c r="D164" s="131">
        <f ca="1" t="shared" si="48"/>
        <v>41</v>
      </c>
      <c r="E164" s="131">
        <f ca="1" t="shared" si="49"/>
        <v>41</v>
      </c>
      <c r="F164" s="131">
        <f ca="1" t="shared" si="50"/>
        <v>41</v>
      </c>
      <c r="G164" s="131">
        <f ca="1" t="shared" si="51"/>
        <v>32</v>
      </c>
      <c r="H164" s="131">
        <f ca="1" t="shared" si="52"/>
        <v>32</v>
      </c>
      <c r="I164" s="131">
        <f ca="1" t="shared" si="53"/>
        <v>32</v>
      </c>
      <c r="J164" s="131">
        <f ca="1" t="shared" si="54"/>
        <v>32</v>
      </c>
      <c r="K164" s="131">
        <f ca="1" t="shared" si="55"/>
        <v>32</v>
      </c>
      <c r="L164" s="131">
        <f ca="1" t="shared" si="56"/>
        <v>32</v>
      </c>
      <c r="M164" s="131">
        <f ca="1" t="shared" si="57"/>
        <v>24</v>
      </c>
      <c r="N164" s="131">
        <f ca="1" t="shared" si="58"/>
        <v>24</v>
      </c>
      <c r="O164" s="131">
        <f ca="1" t="shared" si="59"/>
        <v>25</v>
      </c>
      <c r="P164" s="131">
        <f ca="1" t="shared" si="60"/>
        <v>24</v>
      </c>
      <c r="Q164" s="131">
        <f ca="1" t="shared" si="61"/>
        <v>25</v>
      </c>
      <c r="R164" s="131">
        <f ca="1" t="shared" si="62"/>
        <v>24</v>
      </c>
      <c r="S164" s="131">
        <f ca="1" t="shared" si="63"/>
        <v>27</v>
      </c>
      <c r="T164" s="131">
        <f ca="1" t="shared" si="64"/>
        <v>26</v>
      </c>
      <c r="U164" s="131">
        <f ca="1" t="shared" si="65"/>
        <v>26</v>
      </c>
      <c r="V164" s="131">
        <f ca="1" t="shared" si="66"/>
        <v>28</v>
      </c>
      <c r="W164" s="124">
        <f ca="1">OFFSET($K$19,_xlfn.XLOOKUP(X164,$D$9:$D$28,$H$9:$H$28),MATCH(OFFSET($C$29,B164,MATCH(X164,$D$29:$V$29,0)),$L$19:$R$19,1))*(1+(OFFSET($C$29,B164,MATCH(X164,$D$29:$V$29,0))-1)*_xlfn.XLOOKUP(X164,梦灵养成!$D$9:$D$28,梦灵养成!$G$9:$G$28))</f>
        <v>31.5795</v>
      </c>
      <c r="X164" s="106" t="str">
        <f ca="1" t="shared" si="47"/>
        <v>神算诸葛</v>
      </c>
      <c r="Y164" s="95">
        <f ca="1" t="shared" si="67"/>
        <v>19800</v>
      </c>
      <c r="Z164" s="96">
        <f ca="1" t="shared" si="68"/>
        <v>3.7</v>
      </c>
    </row>
    <row r="165" s="106" customFormat="1" ht="16.5" spans="2:26">
      <c r="B165" s="117">
        <v>136</v>
      </c>
      <c r="C165" s="130">
        <f t="shared" si="69"/>
        <v>13600</v>
      </c>
      <c r="D165" s="131">
        <f ca="1" t="shared" si="48"/>
        <v>42</v>
      </c>
      <c r="E165" s="131">
        <f ca="1" t="shared" si="49"/>
        <v>42</v>
      </c>
      <c r="F165" s="131">
        <f ca="1" t="shared" si="50"/>
        <v>42</v>
      </c>
      <c r="G165" s="131">
        <f ca="1" t="shared" si="51"/>
        <v>32</v>
      </c>
      <c r="H165" s="131">
        <f ca="1" t="shared" si="52"/>
        <v>32</v>
      </c>
      <c r="I165" s="131">
        <f ca="1" t="shared" si="53"/>
        <v>32</v>
      </c>
      <c r="J165" s="131">
        <f ca="1" t="shared" si="54"/>
        <v>32</v>
      </c>
      <c r="K165" s="131">
        <f ca="1" t="shared" si="55"/>
        <v>32</v>
      </c>
      <c r="L165" s="131">
        <f ca="1" t="shared" si="56"/>
        <v>32</v>
      </c>
      <c r="M165" s="131">
        <f ca="1" t="shared" si="57"/>
        <v>24</v>
      </c>
      <c r="N165" s="131">
        <f ca="1" t="shared" si="58"/>
        <v>24</v>
      </c>
      <c r="O165" s="131">
        <f ca="1" t="shared" si="59"/>
        <v>25</v>
      </c>
      <c r="P165" s="131">
        <f ca="1" t="shared" si="60"/>
        <v>24</v>
      </c>
      <c r="Q165" s="131">
        <f ca="1" t="shared" si="61"/>
        <v>25</v>
      </c>
      <c r="R165" s="131">
        <f ca="1" t="shared" si="62"/>
        <v>24</v>
      </c>
      <c r="S165" s="131">
        <f ca="1" t="shared" si="63"/>
        <v>28</v>
      </c>
      <c r="T165" s="131">
        <f ca="1" t="shared" si="64"/>
        <v>26</v>
      </c>
      <c r="U165" s="131">
        <f ca="1" t="shared" si="65"/>
        <v>26</v>
      </c>
      <c r="V165" s="131">
        <f ca="1" t="shared" si="66"/>
        <v>28</v>
      </c>
      <c r="W165" s="124">
        <f ca="1">OFFSET($K$19,_xlfn.XLOOKUP(X165,$D$9:$D$28,$H$9:$H$28),MATCH(OFFSET($C$29,B165,MATCH(X165,$D$29:$V$29,0)),$L$19:$R$19,1))*(1+(OFFSET($C$29,B165,MATCH(X165,$D$29:$V$29,0))-1)*_xlfn.XLOOKUP(X165,梦灵养成!$D$9:$D$28,梦灵养成!$G$9:$G$28))</f>
        <v>31.5795</v>
      </c>
      <c r="X165" s="106" t="str">
        <f ca="1" t="shared" si="47"/>
        <v>神算诸葛</v>
      </c>
      <c r="Y165" s="95">
        <f ca="1" t="shared" si="67"/>
        <v>18000</v>
      </c>
      <c r="Z165" s="96">
        <f ca="1" t="shared" si="68"/>
        <v>3.7</v>
      </c>
    </row>
    <row r="166" s="106" customFormat="1" ht="16.5" spans="2:26">
      <c r="B166" s="117">
        <v>137</v>
      </c>
      <c r="C166" s="130">
        <f t="shared" si="69"/>
        <v>13700</v>
      </c>
      <c r="D166" s="131">
        <f ca="1" t="shared" si="48"/>
        <v>42</v>
      </c>
      <c r="E166" s="131">
        <f ca="1" t="shared" si="49"/>
        <v>42</v>
      </c>
      <c r="F166" s="131">
        <f ca="1" t="shared" si="50"/>
        <v>42</v>
      </c>
      <c r="G166" s="131">
        <f ca="1" t="shared" si="51"/>
        <v>32</v>
      </c>
      <c r="H166" s="131">
        <f ca="1" t="shared" si="52"/>
        <v>32</v>
      </c>
      <c r="I166" s="131">
        <f ca="1" t="shared" si="53"/>
        <v>32</v>
      </c>
      <c r="J166" s="131">
        <f ca="1" t="shared" si="54"/>
        <v>32</v>
      </c>
      <c r="K166" s="131">
        <f ca="1" t="shared" si="55"/>
        <v>32</v>
      </c>
      <c r="L166" s="131">
        <f ca="1" t="shared" si="56"/>
        <v>32</v>
      </c>
      <c r="M166" s="131">
        <f ca="1" t="shared" si="57"/>
        <v>24</v>
      </c>
      <c r="N166" s="131">
        <f ca="1" t="shared" si="58"/>
        <v>24</v>
      </c>
      <c r="O166" s="131">
        <f ca="1" t="shared" si="59"/>
        <v>25</v>
      </c>
      <c r="P166" s="131">
        <f ca="1" t="shared" si="60"/>
        <v>24</v>
      </c>
      <c r="Q166" s="131">
        <f ca="1" t="shared" si="61"/>
        <v>25</v>
      </c>
      <c r="R166" s="131">
        <f ca="1" t="shared" si="62"/>
        <v>24</v>
      </c>
      <c r="S166" s="131">
        <f ca="1" t="shared" si="63"/>
        <v>28</v>
      </c>
      <c r="T166" s="131">
        <f ca="1" t="shared" si="64"/>
        <v>26</v>
      </c>
      <c r="U166" s="131">
        <f ca="1" t="shared" si="65"/>
        <v>27</v>
      </c>
      <c r="V166" s="131">
        <f ca="1" t="shared" si="66"/>
        <v>28</v>
      </c>
      <c r="W166" s="124">
        <f ca="1">OFFSET($K$19,_xlfn.XLOOKUP(X166,$D$9:$D$28,$H$9:$H$28),MATCH(OFFSET($C$29,B166,MATCH(X166,$D$29:$V$29,0)),$L$19:$R$19,1))*(1+(OFFSET($C$29,B166,MATCH(X166,$D$29:$V$29,0))-1)*_xlfn.XLOOKUP(X166,梦灵养成!$D$9:$D$28,梦灵养成!$G$9:$G$28))</f>
        <v>31.5795</v>
      </c>
      <c r="X166" s="106" t="str">
        <f ca="1" t="shared" si="47"/>
        <v>神算诸葛</v>
      </c>
      <c r="Y166" s="95">
        <f ca="1" t="shared" si="67"/>
        <v>16200</v>
      </c>
      <c r="Z166" s="96">
        <f ca="1" t="shared" si="68"/>
        <v>3.7</v>
      </c>
    </row>
    <row r="167" s="106" customFormat="1" ht="16.5" spans="2:26">
      <c r="B167" s="117">
        <v>138</v>
      </c>
      <c r="C167" s="130">
        <f t="shared" si="69"/>
        <v>13800</v>
      </c>
      <c r="D167" s="131">
        <f ca="1" t="shared" si="48"/>
        <v>42</v>
      </c>
      <c r="E167" s="131">
        <f ca="1" t="shared" si="49"/>
        <v>42</v>
      </c>
      <c r="F167" s="131">
        <f ca="1" t="shared" si="50"/>
        <v>42</v>
      </c>
      <c r="G167" s="131">
        <f ca="1" t="shared" si="51"/>
        <v>32</v>
      </c>
      <c r="H167" s="131">
        <f ca="1" t="shared" si="52"/>
        <v>32</v>
      </c>
      <c r="I167" s="131">
        <f ca="1" t="shared" si="53"/>
        <v>32</v>
      </c>
      <c r="J167" s="131">
        <f ca="1" t="shared" si="54"/>
        <v>32</v>
      </c>
      <c r="K167" s="131">
        <f ca="1" t="shared" si="55"/>
        <v>32</v>
      </c>
      <c r="L167" s="131">
        <f ca="1" t="shared" si="56"/>
        <v>32</v>
      </c>
      <c r="M167" s="131">
        <f ca="1" t="shared" si="57"/>
        <v>24</v>
      </c>
      <c r="N167" s="131">
        <f ca="1" t="shared" si="58"/>
        <v>25</v>
      </c>
      <c r="O167" s="131">
        <f ca="1" t="shared" si="59"/>
        <v>25</v>
      </c>
      <c r="P167" s="131">
        <f ca="1" t="shared" si="60"/>
        <v>24</v>
      </c>
      <c r="Q167" s="131">
        <f ca="1" t="shared" si="61"/>
        <v>25</v>
      </c>
      <c r="R167" s="131">
        <f ca="1" t="shared" si="62"/>
        <v>25</v>
      </c>
      <c r="S167" s="131">
        <f ca="1" t="shared" si="63"/>
        <v>28</v>
      </c>
      <c r="T167" s="131">
        <f ca="1" t="shared" si="64"/>
        <v>26</v>
      </c>
      <c r="U167" s="131">
        <f ca="1" t="shared" si="65"/>
        <v>27</v>
      </c>
      <c r="V167" s="131">
        <f ca="1" t="shared" si="66"/>
        <v>28</v>
      </c>
      <c r="W167" s="124">
        <f ca="1">OFFSET($K$19,_xlfn.XLOOKUP(X167,$D$9:$D$28,$H$9:$H$28),MATCH(OFFSET($C$29,B167,MATCH(X167,$D$29:$V$29,0)),$L$19:$R$19,1))*(1+(OFFSET($C$29,B167,MATCH(X167,$D$29:$V$29,0))-1)*_xlfn.XLOOKUP(X167,梦灵养成!$D$9:$D$28,梦灵养成!$G$9:$G$28))</f>
        <v>31.5795</v>
      </c>
      <c r="X167" s="106" t="str">
        <f ca="1" t="shared" si="47"/>
        <v>神算诸葛</v>
      </c>
      <c r="Y167" s="95">
        <f ca="1" t="shared" si="67"/>
        <v>14400</v>
      </c>
      <c r="Z167" s="96">
        <f ca="1" t="shared" si="68"/>
        <v>3.7</v>
      </c>
    </row>
    <row r="168" s="106" customFormat="1" ht="16.5" spans="2:26">
      <c r="B168" s="117">
        <v>139</v>
      </c>
      <c r="C168" s="130">
        <f t="shared" si="69"/>
        <v>13900</v>
      </c>
      <c r="D168" s="131">
        <f ca="1" t="shared" si="48"/>
        <v>42</v>
      </c>
      <c r="E168" s="131">
        <f ca="1" t="shared" si="49"/>
        <v>42</v>
      </c>
      <c r="F168" s="131">
        <f ca="1" t="shared" si="50"/>
        <v>42</v>
      </c>
      <c r="G168" s="131">
        <f ca="1" t="shared" si="51"/>
        <v>32</v>
      </c>
      <c r="H168" s="131">
        <f ca="1" t="shared" si="52"/>
        <v>32</v>
      </c>
      <c r="I168" s="131">
        <f ca="1" t="shared" si="53"/>
        <v>32</v>
      </c>
      <c r="J168" s="131">
        <f ca="1" t="shared" si="54"/>
        <v>32</v>
      </c>
      <c r="K168" s="131">
        <f ca="1" t="shared" si="55"/>
        <v>32</v>
      </c>
      <c r="L168" s="131">
        <f ca="1" t="shared" si="56"/>
        <v>32</v>
      </c>
      <c r="M168" s="131">
        <f ca="1" t="shared" si="57"/>
        <v>25</v>
      </c>
      <c r="N168" s="131">
        <f ca="1" t="shared" si="58"/>
        <v>25</v>
      </c>
      <c r="O168" s="131">
        <f ca="1" t="shared" si="59"/>
        <v>25</v>
      </c>
      <c r="P168" s="131">
        <f ca="1" t="shared" si="60"/>
        <v>24</v>
      </c>
      <c r="Q168" s="131">
        <f ca="1" t="shared" si="61"/>
        <v>25</v>
      </c>
      <c r="R168" s="131">
        <f ca="1" t="shared" si="62"/>
        <v>25</v>
      </c>
      <c r="S168" s="131">
        <f ca="1" t="shared" si="63"/>
        <v>28</v>
      </c>
      <c r="T168" s="131">
        <f ca="1" t="shared" si="64"/>
        <v>26</v>
      </c>
      <c r="U168" s="131">
        <f ca="1" t="shared" si="65"/>
        <v>27</v>
      </c>
      <c r="V168" s="131">
        <f ca="1" t="shared" si="66"/>
        <v>28</v>
      </c>
      <c r="W168" s="124">
        <f ca="1">OFFSET($K$19,_xlfn.XLOOKUP(X168,$D$9:$D$28,$H$9:$H$28),MATCH(OFFSET($C$29,B168,MATCH(X168,$D$29:$V$29,0)),$L$19:$R$19,1))*(1+(OFFSET($C$29,B168,MATCH(X168,$D$29:$V$29,0))-1)*_xlfn.XLOOKUP(X168,梦灵养成!$D$9:$D$28,梦灵养成!$G$9:$G$28))</f>
        <v>31.5795</v>
      </c>
      <c r="X168" s="106" t="str">
        <f ca="1" t="shared" si="47"/>
        <v>神算诸葛</v>
      </c>
      <c r="Y168" s="95">
        <f ca="1" t="shared" si="67"/>
        <v>12600</v>
      </c>
      <c r="Z168" s="96">
        <f ca="1" t="shared" si="68"/>
        <v>3.7</v>
      </c>
    </row>
    <row r="169" s="106" customFormat="1" ht="16.5" spans="2:26">
      <c r="B169" s="117">
        <v>140</v>
      </c>
      <c r="C169" s="130">
        <f t="shared" si="69"/>
        <v>14000</v>
      </c>
      <c r="D169" s="131">
        <f ca="1" t="shared" si="48"/>
        <v>42</v>
      </c>
      <c r="E169" s="131">
        <f ca="1" t="shared" si="49"/>
        <v>42</v>
      </c>
      <c r="F169" s="131">
        <f ca="1" t="shared" si="50"/>
        <v>42</v>
      </c>
      <c r="G169" s="131">
        <f ca="1" t="shared" si="51"/>
        <v>32</v>
      </c>
      <c r="H169" s="131">
        <f ca="1" t="shared" si="52"/>
        <v>32</v>
      </c>
      <c r="I169" s="131">
        <f ca="1" t="shared" si="53"/>
        <v>32</v>
      </c>
      <c r="J169" s="131">
        <f ca="1" t="shared" si="54"/>
        <v>32</v>
      </c>
      <c r="K169" s="131">
        <f ca="1" t="shared" si="55"/>
        <v>32</v>
      </c>
      <c r="L169" s="131">
        <f ca="1" t="shared" si="56"/>
        <v>32</v>
      </c>
      <c r="M169" s="131">
        <f ca="1" t="shared" si="57"/>
        <v>25</v>
      </c>
      <c r="N169" s="131">
        <f ca="1" t="shared" si="58"/>
        <v>25</v>
      </c>
      <c r="O169" s="131">
        <f ca="1" t="shared" si="59"/>
        <v>25</v>
      </c>
      <c r="P169" s="131">
        <f ca="1" t="shared" si="60"/>
        <v>24</v>
      </c>
      <c r="Q169" s="131">
        <f ca="1" t="shared" si="61"/>
        <v>25</v>
      </c>
      <c r="R169" s="131">
        <f ca="1" t="shared" si="62"/>
        <v>25</v>
      </c>
      <c r="S169" s="131">
        <f ca="1" t="shared" si="63"/>
        <v>28</v>
      </c>
      <c r="T169" s="131">
        <f ca="1" t="shared" si="64"/>
        <v>26</v>
      </c>
      <c r="U169" s="131">
        <f ca="1" t="shared" si="65"/>
        <v>27</v>
      </c>
      <c r="V169" s="131">
        <f ca="1" t="shared" si="66"/>
        <v>28</v>
      </c>
      <c r="W169" s="124">
        <f ca="1">OFFSET($K$19,_xlfn.XLOOKUP(X169,$D$9:$D$28,$H$9:$H$28),MATCH(OFFSET($C$29,B169,MATCH(X169,$D$29:$V$29,0)),$L$19:$R$19,1))*(1+(OFFSET($C$29,B169,MATCH(X169,$D$29:$V$29,0))-1)*_xlfn.XLOOKUP(X169,梦灵养成!$D$9:$D$28,梦灵养成!$G$9:$G$28))</f>
        <v>31.5795</v>
      </c>
      <c r="X169" s="106" t="str">
        <f ca="1" t="shared" si="47"/>
        <v>神算诸葛</v>
      </c>
      <c r="Y169" s="95">
        <f ca="1" t="shared" si="67"/>
        <v>10800</v>
      </c>
      <c r="Z169" s="96">
        <f ca="1" t="shared" si="68"/>
        <v>3.7</v>
      </c>
    </row>
    <row r="170" s="106" customFormat="1" ht="16.5" spans="2:26">
      <c r="B170" s="117">
        <v>141</v>
      </c>
      <c r="C170" s="130">
        <f t="shared" si="69"/>
        <v>14100</v>
      </c>
      <c r="D170" s="131">
        <f ca="1" t="shared" si="48"/>
        <v>42</v>
      </c>
      <c r="E170" s="131">
        <f ca="1" t="shared" si="49"/>
        <v>42</v>
      </c>
      <c r="F170" s="131">
        <f ca="1" t="shared" si="50"/>
        <v>42</v>
      </c>
      <c r="G170" s="131">
        <f ca="1" t="shared" si="51"/>
        <v>32</v>
      </c>
      <c r="H170" s="131">
        <f ca="1" t="shared" si="52"/>
        <v>32</v>
      </c>
      <c r="I170" s="131">
        <f ca="1" t="shared" si="53"/>
        <v>32</v>
      </c>
      <c r="J170" s="131">
        <f ca="1" t="shared" si="54"/>
        <v>32</v>
      </c>
      <c r="K170" s="131">
        <f ca="1" t="shared" si="55"/>
        <v>32</v>
      </c>
      <c r="L170" s="131">
        <f ca="1" t="shared" si="56"/>
        <v>32</v>
      </c>
      <c r="M170" s="131">
        <f ca="1" t="shared" si="57"/>
        <v>25</v>
      </c>
      <c r="N170" s="131">
        <f ca="1" t="shared" si="58"/>
        <v>25</v>
      </c>
      <c r="O170" s="131">
        <f ca="1" t="shared" si="59"/>
        <v>25</v>
      </c>
      <c r="P170" s="131">
        <f ca="1" t="shared" si="60"/>
        <v>24</v>
      </c>
      <c r="Q170" s="131">
        <f ca="1" t="shared" si="61"/>
        <v>25</v>
      </c>
      <c r="R170" s="131">
        <f ca="1" t="shared" si="62"/>
        <v>25</v>
      </c>
      <c r="S170" s="131">
        <f ca="1" t="shared" si="63"/>
        <v>28</v>
      </c>
      <c r="T170" s="131">
        <f ca="1" t="shared" si="64"/>
        <v>26</v>
      </c>
      <c r="U170" s="131">
        <f ca="1" t="shared" si="65"/>
        <v>27</v>
      </c>
      <c r="V170" s="131">
        <f ca="1" t="shared" si="66"/>
        <v>29</v>
      </c>
      <c r="W170" s="124">
        <f ca="1">OFFSET($K$19,_xlfn.XLOOKUP(X170,$D$9:$D$28,$H$9:$H$28),MATCH(OFFSET($C$29,B170,MATCH(X170,$D$29:$V$29,0)),$L$19:$R$19,1))*(1+(OFFSET($C$29,B170,MATCH(X170,$D$29:$V$29,0))-1)*_xlfn.XLOOKUP(X170,梦灵养成!$D$9:$D$28,梦灵养成!$G$9:$G$28))</f>
        <v>32.433</v>
      </c>
      <c r="X170" s="106" t="str">
        <f ca="1" t="shared" si="47"/>
        <v>神算诸葛</v>
      </c>
      <c r="Y170" s="95">
        <f ca="1" t="shared" si="67"/>
        <v>9000</v>
      </c>
      <c r="Z170" s="96">
        <f ca="1" t="shared" si="68"/>
        <v>3.8</v>
      </c>
    </row>
    <row r="171" s="106" customFormat="1" ht="16.5" spans="2:26">
      <c r="B171" s="117">
        <v>142</v>
      </c>
      <c r="C171" s="130">
        <f t="shared" si="69"/>
        <v>14200</v>
      </c>
      <c r="D171" s="131">
        <f ca="1" t="shared" si="48"/>
        <v>42</v>
      </c>
      <c r="E171" s="131">
        <f ca="1" t="shared" si="49"/>
        <v>42</v>
      </c>
      <c r="F171" s="131">
        <f ca="1" t="shared" si="50"/>
        <v>42</v>
      </c>
      <c r="G171" s="131">
        <f ca="1" t="shared" si="51"/>
        <v>32</v>
      </c>
      <c r="H171" s="131">
        <f ca="1" t="shared" si="52"/>
        <v>32</v>
      </c>
      <c r="I171" s="131">
        <f ca="1" t="shared" si="53"/>
        <v>32</v>
      </c>
      <c r="J171" s="131">
        <f ca="1" t="shared" si="54"/>
        <v>32</v>
      </c>
      <c r="K171" s="131">
        <f ca="1" t="shared" si="55"/>
        <v>32</v>
      </c>
      <c r="L171" s="131">
        <f ca="1" t="shared" si="56"/>
        <v>32</v>
      </c>
      <c r="M171" s="131">
        <f ca="1" t="shared" si="57"/>
        <v>25</v>
      </c>
      <c r="N171" s="131">
        <f ca="1" t="shared" si="58"/>
        <v>25</v>
      </c>
      <c r="O171" s="131">
        <f ca="1" t="shared" si="59"/>
        <v>25</v>
      </c>
      <c r="P171" s="131">
        <f ca="1" t="shared" si="60"/>
        <v>25</v>
      </c>
      <c r="Q171" s="131">
        <f ca="1" t="shared" si="61"/>
        <v>25</v>
      </c>
      <c r="R171" s="131">
        <f ca="1" t="shared" si="62"/>
        <v>25</v>
      </c>
      <c r="S171" s="131">
        <f ca="1" t="shared" si="63"/>
        <v>28</v>
      </c>
      <c r="T171" s="131">
        <f ca="1" t="shared" si="64"/>
        <v>27</v>
      </c>
      <c r="U171" s="131">
        <f ca="1" t="shared" si="65"/>
        <v>27</v>
      </c>
      <c r="V171" s="131">
        <f ca="1" t="shared" si="66"/>
        <v>29</v>
      </c>
      <c r="W171" s="124">
        <f ca="1">OFFSET($K$19,_xlfn.XLOOKUP(X171,$D$9:$D$28,$H$9:$H$28),MATCH(OFFSET($C$29,B171,MATCH(X171,$D$29:$V$29,0)),$L$19:$R$19,1))*(1+(OFFSET($C$29,B171,MATCH(X171,$D$29:$V$29,0))-1)*_xlfn.XLOOKUP(X171,梦灵养成!$D$9:$D$28,梦灵养成!$G$9:$G$28))</f>
        <v>32.433</v>
      </c>
      <c r="X171" s="106" t="str">
        <f ca="1" t="shared" si="47"/>
        <v>神算诸葛</v>
      </c>
      <c r="Y171" s="95">
        <f ca="1" t="shared" si="67"/>
        <v>7200</v>
      </c>
      <c r="Z171" s="96">
        <f ca="1" t="shared" si="68"/>
        <v>3.8</v>
      </c>
    </row>
    <row r="172" s="106" customFormat="1" ht="16.5" spans="2:26">
      <c r="B172" s="117">
        <v>143</v>
      </c>
      <c r="C172" s="130">
        <f t="shared" si="69"/>
        <v>14300</v>
      </c>
      <c r="D172" s="131">
        <f ca="1" t="shared" si="48"/>
        <v>42</v>
      </c>
      <c r="E172" s="131">
        <f ca="1" t="shared" si="49"/>
        <v>42</v>
      </c>
      <c r="F172" s="131">
        <f ca="1" t="shared" si="50"/>
        <v>42</v>
      </c>
      <c r="G172" s="131">
        <f ca="1" t="shared" si="51"/>
        <v>32</v>
      </c>
      <c r="H172" s="131">
        <f ca="1" t="shared" si="52"/>
        <v>32</v>
      </c>
      <c r="I172" s="131">
        <f ca="1" t="shared" si="53"/>
        <v>32</v>
      </c>
      <c r="J172" s="131">
        <f ca="1" t="shared" si="54"/>
        <v>32</v>
      </c>
      <c r="K172" s="131">
        <f ca="1" t="shared" si="55"/>
        <v>32</v>
      </c>
      <c r="L172" s="131">
        <f ca="1" t="shared" si="56"/>
        <v>32</v>
      </c>
      <c r="M172" s="131">
        <f ca="1" t="shared" si="57"/>
        <v>25</v>
      </c>
      <c r="N172" s="131">
        <f ca="1" t="shared" si="58"/>
        <v>25</v>
      </c>
      <c r="O172" s="131">
        <f ca="1" t="shared" si="59"/>
        <v>25</v>
      </c>
      <c r="P172" s="131">
        <f ca="1" t="shared" si="60"/>
        <v>25</v>
      </c>
      <c r="Q172" s="131">
        <f ca="1" t="shared" si="61"/>
        <v>25</v>
      </c>
      <c r="R172" s="131">
        <f ca="1" t="shared" si="62"/>
        <v>25</v>
      </c>
      <c r="S172" s="131">
        <f ca="1" t="shared" si="63"/>
        <v>28</v>
      </c>
      <c r="T172" s="131">
        <f ca="1" t="shared" si="64"/>
        <v>27</v>
      </c>
      <c r="U172" s="131">
        <f ca="1" t="shared" si="65"/>
        <v>27</v>
      </c>
      <c r="V172" s="131">
        <f ca="1" t="shared" si="66"/>
        <v>29</v>
      </c>
      <c r="W172" s="124">
        <f ca="1">OFFSET($K$19,_xlfn.XLOOKUP(X172,$D$9:$D$28,$H$9:$H$28),MATCH(OFFSET($C$29,B172,MATCH(X172,$D$29:$V$29,0)),$L$19:$R$19,1))*(1+(OFFSET($C$29,B172,MATCH(X172,$D$29:$V$29,0))-1)*_xlfn.XLOOKUP(X172,梦灵养成!$D$9:$D$28,梦灵养成!$G$9:$G$28))</f>
        <v>32.433</v>
      </c>
      <c r="X172" s="106" t="str">
        <f ca="1" t="shared" si="47"/>
        <v>神算诸葛</v>
      </c>
      <c r="Y172" s="95">
        <f ca="1" t="shared" si="67"/>
        <v>5400</v>
      </c>
      <c r="Z172" s="96">
        <f ca="1" t="shared" si="68"/>
        <v>3.8</v>
      </c>
    </row>
    <row r="173" s="106" customFormat="1" ht="16.5" spans="2:26">
      <c r="B173" s="117">
        <v>144</v>
      </c>
      <c r="C173" s="130">
        <f t="shared" si="69"/>
        <v>14400</v>
      </c>
      <c r="D173" s="131">
        <f ca="1" t="shared" si="48"/>
        <v>42</v>
      </c>
      <c r="E173" s="131">
        <f ca="1" t="shared" si="49"/>
        <v>42</v>
      </c>
      <c r="F173" s="131">
        <f ca="1" t="shared" si="50"/>
        <v>42</v>
      </c>
      <c r="G173" s="131">
        <f ca="1" t="shared" si="51"/>
        <v>33</v>
      </c>
      <c r="H173" s="131">
        <f ca="1" t="shared" si="52"/>
        <v>33</v>
      </c>
      <c r="I173" s="131">
        <f ca="1" t="shared" si="53"/>
        <v>33</v>
      </c>
      <c r="J173" s="131">
        <f ca="1" t="shared" si="54"/>
        <v>32</v>
      </c>
      <c r="K173" s="131">
        <f ca="1" t="shared" si="55"/>
        <v>32</v>
      </c>
      <c r="L173" s="131">
        <f ca="1" t="shared" si="56"/>
        <v>32</v>
      </c>
      <c r="M173" s="131">
        <f ca="1" t="shared" si="57"/>
        <v>25</v>
      </c>
      <c r="N173" s="131">
        <f ca="1" t="shared" si="58"/>
        <v>25</v>
      </c>
      <c r="O173" s="131">
        <f ca="1" t="shared" si="59"/>
        <v>25</v>
      </c>
      <c r="P173" s="131">
        <f ca="1" t="shared" si="60"/>
        <v>25</v>
      </c>
      <c r="Q173" s="131">
        <f ca="1" t="shared" si="61"/>
        <v>25</v>
      </c>
      <c r="R173" s="131">
        <f ca="1" t="shared" si="62"/>
        <v>25</v>
      </c>
      <c r="S173" s="131">
        <f ca="1" t="shared" si="63"/>
        <v>28</v>
      </c>
      <c r="T173" s="131">
        <f ca="1" t="shared" si="64"/>
        <v>27</v>
      </c>
      <c r="U173" s="131">
        <f ca="1" t="shared" si="65"/>
        <v>28</v>
      </c>
      <c r="V173" s="131">
        <f ca="1" t="shared" si="66"/>
        <v>29</v>
      </c>
      <c r="W173" s="124">
        <f ca="1">OFFSET($K$19,_xlfn.XLOOKUP(X173,$D$9:$D$28,$H$9:$H$28),MATCH(OFFSET($C$29,B173,MATCH(X173,$D$29:$V$29,0)),$L$19:$R$19,1))*(1+(OFFSET($C$29,B173,MATCH(X173,$D$29:$V$29,0))-1)*_xlfn.XLOOKUP(X173,梦灵养成!$D$9:$D$28,梦灵养成!$G$9:$G$28))</f>
        <v>32.433</v>
      </c>
      <c r="X173" s="106" t="str">
        <f ca="1" t="shared" si="47"/>
        <v>神算诸葛</v>
      </c>
      <c r="Y173" s="95">
        <f ca="1" t="shared" si="67"/>
        <v>3600</v>
      </c>
      <c r="Z173" s="96">
        <f ca="1" t="shared" si="68"/>
        <v>3.8</v>
      </c>
    </row>
    <row r="174" s="106" customFormat="1" ht="16.5" spans="2:26">
      <c r="B174" s="117">
        <v>145</v>
      </c>
      <c r="C174" s="130">
        <f t="shared" si="69"/>
        <v>14500</v>
      </c>
      <c r="D174" s="131">
        <f ca="1" t="shared" si="48"/>
        <v>42</v>
      </c>
      <c r="E174" s="131">
        <f ca="1" t="shared" si="49"/>
        <v>42</v>
      </c>
      <c r="F174" s="131">
        <f ca="1" t="shared" si="50"/>
        <v>42</v>
      </c>
      <c r="G174" s="131">
        <f ca="1" t="shared" si="51"/>
        <v>33</v>
      </c>
      <c r="H174" s="131">
        <f ca="1" t="shared" si="52"/>
        <v>33</v>
      </c>
      <c r="I174" s="131">
        <f ca="1" t="shared" si="53"/>
        <v>33</v>
      </c>
      <c r="J174" s="131">
        <f ca="1" t="shared" si="54"/>
        <v>33</v>
      </c>
      <c r="K174" s="131">
        <f ca="1" t="shared" si="55"/>
        <v>32</v>
      </c>
      <c r="L174" s="131">
        <f ca="1" t="shared" si="56"/>
        <v>32</v>
      </c>
      <c r="M174" s="131">
        <f ca="1" t="shared" si="57"/>
        <v>25</v>
      </c>
      <c r="N174" s="131">
        <f ca="1" t="shared" si="58"/>
        <v>25</v>
      </c>
      <c r="O174" s="131">
        <f ca="1" t="shared" si="59"/>
        <v>25</v>
      </c>
      <c r="P174" s="131">
        <f ca="1" t="shared" si="60"/>
        <v>25</v>
      </c>
      <c r="Q174" s="131">
        <f ca="1" t="shared" si="61"/>
        <v>26</v>
      </c>
      <c r="R174" s="131">
        <f ca="1" t="shared" si="62"/>
        <v>25</v>
      </c>
      <c r="S174" s="131">
        <f ca="1" t="shared" si="63"/>
        <v>29</v>
      </c>
      <c r="T174" s="131">
        <f ca="1" t="shared" si="64"/>
        <v>27</v>
      </c>
      <c r="U174" s="131">
        <f ca="1" t="shared" si="65"/>
        <v>28</v>
      </c>
      <c r="V174" s="131">
        <f ca="1" t="shared" si="66"/>
        <v>29</v>
      </c>
      <c r="W174" s="124">
        <f ca="1">OFFSET($K$19,_xlfn.XLOOKUP(X174,$D$9:$D$28,$H$9:$H$28),MATCH(OFFSET($C$29,B174,MATCH(X174,$D$29:$V$29,0)),$L$19:$R$19,1))*(1+(OFFSET($C$29,B174,MATCH(X174,$D$29:$V$29,0))-1)*_xlfn.XLOOKUP(X174,梦灵养成!$D$9:$D$28,梦灵养成!$G$9:$G$28))</f>
        <v>32.433</v>
      </c>
      <c r="X174" s="106" t="str">
        <f ca="1" t="shared" si="47"/>
        <v>神算诸葛</v>
      </c>
      <c r="Y174" s="95">
        <f ca="1" t="shared" si="67"/>
        <v>1800</v>
      </c>
      <c r="Z174" s="96">
        <f ca="1" t="shared" si="68"/>
        <v>3.8</v>
      </c>
    </row>
    <row r="175" s="106" customFormat="1" ht="16.5" spans="2:26">
      <c r="B175" s="117">
        <v>146</v>
      </c>
      <c r="C175" s="130">
        <f t="shared" si="69"/>
        <v>14600</v>
      </c>
      <c r="D175" s="131">
        <f ca="1" t="shared" si="48"/>
        <v>42</v>
      </c>
      <c r="E175" s="131">
        <f ca="1" t="shared" si="49"/>
        <v>42</v>
      </c>
      <c r="F175" s="131">
        <f ca="1" t="shared" si="50"/>
        <v>42</v>
      </c>
      <c r="G175" s="131">
        <f ca="1" t="shared" si="51"/>
        <v>33</v>
      </c>
      <c r="H175" s="131">
        <f ca="1" t="shared" si="52"/>
        <v>33</v>
      </c>
      <c r="I175" s="131">
        <f ca="1" t="shared" si="53"/>
        <v>33</v>
      </c>
      <c r="J175" s="131">
        <f ca="1" t="shared" si="54"/>
        <v>33</v>
      </c>
      <c r="K175" s="131">
        <f ca="1" t="shared" si="55"/>
        <v>33</v>
      </c>
      <c r="L175" s="131">
        <f ca="1" t="shared" si="56"/>
        <v>33</v>
      </c>
      <c r="M175" s="131">
        <f ca="1" t="shared" si="57"/>
        <v>25</v>
      </c>
      <c r="N175" s="131">
        <f ca="1" t="shared" si="58"/>
        <v>25</v>
      </c>
      <c r="O175" s="131">
        <f ca="1" t="shared" si="59"/>
        <v>25</v>
      </c>
      <c r="P175" s="131">
        <f ca="1" t="shared" si="60"/>
        <v>25</v>
      </c>
      <c r="Q175" s="131">
        <f ca="1" t="shared" si="61"/>
        <v>26</v>
      </c>
      <c r="R175" s="131">
        <f ca="1" t="shared" si="62"/>
        <v>25</v>
      </c>
      <c r="S175" s="131">
        <f ca="1" t="shared" si="63"/>
        <v>29</v>
      </c>
      <c r="T175" s="131">
        <f ca="1" t="shared" si="64"/>
        <v>28</v>
      </c>
      <c r="U175" s="131">
        <f ca="1" t="shared" si="65"/>
        <v>28</v>
      </c>
      <c r="V175" s="131">
        <f ca="1" t="shared" si="66"/>
        <v>30</v>
      </c>
      <c r="W175" s="124">
        <f ca="1">OFFSET($K$19,_xlfn.XLOOKUP(X175,$D$9:$D$28,$H$9:$H$28),MATCH(OFFSET($C$29,B175,MATCH(X175,$D$29:$V$29,0)),$L$19:$R$19,1))*(1+(OFFSET($C$29,B175,MATCH(X175,$D$29:$V$29,0))-1)*_xlfn.XLOOKUP(X175,梦灵养成!$D$9:$D$28,梦灵养成!$G$9:$G$28))</f>
        <v>42.588</v>
      </c>
      <c r="X175" s="106" t="str">
        <f ca="1" t="shared" si="47"/>
        <v>神算诸葛</v>
      </c>
      <c r="Y175" s="95">
        <f ca="1" t="shared" si="67"/>
        <v>45000</v>
      </c>
      <c r="Z175" s="96">
        <f ca="1" t="shared" si="68"/>
        <v>3.9</v>
      </c>
    </row>
    <row r="176" s="106" customFormat="1" ht="16.5" spans="2:26">
      <c r="B176" s="117">
        <v>147</v>
      </c>
      <c r="C176" s="130">
        <f t="shared" si="69"/>
        <v>14700</v>
      </c>
      <c r="D176" s="131">
        <f ca="1" t="shared" si="48"/>
        <v>42</v>
      </c>
      <c r="E176" s="131">
        <f ca="1" t="shared" si="49"/>
        <v>42</v>
      </c>
      <c r="F176" s="131">
        <f ca="1" t="shared" si="50"/>
        <v>42</v>
      </c>
      <c r="G176" s="131">
        <f ca="1" t="shared" si="51"/>
        <v>33</v>
      </c>
      <c r="H176" s="131">
        <f ca="1" t="shared" si="52"/>
        <v>33</v>
      </c>
      <c r="I176" s="131">
        <f ca="1" t="shared" si="53"/>
        <v>33</v>
      </c>
      <c r="J176" s="131">
        <f ca="1" t="shared" si="54"/>
        <v>33</v>
      </c>
      <c r="K176" s="131">
        <f ca="1" t="shared" si="55"/>
        <v>33</v>
      </c>
      <c r="L176" s="131">
        <f ca="1" t="shared" si="56"/>
        <v>33</v>
      </c>
      <c r="M176" s="131">
        <f ca="1" t="shared" si="57"/>
        <v>25</v>
      </c>
      <c r="N176" s="131">
        <f ca="1" t="shared" si="58"/>
        <v>25</v>
      </c>
      <c r="O176" s="131">
        <f ca="1" t="shared" si="59"/>
        <v>26</v>
      </c>
      <c r="P176" s="131">
        <f ca="1" t="shared" si="60"/>
        <v>25</v>
      </c>
      <c r="Q176" s="131">
        <f ca="1" t="shared" si="61"/>
        <v>26</v>
      </c>
      <c r="R176" s="131">
        <f ca="1" t="shared" si="62"/>
        <v>25</v>
      </c>
      <c r="S176" s="131">
        <f ca="1" t="shared" si="63"/>
        <v>29</v>
      </c>
      <c r="T176" s="131">
        <f ca="1" t="shared" si="64"/>
        <v>28</v>
      </c>
      <c r="U176" s="131">
        <f ca="1" t="shared" si="65"/>
        <v>28</v>
      </c>
      <c r="V176" s="131">
        <f ca="1" t="shared" si="66"/>
        <v>30</v>
      </c>
      <c r="W176" s="124">
        <f ca="1">OFFSET($K$19,_xlfn.XLOOKUP(X176,$D$9:$D$28,$H$9:$H$28),MATCH(OFFSET($C$29,B176,MATCH(X176,$D$29:$V$29,0)),$L$19:$R$19,1))*(1+(OFFSET($C$29,B176,MATCH(X176,$D$29:$V$29,0))-1)*_xlfn.XLOOKUP(X176,梦灵养成!$D$9:$D$28,梦灵养成!$G$9:$G$28))</f>
        <v>42.588</v>
      </c>
      <c r="X176" s="106" t="str">
        <f ca="1" t="shared" si="47"/>
        <v>神算诸葛</v>
      </c>
      <c r="Y176" s="95">
        <f ca="1" t="shared" si="67"/>
        <v>43200</v>
      </c>
      <c r="Z176" s="96">
        <f ca="1" t="shared" si="68"/>
        <v>3.9</v>
      </c>
    </row>
    <row r="177" s="106" customFormat="1" ht="16.5" spans="2:26">
      <c r="B177" s="117">
        <v>148</v>
      </c>
      <c r="C177" s="130">
        <f t="shared" si="69"/>
        <v>14800</v>
      </c>
      <c r="D177" s="131">
        <f ca="1" t="shared" si="48"/>
        <v>42</v>
      </c>
      <c r="E177" s="131">
        <f ca="1" t="shared" si="49"/>
        <v>42</v>
      </c>
      <c r="F177" s="131">
        <f ca="1" t="shared" si="50"/>
        <v>42</v>
      </c>
      <c r="G177" s="131">
        <f ca="1" t="shared" si="51"/>
        <v>33</v>
      </c>
      <c r="H177" s="131">
        <f ca="1" t="shared" si="52"/>
        <v>33</v>
      </c>
      <c r="I177" s="131">
        <f ca="1" t="shared" si="53"/>
        <v>33</v>
      </c>
      <c r="J177" s="131">
        <f ca="1" t="shared" si="54"/>
        <v>33</v>
      </c>
      <c r="K177" s="131">
        <f ca="1" t="shared" si="55"/>
        <v>33</v>
      </c>
      <c r="L177" s="131">
        <f ca="1" t="shared" si="56"/>
        <v>33</v>
      </c>
      <c r="M177" s="131">
        <f ca="1" t="shared" si="57"/>
        <v>25</v>
      </c>
      <c r="N177" s="131">
        <f ca="1" t="shared" si="58"/>
        <v>25</v>
      </c>
      <c r="O177" s="131">
        <f ca="1" t="shared" si="59"/>
        <v>26</v>
      </c>
      <c r="P177" s="131">
        <f ca="1" t="shared" si="60"/>
        <v>25</v>
      </c>
      <c r="Q177" s="131">
        <f ca="1" t="shared" si="61"/>
        <v>26</v>
      </c>
      <c r="R177" s="131">
        <f ca="1" t="shared" si="62"/>
        <v>25</v>
      </c>
      <c r="S177" s="131">
        <f ca="1" t="shared" si="63"/>
        <v>29</v>
      </c>
      <c r="T177" s="131">
        <f ca="1" t="shared" si="64"/>
        <v>28</v>
      </c>
      <c r="U177" s="131">
        <f ca="1" t="shared" si="65"/>
        <v>28</v>
      </c>
      <c r="V177" s="131">
        <f ca="1" t="shared" si="66"/>
        <v>30</v>
      </c>
      <c r="W177" s="124">
        <f ca="1">OFFSET($K$19,_xlfn.XLOOKUP(X177,$D$9:$D$28,$H$9:$H$28),MATCH(OFFSET($C$29,B177,MATCH(X177,$D$29:$V$29,0)),$L$19:$R$19,1))*(1+(OFFSET($C$29,B177,MATCH(X177,$D$29:$V$29,0))-1)*_xlfn.XLOOKUP(X177,梦灵养成!$D$9:$D$28,梦灵养成!$G$9:$G$28))</f>
        <v>42.588</v>
      </c>
      <c r="X177" s="106" t="str">
        <f ca="1" t="shared" si="47"/>
        <v>神算诸葛</v>
      </c>
      <c r="Y177" s="95">
        <f ca="1" t="shared" si="67"/>
        <v>41400</v>
      </c>
      <c r="Z177" s="96">
        <f ca="1" t="shared" si="68"/>
        <v>3.9</v>
      </c>
    </row>
    <row r="178" s="106" customFormat="1" ht="16.5" spans="2:26">
      <c r="B178" s="117">
        <v>149</v>
      </c>
      <c r="C178" s="130">
        <f t="shared" si="69"/>
        <v>14900</v>
      </c>
      <c r="D178" s="131">
        <f ca="1" t="shared" si="48"/>
        <v>42</v>
      </c>
      <c r="E178" s="131">
        <f ca="1" t="shared" si="49"/>
        <v>42</v>
      </c>
      <c r="F178" s="131">
        <f ca="1" t="shared" si="50"/>
        <v>42</v>
      </c>
      <c r="G178" s="131">
        <f ca="1" t="shared" si="51"/>
        <v>33</v>
      </c>
      <c r="H178" s="131">
        <f ca="1" t="shared" si="52"/>
        <v>33</v>
      </c>
      <c r="I178" s="131">
        <f ca="1" t="shared" si="53"/>
        <v>33</v>
      </c>
      <c r="J178" s="131">
        <f ca="1" t="shared" si="54"/>
        <v>33</v>
      </c>
      <c r="K178" s="131">
        <f ca="1" t="shared" si="55"/>
        <v>33</v>
      </c>
      <c r="L178" s="131">
        <f ca="1" t="shared" si="56"/>
        <v>33</v>
      </c>
      <c r="M178" s="131">
        <f ca="1" t="shared" si="57"/>
        <v>25</v>
      </c>
      <c r="N178" s="131">
        <f ca="1" t="shared" si="58"/>
        <v>25</v>
      </c>
      <c r="O178" s="131">
        <f ca="1" t="shared" si="59"/>
        <v>26</v>
      </c>
      <c r="P178" s="131">
        <f ca="1" t="shared" si="60"/>
        <v>25</v>
      </c>
      <c r="Q178" s="131">
        <f ca="1" t="shared" si="61"/>
        <v>26</v>
      </c>
      <c r="R178" s="131">
        <f ca="1" t="shared" si="62"/>
        <v>25</v>
      </c>
      <c r="S178" s="131">
        <f ca="1" t="shared" si="63"/>
        <v>29</v>
      </c>
      <c r="T178" s="131">
        <f ca="1" t="shared" si="64"/>
        <v>28</v>
      </c>
      <c r="U178" s="131">
        <f ca="1" t="shared" si="65"/>
        <v>28</v>
      </c>
      <c r="V178" s="131">
        <f ca="1" t="shared" si="66"/>
        <v>30</v>
      </c>
      <c r="W178" s="124">
        <f ca="1">OFFSET($K$19,_xlfn.XLOOKUP(X178,$D$9:$D$28,$H$9:$H$28),MATCH(OFFSET($C$29,B178,MATCH(X178,$D$29:$V$29,0)),$L$19:$R$19,1))*(1+(OFFSET($C$29,B178,MATCH(X178,$D$29:$V$29,0))-1)*_xlfn.XLOOKUP(X178,梦灵养成!$D$9:$D$28,梦灵养成!$G$9:$G$28))</f>
        <v>42.588</v>
      </c>
      <c r="X178" s="106" t="str">
        <f ca="1" t="shared" si="47"/>
        <v>神算诸葛</v>
      </c>
      <c r="Y178" s="95">
        <f ca="1" t="shared" si="67"/>
        <v>39600</v>
      </c>
      <c r="Z178" s="96">
        <f ca="1" t="shared" si="68"/>
        <v>3.9</v>
      </c>
    </row>
    <row r="179" s="106" customFormat="1" ht="16.5" spans="2:26">
      <c r="B179" s="117">
        <v>150</v>
      </c>
      <c r="C179" s="130">
        <f t="shared" si="69"/>
        <v>15000</v>
      </c>
      <c r="D179" s="131">
        <f ca="1" t="shared" si="48"/>
        <v>42</v>
      </c>
      <c r="E179" s="131">
        <f ca="1" t="shared" si="49"/>
        <v>42</v>
      </c>
      <c r="F179" s="131">
        <f ca="1" t="shared" si="50"/>
        <v>42</v>
      </c>
      <c r="G179" s="131">
        <f ca="1" t="shared" si="51"/>
        <v>33</v>
      </c>
      <c r="H179" s="131">
        <f ca="1" t="shared" si="52"/>
        <v>33</v>
      </c>
      <c r="I179" s="131">
        <f ca="1" t="shared" si="53"/>
        <v>33</v>
      </c>
      <c r="J179" s="131">
        <f ca="1" t="shared" si="54"/>
        <v>33</v>
      </c>
      <c r="K179" s="131">
        <f ca="1" t="shared" si="55"/>
        <v>33</v>
      </c>
      <c r="L179" s="131">
        <f ca="1" t="shared" si="56"/>
        <v>33</v>
      </c>
      <c r="M179" s="131">
        <f ca="1" t="shared" si="57"/>
        <v>25</v>
      </c>
      <c r="N179" s="131">
        <f ca="1" t="shared" si="58"/>
        <v>26</v>
      </c>
      <c r="O179" s="131">
        <f ca="1" t="shared" si="59"/>
        <v>26</v>
      </c>
      <c r="P179" s="131">
        <f ca="1" t="shared" si="60"/>
        <v>25</v>
      </c>
      <c r="Q179" s="131">
        <f ca="1" t="shared" si="61"/>
        <v>26</v>
      </c>
      <c r="R179" s="131">
        <f ca="1" t="shared" si="62"/>
        <v>25</v>
      </c>
      <c r="S179" s="131">
        <f ca="1" t="shared" si="63"/>
        <v>29</v>
      </c>
      <c r="T179" s="131">
        <f ca="1" t="shared" si="64"/>
        <v>28</v>
      </c>
      <c r="U179" s="131">
        <f ca="1" t="shared" si="65"/>
        <v>29</v>
      </c>
      <c r="V179" s="131">
        <f ca="1" t="shared" si="66"/>
        <v>30</v>
      </c>
      <c r="W179" s="124">
        <f ca="1">OFFSET($K$19,_xlfn.XLOOKUP(X179,$D$9:$D$28,$H$9:$H$28),MATCH(OFFSET($C$29,B179,MATCH(X179,$D$29:$V$29,0)),$L$19:$R$19,1))*(1+(OFFSET($C$29,B179,MATCH(X179,$D$29:$V$29,0))-1)*_xlfn.XLOOKUP(X179,梦灵养成!$D$9:$D$28,梦灵养成!$G$9:$G$28))</f>
        <v>42.588</v>
      </c>
      <c r="X179" s="106" t="str">
        <f ca="1" t="shared" si="47"/>
        <v>神算诸葛</v>
      </c>
      <c r="Y179" s="95">
        <f ca="1" t="shared" si="67"/>
        <v>37800</v>
      </c>
      <c r="Z179" s="96">
        <f ca="1" t="shared" si="68"/>
        <v>3.9</v>
      </c>
    </row>
    <row r="180" s="106" customFormat="1" ht="16.5" spans="2:26">
      <c r="B180" s="117">
        <v>151</v>
      </c>
      <c r="C180" s="130">
        <f t="shared" si="69"/>
        <v>15100</v>
      </c>
      <c r="D180" s="131">
        <f ca="1" t="shared" si="48"/>
        <v>42</v>
      </c>
      <c r="E180" s="131">
        <f ca="1" t="shared" si="49"/>
        <v>42</v>
      </c>
      <c r="F180" s="131">
        <f ca="1" t="shared" si="50"/>
        <v>42</v>
      </c>
      <c r="G180" s="131">
        <f ca="1" t="shared" si="51"/>
        <v>33</v>
      </c>
      <c r="H180" s="131">
        <f ca="1" t="shared" si="52"/>
        <v>33</v>
      </c>
      <c r="I180" s="131">
        <f ca="1" t="shared" si="53"/>
        <v>33</v>
      </c>
      <c r="J180" s="131">
        <f ca="1" t="shared" si="54"/>
        <v>33</v>
      </c>
      <c r="K180" s="131">
        <f ca="1" t="shared" si="55"/>
        <v>33</v>
      </c>
      <c r="L180" s="131">
        <f ca="1" t="shared" si="56"/>
        <v>33</v>
      </c>
      <c r="M180" s="131">
        <f ca="1" t="shared" si="57"/>
        <v>26</v>
      </c>
      <c r="N180" s="131">
        <f ca="1" t="shared" si="58"/>
        <v>26</v>
      </c>
      <c r="O180" s="131">
        <f ca="1" t="shared" si="59"/>
        <v>26</v>
      </c>
      <c r="P180" s="131">
        <f ca="1" t="shared" si="60"/>
        <v>25</v>
      </c>
      <c r="Q180" s="131">
        <f ca="1" t="shared" si="61"/>
        <v>26</v>
      </c>
      <c r="R180" s="131">
        <f ca="1" t="shared" si="62"/>
        <v>26</v>
      </c>
      <c r="S180" s="131">
        <f ca="1" t="shared" si="63"/>
        <v>30</v>
      </c>
      <c r="T180" s="131">
        <f ca="1" t="shared" si="64"/>
        <v>29</v>
      </c>
      <c r="U180" s="131">
        <f ca="1" t="shared" si="65"/>
        <v>29</v>
      </c>
      <c r="V180" s="131">
        <f ca="1" t="shared" si="66"/>
        <v>30</v>
      </c>
      <c r="W180" s="124">
        <f ca="1">OFFSET($K$19,_xlfn.XLOOKUP(X180,$D$9:$D$28,$H$9:$H$28),MATCH(OFFSET($C$29,B180,MATCH(X180,$D$29:$V$29,0)),$L$19:$R$19,1))*(1+(OFFSET($C$29,B180,MATCH(X180,$D$29:$V$29,0))-1)*_xlfn.XLOOKUP(X180,梦灵养成!$D$9:$D$28,梦灵养成!$G$9:$G$28))</f>
        <v>42.588</v>
      </c>
      <c r="X180" s="106" t="str">
        <f ca="1" t="shared" si="47"/>
        <v>神算诸葛</v>
      </c>
      <c r="Y180" s="95">
        <f ca="1" t="shared" si="67"/>
        <v>36000</v>
      </c>
      <c r="Z180" s="96">
        <f ca="1" t="shared" si="68"/>
        <v>3.9</v>
      </c>
    </row>
    <row r="181" s="106" customFormat="1" ht="16.5" spans="2:26">
      <c r="B181" s="117">
        <v>152</v>
      </c>
      <c r="C181" s="130">
        <f t="shared" si="69"/>
        <v>15200</v>
      </c>
      <c r="D181" s="131">
        <f ca="1" t="shared" si="48"/>
        <v>42</v>
      </c>
      <c r="E181" s="131">
        <f ca="1" t="shared" si="49"/>
        <v>42</v>
      </c>
      <c r="F181" s="131">
        <f ca="1" t="shared" si="50"/>
        <v>42</v>
      </c>
      <c r="G181" s="131">
        <f ca="1" t="shared" si="51"/>
        <v>33</v>
      </c>
      <c r="H181" s="131">
        <f ca="1" t="shared" si="52"/>
        <v>33</v>
      </c>
      <c r="I181" s="131">
        <f ca="1" t="shared" si="53"/>
        <v>33</v>
      </c>
      <c r="J181" s="131">
        <f ca="1" t="shared" si="54"/>
        <v>33</v>
      </c>
      <c r="K181" s="131">
        <f ca="1" t="shared" si="55"/>
        <v>33</v>
      </c>
      <c r="L181" s="131">
        <f ca="1" t="shared" si="56"/>
        <v>33</v>
      </c>
      <c r="M181" s="131">
        <f ca="1" t="shared" si="57"/>
        <v>26</v>
      </c>
      <c r="N181" s="131">
        <f ca="1" t="shared" si="58"/>
        <v>26</v>
      </c>
      <c r="O181" s="131">
        <f ca="1" t="shared" si="59"/>
        <v>26</v>
      </c>
      <c r="P181" s="131">
        <f ca="1" t="shared" si="60"/>
        <v>25</v>
      </c>
      <c r="Q181" s="131">
        <f ca="1" t="shared" si="61"/>
        <v>26</v>
      </c>
      <c r="R181" s="131">
        <f ca="1" t="shared" si="62"/>
        <v>26</v>
      </c>
      <c r="S181" s="131">
        <f ca="1" t="shared" si="63"/>
        <v>30</v>
      </c>
      <c r="T181" s="131">
        <f ca="1" t="shared" si="64"/>
        <v>29</v>
      </c>
      <c r="U181" s="131">
        <f ca="1" t="shared" si="65"/>
        <v>29</v>
      </c>
      <c r="V181" s="131">
        <f ca="1" t="shared" si="66"/>
        <v>31</v>
      </c>
      <c r="W181" s="124">
        <f ca="1">OFFSET($K$19,_xlfn.XLOOKUP(X181,$D$9:$D$28,$H$9:$H$28),MATCH(OFFSET($C$29,B181,MATCH(X181,$D$29:$V$29,0)),$L$19:$R$19,1))*(1+(OFFSET($C$29,B181,MATCH(X181,$D$29:$V$29,0))-1)*_xlfn.XLOOKUP(X181,梦灵养成!$D$9:$D$28,梦灵养成!$G$9:$G$28))</f>
        <v>43.68</v>
      </c>
      <c r="X181" s="106" t="str">
        <f ca="1" t="shared" si="47"/>
        <v>神算诸葛</v>
      </c>
      <c r="Y181" s="95">
        <f ca="1" t="shared" si="67"/>
        <v>52200</v>
      </c>
      <c r="Z181" s="96">
        <f ca="1" t="shared" si="68"/>
        <v>4</v>
      </c>
    </row>
    <row r="182" s="106" customFormat="1" ht="16.5" spans="2:26">
      <c r="B182" s="117">
        <v>153</v>
      </c>
      <c r="C182" s="130">
        <f t="shared" si="69"/>
        <v>15300</v>
      </c>
      <c r="D182" s="131">
        <f ca="1" t="shared" si="48"/>
        <v>42</v>
      </c>
      <c r="E182" s="131">
        <f ca="1" t="shared" si="49"/>
        <v>42</v>
      </c>
      <c r="F182" s="131">
        <f ca="1" t="shared" si="50"/>
        <v>42</v>
      </c>
      <c r="G182" s="131">
        <f ca="1" t="shared" si="51"/>
        <v>33</v>
      </c>
      <c r="H182" s="131">
        <f ca="1" t="shared" si="52"/>
        <v>33</v>
      </c>
      <c r="I182" s="131">
        <f ca="1" t="shared" si="53"/>
        <v>33</v>
      </c>
      <c r="J182" s="131">
        <f ca="1" t="shared" si="54"/>
        <v>33</v>
      </c>
      <c r="K182" s="131">
        <f ca="1" t="shared" si="55"/>
        <v>33</v>
      </c>
      <c r="L182" s="131">
        <f ca="1" t="shared" si="56"/>
        <v>33</v>
      </c>
      <c r="M182" s="131">
        <f ca="1" t="shared" si="57"/>
        <v>26</v>
      </c>
      <c r="N182" s="131">
        <f ca="1" t="shared" si="58"/>
        <v>26</v>
      </c>
      <c r="O182" s="131">
        <f ca="1" t="shared" si="59"/>
        <v>26</v>
      </c>
      <c r="P182" s="131">
        <f ca="1" t="shared" si="60"/>
        <v>25</v>
      </c>
      <c r="Q182" s="131">
        <f ca="1" t="shared" si="61"/>
        <v>26</v>
      </c>
      <c r="R182" s="131">
        <f ca="1" t="shared" si="62"/>
        <v>26</v>
      </c>
      <c r="S182" s="131">
        <f ca="1" t="shared" si="63"/>
        <v>30</v>
      </c>
      <c r="T182" s="131">
        <f ca="1" t="shared" si="64"/>
        <v>29</v>
      </c>
      <c r="U182" s="131">
        <f ca="1" t="shared" si="65"/>
        <v>29</v>
      </c>
      <c r="V182" s="131">
        <f ca="1" t="shared" si="66"/>
        <v>31</v>
      </c>
      <c r="W182" s="124">
        <f ca="1">OFFSET($K$19,_xlfn.XLOOKUP(X182,$D$9:$D$28,$H$9:$H$28),MATCH(OFFSET($C$29,B182,MATCH(X182,$D$29:$V$29,0)),$L$19:$R$19,1))*(1+(OFFSET($C$29,B182,MATCH(X182,$D$29:$V$29,0))-1)*_xlfn.XLOOKUP(X182,梦灵养成!$D$9:$D$28,梦灵养成!$G$9:$G$28))</f>
        <v>43.68</v>
      </c>
      <c r="X182" s="106" t="str">
        <f ca="1" t="shared" si="47"/>
        <v>神算诸葛</v>
      </c>
      <c r="Y182" s="95">
        <f ca="1" t="shared" si="67"/>
        <v>50400</v>
      </c>
      <c r="Z182" s="96">
        <f ca="1" t="shared" si="68"/>
        <v>4</v>
      </c>
    </row>
    <row r="183" s="106" customFormat="1" ht="16.5" spans="2:26">
      <c r="B183" s="117">
        <v>154</v>
      </c>
      <c r="C183" s="130">
        <f t="shared" si="69"/>
        <v>15400</v>
      </c>
      <c r="D183" s="131">
        <f ca="1" t="shared" si="48"/>
        <v>42</v>
      </c>
      <c r="E183" s="131">
        <f ca="1" t="shared" si="49"/>
        <v>42</v>
      </c>
      <c r="F183" s="131">
        <f ca="1" t="shared" si="50"/>
        <v>42</v>
      </c>
      <c r="G183" s="131">
        <f ca="1" t="shared" si="51"/>
        <v>33</v>
      </c>
      <c r="H183" s="131">
        <f ca="1" t="shared" si="52"/>
        <v>33</v>
      </c>
      <c r="I183" s="131">
        <f ca="1" t="shared" si="53"/>
        <v>33</v>
      </c>
      <c r="J183" s="131">
        <f ca="1" t="shared" si="54"/>
        <v>33</v>
      </c>
      <c r="K183" s="131">
        <f ca="1" t="shared" si="55"/>
        <v>33</v>
      </c>
      <c r="L183" s="131">
        <f ca="1" t="shared" si="56"/>
        <v>33</v>
      </c>
      <c r="M183" s="131">
        <f ca="1" t="shared" si="57"/>
        <v>26</v>
      </c>
      <c r="N183" s="131">
        <f ca="1" t="shared" si="58"/>
        <v>26</v>
      </c>
      <c r="O183" s="131">
        <f ca="1" t="shared" si="59"/>
        <v>26</v>
      </c>
      <c r="P183" s="131">
        <f ca="1" t="shared" si="60"/>
        <v>26</v>
      </c>
      <c r="Q183" s="131">
        <f ca="1" t="shared" si="61"/>
        <v>26</v>
      </c>
      <c r="R183" s="131">
        <f ca="1" t="shared" si="62"/>
        <v>26</v>
      </c>
      <c r="S183" s="131">
        <f ca="1" t="shared" si="63"/>
        <v>30</v>
      </c>
      <c r="T183" s="131">
        <f ca="1" t="shared" si="64"/>
        <v>29</v>
      </c>
      <c r="U183" s="131">
        <f ca="1" t="shared" si="65"/>
        <v>29</v>
      </c>
      <c r="V183" s="131">
        <f ca="1" t="shared" si="66"/>
        <v>31</v>
      </c>
      <c r="W183" s="124">
        <f ca="1">OFFSET($K$19,_xlfn.XLOOKUP(X183,$D$9:$D$28,$H$9:$H$28),MATCH(OFFSET($C$29,B183,MATCH(X183,$D$29:$V$29,0)),$L$19:$R$19,1))*(1+(OFFSET($C$29,B183,MATCH(X183,$D$29:$V$29,0))-1)*_xlfn.XLOOKUP(X183,梦灵养成!$D$9:$D$28,梦灵养成!$G$9:$G$28))</f>
        <v>43.68</v>
      </c>
      <c r="X183" s="106" t="str">
        <f ca="1" t="shared" si="47"/>
        <v>神算诸葛</v>
      </c>
      <c r="Y183" s="95">
        <f ca="1" t="shared" si="67"/>
        <v>48600</v>
      </c>
      <c r="Z183" s="96">
        <f ca="1" t="shared" si="68"/>
        <v>4</v>
      </c>
    </row>
    <row r="184" s="106" customFormat="1" ht="16.5" spans="2:26">
      <c r="B184" s="117">
        <v>155</v>
      </c>
      <c r="C184" s="130">
        <f t="shared" si="69"/>
        <v>15500</v>
      </c>
      <c r="D184" s="131">
        <f ca="1" t="shared" si="48"/>
        <v>42</v>
      </c>
      <c r="E184" s="131">
        <f ca="1" t="shared" si="49"/>
        <v>42</v>
      </c>
      <c r="F184" s="131">
        <f ca="1" t="shared" si="50"/>
        <v>42</v>
      </c>
      <c r="G184" s="131">
        <f ca="1" t="shared" si="51"/>
        <v>33</v>
      </c>
      <c r="H184" s="131">
        <f ca="1" t="shared" si="52"/>
        <v>33</v>
      </c>
      <c r="I184" s="131">
        <f ca="1" t="shared" si="53"/>
        <v>33</v>
      </c>
      <c r="J184" s="131">
        <f ca="1" t="shared" si="54"/>
        <v>33</v>
      </c>
      <c r="K184" s="131">
        <f ca="1" t="shared" si="55"/>
        <v>33</v>
      </c>
      <c r="L184" s="131">
        <f ca="1" t="shared" si="56"/>
        <v>33</v>
      </c>
      <c r="M184" s="131">
        <f ca="1" t="shared" si="57"/>
        <v>26</v>
      </c>
      <c r="N184" s="131">
        <f ca="1" t="shared" si="58"/>
        <v>26</v>
      </c>
      <c r="O184" s="131">
        <f ca="1" t="shared" si="59"/>
        <v>26</v>
      </c>
      <c r="P184" s="131">
        <f ca="1" t="shared" si="60"/>
        <v>26</v>
      </c>
      <c r="Q184" s="131">
        <f ca="1" t="shared" si="61"/>
        <v>26</v>
      </c>
      <c r="R184" s="131">
        <f ca="1" t="shared" si="62"/>
        <v>26</v>
      </c>
      <c r="S184" s="131">
        <f ca="1" t="shared" si="63"/>
        <v>30</v>
      </c>
      <c r="T184" s="131">
        <f ca="1" t="shared" si="64"/>
        <v>29</v>
      </c>
      <c r="U184" s="131">
        <f ca="1" t="shared" si="65"/>
        <v>29</v>
      </c>
      <c r="V184" s="131">
        <f ca="1" t="shared" si="66"/>
        <v>31</v>
      </c>
      <c r="W184" s="124">
        <f ca="1">OFFSET($K$19,_xlfn.XLOOKUP(X184,$D$9:$D$28,$H$9:$H$28),MATCH(OFFSET($C$29,B184,MATCH(X184,$D$29:$V$29,0)),$L$19:$R$19,1))*(1+(OFFSET($C$29,B184,MATCH(X184,$D$29:$V$29,0))-1)*_xlfn.XLOOKUP(X184,梦灵养成!$D$9:$D$28,梦灵养成!$G$9:$G$28))</f>
        <v>43.68</v>
      </c>
      <c r="X184" s="106" t="str">
        <f ca="1" t="shared" si="47"/>
        <v>神算诸葛</v>
      </c>
      <c r="Y184" s="95">
        <f ca="1" t="shared" si="67"/>
        <v>46800</v>
      </c>
      <c r="Z184" s="96">
        <f ca="1" t="shared" si="68"/>
        <v>4</v>
      </c>
    </row>
    <row r="185" s="106" customFormat="1" ht="16.5" spans="2:26">
      <c r="B185" s="117">
        <v>156</v>
      </c>
      <c r="C185" s="130">
        <f t="shared" si="69"/>
        <v>15600</v>
      </c>
      <c r="D185" s="131">
        <f ca="1" t="shared" si="48"/>
        <v>43</v>
      </c>
      <c r="E185" s="131">
        <f ca="1" t="shared" si="49"/>
        <v>43</v>
      </c>
      <c r="F185" s="131">
        <f ca="1" t="shared" si="50"/>
        <v>43</v>
      </c>
      <c r="G185" s="131">
        <f ca="1" t="shared" si="51"/>
        <v>33</v>
      </c>
      <c r="H185" s="131">
        <f ca="1" t="shared" si="52"/>
        <v>33</v>
      </c>
      <c r="I185" s="131">
        <f ca="1" t="shared" si="53"/>
        <v>33</v>
      </c>
      <c r="J185" s="131">
        <f ca="1" t="shared" si="54"/>
        <v>33</v>
      </c>
      <c r="K185" s="131">
        <f ca="1" t="shared" si="55"/>
        <v>33</v>
      </c>
      <c r="L185" s="131">
        <f ca="1" t="shared" si="56"/>
        <v>33</v>
      </c>
      <c r="M185" s="131">
        <f ca="1" t="shared" si="57"/>
        <v>26</v>
      </c>
      <c r="N185" s="131">
        <f ca="1" t="shared" si="58"/>
        <v>26</v>
      </c>
      <c r="O185" s="131">
        <f ca="1" t="shared" si="59"/>
        <v>26</v>
      </c>
      <c r="P185" s="131">
        <f ca="1" t="shared" si="60"/>
        <v>26</v>
      </c>
      <c r="Q185" s="131">
        <f ca="1" t="shared" si="61"/>
        <v>26</v>
      </c>
      <c r="R185" s="131">
        <f ca="1" t="shared" si="62"/>
        <v>26</v>
      </c>
      <c r="S185" s="131">
        <f ca="1" t="shared" si="63"/>
        <v>30</v>
      </c>
      <c r="T185" s="131">
        <f ca="1" t="shared" si="64"/>
        <v>29</v>
      </c>
      <c r="U185" s="131">
        <f ca="1" t="shared" si="65"/>
        <v>29</v>
      </c>
      <c r="V185" s="131">
        <f ca="1" t="shared" si="66"/>
        <v>31</v>
      </c>
      <c r="W185" s="124">
        <f ca="1">OFFSET($K$19,_xlfn.XLOOKUP(X185,$D$9:$D$28,$H$9:$H$28),MATCH(OFFSET($C$29,B185,MATCH(X185,$D$29:$V$29,0)),$L$19:$R$19,1))*(1+(OFFSET($C$29,B185,MATCH(X185,$D$29:$V$29,0))-1)*_xlfn.XLOOKUP(X185,梦灵养成!$D$9:$D$28,梦灵养成!$G$9:$G$28))</f>
        <v>43.68</v>
      </c>
      <c r="X185" s="106" t="str">
        <f ca="1" t="shared" si="47"/>
        <v>神算诸葛</v>
      </c>
      <c r="Y185" s="95">
        <f ca="1" t="shared" si="67"/>
        <v>45000</v>
      </c>
      <c r="Z185" s="96">
        <f ca="1" t="shared" si="68"/>
        <v>4</v>
      </c>
    </row>
    <row r="186" s="106" customFormat="1" ht="16.5" spans="2:26">
      <c r="B186" s="117">
        <v>157</v>
      </c>
      <c r="C186" s="130">
        <f t="shared" si="69"/>
        <v>15700</v>
      </c>
      <c r="D186" s="131">
        <f ca="1" t="shared" si="48"/>
        <v>43</v>
      </c>
      <c r="E186" s="131">
        <f ca="1" t="shared" si="49"/>
        <v>43</v>
      </c>
      <c r="F186" s="131">
        <f ca="1" t="shared" si="50"/>
        <v>43</v>
      </c>
      <c r="G186" s="131">
        <f ca="1" t="shared" si="51"/>
        <v>33</v>
      </c>
      <c r="H186" s="131">
        <f ca="1" t="shared" si="52"/>
        <v>33</v>
      </c>
      <c r="I186" s="131">
        <f ca="1" t="shared" si="53"/>
        <v>33</v>
      </c>
      <c r="J186" s="131">
        <f ca="1" t="shared" si="54"/>
        <v>33</v>
      </c>
      <c r="K186" s="131">
        <f ca="1" t="shared" si="55"/>
        <v>33</v>
      </c>
      <c r="L186" s="131">
        <f ca="1" t="shared" si="56"/>
        <v>33</v>
      </c>
      <c r="M186" s="131">
        <f ca="1" t="shared" si="57"/>
        <v>26</v>
      </c>
      <c r="N186" s="131">
        <f ca="1" t="shared" si="58"/>
        <v>26</v>
      </c>
      <c r="O186" s="131">
        <f ca="1" t="shared" si="59"/>
        <v>26</v>
      </c>
      <c r="P186" s="131">
        <f ca="1" t="shared" si="60"/>
        <v>26</v>
      </c>
      <c r="Q186" s="131">
        <f ca="1" t="shared" si="61"/>
        <v>26</v>
      </c>
      <c r="R186" s="131">
        <f ca="1" t="shared" si="62"/>
        <v>26</v>
      </c>
      <c r="S186" s="131">
        <f ca="1" t="shared" si="63"/>
        <v>30</v>
      </c>
      <c r="T186" s="131">
        <f ca="1" t="shared" si="64"/>
        <v>29</v>
      </c>
      <c r="U186" s="131">
        <f ca="1" t="shared" si="65"/>
        <v>30</v>
      </c>
      <c r="V186" s="131">
        <f ca="1" t="shared" si="66"/>
        <v>31</v>
      </c>
      <c r="W186" s="124">
        <f ca="1">OFFSET($K$19,_xlfn.XLOOKUP(X186,$D$9:$D$28,$H$9:$H$28),MATCH(OFFSET($C$29,B186,MATCH(X186,$D$29:$V$29,0)),$L$19:$R$19,1))*(1+(OFFSET($C$29,B186,MATCH(X186,$D$29:$V$29,0))-1)*_xlfn.XLOOKUP(X186,梦灵养成!$D$9:$D$28,梦灵养成!$G$9:$G$28))</f>
        <v>43.68</v>
      </c>
      <c r="X186" s="106" t="str">
        <f ca="1" t="shared" si="47"/>
        <v>神算诸葛</v>
      </c>
      <c r="Y186" s="95">
        <f ca="1" t="shared" si="67"/>
        <v>43200</v>
      </c>
      <c r="Z186" s="96">
        <f ca="1" t="shared" si="68"/>
        <v>4</v>
      </c>
    </row>
    <row r="187" s="106" customFormat="1" ht="16.5" spans="2:26">
      <c r="B187" s="117">
        <v>158</v>
      </c>
      <c r="C187" s="130">
        <f t="shared" si="69"/>
        <v>15800</v>
      </c>
      <c r="D187" s="131">
        <f ca="1" t="shared" si="48"/>
        <v>43</v>
      </c>
      <c r="E187" s="131">
        <f ca="1" t="shared" si="49"/>
        <v>43</v>
      </c>
      <c r="F187" s="131">
        <f ca="1" t="shared" si="50"/>
        <v>43</v>
      </c>
      <c r="G187" s="131">
        <f ca="1" t="shared" si="51"/>
        <v>33</v>
      </c>
      <c r="H187" s="131">
        <f ca="1" t="shared" si="52"/>
        <v>33</v>
      </c>
      <c r="I187" s="131">
        <f ca="1" t="shared" si="53"/>
        <v>33</v>
      </c>
      <c r="J187" s="131">
        <f ca="1" t="shared" si="54"/>
        <v>33</v>
      </c>
      <c r="K187" s="131">
        <f ca="1" t="shared" si="55"/>
        <v>33</v>
      </c>
      <c r="L187" s="131">
        <f ca="1" t="shared" si="56"/>
        <v>33</v>
      </c>
      <c r="M187" s="131">
        <f ca="1" t="shared" si="57"/>
        <v>26</v>
      </c>
      <c r="N187" s="131">
        <f ca="1" t="shared" si="58"/>
        <v>26</v>
      </c>
      <c r="O187" s="131">
        <f ca="1" t="shared" si="59"/>
        <v>26</v>
      </c>
      <c r="P187" s="131">
        <f ca="1" t="shared" si="60"/>
        <v>26</v>
      </c>
      <c r="Q187" s="131">
        <f ca="1" t="shared" si="61"/>
        <v>27</v>
      </c>
      <c r="R187" s="131">
        <f ca="1" t="shared" si="62"/>
        <v>26</v>
      </c>
      <c r="S187" s="131">
        <f ca="1" t="shared" si="63"/>
        <v>30</v>
      </c>
      <c r="T187" s="131">
        <f ca="1" t="shared" si="64"/>
        <v>29</v>
      </c>
      <c r="U187" s="131">
        <f ca="1" t="shared" si="65"/>
        <v>30</v>
      </c>
      <c r="V187" s="131">
        <f ca="1" t="shared" si="66"/>
        <v>31</v>
      </c>
      <c r="W187" s="124">
        <f ca="1">OFFSET($K$19,_xlfn.XLOOKUP(X187,$D$9:$D$28,$H$9:$H$28),MATCH(OFFSET($C$29,B187,MATCH(X187,$D$29:$V$29,0)),$L$19:$R$19,1))*(1+(OFFSET($C$29,B187,MATCH(X187,$D$29:$V$29,0))-1)*_xlfn.XLOOKUP(X187,梦灵养成!$D$9:$D$28,梦灵养成!$G$9:$G$28))</f>
        <v>43.68</v>
      </c>
      <c r="X187" s="106" t="str">
        <f ca="1" t="shared" si="47"/>
        <v>神算诸葛</v>
      </c>
      <c r="Y187" s="95">
        <f ca="1" t="shared" si="67"/>
        <v>41400</v>
      </c>
      <c r="Z187" s="96">
        <f ca="1" t="shared" si="68"/>
        <v>4</v>
      </c>
    </row>
    <row r="188" s="106" customFormat="1" ht="16.5" spans="2:26">
      <c r="B188" s="117">
        <v>159</v>
      </c>
      <c r="C188" s="130">
        <f t="shared" si="69"/>
        <v>15900</v>
      </c>
      <c r="D188" s="131">
        <f ca="1" t="shared" si="48"/>
        <v>43</v>
      </c>
      <c r="E188" s="131">
        <f ca="1" t="shared" si="49"/>
        <v>43</v>
      </c>
      <c r="F188" s="131">
        <f ca="1" t="shared" si="50"/>
        <v>43</v>
      </c>
      <c r="G188" s="131">
        <f ca="1" t="shared" si="51"/>
        <v>34</v>
      </c>
      <c r="H188" s="131">
        <f ca="1" t="shared" si="52"/>
        <v>34</v>
      </c>
      <c r="I188" s="131">
        <f ca="1" t="shared" si="53"/>
        <v>34</v>
      </c>
      <c r="J188" s="131">
        <f ca="1" t="shared" si="54"/>
        <v>33</v>
      </c>
      <c r="K188" s="131">
        <f ca="1" t="shared" si="55"/>
        <v>33</v>
      </c>
      <c r="L188" s="131">
        <f ca="1" t="shared" si="56"/>
        <v>33</v>
      </c>
      <c r="M188" s="131">
        <f ca="1" t="shared" si="57"/>
        <v>26</v>
      </c>
      <c r="N188" s="131">
        <f ca="1" t="shared" si="58"/>
        <v>26</v>
      </c>
      <c r="O188" s="131">
        <f ca="1" t="shared" si="59"/>
        <v>27</v>
      </c>
      <c r="P188" s="131">
        <f ca="1" t="shared" si="60"/>
        <v>26</v>
      </c>
      <c r="Q188" s="131">
        <f ca="1" t="shared" si="61"/>
        <v>27</v>
      </c>
      <c r="R188" s="131">
        <f ca="1" t="shared" si="62"/>
        <v>26</v>
      </c>
      <c r="S188" s="131">
        <f ca="1" t="shared" si="63"/>
        <v>30</v>
      </c>
      <c r="T188" s="131">
        <f ca="1" t="shared" si="64"/>
        <v>29</v>
      </c>
      <c r="U188" s="131">
        <f ca="1" t="shared" si="65"/>
        <v>30</v>
      </c>
      <c r="V188" s="131">
        <f ca="1" t="shared" si="66"/>
        <v>31</v>
      </c>
      <c r="W188" s="124">
        <f ca="1">OFFSET($K$19,_xlfn.XLOOKUP(X188,$D$9:$D$28,$H$9:$H$28),MATCH(OFFSET($C$29,B188,MATCH(X188,$D$29:$V$29,0)),$L$19:$R$19,1))*(1+(OFFSET($C$29,B188,MATCH(X188,$D$29:$V$29,0))-1)*_xlfn.XLOOKUP(X188,梦灵养成!$D$9:$D$28,梦灵养成!$G$9:$G$28))</f>
        <v>43.68</v>
      </c>
      <c r="X188" s="106" t="str">
        <f ca="1" t="shared" si="47"/>
        <v>神算诸葛</v>
      </c>
      <c r="Y188" s="95">
        <f ca="1" t="shared" si="67"/>
        <v>39600</v>
      </c>
      <c r="Z188" s="96">
        <f ca="1" t="shared" si="68"/>
        <v>4</v>
      </c>
    </row>
    <row r="189" s="106" customFormat="1" ht="16.5" spans="2:26">
      <c r="B189" s="117">
        <v>160</v>
      </c>
      <c r="C189" s="130">
        <f t="shared" si="69"/>
        <v>16000</v>
      </c>
      <c r="D189" s="131">
        <f ca="1" t="shared" si="48"/>
        <v>43</v>
      </c>
      <c r="E189" s="131">
        <f ca="1" t="shared" si="49"/>
        <v>43</v>
      </c>
      <c r="F189" s="131">
        <f ca="1" t="shared" si="50"/>
        <v>43</v>
      </c>
      <c r="G189" s="131">
        <f ca="1" t="shared" si="51"/>
        <v>34</v>
      </c>
      <c r="H189" s="131">
        <f ca="1" t="shared" si="52"/>
        <v>34</v>
      </c>
      <c r="I189" s="131">
        <f ca="1" t="shared" si="53"/>
        <v>34</v>
      </c>
      <c r="J189" s="131">
        <f ca="1" t="shared" si="54"/>
        <v>34</v>
      </c>
      <c r="K189" s="131">
        <f ca="1" t="shared" si="55"/>
        <v>33</v>
      </c>
      <c r="L189" s="131">
        <f ca="1" t="shared" si="56"/>
        <v>33</v>
      </c>
      <c r="M189" s="131">
        <f ca="1" t="shared" si="57"/>
        <v>26</v>
      </c>
      <c r="N189" s="131">
        <f ca="1" t="shared" si="58"/>
        <v>26</v>
      </c>
      <c r="O189" s="131">
        <f ca="1" t="shared" si="59"/>
        <v>27</v>
      </c>
      <c r="P189" s="131">
        <f ca="1" t="shared" si="60"/>
        <v>26</v>
      </c>
      <c r="Q189" s="131">
        <f ca="1" t="shared" si="61"/>
        <v>27</v>
      </c>
      <c r="R189" s="131">
        <f ca="1" t="shared" si="62"/>
        <v>26</v>
      </c>
      <c r="S189" s="131">
        <f ca="1" t="shared" si="63"/>
        <v>30</v>
      </c>
      <c r="T189" s="131">
        <f ca="1" t="shared" si="64"/>
        <v>29</v>
      </c>
      <c r="U189" s="131">
        <f ca="1" t="shared" si="65"/>
        <v>30</v>
      </c>
      <c r="V189" s="131">
        <f ca="1" t="shared" si="66"/>
        <v>31</v>
      </c>
      <c r="W189" s="124">
        <f ca="1">OFFSET($K$19,_xlfn.XLOOKUP(X189,$D$9:$D$28,$H$9:$H$28),MATCH(OFFSET($C$29,B189,MATCH(X189,$D$29:$V$29,0)),$L$19:$R$19,1))*(1+(OFFSET($C$29,B189,MATCH(X189,$D$29:$V$29,0))-1)*_xlfn.XLOOKUP(X189,梦灵养成!$D$9:$D$28,梦灵养成!$G$9:$G$28))</f>
        <v>43.68</v>
      </c>
      <c r="X189" s="106" t="str">
        <f ca="1" t="shared" si="47"/>
        <v>神算诸葛</v>
      </c>
      <c r="Y189" s="95">
        <f ca="1" t="shared" si="67"/>
        <v>37800</v>
      </c>
      <c r="Z189" s="96">
        <f ca="1" t="shared" si="68"/>
        <v>4</v>
      </c>
    </row>
    <row r="190" s="106" customFormat="1" ht="16.5" spans="2:26">
      <c r="B190" s="117">
        <v>161</v>
      </c>
      <c r="C190" s="130">
        <f t="shared" si="69"/>
        <v>16100</v>
      </c>
      <c r="D190" s="131">
        <f ca="1" t="shared" si="48"/>
        <v>43</v>
      </c>
      <c r="E190" s="131">
        <f ca="1" t="shared" si="49"/>
        <v>43</v>
      </c>
      <c r="F190" s="131">
        <f ca="1" t="shared" si="50"/>
        <v>43</v>
      </c>
      <c r="G190" s="131">
        <f ca="1" t="shared" si="51"/>
        <v>34</v>
      </c>
      <c r="H190" s="131">
        <f ca="1" t="shared" si="52"/>
        <v>34</v>
      </c>
      <c r="I190" s="131">
        <f ca="1" t="shared" si="53"/>
        <v>34</v>
      </c>
      <c r="J190" s="131">
        <f ca="1" t="shared" si="54"/>
        <v>34</v>
      </c>
      <c r="K190" s="131">
        <f ca="1" t="shared" si="55"/>
        <v>34</v>
      </c>
      <c r="L190" s="131">
        <f ca="1" t="shared" si="56"/>
        <v>34</v>
      </c>
      <c r="M190" s="131">
        <f ca="1" t="shared" si="57"/>
        <v>26</v>
      </c>
      <c r="N190" s="131">
        <f ca="1" t="shared" si="58"/>
        <v>26</v>
      </c>
      <c r="O190" s="131">
        <f ca="1" t="shared" si="59"/>
        <v>27</v>
      </c>
      <c r="P190" s="131">
        <f ca="1" t="shared" si="60"/>
        <v>26</v>
      </c>
      <c r="Q190" s="131">
        <f ca="1" t="shared" si="61"/>
        <v>27</v>
      </c>
      <c r="R190" s="131">
        <f ca="1" t="shared" si="62"/>
        <v>26</v>
      </c>
      <c r="S190" s="131">
        <f ca="1" t="shared" si="63"/>
        <v>30</v>
      </c>
      <c r="T190" s="131">
        <f ca="1" t="shared" si="64"/>
        <v>29</v>
      </c>
      <c r="U190" s="131">
        <f ca="1" t="shared" si="65"/>
        <v>30</v>
      </c>
      <c r="V190" s="131">
        <f ca="1" t="shared" si="66"/>
        <v>31</v>
      </c>
      <c r="W190" s="124">
        <f ca="1">OFFSET($K$19,_xlfn.XLOOKUP(X190,$D$9:$D$28,$H$9:$H$28),MATCH(OFFSET($C$29,B190,MATCH(X190,$D$29:$V$29,0)),$L$19:$R$19,1))*(1+(OFFSET($C$29,B190,MATCH(X190,$D$29:$V$29,0))-1)*_xlfn.XLOOKUP(X190,梦灵养成!$D$9:$D$28,梦灵养成!$G$9:$G$28))</f>
        <v>43.68</v>
      </c>
      <c r="X190" s="106" t="str">
        <f ca="1" t="shared" si="47"/>
        <v>神算诸葛</v>
      </c>
      <c r="Y190" s="95">
        <f ca="1" t="shared" si="67"/>
        <v>36000</v>
      </c>
      <c r="Z190" s="96">
        <f ca="1" t="shared" si="68"/>
        <v>4</v>
      </c>
    </row>
    <row r="191" s="106" customFormat="1" ht="16.5" spans="2:26">
      <c r="B191" s="117">
        <v>162</v>
      </c>
      <c r="C191" s="130">
        <f t="shared" si="69"/>
        <v>16200</v>
      </c>
      <c r="D191" s="131">
        <f ca="1" t="shared" si="48"/>
        <v>43</v>
      </c>
      <c r="E191" s="131">
        <f ca="1" t="shared" si="49"/>
        <v>43</v>
      </c>
      <c r="F191" s="131">
        <f ca="1" t="shared" si="50"/>
        <v>43</v>
      </c>
      <c r="G191" s="131">
        <f ca="1" t="shared" si="51"/>
        <v>34</v>
      </c>
      <c r="H191" s="131">
        <f ca="1" t="shared" si="52"/>
        <v>34</v>
      </c>
      <c r="I191" s="131">
        <f ca="1" t="shared" si="53"/>
        <v>34</v>
      </c>
      <c r="J191" s="131">
        <f ca="1" t="shared" si="54"/>
        <v>34</v>
      </c>
      <c r="K191" s="131">
        <f ca="1" t="shared" si="55"/>
        <v>34</v>
      </c>
      <c r="L191" s="131">
        <f ca="1" t="shared" si="56"/>
        <v>34</v>
      </c>
      <c r="M191" s="131">
        <f ca="1" t="shared" si="57"/>
        <v>26</v>
      </c>
      <c r="N191" s="131">
        <f ca="1" t="shared" si="58"/>
        <v>26</v>
      </c>
      <c r="O191" s="131">
        <f ca="1" t="shared" si="59"/>
        <v>27</v>
      </c>
      <c r="P191" s="131">
        <f ca="1" t="shared" si="60"/>
        <v>26</v>
      </c>
      <c r="Q191" s="131">
        <f ca="1" t="shared" si="61"/>
        <v>27</v>
      </c>
      <c r="R191" s="131">
        <f ca="1" t="shared" si="62"/>
        <v>26</v>
      </c>
      <c r="S191" s="131">
        <f ca="1" t="shared" si="63"/>
        <v>30</v>
      </c>
      <c r="T191" s="131">
        <f ca="1" t="shared" si="64"/>
        <v>30</v>
      </c>
      <c r="U191" s="131">
        <f ca="1" t="shared" si="65"/>
        <v>30</v>
      </c>
      <c r="V191" s="131">
        <f ca="1" t="shared" si="66"/>
        <v>31</v>
      </c>
      <c r="W191" s="124">
        <f ca="1">OFFSET($K$19,_xlfn.XLOOKUP(X191,$D$9:$D$28,$H$9:$H$28),MATCH(OFFSET($C$29,B191,MATCH(X191,$D$29:$V$29,0)),$L$19:$R$19,1))*(1+(OFFSET($C$29,B191,MATCH(X191,$D$29:$V$29,0))-1)*_xlfn.XLOOKUP(X191,梦灵养成!$D$9:$D$28,梦灵养成!$G$9:$G$28))</f>
        <v>43.68</v>
      </c>
      <c r="X191" s="106" t="str">
        <f ca="1" t="shared" si="47"/>
        <v>神算诸葛</v>
      </c>
      <c r="Y191" s="95">
        <f ca="1" t="shared" si="67"/>
        <v>34200</v>
      </c>
      <c r="Z191" s="96">
        <f ca="1" t="shared" si="68"/>
        <v>4</v>
      </c>
    </row>
    <row r="192" s="106" customFormat="1" ht="16.5" spans="2:26">
      <c r="B192" s="117">
        <v>163</v>
      </c>
      <c r="C192" s="130">
        <f t="shared" si="69"/>
        <v>16300</v>
      </c>
      <c r="D192" s="131">
        <f ca="1" t="shared" si="48"/>
        <v>43</v>
      </c>
      <c r="E192" s="131">
        <f ca="1" t="shared" si="49"/>
        <v>43</v>
      </c>
      <c r="F192" s="131">
        <f ca="1" t="shared" si="50"/>
        <v>43</v>
      </c>
      <c r="G192" s="131">
        <f ca="1" t="shared" si="51"/>
        <v>34</v>
      </c>
      <c r="H192" s="131">
        <f ca="1" t="shared" si="52"/>
        <v>34</v>
      </c>
      <c r="I192" s="131">
        <f ca="1" t="shared" si="53"/>
        <v>34</v>
      </c>
      <c r="J192" s="131">
        <f ca="1" t="shared" si="54"/>
        <v>34</v>
      </c>
      <c r="K192" s="131">
        <f ca="1" t="shared" si="55"/>
        <v>34</v>
      </c>
      <c r="L192" s="131">
        <f ca="1" t="shared" si="56"/>
        <v>34</v>
      </c>
      <c r="M192" s="131">
        <f ca="1" t="shared" si="57"/>
        <v>26</v>
      </c>
      <c r="N192" s="131">
        <f ca="1" t="shared" si="58"/>
        <v>27</v>
      </c>
      <c r="O192" s="131">
        <f ca="1" t="shared" si="59"/>
        <v>27</v>
      </c>
      <c r="P192" s="131">
        <f ca="1" t="shared" si="60"/>
        <v>26</v>
      </c>
      <c r="Q192" s="131">
        <f ca="1" t="shared" si="61"/>
        <v>27</v>
      </c>
      <c r="R192" s="131">
        <f ca="1" t="shared" si="62"/>
        <v>26</v>
      </c>
      <c r="S192" s="131">
        <f ca="1" t="shared" si="63"/>
        <v>30</v>
      </c>
      <c r="T192" s="131">
        <f ca="1" t="shared" si="64"/>
        <v>30</v>
      </c>
      <c r="U192" s="131">
        <f ca="1" t="shared" si="65"/>
        <v>30</v>
      </c>
      <c r="V192" s="131">
        <f ca="1" t="shared" si="66"/>
        <v>32</v>
      </c>
      <c r="W192" s="124">
        <f ca="1">OFFSET($K$19,_xlfn.XLOOKUP(X192,$D$9:$D$28,$H$9:$H$28),MATCH(OFFSET($C$29,B192,MATCH(X192,$D$29:$V$29,0)),$L$19:$R$19,1))*(1+(OFFSET($C$29,B192,MATCH(X192,$D$29:$V$29,0))-1)*_xlfn.XLOOKUP(X192,梦灵养成!$D$9:$D$28,梦灵养成!$G$9:$G$28))</f>
        <v>44.772</v>
      </c>
      <c r="X192" s="106" t="str">
        <f ca="1" t="shared" si="47"/>
        <v>神算诸葛</v>
      </c>
      <c r="Y192" s="95">
        <f ca="1" t="shared" si="67"/>
        <v>50400</v>
      </c>
      <c r="Z192" s="96">
        <f ca="1" t="shared" si="68"/>
        <v>4.1</v>
      </c>
    </row>
    <row r="193" s="106" customFormat="1" ht="16.5" spans="2:26">
      <c r="B193" s="117">
        <v>164</v>
      </c>
      <c r="C193" s="130">
        <f t="shared" si="69"/>
        <v>16400</v>
      </c>
      <c r="D193" s="131">
        <f ca="1" t="shared" si="48"/>
        <v>43</v>
      </c>
      <c r="E193" s="131">
        <f ca="1" t="shared" si="49"/>
        <v>43</v>
      </c>
      <c r="F193" s="131">
        <f ca="1" t="shared" si="50"/>
        <v>43</v>
      </c>
      <c r="G193" s="131">
        <f ca="1" t="shared" si="51"/>
        <v>34</v>
      </c>
      <c r="H193" s="131">
        <f ca="1" t="shared" si="52"/>
        <v>34</v>
      </c>
      <c r="I193" s="131">
        <f ca="1" t="shared" si="53"/>
        <v>34</v>
      </c>
      <c r="J193" s="131">
        <f ca="1" t="shared" si="54"/>
        <v>34</v>
      </c>
      <c r="K193" s="131">
        <f ca="1" t="shared" si="55"/>
        <v>34</v>
      </c>
      <c r="L193" s="131">
        <f ca="1" t="shared" si="56"/>
        <v>34</v>
      </c>
      <c r="M193" s="131">
        <f ca="1" t="shared" si="57"/>
        <v>27</v>
      </c>
      <c r="N193" s="131">
        <f ca="1" t="shared" si="58"/>
        <v>27</v>
      </c>
      <c r="O193" s="131">
        <f ca="1" t="shared" si="59"/>
        <v>27</v>
      </c>
      <c r="P193" s="131">
        <f ca="1" t="shared" si="60"/>
        <v>26</v>
      </c>
      <c r="Q193" s="131">
        <f ca="1" t="shared" si="61"/>
        <v>27</v>
      </c>
      <c r="R193" s="131">
        <f ca="1" t="shared" si="62"/>
        <v>27</v>
      </c>
      <c r="S193" s="131">
        <f ca="1" t="shared" si="63"/>
        <v>31</v>
      </c>
      <c r="T193" s="131">
        <f ca="1" t="shared" si="64"/>
        <v>30</v>
      </c>
      <c r="U193" s="131">
        <f ca="1" t="shared" si="65"/>
        <v>30</v>
      </c>
      <c r="V193" s="131">
        <f ca="1" t="shared" si="66"/>
        <v>32</v>
      </c>
      <c r="W193" s="124">
        <f ca="1">OFFSET($K$19,_xlfn.XLOOKUP(X193,$D$9:$D$28,$H$9:$H$28),MATCH(OFFSET($C$29,B193,MATCH(X193,$D$29:$V$29,0)),$L$19:$R$19,1))*(1+(OFFSET($C$29,B193,MATCH(X193,$D$29:$V$29,0))-1)*_xlfn.XLOOKUP(X193,梦灵养成!$D$9:$D$28,梦灵养成!$G$9:$G$28))</f>
        <v>44.772</v>
      </c>
      <c r="X193" s="106" t="str">
        <f ca="1" t="shared" si="47"/>
        <v>神算诸葛</v>
      </c>
      <c r="Y193" s="95">
        <f ca="1" t="shared" si="67"/>
        <v>48600</v>
      </c>
      <c r="Z193" s="96">
        <f ca="1" t="shared" si="68"/>
        <v>4.1</v>
      </c>
    </row>
    <row r="194" s="106" customFormat="1" ht="16.5" spans="2:26">
      <c r="B194" s="117">
        <v>165</v>
      </c>
      <c r="C194" s="130">
        <f t="shared" si="69"/>
        <v>16500</v>
      </c>
      <c r="D194" s="131">
        <f ca="1" t="shared" si="48"/>
        <v>43</v>
      </c>
      <c r="E194" s="131">
        <f ca="1" t="shared" si="49"/>
        <v>43</v>
      </c>
      <c r="F194" s="131">
        <f ca="1" t="shared" si="50"/>
        <v>43</v>
      </c>
      <c r="G194" s="131">
        <f ca="1" t="shared" si="51"/>
        <v>34</v>
      </c>
      <c r="H194" s="131">
        <f ca="1" t="shared" si="52"/>
        <v>34</v>
      </c>
      <c r="I194" s="131">
        <f ca="1" t="shared" si="53"/>
        <v>34</v>
      </c>
      <c r="J194" s="131">
        <f ca="1" t="shared" si="54"/>
        <v>34</v>
      </c>
      <c r="K194" s="131">
        <f ca="1" t="shared" si="55"/>
        <v>34</v>
      </c>
      <c r="L194" s="131">
        <f ca="1" t="shared" si="56"/>
        <v>34</v>
      </c>
      <c r="M194" s="131">
        <f ca="1" t="shared" si="57"/>
        <v>27</v>
      </c>
      <c r="N194" s="131">
        <f ca="1" t="shared" si="58"/>
        <v>27</v>
      </c>
      <c r="O194" s="131">
        <f ca="1" t="shared" si="59"/>
        <v>27</v>
      </c>
      <c r="P194" s="131">
        <f ca="1" t="shared" si="60"/>
        <v>26</v>
      </c>
      <c r="Q194" s="131">
        <f ca="1" t="shared" si="61"/>
        <v>27</v>
      </c>
      <c r="R194" s="131">
        <f ca="1" t="shared" si="62"/>
        <v>27</v>
      </c>
      <c r="S194" s="131">
        <f ca="1" t="shared" si="63"/>
        <v>31</v>
      </c>
      <c r="T194" s="131">
        <f ca="1" t="shared" si="64"/>
        <v>30</v>
      </c>
      <c r="U194" s="131">
        <f ca="1" t="shared" si="65"/>
        <v>30</v>
      </c>
      <c r="V194" s="131">
        <f ca="1" t="shared" si="66"/>
        <v>32</v>
      </c>
      <c r="W194" s="124">
        <f ca="1">OFFSET($K$19,_xlfn.XLOOKUP(X194,$D$9:$D$28,$H$9:$H$28),MATCH(OFFSET($C$29,B194,MATCH(X194,$D$29:$V$29,0)),$L$19:$R$19,1))*(1+(OFFSET($C$29,B194,MATCH(X194,$D$29:$V$29,0))-1)*_xlfn.XLOOKUP(X194,梦灵养成!$D$9:$D$28,梦灵养成!$G$9:$G$28))</f>
        <v>44.772</v>
      </c>
      <c r="X194" s="106" t="str">
        <f ca="1" t="shared" si="47"/>
        <v>神算诸葛</v>
      </c>
      <c r="Y194" s="95">
        <f ca="1" t="shared" si="67"/>
        <v>46800</v>
      </c>
      <c r="Z194" s="96">
        <f ca="1" t="shared" si="68"/>
        <v>4.1</v>
      </c>
    </row>
    <row r="195" s="106" customFormat="1" ht="16.5" spans="2:26">
      <c r="B195" s="117">
        <v>166</v>
      </c>
      <c r="C195" s="130">
        <f t="shared" si="69"/>
        <v>16600</v>
      </c>
      <c r="D195" s="131">
        <f ca="1" t="shared" si="48"/>
        <v>43</v>
      </c>
      <c r="E195" s="131">
        <f ca="1" t="shared" si="49"/>
        <v>43</v>
      </c>
      <c r="F195" s="131">
        <f ca="1" t="shared" si="50"/>
        <v>43</v>
      </c>
      <c r="G195" s="131">
        <f ca="1" t="shared" si="51"/>
        <v>34</v>
      </c>
      <c r="H195" s="131">
        <f ca="1" t="shared" si="52"/>
        <v>34</v>
      </c>
      <c r="I195" s="131">
        <f ca="1" t="shared" si="53"/>
        <v>34</v>
      </c>
      <c r="J195" s="131">
        <f ca="1" t="shared" si="54"/>
        <v>34</v>
      </c>
      <c r="K195" s="131">
        <f ca="1" t="shared" si="55"/>
        <v>34</v>
      </c>
      <c r="L195" s="131">
        <f ca="1" t="shared" si="56"/>
        <v>34</v>
      </c>
      <c r="M195" s="131">
        <f ca="1" t="shared" si="57"/>
        <v>27</v>
      </c>
      <c r="N195" s="131">
        <f ca="1" t="shared" si="58"/>
        <v>27</v>
      </c>
      <c r="O195" s="131">
        <f ca="1" t="shared" si="59"/>
        <v>27</v>
      </c>
      <c r="P195" s="131">
        <f ca="1" t="shared" si="60"/>
        <v>26</v>
      </c>
      <c r="Q195" s="131">
        <f ca="1" t="shared" si="61"/>
        <v>27</v>
      </c>
      <c r="R195" s="131">
        <f ca="1" t="shared" si="62"/>
        <v>27</v>
      </c>
      <c r="S195" s="131">
        <f ca="1" t="shared" si="63"/>
        <v>31</v>
      </c>
      <c r="T195" s="131">
        <f ca="1" t="shared" si="64"/>
        <v>30</v>
      </c>
      <c r="U195" s="131">
        <f ca="1" t="shared" si="65"/>
        <v>30</v>
      </c>
      <c r="V195" s="131">
        <f ca="1" t="shared" si="66"/>
        <v>32</v>
      </c>
      <c r="W195" s="124">
        <f ca="1">OFFSET($K$19,_xlfn.XLOOKUP(X195,$D$9:$D$28,$H$9:$H$28),MATCH(OFFSET($C$29,B195,MATCH(X195,$D$29:$V$29,0)),$L$19:$R$19,1))*(1+(OFFSET($C$29,B195,MATCH(X195,$D$29:$V$29,0))-1)*_xlfn.XLOOKUP(X195,梦灵养成!$D$9:$D$28,梦灵养成!$G$9:$G$28))</f>
        <v>44.772</v>
      </c>
      <c r="X195" s="106" t="str">
        <f ca="1" t="shared" si="47"/>
        <v>神算诸葛</v>
      </c>
      <c r="Y195" s="95">
        <f ca="1" t="shared" si="67"/>
        <v>45000</v>
      </c>
      <c r="Z195" s="96">
        <f ca="1" t="shared" si="68"/>
        <v>4.1</v>
      </c>
    </row>
    <row r="196" s="106" customFormat="1" ht="16.5" spans="2:26">
      <c r="B196" s="117">
        <v>167</v>
      </c>
      <c r="C196" s="130">
        <f t="shared" si="69"/>
        <v>16700</v>
      </c>
      <c r="D196" s="131">
        <f ca="1" t="shared" si="48"/>
        <v>43</v>
      </c>
      <c r="E196" s="131">
        <f ca="1" t="shared" si="49"/>
        <v>43</v>
      </c>
      <c r="F196" s="131">
        <f ca="1" t="shared" si="50"/>
        <v>43</v>
      </c>
      <c r="G196" s="131">
        <f ca="1" t="shared" si="51"/>
        <v>34</v>
      </c>
      <c r="H196" s="131">
        <f ca="1" t="shared" si="52"/>
        <v>34</v>
      </c>
      <c r="I196" s="131">
        <f ca="1" t="shared" si="53"/>
        <v>34</v>
      </c>
      <c r="J196" s="131">
        <f ca="1" t="shared" si="54"/>
        <v>34</v>
      </c>
      <c r="K196" s="131">
        <f ca="1" t="shared" si="55"/>
        <v>34</v>
      </c>
      <c r="L196" s="131">
        <f ca="1" t="shared" si="56"/>
        <v>34</v>
      </c>
      <c r="M196" s="131">
        <f ca="1" t="shared" si="57"/>
        <v>27</v>
      </c>
      <c r="N196" s="131">
        <f ca="1" t="shared" si="58"/>
        <v>27</v>
      </c>
      <c r="O196" s="131">
        <f ca="1" t="shared" si="59"/>
        <v>27</v>
      </c>
      <c r="P196" s="131">
        <f ca="1" t="shared" si="60"/>
        <v>27</v>
      </c>
      <c r="Q196" s="131">
        <f ca="1" t="shared" si="61"/>
        <v>27</v>
      </c>
      <c r="R196" s="131">
        <f ca="1" t="shared" si="62"/>
        <v>27</v>
      </c>
      <c r="S196" s="131">
        <f ca="1" t="shared" si="63"/>
        <v>31</v>
      </c>
      <c r="T196" s="131">
        <f ca="1" t="shared" si="64"/>
        <v>31</v>
      </c>
      <c r="U196" s="131">
        <f ca="1" t="shared" si="65"/>
        <v>31</v>
      </c>
      <c r="V196" s="131">
        <f ca="1" t="shared" si="66"/>
        <v>32</v>
      </c>
      <c r="W196" s="124">
        <f ca="1">OFFSET($K$19,_xlfn.XLOOKUP(X196,$D$9:$D$28,$H$9:$H$28),MATCH(OFFSET($C$29,B196,MATCH(X196,$D$29:$V$29,0)),$L$19:$R$19,1))*(1+(OFFSET($C$29,B196,MATCH(X196,$D$29:$V$29,0))-1)*_xlfn.XLOOKUP(X196,梦灵养成!$D$9:$D$28,梦灵养成!$G$9:$G$28))</f>
        <v>44.772</v>
      </c>
      <c r="X196" s="106" t="str">
        <f ca="1" t="shared" si="47"/>
        <v>神算诸葛</v>
      </c>
      <c r="Y196" s="95">
        <f ca="1" t="shared" si="67"/>
        <v>43200</v>
      </c>
      <c r="Z196" s="96">
        <f ca="1" t="shared" si="68"/>
        <v>4.1</v>
      </c>
    </row>
    <row r="197" s="106" customFormat="1" ht="16.5" spans="2:26">
      <c r="B197" s="117">
        <v>168</v>
      </c>
      <c r="C197" s="130">
        <f t="shared" si="69"/>
        <v>16800</v>
      </c>
      <c r="D197" s="131">
        <f ca="1" t="shared" si="48"/>
        <v>43</v>
      </c>
      <c r="E197" s="131">
        <f ca="1" t="shared" si="49"/>
        <v>43</v>
      </c>
      <c r="F197" s="131">
        <f ca="1" t="shared" si="50"/>
        <v>43</v>
      </c>
      <c r="G197" s="131">
        <f ca="1" t="shared" si="51"/>
        <v>34</v>
      </c>
      <c r="H197" s="131">
        <f ca="1" t="shared" si="52"/>
        <v>34</v>
      </c>
      <c r="I197" s="131">
        <f ca="1" t="shared" si="53"/>
        <v>34</v>
      </c>
      <c r="J197" s="131">
        <f ca="1" t="shared" si="54"/>
        <v>34</v>
      </c>
      <c r="K197" s="131">
        <f ca="1" t="shared" si="55"/>
        <v>34</v>
      </c>
      <c r="L197" s="131">
        <f ca="1" t="shared" si="56"/>
        <v>34</v>
      </c>
      <c r="M197" s="131">
        <f ca="1" t="shared" si="57"/>
        <v>27</v>
      </c>
      <c r="N197" s="131">
        <f ca="1" t="shared" si="58"/>
        <v>27</v>
      </c>
      <c r="O197" s="131">
        <f ca="1" t="shared" si="59"/>
        <v>27</v>
      </c>
      <c r="P197" s="131">
        <f ca="1" t="shared" si="60"/>
        <v>27</v>
      </c>
      <c r="Q197" s="131">
        <f ca="1" t="shared" si="61"/>
        <v>27</v>
      </c>
      <c r="R197" s="131">
        <f ca="1" t="shared" si="62"/>
        <v>27</v>
      </c>
      <c r="S197" s="131">
        <f ca="1" t="shared" si="63"/>
        <v>31</v>
      </c>
      <c r="T197" s="131">
        <f ca="1" t="shared" si="64"/>
        <v>31</v>
      </c>
      <c r="U197" s="131">
        <f ca="1" t="shared" si="65"/>
        <v>31</v>
      </c>
      <c r="V197" s="131">
        <f ca="1" t="shared" si="66"/>
        <v>32</v>
      </c>
      <c r="W197" s="124">
        <f ca="1">OFFSET($K$19,_xlfn.XLOOKUP(X197,$D$9:$D$28,$H$9:$H$28),MATCH(OFFSET($C$29,B197,MATCH(X197,$D$29:$V$29,0)),$L$19:$R$19,1))*(1+(OFFSET($C$29,B197,MATCH(X197,$D$29:$V$29,0))-1)*_xlfn.XLOOKUP(X197,梦灵养成!$D$9:$D$28,梦灵养成!$G$9:$G$28))</f>
        <v>44.772</v>
      </c>
      <c r="X197" s="106" t="str">
        <f ca="1" t="shared" si="47"/>
        <v>神算诸葛</v>
      </c>
      <c r="Y197" s="95">
        <f ca="1" t="shared" si="67"/>
        <v>41400</v>
      </c>
      <c r="Z197" s="96">
        <f ca="1" t="shared" si="68"/>
        <v>4.1</v>
      </c>
    </row>
    <row r="198" s="106" customFormat="1" ht="16.5" spans="2:26">
      <c r="B198" s="117">
        <v>169</v>
      </c>
      <c r="C198" s="130">
        <f t="shared" si="69"/>
        <v>16900</v>
      </c>
      <c r="D198" s="131">
        <f ca="1" t="shared" si="48"/>
        <v>43</v>
      </c>
      <c r="E198" s="131">
        <f ca="1" t="shared" si="49"/>
        <v>43</v>
      </c>
      <c r="F198" s="131">
        <f ca="1" t="shared" si="50"/>
        <v>43</v>
      </c>
      <c r="G198" s="131">
        <f ca="1" t="shared" si="51"/>
        <v>34</v>
      </c>
      <c r="H198" s="131">
        <f ca="1" t="shared" si="52"/>
        <v>34</v>
      </c>
      <c r="I198" s="131">
        <f ca="1" t="shared" si="53"/>
        <v>34</v>
      </c>
      <c r="J198" s="131">
        <f ca="1" t="shared" si="54"/>
        <v>34</v>
      </c>
      <c r="K198" s="131">
        <f ca="1" t="shared" si="55"/>
        <v>34</v>
      </c>
      <c r="L198" s="131">
        <f ca="1" t="shared" si="56"/>
        <v>34</v>
      </c>
      <c r="M198" s="131">
        <f ca="1" t="shared" si="57"/>
        <v>27</v>
      </c>
      <c r="N198" s="131">
        <f ca="1" t="shared" si="58"/>
        <v>27</v>
      </c>
      <c r="O198" s="131">
        <f ca="1" t="shared" si="59"/>
        <v>27</v>
      </c>
      <c r="P198" s="131">
        <f ca="1" t="shared" si="60"/>
        <v>27</v>
      </c>
      <c r="Q198" s="131">
        <f ca="1" t="shared" si="61"/>
        <v>27</v>
      </c>
      <c r="R198" s="131">
        <f ca="1" t="shared" si="62"/>
        <v>27</v>
      </c>
      <c r="S198" s="131">
        <f ca="1" t="shared" si="63"/>
        <v>31</v>
      </c>
      <c r="T198" s="131">
        <f ca="1" t="shared" si="64"/>
        <v>31</v>
      </c>
      <c r="U198" s="131">
        <f ca="1" t="shared" si="65"/>
        <v>31</v>
      </c>
      <c r="V198" s="131">
        <f ca="1" t="shared" si="66"/>
        <v>32</v>
      </c>
      <c r="W198" s="124">
        <f ca="1">OFFSET($K$19,_xlfn.XLOOKUP(X198,$D$9:$D$28,$H$9:$H$28),MATCH(OFFSET($C$29,B198,MATCH(X198,$D$29:$V$29,0)),$L$19:$R$19,1))*(1+(OFFSET($C$29,B198,MATCH(X198,$D$29:$V$29,0))-1)*_xlfn.XLOOKUP(X198,梦灵养成!$D$9:$D$28,梦灵养成!$G$9:$G$28))</f>
        <v>44.772</v>
      </c>
      <c r="X198" s="106" t="str">
        <f ca="1" t="shared" si="47"/>
        <v>神算诸葛</v>
      </c>
      <c r="Y198" s="95">
        <f ca="1" t="shared" si="67"/>
        <v>39600</v>
      </c>
      <c r="Z198" s="96">
        <f ca="1" t="shared" si="68"/>
        <v>4.1</v>
      </c>
    </row>
    <row r="199" s="106" customFormat="1" ht="16.5" spans="2:26">
      <c r="B199" s="117">
        <v>170</v>
      </c>
      <c r="C199" s="130">
        <f t="shared" si="69"/>
        <v>17000</v>
      </c>
      <c r="D199" s="131">
        <f ca="1" t="shared" si="48"/>
        <v>43</v>
      </c>
      <c r="E199" s="131">
        <f ca="1" t="shared" si="49"/>
        <v>43</v>
      </c>
      <c r="F199" s="131">
        <f ca="1" t="shared" si="50"/>
        <v>43</v>
      </c>
      <c r="G199" s="131">
        <f ca="1" t="shared" si="51"/>
        <v>34</v>
      </c>
      <c r="H199" s="131">
        <f ca="1" t="shared" si="52"/>
        <v>34</v>
      </c>
      <c r="I199" s="131">
        <f ca="1" t="shared" si="53"/>
        <v>34</v>
      </c>
      <c r="J199" s="131">
        <f ca="1" t="shared" si="54"/>
        <v>34</v>
      </c>
      <c r="K199" s="131">
        <f ca="1" t="shared" si="55"/>
        <v>34</v>
      </c>
      <c r="L199" s="131">
        <f ca="1" t="shared" si="56"/>
        <v>34</v>
      </c>
      <c r="M199" s="131">
        <f ca="1" t="shared" si="57"/>
        <v>27</v>
      </c>
      <c r="N199" s="131">
        <f ca="1" t="shared" si="58"/>
        <v>27</v>
      </c>
      <c r="O199" s="131">
        <f ca="1" t="shared" si="59"/>
        <v>27</v>
      </c>
      <c r="P199" s="131">
        <f ca="1" t="shared" si="60"/>
        <v>27</v>
      </c>
      <c r="Q199" s="131">
        <f ca="1" t="shared" si="61"/>
        <v>28</v>
      </c>
      <c r="R199" s="131">
        <f ca="1" t="shared" si="62"/>
        <v>27</v>
      </c>
      <c r="S199" s="131">
        <f ca="1" t="shared" si="63"/>
        <v>31</v>
      </c>
      <c r="T199" s="131">
        <f ca="1" t="shared" si="64"/>
        <v>31</v>
      </c>
      <c r="U199" s="131">
        <f ca="1" t="shared" si="65"/>
        <v>31</v>
      </c>
      <c r="V199" s="131">
        <f ca="1" t="shared" si="66"/>
        <v>32</v>
      </c>
      <c r="W199" s="124">
        <f ca="1">OFFSET($K$19,_xlfn.XLOOKUP(X199,$D$9:$D$28,$H$9:$H$28),MATCH(OFFSET($C$29,B199,MATCH(X199,$D$29:$V$29,0)),$L$19:$R$19,1))*(1+(OFFSET($C$29,B199,MATCH(X199,$D$29:$V$29,0))-1)*_xlfn.XLOOKUP(X199,梦灵养成!$D$9:$D$28,梦灵养成!$G$9:$G$28))</f>
        <v>44.772</v>
      </c>
      <c r="X199" s="106" t="str">
        <f ca="1" t="shared" si="47"/>
        <v>神算诸葛</v>
      </c>
      <c r="Y199" s="95">
        <f ca="1" t="shared" si="67"/>
        <v>37800</v>
      </c>
      <c r="Z199" s="96">
        <f ca="1" t="shared" si="68"/>
        <v>4.1</v>
      </c>
    </row>
    <row r="200" s="106" customFormat="1" ht="16.5" spans="2:26">
      <c r="B200" s="117">
        <v>171</v>
      </c>
      <c r="C200" s="130">
        <f t="shared" si="69"/>
        <v>17100</v>
      </c>
      <c r="D200" s="131">
        <f ca="1" t="shared" si="48"/>
        <v>43</v>
      </c>
      <c r="E200" s="131">
        <f ca="1" t="shared" si="49"/>
        <v>43</v>
      </c>
      <c r="F200" s="131">
        <f ca="1" t="shared" si="50"/>
        <v>43</v>
      </c>
      <c r="G200" s="131">
        <f ca="1" t="shared" si="51"/>
        <v>34</v>
      </c>
      <c r="H200" s="131">
        <f ca="1" t="shared" si="52"/>
        <v>34</v>
      </c>
      <c r="I200" s="131">
        <f ca="1" t="shared" si="53"/>
        <v>34</v>
      </c>
      <c r="J200" s="131">
        <f ca="1" t="shared" si="54"/>
        <v>34</v>
      </c>
      <c r="K200" s="131">
        <f ca="1" t="shared" si="55"/>
        <v>34</v>
      </c>
      <c r="L200" s="131">
        <f ca="1" t="shared" si="56"/>
        <v>34</v>
      </c>
      <c r="M200" s="131">
        <f ca="1" t="shared" si="57"/>
        <v>27</v>
      </c>
      <c r="N200" s="131">
        <f ca="1" t="shared" si="58"/>
        <v>27</v>
      </c>
      <c r="O200" s="131">
        <f ca="1" t="shared" si="59"/>
        <v>27</v>
      </c>
      <c r="P200" s="131">
        <f ca="1" t="shared" si="60"/>
        <v>27</v>
      </c>
      <c r="Q200" s="131">
        <f ca="1" t="shared" si="61"/>
        <v>28</v>
      </c>
      <c r="R200" s="131">
        <f ca="1" t="shared" si="62"/>
        <v>27</v>
      </c>
      <c r="S200" s="131">
        <f ca="1" t="shared" si="63"/>
        <v>31</v>
      </c>
      <c r="T200" s="131">
        <f ca="1" t="shared" si="64"/>
        <v>31</v>
      </c>
      <c r="U200" s="131">
        <f ca="1" t="shared" si="65"/>
        <v>32</v>
      </c>
      <c r="V200" s="131">
        <f ca="1" t="shared" si="66"/>
        <v>33</v>
      </c>
      <c r="W200" s="124">
        <f ca="1">OFFSET($K$19,_xlfn.XLOOKUP(X200,$D$9:$D$28,$H$9:$H$28),MATCH(OFFSET($C$29,B200,MATCH(X200,$D$29:$V$29,0)),$L$19:$R$19,1))*(1+(OFFSET($C$29,B200,MATCH(X200,$D$29:$V$29,0))-1)*_xlfn.XLOOKUP(X200,梦灵养成!$D$9:$D$28,梦灵养成!$G$9:$G$28))</f>
        <v>45.864</v>
      </c>
      <c r="X200" s="106" t="str">
        <f ca="1" t="shared" si="47"/>
        <v>神算诸葛</v>
      </c>
      <c r="Y200" s="95">
        <f ca="1" t="shared" si="67"/>
        <v>66600</v>
      </c>
      <c r="Z200" s="96">
        <f ca="1" t="shared" si="68"/>
        <v>4.2</v>
      </c>
    </row>
    <row r="201" s="106" customFormat="1" ht="16.5" spans="2:26">
      <c r="B201" s="117">
        <v>172</v>
      </c>
      <c r="C201" s="130">
        <f t="shared" si="69"/>
        <v>17200</v>
      </c>
      <c r="D201" s="131">
        <f ca="1" t="shared" si="48"/>
        <v>43</v>
      </c>
      <c r="E201" s="131">
        <f ca="1" t="shared" si="49"/>
        <v>43</v>
      </c>
      <c r="F201" s="131">
        <f ca="1" t="shared" si="50"/>
        <v>43</v>
      </c>
      <c r="G201" s="131">
        <f ca="1" t="shared" si="51"/>
        <v>34</v>
      </c>
      <c r="H201" s="131">
        <f ca="1" t="shared" si="52"/>
        <v>34</v>
      </c>
      <c r="I201" s="131">
        <f ca="1" t="shared" si="53"/>
        <v>34</v>
      </c>
      <c r="J201" s="131">
        <f ca="1" t="shared" si="54"/>
        <v>34</v>
      </c>
      <c r="K201" s="131">
        <f ca="1" t="shared" si="55"/>
        <v>34</v>
      </c>
      <c r="L201" s="131">
        <f ca="1" t="shared" si="56"/>
        <v>34</v>
      </c>
      <c r="M201" s="131">
        <f ca="1" t="shared" si="57"/>
        <v>27</v>
      </c>
      <c r="N201" s="131">
        <f ca="1" t="shared" si="58"/>
        <v>27</v>
      </c>
      <c r="O201" s="131">
        <f ca="1" t="shared" si="59"/>
        <v>28</v>
      </c>
      <c r="P201" s="131">
        <f ca="1" t="shared" si="60"/>
        <v>27</v>
      </c>
      <c r="Q201" s="131">
        <f ca="1" t="shared" si="61"/>
        <v>28</v>
      </c>
      <c r="R201" s="131">
        <f ca="1" t="shared" si="62"/>
        <v>27</v>
      </c>
      <c r="S201" s="131">
        <f ca="1" t="shared" si="63"/>
        <v>31</v>
      </c>
      <c r="T201" s="131">
        <f ca="1" t="shared" si="64"/>
        <v>31</v>
      </c>
      <c r="U201" s="131">
        <f ca="1" t="shared" si="65"/>
        <v>32</v>
      </c>
      <c r="V201" s="131">
        <f ca="1" t="shared" si="66"/>
        <v>33</v>
      </c>
      <c r="W201" s="124">
        <f ca="1">OFFSET($K$19,_xlfn.XLOOKUP(X201,$D$9:$D$28,$H$9:$H$28),MATCH(OFFSET($C$29,B201,MATCH(X201,$D$29:$V$29,0)),$L$19:$R$19,1))*(1+(OFFSET($C$29,B201,MATCH(X201,$D$29:$V$29,0))-1)*_xlfn.XLOOKUP(X201,梦灵养成!$D$9:$D$28,梦灵养成!$G$9:$G$28))</f>
        <v>45.864</v>
      </c>
      <c r="X201" s="106" t="str">
        <f ca="1" t="shared" si="47"/>
        <v>神算诸葛</v>
      </c>
      <c r="Y201" s="95">
        <f ca="1" t="shared" si="67"/>
        <v>64800</v>
      </c>
      <c r="Z201" s="96">
        <f ca="1" t="shared" si="68"/>
        <v>4.2</v>
      </c>
    </row>
    <row r="202" s="106" customFormat="1" ht="16.5" spans="2:26">
      <c r="B202" s="117">
        <v>173</v>
      </c>
      <c r="C202" s="130">
        <f t="shared" si="69"/>
        <v>17300</v>
      </c>
      <c r="D202" s="131">
        <f ca="1" t="shared" si="48"/>
        <v>43</v>
      </c>
      <c r="E202" s="131">
        <f ca="1" t="shared" si="49"/>
        <v>43</v>
      </c>
      <c r="F202" s="131">
        <f ca="1" t="shared" si="50"/>
        <v>43</v>
      </c>
      <c r="G202" s="131">
        <f ca="1" t="shared" si="51"/>
        <v>35</v>
      </c>
      <c r="H202" s="131">
        <f ca="1" t="shared" si="52"/>
        <v>35</v>
      </c>
      <c r="I202" s="131">
        <f ca="1" t="shared" si="53"/>
        <v>35</v>
      </c>
      <c r="J202" s="131">
        <f ca="1" t="shared" si="54"/>
        <v>34</v>
      </c>
      <c r="K202" s="131">
        <f ca="1" t="shared" si="55"/>
        <v>34</v>
      </c>
      <c r="L202" s="131">
        <f ca="1" t="shared" si="56"/>
        <v>34</v>
      </c>
      <c r="M202" s="131">
        <f ca="1" t="shared" si="57"/>
        <v>27</v>
      </c>
      <c r="N202" s="131">
        <f ca="1" t="shared" si="58"/>
        <v>27</v>
      </c>
      <c r="O202" s="131">
        <f ca="1" t="shared" si="59"/>
        <v>28</v>
      </c>
      <c r="P202" s="131">
        <f ca="1" t="shared" si="60"/>
        <v>27</v>
      </c>
      <c r="Q202" s="131">
        <f ca="1" t="shared" si="61"/>
        <v>28</v>
      </c>
      <c r="R202" s="131">
        <f ca="1" t="shared" si="62"/>
        <v>27</v>
      </c>
      <c r="S202" s="131">
        <f ca="1" t="shared" si="63"/>
        <v>31</v>
      </c>
      <c r="T202" s="131">
        <f ca="1" t="shared" si="64"/>
        <v>31</v>
      </c>
      <c r="U202" s="131">
        <f ca="1" t="shared" si="65"/>
        <v>32</v>
      </c>
      <c r="V202" s="131">
        <f ca="1" t="shared" si="66"/>
        <v>33</v>
      </c>
      <c r="W202" s="124">
        <f ca="1">OFFSET($K$19,_xlfn.XLOOKUP(X202,$D$9:$D$28,$H$9:$H$28),MATCH(OFFSET($C$29,B202,MATCH(X202,$D$29:$V$29,0)),$L$19:$R$19,1))*(1+(OFFSET($C$29,B202,MATCH(X202,$D$29:$V$29,0))-1)*_xlfn.XLOOKUP(X202,梦灵养成!$D$9:$D$28,梦灵养成!$G$9:$G$28))</f>
        <v>45.864</v>
      </c>
      <c r="X202" s="106" t="str">
        <f ca="1" t="shared" si="47"/>
        <v>神算诸葛</v>
      </c>
      <c r="Y202" s="95">
        <f ca="1" t="shared" si="67"/>
        <v>63000</v>
      </c>
      <c r="Z202" s="96">
        <f ca="1" t="shared" si="68"/>
        <v>4.2</v>
      </c>
    </row>
    <row r="203" s="106" customFormat="1" ht="16.5" spans="2:26">
      <c r="B203" s="117">
        <v>174</v>
      </c>
      <c r="C203" s="130">
        <f t="shared" si="69"/>
        <v>17400</v>
      </c>
      <c r="D203" s="131">
        <f ca="1" t="shared" si="48"/>
        <v>43</v>
      </c>
      <c r="E203" s="131">
        <f ca="1" t="shared" si="49"/>
        <v>43</v>
      </c>
      <c r="F203" s="131">
        <f ca="1" t="shared" si="50"/>
        <v>43</v>
      </c>
      <c r="G203" s="131">
        <f ca="1" t="shared" si="51"/>
        <v>35</v>
      </c>
      <c r="H203" s="131">
        <f ca="1" t="shared" si="52"/>
        <v>35</v>
      </c>
      <c r="I203" s="131">
        <f ca="1" t="shared" si="53"/>
        <v>35</v>
      </c>
      <c r="J203" s="131">
        <f ca="1" t="shared" si="54"/>
        <v>35</v>
      </c>
      <c r="K203" s="131">
        <f ca="1" t="shared" si="55"/>
        <v>34</v>
      </c>
      <c r="L203" s="131">
        <f ca="1" t="shared" si="56"/>
        <v>34</v>
      </c>
      <c r="M203" s="131">
        <f ca="1" t="shared" si="57"/>
        <v>27</v>
      </c>
      <c r="N203" s="131">
        <f ca="1" t="shared" si="58"/>
        <v>27</v>
      </c>
      <c r="O203" s="131">
        <f ca="1" t="shared" si="59"/>
        <v>28</v>
      </c>
      <c r="P203" s="131">
        <f ca="1" t="shared" si="60"/>
        <v>27</v>
      </c>
      <c r="Q203" s="131">
        <f ca="1" t="shared" si="61"/>
        <v>28</v>
      </c>
      <c r="R203" s="131">
        <f ca="1" t="shared" si="62"/>
        <v>27</v>
      </c>
      <c r="S203" s="131">
        <f ca="1" t="shared" si="63"/>
        <v>32</v>
      </c>
      <c r="T203" s="131">
        <f ca="1" t="shared" si="64"/>
        <v>31</v>
      </c>
      <c r="U203" s="131">
        <f ca="1" t="shared" si="65"/>
        <v>32</v>
      </c>
      <c r="V203" s="131">
        <f ca="1" t="shared" si="66"/>
        <v>33</v>
      </c>
      <c r="W203" s="124">
        <f ca="1">OFFSET($K$19,_xlfn.XLOOKUP(X203,$D$9:$D$28,$H$9:$H$28),MATCH(OFFSET($C$29,B203,MATCH(X203,$D$29:$V$29,0)),$L$19:$R$19,1))*(1+(OFFSET($C$29,B203,MATCH(X203,$D$29:$V$29,0))-1)*_xlfn.XLOOKUP(X203,梦灵养成!$D$9:$D$28,梦灵养成!$G$9:$G$28))</f>
        <v>45.864</v>
      </c>
      <c r="X203" s="106" t="str">
        <f ca="1" t="shared" si="47"/>
        <v>神算诸葛</v>
      </c>
      <c r="Y203" s="95">
        <f ca="1" t="shared" si="67"/>
        <v>61200</v>
      </c>
      <c r="Z203" s="96">
        <f ca="1" t="shared" si="68"/>
        <v>4.2</v>
      </c>
    </row>
    <row r="204" s="106" customFormat="1" ht="16.5" spans="2:26">
      <c r="B204" s="117">
        <v>175</v>
      </c>
      <c r="C204" s="130">
        <f t="shared" si="69"/>
        <v>17500</v>
      </c>
      <c r="D204" s="131">
        <f ca="1" t="shared" si="48"/>
        <v>44</v>
      </c>
      <c r="E204" s="131">
        <f ca="1" t="shared" si="49"/>
        <v>44</v>
      </c>
      <c r="F204" s="131">
        <f ca="1" t="shared" si="50"/>
        <v>44</v>
      </c>
      <c r="G204" s="131">
        <f ca="1" t="shared" si="51"/>
        <v>35</v>
      </c>
      <c r="H204" s="131">
        <f ca="1" t="shared" si="52"/>
        <v>35</v>
      </c>
      <c r="I204" s="131">
        <f ca="1" t="shared" si="53"/>
        <v>35</v>
      </c>
      <c r="J204" s="131">
        <f ca="1" t="shared" si="54"/>
        <v>35</v>
      </c>
      <c r="K204" s="131">
        <f ca="1" t="shared" si="55"/>
        <v>35</v>
      </c>
      <c r="L204" s="131">
        <f ca="1" t="shared" si="56"/>
        <v>35</v>
      </c>
      <c r="M204" s="131">
        <f ca="1" t="shared" si="57"/>
        <v>27</v>
      </c>
      <c r="N204" s="131">
        <f ca="1" t="shared" si="58"/>
        <v>28</v>
      </c>
      <c r="O204" s="131">
        <f ca="1" t="shared" si="59"/>
        <v>28</v>
      </c>
      <c r="P204" s="131">
        <f ca="1" t="shared" si="60"/>
        <v>27</v>
      </c>
      <c r="Q204" s="131">
        <f ca="1" t="shared" si="61"/>
        <v>28</v>
      </c>
      <c r="R204" s="131">
        <f ca="1" t="shared" si="62"/>
        <v>27</v>
      </c>
      <c r="S204" s="131">
        <f ca="1" t="shared" si="63"/>
        <v>32</v>
      </c>
      <c r="T204" s="131">
        <f ca="1" t="shared" si="64"/>
        <v>31</v>
      </c>
      <c r="U204" s="131">
        <f ca="1" t="shared" si="65"/>
        <v>32</v>
      </c>
      <c r="V204" s="131">
        <f ca="1" t="shared" si="66"/>
        <v>33</v>
      </c>
      <c r="W204" s="124">
        <f ca="1">OFFSET($K$19,_xlfn.XLOOKUP(X204,$D$9:$D$28,$H$9:$H$28),MATCH(OFFSET($C$29,B204,MATCH(X204,$D$29:$V$29,0)),$L$19:$R$19,1))*(1+(OFFSET($C$29,B204,MATCH(X204,$D$29:$V$29,0))-1)*_xlfn.XLOOKUP(X204,梦灵养成!$D$9:$D$28,梦灵养成!$G$9:$G$28))</f>
        <v>45.864</v>
      </c>
      <c r="X204" s="106" t="str">
        <f ca="1" t="shared" si="47"/>
        <v>神算诸葛</v>
      </c>
      <c r="Y204" s="95">
        <f ca="1" t="shared" si="67"/>
        <v>59400</v>
      </c>
      <c r="Z204" s="96">
        <f ca="1" t="shared" si="68"/>
        <v>4.2</v>
      </c>
    </row>
    <row r="205" s="106" customFormat="1" ht="16.5" spans="2:26">
      <c r="B205" s="117">
        <v>176</v>
      </c>
      <c r="C205" s="130">
        <f t="shared" si="69"/>
        <v>17600</v>
      </c>
      <c r="D205" s="131">
        <f ca="1" t="shared" si="48"/>
        <v>44</v>
      </c>
      <c r="E205" s="131">
        <f ca="1" t="shared" si="49"/>
        <v>44</v>
      </c>
      <c r="F205" s="131">
        <f ca="1" t="shared" si="50"/>
        <v>44</v>
      </c>
      <c r="G205" s="131">
        <f ca="1" t="shared" si="51"/>
        <v>35</v>
      </c>
      <c r="H205" s="131">
        <f ca="1" t="shared" si="52"/>
        <v>35</v>
      </c>
      <c r="I205" s="131">
        <f ca="1" t="shared" si="53"/>
        <v>35</v>
      </c>
      <c r="J205" s="131">
        <f ca="1" t="shared" si="54"/>
        <v>35</v>
      </c>
      <c r="K205" s="131">
        <f ca="1" t="shared" si="55"/>
        <v>35</v>
      </c>
      <c r="L205" s="131">
        <f ca="1" t="shared" si="56"/>
        <v>35</v>
      </c>
      <c r="M205" s="131">
        <f ca="1" t="shared" si="57"/>
        <v>28</v>
      </c>
      <c r="N205" s="131">
        <f ca="1" t="shared" si="58"/>
        <v>28</v>
      </c>
      <c r="O205" s="131">
        <f ca="1" t="shared" si="59"/>
        <v>28</v>
      </c>
      <c r="P205" s="131">
        <f ca="1" t="shared" si="60"/>
        <v>27</v>
      </c>
      <c r="Q205" s="131">
        <f ca="1" t="shared" si="61"/>
        <v>28</v>
      </c>
      <c r="R205" s="131">
        <f ca="1" t="shared" si="62"/>
        <v>28</v>
      </c>
      <c r="S205" s="131">
        <f ca="1" t="shared" si="63"/>
        <v>32</v>
      </c>
      <c r="T205" s="131">
        <f ca="1" t="shared" si="64"/>
        <v>31</v>
      </c>
      <c r="U205" s="131">
        <f ca="1" t="shared" si="65"/>
        <v>32</v>
      </c>
      <c r="V205" s="131">
        <f ca="1" t="shared" si="66"/>
        <v>33</v>
      </c>
      <c r="W205" s="124">
        <f ca="1">OFFSET($K$19,_xlfn.XLOOKUP(X205,$D$9:$D$28,$H$9:$H$28),MATCH(OFFSET($C$29,B205,MATCH(X205,$D$29:$V$29,0)),$L$19:$R$19,1))*(1+(OFFSET($C$29,B205,MATCH(X205,$D$29:$V$29,0))-1)*_xlfn.XLOOKUP(X205,梦灵养成!$D$9:$D$28,梦灵养成!$G$9:$G$28))</f>
        <v>45.864</v>
      </c>
      <c r="X205" s="106" t="str">
        <f ca="1" t="shared" si="47"/>
        <v>神算诸葛</v>
      </c>
      <c r="Y205" s="95">
        <f ca="1" t="shared" si="67"/>
        <v>57600</v>
      </c>
      <c r="Z205" s="96">
        <f ca="1" t="shared" si="68"/>
        <v>4.2</v>
      </c>
    </row>
    <row r="206" s="106" customFormat="1" ht="16.5" spans="2:26">
      <c r="B206" s="117">
        <v>177</v>
      </c>
      <c r="C206" s="130">
        <f t="shared" si="69"/>
        <v>17700</v>
      </c>
      <c r="D206" s="131">
        <f ca="1" t="shared" si="48"/>
        <v>44</v>
      </c>
      <c r="E206" s="131">
        <f ca="1" t="shared" si="49"/>
        <v>44</v>
      </c>
      <c r="F206" s="131">
        <f ca="1" t="shared" si="50"/>
        <v>44</v>
      </c>
      <c r="G206" s="131">
        <f ca="1" t="shared" si="51"/>
        <v>35</v>
      </c>
      <c r="H206" s="131">
        <f ca="1" t="shared" si="52"/>
        <v>35</v>
      </c>
      <c r="I206" s="131">
        <f ca="1" t="shared" si="53"/>
        <v>35</v>
      </c>
      <c r="J206" s="131">
        <f ca="1" t="shared" si="54"/>
        <v>35</v>
      </c>
      <c r="K206" s="131">
        <f ca="1" t="shared" si="55"/>
        <v>35</v>
      </c>
      <c r="L206" s="131">
        <f ca="1" t="shared" si="56"/>
        <v>35</v>
      </c>
      <c r="M206" s="131">
        <f ca="1" t="shared" si="57"/>
        <v>28</v>
      </c>
      <c r="N206" s="131">
        <f ca="1" t="shared" si="58"/>
        <v>28</v>
      </c>
      <c r="O206" s="131">
        <f ca="1" t="shared" si="59"/>
        <v>28</v>
      </c>
      <c r="P206" s="131">
        <f ca="1" t="shared" si="60"/>
        <v>27</v>
      </c>
      <c r="Q206" s="131">
        <f ca="1" t="shared" si="61"/>
        <v>28</v>
      </c>
      <c r="R206" s="131">
        <f ca="1" t="shared" si="62"/>
        <v>28</v>
      </c>
      <c r="S206" s="131">
        <f ca="1" t="shared" si="63"/>
        <v>32</v>
      </c>
      <c r="T206" s="131">
        <f ca="1" t="shared" si="64"/>
        <v>32</v>
      </c>
      <c r="U206" s="131">
        <f ca="1" t="shared" si="65"/>
        <v>32</v>
      </c>
      <c r="V206" s="131">
        <f ca="1" t="shared" si="66"/>
        <v>33</v>
      </c>
      <c r="W206" s="124">
        <f ca="1">OFFSET($K$19,_xlfn.XLOOKUP(X206,$D$9:$D$28,$H$9:$H$28),MATCH(OFFSET($C$29,B206,MATCH(X206,$D$29:$V$29,0)),$L$19:$R$19,1))*(1+(OFFSET($C$29,B206,MATCH(X206,$D$29:$V$29,0))-1)*_xlfn.XLOOKUP(X206,梦灵养成!$D$9:$D$28,梦灵养成!$G$9:$G$28))</f>
        <v>45.864</v>
      </c>
      <c r="X206" s="106" t="str">
        <f ca="1" t="shared" si="47"/>
        <v>神算诸葛</v>
      </c>
      <c r="Y206" s="95">
        <f ca="1" t="shared" si="67"/>
        <v>55800</v>
      </c>
      <c r="Z206" s="96">
        <f ca="1" t="shared" si="68"/>
        <v>4.2</v>
      </c>
    </row>
    <row r="207" s="106" customFormat="1" ht="16.5" spans="2:26">
      <c r="B207" s="117">
        <v>178</v>
      </c>
      <c r="C207" s="130">
        <f t="shared" si="69"/>
        <v>17800</v>
      </c>
      <c r="D207" s="131">
        <f ca="1" t="shared" si="48"/>
        <v>44</v>
      </c>
      <c r="E207" s="131">
        <f ca="1" t="shared" si="49"/>
        <v>44</v>
      </c>
      <c r="F207" s="131">
        <f ca="1" t="shared" si="50"/>
        <v>44</v>
      </c>
      <c r="G207" s="131">
        <f ca="1" t="shared" si="51"/>
        <v>35</v>
      </c>
      <c r="H207" s="131">
        <f ca="1" t="shared" si="52"/>
        <v>35</v>
      </c>
      <c r="I207" s="131">
        <f ca="1" t="shared" si="53"/>
        <v>35</v>
      </c>
      <c r="J207" s="131">
        <f ca="1" t="shared" si="54"/>
        <v>35</v>
      </c>
      <c r="K207" s="131">
        <f ca="1" t="shared" si="55"/>
        <v>35</v>
      </c>
      <c r="L207" s="131">
        <f ca="1" t="shared" si="56"/>
        <v>35</v>
      </c>
      <c r="M207" s="131">
        <f ca="1" t="shared" si="57"/>
        <v>28</v>
      </c>
      <c r="N207" s="131">
        <f ca="1" t="shared" si="58"/>
        <v>28</v>
      </c>
      <c r="O207" s="131">
        <f ca="1" t="shared" si="59"/>
        <v>28</v>
      </c>
      <c r="P207" s="131">
        <f ca="1" t="shared" si="60"/>
        <v>27</v>
      </c>
      <c r="Q207" s="131">
        <f ca="1" t="shared" si="61"/>
        <v>28</v>
      </c>
      <c r="R207" s="131">
        <f ca="1" t="shared" si="62"/>
        <v>28</v>
      </c>
      <c r="S207" s="131">
        <f ca="1" t="shared" si="63"/>
        <v>32</v>
      </c>
      <c r="T207" s="131">
        <f ca="1" t="shared" si="64"/>
        <v>32</v>
      </c>
      <c r="U207" s="131">
        <f ca="1" t="shared" si="65"/>
        <v>32</v>
      </c>
      <c r="V207" s="131">
        <f ca="1" t="shared" si="66"/>
        <v>33</v>
      </c>
      <c r="W207" s="124">
        <f ca="1">OFFSET($K$19,_xlfn.XLOOKUP(X207,$D$9:$D$28,$H$9:$H$28),MATCH(OFFSET($C$29,B207,MATCH(X207,$D$29:$V$29,0)),$L$19:$R$19,1))*(1+(OFFSET($C$29,B207,MATCH(X207,$D$29:$V$29,0))-1)*_xlfn.XLOOKUP(X207,梦灵养成!$D$9:$D$28,梦灵养成!$G$9:$G$28))</f>
        <v>45.864</v>
      </c>
      <c r="X207" s="106" t="str">
        <f ca="1" t="shared" si="47"/>
        <v>神算诸葛</v>
      </c>
      <c r="Y207" s="95">
        <f ca="1" t="shared" si="67"/>
        <v>54000</v>
      </c>
      <c r="Z207" s="96">
        <f ca="1" t="shared" si="68"/>
        <v>4.2</v>
      </c>
    </row>
    <row r="208" s="106" customFormat="1" ht="16.5" spans="2:26">
      <c r="B208" s="117">
        <v>179</v>
      </c>
      <c r="C208" s="130">
        <f t="shared" si="69"/>
        <v>17900</v>
      </c>
      <c r="D208" s="131">
        <f ca="1" t="shared" si="48"/>
        <v>44</v>
      </c>
      <c r="E208" s="131">
        <f ca="1" t="shared" si="49"/>
        <v>44</v>
      </c>
      <c r="F208" s="131">
        <f ca="1" t="shared" si="50"/>
        <v>44</v>
      </c>
      <c r="G208" s="131">
        <f ca="1" t="shared" si="51"/>
        <v>35</v>
      </c>
      <c r="H208" s="131">
        <f ca="1" t="shared" si="52"/>
        <v>35</v>
      </c>
      <c r="I208" s="131">
        <f ca="1" t="shared" si="53"/>
        <v>35</v>
      </c>
      <c r="J208" s="131">
        <f ca="1" t="shared" si="54"/>
        <v>35</v>
      </c>
      <c r="K208" s="131">
        <f ca="1" t="shared" si="55"/>
        <v>35</v>
      </c>
      <c r="L208" s="131">
        <f ca="1" t="shared" si="56"/>
        <v>35</v>
      </c>
      <c r="M208" s="131">
        <f ca="1" t="shared" si="57"/>
        <v>28</v>
      </c>
      <c r="N208" s="131">
        <f ca="1" t="shared" si="58"/>
        <v>28</v>
      </c>
      <c r="O208" s="131">
        <f ca="1" t="shared" si="59"/>
        <v>28</v>
      </c>
      <c r="P208" s="131">
        <f ca="1" t="shared" si="60"/>
        <v>27</v>
      </c>
      <c r="Q208" s="131">
        <f ca="1" t="shared" si="61"/>
        <v>28</v>
      </c>
      <c r="R208" s="131">
        <f ca="1" t="shared" si="62"/>
        <v>28</v>
      </c>
      <c r="S208" s="131">
        <f ca="1" t="shared" si="63"/>
        <v>32</v>
      </c>
      <c r="T208" s="131">
        <f ca="1" t="shared" si="64"/>
        <v>32</v>
      </c>
      <c r="U208" s="131">
        <f ca="1" t="shared" si="65"/>
        <v>32</v>
      </c>
      <c r="V208" s="131">
        <f ca="1" t="shared" si="66"/>
        <v>33</v>
      </c>
      <c r="W208" s="124">
        <f ca="1">OFFSET($K$19,_xlfn.XLOOKUP(X208,$D$9:$D$28,$H$9:$H$28),MATCH(OFFSET($C$29,B208,MATCH(X208,$D$29:$V$29,0)),$L$19:$R$19,1))*(1+(OFFSET($C$29,B208,MATCH(X208,$D$29:$V$29,0))-1)*_xlfn.XLOOKUP(X208,梦灵养成!$D$9:$D$28,梦灵养成!$G$9:$G$28))</f>
        <v>45.864</v>
      </c>
      <c r="X208" s="106" t="str">
        <f ca="1" t="shared" si="47"/>
        <v>神算诸葛</v>
      </c>
      <c r="Y208" s="95">
        <f ca="1" t="shared" si="67"/>
        <v>52200</v>
      </c>
      <c r="Z208" s="96">
        <f ca="1" t="shared" si="68"/>
        <v>4.2</v>
      </c>
    </row>
    <row r="209" s="106" customFormat="1" ht="16.5" spans="2:26">
      <c r="B209" s="117">
        <v>180</v>
      </c>
      <c r="C209" s="130">
        <f t="shared" si="69"/>
        <v>18000</v>
      </c>
      <c r="D209" s="131">
        <f ca="1" t="shared" si="48"/>
        <v>44</v>
      </c>
      <c r="E209" s="131">
        <f ca="1" t="shared" si="49"/>
        <v>44</v>
      </c>
      <c r="F209" s="131">
        <f ca="1" t="shared" si="50"/>
        <v>44</v>
      </c>
      <c r="G209" s="131">
        <f ca="1" t="shared" si="51"/>
        <v>35</v>
      </c>
      <c r="H209" s="131">
        <f ca="1" t="shared" si="52"/>
        <v>35</v>
      </c>
      <c r="I209" s="131">
        <f ca="1" t="shared" si="53"/>
        <v>35</v>
      </c>
      <c r="J209" s="131">
        <f ca="1" t="shared" si="54"/>
        <v>35</v>
      </c>
      <c r="K209" s="131">
        <f ca="1" t="shared" si="55"/>
        <v>35</v>
      </c>
      <c r="L209" s="131">
        <f ca="1" t="shared" si="56"/>
        <v>35</v>
      </c>
      <c r="M209" s="131">
        <f ca="1" t="shared" si="57"/>
        <v>28</v>
      </c>
      <c r="N209" s="131">
        <f ca="1" t="shared" si="58"/>
        <v>28</v>
      </c>
      <c r="O209" s="131">
        <f ca="1" t="shared" si="59"/>
        <v>28</v>
      </c>
      <c r="P209" s="131">
        <f ca="1" t="shared" si="60"/>
        <v>28</v>
      </c>
      <c r="Q209" s="131">
        <f ca="1" t="shared" si="61"/>
        <v>28</v>
      </c>
      <c r="R209" s="131">
        <f ca="1" t="shared" si="62"/>
        <v>28</v>
      </c>
      <c r="S209" s="131">
        <f ca="1" t="shared" si="63"/>
        <v>32</v>
      </c>
      <c r="T209" s="131">
        <f ca="1" t="shared" si="64"/>
        <v>32</v>
      </c>
      <c r="U209" s="131">
        <f ca="1" t="shared" si="65"/>
        <v>32</v>
      </c>
      <c r="V209" s="131">
        <f ca="1" t="shared" si="66"/>
        <v>33</v>
      </c>
      <c r="W209" s="124">
        <f ca="1">OFFSET($K$19,_xlfn.XLOOKUP(X209,$D$9:$D$28,$H$9:$H$28),MATCH(OFFSET($C$29,B209,MATCH(X209,$D$29:$V$29,0)),$L$19:$R$19,1))*(1+(OFFSET($C$29,B209,MATCH(X209,$D$29:$V$29,0))-1)*_xlfn.XLOOKUP(X209,梦灵养成!$D$9:$D$28,梦灵养成!$G$9:$G$28))</f>
        <v>45.864</v>
      </c>
      <c r="X209" s="106" t="str">
        <f ca="1" t="shared" si="47"/>
        <v>神算诸葛</v>
      </c>
      <c r="Y209" s="95">
        <f ca="1" t="shared" si="67"/>
        <v>50400</v>
      </c>
      <c r="Z209" s="96">
        <f ca="1" t="shared" si="68"/>
        <v>4.2</v>
      </c>
    </row>
    <row r="210" s="106" customFormat="1" ht="16.5" spans="2:26">
      <c r="B210" s="117">
        <v>181</v>
      </c>
      <c r="C210" s="130">
        <f t="shared" si="69"/>
        <v>18100</v>
      </c>
      <c r="D210" s="131">
        <f ca="1" t="shared" si="48"/>
        <v>44</v>
      </c>
      <c r="E210" s="131">
        <f ca="1" t="shared" si="49"/>
        <v>44</v>
      </c>
      <c r="F210" s="131">
        <f ca="1" t="shared" si="50"/>
        <v>44</v>
      </c>
      <c r="G210" s="131">
        <f ca="1" t="shared" si="51"/>
        <v>35</v>
      </c>
      <c r="H210" s="131">
        <f ca="1" t="shared" si="52"/>
        <v>35</v>
      </c>
      <c r="I210" s="131">
        <f ca="1" t="shared" si="53"/>
        <v>35</v>
      </c>
      <c r="J210" s="131">
        <f ca="1" t="shared" si="54"/>
        <v>35</v>
      </c>
      <c r="K210" s="131">
        <f ca="1" t="shared" si="55"/>
        <v>35</v>
      </c>
      <c r="L210" s="131">
        <f ca="1" t="shared" si="56"/>
        <v>35</v>
      </c>
      <c r="M210" s="131">
        <f ca="1" t="shared" si="57"/>
        <v>28</v>
      </c>
      <c r="N210" s="131">
        <f ca="1" t="shared" si="58"/>
        <v>28</v>
      </c>
      <c r="O210" s="131">
        <f ca="1" t="shared" si="59"/>
        <v>28</v>
      </c>
      <c r="P210" s="131">
        <f ca="1" t="shared" si="60"/>
        <v>28</v>
      </c>
      <c r="Q210" s="131">
        <f ca="1" t="shared" si="61"/>
        <v>28</v>
      </c>
      <c r="R210" s="131">
        <f ca="1" t="shared" si="62"/>
        <v>28</v>
      </c>
      <c r="S210" s="131">
        <f ca="1" t="shared" si="63"/>
        <v>32</v>
      </c>
      <c r="T210" s="131">
        <f ca="1" t="shared" si="64"/>
        <v>32</v>
      </c>
      <c r="U210" s="131">
        <f ca="1" t="shared" si="65"/>
        <v>32</v>
      </c>
      <c r="V210" s="131">
        <f ca="1" t="shared" si="66"/>
        <v>34</v>
      </c>
      <c r="W210" s="124">
        <f ca="1">OFFSET($K$19,_xlfn.XLOOKUP(X210,$D$9:$D$28,$H$9:$H$28),MATCH(OFFSET($C$29,B210,MATCH(X210,$D$29:$V$29,0)),$L$19:$R$19,1))*(1+(OFFSET($C$29,B210,MATCH(X210,$D$29:$V$29,0))-1)*_xlfn.XLOOKUP(X210,梦灵养成!$D$9:$D$28,梦灵养成!$G$9:$G$28))</f>
        <v>46.956</v>
      </c>
      <c r="X210" s="106" t="str">
        <f ca="1" t="shared" si="47"/>
        <v>神算诸葛</v>
      </c>
      <c r="Y210" s="95">
        <f ca="1" t="shared" si="67"/>
        <v>109800</v>
      </c>
      <c r="Z210" s="96">
        <f ca="1" t="shared" si="68"/>
        <v>4.3</v>
      </c>
    </row>
    <row r="211" s="106" customFormat="1" ht="16.5" spans="2:26">
      <c r="B211" s="117">
        <v>182</v>
      </c>
      <c r="C211" s="130">
        <f t="shared" si="69"/>
        <v>18200</v>
      </c>
      <c r="D211" s="131">
        <f ca="1" t="shared" si="48"/>
        <v>44</v>
      </c>
      <c r="E211" s="131">
        <f ca="1" t="shared" si="49"/>
        <v>44</v>
      </c>
      <c r="F211" s="131">
        <f ca="1" t="shared" si="50"/>
        <v>44</v>
      </c>
      <c r="G211" s="131">
        <f ca="1" t="shared" si="51"/>
        <v>35</v>
      </c>
      <c r="H211" s="131">
        <f ca="1" t="shared" si="52"/>
        <v>35</v>
      </c>
      <c r="I211" s="131">
        <f ca="1" t="shared" si="53"/>
        <v>35</v>
      </c>
      <c r="J211" s="131">
        <f ca="1" t="shared" si="54"/>
        <v>35</v>
      </c>
      <c r="K211" s="131">
        <f ca="1" t="shared" si="55"/>
        <v>35</v>
      </c>
      <c r="L211" s="131">
        <f ca="1" t="shared" si="56"/>
        <v>35</v>
      </c>
      <c r="M211" s="131">
        <f ca="1" t="shared" si="57"/>
        <v>28</v>
      </c>
      <c r="N211" s="131">
        <f ca="1" t="shared" si="58"/>
        <v>28</v>
      </c>
      <c r="O211" s="131">
        <f ca="1" t="shared" si="59"/>
        <v>28</v>
      </c>
      <c r="P211" s="131">
        <f ca="1" t="shared" si="60"/>
        <v>28</v>
      </c>
      <c r="Q211" s="131">
        <f ca="1" t="shared" si="61"/>
        <v>28</v>
      </c>
      <c r="R211" s="131">
        <f ca="1" t="shared" si="62"/>
        <v>28</v>
      </c>
      <c r="S211" s="131">
        <f ca="1" t="shared" si="63"/>
        <v>32</v>
      </c>
      <c r="T211" s="131">
        <f ca="1" t="shared" si="64"/>
        <v>32</v>
      </c>
      <c r="U211" s="131">
        <f ca="1" t="shared" si="65"/>
        <v>32</v>
      </c>
      <c r="V211" s="131">
        <f ca="1" t="shared" si="66"/>
        <v>34</v>
      </c>
      <c r="W211" s="124">
        <f ca="1">OFFSET($K$19,_xlfn.XLOOKUP(X211,$D$9:$D$28,$H$9:$H$28),MATCH(OFFSET($C$29,B211,MATCH(X211,$D$29:$V$29,0)),$L$19:$R$19,1))*(1+(OFFSET($C$29,B211,MATCH(X211,$D$29:$V$29,0))-1)*_xlfn.XLOOKUP(X211,梦灵养成!$D$9:$D$28,梦灵养成!$G$9:$G$28))</f>
        <v>46.956</v>
      </c>
      <c r="X211" s="106" t="str">
        <f ca="1" t="shared" si="47"/>
        <v>神算诸葛</v>
      </c>
      <c r="Y211" s="95">
        <f ca="1" t="shared" si="67"/>
        <v>108000</v>
      </c>
      <c r="Z211" s="96">
        <f ca="1" t="shared" si="68"/>
        <v>4.3</v>
      </c>
    </row>
    <row r="212" s="106" customFormat="1" ht="16.5" spans="2:26">
      <c r="B212" s="117">
        <v>183</v>
      </c>
      <c r="C212" s="130">
        <f t="shared" si="69"/>
        <v>18300</v>
      </c>
      <c r="D212" s="131">
        <f ca="1" t="shared" si="48"/>
        <v>44</v>
      </c>
      <c r="E212" s="131">
        <f ca="1" t="shared" si="49"/>
        <v>44</v>
      </c>
      <c r="F212" s="131">
        <f ca="1" t="shared" si="50"/>
        <v>44</v>
      </c>
      <c r="G212" s="131">
        <f ca="1" t="shared" si="51"/>
        <v>35</v>
      </c>
      <c r="H212" s="131">
        <f ca="1" t="shared" si="52"/>
        <v>35</v>
      </c>
      <c r="I212" s="131">
        <f ca="1" t="shared" si="53"/>
        <v>35</v>
      </c>
      <c r="J212" s="131">
        <f ca="1" t="shared" si="54"/>
        <v>35</v>
      </c>
      <c r="K212" s="131">
        <f ca="1" t="shared" si="55"/>
        <v>35</v>
      </c>
      <c r="L212" s="131">
        <f ca="1" t="shared" si="56"/>
        <v>35</v>
      </c>
      <c r="M212" s="131">
        <f ca="1" t="shared" si="57"/>
        <v>28</v>
      </c>
      <c r="N212" s="131">
        <f ca="1" t="shared" si="58"/>
        <v>28</v>
      </c>
      <c r="O212" s="131">
        <f ca="1" t="shared" si="59"/>
        <v>28</v>
      </c>
      <c r="P212" s="131">
        <f ca="1" t="shared" si="60"/>
        <v>28</v>
      </c>
      <c r="Q212" s="131">
        <f ca="1" t="shared" si="61"/>
        <v>29</v>
      </c>
      <c r="R212" s="131">
        <f ca="1" t="shared" si="62"/>
        <v>28</v>
      </c>
      <c r="S212" s="131">
        <f ca="1" t="shared" si="63"/>
        <v>32</v>
      </c>
      <c r="T212" s="131">
        <f ca="1" t="shared" si="64"/>
        <v>32</v>
      </c>
      <c r="U212" s="131">
        <f ca="1" t="shared" si="65"/>
        <v>32</v>
      </c>
      <c r="V212" s="131">
        <f ca="1" t="shared" si="66"/>
        <v>34</v>
      </c>
      <c r="W212" s="124">
        <f ca="1">OFFSET($K$19,_xlfn.XLOOKUP(X212,$D$9:$D$28,$H$9:$H$28),MATCH(OFFSET($C$29,B212,MATCH(X212,$D$29:$V$29,0)),$L$19:$R$19,1))*(1+(OFFSET($C$29,B212,MATCH(X212,$D$29:$V$29,0))-1)*_xlfn.XLOOKUP(X212,梦灵养成!$D$9:$D$28,梦灵养成!$G$9:$G$28))</f>
        <v>46.956</v>
      </c>
      <c r="X212" s="106" t="str">
        <f ca="1" t="shared" si="47"/>
        <v>神算诸葛</v>
      </c>
      <c r="Y212" s="95">
        <f ca="1" t="shared" si="67"/>
        <v>106200</v>
      </c>
      <c r="Z212" s="96">
        <f ca="1" t="shared" si="68"/>
        <v>4.3</v>
      </c>
    </row>
    <row r="213" s="106" customFormat="1" ht="16.5" spans="2:26">
      <c r="B213" s="117">
        <v>184</v>
      </c>
      <c r="C213" s="130">
        <f t="shared" si="69"/>
        <v>18400</v>
      </c>
      <c r="D213" s="131">
        <f ca="1" t="shared" si="48"/>
        <v>44</v>
      </c>
      <c r="E213" s="131">
        <f ca="1" t="shared" si="49"/>
        <v>44</v>
      </c>
      <c r="F213" s="131">
        <f ca="1" t="shared" si="50"/>
        <v>44</v>
      </c>
      <c r="G213" s="131">
        <f ca="1" t="shared" si="51"/>
        <v>35</v>
      </c>
      <c r="H213" s="131">
        <f ca="1" t="shared" si="52"/>
        <v>35</v>
      </c>
      <c r="I213" s="131">
        <f ca="1" t="shared" si="53"/>
        <v>35</v>
      </c>
      <c r="J213" s="131">
        <f ca="1" t="shared" si="54"/>
        <v>35</v>
      </c>
      <c r="K213" s="131">
        <f ca="1" t="shared" si="55"/>
        <v>35</v>
      </c>
      <c r="L213" s="131">
        <f ca="1" t="shared" si="56"/>
        <v>35</v>
      </c>
      <c r="M213" s="131">
        <f ca="1" t="shared" si="57"/>
        <v>28</v>
      </c>
      <c r="N213" s="131">
        <f ca="1" t="shared" si="58"/>
        <v>28</v>
      </c>
      <c r="O213" s="131">
        <f ca="1" t="shared" si="59"/>
        <v>28</v>
      </c>
      <c r="P213" s="131">
        <f ca="1" t="shared" si="60"/>
        <v>28</v>
      </c>
      <c r="Q213" s="131">
        <f ca="1" t="shared" si="61"/>
        <v>29</v>
      </c>
      <c r="R213" s="131">
        <f ca="1" t="shared" si="62"/>
        <v>28</v>
      </c>
      <c r="S213" s="131">
        <f ca="1" t="shared" si="63"/>
        <v>32</v>
      </c>
      <c r="T213" s="131">
        <f ca="1" t="shared" si="64"/>
        <v>32</v>
      </c>
      <c r="U213" s="131">
        <f ca="1" t="shared" si="65"/>
        <v>33</v>
      </c>
      <c r="V213" s="131">
        <f ca="1" t="shared" si="66"/>
        <v>34</v>
      </c>
      <c r="W213" s="124">
        <f ca="1">OFFSET($K$19,_xlfn.XLOOKUP(X213,$D$9:$D$28,$H$9:$H$28),MATCH(OFFSET($C$29,B213,MATCH(X213,$D$29:$V$29,0)),$L$19:$R$19,1))*(1+(OFFSET($C$29,B213,MATCH(X213,$D$29:$V$29,0))-1)*_xlfn.XLOOKUP(X213,梦灵养成!$D$9:$D$28,梦灵养成!$G$9:$G$28))</f>
        <v>46.956</v>
      </c>
      <c r="X213" s="106" t="str">
        <f ca="1" t="shared" si="47"/>
        <v>神算诸葛</v>
      </c>
      <c r="Y213" s="95">
        <f ca="1" t="shared" si="67"/>
        <v>104400</v>
      </c>
      <c r="Z213" s="96">
        <f ca="1" t="shared" si="68"/>
        <v>4.3</v>
      </c>
    </row>
    <row r="214" s="106" customFormat="1" ht="16.5" spans="2:26">
      <c r="B214" s="117">
        <v>185</v>
      </c>
      <c r="C214" s="130">
        <f t="shared" si="69"/>
        <v>18500</v>
      </c>
      <c r="D214" s="131">
        <f ca="1" t="shared" si="48"/>
        <v>44</v>
      </c>
      <c r="E214" s="131">
        <f ca="1" t="shared" si="49"/>
        <v>44</v>
      </c>
      <c r="F214" s="131">
        <f ca="1" t="shared" si="50"/>
        <v>44</v>
      </c>
      <c r="G214" s="131">
        <f ca="1" t="shared" si="51"/>
        <v>35</v>
      </c>
      <c r="H214" s="131">
        <f ca="1" t="shared" si="52"/>
        <v>35</v>
      </c>
      <c r="I214" s="131">
        <f ca="1" t="shared" si="53"/>
        <v>35</v>
      </c>
      <c r="J214" s="131">
        <f ca="1" t="shared" si="54"/>
        <v>35</v>
      </c>
      <c r="K214" s="131">
        <f ca="1" t="shared" si="55"/>
        <v>35</v>
      </c>
      <c r="L214" s="131">
        <f ca="1" t="shared" si="56"/>
        <v>35</v>
      </c>
      <c r="M214" s="131">
        <f ca="1" t="shared" si="57"/>
        <v>28</v>
      </c>
      <c r="N214" s="131">
        <f ca="1" t="shared" si="58"/>
        <v>28</v>
      </c>
      <c r="O214" s="131">
        <f ca="1" t="shared" si="59"/>
        <v>29</v>
      </c>
      <c r="P214" s="131">
        <f ca="1" t="shared" si="60"/>
        <v>28</v>
      </c>
      <c r="Q214" s="131">
        <f ca="1" t="shared" si="61"/>
        <v>29</v>
      </c>
      <c r="R214" s="131">
        <f ca="1" t="shared" si="62"/>
        <v>28</v>
      </c>
      <c r="S214" s="131">
        <f ca="1" t="shared" si="63"/>
        <v>32</v>
      </c>
      <c r="T214" s="131">
        <f ca="1" t="shared" si="64"/>
        <v>32</v>
      </c>
      <c r="U214" s="131">
        <f ca="1" t="shared" si="65"/>
        <v>33</v>
      </c>
      <c r="V214" s="131">
        <f ca="1" t="shared" si="66"/>
        <v>34</v>
      </c>
      <c r="W214" s="124">
        <f ca="1">OFFSET($K$19,_xlfn.XLOOKUP(X214,$D$9:$D$28,$H$9:$H$28),MATCH(OFFSET($C$29,B214,MATCH(X214,$D$29:$V$29,0)),$L$19:$R$19,1))*(1+(OFFSET($C$29,B214,MATCH(X214,$D$29:$V$29,0))-1)*_xlfn.XLOOKUP(X214,梦灵养成!$D$9:$D$28,梦灵养成!$G$9:$G$28))</f>
        <v>46.956</v>
      </c>
      <c r="X214" s="106" t="str">
        <f ca="1" t="shared" si="47"/>
        <v>神算诸葛</v>
      </c>
      <c r="Y214" s="95">
        <f ca="1" t="shared" si="67"/>
        <v>102600</v>
      </c>
      <c r="Z214" s="96">
        <f ca="1" t="shared" si="68"/>
        <v>4.3</v>
      </c>
    </row>
    <row r="215" s="106" customFormat="1" ht="16.5" spans="2:26">
      <c r="B215" s="117">
        <v>186</v>
      </c>
      <c r="C215" s="130">
        <f t="shared" si="69"/>
        <v>18600</v>
      </c>
      <c r="D215" s="131">
        <f ca="1" t="shared" si="48"/>
        <v>44</v>
      </c>
      <c r="E215" s="131">
        <f ca="1" t="shared" si="49"/>
        <v>44</v>
      </c>
      <c r="F215" s="131">
        <f ca="1" t="shared" si="50"/>
        <v>44</v>
      </c>
      <c r="G215" s="131">
        <f ca="1" t="shared" si="51"/>
        <v>35</v>
      </c>
      <c r="H215" s="131">
        <f ca="1" t="shared" si="52"/>
        <v>35</v>
      </c>
      <c r="I215" s="131">
        <f ca="1" t="shared" si="53"/>
        <v>35</v>
      </c>
      <c r="J215" s="131">
        <f ca="1" t="shared" si="54"/>
        <v>35</v>
      </c>
      <c r="K215" s="131">
        <f ca="1" t="shared" si="55"/>
        <v>35</v>
      </c>
      <c r="L215" s="131">
        <f ca="1" t="shared" si="56"/>
        <v>35</v>
      </c>
      <c r="M215" s="131">
        <f ca="1" t="shared" si="57"/>
        <v>28</v>
      </c>
      <c r="N215" s="131">
        <f ca="1" t="shared" si="58"/>
        <v>28</v>
      </c>
      <c r="O215" s="131">
        <f ca="1" t="shared" si="59"/>
        <v>29</v>
      </c>
      <c r="P215" s="131">
        <f ca="1" t="shared" si="60"/>
        <v>28</v>
      </c>
      <c r="Q215" s="131">
        <f ca="1" t="shared" si="61"/>
        <v>29</v>
      </c>
      <c r="R215" s="131">
        <f ca="1" t="shared" si="62"/>
        <v>28</v>
      </c>
      <c r="S215" s="131">
        <f ca="1" t="shared" si="63"/>
        <v>32</v>
      </c>
      <c r="T215" s="131">
        <f ca="1" t="shared" si="64"/>
        <v>33</v>
      </c>
      <c r="U215" s="131">
        <f ca="1" t="shared" si="65"/>
        <v>33</v>
      </c>
      <c r="V215" s="131">
        <f ca="1" t="shared" si="66"/>
        <v>34</v>
      </c>
      <c r="W215" s="124">
        <f ca="1">OFFSET($K$19,_xlfn.XLOOKUP(X215,$D$9:$D$28,$H$9:$H$28),MATCH(OFFSET($C$29,B215,MATCH(X215,$D$29:$V$29,0)),$L$19:$R$19,1))*(1+(OFFSET($C$29,B215,MATCH(X215,$D$29:$V$29,0))-1)*_xlfn.XLOOKUP(X215,梦灵养成!$D$9:$D$28,梦灵养成!$G$9:$G$28))</f>
        <v>46.956</v>
      </c>
      <c r="X215" s="106" t="str">
        <f ca="1" t="shared" si="47"/>
        <v>神算诸葛</v>
      </c>
      <c r="Y215" s="95">
        <f ca="1" t="shared" si="67"/>
        <v>100800</v>
      </c>
      <c r="Z215" s="96">
        <f ca="1" t="shared" si="68"/>
        <v>4.3</v>
      </c>
    </row>
    <row r="216" s="106" customFormat="1" ht="16.5" spans="2:26">
      <c r="B216" s="117">
        <v>187</v>
      </c>
      <c r="C216" s="130">
        <f t="shared" si="69"/>
        <v>18700</v>
      </c>
      <c r="D216" s="131">
        <f ca="1" t="shared" si="48"/>
        <v>44</v>
      </c>
      <c r="E216" s="131">
        <f ca="1" t="shared" si="49"/>
        <v>44</v>
      </c>
      <c r="F216" s="131">
        <f ca="1" t="shared" si="50"/>
        <v>44</v>
      </c>
      <c r="G216" s="131">
        <f ca="1" t="shared" si="51"/>
        <v>35</v>
      </c>
      <c r="H216" s="131">
        <f ca="1" t="shared" si="52"/>
        <v>35</v>
      </c>
      <c r="I216" s="131">
        <f ca="1" t="shared" si="53"/>
        <v>35</v>
      </c>
      <c r="J216" s="131">
        <f ca="1" t="shared" si="54"/>
        <v>35</v>
      </c>
      <c r="K216" s="131">
        <f ca="1" t="shared" si="55"/>
        <v>35</v>
      </c>
      <c r="L216" s="131">
        <f ca="1" t="shared" si="56"/>
        <v>35</v>
      </c>
      <c r="M216" s="131">
        <f ca="1" t="shared" si="57"/>
        <v>28</v>
      </c>
      <c r="N216" s="131">
        <f ca="1" t="shared" si="58"/>
        <v>28</v>
      </c>
      <c r="O216" s="131">
        <f ca="1" t="shared" si="59"/>
        <v>29</v>
      </c>
      <c r="P216" s="131">
        <f ca="1" t="shared" si="60"/>
        <v>28</v>
      </c>
      <c r="Q216" s="131">
        <f ca="1" t="shared" si="61"/>
        <v>29</v>
      </c>
      <c r="R216" s="131">
        <f ca="1" t="shared" si="62"/>
        <v>28</v>
      </c>
      <c r="S216" s="131">
        <f ca="1" t="shared" si="63"/>
        <v>33</v>
      </c>
      <c r="T216" s="131">
        <f ca="1" t="shared" si="64"/>
        <v>33</v>
      </c>
      <c r="U216" s="131">
        <f ca="1" t="shared" si="65"/>
        <v>33</v>
      </c>
      <c r="V216" s="131">
        <f ca="1" t="shared" si="66"/>
        <v>34</v>
      </c>
      <c r="W216" s="124">
        <f ca="1">OFFSET($K$19,_xlfn.XLOOKUP(X216,$D$9:$D$28,$H$9:$H$28),MATCH(OFFSET($C$29,B216,MATCH(X216,$D$29:$V$29,0)),$L$19:$R$19,1))*(1+(OFFSET($C$29,B216,MATCH(X216,$D$29:$V$29,0))-1)*_xlfn.XLOOKUP(X216,梦灵养成!$D$9:$D$28,梦灵养成!$G$9:$G$28))</f>
        <v>46.956</v>
      </c>
      <c r="X216" s="106" t="str">
        <f ca="1" t="shared" si="47"/>
        <v>神算诸葛</v>
      </c>
      <c r="Y216" s="95">
        <f ca="1" t="shared" si="67"/>
        <v>99000</v>
      </c>
      <c r="Z216" s="96">
        <f ca="1" t="shared" si="68"/>
        <v>4.3</v>
      </c>
    </row>
    <row r="217" s="106" customFormat="1" ht="16.5" spans="2:26">
      <c r="B217" s="117">
        <v>188</v>
      </c>
      <c r="C217" s="130">
        <f t="shared" si="69"/>
        <v>18800</v>
      </c>
      <c r="D217" s="131">
        <f ca="1" t="shared" si="48"/>
        <v>44</v>
      </c>
      <c r="E217" s="131">
        <f ca="1" t="shared" si="49"/>
        <v>44</v>
      </c>
      <c r="F217" s="131">
        <f ca="1" t="shared" si="50"/>
        <v>44</v>
      </c>
      <c r="G217" s="131">
        <f ca="1" t="shared" si="51"/>
        <v>35</v>
      </c>
      <c r="H217" s="131">
        <f ca="1" t="shared" si="52"/>
        <v>35</v>
      </c>
      <c r="I217" s="131">
        <f ca="1" t="shared" si="53"/>
        <v>35</v>
      </c>
      <c r="J217" s="131">
        <f ca="1" t="shared" si="54"/>
        <v>35</v>
      </c>
      <c r="K217" s="131">
        <f ca="1" t="shared" si="55"/>
        <v>35</v>
      </c>
      <c r="L217" s="131">
        <f ca="1" t="shared" si="56"/>
        <v>35</v>
      </c>
      <c r="M217" s="131">
        <f ca="1" t="shared" si="57"/>
        <v>28</v>
      </c>
      <c r="N217" s="131">
        <f ca="1" t="shared" si="58"/>
        <v>29</v>
      </c>
      <c r="O217" s="131">
        <f ca="1" t="shared" si="59"/>
        <v>29</v>
      </c>
      <c r="P217" s="131">
        <f ca="1" t="shared" si="60"/>
        <v>28</v>
      </c>
      <c r="Q217" s="131">
        <f ca="1" t="shared" si="61"/>
        <v>29</v>
      </c>
      <c r="R217" s="131">
        <f ca="1" t="shared" si="62"/>
        <v>28</v>
      </c>
      <c r="S217" s="131">
        <f ca="1" t="shared" si="63"/>
        <v>33</v>
      </c>
      <c r="T217" s="131">
        <f ca="1" t="shared" si="64"/>
        <v>33</v>
      </c>
      <c r="U217" s="131">
        <f ca="1" t="shared" si="65"/>
        <v>33</v>
      </c>
      <c r="V217" s="131">
        <f ca="1" t="shared" si="66"/>
        <v>34</v>
      </c>
      <c r="W217" s="124">
        <f ca="1">OFFSET($K$19,_xlfn.XLOOKUP(X217,$D$9:$D$28,$H$9:$H$28),MATCH(OFFSET($C$29,B217,MATCH(X217,$D$29:$V$29,0)),$L$19:$R$19,1))*(1+(OFFSET($C$29,B217,MATCH(X217,$D$29:$V$29,0))-1)*_xlfn.XLOOKUP(X217,梦灵养成!$D$9:$D$28,梦灵养成!$G$9:$G$28))</f>
        <v>46.956</v>
      </c>
      <c r="X217" s="106" t="str">
        <f ca="1" t="shared" si="47"/>
        <v>神算诸葛</v>
      </c>
      <c r="Y217" s="95">
        <f ca="1" t="shared" si="67"/>
        <v>97200</v>
      </c>
      <c r="Z217" s="96">
        <f ca="1" t="shared" si="68"/>
        <v>4.3</v>
      </c>
    </row>
    <row r="218" s="106" customFormat="1" ht="16.5" spans="2:26">
      <c r="B218" s="117">
        <v>189</v>
      </c>
      <c r="C218" s="130">
        <f t="shared" si="69"/>
        <v>18900</v>
      </c>
      <c r="D218" s="131">
        <f ca="1" t="shared" si="48"/>
        <v>44</v>
      </c>
      <c r="E218" s="131">
        <f ca="1" t="shared" si="49"/>
        <v>44</v>
      </c>
      <c r="F218" s="131">
        <f ca="1" t="shared" si="50"/>
        <v>44</v>
      </c>
      <c r="G218" s="131">
        <f ca="1" t="shared" si="51"/>
        <v>35</v>
      </c>
      <c r="H218" s="131">
        <f ca="1" t="shared" si="52"/>
        <v>35</v>
      </c>
      <c r="I218" s="131">
        <f ca="1" t="shared" si="53"/>
        <v>35</v>
      </c>
      <c r="J218" s="131">
        <f ca="1" t="shared" si="54"/>
        <v>35</v>
      </c>
      <c r="K218" s="131">
        <f ca="1" t="shared" si="55"/>
        <v>35</v>
      </c>
      <c r="L218" s="131">
        <f ca="1" t="shared" si="56"/>
        <v>35</v>
      </c>
      <c r="M218" s="131">
        <f ca="1" t="shared" si="57"/>
        <v>29</v>
      </c>
      <c r="N218" s="131">
        <f ca="1" t="shared" si="58"/>
        <v>29</v>
      </c>
      <c r="O218" s="131">
        <f ca="1" t="shared" si="59"/>
        <v>29</v>
      </c>
      <c r="P218" s="131">
        <f ca="1" t="shared" si="60"/>
        <v>28</v>
      </c>
      <c r="Q218" s="131">
        <f ca="1" t="shared" si="61"/>
        <v>29</v>
      </c>
      <c r="R218" s="131">
        <f ca="1" t="shared" si="62"/>
        <v>29</v>
      </c>
      <c r="S218" s="131">
        <f ca="1" t="shared" si="63"/>
        <v>33</v>
      </c>
      <c r="T218" s="131">
        <f ca="1" t="shared" si="64"/>
        <v>33</v>
      </c>
      <c r="U218" s="131">
        <f ca="1" t="shared" si="65"/>
        <v>33</v>
      </c>
      <c r="V218" s="131">
        <f ca="1" t="shared" si="66"/>
        <v>34</v>
      </c>
      <c r="W218" s="124">
        <f ca="1">OFFSET($K$19,_xlfn.XLOOKUP(X218,$D$9:$D$28,$H$9:$H$28),MATCH(OFFSET($C$29,B218,MATCH(X218,$D$29:$V$29,0)),$L$19:$R$19,1))*(1+(OFFSET($C$29,B218,MATCH(X218,$D$29:$V$29,0))-1)*_xlfn.XLOOKUP(X218,梦灵养成!$D$9:$D$28,梦灵养成!$G$9:$G$28))</f>
        <v>46.956</v>
      </c>
      <c r="X218" s="106" t="str">
        <f ca="1" t="shared" si="47"/>
        <v>神算诸葛</v>
      </c>
      <c r="Y218" s="95">
        <f ca="1" t="shared" si="67"/>
        <v>95400</v>
      </c>
      <c r="Z218" s="96">
        <f ca="1" t="shared" si="68"/>
        <v>4.3</v>
      </c>
    </row>
    <row r="219" s="106" customFormat="1" ht="16.5" spans="2:26">
      <c r="B219" s="117">
        <v>190</v>
      </c>
      <c r="C219" s="130">
        <f t="shared" si="69"/>
        <v>19000</v>
      </c>
      <c r="D219" s="131">
        <f ca="1" t="shared" si="48"/>
        <v>44</v>
      </c>
      <c r="E219" s="131">
        <f ca="1" t="shared" si="49"/>
        <v>44</v>
      </c>
      <c r="F219" s="131">
        <f ca="1" t="shared" si="50"/>
        <v>44</v>
      </c>
      <c r="G219" s="131">
        <f ca="1" t="shared" si="51"/>
        <v>35</v>
      </c>
      <c r="H219" s="131">
        <f ca="1" t="shared" si="52"/>
        <v>35</v>
      </c>
      <c r="I219" s="131">
        <f ca="1" t="shared" si="53"/>
        <v>35</v>
      </c>
      <c r="J219" s="131">
        <f ca="1" t="shared" si="54"/>
        <v>35</v>
      </c>
      <c r="K219" s="131">
        <f ca="1" t="shared" si="55"/>
        <v>35</v>
      </c>
      <c r="L219" s="131">
        <f ca="1" t="shared" si="56"/>
        <v>35</v>
      </c>
      <c r="M219" s="131">
        <f ca="1" t="shared" si="57"/>
        <v>29</v>
      </c>
      <c r="N219" s="131">
        <f ca="1" t="shared" si="58"/>
        <v>29</v>
      </c>
      <c r="O219" s="131">
        <f ca="1" t="shared" si="59"/>
        <v>29</v>
      </c>
      <c r="P219" s="131">
        <f ca="1" t="shared" si="60"/>
        <v>28</v>
      </c>
      <c r="Q219" s="131">
        <f ca="1" t="shared" si="61"/>
        <v>29</v>
      </c>
      <c r="R219" s="131">
        <f ca="1" t="shared" si="62"/>
        <v>29</v>
      </c>
      <c r="S219" s="131">
        <f ca="1" t="shared" si="63"/>
        <v>33</v>
      </c>
      <c r="T219" s="131">
        <f ca="1" t="shared" si="64"/>
        <v>33</v>
      </c>
      <c r="U219" s="131">
        <f ca="1" t="shared" si="65"/>
        <v>33</v>
      </c>
      <c r="V219" s="131">
        <f ca="1" t="shared" si="66"/>
        <v>34</v>
      </c>
      <c r="W219" s="124">
        <f ca="1">OFFSET($K$19,_xlfn.XLOOKUP(X219,$D$9:$D$28,$H$9:$H$28),MATCH(OFFSET($C$29,B219,MATCH(X219,$D$29:$V$29,0)),$L$19:$R$19,1))*(1+(OFFSET($C$29,B219,MATCH(X219,$D$29:$V$29,0))-1)*_xlfn.XLOOKUP(X219,梦灵养成!$D$9:$D$28,梦灵养成!$G$9:$G$28))</f>
        <v>46.956</v>
      </c>
      <c r="X219" s="106" t="str">
        <f ca="1" t="shared" si="47"/>
        <v>神算诸葛</v>
      </c>
      <c r="Y219" s="95">
        <f ca="1" t="shared" si="67"/>
        <v>93600</v>
      </c>
      <c r="Z219" s="96">
        <f ca="1" t="shared" si="68"/>
        <v>4.3</v>
      </c>
    </row>
    <row r="220" s="106" customFormat="1" ht="16.5" spans="2:26">
      <c r="B220" s="117">
        <v>191</v>
      </c>
      <c r="C220" s="130">
        <f t="shared" si="69"/>
        <v>19100</v>
      </c>
      <c r="D220" s="131">
        <f ca="1" t="shared" si="48"/>
        <v>44</v>
      </c>
      <c r="E220" s="131">
        <f ca="1" t="shared" si="49"/>
        <v>44</v>
      </c>
      <c r="F220" s="131">
        <f ca="1" t="shared" si="50"/>
        <v>44</v>
      </c>
      <c r="G220" s="131">
        <f ca="1" t="shared" si="51"/>
        <v>35</v>
      </c>
      <c r="H220" s="131">
        <f ca="1" t="shared" si="52"/>
        <v>35</v>
      </c>
      <c r="I220" s="131">
        <f ca="1" t="shared" si="53"/>
        <v>35</v>
      </c>
      <c r="J220" s="131">
        <f ca="1" t="shared" si="54"/>
        <v>35</v>
      </c>
      <c r="K220" s="131">
        <f ca="1" t="shared" si="55"/>
        <v>35</v>
      </c>
      <c r="L220" s="131">
        <f ca="1" t="shared" si="56"/>
        <v>35</v>
      </c>
      <c r="M220" s="131">
        <f ca="1" t="shared" si="57"/>
        <v>29</v>
      </c>
      <c r="N220" s="131">
        <f ca="1" t="shared" si="58"/>
        <v>29</v>
      </c>
      <c r="O220" s="131">
        <f ca="1" t="shared" si="59"/>
        <v>29</v>
      </c>
      <c r="P220" s="131">
        <f ca="1" t="shared" si="60"/>
        <v>28</v>
      </c>
      <c r="Q220" s="131">
        <f ca="1" t="shared" si="61"/>
        <v>29</v>
      </c>
      <c r="R220" s="131">
        <f ca="1" t="shared" si="62"/>
        <v>29</v>
      </c>
      <c r="S220" s="131">
        <f ca="1" t="shared" si="63"/>
        <v>33</v>
      </c>
      <c r="T220" s="131">
        <f ca="1" t="shared" si="64"/>
        <v>33</v>
      </c>
      <c r="U220" s="131">
        <f ca="1" t="shared" si="65"/>
        <v>33</v>
      </c>
      <c r="V220" s="131">
        <f ca="1" t="shared" si="66"/>
        <v>35</v>
      </c>
      <c r="W220" s="124">
        <f ca="1">OFFSET($K$19,_xlfn.XLOOKUP(X220,$D$9:$D$28,$H$9:$H$28),MATCH(OFFSET($C$29,B220,MATCH(X220,$D$29:$V$29,0)),$L$19:$R$19,1))*(1+(OFFSET($C$29,B220,MATCH(X220,$D$29:$V$29,0))-1)*_xlfn.XLOOKUP(X220,梦灵养成!$D$9:$D$28,梦灵养成!$G$9:$G$28))</f>
        <v>48.048</v>
      </c>
      <c r="X220" s="106" t="str">
        <f ca="1" t="shared" si="47"/>
        <v>神算诸葛</v>
      </c>
      <c r="Y220" s="95">
        <f ca="1" t="shared" si="67"/>
        <v>122400</v>
      </c>
      <c r="Z220" s="96">
        <f ca="1" t="shared" si="68"/>
        <v>4.4</v>
      </c>
    </row>
    <row r="221" s="106" customFormat="1" ht="16.5" spans="2:26">
      <c r="B221" s="117">
        <v>192</v>
      </c>
      <c r="C221" s="130">
        <f t="shared" si="69"/>
        <v>19200</v>
      </c>
      <c r="D221" s="131">
        <f ca="1" t="shared" si="48"/>
        <v>44</v>
      </c>
      <c r="E221" s="131">
        <f ca="1" t="shared" si="49"/>
        <v>44</v>
      </c>
      <c r="F221" s="131">
        <f ca="1" t="shared" si="50"/>
        <v>44</v>
      </c>
      <c r="G221" s="131">
        <f ca="1" t="shared" si="51"/>
        <v>35</v>
      </c>
      <c r="H221" s="131">
        <f ca="1" t="shared" si="52"/>
        <v>35</v>
      </c>
      <c r="I221" s="131">
        <f ca="1" t="shared" si="53"/>
        <v>35</v>
      </c>
      <c r="J221" s="131">
        <f ca="1" t="shared" si="54"/>
        <v>35</v>
      </c>
      <c r="K221" s="131">
        <f ca="1" t="shared" si="55"/>
        <v>35</v>
      </c>
      <c r="L221" s="131">
        <f ca="1" t="shared" si="56"/>
        <v>35</v>
      </c>
      <c r="M221" s="131">
        <f ca="1" t="shared" si="57"/>
        <v>29</v>
      </c>
      <c r="N221" s="131">
        <f ca="1" t="shared" si="58"/>
        <v>29</v>
      </c>
      <c r="O221" s="131">
        <f ca="1" t="shared" si="59"/>
        <v>29</v>
      </c>
      <c r="P221" s="131">
        <f ca="1" t="shared" si="60"/>
        <v>29</v>
      </c>
      <c r="Q221" s="131">
        <f ca="1" t="shared" si="61"/>
        <v>29</v>
      </c>
      <c r="R221" s="131">
        <f ca="1" t="shared" si="62"/>
        <v>29</v>
      </c>
      <c r="S221" s="131">
        <f ca="1" t="shared" si="63"/>
        <v>33</v>
      </c>
      <c r="T221" s="131">
        <f ca="1" t="shared" si="64"/>
        <v>33</v>
      </c>
      <c r="U221" s="131">
        <f ca="1" t="shared" si="65"/>
        <v>33</v>
      </c>
      <c r="V221" s="131">
        <f ca="1" t="shared" si="66"/>
        <v>35</v>
      </c>
      <c r="W221" s="124">
        <f ca="1">OFFSET($K$19,_xlfn.XLOOKUP(X221,$D$9:$D$28,$H$9:$H$28),MATCH(OFFSET($C$29,B221,MATCH(X221,$D$29:$V$29,0)),$L$19:$R$19,1))*(1+(OFFSET($C$29,B221,MATCH(X221,$D$29:$V$29,0))-1)*_xlfn.XLOOKUP(X221,梦灵养成!$D$9:$D$28,梦灵养成!$G$9:$G$28))</f>
        <v>48.048</v>
      </c>
      <c r="X221" s="106" t="str">
        <f ca="1" t="shared" si="47"/>
        <v>神算诸葛</v>
      </c>
      <c r="Y221" s="95">
        <f ca="1" t="shared" si="67"/>
        <v>120600</v>
      </c>
      <c r="Z221" s="96">
        <f ca="1" t="shared" si="68"/>
        <v>4.4</v>
      </c>
    </row>
    <row r="222" s="106" customFormat="1" ht="16.5" spans="2:26">
      <c r="B222" s="117">
        <v>193</v>
      </c>
      <c r="C222" s="130">
        <f t="shared" si="69"/>
        <v>19300</v>
      </c>
      <c r="D222" s="131">
        <f ca="1" t="shared" si="48"/>
        <v>44</v>
      </c>
      <c r="E222" s="131">
        <f ca="1" t="shared" si="49"/>
        <v>44</v>
      </c>
      <c r="F222" s="131">
        <f ca="1" t="shared" si="50"/>
        <v>44</v>
      </c>
      <c r="G222" s="131">
        <f ca="1" t="shared" si="51"/>
        <v>35</v>
      </c>
      <c r="H222" s="131">
        <f ca="1" t="shared" si="52"/>
        <v>35</v>
      </c>
      <c r="I222" s="131">
        <f ca="1" t="shared" si="53"/>
        <v>35</v>
      </c>
      <c r="J222" s="131">
        <f ca="1" t="shared" si="54"/>
        <v>35</v>
      </c>
      <c r="K222" s="131">
        <f ca="1" t="shared" si="55"/>
        <v>35</v>
      </c>
      <c r="L222" s="131">
        <f ca="1" t="shared" si="56"/>
        <v>35</v>
      </c>
      <c r="M222" s="131">
        <f ca="1" t="shared" si="57"/>
        <v>29</v>
      </c>
      <c r="N222" s="131">
        <f ca="1" t="shared" si="58"/>
        <v>29</v>
      </c>
      <c r="O222" s="131">
        <f ca="1" t="shared" si="59"/>
        <v>29</v>
      </c>
      <c r="P222" s="131">
        <f ca="1" t="shared" si="60"/>
        <v>29</v>
      </c>
      <c r="Q222" s="131">
        <f ca="1" t="shared" si="61"/>
        <v>29</v>
      </c>
      <c r="R222" s="131">
        <f ca="1" t="shared" si="62"/>
        <v>29</v>
      </c>
      <c r="S222" s="131">
        <f ca="1" t="shared" si="63"/>
        <v>33</v>
      </c>
      <c r="T222" s="131">
        <f ca="1" t="shared" si="64"/>
        <v>33</v>
      </c>
      <c r="U222" s="131">
        <f ca="1" t="shared" si="65"/>
        <v>33</v>
      </c>
      <c r="V222" s="131">
        <f ca="1" t="shared" si="66"/>
        <v>35</v>
      </c>
      <c r="W222" s="124">
        <f ca="1">OFFSET($K$19,_xlfn.XLOOKUP(X222,$D$9:$D$28,$H$9:$H$28),MATCH(OFFSET($C$29,B222,MATCH(X222,$D$29:$V$29,0)),$L$19:$R$19,1))*(1+(OFFSET($C$29,B222,MATCH(X222,$D$29:$V$29,0))-1)*_xlfn.XLOOKUP(X222,梦灵养成!$D$9:$D$28,梦灵养成!$G$9:$G$28))</f>
        <v>48.048</v>
      </c>
      <c r="X222" s="106" t="str">
        <f ca="1" t="shared" ref="X222:X285" si="70">OFFSET($I$8,MATCH(C222,$C$9:$C$27,1),0)</f>
        <v>神算诸葛</v>
      </c>
      <c r="Y222" s="95">
        <f ca="1" t="shared" si="67"/>
        <v>118800</v>
      </c>
      <c r="Z222" s="96">
        <f ca="1" t="shared" si="68"/>
        <v>4.4</v>
      </c>
    </row>
    <row r="223" s="106" customFormat="1" ht="16.5" spans="2:26">
      <c r="B223" s="117">
        <v>194</v>
      </c>
      <c r="C223" s="130">
        <f t="shared" si="69"/>
        <v>19400</v>
      </c>
      <c r="D223" s="131">
        <f ca="1" t="shared" ref="D223:D286" si="71">IFERROR(MATCH(D828*10,OFFSET($AP$635:$AP$734,0,D$631),1),0)</f>
        <v>45</v>
      </c>
      <c r="E223" s="131">
        <f ca="1" t="shared" ref="E223:E286" si="72">IFERROR(MATCH(E828*10,OFFSET($AP$635:$AP$734,0,E$631),1),0)</f>
        <v>45</v>
      </c>
      <c r="F223" s="131">
        <f ca="1" t="shared" ref="F223:F286" si="73">IFERROR(MATCH(F828*10,OFFSET($AP$635:$AP$734,0,F$631),1),0)</f>
        <v>45</v>
      </c>
      <c r="G223" s="131">
        <f ca="1" t="shared" ref="G223:G286" si="74">IFERROR(MATCH(G828*10,OFFSET($AP$635:$AP$734,0,G$631),1),0)</f>
        <v>35</v>
      </c>
      <c r="H223" s="131">
        <f ca="1" t="shared" ref="H223:H286" si="75">IFERROR(MATCH(H828*10,OFFSET($AP$635:$AP$734,0,H$631),1),0)</f>
        <v>35</v>
      </c>
      <c r="I223" s="131">
        <f ca="1" t="shared" ref="I223:I286" si="76">IFERROR(MATCH(I828*10,OFFSET($AP$635:$AP$734,0,I$631),1),0)</f>
        <v>35</v>
      </c>
      <c r="J223" s="131">
        <f ca="1" t="shared" ref="J223:J286" si="77">IFERROR(MATCH(J828*10,OFFSET($AP$635:$AP$734,0,J$631),1),0)</f>
        <v>35</v>
      </c>
      <c r="K223" s="131">
        <f ca="1" t="shared" ref="K223:K286" si="78">IFERROR(MATCH(K828*10,OFFSET($AP$635:$AP$734,0,K$631),1),0)</f>
        <v>35</v>
      </c>
      <c r="L223" s="131">
        <f ca="1" t="shared" ref="L223:L286" si="79">IFERROR(MATCH(L828*10,OFFSET($AP$635:$AP$734,0,L$631),1),0)</f>
        <v>35</v>
      </c>
      <c r="M223" s="131">
        <f ca="1" t="shared" ref="M223:M286" si="80">IFERROR(MATCH(M828*10,OFFSET($AP$635:$AP$734,0,M$631),1),0)</f>
        <v>29</v>
      </c>
      <c r="N223" s="131">
        <f ca="1" t="shared" ref="N223:N286" si="81">IFERROR(MATCH(N828*10,OFFSET($AP$635:$AP$734,0,N$631),1),0)</f>
        <v>29</v>
      </c>
      <c r="O223" s="131">
        <f ca="1" t="shared" ref="O223:O286" si="82">IFERROR(MATCH(O828*10,OFFSET($AP$635:$AP$734,0,O$631),1),0)</f>
        <v>29</v>
      </c>
      <c r="P223" s="131">
        <f ca="1" t="shared" ref="P223:P286" si="83">IFERROR(MATCH(P828*10,OFFSET($AP$635:$AP$734,0,P$631),1),0)</f>
        <v>29</v>
      </c>
      <c r="Q223" s="131">
        <f ca="1" t="shared" ref="Q223:Q286" si="84">IFERROR(MATCH(Q828*10,OFFSET($AP$635:$AP$734,0,Q$631),1),0)</f>
        <v>29</v>
      </c>
      <c r="R223" s="131">
        <f ca="1" t="shared" ref="R223:R286" si="85">IFERROR(MATCH(R828*10,OFFSET($AP$635:$AP$734,0,R$631),1),0)</f>
        <v>29</v>
      </c>
      <c r="S223" s="131">
        <f ca="1" t="shared" ref="S223:S286" si="86">IFERROR(MATCH(S828*10,OFFSET($AP$635:$AP$734,0,S$631),1),0)</f>
        <v>33</v>
      </c>
      <c r="T223" s="131">
        <f ca="1" t="shared" ref="T223:T286" si="87">IFERROR(MATCH(T828*10,OFFSET($AP$635:$AP$734,0,T$631),1),0)</f>
        <v>33</v>
      </c>
      <c r="U223" s="131">
        <f ca="1" t="shared" ref="U223:U286" si="88">IFERROR(MATCH(U828*10,OFFSET($AP$635:$AP$734,0,U$631),1),0)</f>
        <v>33</v>
      </c>
      <c r="V223" s="131">
        <f ca="1" t="shared" ref="V223:V286" si="89">IFERROR(MATCH(V828*10,OFFSET($AP$635:$AP$734,0,V$631),1),0)</f>
        <v>35</v>
      </c>
      <c r="W223" s="124">
        <f ca="1">OFFSET($K$19,_xlfn.XLOOKUP(X223,$D$9:$D$28,$H$9:$H$28),MATCH(OFFSET($C$29,B223,MATCH(X223,$D$29:$V$29,0)),$L$19:$R$19,1))*(1+(OFFSET($C$29,B223,MATCH(X223,$D$29:$V$29,0))-1)*_xlfn.XLOOKUP(X223,梦灵养成!$D$9:$D$28,梦灵养成!$G$9:$G$28))</f>
        <v>48.048</v>
      </c>
      <c r="X223" s="106" t="str">
        <f ca="1" t="shared" si="70"/>
        <v>神算诸葛</v>
      </c>
      <c r="Y223" s="95">
        <f ca="1" t="shared" ref="Y223:Y286" si="90">MAX((OFFSET($C$29,MATCH(W223*1.07,$W$30:$W$629,1)+1,0)-C223)*18,0)</f>
        <v>117000</v>
      </c>
      <c r="Z223" s="96">
        <f ca="1" t="shared" ref="Z223:Z286" si="91">_xlfn.XLOOKUP(X223,$D$9:$D$27,$G$9:$G$27)*(OFFSET($B223,0,MATCH($X223,$D$29:$V$29,0)+1)-1)+1</f>
        <v>4.4</v>
      </c>
    </row>
    <row r="224" s="106" customFormat="1" ht="16.5" spans="2:26">
      <c r="B224" s="117">
        <v>195</v>
      </c>
      <c r="C224" s="130">
        <f t="shared" ref="C224:C287" si="92">C223+100</f>
        <v>19500</v>
      </c>
      <c r="D224" s="131">
        <f ca="1" t="shared" si="71"/>
        <v>45</v>
      </c>
      <c r="E224" s="131">
        <f ca="1" t="shared" si="72"/>
        <v>45</v>
      </c>
      <c r="F224" s="131">
        <f ca="1" t="shared" si="73"/>
        <v>45</v>
      </c>
      <c r="G224" s="131">
        <f ca="1" t="shared" si="74"/>
        <v>36</v>
      </c>
      <c r="H224" s="131">
        <f ca="1" t="shared" si="75"/>
        <v>36</v>
      </c>
      <c r="I224" s="131">
        <f ca="1" t="shared" si="76"/>
        <v>36</v>
      </c>
      <c r="J224" s="131">
        <f ca="1" t="shared" si="77"/>
        <v>35</v>
      </c>
      <c r="K224" s="131">
        <f ca="1" t="shared" si="78"/>
        <v>35</v>
      </c>
      <c r="L224" s="131">
        <f ca="1" t="shared" si="79"/>
        <v>35</v>
      </c>
      <c r="M224" s="131">
        <f ca="1" t="shared" si="80"/>
        <v>29</v>
      </c>
      <c r="N224" s="131">
        <f ca="1" t="shared" si="81"/>
        <v>29</v>
      </c>
      <c r="O224" s="131">
        <f ca="1" t="shared" si="82"/>
        <v>29</v>
      </c>
      <c r="P224" s="131">
        <f ca="1" t="shared" si="83"/>
        <v>29</v>
      </c>
      <c r="Q224" s="131">
        <f ca="1" t="shared" si="84"/>
        <v>30</v>
      </c>
      <c r="R224" s="131">
        <f ca="1" t="shared" si="85"/>
        <v>29</v>
      </c>
      <c r="S224" s="131">
        <f ca="1" t="shared" si="86"/>
        <v>33</v>
      </c>
      <c r="T224" s="131">
        <f ca="1" t="shared" si="87"/>
        <v>33</v>
      </c>
      <c r="U224" s="131">
        <f ca="1" t="shared" si="88"/>
        <v>34</v>
      </c>
      <c r="V224" s="131">
        <f ca="1" t="shared" si="89"/>
        <v>35</v>
      </c>
      <c r="W224" s="124">
        <f ca="1">OFFSET($K$19,_xlfn.XLOOKUP(X224,$D$9:$D$28,$H$9:$H$28),MATCH(OFFSET($C$29,B224,MATCH(X224,$D$29:$V$29,0)),$L$19:$R$19,1))*(1+(OFFSET($C$29,B224,MATCH(X224,$D$29:$V$29,0))-1)*_xlfn.XLOOKUP(X224,梦灵养成!$D$9:$D$28,梦灵养成!$G$9:$G$28))</f>
        <v>48.048</v>
      </c>
      <c r="X224" s="106" t="str">
        <f ca="1" t="shared" si="70"/>
        <v>神算诸葛</v>
      </c>
      <c r="Y224" s="95">
        <f ca="1" t="shared" si="90"/>
        <v>115200</v>
      </c>
      <c r="Z224" s="96">
        <f ca="1" t="shared" si="91"/>
        <v>4.4</v>
      </c>
    </row>
    <row r="225" s="106" customFormat="1" ht="16.5" spans="2:26">
      <c r="B225" s="117">
        <v>196</v>
      </c>
      <c r="C225" s="130">
        <f t="shared" si="92"/>
        <v>19600</v>
      </c>
      <c r="D225" s="131">
        <f ca="1" t="shared" si="71"/>
        <v>45</v>
      </c>
      <c r="E225" s="131">
        <f ca="1" t="shared" si="72"/>
        <v>45</v>
      </c>
      <c r="F225" s="131">
        <f ca="1" t="shared" si="73"/>
        <v>45</v>
      </c>
      <c r="G225" s="131">
        <f ca="1" t="shared" si="74"/>
        <v>36</v>
      </c>
      <c r="H225" s="131">
        <f ca="1" t="shared" si="75"/>
        <v>36</v>
      </c>
      <c r="I225" s="131">
        <f ca="1" t="shared" si="76"/>
        <v>36</v>
      </c>
      <c r="J225" s="131">
        <f ca="1" t="shared" si="77"/>
        <v>36</v>
      </c>
      <c r="K225" s="131">
        <f ca="1" t="shared" si="78"/>
        <v>35</v>
      </c>
      <c r="L225" s="131">
        <f ca="1" t="shared" si="79"/>
        <v>35</v>
      </c>
      <c r="M225" s="131">
        <f ca="1" t="shared" si="80"/>
        <v>29</v>
      </c>
      <c r="N225" s="131">
        <f ca="1" t="shared" si="81"/>
        <v>29</v>
      </c>
      <c r="O225" s="131">
        <f ca="1" t="shared" si="82"/>
        <v>29</v>
      </c>
      <c r="P225" s="131">
        <f ca="1" t="shared" si="83"/>
        <v>29</v>
      </c>
      <c r="Q225" s="131">
        <f ca="1" t="shared" si="84"/>
        <v>30</v>
      </c>
      <c r="R225" s="131">
        <f ca="1" t="shared" si="85"/>
        <v>29</v>
      </c>
      <c r="S225" s="131">
        <f ca="1" t="shared" si="86"/>
        <v>33</v>
      </c>
      <c r="T225" s="131">
        <f ca="1" t="shared" si="87"/>
        <v>33</v>
      </c>
      <c r="U225" s="131">
        <f ca="1" t="shared" si="88"/>
        <v>34</v>
      </c>
      <c r="V225" s="131">
        <f ca="1" t="shared" si="89"/>
        <v>35</v>
      </c>
      <c r="W225" s="124">
        <f ca="1">OFFSET($K$19,_xlfn.XLOOKUP(X225,$D$9:$D$28,$H$9:$H$28),MATCH(OFFSET($C$29,B225,MATCH(X225,$D$29:$V$29,0)),$L$19:$R$19,1))*(1+(OFFSET($C$29,B225,MATCH(X225,$D$29:$V$29,0))-1)*_xlfn.XLOOKUP(X225,梦灵养成!$D$9:$D$28,梦灵养成!$G$9:$G$28))</f>
        <v>48.048</v>
      </c>
      <c r="X225" s="106" t="str">
        <f ca="1" t="shared" si="70"/>
        <v>神算诸葛</v>
      </c>
      <c r="Y225" s="95">
        <f ca="1" t="shared" si="90"/>
        <v>113400</v>
      </c>
      <c r="Z225" s="96">
        <f ca="1" t="shared" si="91"/>
        <v>4.4</v>
      </c>
    </row>
    <row r="226" s="106" customFormat="1" ht="16.5" spans="2:26">
      <c r="B226" s="117">
        <v>197</v>
      </c>
      <c r="C226" s="130">
        <f t="shared" si="92"/>
        <v>19700</v>
      </c>
      <c r="D226" s="131">
        <f ca="1" t="shared" si="71"/>
        <v>45</v>
      </c>
      <c r="E226" s="131">
        <f ca="1" t="shared" si="72"/>
        <v>45</v>
      </c>
      <c r="F226" s="131">
        <f ca="1" t="shared" si="73"/>
        <v>45</v>
      </c>
      <c r="G226" s="131">
        <f ca="1" t="shared" si="74"/>
        <v>36</v>
      </c>
      <c r="H226" s="131">
        <f ca="1" t="shared" si="75"/>
        <v>36</v>
      </c>
      <c r="I226" s="131">
        <f ca="1" t="shared" si="76"/>
        <v>36</v>
      </c>
      <c r="J226" s="131">
        <f ca="1" t="shared" si="77"/>
        <v>36</v>
      </c>
      <c r="K226" s="131">
        <f ca="1" t="shared" si="78"/>
        <v>36</v>
      </c>
      <c r="L226" s="131">
        <f ca="1" t="shared" si="79"/>
        <v>36</v>
      </c>
      <c r="M226" s="131">
        <f ca="1" t="shared" si="80"/>
        <v>29</v>
      </c>
      <c r="N226" s="131">
        <f ca="1" t="shared" si="81"/>
        <v>29</v>
      </c>
      <c r="O226" s="131">
        <f ca="1" t="shared" si="82"/>
        <v>30</v>
      </c>
      <c r="P226" s="131">
        <f ca="1" t="shared" si="83"/>
        <v>29</v>
      </c>
      <c r="Q226" s="131">
        <f ca="1" t="shared" si="84"/>
        <v>30</v>
      </c>
      <c r="R226" s="131">
        <f ca="1" t="shared" si="85"/>
        <v>29</v>
      </c>
      <c r="S226" s="131">
        <f ca="1" t="shared" si="86"/>
        <v>33</v>
      </c>
      <c r="T226" s="131">
        <f ca="1" t="shared" si="87"/>
        <v>33</v>
      </c>
      <c r="U226" s="131">
        <f ca="1" t="shared" si="88"/>
        <v>34</v>
      </c>
      <c r="V226" s="131">
        <f ca="1" t="shared" si="89"/>
        <v>35</v>
      </c>
      <c r="W226" s="124">
        <f ca="1">OFFSET($K$19,_xlfn.XLOOKUP(X226,$D$9:$D$28,$H$9:$H$28),MATCH(OFFSET($C$29,B226,MATCH(X226,$D$29:$V$29,0)),$L$19:$R$19,1))*(1+(OFFSET($C$29,B226,MATCH(X226,$D$29:$V$29,0))-1)*_xlfn.XLOOKUP(X226,梦灵养成!$D$9:$D$28,梦灵养成!$G$9:$G$28))</f>
        <v>48.048</v>
      </c>
      <c r="X226" s="106" t="str">
        <f ca="1" t="shared" si="70"/>
        <v>神算诸葛</v>
      </c>
      <c r="Y226" s="95">
        <f ca="1" t="shared" si="90"/>
        <v>111600</v>
      </c>
      <c r="Z226" s="96">
        <f ca="1" t="shared" si="91"/>
        <v>4.4</v>
      </c>
    </row>
    <row r="227" s="106" customFormat="1" ht="16.5" spans="2:26">
      <c r="B227" s="117">
        <v>198</v>
      </c>
      <c r="C227" s="130">
        <f t="shared" si="92"/>
        <v>19800</v>
      </c>
      <c r="D227" s="131">
        <f ca="1" t="shared" si="71"/>
        <v>45</v>
      </c>
      <c r="E227" s="131">
        <f ca="1" t="shared" si="72"/>
        <v>45</v>
      </c>
      <c r="F227" s="131">
        <f ca="1" t="shared" si="73"/>
        <v>45</v>
      </c>
      <c r="G227" s="131">
        <f ca="1" t="shared" si="74"/>
        <v>36</v>
      </c>
      <c r="H227" s="131">
        <f ca="1" t="shared" si="75"/>
        <v>36</v>
      </c>
      <c r="I227" s="131">
        <f ca="1" t="shared" si="76"/>
        <v>36</v>
      </c>
      <c r="J227" s="131">
        <f ca="1" t="shared" si="77"/>
        <v>36</v>
      </c>
      <c r="K227" s="131">
        <f ca="1" t="shared" si="78"/>
        <v>36</v>
      </c>
      <c r="L227" s="131">
        <f ca="1" t="shared" si="79"/>
        <v>36</v>
      </c>
      <c r="M227" s="131">
        <f ca="1" t="shared" si="80"/>
        <v>29</v>
      </c>
      <c r="N227" s="131">
        <f ca="1" t="shared" si="81"/>
        <v>29</v>
      </c>
      <c r="O227" s="131">
        <f ca="1" t="shared" si="82"/>
        <v>30</v>
      </c>
      <c r="P227" s="131">
        <f ca="1" t="shared" si="83"/>
        <v>29</v>
      </c>
      <c r="Q227" s="131">
        <f ca="1" t="shared" si="84"/>
        <v>30</v>
      </c>
      <c r="R227" s="131">
        <f ca="1" t="shared" si="85"/>
        <v>29</v>
      </c>
      <c r="S227" s="131">
        <f ca="1" t="shared" si="86"/>
        <v>33</v>
      </c>
      <c r="T227" s="131">
        <f ca="1" t="shared" si="87"/>
        <v>33</v>
      </c>
      <c r="U227" s="131">
        <f ca="1" t="shared" si="88"/>
        <v>34</v>
      </c>
      <c r="V227" s="131">
        <f ca="1" t="shared" si="89"/>
        <v>35</v>
      </c>
      <c r="W227" s="124">
        <f ca="1">OFFSET($K$19,_xlfn.XLOOKUP(X227,$D$9:$D$28,$H$9:$H$28),MATCH(OFFSET($C$29,B227,MATCH(X227,$D$29:$V$29,0)),$L$19:$R$19,1))*(1+(OFFSET($C$29,B227,MATCH(X227,$D$29:$V$29,0))-1)*_xlfn.XLOOKUP(X227,梦灵养成!$D$9:$D$28,梦灵养成!$G$9:$G$28))</f>
        <v>48.048</v>
      </c>
      <c r="X227" s="106" t="str">
        <f ca="1" t="shared" si="70"/>
        <v>神算诸葛</v>
      </c>
      <c r="Y227" s="95">
        <f ca="1" t="shared" si="90"/>
        <v>109800</v>
      </c>
      <c r="Z227" s="96">
        <f ca="1" t="shared" si="91"/>
        <v>4.4</v>
      </c>
    </row>
    <row r="228" s="106" customFormat="1" ht="16.5" spans="2:26">
      <c r="B228" s="117">
        <v>199</v>
      </c>
      <c r="C228" s="130">
        <f t="shared" si="92"/>
        <v>19900</v>
      </c>
      <c r="D228" s="131">
        <f ca="1" t="shared" si="71"/>
        <v>45</v>
      </c>
      <c r="E228" s="131">
        <f ca="1" t="shared" si="72"/>
        <v>45</v>
      </c>
      <c r="F228" s="131">
        <f ca="1" t="shared" si="73"/>
        <v>45</v>
      </c>
      <c r="G228" s="131">
        <f ca="1" t="shared" si="74"/>
        <v>36</v>
      </c>
      <c r="H228" s="131">
        <f ca="1" t="shared" si="75"/>
        <v>36</v>
      </c>
      <c r="I228" s="131">
        <f ca="1" t="shared" si="76"/>
        <v>36</v>
      </c>
      <c r="J228" s="131">
        <f ca="1" t="shared" si="77"/>
        <v>36</v>
      </c>
      <c r="K228" s="131">
        <f ca="1" t="shared" si="78"/>
        <v>36</v>
      </c>
      <c r="L228" s="131">
        <f ca="1" t="shared" si="79"/>
        <v>36</v>
      </c>
      <c r="M228" s="131">
        <f ca="1" t="shared" si="80"/>
        <v>29</v>
      </c>
      <c r="N228" s="131">
        <f ca="1" t="shared" si="81"/>
        <v>29</v>
      </c>
      <c r="O228" s="131">
        <f ca="1" t="shared" si="82"/>
        <v>30</v>
      </c>
      <c r="P228" s="131">
        <f ca="1" t="shared" si="83"/>
        <v>29</v>
      </c>
      <c r="Q228" s="131">
        <f ca="1" t="shared" si="84"/>
        <v>30</v>
      </c>
      <c r="R228" s="131">
        <f ca="1" t="shared" si="85"/>
        <v>29</v>
      </c>
      <c r="S228" s="131">
        <f ca="1" t="shared" si="86"/>
        <v>33</v>
      </c>
      <c r="T228" s="131">
        <f ca="1" t="shared" si="87"/>
        <v>33</v>
      </c>
      <c r="U228" s="131">
        <f ca="1" t="shared" si="88"/>
        <v>34</v>
      </c>
      <c r="V228" s="131">
        <f ca="1" t="shared" si="89"/>
        <v>35</v>
      </c>
      <c r="W228" s="124">
        <f ca="1">OFFSET($K$19,_xlfn.XLOOKUP(X228,$D$9:$D$28,$H$9:$H$28),MATCH(OFFSET($C$29,B228,MATCH(X228,$D$29:$V$29,0)),$L$19:$R$19,1))*(1+(OFFSET($C$29,B228,MATCH(X228,$D$29:$V$29,0))-1)*_xlfn.XLOOKUP(X228,梦灵养成!$D$9:$D$28,梦灵养成!$G$9:$G$28))</f>
        <v>48.048</v>
      </c>
      <c r="X228" s="106" t="str">
        <f ca="1" t="shared" si="70"/>
        <v>神算诸葛</v>
      </c>
      <c r="Y228" s="95">
        <f ca="1" t="shared" si="90"/>
        <v>108000</v>
      </c>
      <c r="Z228" s="96">
        <f ca="1" t="shared" si="91"/>
        <v>4.4</v>
      </c>
    </row>
    <row r="229" s="106" customFormat="1" ht="16.5" spans="2:26">
      <c r="B229" s="117">
        <v>200</v>
      </c>
      <c r="C229" s="130">
        <f t="shared" si="92"/>
        <v>20000</v>
      </c>
      <c r="D229" s="131">
        <f ca="1" t="shared" si="71"/>
        <v>45</v>
      </c>
      <c r="E229" s="131">
        <f ca="1" t="shared" si="72"/>
        <v>45</v>
      </c>
      <c r="F229" s="131">
        <f ca="1" t="shared" si="73"/>
        <v>45</v>
      </c>
      <c r="G229" s="131">
        <f ca="1" t="shared" si="74"/>
        <v>36</v>
      </c>
      <c r="H229" s="131">
        <f ca="1" t="shared" si="75"/>
        <v>36</v>
      </c>
      <c r="I229" s="131">
        <f ca="1" t="shared" si="76"/>
        <v>36</v>
      </c>
      <c r="J229" s="131">
        <f ca="1" t="shared" si="77"/>
        <v>36</v>
      </c>
      <c r="K229" s="131">
        <f ca="1" t="shared" si="78"/>
        <v>36</v>
      </c>
      <c r="L229" s="131">
        <f ca="1" t="shared" si="79"/>
        <v>36</v>
      </c>
      <c r="M229" s="131">
        <f ca="1" t="shared" si="80"/>
        <v>29</v>
      </c>
      <c r="N229" s="131">
        <f ca="1" t="shared" si="81"/>
        <v>29</v>
      </c>
      <c r="O229" s="131">
        <f ca="1" t="shared" si="82"/>
        <v>30</v>
      </c>
      <c r="P229" s="131">
        <f ca="1" t="shared" si="83"/>
        <v>29</v>
      </c>
      <c r="Q229" s="131">
        <f ca="1" t="shared" si="84"/>
        <v>30</v>
      </c>
      <c r="R229" s="131">
        <f ca="1" t="shared" si="85"/>
        <v>29</v>
      </c>
      <c r="S229" s="131">
        <f ca="1" t="shared" si="86"/>
        <v>33</v>
      </c>
      <c r="T229" s="131">
        <f ca="1" t="shared" si="87"/>
        <v>34</v>
      </c>
      <c r="U229" s="131">
        <f ca="1" t="shared" si="88"/>
        <v>34</v>
      </c>
      <c r="V229" s="131">
        <f ca="1" t="shared" si="89"/>
        <v>35</v>
      </c>
      <c r="W229" s="124">
        <f ca="1">OFFSET($K$19,_xlfn.XLOOKUP(X229,$D$9:$D$28,$H$9:$H$28),MATCH(OFFSET($C$29,B229,MATCH(X229,$D$29:$V$29,0)),$L$19:$R$19,1))*(1+(OFFSET($C$29,B229,MATCH(X229,$D$29:$V$29,0))-1)*_xlfn.XLOOKUP(X229,梦灵养成!$D$9:$D$28,梦灵养成!$G$9:$G$28))</f>
        <v>48.048</v>
      </c>
      <c r="X229" s="106" t="str">
        <f ca="1" t="shared" si="70"/>
        <v>神算诸葛</v>
      </c>
      <c r="Y229" s="95">
        <f ca="1" t="shared" si="90"/>
        <v>106200</v>
      </c>
      <c r="Z229" s="96">
        <f ca="1" t="shared" si="91"/>
        <v>4.4</v>
      </c>
    </row>
    <row r="230" s="106" customFormat="1" ht="16.5" spans="2:26">
      <c r="B230" s="117">
        <v>201</v>
      </c>
      <c r="C230" s="130">
        <f t="shared" si="92"/>
        <v>20100</v>
      </c>
      <c r="D230" s="131">
        <f ca="1" t="shared" si="71"/>
        <v>45</v>
      </c>
      <c r="E230" s="131">
        <f ca="1" t="shared" si="72"/>
        <v>45</v>
      </c>
      <c r="F230" s="131">
        <f ca="1" t="shared" si="73"/>
        <v>45</v>
      </c>
      <c r="G230" s="131">
        <f ca="1" t="shared" si="74"/>
        <v>36</v>
      </c>
      <c r="H230" s="131">
        <f ca="1" t="shared" si="75"/>
        <v>36</v>
      </c>
      <c r="I230" s="131">
        <f ca="1" t="shared" si="76"/>
        <v>36</v>
      </c>
      <c r="J230" s="131">
        <f ca="1" t="shared" si="77"/>
        <v>36</v>
      </c>
      <c r="K230" s="131">
        <f ca="1" t="shared" si="78"/>
        <v>36</v>
      </c>
      <c r="L230" s="131">
        <f ca="1" t="shared" si="79"/>
        <v>36</v>
      </c>
      <c r="M230" s="131">
        <f ca="1" t="shared" si="80"/>
        <v>29</v>
      </c>
      <c r="N230" s="131">
        <f ca="1" t="shared" si="81"/>
        <v>30</v>
      </c>
      <c r="O230" s="131">
        <f ca="1" t="shared" si="82"/>
        <v>30</v>
      </c>
      <c r="P230" s="131">
        <f ca="1" t="shared" si="83"/>
        <v>29</v>
      </c>
      <c r="Q230" s="131">
        <f ca="1" t="shared" si="84"/>
        <v>30</v>
      </c>
      <c r="R230" s="131">
        <f ca="1" t="shared" si="85"/>
        <v>30</v>
      </c>
      <c r="S230" s="131">
        <f ca="1" t="shared" si="86"/>
        <v>33</v>
      </c>
      <c r="T230" s="131">
        <f ca="1" t="shared" si="87"/>
        <v>34</v>
      </c>
      <c r="U230" s="131">
        <f ca="1" t="shared" si="88"/>
        <v>34</v>
      </c>
      <c r="V230" s="131">
        <f ca="1" t="shared" si="89"/>
        <v>35</v>
      </c>
      <c r="W230" s="124">
        <f ca="1">OFFSET($K$19,_xlfn.XLOOKUP(X230,$D$9:$D$28,$H$9:$H$28),MATCH(OFFSET($C$29,B230,MATCH(X230,$D$29:$V$29,0)),$L$19:$R$19,1))*(1+(OFFSET($C$29,B230,MATCH(X230,$D$29:$V$29,0))-1)*_xlfn.XLOOKUP(X230,梦灵养成!$D$9:$D$28,梦灵养成!$G$9:$G$28))</f>
        <v>48.048</v>
      </c>
      <c r="X230" s="106" t="str">
        <f ca="1" t="shared" si="70"/>
        <v>神算诸葛</v>
      </c>
      <c r="Y230" s="95">
        <f ca="1" t="shared" si="90"/>
        <v>104400</v>
      </c>
      <c r="Z230" s="96">
        <f ca="1" t="shared" si="91"/>
        <v>4.4</v>
      </c>
    </row>
    <row r="231" s="106" customFormat="1" ht="16.5" spans="2:26">
      <c r="B231" s="117">
        <v>202</v>
      </c>
      <c r="C231" s="130">
        <f t="shared" si="92"/>
        <v>20200</v>
      </c>
      <c r="D231" s="131">
        <f ca="1" t="shared" si="71"/>
        <v>45</v>
      </c>
      <c r="E231" s="131">
        <f ca="1" t="shared" si="72"/>
        <v>45</v>
      </c>
      <c r="F231" s="131">
        <f ca="1" t="shared" si="73"/>
        <v>45</v>
      </c>
      <c r="G231" s="131">
        <f ca="1" t="shared" si="74"/>
        <v>36</v>
      </c>
      <c r="H231" s="131">
        <f ca="1" t="shared" si="75"/>
        <v>36</v>
      </c>
      <c r="I231" s="131">
        <f ca="1" t="shared" si="76"/>
        <v>36</v>
      </c>
      <c r="J231" s="131">
        <f ca="1" t="shared" si="77"/>
        <v>36</v>
      </c>
      <c r="K231" s="131">
        <f ca="1" t="shared" si="78"/>
        <v>36</v>
      </c>
      <c r="L231" s="131">
        <f ca="1" t="shared" si="79"/>
        <v>36</v>
      </c>
      <c r="M231" s="131">
        <f ca="1" t="shared" si="80"/>
        <v>30</v>
      </c>
      <c r="N231" s="131">
        <f ca="1" t="shared" si="81"/>
        <v>30</v>
      </c>
      <c r="O231" s="131">
        <f ca="1" t="shared" si="82"/>
        <v>30</v>
      </c>
      <c r="P231" s="131">
        <f ca="1" t="shared" si="83"/>
        <v>29</v>
      </c>
      <c r="Q231" s="131">
        <f ca="1" t="shared" si="84"/>
        <v>30</v>
      </c>
      <c r="R231" s="131">
        <f ca="1" t="shared" si="85"/>
        <v>30</v>
      </c>
      <c r="S231" s="131">
        <f ca="1" t="shared" si="86"/>
        <v>33</v>
      </c>
      <c r="T231" s="131">
        <f ca="1" t="shared" si="87"/>
        <v>34</v>
      </c>
      <c r="U231" s="131">
        <f ca="1" t="shared" si="88"/>
        <v>34</v>
      </c>
      <c r="V231" s="131">
        <f ca="1" t="shared" si="89"/>
        <v>35</v>
      </c>
      <c r="W231" s="124">
        <f ca="1">OFFSET($K$19,_xlfn.XLOOKUP(X231,$D$9:$D$28,$H$9:$H$28),MATCH(OFFSET($C$29,B231,MATCH(X231,$D$29:$V$29,0)),$L$19:$R$19,1))*(1+(OFFSET($C$29,B231,MATCH(X231,$D$29:$V$29,0))-1)*_xlfn.XLOOKUP(X231,梦灵养成!$D$9:$D$28,梦灵养成!$G$9:$G$28))</f>
        <v>48.048</v>
      </c>
      <c r="X231" s="106" t="str">
        <f ca="1" t="shared" si="70"/>
        <v>神算诸葛</v>
      </c>
      <c r="Y231" s="95">
        <f ca="1" t="shared" si="90"/>
        <v>102600</v>
      </c>
      <c r="Z231" s="96">
        <f ca="1" t="shared" si="91"/>
        <v>4.4</v>
      </c>
    </row>
    <row r="232" s="106" customFormat="1" ht="16.5" spans="2:26">
      <c r="B232" s="117">
        <v>203</v>
      </c>
      <c r="C232" s="130">
        <f t="shared" si="92"/>
        <v>20300</v>
      </c>
      <c r="D232" s="131">
        <f ca="1" t="shared" si="71"/>
        <v>45</v>
      </c>
      <c r="E232" s="131">
        <f ca="1" t="shared" si="72"/>
        <v>45</v>
      </c>
      <c r="F232" s="131">
        <f ca="1" t="shared" si="73"/>
        <v>45</v>
      </c>
      <c r="G232" s="131">
        <f ca="1" t="shared" si="74"/>
        <v>36</v>
      </c>
      <c r="H232" s="131">
        <f ca="1" t="shared" si="75"/>
        <v>36</v>
      </c>
      <c r="I232" s="131">
        <f ca="1" t="shared" si="76"/>
        <v>36</v>
      </c>
      <c r="J232" s="131">
        <f ca="1" t="shared" si="77"/>
        <v>36</v>
      </c>
      <c r="K232" s="131">
        <f ca="1" t="shared" si="78"/>
        <v>36</v>
      </c>
      <c r="L232" s="131">
        <f ca="1" t="shared" si="79"/>
        <v>36</v>
      </c>
      <c r="M232" s="131">
        <f ca="1" t="shared" si="80"/>
        <v>30</v>
      </c>
      <c r="N232" s="131">
        <f ca="1" t="shared" si="81"/>
        <v>30</v>
      </c>
      <c r="O232" s="131">
        <f ca="1" t="shared" si="82"/>
        <v>30</v>
      </c>
      <c r="P232" s="131">
        <f ca="1" t="shared" si="83"/>
        <v>29</v>
      </c>
      <c r="Q232" s="131">
        <f ca="1" t="shared" si="84"/>
        <v>30</v>
      </c>
      <c r="R232" s="131">
        <f ca="1" t="shared" si="85"/>
        <v>30</v>
      </c>
      <c r="S232" s="131">
        <f ca="1" t="shared" si="86"/>
        <v>33</v>
      </c>
      <c r="T232" s="131">
        <f ca="1" t="shared" si="87"/>
        <v>34</v>
      </c>
      <c r="U232" s="131">
        <f ca="1" t="shared" si="88"/>
        <v>34</v>
      </c>
      <c r="V232" s="131">
        <f ca="1" t="shared" si="89"/>
        <v>35</v>
      </c>
      <c r="W232" s="124">
        <f ca="1">OFFSET($K$19,_xlfn.XLOOKUP(X232,$D$9:$D$28,$H$9:$H$28),MATCH(OFFSET($C$29,B232,MATCH(X232,$D$29:$V$29,0)),$L$19:$R$19,1))*(1+(OFFSET($C$29,B232,MATCH(X232,$D$29:$V$29,0))-1)*_xlfn.XLOOKUP(X232,梦灵养成!$D$9:$D$28,梦灵养成!$G$9:$G$28))</f>
        <v>48.048</v>
      </c>
      <c r="X232" s="106" t="str">
        <f ca="1" t="shared" si="70"/>
        <v>神算诸葛</v>
      </c>
      <c r="Y232" s="95">
        <f ca="1" t="shared" si="90"/>
        <v>100800</v>
      </c>
      <c r="Z232" s="96">
        <f ca="1" t="shared" si="91"/>
        <v>4.4</v>
      </c>
    </row>
    <row r="233" s="106" customFormat="1" ht="16.5" spans="2:26">
      <c r="B233" s="117">
        <v>204</v>
      </c>
      <c r="C233" s="130">
        <f t="shared" si="92"/>
        <v>20400</v>
      </c>
      <c r="D233" s="131">
        <f ca="1" t="shared" si="71"/>
        <v>45</v>
      </c>
      <c r="E233" s="131">
        <f ca="1" t="shared" si="72"/>
        <v>45</v>
      </c>
      <c r="F233" s="131">
        <f ca="1" t="shared" si="73"/>
        <v>45</v>
      </c>
      <c r="G233" s="131">
        <f ca="1" t="shared" si="74"/>
        <v>36</v>
      </c>
      <c r="H233" s="131">
        <f ca="1" t="shared" si="75"/>
        <v>36</v>
      </c>
      <c r="I233" s="131">
        <f ca="1" t="shared" si="76"/>
        <v>36</v>
      </c>
      <c r="J233" s="131">
        <f ca="1" t="shared" si="77"/>
        <v>36</v>
      </c>
      <c r="K233" s="131">
        <f ca="1" t="shared" si="78"/>
        <v>36</v>
      </c>
      <c r="L233" s="131">
        <f ca="1" t="shared" si="79"/>
        <v>36</v>
      </c>
      <c r="M233" s="131">
        <f ca="1" t="shared" si="80"/>
        <v>30</v>
      </c>
      <c r="N233" s="131">
        <f ca="1" t="shared" si="81"/>
        <v>30</v>
      </c>
      <c r="O233" s="131">
        <f ca="1" t="shared" si="82"/>
        <v>30</v>
      </c>
      <c r="P233" s="131">
        <f ca="1" t="shared" si="83"/>
        <v>29</v>
      </c>
      <c r="Q233" s="131">
        <f ca="1" t="shared" si="84"/>
        <v>30</v>
      </c>
      <c r="R233" s="131">
        <f ca="1" t="shared" si="85"/>
        <v>30</v>
      </c>
      <c r="S233" s="131">
        <f ca="1" t="shared" si="86"/>
        <v>34</v>
      </c>
      <c r="T233" s="131">
        <f ca="1" t="shared" si="87"/>
        <v>34</v>
      </c>
      <c r="U233" s="131">
        <f ca="1" t="shared" si="88"/>
        <v>34</v>
      </c>
      <c r="V233" s="131">
        <f ca="1" t="shared" si="89"/>
        <v>35</v>
      </c>
      <c r="W233" s="124">
        <f ca="1">OFFSET($K$19,_xlfn.XLOOKUP(X233,$D$9:$D$28,$H$9:$H$28),MATCH(OFFSET($C$29,B233,MATCH(X233,$D$29:$V$29,0)),$L$19:$R$19,1))*(1+(OFFSET($C$29,B233,MATCH(X233,$D$29:$V$29,0))-1)*_xlfn.XLOOKUP(X233,梦灵养成!$D$9:$D$28,梦灵养成!$G$9:$G$28))</f>
        <v>48.048</v>
      </c>
      <c r="X233" s="106" t="str">
        <f ca="1" t="shared" si="70"/>
        <v>神算诸葛</v>
      </c>
      <c r="Y233" s="95">
        <f ca="1" t="shared" si="90"/>
        <v>99000</v>
      </c>
      <c r="Z233" s="96">
        <f ca="1" t="shared" si="91"/>
        <v>4.4</v>
      </c>
    </row>
    <row r="234" s="106" customFormat="1" ht="16.5" spans="2:26">
      <c r="B234" s="117">
        <v>205</v>
      </c>
      <c r="C234" s="130">
        <f t="shared" si="92"/>
        <v>20500</v>
      </c>
      <c r="D234" s="131">
        <f ca="1" t="shared" si="71"/>
        <v>45</v>
      </c>
      <c r="E234" s="131">
        <f ca="1" t="shared" si="72"/>
        <v>45</v>
      </c>
      <c r="F234" s="131">
        <f ca="1" t="shared" si="73"/>
        <v>45</v>
      </c>
      <c r="G234" s="131">
        <f ca="1" t="shared" si="74"/>
        <v>36</v>
      </c>
      <c r="H234" s="131">
        <f ca="1" t="shared" si="75"/>
        <v>36</v>
      </c>
      <c r="I234" s="131">
        <f ca="1" t="shared" si="76"/>
        <v>36</v>
      </c>
      <c r="J234" s="131">
        <f ca="1" t="shared" si="77"/>
        <v>36</v>
      </c>
      <c r="K234" s="131">
        <f ca="1" t="shared" si="78"/>
        <v>36</v>
      </c>
      <c r="L234" s="131">
        <f ca="1" t="shared" si="79"/>
        <v>36</v>
      </c>
      <c r="M234" s="131">
        <f ca="1" t="shared" si="80"/>
        <v>30</v>
      </c>
      <c r="N234" s="131">
        <f ca="1" t="shared" si="81"/>
        <v>30</v>
      </c>
      <c r="O234" s="131">
        <f ca="1" t="shared" si="82"/>
        <v>30</v>
      </c>
      <c r="P234" s="131">
        <f ca="1" t="shared" si="83"/>
        <v>30</v>
      </c>
      <c r="Q234" s="131">
        <f ca="1" t="shared" si="84"/>
        <v>30</v>
      </c>
      <c r="R234" s="131">
        <f ca="1" t="shared" si="85"/>
        <v>30</v>
      </c>
      <c r="S234" s="131">
        <f ca="1" t="shared" si="86"/>
        <v>34</v>
      </c>
      <c r="T234" s="131">
        <f ca="1" t="shared" si="87"/>
        <v>34</v>
      </c>
      <c r="U234" s="131">
        <f ca="1" t="shared" si="88"/>
        <v>34</v>
      </c>
      <c r="V234" s="131">
        <f ca="1" t="shared" si="89"/>
        <v>35</v>
      </c>
      <c r="W234" s="124">
        <f ca="1">OFFSET($K$19,_xlfn.XLOOKUP(X234,$D$9:$D$28,$H$9:$H$28),MATCH(OFFSET($C$29,B234,MATCH(X234,$D$29:$V$29,0)),$L$19:$R$19,1))*(1+(OFFSET($C$29,B234,MATCH(X234,$D$29:$V$29,0))-1)*_xlfn.XLOOKUP(X234,梦灵养成!$D$9:$D$28,梦灵养成!$G$9:$G$28))</f>
        <v>48.048</v>
      </c>
      <c r="X234" s="106" t="str">
        <f ca="1" t="shared" si="70"/>
        <v>神算诸葛</v>
      </c>
      <c r="Y234" s="95">
        <f ca="1" t="shared" si="90"/>
        <v>97200</v>
      </c>
      <c r="Z234" s="96">
        <f ca="1" t="shared" si="91"/>
        <v>4.4</v>
      </c>
    </row>
    <row r="235" s="106" customFormat="1" ht="16.5" spans="2:26">
      <c r="B235" s="117">
        <v>206</v>
      </c>
      <c r="C235" s="130">
        <f t="shared" si="92"/>
        <v>20600</v>
      </c>
      <c r="D235" s="131">
        <f ca="1" t="shared" si="71"/>
        <v>45</v>
      </c>
      <c r="E235" s="131">
        <f ca="1" t="shared" si="72"/>
        <v>45</v>
      </c>
      <c r="F235" s="131">
        <f ca="1" t="shared" si="73"/>
        <v>45</v>
      </c>
      <c r="G235" s="131">
        <f ca="1" t="shared" si="74"/>
        <v>36</v>
      </c>
      <c r="H235" s="131">
        <f ca="1" t="shared" si="75"/>
        <v>36</v>
      </c>
      <c r="I235" s="131">
        <f ca="1" t="shared" si="76"/>
        <v>36</v>
      </c>
      <c r="J235" s="131">
        <f ca="1" t="shared" si="77"/>
        <v>36</v>
      </c>
      <c r="K235" s="131">
        <f ca="1" t="shared" si="78"/>
        <v>36</v>
      </c>
      <c r="L235" s="131">
        <f ca="1" t="shared" si="79"/>
        <v>36</v>
      </c>
      <c r="M235" s="131">
        <f ca="1" t="shared" si="80"/>
        <v>30</v>
      </c>
      <c r="N235" s="131">
        <f ca="1" t="shared" si="81"/>
        <v>30</v>
      </c>
      <c r="O235" s="131">
        <f ca="1" t="shared" si="82"/>
        <v>30</v>
      </c>
      <c r="P235" s="131">
        <f ca="1" t="shared" si="83"/>
        <v>30</v>
      </c>
      <c r="Q235" s="131">
        <f ca="1" t="shared" si="84"/>
        <v>30</v>
      </c>
      <c r="R235" s="131">
        <f ca="1" t="shared" si="85"/>
        <v>30</v>
      </c>
      <c r="S235" s="131">
        <f ca="1" t="shared" si="86"/>
        <v>34</v>
      </c>
      <c r="T235" s="131">
        <f ca="1" t="shared" si="87"/>
        <v>34</v>
      </c>
      <c r="U235" s="131">
        <f ca="1" t="shared" si="88"/>
        <v>34</v>
      </c>
      <c r="V235" s="131">
        <f ca="1" t="shared" si="89"/>
        <v>35</v>
      </c>
      <c r="W235" s="124">
        <f ca="1">OFFSET($K$19,_xlfn.XLOOKUP(X235,$D$9:$D$28,$H$9:$H$28),MATCH(OFFSET($C$29,B235,MATCH(X235,$D$29:$V$29,0)),$L$19:$R$19,1))*(1+(OFFSET($C$29,B235,MATCH(X235,$D$29:$V$29,0))-1)*_xlfn.XLOOKUP(X235,梦灵养成!$D$9:$D$28,梦灵养成!$G$9:$G$28))</f>
        <v>48.048</v>
      </c>
      <c r="X235" s="106" t="str">
        <f ca="1" t="shared" si="70"/>
        <v>神算诸葛</v>
      </c>
      <c r="Y235" s="95">
        <f ca="1" t="shared" si="90"/>
        <v>95400</v>
      </c>
      <c r="Z235" s="96">
        <f ca="1" t="shared" si="91"/>
        <v>4.4</v>
      </c>
    </row>
    <row r="236" s="106" customFormat="1" ht="16.5" spans="2:26">
      <c r="B236" s="117">
        <v>207</v>
      </c>
      <c r="C236" s="130">
        <f t="shared" si="92"/>
        <v>20700</v>
      </c>
      <c r="D236" s="131">
        <f ca="1" t="shared" si="71"/>
        <v>45</v>
      </c>
      <c r="E236" s="131">
        <f ca="1" t="shared" si="72"/>
        <v>45</v>
      </c>
      <c r="F236" s="131">
        <f ca="1" t="shared" si="73"/>
        <v>45</v>
      </c>
      <c r="G236" s="131">
        <f ca="1" t="shared" si="74"/>
        <v>36</v>
      </c>
      <c r="H236" s="131">
        <f ca="1" t="shared" si="75"/>
        <v>36</v>
      </c>
      <c r="I236" s="131">
        <f ca="1" t="shared" si="76"/>
        <v>36</v>
      </c>
      <c r="J236" s="131">
        <f ca="1" t="shared" si="77"/>
        <v>36</v>
      </c>
      <c r="K236" s="131">
        <f ca="1" t="shared" si="78"/>
        <v>36</v>
      </c>
      <c r="L236" s="131">
        <f ca="1" t="shared" si="79"/>
        <v>36</v>
      </c>
      <c r="M236" s="131">
        <f ca="1" t="shared" si="80"/>
        <v>30</v>
      </c>
      <c r="N236" s="131">
        <f ca="1" t="shared" si="81"/>
        <v>30</v>
      </c>
      <c r="O236" s="131">
        <f ca="1" t="shared" si="82"/>
        <v>30</v>
      </c>
      <c r="P236" s="131">
        <f ca="1" t="shared" si="83"/>
        <v>30</v>
      </c>
      <c r="Q236" s="131">
        <f ca="1" t="shared" si="84"/>
        <v>30</v>
      </c>
      <c r="R236" s="131">
        <f ca="1" t="shared" si="85"/>
        <v>30</v>
      </c>
      <c r="S236" s="131">
        <f ca="1" t="shared" si="86"/>
        <v>34</v>
      </c>
      <c r="T236" s="131">
        <f ca="1" t="shared" si="87"/>
        <v>34</v>
      </c>
      <c r="U236" s="131">
        <f ca="1" t="shared" si="88"/>
        <v>34</v>
      </c>
      <c r="V236" s="131">
        <f ca="1" t="shared" si="89"/>
        <v>35</v>
      </c>
      <c r="W236" s="124">
        <f ca="1">OFFSET($K$19,_xlfn.XLOOKUP(X236,$D$9:$D$28,$H$9:$H$28),MATCH(OFFSET($C$29,B236,MATCH(X236,$D$29:$V$29,0)),$L$19:$R$19,1))*(1+(OFFSET($C$29,B236,MATCH(X236,$D$29:$V$29,0))-1)*_xlfn.XLOOKUP(X236,梦灵养成!$D$9:$D$28,梦灵养成!$G$9:$G$28))</f>
        <v>48.048</v>
      </c>
      <c r="X236" s="106" t="str">
        <f ca="1" t="shared" si="70"/>
        <v>神算诸葛</v>
      </c>
      <c r="Y236" s="95">
        <f ca="1" t="shared" si="90"/>
        <v>93600</v>
      </c>
      <c r="Z236" s="96">
        <f ca="1" t="shared" si="91"/>
        <v>4.4</v>
      </c>
    </row>
    <row r="237" s="106" customFormat="1" ht="16.5" spans="2:26">
      <c r="B237" s="117">
        <v>208</v>
      </c>
      <c r="C237" s="130">
        <f t="shared" si="92"/>
        <v>20800</v>
      </c>
      <c r="D237" s="131">
        <f ca="1" t="shared" si="71"/>
        <v>45</v>
      </c>
      <c r="E237" s="131">
        <f ca="1" t="shared" si="72"/>
        <v>45</v>
      </c>
      <c r="F237" s="131">
        <f ca="1" t="shared" si="73"/>
        <v>45</v>
      </c>
      <c r="G237" s="131">
        <f ca="1" t="shared" si="74"/>
        <v>36</v>
      </c>
      <c r="H237" s="131">
        <f ca="1" t="shared" si="75"/>
        <v>36</v>
      </c>
      <c r="I237" s="131">
        <f ca="1" t="shared" si="76"/>
        <v>36</v>
      </c>
      <c r="J237" s="131">
        <f ca="1" t="shared" si="77"/>
        <v>36</v>
      </c>
      <c r="K237" s="131">
        <f ca="1" t="shared" si="78"/>
        <v>36</v>
      </c>
      <c r="L237" s="131">
        <f ca="1" t="shared" si="79"/>
        <v>36</v>
      </c>
      <c r="M237" s="131">
        <f ca="1" t="shared" si="80"/>
        <v>30</v>
      </c>
      <c r="N237" s="131">
        <f ca="1" t="shared" si="81"/>
        <v>30</v>
      </c>
      <c r="O237" s="131">
        <f ca="1" t="shared" si="82"/>
        <v>30</v>
      </c>
      <c r="P237" s="131">
        <f ca="1" t="shared" si="83"/>
        <v>30</v>
      </c>
      <c r="Q237" s="131">
        <f ca="1" t="shared" si="84"/>
        <v>30</v>
      </c>
      <c r="R237" s="131">
        <f ca="1" t="shared" si="85"/>
        <v>30</v>
      </c>
      <c r="S237" s="131">
        <f ca="1" t="shared" si="86"/>
        <v>34</v>
      </c>
      <c r="T237" s="131">
        <f ca="1" t="shared" si="87"/>
        <v>34</v>
      </c>
      <c r="U237" s="131">
        <f ca="1" t="shared" si="88"/>
        <v>34</v>
      </c>
      <c r="V237" s="131">
        <f ca="1" t="shared" si="89"/>
        <v>36</v>
      </c>
      <c r="W237" s="124">
        <f ca="1">OFFSET($K$19,_xlfn.XLOOKUP(X237,$D$9:$D$28,$H$9:$H$28),MATCH(OFFSET($C$29,B237,MATCH(X237,$D$29:$V$29,0)),$L$19:$R$19,1))*(1+(OFFSET($C$29,B237,MATCH(X237,$D$29:$V$29,0))-1)*_xlfn.XLOOKUP(X237,梦灵养成!$D$9:$D$28,梦灵养成!$G$9:$G$28))</f>
        <v>49.14</v>
      </c>
      <c r="X237" s="106" t="str">
        <f ca="1" t="shared" si="70"/>
        <v>神算诸葛</v>
      </c>
      <c r="Y237" s="95">
        <f ca="1" t="shared" si="90"/>
        <v>122400</v>
      </c>
      <c r="Z237" s="96">
        <f ca="1" t="shared" si="91"/>
        <v>4.5</v>
      </c>
    </row>
    <row r="238" s="106" customFormat="1" ht="16.5" spans="2:26">
      <c r="B238" s="117">
        <v>209</v>
      </c>
      <c r="C238" s="130">
        <f t="shared" si="92"/>
        <v>20900</v>
      </c>
      <c r="D238" s="131">
        <f ca="1" t="shared" si="71"/>
        <v>45</v>
      </c>
      <c r="E238" s="131">
        <f ca="1" t="shared" si="72"/>
        <v>45</v>
      </c>
      <c r="F238" s="131">
        <f ca="1" t="shared" si="73"/>
        <v>45</v>
      </c>
      <c r="G238" s="131">
        <f ca="1" t="shared" si="74"/>
        <v>36</v>
      </c>
      <c r="H238" s="131">
        <f ca="1" t="shared" si="75"/>
        <v>36</v>
      </c>
      <c r="I238" s="131">
        <f ca="1" t="shared" si="76"/>
        <v>36</v>
      </c>
      <c r="J238" s="131">
        <f ca="1" t="shared" si="77"/>
        <v>36</v>
      </c>
      <c r="K238" s="131">
        <f ca="1" t="shared" si="78"/>
        <v>36</v>
      </c>
      <c r="L238" s="131">
        <f ca="1" t="shared" si="79"/>
        <v>36</v>
      </c>
      <c r="M238" s="131">
        <f ca="1" t="shared" si="80"/>
        <v>30</v>
      </c>
      <c r="N238" s="131">
        <f ca="1" t="shared" si="81"/>
        <v>30</v>
      </c>
      <c r="O238" s="131">
        <f ca="1" t="shared" si="82"/>
        <v>30</v>
      </c>
      <c r="P238" s="131">
        <f ca="1" t="shared" si="83"/>
        <v>30</v>
      </c>
      <c r="Q238" s="131">
        <f ca="1" t="shared" si="84"/>
        <v>30</v>
      </c>
      <c r="R238" s="131">
        <f ca="1" t="shared" si="85"/>
        <v>30</v>
      </c>
      <c r="S238" s="131">
        <f ca="1" t="shared" si="86"/>
        <v>34</v>
      </c>
      <c r="T238" s="131">
        <f ca="1" t="shared" si="87"/>
        <v>34</v>
      </c>
      <c r="U238" s="131">
        <f ca="1" t="shared" si="88"/>
        <v>35</v>
      </c>
      <c r="V238" s="131">
        <f ca="1" t="shared" si="89"/>
        <v>36</v>
      </c>
      <c r="W238" s="124">
        <f ca="1">OFFSET($K$19,_xlfn.XLOOKUP(X238,$D$9:$D$28,$H$9:$H$28),MATCH(OFFSET($C$29,B238,MATCH(X238,$D$29:$V$29,0)),$L$19:$R$19,1))*(1+(OFFSET($C$29,B238,MATCH(X238,$D$29:$V$29,0))-1)*_xlfn.XLOOKUP(X238,梦灵养成!$D$9:$D$28,梦灵养成!$G$9:$G$28))</f>
        <v>49.14</v>
      </c>
      <c r="X238" s="106" t="str">
        <f ca="1" t="shared" si="70"/>
        <v>神算诸葛</v>
      </c>
      <c r="Y238" s="95">
        <f ca="1" t="shared" si="90"/>
        <v>120600</v>
      </c>
      <c r="Z238" s="96">
        <f ca="1" t="shared" si="91"/>
        <v>4.5</v>
      </c>
    </row>
    <row r="239" s="106" customFormat="1" ht="16.5" spans="2:26">
      <c r="B239" s="117">
        <v>210</v>
      </c>
      <c r="C239" s="130">
        <f t="shared" si="92"/>
        <v>21000</v>
      </c>
      <c r="D239" s="131">
        <f ca="1" t="shared" si="71"/>
        <v>45</v>
      </c>
      <c r="E239" s="131">
        <f ca="1" t="shared" si="72"/>
        <v>45</v>
      </c>
      <c r="F239" s="131">
        <f ca="1" t="shared" si="73"/>
        <v>45</v>
      </c>
      <c r="G239" s="131">
        <f ca="1" t="shared" si="74"/>
        <v>36</v>
      </c>
      <c r="H239" s="131">
        <f ca="1" t="shared" si="75"/>
        <v>36</v>
      </c>
      <c r="I239" s="131">
        <f ca="1" t="shared" si="76"/>
        <v>36</v>
      </c>
      <c r="J239" s="131">
        <f ca="1" t="shared" si="77"/>
        <v>36</v>
      </c>
      <c r="K239" s="131">
        <f ca="1" t="shared" si="78"/>
        <v>36</v>
      </c>
      <c r="L239" s="131">
        <f ca="1" t="shared" si="79"/>
        <v>36</v>
      </c>
      <c r="M239" s="131">
        <f ca="1" t="shared" si="80"/>
        <v>30</v>
      </c>
      <c r="N239" s="131">
        <f ca="1" t="shared" si="81"/>
        <v>30</v>
      </c>
      <c r="O239" s="131">
        <f ca="1" t="shared" si="82"/>
        <v>30</v>
      </c>
      <c r="P239" s="131">
        <f ca="1" t="shared" si="83"/>
        <v>30</v>
      </c>
      <c r="Q239" s="131">
        <f ca="1" t="shared" si="84"/>
        <v>30</v>
      </c>
      <c r="R239" s="131">
        <f ca="1" t="shared" si="85"/>
        <v>30</v>
      </c>
      <c r="S239" s="131">
        <f ca="1" t="shared" si="86"/>
        <v>34</v>
      </c>
      <c r="T239" s="131">
        <f ca="1" t="shared" si="87"/>
        <v>34</v>
      </c>
      <c r="U239" s="131">
        <f ca="1" t="shared" si="88"/>
        <v>35</v>
      </c>
      <c r="V239" s="131">
        <f ca="1" t="shared" si="89"/>
        <v>36</v>
      </c>
      <c r="W239" s="124">
        <f ca="1">OFFSET($K$19,_xlfn.XLOOKUP(X239,$D$9:$D$28,$H$9:$H$28),MATCH(OFFSET($C$29,B239,MATCH(X239,$D$29:$V$29,0)),$L$19:$R$19,1))*(1+(OFFSET($C$29,B239,MATCH(X239,$D$29:$V$29,0))-1)*_xlfn.XLOOKUP(X239,梦灵养成!$D$9:$D$28,梦灵养成!$G$9:$G$28))</f>
        <v>49.14</v>
      </c>
      <c r="X239" s="106" t="str">
        <f ca="1" t="shared" si="70"/>
        <v>神算诸葛</v>
      </c>
      <c r="Y239" s="95">
        <f ca="1" t="shared" si="90"/>
        <v>118800</v>
      </c>
      <c r="Z239" s="96">
        <f ca="1" t="shared" si="91"/>
        <v>4.5</v>
      </c>
    </row>
    <row r="240" s="106" customFormat="1" ht="16.5" spans="2:26">
      <c r="B240" s="117">
        <v>211</v>
      </c>
      <c r="C240" s="130">
        <f t="shared" si="92"/>
        <v>21100</v>
      </c>
      <c r="D240" s="131">
        <f ca="1" t="shared" si="71"/>
        <v>45</v>
      </c>
      <c r="E240" s="131">
        <f ca="1" t="shared" si="72"/>
        <v>45</v>
      </c>
      <c r="F240" s="131">
        <f ca="1" t="shared" si="73"/>
        <v>45</v>
      </c>
      <c r="G240" s="131">
        <f ca="1" t="shared" si="74"/>
        <v>36</v>
      </c>
      <c r="H240" s="131">
        <f ca="1" t="shared" si="75"/>
        <v>36</v>
      </c>
      <c r="I240" s="131">
        <f ca="1" t="shared" si="76"/>
        <v>36</v>
      </c>
      <c r="J240" s="131">
        <f ca="1" t="shared" si="77"/>
        <v>36</v>
      </c>
      <c r="K240" s="131">
        <f ca="1" t="shared" si="78"/>
        <v>36</v>
      </c>
      <c r="L240" s="131">
        <f ca="1" t="shared" si="79"/>
        <v>36</v>
      </c>
      <c r="M240" s="131">
        <f ca="1" t="shared" si="80"/>
        <v>30</v>
      </c>
      <c r="N240" s="131">
        <f ca="1" t="shared" si="81"/>
        <v>30</v>
      </c>
      <c r="O240" s="131">
        <f ca="1" t="shared" si="82"/>
        <v>30</v>
      </c>
      <c r="P240" s="131">
        <f ca="1" t="shared" si="83"/>
        <v>30</v>
      </c>
      <c r="Q240" s="131">
        <f ca="1" t="shared" si="84"/>
        <v>30</v>
      </c>
      <c r="R240" s="131">
        <f ca="1" t="shared" si="85"/>
        <v>30</v>
      </c>
      <c r="S240" s="131">
        <f ca="1" t="shared" si="86"/>
        <v>34</v>
      </c>
      <c r="T240" s="131">
        <f ca="1" t="shared" si="87"/>
        <v>34</v>
      </c>
      <c r="U240" s="131">
        <f ca="1" t="shared" si="88"/>
        <v>35</v>
      </c>
      <c r="V240" s="131">
        <f ca="1" t="shared" si="89"/>
        <v>36</v>
      </c>
      <c r="W240" s="124">
        <f ca="1">OFFSET($K$19,_xlfn.XLOOKUP(X240,$D$9:$D$28,$H$9:$H$28),MATCH(OFFSET($C$29,B240,MATCH(X240,$D$29:$V$29,0)),$L$19:$R$19,1))*(1+(OFFSET($C$29,B240,MATCH(X240,$D$29:$V$29,0))-1)*_xlfn.XLOOKUP(X240,梦灵养成!$D$9:$D$28,梦灵养成!$G$9:$G$28))</f>
        <v>49.14</v>
      </c>
      <c r="X240" s="106" t="str">
        <f ca="1" t="shared" si="70"/>
        <v>神算诸葛</v>
      </c>
      <c r="Y240" s="95">
        <f ca="1" t="shared" si="90"/>
        <v>117000</v>
      </c>
      <c r="Z240" s="96">
        <f ca="1" t="shared" si="91"/>
        <v>4.5</v>
      </c>
    </row>
    <row r="241" s="106" customFormat="1" ht="16.5" spans="2:26">
      <c r="B241" s="117">
        <v>212</v>
      </c>
      <c r="C241" s="130">
        <f t="shared" si="92"/>
        <v>21200</v>
      </c>
      <c r="D241" s="131">
        <f ca="1" t="shared" si="71"/>
        <v>45</v>
      </c>
      <c r="E241" s="131">
        <f ca="1" t="shared" si="72"/>
        <v>45</v>
      </c>
      <c r="F241" s="131">
        <f ca="1" t="shared" si="73"/>
        <v>45</v>
      </c>
      <c r="G241" s="131">
        <f ca="1" t="shared" si="74"/>
        <v>36</v>
      </c>
      <c r="H241" s="131">
        <f ca="1" t="shared" si="75"/>
        <v>36</v>
      </c>
      <c r="I241" s="131">
        <f ca="1" t="shared" si="76"/>
        <v>36</v>
      </c>
      <c r="J241" s="131">
        <f ca="1" t="shared" si="77"/>
        <v>36</v>
      </c>
      <c r="K241" s="131">
        <f ca="1" t="shared" si="78"/>
        <v>36</v>
      </c>
      <c r="L241" s="131">
        <f ca="1" t="shared" si="79"/>
        <v>36</v>
      </c>
      <c r="M241" s="131">
        <f ca="1" t="shared" si="80"/>
        <v>30</v>
      </c>
      <c r="N241" s="131">
        <f ca="1" t="shared" si="81"/>
        <v>30</v>
      </c>
      <c r="O241" s="131">
        <f ca="1" t="shared" si="82"/>
        <v>30</v>
      </c>
      <c r="P241" s="131">
        <f ca="1" t="shared" si="83"/>
        <v>30</v>
      </c>
      <c r="Q241" s="131">
        <f ca="1" t="shared" si="84"/>
        <v>31</v>
      </c>
      <c r="R241" s="131">
        <f ca="1" t="shared" si="85"/>
        <v>30</v>
      </c>
      <c r="S241" s="131">
        <f ca="1" t="shared" si="86"/>
        <v>34</v>
      </c>
      <c r="T241" s="131">
        <f ca="1" t="shared" si="87"/>
        <v>34</v>
      </c>
      <c r="U241" s="131">
        <f ca="1" t="shared" si="88"/>
        <v>35</v>
      </c>
      <c r="V241" s="131">
        <f ca="1" t="shared" si="89"/>
        <v>36</v>
      </c>
      <c r="W241" s="124">
        <f ca="1">OFFSET($K$19,_xlfn.XLOOKUP(X241,$D$9:$D$28,$H$9:$H$28),MATCH(OFFSET($C$29,B241,MATCH(X241,$D$29:$V$29,0)),$L$19:$R$19,1))*(1+(OFFSET($C$29,B241,MATCH(X241,$D$29:$V$29,0))-1)*_xlfn.XLOOKUP(X241,梦灵养成!$D$9:$D$28,梦灵养成!$G$9:$G$28))</f>
        <v>49.14</v>
      </c>
      <c r="X241" s="106" t="str">
        <f ca="1" t="shared" si="70"/>
        <v>神算诸葛</v>
      </c>
      <c r="Y241" s="95">
        <f ca="1" t="shared" si="90"/>
        <v>115200</v>
      </c>
      <c r="Z241" s="96">
        <f ca="1" t="shared" si="91"/>
        <v>4.5</v>
      </c>
    </row>
    <row r="242" s="106" customFormat="1" ht="16.5" spans="2:26">
      <c r="B242" s="117">
        <v>213</v>
      </c>
      <c r="C242" s="130">
        <f t="shared" si="92"/>
        <v>21300</v>
      </c>
      <c r="D242" s="131">
        <f ca="1" t="shared" si="71"/>
        <v>45</v>
      </c>
      <c r="E242" s="131">
        <f ca="1" t="shared" si="72"/>
        <v>45</v>
      </c>
      <c r="F242" s="131">
        <f ca="1" t="shared" si="73"/>
        <v>45</v>
      </c>
      <c r="G242" s="131">
        <f ca="1" t="shared" si="74"/>
        <v>36</v>
      </c>
      <c r="H242" s="131">
        <f ca="1" t="shared" si="75"/>
        <v>36</v>
      </c>
      <c r="I242" s="131">
        <f ca="1" t="shared" si="76"/>
        <v>36</v>
      </c>
      <c r="J242" s="131">
        <f ca="1" t="shared" si="77"/>
        <v>36</v>
      </c>
      <c r="K242" s="131">
        <f ca="1" t="shared" si="78"/>
        <v>36</v>
      </c>
      <c r="L242" s="131">
        <f ca="1" t="shared" si="79"/>
        <v>36</v>
      </c>
      <c r="M242" s="131">
        <f ca="1" t="shared" si="80"/>
        <v>30</v>
      </c>
      <c r="N242" s="131">
        <f ca="1" t="shared" si="81"/>
        <v>30</v>
      </c>
      <c r="O242" s="131">
        <f ca="1" t="shared" si="82"/>
        <v>30</v>
      </c>
      <c r="P242" s="131">
        <f ca="1" t="shared" si="83"/>
        <v>30</v>
      </c>
      <c r="Q242" s="131">
        <f ca="1" t="shared" si="84"/>
        <v>31</v>
      </c>
      <c r="R242" s="131">
        <f ca="1" t="shared" si="85"/>
        <v>30</v>
      </c>
      <c r="S242" s="131">
        <f ca="1" t="shared" si="86"/>
        <v>34</v>
      </c>
      <c r="T242" s="131">
        <f ca="1" t="shared" si="87"/>
        <v>34</v>
      </c>
      <c r="U242" s="131">
        <f ca="1" t="shared" si="88"/>
        <v>35</v>
      </c>
      <c r="V242" s="131">
        <f ca="1" t="shared" si="89"/>
        <v>36</v>
      </c>
      <c r="W242" s="124">
        <f ca="1">OFFSET($K$19,_xlfn.XLOOKUP(X242,$D$9:$D$28,$H$9:$H$28),MATCH(OFFSET($C$29,B242,MATCH(X242,$D$29:$V$29,0)),$L$19:$R$19,1))*(1+(OFFSET($C$29,B242,MATCH(X242,$D$29:$V$29,0))-1)*_xlfn.XLOOKUP(X242,梦灵养成!$D$9:$D$28,梦灵养成!$G$9:$G$28))</f>
        <v>49.14</v>
      </c>
      <c r="X242" s="106" t="str">
        <f ca="1" t="shared" si="70"/>
        <v>神算诸葛</v>
      </c>
      <c r="Y242" s="95">
        <f ca="1" t="shared" si="90"/>
        <v>113400</v>
      </c>
      <c r="Z242" s="96">
        <f ca="1" t="shared" si="91"/>
        <v>4.5</v>
      </c>
    </row>
    <row r="243" s="106" customFormat="1" ht="16.5" spans="2:26">
      <c r="B243" s="117">
        <v>214</v>
      </c>
      <c r="C243" s="130">
        <f t="shared" si="92"/>
        <v>21400</v>
      </c>
      <c r="D243" s="131">
        <f ca="1" t="shared" si="71"/>
        <v>45</v>
      </c>
      <c r="E243" s="131">
        <f ca="1" t="shared" si="72"/>
        <v>45</v>
      </c>
      <c r="F243" s="131">
        <f ca="1" t="shared" si="73"/>
        <v>45</v>
      </c>
      <c r="G243" s="131">
        <f ca="1" t="shared" si="74"/>
        <v>36</v>
      </c>
      <c r="H243" s="131">
        <f ca="1" t="shared" si="75"/>
        <v>36</v>
      </c>
      <c r="I243" s="131">
        <f ca="1" t="shared" si="76"/>
        <v>36</v>
      </c>
      <c r="J243" s="131">
        <f ca="1" t="shared" si="77"/>
        <v>36</v>
      </c>
      <c r="K243" s="131">
        <f ca="1" t="shared" si="78"/>
        <v>36</v>
      </c>
      <c r="L243" s="131">
        <f ca="1" t="shared" si="79"/>
        <v>36</v>
      </c>
      <c r="M243" s="131">
        <f ca="1" t="shared" si="80"/>
        <v>30</v>
      </c>
      <c r="N243" s="131">
        <f ca="1" t="shared" si="81"/>
        <v>30</v>
      </c>
      <c r="O243" s="131">
        <f ca="1" t="shared" si="82"/>
        <v>31</v>
      </c>
      <c r="P243" s="131">
        <f ca="1" t="shared" si="83"/>
        <v>30</v>
      </c>
      <c r="Q243" s="131">
        <f ca="1" t="shared" si="84"/>
        <v>31</v>
      </c>
      <c r="R243" s="131">
        <f ca="1" t="shared" si="85"/>
        <v>30</v>
      </c>
      <c r="S243" s="131">
        <f ca="1" t="shared" si="86"/>
        <v>34</v>
      </c>
      <c r="T243" s="131">
        <f ca="1" t="shared" si="87"/>
        <v>34</v>
      </c>
      <c r="U243" s="131">
        <f ca="1" t="shared" si="88"/>
        <v>35</v>
      </c>
      <c r="V243" s="131">
        <f ca="1" t="shared" si="89"/>
        <v>36</v>
      </c>
      <c r="W243" s="124">
        <f ca="1">OFFSET($K$19,_xlfn.XLOOKUP(X243,$D$9:$D$28,$H$9:$H$28),MATCH(OFFSET($C$29,B243,MATCH(X243,$D$29:$V$29,0)),$L$19:$R$19,1))*(1+(OFFSET($C$29,B243,MATCH(X243,$D$29:$V$29,0))-1)*_xlfn.XLOOKUP(X243,梦灵养成!$D$9:$D$28,梦灵养成!$G$9:$G$28))</f>
        <v>49.14</v>
      </c>
      <c r="X243" s="106" t="str">
        <f ca="1" t="shared" si="70"/>
        <v>神算诸葛</v>
      </c>
      <c r="Y243" s="95">
        <f ca="1" t="shared" si="90"/>
        <v>111600</v>
      </c>
      <c r="Z243" s="96">
        <f ca="1" t="shared" si="91"/>
        <v>4.5</v>
      </c>
    </row>
    <row r="244" s="106" customFormat="1" ht="16.5" spans="2:26">
      <c r="B244" s="117">
        <v>215</v>
      </c>
      <c r="C244" s="130">
        <f t="shared" si="92"/>
        <v>21500</v>
      </c>
      <c r="D244" s="131">
        <f ca="1" t="shared" si="71"/>
        <v>45</v>
      </c>
      <c r="E244" s="131">
        <f ca="1" t="shared" si="72"/>
        <v>45</v>
      </c>
      <c r="F244" s="131">
        <f ca="1" t="shared" si="73"/>
        <v>45</v>
      </c>
      <c r="G244" s="131">
        <f ca="1" t="shared" si="74"/>
        <v>36</v>
      </c>
      <c r="H244" s="131">
        <f ca="1" t="shared" si="75"/>
        <v>36</v>
      </c>
      <c r="I244" s="131">
        <f ca="1" t="shared" si="76"/>
        <v>36</v>
      </c>
      <c r="J244" s="131">
        <f ca="1" t="shared" si="77"/>
        <v>36</v>
      </c>
      <c r="K244" s="131">
        <f ca="1" t="shared" si="78"/>
        <v>36</v>
      </c>
      <c r="L244" s="131">
        <f ca="1" t="shared" si="79"/>
        <v>36</v>
      </c>
      <c r="M244" s="131">
        <f ca="1" t="shared" si="80"/>
        <v>30</v>
      </c>
      <c r="N244" s="131">
        <f ca="1" t="shared" si="81"/>
        <v>30</v>
      </c>
      <c r="O244" s="131">
        <f ca="1" t="shared" si="82"/>
        <v>31</v>
      </c>
      <c r="P244" s="131">
        <f ca="1" t="shared" si="83"/>
        <v>30</v>
      </c>
      <c r="Q244" s="131">
        <f ca="1" t="shared" si="84"/>
        <v>31</v>
      </c>
      <c r="R244" s="131">
        <f ca="1" t="shared" si="85"/>
        <v>30</v>
      </c>
      <c r="S244" s="131">
        <f ca="1" t="shared" si="86"/>
        <v>34</v>
      </c>
      <c r="T244" s="131">
        <f ca="1" t="shared" si="87"/>
        <v>35</v>
      </c>
      <c r="U244" s="131">
        <f ca="1" t="shared" si="88"/>
        <v>35</v>
      </c>
      <c r="V244" s="131">
        <f ca="1" t="shared" si="89"/>
        <v>36</v>
      </c>
      <c r="W244" s="124">
        <f ca="1">OFFSET($K$19,_xlfn.XLOOKUP(X244,$D$9:$D$28,$H$9:$H$28),MATCH(OFFSET($C$29,B244,MATCH(X244,$D$29:$V$29,0)),$L$19:$R$19,1))*(1+(OFFSET($C$29,B244,MATCH(X244,$D$29:$V$29,0))-1)*_xlfn.XLOOKUP(X244,梦灵养成!$D$9:$D$28,梦灵养成!$G$9:$G$28))</f>
        <v>49.14</v>
      </c>
      <c r="X244" s="106" t="str">
        <f ca="1" t="shared" si="70"/>
        <v>神算诸葛</v>
      </c>
      <c r="Y244" s="95">
        <f ca="1" t="shared" si="90"/>
        <v>109800</v>
      </c>
      <c r="Z244" s="96">
        <f ca="1" t="shared" si="91"/>
        <v>4.5</v>
      </c>
    </row>
    <row r="245" s="106" customFormat="1" ht="16.5" spans="2:26">
      <c r="B245" s="117">
        <v>216</v>
      </c>
      <c r="C245" s="130">
        <f t="shared" si="92"/>
        <v>21600</v>
      </c>
      <c r="D245" s="131">
        <f ca="1" t="shared" si="71"/>
        <v>45</v>
      </c>
      <c r="E245" s="131">
        <f ca="1" t="shared" si="72"/>
        <v>45</v>
      </c>
      <c r="F245" s="131">
        <f ca="1" t="shared" si="73"/>
        <v>45</v>
      </c>
      <c r="G245" s="131">
        <f ca="1" t="shared" si="74"/>
        <v>37</v>
      </c>
      <c r="H245" s="131">
        <f ca="1" t="shared" si="75"/>
        <v>37</v>
      </c>
      <c r="I245" s="131">
        <f ca="1" t="shared" si="76"/>
        <v>37</v>
      </c>
      <c r="J245" s="131">
        <f ca="1" t="shared" si="77"/>
        <v>36</v>
      </c>
      <c r="K245" s="131">
        <f ca="1" t="shared" si="78"/>
        <v>36</v>
      </c>
      <c r="L245" s="131">
        <f ca="1" t="shared" si="79"/>
        <v>36</v>
      </c>
      <c r="M245" s="131">
        <f ca="1" t="shared" si="80"/>
        <v>30</v>
      </c>
      <c r="N245" s="131">
        <f ca="1" t="shared" si="81"/>
        <v>30</v>
      </c>
      <c r="O245" s="131">
        <f ca="1" t="shared" si="82"/>
        <v>31</v>
      </c>
      <c r="P245" s="131">
        <f ca="1" t="shared" si="83"/>
        <v>30</v>
      </c>
      <c r="Q245" s="131">
        <f ca="1" t="shared" si="84"/>
        <v>31</v>
      </c>
      <c r="R245" s="131">
        <f ca="1" t="shared" si="85"/>
        <v>30</v>
      </c>
      <c r="S245" s="131">
        <f ca="1" t="shared" si="86"/>
        <v>34</v>
      </c>
      <c r="T245" s="131">
        <f ca="1" t="shared" si="87"/>
        <v>35</v>
      </c>
      <c r="U245" s="131">
        <f ca="1" t="shared" si="88"/>
        <v>35</v>
      </c>
      <c r="V245" s="131">
        <f ca="1" t="shared" si="89"/>
        <v>36</v>
      </c>
      <c r="W245" s="124">
        <f ca="1">OFFSET($K$19,_xlfn.XLOOKUP(X245,$D$9:$D$28,$H$9:$H$28),MATCH(OFFSET($C$29,B245,MATCH(X245,$D$29:$V$29,0)),$L$19:$R$19,1))*(1+(OFFSET($C$29,B245,MATCH(X245,$D$29:$V$29,0))-1)*_xlfn.XLOOKUP(X245,梦灵养成!$D$9:$D$28,梦灵养成!$G$9:$G$28))</f>
        <v>49.14</v>
      </c>
      <c r="X245" s="106" t="str">
        <f ca="1" t="shared" si="70"/>
        <v>神算诸葛</v>
      </c>
      <c r="Y245" s="95">
        <f ca="1" t="shared" si="90"/>
        <v>108000</v>
      </c>
      <c r="Z245" s="96">
        <f ca="1" t="shared" si="91"/>
        <v>4.5</v>
      </c>
    </row>
    <row r="246" s="106" customFormat="1" ht="16.5" spans="2:26">
      <c r="B246" s="117">
        <v>217</v>
      </c>
      <c r="C246" s="130">
        <f t="shared" si="92"/>
        <v>21700</v>
      </c>
      <c r="D246" s="131">
        <f ca="1" t="shared" si="71"/>
        <v>45</v>
      </c>
      <c r="E246" s="131">
        <f ca="1" t="shared" si="72"/>
        <v>45</v>
      </c>
      <c r="F246" s="131">
        <f ca="1" t="shared" si="73"/>
        <v>45</v>
      </c>
      <c r="G246" s="131">
        <f ca="1" t="shared" si="74"/>
        <v>37</v>
      </c>
      <c r="H246" s="131">
        <f ca="1" t="shared" si="75"/>
        <v>37</v>
      </c>
      <c r="I246" s="131">
        <f ca="1" t="shared" si="76"/>
        <v>37</v>
      </c>
      <c r="J246" s="131">
        <f ca="1" t="shared" si="77"/>
        <v>37</v>
      </c>
      <c r="K246" s="131">
        <f ca="1" t="shared" si="78"/>
        <v>36</v>
      </c>
      <c r="L246" s="131">
        <f ca="1" t="shared" si="79"/>
        <v>36</v>
      </c>
      <c r="M246" s="131">
        <f ca="1" t="shared" si="80"/>
        <v>30</v>
      </c>
      <c r="N246" s="131">
        <f ca="1" t="shared" si="81"/>
        <v>31</v>
      </c>
      <c r="O246" s="131">
        <f ca="1" t="shared" si="82"/>
        <v>31</v>
      </c>
      <c r="P246" s="131">
        <f ca="1" t="shared" si="83"/>
        <v>30</v>
      </c>
      <c r="Q246" s="131">
        <f ca="1" t="shared" si="84"/>
        <v>31</v>
      </c>
      <c r="R246" s="131">
        <f ca="1" t="shared" si="85"/>
        <v>30</v>
      </c>
      <c r="S246" s="131">
        <f ca="1" t="shared" si="86"/>
        <v>34</v>
      </c>
      <c r="T246" s="131">
        <f ca="1" t="shared" si="87"/>
        <v>35</v>
      </c>
      <c r="U246" s="131">
        <f ca="1" t="shared" si="88"/>
        <v>35</v>
      </c>
      <c r="V246" s="131">
        <f ca="1" t="shared" si="89"/>
        <v>36</v>
      </c>
      <c r="W246" s="124">
        <f ca="1">OFFSET($K$19,_xlfn.XLOOKUP(X246,$D$9:$D$28,$H$9:$H$28),MATCH(OFFSET($C$29,B246,MATCH(X246,$D$29:$V$29,0)),$L$19:$R$19,1))*(1+(OFFSET($C$29,B246,MATCH(X246,$D$29:$V$29,0))-1)*_xlfn.XLOOKUP(X246,梦灵养成!$D$9:$D$28,梦灵养成!$G$9:$G$28))</f>
        <v>49.14</v>
      </c>
      <c r="X246" s="106" t="str">
        <f ca="1" t="shared" si="70"/>
        <v>神算诸葛</v>
      </c>
      <c r="Y246" s="95">
        <f ca="1" t="shared" si="90"/>
        <v>106200</v>
      </c>
      <c r="Z246" s="96">
        <f ca="1" t="shared" si="91"/>
        <v>4.5</v>
      </c>
    </row>
    <row r="247" s="106" customFormat="1" ht="16.5" spans="2:26">
      <c r="B247" s="117">
        <v>218</v>
      </c>
      <c r="C247" s="130">
        <f t="shared" si="92"/>
        <v>21800</v>
      </c>
      <c r="D247" s="131">
        <f ca="1" t="shared" si="71"/>
        <v>45</v>
      </c>
      <c r="E247" s="131">
        <f ca="1" t="shared" si="72"/>
        <v>45</v>
      </c>
      <c r="F247" s="131">
        <f ca="1" t="shared" si="73"/>
        <v>45</v>
      </c>
      <c r="G247" s="131">
        <f ca="1" t="shared" si="74"/>
        <v>37</v>
      </c>
      <c r="H247" s="131">
        <f ca="1" t="shared" si="75"/>
        <v>37</v>
      </c>
      <c r="I247" s="131">
        <f ca="1" t="shared" si="76"/>
        <v>37</v>
      </c>
      <c r="J247" s="131">
        <f ca="1" t="shared" si="77"/>
        <v>37</v>
      </c>
      <c r="K247" s="131">
        <f ca="1" t="shared" si="78"/>
        <v>37</v>
      </c>
      <c r="L247" s="131">
        <f ca="1" t="shared" si="79"/>
        <v>37</v>
      </c>
      <c r="M247" s="131">
        <f ca="1" t="shared" si="80"/>
        <v>31</v>
      </c>
      <c r="N247" s="131">
        <f ca="1" t="shared" si="81"/>
        <v>31</v>
      </c>
      <c r="O247" s="131">
        <f ca="1" t="shared" si="82"/>
        <v>31</v>
      </c>
      <c r="P247" s="131">
        <f ca="1" t="shared" si="83"/>
        <v>30</v>
      </c>
      <c r="Q247" s="131">
        <f ca="1" t="shared" si="84"/>
        <v>31</v>
      </c>
      <c r="R247" s="131">
        <f ca="1" t="shared" si="85"/>
        <v>31</v>
      </c>
      <c r="S247" s="131">
        <f ca="1" t="shared" si="86"/>
        <v>34</v>
      </c>
      <c r="T247" s="131">
        <f ca="1" t="shared" si="87"/>
        <v>35</v>
      </c>
      <c r="U247" s="131">
        <f ca="1" t="shared" si="88"/>
        <v>35</v>
      </c>
      <c r="V247" s="131">
        <f ca="1" t="shared" si="89"/>
        <v>36</v>
      </c>
      <c r="W247" s="124">
        <f ca="1">OFFSET($K$19,_xlfn.XLOOKUP(X247,$D$9:$D$28,$H$9:$H$28),MATCH(OFFSET($C$29,B247,MATCH(X247,$D$29:$V$29,0)),$L$19:$R$19,1))*(1+(OFFSET($C$29,B247,MATCH(X247,$D$29:$V$29,0))-1)*_xlfn.XLOOKUP(X247,梦灵养成!$D$9:$D$28,梦灵养成!$G$9:$G$28))</f>
        <v>49.14</v>
      </c>
      <c r="X247" s="106" t="str">
        <f ca="1" t="shared" si="70"/>
        <v>神算诸葛</v>
      </c>
      <c r="Y247" s="95">
        <f ca="1" t="shared" si="90"/>
        <v>104400</v>
      </c>
      <c r="Z247" s="96">
        <f ca="1" t="shared" si="91"/>
        <v>4.5</v>
      </c>
    </row>
    <row r="248" s="106" customFormat="1" ht="16.5" spans="2:26">
      <c r="B248" s="117">
        <v>219</v>
      </c>
      <c r="C248" s="130">
        <f t="shared" si="92"/>
        <v>21900</v>
      </c>
      <c r="D248" s="131">
        <f ca="1" t="shared" si="71"/>
        <v>45</v>
      </c>
      <c r="E248" s="131">
        <f ca="1" t="shared" si="72"/>
        <v>45</v>
      </c>
      <c r="F248" s="131">
        <f ca="1" t="shared" si="73"/>
        <v>45</v>
      </c>
      <c r="G248" s="131">
        <f ca="1" t="shared" si="74"/>
        <v>37</v>
      </c>
      <c r="H248" s="131">
        <f ca="1" t="shared" si="75"/>
        <v>37</v>
      </c>
      <c r="I248" s="131">
        <f ca="1" t="shared" si="76"/>
        <v>37</v>
      </c>
      <c r="J248" s="131">
        <f ca="1" t="shared" si="77"/>
        <v>37</v>
      </c>
      <c r="K248" s="131">
        <f ca="1" t="shared" si="78"/>
        <v>37</v>
      </c>
      <c r="L248" s="131">
        <f ca="1" t="shared" si="79"/>
        <v>37</v>
      </c>
      <c r="M248" s="131">
        <f ca="1" t="shared" si="80"/>
        <v>31</v>
      </c>
      <c r="N248" s="131">
        <f ca="1" t="shared" si="81"/>
        <v>31</v>
      </c>
      <c r="O248" s="131">
        <f ca="1" t="shared" si="82"/>
        <v>31</v>
      </c>
      <c r="P248" s="131">
        <f ca="1" t="shared" si="83"/>
        <v>30</v>
      </c>
      <c r="Q248" s="131">
        <f ca="1" t="shared" si="84"/>
        <v>31</v>
      </c>
      <c r="R248" s="131">
        <f ca="1" t="shared" si="85"/>
        <v>31</v>
      </c>
      <c r="S248" s="131">
        <f ca="1" t="shared" si="86"/>
        <v>34</v>
      </c>
      <c r="T248" s="131">
        <f ca="1" t="shared" si="87"/>
        <v>35</v>
      </c>
      <c r="U248" s="131">
        <f ca="1" t="shared" si="88"/>
        <v>35</v>
      </c>
      <c r="V248" s="131">
        <f ca="1" t="shared" si="89"/>
        <v>36</v>
      </c>
      <c r="W248" s="124">
        <f ca="1">OFFSET($K$19,_xlfn.XLOOKUP(X248,$D$9:$D$28,$H$9:$H$28),MATCH(OFFSET($C$29,B248,MATCH(X248,$D$29:$V$29,0)),$L$19:$R$19,1))*(1+(OFFSET($C$29,B248,MATCH(X248,$D$29:$V$29,0))-1)*_xlfn.XLOOKUP(X248,梦灵养成!$D$9:$D$28,梦灵养成!$G$9:$G$28))</f>
        <v>49.14</v>
      </c>
      <c r="X248" s="106" t="str">
        <f ca="1" t="shared" si="70"/>
        <v>神算诸葛</v>
      </c>
      <c r="Y248" s="95">
        <f ca="1" t="shared" si="90"/>
        <v>102600</v>
      </c>
      <c r="Z248" s="96">
        <f ca="1" t="shared" si="91"/>
        <v>4.5</v>
      </c>
    </row>
    <row r="249" s="106" customFormat="1" ht="16.5" spans="2:26">
      <c r="B249" s="117">
        <v>220</v>
      </c>
      <c r="C249" s="130">
        <f t="shared" si="92"/>
        <v>22000</v>
      </c>
      <c r="D249" s="131">
        <f ca="1" t="shared" si="71"/>
        <v>46</v>
      </c>
      <c r="E249" s="131">
        <f ca="1" t="shared" si="72"/>
        <v>46</v>
      </c>
      <c r="F249" s="131">
        <f ca="1" t="shared" si="73"/>
        <v>46</v>
      </c>
      <c r="G249" s="131">
        <f ca="1" t="shared" si="74"/>
        <v>37</v>
      </c>
      <c r="H249" s="131">
        <f ca="1" t="shared" si="75"/>
        <v>37</v>
      </c>
      <c r="I249" s="131">
        <f ca="1" t="shared" si="76"/>
        <v>37</v>
      </c>
      <c r="J249" s="131">
        <f ca="1" t="shared" si="77"/>
        <v>37</v>
      </c>
      <c r="K249" s="131">
        <f ca="1" t="shared" si="78"/>
        <v>37</v>
      </c>
      <c r="L249" s="131">
        <f ca="1" t="shared" si="79"/>
        <v>37</v>
      </c>
      <c r="M249" s="131">
        <f ca="1" t="shared" si="80"/>
        <v>31</v>
      </c>
      <c r="N249" s="131">
        <f ca="1" t="shared" si="81"/>
        <v>31</v>
      </c>
      <c r="O249" s="131">
        <f ca="1" t="shared" si="82"/>
        <v>31</v>
      </c>
      <c r="P249" s="131">
        <f ca="1" t="shared" si="83"/>
        <v>30</v>
      </c>
      <c r="Q249" s="131">
        <f ca="1" t="shared" si="84"/>
        <v>31</v>
      </c>
      <c r="R249" s="131">
        <f ca="1" t="shared" si="85"/>
        <v>31</v>
      </c>
      <c r="S249" s="131">
        <f ca="1" t="shared" si="86"/>
        <v>34</v>
      </c>
      <c r="T249" s="131">
        <f ca="1" t="shared" si="87"/>
        <v>35</v>
      </c>
      <c r="U249" s="131">
        <f ca="1" t="shared" si="88"/>
        <v>35</v>
      </c>
      <c r="V249" s="131">
        <f ca="1" t="shared" si="89"/>
        <v>36</v>
      </c>
      <c r="W249" s="124">
        <f ca="1">OFFSET($K$19,_xlfn.XLOOKUP(X249,$D$9:$D$28,$H$9:$H$28),MATCH(OFFSET($C$29,B249,MATCH(X249,$D$29:$V$29,0)),$L$19:$R$19,1))*(1+(OFFSET($C$29,B249,MATCH(X249,$D$29:$V$29,0))-1)*_xlfn.XLOOKUP(X249,梦灵养成!$D$9:$D$28,梦灵养成!$G$9:$G$28))</f>
        <v>49.14</v>
      </c>
      <c r="X249" s="106" t="str">
        <f ca="1" t="shared" si="70"/>
        <v>神算诸葛</v>
      </c>
      <c r="Y249" s="95">
        <f ca="1" t="shared" si="90"/>
        <v>100800</v>
      </c>
      <c r="Z249" s="96">
        <f ca="1" t="shared" si="91"/>
        <v>4.5</v>
      </c>
    </row>
    <row r="250" s="106" customFormat="1" ht="16.5" spans="2:26">
      <c r="B250" s="117">
        <v>221</v>
      </c>
      <c r="C250" s="130">
        <f t="shared" si="92"/>
        <v>22100</v>
      </c>
      <c r="D250" s="131">
        <f ca="1" t="shared" si="71"/>
        <v>46</v>
      </c>
      <c r="E250" s="131">
        <f ca="1" t="shared" si="72"/>
        <v>46</v>
      </c>
      <c r="F250" s="131">
        <f ca="1" t="shared" si="73"/>
        <v>46</v>
      </c>
      <c r="G250" s="131">
        <f ca="1" t="shared" si="74"/>
        <v>37</v>
      </c>
      <c r="H250" s="131">
        <f ca="1" t="shared" si="75"/>
        <v>37</v>
      </c>
      <c r="I250" s="131">
        <f ca="1" t="shared" si="76"/>
        <v>37</v>
      </c>
      <c r="J250" s="131">
        <f ca="1" t="shared" si="77"/>
        <v>37</v>
      </c>
      <c r="K250" s="131">
        <f ca="1" t="shared" si="78"/>
        <v>37</v>
      </c>
      <c r="L250" s="131">
        <f ca="1" t="shared" si="79"/>
        <v>37</v>
      </c>
      <c r="M250" s="131">
        <f ca="1" t="shared" si="80"/>
        <v>31</v>
      </c>
      <c r="N250" s="131">
        <f ca="1" t="shared" si="81"/>
        <v>31</v>
      </c>
      <c r="O250" s="131">
        <f ca="1" t="shared" si="82"/>
        <v>31</v>
      </c>
      <c r="P250" s="131">
        <f ca="1" t="shared" si="83"/>
        <v>30</v>
      </c>
      <c r="Q250" s="131">
        <f ca="1" t="shared" si="84"/>
        <v>31</v>
      </c>
      <c r="R250" s="131">
        <f ca="1" t="shared" si="85"/>
        <v>31</v>
      </c>
      <c r="S250" s="131">
        <f ca="1" t="shared" si="86"/>
        <v>35</v>
      </c>
      <c r="T250" s="131">
        <f ca="1" t="shared" si="87"/>
        <v>35</v>
      </c>
      <c r="U250" s="131">
        <f ca="1" t="shared" si="88"/>
        <v>35</v>
      </c>
      <c r="V250" s="131">
        <f ca="1" t="shared" si="89"/>
        <v>36</v>
      </c>
      <c r="W250" s="124">
        <f ca="1">OFFSET($K$19,_xlfn.XLOOKUP(X250,$D$9:$D$28,$H$9:$H$28),MATCH(OFFSET($C$29,B250,MATCH(X250,$D$29:$V$29,0)),$L$19:$R$19,1))*(1+(OFFSET($C$29,B250,MATCH(X250,$D$29:$V$29,0))-1)*_xlfn.XLOOKUP(X250,梦灵养成!$D$9:$D$28,梦灵养成!$G$9:$G$28))</f>
        <v>49.14</v>
      </c>
      <c r="X250" s="106" t="str">
        <f ca="1" t="shared" si="70"/>
        <v>神算诸葛</v>
      </c>
      <c r="Y250" s="95">
        <f ca="1" t="shared" si="90"/>
        <v>99000</v>
      </c>
      <c r="Z250" s="96">
        <f ca="1" t="shared" si="91"/>
        <v>4.5</v>
      </c>
    </row>
    <row r="251" s="106" customFormat="1" ht="16.5" spans="2:26">
      <c r="B251" s="117">
        <v>222</v>
      </c>
      <c r="C251" s="130">
        <f t="shared" si="92"/>
        <v>22200</v>
      </c>
      <c r="D251" s="131">
        <f ca="1" t="shared" si="71"/>
        <v>46</v>
      </c>
      <c r="E251" s="131">
        <f ca="1" t="shared" si="72"/>
        <v>46</v>
      </c>
      <c r="F251" s="131">
        <f ca="1" t="shared" si="73"/>
        <v>46</v>
      </c>
      <c r="G251" s="131">
        <f ca="1" t="shared" si="74"/>
        <v>37</v>
      </c>
      <c r="H251" s="131">
        <f ca="1" t="shared" si="75"/>
        <v>37</v>
      </c>
      <c r="I251" s="131">
        <f ca="1" t="shared" si="76"/>
        <v>37</v>
      </c>
      <c r="J251" s="131">
        <f ca="1" t="shared" si="77"/>
        <v>37</v>
      </c>
      <c r="K251" s="131">
        <f ca="1" t="shared" si="78"/>
        <v>37</v>
      </c>
      <c r="L251" s="131">
        <f ca="1" t="shared" si="79"/>
        <v>37</v>
      </c>
      <c r="M251" s="131">
        <f ca="1" t="shared" si="80"/>
        <v>31</v>
      </c>
      <c r="N251" s="131">
        <f ca="1" t="shared" si="81"/>
        <v>31</v>
      </c>
      <c r="O251" s="131">
        <f ca="1" t="shared" si="82"/>
        <v>31</v>
      </c>
      <c r="P251" s="131">
        <f ca="1" t="shared" si="83"/>
        <v>31</v>
      </c>
      <c r="Q251" s="131">
        <f ca="1" t="shared" si="84"/>
        <v>31</v>
      </c>
      <c r="R251" s="131">
        <f ca="1" t="shared" si="85"/>
        <v>31</v>
      </c>
      <c r="S251" s="131">
        <f ca="1" t="shared" si="86"/>
        <v>35</v>
      </c>
      <c r="T251" s="131">
        <f ca="1" t="shared" si="87"/>
        <v>35</v>
      </c>
      <c r="U251" s="131">
        <f ca="1" t="shared" si="88"/>
        <v>35</v>
      </c>
      <c r="V251" s="131">
        <f ca="1" t="shared" si="89"/>
        <v>36</v>
      </c>
      <c r="W251" s="124">
        <f ca="1">OFFSET($K$19,_xlfn.XLOOKUP(X251,$D$9:$D$28,$H$9:$H$28),MATCH(OFFSET($C$29,B251,MATCH(X251,$D$29:$V$29,0)),$L$19:$R$19,1))*(1+(OFFSET($C$29,B251,MATCH(X251,$D$29:$V$29,0))-1)*_xlfn.XLOOKUP(X251,梦灵养成!$D$9:$D$28,梦灵养成!$G$9:$G$28))</f>
        <v>49.14</v>
      </c>
      <c r="X251" s="106" t="str">
        <f ca="1" t="shared" si="70"/>
        <v>神算诸葛</v>
      </c>
      <c r="Y251" s="95">
        <f ca="1" t="shared" si="90"/>
        <v>97200</v>
      </c>
      <c r="Z251" s="96">
        <f ca="1" t="shared" si="91"/>
        <v>4.5</v>
      </c>
    </row>
    <row r="252" s="106" customFormat="1" ht="16.5" spans="2:26">
      <c r="B252" s="117">
        <v>223</v>
      </c>
      <c r="C252" s="130">
        <f t="shared" si="92"/>
        <v>22300</v>
      </c>
      <c r="D252" s="131">
        <f ca="1" t="shared" si="71"/>
        <v>46</v>
      </c>
      <c r="E252" s="131">
        <f ca="1" t="shared" si="72"/>
        <v>46</v>
      </c>
      <c r="F252" s="131">
        <f ca="1" t="shared" si="73"/>
        <v>46</v>
      </c>
      <c r="G252" s="131">
        <f ca="1" t="shared" si="74"/>
        <v>37</v>
      </c>
      <c r="H252" s="131">
        <f ca="1" t="shared" si="75"/>
        <v>37</v>
      </c>
      <c r="I252" s="131">
        <f ca="1" t="shared" si="76"/>
        <v>37</v>
      </c>
      <c r="J252" s="131">
        <f ca="1" t="shared" si="77"/>
        <v>37</v>
      </c>
      <c r="K252" s="131">
        <f ca="1" t="shared" si="78"/>
        <v>37</v>
      </c>
      <c r="L252" s="131">
        <f ca="1" t="shared" si="79"/>
        <v>37</v>
      </c>
      <c r="M252" s="131">
        <f ca="1" t="shared" si="80"/>
        <v>31</v>
      </c>
      <c r="N252" s="131">
        <f ca="1" t="shared" si="81"/>
        <v>31</v>
      </c>
      <c r="O252" s="131">
        <f ca="1" t="shared" si="82"/>
        <v>31</v>
      </c>
      <c r="P252" s="131">
        <f ca="1" t="shared" si="83"/>
        <v>31</v>
      </c>
      <c r="Q252" s="131">
        <f ca="1" t="shared" si="84"/>
        <v>31</v>
      </c>
      <c r="R252" s="131">
        <f ca="1" t="shared" si="85"/>
        <v>31</v>
      </c>
      <c r="S252" s="131">
        <f ca="1" t="shared" si="86"/>
        <v>35</v>
      </c>
      <c r="T252" s="131">
        <f ca="1" t="shared" si="87"/>
        <v>35</v>
      </c>
      <c r="U252" s="131">
        <f ca="1" t="shared" si="88"/>
        <v>35</v>
      </c>
      <c r="V252" s="131">
        <f ca="1" t="shared" si="89"/>
        <v>36</v>
      </c>
      <c r="W252" s="124">
        <f ca="1">OFFSET($K$19,_xlfn.XLOOKUP(X252,$D$9:$D$28,$H$9:$H$28),MATCH(OFFSET($C$29,B252,MATCH(X252,$D$29:$V$29,0)),$L$19:$R$19,1))*(1+(OFFSET($C$29,B252,MATCH(X252,$D$29:$V$29,0))-1)*_xlfn.XLOOKUP(X252,梦灵养成!$D$9:$D$28,梦灵养成!$G$9:$G$28))</f>
        <v>49.14</v>
      </c>
      <c r="X252" s="106" t="str">
        <f ca="1" t="shared" si="70"/>
        <v>神算诸葛</v>
      </c>
      <c r="Y252" s="95">
        <f ca="1" t="shared" si="90"/>
        <v>95400</v>
      </c>
      <c r="Z252" s="96">
        <f ca="1" t="shared" si="91"/>
        <v>4.5</v>
      </c>
    </row>
    <row r="253" s="106" customFormat="1" ht="16.5" spans="2:26">
      <c r="B253" s="117">
        <v>224</v>
      </c>
      <c r="C253" s="130">
        <f t="shared" si="92"/>
        <v>22400</v>
      </c>
      <c r="D253" s="131">
        <f ca="1" t="shared" si="71"/>
        <v>46</v>
      </c>
      <c r="E253" s="131">
        <f ca="1" t="shared" si="72"/>
        <v>46</v>
      </c>
      <c r="F253" s="131">
        <f ca="1" t="shared" si="73"/>
        <v>46</v>
      </c>
      <c r="G253" s="131">
        <f ca="1" t="shared" si="74"/>
        <v>37</v>
      </c>
      <c r="H253" s="131">
        <f ca="1" t="shared" si="75"/>
        <v>37</v>
      </c>
      <c r="I253" s="131">
        <f ca="1" t="shared" si="76"/>
        <v>37</v>
      </c>
      <c r="J253" s="131">
        <f ca="1" t="shared" si="77"/>
        <v>37</v>
      </c>
      <c r="K253" s="131">
        <f ca="1" t="shared" si="78"/>
        <v>37</v>
      </c>
      <c r="L253" s="131">
        <f ca="1" t="shared" si="79"/>
        <v>37</v>
      </c>
      <c r="M253" s="131">
        <f ca="1" t="shared" si="80"/>
        <v>31</v>
      </c>
      <c r="N253" s="131">
        <f ca="1" t="shared" si="81"/>
        <v>31</v>
      </c>
      <c r="O253" s="131">
        <f ca="1" t="shared" si="82"/>
        <v>31</v>
      </c>
      <c r="P253" s="131">
        <f ca="1" t="shared" si="83"/>
        <v>31</v>
      </c>
      <c r="Q253" s="131">
        <f ca="1" t="shared" si="84"/>
        <v>31</v>
      </c>
      <c r="R253" s="131">
        <f ca="1" t="shared" si="85"/>
        <v>31</v>
      </c>
      <c r="S253" s="131">
        <f ca="1" t="shared" si="86"/>
        <v>35</v>
      </c>
      <c r="T253" s="131">
        <f ca="1" t="shared" si="87"/>
        <v>35</v>
      </c>
      <c r="U253" s="131">
        <f ca="1" t="shared" si="88"/>
        <v>35</v>
      </c>
      <c r="V253" s="131">
        <f ca="1" t="shared" si="89"/>
        <v>36</v>
      </c>
      <c r="W253" s="124">
        <f ca="1">OFFSET($K$19,_xlfn.XLOOKUP(X253,$D$9:$D$28,$H$9:$H$28),MATCH(OFFSET($C$29,B253,MATCH(X253,$D$29:$V$29,0)),$L$19:$R$19,1))*(1+(OFFSET($C$29,B253,MATCH(X253,$D$29:$V$29,0))-1)*_xlfn.XLOOKUP(X253,梦灵养成!$D$9:$D$28,梦灵养成!$G$9:$G$28))</f>
        <v>49.14</v>
      </c>
      <c r="X253" s="106" t="str">
        <f ca="1" t="shared" si="70"/>
        <v>神算诸葛</v>
      </c>
      <c r="Y253" s="95">
        <f ca="1" t="shared" si="90"/>
        <v>93600</v>
      </c>
      <c r="Z253" s="96">
        <f ca="1" t="shared" si="91"/>
        <v>4.5</v>
      </c>
    </row>
    <row r="254" s="106" customFormat="1" ht="16.5" spans="2:26">
      <c r="B254" s="117">
        <v>225</v>
      </c>
      <c r="C254" s="130">
        <f t="shared" si="92"/>
        <v>22500</v>
      </c>
      <c r="D254" s="131">
        <f ca="1" t="shared" si="71"/>
        <v>46</v>
      </c>
      <c r="E254" s="131">
        <f ca="1" t="shared" si="72"/>
        <v>46</v>
      </c>
      <c r="F254" s="131">
        <f ca="1" t="shared" si="73"/>
        <v>46</v>
      </c>
      <c r="G254" s="131">
        <f ca="1" t="shared" si="74"/>
        <v>37</v>
      </c>
      <c r="H254" s="131">
        <f ca="1" t="shared" si="75"/>
        <v>37</v>
      </c>
      <c r="I254" s="131">
        <f ca="1" t="shared" si="76"/>
        <v>37</v>
      </c>
      <c r="J254" s="131">
        <f ca="1" t="shared" si="77"/>
        <v>37</v>
      </c>
      <c r="K254" s="131">
        <f ca="1" t="shared" si="78"/>
        <v>37</v>
      </c>
      <c r="L254" s="131">
        <f ca="1" t="shared" si="79"/>
        <v>37</v>
      </c>
      <c r="M254" s="131">
        <f ca="1" t="shared" si="80"/>
        <v>31</v>
      </c>
      <c r="N254" s="131">
        <f ca="1" t="shared" si="81"/>
        <v>31</v>
      </c>
      <c r="O254" s="131">
        <f ca="1" t="shared" si="82"/>
        <v>31</v>
      </c>
      <c r="P254" s="131">
        <f ca="1" t="shared" si="83"/>
        <v>31</v>
      </c>
      <c r="Q254" s="131">
        <f ca="1" t="shared" si="84"/>
        <v>31</v>
      </c>
      <c r="R254" s="131">
        <f ca="1" t="shared" si="85"/>
        <v>31</v>
      </c>
      <c r="S254" s="131">
        <f ca="1" t="shared" si="86"/>
        <v>35</v>
      </c>
      <c r="T254" s="131">
        <f ca="1" t="shared" si="87"/>
        <v>35</v>
      </c>
      <c r="U254" s="131">
        <f ca="1" t="shared" si="88"/>
        <v>35</v>
      </c>
      <c r="V254" s="131">
        <f ca="1" t="shared" si="89"/>
        <v>37</v>
      </c>
      <c r="W254" s="124">
        <f ca="1">OFFSET($K$19,_xlfn.XLOOKUP(X254,$D$9:$D$28,$H$9:$H$28),MATCH(OFFSET($C$29,B254,MATCH(X254,$D$29:$V$29,0)),$L$19:$R$19,1))*(1+(OFFSET($C$29,B254,MATCH(X254,$D$29:$V$29,0))-1)*_xlfn.XLOOKUP(X254,梦灵养成!$D$9:$D$28,梦灵养成!$G$9:$G$28))</f>
        <v>50.232</v>
      </c>
      <c r="X254" s="106" t="str">
        <f ca="1" t="shared" si="70"/>
        <v>神算诸葛</v>
      </c>
      <c r="Y254" s="95">
        <f ca="1" t="shared" si="90"/>
        <v>133200</v>
      </c>
      <c r="Z254" s="96">
        <f ca="1" t="shared" si="91"/>
        <v>4.6</v>
      </c>
    </row>
    <row r="255" s="106" customFormat="1" ht="16.5" spans="2:26">
      <c r="B255" s="117">
        <v>226</v>
      </c>
      <c r="C255" s="130">
        <f t="shared" si="92"/>
        <v>22600</v>
      </c>
      <c r="D255" s="131">
        <f ca="1" t="shared" si="71"/>
        <v>46</v>
      </c>
      <c r="E255" s="131">
        <f ca="1" t="shared" si="72"/>
        <v>46</v>
      </c>
      <c r="F255" s="131">
        <f ca="1" t="shared" si="73"/>
        <v>46</v>
      </c>
      <c r="G255" s="131">
        <f ca="1" t="shared" si="74"/>
        <v>37</v>
      </c>
      <c r="H255" s="131">
        <f ca="1" t="shared" si="75"/>
        <v>37</v>
      </c>
      <c r="I255" s="131">
        <f ca="1" t="shared" si="76"/>
        <v>37</v>
      </c>
      <c r="J255" s="131">
        <f ca="1" t="shared" si="77"/>
        <v>37</v>
      </c>
      <c r="K255" s="131">
        <f ca="1" t="shared" si="78"/>
        <v>37</v>
      </c>
      <c r="L255" s="131">
        <f ca="1" t="shared" si="79"/>
        <v>37</v>
      </c>
      <c r="M255" s="131">
        <f ca="1" t="shared" si="80"/>
        <v>31</v>
      </c>
      <c r="N255" s="131">
        <f ca="1" t="shared" si="81"/>
        <v>31</v>
      </c>
      <c r="O255" s="131">
        <f ca="1" t="shared" si="82"/>
        <v>31</v>
      </c>
      <c r="P255" s="131">
        <f ca="1" t="shared" si="83"/>
        <v>31</v>
      </c>
      <c r="Q255" s="131">
        <f ca="1" t="shared" si="84"/>
        <v>31</v>
      </c>
      <c r="R255" s="131">
        <f ca="1" t="shared" si="85"/>
        <v>31</v>
      </c>
      <c r="S255" s="131">
        <f ca="1" t="shared" si="86"/>
        <v>35</v>
      </c>
      <c r="T255" s="131">
        <f ca="1" t="shared" si="87"/>
        <v>35</v>
      </c>
      <c r="U255" s="131">
        <f ca="1" t="shared" si="88"/>
        <v>35</v>
      </c>
      <c r="V255" s="131">
        <f ca="1" t="shared" si="89"/>
        <v>37</v>
      </c>
      <c r="W255" s="124">
        <f ca="1">OFFSET($K$19,_xlfn.XLOOKUP(X255,$D$9:$D$28,$H$9:$H$28),MATCH(OFFSET($C$29,B255,MATCH(X255,$D$29:$V$29,0)),$L$19:$R$19,1))*(1+(OFFSET($C$29,B255,MATCH(X255,$D$29:$V$29,0))-1)*_xlfn.XLOOKUP(X255,梦灵养成!$D$9:$D$28,梦灵养成!$G$9:$G$28))</f>
        <v>50.232</v>
      </c>
      <c r="X255" s="106" t="str">
        <f ca="1" t="shared" si="70"/>
        <v>神算诸葛</v>
      </c>
      <c r="Y255" s="95">
        <f ca="1" t="shared" si="90"/>
        <v>131400</v>
      </c>
      <c r="Z255" s="96">
        <f ca="1" t="shared" si="91"/>
        <v>4.6</v>
      </c>
    </row>
    <row r="256" s="106" customFormat="1" ht="16.5" spans="2:26">
      <c r="B256" s="117">
        <v>227</v>
      </c>
      <c r="C256" s="130">
        <f t="shared" si="92"/>
        <v>22700</v>
      </c>
      <c r="D256" s="131">
        <f ca="1" t="shared" si="71"/>
        <v>46</v>
      </c>
      <c r="E256" s="131">
        <f ca="1" t="shared" si="72"/>
        <v>46</v>
      </c>
      <c r="F256" s="131">
        <f ca="1" t="shared" si="73"/>
        <v>46</v>
      </c>
      <c r="G256" s="131">
        <f ca="1" t="shared" si="74"/>
        <v>37</v>
      </c>
      <c r="H256" s="131">
        <f ca="1" t="shared" si="75"/>
        <v>37</v>
      </c>
      <c r="I256" s="131">
        <f ca="1" t="shared" si="76"/>
        <v>37</v>
      </c>
      <c r="J256" s="131">
        <f ca="1" t="shared" si="77"/>
        <v>37</v>
      </c>
      <c r="K256" s="131">
        <f ca="1" t="shared" si="78"/>
        <v>37</v>
      </c>
      <c r="L256" s="131">
        <f ca="1" t="shared" si="79"/>
        <v>37</v>
      </c>
      <c r="M256" s="131">
        <f ca="1" t="shared" si="80"/>
        <v>31</v>
      </c>
      <c r="N256" s="131">
        <f ca="1" t="shared" si="81"/>
        <v>31</v>
      </c>
      <c r="O256" s="131">
        <f ca="1" t="shared" si="82"/>
        <v>31</v>
      </c>
      <c r="P256" s="131">
        <f ca="1" t="shared" si="83"/>
        <v>31</v>
      </c>
      <c r="Q256" s="131">
        <f ca="1" t="shared" si="84"/>
        <v>31</v>
      </c>
      <c r="R256" s="131">
        <f ca="1" t="shared" si="85"/>
        <v>31</v>
      </c>
      <c r="S256" s="131">
        <f ca="1" t="shared" si="86"/>
        <v>35</v>
      </c>
      <c r="T256" s="131">
        <f ca="1" t="shared" si="87"/>
        <v>35</v>
      </c>
      <c r="U256" s="131">
        <f ca="1" t="shared" si="88"/>
        <v>36</v>
      </c>
      <c r="V256" s="131">
        <f ca="1" t="shared" si="89"/>
        <v>37</v>
      </c>
      <c r="W256" s="124">
        <f ca="1">OFFSET($K$19,_xlfn.XLOOKUP(X256,$D$9:$D$28,$H$9:$H$28),MATCH(OFFSET($C$29,B256,MATCH(X256,$D$29:$V$29,0)),$L$19:$R$19,1))*(1+(OFFSET($C$29,B256,MATCH(X256,$D$29:$V$29,0))-1)*_xlfn.XLOOKUP(X256,梦灵养成!$D$9:$D$28,梦灵养成!$G$9:$G$28))</f>
        <v>50.232</v>
      </c>
      <c r="X256" s="106" t="str">
        <f ca="1" t="shared" si="70"/>
        <v>神算诸葛</v>
      </c>
      <c r="Y256" s="95">
        <f ca="1" t="shared" si="90"/>
        <v>129600</v>
      </c>
      <c r="Z256" s="96">
        <f ca="1" t="shared" si="91"/>
        <v>4.6</v>
      </c>
    </row>
    <row r="257" s="106" customFormat="1" ht="16.5" spans="2:26">
      <c r="B257" s="117">
        <v>228</v>
      </c>
      <c r="C257" s="130">
        <f t="shared" si="92"/>
        <v>22800</v>
      </c>
      <c r="D257" s="131">
        <f ca="1" t="shared" si="71"/>
        <v>46</v>
      </c>
      <c r="E257" s="131">
        <f ca="1" t="shared" si="72"/>
        <v>46</v>
      </c>
      <c r="F257" s="131">
        <f ca="1" t="shared" si="73"/>
        <v>46</v>
      </c>
      <c r="G257" s="131">
        <f ca="1" t="shared" si="74"/>
        <v>37</v>
      </c>
      <c r="H257" s="131">
        <f ca="1" t="shared" si="75"/>
        <v>37</v>
      </c>
      <c r="I257" s="131">
        <f ca="1" t="shared" si="76"/>
        <v>37</v>
      </c>
      <c r="J257" s="131">
        <f ca="1" t="shared" si="77"/>
        <v>37</v>
      </c>
      <c r="K257" s="131">
        <f ca="1" t="shared" si="78"/>
        <v>37</v>
      </c>
      <c r="L257" s="131">
        <f ca="1" t="shared" si="79"/>
        <v>37</v>
      </c>
      <c r="M257" s="131">
        <f ca="1" t="shared" si="80"/>
        <v>31</v>
      </c>
      <c r="N257" s="131">
        <f ca="1" t="shared" si="81"/>
        <v>31</v>
      </c>
      <c r="O257" s="131">
        <f ca="1" t="shared" si="82"/>
        <v>31</v>
      </c>
      <c r="P257" s="131">
        <f ca="1" t="shared" si="83"/>
        <v>31</v>
      </c>
      <c r="Q257" s="131">
        <f ca="1" t="shared" si="84"/>
        <v>31</v>
      </c>
      <c r="R257" s="131">
        <f ca="1" t="shared" si="85"/>
        <v>31</v>
      </c>
      <c r="S257" s="131">
        <f ca="1" t="shared" si="86"/>
        <v>35</v>
      </c>
      <c r="T257" s="131">
        <f ca="1" t="shared" si="87"/>
        <v>35</v>
      </c>
      <c r="U257" s="131">
        <f ca="1" t="shared" si="88"/>
        <v>36</v>
      </c>
      <c r="V257" s="131">
        <f ca="1" t="shared" si="89"/>
        <v>37</v>
      </c>
      <c r="W257" s="124">
        <f ca="1">OFFSET($K$19,_xlfn.XLOOKUP(X257,$D$9:$D$28,$H$9:$H$28),MATCH(OFFSET($C$29,B257,MATCH(X257,$D$29:$V$29,0)),$L$19:$R$19,1))*(1+(OFFSET($C$29,B257,MATCH(X257,$D$29:$V$29,0))-1)*_xlfn.XLOOKUP(X257,梦灵养成!$D$9:$D$28,梦灵养成!$G$9:$G$28))</f>
        <v>50.232</v>
      </c>
      <c r="X257" s="106" t="str">
        <f ca="1" t="shared" si="70"/>
        <v>神算诸葛</v>
      </c>
      <c r="Y257" s="95">
        <f ca="1" t="shared" si="90"/>
        <v>127800</v>
      </c>
      <c r="Z257" s="96">
        <f ca="1" t="shared" si="91"/>
        <v>4.6</v>
      </c>
    </row>
    <row r="258" s="106" customFormat="1" ht="16.5" spans="2:26">
      <c r="B258" s="117">
        <v>229</v>
      </c>
      <c r="C258" s="130">
        <f t="shared" si="92"/>
        <v>22900</v>
      </c>
      <c r="D258" s="131">
        <f ca="1" t="shared" si="71"/>
        <v>46</v>
      </c>
      <c r="E258" s="131">
        <f ca="1" t="shared" si="72"/>
        <v>46</v>
      </c>
      <c r="F258" s="131">
        <f ca="1" t="shared" si="73"/>
        <v>46</v>
      </c>
      <c r="G258" s="131">
        <f ca="1" t="shared" si="74"/>
        <v>37</v>
      </c>
      <c r="H258" s="131">
        <f ca="1" t="shared" si="75"/>
        <v>37</v>
      </c>
      <c r="I258" s="131">
        <f ca="1" t="shared" si="76"/>
        <v>37</v>
      </c>
      <c r="J258" s="131">
        <f ca="1" t="shared" si="77"/>
        <v>37</v>
      </c>
      <c r="K258" s="131">
        <f ca="1" t="shared" si="78"/>
        <v>37</v>
      </c>
      <c r="L258" s="131">
        <f ca="1" t="shared" si="79"/>
        <v>37</v>
      </c>
      <c r="M258" s="131">
        <f ca="1" t="shared" si="80"/>
        <v>31</v>
      </c>
      <c r="N258" s="131">
        <f ca="1" t="shared" si="81"/>
        <v>31</v>
      </c>
      <c r="O258" s="131">
        <f ca="1" t="shared" si="82"/>
        <v>31</v>
      </c>
      <c r="P258" s="131">
        <f ca="1" t="shared" si="83"/>
        <v>31</v>
      </c>
      <c r="Q258" s="131">
        <f ca="1" t="shared" si="84"/>
        <v>32</v>
      </c>
      <c r="R258" s="131">
        <f ca="1" t="shared" si="85"/>
        <v>31</v>
      </c>
      <c r="S258" s="131">
        <f ca="1" t="shared" si="86"/>
        <v>35</v>
      </c>
      <c r="T258" s="131">
        <f ca="1" t="shared" si="87"/>
        <v>35</v>
      </c>
      <c r="U258" s="131">
        <f ca="1" t="shared" si="88"/>
        <v>36</v>
      </c>
      <c r="V258" s="131">
        <f ca="1" t="shared" si="89"/>
        <v>37</v>
      </c>
      <c r="W258" s="124">
        <f ca="1">OFFSET($K$19,_xlfn.XLOOKUP(X258,$D$9:$D$28,$H$9:$H$28),MATCH(OFFSET($C$29,B258,MATCH(X258,$D$29:$V$29,0)),$L$19:$R$19,1))*(1+(OFFSET($C$29,B258,MATCH(X258,$D$29:$V$29,0))-1)*_xlfn.XLOOKUP(X258,梦灵养成!$D$9:$D$28,梦灵养成!$G$9:$G$28))</f>
        <v>50.232</v>
      </c>
      <c r="X258" s="106" t="str">
        <f ca="1" t="shared" si="70"/>
        <v>神算诸葛</v>
      </c>
      <c r="Y258" s="95">
        <f ca="1" t="shared" si="90"/>
        <v>126000</v>
      </c>
      <c r="Z258" s="96">
        <f ca="1" t="shared" si="91"/>
        <v>4.6</v>
      </c>
    </row>
    <row r="259" s="106" customFormat="1" ht="16.5" spans="2:26">
      <c r="B259" s="117">
        <v>230</v>
      </c>
      <c r="C259" s="130">
        <f t="shared" si="92"/>
        <v>23000</v>
      </c>
      <c r="D259" s="131">
        <f ca="1" t="shared" si="71"/>
        <v>46</v>
      </c>
      <c r="E259" s="131">
        <f ca="1" t="shared" si="72"/>
        <v>46</v>
      </c>
      <c r="F259" s="131">
        <f ca="1" t="shared" si="73"/>
        <v>46</v>
      </c>
      <c r="G259" s="131">
        <f ca="1" t="shared" si="74"/>
        <v>37</v>
      </c>
      <c r="H259" s="131">
        <f ca="1" t="shared" si="75"/>
        <v>37</v>
      </c>
      <c r="I259" s="131">
        <f ca="1" t="shared" si="76"/>
        <v>37</v>
      </c>
      <c r="J259" s="131">
        <f ca="1" t="shared" si="77"/>
        <v>37</v>
      </c>
      <c r="K259" s="131">
        <f ca="1" t="shared" si="78"/>
        <v>37</v>
      </c>
      <c r="L259" s="131">
        <f ca="1" t="shared" si="79"/>
        <v>37</v>
      </c>
      <c r="M259" s="131">
        <f ca="1" t="shared" si="80"/>
        <v>31</v>
      </c>
      <c r="N259" s="131">
        <f ca="1" t="shared" si="81"/>
        <v>31</v>
      </c>
      <c r="O259" s="131">
        <f ca="1" t="shared" si="82"/>
        <v>31</v>
      </c>
      <c r="P259" s="131">
        <f ca="1" t="shared" si="83"/>
        <v>31</v>
      </c>
      <c r="Q259" s="131">
        <f ca="1" t="shared" si="84"/>
        <v>32</v>
      </c>
      <c r="R259" s="131">
        <f ca="1" t="shared" si="85"/>
        <v>31</v>
      </c>
      <c r="S259" s="131">
        <f ca="1" t="shared" si="86"/>
        <v>35</v>
      </c>
      <c r="T259" s="131">
        <f ca="1" t="shared" si="87"/>
        <v>35</v>
      </c>
      <c r="U259" s="131">
        <f ca="1" t="shared" si="88"/>
        <v>36</v>
      </c>
      <c r="V259" s="131">
        <f ca="1" t="shared" si="89"/>
        <v>37</v>
      </c>
      <c r="W259" s="124">
        <f ca="1">OFFSET($K$19,_xlfn.XLOOKUP(X259,$D$9:$D$28,$H$9:$H$28),MATCH(OFFSET($C$29,B259,MATCH(X259,$D$29:$V$29,0)),$L$19:$R$19,1))*(1+(OFFSET($C$29,B259,MATCH(X259,$D$29:$V$29,0))-1)*_xlfn.XLOOKUP(X259,梦灵养成!$D$9:$D$28,梦灵养成!$G$9:$G$28))</f>
        <v>50.232</v>
      </c>
      <c r="X259" s="106" t="str">
        <f ca="1" t="shared" si="70"/>
        <v>神算诸葛</v>
      </c>
      <c r="Y259" s="95">
        <f ca="1" t="shared" si="90"/>
        <v>124200</v>
      </c>
      <c r="Z259" s="96">
        <f ca="1" t="shared" si="91"/>
        <v>4.6</v>
      </c>
    </row>
    <row r="260" s="106" customFormat="1" ht="16.5" spans="2:26">
      <c r="B260" s="117">
        <v>231</v>
      </c>
      <c r="C260" s="130">
        <f t="shared" si="92"/>
        <v>23100</v>
      </c>
      <c r="D260" s="131">
        <f ca="1" t="shared" si="71"/>
        <v>46</v>
      </c>
      <c r="E260" s="131">
        <f ca="1" t="shared" si="72"/>
        <v>46</v>
      </c>
      <c r="F260" s="131">
        <f ca="1" t="shared" si="73"/>
        <v>46</v>
      </c>
      <c r="G260" s="131">
        <f ca="1" t="shared" si="74"/>
        <v>37</v>
      </c>
      <c r="H260" s="131">
        <f ca="1" t="shared" si="75"/>
        <v>37</v>
      </c>
      <c r="I260" s="131">
        <f ca="1" t="shared" si="76"/>
        <v>37</v>
      </c>
      <c r="J260" s="131">
        <f ca="1" t="shared" si="77"/>
        <v>37</v>
      </c>
      <c r="K260" s="131">
        <f ca="1" t="shared" si="78"/>
        <v>37</v>
      </c>
      <c r="L260" s="131">
        <f ca="1" t="shared" si="79"/>
        <v>37</v>
      </c>
      <c r="M260" s="131">
        <f ca="1" t="shared" si="80"/>
        <v>31</v>
      </c>
      <c r="N260" s="131">
        <f ca="1" t="shared" si="81"/>
        <v>31</v>
      </c>
      <c r="O260" s="131">
        <f ca="1" t="shared" si="82"/>
        <v>32</v>
      </c>
      <c r="P260" s="131">
        <f ca="1" t="shared" si="83"/>
        <v>31</v>
      </c>
      <c r="Q260" s="131">
        <f ca="1" t="shared" si="84"/>
        <v>32</v>
      </c>
      <c r="R260" s="131">
        <f ca="1" t="shared" si="85"/>
        <v>31</v>
      </c>
      <c r="S260" s="131">
        <f ca="1" t="shared" si="86"/>
        <v>35</v>
      </c>
      <c r="T260" s="131">
        <f ca="1" t="shared" si="87"/>
        <v>35</v>
      </c>
      <c r="U260" s="131">
        <f ca="1" t="shared" si="88"/>
        <v>36</v>
      </c>
      <c r="V260" s="131">
        <f ca="1" t="shared" si="89"/>
        <v>37</v>
      </c>
      <c r="W260" s="124">
        <f ca="1">OFFSET($K$19,_xlfn.XLOOKUP(X260,$D$9:$D$28,$H$9:$H$28),MATCH(OFFSET($C$29,B260,MATCH(X260,$D$29:$V$29,0)),$L$19:$R$19,1))*(1+(OFFSET($C$29,B260,MATCH(X260,$D$29:$V$29,0))-1)*_xlfn.XLOOKUP(X260,梦灵养成!$D$9:$D$28,梦灵养成!$G$9:$G$28))</f>
        <v>50.232</v>
      </c>
      <c r="X260" s="106" t="str">
        <f ca="1" t="shared" si="70"/>
        <v>神算诸葛</v>
      </c>
      <c r="Y260" s="95">
        <f ca="1" t="shared" si="90"/>
        <v>122400</v>
      </c>
      <c r="Z260" s="96">
        <f ca="1" t="shared" si="91"/>
        <v>4.6</v>
      </c>
    </row>
    <row r="261" s="106" customFormat="1" ht="16.5" spans="2:26">
      <c r="B261" s="117">
        <v>232</v>
      </c>
      <c r="C261" s="130">
        <f t="shared" si="92"/>
        <v>23200</v>
      </c>
      <c r="D261" s="131">
        <f ca="1" t="shared" si="71"/>
        <v>46</v>
      </c>
      <c r="E261" s="131">
        <f ca="1" t="shared" si="72"/>
        <v>46</v>
      </c>
      <c r="F261" s="131">
        <f ca="1" t="shared" si="73"/>
        <v>46</v>
      </c>
      <c r="G261" s="131">
        <f ca="1" t="shared" si="74"/>
        <v>37</v>
      </c>
      <c r="H261" s="131">
        <f ca="1" t="shared" si="75"/>
        <v>37</v>
      </c>
      <c r="I261" s="131">
        <f ca="1" t="shared" si="76"/>
        <v>37</v>
      </c>
      <c r="J261" s="131">
        <f ca="1" t="shared" si="77"/>
        <v>37</v>
      </c>
      <c r="K261" s="131">
        <f ca="1" t="shared" si="78"/>
        <v>37</v>
      </c>
      <c r="L261" s="131">
        <f ca="1" t="shared" si="79"/>
        <v>37</v>
      </c>
      <c r="M261" s="131">
        <f ca="1" t="shared" si="80"/>
        <v>31</v>
      </c>
      <c r="N261" s="131">
        <f ca="1" t="shared" si="81"/>
        <v>31</v>
      </c>
      <c r="O261" s="131">
        <f ca="1" t="shared" si="82"/>
        <v>32</v>
      </c>
      <c r="P261" s="131">
        <f ca="1" t="shared" si="83"/>
        <v>31</v>
      </c>
      <c r="Q261" s="131">
        <f ca="1" t="shared" si="84"/>
        <v>32</v>
      </c>
      <c r="R261" s="131">
        <f ca="1" t="shared" si="85"/>
        <v>31</v>
      </c>
      <c r="S261" s="131">
        <f ca="1" t="shared" si="86"/>
        <v>35</v>
      </c>
      <c r="T261" s="131">
        <f ca="1" t="shared" si="87"/>
        <v>36</v>
      </c>
      <c r="U261" s="131">
        <f ca="1" t="shared" si="88"/>
        <v>36</v>
      </c>
      <c r="V261" s="131">
        <f ca="1" t="shared" si="89"/>
        <v>37</v>
      </c>
      <c r="W261" s="124">
        <f ca="1">OFFSET($K$19,_xlfn.XLOOKUP(X261,$D$9:$D$28,$H$9:$H$28),MATCH(OFFSET($C$29,B261,MATCH(X261,$D$29:$V$29,0)),$L$19:$R$19,1))*(1+(OFFSET($C$29,B261,MATCH(X261,$D$29:$V$29,0))-1)*_xlfn.XLOOKUP(X261,梦灵养成!$D$9:$D$28,梦灵养成!$G$9:$G$28))</f>
        <v>50.232</v>
      </c>
      <c r="X261" s="106" t="str">
        <f ca="1" t="shared" si="70"/>
        <v>神算诸葛</v>
      </c>
      <c r="Y261" s="95">
        <f ca="1" t="shared" si="90"/>
        <v>120600</v>
      </c>
      <c r="Z261" s="96">
        <f ca="1" t="shared" si="91"/>
        <v>4.6</v>
      </c>
    </row>
    <row r="262" s="106" customFormat="1" ht="16.5" spans="2:26">
      <c r="B262" s="117">
        <v>233</v>
      </c>
      <c r="C262" s="130">
        <f t="shared" si="92"/>
        <v>23300</v>
      </c>
      <c r="D262" s="131">
        <f ca="1" t="shared" si="71"/>
        <v>46</v>
      </c>
      <c r="E262" s="131">
        <f ca="1" t="shared" si="72"/>
        <v>46</v>
      </c>
      <c r="F262" s="131">
        <f ca="1" t="shared" si="73"/>
        <v>46</v>
      </c>
      <c r="G262" s="131">
        <f ca="1" t="shared" si="74"/>
        <v>37</v>
      </c>
      <c r="H262" s="131">
        <f ca="1" t="shared" si="75"/>
        <v>37</v>
      </c>
      <c r="I262" s="131">
        <f ca="1" t="shared" si="76"/>
        <v>37</v>
      </c>
      <c r="J262" s="131">
        <f ca="1" t="shared" si="77"/>
        <v>37</v>
      </c>
      <c r="K262" s="131">
        <f ca="1" t="shared" si="78"/>
        <v>37</v>
      </c>
      <c r="L262" s="131">
        <f ca="1" t="shared" si="79"/>
        <v>37</v>
      </c>
      <c r="M262" s="131">
        <f ca="1" t="shared" si="80"/>
        <v>31</v>
      </c>
      <c r="N262" s="131">
        <f ca="1" t="shared" si="81"/>
        <v>31</v>
      </c>
      <c r="O262" s="131">
        <f ca="1" t="shared" si="82"/>
        <v>32</v>
      </c>
      <c r="P262" s="131">
        <f ca="1" t="shared" si="83"/>
        <v>31</v>
      </c>
      <c r="Q262" s="131">
        <f ca="1" t="shared" si="84"/>
        <v>32</v>
      </c>
      <c r="R262" s="131">
        <f ca="1" t="shared" si="85"/>
        <v>31</v>
      </c>
      <c r="S262" s="131">
        <f ca="1" t="shared" si="86"/>
        <v>35</v>
      </c>
      <c r="T262" s="131">
        <f ca="1" t="shared" si="87"/>
        <v>36</v>
      </c>
      <c r="U262" s="131">
        <f ca="1" t="shared" si="88"/>
        <v>36</v>
      </c>
      <c r="V262" s="131">
        <f ca="1" t="shared" si="89"/>
        <v>37</v>
      </c>
      <c r="W262" s="124">
        <f ca="1">OFFSET($K$19,_xlfn.XLOOKUP(X262,$D$9:$D$28,$H$9:$H$28),MATCH(OFFSET($C$29,B262,MATCH(X262,$D$29:$V$29,0)),$L$19:$R$19,1))*(1+(OFFSET($C$29,B262,MATCH(X262,$D$29:$V$29,0))-1)*_xlfn.XLOOKUP(X262,梦灵养成!$D$9:$D$28,梦灵养成!$G$9:$G$28))</f>
        <v>50.232</v>
      </c>
      <c r="X262" s="106" t="str">
        <f ca="1" t="shared" si="70"/>
        <v>神算诸葛</v>
      </c>
      <c r="Y262" s="95">
        <f ca="1" t="shared" si="90"/>
        <v>118800</v>
      </c>
      <c r="Z262" s="96">
        <f ca="1" t="shared" si="91"/>
        <v>4.6</v>
      </c>
    </row>
    <row r="263" s="106" customFormat="1" ht="16.5" spans="2:26">
      <c r="B263" s="117">
        <v>234</v>
      </c>
      <c r="C263" s="130">
        <f t="shared" si="92"/>
        <v>23400</v>
      </c>
      <c r="D263" s="131">
        <f ca="1" t="shared" si="71"/>
        <v>46</v>
      </c>
      <c r="E263" s="131">
        <f ca="1" t="shared" si="72"/>
        <v>46</v>
      </c>
      <c r="F263" s="131">
        <f ca="1" t="shared" si="73"/>
        <v>46</v>
      </c>
      <c r="G263" s="131">
        <f ca="1" t="shared" si="74"/>
        <v>37</v>
      </c>
      <c r="H263" s="131">
        <f ca="1" t="shared" si="75"/>
        <v>37</v>
      </c>
      <c r="I263" s="131">
        <f ca="1" t="shared" si="76"/>
        <v>37</v>
      </c>
      <c r="J263" s="131">
        <f ca="1" t="shared" si="77"/>
        <v>37</v>
      </c>
      <c r="K263" s="131">
        <f ca="1" t="shared" si="78"/>
        <v>37</v>
      </c>
      <c r="L263" s="131">
        <f ca="1" t="shared" si="79"/>
        <v>37</v>
      </c>
      <c r="M263" s="131">
        <f ca="1" t="shared" si="80"/>
        <v>31</v>
      </c>
      <c r="N263" s="131">
        <f ca="1" t="shared" si="81"/>
        <v>32</v>
      </c>
      <c r="O263" s="131">
        <f ca="1" t="shared" si="82"/>
        <v>32</v>
      </c>
      <c r="P263" s="131">
        <f ca="1" t="shared" si="83"/>
        <v>31</v>
      </c>
      <c r="Q263" s="131">
        <f ca="1" t="shared" si="84"/>
        <v>32</v>
      </c>
      <c r="R263" s="131">
        <f ca="1" t="shared" si="85"/>
        <v>31</v>
      </c>
      <c r="S263" s="131">
        <f ca="1" t="shared" si="86"/>
        <v>35</v>
      </c>
      <c r="T263" s="131">
        <f ca="1" t="shared" si="87"/>
        <v>36</v>
      </c>
      <c r="U263" s="131">
        <f ca="1" t="shared" si="88"/>
        <v>36</v>
      </c>
      <c r="V263" s="131">
        <f ca="1" t="shared" si="89"/>
        <v>37</v>
      </c>
      <c r="W263" s="124">
        <f ca="1">OFFSET($K$19,_xlfn.XLOOKUP(X263,$D$9:$D$28,$H$9:$H$28),MATCH(OFFSET($C$29,B263,MATCH(X263,$D$29:$V$29,0)),$L$19:$R$19,1))*(1+(OFFSET($C$29,B263,MATCH(X263,$D$29:$V$29,0))-1)*_xlfn.XLOOKUP(X263,梦灵养成!$D$9:$D$28,梦灵养成!$G$9:$G$28))</f>
        <v>50.232</v>
      </c>
      <c r="X263" s="106" t="str">
        <f ca="1" t="shared" si="70"/>
        <v>神算诸葛</v>
      </c>
      <c r="Y263" s="95">
        <f ca="1" t="shared" si="90"/>
        <v>117000</v>
      </c>
      <c r="Z263" s="96">
        <f ca="1" t="shared" si="91"/>
        <v>4.6</v>
      </c>
    </row>
    <row r="264" s="106" customFormat="1" ht="16.5" spans="2:26">
      <c r="B264" s="117">
        <v>235</v>
      </c>
      <c r="C264" s="130">
        <f t="shared" si="92"/>
        <v>23500</v>
      </c>
      <c r="D264" s="131">
        <f ca="1" t="shared" si="71"/>
        <v>46</v>
      </c>
      <c r="E264" s="131">
        <f ca="1" t="shared" si="72"/>
        <v>46</v>
      </c>
      <c r="F264" s="131">
        <f ca="1" t="shared" si="73"/>
        <v>46</v>
      </c>
      <c r="G264" s="131">
        <f ca="1" t="shared" si="74"/>
        <v>37</v>
      </c>
      <c r="H264" s="131">
        <f ca="1" t="shared" si="75"/>
        <v>37</v>
      </c>
      <c r="I264" s="131">
        <f ca="1" t="shared" si="76"/>
        <v>37</v>
      </c>
      <c r="J264" s="131">
        <f ca="1" t="shared" si="77"/>
        <v>37</v>
      </c>
      <c r="K264" s="131">
        <f ca="1" t="shared" si="78"/>
        <v>37</v>
      </c>
      <c r="L264" s="131">
        <f ca="1" t="shared" si="79"/>
        <v>37</v>
      </c>
      <c r="M264" s="131">
        <f ca="1" t="shared" si="80"/>
        <v>32</v>
      </c>
      <c r="N264" s="131">
        <f ca="1" t="shared" si="81"/>
        <v>32</v>
      </c>
      <c r="O264" s="131">
        <f ca="1" t="shared" si="82"/>
        <v>32</v>
      </c>
      <c r="P264" s="131">
        <f ca="1" t="shared" si="83"/>
        <v>31</v>
      </c>
      <c r="Q264" s="131">
        <f ca="1" t="shared" si="84"/>
        <v>32</v>
      </c>
      <c r="R264" s="131">
        <f ca="1" t="shared" si="85"/>
        <v>32</v>
      </c>
      <c r="S264" s="131">
        <f ca="1" t="shared" si="86"/>
        <v>35</v>
      </c>
      <c r="T264" s="131">
        <f ca="1" t="shared" si="87"/>
        <v>36</v>
      </c>
      <c r="U264" s="131">
        <f ca="1" t="shared" si="88"/>
        <v>36</v>
      </c>
      <c r="V264" s="131">
        <f ca="1" t="shared" si="89"/>
        <v>37</v>
      </c>
      <c r="W264" s="124">
        <f ca="1">OFFSET($K$19,_xlfn.XLOOKUP(X264,$D$9:$D$28,$H$9:$H$28),MATCH(OFFSET($C$29,B264,MATCH(X264,$D$29:$V$29,0)),$L$19:$R$19,1))*(1+(OFFSET($C$29,B264,MATCH(X264,$D$29:$V$29,0))-1)*_xlfn.XLOOKUP(X264,梦灵养成!$D$9:$D$28,梦灵养成!$G$9:$G$28))</f>
        <v>50.232</v>
      </c>
      <c r="X264" s="106" t="str">
        <f ca="1" t="shared" si="70"/>
        <v>神算诸葛</v>
      </c>
      <c r="Y264" s="95">
        <f ca="1" t="shared" si="90"/>
        <v>115200</v>
      </c>
      <c r="Z264" s="96">
        <f ca="1" t="shared" si="91"/>
        <v>4.6</v>
      </c>
    </row>
    <row r="265" s="106" customFormat="1" ht="16.5" spans="2:26">
      <c r="B265" s="117">
        <v>236</v>
      </c>
      <c r="C265" s="130">
        <f t="shared" si="92"/>
        <v>23600</v>
      </c>
      <c r="D265" s="131">
        <f ca="1" t="shared" si="71"/>
        <v>46</v>
      </c>
      <c r="E265" s="131">
        <f ca="1" t="shared" si="72"/>
        <v>46</v>
      </c>
      <c r="F265" s="131">
        <f ca="1" t="shared" si="73"/>
        <v>46</v>
      </c>
      <c r="G265" s="131">
        <f ca="1" t="shared" si="74"/>
        <v>37</v>
      </c>
      <c r="H265" s="131">
        <f ca="1" t="shared" si="75"/>
        <v>37</v>
      </c>
      <c r="I265" s="131">
        <f ca="1" t="shared" si="76"/>
        <v>37</v>
      </c>
      <c r="J265" s="131">
        <f ca="1" t="shared" si="77"/>
        <v>37</v>
      </c>
      <c r="K265" s="131">
        <f ca="1" t="shared" si="78"/>
        <v>37</v>
      </c>
      <c r="L265" s="131">
        <f ca="1" t="shared" si="79"/>
        <v>37</v>
      </c>
      <c r="M265" s="131">
        <f ca="1" t="shared" si="80"/>
        <v>32</v>
      </c>
      <c r="N265" s="131">
        <f ca="1" t="shared" si="81"/>
        <v>32</v>
      </c>
      <c r="O265" s="131">
        <f ca="1" t="shared" si="82"/>
        <v>32</v>
      </c>
      <c r="P265" s="131">
        <f ca="1" t="shared" si="83"/>
        <v>31</v>
      </c>
      <c r="Q265" s="131">
        <f ca="1" t="shared" si="84"/>
        <v>32</v>
      </c>
      <c r="R265" s="131">
        <f ca="1" t="shared" si="85"/>
        <v>32</v>
      </c>
      <c r="S265" s="131">
        <f ca="1" t="shared" si="86"/>
        <v>35</v>
      </c>
      <c r="T265" s="131">
        <f ca="1" t="shared" si="87"/>
        <v>36</v>
      </c>
      <c r="U265" s="131">
        <f ca="1" t="shared" si="88"/>
        <v>36</v>
      </c>
      <c r="V265" s="131">
        <f ca="1" t="shared" si="89"/>
        <v>37</v>
      </c>
      <c r="W265" s="124">
        <f ca="1">OFFSET($K$19,_xlfn.XLOOKUP(X265,$D$9:$D$28,$H$9:$H$28),MATCH(OFFSET($C$29,B265,MATCH(X265,$D$29:$V$29,0)),$L$19:$R$19,1))*(1+(OFFSET($C$29,B265,MATCH(X265,$D$29:$V$29,0))-1)*_xlfn.XLOOKUP(X265,梦灵养成!$D$9:$D$28,梦灵养成!$G$9:$G$28))</f>
        <v>50.232</v>
      </c>
      <c r="X265" s="106" t="str">
        <f ca="1" t="shared" si="70"/>
        <v>神算诸葛</v>
      </c>
      <c r="Y265" s="95">
        <f ca="1" t="shared" si="90"/>
        <v>113400</v>
      </c>
      <c r="Z265" s="96">
        <f ca="1" t="shared" si="91"/>
        <v>4.6</v>
      </c>
    </row>
    <row r="266" s="106" customFormat="1" ht="16.5" spans="2:26">
      <c r="B266" s="117">
        <v>237</v>
      </c>
      <c r="C266" s="130">
        <f t="shared" si="92"/>
        <v>23700</v>
      </c>
      <c r="D266" s="131">
        <f ca="1" t="shared" si="71"/>
        <v>46</v>
      </c>
      <c r="E266" s="131">
        <f ca="1" t="shared" si="72"/>
        <v>46</v>
      </c>
      <c r="F266" s="131">
        <f ca="1" t="shared" si="73"/>
        <v>46</v>
      </c>
      <c r="G266" s="131">
        <f ca="1" t="shared" si="74"/>
        <v>37</v>
      </c>
      <c r="H266" s="131">
        <f ca="1" t="shared" si="75"/>
        <v>37</v>
      </c>
      <c r="I266" s="131">
        <f ca="1" t="shared" si="76"/>
        <v>37</v>
      </c>
      <c r="J266" s="131">
        <f ca="1" t="shared" si="77"/>
        <v>37</v>
      </c>
      <c r="K266" s="131">
        <f ca="1" t="shared" si="78"/>
        <v>37</v>
      </c>
      <c r="L266" s="131">
        <f ca="1" t="shared" si="79"/>
        <v>37</v>
      </c>
      <c r="M266" s="131">
        <f ca="1" t="shared" si="80"/>
        <v>32</v>
      </c>
      <c r="N266" s="131">
        <f ca="1" t="shared" si="81"/>
        <v>32</v>
      </c>
      <c r="O266" s="131">
        <f ca="1" t="shared" si="82"/>
        <v>32</v>
      </c>
      <c r="P266" s="131">
        <f ca="1" t="shared" si="83"/>
        <v>31</v>
      </c>
      <c r="Q266" s="131">
        <f ca="1" t="shared" si="84"/>
        <v>32</v>
      </c>
      <c r="R266" s="131">
        <f ca="1" t="shared" si="85"/>
        <v>32</v>
      </c>
      <c r="S266" s="131">
        <f ca="1" t="shared" si="86"/>
        <v>35</v>
      </c>
      <c r="T266" s="131">
        <f ca="1" t="shared" si="87"/>
        <v>36</v>
      </c>
      <c r="U266" s="131">
        <f ca="1" t="shared" si="88"/>
        <v>36</v>
      </c>
      <c r="V266" s="131">
        <f ca="1" t="shared" si="89"/>
        <v>37</v>
      </c>
      <c r="W266" s="124">
        <f ca="1">OFFSET($K$19,_xlfn.XLOOKUP(X266,$D$9:$D$28,$H$9:$H$28),MATCH(OFFSET($C$29,B266,MATCH(X266,$D$29:$V$29,0)),$L$19:$R$19,1))*(1+(OFFSET($C$29,B266,MATCH(X266,$D$29:$V$29,0))-1)*_xlfn.XLOOKUP(X266,梦灵养成!$D$9:$D$28,梦灵养成!$G$9:$G$28))</f>
        <v>50.232</v>
      </c>
      <c r="X266" s="106" t="str">
        <f ca="1" t="shared" si="70"/>
        <v>神算诸葛</v>
      </c>
      <c r="Y266" s="95">
        <f ca="1" t="shared" si="90"/>
        <v>111600</v>
      </c>
      <c r="Z266" s="96">
        <f ca="1" t="shared" si="91"/>
        <v>4.6</v>
      </c>
    </row>
    <row r="267" s="106" customFormat="1" ht="16.5" spans="2:26">
      <c r="B267" s="117">
        <v>238</v>
      </c>
      <c r="C267" s="130">
        <f t="shared" si="92"/>
        <v>23800</v>
      </c>
      <c r="D267" s="131">
        <f ca="1" t="shared" si="71"/>
        <v>46</v>
      </c>
      <c r="E267" s="131">
        <f ca="1" t="shared" si="72"/>
        <v>46</v>
      </c>
      <c r="F267" s="131">
        <f ca="1" t="shared" si="73"/>
        <v>46</v>
      </c>
      <c r="G267" s="131">
        <f ca="1" t="shared" si="74"/>
        <v>38</v>
      </c>
      <c r="H267" s="131">
        <f ca="1" t="shared" si="75"/>
        <v>38</v>
      </c>
      <c r="I267" s="131">
        <f ca="1" t="shared" si="76"/>
        <v>38</v>
      </c>
      <c r="J267" s="131">
        <f ca="1" t="shared" si="77"/>
        <v>37</v>
      </c>
      <c r="K267" s="131">
        <f ca="1" t="shared" si="78"/>
        <v>37</v>
      </c>
      <c r="L267" s="131">
        <f ca="1" t="shared" si="79"/>
        <v>37</v>
      </c>
      <c r="M267" s="131">
        <f ca="1" t="shared" si="80"/>
        <v>32</v>
      </c>
      <c r="N267" s="131">
        <f ca="1" t="shared" si="81"/>
        <v>32</v>
      </c>
      <c r="O267" s="131">
        <f ca="1" t="shared" si="82"/>
        <v>32</v>
      </c>
      <c r="P267" s="131">
        <f ca="1" t="shared" si="83"/>
        <v>32</v>
      </c>
      <c r="Q267" s="131">
        <f ca="1" t="shared" si="84"/>
        <v>32</v>
      </c>
      <c r="R267" s="131">
        <f ca="1" t="shared" si="85"/>
        <v>32</v>
      </c>
      <c r="S267" s="131">
        <f ca="1" t="shared" si="86"/>
        <v>35</v>
      </c>
      <c r="T267" s="131">
        <f ca="1" t="shared" si="87"/>
        <v>36</v>
      </c>
      <c r="U267" s="131">
        <f ca="1" t="shared" si="88"/>
        <v>36</v>
      </c>
      <c r="V267" s="131">
        <f ca="1" t="shared" si="89"/>
        <v>37</v>
      </c>
      <c r="W267" s="124">
        <f ca="1">OFFSET($K$19,_xlfn.XLOOKUP(X267,$D$9:$D$28,$H$9:$H$28),MATCH(OFFSET($C$29,B267,MATCH(X267,$D$29:$V$29,0)),$L$19:$R$19,1))*(1+(OFFSET($C$29,B267,MATCH(X267,$D$29:$V$29,0))-1)*_xlfn.XLOOKUP(X267,梦灵养成!$D$9:$D$28,梦灵养成!$G$9:$G$28))</f>
        <v>50.232</v>
      </c>
      <c r="X267" s="106" t="str">
        <f ca="1" t="shared" si="70"/>
        <v>神算诸葛</v>
      </c>
      <c r="Y267" s="95">
        <f ca="1" t="shared" si="90"/>
        <v>109800</v>
      </c>
      <c r="Z267" s="96">
        <f ca="1" t="shared" si="91"/>
        <v>4.6</v>
      </c>
    </row>
    <row r="268" s="106" customFormat="1" ht="16.5" spans="2:26">
      <c r="B268" s="117">
        <v>239</v>
      </c>
      <c r="C268" s="130">
        <f t="shared" si="92"/>
        <v>23900</v>
      </c>
      <c r="D268" s="131">
        <f ca="1" t="shared" si="71"/>
        <v>46</v>
      </c>
      <c r="E268" s="131">
        <f ca="1" t="shared" si="72"/>
        <v>46</v>
      </c>
      <c r="F268" s="131">
        <f ca="1" t="shared" si="73"/>
        <v>46</v>
      </c>
      <c r="G268" s="131">
        <f ca="1" t="shared" si="74"/>
        <v>38</v>
      </c>
      <c r="H268" s="131">
        <f ca="1" t="shared" si="75"/>
        <v>38</v>
      </c>
      <c r="I268" s="131">
        <f ca="1" t="shared" si="76"/>
        <v>38</v>
      </c>
      <c r="J268" s="131">
        <f ca="1" t="shared" si="77"/>
        <v>38</v>
      </c>
      <c r="K268" s="131">
        <f ca="1" t="shared" si="78"/>
        <v>37</v>
      </c>
      <c r="L268" s="131">
        <f ca="1" t="shared" si="79"/>
        <v>37</v>
      </c>
      <c r="M268" s="131">
        <f ca="1" t="shared" si="80"/>
        <v>32</v>
      </c>
      <c r="N268" s="131">
        <f ca="1" t="shared" si="81"/>
        <v>32</v>
      </c>
      <c r="O268" s="131">
        <f ca="1" t="shared" si="82"/>
        <v>32</v>
      </c>
      <c r="P268" s="131">
        <f ca="1" t="shared" si="83"/>
        <v>32</v>
      </c>
      <c r="Q268" s="131">
        <f ca="1" t="shared" si="84"/>
        <v>32</v>
      </c>
      <c r="R268" s="131">
        <f ca="1" t="shared" si="85"/>
        <v>32</v>
      </c>
      <c r="S268" s="131">
        <f ca="1" t="shared" si="86"/>
        <v>35</v>
      </c>
      <c r="T268" s="131">
        <f ca="1" t="shared" si="87"/>
        <v>36</v>
      </c>
      <c r="U268" s="131">
        <f ca="1" t="shared" si="88"/>
        <v>36</v>
      </c>
      <c r="V268" s="131">
        <f ca="1" t="shared" si="89"/>
        <v>37</v>
      </c>
      <c r="W268" s="124">
        <f ca="1">OFFSET($K$19,_xlfn.XLOOKUP(X268,$D$9:$D$28,$H$9:$H$28),MATCH(OFFSET($C$29,B268,MATCH(X268,$D$29:$V$29,0)),$L$19:$R$19,1))*(1+(OFFSET($C$29,B268,MATCH(X268,$D$29:$V$29,0))-1)*_xlfn.XLOOKUP(X268,梦灵养成!$D$9:$D$28,梦灵养成!$G$9:$G$28))</f>
        <v>50.232</v>
      </c>
      <c r="X268" s="106" t="str">
        <f ca="1" t="shared" si="70"/>
        <v>神算诸葛</v>
      </c>
      <c r="Y268" s="95">
        <f ca="1" t="shared" si="90"/>
        <v>108000</v>
      </c>
      <c r="Z268" s="96">
        <f ca="1" t="shared" si="91"/>
        <v>4.6</v>
      </c>
    </row>
    <row r="269" s="106" customFormat="1" ht="16.5" spans="2:26">
      <c r="B269" s="117">
        <v>240</v>
      </c>
      <c r="C269" s="130">
        <f t="shared" si="92"/>
        <v>24000</v>
      </c>
      <c r="D269" s="131">
        <f ca="1" t="shared" si="71"/>
        <v>46</v>
      </c>
      <c r="E269" s="131">
        <f ca="1" t="shared" si="72"/>
        <v>46</v>
      </c>
      <c r="F269" s="131">
        <f ca="1" t="shared" si="73"/>
        <v>46</v>
      </c>
      <c r="G269" s="131">
        <f ca="1" t="shared" si="74"/>
        <v>38</v>
      </c>
      <c r="H269" s="131">
        <f ca="1" t="shared" si="75"/>
        <v>38</v>
      </c>
      <c r="I269" s="131">
        <f ca="1" t="shared" si="76"/>
        <v>38</v>
      </c>
      <c r="J269" s="131">
        <f ca="1" t="shared" si="77"/>
        <v>38</v>
      </c>
      <c r="K269" s="131">
        <f ca="1" t="shared" si="78"/>
        <v>38</v>
      </c>
      <c r="L269" s="131">
        <f ca="1" t="shared" si="79"/>
        <v>38</v>
      </c>
      <c r="M269" s="131">
        <f ca="1" t="shared" si="80"/>
        <v>32</v>
      </c>
      <c r="N269" s="131">
        <f ca="1" t="shared" si="81"/>
        <v>32</v>
      </c>
      <c r="O269" s="131">
        <f ca="1" t="shared" si="82"/>
        <v>32</v>
      </c>
      <c r="P269" s="131">
        <f ca="1" t="shared" si="83"/>
        <v>32</v>
      </c>
      <c r="Q269" s="131">
        <f ca="1" t="shared" si="84"/>
        <v>32</v>
      </c>
      <c r="R269" s="131">
        <f ca="1" t="shared" si="85"/>
        <v>32</v>
      </c>
      <c r="S269" s="131">
        <f ca="1" t="shared" si="86"/>
        <v>35</v>
      </c>
      <c r="T269" s="131">
        <f ca="1" t="shared" si="87"/>
        <v>36</v>
      </c>
      <c r="U269" s="131">
        <f ca="1" t="shared" si="88"/>
        <v>36</v>
      </c>
      <c r="V269" s="131">
        <f ca="1" t="shared" si="89"/>
        <v>37</v>
      </c>
      <c r="W269" s="124">
        <f ca="1">OFFSET($K$19,_xlfn.XLOOKUP(X269,$D$9:$D$28,$H$9:$H$28),MATCH(OFFSET($C$29,B269,MATCH(X269,$D$29:$V$29,0)),$L$19:$R$19,1))*(1+(OFFSET($C$29,B269,MATCH(X269,$D$29:$V$29,0))-1)*_xlfn.XLOOKUP(X269,梦灵养成!$D$9:$D$28,梦灵养成!$G$9:$G$28))</f>
        <v>50.232</v>
      </c>
      <c r="X269" s="106" t="str">
        <f ca="1" t="shared" si="70"/>
        <v>神算诸葛</v>
      </c>
      <c r="Y269" s="95">
        <f ca="1" t="shared" si="90"/>
        <v>106200</v>
      </c>
      <c r="Z269" s="96">
        <f ca="1" t="shared" si="91"/>
        <v>4.6</v>
      </c>
    </row>
    <row r="270" s="106" customFormat="1" ht="16.5" spans="2:26">
      <c r="B270" s="117">
        <v>241</v>
      </c>
      <c r="C270" s="130">
        <f t="shared" si="92"/>
        <v>24100</v>
      </c>
      <c r="D270" s="131">
        <f ca="1" t="shared" si="71"/>
        <v>46</v>
      </c>
      <c r="E270" s="131">
        <f ca="1" t="shared" si="72"/>
        <v>46</v>
      </c>
      <c r="F270" s="131">
        <f ca="1" t="shared" si="73"/>
        <v>46</v>
      </c>
      <c r="G270" s="131">
        <f ca="1" t="shared" si="74"/>
        <v>38</v>
      </c>
      <c r="H270" s="131">
        <f ca="1" t="shared" si="75"/>
        <v>38</v>
      </c>
      <c r="I270" s="131">
        <f ca="1" t="shared" si="76"/>
        <v>38</v>
      </c>
      <c r="J270" s="131">
        <f ca="1" t="shared" si="77"/>
        <v>38</v>
      </c>
      <c r="K270" s="131">
        <f ca="1" t="shared" si="78"/>
        <v>38</v>
      </c>
      <c r="L270" s="131">
        <f ca="1" t="shared" si="79"/>
        <v>38</v>
      </c>
      <c r="M270" s="131">
        <f ca="1" t="shared" si="80"/>
        <v>32</v>
      </c>
      <c r="N270" s="131">
        <f ca="1" t="shared" si="81"/>
        <v>32</v>
      </c>
      <c r="O270" s="131">
        <f ca="1" t="shared" si="82"/>
        <v>32</v>
      </c>
      <c r="P270" s="131">
        <f ca="1" t="shared" si="83"/>
        <v>32</v>
      </c>
      <c r="Q270" s="131">
        <f ca="1" t="shared" si="84"/>
        <v>32</v>
      </c>
      <c r="R270" s="131">
        <f ca="1" t="shared" si="85"/>
        <v>32</v>
      </c>
      <c r="S270" s="131">
        <f ca="1" t="shared" si="86"/>
        <v>35</v>
      </c>
      <c r="T270" s="131">
        <f ca="1" t="shared" si="87"/>
        <v>36</v>
      </c>
      <c r="U270" s="131">
        <f ca="1" t="shared" si="88"/>
        <v>36</v>
      </c>
      <c r="V270" s="131">
        <f ca="1" t="shared" si="89"/>
        <v>37</v>
      </c>
      <c r="W270" s="124">
        <f ca="1">OFFSET($K$19,_xlfn.XLOOKUP(X270,$D$9:$D$28,$H$9:$H$28),MATCH(OFFSET($C$29,B270,MATCH(X270,$D$29:$V$29,0)),$L$19:$R$19,1))*(1+(OFFSET($C$29,B270,MATCH(X270,$D$29:$V$29,0))-1)*_xlfn.XLOOKUP(X270,梦灵养成!$D$9:$D$28,梦灵养成!$G$9:$G$28))</f>
        <v>50.232</v>
      </c>
      <c r="X270" s="106" t="str">
        <f ca="1" t="shared" si="70"/>
        <v>神算诸葛</v>
      </c>
      <c r="Y270" s="95">
        <f ca="1" t="shared" si="90"/>
        <v>104400</v>
      </c>
      <c r="Z270" s="96">
        <f ca="1" t="shared" si="91"/>
        <v>4.6</v>
      </c>
    </row>
    <row r="271" s="106" customFormat="1" ht="16.5" spans="2:26">
      <c r="B271" s="117">
        <v>242</v>
      </c>
      <c r="C271" s="130">
        <f t="shared" si="92"/>
        <v>24200</v>
      </c>
      <c r="D271" s="131">
        <f ca="1" t="shared" si="71"/>
        <v>46</v>
      </c>
      <c r="E271" s="131">
        <f ca="1" t="shared" si="72"/>
        <v>46</v>
      </c>
      <c r="F271" s="131">
        <f ca="1" t="shared" si="73"/>
        <v>46</v>
      </c>
      <c r="G271" s="131">
        <f ca="1" t="shared" si="74"/>
        <v>38</v>
      </c>
      <c r="H271" s="131">
        <f ca="1" t="shared" si="75"/>
        <v>38</v>
      </c>
      <c r="I271" s="131">
        <f ca="1" t="shared" si="76"/>
        <v>38</v>
      </c>
      <c r="J271" s="131">
        <f ca="1" t="shared" si="77"/>
        <v>38</v>
      </c>
      <c r="K271" s="131">
        <f ca="1" t="shared" si="78"/>
        <v>38</v>
      </c>
      <c r="L271" s="131">
        <f ca="1" t="shared" si="79"/>
        <v>38</v>
      </c>
      <c r="M271" s="131">
        <f ca="1" t="shared" si="80"/>
        <v>32</v>
      </c>
      <c r="N271" s="131">
        <f ca="1" t="shared" si="81"/>
        <v>32</v>
      </c>
      <c r="O271" s="131">
        <f ca="1" t="shared" si="82"/>
        <v>32</v>
      </c>
      <c r="P271" s="131">
        <f ca="1" t="shared" si="83"/>
        <v>32</v>
      </c>
      <c r="Q271" s="131">
        <f ca="1" t="shared" si="84"/>
        <v>32</v>
      </c>
      <c r="R271" s="131">
        <f ca="1" t="shared" si="85"/>
        <v>32</v>
      </c>
      <c r="S271" s="131">
        <f ca="1" t="shared" si="86"/>
        <v>35</v>
      </c>
      <c r="T271" s="131">
        <f ca="1" t="shared" si="87"/>
        <v>36</v>
      </c>
      <c r="U271" s="131">
        <f ca="1" t="shared" si="88"/>
        <v>36</v>
      </c>
      <c r="V271" s="131">
        <f ca="1" t="shared" si="89"/>
        <v>38</v>
      </c>
      <c r="W271" s="124">
        <f ca="1">OFFSET($K$19,_xlfn.XLOOKUP(X271,$D$9:$D$28,$H$9:$H$28),MATCH(OFFSET($C$29,B271,MATCH(X271,$D$29:$V$29,0)),$L$19:$R$19,1))*(1+(OFFSET($C$29,B271,MATCH(X271,$D$29:$V$29,0))-1)*_xlfn.XLOOKUP(X271,梦灵养成!$D$9:$D$28,梦灵养成!$G$9:$G$28))</f>
        <v>51.324</v>
      </c>
      <c r="X271" s="106" t="str">
        <f ca="1" t="shared" si="70"/>
        <v>神算诸葛</v>
      </c>
      <c r="Y271" s="95">
        <f ca="1" t="shared" si="90"/>
        <v>144000</v>
      </c>
      <c r="Z271" s="96">
        <f ca="1" t="shared" si="91"/>
        <v>4.7</v>
      </c>
    </row>
    <row r="272" s="106" customFormat="1" ht="16.5" spans="2:26">
      <c r="B272" s="117">
        <v>243</v>
      </c>
      <c r="C272" s="130">
        <f t="shared" si="92"/>
        <v>24300</v>
      </c>
      <c r="D272" s="131">
        <f ca="1" t="shared" si="71"/>
        <v>46</v>
      </c>
      <c r="E272" s="131">
        <f ca="1" t="shared" si="72"/>
        <v>46</v>
      </c>
      <c r="F272" s="131">
        <f ca="1" t="shared" si="73"/>
        <v>46</v>
      </c>
      <c r="G272" s="131">
        <f ca="1" t="shared" si="74"/>
        <v>38</v>
      </c>
      <c r="H272" s="131">
        <f ca="1" t="shared" si="75"/>
        <v>38</v>
      </c>
      <c r="I272" s="131">
        <f ca="1" t="shared" si="76"/>
        <v>38</v>
      </c>
      <c r="J272" s="131">
        <f ca="1" t="shared" si="77"/>
        <v>38</v>
      </c>
      <c r="K272" s="131">
        <f ca="1" t="shared" si="78"/>
        <v>38</v>
      </c>
      <c r="L272" s="131">
        <f ca="1" t="shared" si="79"/>
        <v>38</v>
      </c>
      <c r="M272" s="131">
        <f ca="1" t="shared" si="80"/>
        <v>32</v>
      </c>
      <c r="N272" s="131">
        <f ca="1" t="shared" si="81"/>
        <v>32</v>
      </c>
      <c r="O272" s="131">
        <f ca="1" t="shared" si="82"/>
        <v>32</v>
      </c>
      <c r="P272" s="131">
        <f ca="1" t="shared" si="83"/>
        <v>32</v>
      </c>
      <c r="Q272" s="131">
        <f ca="1" t="shared" si="84"/>
        <v>32</v>
      </c>
      <c r="R272" s="131">
        <f ca="1" t="shared" si="85"/>
        <v>32</v>
      </c>
      <c r="S272" s="131">
        <f ca="1" t="shared" si="86"/>
        <v>35</v>
      </c>
      <c r="T272" s="131">
        <f ca="1" t="shared" si="87"/>
        <v>36</v>
      </c>
      <c r="U272" s="131">
        <f ca="1" t="shared" si="88"/>
        <v>36</v>
      </c>
      <c r="V272" s="131">
        <f ca="1" t="shared" si="89"/>
        <v>38</v>
      </c>
      <c r="W272" s="124">
        <f ca="1">OFFSET($K$19,_xlfn.XLOOKUP(X272,$D$9:$D$28,$H$9:$H$28),MATCH(OFFSET($C$29,B272,MATCH(X272,$D$29:$V$29,0)),$L$19:$R$19,1))*(1+(OFFSET($C$29,B272,MATCH(X272,$D$29:$V$29,0))-1)*_xlfn.XLOOKUP(X272,梦灵养成!$D$9:$D$28,梦灵养成!$G$9:$G$28))</f>
        <v>51.324</v>
      </c>
      <c r="X272" s="106" t="str">
        <f ca="1" t="shared" si="70"/>
        <v>神算诸葛</v>
      </c>
      <c r="Y272" s="95">
        <f ca="1" t="shared" si="90"/>
        <v>142200</v>
      </c>
      <c r="Z272" s="96">
        <f ca="1" t="shared" si="91"/>
        <v>4.7</v>
      </c>
    </row>
    <row r="273" s="106" customFormat="1" ht="16.5" spans="2:26">
      <c r="B273" s="117">
        <v>244</v>
      </c>
      <c r="C273" s="130">
        <f t="shared" si="92"/>
        <v>24400</v>
      </c>
      <c r="D273" s="131">
        <f ca="1" t="shared" si="71"/>
        <v>46</v>
      </c>
      <c r="E273" s="131">
        <f ca="1" t="shared" si="72"/>
        <v>46</v>
      </c>
      <c r="F273" s="131">
        <f ca="1" t="shared" si="73"/>
        <v>46</v>
      </c>
      <c r="G273" s="131">
        <f ca="1" t="shared" si="74"/>
        <v>38</v>
      </c>
      <c r="H273" s="131">
        <f ca="1" t="shared" si="75"/>
        <v>38</v>
      </c>
      <c r="I273" s="131">
        <f ca="1" t="shared" si="76"/>
        <v>38</v>
      </c>
      <c r="J273" s="131">
        <f ca="1" t="shared" si="77"/>
        <v>38</v>
      </c>
      <c r="K273" s="131">
        <f ca="1" t="shared" si="78"/>
        <v>38</v>
      </c>
      <c r="L273" s="131">
        <f ca="1" t="shared" si="79"/>
        <v>38</v>
      </c>
      <c r="M273" s="131">
        <f ca="1" t="shared" si="80"/>
        <v>32</v>
      </c>
      <c r="N273" s="131">
        <f ca="1" t="shared" si="81"/>
        <v>32</v>
      </c>
      <c r="O273" s="131">
        <f ca="1" t="shared" si="82"/>
        <v>32</v>
      </c>
      <c r="P273" s="131">
        <f ca="1" t="shared" si="83"/>
        <v>32</v>
      </c>
      <c r="Q273" s="131">
        <f ca="1" t="shared" si="84"/>
        <v>32</v>
      </c>
      <c r="R273" s="131">
        <f ca="1" t="shared" si="85"/>
        <v>32</v>
      </c>
      <c r="S273" s="131">
        <f ca="1" t="shared" si="86"/>
        <v>35</v>
      </c>
      <c r="T273" s="131">
        <f ca="1" t="shared" si="87"/>
        <v>36</v>
      </c>
      <c r="U273" s="131">
        <f ca="1" t="shared" si="88"/>
        <v>37</v>
      </c>
      <c r="V273" s="131">
        <f ca="1" t="shared" si="89"/>
        <v>38</v>
      </c>
      <c r="W273" s="124">
        <f ca="1">OFFSET($K$19,_xlfn.XLOOKUP(X273,$D$9:$D$28,$H$9:$H$28),MATCH(OFFSET($C$29,B273,MATCH(X273,$D$29:$V$29,0)),$L$19:$R$19,1))*(1+(OFFSET($C$29,B273,MATCH(X273,$D$29:$V$29,0))-1)*_xlfn.XLOOKUP(X273,梦灵养成!$D$9:$D$28,梦灵养成!$G$9:$G$28))</f>
        <v>51.324</v>
      </c>
      <c r="X273" s="106" t="str">
        <f ca="1" t="shared" si="70"/>
        <v>神算诸葛</v>
      </c>
      <c r="Y273" s="95">
        <f ca="1" t="shared" si="90"/>
        <v>140400</v>
      </c>
      <c r="Z273" s="96">
        <f ca="1" t="shared" si="91"/>
        <v>4.7</v>
      </c>
    </row>
    <row r="274" s="106" customFormat="1" ht="16.5" spans="2:26">
      <c r="B274" s="117">
        <v>245</v>
      </c>
      <c r="C274" s="130">
        <f t="shared" si="92"/>
        <v>24500</v>
      </c>
      <c r="D274" s="131">
        <f ca="1" t="shared" si="71"/>
        <v>47</v>
      </c>
      <c r="E274" s="131">
        <f ca="1" t="shared" si="72"/>
        <v>47</v>
      </c>
      <c r="F274" s="131">
        <f ca="1" t="shared" si="73"/>
        <v>47</v>
      </c>
      <c r="G274" s="131">
        <f ca="1" t="shared" si="74"/>
        <v>38</v>
      </c>
      <c r="H274" s="131">
        <f ca="1" t="shared" si="75"/>
        <v>38</v>
      </c>
      <c r="I274" s="131">
        <f ca="1" t="shared" si="76"/>
        <v>38</v>
      </c>
      <c r="J274" s="131">
        <f ca="1" t="shared" si="77"/>
        <v>38</v>
      </c>
      <c r="K274" s="131">
        <f ca="1" t="shared" si="78"/>
        <v>38</v>
      </c>
      <c r="L274" s="131">
        <f ca="1" t="shared" si="79"/>
        <v>38</v>
      </c>
      <c r="M274" s="131">
        <f ca="1" t="shared" si="80"/>
        <v>32</v>
      </c>
      <c r="N274" s="131">
        <f ca="1" t="shared" si="81"/>
        <v>32</v>
      </c>
      <c r="O274" s="131">
        <f ca="1" t="shared" si="82"/>
        <v>32</v>
      </c>
      <c r="P274" s="131">
        <f ca="1" t="shared" si="83"/>
        <v>32</v>
      </c>
      <c r="Q274" s="131">
        <f ca="1" t="shared" si="84"/>
        <v>32</v>
      </c>
      <c r="R274" s="131">
        <f ca="1" t="shared" si="85"/>
        <v>32</v>
      </c>
      <c r="S274" s="131">
        <f ca="1" t="shared" si="86"/>
        <v>35</v>
      </c>
      <c r="T274" s="131">
        <f ca="1" t="shared" si="87"/>
        <v>36</v>
      </c>
      <c r="U274" s="131">
        <f ca="1" t="shared" si="88"/>
        <v>37</v>
      </c>
      <c r="V274" s="131">
        <f ca="1" t="shared" si="89"/>
        <v>38</v>
      </c>
      <c r="W274" s="124">
        <f ca="1">OFFSET($K$19,_xlfn.XLOOKUP(X274,$D$9:$D$28,$H$9:$H$28),MATCH(OFFSET($C$29,B274,MATCH(X274,$D$29:$V$29,0)),$L$19:$R$19,1))*(1+(OFFSET($C$29,B274,MATCH(X274,$D$29:$V$29,0))-1)*_xlfn.XLOOKUP(X274,梦灵养成!$D$9:$D$28,梦灵养成!$G$9:$G$28))</f>
        <v>51.324</v>
      </c>
      <c r="X274" s="106" t="str">
        <f ca="1" t="shared" si="70"/>
        <v>神算诸葛</v>
      </c>
      <c r="Y274" s="95">
        <f ca="1" t="shared" si="90"/>
        <v>138600</v>
      </c>
      <c r="Z274" s="96">
        <f ca="1" t="shared" si="91"/>
        <v>4.7</v>
      </c>
    </row>
    <row r="275" s="106" customFormat="1" ht="16.5" spans="2:26">
      <c r="B275" s="117">
        <v>246</v>
      </c>
      <c r="C275" s="130">
        <f t="shared" si="92"/>
        <v>24600</v>
      </c>
      <c r="D275" s="131">
        <f ca="1" t="shared" si="71"/>
        <v>47</v>
      </c>
      <c r="E275" s="131">
        <f ca="1" t="shared" si="72"/>
        <v>47</v>
      </c>
      <c r="F275" s="131">
        <f ca="1" t="shared" si="73"/>
        <v>47</v>
      </c>
      <c r="G275" s="131">
        <f ca="1" t="shared" si="74"/>
        <v>38</v>
      </c>
      <c r="H275" s="131">
        <f ca="1" t="shared" si="75"/>
        <v>38</v>
      </c>
      <c r="I275" s="131">
        <f ca="1" t="shared" si="76"/>
        <v>38</v>
      </c>
      <c r="J275" s="131">
        <f ca="1" t="shared" si="77"/>
        <v>38</v>
      </c>
      <c r="K275" s="131">
        <f ca="1" t="shared" si="78"/>
        <v>38</v>
      </c>
      <c r="L275" s="131">
        <f ca="1" t="shared" si="79"/>
        <v>38</v>
      </c>
      <c r="M275" s="131">
        <f ca="1" t="shared" si="80"/>
        <v>32</v>
      </c>
      <c r="N275" s="131">
        <f ca="1" t="shared" si="81"/>
        <v>32</v>
      </c>
      <c r="O275" s="131">
        <f ca="1" t="shared" si="82"/>
        <v>32</v>
      </c>
      <c r="P275" s="131">
        <f ca="1" t="shared" si="83"/>
        <v>32</v>
      </c>
      <c r="Q275" s="131">
        <f ca="1" t="shared" si="84"/>
        <v>33</v>
      </c>
      <c r="R275" s="131">
        <f ca="1" t="shared" si="85"/>
        <v>32</v>
      </c>
      <c r="S275" s="131">
        <f ca="1" t="shared" si="86"/>
        <v>36</v>
      </c>
      <c r="T275" s="131">
        <f ca="1" t="shared" si="87"/>
        <v>36</v>
      </c>
      <c r="U275" s="131">
        <f ca="1" t="shared" si="88"/>
        <v>37</v>
      </c>
      <c r="V275" s="131">
        <f ca="1" t="shared" si="89"/>
        <v>38</v>
      </c>
      <c r="W275" s="124">
        <f ca="1">OFFSET($K$19,_xlfn.XLOOKUP(X275,$D$9:$D$28,$H$9:$H$28),MATCH(OFFSET($C$29,B275,MATCH(X275,$D$29:$V$29,0)),$L$19:$R$19,1))*(1+(OFFSET($C$29,B275,MATCH(X275,$D$29:$V$29,0))-1)*_xlfn.XLOOKUP(X275,梦灵养成!$D$9:$D$28,梦灵养成!$G$9:$G$28))</f>
        <v>51.324</v>
      </c>
      <c r="X275" s="106" t="str">
        <f ca="1" t="shared" si="70"/>
        <v>神算诸葛</v>
      </c>
      <c r="Y275" s="95">
        <f ca="1" t="shared" si="90"/>
        <v>136800</v>
      </c>
      <c r="Z275" s="96">
        <f ca="1" t="shared" si="91"/>
        <v>4.7</v>
      </c>
    </row>
    <row r="276" s="106" customFormat="1" ht="16.5" spans="2:26">
      <c r="B276" s="117">
        <v>247</v>
      </c>
      <c r="C276" s="130">
        <f t="shared" si="92"/>
        <v>24700</v>
      </c>
      <c r="D276" s="131">
        <f ca="1" t="shared" si="71"/>
        <v>47</v>
      </c>
      <c r="E276" s="131">
        <f ca="1" t="shared" si="72"/>
        <v>47</v>
      </c>
      <c r="F276" s="131">
        <f ca="1" t="shared" si="73"/>
        <v>47</v>
      </c>
      <c r="G276" s="131">
        <f ca="1" t="shared" si="74"/>
        <v>38</v>
      </c>
      <c r="H276" s="131">
        <f ca="1" t="shared" si="75"/>
        <v>38</v>
      </c>
      <c r="I276" s="131">
        <f ca="1" t="shared" si="76"/>
        <v>38</v>
      </c>
      <c r="J276" s="131">
        <f ca="1" t="shared" si="77"/>
        <v>38</v>
      </c>
      <c r="K276" s="131">
        <f ca="1" t="shared" si="78"/>
        <v>38</v>
      </c>
      <c r="L276" s="131">
        <f ca="1" t="shared" si="79"/>
        <v>38</v>
      </c>
      <c r="M276" s="131">
        <f ca="1" t="shared" si="80"/>
        <v>32</v>
      </c>
      <c r="N276" s="131">
        <f ca="1" t="shared" si="81"/>
        <v>32</v>
      </c>
      <c r="O276" s="131">
        <f ca="1" t="shared" si="82"/>
        <v>32</v>
      </c>
      <c r="P276" s="131">
        <f ca="1" t="shared" si="83"/>
        <v>32</v>
      </c>
      <c r="Q276" s="131">
        <f ca="1" t="shared" si="84"/>
        <v>33</v>
      </c>
      <c r="R276" s="131">
        <f ca="1" t="shared" si="85"/>
        <v>32</v>
      </c>
      <c r="S276" s="131">
        <f ca="1" t="shared" si="86"/>
        <v>36</v>
      </c>
      <c r="T276" s="131">
        <f ca="1" t="shared" si="87"/>
        <v>36</v>
      </c>
      <c r="U276" s="131">
        <f ca="1" t="shared" si="88"/>
        <v>37</v>
      </c>
      <c r="V276" s="131">
        <f ca="1" t="shared" si="89"/>
        <v>38</v>
      </c>
      <c r="W276" s="124">
        <f ca="1">OFFSET($K$19,_xlfn.XLOOKUP(X276,$D$9:$D$28,$H$9:$H$28),MATCH(OFFSET($C$29,B276,MATCH(X276,$D$29:$V$29,0)),$L$19:$R$19,1))*(1+(OFFSET($C$29,B276,MATCH(X276,$D$29:$V$29,0))-1)*_xlfn.XLOOKUP(X276,梦灵养成!$D$9:$D$28,梦灵养成!$G$9:$G$28))</f>
        <v>51.324</v>
      </c>
      <c r="X276" s="106" t="str">
        <f ca="1" t="shared" si="70"/>
        <v>神算诸葛</v>
      </c>
      <c r="Y276" s="95">
        <f ca="1" t="shared" si="90"/>
        <v>135000</v>
      </c>
      <c r="Z276" s="96">
        <f ca="1" t="shared" si="91"/>
        <v>4.7</v>
      </c>
    </row>
    <row r="277" s="106" customFormat="1" ht="16.5" spans="2:26">
      <c r="B277" s="117">
        <v>248</v>
      </c>
      <c r="C277" s="130">
        <f t="shared" si="92"/>
        <v>24800</v>
      </c>
      <c r="D277" s="131">
        <f ca="1" t="shared" si="71"/>
        <v>47</v>
      </c>
      <c r="E277" s="131">
        <f ca="1" t="shared" si="72"/>
        <v>47</v>
      </c>
      <c r="F277" s="131">
        <f ca="1" t="shared" si="73"/>
        <v>47</v>
      </c>
      <c r="G277" s="131">
        <f ca="1" t="shared" si="74"/>
        <v>38</v>
      </c>
      <c r="H277" s="131">
        <f ca="1" t="shared" si="75"/>
        <v>38</v>
      </c>
      <c r="I277" s="131">
        <f ca="1" t="shared" si="76"/>
        <v>38</v>
      </c>
      <c r="J277" s="131">
        <f ca="1" t="shared" si="77"/>
        <v>38</v>
      </c>
      <c r="K277" s="131">
        <f ca="1" t="shared" si="78"/>
        <v>38</v>
      </c>
      <c r="L277" s="131">
        <f ca="1" t="shared" si="79"/>
        <v>38</v>
      </c>
      <c r="M277" s="131">
        <f ca="1" t="shared" si="80"/>
        <v>32</v>
      </c>
      <c r="N277" s="131">
        <f ca="1" t="shared" si="81"/>
        <v>32</v>
      </c>
      <c r="O277" s="131">
        <f ca="1" t="shared" si="82"/>
        <v>33</v>
      </c>
      <c r="P277" s="131">
        <f ca="1" t="shared" si="83"/>
        <v>32</v>
      </c>
      <c r="Q277" s="131">
        <f ca="1" t="shared" si="84"/>
        <v>33</v>
      </c>
      <c r="R277" s="131">
        <f ca="1" t="shared" si="85"/>
        <v>32</v>
      </c>
      <c r="S277" s="131">
        <f ca="1" t="shared" si="86"/>
        <v>36</v>
      </c>
      <c r="T277" s="131">
        <f ca="1" t="shared" si="87"/>
        <v>36</v>
      </c>
      <c r="U277" s="131">
        <f ca="1" t="shared" si="88"/>
        <v>37</v>
      </c>
      <c r="V277" s="131">
        <f ca="1" t="shared" si="89"/>
        <v>38</v>
      </c>
      <c r="W277" s="124">
        <f ca="1">OFFSET($K$19,_xlfn.XLOOKUP(X277,$D$9:$D$28,$H$9:$H$28),MATCH(OFFSET($C$29,B277,MATCH(X277,$D$29:$V$29,0)),$L$19:$R$19,1))*(1+(OFFSET($C$29,B277,MATCH(X277,$D$29:$V$29,0))-1)*_xlfn.XLOOKUP(X277,梦灵养成!$D$9:$D$28,梦灵养成!$G$9:$G$28))</f>
        <v>51.324</v>
      </c>
      <c r="X277" s="106" t="str">
        <f ca="1" t="shared" si="70"/>
        <v>神算诸葛</v>
      </c>
      <c r="Y277" s="95">
        <f ca="1" t="shared" si="90"/>
        <v>133200</v>
      </c>
      <c r="Z277" s="96">
        <f ca="1" t="shared" si="91"/>
        <v>4.7</v>
      </c>
    </row>
    <row r="278" s="106" customFormat="1" ht="16.5" spans="2:26">
      <c r="B278" s="117">
        <v>249</v>
      </c>
      <c r="C278" s="130">
        <f t="shared" si="92"/>
        <v>24900</v>
      </c>
      <c r="D278" s="131">
        <f ca="1" t="shared" si="71"/>
        <v>47</v>
      </c>
      <c r="E278" s="131">
        <f ca="1" t="shared" si="72"/>
        <v>47</v>
      </c>
      <c r="F278" s="131">
        <f ca="1" t="shared" si="73"/>
        <v>47</v>
      </c>
      <c r="G278" s="131">
        <f ca="1" t="shared" si="74"/>
        <v>38</v>
      </c>
      <c r="H278" s="131">
        <f ca="1" t="shared" si="75"/>
        <v>38</v>
      </c>
      <c r="I278" s="131">
        <f ca="1" t="shared" si="76"/>
        <v>38</v>
      </c>
      <c r="J278" s="131">
        <f ca="1" t="shared" si="77"/>
        <v>38</v>
      </c>
      <c r="K278" s="131">
        <f ca="1" t="shared" si="78"/>
        <v>38</v>
      </c>
      <c r="L278" s="131">
        <f ca="1" t="shared" si="79"/>
        <v>38</v>
      </c>
      <c r="M278" s="131">
        <f ca="1" t="shared" si="80"/>
        <v>32</v>
      </c>
      <c r="N278" s="131">
        <f ca="1" t="shared" si="81"/>
        <v>32</v>
      </c>
      <c r="O278" s="131">
        <f ca="1" t="shared" si="82"/>
        <v>33</v>
      </c>
      <c r="P278" s="131">
        <f ca="1" t="shared" si="83"/>
        <v>32</v>
      </c>
      <c r="Q278" s="131">
        <f ca="1" t="shared" si="84"/>
        <v>33</v>
      </c>
      <c r="R278" s="131">
        <f ca="1" t="shared" si="85"/>
        <v>32</v>
      </c>
      <c r="S278" s="131">
        <f ca="1" t="shared" si="86"/>
        <v>36</v>
      </c>
      <c r="T278" s="131">
        <f ca="1" t="shared" si="87"/>
        <v>37</v>
      </c>
      <c r="U278" s="131">
        <f ca="1" t="shared" si="88"/>
        <v>37</v>
      </c>
      <c r="V278" s="131">
        <f ca="1" t="shared" si="89"/>
        <v>38</v>
      </c>
      <c r="W278" s="124">
        <f ca="1">OFFSET($K$19,_xlfn.XLOOKUP(X278,$D$9:$D$28,$H$9:$H$28),MATCH(OFFSET($C$29,B278,MATCH(X278,$D$29:$V$29,0)),$L$19:$R$19,1))*(1+(OFFSET($C$29,B278,MATCH(X278,$D$29:$V$29,0))-1)*_xlfn.XLOOKUP(X278,梦灵养成!$D$9:$D$28,梦灵养成!$G$9:$G$28))</f>
        <v>51.324</v>
      </c>
      <c r="X278" s="106" t="str">
        <f ca="1" t="shared" si="70"/>
        <v>神算诸葛</v>
      </c>
      <c r="Y278" s="95">
        <f ca="1" t="shared" si="90"/>
        <v>131400</v>
      </c>
      <c r="Z278" s="96">
        <f ca="1" t="shared" si="91"/>
        <v>4.7</v>
      </c>
    </row>
    <row r="279" s="106" customFormat="1" ht="16.5" spans="2:26">
      <c r="B279" s="117">
        <v>250</v>
      </c>
      <c r="C279" s="130">
        <f t="shared" si="92"/>
        <v>25000</v>
      </c>
      <c r="D279" s="131">
        <f ca="1" t="shared" si="71"/>
        <v>47</v>
      </c>
      <c r="E279" s="131">
        <f ca="1" t="shared" si="72"/>
        <v>47</v>
      </c>
      <c r="F279" s="131">
        <f ca="1" t="shared" si="73"/>
        <v>47</v>
      </c>
      <c r="G279" s="131">
        <f ca="1" t="shared" si="74"/>
        <v>38</v>
      </c>
      <c r="H279" s="131">
        <f ca="1" t="shared" si="75"/>
        <v>38</v>
      </c>
      <c r="I279" s="131">
        <f ca="1" t="shared" si="76"/>
        <v>38</v>
      </c>
      <c r="J279" s="131">
        <f ca="1" t="shared" si="77"/>
        <v>38</v>
      </c>
      <c r="K279" s="131">
        <f ca="1" t="shared" si="78"/>
        <v>38</v>
      </c>
      <c r="L279" s="131">
        <f ca="1" t="shared" si="79"/>
        <v>38</v>
      </c>
      <c r="M279" s="131">
        <f ca="1" t="shared" si="80"/>
        <v>32</v>
      </c>
      <c r="N279" s="131">
        <f ca="1" t="shared" si="81"/>
        <v>32</v>
      </c>
      <c r="O279" s="131">
        <f ca="1" t="shared" si="82"/>
        <v>33</v>
      </c>
      <c r="P279" s="131">
        <f ca="1" t="shared" si="83"/>
        <v>32</v>
      </c>
      <c r="Q279" s="131">
        <f ca="1" t="shared" si="84"/>
        <v>33</v>
      </c>
      <c r="R279" s="131">
        <f ca="1" t="shared" si="85"/>
        <v>32</v>
      </c>
      <c r="S279" s="131">
        <f ca="1" t="shared" si="86"/>
        <v>36</v>
      </c>
      <c r="T279" s="131">
        <f ca="1" t="shared" si="87"/>
        <v>37</v>
      </c>
      <c r="U279" s="131">
        <f ca="1" t="shared" si="88"/>
        <v>37</v>
      </c>
      <c r="V279" s="131">
        <f ca="1" t="shared" si="89"/>
        <v>38</v>
      </c>
      <c r="W279" s="124">
        <f ca="1">OFFSET($K$19,_xlfn.XLOOKUP(X279,$D$9:$D$28,$H$9:$H$28),MATCH(OFFSET($C$29,B279,MATCH(X279,$D$29:$V$29,0)),$L$19:$R$19,1))*(1+(OFFSET($C$29,B279,MATCH(X279,$D$29:$V$29,0))-1)*_xlfn.XLOOKUP(X279,梦灵养成!$D$9:$D$28,梦灵养成!$G$9:$G$28))</f>
        <v>51.324</v>
      </c>
      <c r="X279" s="106" t="str">
        <f ca="1" t="shared" si="70"/>
        <v>神算诸葛</v>
      </c>
      <c r="Y279" s="95">
        <f ca="1" t="shared" si="90"/>
        <v>129600</v>
      </c>
      <c r="Z279" s="96">
        <f ca="1" t="shared" si="91"/>
        <v>4.7</v>
      </c>
    </row>
    <row r="280" s="106" customFormat="1" ht="16.5" spans="2:26">
      <c r="B280" s="117">
        <v>251</v>
      </c>
      <c r="C280" s="130">
        <f t="shared" si="92"/>
        <v>25100</v>
      </c>
      <c r="D280" s="131">
        <f ca="1" t="shared" si="71"/>
        <v>47</v>
      </c>
      <c r="E280" s="131">
        <f ca="1" t="shared" si="72"/>
        <v>47</v>
      </c>
      <c r="F280" s="131">
        <f ca="1" t="shared" si="73"/>
        <v>47</v>
      </c>
      <c r="G280" s="131">
        <f ca="1" t="shared" si="74"/>
        <v>38</v>
      </c>
      <c r="H280" s="131">
        <f ca="1" t="shared" si="75"/>
        <v>38</v>
      </c>
      <c r="I280" s="131">
        <f ca="1" t="shared" si="76"/>
        <v>38</v>
      </c>
      <c r="J280" s="131">
        <f ca="1" t="shared" si="77"/>
        <v>38</v>
      </c>
      <c r="K280" s="131">
        <f ca="1" t="shared" si="78"/>
        <v>38</v>
      </c>
      <c r="L280" s="131">
        <f ca="1" t="shared" si="79"/>
        <v>38</v>
      </c>
      <c r="M280" s="131">
        <f ca="1" t="shared" si="80"/>
        <v>32</v>
      </c>
      <c r="N280" s="131">
        <f ca="1" t="shared" si="81"/>
        <v>33</v>
      </c>
      <c r="O280" s="131">
        <f ca="1" t="shared" si="82"/>
        <v>33</v>
      </c>
      <c r="P280" s="131">
        <f ca="1" t="shared" si="83"/>
        <v>32</v>
      </c>
      <c r="Q280" s="131">
        <f ca="1" t="shared" si="84"/>
        <v>33</v>
      </c>
      <c r="R280" s="131">
        <f ca="1" t="shared" si="85"/>
        <v>32</v>
      </c>
      <c r="S280" s="131">
        <f ca="1" t="shared" si="86"/>
        <v>36</v>
      </c>
      <c r="T280" s="131">
        <f ca="1" t="shared" si="87"/>
        <v>37</v>
      </c>
      <c r="U280" s="131">
        <f ca="1" t="shared" si="88"/>
        <v>37</v>
      </c>
      <c r="V280" s="131">
        <f ca="1" t="shared" si="89"/>
        <v>38</v>
      </c>
      <c r="W280" s="124">
        <f ca="1">OFFSET($K$19,_xlfn.XLOOKUP(X280,$D$9:$D$28,$H$9:$H$28),MATCH(OFFSET($C$29,B280,MATCH(X280,$D$29:$V$29,0)),$L$19:$R$19,1))*(1+(OFFSET($C$29,B280,MATCH(X280,$D$29:$V$29,0))-1)*_xlfn.XLOOKUP(X280,梦灵养成!$D$9:$D$28,梦灵养成!$G$9:$G$28))</f>
        <v>51.324</v>
      </c>
      <c r="X280" s="106" t="str">
        <f ca="1" t="shared" si="70"/>
        <v>神算诸葛</v>
      </c>
      <c r="Y280" s="95">
        <f ca="1" t="shared" si="90"/>
        <v>127800</v>
      </c>
      <c r="Z280" s="96">
        <f ca="1" t="shared" si="91"/>
        <v>4.7</v>
      </c>
    </row>
    <row r="281" s="106" customFormat="1" ht="16.5" spans="2:26">
      <c r="B281" s="117">
        <v>252</v>
      </c>
      <c r="C281" s="130">
        <f t="shared" si="92"/>
        <v>25200</v>
      </c>
      <c r="D281" s="131">
        <f ca="1" t="shared" si="71"/>
        <v>47</v>
      </c>
      <c r="E281" s="131">
        <f ca="1" t="shared" si="72"/>
        <v>47</v>
      </c>
      <c r="F281" s="131">
        <f ca="1" t="shared" si="73"/>
        <v>47</v>
      </c>
      <c r="G281" s="131">
        <f ca="1" t="shared" si="74"/>
        <v>38</v>
      </c>
      <c r="H281" s="131">
        <f ca="1" t="shared" si="75"/>
        <v>38</v>
      </c>
      <c r="I281" s="131">
        <f ca="1" t="shared" si="76"/>
        <v>38</v>
      </c>
      <c r="J281" s="131">
        <f ca="1" t="shared" si="77"/>
        <v>38</v>
      </c>
      <c r="K281" s="131">
        <f ca="1" t="shared" si="78"/>
        <v>38</v>
      </c>
      <c r="L281" s="131">
        <f ca="1" t="shared" si="79"/>
        <v>38</v>
      </c>
      <c r="M281" s="131">
        <f ca="1" t="shared" si="80"/>
        <v>33</v>
      </c>
      <c r="N281" s="131">
        <f ca="1" t="shared" si="81"/>
        <v>33</v>
      </c>
      <c r="O281" s="131">
        <f ca="1" t="shared" si="82"/>
        <v>33</v>
      </c>
      <c r="P281" s="131">
        <f ca="1" t="shared" si="83"/>
        <v>32</v>
      </c>
      <c r="Q281" s="131">
        <f ca="1" t="shared" si="84"/>
        <v>33</v>
      </c>
      <c r="R281" s="131">
        <f ca="1" t="shared" si="85"/>
        <v>33</v>
      </c>
      <c r="S281" s="131">
        <f ca="1" t="shared" si="86"/>
        <v>36</v>
      </c>
      <c r="T281" s="131">
        <f ca="1" t="shared" si="87"/>
        <v>37</v>
      </c>
      <c r="U281" s="131">
        <f ca="1" t="shared" si="88"/>
        <v>37</v>
      </c>
      <c r="V281" s="131">
        <f ca="1" t="shared" si="89"/>
        <v>38</v>
      </c>
      <c r="W281" s="124">
        <f ca="1">OFFSET($K$19,_xlfn.XLOOKUP(X281,$D$9:$D$28,$H$9:$H$28),MATCH(OFFSET($C$29,B281,MATCH(X281,$D$29:$V$29,0)),$L$19:$R$19,1))*(1+(OFFSET($C$29,B281,MATCH(X281,$D$29:$V$29,0))-1)*_xlfn.XLOOKUP(X281,梦灵养成!$D$9:$D$28,梦灵养成!$G$9:$G$28))</f>
        <v>51.324</v>
      </c>
      <c r="X281" s="106" t="str">
        <f ca="1" t="shared" si="70"/>
        <v>神算诸葛</v>
      </c>
      <c r="Y281" s="95">
        <f ca="1" t="shared" si="90"/>
        <v>126000</v>
      </c>
      <c r="Z281" s="96">
        <f ca="1" t="shared" si="91"/>
        <v>4.7</v>
      </c>
    </row>
    <row r="282" s="106" customFormat="1" ht="16.5" spans="2:26">
      <c r="B282" s="117">
        <v>253</v>
      </c>
      <c r="C282" s="130">
        <f t="shared" si="92"/>
        <v>25300</v>
      </c>
      <c r="D282" s="131">
        <f ca="1" t="shared" si="71"/>
        <v>47</v>
      </c>
      <c r="E282" s="131">
        <f ca="1" t="shared" si="72"/>
        <v>47</v>
      </c>
      <c r="F282" s="131">
        <f ca="1" t="shared" si="73"/>
        <v>47</v>
      </c>
      <c r="G282" s="131">
        <f ca="1" t="shared" si="74"/>
        <v>38</v>
      </c>
      <c r="H282" s="131">
        <f ca="1" t="shared" si="75"/>
        <v>38</v>
      </c>
      <c r="I282" s="131">
        <f ca="1" t="shared" si="76"/>
        <v>38</v>
      </c>
      <c r="J282" s="131">
        <f ca="1" t="shared" si="77"/>
        <v>38</v>
      </c>
      <c r="K282" s="131">
        <f ca="1" t="shared" si="78"/>
        <v>38</v>
      </c>
      <c r="L282" s="131">
        <f ca="1" t="shared" si="79"/>
        <v>38</v>
      </c>
      <c r="M282" s="131">
        <f ca="1" t="shared" si="80"/>
        <v>33</v>
      </c>
      <c r="N282" s="131">
        <f ca="1" t="shared" si="81"/>
        <v>33</v>
      </c>
      <c r="O282" s="131">
        <f ca="1" t="shared" si="82"/>
        <v>33</v>
      </c>
      <c r="P282" s="131">
        <f ca="1" t="shared" si="83"/>
        <v>32</v>
      </c>
      <c r="Q282" s="131">
        <f ca="1" t="shared" si="84"/>
        <v>33</v>
      </c>
      <c r="R282" s="131">
        <f ca="1" t="shared" si="85"/>
        <v>33</v>
      </c>
      <c r="S282" s="131">
        <f ca="1" t="shared" si="86"/>
        <v>36</v>
      </c>
      <c r="T282" s="131">
        <f ca="1" t="shared" si="87"/>
        <v>37</v>
      </c>
      <c r="U282" s="131">
        <f ca="1" t="shared" si="88"/>
        <v>37</v>
      </c>
      <c r="V282" s="131">
        <f ca="1" t="shared" si="89"/>
        <v>38</v>
      </c>
      <c r="W282" s="124">
        <f ca="1">OFFSET($K$19,_xlfn.XLOOKUP(X282,$D$9:$D$28,$H$9:$H$28),MATCH(OFFSET($C$29,B282,MATCH(X282,$D$29:$V$29,0)),$L$19:$R$19,1))*(1+(OFFSET($C$29,B282,MATCH(X282,$D$29:$V$29,0))-1)*_xlfn.XLOOKUP(X282,梦灵养成!$D$9:$D$28,梦灵养成!$G$9:$G$28))</f>
        <v>51.324</v>
      </c>
      <c r="X282" s="106" t="str">
        <f ca="1" t="shared" si="70"/>
        <v>神算诸葛</v>
      </c>
      <c r="Y282" s="95">
        <f ca="1" t="shared" si="90"/>
        <v>124200</v>
      </c>
      <c r="Z282" s="96">
        <f ca="1" t="shared" si="91"/>
        <v>4.7</v>
      </c>
    </row>
    <row r="283" s="106" customFormat="1" ht="16.5" spans="2:26">
      <c r="B283" s="117">
        <v>254</v>
      </c>
      <c r="C283" s="130">
        <f t="shared" si="92"/>
        <v>25400</v>
      </c>
      <c r="D283" s="131">
        <f ca="1" t="shared" si="71"/>
        <v>47</v>
      </c>
      <c r="E283" s="131">
        <f ca="1" t="shared" si="72"/>
        <v>47</v>
      </c>
      <c r="F283" s="131">
        <f ca="1" t="shared" si="73"/>
        <v>47</v>
      </c>
      <c r="G283" s="131">
        <f ca="1" t="shared" si="74"/>
        <v>38</v>
      </c>
      <c r="H283" s="131">
        <f ca="1" t="shared" si="75"/>
        <v>38</v>
      </c>
      <c r="I283" s="131">
        <f ca="1" t="shared" si="76"/>
        <v>38</v>
      </c>
      <c r="J283" s="131">
        <f ca="1" t="shared" si="77"/>
        <v>38</v>
      </c>
      <c r="K283" s="131">
        <f ca="1" t="shared" si="78"/>
        <v>38</v>
      </c>
      <c r="L283" s="131">
        <f ca="1" t="shared" si="79"/>
        <v>38</v>
      </c>
      <c r="M283" s="131">
        <f ca="1" t="shared" si="80"/>
        <v>33</v>
      </c>
      <c r="N283" s="131">
        <f ca="1" t="shared" si="81"/>
        <v>33</v>
      </c>
      <c r="O283" s="131">
        <f ca="1" t="shared" si="82"/>
        <v>33</v>
      </c>
      <c r="P283" s="131">
        <f ca="1" t="shared" si="83"/>
        <v>32</v>
      </c>
      <c r="Q283" s="131">
        <f ca="1" t="shared" si="84"/>
        <v>33</v>
      </c>
      <c r="R283" s="131">
        <f ca="1" t="shared" si="85"/>
        <v>33</v>
      </c>
      <c r="S283" s="131">
        <f ca="1" t="shared" si="86"/>
        <v>36</v>
      </c>
      <c r="T283" s="131">
        <f ca="1" t="shared" si="87"/>
        <v>37</v>
      </c>
      <c r="U283" s="131">
        <f ca="1" t="shared" si="88"/>
        <v>37</v>
      </c>
      <c r="V283" s="131">
        <f ca="1" t="shared" si="89"/>
        <v>38</v>
      </c>
      <c r="W283" s="124">
        <f ca="1">OFFSET($K$19,_xlfn.XLOOKUP(X283,$D$9:$D$28,$H$9:$H$28),MATCH(OFFSET($C$29,B283,MATCH(X283,$D$29:$V$29,0)),$L$19:$R$19,1))*(1+(OFFSET($C$29,B283,MATCH(X283,$D$29:$V$29,0))-1)*_xlfn.XLOOKUP(X283,梦灵养成!$D$9:$D$28,梦灵养成!$G$9:$G$28))</f>
        <v>51.324</v>
      </c>
      <c r="X283" s="106" t="str">
        <f ca="1" t="shared" si="70"/>
        <v>神算诸葛</v>
      </c>
      <c r="Y283" s="95">
        <f ca="1" t="shared" si="90"/>
        <v>122400</v>
      </c>
      <c r="Z283" s="96">
        <f ca="1" t="shared" si="91"/>
        <v>4.7</v>
      </c>
    </row>
    <row r="284" s="106" customFormat="1" ht="16.5" spans="2:26">
      <c r="B284" s="117">
        <v>255</v>
      </c>
      <c r="C284" s="130">
        <f t="shared" si="92"/>
        <v>25500</v>
      </c>
      <c r="D284" s="131">
        <f ca="1" t="shared" si="71"/>
        <v>47</v>
      </c>
      <c r="E284" s="131">
        <f ca="1" t="shared" si="72"/>
        <v>47</v>
      </c>
      <c r="F284" s="131">
        <f ca="1" t="shared" si="73"/>
        <v>47</v>
      </c>
      <c r="G284" s="131">
        <f ca="1" t="shared" si="74"/>
        <v>38</v>
      </c>
      <c r="H284" s="131">
        <f ca="1" t="shared" si="75"/>
        <v>38</v>
      </c>
      <c r="I284" s="131">
        <f ca="1" t="shared" si="76"/>
        <v>38</v>
      </c>
      <c r="J284" s="131">
        <f ca="1" t="shared" si="77"/>
        <v>38</v>
      </c>
      <c r="K284" s="131">
        <f ca="1" t="shared" si="78"/>
        <v>38</v>
      </c>
      <c r="L284" s="131">
        <f ca="1" t="shared" si="79"/>
        <v>38</v>
      </c>
      <c r="M284" s="131">
        <f ca="1" t="shared" si="80"/>
        <v>33</v>
      </c>
      <c r="N284" s="131">
        <f ca="1" t="shared" si="81"/>
        <v>33</v>
      </c>
      <c r="O284" s="131">
        <f ca="1" t="shared" si="82"/>
        <v>33</v>
      </c>
      <c r="P284" s="131">
        <f ca="1" t="shared" si="83"/>
        <v>33</v>
      </c>
      <c r="Q284" s="131">
        <f ca="1" t="shared" si="84"/>
        <v>33</v>
      </c>
      <c r="R284" s="131">
        <f ca="1" t="shared" si="85"/>
        <v>33</v>
      </c>
      <c r="S284" s="131">
        <f ca="1" t="shared" si="86"/>
        <v>36</v>
      </c>
      <c r="T284" s="131">
        <f ca="1" t="shared" si="87"/>
        <v>37</v>
      </c>
      <c r="U284" s="131">
        <f ca="1" t="shared" si="88"/>
        <v>37</v>
      </c>
      <c r="V284" s="131">
        <f ca="1" t="shared" si="89"/>
        <v>38</v>
      </c>
      <c r="W284" s="124">
        <f ca="1">OFFSET($K$19,_xlfn.XLOOKUP(X284,$D$9:$D$28,$H$9:$H$28),MATCH(OFFSET($C$29,B284,MATCH(X284,$D$29:$V$29,0)),$L$19:$R$19,1))*(1+(OFFSET($C$29,B284,MATCH(X284,$D$29:$V$29,0))-1)*_xlfn.XLOOKUP(X284,梦灵养成!$D$9:$D$28,梦灵养成!$G$9:$G$28))</f>
        <v>51.324</v>
      </c>
      <c r="X284" s="106" t="str">
        <f ca="1" t="shared" si="70"/>
        <v>神算诸葛</v>
      </c>
      <c r="Y284" s="95">
        <f ca="1" t="shared" si="90"/>
        <v>120600</v>
      </c>
      <c r="Z284" s="96">
        <f ca="1" t="shared" si="91"/>
        <v>4.7</v>
      </c>
    </row>
    <row r="285" s="106" customFormat="1" ht="16.5" spans="2:26">
      <c r="B285" s="117">
        <v>256</v>
      </c>
      <c r="C285" s="130">
        <f t="shared" si="92"/>
        <v>25600</v>
      </c>
      <c r="D285" s="131">
        <f ca="1" t="shared" si="71"/>
        <v>47</v>
      </c>
      <c r="E285" s="131">
        <f ca="1" t="shared" si="72"/>
        <v>47</v>
      </c>
      <c r="F285" s="131">
        <f ca="1" t="shared" si="73"/>
        <v>47</v>
      </c>
      <c r="G285" s="131">
        <f ca="1" t="shared" si="74"/>
        <v>38</v>
      </c>
      <c r="H285" s="131">
        <f ca="1" t="shared" si="75"/>
        <v>38</v>
      </c>
      <c r="I285" s="131">
        <f ca="1" t="shared" si="76"/>
        <v>38</v>
      </c>
      <c r="J285" s="131">
        <f ca="1" t="shared" si="77"/>
        <v>38</v>
      </c>
      <c r="K285" s="131">
        <f ca="1" t="shared" si="78"/>
        <v>38</v>
      </c>
      <c r="L285" s="131">
        <f ca="1" t="shared" si="79"/>
        <v>38</v>
      </c>
      <c r="M285" s="131">
        <f ca="1" t="shared" si="80"/>
        <v>33</v>
      </c>
      <c r="N285" s="131">
        <f ca="1" t="shared" si="81"/>
        <v>33</v>
      </c>
      <c r="O285" s="131">
        <f ca="1" t="shared" si="82"/>
        <v>33</v>
      </c>
      <c r="P285" s="131">
        <f ca="1" t="shared" si="83"/>
        <v>33</v>
      </c>
      <c r="Q285" s="131">
        <f ca="1" t="shared" si="84"/>
        <v>33</v>
      </c>
      <c r="R285" s="131">
        <f ca="1" t="shared" si="85"/>
        <v>33</v>
      </c>
      <c r="S285" s="131">
        <f ca="1" t="shared" si="86"/>
        <v>36</v>
      </c>
      <c r="T285" s="131">
        <f ca="1" t="shared" si="87"/>
        <v>37</v>
      </c>
      <c r="U285" s="131">
        <f ca="1" t="shared" si="88"/>
        <v>37</v>
      </c>
      <c r="V285" s="131">
        <f ca="1" t="shared" si="89"/>
        <v>38</v>
      </c>
      <c r="W285" s="124">
        <f ca="1">OFFSET($K$19,_xlfn.XLOOKUP(X285,$D$9:$D$28,$H$9:$H$28),MATCH(OFFSET($C$29,B285,MATCH(X285,$D$29:$V$29,0)),$L$19:$R$19,1))*(1+(OFFSET($C$29,B285,MATCH(X285,$D$29:$V$29,0))-1)*_xlfn.XLOOKUP(X285,梦灵养成!$D$9:$D$28,梦灵养成!$G$9:$G$28))</f>
        <v>51.324</v>
      </c>
      <c r="X285" s="106" t="str">
        <f ca="1" t="shared" si="70"/>
        <v>神算诸葛</v>
      </c>
      <c r="Y285" s="95">
        <f ca="1" t="shared" si="90"/>
        <v>118800</v>
      </c>
      <c r="Z285" s="96">
        <f ca="1" t="shared" si="91"/>
        <v>4.7</v>
      </c>
    </row>
    <row r="286" s="106" customFormat="1" ht="16.5" spans="2:26">
      <c r="B286" s="117">
        <v>257</v>
      </c>
      <c r="C286" s="130">
        <f t="shared" si="92"/>
        <v>25700</v>
      </c>
      <c r="D286" s="131">
        <f ca="1" t="shared" si="71"/>
        <v>47</v>
      </c>
      <c r="E286" s="131">
        <f ca="1" t="shared" si="72"/>
        <v>47</v>
      </c>
      <c r="F286" s="131">
        <f ca="1" t="shared" si="73"/>
        <v>47</v>
      </c>
      <c r="G286" s="131">
        <f ca="1" t="shared" si="74"/>
        <v>38</v>
      </c>
      <c r="H286" s="131">
        <f ca="1" t="shared" si="75"/>
        <v>38</v>
      </c>
      <c r="I286" s="131">
        <f ca="1" t="shared" si="76"/>
        <v>38</v>
      </c>
      <c r="J286" s="131">
        <f ca="1" t="shared" si="77"/>
        <v>38</v>
      </c>
      <c r="K286" s="131">
        <f ca="1" t="shared" si="78"/>
        <v>38</v>
      </c>
      <c r="L286" s="131">
        <f ca="1" t="shared" si="79"/>
        <v>38</v>
      </c>
      <c r="M286" s="131">
        <f ca="1" t="shared" si="80"/>
        <v>33</v>
      </c>
      <c r="N286" s="131">
        <f ca="1" t="shared" si="81"/>
        <v>33</v>
      </c>
      <c r="O286" s="131">
        <f ca="1" t="shared" si="82"/>
        <v>33</v>
      </c>
      <c r="P286" s="131">
        <f ca="1" t="shared" si="83"/>
        <v>33</v>
      </c>
      <c r="Q286" s="131">
        <f ca="1" t="shared" si="84"/>
        <v>33</v>
      </c>
      <c r="R286" s="131">
        <f ca="1" t="shared" si="85"/>
        <v>33</v>
      </c>
      <c r="S286" s="131">
        <f ca="1" t="shared" si="86"/>
        <v>36</v>
      </c>
      <c r="T286" s="131">
        <f ca="1" t="shared" si="87"/>
        <v>37</v>
      </c>
      <c r="U286" s="131">
        <f ca="1" t="shared" si="88"/>
        <v>37</v>
      </c>
      <c r="V286" s="131">
        <f ca="1" t="shared" si="89"/>
        <v>38</v>
      </c>
      <c r="W286" s="124">
        <f ca="1">OFFSET($K$19,_xlfn.XLOOKUP(X286,$D$9:$D$28,$H$9:$H$28),MATCH(OFFSET($C$29,B286,MATCH(X286,$D$29:$V$29,0)),$L$19:$R$19,1))*(1+(OFFSET($C$29,B286,MATCH(X286,$D$29:$V$29,0))-1)*_xlfn.XLOOKUP(X286,梦灵养成!$D$9:$D$28,梦灵养成!$G$9:$G$28))</f>
        <v>51.324</v>
      </c>
      <c r="X286" s="106" t="str">
        <f ca="1" t="shared" ref="X286:X349" si="93">OFFSET($I$8,MATCH(C286,$C$9:$C$27,1),0)</f>
        <v>神算诸葛</v>
      </c>
      <c r="Y286" s="95">
        <f ca="1" t="shared" si="90"/>
        <v>117000</v>
      </c>
      <c r="Z286" s="96">
        <f ca="1" t="shared" si="91"/>
        <v>4.7</v>
      </c>
    </row>
    <row r="287" s="106" customFormat="1" ht="16.5" spans="2:26">
      <c r="B287" s="117">
        <v>258</v>
      </c>
      <c r="C287" s="130">
        <f t="shared" si="92"/>
        <v>25800</v>
      </c>
      <c r="D287" s="131">
        <f ca="1" t="shared" ref="D287:D350" si="94">IFERROR(MATCH(D892*10,OFFSET($AP$635:$AP$734,0,D$631),1),0)</f>
        <v>47</v>
      </c>
      <c r="E287" s="131">
        <f ca="1" t="shared" ref="E287:E350" si="95">IFERROR(MATCH(E892*10,OFFSET($AP$635:$AP$734,0,E$631),1),0)</f>
        <v>47</v>
      </c>
      <c r="F287" s="131">
        <f ca="1" t="shared" ref="F287:F350" si="96">IFERROR(MATCH(F892*10,OFFSET($AP$635:$AP$734,0,F$631),1),0)</f>
        <v>47</v>
      </c>
      <c r="G287" s="131">
        <f ca="1" t="shared" ref="G287:G350" si="97">IFERROR(MATCH(G892*10,OFFSET($AP$635:$AP$734,0,G$631),1),0)</f>
        <v>38</v>
      </c>
      <c r="H287" s="131">
        <f ca="1" t="shared" ref="H287:H350" si="98">IFERROR(MATCH(H892*10,OFFSET($AP$635:$AP$734,0,H$631),1),0)</f>
        <v>38</v>
      </c>
      <c r="I287" s="131">
        <f ca="1" t="shared" ref="I287:I350" si="99">IFERROR(MATCH(I892*10,OFFSET($AP$635:$AP$734,0,I$631),1),0)</f>
        <v>38</v>
      </c>
      <c r="J287" s="131">
        <f ca="1" t="shared" ref="J287:J350" si="100">IFERROR(MATCH(J892*10,OFFSET($AP$635:$AP$734,0,J$631),1),0)</f>
        <v>38</v>
      </c>
      <c r="K287" s="131">
        <f ca="1" t="shared" ref="K287:K350" si="101">IFERROR(MATCH(K892*10,OFFSET($AP$635:$AP$734,0,K$631),1),0)</f>
        <v>38</v>
      </c>
      <c r="L287" s="131">
        <f ca="1" t="shared" ref="L287:L350" si="102">IFERROR(MATCH(L892*10,OFFSET($AP$635:$AP$734,0,L$631),1),0)</f>
        <v>38</v>
      </c>
      <c r="M287" s="131">
        <f ca="1" t="shared" ref="M287:M350" si="103">IFERROR(MATCH(M892*10,OFFSET($AP$635:$AP$734,0,M$631),1),0)</f>
        <v>33</v>
      </c>
      <c r="N287" s="131">
        <f ca="1" t="shared" ref="N287:N350" si="104">IFERROR(MATCH(N892*10,OFFSET($AP$635:$AP$734,0,N$631),1),0)</f>
        <v>33</v>
      </c>
      <c r="O287" s="131">
        <f ca="1" t="shared" ref="O287:O350" si="105">IFERROR(MATCH(O892*10,OFFSET($AP$635:$AP$734,0,O$631),1),0)</f>
        <v>33</v>
      </c>
      <c r="P287" s="131">
        <f ca="1" t="shared" ref="P287:P350" si="106">IFERROR(MATCH(P892*10,OFFSET($AP$635:$AP$734,0,P$631),1),0)</f>
        <v>33</v>
      </c>
      <c r="Q287" s="131">
        <f ca="1" t="shared" ref="Q287:Q350" si="107">IFERROR(MATCH(Q892*10,OFFSET($AP$635:$AP$734,0,Q$631),1),0)</f>
        <v>33</v>
      </c>
      <c r="R287" s="131">
        <f ca="1" t="shared" ref="R287:R350" si="108">IFERROR(MATCH(R892*10,OFFSET($AP$635:$AP$734,0,R$631),1),0)</f>
        <v>33</v>
      </c>
      <c r="S287" s="131">
        <f ca="1" t="shared" ref="S287:S350" si="109">IFERROR(MATCH(S892*10,OFFSET($AP$635:$AP$734,0,S$631),1),0)</f>
        <v>36</v>
      </c>
      <c r="T287" s="131">
        <f ca="1" t="shared" ref="T287:T350" si="110">IFERROR(MATCH(T892*10,OFFSET($AP$635:$AP$734,0,T$631),1),0)</f>
        <v>37</v>
      </c>
      <c r="U287" s="131">
        <f ca="1" t="shared" ref="U287:U350" si="111">IFERROR(MATCH(U892*10,OFFSET($AP$635:$AP$734,0,U$631),1),0)</f>
        <v>37</v>
      </c>
      <c r="V287" s="131">
        <f ca="1" t="shared" ref="V287:V350" si="112">IFERROR(MATCH(V892*10,OFFSET($AP$635:$AP$734,0,V$631),1),0)</f>
        <v>38</v>
      </c>
      <c r="W287" s="124">
        <f ca="1">OFFSET($K$19,_xlfn.XLOOKUP(X287,$D$9:$D$28,$H$9:$H$28),MATCH(OFFSET($C$29,B287,MATCH(X287,$D$29:$V$29,0)),$L$19:$R$19,1))*(1+(OFFSET($C$29,B287,MATCH(X287,$D$29:$V$29,0))-1)*_xlfn.XLOOKUP(X287,梦灵养成!$D$9:$D$28,梦灵养成!$G$9:$G$28))</f>
        <v>51.324</v>
      </c>
      <c r="X287" s="106" t="str">
        <f ca="1" t="shared" si="93"/>
        <v>神算诸葛</v>
      </c>
      <c r="Y287" s="95">
        <f ca="1" t="shared" ref="Y287:Y350" si="113">MAX((OFFSET($C$29,MATCH(W287*1.07,$W$30:$W$629,1)+1,0)-C287)*18,0)</f>
        <v>115200</v>
      </c>
      <c r="Z287" s="96">
        <f ca="1" t="shared" ref="Z287:Z350" si="114">_xlfn.XLOOKUP(X287,$D$9:$D$27,$G$9:$G$27)*(OFFSET($B287,0,MATCH($X287,$D$29:$V$29,0)+1)-1)+1</f>
        <v>4.7</v>
      </c>
    </row>
    <row r="288" s="106" customFormat="1" ht="16.5" spans="2:26">
      <c r="B288" s="117">
        <v>259</v>
      </c>
      <c r="C288" s="130">
        <f t="shared" ref="C288:C351" si="115">C287+100</f>
        <v>25900</v>
      </c>
      <c r="D288" s="131">
        <f ca="1" t="shared" si="94"/>
        <v>47</v>
      </c>
      <c r="E288" s="131">
        <f ca="1" t="shared" si="95"/>
        <v>47</v>
      </c>
      <c r="F288" s="131">
        <f ca="1" t="shared" si="96"/>
        <v>47</v>
      </c>
      <c r="G288" s="131">
        <f ca="1" t="shared" si="97"/>
        <v>38</v>
      </c>
      <c r="H288" s="131">
        <f ca="1" t="shared" si="98"/>
        <v>38</v>
      </c>
      <c r="I288" s="131">
        <f ca="1" t="shared" si="99"/>
        <v>38</v>
      </c>
      <c r="J288" s="131">
        <f ca="1" t="shared" si="100"/>
        <v>38</v>
      </c>
      <c r="K288" s="131">
        <f ca="1" t="shared" si="101"/>
        <v>38</v>
      </c>
      <c r="L288" s="131">
        <f ca="1" t="shared" si="102"/>
        <v>38</v>
      </c>
      <c r="M288" s="131">
        <f ca="1" t="shared" si="103"/>
        <v>33</v>
      </c>
      <c r="N288" s="131">
        <f ca="1" t="shared" si="104"/>
        <v>33</v>
      </c>
      <c r="O288" s="131">
        <f ca="1" t="shared" si="105"/>
        <v>33</v>
      </c>
      <c r="P288" s="131">
        <f ca="1" t="shared" si="106"/>
        <v>33</v>
      </c>
      <c r="Q288" s="131">
        <f ca="1" t="shared" si="107"/>
        <v>33</v>
      </c>
      <c r="R288" s="131">
        <f ca="1" t="shared" si="108"/>
        <v>33</v>
      </c>
      <c r="S288" s="131">
        <f ca="1" t="shared" si="109"/>
        <v>36</v>
      </c>
      <c r="T288" s="131">
        <f ca="1" t="shared" si="110"/>
        <v>37</v>
      </c>
      <c r="U288" s="131">
        <f ca="1" t="shared" si="111"/>
        <v>37</v>
      </c>
      <c r="V288" s="131">
        <f ca="1" t="shared" si="112"/>
        <v>39</v>
      </c>
      <c r="W288" s="124">
        <f ca="1">OFFSET($K$19,_xlfn.XLOOKUP(X288,$D$9:$D$28,$H$9:$H$28),MATCH(OFFSET($C$29,B288,MATCH(X288,$D$29:$V$29,0)),$L$19:$R$19,1))*(1+(OFFSET($C$29,B288,MATCH(X288,$D$29:$V$29,0))-1)*_xlfn.XLOOKUP(X288,梦灵养成!$D$9:$D$28,梦灵养成!$G$9:$G$28))</f>
        <v>52.416</v>
      </c>
      <c r="X288" s="106" t="str">
        <f ca="1" t="shared" si="93"/>
        <v>神算诸葛</v>
      </c>
      <c r="Y288" s="95">
        <f ca="1" t="shared" si="113"/>
        <v>154800</v>
      </c>
      <c r="Z288" s="96">
        <f ca="1" t="shared" si="114"/>
        <v>4.8</v>
      </c>
    </row>
    <row r="289" s="106" customFormat="1" ht="16.5" spans="2:26">
      <c r="B289" s="117">
        <v>260</v>
      </c>
      <c r="C289" s="130">
        <f t="shared" si="115"/>
        <v>26000</v>
      </c>
      <c r="D289" s="131">
        <f ca="1" t="shared" si="94"/>
        <v>47</v>
      </c>
      <c r="E289" s="131">
        <f ca="1" t="shared" si="95"/>
        <v>47</v>
      </c>
      <c r="F289" s="131">
        <f ca="1" t="shared" si="96"/>
        <v>47</v>
      </c>
      <c r="G289" s="131">
        <f ca="1" t="shared" si="97"/>
        <v>39</v>
      </c>
      <c r="H289" s="131">
        <f ca="1" t="shared" si="98"/>
        <v>39</v>
      </c>
      <c r="I289" s="131">
        <f ca="1" t="shared" si="99"/>
        <v>39</v>
      </c>
      <c r="J289" s="131">
        <f ca="1" t="shared" si="100"/>
        <v>38</v>
      </c>
      <c r="K289" s="131">
        <f ca="1" t="shared" si="101"/>
        <v>38</v>
      </c>
      <c r="L289" s="131">
        <f ca="1" t="shared" si="102"/>
        <v>38</v>
      </c>
      <c r="M289" s="131">
        <f ca="1" t="shared" si="103"/>
        <v>33</v>
      </c>
      <c r="N289" s="131">
        <f ca="1" t="shared" si="104"/>
        <v>33</v>
      </c>
      <c r="O289" s="131">
        <f ca="1" t="shared" si="105"/>
        <v>33</v>
      </c>
      <c r="P289" s="131">
        <f ca="1" t="shared" si="106"/>
        <v>33</v>
      </c>
      <c r="Q289" s="131">
        <f ca="1" t="shared" si="107"/>
        <v>33</v>
      </c>
      <c r="R289" s="131">
        <f ca="1" t="shared" si="108"/>
        <v>33</v>
      </c>
      <c r="S289" s="131">
        <f ca="1" t="shared" si="109"/>
        <v>36</v>
      </c>
      <c r="T289" s="131">
        <f ca="1" t="shared" si="110"/>
        <v>37</v>
      </c>
      <c r="U289" s="131">
        <f ca="1" t="shared" si="111"/>
        <v>37</v>
      </c>
      <c r="V289" s="131">
        <f ca="1" t="shared" si="112"/>
        <v>39</v>
      </c>
      <c r="W289" s="124">
        <f ca="1">OFFSET($K$19,_xlfn.XLOOKUP(X289,$D$9:$D$28,$H$9:$H$28),MATCH(OFFSET($C$29,B289,MATCH(X289,$D$29:$V$29,0)),$L$19:$R$19,1))*(1+(OFFSET($C$29,B289,MATCH(X289,$D$29:$V$29,0))-1)*_xlfn.XLOOKUP(X289,梦灵养成!$D$9:$D$28,梦灵养成!$G$9:$G$28))</f>
        <v>52.416</v>
      </c>
      <c r="X289" s="106" t="str">
        <f ca="1" t="shared" si="93"/>
        <v>神算诸葛</v>
      </c>
      <c r="Y289" s="95">
        <f ca="1" t="shared" si="113"/>
        <v>153000</v>
      </c>
      <c r="Z289" s="96">
        <f ca="1" t="shared" si="114"/>
        <v>4.8</v>
      </c>
    </row>
    <row r="290" s="106" customFormat="1" ht="16.5" spans="2:26">
      <c r="B290" s="117">
        <v>261</v>
      </c>
      <c r="C290" s="130">
        <f t="shared" si="115"/>
        <v>26100</v>
      </c>
      <c r="D290" s="131">
        <f ca="1" t="shared" si="94"/>
        <v>47</v>
      </c>
      <c r="E290" s="131">
        <f ca="1" t="shared" si="95"/>
        <v>47</v>
      </c>
      <c r="F290" s="131">
        <f ca="1" t="shared" si="96"/>
        <v>47</v>
      </c>
      <c r="G290" s="131">
        <f ca="1" t="shared" si="97"/>
        <v>39</v>
      </c>
      <c r="H290" s="131">
        <f ca="1" t="shared" si="98"/>
        <v>39</v>
      </c>
      <c r="I290" s="131">
        <f ca="1" t="shared" si="99"/>
        <v>39</v>
      </c>
      <c r="J290" s="131">
        <f ca="1" t="shared" si="100"/>
        <v>39</v>
      </c>
      <c r="K290" s="131">
        <f ca="1" t="shared" si="101"/>
        <v>39</v>
      </c>
      <c r="L290" s="131">
        <f ca="1" t="shared" si="102"/>
        <v>39</v>
      </c>
      <c r="M290" s="131">
        <f ca="1" t="shared" si="103"/>
        <v>33</v>
      </c>
      <c r="N290" s="131">
        <f ca="1" t="shared" si="104"/>
        <v>33</v>
      </c>
      <c r="O290" s="131">
        <f ca="1" t="shared" si="105"/>
        <v>33</v>
      </c>
      <c r="P290" s="131">
        <f ca="1" t="shared" si="106"/>
        <v>33</v>
      </c>
      <c r="Q290" s="131">
        <f ca="1" t="shared" si="107"/>
        <v>33</v>
      </c>
      <c r="R290" s="131">
        <f ca="1" t="shared" si="108"/>
        <v>33</v>
      </c>
      <c r="S290" s="131">
        <f ca="1" t="shared" si="109"/>
        <v>36</v>
      </c>
      <c r="T290" s="131">
        <f ca="1" t="shared" si="110"/>
        <v>37</v>
      </c>
      <c r="U290" s="131">
        <f ca="1" t="shared" si="111"/>
        <v>38</v>
      </c>
      <c r="V290" s="131">
        <f ca="1" t="shared" si="112"/>
        <v>39</v>
      </c>
      <c r="W290" s="124">
        <f ca="1">OFFSET($K$19,_xlfn.XLOOKUP(X290,$D$9:$D$28,$H$9:$H$28),MATCH(OFFSET($C$29,B290,MATCH(X290,$D$29:$V$29,0)),$L$19:$R$19,1))*(1+(OFFSET($C$29,B290,MATCH(X290,$D$29:$V$29,0))-1)*_xlfn.XLOOKUP(X290,梦灵养成!$D$9:$D$28,梦灵养成!$G$9:$G$28))</f>
        <v>52.416</v>
      </c>
      <c r="X290" s="106" t="str">
        <f ca="1" t="shared" si="93"/>
        <v>神算诸葛</v>
      </c>
      <c r="Y290" s="95">
        <f ca="1" t="shared" si="113"/>
        <v>151200</v>
      </c>
      <c r="Z290" s="96">
        <f ca="1" t="shared" si="114"/>
        <v>4.8</v>
      </c>
    </row>
    <row r="291" s="106" customFormat="1" ht="16.5" spans="2:26">
      <c r="B291" s="117">
        <v>262</v>
      </c>
      <c r="C291" s="130">
        <f t="shared" si="115"/>
        <v>26200</v>
      </c>
      <c r="D291" s="131">
        <f ca="1" t="shared" si="94"/>
        <v>47</v>
      </c>
      <c r="E291" s="131">
        <f ca="1" t="shared" si="95"/>
        <v>47</v>
      </c>
      <c r="F291" s="131">
        <f ca="1" t="shared" si="96"/>
        <v>47</v>
      </c>
      <c r="G291" s="131">
        <f ca="1" t="shared" si="97"/>
        <v>39</v>
      </c>
      <c r="H291" s="131">
        <f ca="1" t="shared" si="98"/>
        <v>39</v>
      </c>
      <c r="I291" s="131">
        <f ca="1" t="shared" si="99"/>
        <v>39</v>
      </c>
      <c r="J291" s="131">
        <f ca="1" t="shared" si="100"/>
        <v>39</v>
      </c>
      <c r="K291" s="131">
        <f ca="1" t="shared" si="101"/>
        <v>39</v>
      </c>
      <c r="L291" s="131">
        <f ca="1" t="shared" si="102"/>
        <v>39</v>
      </c>
      <c r="M291" s="131">
        <f ca="1" t="shared" si="103"/>
        <v>33</v>
      </c>
      <c r="N291" s="131">
        <f ca="1" t="shared" si="104"/>
        <v>33</v>
      </c>
      <c r="O291" s="131">
        <f ca="1" t="shared" si="105"/>
        <v>33</v>
      </c>
      <c r="P291" s="131">
        <f ca="1" t="shared" si="106"/>
        <v>33</v>
      </c>
      <c r="Q291" s="131">
        <f ca="1" t="shared" si="107"/>
        <v>33</v>
      </c>
      <c r="R291" s="131">
        <f ca="1" t="shared" si="108"/>
        <v>33</v>
      </c>
      <c r="S291" s="131">
        <f ca="1" t="shared" si="109"/>
        <v>36</v>
      </c>
      <c r="T291" s="131">
        <f ca="1" t="shared" si="110"/>
        <v>37</v>
      </c>
      <c r="U291" s="131">
        <f ca="1" t="shared" si="111"/>
        <v>38</v>
      </c>
      <c r="V291" s="131">
        <f ca="1" t="shared" si="112"/>
        <v>39</v>
      </c>
      <c r="W291" s="124">
        <f ca="1">OFFSET($K$19,_xlfn.XLOOKUP(X291,$D$9:$D$28,$H$9:$H$28),MATCH(OFFSET($C$29,B291,MATCH(X291,$D$29:$V$29,0)),$L$19:$R$19,1))*(1+(OFFSET($C$29,B291,MATCH(X291,$D$29:$V$29,0))-1)*_xlfn.XLOOKUP(X291,梦灵养成!$D$9:$D$28,梦灵养成!$G$9:$G$28))</f>
        <v>52.416</v>
      </c>
      <c r="X291" s="106" t="str">
        <f ca="1" t="shared" si="93"/>
        <v>神算诸葛</v>
      </c>
      <c r="Y291" s="95">
        <f ca="1" t="shared" si="113"/>
        <v>149400</v>
      </c>
      <c r="Z291" s="96">
        <f ca="1" t="shared" si="114"/>
        <v>4.8</v>
      </c>
    </row>
    <row r="292" s="106" customFormat="1" ht="16.5" spans="2:26">
      <c r="B292" s="117">
        <v>263</v>
      </c>
      <c r="C292" s="130">
        <f t="shared" si="115"/>
        <v>26300</v>
      </c>
      <c r="D292" s="131">
        <f ca="1" t="shared" si="94"/>
        <v>47</v>
      </c>
      <c r="E292" s="131">
        <f ca="1" t="shared" si="95"/>
        <v>47</v>
      </c>
      <c r="F292" s="131">
        <f ca="1" t="shared" si="96"/>
        <v>47</v>
      </c>
      <c r="G292" s="131">
        <f ca="1" t="shared" si="97"/>
        <v>39</v>
      </c>
      <c r="H292" s="131">
        <f ca="1" t="shared" si="98"/>
        <v>39</v>
      </c>
      <c r="I292" s="131">
        <f ca="1" t="shared" si="99"/>
        <v>39</v>
      </c>
      <c r="J292" s="131">
        <f ca="1" t="shared" si="100"/>
        <v>39</v>
      </c>
      <c r="K292" s="131">
        <f ca="1" t="shared" si="101"/>
        <v>39</v>
      </c>
      <c r="L292" s="131">
        <f ca="1" t="shared" si="102"/>
        <v>39</v>
      </c>
      <c r="M292" s="131">
        <f ca="1" t="shared" si="103"/>
        <v>33</v>
      </c>
      <c r="N292" s="131">
        <f ca="1" t="shared" si="104"/>
        <v>33</v>
      </c>
      <c r="O292" s="131">
        <f ca="1" t="shared" si="105"/>
        <v>33</v>
      </c>
      <c r="P292" s="131">
        <f ca="1" t="shared" si="106"/>
        <v>33</v>
      </c>
      <c r="Q292" s="131">
        <f ca="1" t="shared" si="107"/>
        <v>34</v>
      </c>
      <c r="R292" s="131">
        <f ca="1" t="shared" si="108"/>
        <v>33</v>
      </c>
      <c r="S292" s="131">
        <f ca="1" t="shared" si="109"/>
        <v>36</v>
      </c>
      <c r="T292" s="131">
        <f ca="1" t="shared" si="110"/>
        <v>37</v>
      </c>
      <c r="U292" s="131">
        <f ca="1" t="shared" si="111"/>
        <v>38</v>
      </c>
      <c r="V292" s="131">
        <f ca="1" t="shared" si="112"/>
        <v>39</v>
      </c>
      <c r="W292" s="124">
        <f ca="1">OFFSET($K$19,_xlfn.XLOOKUP(X292,$D$9:$D$28,$H$9:$H$28),MATCH(OFFSET($C$29,B292,MATCH(X292,$D$29:$V$29,0)),$L$19:$R$19,1))*(1+(OFFSET($C$29,B292,MATCH(X292,$D$29:$V$29,0))-1)*_xlfn.XLOOKUP(X292,梦灵养成!$D$9:$D$28,梦灵养成!$G$9:$G$28))</f>
        <v>52.416</v>
      </c>
      <c r="X292" s="106" t="str">
        <f ca="1" t="shared" si="93"/>
        <v>神算诸葛</v>
      </c>
      <c r="Y292" s="95">
        <f ca="1" t="shared" si="113"/>
        <v>147600</v>
      </c>
      <c r="Z292" s="96">
        <f ca="1" t="shared" si="114"/>
        <v>4.8</v>
      </c>
    </row>
    <row r="293" s="106" customFormat="1" ht="16.5" spans="2:26">
      <c r="B293" s="117">
        <v>264</v>
      </c>
      <c r="C293" s="130">
        <f t="shared" si="115"/>
        <v>26400</v>
      </c>
      <c r="D293" s="131">
        <f ca="1" t="shared" si="94"/>
        <v>47</v>
      </c>
      <c r="E293" s="131">
        <f ca="1" t="shared" si="95"/>
        <v>47</v>
      </c>
      <c r="F293" s="131">
        <f ca="1" t="shared" si="96"/>
        <v>47</v>
      </c>
      <c r="G293" s="131">
        <f ca="1" t="shared" si="97"/>
        <v>39</v>
      </c>
      <c r="H293" s="131">
        <f ca="1" t="shared" si="98"/>
        <v>39</v>
      </c>
      <c r="I293" s="131">
        <f ca="1" t="shared" si="99"/>
        <v>39</v>
      </c>
      <c r="J293" s="131">
        <f ca="1" t="shared" si="100"/>
        <v>39</v>
      </c>
      <c r="K293" s="131">
        <f ca="1" t="shared" si="101"/>
        <v>39</v>
      </c>
      <c r="L293" s="131">
        <f ca="1" t="shared" si="102"/>
        <v>39</v>
      </c>
      <c r="M293" s="131">
        <f ca="1" t="shared" si="103"/>
        <v>33</v>
      </c>
      <c r="N293" s="131">
        <f ca="1" t="shared" si="104"/>
        <v>33</v>
      </c>
      <c r="O293" s="131">
        <f ca="1" t="shared" si="105"/>
        <v>34</v>
      </c>
      <c r="P293" s="131">
        <f ca="1" t="shared" si="106"/>
        <v>33</v>
      </c>
      <c r="Q293" s="131">
        <f ca="1" t="shared" si="107"/>
        <v>34</v>
      </c>
      <c r="R293" s="131">
        <f ca="1" t="shared" si="108"/>
        <v>33</v>
      </c>
      <c r="S293" s="131">
        <f ca="1" t="shared" si="109"/>
        <v>36</v>
      </c>
      <c r="T293" s="131">
        <f ca="1" t="shared" si="110"/>
        <v>37</v>
      </c>
      <c r="U293" s="131">
        <f ca="1" t="shared" si="111"/>
        <v>38</v>
      </c>
      <c r="V293" s="131">
        <f ca="1" t="shared" si="112"/>
        <v>39</v>
      </c>
      <c r="W293" s="124">
        <f ca="1">OFFSET($K$19,_xlfn.XLOOKUP(X293,$D$9:$D$28,$H$9:$H$28),MATCH(OFFSET($C$29,B293,MATCH(X293,$D$29:$V$29,0)),$L$19:$R$19,1))*(1+(OFFSET($C$29,B293,MATCH(X293,$D$29:$V$29,0))-1)*_xlfn.XLOOKUP(X293,梦灵养成!$D$9:$D$28,梦灵养成!$G$9:$G$28))</f>
        <v>52.416</v>
      </c>
      <c r="X293" s="106" t="str">
        <f ca="1" t="shared" si="93"/>
        <v>神算诸葛</v>
      </c>
      <c r="Y293" s="95">
        <f ca="1" t="shared" si="113"/>
        <v>145800</v>
      </c>
      <c r="Z293" s="96">
        <f ca="1" t="shared" si="114"/>
        <v>4.8</v>
      </c>
    </row>
    <row r="294" s="106" customFormat="1" ht="16.5" spans="2:26">
      <c r="B294" s="117">
        <v>265</v>
      </c>
      <c r="C294" s="130">
        <f t="shared" si="115"/>
        <v>26500</v>
      </c>
      <c r="D294" s="131">
        <f ca="1" t="shared" si="94"/>
        <v>47</v>
      </c>
      <c r="E294" s="131">
        <f ca="1" t="shared" si="95"/>
        <v>47</v>
      </c>
      <c r="F294" s="131">
        <f ca="1" t="shared" si="96"/>
        <v>47</v>
      </c>
      <c r="G294" s="131">
        <f ca="1" t="shared" si="97"/>
        <v>39</v>
      </c>
      <c r="H294" s="131">
        <f ca="1" t="shared" si="98"/>
        <v>39</v>
      </c>
      <c r="I294" s="131">
        <f ca="1" t="shared" si="99"/>
        <v>39</v>
      </c>
      <c r="J294" s="131">
        <f ca="1" t="shared" si="100"/>
        <v>39</v>
      </c>
      <c r="K294" s="131">
        <f ca="1" t="shared" si="101"/>
        <v>39</v>
      </c>
      <c r="L294" s="131">
        <f ca="1" t="shared" si="102"/>
        <v>39</v>
      </c>
      <c r="M294" s="131">
        <f ca="1" t="shared" si="103"/>
        <v>33</v>
      </c>
      <c r="N294" s="131">
        <f ca="1" t="shared" si="104"/>
        <v>33</v>
      </c>
      <c r="O294" s="131">
        <f ca="1" t="shared" si="105"/>
        <v>34</v>
      </c>
      <c r="P294" s="131">
        <f ca="1" t="shared" si="106"/>
        <v>33</v>
      </c>
      <c r="Q294" s="131">
        <f ca="1" t="shared" si="107"/>
        <v>34</v>
      </c>
      <c r="R294" s="131">
        <f ca="1" t="shared" si="108"/>
        <v>33</v>
      </c>
      <c r="S294" s="131">
        <f ca="1" t="shared" si="109"/>
        <v>36</v>
      </c>
      <c r="T294" s="131">
        <f ca="1" t="shared" si="110"/>
        <v>37</v>
      </c>
      <c r="U294" s="131">
        <f ca="1" t="shared" si="111"/>
        <v>38</v>
      </c>
      <c r="V294" s="131">
        <f ca="1" t="shared" si="112"/>
        <v>39</v>
      </c>
      <c r="W294" s="124">
        <f ca="1">OFFSET($K$19,_xlfn.XLOOKUP(X294,$D$9:$D$28,$H$9:$H$28),MATCH(OFFSET($C$29,B294,MATCH(X294,$D$29:$V$29,0)),$L$19:$R$19,1))*(1+(OFFSET($C$29,B294,MATCH(X294,$D$29:$V$29,0))-1)*_xlfn.XLOOKUP(X294,梦灵养成!$D$9:$D$28,梦灵养成!$G$9:$G$28))</f>
        <v>52.416</v>
      </c>
      <c r="X294" s="106" t="str">
        <f ca="1" t="shared" si="93"/>
        <v>神算诸葛</v>
      </c>
      <c r="Y294" s="95">
        <f ca="1" t="shared" si="113"/>
        <v>144000</v>
      </c>
      <c r="Z294" s="96">
        <f ca="1" t="shared" si="114"/>
        <v>4.8</v>
      </c>
    </row>
    <row r="295" s="106" customFormat="1" ht="16.5" spans="2:26">
      <c r="B295" s="117">
        <v>266</v>
      </c>
      <c r="C295" s="130">
        <f t="shared" si="115"/>
        <v>26600</v>
      </c>
      <c r="D295" s="131">
        <f ca="1" t="shared" si="94"/>
        <v>47</v>
      </c>
      <c r="E295" s="131">
        <f ca="1" t="shared" si="95"/>
        <v>47</v>
      </c>
      <c r="F295" s="131">
        <f ca="1" t="shared" si="96"/>
        <v>47</v>
      </c>
      <c r="G295" s="131">
        <f ca="1" t="shared" si="97"/>
        <v>39</v>
      </c>
      <c r="H295" s="131">
        <f ca="1" t="shared" si="98"/>
        <v>39</v>
      </c>
      <c r="I295" s="131">
        <f ca="1" t="shared" si="99"/>
        <v>39</v>
      </c>
      <c r="J295" s="131">
        <f ca="1" t="shared" si="100"/>
        <v>39</v>
      </c>
      <c r="K295" s="131">
        <f ca="1" t="shared" si="101"/>
        <v>39</v>
      </c>
      <c r="L295" s="131">
        <f ca="1" t="shared" si="102"/>
        <v>39</v>
      </c>
      <c r="M295" s="131">
        <f ca="1" t="shared" si="103"/>
        <v>33</v>
      </c>
      <c r="N295" s="131">
        <f ca="1" t="shared" si="104"/>
        <v>33</v>
      </c>
      <c r="O295" s="131">
        <f ca="1" t="shared" si="105"/>
        <v>34</v>
      </c>
      <c r="P295" s="131">
        <f ca="1" t="shared" si="106"/>
        <v>33</v>
      </c>
      <c r="Q295" s="131">
        <f ca="1" t="shared" si="107"/>
        <v>34</v>
      </c>
      <c r="R295" s="131">
        <f ca="1" t="shared" si="108"/>
        <v>33</v>
      </c>
      <c r="S295" s="131">
        <f ca="1" t="shared" si="109"/>
        <v>36</v>
      </c>
      <c r="T295" s="131">
        <f ca="1" t="shared" si="110"/>
        <v>38</v>
      </c>
      <c r="U295" s="131">
        <f ca="1" t="shared" si="111"/>
        <v>38</v>
      </c>
      <c r="V295" s="131">
        <f ca="1" t="shared" si="112"/>
        <v>39</v>
      </c>
      <c r="W295" s="124">
        <f ca="1">OFFSET($K$19,_xlfn.XLOOKUP(X295,$D$9:$D$28,$H$9:$H$28),MATCH(OFFSET($C$29,B295,MATCH(X295,$D$29:$V$29,0)),$L$19:$R$19,1))*(1+(OFFSET($C$29,B295,MATCH(X295,$D$29:$V$29,0))-1)*_xlfn.XLOOKUP(X295,梦灵养成!$D$9:$D$28,梦灵养成!$G$9:$G$28))</f>
        <v>52.416</v>
      </c>
      <c r="X295" s="106" t="str">
        <f ca="1" t="shared" si="93"/>
        <v>神算诸葛</v>
      </c>
      <c r="Y295" s="95">
        <f ca="1" t="shared" si="113"/>
        <v>142200</v>
      </c>
      <c r="Z295" s="96">
        <f ca="1" t="shared" si="114"/>
        <v>4.8</v>
      </c>
    </row>
    <row r="296" s="106" customFormat="1" ht="16.5" spans="2:26">
      <c r="B296" s="117">
        <v>267</v>
      </c>
      <c r="C296" s="130">
        <f t="shared" si="115"/>
        <v>26700</v>
      </c>
      <c r="D296" s="131">
        <f ca="1" t="shared" si="94"/>
        <v>47</v>
      </c>
      <c r="E296" s="131">
        <f ca="1" t="shared" si="95"/>
        <v>47</v>
      </c>
      <c r="F296" s="131">
        <f ca="1" t="shared" si="96"/>
        <v>47</v>
      </c>
      <c r="G296" s="131">
        <f ca="1" t="shared" si="97"/>
        <v>39</v>
      </c>
      <c r="H296" s="131">
        <f ca="1" t="shared" si="98"/>
        <v>39</v>
      </c>
      <c r="I296" s="131">
        <f ca="1" t="shared" si="99"/>
        <v>39</v>
      </c>
      <c r="J296" s="131">
        <f ca="1" t="shared" si="100"/>
        <v>39</v>
      </c>
      <c r="K296" s="131">
        <f ca="1" t="shared" si="101"/>
        <v>39</v>
      </c>
      <c r="L296" s="131">
        <f ca="1" t="shared" si="102"/>
        <v>39</v>
      </c>
      <c r="M296" s="131">
        <f ca="1" t="shared" si="103"/>
        <v>33</v>
      </c>
      <c r="N296" s="131">
        <f ca="1" t="shared" si="104"/>
        <v>33</v>
      </c>
      <c r="O296" s="131">
        <f ca="1" t="shared" si="105"/>
        <v>34</v>
      </c>
      <c r="P296" s="131">
        <f ca="1" t="shared" si="106"/>
        <v>33</v>
      </c>
      <c r="Q296" s="131">
        <f ca="1" t="shared" si="107"/>
        <v>34</v>
      </c>
      <c r="R296" s="131">
        <f ca="1" t="shared" si="108"/>
        <v>33</v>
      </c>
      <c r="S296" s="131">
        <f ca="1" t="shared" si="109"/>
        <v>36</v>
      </c>
      <c r="T296" s="131">
        <f ca="1" t="shared" si="110"/>
        <v>38</v>
      </c>
      <c r="U296" s="131">
        <f ca="1" t="shared" si="111"/>
        <v>38</v>
      </c>
      <c r="V296" s="131">
        <f ca="1" t="shared" si="112"/>
        <v>39</v>
      </c>
      <c r="W296" s="124">
        <f ca="1">OFFSET($K$19,_xlfn.XLOOKUP(X296,$D$9:$D$28,$H$9:$H$28),MATCH(OFFSET($C$29,B296,MATCH(X296,$D$29:$V$29,0)),$L$19:$R$19,1))*(1+(OFFSET($C$29,B296,MATCH(X296,$D$29:$V$29,0))-1)*_xlfn.XLOOKUP(X296,梦灵养成!$D$9:$D$28,梦灵养成!$G$9:$G$28))</f>
        <v>52.416</v>
      </c>
      <c r="X296" s="106" t="str">
        <f ca="1" t="shared" si="93"/>
        <v>神算诸葛</v>
      </c>
      <c r="Y296" s="95">
        <f ca="1" t="shared" si="113"/>
        <v>140400</v>
      </c>
      <c r="Z296" s="96">
        <f ca="1" t="shared" si="114"/>
        <v>4.8</v>
      </c>
    </row>
    <row r="297" s="106" customFormat="1" ht="16.5" spans="2:26">
      <c r="B297" s="117">
        <v>268</v>
      </c>
      <c r="C297" s="130">
        <f t="shared" si="115"/>
        <v>26800</v>
      </c>
      <c r="D297" s="131">
        <f ca="1" t="shared" si="94"/>
        <v>47</v>
      </c>
      <c r="E297" s="131">
        <f ca="1" t="shared" si="95"/>
        <v>47</v>
      </c>
      <c r="F297" s="131">
        <f ca="1" t="shared" si="96"/>
        <v>47</v>
      </c>
      <c r="G297" s="131">
        <f ca="1" t="shared" si="97"/>
        <v>39</v>
      </c>
      <c r="H297" s="131">
        <f ca="1" t="shared" si="98"/>
        <v>39</v>
      </c>
      <c r="I297" s="131">
        <f ca="1" t="shared" si="99"/>
        <v>39</v>
      </c>
      <c r="J297" s="131">
        <f ca="1" t="shared" si="100"/>
        <v>39</v>
      </c>
      <c r="K297" s="131">
        <f ca="1" t="shared" si="101"/>
        <v>39</v>
      </c>
      <c r="L297" s="131">
        <f ca="1" t="shared" si="102"/>
        <v>39</v>
      </c>
      <c r="M297" s="131">
        <f ca="1" t="shared" si="103"/>
        <v>33</v>
      </c>
      <c r="N297" s="131">
        <f ca="1" t="shared" si="104"/>
        <v>34</v>
      </c>
      <c r="O297" s="131">
        <f ca="1" t="shared" si="105"/>
        <v>34</v>
      </c>
      <c r="P297" s="131">
        <f ca="1" t="shared" si="106"/>
        <v>33</v>
      </c>
      <c r="Q297" s="131">
        <f ca="1" t="shared" si="107"/>
        <v>34</v>
      </c>
      <c r="R297" s="131">
        <f ca="1" t="shared" si="108"/>
        <v>33</v>
      </c>
      <c r="S297" s="131">
        <f ca="1" t="shared" si="109"/>
        <v>36</v>
      </c>
      <c r="T297" s="131">
        <f ca="1" t="shared" si="110"/>
        <v>38</v>
      </c>
      <c r="U297" s="131">
        <f ca="1" t="shared" si="111"/>
        <v>38</v>
      </c>
      <c r="V297" s="131">
        <f ca="1" t="shared" si="112"/>
        <v>39</v>
      </c>
      <c r="W297" s="124">
        <f ca="1">OFFSET($K$19,_xlfn.XLOOKUP(X297,$D$9:$D$28,$H$9:$H$28),MATCH(OFFSET($C$29,B297,MATCH(X297,$D$29:$V$29,0)),$L$19:$R$19,1))*(1+(OFFSET($C$29,B297,MATCH(X297,$D$29:$V$29,0))-1)*_xlfn.XLOOKUP(X297,梦灵养成!$D$9:$D$28,梦灵养成!$G$9:$G$28))</f>
        <v>52.416</v>
      </c>
      <c r="X297" s="106" t="str">
        <f ca="1" t="shared" si="93"/>
        <v>神算诸葛</v>
      </c>
      <c r="Y297" s="95">
        <f ca="1" t="shared" si="113"/>
        <v>138600</v>
      </c>
      <c r="Z297" s="96">
        <f ca="1" t="shared" si="114"/>
        <v>4.8</v>
      </c>
    </row>
    <row r="298" s="106" customFormat="1" ht="16.5" spans="2:26">
      <c r="B298" s="117">
        <v>269</v>
      </c>
      <c r="C298" s="130">
        <f t="shared" si="115"/>
        <v>26900</v>
      </c>
      <c r="D298" s="131">
        <f ca="1" t="shared" si="94"/>
        <v>47</v>
      </c>
      <c r="E298" s="131">
        <f ca="1" t="shared" si="95"/>
        <v>47</v>
      </c>
      <c r="F298" s="131">
        <f ca="1" t="shared" si="96"/>
        <v>47</v>
      </c>
      <c r="G298" s="131">
        <f ca="1" t="shared" si="97"/>
        <v>39</v>
      </c>
      <c r="H298" s="131">
        <f ca="1" t="shared" si="98"/>
        <v>39</v>
      </c>
      <c r="I298" s="131">
        <f ca="1" t="shared" si="99"/>
        <v>39</v>
      </c>
      <c r="J298" s="131">
        <f ca="1" t="shared" si="100"/>
        <v>39</v>
      </c>
      <c r="K298" s="131">
        <f ca="1" t="shared" si="101"/>
        <v>39</v>
      </c>
      <c r="L298" s="131">
        <f ca="1" t="shared" si="102"/>
        <v>39</v>
      </c>
      <c r="M298" s="131">
        <f ca="1" t="shared" si="103"/>
        <v>34</v>
      </c>
      <c r="N298" s="131">
        <f ca="1" t="shared" si="104"/>
        <v>34</v>
      </c>
      <c r="O298" s="131">
        <f ca="1" t="shared" si="105"/>
        <v>34</v>
      </c>
      <c r="P298" s="131">
        <f ca="1" t="shared" si="106"/>
        <v>33</v>
      </c>
      <c r="Q298" s="131">
        <f ca="1" t="shared" si="107"/>
        <v>34</v>
      </c>
      <c r="R298" s="131">
        <f ca="1" t="shared" si="108"/>
        <v>34</v>
      </c>
      <c r="S298" s="131">
        <f ca="1" t="shared" si="109"/>
        <v>36</v>
      </c>
      <c r="T298" s="131">
        <f ca="1" t="shared" si="110"/>
        <v>38</v>
      </c>
      <c r="U298" s="131">
        <f ca="1" t="shared" si="111"/>
        <v>38</v>
      </c>
      <c r="V298" s="131">
        <f ca="1" t="shared" si="112"/>
        <v>39</v>
      </c>
      <c r="W298" s="124">
        <f ca="1">OFFSET($K$19,_xlfn.XLOOKUP(X298,$D$9:$D$28,$H$9:$H$28),MATCH(OFFSET($C$29,B298,MATCH(X298,$D$29:$V$29,0)),$L$19:$R$19,1))*(1+(OFFSET($C$29,B298,MATCH(X298,$D$29:$V$29,0))-1)*_xlfn.XLOOKUP(X298,梦灵养成!$D$9:$D$28,梦灵养成!$G$9:$G$28))</f>
        <v>52.416</v>
      </c>
      <c r="X298" s="106" t="str">
        <f ca="1" t="shared" si="93"/>
        <v>神算诸葛</v>
      </c>
      <c r="Y298" s="95">
        <f ca="1" t="shared" si="113"/>
        <v>136800</v>
      </c>
      <c r="Z298" s="96">
        <f ca="1" t="shared" si="114"/>
        <v>4.8</v>
      </c>
    </row>
    <row r="299" s="106" customFormat="1" ht="16.5" spans="2:26">
      <c r="B299" s="117">
        <v>270</v>
      </c>
      <c r="C299" s="130">
        <f t="shared" si="115"/>
        <v>27000</v>
      </c>
      <c r="D299" s="131">
        <f ca="1" t="shared" si="94"/>
        <v>47</v>
      </c>
      <c r="E299" s="131">
        <f ca="1" t="shared" si="95"/>
        <v>47</v>
      </c>
      <c r="F299" s="131">
        <f ca="1" t="shared" si="96"/>
        <v>47</v>
      </c>
      <c r="G299" s="131">
        <f ca="1" t="shared" si="97"/>
        <v>39</v>
      </c>
      <c r="H299" s="131">
        <f ca="1" t="shared" si="98"/>
        <v>39</v>
      </c>
      <c r="I299" s="131">
        <f ca="1" t="shared" si="99"/>
        <v>39</v>
      </c>
      <c r="J299" s="131">
        <f ca="1" t="shared" si="100"/>
        <v>39</v>
      </c>
      <c r="K299" s="131">
        <f ca="1" t="shared" si="101"/>
        <v>39</v>
      </c>
      <c r="L299" s="131">
        <f ca="1" t="shared" si="102"/>
        <v>39</v>
      </c>
      <c r="M299" s="131">
        <f ca="1" t="shared" si="103"/>
        <v>34</v>
      </c>
      <c r="N299" s="131">
        <f ca="1" t="shared" si="104"/>
        <v>34</v>
      </c>
      <c r="O299" s="131">
        <f ca="1" t="shared" si="105"/>
        <v>34</v>
      </c>
      <c r="P299" s="131">
        <f ca="1" t="shared" si="106"/>
        <v>33</v>
      </c>
      <c r="Q299" s="131">
        <f ca="1" t="shared" si="107"/>
        <v>34</v>
      </c>
      <c r="R299" s="131">
        <f ca="1" t="shared" si="108"/>
        <v>34</v>
      </c>
      <c r="S299" s="131">
        <f ca="1" t="shared" si="109"/>
        <v>36</v>
      </c>
      <c r="T299" s="131">
        <f ca="1" t="shared" si="110"/>
        <v>38</v>
      </c>
      <c r="U299" s="131">
        <f ca="1" t="shared" si="111"/>
        <v>38</v>
      </c>
      <c r="V299" s="131">
        <f ca="1" t="shared" si="112"/>
        <v>39</v>
      </c>
      <c r="W299" s="124">
        <f ca="1">OFFSET($K$19,_xlfn.XLOOKUP(X299,$D$9:$D$28,$H$9:$H$28),MATCH(OFFSET($C$29,B299,MATCH(X299,$D$29:$V$29,0)),$L$19:$R$19,1))*(1+(OFFSET($C$29,B299,MATCH(X299,$D$29:$V$29,0))-1)*_xlfn.XLOOKUP(X299,梦灵养成!$D$9:$D$28,梦灵养成!$G$9:$G$28))</f>
        <v>52.416</v>
      </c>
      <c r="X299" s="106" t="str">
        <f ca="1" t="shared" si="93"/>
        <v>神算诸葛</v>
      </c>
      <c r="Y299" s="95">
        <f ca="1" t="shared" si="113"/>
        <v>135000</v>
      </c>
      <c r="Z299" s="96">
        <f ca="1" t="shared" si="114"/>
        <v>4.8</v>
      </c>
    </row>
    <row r="300" s="106" customFormat="1" ht="16.5" spans="2:26">
      <c r="B300" s="117">
        <v>271</v>
      </c>
      <c r="C300" s="130">
        <f t="shared" si="115"/>
        <v>27100</v>
      </c>
      <c r="D300" s="131">
        <f ca="1" t="shared" si="94"/>
        <v>48</v>
      </c>
      <c r="E300" s="131">
        <f ca="1" t="shared" si="95"/>
        <v>48</v>
      </c>
      <c r="F300" s="131">
        <f ca="1" t="shared" si="96"/>
        <v>48</v>
      </c>
      <c r="G300" s="131">
        <f ca="1" t="shared" si="97"/>
        <v>39</v>
      </c>
      <c r="H300" s="131">
        <f ca="1" t="shared" si="98"/>
        <v>39</v>
      </c>
      <c r="I300" s="131">
        <f ca="1" t="shared" si="99"/>
        <v>39</v>
      </c>
      <c r="J300" s="131">
        <f ca="1" t="shared" si="100"/>
        <v>39</v>
      </c>
      <c r="K300" s="131">
        <f ca="1" t="shared" si="101"/>
        <v>39</v>
      </c>
      <c r="L300" s="131">
        <f ca="1" t="shared" si="102"/>
        <v>39</v>
      </c>
      <c r="M300" s="131">
        <f ca="1" t="shared" si="103"/>
        <v>34</v>
      </c>
      <c r="N300" s="131">
        <f ca="1" t="shared" si="104"/>
        <v>34</v>
      </c>
      <c r="O300" s="131">
        <f ca="1" t="shared" si="105"/>
        <v>34</v>
      </c>
      <c r="P300" s="131">
        <f ca="1" t="shared" si="106"/>
        <v>33</v>
      </c>
      <c r="Q300" s="131">
        <f ca="1" t="shared" si="107"/>
        <v>34</v>
      </c>
      <c r="R300" s="131">
        <f ca="1" t="shared" si="108"/>
        <v>34</v>
      </c>
      <c r="S300" s="131">
        <f ca="1" t="shared" si="109"/>
        <v>37</v>
      </c>
      <c r="T300" s="131">
        <f ca="1" t="shared" si="110"/>
        <v>38</v>
      </c>
      <c r="U300" s="131">
        <f ca="1" t="shared" si="111"/>
        <v>38</v>
      </c>
      <c r="V300" s="131">
        <f ca="1" t="shared" si="112"/>
        <v>39</v>
      </c>
      <c r="W300" s="124">
        <f ca="1">OFFSET($K$19,_xlfn.XLOOKUP(X300,$D$9:$D$28,$H$9:$H$28),MATCH(OFFSET($C$29,B300,MATCH(X300,$D$29:$V$29,0)),$L$19:$R$19,1))*(1+(OFFSET($C$29,B300,MATCH(X300,$D$29:$V$29,0))-1)*_xlfn.XLOOKUP(X300,梦灵养成!$D$9:$D$28,梦灵养成!$G$9:$G$28))</f>
        <v>52.416</v>
      </c>
      <c r="X300" s="106" t="str">
        <f ca="1" t="shared" si="93"/>
        <v>神算诸葛</v>
      </c>
      <c r="Y300" s="95">
        <f ca="1" t="shared" si="113"/>
        <v>133200</v>
      </c>
      <c r="Z300" s="96">
        <f ca="1" t="shared" si="114"/>
        <v>4.8</v>
      </c>
    </row>
    <row r="301" s="106" customFormat="1" ht="16.5" spans="2:26">
      <c r="B301" s="117">
        <v>272</v>
      </c>
      <c r="C301" s="130">
        <f t="shared" si="115"/>
        <v>27200</v>
      </c>
      <c r="D301" s="131">
        <f ca="1" t="shared" si="94"/>
        <v>48</v>
      </c>
      <c r="E301" s="131">
        <f ca="1" t="shared" si="95"/>
        <v>48</v>
      </c>
      <c r="F301" s="131">
        <f ca="1" t="shared" si="96"/>
        <v>48</v>
      </c>
      <c r="G301" s="131">
        <f ca="1" t="shared" si="97"/>
        <v>39</v>
      </c>
      <c r="H301" s="131">
        <f ca="1" t="shared" si="98"/>
        <v>39</v>
      </c>
      <c r="I301" s="131">
        <f ca="1" t="shared" si="99"/>
        <v>39</v>
      </c>
      <c r="J301" s="131">
        <f ca="1" t="shared" si="100"/>
        <v>39</v>
      </c>
      <c r="K301" s="131">
        <f ca="1" t="shared" si="101"/>
        <v>39</v>
      </c>
      <c r="L301" s="131">
        <f ca="1" t="shared" si="102"/>
        <v>39</v>
      </c>
      <c r="M301" s="131">
        <f ca="1" t="shared" si="103"/>
        <v>34</v>
      </c>
      <c r="N301" s="131">
        <f ca="1" t="shared" si="104"/>
        <v>34</v>
      </c>
      <c r="O301" s="131">
        <f ca="1" t="shared" si="105"/>
        <v>34</v>
      </c>
      <c r="P301" s="131">
        <f ca="1" t="shared" si="106"/>
        <v>34</v>
      </c>
      <c r="Q301" s="131">
        <f ca="1" t="shared" si="107"/>
        <v>34</v>
      </c>
      <c r="R301" s="131">
        <f ca="1" t="shared" si="108"/>
        <v>34</v>
      </c>
      <c r="S301" s="131">
        <f ca="1" t="shared" si="109"/>
        <v>37</v>
      </c>
      <c r="T301" s="131">
        <f ca="1" t="shared" si="110"/>
        <v>38</v>
      </c>
      <c r="U301" s="131">
        <f ca="1" t="shared" si="111"/>
        <v>38</v>
      </c>
      <c r="V301" s="131">
        <f ca="1" t="shared" si="112"/>
        <v>39</v>
      </c>
      <c r="W301" s="124">
        <f ca="1">OFFSET($K$19,_xlfn.XLOOKUP(X301,$D$9:$D$28,$H$9:$H$28),MATCH(OFFSET($C$29,B301,MATCH(X301,$D$29:$V$29,0)),$L$19:$R$19,1))*(1+(OFFSET($C$29,B301,MATCH(X301,$D$29:$V$29,0))-1)*_xlfn.XLOOKUP(X301,梦灵养成!$D$9:$D$28,梦灵养成!$G$9:$G$28))</f>
        <v>52.416</v>
      </c>
      <c r="X301" s="106" t="str">
        <f ca="1" t="shared" si="93"/>
        <v>神算诸葛</v>
      </c>
      <c r="Y301" s="95">
        <f ca="1" t="shared" si="113"/>
        <v>131400</v>
      </c>
      <c r="Z301" s="96">
        <f ca="1" t="shared" si="114"/>
        <v>4.8</v>
      </c>
    </row>
    <row r="302" s="106" customFormat="1" ht="16.5" spans="2:26">
      <c r="B302" s="117">
        <v>273</v>
      </c>
      <c r="C302" s="130">
        <f t="shared" si="115"/>
        <v>27300</v>
      </c>
      <c r="D302" s="131">
        <f ca="1" t="shared" si="94"/>
        <v>48</v>
      </c>
      <c r="E302" s="131">
        <f ca="1" t="shared" si="95"/>
        <v>48</v>
      </c>
      <c r="F302" s="131">
        <f ca="1" t="shared" si="96"/>
        <v>48</v>
      </c>
      <c r="G302" s="131">
        <f ca="1" t="shared" si="97"/>
        <v>39</v>
      </c>
      <c r="H302" s="131">
        <f ca="1" t="shared" si="98"/>
        <v>39</v>
      </c>
      <c r="I302" s="131">
        <f ca="1" t="shared" si="99"/>
        <v>39</v>
      </c>
      <c r="J302" s="131">
        <f ca="1" t="shared" si="100"/>
        <v>39</v>
      </c>
      <c r="K302" s="131">
        <f ca="1" t="shared" si="101"/>
        <v>39</v>
      </c>
      <c r="L302" s="131">
        <f ca="1" t="shared" si="102"/>
        <v>39</v>
      </c>
      <c r="M302" s="131">
        <f ca="1" t="shared" si="103"/>
        <v>34</v>
      </c>
      <c r="N302" s="131">
        <f ca="1" t="shared" si="104"/>
        <v>34</v>
      </c>
      <c r="O302" s="131">
        <f ca="1" t="shared" si="105"/>
        <v>34</v>
      </c>
      <c r="P302" s="131">
        <f ca="1" t="shared" si="106"/>
        <v>34</v>
      </c>
      <c r="Q302" s="131">
        <f ca="1" t="shared" si="107"/>
        <v>34</v>
      </c>
      <c r="R302" s="131">
        <f ca="1" t="shared" si="108"/>
        <v>34</v>
      </c>
      <c r="S302" s="131">
        <f ca="1" t="shared" si="109"/>
        <v>37</v>
      </c>
      <c r="T302" s="131">
        <f ca="1" t="shared" si="110"/>
        <v>38</v>
      </c>
      <c r="U302" s="131">
        <f ca="1" t="shared" si="111"/>
        <v>38</v>
      </c>
      <c r="V302" s="131">
        <f ca="1" t="shared" si="112"/>
        <v>39</v>
      </c>
      <c r="W302" s="124">
        <f ca="1">OFFSET($K$19,_xlfn.XLOOKUP(X302,$D$9:$D$28,$H$9:$H$28),MATCH(OFFSET($C$29,B302,MATCH(X302,$D$29:$V$29,0)),$L$19:$R$19,1))*(1+(OFFSET($C$29,B302,MATCH(X302,$D$29:$V$29,0))-1)*_xlfn.XLOOKUP(X302,梦灵养成!$D$9:$D$28,梦灵养成!$G$9:$G$28))</f>
        <v>52.416</v>
      </c>
      <c r="X302" s="106" t="str">
        <f ca="1" t="shared" si="93"/>
        <v>神算诸葛</v>
      </c>
      <c r="Y302" s="95">
        <f ca="1" t="shared" si="113"/>
        <v>129600</v>
      </c>
      <c r="Z302" s="96">
        <f ca="1" t="shared" si="114"/>
        <v>4.8</v>
      </c>
    </row>
    <row r="303" s="106" customFormat="1" ht="16.5" spans="2:26">
      <c r="B303" s="117">
        <v>274</v>
      </c>
      <c r="C303" s="130">
        <f t="shared" si="115"/>
        <v>27400</v>
      </c>
      <c r="D303" s="131">
        <f ca="1" t="shared" si="94"/>
        <v>48</v>
      </c>
      <c r="E303" s="131">
        <f ca="1" t="shared" si="95"/>
        <v>48</v>
      </c>
      <c r="F303" s="131">
        <f ca="1" t="shared" si="96"/>
        <v>48</v>
      </c>
      <c r="G303" s="131">
        <f ca="1" t="shared" si="97"/>
        <v>39</v>
      </c>
      <c r="H303" s="131">
        <f ca="1" t="shared" si="98"/>
        <v>39</v>
      </c>
      <c r="I303" s="131">
        <f ca="1" t="shared" si="99"/>
        <v>39</v>
      </c>
      <c r="J303" s="131">
        <f ca="1" t="shared" si="100"/>
        <v>39</v>
      </c>
      <c r="K303" s="131">
        <f ca="1" t="shared" si="101"/>
        <v>39</v>
      </c>
      <c r="L303" s="131">
        <f ca="1" t="shared" si="102"/>
        <v>39</v>
      </c>
      <c r="M303" s="131">
        <f ca="1" t="shared" si="103"/>
        <v>34</v>
      </c>
      <c r="N303" s="131">
        <f ca="1" t="shared" si="104"/>
        <v>34</v>
      </c>
      <c r="O303" s="131">
        <f ca="1" t="shared" si="105"/>
        <v>34</v>
      </c>
      <c r="P303" s="131">
        <f ca="1" t="shared" si="106"/>
        <v>34</v>
      </c>
      <c r="Q303" s="131">
        <f ca="1" t="shared" si="107"/>
        <v>34</v>
      </c>
      <c r="R303" s="131">
        <f ca="1" t="shared" si="108"/>
        <v>34</v>
      </c>
      <c r="S303" s="131">
        <f ca="1" t="shared" si="109"/>
        <v>37</v>
      </c>
      <c r="T303" s="131">
        <f ca="1" t="shared" si="110"/>
        <v>38</v>
      </c>
      <c r="U303" s="131">
        <f ca="1" t="shared" si="111"/>
        <v>38</v>
      </c>
      <c r="V303" s="131">
        <f ca="1" t="shared" si="112"/>
        <v>39</v>
      </c>
      <c r="W303" s="124">
        <f ca="1">OFFSET($K$19,_xlfn.XLOOKUP(X303,$D$9:$D$28,$H$9:$H$28),MATCH(OFFSET($C$29,B303,MATCH(X303,$D$29:$V$29,0)),$L$19:$R$19,1))*(1+(OFFSET($C$29,B303,MATCH(X303,$D$29:$V$29,0))-1)*_xlfn.XLOOKUP(X303,梦灵养成!$D$9:$D$28,梦灵养成!$G$9:$G$28))</f>
        <v>52.416</v>
      </c>
      <c r="X303" s="106" t="str">
        <f ca="1" t="shared" si="93"/>
        <v>神算诸葛</v>
      </c>
      <c r="Y303" s="95">
        <f ca="1" t="shared" si="113"/>
        <v>127800</v>
      </c>
      <c r="Z303" s="96">
        <f ca="1" t="shared" si="114"/>
        <v>4.8</v>
      </c>
    </row>
    <row r="304" s="106" customFormat="1" ht="16.5" spans="2:26">
      <c r="B304" s="117">
        <v>275</v>
      </c>
      <c r="C304" s="130">
        <f t="shared" si="115"/>
        <v>27500</v>
      </c>
      <c r="D304" s="131">
        <f ca="1" t="shared" si="94"/>
        <v>48</v>
      </c>
      <c r="E304" s="131">
        <f ca="1" t="shared" si="95"/>
        <v>48</v>
      </c>
      <c r="F304" s="131">
        <f ca="1" t="shared" si="96"/>
        <v>48</v>
      </c>
      <c r="G304" s="131">
        <f ca="1" t="shared" si="97"/>
        <v>39</v>
      </c>
      <c r="H304" s="131">
        <f ca="1" t="shared" si="98"/>
        <v>39</v>
      </c>
      <c r="I304" s="131">
        <f ca="1" t="shared" si="99"/>
        <v>39</v>
      </c>
      <c r="J304" s="131">
        <f ca="1" t="shared" si="100"/>
        <v>39</v>
      </c>
      <c r="K304" s="131">
        <f ca="1" t="shared" si="101"/>
        <v>39</v>
      </c>
      <c r="L304" s="131">
        <f ca="1" t="shared" si="102"/>
        <v>39</v>
      </c>
      <c r="M304" s="131">
        <f ca="1" t="shared" si="103"/>
        <v>34</v>
      </c>
      <c r="N304" s="131">
        <f ca="1" t="shared" si="104"/>
        <v>34</v>
      </c>
      <c r="O304" s="131">
        <f ca="1" t="shared" si="105"/>
        <v>34</v>
      </c>
      <c r="P304" s="131">
        <f ca="1" t="shared" si="106"/>
        <v>34</v>
      </c>
      <c r="Q304" s="131">
        <f ca="1" t="shared" si="107"/>
        <v>34</v>
      </c>
      <c r="R304" s="131">
        <f ca="1" t="shared" si="108"/>
        <v>34</v>
      </c>
      <c r="S304" s="131">
        <f ca="1" t="shared" si="109"/>
        <v>37</v>
      </c>
      <c r="T304" s="131">
        <f ca="1" t="shared" si="110"/>
        <v>38</v>
      </c>
      <c r="U304" s="131">
        <f ca="1" t="shared" si="111"/>
        <v>38</v>
      </c>
      <c r="V304" s="131">
        <f ca="1" t="shared" si="112"/>
        <v>39</v>
      </c>
      <c r="W304" s="124">
        <f ca="1">OFFSET($K$19,_xlfn.XLOOKUP(X304,$D$9:$D$28,$H$9:$H$28),MATCH(OFFSET($C$29,B304,MATCH(X304,$D$29:$V$29,0)),$L$19:$R$19,1))*(1+(OFFSET($C$29,B304,MATCH(X304,$D$29:$V$29,0))-1)*_xlfn.XLOOKUP(X304,梦灵养成!$D$9:$D$28,梦灵养成!$G$9:$G$28))</f>
        <v>52.416</v>
      </c>
      <c r="X304" s="106" t="str">
        <f ca="1" t="shared" si="93"/>
        <v>神算诸葛</v>
      </c>
      <c r="Y304" s="95">
        <f ca="1" t="shared" si="113"/>
        <v>126000</v>
      </c>
      <c r="Z304" s="96">
        <f ca="1" t="shared" si="114"/>
        <v>4.8</v>
      </c>
    </row>
    <row r="305" s="106" customFormat="1" ht="16.5" spans="2:26">
      <c r="B305" s="117">
        <v>276</v>
      </c>
      <c r="C305" s="130">
        <f t="shared" si="115"/>
        <v>27600</v>
      </c>
      <c r="D305" s="131">
        <f ca="1" t="shared" si="94"/>
        <v>48</v>
      </c>
      <c r="E305" s="131">
        <f ca="1" t="shared" si="95"/>
        <v>48</v>
      </c>
      <c r="F305" s="131">
        <f ca="1" t="shared" si="96"/>
        <v>48</v>
      </c>
      <c r="G305" s="131">
        <f ca="1" t="shared" si="97"/>
        <v>39</v>
      </c>
      <c r="H305" s="131">
        <f ca="1" t="shared" si="98"/>
        <v>39</v>
      </c>
      <c r="I305" s="131">
        <f ca="1" t="shared" si="99"/>
        <v>39</v>
      </c>
      <c r="J305" s="131">
        <f ca="1" t="shared" si="100"/>
        <v>39</v>
      </c>
      <c r="K305" s="131">
        <f ca="1" t="shared" si="101"/>
        <v>39</v>
      </c>
      <c r="L305" s="131">
        <f ca="1" t="shared" si="102"/>
        <v>39</v>
      </c>
      <c r="M305" s="131">
        <f ca="1" t="shared" si="103"/>
        <v>34</v>
      </c>
      <c r="N305" s="131">
        <f ca="1" t="shared" si="104"/>
        <v>34</v>
      </c>
      <c r="O305" s="131">
        <f ca="1" t="shared" si="105"/>
        <v>34</v>
      </c>
      <c r="P305" s="131">
        <f ca="1" t="shared" si="106"/>
        <v>34</v>
      </c>
      <c r="Q305" s="131">
        <f ca="1" t="shared" si="107"/>
        <v>34</v>
      </c>
      <c r="R305" s="131">
        <f ca="1" t="shared" si="108"/>
        <v>34</v>
      </c>
      <c r="S305" s="131">
        <f ca="1" t="shared" si="109"/>
        <v>37</v>
      </c>
      <c r="T305" s="131">
        <f ca="1" t="shared" si="110"/>
        <v>38</v>
      </c>
      <c r="U305" s="131">
        <f ca="1" t="shared" si="111"/>
        <v>38</v>
      </c>
      <c r="V305" s="131">
        <f ca="1" t="shared" si="112"/>
        <v>40</v>
      </c>
      <c r="W305" s="124">
        <f ca="1">OFFSET($K$19,_xlfn.XLOOKUP(X305,$D$9:$D$28,$H$9:$H$28),MATCH(OFFSET($C$29,B305,MATCH(X305,$D$29:$V$29,0)),$L$19:$R$19,1))*(1+(OFFSET($C$29,B305,MATCH(X305,$D$29:$V$29,0))-1)*_xlfn.XLOOKUP(X305,梦灵养成!$D$9:$D$28,梦灵养成!$G$9:$G$28))</f>
        <v>53.508</v>
      </c>
      <c r="X305" s="106" t="str">
        <f ca="1" t="shared" si="93"/>
        <v>神算诸葛</v>
      </c>
      <c r="Y305" s="95">
        <f ca="1" t="shared" si="113"/>
        <v>165600</v>
      </c>
      <c r="Z305" s="96">
        <f ca="1" t="shared" si="114"/>
        <v>4.9</v>
      </c>
    </row>
    <row r="306" s="106" customFormat="1" ht="16.5" spans="2:26">
      <c r="B306" s="117">
        <v>277</v>
      </c>
      <c r="C306" s="130">
        <f t="shared" si="115"/>
        <v>27700</v>
      </c>
      <c r="D306" s="131">
        <f ca="1" t="shared" si="94"/>
        <v>48</v>
      </c>
      <c r="E306" s="131">
        <f ca="1" t="shared" si="95"/>
        <v>48</v>
      </c>
      <c r="F306" s="131">
        <f ca="1" t="shared" si="96"/>
        <v>48</v>
      </c>
      <c r="G306" s="131">
        <f ca="1" t="shared" si="97"/>
        <v>39</v>
      </c>
      <c r="H306" s="131">
        <f ca="1" t="shared" si="98"/>
        <v>39</v>
      </c>
      <c r="I306" s="131">
        <f ca="1" t="shared" si="99"/>
        <v>39</v>
      </c>
      <c r="J306" s="131">
        <f ca="1" t="shared" si="100"/>
        <v>39</v>
      </c>
      <c r="K306" s="131">
        <f ca="1" t="shared" si="101"/>
        <v>39</v>
      </c>
      <c r="L306" s="131">
        <f ca="1" t="shared" si="102"/>
        <v>39</v>
      </c>
      <c r="M306" s="131">
        <f ca="1" t="shared" si="103"/>
        <v>34</v>
      </c>
      <c r="N306" s="131">
        <f ca="1" t="shared" si="104"/>
        <v>34</v>
      </c>
      <c r="O306" s="131">
        <f ca="1" t="shared" si="105"/>
        <v>34</v>
      </c>
      <c r="P306" s="131">
        <f ca="1" t="shared" si="106"/>
        <v>34</v>
      </c>
      <c r="Q306" s="131">
        <f ca="1" t="shared" si="107"/>
        <v>34</v>
      </c>
      <c r="R306" s="131">
        <f ca="1" t="shared" si="108"/>
        <v>34</v>
      </c>
      <c r="S306" s="131">
        <f ca="1" t="shared" si="109"/>
        <v>37</v>
      </c>
      <c r="T306" s="131">
        <f ca="1" t="shared" si="110"/>
        <v>38</v>
      </c>
      <c r="U306" s="131">
        <f ca="1" t="shared" si="111"/>
        <v>38</v>
      </c>
      <c r="V306" s="131">
        <f ca="1" t="shared" si="112"/>
        <v>40</v>
      </c>
      <c r="W306" s="124">
        <f ca="1">OFFSET($K$19,_xlfn.XLOOKUP(X306,$D$9:$D$28,$H$9:$H$28),MATCH(OFFSET($C$29,B306,MATCH(X306,$D$29:$V$29,0)),$L$19:$R$19,1))*(1+(OFFSET($C$29,B306,MATCH(X306,$D$29:$V$29,0))-1)*_xlfn.XLOOKUP(X306,梦灵养成!$D$9:$D$28,梦灵养成!$G$9:$G$28))</f>
        <v>53.508</v>
      </c>
      <c r="X306" s="106" t="str">
        <f ca="1" t="shared" si="93"/>
        <v>神算诸葛</v>
      </c>
      <c r="Y306" s="95">
        <f ca="1" t="shared" si="113"/>
        <v>163800</v>
      </c>
      <c r="Z306" s="96">
        <f ca="1" t="shared" si="114"/>
        <v>4.9</v>
      </c>
    </row>
    <row r="307" s="106" customFormat="1" ht="16.5" spans="2:26">
      <c r="B307" s="117">
        <v>278</v>
      </c>
      <c r="C307" s="130">
        <f t="shared" si="115"/>
        <v>27800</v>
      </c>
      <c r="D307" s="131">
        <f ca="1" t="shared" si="94"/>
        <v>48</v>
      </c>
      <c r="E307" s="131">
        <f ca="1" t="shared" si="95"/>
        <v>48</v>
      </c>
      <c r="F307" s="131">
        <f ca="1" t="shared" si="96"/>
        <v>48</v>
      </c>
      <c r="G307" s="131">
        <f ca="1" t="shared" si="97"/>
        <v>39</v>
      </c>
      <c r="H307" s="131">
        <f ca="1" t="shared" si="98"/>
        <v>39</v>
      </c>
      <c r="I307" s="131">
        <f ca="1" t="shared" si="99"/>
        <v>39</v>
      </c>
      <c r="J307" s="131">
        <f ca="1" t="shared" si="100"/>
        <v>39</v>
      </c>
      <c r="K307" s="131">
        <f ca="1" t="shared" si="101"/>
        <v>39</v>
      </c>
      <c r="L307" s="131">
        <f ca="1" t="shared" si="102"/>
        <v>39</v>
      </c>
      <c r="M307" s="131">
        <f ca="1" t="shared" si="103"/>
        <v>34</v>
      </c>
      <c r="N307" s="131">
        <f ca="1" t="shared" si="104"/>
        <v>34</v>
      </c>
      <c r="O307" s="131">
        <f ca="1" t="shared" si="105"/>
        <v>34</v>
      </c>
      <c r="P307" s="131">
        <f ca="1" t="shared" si="106"/>
        <v>34</v>
      </c>
      <c r="Q307" s="131">
        <f ca="1" t="shared" si="107"/>
        <v>34</v>
      </c>
      <c r="R307" s="131">
        <f ca="1" t="shared" si="108"/>
        <v>34</v>
      </c>
      <c r="S307" s="131">
        <f ca="1" t="shared" si="109"/>
        <v>37</v>
      </c>
      <c r="T307" s="131">
        <f ca="1" t="shared" si="110"/>
        <v>38</v>
      </c>
      <c r="U307" s="131">
        <f ca="1" t="shared" si="111"/>
        <v>39</v>
      </c>
      <c r="V307" s="131">
        <f ca="1" t="shared" si="112"/>
        <v>40</v>
      </c>
      <c r="W307" s="124">
        <f ca="1">OFFSET($K$19,_xlfn.XLOOKUP(X307,$D$9:$D$28,$H$9:$H$28),MATCH(OFFSET($C$29,B307,MATCH(X307,$D$29:$V$29,0)),$L$19:$R$19,1))*(1+(OFFSET($C$29,B307,MATCH(X307,$D$29:$V$29,0))-1)*_xlfn.XLOOKUP(X307,梦灵养成!$D$9:$D$28,梦灵养成!$G$9:$G$28))</f>
        <v>53.508</v>
      </c>
      <c r="X307" s="106" t="str">
        <f ca="1" t="shared" si="93"/>
        <v>神算诸葛</v>
      </c>
      <c r="Y307" s="95">
        <f ca="1" t="shared" si="113"/>
        <v>162000</v>
      </c>
      <c r="Z307" s="96">
        <f ca="1" t="shared" si="114"/>
        <v>4.9</v>
      </c>
    </row>
    <row r="308" s="106" customFormat="1" ht="16.5" spans="2:26">
      <c r="B308" s="117">
        <v>279</v>
      </c>
      <c r="C308" s="130">
        <f t="shared" si="115"/>
        <v>27900</v>
      </c>
      <c r="D308" s="131">
        <f ca="1" t="shared" si="94"/>
        <v>48</v>
      </c>
      <c r="E308" s="131">
        <f ca="1" t="shared" si="95"/>
        <v>48</v>
      </c>
      <c r="F308" s="131">
        <f ca="1" t="shared" si="96"/>
        <v>48</v>
      </c>
      <c r="G308" s="131">
        <f ca="1" t="shared" si="97"/>
        <v>39</v>
      </c>
      <c r="H308" s="131">
        <f ca="1" t="shared" si="98"/>
        <v>39</v>
      </c>
      <c r="I308" s="131">
        <f ca="1" t="shared" si="99"/>
        <v>39</v>
      </c>
      <c r="J308" s="131">
        <f ca="1" t="shared" si="100"/>
        <v>39</v>
      </c>
      <c r="K308" s="131">
        <f ca="1" t="shared" si="101"/>
        <v>39</v>
      </c>
      <c r="L308" s="131">
        <f ca="1" t="shared" si="102"/>
        <v>39</v>
      </c>
      <c r="M308" s="131">
        <f ca="1" t="shared" si="103"/>
        <v>34</v>
      </c>
      <c r="N308" s="131">
        <f ca="1" t="shared" si="104"/>
        <v>34</v>
      </c>
      <c r="O308" s="131">
        <f ca="1" t="shared" si="105"/>
        <v>34</v>
      </c>
      <c r="P308" s="131">
        <f ca="1" t="shared" si="106"/>
        <v>34</v>
      </c>
      <c r="Q308" s="131">
        <f ca="1" t="shared" si="107"/>
        <v>35</v>
      </c>
      <c r="R308" s="131">
        <f ca="1" t="shared" si="108"/>
        <v>34</v>
      </c>
      <c r="S308" s="131">
        <f ca="1" t="shared" si="109"/>
        <v>37</v>
      </c>
      <c r="T308" s="131">
        <f ca="1" t="shared" si="110"/>
        <v>38</v>
      </c>
      <c r="U308" s="131">
        <f ca="1" t="shared" si="111"/>
        <v>39</v>
      </c>
      <c r="V308" s="131">
        <f ca="1" t="shared" si="112"/>
        <v>40</v>
      </c>
      <c r="W308" s="124">
        <f ca="1">OFFSET($K$19,_xlfn.XLOOKUP(X308,$D$9:$D$28,$H$9:$H$28),MATCH(OFFSET($C$29,B308,MATCH(X308,$D$29:$V$29,0)),$L$19:$R$19,1))*(1+(OFFSET($C$29,B308,MATCH(X308,$D$29:$V$29,0))-1)*_xlfn.XLOOKUP(X308,梦灵养成!$D$9:$D$28,梦灵养成!$G$9:$G$28))</f>
        <v>53.508</v>
      </c>
      <c r="X308" s="106" t="str">
        <f ca="1" t="shared" si="93"/>
        <v>神算诸葛</v>
      </c>
      <c r="Y308" s="95">
        <f ca="1" t="shared" si="113"/>
        <v>160200</v>
      </c>
      <c r="Z308" s="96">
        <f ca="1" t="shared" si="114"/>
        <v>4.9</v>
      </c>
    </row>
    <row r="309" s="106" customFormat="1" ht="16.5" spans="2:26">
      <c r="B309" s="117">
        <v>280</v>
      </c>
      <c r="C309" s="130">
        <f t="shared" si="115"/>
        <v>28000</v>
      </c>
      <c r="D309" s="131">
        <f ca="1" t="shared" si="94"/>
        <v>48</v>
      </c>
      <c r="E309" s="131">
        <f ca="1" t="shared" si="95"/>
        <v>48</v>
      </c>
      <c r="F309" s="131">
        <f ca="1" t="shared" si="96"/>
        <v>48</v>
      </c>
      <c r="G309" s="131">
        <f ca="1" t="shared" si="97"/>
        <v>39</v>
      </c>
      <c r="H309" s="131">
        <f ca="1" t="shared" si="98"/>
        <v>39</v>
      </c>
      <c r="I309" s="131">
        <f ca="1" t="shared" si="99"/>
        <v>39</v>
      </c>
      <c r="J309" s="131">
        <f ca="1" t="shared" si="100"/>
        <v>39</v>
      </c>
      <c r="K309" s="131">
        <f ca="1" t="shared" si="101"/>
        <v>39</v>
      </c>
      <c r="L309" s="131">
        <f ca="1" t="shared" si="102"/>
        <v>39</v>
      </c>
      <c r="M309" s="131">
        <f ca="1" t="shared" si="103"/>
        <v>34</v>
      </c>
      <c r="N309" s="131">
        <f ca="1" t="shared" si="104"/>
        <v>34</v>
      </c>
      <c r="O309" s="131">
        <f ca="1" t="shared" si="105"/>
        <v>34</v>
      </c>
      <c r="P309" s="131">
        <f ca="1" t="shared" si="106"/>
        <v>34</v>
      </c>
      <c r="Q309" s="131">
        <f ca="1" t="shared" si="107"/>
        <v>35</v>
      </c>
      <c r="R309" s="131">
        <f ca="1" t="shared" si="108"/>
        <v>34</v>
      </c>
      <c r="S309" s="131">
        <f ca="1" t="shared" si="109"/>
        <v>37</v>
      </c>
      <c r="T309" s="131">
        <f ca="1" t="shared" si="110"/>
        <v>38</v>
      </c>
      <c r="U309" s="131">
        <f ca="1" t="shared" si="111"/>
        <v>39</v>
      </c>
      <c r="V309" s="131">
        <f ca="1" t="shared" si="112"/>
        <v>40</v>
      </c>
      <c r="W309" s="124">
        <f ca="1">OFFSET($K$19,_xlfn.XLOOKUP(X309,$D$9:$D$28,$H$9:$H$28),MATCH(OFFSET($C$29,B309,MATCH(X309,$D$29:$V$29,0)),$L$19:$R$19,1))*(1+(OFFSET($C$29,B309,MATCH(X309,$D$29:$V$29,0))-1)*_xlfn.XLOOKUP(X309,梦灵养成!$D$9:$D$28,梦灵养成!$G$9:$G$28))</f>
        <v>53.508</v>
      </c>
      <c r="X309" s="106" t="str">
        <f ca="1" t="shared" si="93"/>
        <v>神算诸葛</v>
      </c>
      <c r="Y309" s="95">
        <f ca="1" t="shared" si="113"/>
        <v>158400</v>
      </c>
      <c r="Z309" s="96">
        <f ca="1" t="shared" si="114"/>
        <v>4.9</v>
      </c>
    </row>
    <row r="310" s="106" customFormat="1" ht="16.5" spans="2:26">
      <c r="B310" s="117">
        <v>281</v>
      </c>
      <c r="C310" s="130">
        <f t="shared" si="115"/>
        <v>28100</v>
      </c>
      <c r="D310" s="131">
        <f ca="1" t="shared" si="94"/>
        <v>48</v>
      </c>
      <c r="E310" s="131">
        <f ca="1" t="shared" si="95"/>
        <v>48</v>
      </c>
      <c r="F310" s="131">
        <f ca="1" t="shared" si="96"/>
        <v>48</v>
      </c>
      <c r="G310" s="131">
        <f ca="1" t="shared" si="97"/>
        <v>40</v>
      </c>
      <c r="H310" s="131">
        <f ca="1" t="shared" si="98"/>
        <v>40</v>
      </c>
      <c r="I310" s="131">
        <f ca="1" t="shared" si="99"/>
        <v>40</v>
      </c>
      <c r="J310" s="131">
        <f ca="1" t="shared" si="100"/>
        <v>39</v>
      </c>
      <c r="K310" s="131">
        <f ca="1" t="shared" si="101"/>
        <v>39</v>
      </c>
      <c r="L310" s="131">
        <f ca="1" t="shared" si="102"/>
        <v>39</v>
      </c>
      <c r="M310" s="131">
        <f ca="1" t="shared" si="103"/>
        <v>34</v>
      </c>
      <c r="N310" s="131">
        <f ca="1" t="shared" si="104"/>
        <v>34</v>
      </c>
      <c r="O310" s="131">
        <f ca="1" t="shared" si="105"/>
        <v>35</v>
      </c>
      <c r="P310" s="131">
        <f ca="1" t="shared" si="106"/>
        <v>34</v>
      </c>
      <c r="Q310" s="131">
        <f ca="1" t="shared" si="107"/>
        <v>35</v>
      </c>
      <c r="R310" s="131">
        <f ca="1" t="shared" si="108"/>
        <v>34</v>
      </c>
      <c r="S310" s="131">
        <f ca="1" t="shared" si="109"/>
        <v>37</v>
      </c>
      <c r="T310" s="131">
        <f ca="1" t="shared" si="110"/>
        <v>38</v>
      </c>
      <c r="U310" s="131">
        <f ca="1" t="shared" si="111"/>
        <v>39</v>
      </c>
      <c r="V310" s="131">
        <f ca="1" t="shared" si="112"/>
        <v>40</v>
      </c>
      <c r="W310" s="124">
        <f ca="1">OFFSET($K$19,_xlfn.XLOOKUP(X310,$D$9:$D$28,$H$9:$H$28),MATCH(OFFSET($C$29,B310,MATCH(X310,$D$29:$V$29,0)),$L$19:$R$19,1))*(1+(OFFSET($C$29,B310,MATCH(X310,$D$29:$V$29,0))-1)*_xlfn.XLOOKUP(X310,梦灵养成!$D$9:$D$28,梦灵养成!$G$9:$G$28))</f>
        <v>53.508</v>
      </c>
      <c r="X310" s="106" t="str">
        <f ca="1" t="shared" si="93"/>
        <v>神算诸葛</v>
      </c>
      <c r="Y310" s="95">
        <f ca="1" t="shared" si="113"/>
        <v>156600</v>
      </c>
      <c r="Z310" s="96">
        <f ca="1" t="shared" si="114"/>
        <v>4.9</v>
      </c>
    </row>
    <row r="311" s="106" customFormat="1" ht="16.5" spans="2:26">
      <c r="B311" s="117">
        <v>282</v>
      </c>
      <c r="C311" s="130">
        <f t="shared" si="115"/>
        <v>28200</v>
      </c>
      <c r="D311" s="131">
        <f ca="1" t="shared" si="94"/>
        <v>48</v>
      </c>
      <c r="E311" s="131">
        <f ca="1" t="shared" si="95"/>
        <v>48</v>
      </c>
      <c r="F311" s="131">
        <f ca="1" t="shared" si="96"/>
        <v>48</v>
      </c>
      <c r="G311" s="131">
        <f ca="1" t="shared" si="97"/>
        <v>40</v>
      </c>
      <c r="H311" s="131">
        <f ca="1" t="shared" si="98"/>
        <v>40</v>
      </c>
      <c r="I311" s="131">
        <f ca="1" t="shared" si="99"/>
        <v>40</v>
      </c>
      <c r="J311" s="131">
        <f ca="1" t="shared" si="100"/>
        <v>40</v>
      </c>
      <c r="K311" s="131">
        <f ca="1" t="shared" si="101"/>
        <v>39</v>
      </c>
      <c r="L311" s="131">
        <f ca="1" t="shared" si="102"/>
        <v>39</v>
      </c>
      <c r="M311" s="131">
        <f ca="1" t="shared" si="103"/>
        <v>34</v>
      </c>
      <c r="N311" s="131">
        <f ca="1" t="shared" si="104"/>
        <v>34</v>
      </c>
      <c r="O311" s="131">
        <f ca="1" t="shared" si="105"/>
        <v>35</v>
      </c>
      <c r="P311" s="131">
        <f ca="1" t="shared" si="106"/>
        <v>34</v>
      </c>
      <c r="Q311" s="131">
        <f ca="1" t="shared" si="107"/>
        <v>35</v>
      </c>
      <c r="R311" s="131">
        <f ca="1" t="shared" si="108"/>
        <v>34</v>
      </c>
      <c r="S311" s="131">
        <f ca="1" t="shared" si="109"/>
        <v>37</v>
      </c>
      <c r="T311" s="131">
        <f ca="1" t="shared" si="110"/>
        <v>38</v>
      </c>
      <c r="U311" s="131">
        <f ca="1" t="shared" si="111"/>
        <v>39</v>
      </c>
      <c r="V311" s="131">
        <f ca="1" t="shared" si="112"/>
        <v>40</v>
      </c>
      <c r="W311" s="124">
        <f ca="1">OFFSET($K$19,_xlfn.XLOOKUP(X311,$D$9:$D$28,$H$9:$H$28),MATCH(OFFSET($C$29,B311,MATCH(X311,$D$29:$V$29,0)),$L$19:$R$19,1))*(1+(OFFSET($C$29,B311,MATCH(X311,$D$29:$V$29,0))-1)*_xlfn.XLOOKUP(X311,梦灵养成!$D$9:$D$28,梦灵养成!$G$9:$G$28))</f>
        <v>53.508</v>
      </c>
      <c r="X311" s="106" t="str">
        <f ca="1" t="shared" si="93"/>
        <v>神算诸葛</v>
      </c>
      <c r="Y311" s="95">
        <f ca="1" t="shared" si="113"/>
        <v>154800</v>
      </c>
      <c r="Z311" s="96">
        <f ca="1" t="shared" si="114"/>
        <v>4.9</v>
      </c>
    </row>
    <row r="312" s="106" customFormat="1" ht="16.5" spans="2:26">
      <c r="B312" s="117">
        <v>283</v>
      </c>
      <c r="C312" s="130">
        <f t="shared" si="115"/>
        <v>28300</v>
      </c>
      <c r="D312" s="131">
        <f ca="1" t="shared" si="94"/>
        <v>48</v>
      </c>
      <c r="E312" s="131">
        <f ca="1" t="shared" si="95"/>
        <v>48</v>
      </c>
      <c r="F312" s="131">
        <f ca="1" t="shared" si="96"/>
        <v>48</v>
      </c>
      <c r="G312" s="131">
        <f ca="1" t="shared" si="97"/>
        <v>40</v>
      </c>
      <c r="H312" s="131">
        <f ca="1" t="shared" si="98"/>
        <v>40</v>
      </c>
      <c r="I312" s="131">
        <f ca="1" t="shared" si="99"/>
        <v>40</v>
      </c>
      <c r="J312" s="131">
        <f ca="1" t="shared" si="100"/>
        <v>40</v>
      </c>
      <c r="K312" s="131">
        <f ca="1" t="shared" si="101"/>
        <v>40</v>
      </c>
      <c r="L312" s="131">
        <f ca="1" t="shared" si="102"/>
        <v>40</v>
      </c>
      <c r="M312" s="131">
        <f ca="1" t="shared" si="103"/>
        <v>34</v>
      </c>
      <c r="N312" s="131">
        <f ca="1" t="shared" si="104"/>
        <v>34</v>
      </c>
      <c r="O312" s="131">
        <f ca="1" t="shared" si="105"/>
        <v>35</v>
      </c>
      <c r="P312" s="131">
        <f ca="1" t="shared" si="106"/>
        <v>34</v>
      </c>
      <c r="Q312" s="131">
        <f ca="1" t="shared" si="107"/>
        <v>35</v>
      </c>
      <c r="R312" s="131">
        <f ca="1" t="shared" si="108"/>
        <v>34</v>
      </c>
      <c r="S312" s="131">
        <f ca="1" t="shared" si="109"/>
        <v>37</v>
      </c>
      <c r="T312" s="131">
        <f ca="1" t="shared" si="110"/>
        <v>39</v>
      </c>
      <c r="U312" s="131">
        <f ca="1" t="shared" si="111"/>
        <v>39</v>
      </c>
      <c r="V312" s="131">
        <f ca="1" t="shared" si="112"/>
        <v>40</v>
      </c>
      <c r="W312" s="124">
        <f ca="1">OFFSET($K$19,_xlfn.XLOOKUP(X312,$D$9:$D$28,$H$9:$H$28),MATCH(OFFSET($C$29,B312,MATCH(X312,$D$29:$V$29,0)),$L$19:$R$19,1))*(1+(OFFSET($C$29,B312,MATCH(X312,$D$29:$V$29,0))-1)*_xlfn.XLOOKUP(X312,梦灵养成!$D$9:$D$28,梦灵养成!$G$9:$G$28))</f>
        <v>53.508</v>
      </c>
      <c r="X312" s="106" t="str">
        <f ca="1" t="shared" si="93"/>
        <v>神算诸葛</v>
      </c>
      <c r="Y312" s="95">
        <f ca="1" t="shared" si="113"/>
        <v>153000</v>
      </c>
      <c r="Z312" s="96">
        <f ca="1" t="shared" si="114"/>
        <v>4.9</v>
      </c>
    </row>
    <row r="313" s="106" customFormat="1" ht="16.5" spans="2:26">
      <c r="B313" s="117">
        <v>284</v>
      </c>
      <c r="C313" s="130">
        <f t="shared" si="115"/>
        <v>28400</v>
      </c>
      <c r="D313" s="131">
        <f ca="1" t="shared" si="94"/>
        <v>48</v>
      </c>
      <c r="E313" s="131">
        <f ca="1" t="shared" si="95"/>
        <v>48</v>
      </c>
      <c r="F313" s="131">
        <f ca="1" t="shared" si="96"/>
        <v>48</v>
      </c>
      <c r="G313" s="131">
        <f ca="1" t="shared" si="97"/>
        <v>40</v>
      </c>
      <c r="H313" s="131">
        <f ca="1" t="shared" si="98"/>
        <v>40</v>
      </c>
      <c r="I313" s="131">
        <f ca="1" t="shared" si="99"/>
        <v>40</v>
      </c>
      <c r="J313" s="131">
        <f ca="1" t="shared" si="100"/>
        <v>40</v>
      </c>
      <c r="K313" s="131">
        <f ca="1" t="shared" si="101"/>
        <v>40</v>
      </c>
      <c r="L313" s="131">
        <f ca="1" t="shared" si="102"/>
        <v>40</v>
      </c>
      <c r="M313" s="131">
        <f ca="1" t="shared" si="103"/>
        <v>34</v>
      </c>
      <c r="N313" s="131">
        <f ca="1" t="shared" si="104"/>
        <v>34</v>
      </c>
      <c r="O313" s="131">
        <f ca="1" t="shared" si="105"/>
        <v>35</v>
      </c>
      <c r="P313" s="131">
        <f ca="1" t="shared" si="106"/>
        <v>34</v>
      </c>
      <c r="Q313" s="131">
        <f ca="1" t="shared" si="107"/>
        <v>35</v>
      </c>
      <c r="R313" s="131">
        <f ca="1" t="shared" si="108"/>
        <v>34</v>
      </c>
      <c r="S313" s="131">
        <f ca="1" t="shared" si="109"/>
        <v>37</v>
      </c>
      <c r="T313" s="131">
        <f ca="1" t="shared" si="110"/>
        <v>39</v>
      </c>
      <c r="U313" s="131">
        <f ca="1" t="shared" si="111"/>
        <v>39</v>
      </c>
      <c r="V313" s="131">
        <f ca="1" t="shared" si="112"/>
        <v>40</v>
      </c>
      <c r="W313" s="124">
        <f ca="1">OFFSET($K$19,_xlfn.XLOOKUP(X313,$D$9:$D$28,$H$9:$H$28),MATCH(OFFSET($C$29,B313,MATCH(X313,$D$29:$V$29,0)),$L$19:$R$19,1))*(1+(OFFSET($C$29,B313,MATCH(X313,$D$29:$V$29,0))-1)*_xlfn.XLOOKUP(X313,梦灵养成!$D$9:$D$28,梦灵养成!$G$9:$G$28))</f>
        <v>53.508</v>
      </c>
      <c r="X313" s="106" t="str">
        <f ca="1" t="shared" si="93"/>
        <v>神算诸葛</v>
      </c>
      <c r="Y313" s="95">
        <f ca="1" t="shared" si="113"/>
        <v>151200</v>
      </c>
      <c r="Z313" s="96">
        <f ca="1" t="shared" si="114"/>
        <v>4.9</v>
      </c>
    </row>
    <row r="314" s="106" customFormat="1" ht="16.5" spans="2:26">
      <c r="B314" s="117">
        <v>285</v>
      </c>
      <c r="C314" s="130">
        <f t="shared" si="115"/>
        <v>28500</v>
      </c>
      <c r="D314" s="131">
        <f ca="1" t="shared" si="94"/>
        <v>48</v>
      </c>
      <c r="E314" s="131">
        <f ca="1" t="shared" si="95"/>
        <v>48</v>
      </c>
      <c r="F314" s="131">
        <f ca="1" t="shared" si="96"/>
        <v>48</v>
      </c>
      <c r="G314" s="131">
        <f ca="1" t="shared" si="97"/>
        <v>40</v>
      </c>
      <c r="H314" s="131">
        <f ca="1" t="shared" si="98"/>
        <v>40</v>
      </c>
      <c r="I314" s="131">
        <f ca="1" t="shared" si="99"/>
        <v>40</v>
      </c>
      <c r="J314" s="131">
        <f ca="1" t="shared" si="100"/>
        <v>40</v>
      </c>
      <c r="K314" s="131">
        <f ca="1" t="shared" si="101"/>
        <v>40</v>
      </c>
      <c r="L314" s="131">
        <f ca="1" t="shared" si="102"/>
        <v>40</v>
      </c>
      <c r="M314" s="131">
        <f ca="1" t="shared" si="103"/>
        <v>34</v>
      </c>
      <c r="N314" s="131">
        <f ca="1" t="shared" si="104"/>
        <v>35</v>
      </c>
      <c r="O314" s="131">
        <f ca="1" t="shared" si="105"/>
        <v>35</v>
      </c>
      <c r="P314" s="131">
        <f ca="1" t="shared" si="106"/>
        <v>34</v>
      </c>
      <c r="Q314" s="131">
        <f ca="1" t="shared" si="107"/>
        <v>35</v>
      </c>
      <c r="R314" s="131">
        <f ca="1" t="shared" si="108"/>
        <v>35</v>
      </c>
      <c r="S314" s="131">
        <f ca="1" t="shared" si="109"/>
        <v>37</v>
      </c>
      <c r="T314" s="131">
        <f ca="1" t="shared" si="110"/>
        <v>39</v>
      </c>
      <c r="U314" s="131">
        <f ca="1" t="shared" si="111"/>
        <v>39</v>
      </c>
      <c r="V314" s="131">
        <f ca="1" t="shared" si="112"/>
        <v>40</v>
      </c>
      <c r="W314" s="124">
        <f ca="1">OFFSET($K$19,_xlfn.XLOOKUP(X314,$D$9:$D$28,$H$9:$H$28),MATCH(OFFSET($C$29,B314,MATCH(X314,$D$29:$V$29,0)),$L$19:$R$19,1))*(1+(OFFSET($C$29,B314,MATCH(X314,$D$29:$V$29,0))-1)*_xlfn.XLOOKUP(X314,梦灵养成!$D$9:$D$28,梦灵养成!$G$9:$G$28))</f>
        <v>53.508</v>
      </c>
      <c r="X314" s="106" t="str">
        <f ca="1" t="shared" si="93"/>
        <v>神算诸葛</v>
      </c>
      <c r="Y314" s="95">
        <f ca="1" t="shared" si="113"/>
        <v>149400</v>
      </c>
      <c r="Z314" s="96">
        <f ca="1" t="shared" si="114"/>
        <v>4.9</v>
      </c>
    </row>
    <row r="315" s="106" customFormat="1" ht="16.5" spans="2:26">
      <c r="B315" s="117">
        <v>286</v>
      </c>
      <c r="C315" s="130">
        <f t="shared" si="115"/>
        <v>28600</v>
      </c>
      <c r="D315" s="131">
        <f ca="1" t="shared" si="94"/>
        <v>48</v>
      </c>
      <c r="E315" s="131">
        <f ca="1" t="shared" si="95"/>
        <v>48</v>
      </c>
      <c r="F315" s="131">
        <f ca="1" t="shared" si="96"/>
        <v>48</v>
      </c>
      <c r="G315" s="131">
        <f ca="1" t="shared" si="97"/>
        <v>40</v>
      </c>
      <c r="H315" s="131">
        <f ca="1" t="shared" si="98"/>
        <v>40</v>
      </c>
      <c r="I315" s="131">
        <f ca="1" t="shared" si="99"/>
        <v>40</v>
      </c>
      <c r="J315" s="131">
        <f ca="1" t="shared" si="100"/>
        <v>40</v>
      </c>
      <c r="K315" s="131">
        <f ca="1" t="shared" si="101"/>
        <v>40</v>
      </c>
      <c r="L315" s="131">
        <f ca="1" t="shared" si="102"/>
        <v>40</v>
      </c>
      <c r="M315" s="131">
        <f ca="1" t="shared" si="103"/>
        <v>35</v>
      </c>
      <c r="N315" s="131">
        <f ca="1" t="shared" si="104"/>
        <v>35</v>
      </c>
      <c r="O315" s="131">
        <f ca="1" t="shared" si="105"/>
        <v>35</v>
      </c>
      <c r="P315" s="131">
        <f ca="1" t="shared" si="106"/>
        <v>34</v>
      </c>
      <c r="Q315" s="131">
        <f ca="1" t="shared" si="107"/>
        <v>35</v>
      </c>
      <c r="R315" s="131">
        <f ca="1" t="shared" si="108"/>
        <v>35</v>
      </c>
      <c r="S315" s="131">
        <f ca="1" t="shared" si="109"/>
        <v>37</v>
      </c>
      <c r="T315" s="131">
        <f ca="1" t="shared" si="110"/>
        <v>39</v>
      </c>
      <c r="U315" s="131">
        <f ca="1" t="shared" si="111"/>
        <v>39</v>
      </c>
      <c r="V315" s="131">
        <f ca="1" t="shared" si="112"/>
        <v>40</v>
      </c>
      <c r="W315" s="124">
        <f ca="1">OFFSET($K$19,_xlfn.XLOOKUP(X315,$D$9:$D$28,$H$9:$H$28),MATCH(OFFSET($C$29,B315,MATCH(X315,$D$29:$V$29,0)),$L$19:$R$19,1))*(1+(OFFSET($C$29,B315,MATCH(X315,$D$29:$V$29,0))-1)*_xlfn.XLOOKUP(X315,梦灵养成!$D$9:$D$28,梦灵养成!$G$9:$G$28))</f>
        <v>53.508</v>
      </c>
      <c r="X315" s="106" t="str">
        <f ca="1" t="shared" si="93"/>
        <v>神算诸葛</v>
      </c>
      <c r="Y315" s="95">
        <f ca="1" t="shared" si="113"/>
        <v>147600</v>
      </c>
      <c r="Z315" s="96">
        <f ca="1" t="shared" si="114"/>
        <v>4.9</v>
      </c>
    </row>
    <row r="316" s="106" customFormat="1" ht="16.5" spans="2:26">
      <c r="B316" s="117">
        <v>287</v>
      </c>
      <c r="C316" s="130">
        <f t="shared" si="115"/>
        <v>28700</v>
      </c>
      <c r="D316" s="131">
        <f ca="1" t="shared" si="94"/>
        <v>48</v>
      </c>
      <c r="E316" s="131">
        <f ca="1" t="shared" si="95"/>
        <v>48</v>
      </c>
      <c r="F316" s="131">
        <f ca="1" t="shared" si="96"/>
        <v>48</v>
      </c>
      <c r="G316" s="131">
        <f ca="1" t="shared" si="97"/>
        <v>40</v>
      </c>
      <c r="H316" s="131">
        <f ca="1" t="shared" si="98"/>
        <v>40</v>
      </c>
      <c r="I316" s="131">
        <f ca="1" t="shared" si="99"/>
        <v>40</v>
      </c>
      <c r="J316" s="131">
        <f ca="1" t="shared" si="100"/>
        <v>40</v>
      </c>
      <c r="K316" s="131">
        <f ca="1" t="shared" si="101"/>
        <v>40</v>
      </c>
      <c r="L316" s="131">
        <f ca="1" t="shared" si="102"/>
        <v>40</v>
      </c>
      <c r="M316" s="131">
        <f ca="1" t="shared" si="103"/>
        <v>35</v>
      </c>
      <c r="N316" s="131">
        <f ca="1" t="shared" si="104"/>
        <v>35</v>
      </c>
      <c r="O316" s="131">
        <f ca="1" t="shared" si="105"/>
        <v>35</v>
      </c>
      <c r="P316" s="131">
        <f ca="1" t="shared" si="106"/>
        <v>34</v>
      </c>
      <c r="Q316" s="131">
        <f ca="1" t="shared" si="107"/>
        <v>35</v>
      </c>
      <c r="R316" s="131">
        <f ca="1" t="shared" si="108"/>
        <v>35</v>
      </c>
      <c r="S316" s="131">
        <f ca="1" t="shared" si="109"/>
        <v>37</v>
      </c>
      <c r="T316" s="131">
        <f ca="1" t="shared" si="110"/>
        <v>39</v>
      </c>
      <c r="U316" s="131">
        <f ca="1" t="shared" si="111"/>
        <v>39</v>
      </c>
      <c r="V316" s="131">
        <f ca="1" t="shared" si="112"/>
        <v>40</v>
      </c>
      <c r="W316" s="124">
        <f ca="1">OFFSET($K$19,_xlfn.XLOOKUP(X316,$D$9:$D$28,$H$9:$H$28),MATCH(OFFSET($C$29,B316,MATCH(X316,$D$29:$V$29,0)),$L$19:$R$19,1))*(1+(OFFSET($C$29,B316,MATCH(X316,$D$29:$V$29,0))-1)*_xlfn.XLOOKUP(X316,梦灵养成!$D$9:$D$28,梦灵养成!$G$9:$G$28))</f>
        <v>53.508</v>
      </c>
      <c r="X316" s="106" t="str">
        <f ca="1" t="shared" si="93"/>
        <v>神算诸葛</v>
      </c>
      <c r="Y316" s="95">
        <f ca="1" t="shared" si="113"/>
        <v>145800</v>
      </c>
      <c r="Z316" s="96">
        <f ca="1" t="shared" si="114"/>
        <v>4.9</v>
      </c>
    </row>
    <row r="317" s="106" customFormat="1" ht="16.5" spans="2:26">
      <c r="B317" s="117">
        <v>288</v>
      </c>
      <c r="C317" s="130">
        <f t="shared" si="115"/>
        <v>28800</v>
      </c>
      <c r="D317" s="131">
        <f ca="1" t="shared" si="94"/>
        <v>48</v>
      </c>
      <c r="E317" s="131">
        <f ca="1" t="shared" si="95"/>
        <v>48</v>
      </c>
      <c r="F317" s="131">
        <f ca="1" t="shared" si="96"/>
        <v>48</v>
      </c>
      <c r="G317" s="131">
        <f ca="1" t="shared" si="97"/>
        <v>40</v>
      </c>
      <c r="H317" s="131">
        <f ca="1" t="shared" si="98"/>
        <v>40</v>
      </c>
      <c r="I317" s="131">
        <f ca="1" t="shared" si="99"/>
        <v>40</v>
      </c>
      <c r="J317" s="131">
        <f ca="1" t="shared" si="100"/>
        <v>40</v>
      </c>
      <c r="K317" s="131">
        <f ca="1" t="shared" si="101"/>
        <v>40</v>
      </c>
      <c r="L317" s="131">
        <f ca="1" t="shared" si="102"/>
        <v>40</v>
      </c>
      <c r="M317" s="131">
        <f ca="1" t="shared" si="103"/>
        <v>35</v>
      </c>
      <c r="N317" s="131">
        <f ca="1" t="shared" si="104"/>
        <v>35</v>
      </c>
      <c r="O317" s="131">
        <f ca="1" t="shared" si="105"/>
        <v>35</v>
      </c>
      <c r="P317" s="131">
        <f ca="1" t="shared" si="106"/>
        <v>34</v>
      </c>
      <c r="Q317" s="131">
        <f ca="1" t="shared" si="107"/>
        <v>35</v>
      </c>
      <c r="R317" s="131">
        <f ca="1" t="shared" si="108"/>
        <v>35</v>
      </c>
      <c r="S317" s="131">
        <f ca="1" t="shared" si="109"/>
        <v>37</v>
      </c>
      <c r="T317" s="131">
        <f ca="1" t="shared" si="110"/>
        <v>39</v>
      </c>
      <c r="U317" s="131">
        <f ca="1" t="shared" si="111"/>
        <v>39</v>
      </c>
      <c r="V317" s="131">
        <f ca="1" t="shared" si="112"/>
        <v>40</v>
      </c>
      <c r="W317" s="124">
        <f ca="1">OFFSET($K$19,_xlfn.XLOOKUP(X317,$D$9:$D$28,$H$9:$H$28),MATCH(OFFSET($C$29,B317,MATCH(X317,$D$29:$V$29,0)),$L$19:$R$19,1))*(1+(OFFSET($C$29,B317,MATCH(X317,$D$29:$V$29,0))-1)*_xlfn.XLOOKUP(X317,梦灵养成!$D$9:$D$28,梦灵养成!$G$9:$G$28))</f>
        <v>53.508</v>
      </c>
      <c r="X317" s="106" t="str">
        <f ca="1" t="shared" si="93"/>
        <v>神算诸葛</v>
      </c>
      <c r="Y317" s="95">
        <f ca="1" t="shared" si="113"/>
        <v>144000</v>
      </c>
      <c r="Z317" s="96">
        <f ca="1" t="shared" si="114"/>
        <v>4.9</v>
      </c>
    </row>
    <row r="318" s="106" customFormat="1" ht="16.5" spans="2:26">
      <c r="B318" s="117">
        <v>289</v>
      </c>
      <c r="C318" s="130">
        <f t="shared" si="115"/>
        <v>28900</v>
      </c>
      <c r="D318" s="131">
        <f ca="1" t="shared" si="94"/>
        <v>48</v>
      </c>
      <c r="E318" s="131">
        <f ca="1" t="shared" si="95"/>
        <v>48</v>
      </c>
      <c r="F318" s="131">
        <f ca="1" t="shared" si="96"/>
        <v>48</v>
      </c>
      <c r="G318" s="131">
        <f ca="1" t="shared" si="97"/>
        <v>40</v>
      </c>
      <c r="H318" s="131">
        <f ca="1" t="shared" si="98"/>
        <v>40</v>
      </c>
      <c r="I318" s="131">
        <f ca="1" t="shared" si="99"/>
        <v>40</v>
      </c>
      <c r="J318" s="131">
        <f ca="1" t="shared" si="100"/>
        <v>40</v>
      </c>
      <c r="K318" s="131">
        <f ca="1" t="shared" si="101"/>
        <v>40</v>
      </c>
      <c r="L318" s="131">
        <f ca="1" t="shared" si="102"/>
        <v>40</v>
      </c>
      <c r="M318" s="131">
        <f ca="1" t="shared" si="103"/>
        <v>35</v>
      </c>
      <c r="N318" s="131">
        <f ca="1" t="shared" si="104"/>
        <v>35</v>
      </c>
      <c r="O318" s="131">
        <f ca="1" t="shared" si="105"/>
        <v>35</v>
      </c>
      <c r="P318" s="131">
        <f ca="1" t="shared" si="106"/>
        <v>35</v>
      </c>
      <c r="Q318" s="131">
        <f ca="1" t="shared" si="107"/>
        <v>35</v>
      </c>
      <c r="R318" s="131">
        <f ca="1" t="shared" si="108"/>
        <v>35</v>
      </c>
      <c r="S318" s="131">
        <f ca="1" t="shared" si="109"/>
        <v>37</v>
      </c>
      <c r="T318" s="131">
        <f ca="1" t="shared" si="110"/>
        <v>39</v>
      </c>
      <c r="U318" s="131">
        <f ca="1" t="shared" si="111"/>
        <v>39</v>
      </c>
      <c r="V318" s="131">
        <f ca="1" t="shared" si="112"/>
        <v>40</v>
      </c>
      <c r="W318" s="124">
        <f ca="1">OFFSET($K$19,_xlfn.XLOOKUP(X318,$D$9:$D$28,$H$9:$H$28),MATCH(OFFSET($C$29,B318,MATCH(X318,$D$29:$V$29,0)),$L$19:$R$19,1))*(1+(OFFSET($C$29,B318,MATCH(X318,$D$29:$V$29,0))-1)*_xlfn.XLOOKUP(X318,梦灵养成!$D$9:$D$28,梦灵养成!$G$9:$G$28))</f>
        <v>53.508</v>
      </c>
      <c r="X318" s="106" t="str">
        <f ca="1" t="shared" si="93"/>
        <v>神算诸葛</v>
      </c>
      <c r="Y318" s="95">
        <f ca="1" t="shared" si="113"/>
        <v>142200</v>
      </c>
      <c r="Z318" s="96">
        <f ca="1" t="shared" si="114"/>
        <v>4.9</v>
      </c>
    </row>
    <row r="319" s="106" customFormat="1" ht="16.5" spans="2:26">
      <c r="B319" s="117">
        <v>290</v>
      </c>
      <c r="C319" s="130">
        <f t="shared" si="115"/>
        <v>29000</v>
      </c>
      <c r="D319" s="131">
        <f ca="1" t="shared" si="94"/>
        <v>48</v>
      </c>
      <c r="E319" s="131">
        <f ca="1" t="shared" si="95"/>
        <v>48</v>
      </c>
      <c r="F319" s="131">
        <f ca="1" t="shared" si="96"/>
        <v>48</v>
      </c>
      <c r="G319" s="131">
        <f ca="1" t="shared" si="97"/>
        <v>40</v>
      </c>
      <c r="H319" s="131">
        <f ca="1" t="shared" si="98"/>
        <v>40</v>
      </c>
      <c r="I319" s="131">
        <f ca="1" t="shared" si="99"/>
        <v>40</v>
      </c>
      <c r="J319" s="131">
        <f ca="1" t="shared" si="100"/>
        <v>40</v>
      </c>
      <c r="K319" s="131">
        <f ca="1" t="shared" si="101"/>
        <v>40</v>
      </c>
      <c r="L319" s="131">
        <f ca="1" t="shared" si="102"/>
        <v>40</v>
      </c>
      <c r="M319" s="131">
        <f ca="1" t="shared" si="103"/>
        <v>35</v>
      </c>
      <c r="N319" s="131">
        <f ca="1" t="shared" si="104"/>
        <v>35</v>
      </c>
      <c r="O319" s="131">
        <f ca="1" t="shared" si="105"/>
        <v>35</v>
      </c>
      <c r="P319" s="131">
        <f ca="1" t="shared" si="106"/>
        <v>35</v>
      </c>
      <c r="Q319" s="131">
        <f ca="1" t="shared" si="107"/>
        <v>35</v>
      </c>
      <c r="R319" s="131">
        <f ca="1" t="shared" si="108"/>
        <v>35</v>
      </c>
      <c r="S319" s="131">
        <f ca="1" t="shared" si="109"/>
        <v>37</v>
      </c>
      <c r="T319" s="131">
        <f ca="1" t="shared" si="110"/>
        <v>39</v>
      </c>
      <c r="U319" s="131">
        <f ca="1" t="shared" si="111"/>
        <v>39</v>
      </c>
      <c r="V319" s="131">
        <f ca="1" t="shared" si="112"/>
        <v>40</v>
      </c>
      <c r="W319" s="124">
        <f ca="1">OFFSET($K$19,_xlfn.XLOOKUP(X319,$D$9:$D$28,$H$9:$H$28),MATCH(OFFSET($C$29,B319,MATCH(X319,$D$29:$V$29,0)),$L$19:$R$19,1))*(1+(OFFSET($C$29,B319,MATCH(X319,$D$29:$V$29,0))-1)*_xlfn.XLOOKUP(X319,梦灵养成!$D$9:$D$28,梦灵养成!$G$9:$G$28))</f>
        <v>53.508</v>
      </c>
      <c r="X319" s="106" t="str">
        <f ca="1" t="shared" si="93"/>
        <v>神算诸葛</v>
      </c>
      <c r="Y319" s="95">
        <f ca="1" t="shared" si="113"/>
        <v>140400</v>
      </c>
      <c r="Z319" s="96">
        <f ca="1" t="shared" si="114"/>
        <v>4.9</v>
      </c>
    </row>
    <row r="320" s="106" customFormat="1" ht="16.5" spans="2:26">
      <c r="B320" s="117">
        <v>291</v>
      </c>
      <c r="C320" s="130">
        <f t="shared" si="115"/>
        <v>29100</v>
      </c>
      <c r="D320" s="131">
        <f ca="1" t="shared" si="94"/>
        <v>48</v>
      </c>
      <c r="E320" s="131">
        <f ca="1" t="shared" si="95"/>
        <v>48</v>
      </c>
      <c r="F320" s="131">
        <f ca="1" t="shared" si="96"/>
        <v>48</v>
      </c>
      <c r="G320" s="131">
        <f ca="1" t="shared" si="97"/>
        <v>40</v>
      </c>
      <c r="H320" s="131">
        <f ca="1" t="shared" si="98"/>
        <v>40</v>
      </c>
      <c r="I320" s="131">
        <f ca="1" t="shared" si="99"/>
        <v>40</v>
      </c>
      <c r="J320" s="131">
        <f ca="1" t="shared" si="100"/>
        <v>40</v>
      </c>
      <c r="K320" s="131">
        <f ca="1" t="shared" si="101"/>
        <v>40</v>
      </c>
      <c r="L320" s="131">
        <f ca="1" t="shared" si="102"/>
        <v>40</v>
      </c>
      <c r="M320" s="131">
        <f ca="1" t="shared" si="103"/>
        <v>35</v>
      </c>
      <c r="N320" s="131">
        <f ca="1" t="shared" si="104"/>
        <v>35</v>
      </c>
      <c r="O320" s="131">
        <f ca="1" t="shared" si="105"/>
        <v>35</v>
      </c>
      <c r="P320" s="131">
        <f ca="1" t="shared" si="106"/>
        <v>35</v>
      </c>
      <c r="Q320" s="131">
        <f ca="1" t="shared" si="107"/>
        <v>35</v>
      </c>
      <c r="R320" s="131">
        <f ca="1" t="shared" si="108"/>
        <v>35</v>
      </c>
      <c r="S320" s="131">
        <f ca="1" t="shared" si="109"/>
        <v>37</v>
      </c>
      <c r="T320" s="131">
        <f ca="1" t="shared" si="110"/>
        <v>39</v>
      </c>
      <c r="U320" s="131">
        <f ca="1" t="shared" si="111"/>
        <v>39</v>
      </c>
      <c r="V320" s="131">
        <f ca="1" t="shared" si="112"/>
        <v>40</v>
      </c>
      <c r="W320" s="124">
        <f ca="1">OFFSET($K$19,_xlfn.XLOOKUP(X320,$D$9:$D$28,$H$9:$H$28),MATCH(OFFSET($C$29,B320,MATCH(X320,$D$29:$V$29,0)),$L$19:$R$19,1))*(1+(OFFSET($C$29,B320,MATCH(X320,$D$29:$V$29,0))-1)*_xlfn.XLOOKUP(X320,梦灵养成!$D$9:$D$28,梦灵养成!$G$9:$G$28))</f>
        <v>53.508</v>
      </c>
      <c r="X320" s="106" t="str">
        <f ca="1" t="shared" si="93"/>
        <v>神算诸葛</v>
      </c>
      <c r="Y320" s="95">
        <f ca="1" t="shared" si="113"/>
        <v>138600</v>
      </c>
      <c r="Z320" s="96">
        <f ca="1" t="shared" si="114"/>
        <v>4.9</v>
      </c>
    </row>
    <row r="321" s="106" customFormat="1" ht="16.5" spans="2:26">
      <c r="B321" s="117">
        <v>292</v>
      </c>
      <c r="C321" s="130">
        <f t="shared" si="115"/>
        <v>29200</v>
      </c>
      <c r="D321" s="131">
        <f ca="1" t="shared" si="94"/>
        <v>48</v>
      </c>
      <c r="E321" s="131">
        <f ca="1" t="shared" si="95"/>
        <v>48</v>
      </c>
      <c r="F321" s="131">
        <f ca="1" t="shared" si="96"/>
        <v>48</v>
      </c>
      <c r="G321" s="131">
        <f ca="1" t="shared" si="97"/>
        <v>40</v>
      </c>
      <c r="H321" s="131">
        <f ca="1" t="shared" si="98"/>
        <v>40</v>
      </c>
      <c r="I321" s="131">
        <f ca="1" t="shared" si="99"/>
        <v>40</v>
      </c>
      <c r="J321" s="131">
        <f ca="1" t="shared" si="100"/>
        <v>40</v>
      </c>
      <c r="K321" s="131">
        <f ca="1" t="shared" si="101"/>
        <v>40</v>
      </c>
      <c r="L321" s="131">
        <f ca="1" t="shared" si="102"/>
        <v>40</v>
      </c>
      <c r="M321" s="131">
        <f ca="1" t="shared" si="103"/>
        <v>35</v>
      </c>
      <c r="N321" s="131">
        <f ca="1" t="shared" si="104"/>
        <v>35</v>
      </c>
      <c r="O321" s="131">
        <f ca="1" t="shared" si="105"/>
        <v>35</v>
      </c>
      <c r="P321" s="131">
        <f ca="1" t="shared" si="106"/>
        <v>35</v>
      </c>
      <c r="Q321" s="131">
        <f ca="1" t="shared" si="107"/>
        <v>35</v>
      </c>
      <c r="R321" s="131">
        <f ca="1" t="shared" si="108"/>
        <v>35</v>
      </c>
      <c r="S321" s="131">
        <f ca="1" t="shared" si="109"/>
        <v>37</v>
      </c>
      <c r="T321" s="131">
        <f ca="1" t="shared" si="110"/>
        <v>39</v>
      </c>
      <c r="U321" s="131">
        <f ca="1" t="shared" si="111"/>
        <v>39</v>
      </c>
      <c r="V321" s="131">
        <f ca="1" t="shared" si="112"/>
        <v>40</v>
      </c>
      <c r="W321" s="124">
        <f ca="1">OFFSET($K$19,_xlfn.XLOOKUP(X321,$D$9:$D$28,$H$9:$H$28),MATCH(OFFSET($C$29,B321,MATCH(X321,$D$29:$V$29,0)),$L$19:$R$19,1))*(1+(OFFSET($C$29,B321,MATCH(X321,$D$29:$V$29,0))-1)*_xlfn.XLOOKUP(X321,梦灵养成!$D$9:$D$28,梦灵养成!$G$9:$G$28))</f>
        <v>53.508</v>
      </c>
      <c r="X321" s="106" t="str">
        <f ca="1" t="shared" si="93"/>
        <v>神算诸葛</v>
      </c>
      <c r="Y321" s="95">
        <f ca="1" t="shared" si="113"/>
        <v>136800</v>
      </c>
      <c r="Z321" s="96">
        <f ca="1" t="shared" si="114"/>
        <v>4.9</v>
      </c>
    </row>
    <row r="322" s="106" customFormat="1" ht="16.5" spans="2:26">
      <c r="B322" s="117">
        <v>293</v>
      </c>
      <c r="C322" s="130">
        <f t="shared" si="115"/>
        <v>29300</v>
      </c>
      <c r="D322" s="131">
        <f ca="1" t="shared" si="94"/>
        <v>48</v>
      </c>
      <c r="E322" s="131">
        <f ca="1" t="shared" si="95"/>
        <v>48</v>
      </c>
      <c r="F322" s="131">
        <f ca="1" t="shared" si="96"/>
        <v>48</v>
      </c>
      <c r="G322" s="131">
        <f ca="1" t="shared" si="97"/>
        <v>40</v>
      </c>
      <c r="H322" s="131">
        <f ca="1" t="shared" si="98"/>
        <v>40</v>
      </c>
      <c r="I322" s="131">
        <f ca="1" t="shared" si="99"/>
        <v>40</v>
      </c>
      <c r="J322" s="131">
        <f ca="1" t="shared" si="100"/>
        <v>40</v>
      </c>
      <c r="K322" s="131">
        <f ca="1" t="shared" si="101"/>
        <v>40</v>
      </c>
      <c r="L322" s="131">
        <f ca="1" t="shared" si="102"/>
        <v>40</v>
      </c>
      <c r="M322" s="131">
        <f ca="1" t="shared" si="103"/>
        <v>35</v>
      </c>
      <c r="N322" s="131">
        <f ca="1" t="shared" si="104"/>
        <v>35</v>
      </c>
      <c r="O322" s="131">
        <f ca="1" t="shared" si="105"/>
        <v>35</v>
      </c>
      <c r="P322" s="131">
        <f ca="1" t="shared" si="106"/>
        <v>35</v>
      </c>
      <c r="Q322" s="131">
        <f ca="1" t="shared" si="107"/>
        <v>35</v>
      </c>
      <c r="R322" s="131">
        <f ca="1" t="shared" si="108"/>
        <v>35</v>
      </c>
      <c r="S322" s="131">
        <f ca="1" t="shared" si="109"/>
        <v>37</v>
      </c>
      <c r="T322" s="131">
        <f ca="1" t="shared" si="110"/>
        <v>39</v>
      </c>
      <c r="U322" s="131">
        <f ca="1" t="shared" si="111"/>
        <v>39</v>
      </c>
      <c r="V322" s="131">
        <f ca="1" t="shared" si="112"/>
        <v>40</v>
      </c>
      <c r="W322" s="124">
        <f ca="1">OFFSET($K$19,_xlfn.XLOOKUP(X322,$D$9:$D$28,$H$9:$H$28),MATCH(OFFSET($C$29,B322,MATCH(X322,$D$29:$V$29,0)),$L$19:$R$19,1))*(1+(OFFSET($C$29,B322,MATCH(X322,$D$29:$V$29,0))-1)*_xlfn.XLOOKUP(X322,梦灵养成!$D$9:$D$28,梦灵养成!$G$9:$G$28))</f>
        <v>53.508</v>
      </c>
      <c r="X322" s="106" t="str">
        <f ca="1" t="shared" si="93"/>
        <v>神算诸葛</v>
      </c>
      <c r="Y322" s="95">
        <f ca="1" t="shared" si="113"/>
        <v>135000</v>
      </c>
      <c r="Z322" s="96">
        <f ca="1" t="shared" si="114"/>
        <v>4.9</v>
      </c>
    </row>
    <row r="323" s="106" customFormat="1" ht="16.5" spans="2:26">
      <c r="B323" s="117">
        <v>294</v>
      </c>
      <c r="C323" s="130">
        <f t="shared" si="115"/>
        <v>29400</v>
      </c>
      <c r="D323" s="131">
        <f ca="1" t="shared" si="94"/>
        <v>48</v>
      </c>
      <c r="E323" s="131">
        <f ca="1" t="shared" si="95"/>
        <v>48</v>
      </c>
      <c r="F323" s="131">
        <f ca="1" t="shared" si="96"/>
        <v>48</v>
      </c>
      <c r="G323" s="131">
        <f ca="1" t="shared" si="97"/>
        <v>40</v>
      </c>
      <c r="H323" s="131">
        <f ca="1" t="shared" si="98"/>
        <v>40</v>
      </c>
      <c r="I323" s="131">
        <f ca="1" t="shared" si="99"/>
        <v>40</v>
      </c>
      <c r="J323" s="131">
        <f ca="1" t="shared" si="100"/>
        <v>40</v>
      </c>
      <c r="K323" s="131">
        <f ca="1" t="shared" si="101"/>
        <v>40</v>
      </c>
      <c r="L323" s="131">
        <f ca="1" t="shared" si="102"/>
        <v>40</v>
      </c>
      <c r="M323" s="131">
        <f ca="1" t="shared" si="103"/>
        <v>35</v>
      </c>
      <c r="N323" s="131">
        <f ca="1" t="shared" si="104"/>
        <v>35</v>
      </c>
      <c r="O323" s="131">
        <f ca="1" t="shared" si="105"/>
        <v>35</v>
      </c>
      <c r="P323" s="131">
        <f ca="1" t="shared" si="106"/>
        <v>35</v>
      </c>
      <c r="Q323" s="131">
        <f ca="1" t="shared" si="107"/>
        <v>35</v>
      </c>
      <c r="R323" s="131">
        <f ca="1" t="shared" si="108"/>
        <v>35</v>
      </c>
      <c r="S323" s="131">
        <f ca="1" t="shared" si="109"/>
        <v>37</v>
      </c>
      <c r="T323" s="131">
        <f ca="1" t="shared" si="110"/>
        <v>39</v>
      </c>
      <c r="U323" s="131">
        <f ca="1" t="shared" si="111"/>
        <v>39</v>
      </c>
      <c r="V323" s="131">
        <f ca="1" t="shared" si="112"/>
        <v>40</v>
      </c>
      <c r="W323" s="124">
        <f ca="1">OFFSET($K$19,_xlfn.XLOOKUP(X323,$D$9:$D$28,$H$9:$H$28),MATCH(OFFSET($C$29,B323,MATCH(X323,$D$29:$V$29,0)),$L$19:$R$19,1))*(1+(OFFSET($C$29,B323,MATCH(X323,$D$29:$V$29,0))-1)*_xlfn.XLOOKUP(X323,梦灵养成!$D$9:$D$28,梦灵养成!$G$9:$G$28))</f>
        <v>53.508</v>
      </c>
      <c r="X323" s="106" t="str">
        <f ca="1" t="shared" si="93"/>
        <v>神算诸葛</v>
      </c>
      <c r="Y323" s="95">
        <f ca="1" t="shared" si="113"/>
        <v>133200</v>
      </c>
      <c r="Z323" s="96">
        <f ca="1" t="shared" si="114"/>
        <v>4.9</v>
      </c>
    </row>
    <row r="324" s="106" customFormat="1" ht="16.5" spans="2:26">
      <c r="B324" s="117">
        <v>295</v>
      </c>
      <c r="C324" s="130">
        <f t="shared" si="115"/>
        <v>29500</v>
      </c>
      <c r="D324" s="131">
        <f ca="1" t="shared" si="94"/>
        <v>48</v>
      </c>
      <c r="E324" s="131">
        <f ca="1" t="shared" si="95"/>
        <v>48</v>
      </c>
      <c r="F324" s="131">
        <f ca="1" t="shared" si="96"/>
        <v>48</v>
      </c>
      <c r="G324" s="131">
        <f ca="1" t="shared" si="97"/>
        <v>40</v>
      </c>
      <c r="H324" s="131">
        <f ca="1" t="shared" si="98"/>
        <v>40</v>
      </c>
      <c r="I324" s="131">
        <f ca="1" t="shared" si="99"/>
        <v>40</v>
      </c>
      <c r="J324" s="131">
        <f ca="1" t="shared" si="100"/>
        <v>40</v>
      </c>
      <c r="K324" s="131">
        <f ca="1" t="shared" si="101"/>
        <v>40</v>
      </c>
      <c r="L324" s="131">
        <f ca="1" t="shared" si="102"/>
        <v>40</v>
      </c>
      <c r="M324" s="131">
        <f ca="1" t="shared" si="103"/>
        <v>35</v>
      </c>
      <c r="N324" s="131">
        <f ca="1" t="shared" si="104"/>
        <v>35</v>
      </c>
      <c r="O324" s="131">
        <f ca="1" t="shared" si="105"/>
        <v>35</v>
      </c>
      <c r="P324" s="131">
        <f ca="1" t="shared" si="106"/>
        <v>35</v>
      </c>
      <c r="Q324" s="131">
        <f ca="1" t="shared" si="107"/>
        <v>35</v>
      </c>
      <c r="R324" s="131">
        <f ca="1" t="shared" si="108"/>
        <v>35</v>
      </c>
      <c r="S324" s="131">
        <f ca="1" t="shared" si="109"/>
        <v>37</v>
      </c>
      <c r="T324" s="131">
        <f ca="1" t="shared" si="110"/>
        <v>39</v>
      </c>
      <c r="U324" s="131">
        <f ca="1" t="shared" si="111"/>
        <v>40</v>
      </c>
      <c r="V324" s="131">
        <f ca="1" t="shared" si="112"/>
        <v>40</v>
      </c>
      <c r="W324" s="124">
        <f ca="1">OFFSET($K$19,_xlfn.XLOOKUP(X324,$D$9:$D$28,$H$9:$H$28),MATCH(OFFSET($C$29,B324,MATCH(X324,$D$29:$V$29,0)),$L$19:$R$19,1))*(1+(OFFSET($C$29,B324,MATCH(X324,$D$29:$V$29,0))-1)*_xlfn.XLOOKUP(X324,梦灵养成!$D$9:$D$28,梦灵养成!$G$9:$G$28))</f>
        <v>53.508</v>
      </c>
      <c r="X324" s="106" t="str">
        <f ca="1" t="shared" si="93"/>
        <v>神算诸葛</v>
      </c>
      <c r="Y324" s="95">
        <f ca="1" t="shared" si="113"/>
        <v>131400</v>
      </c>
      <c r="Z324" s="96">
        <f ca="1" t="shared" si="114"/>
        <v>4.9</v>
      </c>
    </row>
    <row r="325" s="106" customFormat="1" ht="16.5" spans="2:26">
      <c r="B325" s="117">
        <v>296</v>
      </c>
      <c r="C325" s="130">
        <f t="shared" si="115"/>
        <v>29600</v>
      </c>
      <c r="D325" s="131">
        <f ca="1" t="shared" si="94"/>
        <v>48</v>
      </c>
      <c r="E325" s="131">
        <f ca="1" t="shared" si="95"/>
        <v>48</v>
      </c>
      <c r="F325" s="131">
        <f ca="1" t="shared" si="96"/>
        <v>48</v>
      </c>
      <c r="G325" s="131">
        <f ca="1" t="shared" si="97"/>
        <v>40</v>
      </c>
      <c r="H325" s="131">
        <f ca="1" t="shared" si="98"/>
        <v>40</v>
      </c>
      <c r="I325" s="131">
        <f ca="1" t="shared" si="99"/>
        <v>40</v>
      </c>
      <c r="J325" s="131">
        <f ca="1" t="shared" si="100"/>
        <v>40</v>
      </c>
      <c r="K325" s="131">
        <f ca="1" t="shared" si="101"/>
        <v>40</v>
      </c>
      <c r="L325" s="131">
        <f ca="1" t="shared" si="102"/>
        <v>40</v>
      </c>
      <c r="M325" s="131">
        <f ca="1" t="shared" si="103"/>
        <v>35</v>
      </c>
      <c r="N325" s="131">
        <f ca="1" t="shared" si="104"/>
        <v>35</v>
      </c>
      <c r="O325" s="131">
        <f ca="1" t="shared" si="105"/>
        <v>35</v>
      </c>
      <c r="P325" s="131">
        <f ca="1" t="shared" si="106"/>
        <v>35</v>
      </c>
      <c r="Q325" s="131">
        <f ca="1" t="shared" si="107"/>
        <v>35</v>
      </c>
      <c r="R325" s="131">
        <f ca="1" t="shared" si="108"/>
        <v>35</v>
      </c>
      <c r="S325" s="131">
        <f ca="1" t="shared" si="109"/>
        <v>38</v>
      </c>
      <c r="T325" s="131">
        <f ca="1" t="shared" si="110"/>
        <v>39</v>
      </c>
      <c r="U325" s="131">
        <f ca="1" t="shared" si="111"/>
        <v>40</v>
      </c>
      <c r="V325" s="131">
        <f ca="1" t="shared" si="112"/>
        <v>40</v>
      </c>
      <c r="W325" s="124">
        <f ca="1">OFFSET($K$19,_xlfn.XLOOKUP(X325,$D$9:$D$28,$H$9:$H$28),MATCH(OFFSET($C$29,B325,MATCH(X325,$D$29:$V$29,0)),$L$19:$R$19,1))*(1+(OFFSET($C$29,B325,MATCH(X325,$D$29:$V$29,0))-1)*_xlfn.XLOOKUP(X325,梦灵养成!$D$9:$D$28,梦灵养成!$G$9:$G$28))</f>
        <v>53.508</v>
      </c>
      <c r="X325" s="106" t="str">
        <f ca="1" t="shared" si="93"/>
        <v>神算诸葛</v>
      </c>
      <c r="Y325" s="95">
        <f ca="1" t="shared" si="113"/>
        <v>129600</v>
      </c>
      <c r="Z325" s="96">
        <f ca="1" t="shared" si="114"/>
        <v>4.9</v>
      </c>
    </row>
    <row r="326" s="106" customFormat="1" ht="16.5" spans="2:26">
      <c r="B326" s="117">
        <v>297</v>
      </c>
      <c r="C326" s="130">
        <f t="shared" si="115"/>
        <v>29700</v>
      </c>
      <c r="D326" s="131">
        <f ca="1" t="shared" si="94"/>
        <v>49</v>
      </c>
      <c r="E326" s="131">
        <f ca="1" t="shared" si="95"/>
        <v>49</v>
      </c>
      <c r="F326" s="131">
        <f ca="1" t="shared" si="96"/>
        <v>49</v>
      </c>
      <c r="G326" s="131">
        <f ca="1" t="shared" si="97"/>
        <v>40</v>
      </c>
      <c r="H326" s="131">
        <f ca="1" t="shared" si="98"/>
        <v>40</v>
      </c>
      <c r="I326" s="131">
        <f ca="1" t="shared" si="99"/>
        <v>40</v>
      </c>
      <c r="J326" s="131">
        <f ca="1" t="shared" si="100"/>
        <v>40</v>
      </c>
      <c r="K326" s="131">
        <f ca="1" t="shared" si="101"/>
        <v>40</v>
      </c>
      <c r="L326" s="131">
        <f ca="1" t="shared" si="102"/>
        <v>40</v>
      </c>
      <c r="M326" s="131">
        <f ca="1" t="shared" si="103"/>
        <v>35</v>
      </c>
      <c r="N326" s="131">
        <f ca="1" t="shared" si="104"/>
        <v>35</v>
      </c>
      <c r="O326" s="131">
        <f ca="1" t="shared" si="105"/>
        <v>35</v>
      </c>
      <c r="P326" s="131">
        <f ca="1" t="shared" si="106"/>
        <v>35</v>
      </c>
      <c r="Q326" s="131">
        <f ca="1" t="shared" si="107"/>
        <v>35</v>
      </c>
      <c r="R326" s="131">
        <f ca="1" t="shared" si="108"/>
        <v>35</v>
      </c>
      <c r="S326" s="131">
        <f ca="1" t="shared" si="109"/>
        <v>38</v>
      </c>
      <c r="T326" s="131">
        <f ca="1" t="shared" si="110"/>
        <v>39</v>
      </c>
      <c r="U326" s="131">
        <f ca="1" t="shared" si="111"/>
        <v>40</v>
      </c>
      <c r="V326" s="131">
        <f ca="1" t="shared" si="112"/>
        <v>40</v>
      </c>
      <c r="W326" s="124">
        <f ca="1">OFFSET($K$19,_xlfn.XLOOKUP(X326,$D$9:$D$28,$H$9:$H$28),MATCH(OFFSET($C$29,B326,MATCH(X326,$D$29:$V$29,0)),$L$19:$R$19,1))*(1+(OFFSET($C$29,B326,MATCH(X326,$D$29:$V$29,0))-1)*_xlfn.XLOOKUP(X326,梦灵养成!$D$9:$D$28,梦灵养成!$G$9:$G$28))</f>
        <v>53.508</v>
      </c>
      <c r="X326" s="106" t="str">
        <f ca="1" t="shared" si="93"/>
        <v>神算诸葛</v>
      </c>
      <c r="Y326" s="95">
        <f ca="1" t="shared" si="113"/>
        <v>127800</v>
      </c>
      <c r="Z326" s="96">
        <f ca="1" t="shared" si="114"/>
        <v>4.9</v>
      </c>
    </row>
    <row r="327" s="106" customFormat="1" ht="16.5" spans="2:26">
      <c r="B327" s="117">
        <v>298</v>
      </c>
      <c r="C327" s="130">
        <f t="shared" si="115"/>
        <v>29800</v>
      </c>
      <c r="D327" s="131">
        <f ca="1" t="shared" si="94"/>
        <v>49</v>
      </c>
      <c r="E327" s="131">
        <f ca="1" t="shared" si="95"/>
        <v>49</v>
      </c>
      <c r="F327" s="131">
        <f ca="1" t="shared" si="96"/>
        <v>49</v>
      </c>
      <c r="G327" s="131">
        <f ca="1" t="shared" si="97"/>
        <v>40</v>
      </c>
      <c r="H327" s="131">
        <f ca="1" t="shared" si="98"/>
        <v>40</v>
      </c>
      <c r="I327" s="131">
        <f ca="1" t="shared" si="99"/>
        <v>40</v>
      </c>
      <c r="J327" s="131">
        <f ca="1" t="shared" si="100"/>
        <v>40</v>
      </c>
      <c r="K327" s="131">
        <f ca="1" t="shared" si="101"/>
        <v>40</v>
      </c>
      <c r="L327" s="131">
        <f ca="1" t="shared" si="102"/>
        <v>40</v>
      </c>
      <c r="M327" s="131">
        <f ca="1" t="shared" si="103"/>
        <v>35</v>
      </c>
      <c r="N327" s="131">
        <f ca="1" t="shared" si="104"/>
        <v>35</v>
      </c>
      <c r="O327" s="131">
        <f ca="1" t="shared" si="105"/>
        <v>35</v>
      </c>
      <c r="P327" s="131">
        <f ca="1" t="shared" si="106"/>
        <v>35</v>
      </c>
      <c r="Q327" s="131">
        <f ca="1" t="shared" si="107"/>
        <v>35</v>
      </c>
      <c r="R327" s="131">
        <f ca="1" t="shared" si="108"/>
        <v>35</v>
      </c>
      <c r="S327" s="131">
        <f ca="1" t="shared" si="109"/>
        <v>38</v>
      </c>
      <c r="T327" s="131">
        <f ca="1" t="shared" si="110"/>
        <v>39</v>
      </c>
      <c r="U327" s="131">
        <f ca="1" t="shared" si="111"/>
        <v>40</v>
      </c>
      <c r="V327" s="131">
        <f ca="1" t="shared" si="112"/>
        <v>40</v>
      </c>
      <c r="W327" s="124">
        <f ca="1">OFFSET($K$19,_xlfn.XLOOKUP(X327,$D$9:$D$28,$H$9:$H$28),MATCH(OFFSET($C$29,B327,MATCH(X327,$D$29:$V$29,0)),$L$19:$R$19,1))*(1+(OFFSET($C$29,B327,MATCH(X327,$D$29:$V$29,0))-1)*_xlfn.XLOOKUP(X327,梦灵养成!$D$9:$D$28,梦灵养成!$G$9:$G$28))</f>
        <v>53.508</v>
      </c>
      <c r="X327" s="106" t="str">
        <f ca="1" t="shared" si="93"/>
        <v>神算诸葛</v>
      </c>
      <c r="Y327" s="95">
        <f ca="1" t="shared" si="113"/>
        <v>126000</v>
      </c>
      <c r="Z327" s="96">
        <f ca="1" t="shared" si="114"/>
        <v>4.9</v>
      </c>
    </row>
    <row r="328" s="106" customFormat="1" ht="16.5" spans="2:26">
      <c r="B328" s="117">
        <v>299</v>
      </c>
      <c r="C328" s="130">
        <f t="shared" si="115"/>
        <v>29900</v>
      </c>
      <c r="D328" s="131">
        <f ca="1" t="shared" si="94"/>
        <v>49</v>
      </c>
      <c r="E328" s="131">
        <f ca="1" t="shared" si="95"/>
        <v>49</v>
      </c>
      <c r="F328" s="131">
        <f ca="1" t="shared" si="96"/>
        <v>49</v>
      </c>
      <c r="G328" s="131">
        <f ca="1" t="shared" si="97"/>
        <v>40</v>
      </c>
      <c r="H328" s="131">
        <f ca="1" t="shared" si="98"/>
        <v>40</v>
      </c>
      <c r="I328" s="131">
        <f ca="1" t="shared" si="99"/>
        <v>40</v>
      </c>
      <c r="J328" s="131">
        <f ca="1" t="shared" si="100"/>
        <v>40</v>
      </c>
      <c r="K328" s="131">
        <f ca="1" t="shared" si="101"/>
        <v>40</v>
      </c>
      <c r="L328" s="131">
        <f ca="1" t="shared" si="102"/>
        <v>40</v>
      </c>
      <c r="M328" s="131">
        <f ca="1" t="shared" si="103"/>
        <v>35</v>
      </c>
      <c r="N328" s="131">
        <f ca="1" t="shared" si="104"/>
        <v>35</v>
      </c>
      <c r="O328" s="131">
        <f ca="1" t="shared" si="105"/>
        <v>35</v>
      </c>
      <c r="P328" s="131">
        <f ca="1" t="shared" si="106"/>
        <v>35</v>
      </c>
      <c r="Q328" s="131">
        <f ca="1" t="shared" si="107"/>
        <v>35</v>
      </c>
      <c r="R328" s="131">
        <f ca="1" t="shared" si="108"/>
        <v>35</v>
      </c>
      <c r="S328" s="131">
        <f ca="1" t="shared" si="109"/>
        <v>38</v>
      </c>
      <c r="T328" s="131">
        <f ca="1" t="shared" si="110"/>
        <v>39</v>
      </c>
      <c r="U328" s="131">
        <f ca="1" t="shared" si="111"/>
        <v>40</v>
      </c>
      <c r="V328" s="131">
        <f ca="1" t="shared" si="112"/>
        <v>41</v>
      </c>
      <c r="W328" s="124">
        <f ca="1">OFFSET($K$19,_xlfn.XLOOKUP(X328,$D$9:$D$28,$H$9:$H$28),MATCH(OFFSET($C$29,B328,MATCH(X328,$D$29:$V$29,0)),$L$19:$R$19,1))*(1+(OFFSET($C$29,B328,MATCH(X328,$D$29:$V$29,0))-1)*_xlfn.XLOOKUP(X328,梦灵养成!$D$9:$D$28,梦灵养成!$G$9:$G$28))</f>
        <v>54.6</v>
      </c>
      <c r="X328" s="106" t="str">
        <f ca="1" t="shared" si="93"/>
        <v>神算诸葛</v>
      </c>
      <c r="Y328" s="95">
        <f ca="1" t="shared" si="113"/>
        <v>165600</v>
      </c>
      <c r="Z328" s="96">
        <f ca="1" t="shared" si="114"/>
        <v>5</v>
      </c>
    </row>
    <row r="329" s="106" customFormat="1" ht="16.5" spans="2:26">
      <c r="B329" s="117">
        <v>300</v>
      </c>
      <c r="C329" s="130">
        <f t="shared" si="115"/>
        <v>30000</v>
      </c>
      <c r="D329" s="131">
        <f ca="1" t="shared" si="94"/>
        <v>49</v>
      </c>
      <c r="E329" s="131">
        <f ca="1" t="shared" si="95"/>
        <v>49</v>
      </c>
      <c r="F329" s="131">
        <f ca="1" t="shared" si="96"/>
        <v>49</v>
      </c>
      <c r="G329" s="131">
        <f ca="1" t="shared" si="97"/>
        <v>40</v>
      </c>
      <c r="H329" s="131">
        <f ca="1" t="shared" si="98"/>
        <v>40</v>
      </c>
      <c r="I329" s="131">
        <f ca="1" t="shared" si="99"/>
        <v>40</v>
      </c>
      <c r="J329" s="131">
        <f ca="1" t="shared" si="100"/>
        <v>40</v>
      </c>
      <c r="K329" s="131">
        <f ca="1" t="shared" si="101"/>
        <v>40</v>
      </c>
      <c r="L329" s="131">
        <f ca="1" t="shared" si="102"/>
        <v>40</v>
      </c>
      <c r="M329" s="131">
        <f ca="1" t="shared" si="103"/>
        <v>35</v>
      </c>
      <c r="N329" s="131">
        <f ca="1" t="shared" si="104"/>
        <v>35</v>
      </c>
      <c r="O329" s="131">
        <f ca="1" t="shared" si="105"/>
        <v>35</v>
      </c>
      <c r="P329" s="131">
        <f ca="1" t="shared" si="106"/>
        <v>35</v>
      </c>
      <c r="Q329" s="131">
        <f ca="1" t="shared" si="107"/>
        <v>35</v>
      </c>
      <c r="R329" s="131">
        <f ca="1" t="shared" si="108"/>
        <v>35</v>
      </c>
      <c r="S329" s="131">
        <f ca="1" t="shared" si="109"/>
        <v>38</v>
      </c>
      <c r="T329" s="131">
        <f ca="1" t="shared" si="110"/>
        <v>40</v>
      </c>
      <c r="U329" s="131">
        <f ca="1" t="shared" si="111"/>
        <v>40</v>
      </c>
      <c r="V329" s="131">
        <f ca="1" t="shared" si="112"/>
        <v>41</v>
      </c>
      <c r="W329" s="124">
        <f ca="1">OFFSET($K$19,_xlfn.XLOOKUP(X329,$D$9:$D$28,$H$9:$H$28),MATCH(OFFSET($C$29,B329,MATCH(X329,$D$29:$V$29,0)),$L$19:$R$19,1))*(1+(OFFSET($C$29,B329,MATCH(X329,$D$29:$V$29,0))-1)*_xlfn.XLOOKUP(X329,梦灵养成!$D$9:$D$28,梦灵养成!$G$9:$G$28))</f>
        <v>54.6</v>
      </c>
      <c r="X329" s="106" t="str">
        <f ca="1" t="shared" si="93"/>
        <v>神算诸葛</v>
      </c>
      <c r="Y329" s="95">
        <f ca="1" t="shared" si="113"/>
        <v>163800</v>
      </c>
      <c r="Z329" s="96">
        <f ca="1" t="shared" si="114"/>
        <v>5</v>
      </c>
    </row>
    <row r="330" s="106" customFormat="1" ht="16.5" spans="2:26">
      <c r="B330" s="117">
        <v>301</v>
      </c>
      <c r="C330" s="130">
        <f t="shared" si="115"/>
        <v>30100</v>
      </c>
      <c r="D330" s="131">
        <f ca="1" t="shared" si="94"/>
        <v>49</v>
      </c>
      <c r="E330" s="131">
        <f ca="1" t="shared" si="95"/>
        <v>49</v>
      </c>
      <c r="F330" s="131">
        <f ca="1" t="shared" si="96"/>
        <v>49</v>
      </c>
      <c r="G330" s="131">
        <f ca="1" t="shared" si="97"/>
        <v>40</v>
      </c>
      <c r="H330" s="131">
        <f ca="1" t="shared" si="98"/>
        <v>40</v>
      </c>
      <c r="I330" s="131">
        <f ca="1" t="shared" si="99"/>
        <v>40</v>
      </c>
      <c r="J330" s="131">
        <f ca="1" t="shared" si="100"/>
        <v>40</v>
      </c>
      <c r="K330" s="131">
        <f ca="1" t="shared" si="101"/>
        <v>40</v>
      </c>
      <c r="L330" s="131">
        <f ca="1" t="shared" si="102"/>
        <v>40</v>
      </c>
      <c r="M330" s="131">
        <f ca="1" t="shared" si="103"/>
        <v>35</v>
      </c>
      <c r="N330" s="131">
        <f ca="1" t="shared" si="104"/>
        <v>35</v>
      </c>
      <c r="O330" s="131">
        <f ca="1" t="shared" si="105"/>
        <v>35</v>
      </c>
      <c r="P330" s="131">
        <f ca="1" t="shared" si="106"/>
        <v>35</v>
      </c>
      <c r="Q330" s="131">
        <f ca="1" t="shared" si="107"/>
        <v>35</v>
      </c>
      <c r="R330" s="131">
        <f ca="1" t="shared" si="108"/>
        <v>35</v>
      </c>
      <c r="S330" s="131">
        <f ca="1" t="shared" si="109"/>
        <v>38</v>
      </c>
      <c r="T330" s="131">
        <f ca="1" t="shared" si="110"/>
        <v>40</v>
      </c>
      <c r="U330" s="131">
        <f ca="1" t="shared" si="111"/>
        <v>40</v>
      </c>
      <c r="V330" s="131">
        <f ca="1" t="shared" si="112"/>
        <v>41</v>
      </c>
      <c r="W330" s="124">
        <f ca="1">OFFSET($K$19,_xlfn.XLOOKUP(X330,$D$9:$D$28,$H$9:$H$28),MATCH(OFFSET($C$29,B330,MATCH(X330,$D$29:$V$29,0)),$L$19:$R$19,1))*(1+(OFFSET($C$29,B330,MATCH(X330,$D$29:$V$29,0))-1)*_xlfn.XLOOKUP(X330,梦灵养成!$D$9:$D$28,梦灵养成!$G$9:$G$28))</f>
        <v>54.6</v>
      </c>
      <c r="X330" s="106" t="str">
        <f ca="1" t="shared" si="93"/>
        <v>神算诸葛</v>
      </c>
      <c r="Y330" s="95">
        <f ca="1" t="shared" si="113"/>
        <v>162000</v>
      </c>
      <c r="Z330" s="96">
        <f ca="1" t="shared" si="114"/>
        <v>5</v>
      </c>
    </row>
    <row r="331" s="106" customFormat="1" ht="16.5" spans="2:26">
      <c r="B331" s="117">
        <v>302</v>
      </c>
      <c r="C331" s="130">
        <f t="shared" si="115"/>
        <v>30200</v>
      </c>
      <c r="D331" s="131">
        <f ca="1" t="shared" si="94"/>
        <v>49</v>
      </c>
      <c r="E331" s="131">
        <f ca="1" t="shared" si="95"/>
        <v>49</v>
      </c>
      <c r="F331" s="131">
        <f ca="1" t="shared" si="96"/>
        <v>49</v>
      </c>
      <c r="G331" s="131">
        <f ca="1" t="shared" si="97"/>
        <v>40</v>
      </c>
      <c r="H331" s="131">
        <f ca="1" t="shared" si="98"/>
        <v>40</v>
      </c>
      <c r="I331" s="131">
        <f ca="1" t="shared" si="99"/>
        <v>40</v>
      </c>
      <c r="J331" s="131">
        <f ca="1" t="shared" si="100"/>
        <v>40</v>
      </c>
      <c r="K331" s="131">
        <f ca="1" t="shared" si="101"/>
        <v>40</v>
      </c>
      <c r="L331" s="131">
        <f ca="1" t="shared" si="102"/>
        <v>40</v>
      </c>
      <c r="M331" s="131">
        <f ca="1" t="shared" si="103"/>
        <v>35</v>
      </c>
      <c r="N331" s="131">
        <f ca="1" t="shared" si="104"/>
        <v>35</v>
      </c>
      <c r="O331" s="131">
        <f ca="1" t="shared" si="105"/>
        <v>35</v>
      </c>
      <c r="P331" s="131">
        <f ca="1" t="shared" si="106"/>
        <v>35</v>
      </c>
      <c r="Q331" s="131">
        <f ca="1" t="shared" si="107"/>
        <v>35</v>
      </c>
      <c r="R331" s="131">
        <f ca="1" t="shared" si="108"/>
        <v>35</v>
      </c>
      <c r="S331" s="131">
        <f ca="1" t="shared" si="109"/>
        <v>38</v>
      </c>
      <c r="T331" s="131">
        <f ca="1" t="shared" si="110"/>
        <v>40</v>
      </c>
      <c r="U331" s="131">
        <f ca="1" t="shared" si="111"/>
        <v>40</v>
      </c>
      <c r="V331" s="131">
        <f ca="1" t="shared" si="112"/>
        <v>41</v>
      </c>
      <c r="W331" s="124">
        <f ca="1">OFFSET($K$19,_xlfn.XLOOKUP(X331,$D$9:$D$28,$H$9:$H$28),MATCH(OFFSET($C$29,B331,MATCH(X331,$D$29:$V$29,0)),$L$19:$R$19,1))*(1+(OFFSET($C$29,B331,MATCH(X331,$D$29:$V$29,0))-1)*_xlfn.XLOOKUP(X331,梦灵养成!$D$9:$D$28,梦灵养成!$G$9:$G$28))</f>
        <v>54.6</v>
      </c>
      <c r="X331" s="106" t="str">
        <f ca="1" t="shared" si="93"/>
        <v>神算诸葛</v>
      </c>
      <c r="Y331" s="95">
        <f ca="1" t="shared" si="113"/>
        <v>160200</v>
      </c>
      <c r="Z331" s="96">
        <f ca="1" t="shared" si="114"/>
        <v>5</v>
      </c>
    </row>
    <row r="332" s="106" customFormat="1" ht="16.5" spans="2:26">
      <c r="B332" s="117">
        <v>303</v>
      </c>
      <c r="C332" s="130">
        <f t="shared" si="115"/>
        <v>30300</v>
      </c>
      <c r="D332" s="131">
        <f ca="1" t="shared" si="94"/>
        <v>49</v>
      </c>
      <c r="E332" s="131">
        <f ca="1" t="shared" si="95"/>
        <v>49</v>
      </c>
      <c r="F332" s="131">
        <f ca="1" t="shared" si="96"/>
        <v>49</v>
      </c>
      <c r="G332" s="131">
        <f ca="1" t="shared" si="97"/>
        <v>40</v>
      </c>
      <c r="H332" s="131">
        <f ca="1" t="shared" si="98"/>
        <v>40</v>
      </c>
      <c r="I332" s="131">
        <f ca="1" t="shared" si="99"/>
        <v>40</v>
      </c>
      <c r="J332" s="131">
        <f ca="1" t="shared" si="100"/>
        <v>40</v>
      </c>
      <c r="K332" s="131">
        <f ca="1" t="shared" si="101"/>
        <v>40</v>
      </c>
      <c r="L332" s="131">
        <f ca="1" t="shared" si="102"/>
        <v>40</v>
      </c>
      <c r="M332" s="131">
        <f ca="1" t="shared" si="103"/>
        <v>35</v>
      </c>
      <c r="N332" s="131">
        <f ca="1" t="shared" si="104"/>
        <v>35</v>
      </c>
      <c r="O332" s="131">
        <f ca="1" t="shared" si="105"/>
        <v>35</v>
      </c>
      <c r="P332" s="131">
        <f ca="1" t="shared" si="106"/>
        <v>35</v>
      </c>
      <c r="Q332" s="131">
        <f ca="1" t="shared" si="107"/>
        <v>35</v>
      </c>
      <c r="R332" s="131">
        <f ca="1" t="shared" si="108"/>
        <v>35</v>
      </c>
      <c r="S332" s="131">
        <f ca="1" t="shared" si="109"/>
        <v>38</v>
      </c>
      <c r="T332" s="131">
        <f ca="1" t="shared" si="110"/>
        <v>40</v>
      </c>
      <c r="U332" s="131">
        <f ca="1" t="shared" si="111"/>
        <v>40</v>
      </c>
      <c r="V332" s="131">
        <f ca="1" t="shared" si="112"/>
        <v>41</v>
      </c>
      <c r="W332" s="124">
        <f ca="1">OFFSET($K$19,_xlfn.XLOOKUP(X332,$D$9:$D$28,$H$9:$H$28),MATCH(OFFSET($C$29,B332,MATCH(X332,$D$29:$V$29,0)),$L$19:$R$19,1))*(1+(OFFSET($C$29,B332,MATCH(X332,$D$29:$V$29,0))-1)*_xlfn.XLOOKUP(X332,梦灵养成!$D$9:$D$28,梦灵养成!$G$9:$G$28))</f>
        <v>54.6</v>
      </c>
      <c r="X332" s="106" t="str">
        <f ca="1" t="shared" si="93"/>
        <v>神算诸葛</v>
      </c>
      <c r="Y332" s="95">
        <f ca="1" t="shared" si="113"/>
        <v>158400</v>
      </c>
      <c r="Z332" s="96">
        <f ca="1" t="shared" si="114"/>
        <v>5</v>
      </c>
    </row>
    <row r="333" s="106" customFormat="1" ht="16.5" spans="2:26">
      <c r="B333" s="117">
        <v>304</v>
      </c>
      <c r="C333" s="130">
        <f t="shared" si="115"/>
        <v>30400</v>
      </c>
      <c r="D333" s="131">
        <f ca="1" t="shared" si="94"/>
        <v>49</v>
      </c>
      <c r="E333" s="131">
        <f ca="1" t="shared" si="95"/>
        <v>49</v>
      </c>
      <c r="F333" s="131">
        <f ca="1" t="shared" si="96"/>
        <v>49</v>
      </c>
      <c r="G333" s="131">
        <f ca="1" t="shared" si="97"/>
        <v>40</v>
      </c>
      <c r="H333" s="131">
        <f ca="1" t="shared" si="98"/>
        <v>40</v>
      </c>
      <c r="I333" s="131">
        <f ca="1" t="shared" si="99"/>
        <v>40</v>
      </c>
      <c r="J333" s="131">
        <f ca="1" t="shared" si="100"/>
        <v>40</v>
      </c>
      <c r="K333" s="131">
        <f ca="1" t="shared" si="101"/>
        <v>40</v>
      </c>
      <c r="L333" s="131">
        <f ca="1" t="shared" si="102"/>
        <v>40</v>
      </c>
      <c r="M333" s="131">
        <f ca="1" t="shared" si="103"/>
        <v>35</v>
      </c>
      <c r="N333" s="131">
        <f ca="1" t="shared" si="104"/>
        <v>35</v>
      </c>
      <c r="O333" s="131">
        <f ca="1" t="shared" si="105"/>
        <v>35</v>
      </c>
      <c r="P333" s="131">
        <f ca="1" t="shared" si="106"/>
        <v>35</v>
      </c>
      <c r="Q333" s="131">
        <f ca="1" t="shared" si="107"/>
        <v>35</v>
      </c>
      <c r="R333" s="131">
        <f ca="1" t="shared" si="108"/>
        <v>35</v>
      </c>
      <c r="S333" s="131">
        <f ca="1" t="shared" si="109"/>
        <v>38</v>
      </c>
      <c r="T333" s="131">
        <f ca="1" t="shared" si="110"/>
        <v>40</v>
      </c>
      <c r="U333" s="131">
        <f ca="1" t="shared" si="111"/>
        <v>40</v>
      </c>
      <c r="V333" s="131">
        <f ca="1" t="shared" si="112"/>
        <v>41</v>
      </c>
      <c r="W333" s="124">
        <f ca="1">OFFSET($K$19,_xlfn.XLOOKUP(X333,$D$9:$D$28,$H$9:$H$28),MATCH(OFFSET($C$29,B333,MATCH(X333,$D$29:$V$29,0)),$L$19:$R$19,1))*(1+(OFFSET($C$29,B333,MATCH(X333,$D$29:$V$29,0))-1)*_xlfn.XLOOKUP(X333,梦灵养成!$D$9:$D$28,梦灵养成!$G$9:$G$28))</f>
        <v>54.6</v>
      </c>
      <c r="X333" s="106" t="str">
        <f ca="1" t="shared" si="93"/>
        <v>神算诸葛</v>
      </c>
      <c r="Y333" s="95">
        <f ca="1" t="shared" si="113"/>
        <v>156600</v>
      </c>
      <c r="Z333" s="96">
        <f ca="1" t="shared" si="114"/>
        <v>5</v>
      </c>
    </row>
    <row r="334" s="106" customFormat="1" ht="16.5" spans="2:26">
      <c r="B334" s="117">
        <v>305</v>
      </c>
      <c r="C334" s="130">
        <f t="shared" si="115"/>
        <v>30500</v>
      </c>
      <c r="D334" s="131">
        <f ca="1" t="shared" si="94"/>
        <v>49</v>
      </c>
      <c r="E334" s="131">
        <f ca="1" t="shared" si="95"/>
        <v>49</v>
      </c>
      <c r="F334" s="131">
        <f ca="1" t="shared" si="96"/>
        <v>49</v>
      </c>
      <c r="G334" s="131">
        <f ca="1" t="shared" si="97"/>
        <v>40</v>
      </c>
      <c r="H334" s="131">
        <f ca="1" t="shared" si="98"/>
        <v>40</v>
      </c>
      <c r="I334" s="131">
        <f ca="1" t="shared" si="99"/>
        <v>40</v>
      </c>
      <c r="J334" s="131">
        <f ca="1" t="shared" si="100"/>
        <v>40</v>
      </c>
      <c r="K334" s="131">
        <f ca="1" t="shared" si="101"/>
        <v>40</v>
      </c>
      <c r="L334" s="131">
        <f ca="1" t="shared" si="102"/>
        <v>40</v>
      </c>
      <c r="M334" s="131">
        <f ca="1" t="shared" si="103"/>
        <v>35</v>
      </c>
      <c r="N334" s="131">
        <f ca="1" t="shared" si="104"/>
        <v>35</v>
      </c>
      <c r="O334" s="131">
        <f ca="1" t="shared" si="105"/>
        <v>35</v>
      </c>
      <c r="P334" s="131">
        <f ca="1" t="shared" si="106"/>
        <v>35</v>
      </c>
      <c r="Q334" s="131">
        <f ca="1" t="shared" si="107"/>
        <v>36</v>
      </c>
      <c r="R334" s="131">
        <f ca="1" t="shared" si="108"/>
        <v>35</v>
      </c>
      <c r="S334" s="131">
        <f ca="1" t="shared" si="109"/>
        <v>38</v>
      </c>
      <c r="T334" s="131">
        <f ca="1" t="shared" si="110"/>
        <v>40</v>
      </c>
      <c r="U334" s="131">
        <f ca="1" t="shared" si="111"/>
        <v>40</v>
      </c>
      <c r="V334" s="131">
        <f ca="1" t="shared" si="112"/>
        <v>41</v>
      </c>
      <c r="W334" s="124">
        <f ca="1">OFFSET($K$19,_xlfn.XLOOKUP(X334,$D$9:$D$28,$H$9:$H$28),MATCH(OFFSET($C$29,B334,MATCH(X334,$D$29:$V$29,0)),$L$19:$R$19,1))*(1+(OFFSET($C$29,B334,MATCH(X334,$D$29:$V$29,0))-1)*_xlfn.XLOOKUP(X334,梦灵养成!$D$9:$D$28,梦灵养成!$G$9:$G$28))</f>
        <v>54.6</v>
      </c>
      <c r="X334" s="106" t="str">
        <f ca="1" t="shared" si="93"/>
        <v>神算诸葛</v>
      </c>
      <c r="Y334" s="95">
        <f ca="1" t="shared" si="113"/>
        <v>154800</v>
      </c>
      <c r="Z334" s="96">
        <f ca="1" t="shared" si="114"/>
        <v>5</v>
      </c>
    </row>
    <row r="335" s="106" customFormat="1" ht="16.5" spans="2:26">
      <c r="B335" s="117">
        <v>306</v>
      </c>
      <c r="C335" s="130">
        <f t="shared" si="115"/>
        <v>30600</v>
      </c>
      <c r="D335" s="131">
        <f ca="1" t="shared" si="94"/>
        <v>49</v>
      </c>
      <c r="E335" s="131">
        <f ca="1" t="shared" si="95"/>
        <v>49</v>
      </c>
      <c r="F335" s="131">
        <f ca="1" t="shared" si="96"/>
        <v>49</v>
      </c>
      <c r="G335" s="131">
        <f ca="1" t="shared" si="97"/>
        <v>40</v>
      </c>
      <c r="H335" s="131">
        <f ca="1" t="shared" si="98"/>
        <v>40</v>
      </c>
      <c r="I335" s="131">
        <f ca="1" t="shared" si="99"/>
        <v>40</v>
      </c>
      <c r="J335" s="131">
        <f ca="1" t="shared" si="100"/>
        <v>40</v>
      </c>
      <c r="K335" s="131">
        <f ca="1" t="shared" si="101"/>
        <v>40</v>
      </c>
      <c r="L335" s="131">
        <f ca="1" t="shared" si="102"/>
        <v>40</v>
      </c>
      <c r="M335" s="131">
        <f ca="1" t="shared" si="103"/>
        <v>35</v>
      </c>
      <c r="N335" s="131">
        <f ca="1" t="shared" si="104"/>
        <v>35</v>
      </c>
      <c r="O335" s="131">
        <f ca="1" t="shared" si="105"/>
        <v>36</v>
      </c>
      <c r="P335" s="131">
        <f ca="1" t="shared" si="106"/>
        <v>35</v>
      </c>
      <c r="Q335" s="131">
        <f ca="1" t="shared" si="107"/>
        <v>36</v>
      </c>
      <c r="R335" s="131">
        <f ca="1" t="shared" si="108"/>
        <v>35</v>
      </c>
      <c r="S335" s="131">
        <f ca="1" t="shared" si="109"/>
        <v>38</v>
      </c>
      <c r="T335" s="131">
        <f ca="1" t="shared" si="110"/>
        <v>40</v>
      </c>
      <c r="U335" s="131">
        <f ca="1" t="shared" si="111"/>
        <v>40</v>
      </c>
      <c r="V335" s="131">
        <f ca="1" t="shared" si="112"/>
        <v>41</v>
      </c>
      <c r="W335" s="124">
        <f ca="1">OFFSET($K$19,_xlfn.XLOOKUP(X335,$D$9:$D$28,$H$9:$H$28),MATCH(OFFSET($C$29,B335,MATCH(X335,$D$29:$V$29,0)),$L$19:$R$19,1))*(1+(OFFSET($C$29,B335,MATCH(X335,$D$29:$V$29,0))-1)*_xlfn.XLOOKUP(X335,梦灵养成!$D$9:$D$28,梦灵养成!$G$9:$G$28))</f>
        <v>54.6</v>
      </c>
      <c r="X335" s="106" t="str">
        <f ca="1" t="shared" si="93"/>
        <v>神算诸葛</v>
      </c>
      <c r="Y335" s="95">
        <f ca="1" t="shared" si="113"/>
        <v>153000</v>
      </c>
      <c r="Z335" s="96">
        <f ca="1" t="shared" si="114"/>
        <v>5</v>
      </c>
    </row>
    <row r="336" s="106" customFormat="1" ht="16.5" spans="2:26">
      <c r="B336" s="117">
        <v>307</v>
      </c>
      <c r="C336" s="130">
        <f t="shared" si="115"/>
        <v>30700</v>
      </c>
      <c r="D336" s="131">
        <f ca="1" t="shared" si="94"/>
        <v>49</v>
      </c>
      <c r="E336" s="131">
        <f ca="1" t="shared" si="95"/>
        <v>49</v>
      </c>
      <c r="F336" s="131">
        <f ca="1" t="shared" si="96"/>
        <v>49</v>
      </c>
      <c r="G336" s="131">
        <f ca="1" t="shared" si="97"/>
        <v>40</v>
      </c>
      <c r="H336" s="131">
        <f ca="1" t="shared" si="98"/>
        <v>40</v>
      </c>
      <c r="I336" s="131">
        <f ca="1" t="shared" si="99"/>
        <v>40</v>
      </c>
      <c r="J336" s="131">
        <f ca="1" t="shared" si="100"/>
        <v>40</v>
      </c>
      <c r="K336" s="131">
        <f ca="1" t="shared" si="101"/>
        <v>40</v>
      </c>
      <c r="L336" s="131">
        <f ca="1" t="shared" si="102"/>
        <v>40</v>
      </c>
      <c r="M336" s="131">
        <f ca="1" t="shared" si="103"/>
        <v>35</v>
      </c>
      <c r="N336" s="131">
        <f ca="1" t="shared" si="104"/>
        <v>35</v>
      </c>
      <c r="O336" s="131">
        <f ca="1" t="shared" si="105"/>
        <v>36</v>
      </c>
      <c r="P336" s="131">
        <f ca="1" t="shared" si="106"/>
        <v>35</v>
      </c>
      <c r="Q336" s="131">
        <f ca="1" t="shared" si="107"/>
        <v>36</v>
      </c>
      <c r="R336" s="131">
        <f ca="1" t="shared" si="108"/>
        <v>35</v>
      </c>
      <c r="S336" s="131">
        <f ca="1" t="shared" si="109"/>
        <v>38</v>
      </c>
      <c r="T336" s="131">
        <f ca="1" t="shared" si="110"/>
        <v>40</v>
      </c>
      <c r="U336" s="131">
        <f ca="1" t="shared" si="111"/>
        <v>40</v>
      </c>
      <c r="V336" s="131">
        <f ca="1" t="shared" si="112"/>
        <v>41</v>
      </c>
      <c r="W336" s="124">
        <f ca="1">OFFSET($K$19,_xlfn.XLOOKUP(X336,$D$9:$D$28,$H$9:$H$28),MATCH(OFFSET($C$29,B336,MATCH(X336,$D$29:$V$29,0)),$L$19:$R$19,1))*(1+(OFFSET($C$29,B336,MATCH(X336,$D$29:$V$29,0))-1)*_xlfn.XLOOKUP(X336,梦灵养成!$D$9:$D$28,梦灵养成!$G$9:$G$28))</f>
        <v>54.6</v>
      </c>
      <c r="X336" s="106" t="str">
        <f ca="1" t="shared" si="93"/>
        <v>神算诸葛</v>
      </c>
      <c r="Y336" s="95">
        <f ca="1" t="shared" si="113"/>
        <v>151200</v>
      </c>
      <c r="Z336" s="96">
        <f ca="1" t="shared" si="114"/>
        <v>5</v>
      </c>
    </row>
    <row r="337" s="106" customFormat="1" ht="16.5" spans="2:26">
      <c r="B337" s="117">
        <v>308</v>
      </c>
      <c r="C337" s="130">
        <f t="shared" si="115"/>
        <v>30800</v>
      </c>
      <c r="D337" s="131">
        <f ca="1" t="shared" si="94"/>
        <v>49</v>
      </c>
      <c r="E337" s="131">
        <f ca="1" t="shared" si="95"/>
        <v>49</v>
      </c>
      <c r="F337" s="131">
        <f ca="1" t="shared" si="96"/>
        <v>49</v>
      </c>
      <c r="G337" s="131">
        <f ca="1" t="shared" si="97"/>
        <v>40</v>
      </c>
      <c r="H337" s="131">
        <f ca="1" t="shared" si="98"/>
        <v>40</v>
      </c>
      <c r="I337" s="131">
        <f ca="1" t="shared" si="99"/>
        <v>40</v>
      </c>
      <c r="J337" s="131">
        <f ca="1" t="shared" si="100"/>
        <v>40</v>
      </c>
      <c r="K337" s="131">
        <f ca="1" t="shared" si="101"/>
        <v>40</v>
      </c>
      <c r="L337" s="131">
        <f ca="1" t="shared" si="102"/>
        <v>40</v>
      </c>
      <c r="M337" s="131">
        <f ca="1" t="shared" si="103"/>
        <v>35</v>
      </c>
      <c r="N337" s="131">
        <f ca="1" t="shared" si="104"/>
        <v>35</v>
      </c>
      <c r="O337" s="131">
        <f ca="1" t="shared" si="105"/>
        <v>36</v>
      </c>
      <c r="P337" s="131">
        <f ca="1" t="shared" si="106"/>
        <v>35</v>
      </c>
      <c r="Q337" s="131">
        <f ca="1" t="shared" si="107"/>
        <v>36</v>
      </c>
      <c r="R337" s="131">
        <f ca="1" t="shared" si="108"/>
        <v>35</v>
      </c>
      <c r="S337" s="131">
        <f ca="1" t="shared" si="109"/>
        <v>38</v>
      </c>
      <c r="T337" s="131">
        <f ca="1" t="shared" si="110"/>
        <v>40</v>
      </c>
      <c r="U337" s="131">
        <f ca="1" t="shared" si="111"/>
        <v>40</v>
      </c>
      <c r="V337" s="131">
        <f ca="1" t="shared" si="112"/>
        <v>41</v>
      </c>
      <c r="W337" s="124">
        <f ca="1">OFFSET($K$19,_xlfn.XLOOKUP(X337,$D$9:$D$28,$H$9:$H$28),MATCH(OFFSET($C$29,B337,MATCH(X337,$D$29:$V$29,0)),$L$19:$R$19,1))*(1+(OFFSET($C$29,B337,MATCH(X337,$D$29:$V$29,0))-1)*_xlfn.XLOOKUP(X337,梦灵养成!$D$9:$D$28,梦灵养成!$G$9:$G$28))</f>
        <v>54.6</v>
      </c>
      <c r="X337" s="106" t="str">
        <f ca="1" t="shared" si="93"/>
        <v>神算诸葛</v>
      </c>
      <c r="Y337" s="95">
        <f ca="1" t="shared" si="113"/>
        <v>149400</v>
      </c>
      <c r="Z337" s="96">
        <f ca="1" t="shared" si="114"/>
        <v>5</v>
      </c>
    </row>
    <row r="338" s="106" customFormat="1" ht="16.5" spans="2:26">
      <c r="B338" s="117">
        <v>309</v>
      </c>
      <c r="C338" s="130">
        <f t="shared" si="115"/>
        <v>30900</v>
      </c>
      <c r="D338" s="131">
        <f ca="1" t="shared" si="94"/>
        <v>49</v>
      </c>
      <c r="E338" s="131">
        <f ca="1" t="shared" si="95"/>
        <v>49</v>
      </c>
      <c r="F338" s="131">
        <f ca="1" t="shared" si="96"/>
        <v>49</v>
      </c>
      <c r="G338" s="131">
        <f ca="1" t="shared" si="97"/>
        <v>40</v>
      </c>
      <c r="H338" s="131">
        <f ca="1" t="shared" si="98"/>
        <v>40</v>
      </c>
      <c r="I338" s="131">
        <f ca="1" t="shared" si="99"/>
        <v>40</v>
      </c>
      <c r="J338" s="131">
        <f ca="1" t="shared" si="100"/>
        <v>40</v>
      </c>
      <c r="K338" s="131">
        <f ca="1" t="shared" si="101"/>
        <v>40</v>
      </c>
      <c r="L338" s="131">
        <f ca="1" t="shared" si="102"/>
        <v>40</v>
      </c>
      <c r="M338" s="131">
        <f ca="1" t="shared" si="103"/>
        <v>35</v>
      </c>
      <c r="N338" s="131">
        <f ca="1" t="shared" si="104"/>
        <v>35</v>
      </c>
      <c r="O338" s="131">
        <f ca="1" t="shared" si="105"/>
        <v>36</v>
      </c>
      <c r="P338" s="131">
        <f ca="1" t="shared" si="106"/>
        <v>35</v>
      </c>
      <c r="Q338" s="131">
        <f ca="1" t="shared" si="107"/>
        <v>36</v>
      </c>
      <c r="R338" s="131">
        <f ca="1" t="shared" si="108"/>
        <v>35</v>
      </c>
      <c r="S338" s="131">
        <f ca="1" t="shared" si="109"/>
        <v>38</v>
      </c>
      <c r="T338" s="131">
        <f ca="1" t="shared" si="110"/>
        <v>40</v>
      </c>
      <c r="U338" s="131">
        <f ca="1" t="shared" si="111"/>
        <v>40</v>
      </c>
      <c r="V338" s="131">
        <f ca="1" t="shared" si="112"/>
        <v>41</v>
      </c>
      <c r="W338" s="124">
        <f ca="1">OFFSET($K$19,_xlfn.XLOOKUP(X338,$D$9:$D$28,$H$9:$H$28),MATCH(OFFSET($C$29,B338,MATCH(X338,$D$29:$V$29,0)),$L$19:$R$19,1))*(1+(OFFSET($C$29,B338,MATCH(X338,$D$29:$V$29,0))-1)*_xlfn.XLOOKUP(X338,梦灵养成!$D$9:$D$28,梦灵养成!$G$9:$G$28))</f>
        <v>54.6</v>
      </c>
      <c r="X338" s="106" t="str">
        <f ca="1" t="shared" si="93"/>
        <v>神算诸葛</v>
      </c>
      <c r="Y338" s="95">
        <f ca="1" t="shared" si="113"/>
        <v>147600</v>
      </c>
      <c r="Z338" s="96">
        <f ca="1" t="shared" si="114"/>
        <v>5</v>
      </c>
    </row>
    <row r="339" s="106" customFormat="1" ht="16.5" spans="2:26">
      <c r="B339" s="117">
        <v>310</v>
      </c>
      <c r="C339" s="130">
        <f t="shared" si="115"/>
        <v>31000</v>
      </c>
      <c r="D339" s="131">
        <f ca="1" t="shared" si="94"/>
        <v>49</v>
      </c>
      <c r="E339" s="131">
        <f ca="1" t="shared" si="95"/>
        <v>49</v>
      </c>
      <c r="F339" s="131">
        <f ca="1" t="shared" si="96"/>
        <v>49</v>
      </c>
      <c r="G339" s="131">
        <f ca="1" t="shared" si="97"/>
        <v>40</v>
      </c>
      <c r="H339" s="131">
        <f ca="1" t="shared" si="98"/>
        <v>40</v>
      </c>
      <c r="I339" s="131">
        <f ca="1" t="shared" si="99"/>
        <v>40</v>
      </c>
      <c r="J339" s="131">
        <f ca="1" t="shared" si="100"/>
        <v>40</v>
      </c>
      <c r="K339" s="131">
        <f ca="1" t="shared" si="101"/>
        <v>40</v>
      </c>
      <c r="L339" s="131">
        <f ca="1" t="shared" si="102"/>
        <v>40</v>
      </c>
      <c r="M339" s="131">
        <f ca="1" t="shared" si="103"/>
        <v>35</v>
      </c>
      <c r="N339" s="131">
        <f ca="1" t="shared" si="104"/>
        <v>36</v>
      </c>
      <c r="O339" s="131">
        <f ca="1" t="shared" si="105"/>
        <v>36</v>
      </c>
      <c r="P339" s="131">
        <f ca="1" t="shared" si="106"/>
        <v>35</v>
      </c>
      <c r="Q339" s="131">
        <f ca="1" t="shared" si="107"/>
        <v>36</v>
      </c>
      <c r="R339" s="131">
        <f ca="1" t="shared" si="108"/>
        <v>35</v>
      </c>
      <c r="S339" s="131">
        <f ca="1" t="shared" si="109"/>
        <v>38</v>
      </c>
      <c r="T339" s="131">
        <f ca="1" t="shared" si="110"/>
        <v>40</v>
      </c>
      <c r="U339" s="131">
        <f ca="1" t="shared" si="111"/>
        <v>40</v>
      </c>
      <c r="V339" s="131">
        <f ca="1" t="shared" si="112"/>
        <v>41</v>
      </c>
      <c r="W339" s="124">
        <f ca="1">OFFSET($K$19,_xlfn.XLOOKUP(X339,$D$9:$D$28,$H$9:$H$28),MATCH(OFFSET($C$29,B339,MATCH(X339,$D$29:$V$29,0)),$L$19:$R$19,1))*(1+(OFFSET($C$29,B339,MATCH(X339,$D$29:$V$29,0))-1)*_xlfn.XLOOKUP(X339,梦灵养成!$D$9:$D$28,梦灵养成!$G$9:$G$28))</f>
        <v>54.6</v>
      </c>
      <c r="X339" s="106" t="str">
        <f ca="1" t="shared" si="93"/>
        <v>神算诸葛</v>
      </c>
      <c r="Y339" s="95">
        <f ca="1" t="shared" si="113"/>
        <v>145800</v>
      </c>
      <c r="Z339" s="96">
        <f ca="1" t="shared" si="114"/>
        <v>5</v>
      </c>
    </row>
    <row r="340" s="106" customFormat="1" ht="16.5" spans="2:26">
      <c r="B340" s="117">
        <v>311</v>
      </c>
      <c r="C340" s="130">
        <f t="shared" si="115"/>
        <v>31100</v>
      </c>
      <c r="D340" s="131">
        <f ca="1" t="shared" si="94"/>
        <v>49</v>
      </c>
      <c r="E340" s="131">
        <f ca="1" t="shared" si="95"/>
        <v>49</v>
      </c>
      <c r="F340" s="131">
        <f ca="1" t="shared" si="96"/>
        <v>49</v>
      </c>
      <c r="G340" s="131">
        <f ca="1" t="shared" si="97"/>
        <v>40</v>
      </c>
      <c r="H340" s="131">
        <f ca="1" t="shared" si="98"/>
        <v>40</v>
      </c>
      <c r="I340" s="131">
        <f ca="1" t="shared" si="99"/>
        <v>40</v>
      </c>
      <c r="J340" s="131">
        <f ca="1" t="shared" si="100"/>
        <v>40</v>
      </c>
      <c r="K340" s="131">
        <f ca="1" t="shared" si="101"/>
        <v>40</v>
      </c>
      <c r="L340" s="131">
        <f ca="1" t="shared" si="102"/>
        <v>40</v>
      </c>
      <c r="M340" s="131">
        <f ca="1" t="shared" si="103"/>
        <v>36</v>
      </c>
      <c r="N340" s="131">
        <f ca="1" t="shared" si="104"/>
        <v>36</v>
      </c>
      <c r="O340" s="131">
        <f ca="1" t="shared" si="105"/>
        <v>36</v>
      </c>
      <c r="P340" s="131">
        <f ca="1" t="shared" si="106"/>
        <v>35</v>
      </c>
      <c r="Q340" s="131">
        <f ca="1" t="shared" si="107"/>
        <v>36</v>
      </c>
      <c r="R340" s="131">
        <f ca="1" t="shared" si="108"/>
        <v>36</v>
      </c>
      <c r="S340" s="131">
        <f ca="1" t="shared" si="109"/>
        <v>38</v>
      </c>
      <c r="T340" s="131">
        <f ca="1" t="shared" si="110"/>
        <v>40</v>
      </c>
      <c r="U340" s="131">
        <f ca="1" t="shared" si="111"/>
        <v>40</v>
      </c>
      <c r="V340" s="131">
        <f ca="1" t="shared" si="112"/>
        <v>41</v>
      </c>
      <c r="W340" s="124">
        <f ca="1">OFFSET($K$19,_xlfn.XLOOKUP(X340,$D$9:$D$28,$H$9:$H$28),MATCH(OFFSET($C$29,B340,MATCH(X340,$D$29:$V$29,0)),$L$19:$R$19,1))*(1+(OFFSET($C$29,B340,MATCH(X340,$D$29:$V$29,0))-1)*_xlfn.XLOOKUP(X340,梦灵养成!$D$9:$D$28,梦灵养成!$G$9:$G$28))</f>
        <v>54.6</v>
      </c>
      <c r="X340" s="106" t="str">
        <f ca="1" t="shared" si="93"/>
        <v>神算诸葛</v>
      </c>
      <c r="Y340" s="95">
        <f ca="1" t="shared" si="113"/>
        <v>144000</v>
      </c>
      <c r="Z340" s="96">
        <f ca="1" t="shared" si="114"/>
        <v>5</v>
      </c>
    </row>
    <row r="341" s="106" customFormat="1" ht="16.5" spans="2:26">
      <c r="B341" s="117">
        <v>312</v>
      </c>
      <c r="C341" s="130">
        <f t="shared" si="115"/>
        <v>31200</v>
      </c>
      <c r="D341" s="131">
        <f ca="1" t="shared" si="94"/>
        <v>49</v>
      </c>
      <c r="E341" s="131">
        <f ca="1" t="shared" si="95"/>
        <v>49</v>
      </c>
      <c r="F341" s="131">
        <f ca="1" t="shared" si="96"/>
        <v>49</v>
      </c>
      <c r="G341" s="131">
        <f ca="1" t="shared" si="97"/>
        <v>40</v>
      </c>
      <c r="H341" s="131">
        <f ca="1" t="shared" si="98"/>
        <v>40</v>
      </c>
      <c r="I341" s="131">
        <f ca="1" t="shared" si="99"/>
        <v>40</v>
      </c>
      <c r="J341" s="131">
        <f ca="1" t="shared" si="100"/>
        <v>40</v>
      </c>
      <c r="K341" s="131">
        <f ca="1" t="shared" si="101"/>
        <v>40</v>
      </c>
      <c r="L341" s="131">
        <f ca="1" t="shared" si="102"/>
        <v>40</v>
      </c>
      <c r="M341" s="131">
        <f ca="1" t="shared" si="103"/>
        <v>36</v>
      </c>
      <c r="N341" s="131">
        <f ca="1" t="shared" si="104"/>
        <v>36</v>
      </c>
      <c r="O341" s="131">
        <f ca="1" t="shared" si="105"/>
        <v>36</v>
      </c>
      <c r="P341" s="131">
        <f ca="1" t="shared" si="106"/>
        <v>35</v>
      </c>
      <c r="Q341" s="131">
        <f ca="1" t="shared" si="107"/>
        <v>36</v>
      </c>
      <c r="R341" s="131">
        <f ca="1" t="shared" si="108"/>
        <v>36</v>
      </c>
      <c r="S341" s="131">
        <f ca="1" t="shared" si="109"/>
        <v>38</v>
      </c>
      <c r="T341" s="131">
        <f ca="1" t="shared" si="110"/>
        <v>40</v>
      </c>
      <c r="U341" s="131">
        <f ca="1" t="shared" si="111"/>
        <v>40</v>
      </c>
      <c r="V341" s="131">
        <f ca="1" t="shared" si="112"/>
        <v>41</v>
      </c>
      <c r="W341" s="124">
        <f ca="1">OFFSET($K$19,_xlfn.XLOOKUP(X341,$D$9:$D$28,$H$9:$H$28),MATCH(OFFSET($C$29,B341,MATCH(X341,$D$29:$V$29,0)),$L$19:$R$19,1))*(1+(OFFSET($C$29,B341,MATCH(X341,$D$29:$V$29,0))-1)*_xlfn.XLOOKUP(X341,梦灵养成!$D$9:$D$28,梦灵养成!$G$9:$G$28))</f>
        <v>54.6</v>
      </c>
      <c r="X341" s="106" t="str">
        <f ca="1" t="shared" si="93"/>
        <v>神算诸葛</v>
      </c>
      <c r="Y341" s="95">
        <f ca="1" t="shared" si="113"/>
        <v>142200</v>
      </c>
      <c r="Z341" s="96">
        <f ca="1" t="shared" si="114"/>
        <v>5</v>
      </c>
    </row>
    <row r="342" s="106" customFormat="1" ht="16.5" spans="2:26">
      <c r="B342" s="117">
        <v>313</v>
      </c>
      <c r="C342" s="130">
        <f t="shared" si="115"/>
        <v>31300</v>
      </c>
      <c r="D342" s="131">
        <f ca="1" t="shared" si="94"/>
        <v>49</v>
      </c>
      <c r="E342" s="131">
        <f ca="1" t="shared" si="95"/>
        <v>49</v>
      </c>
      <c r="F342" s="131">
        <f ca="1" t="shared" si="96"/>
        <v>49</v>
      </c>
      <c r="G342" s="131">
        <f ca="1" t="shared" si="97"/>
        <v>40</v>
      </c>
      <c r="H342" s="131">
        <f ca="1" t="shared" si="98"/>
        <v>40</v>
      </c>
      <c r="I342" s="131">
        <f ca="1" t="shared" si="99"/>
        <v>40</v>
      </c>
      <c r="J342" s="131">
        <f ca="1" t="shared" si="100"/>
        <v>40</v>
      </c>
      <c r="K342" s="131">
        <f ca="1" t="shared" si="101"/>
        <v>40</v>
      </c>
      <c r="L342" s="131">
        <f ca="1" t="shared" si="102"/>
        <v>40</v>
      </c>
      <c r="M342" s="131">
        <f ca="1" t="shared" si="103"/>
        <v>36</v>
      </c>
      <c r="N342" s="131">
        <f ca="1" t="shared" si="104"/>
        <v>36</v>
      </c>
      <c r="O342" s="131">
        <f ca="1" t="shared" si="105"/>
        <v>36</v>
      </c>
      <c r="P342" s="131">
        <f ca="1" t="shared" si="106"/>
        <v>35</v>
      </c>
      <c r="Q342" s="131">
        <f ca="1" t="shared" si="107"/>
        <v>36</v>
      </c>
      <c r="R342" s="131">
        <f ca="1" t="shared" si="108"/>
        <v>36</v>
      </c>
      <c r="S342" s="131">
        <f ca="1" t="shared" si="109"/>
        <v>38</v>
      </c>
      <c r="T342" s="131">
        <f ca="1" t="shared" si="110"/>
        <v>40</v>
      </c>
      <c r="U342" s="131">
        <f ca="1" t="shared" si="111"/>
        <v>40</v>
      </c>
      <c r="V342" s="131">
        <f ca="1" t="shared" si="112"/>
        <v>41</v>
      </c>
      <c r="W342" s="124">
        <f ca="1">OFFSET($K$19,_xlfn.XLOOKUP(X342,$D$9:$D$28,$H$9:$H$28),MATCH(OFFSET($C$29,B342,MATCH(X342,$D$29:$V$29,0)),$L$19:$R$19,1))*(1+(OFFSET($C$29,B342,MATCH(X342,$D$29:$V$29,0))-1)*_xlfn.XLOOKUP(X342,梦灵养成!$D$9:$D$28,梦灵养成!$G$9:$G$28))</f>
        <v>54.6</v>
      </c>
      <c r="X342" s="106" t="str">
        <f ca="1" t="shared" si="93"/>
        <v>神算诸葛</v>
      </c>
      <c r="Y342" s="95">
        <f ca="1" t="shared" si="113"/>
        <v>140400</v>
      </c>
      <c r="Z342" s="96">
        <f ca="1" t="shared" si="114"/>
        <v>5</v>
      </c>
    </row>
    <row r="343" s="106" customFormat="1" ht="16.5" spans="2:26">
      <c r="B343" s="117">
        <v>314</v>
      </c>
      <c r="C343" s="130">
        <f t="shared" si="115"/>
        <v>31400</v>
      </c>
      <c r="D343" s="131">
        <f ca="1" t="shared" si="94"/>
        <v>49</v>
      </c>
      <c r="E343" s="131">
        <f ca="1" t="shared" si="95"/>
        <v>49</v>
      </c>
      <c r="F343" s="131">
        <f ca="1" t="shared" si="96"/>
        <v>49</v>
      </c>
      <c r="G343" s="131">
        <f ca="1" t="shared" si="97"/>
        <v>41</v>
      </c>
      <c r="H343" s="131">
        <f ca="1" t="shared" si="98"/>
        <v>41</v>
      </c>
      <c r="I343" s="131">
        <f ca="1" t="shared" si="99"/>
        <v>41</v>
      </c>
      <c r="J343" s="131">
        <f ca="1" t="shared" si="100"/>
        <v>40</v>
      </c>
      <c r="K343" s="131">
        <f ca="1" t="shared" si="101"/>
        <v>40</v>
      </c>
      <c r="L343" s="131">
        <f ca="1" t="shared" si="102"/>
        <v>40</v>
      </c>
      <c r="M343" s="131">
        <f ca="1" t="shared" si="103"/>
        <v>36</v>
      </c>
      <c r="N343" s="131">
        <f ca="1" t="shared" si="104"/>
        <v>36</v>
      </c>
      <c r="O343" s="131">
        <f ca="1" t="shared" si="105"/>
        <v>36</v>
      </c>
      <c r="P343" s="131">
        <f ca="1" t="shared" si="106"/>
        <v>36</v>
      </c>
      <c r="Q343" s="131">
        <f ca="1" t="shared" si="107"/>
        <v>36</v>
      </c>
      <c r="R343" s="131">
        <f ca="1" t="shared" si="108"/>
        <v>36</v>
      </c>
      <c r="S343" s="131">
        <f ca="1" t="shared" si="109"/>
        <v>38</v>
      </c>
      <c r="T343" s="131">
        <f ca="1" t="shared" si="110"/>
        <v>40</v>
      </c>
      <c r="U343" s="131">
        <f ca="1" t="shared" si="111"/>
        <v>40</v>
      </c>
      <c r="V343" s="131">
        <f ca="1" t="shared" si="112"/>
        <v>41</v>
      </c>
      <c r="W343" s="124">
        <f ca="1">OFFSET($K$19,_xlfn.XLOOKUP(X343,$D$9:$D$28,$H$9:$H$28),MATCH(OFFSET($C$29,B343,MATCH(X343,$D$29:$V$29,0)),$L$19:$R$19,1))*(1+(OFFSET($C$29,B343,MATCH(X343,$D$29:$V$29,0))-1)*_xlfn.XLOOKUP(X343,梦灵养成!$D$9:$D$28,梦灵养成!$G$9:$G$28))</f>
        <v>54.6</v>
      </c>
      <c r="X343" s="106" t="str">
        <f ca="1" t="shared" si="93"/>
        <v>神算诸葛</v>
      </c>
      <c r="Y343" s="95">
        <f ca="1" t="shared" si="113"/>
        <v>138600</v>
      </c>
      <c r="Z343" s="96">
        <f ca="1" t="shared" si="114"/>
        <v>5</v>
      </c>
    </row>
    <row r="344" s="106" customFormat="1" ht="16.5" spans="2:26">
      <c r="B344" s="117">
        <v>315</v>
      </c>
      <c r="C344" s="130">
        <f t="shared" si="115"/>
        <v>31500</v>
      </c>
      <c r="D344" s="131">
        <f ca="1" t="shared" si="94"/>
        <v>49</v>
      </c>
      <c r="E344" s="131">
        <f ca="1" t="shared" si="95"/>
        <v>49</v>
      </c>
      <c r="F344" s="131">
        <f ca="1" t="shared" si="96"/>
        <v>49</v>
      </c>
      <c r="G344" s="131">
        <f ca="1" t="shared" si="97"/>
        <v>41</v>
      </c>
      <c r="H344" s="131">
        <f ca="1" t="shared" si="98"/>
        <v>41</v>
      </c>
      <c r="I344" s="131">
        <f ca="1" t="shared" si="99"/>
        <v>41</v>
      </c>
      <c r="J344" s="131">
        <f ca="1" t="shared" si="100"/>
        <v>41</v>
      </c>
      <c r="K344" s="131">
        <f ca="1" t="shared" si="101"/>
        <v>41</v>
      </c>
      <c r="L344" s="131">
        <f ca="1" t="shared" si="102"/>
        <v>41</v>
      </c>
      <c r="M344" s="131">
        <f ca="1" t="shared" si="103"/>
        <v>36</v>
      </c>
      <c r="N344" s="131">
        <f ca="1" t="shared" si="104"/>
        <v>36</v>
      </c>
      <c r="O344" s="131">
        <f ca="1" t="shared" si="105"/>
        <v>36</v>
      </c>
      <c r="P344" s="131">
        <f ca="1" t="shared" si="106"/>
        <v>36</v>
      </c>
      <c r="Q344" s="131">
        <f ca="1" t="shared" si="107"/>
        <v>36</v>
      </c>
      <c r="R344" s="131">
        <f ca="1" t="shared" si="108"/>
        <v>36</v>
      </c>
      <c r="S344" s="131">
        <f ca="1" t="shared" si="109"/>
        <v>38</v>
      </c>
      <c r="T344" s="131">
        <f ca="1" t="shared" si="110"/>
        <v>40</v>
      </c>
      <c r="U344" s="131">
        <f ca="1" t="shared" si="111"/>
        <v>40</v>
      </c>
      <c r="V344" s="131">
        <f ca="1" t="shared" si="112"/>
        <v>41</v>
      </c>
      <c r="W344" s="124">
        <f ca="1">OFFSET($K$19,_xlfn.XLOOKUP(X344,$D$9:$D$28,$H$9:$H$28),MATCH(OFFSET($C$29,B344,MATCH(X344,$D$29:$V$29,0)),$L$19:$R$19,1))*(1+(OFFSET($C$29,B344,MATCH(X344,$D$29:$V$29,0))-1)*_xlfn.XLOOKUP(X344,梦灵养成!$D$9:$D$28,梦灵养成!$G$9:$G$28))</f>
        <v>54.6</v>
      </c>
      <c r="X344" s="106" t="str">
        <f ca="1" t="shared" si="93"/>
        <v>神算诸葛</v>
      </c>
      <c r="Y344" s="95">
        <f ca="1" t="shared" si="113"/>
        <v>136800</v>
      </c>
      <c r="Z344" s="96">
        <f ca="1" t="shared" si="114"/>
        <v>5</v>
      </c>
    </row>
    <row r="345" s="106" customFormat="1" ht="16.5" spans="2:26">
      <c r="B345" s="117">
        <v>316</v>
      </c>
      <c r="C345" s="130">
        <f t="shared" si="115"/>
        <v>31600</v>
      </c>
      <c r="D345" s="131">
        <f ca="1" t="shared" si="94"/>
        <v>49</v>
      </c>
      <c r="E345" s="131">
        <f ca="1" t="shared" si="95"/>
        <v>49</v>
      </c>
      <c r="F345" s="131">
        <f ca="1" t="shared" si="96"/>
        <v>49</v>
      </c>
      <c r="G345" s="131">
        <f ca="1" t="shared" si="97"/>
        <v>41</v>
      </c>
      <c r="H345" s="131">
        <f ca="1" t="shared" si="98"/>
        <v>41</v>
      </c>
      <c r="I345" s="131">
        <f ca="1" t="shared" si="99"/>
        <v>41</v>
      </c>
      <c r="J345" s="131">
        <f ca="1" t="shared" si="100"/>
        <v>41</v>
      </c>
      <c r="K345" s="131">
        <f ca="1" t="shared" si="101"/>
        <v>41</v>
      </c>
      <c r="L345" s="131">
        <f ca="1" t="shared" si="102"/>
        <v>41</v>
      </c>
      <c r="M345" s="131">
        <f ca="1" t="shared" si="103"/>
        <v>36</v>
      </c>
      <c r="N345" s="131">
        <f ca="1" t="shared" si="104"/>
        <v>36</v>
      </c>
      <c r="O345" s="131">
        <f ca="1" t="shared" si="105"/>
        <v>36</v>
      </c>
      <c r="P345" s="131">
        <f ca="1" t="shared" si="106"/>
        <v>36</v>
      </c>
      <c r="Q345" s="131">
        <f ca="1" t="shared" si="107"/>
        <v>36</v>
      </c>
      <c r="R345" s="131">
        <f ca="1" t="shared" si="108"/>
        <v>36</v>
      </c>
      <c r="S345" s="131">
        <f ca="1" t="shared" si="109"/>
        <v>38</v>
      </c>
      <c r="T345" s="131">
        <f ca="1" t="shared" si="110"/>
        <v>40</v>
      </c>
      <c r="U345" s="131">
        <f ca="1" t="shared" si="111"/>
        <v>40</v>
      </c>
      <c r="V345" s="131">
        <f ca="1" t="shared" si="112"/>
        <v>41</v>
      </c>
      <c r="W345" s="124">
        <f ca="1">OFFSET($K$19,_xlfn.XLOOKUP(X345,$D$9:$D$28,$H$9:$H$28),MATCH(OFFSET($C$29,B345,MATCH(X345,$D$29:$V$29,0)),$L$19:$R$19,1))*(1+(OFFSET($C$29,B345,MATCH(X345,$D$29:$V$29,0))-1)*_xlfn.XLOOKUP(X345,梦灵养成!$D$9:$D$28,梦灵养成!$G$9:$G$28))</f>
        <v>54.6</v>
      </c>
      <c r="X345" s="106" t="str">
        <f ca="1" t="shared" si="93"/>
        <v>神算诸葛</v>
      </c>
      <c r="Y345" s="95">
        <f ca="1" t="shared" si="113"/>
        <v>135000</v>
      </c>
      <c r="Z345" s="96">
        <f ca="1" t="shared" si="114"/>
        <v>5</v>
      </c>
    </row>
    <row r="346" s="106" customFormat="1" ht="16.5" spans="2:26">
      <c r="B346" s="117">
        <v>317</v>
      </c>
      <c r="C346" s="130">
        <f t="shared" si="115"/>
        <v>31700</v>
      </c>
      <c r="D346" s="131">
        <f ca="1" t="shared" si="94"/>
        <v>49</v>
      </c>
      <c r="E346" s="131">
        <f ca="1" t="shared" si="95"/>
        <v>49</v>
      </c>
      <c r="F346" s="131">
        <f ca="1" t="shared" si="96"/>
        <v>49</v>
      </c>
      <c r="G346" s="131">
        <f ca="1" t="shared" si="97"/>
        <v>41</v>
      </c>
      <c r="H346" s="131">
        <f ca="1" t="shared" si="98"/>
        <v>41</v>
      </c>
      <c r="I346" s="131">
        <f ca="1" t="shared" si="99"/>
        <v>41</v>
      </c>
      <c r="J346" s="131">
        <f ca="1" t="shared" si="100"/>
        <v>41</v>
      </c>
      <c r="K346" s="131">
        <f ca="1" t="shared" si="101"/>
        <v>41</v>
      </c>
      <c r="L346" s="131">
        <f ca="1" t="shared" si="102"/>
        <v>41</v>
      </c>
      <c r="M346" s="131">
        <f ca="1" t="shared" si="103"/>
        <v>36</v>
      </c>
      <c r="N346" s="131">
        <f ca="1" t="shared" si="104"/>
        <v>36</v>
      </c>
      <c r="O346" s="131">
        <f ca="1" t="shared" si="105"/>
        <v>36</v>
      </c>
      <c r="P346" s="131">
        <f ca="1" t="shared" si="106"/>
        <v>36</v>
      </c>
      <c r="Q346" s="131">
        <f ca="1" t="shared" si="107"/>
        <v>36</v>
      </c>
      <c r="R346" s="131">
        <f ca="1" t="shared" si="108"/>
        <v>36</v>
      </c>
      <c r="S346" s="131">
        <f ca="1" t="shared" si="109"/>
        <v>38</v>
      </c>
      <c r="T346" s="131">
        <f ca="1" t="shared" si="110"/>
        <v>40</v>
      </c>
      <c r="U346" s="131">
        <f ca="1" t="shared" si="111"/>
        <v>40</v>
      </c>
      <c r="V346" s="131">
        <f ca="1" t="shared" si="112"/>
        <v>41</v>
      </c>
      <c r="W346" s="124">
        <f ca="1">OFFSET($K$19,_xlfn.XLOOKUP(X346,$D$9:$D$28,$H$9:$H$28),MATCH(OFFSET($C$29,B346,MATCH(X346,$D$29:$V$29,0)),$L$19:$R$19,1))*(1+(OFFSET($C$29,B346,MATCH(X346,$D$29:$V$29,0))-1)*_xlfn.XLOOKUP(X346,梦灵养成!$D$9:$D$28,梦灵养成!$G$9:$G$28))</f>
        <v>54.6</v>
      </c>
      <c r="X346" s="106" t="str">
        <f ca="1" t="shared" si="93"/>
        <v>神算诸葛</v>
      </c>
      <c r="Y346" s="95">
        <f ca="1" t="shared" si="113"/>
        <v>133200</v>
      </c>
      <c r="Z346" s="96">
        <f ca="1" t="shared" si="114"/>
        <v>5</v>
      </c>
    </row>
    <row r="347" s="106" customFormat="1" ht="16.5" spans="2:26">
      <c r="B347" s="117">
        <v>318</v>
      </c>
      <c r="C347" s="130">
        <f t="shared" si="115"/>
        <v>31800</v>
      </c>
      <c r="D347" s="131">
        <f ca="1" t="shared" si="94"/>
        <v>49</v>
      </c>
      <c r="E347" s="131">
        <f ca="1" t="shared" si="95"/>
        <v>49</v>
      </c>
      <c r="F347" s="131">
        <f ca="1" t="shared" si="96"/>
        <v>49</v>
      </c>
      <c r="G347" s="131">
        <f ca="1" t="shared" si="97"/>
        <v>41</v>
      </c>
      <c r="H347" s="131">
        <f ca="1" t="shared" si="98"/>
        <v>41</v>
      </c>
      <c r="I347" s="131">
        <f ca="1" t="shared" si="99"/>
        <v>41</v>
      </c>
      <c r="J347" s="131">
        <f ca="1" t="shared" si="100"/>
        <v>41</v>
      </c>
      <c r="K347" s="131">
        <f ca="1" t="shared" si="101"/>
        <v>41</v>
      </c>
      <c r="L347" s="131">
        <f ca="1" t="shared" si="102"/>
        <v>41</v>
      </c>
      <c r="M347" s="131">
        <f ca="1" t="shared" si="103"/>
        <v>36</v>
      </c>
      <c r="N347" s="131">
        <f ca="1" t="shared" si="104"/>
        <v>36</v>
      </c>
      <c r="O347" s="131">
        <f ca="1" t="shared" si="105"/>
        <v>36</v>
      </c>
      <c r="P347" s="131">
        <f ca="1" t="shared" si="106"/>
        <v>36</v>
      </c>
      <c r="Q347" s="131">
        <f ca="1" t="shared" si="107"/>
        <v>36</v>
      </c>
      <c r="R347" s="131">
        <f ca="1" t="shared" si="108"/>
        <v>36</v>
      </c>
      <c r="S347" s="131">
        <f ca="1" t="shared" si="109"/>
        <v>38</v>
      </c>
      <c r="T347" s="131">
        <f ca="1" t="shared" si="110"/>
        <v>40</v>
      </c>
      <c r="U347" s="131">
        <f ca="1" t="shared" si="111"/>
        <v>41</v>
      </c>
      <c r="V347" s="131">
        <f ca="1" t="shared" si="112"/>
        <v>41</v>
      </c>
      <c r="W347" s="124">
        <f ca="1">OFFSET($K$19,_xlfn.XLOOKUP(X347,$D$9:$D$28,$H$9:$H$28),MATCH(OFFSET($C$29,B347,MATCH(X347,$D$29:$V$29,0)),$L$19:$R$19,1))*(1+(OFFSET($C$29,B347,MATCH(X347,$D$29:$V$29,0))-1)*_xlfn.XLOOKUP(X347,梦灵养成!$D$9:$D$28,梦灵养成!$G$9:$G$28))</f>
        <v>54.6</v>
      </c>
      <c r="X347" s="106" t="str">
        <f ca="1" t="shared" si="93"/>
        <v>神算诸葛</v>
      </c>
      <c r="Y347" s="95">
        <f ca="1" t="shared" si="113"/>
        <v>131400</v>
      </c>
      <c r="Z347" s="96">
        <f ca="1" t="shared" si="114"/>
        <v>5</v>
      </c>
    </row>
    <row r="348" s="106" customFormat="1" ht="16.5" spans="2:26">
      <c r="B348" s="117">
        <v>319</v>
      </c>
      <c r="C348" s="130">
        <f t="shared" si="115"/>
        <v>31900</v>
      </c>
      <c r="D348" s="131">
        <f ca="1" t="shared" si="94"/>
        <v>49</v>
      </c>
      <c r="E348" s="131">
        <f ca="1" t="shared" si="95"/>
        <v>49</v>
      </c>
      <c r="F348" s="131">
        <f ca="1" t="shared" si="96"/>
        <v>49</v>
      </c>
      <c r="G348" s="131">
        <f ca="1" t="shared" si="97"/>
        <v>41</v>
      </c>
      <c r="H348" s="131">
        <f ca="1" t="shared" si="98"/>
        <v>41</v>
      </c>
      <c r="I348" s="131">
        <f ca="1" t="shared" si="99"/>
        <v>41</v>
      </c>
      <c r="J348" s="131">
        <f ca="1" t="shared" si="100"/>
        <v>41</v>
      </c>
      <c r="K348" s="131">
        <f ca="1" t="shared" si="101"/>
        <v>41</v>
      </c>
      <c r="L348" s="131">
        <f ca="1" t="shared" si="102"/>
        <v>41</v>
      </c>
      <c r="M348" s="131">
        <f ca="1" t="shared" si="103"/>
        <v>36</v>
      </c>
      <c r="N348" s="131">
        <f ca="1" t="shared" si="104"/>
        <v>36</v>
      </c>
      <c r="O348" s="131">
        <f ca="1" t="shared" si="105"/>
        <v>36</v>
      </c>
      <c r="P348" s="131">
        <f ca="1" t="shared" si="106"/>
        <v>36</v>
      </c>
      <c r="Q348" s="131">
        <f ca="1" t="shared" si="107"/>
        <v>36</v>
      </c>
      <c r="R348" s="131">
        <f ca="1" t="shared" si="108"/>
        <v>36</v>
      </c>
      <c r="S348" s="131">
        <f ca="1" t="shared" si="109"/>
        <v>38</v>
      </c>
      <c r="T348" s="131">
        <f ca="1" t="shared" si="110"/>
        <v>40</v>
      </c>
      <c r="U348" s="131">
        <f ca="1" t="shared" si="111"/>
        <v>41</v>
      </c>
      <c r="V348" s="131">
        <f ca="1" t="shared" si="112"/>
        <v>41</v>
      </c>
      <c r="W348" s="124">
        <f ca="1">OFFSET($K$19,_xlfn.XLOOKUP(X348,$D$9:$D$28,$H$9:$H$28),MATCH(OFFSET($C$29,B348,MATCH(X348,$D$29:$V$29,0)),$L$19:$R$19,1))*(1+(OFFSET($C$29,B348,MATCH(X348,$D$29:$V$29,0))-1)*_xlfn.XLOOKUP(X348,梦灵养成!$D$9:$D$28,梦灵养成!$G$9:$G$28))</f>
        <v>54.6</v>
      </c>
      <c r="X348" s="106" t="str">
        <f ca="1" t="shared" si="93"/>
        <v>神算诸葛</v>
      </c>
      <c r="Y348" s="95">
        <f ca="1" t="shared" si="113"/>
        <v>129600</v>
      </c>
      <c r="Z348" s="96">
        <f ca="1" t="shared" si="114"/>
        <v>5</v>
      </c>
    </row>
    <row r="349" s="106" customFormat="1" ht="16.5" spans="2:26">
      <c r="B349" s="117">
        <v>320</v>
      </c>
      <c r="C349" s="130">
        <f t="shared" si="115"/>
        <v>32000</v>
      </c>
      <c r="D349" s="131">
        <f ca="1" t="shared" si="94"/>
        <v>49</v>
      </c>
      <c r="E349" s="131">
        <f ca="1" t="shared" si="95"/>
        <v>49</v>
      </c>
      <c r="F349" s="131">
        <f ca="1" t="shared" si="96"/>
        <v>49</v>
      </c>
      <c r="G349" s="131">
        <f ca="1" t="shared" si="97"/>
        <v>41</v>
      </c>
      <c r="H349" s="131">
        <f ca="1" t="shared" si="98"/>
        <v>41</v>
      </c>
      <c r="I349" s="131">
        <f ca="1" t="shared" si="99"/>
        <v>41</v>
      </c>
      <c r="J349" s="131">
        <f ca="1" t="shared" si="100"/>
        <v>41</v>
      </c>
      <c r="K349" s="131">
        <f ca="1" t="shared" si="101"/>
        <v>41</v>
      </c>
      <c r="L349" s="131">
        <f ca="1" t="shared" si="102"/>
        <v>41</v>
      </c>
      <c r="M349" s="131">
        <f ca="1" t="shared" si="103"/>
        <v>36</v>
      </c>
      <c r="N349" s="131">
        <f ca="1" t="shared" si="104"/>
        <v>36</v>
      </c>
      <c r="O349" s="131">
        <f ca="1" t="shared" si="105"/>
        <v>36</v>
      </c>
      <c r="P349" s="131">
        <f ca="1" t="shared" si="106"/>
        <v>36</v>
      </c>
      <c r="Q349" s="131">
        <f ca="1" t="shared" si="107"/>
        <v>36</v>
      </c>
      <c r="R349" s="131">
        <f ca="1" t="shared" si="108"/>
        <v>36</v>
      </c>
      <c r="S349" s="131">
        <f ca="1" t="shared" si="109"/>
        <v>38</v>
      </c>
      <c r="T349" s="131">
        <f ca="1" t="shared" si="110"/>
        <v>40</v>
      </c>
      <c r="U349" s="131">
        <f ca="1" t="shared" si="111"/>
        <v>41</v>
      </c>
      <c r="V349" s="131">
        <f ca="1" t="shared" si="112"/>
        <v>41</v>
      </c>
      <c r="W349" s="124">
        <f ca="1">OFFSET($K$19,_xlfn.XLOOKUP(X349,$D$9:$D$28,$H$9:$H$28),MATCH(OFFSET($C$29,B349,MATCH(X349,$D$29:$V$29,0)),$L$19:$R$19,1))*(1+(OFFSET($C$29,B349,MATCH(X349,$D$29:$V$29,0))-1)*_xlfn.XLOOKUP(X349,梦灵养成!$D$9:$D$28,梦灵养成!$G$9:$G$28))</f>
        <v>54.6</v>
      </c>
      <c r="X349" s="106" t="str">
        <f ca="1" t="shared" si="93"/>
        <v>神算诸葛</v>
      </c>
      <c r="Y349" s="95">
        <f ca="1" t="shared" si="113"/>
        <v>127800</v>
      </c>
      <c r="Z349" s="96">
        <f ca="1" t="shared" si="114"/>
        <v>5</v>
      </c>
    </row>
    <row r="350" s="106" customFormat="1" ht="16.5" spans="2:26">
      <c r="B350" s="117">
        <v>321</v>
      </c>
      <c r="C350" s="130">
        <f t="shared" si="115"/>
        <v>32100</v>
      </c>
      <c r="D350" s="131">
        <f ca="1" t="shared" si="94"/>
        <v>49</v>
      </c>
      <c r="E350" s="131">
        <f ca="1" t="shared" si="95"/>
        <v>49</v>
      </c>
      <c r="F350" s="131">
        <f ca="1" t="shared" si="96"/>
        <v>49</v>
      </c>
      <c r="G350" s="131">
        <f ca="1" t="shared" si="97"/>
        <v>41</v>
      </c>
      <c r="H350" s="131">
        <f ca="1" t="shared" si="98"/>
        <v>41</v>
      </c>
      <c r="I350" s="131">
        <f ca="1" t="shared" si="99"/>
        <v>41</v>
      </c>
      <c r="J350" s="131">
        <f ca="1" t="shared" si="100"/>
        <v>41</v>
      </c>
      <c r="K350" s="131">
        <f ca="1" t="shared" si="101"/>
        <v>41</v>
      </c>
      <c r="L350" s="131">
        <f ca="1" t="shared" si="102"/>
        <v>41</v>
      </c>
      <c r="M350" s="131">
        <f ca="1" t="shared" si="103"/>
        <v>36</v>
      </c>
      <c r="N350" s="131">
        <f ca="1" t="shared" si="104"/>
        <v>36</v>
      </c>
      <c r="O350" s="131">
        <f ca="1" t="shared" si="105"/>
        <v>36</v>
      </c>
      <c r="P350" s="131">
        <f ca="1" t="shared" si="106"/>
        <v>36</v>
      </c>
      <c r="Q350" s="131">
        <f ca="1" t="shared" si="107"/>
        <v>36</v>
      </c>
      <c r="R350" s="131">
        <f ca="1" t="shared" si="108"/>
        <v>36</v>
      </c>
      <c r="S350" s="131">
        <f ca="1" t="shared" si="109"/>
        <v>39</v>
      </c>
      <c r="T350" s="131">
        <f ca="1" t="shared" si="110"/>
        <v>40</v>
      </c>
      <c r="U350" s="131">
        <f ca="1" t="shared" si="111"/>
        <v>41</v>
      </c>
      <c r="V350" s="131">
        <f ca="1" t="shared" si="112"/>
        <v>41</v>
      </c>
      <c r="W350" s="124">
        <f ca="1">OFFSET($K$19,_xlfn.XLOOKUP(X350,$D$9:$D$28,$H$9:$H$28),MATCH(OFFSET($C$29,B350,MATCH(X350,$D$29:$V$29,0)),$L$19:$R$19,1))*(1+(OFFSET($C$29,B350,MATCH(X350,$D$29:$V$29,0))-1)*_xlfn.XLOOKUP(X350,梦灵养成!$D$9:$D$28,梦灵养成!$G$9:$G$28))</f>
        <v>54.6</v>
      </c>
      <c r="X350" s="106" t="str">
        <f ca="1" t="shared" ref="X350:X413" si="116">OFFSET($I$8,MATCH(C350,$C$9:$C$27,1),0)</f>
        <v>神算诸葛</v>
      </c>
      <c r="Y350" s="95">
        <f ca="1" t="shared" si="113"/>
        <v>126000</v>
      </c>
      <c r="Z350" s="96">
        <f ca="1" t="shared" si="114"/>
        <v>5</v>
      </c>
    </row>
    <row r="351" s="106" customFormat="1" ht="16.5" spans="2:26">
      <c r="B351" s="117">
        <v>322</v>
      </c>
      <c r="C351" s="130">
        <f t="shared" si="115"/>
        <v>32200</v>
      </c>
      <c r="D351" s="131">
        <f ca="1" t="shared" ref="D351:D414" si="117">IFERROR(MATCH(D956*10,OFFSET($AP$635:$AP$734,0,D$631),1),0)</f>
        <v>50</v>
      </c>
      <c r="E351" s="131">
        <f ca="1" t="shared" ref="E351:E414" si="118">IFERROR(MATCH(E956*10,OFFSET($AP$635:$AP$734,0,E$631),1),0)</f>
        <v>50</v>
      </c>
      <c r="F351" s="131">
        <f ca="1" t="shared" ref="F351:F414" si="119">IFERROR(MATCH(F956*10,OFFSET($AP$635:$AP$734,0,F$631),1),0)</f>
        <v>50</v>
      </c>
      <c r="G351" s="131">
        <f ca="1" t="shared" ref="G351:G414" si="120">IFERROR(MATCH(G956*10,OFFSET($AP$635:$AP$734,0,G$631),1),0)</f>
        <v>41</v>
      </c>
      <c r="H351" s="131">
        <f ca="1" t="shared" ref="H351:H414" si="121">IFERROR(MATCH(H956*10,OFFSET($AP$635:$AP$734,0,H$631),1),0)</f>
        <v>41</v>
      </c>
      <c r="I351" s="131">
        <f ca="1" t="shared" ref="I351:I414" si="122">IFERROR(MATCH(I956*10,OFFSET($AP$635:$AP$734,0,I$631),1),0)</f>
        <v>41</v>
      </c>
      <c r="J351" s="131">
        <f ca="1" t="shared" ref="J351:J414" si="123">IFERROR(MATCH(J956*10,OFFSET($AP$635:$AP$734,0,J$631),1),0)</f>
        <v>41</v>
      </c>
      <c r="K351" s="131">
        <f ca="1" t="shared" ref="K351:K414" si="124">IFERROR(MATCH(K956*10,OFFSET($AP$635:$AP$734,0,K$631),1),0)</f>
        <v>41</v>
      </c>
      <c r="L351" s="131">
        <f ca="1" t="shared" ref="L351:L414" si="125">IFERROR(MATCH(L956*10,OFFSET($AP$635:$AP$734,0,L$631),1),0)</f>
        <v>41</v>
      </c>
      <c r="M351" s="131">
        <f ca="1" t="shared" ref="M351:M414" si="126">IFERROR(MATCH(M956*10,OFFSET($AP$635:$AP$734,0,M$631),1),0)</f>
        <v>36</v>
      </c>
      <c r="N351" s="131">
        <f ca="1" t="shared" ref="N351:N414" si="127">IFERROR(MATCH(N956*10,OFFSET($AP$635:$AP$734,0,N$631),1),0)</f>
        <v>36</v>
      </c>
      <c r="O351" s="131">
        <f ca="1" t="shared" ref="O351:O414" si="128">IFERROR(MATCH(O956*10,OFFSET($AP$635:$AP$734,0,O$631),1),0)</f>
        <v>36</v>
      </c>
      <c r="P351" s="131">
        <f ca="1" t="shared" ref="P351:P414" si="129">IFERROR(MATCH(P956*10,OFFSET($AP$635:$AP$734,0,P$631),1),0)</f>
        <v>36</v>
      </c>
      <c r="Q351" s="131">
        <f ca="1" t="shared" ref="Q351:Q414" si="130">IFERROR(MATCH(Q956*10,OFFSET($AP$635:$AP$734,0,Q$631),1),0)</f>
        <v>36</v>
      </c>
      <c r="R351" s="131">
        <f ca="1" t="shared" ref="R351:R414" si="131">IFERROR(MATCH(R956*10,OFFSET($AP$635:$AP$734,0,R$631),1),0)</f>
        <v>36</v>
      </c>
      <c r="S351" s="131">
        <f ca="1" t="shared" ref="S351:S414" si="132">IFERROR(MATCH(S956*10,OFFSET($AP$635:$AP$734,0,S$631),1),0)</f>
        <v>39</v>
      </c>
      <c r="T351" s="131">
        <f ca="1" t="shared" ref="T351:T414" si="133">IFERROR(MATCH(T956*10,OFFSET($AP$635:$AP$734,0,T$631),1),0)</f>
        <v>40</v>
      </c>
      <c r="U351" s="131">
        <f ca="1" t="shared" ref="U351:U414" si="134">IFERROR(MATCH(U956*10,OFFSET($AP$635:$AP$734,0,U$631),1),0)</f>
        <v>41</v>
      </c>
      <c r="V351" s="131">
        <f ca="1" t="shared" ref="V351:V414" si="135">IFERROR(MATCH(V956*10,OFFSET($AP$635:$AP$734,0,V$631),1),0)</f>
        <v>42</v>
      </c>
      <c r="W351" s="124">
        <f ca="1">OFFSET($K$19,_xlfn.XLOOKUP(X351,$D$9:$D$28,$H$9:$H$28),MATCH(OFFSET($C$29,B351,MATCH(X351,$D$29:$V$29,0)),$L$19:$R$19,1))*(1+(OFFSET($C$29,B351,MATCH(X351,$D$29:$V$29,0))-1)*_xlfn.XLOOKUP(X351,梦灵养成!$D$9:$D$28,梦灵养成!$G$9:$G$28))</f>
        <v>55.692</v>
      </c>
      <c r="X351" s="106" t="str">
        <f ca="1" t="shared" si="116"/>
        <v>神算诸葛</v>
      </c>
      <c r="Y351" s="95">
        <f ca="1" t="shared" ref="Y351:Y414" si="136">MAX((OFFSET($C$29,MATCH(W351*1.07,$W$30:$W$629,1)+1,0)-C351)*18,0)</f>
        <v>185400</v>
      </c>
      <c r="Z351" s="96">
        <f ca="1" t="shared" ref="Z351:Z414" si="137">_xlfn.XLOOKUP(X351,$D$9:$D$27,$G$9:$G$27)*(OFFSET($B351,0,MATCH($X351,$D$29:$V$29,0)+1)-1)+1</f>
        <v>5.1</v>
      </c>
    </row>
    <row r="352" s="106" customFormat="1" ht="16.5" spans="2:26">
      <c r="B352" s="117">
        <v>323</v>
      </c>
      <c r="C352" s="130">
        <f t="shared" ref="C352:C415" si="138">C351+100</f>
        <v>32300</v>
      </c>
      <c r="D352" s="131">
        <f ca="1" t="shared" si="117"/>
        <v>50</v>
      </c>
      <c r="E352" s="131">
        <f ca="1" t="shared" si="118"/>
        <v>50</v>
      </c>
      <c r="F352" s="131">
        <f ca="1" t="shared" si="119"/>
        <v>50</v>
      </c>
      <c r="G352" s="131">
        <f ca="1" t="shared" si="120"/>
        <v>41</v>
      </c>
      <c r="H352" s="131">
        <f ca="1" t="shared" si="121"/>
        <v>41</v>
      </c>
      <c r="I352" s="131">
        <f ca="1" t="shared" si="122"/>
        <v>41</v>
      </c>
      <c r="J352" s="131">
        <f ca="1" t="shared" si="123"/>
        <v>41</v>
      </c>
      <c r="K352" s="131">
        <f ca="1" t="shared" si="124"/>
        <v>41</v>
      </c>
      <c r="L352" s="131">
        <f ca="1" t="shared" si="125"/>
        <v>41</v>
      </c>
      <c r="M352" s="131">
        <f ca="1" t="shared" si="126"/>
        <v>36</v>
      </c>
      <c r="N352" s="131">
        <f ca="1" t="shared" si="127"/>
        <v>36</v>
      </c>
      <c r="O352" s="131">
        <f ca="1" t="shared" si="128"/>
        <v>36</v>
      </c>
      <c r="P352" s="131">
        <f ca="1" t="shared" si="129"/>
        <v>36</v>
      </c>
      <c r="Q352" s="131">
        <f ca="1" t="shared" si="130"/>
        <v>36</v>
      </c>
      <c r="R352" s="131">
        <f ca="1" t="shared" si="131"/>
        <v>36</v>
      </c>
      <c r="S352" s="131">
        <f ca="1" t="shared" si="132"/>
        <v>39</v>
      </c>
      <c r="T352" s="131">
        <f ca="1" t="shared" si="133"/>
        <v>41</v>
      </c>
      <c r="U352" s="131">
        <f ca="1" t="shared" si="134"/>
        <v>41</v>
      </c>
      <c r="V352" s="131">
        <f ca="1" t="shared" si="135"/>
        <v>42</v>
      </c>
      <c r="W352" s="124">
        <f ca="1">OFFSET($K$19,_xlfn.XLOOKUP(X352,$D$9:$D$28,$H$9:$H$28),MATCH(OFFSET($C$29,B352,MATCH(X352,$D$29:$V$29,0)),$L$19:$R$19,1))*(1+(OFFSET($C$29,B352,MATCH(X352,$D$29:$V$29,0))-1)*_xlfn.XLOOKUP(X352,梦灵养成!$D$9:$D$28,梦灵养成!$G$9:$G$28))</f>
        <v>55.692</v>
      </c>
      <c r="X352" s="106" t="str">
        <f ca="1" t="shared" si="116"/>
        <v>神算诸葛</v>
      </c>
      <c r="Y352" s="95">
        <f ca="1" t="shared" si="136"/>
        <v>183600</v>
      </c>
      <c r="Z352" s="96">
        <f ca="1" t="shared" si="137"/>
        <v>5.1</v>
      </c>
    </row>
    <row r="353" s="106" customFormat="1" ht="16.5" spans="2:26">
      <c r="B353" s="117">
        <v>324</v>
      </c>
      <c r="C353" s="130">
        <f t="shared" si="138"/>
        <v>32400</v>
      </c>
      <c r="D353" s="131">
        <f ca="1" t="shared" si="117"/>
        <v>50</v>
      </c>
      <c r="E353" s="131">
        <f ca="1" t="shared" si="118"/>
        <v>50</v>
      </c>
      <c r="F353" s="131">
        <f ca="1" t="shared" si="119"/>
        <v>50</v>
      </c>
      <c r="G353" s="131">
        <f ca="1" t="shared" si="120"/>
        <v>41</v>
      </c>
      <c r="H353" s="131">
        <f ca="1" t="shared" si="121"/>
        <v>41</v>
      </c>
      <c r="I353" s="131">
        <f ca="1" t="shared" si="122"/>
        <v>41</v>
      </c>
      <c r="J353" s="131">
        <f ca="1" t="shared" si="123"/>
        <v>41</v>
      </c>
      <c r="K353" s="131">
        <f ca="1" t="shared" si="124"/>
        <v>41</v>
      </c>
      <c r="L353" s="131">
        <f ca="1" t="shared" si="125"/>
        <v>41</v>
      </c>
      <c r="M353" s="131">
        <f ca="1" t="shared" si="126"/>
        <v>36</v>
      </c>
      <c r="N353" s="131">
        <f ca="1" t="shared" si="127"/>
        <v>36</v>
      </c>
      <c r="O353" s="131">
        <f ca="1" t="shared" si="128"/>
        <v>36</v>
      </c>
      <c r="P353" s="131">
        <f ca="1" t="shared" si="129"/>
        <v>36</v>
      </c>
      <c r="Q353" s="131">
        <f ca="1" t="shared" si="130"/>
        <v>36</v>
      </c>
      <c r="R353" s="131">
        <f ca="1" t="shared" si="131"/>
        <v>36</v>
      </c>
      <c r="S353" s="131">
        <f ca="1" t="shared" si="132"/>
        <v>39</v>
      </c>
      <c r="T353" s="131">
        <f ca="1" t="shared" si="133"/>
        <v>41</v>
      </c>
      <c r="U353" s="131">
        <f ca="1" t="shared" si="134"/>
        <v>41</v>
      </c>
      <c r="V353" s="131">
        <f ca="1" t="shared" si="135"/>
        <v>42</v>
      </c>
      <c r="W353" s="124">
        <f ca="1">OFFSET($K$19,_xlfn.XLOOKUP(X353,$D$9:$D$28,$H$9:$H$28),MATCH(OFFSET($C$29,B353,MATCH(X353,$D$29:$V$29,0)),$L$19:$R$19,1))*(1+(OFFSET($C$29,B353,MATCH(X353,$D$29:$V$29,0))-1)*_xlfn.XLOOKUP(X353,梦灵养成!$D$9:$D$28,梦灵养成!$G$9:$G$28))</f>
        <v>55.692</v>
      </c>
      <c r="X353" s="106" t="str">
        <f ca="1" t="shared" si="116"/>
        <v>神算诸葛</v>
      </c>
      <c r="Y353" s="95">
        <f ca="1" t="shared" si="136"/>
        <v>181800</v>
      </c>
      <c r="Z353" s="96">
        <f ca="1" t="shared" si="137"/>
        <v>5.1</v>
      </c>
    </row>
    <row r="354" s="106" customFormat="1" ht="16.5" spans="2:26">
      <c r="B354" s="117">
        <v>325</v>
      </c>
      <c r="C354" s="130">
        <f t="shared" si="138"/>
        <v>32500</v>
      </c>
      <c r="D354" s="131">
        <f ca="1" t="shared" si="117"/>
        <v>50</v>
      </c>
      <c r="E354" s="131">
        <f ca="1" t="shared" si="118"/>
        <v>50</v>
      </c>
      <c r="F354" s="131">
        <f ca="1" t="shared" si="119"/>
        <v>50</v>
      </c>
      <c r="G354" s="131">
        <f ca="1" t="shared" si="120"/>
        <v>41</v>
      </c>
      <c r="H354" s="131">
        <f ca="1" t="shared" si="121"/>
        <v>41</v>
      </c>
      <c r="I354" s="131">
        <f ca="1" t="shared" si="122"/>
        <v>41</v>
      </c>
      <c r="J354" s="131">
        <f ca="1" t="shared" si="123"/>
        <v>41</v>
      </c>
      <c r="K354" s="131">
        <f ca="1" t="shared" si="124"/>
        <v>41</v>
      </c>
      <c r="L354" s="131">
        <f ca="1" t="shared" si="125"/>
        <v>41</v>
      </c>
      <c r="M354" s="131">
        <f ca="1" t="shared" si="126"/>
        <v>36</v>
      </c>
      <c r="N354" s="131">
        <f ca="1" t="shared" si="127"/>
        <v>36</v>
      </c>
      <c r="O354" s="131">
        <f ca="1" t="shared" si="128"/>
        <v>36</v>
      </c>
      <c r="P354" s="131">
        <f ca="1" t="shared" si="129"/>
        <v>36</v>
      </c>
      <c r="Q354" s="131">
        <f ca="1" t="shared" si="130"/>
        <v>36</v>
      </c>
      <c r="R354" s="131">
        <f ca="1" t="shared" si="131"/>
        <v>36</v>
      </c>
      <c r="S354" s="131">
        <f ca="1" t="shared" si="132"/>
        <v>39</v>
      </c>
      <c r="T354" s="131">
        <f ca="1" t="shared" si="133"/>
        <v>41</v>
      </c>
      <c r="U354" s="131">
        <f ca="1" t="shared" si="134"/>
        <v>41</v>
      </c>
      <c r="V354" s="131">
        <f ca="1" t="shared" si="135"/>
        <v>42</v>
      </c>
      <c r="W354" s="124">
        <f ca="1">OFFSET($K$19,_xlfn.XLOOKUP(X354,$D$9:$D$28,$H$9:$H$28),MATCH(OFFSET($C$29,B354,MATCH(X354,$D$29:$V$29,0)),$L$19:$R$19,1))*(1+(OFFSET($C$29,B354,MATCH(X354,$D$29:$V$29,0))-1)*_xlfn.XLOOKUP(X354,梦灵养成!$D$9:$D$28,梦灵养成!$G$9:$G$28))</f>
        <v>55.692</v>
      </c>
      <c r="X354" s="106" t="str">
        <f ca="1" t="shared" si="116"/>
        <v>神算诸葛</v>
      </c>
      <c r="Y354" s="95">
        <f ca="1" t="shared" si="136"/>
        <v>180000</v>
      </c>
      <c r="Z354" s="96">
        <f ca="1" t="shared" si="137"/>
        <v>5.1</v>
      </c>
    </row>
    <row r="355" s="106" customFormat="1" ht="16.5" spans="2:26">
      <c r="B355" s="117">
        <v>326</v>
      </c>
      <c r="C355" s="130">
        <f t="shared" si="138"/>
        <v>32600</v>
      </c>
      <c r="D355" s="131">
        <f ca="1" t="shared" si="117"/>
        <v>50</v>
      </c>
      <c r="E355" s="131">
        <f ca="1" t="shared" si="118"/>
        <v>50</v>
      </c>
      <c r="F355" s="131">
        <f ca="1" t="shared" si="119"/>
        <v>50</v>
      </c>
      <c r="G355" s="131">
        <f ca="1" t="shared" si="120"/>
        <v>41</v>
      </c>
      <c r="H355" s="131">
        <f ca="1" t="shared" si="121"/>
        <v>41</v>
      </c>
      <c r="I355" s="131">
        <f ca="1" t="shared" si="122"/>
        <v>41</v>
      </c>
      <c r="J355" s="131">
        <f ca="1" t="shared" si="123"/>
        <v>41</v>
      </c>
      <c r="K355" s="131">
        <f ca="1" t="shared" si="124"/>
        <v>41</v>
      </c>
      <c r="L355" s="131">
        <f ca="1" t="shared" si="125"/>
        <v>41</v>
      </c>
      <c r="M355" s="131">
        <f ca="1" t="shared" si="126"/>
        <v>36</v>
      </c>
      <c r="N355" s="131">
        <f ca="1" t="shared" si="127"/>
        <v>36</v>
      </c>
      <c r="O355" s="131">
        <f ca="1" t="shared" si="128"/>
        <v>36</v>
      </c>
      <c r="P355" s="131">
        <f ca="1" t="shared" si="129"/>
        <v>36</v>
      </c>
      <c r="Q355" s="131">
        <f ca="1" t="shared" si="130"/>
        <v>36</v>
      </c>
      <c r="R355" s="131">
        <f ca="1" t="shared" si="131"/>
        <v>36</v>
      </c>
      <c r="S355" s="131">
        <f ca="1" t="shared" si="132"/>
        <v>39</v>
      </c>
      <c r="T355" s="131">
        <f ca="1" t="shared" si="133"/>
        <v>41</v>
      </c>
      <c r="U355" s="131">
        <f ca="1" t="shared" si="134"/>
        <v>41</v>
      </c>
      <c r="V355" s="131">
        <f ca="1" t="shared" si="135"/>
        <v>42</v>
      </c>
      <c r="W355" s="124">
        <f ca="1">OFFSET($K$19,_xlfn.XLOOKUP(X355,$D$9:$D$28,$H$9:$H$28),MATCH(OFFSET($C$29,B355,MATCH(X355,$D$29:$V$29,0)),$L$19:$R$19,1))*(1+(OFFSET($C$29,B355,MATCH(X355,$D$29:$V$29,0))-1)*_xlfn.XLOOKUP(X355,梦灵养成!$D$9:$D$28,梦灵养成!$G$9:$G$28))</f>
        <v>55.692</v>
      </c>
      <c r="X355" s="106" t="str">
        <f ca="1" t="shared" si="116"/>
        <v>神算诸葛</v>
      </c>
      <c r="Y355" s="95">
        <f ca="1" t="shared" si="136"/>
        <v>178200</v>
      </c>
      <c r="Z355" s="96">
        <f ca="1" t="shared" si="137"/>
        <v>5.1</v>
      </c>
    </row>
    <row r="356" s="106" customFormat="1" ht="16.5" spans="2:26">
      <c r="B356" s="117">
        <v>327</v>
      </c>
      <c r="C356" s="130">
        <f t="shared" si="138"/>
        <v>32700</v>
      </c>
      <c r="D356" s="131">
        <f ca="1" t="shared" si="117"/>
        <v>50</v>
      </c>
      <c r="E356" s="131">
        <f ca="1" t="shared" si="118"/>
        <v>50</v>
      </c>
      <c r="F356" s="131">
        <f ca="1" t="shared" si="119"/>
        <v>50</v>
      </c>
      <c r="G356" s="131">
        <f ca="1" t="shared" si="120"/>
        <v>41</v>
      </c>
      <c r="H356" s="131">
        <f ca="1" t="shared" si="121"/>
        <v>41</v>
      </c>
      <c r="I356" s="131">
        <f ca="1" t="shared" si="122"/>
        <v>41</v>
      </c>
      <c r="J356" s="131">
        <f ca="1" t="shared" si="123"/>
        <v>41</v>
      </c>
      <c r="K356" s="131">
        <f ca="1" t="shared" si="124"/>
        <v>41</v>
      </c>
      <c r="L356" s="131">
        <f ca="1" t="shared" si="125"/>
        <v>41</v>
      </c>
      <c r="M356" s="131">
        <f ca="1" t="shared" si="126"/>
        <v>36</v>
      </c>
      <c r="N356" s="131">
        <f ca="1" t="shared" si="127"/>
        <v>36</v>
      </c>
      <c r="O356" s="131">
        <f ca="1" t="shared" si="128"/>
        <v>36</v>
      </c>
      <c r="P356" s="131">
        <f ca="1" t="shared" si="129"/>
        <v>36</v>
      </c>
      <c r="Q356" s="131">
        <f ca="1" t="shared" si="130"/>
        <v>36</v>
      </c>
      <c r="R356" s="131">
        <f ca="1" t="shared" si="131"/>
        <v>36</v>
      </c>
      <c r="S356" s="131">
        <f ca="1" t="shared" si="132"/>
        <v>39</v>
      </c>
      <c r="T356" s="131">
        <f ca="1" t="shared" si="133"/>
        <v>41</v>
      </c>
      <c r="U356" s="131">
        <f ca="1" t="shared" si="134"/>
        <v>41</v>
      </c>
      <c r="V356" s="131">
        <f ca="1" t="shared" si="135"/>
        <v>42</v>
      </c>
      <c r="W356" s="124">
        <f ca="1">OFFSET($K$19,_xlfn.XLOOKUP(X356,$D$9:$D$28,$H$9:$H$28),MATCH(OFFSET($C$29,B356,MATCH(X356,$D$29:$V$29,0)),$L$19:$R$19,1))*(1+(OFFSET($C$29,B356,MATCH(X356,$D$29:$V$29,0))-1)*_xlfn.XLOOKUP(X356,梦灵养成!$D$9:$D$28,梦灵养成!$G$9:$G$28))</f>
        <v>55.692</v>
      </c>
      <c r="X356" s="106" t="str">
        <f ca="1" t="shared" si="116"/>
        <v>神算诸葛</v>
      </c>
      <c r="Y356" s="95">
        <f ca="1" t="shared" si="136"/>
        <v>176400</v>
      </c>
      <c r="Z356" s="96">
        <f ca="1" t="shared" si="137"/>
        <v>5.1</v>
      </c>
    </row>
    <row r="357" s="106" customFormat="1" ht="16.5" spans="2:26">
      <c r="B357" s="117">
        <v>328</v>
      </c>
      <c r="C357" s="130">
        <f t="shared" si="138"/>
        <v>32800</v>
      </c>
      <c r="D357" s="131">
        <f ca="1" t="shared" si="117"/>
        <v>50</v>
      </c>
      <c r="E357" s="131">
        <f ca="1" t="shared" si="118"/>
        <v>50</v>
      </c>
      <c r="F357" s="131">
        <f ca="1" t="shared" si="119"/>
        <v>50</v>
      </c>
      <c r="G357" s="131">
        <f ca="1" t="shared" si="120"/>
        <v>41</v>
      </c>
      <c r="H357" s="131">
        <f ca="1" t="shared" si="121"/>
        <v>41</v>
      </c>
      <c r="I357" s="131">
        <f ca="1" t="shared" si="122"/>
        <v>41</v>
      </c>
      <c r="J357" s="131">
        <f ca="1" t="shared" si="123"/>
        <v>41</v>
      </c>
      <c r="K357" s="131">
        <f ca="1" t="shared" si="124"/>
        <v>41</v>
      </c>
      <c r="L357" s="131">
        <f ca="1" t="shared" si="125"/>
        <v>41</v>
      </c>
      <c r="M357" s="131">
        <f ca="1" t="shared" si="126"/>
        <v>36</v>
      </c>
      <c r="N357" s="131">
        <f ca="1" t="shared" si="127"/>
        <v>36</v>
      </c>
      <c r="O357" s="131">
        <f ca="1" t="shared" si="128"/>
        <v>36</v>
      </c>
      <c r="P357" s="131">
        <f ca="1" t="shared" si="129"/>
        <v>36</v>
      </c>
      <c r="Q357" s="131">
        <f ca="1" t="shared" si="130"/>
        <v>36</v>
      </c>
      <c r="R357" s="131">
        <f ca="1" t="shared" si="131"/>
        <v>36</v>
      </c>
      <c r="S357" s="131">
        <f ca="1" t="shared" si="132"/>
        <v>39</v>
      </c>
      <c r="T357" s="131">
        <f ca="1" t="shared" si="133"/>
        <v>41</v>
      </c>
      <c r="U357" s="131">
        <f ca="1" t="shared" si="134"/>
        <v>41</v>
      </c>
      <c r="V357" s="131">
        <f ca="1" t="shared" si="135"/>
        <v>42</v>
      </c>
      <c r="W357" s="124">
        <f ca="1">OFFSET($K$19,_xlfn.XLOOKUP(X357,$D$9:$D$28,$H$9:$H$28),MATCH(OFFSET($C$29,B357,MATCH(X357,$D$29:$V$29,0)),$L$19:$R$19,1))*(1+(OFFSET($C$29,B357,MATCH(X357,$D$29:$V$29,0))-1)*_xlfn.XLOOKUP(X357,梦灵养成!$D$9:$D$28,梦灵养成!$G$9:$G$28))</f>
        <v>55.692</v>
      </c>
      <c r="X357" s="106" t="str">
        <f ca="1" t="shared" si="116"/>
        <v>神算诸葛</v>
      </c>
      <c r="Y357" s="95">
        <f ca="1" t="shared" si="136"/>
        <v>174600</v>
      </c>
      <c r="Z357" s="96">
        <f ca="1" t="shared" si="137"/>
        <v>5.1</v>
      </c>
    </row>
    <row r="358" s="106" customFormat="1" ht="16.5" spans="2:26">
      <c r="B358" s="117">
        <v>329</v>
      </c>
      <c r="C358" s="130">
        <f t="shared" si="138"/>
        <v>32900</v>
      </c>
      <c r="D358" s="131">
        <f ca="1" t="shared" si="117"/>
        <v>50</v>
      </c>
      <c r="E358" s="131">
        <f ca="1" t="shared" si="118"/>
        <v>50</v>
      </c>
      <c r="F358" s="131">
        <f ca="1" t="shared" si="119"/>
        <v>50</v>
      </c>
      <c r="G358" s="131">
        <f ca="1" t="shared" si="120"/>
        <v>41</v>
      </c>
      <c r="H358" s="131">
        <f ca="1" t="shared" si="121"/>
        <v>41</v>
      </c>
      <c r="I358" s="131">
        <f ca="1" t="shared" si="122"/>
        <v>41</v>
      </c>
      <c r="J358" s="131">
        <f ca="1" t="shared" si="123"/>
        <v>41</v>
      </c>
      <c r="K358" s="131">
        <f ca="1" t="shared" si="124"/>
        <v>41</v>
      </c>
      <c r="L358" s="131">
        <f ca="1" t="shared" si="125"/>
        <v>41</v>
      </c>
      <c r="M358" s="131">
        <f ca="1" t="shared" si="126"/>
        <v>36</v>
      </c>
      <c r="N358" s="131">
        <f ca="1" t="shared" si="127"/>
        <v>36</v>
      </c>
      <c r="O358" s="131">
        <f ca="1" t="shared" si="128"/>
        <v>36</v>
      </c>
      <c r="P358" s="131">
        <f ca="1" t="shared" si="129"/>
        <v>36</v>
      </c>
      <c r="Q358" s="131">
        <f ca="1" t="shared" si="130"/>
        <v>36</v>
      </c>
      <c r="R358" s="131">
        <f ca="1" t="shared" si="131"/>
        <v>36</v>
      </c>
      <c r="S358" s="131">
        <f ca="1" t="shared" si="132"/>
        <v>39</v>
      </c>
      <c r="T358" s="131">
        <f ca="1" t="shared" si="133"/>
        <v>41</v>
      </c>
      <c r="U358" s="131">
        <f ca="1" t="shared" si="134"/>
        <v>41</v>
      </c>
      <c r="V358" s="131">
        <f ca="1" t="shared" si="135"/>
        <v>42</v>
      </c>
      <c r="W358" s="124">
        <f ca="1">OFFSET($K$19,_xlfn.XLOOKUP(X358,$D$9:$D$28,$H$9:$H$28),MATCH(OFFSET($C$29,B358,MATCH(X358,$D$29:$V$29,0)),$L$19:$R$19,1))*(1+(OFFSET($C$29,B358,MATCH(X358,$D$29:$V$29,0))-1)*_xlfn.XLOOKUP(X358,梦灵养成!$D$9:$D$28,梦灵养成!$G$9:$G$28))</f>
        <v>55.692</v>
      </c>
      <c r="X358" s="106" t="str">
        <f ca="1" t="shared" si="116"/>
        <v>神算诸葛</v>
      </c>
      <c r="Y358" s="95">
        <f ca="1" t="shared" si="136"/>
        <v>172800</v>
      </c>
      <c r="Z358" s="96">
        <f ca="1" t="shared" si="137"/>
        <v>5.1</v>
      </c>
    </row>
    <row r="359" s="106" customFormat="1" ht="16.5" spans="2:26">
      <c r="B359" s="117">
        <v>330</v>
      </c>
      <c r="C359" s="130">
        <f t="shared" si="138"/>
        <v>33000</v>
      </c>
      <c r="D359" s="131">
        <f ca="1" t="shared" si="117"/>
        <v>50</v>
      </c>
      <c r="E359" s="131">
        <f ca="1" t="shared" si="118"/>
        <v>50</v>
      </c>
      <c r="F359" s="131">
        <f ca="1" t="shared" si="119"/>
        <v>50</v>
      </c>
      <c r="G359" s="131">
        <f ca="1" t="shared" si="120"/>
        <v>41</v>
      </c>
      <c r="H359" s="131">
        <f ca="1" t="shared" si="121"/>
        <v>41</v>
      </c>
      <c r="I359" s="131">
        <f ca="1" t="shared" si="122"/>
        <v>41</v>
      </c>
      <c r="J359" s="131">
        <f ca="1" t="shared" si="123"/>
        <v>41</v>
      </c>
      <c r="K359" s="131">
        <f ca="1" t="shared" si="124"/>
        <v>41</v>
      </c>
      <c r="L359" s="131">
        <f ca="1" t="shared" si="125"/>
        <v>41</v>
      </c>
      <c r="M359" s="131">
        <f ca="1" t="shared" si="126"/>
        <v>36</v>
      </c>
      <c r="N359" s="131">
        <f ca="1" t="shared" si="127"/>
        <v>36</v>
      </c>
      <c r="O359" s="131">
        <f ca="1" t="shared" si="128"/>
        <v>36</v>
      </c>
      <c r="P359" s="131">
        <f ca="1" t="shared" si="129"/>
        <v>36</v>
      </c>
      <c r="Q359" s="131">
        <f ca="1" t="shared" si="130"/>
        <v>37</v>
      </c>
      <c r="R359" s="131">
        <f ca="1" t="shared" si="131"/>
        <v>36</v>
      </c>
      <c r="S359" s="131">
        <f ca="1" t="shared" si="132"/>
        <v>39</v>
      </c>
      <c r="T359" s="131">
        <f ca="1" t="shared" si="133"/>
        <v>41</v>
      </c>
      <c r="U359" s="131">
        <f ca="1" t="shared" si="134"/>
        <v>41</v>
      </c>
      <c r="V359" s="131">
        <f ca="1" t="shared" si="135"/>
        <v>42</v>
      </c>
      <c r="W359" s="124">
        <f ca="1">OFFSET($K$19,_xlfn.XLOOKUP(X359,$D$9:$D$28,$H$9:$H$28),MATCH(OFFSET($C$29,B359,MATCH(X359,$D$29:$V$29,0)),$L$19:$R$19,1))*(1+(OFFSET($C$29,B359,MATCH(X359,$D$29:$V$29,0))-1)*_xlfn.XLOOKUP(X359,梦灵养成!$D$9:$D$28,梦灵养成!$G$9:$G$28))</f>
        <v>55.692</v>
      </c>
      <c r="X359" s="106" t="str">
        <f ca="1" t="shared" si="116"/>
        <v>神算诸葛</v>
      </c>
      <c r="Y359" s="95">
        <f ca="1" t="shared" si="136"/>
        <v>171000</v>
      </c>
      <c r="Z359" s="96">
        <f ca="1" t="shared" si="137"/>
        <v>5.1</v>
      </c>
    </row>
    <row r="360" s="106" customFormat="1" ht="16.5" spans="2:26">
      <c r="B360" s="117">
        <v>331</v>
      </c>
      <c r="C360" s="130">
        <f t="shared" si="138"/>
        <v>33100</v>
      </c>
      <c r="D360" s="131">
        <f ca="1" t="shared" si="117"/>
        <v>50</v>
      </c>
      <c r="E360" s="131">
        <f ca="1" t="shared" si="118"/>
        <v>50</v>
      </c>
      <c r="F360" s="131">
        <f ca="1" t="shared" si="119"/>
        <v>50</v>
      </c>
      <c r="G360" s="131">
        <f ca="1" t="shared" si="120"/>
        <v>41</v>
      </c>
      <c r="H360" s="131">
        <f ca="1" t="shared" si="121"/>
        <v>41</v>
      </c>
      <c r="I360" s="131">
        <f ca="1" t="shared" si="122"/>
        <v>41</v>
      </c>
      <c r="J360" s="131">
        <f ca="1" t="shared" si="123"/>
        <v>41</v>
      </c>
      <c r="K360" s="131">
        <f ca="1" t="shared" si="124"/>
        <v>41</v>
      </c>
      <c r="L360" s="131">
        <f ca="1" t="shared" si="125"/>
        <v>41</v>
      </c>
      <c r="M360" s="131">
        <f ca="1" t="shared" si="126"/>
        <v>36</v>
      </c>
      <c r="N360" s="131">
        <f ca="1" t="shared" si="127"/>
        <v>36</v>
      </c>
      <c r="O360" s="131">
        <f ca="1" t="shared" si="128"/>
        <v>36</v>
      </c>
      <c r="P360" s="131">
        <f ca="1" t="shared" si="129"/>
        <v>36</v>
      </c>
      <c r="Q360" s="131">
        <f ca="1" t="shared" si="130"/>
        <v>37</v>
      </c>
      <c r="R360" s="131">
        <f ca="1" t="shared" si="131"/>
        <v>36</v>
      </c>
      <c r="S360" s="131">
        <f ca="1" t="shared" si="132"/>
        <v>39</v>
      </c>
      <c r="T360" s="131">
        <f ca="1" t="shared" si="133"/>
        <v>41</v>
      </c>
      <c r="U360" s="131">
        <f ca="1" t="shared" si="134"/>
        <v>41</v>
      </c>
      <c r="V360" s="131">
        <f ca="1" t="shared" si="135"/>
        <v>42</v>
      </c>
      <c r="W360" s="124">
        <f ca="1">OFFSET($K$19,_xlfn.XLOOKUP(X360,$D$9:$D$28,$H$9:$H$28),MATCH(OFFSET($C$29,B360,MATCH(X360,$D$29:$V$29,0)),$L$19:$R$19,1))*(1+(OFFSET($C$29,B360,MATCH(X360,$D$29:$V$29,0))-1)*_xlfn.XLOOKUP(X360,梦灵养成!$D$9:$D$28,梦灵养成!$G$9:$G$28))</f>
        <v>55.692</v>
      </c>
      <c r="X360" s="106" t="str">
        <f ca="1" t="shared" si="116"/>
        <v>神算诸葛</v>
      </c>
      <c r="Y360" s="95">
        <f ca="1" t="shared" si="136"/>
        <v>169200</v>
      </c>
      <c r="Z360" s="96">
        <f ca="1" t="shared" si="137"/>
        <v>5.1</v>
      </c>
    </row>
    <row r="361" s="106" customFormat="1" ht="16.5" spans="2:26">
      <c r="B361" s="117">
        <v>332</v>
      </c>
      <c r="C361" s="130">
        <f t="shared" si="138"/>
        <v>33200</v>
      </c>
      <c r="D361" s="131">
        <f ca="1" t="shared" si="117"/>
        <v>50</v>
      </c>
      <c r="E361" s="131">
        <f ca="1" t="shared" si="118"/>
        <v>50</v>
      </c>
      <c r="F361" s="131">
        <f ca="1" t="shared" si="119"/>
        <v>50</v>
      </c>
      <c r="G361" s="131">
        <f ca="1" t="shared" si="120"/>
        <v>41</v>
      </c>
      <c r="H361" s="131">
        <f ca="1" t="shared" si="121"/>
        <v>41</v>
      </c>
      <c r="I361" s="131">
        <f ca="1" t="shared" si="122"/>
        <v>41</v>
      </c>
      <c r="J361" s="131">
        <f ca="1" t="shared" si="123"/>
        <v>41</v>
      </c>
      <c r="K361" s="131">
        <f ca="1" t="shared" si="124"/>
        <v>41</v>
      </c>
      <c r="L361" s="131">
        <f ca="1" t="shared" si="125"/>
        <v>41</v>
      </c>
      <c r="M361" s="131">
        <f ca="1" t="shared" si="126"/>
        <v>36</v>
      </c>
      <c r="N361" s="131">
        <f ca="1" t="shared" si="127"/>
        <v>36</v>
      </c>
      <c r="O361" s="131">
        <f ca="1" t="shared" si="128"/>
        <v>37</v>
      </c>
      <c r="P361" s="131">
        <f ca="1" t="shared" si="129"/>
        <v>36</v>
      </c>
      <c r="Q361" s="131">
        <f ca="1" t="shared" si="130"/>
        <v>37</v>
      </c>
      <c r="R361" s="131">
        <f ca="1" t="shared" si="131"/>
        <v>36</v>
      </c>
      <c r="S361" s="131">
        <f ca="1" t="shared" si="132"/>
        <v>39</v>
      </c>
      <c r="T361" s="131">
        <f ca="1" t="shared" si="133"/>
        <v>41</v>
      </c>
      <c r="U361" s="131">
        <f ca="1" t="shared" si="134"/>
        <v>41</v>
      </c>
      <c r="V361" s="131">
        <f ca="1" t="shared" si="135"/>
        <v>42</v>
      </c>
      <c r="W361" s="124">
        <f ca="1">OFFSET($K$19,_xlfn.XLOOKUP(X361,$D$9:$D$28,$H$9:$H$28),MATCH(OFFSET($C$29,B361,MATCH(X361,$D$29:$V$29,0)),$L$19:$R$19,1))*(1+(OFFSET($C$29,B361,MATCH(X361,$D$29:$V$29,0))-1)*_xlfn.XLOOKUP(X361,梦灵养成!$D$9:$D$28,梦灵养成!$G$9:$G$28))</f>
        <v>55.692</v>
      </c>
      <c r="X361" s="106" t="str">
        <f ca="1" t="shared" si="116"/>
        <v>神算诸葛</v>
      </c>
      <c r="Y361" s="95">
        <f ca="1" t="shared" si="136"/>
        <v>167400</v>
      </c>
      <c r="Z361" s="96">
        <f ca="1" t="shared" si="137"/>
        <v>5.1</v>
      </c>
    </row>
    <row r="362" s="106" customFormat="1" ht="16.5" spans="2:26">
      <c r="B362" s="117">
        <v>333</v>
      </c>
      <c r="C362" s="130">
        <f t="shared" si="138"/>
        <v>33300</v>
      </c>
      <c r="D362" s="131">
        <f ca="1" t="shared" si="117"/>
        <v>50</v>
      </c>
      <c r="E362" s="131">
        <f ca="1" t="shared" si="118"/>
        <v>50</v>
      </c>
      <c r="F362" s="131">
        <f ca="1" t="shared" si="119"/>
        <v>50</v>
      </c>
      <c r="G362" s="131">
        <f ca="1" t="shared" si="120"/>
        <v>41</v>
      </c>
      <c r="H362" s="131">
        <f ca="1" t="shared" si="121"/>
        <v>41</v>
      </c>
      <c r="I362" s="131">
        <f ca="1" t="shared" si="122"/>
        <v>41</v>
      </c>
      <c r="J362" s="131">
        <f ca="1" t="shared" si="123"/>
        <v>41</v>
      </c>
      <c r="K362" s="131">
        <f ca="1" t="shared" si="124"/>
        <v>41</v>
      </c>
      <c r="L362" s="131">
        <f ca="1" t="shared" si="125"/>
        <v>41</v>
      </c>
      <c r="M362" s="131">
        <f ca="1" t="shared" si="126"/>
        <v>36</v>
      </c>
      <c r="N362" s="131">
        <f ca="1" t="shared" si="127"/>
        <v>36</v>
      </c>
      <c r="O362" s="131">
        <f ca="1" t="shared" si="128"/>
        <v>37</v>
      </c>
      <c r="P362" s="131">
        <f ca="1" t="shared" si="129"/>
        <v>36</v>
      </c>
      <c r="Q362" s="131">
        <f ca="1" t="shared" si="130"/>
        <v>37</v>
      </c>
      <c r="R362" s="131">
        <f ca="1" t="shared" si="131"/>
        <v>36</v>
      </c>
      <c r="S362" s="131">
        <f ca="1" t="shared" si="132"/>
        <v>39</v>
      </c>
      <c r="T362" s="131">
        <f ca="1" t="shared" si="133"/>
        <v>41</v>
      </c>
      <c r="U362" s="131">
        <f ca="1" t="shared" si="134"/>
        <v>41</v>
      </c>
      <c r="V362" s="131">
        <f ca="1" t="shared" si="135"/>
        <v>42</v>
      </c>
      <c r="W362" s="124">
        <f ca="1">OFFSET($K$19,_xlfn.XLOOKUP(X362,$D$9:$D$28,$H$9:$H$28),MATCH(OFFSET($C$29,B362,MATCH(X362,$D$29:$V$29,0)),$L$19:$R$19,1))*(1+(OFFSET($C$29,B362,MATCH(X362,$D$29:$V$29,0))-1)*_xlfn.XLOOKUP(X362,梦灵养成!$D$9:$D$28,梦灵养成!$G$9:$G$28))</f>
        <v>55.692</v>
      </c>
      <c r="X362" s="106" t="str">
        <f ca="1" t="shared" si="116"/>
        <v>神算诸葛</v>
      </c>
      <c r="Y362" s="95">
        <f ca="1" t="shared" si="136"/>
        <v>165600</v>
      </c>
      <c r="Z362" s="96">
        <f ca="1" t="shared" si="137"/>
        <v>5.1</v>
      </c>
    </row>
    <row r="363" s="106" customFormat="1" ht="16.5" spans="2:26">
      <c r="B363" s="117">
        <v>334</v>
      </c>
      <c r="C363" s="130">
        <f t="shared" si="138"/>
        <v>33400</v>
      </c>
      <c r="D363" s="131">
        <f ca="1" t="shared" si="117"/>
        <v>50</v>
      </c>
      <c r="E363" s="131">
        <f ca="1" t="shared" si="118"/>
        <v>50</v>
      </c>
      <c r="F363" s="131">
        <f ca="1" t="shared" si="119"/>
        <v>50</v>
      </c>
      <c r="G363" s="131">
        <f ca="1" t="shared" si="120"/>
        <v>41</v>
      </c>
      <c r="H363" s="131">
        <f ca="1" t="shared" si="121"/>
        <v>41</v>
      </c>
      <c r="I363" s="131">
        <f ca="1" t="shared" si="122"/>
        <v>41</v>
      </c>
      <c r="J363" s="131">
        <f ca="1" t="shared" si="123"/>
        <v>41</v>
      </c>
      <c r="K363" s="131">
        <f ca="1" t="shared" si="124"/>
        <v>41</v>
      </c>
      <c r="L363" s="131">
        <f ca="1" t="shared" si="125"/>
        <v>41</v>
      </c>
      <c r="M363" s="131">
        <f ca="1" t="shared" si="126"/>
        <v>36</v>
      </c>
      <c r="N363" s="131">
        <f ca="1" t="shared" si="127"/>
        <v>36</v>
      </c>
      <c r="O363" s="131">
        <f ca="1" t="shared" si="128"/>
        <v>37</v>
      </c>
      <c r="P363" s="131">
        <f ca="1" t="shared" si="129"/>
        <v>36</v>
      </c>
      <c r="Q363" s="131">
        <f ca="1" t="shared" si="130"/>
        <v>37</v>
      </c>
      <c r="R363" s="131">
        <f ca="1" t="shared" si="131"/>
        <v>36</v>
      </c>
      <c r="S363" s="131">
        <f ca="1" t="shared" si="132"/>
        <v>39</v>
      </c>
      <c r="T363" s="131">
        <f ca="1" t="shared" si="133"/>
        <v>41</v>
      </c>
      <c r="U363" s="131">
        <f ca="1" t="shared" si="134"/>
        <v>41</v>
      </c>
      <c r="V363" s="131">
        <f ca="1" t="shared" si="135"/>
        <v>42</v>
      </c>
      <c r="W363" s="124">
        <f ca="1">OFFSET($K$19,_xlfn.XLOOKUP(X363,$D$9:$D$28,$H$9:$H$28),MATCH(OFFSET($C$29,B363,MATCH(X363,$D$29:$V$29,0)),$L$19:$R$19,1))*(1+(OFFSET($C$29,B363,MATCH(X363,$D$29:$V$29,0))-1)*_xlfn.XLOOKUP(X363,梦灵养成!$D$9:$D$28,梦灵养成!$G$9:$G$28))</f>
        <v>55.692</v>
      </c>
      <c r="X363" s="106" t="str">
        <f ca="1" t="shared" si="116"/>
        <v>神算诸葛</v>
      </c>
      <c r="Y363" s="95">
        <f ca="1" t="shared" si="136"/>
        <v>163800</v>
      </c>
      <c r="Z363" s="96">
        <f ca="1" t="shared" si="137"/>
        <v>5.1</v>
      </c>
    </row>
    <row r="364" s="106" customFormat="1" ht="16.5" spans="2:26">
      <c r="B364" s="117">
        <v>335</v>
      </c>
      <c r="C364" s="130">
        <f t="shared" si="138"/>
        <v>33500</v>
      </c>
      <c r="D364" s="131">
        <f ca="1" t="shared" si="117"/>
        <v>50</v>
      </c>
      <c r="E364" s="131">
        <f ca="1" t="shared" si="118"/>
        <v>50</v>
      </c>
      <c r="F364" s="131">
        <f ca="1" t="shared" si="119"/>
        <v>50</v>
      </c>
      <c r="G364" s="131">
        <f ca="1" t="shared" si="120"/>
        <v>41</v>
      </c>
      <c r="H364" s="131">
        <f ca="1" t="shared" si="121"/>
        <v>41</v>
      </c>
      <c r="I364" s="131">
        <f ca="1" t="shared" si="122"/>
        <v>41</v>
      </c>
      <c r="J364" s="131">
        <f ca="1" t="shared" si="123"/>
        <v>41</v>
      </c>
      <c r="K364" s="131">
        <f ca="1" t="shared" si="124"/>
        <v>41</v>
      </c>
      <c r="L364" s="131">
        <f ca="1" t="shared" si="125"/>
        <v>41</v>
      </c>
      <c r="M364" s="131">
        <f ca="1" t="shared" si="126"/>
        <v>36</v>
      </c>
      <c r="N364" s="131">
        <f ca="1" t="shared" si="127"/>
        <v>37</v>
      </c>
      <c r="O364" s="131">
        <f ca="1" t="shared" si="128"/>
        <v>37</v>
      </c>
      <c r="P364" s="131">
        <f ca="1" t="shared" si="129"/>
        <v>36</v>
      </c>
      <c r="Q364" s="131">
        <f ca="1" t="shared" si="130"/>
        <v>37</v>
      </c>
      <c r="R364" s="131">
        <f ca="1" t="shared" si="131"/>
        <v>36</v>
      </c>
      <c r="S364" s="131">
        <f ca="1" t="shared" si="132"/>
        <v>39</v>
      </c>
      <c r="T364" s="131">
        <f ca="1" t="shared" si="133"/>
        <v>41</v>
      </c>
      <c r="U364" s="131">
        <f ca="1" t="shared" si="134"/>
        <v>41</v>
      </c>
      <c r="V364" s="131">
        <f ca="1" t="shared" si="135"/>
        <v>42</v>
      </c>
      <c r="W364" s="124">
        <f ca="1">OFFSET($K$19,_xlfn.XLOOKUP(X364,$D$9:$D$28,$H$9:$H$28),MATCH(OFFSET($C$29,B364,MATCH(X364,$D$29:$V$29,0)),$L$19:$R$19,1))*(1+(OFFSET($C$29,B364,MATCH(X364,$D$29:$V$29,0))-1)*_xlfn.XLOOKUP(X364,梦灵养成!$D$9:$D$28,梦灵养成!$G$9:$G$28))</f>
        <v>55.692</v>
      </c>
      <c r="X364" s="106" t="str">
        <f ca="1" t="shared" si="116"/>
        <v>神算诸葛</v>
      </c>
      <c r="Y364" s="95">
        <f ca="1" t="shared" si="136"/>
        <v>162000</v>
      </c>
      <c r="Z364" s="96">
        <f ca="1" t="shared" si="137"/>
        <v>5.1</v>
      </c>
    </row>
    <row r="365" s="106" customFormat="1" ht="16.5" spans="2:26">
      <c r="B365" s="117">
        <v>336</v>
      </c>
      <c r="C365" s="130">
        <f t="shared" si="138"/>
        <v>33600</v>
      </c>
      <c r="D365" s="131">
        <f ca="1" t="shared" si="117"/>
        <v>50</v>
      </c>
      <c r="E365" s="131">
        <f ca="1" t="shared" si="118"/>
        <v>50</v>
      </c>
      <c r="F365" s="131">
        <f ca="1" t="shared" si="119"/>
        <v>50</v>
      </c>
      <c r="G365" s="131">
        <f ca="1" t="shared" si="120"/>
        <v>41</v>
      </c>
      <c r="H365" s="131">
        <f ca="1" t="shared" si="121"/>
        <v>41</v>
      </c>
      <c r="I365" s="131">
        <f ca="1" t="shared" si="122"/>
        <v>41</v>
      </c>
      <c r="J365" s="131">
        <f ca="1" t="shared" si="123"/>
        <v>41</v>
      </c>
      <c r="K365" s="131">
        <f ca="1" t="shared" si="124"/>
        <v>41</v>
      </c>
      <c r="L365" s="131">
        <f ca="1" t="shared" si="125"/>
        <v>41</v>
      </c>
      <c r="M365" s="131">
        <f ca="1" t="shared" si="126"/>
        <v>37</v>
      </c>
      <c r="N365" s="131">
        <f ca="1" t="shared" si="127"/>
        <v>37</v>
      </c>
      <c r="O365" s="131">
        <f ca="1" t="shared" si="128"/>
        <v>37</v>
      </c>
      <c r="P365" s="131">
        <f ca="1" t="shared" si="129"/>
        <v>36</v>
      </c>
      <c r="Q365" s="131">
        <f ca="1" t="shared" si="130"/>
        <v>37</v>
      </c>
      <c r="R365" s="131">
        <f ca="1" t="shared" si="131"/>
        <v>37</v>
      </c>
      <c r="S365" s="131">
        <f ca="1" t="shared" si="132"/>
        <v>39</v>
      </c>
      <c r="T365" s="131">
        <f ca="1" t="shared" si="133"/>
        <v>41</v>
      </c>
      <c r="U365" s="131">
        <f ca="1" t="shared" si="134"/>
        <v>41</v>
      </c>
      <c r="V365" s="131">
        <f ca="1" t="shared" si="135"/>
        <v>42</v>
      </c>
      <c r="W365" s="124">
        <f ca="1">OFFSET($K$19,_xlfn.XLOOKUP(X365,$D$9:$D$28,$H$9:$H$28),MATCH(OFFSET($C$29,B365,MATCH(X365,$D$29:$V$29,0)),$L$19:$R$19,1))*(1+(OFFSET($C$29,B365,MATCH(X365,$D$29:$V$29,0))-1)*_xlfn.XLOOKUP(X365,梦灵养成!$D$9:$D$28,梦灵养成!$G$9:$G$28))</f>
        <v>55.692</v>
      </c>
      <c r="X365" s="106" t="str">
        <f ca="1" t="shared" si="116"/>
        <v>神算诸葛</v>
      </c>
      <c r="Y365" s="95">
        <f ca="1" t="shared" si="136"/>
        <v>160200</v>
      </c>
      <c r="Z365" s="96">
        <f ca="1" t="shared" si="137"/>
        <v>5.1</v>
      </c>
    </row>
    <row r="366" s="106" customFormat="1" ht="16.5" spans="2:26">
      <c r="B366" s="117">
        <v>337</v>
      </c>
      <c r="C366" s="130">
        <f t="shared" si="138"/>
        <v>33700</v>
      </c>
      <c r="D366" s="131">
        <f ca="1" t="shared" si="117"/>
        <v>50</v>
      </c>
      <c r="E366" s="131">
        <f ca="1" t="shared" si="118"/>
        <v>50</v>
      </c>
      <c r="F366" s="131">
        <f ca="1" t="shared" si="119"/>
        <v>50</v>
      </c>
      <c r="G366" s="131">
        <f ca="1" t="shared" si="120"/>
        <v>41</v>
      </c>
      <c r="H366" s="131">
        <f ca="1" t="shared" si="121"/>
        <v>41</v>
      </c>
      <c r="I366" s="131">
        <f ca="1" t="shared" si="122"/>
        <v>41</v>
      </c>
      <c r="J366" s="131">
        <f ca="1" t="shared" si="123"/>
        <v>41</v>
      </c>
      <c r="K366" s="131">
        <f ca="1" t="shared" si="124"/>
        <v>41</v>
      </c>
      <c r="L366" s="131">
        <f ca="1" t="shared" si="125"/>
        <v>41</v>
      </c>
      <c r="M366" s="131">
        <f ca="1" t="shared" si="126"/>
        <v>37</v>
      </c>
      <c r="N366" s="131">
        <f ca="1" t="shared" si="127"/>
        <v>37</v>
      </c>
      <c r="O366" s="131">
        <f ca="1" t="shared" si="128"/>
        <v>37</v>
      </c>
      <c r="P366" s="131">
        <f ca="1" t="shared" si="129"/>
        <v>36</v>
      </c>
      <c r="Q366" s="131">
        <f ca="1" t="shared" si="130"/>
        <v>37</v>
      </c>
      <c r="R366" s="131">
        <f ca="1" t="shared" si="131"/>
        <v>37</v>
      </c>
      <c r="S366" s="131">
        <f ca="1" t="shared" si="132"/>
        <v>39</v>
      </c>
      <c r="T366" s="131">
        <f ca="1" t="shared" si="133"/>
        <v>41</v>
      </c>
      <c r="U366" s="131">
        <f ca="1" t="shared" si="134"/>
        <v>41</v>
      </c>
      <c r="V366" s="131">
        <f ca="1" t="shared" si="135"/>
        <v>42</v>
      </c>
      <c r="W366" s="124">
        <f ca="1">OFFSET($K$19,_xlfn.XLOOKUP(X366,$D$9:$D$28,$H$9:$H$28),MATCH(OFFSET($C$29,B366,MATCH(X366,$D$29:$V$29,0)),$L$19:$R$19,1))*(1+(OFFSET($C$29,B366,MATCH(X366,$D$29:$V$29,0))-1)*_xlfn.XLOOKUP(X366,梦灵养成!$D$9:$D$28,梦灵养成!$G$9:$G$28))</f>
        <v>55.692</v>
      </c>
      <c r="X366" s="106" t="str">
        <f ca="1" t="shared" si="116"/>
        <v>神算诸葛</v>
      </c>
      <c r="Y366" s="95">
        <f ca="1" t="shared" si="136"/>
        <v>158400</v>
      </c>
      <c r="Z366" s="96">
        <f ca="1" t="shared" si="137"/>
        <v>5.1</v>
      </c>
    </row>
    <row r="367" s="106" customFormat="1" ht="16.5" spans="2:26">
      <c r="B367" s="117">
        <v>338</v>
      </c>
      <c r="C367" s="130">
        <f t="shared" si="138"/>
        <v>33800</v>
      </c>
      <c r="D367" s="131">
        <f ca="1" t="shared" si="117"/>
        <v>50</v>
      </c>
      <c r="E367" s="131">
        <f ca="1" t="shared" si="118"/>
        <v>50</v>
      </c>
      <c r="F367" s="131">
        <f ca="1" t="shared" si="119"/>
        <v>50</v>
      </c>
      <c r="G367" s="131">
        <f ca="1" t="shared" si="120"/>
        <v>41</v>
      </c>
      <c r="H367" s="131">
        <f ca="1" t="shared" si="121"/>
        <v>41</v>
      </c>
      <c r="I367" s="131">
        <f ca="1" t="shared" si="122"/>
        <v>41</v>
      </c>
      <c r="J367" s="131">
        <f ca="1" t="shared" si="123"/>
        <v>41</v>
      </c>
      <c r="K367" s="131">
        <f ca="1" t="shared" si="124"/>
        <v>41</v>
      </c>
      <c r="L367" s="131">
        <f ca="1" t="shared" si="125"/>
        <v>41</v>
      </c>
      <c r="M367" s="131">
        <f ca="1" t="shared" si="126"/>
        <v>37</v>
      </c>
      <c r="N367" s="131">
        <f ca="1" t="shared" si="127"/>
        <v>37</v>
      </c>
      <c r="O367" s="131">
        <f ca="1" t="shared" si="128"/>
        <v>37</v>
      </c>
      <c r="P367" s="131">
        <f ca="1" t="shared" si="129"/>
        <v>36</v>
      </c>
      <c r="Q367" s="131">
        <f ca="1" t="shared" si="130"/>
        <v>37</v>
      </c>
      <c r="R367" s="131">
        <f ca="1" t="shared" si="131"/>
        <v>37</v>
      </c>
      <c r="S367" s="131">
        <f ca="1" t="shared" si="132"/>
        <v>39</v>
      </c>
      <c r="T367" s="131">
        <f ca="1" t="shared" si="133"/>
        <v>41</v>
      </c>
      <c r="U367" s="131">
        <f ca="1" t="shared" si="134"/>
        <v>41</v>
      </c>
      <c r="V367" s="131">
        <f ca="1" t="shared" si="135"/>
        <v>42</v>
      </c>
      <c r="W367" s="124">
        <f ca="1">OFFSET($K$19,_xlfn.XLOOKUP(X367,$D$9:$D$28,$H$9:$H$28),MATCH(OFFSET($C$29,B367,MATCH(X367,$D$29:$V$29,0)),$L$19:$R$19,1))*(1+(OFFSET($C$29,B367,MATCH(X367,$D$29:$V$29,0))-1)*_xlfn.XLOOKUP(X367,梦灵养成!$D$9:$D$28,梦灵养成!$G$9:$G$28))</f>
        <v>55.692</v>
      </c>
      <c r="X367" s="106" t="str">
        <f ca="1" t="shared" si="116"/>
        <v>神算诸葛</v>
      </c>
      <c r="Y367" s="95">
        <f ca="1" t="shared" si="136"/>
        <v>156600</v>
      </c>
      <c r="Z367" s="96">
        <f ca="1" t="shared" si="137"/>
        <v>5.1</v>
      </c>
    </row>
    <row r="368" s="106" customFormat="1" ht="16.5" spans="2:26">
      <c r="B368" s="117">
        <v>339</v>
      </c>
      <c r="C368" s="130">
        <f t="shared" si="138"/>
        <v>33900</v>
      </c>
      <c r="D368" s="131">
        <f ca="1" t="shared" si="117"/>
        <v>50</v>
      </c>
      <c r="E368" s="131">
        <f ca="1" t="shared" si="118"/>
        <v>50</v>
      </c>
      <c r="F368" s="131">
        <f ca="1" t="shared" si="119"/>
        <v>50</v>
      </c>
      <c r="G368" s="131">
        <f ca="1" t="shared" si="120"/>
        <v>41</v>
      </c>
      <c r="H368" s="131">
        <f ca="1" t="shared" si="121"/>
        <v>41</v>
      </c>
      <c r="I368" s="131">
        <f ca="1" t="shared" si="122"/>
        <v>41</v>
      </c>
      <c r="J368" s="131">
        <f ca="1" t="shared" si="123"/>
        <v>41</v>
      </c>
      <c r="K368" s="131">
        <f ca="1" t="shared" si="124"/>
        <v>41</v>
      </c>
      <c r="L368" s="131">
        <f ca="1" t="shared" si="125"/>
        <v>41</v>
      </c>
      <c r="M368" s="131">
        <f ca="1" t="shared" si="126"/>
        <v>37</v>
      </c>
      <c r="N368" s="131">
        <f ca="1" t="shared" si="127"/>
        <v>37</v>
      </c>
      <c r="O368" s="131">
        <f ca="1" t="shared" si="128"/>
        <v>37</v>
      </c>
      <c r="P368" s="131">
        <f ca="1" t="shared" si="129"/>
        <v>37</v>
      </c>
      <c r="Q368" s="131">
        <f ca="1" t="shared" si="130"/>
        <v>37</v>
      </c>
      <c r="R368" s="131">
        <f ca="1" t="shared" si="131"/>
        <v>37</v>
      </c>
      <c r="S368" s="131">
        <f ca="1" t="shared" si="132"/>
        <v>39</v>
      </c>
      <c r="T368" s="131">
        <f ca="1" t="shared" si="133"/>
        <v>41</v>
      </c>
      <c r="U368" s="131">
        <f ca="1" t="shared" si="134"/>
        <v>41</v>
      </c>
      <c r="V368" s="131">
        <f ca="1" t="shared" si="135"/>
        <v>42</v>
      </c>
      <c r="W368" s="124">
        <f ca="1">OFFSET($K$19,_xlfn.XLOOKUP(X368,$D$9:$D$28,$H$9:$H$28),MATCH(OFFSET($C$29,B368,MATCH(X368,$D$29:$V$29,0)),$L$19:$R$19,1))*(1+(OFFSET($C$29,B368,MATCH(X368,$D$29:$V$29,0))-1)*_xlfn.XLOOKUP(X368,梦灵养成!$D$9:$D$28,梦灵养成!$G$9:$G$28))</f>
        <v>55.692</v>
      </c>
      <c r="X368" s="106" t="str">
        <f ca="1" t="shared" si="116"/>
        <v>神算诸葛</v>
      </c>
      <c r="Y368" s="95">
        <f ca="1" t="shared" si="136"/>
        <v>154800</v>
      </c>
      <c r="Z368" s="96">
        <f ca="1" t="shared" si="137"/>
        <v>5.1</v>
      </c>
    </row>
    <row r="369" s="106" customFormat="1" ht="16.5" spans="2:26">
      <c r="B369" s="117">
        <v>340</v>
      </c>
      <c r="C369" s="130">
        <f t="shared" si="138"/>
        <v>34000</v>
      </c>
      <c r="D369" s="131">
        <f ca="1" t="shared" si="117"/>
        <v>50</v>
      </c>
      <c r="E369" s="131">
        <f ca="1" t="shared" si="118"/>
        <v>50</v>
      </c>
      <c r="F369" s="131">
        <f ca="1" t="shared" si="119"/>
        <v>50</v>
      </c>
      <c r="G369" s="131">
        <f ca="1" t="shared" si="120"/>
        <v>41</v>
      </c>
      <c r="H369" s="131">
        <f ca="1" t="shared" si="121"/>
        <v>41</v>
      </c>
      <c r="I369" s="131">
        <f ca="1" t="shared" si="122"/>
        <v>41</v>
      </c>
      <c r="J369" s="131">
        <f ca="1" t="shared" si="123"/>
        <v>41</v>
      </c>
      <c r="K369" s="131">
        <f ca="1" t="shared" si="124"/>
        <v>41</v>
      </c>
      <c r="L369" s="131">
        <f ca="1" t="shared" si="125"/>
        <v>41</v>
      </c>
      <c r="M369" s="131">
        <f ca="1" t="shared" si="126"/>
        <v>37</v>
      </c>
      <c r="N369" s="131">
        <f ca="1" t="shared" si="127"/>
        <v>37</v>
      </c>
      <c r="O369" s="131">
        <f ca="1" t="shared" si="128"/>
        <v>37</v>
      </c>
      <c r="P369" s="131">
        <f ca="1" t="shared" si="129"/>
        <v>37</v>
      </c>
      <c r="Q369" s="131">
        <f ca="1" t="shared" si="130"/>
        <v>37</v>
      </c>
      <c r="R369" s="131">
        <f ca="1" t="shared" si="131"/>
        <v>37</v>
      </c>
      <c r="S369" s="131">
        <f ca="1" t="shared" si="132"/>
        <v>39</v>
      </c>
      <c r="T369" s="131">
        <f ca="1" t="shared" si="133"/>
        <v>41</v>
      </c>
      <c r="U369" s="131">
        <f ca="1" t="shared" si="134"/>
        <v>41</v>
      </c>
      <c r="V369" s="131">
        <f ca="1" t="shared" si="135"/>
        <v>42</v>
      </c>
      <c r="W369" s="124">
        <f ca="1">OFFSET($K$19,_xlfn.XLOOKUP(X369,$D$9:$D$28,$H$9:$H$28),MATCH(OFFSET($C$29,B369,MATCH(X369,$D$29:$V$29,0)),$L$19:$R$19,1))*(1+(OFFSET($C$29,B369,MATCH(X369,$D$29:$V$29,0))-1)*_xlfn.XLOOKUP(X369,梦灵养成!$D$9:$D$28,梦灵养成!$G$9:$G$28))</f>
        <v>55.692</v>
      </c>
      <c r="X369" s="106" t="str">
        <f ca="1" t="shared" si="116"/>
        <v>神算诸葛</v>
      </c>
      <c r="Y369" s="95">
        <f ca="1" t="shared" si="136"/>
        <v>153000</v>
      </c>
      <c r="Z369" s="96">
        <f ca="1" t="shared" si="137"/>
        <v>5.1</v>
      </c>
    </row>
    <row r="370" s="106" customFormat="1" ht="16.5" spans="2:26">
      <c r="B370" s="117">
        <v>341</v>
      </c>
      <c r="C370" s="130">
        <f t="shared" si="138"/>
        <v>34100</v>
      </c>
      <c r="D370" s="131">
        <f ca="1" t="shared" si="117"/>
        <v>50</v>
      </c>
      <c r="E370" s="131">
        <f ca="1" t="shared" si="118"/>
        <v>50</v>
      </c>
      <c r="F370" s="131">
        <f ca="1" t="shared" si="119"/>
        <v>50</v>
      </c>
      <c r="G370" s="131">
        <f ca="1" t="shared" si="120"/>
        <v>41</v>
      </c>
      <c r="H370" s="131">
        <f ca="1" t="shared" si="121"/>
        <v>41</v>
      </c>
      <c r="I370" s="131">
        <f ca="1" t="shared" si="122"/>
        <v>41</v>
      </c>
      <c r="J370" s="131">
        <f ca="1" t="shared" si="123"/>
        <v>41</v>
      </c>
      <c r="K370" s="131">
        <f ca="1" t="shared" si="124"/>
        <v>41</v>
      </c>
      <c r="L370" s="131">
        <f ca="1" t="shared" si="125"/>
        <v>41</v>
      </c>
      <c r="M370" s="131">
        <f ca="1" t="shared" si="126"/>
        <v>37</v>
      </c>
      <c r="N370" s="131">
        <f ca="1" t="shared" si="127"/>
        <v>37</v>
      </c>
      <c r="O370" s="131">
        <f ca="1" t="shared" si="128"/>
        <v>37</v>
      </c>
      <c r="P370" s="131">
        <f ca="1" t="shared" si="129"/>
        <v>37</v>
      </c>
      <c r="Q370" s="131">
        <f ca="1" t="shared" si="130"/>
        <v>37</v>
      </c>
      <c r="R370" s="131">
        <f ca="1" t="shared" si="131"/>
        <v>37</v>
      </c>
      <c r="S370" s="131">
        <f ca="1" t="shared" si="132"/>
        <v>39</v>
      </c>
      <c r="T370" s="131">
        <f ca="1" t="shared" si="133"/>
        <v>41</v>
      </c>
      <c r="U370" s="131">
        <f ca="1" t="shared" si="134"/>
        <v>42</v>
      </c>
      <c r="V370" s="131">
        <f ca="1" t="shared" si="135"/>
        <v>42</v>
      </c>
      <c r="W370" s="124">
        <f ca="1">OFFSET($K$19,_xlfn.XLOOKUP(X370,$D$9:$D$28,$H$9:$H$28),MATCH(OFFSET($C$29,B370,MATCH(X370,$D$29:$V$29,0)),$L$19:$R$19,1))*(1+(OFFSET($C$29,B370,MATCH(X370,$D$29:$V$29,0))-1)*_xlfn.XLOOKUP(X370,梦灵养成!$D$9:$D$28,梦灵养成!$G$9:$G$28))</f>
        <v>55.692</v>
      </c>
      <c r="X370" s="106" t="str">
        <f ca="1" t="shared" si="116"/>
        <v>神算诸葛</v>
      </c>
      <c r="Y370" s="95">
        <f ca="1" t="shared" si="136"/>
        <v>151200</v>
      </c>
      <c r="Z370" s="96">
        <f ca="1" t="shared" si="137"/>
        <v>5.1</v>
      </c>
    </row>
    <row r="371" s="106" customFormat="1" ht="16.5" spans="2:26">
      <c r="B371" s="117">
        <v>342</v>
      </c>
      <c r="C371" s="130">
        <f t="shared" si="138"/>
        <v>34200</v>
      </c>
      <c r="D371" s="131">
        <f ca="1" t="shared" si="117"/>
        <v>50</v>
      </c>
      <c r="E371" s="131">
        <f ca="1" t="shared" si="118"/>
        <v>50</v>
      </c>
      <c r="F371" s="131">
        <f ca="1" t="shared" si="119"/>
        <v>50</v>
      </c>
      <c r="G371" s="131">
        <f ca="1" t="shared" si="120"/>
        <v>41</v>
      </c>
      <c r="H371" s="131">
        <f ca="1" t="shared" si="121"/>
        <v>41</v>
      </c>
      <c r="I371" s="131">
        <f ca="1" t="shared" si="122"/>
        <v>41</v>
      </c>
      <c r="J371" s="131">
        <f ca="1" t="shared" si="123"/>
        <v>41</v>
      </c>
      <c r="K371" s="131">
        <f ca="1" t="shared" si="124"/>
        <v>41</v>
      </c>
      <c r="L371" s="131">
        <f ca="1" t="shared" si="125"/>
        <v>41</v>
      </c>
      <c r="M371" s="131">
        <f ca="1" t="shared" si="126"/>
        <v>37</v>
      </c>
      <c r="N371" s="131">
        <f ca="1" t="shared" si="127"/>
        <v>37</v>
      </c>
      <c r="O371" s="131">
        <f ca="1" t="shared" si="128"/>
        <v>37</v>
      </c>
      <c r="P371" s="131">
        <f ca="1" t="shared" si="129"/>
        <v>37</v>
      </c>
      <c r="Q371" s="131">
        <f ca="1" t="shared" si="130"/>
        <v>37</v>
      </c>
      <c r="R371" s="131">
        <f ca="1" t="shared" si="131"/>
        <v>37</v>
      </c>
      <c r="S371" s="131">
        <f ca="1" t="shared" si="132"/>
        <v>39</v>
      </c>
      <c r="T371" s="131">
        <f ca="1" t="shared" si="133"/>
        <v>41</v>
      </c>
      <c r="U371" s="131">
        <f ca="1" t="shared" si="134"/>
        <v>42</v>
      </c>
      <c r="V371" s="131">
        <f ca="1" t="shared" si="135"/>
        <v>42</v>
      </c>
      <c r="W371" s="124">
        <f ca="1">OFFSET($K$19,_xlfn.XLOOKUP(X371,$D$9:$D$28,$H$9:$H$28),MATCH(OFFSET($C$29,B371,MATCH(X371,$D$29:$V$29,0)),$L$19:$R$19,1))*(1+(OFFSET($C$29,B371,MATCH(X371,$D$29:$V$29,0))-1)*_xlfn.XLOOKUP(X371,梦灵养成!$D$9:$D$28,梦灵养成!$G$9:$G$28))</f>
        <v>55.692</v>
      </c>
      <c r="X371" s="106" t="str">
        <f ca="1" t="shared" si="116"/>
        <v>神算诸葛</v>
      </c>
      <c r="Y371" s="95">
        <f ca="1" t="shared" si="136"/>
        <v>149400</v>
      </c>
      <c r="Z371" s="96">
        <f ca="1" t="shared" si="137"/>
        <v>5.1</v>
      </c>
    </row>
    <row r="372" s="106" customFormat="1" ht="16.5" spans="2:26">
      <c r="B372" s="117">
        <v>343</v>
      </c>
      <c r="C372" s="130">
        <f t="shared" si="138"/>
        <v>34300</v>
      </c>
      <c r="D372" s="131">
        <f ca="1" t="shared" si="117"/>
        <v>50</v>
      </c>
      <c r="E372" s="131">
        <f ca="1" t="shared" si="118"/>
        <v>50</v>
      </c>
      <c r="F372" s="131">
        <f ca="1" t="shared" si="119"/>
        <v>50</v>
      </c>
      <c r="G372" s="131">
        <f ca="1" t="shared" si="120"/>
        <v>41</v>
      </c>
      <c r="H372" s="131">
        <f ca="1" t="shared" si="121"/>
        <v>41</v>
      </c>
      <c r="I372" s="131">
        <f ca="1" t="shared" si="122"/>
        <v>41</v>
      </c>
      <c r="J372" s="131">
        <f ca="1" t="shared" si="123"/>
        <v>41</v>
      </c>
      <c r="K372" s="131">
        <f ca="1" t="shared" si="124"/>
        <v>41</v>
      </c>
      <c r="L372" s="131">
        <f ca="1" t="shared" si="125"/>
        <v>41</v>
      </c>
      <c r="M372" s="131">
        <f ca="1" t="shared" si="126"/>
        <v>37</v>
      </c>
      <c r="N372" s="131">
        <f ca="1" t="shared" si="127"/>
        <v>37</v>
      </c>
      <c r="O372" s="131">
        <f ca="1" t="shared" si="128"/>
        <v>37</v>
      </c>
      <c r="P372" s="131">
        <f ca="1" t="shared" si="129"/>
        <v>37</v>
      </c>
      <c r="Q372" s="131">
        <f ca="1" t="shared" si="130"/>
        <v>37</v>
      </c>
      <c r="R372" s="131">
        <f ca="1" t="shared" si="131"/>
        <v>37</v>
      </c>
      <c r="S372" s="131">
        <f ca="1" t="shared" si="132"/>
        <v>39</v>
      </c>
      <c r="T372" s="131">
        <f ca="1" t="shared" si="133"/>
        <v>41</v>
      </c>
      <c r="U372" s="131">
        <f ca="1" t="shared" si="134"/>
        <v>42</v>
      </c>
      <c r="V372" s="131">
        <f ca="1" t="shared" si="135"/>
        <v>42</v>
      </c>
      <c r="W372" s="124">
        <f ca="1">OFFSET($K$19,_xlfn.XLOOKUP(X372,$D$9:$D$28,$H$9:$H$28),MATCH(OFFSET($C$29,B372,MATCH(X372,$D$29:$V$29,0)),$L$19:$R$19,1))*(1+(OFFSET($C$29,B372,MATCH(X372,$D$29:$V$29,0))-1)*_xlfn.XLOOKUP(X372,梦灵养成!$D$9:$D$28,梦灵养成!$G$9:$G$28))</f>
        <v>55.692</v>
      </c>
      <c r="X372" s="106" t="str">
        <f ca="1" t="shared" si="116"/>
        <v>神算诸葛</v>
      </c>
      <c r="Y372" s="95">
        <f ca="1" t="shared" si="136"/>
        <v>147600</v>
      </c>
      <c r="Z372" s="96">
        <f ca="1" t="shared" si="137"/>
        <v>5.1</v>
      </c>
    </row>
    <row r="373" s="106" customFormat="1" ht="16.5" spans="2:26">
      <c r="B373" s="117">
        <v>344</v>
      </c>
      <c r="C373" s="130">
        <f t="shared" si="138"/>
        <v>34400</v>
      </c>
      <c r="D373" s="131">
        <f ca="1" t="shared" si="117"/>
        <v>50</v>
      </c>
      <c r="E373" s="131">
        <f ca="1" t="shared" si="118"/>
        <v>50</v>
      </c>
      <c r="F373" s="131">
        <f ca="1" t="shared" si="119"/>
        <v>50</v>
      </c>
      <c r="G373" s="131">
        <f ca="1" t="shared" si="120"/>
        <v>41</v>
      </c>
      <c r="H373" s="131">
        <f ca="1" t="shared" si="121"/>
        <v>41</v>
      </c>
      <c r="I373" s="131">
        <f ca="1" t="shared" si="122"/>
        <v>41</v>
      </c>
      <c r="J373" s="131">
        <f ca="1" t="shared" si="123"/>
        <v>41</v>
      </c>
      <c r="K373" s="131">
        <f ca="1" t="shared" si="124"/>
        <v>41</v>
      </c>
      <c r="L373" s="131">
        <f ca="1" t="shared" si="125"/>
        <v>41</v>
      </c>
      <c r="M373" s="131">
        <f ca="1" t="shared" si="126"/>
        <v>37</v>
      </c>
      <c r="N373" s="131">
        <f ca="1" t="shared" si="127"/>
        <v>37</v>
      </c>
      <c r="O373" s="131">
        <f ca="1" t="shared" si="128"/>
        <v>37</v>
      </c>
      <c r="P373" s="131">
        <f ca="1" t="shared" si="129"/>
        <v>37</v>
      </c>
      <c r="Q373" s="131">
        <f ca="1" t="shared" si="130"/>
        <v>37</v>
      </c>
      <c r="R373" s="131">
        <f ca="1" t="shared" si="131"/>
        <v>37</v>
      </c>
      <c r="S373" s="131">
        <f ca="1" t="shared" si="132"/>
        <v>39</v>
      </c>
      <c r="T373" s="131">
        <f ca="1" t="shared" si="133"/>
        <v>41</v>
      </c>
      <c r="U373" s="131">
        <f ca="1" t="shared" si="134"/>
        <v>42</v>
      </c>
      <c r="V373" s="131">
        <f ca="1" t="shared" si="135"/>
        <v>42</v>
      </c>
      <c r="W373" s="124">
        <f ca="1">OFFSET($K$19,_xlfn.XLOOKUP(X373,$D$9:$D$28,$H$9:$H$28),MATCH(OFFSET($C$29,B373,MATCH(X373,$D$29:$V$29,0)),$L$19:$R$19,1))*(1+(OFFSET($C$29,B373,MATCH(X373,$D$29:$V$29,0))-1)*_xlfn.XLOOKUP(X373,梦灵养成!$D$9:$D$28,梦灵养成!$G$9:$G$28))</f>
        <v>55.692</v>
      </c>
      <c r="X373" s="106" t="str">
        <f ca="1" t="shared" si="116"/>
        <v>神算诸葛</v>
      </c>
      <c r="Y373" s="95">
        <f ca="1" t="shared" si="136"/>
        <v>145800</v>
      </c>
      <c r="Z373" s="96">
        <f ca="1" t="shared" si="137"/>
        <v>5.1</v>
      </c>
    </row>
    <row r="374" s="106" customFormat="1" ht="16.5" spans="2:26">
      <c r="B374" s="117">
        <v>345</v>
      </c>
      <c r="C374" s="130">
        <f t="shared" si="138"/>
        <v>34500</v>
      </c>
      <c r="D374" s="131">
        <f ca="1" t="shared" si="117"/>
        <v>50</v>
      </c>
      <c r="E374" s="131">
        <f ca="1" t="shared" si="118"/>
        <v>50</v>
      </c>
      <c r="F374" s="131">
        <f ca="1" t="shared" si="119"/>
        <v>50</v>
      </c>
      <c r="G374" s="131">
        <f ca="1" t="shared" si="120"/>
        <v>41</v>
      </c>
      <c r="H374" s="131">
        <f ca="1" t="shared" si="121"/>
        <v>41</v>
      </c>
      <c r="I374" s="131">
        <f ca="1" t="shared" si="122"/>
        <v>41</v>
      </c>
      <c r="J374" s="131">
        <f ca="1" t="shared" si="123"/>
        <v>41</v>
      </c>
      <c r="K374" s="131">
        <f ca="1" t="shared" si="124"/>
        <v>41</v>
      </c>
      <c r="L374" s="131">
        <f ca="1" t="shared" si="125"/>
        <v>41</v>
      </c>
      <c r="M374" s="131">
        <f ca="1" t="shared" si="126"/>
        <v>37</v>
      </c>
      <c r="N374" s="131">
        <f ca="1" t="shared" si="127"/>
        <v>37</v>
      </c>
      <c r="O374" s="131">
        <f ca="1" t="shared" si="128"/>
        <v>37</v>
      </c>
      <c r="P374" s="131">
        <f ca="1" t="shared" si="129"/>
        <v>37</v>
      </c>
      <c r="Q374" s="131">
        <f ca="1" t="shared" si="130"/>
        <v>37</v>
      </c>
      <c r="R374" s="131">
        <f ca="1" t="shared" si="131"/>
        <v>37</v>
      </c>
      <c r="S374" s="131">
        <f ca="1" t="shared" si="132"/>
        <v>39</v>
      </c>
      <c r="T374" s="131">
        <f ca="1" t="shared" si="133"/>
        <v>41</v>
      </c>
      <c r="U374" s="131">
        <f ca="1" t="shared" si="134"/>
        <v>42</v>
      </c>
      <c r="V374" s="131">
        <f ca="1" t="shared" si="135"/>
        <v>43</v>
      </c>
      <c r="W374" s="124">
        <f ca="1">OFFSET($K$19,_xlfn.XLOOKUP(X374,$D$9:$D$28,$H$9:$H$28),MATCH(OFFSET($C$29,B374,MATCH(X374,$D$29:$V$29,0)),$L$19:$R$19,1))*(1+(OFFSET($C$29,B374,MATCH(X374,$D$29:$V$29,0))-1)*_xlfn.XLOOKUP(X374,梦灵养成!$D$9:$D$28,梦灵养成!$G$9:$G$28))</f>
        <v>56.784</v>
      </c>
      <c r="X374" s="106" t="str">
        <f ca="1" t="shared" si="116"/>
        <v>神算诸葛</v>
      </c>
      <c r="Y374" s="95">
        <f ca="1" t="shared" si="136"/>
        <v>205200</v>
      </c>
      <c r="Z374" s="96">
        <f ca="1" t="shared" si="137"/>
        <v>5.2</v>
      </c>
    </row>
    <row r="375" s="106" customFormat="1" ht="16.5" spans="2:26">
      <c r="B375" s="117">
        <v>346</v>
      </c>
      <c r="C375" s="130">
        <f t="shared" si="138"/>
        <v>34600</v>
      </c>
      <c r="D375" s="131">
        <f ca="1" t="shared" si="117"/>
        <v>50</v>
      </c>
      <c r="E375" s="131">
        <f ca="1" t="shared" si="118"/>
        <v>50</v>
      </c>
      <c r="F375" s="131">
        <f ca="1" t="shared" si="119"/>
        <v>50</v>
      </c>
      <c r="G375" s="131">
        <f ca="1" t="shared" si="120"/>
        <v>42</v>
      </c>
      <c r="H375" s="131">
        <f ca="1" t="shared" si="121"/>
        <v>42</v>
      </c>
      <c r="I375" s="131">
        <f ca="1" t="shared" si="122"/>
        <v>42</v>
      </c>
      <c r="J375" s="131">
        <f ca="1" t="shared" si="123"/>
        <v>41</v>
      </c>
      <c r="K375" s="131">
        <f ca="1" t="shared" si="124"/>
        <v>41</v>
      </c>
      <c r="L375" s="131">
        <f ca="1" t="shared" si="125"/>
        <v>41</v>
      </c>
      <c r="M375" s="131">
        <f ca="1" t="shared" si="126"/>
        <v>37</v>
      </c>
      <c r="N375" s="131">
        <f ca="1" t="shared" si="127"/>
        <v>37</v>
      </c>
      <c r="O375" s="131">
        <f ca="1" t="shared" si="128"/>
        <v>37</v>
      </c>
      <c r="P375" s="131">
        <f ca="1" t="shared" si="129"/>
        <v>37</v>
      </c>
      <c r="Q375" s="131">
        <f ca="1" t="shared" si="130"/>
        <v>37</v>
      </c>
      <c r="R375" s="131">
        <f ca="1" t="shared" si="131"/>
        <v>37</v>
      </c>
      <c r="S375" s="131">
        <f ca="1" t="shared" si="132"/>
        <v>39</v>
      </c>
      <c r="T375" s="131">
        <f ca="1" t="shared" si="133"/>
        <v>42</v>
      </c>
      <c r="U375" s="131">
        <f ca="1" t="shared" si="134"/>
        <v>42</v>
      </c>
      <c r="V375" s="131">
        <f ca="1" t="shared" si="135"/>
        <v>43</v>
      </c>
      <c r="W375" s="124">
        <f ca="1">OFFSET($K$19,_xlfn.XLOOKUP(X375,$D$9:$D$28,$H$9:$H$28),MATCH(OFFSET($C$29,B375,MATCH(X375,$D$29:$V$29,0)),$L$19:$R$19,1))*(1+(OFFSET($C$29,B375,MATCH(X375,$D$29:$V$29,0))-1)*_xlfn.XLOOKUP(X375,梦灵养成!$D$9:$D$28,梦灵养成!$G$9:$G$28))</f>
        <v>56.784</v>
      </c>
      <c r="X375" s="106" t="str">
        <f ca="1" t="shared" si="116"/>
        <v>神算诸葛</v>
      </c>
      <c r="Y375" s="95">
        <f ca="1" t="shared" si="136"/>
        <v>203400</v>
      </c>
      <c r="Z375" s="96">
        <f ca="1" t="shared" si="137"/>
        <v>5.2</v>
      </c>
    </row>
    <row r="376" s="106" customFormat="1" ht="16.5" spans="2:26">
      <c r="B376" s="117">
        <v>347</v>
      </c>
      <c r="C376" s="130">
        <f t="shared" si="138"/>
        <v>34700</v>
      </c>
      <c r="D376" s="131">
        <f ca="1" t="shared" si="117"/>
        <v>50</v>
      </c>
      <c r="E376" s="131">
        <f ca="1" t="shared" si="118"/>
        <v>50</v>
      </c>
      <c r="F376" s="131">
        <f ca="1" t="shared" si="119"/>
        <v>50</v>
      </c>
      <c r="G376" s="131">
        <f ca="1" t="shared" si="120"/>
        <v>42</v>
      </c>
      <c r="H376" s="131">
        <f ca="1" t="shared" si="121"/>
        <v>42</v>
      </c>
      <c r="I376" s="131">
        <f ca="1" t="shared" si="122"/>
        <v>42</v>
      </c>
      <c r="J376" s="131">
        <f ca="1" t="shared" si="123"/>
        <v>42</v>
      </c>
      <c r="K376" s="131">
        <f ca="1" t="shared" si="124"/>
        <v>41</v>
      </c>
      <c r="L376" s="131">
        <f ca="1" t="shared" si="125"/>
        <v>41</v>
      </c>
      <c r="M376" s="131">
        <f ca="1" t="shared" si="126"/>
        <v>37</v>
      </c>
      <c r="N376" s="131">
        <f ca="1" t="shared" si="127"/>
        <v>37</v>
      </c>
      <c r="O376" s="131">
        <f ca="1" t="shared" si="128"/>
        <v>37</v>
      </c>
      <c r="P376" s="131">
        <f ca="1" t="shared" si="129"/>
        <v>37</v>
      </c>
      <c r="Q376" s="131">
        <f ca="1" t="shared" si="130"/>
        <v>37</v>
      </c>
      <c r="R376" s="131">
        <f ca="1" t="shared" si="131"/>
        <v>37</v>
      </c>
      <c r="S376" s="131">
        <f ca="1" t="shared" si="132"/>
        <v>40</v>
      </c>
      <c r="T376" s="131">
        <f ca="1" t="shared" si="133"/>
        <v>42</v>
      </c>
      <c r="U376" s="131">
        <f ca="1" t="shared" si="134"/>
        <v>42</v>
      </c>
      <c r="V376" s="131">
        <f ca="1" t="shared" si="135"/>
        <v>43</v>
      </c>
      <c r="W376" s="124">
        <f ca="1">OFFSET($K$19,_xlfn.XLOOKUP(X376,$D$9:$D$28,$H$9:$H$28),MATCH(OFFSET($C$29,B376,MATCH(X376,$D$29:$V$29,0)),$L$19:$R$19,1))*(1+(OFFSET($C$29,B376,MATCH(X376,$D$29:$V$29,0))-1)*_xlfn.XLOOKUP(X376,梦灵养成!$D$9:$D$28,梦灵养成!$G$9:$G$28))</f>
        <v>56.784</v>
      </c>
      <c r="X376" s="106" t="str">
        <f ca="1" t="shared" si="116"/>
        <v>神算诸葛</v>
      </c>
      <c r="Y376" s="95">
        <f ca="1" t="shared" si="136"/>
        <v>201600</v>
      </c>
      <c r="Z376" s="96">
        <f ca="1" t="shared" si="137"/>
        <v>5.2</v>
      </c>
    </row>
    <row r="377" s="106" customFormat="1" ht="16.5" spans="2:26">
      <c r="B377" s="117">
        <v>348</v>
      </c>
      <c r="C377" s="130">
        <f t="shared" si="138"/>
        <v>34800</v>
      </c>
      <c r="D377" s="131">
        <f ca="1" t="shared" si="117"/>
        <v>50</v>
      </c>
      <c r="E377" s="131">
        <f ca="1" t="shared" si="118"/>
        <v>50</v>
      </c>
      <c r="F377" s="131">
        <f ca="1" t="shared" si="119"/>
        <v>50</v>
      </c>
      <c r="G377" s="131">
        <f ca="1" t="shared" si="120"/>
        <v>42</v>
      </c>
      <c r="H377" s="131">
        <f ca="1" t="shared" si="121"/>
        <v>42</v>
      </c>
      <c r="I377" s="131">
        <f ca="1" t="shared" si="122"/>
        <v>42</v>
      </c>
      <c r="J377" s="131">
        <f ca="1" t="shared" si="123"/>
        <v>42</v>
      </c>
      <c r="K377" s="131">
        <f ca="1" t="shared" si="124"/>
        <v>42</v>
      </c>
      <c r="L377" s="131">
        <f ca="1" t="shared" si="125"/>
        <v>42</v>
      </c>
      <c r="M377" s="131">
        <f ca="1" t="shared" si="126"/>
        <v>37</v>
      </c>
      <c r="N377" s="131">
        <f ca="1" t="shared" si="127"/>
        <v>37</v>
      </c>
      <c r="O377" s="131">
        <f ca="1" t="shared" si="128"/>
        <v>37</v>
      </c>
      <c r="P377" s="131">
        <f ca="1" t="shared" si="129"/>
        <v>37</v>
      </c>
      <c r="Q377" s="131">
        <f ca="1" t="shared" si="130"/>
        <v>37</v>
      </c>
      <c r="R377" s="131">
        <f ca="1" t="shared" si="131"/>
        <v>37</v>
      </c>
      <c r="S377" s="131">
        <f ca="1" t="shared" si="132"/>
        <v>40</v>
      </c>
      <c r="T377" s="131">
        <f ca="1" t="shared" si="133"/>
        <v>42</v>
      </c>
      <c r="U377" s="131">
        <f ca="1" t="shared" si="134"/>
        <v>42</v>
      </c>
      <c r="V377" s="131">
        <f ca="1" t="shared" si="135"/>
        <v>43</v>
      </c>
      <c r="W377" s="124">
        <f ca="1">OFFSET($K$19,_xlfn.XLOOKUP(X377,$D$9:$D$28,$H$9:$H$28),MATCH(OFFSET($C$29,B377,MATCH(X377,$D$29:$V$29,0)),$L$19:$R$19,1))*(1+(OFFSET($C$29,B377,MATCH(X377,$D$29:$V$29,0))-1)*_xlfn.XLOOKUP(X377,梦灵养成!$D$9:$D$28,梦灵养成!$G$9:$G$28))</f>
        <v>56.784</v>
      </c>
      <c r="X377" s="106" t="str">
        <f ca="1" t="shared" si="116"/>
        <v>神算诸葛</v>
      </c>
      <c r="Y377" s="95">
        <f ca="1" t="shared" si="136"/>
        <v>199800</v>
      </c>
      <c r="Z377" s="96">
        <f ca="1" t="shared" si="137"/>
        <v>5.2</v>
      </c>
    </row>
    <row r="378" s="106" customFormat="1" ht="16.5" spans="2:26">
      <c r="B378" s="117">
        <v>349</v>
      </c>
      <c r="C378" s="130">
        <f t="shared" si="138"/>
        <v>34900</v>
      </c>
      <c r="D378" s="131">
        <f ca="1" t="shared" si="117"/>
        <v>50</v>
      </c>
      <c r="E378" s="131">
        <f ca="1" t="shared" si="118"/>
        <v>50</v>
      </c>
      <c r="F378" s="131">
        <f ca="1" t="shared" si="119"/>
        <v>50</v>
      </c>
      <c r="G378" s="131">
        <f ca="1" t="shared" si="120"/>
        <v>42</v>
      </c>
      <c r="H378" s="131">
        <f ca="1" t="shared" si="121"/>
        <v>42</v>
      </c>
      <c r="I378" s="131">
        <f ca="1" t="shared" si="122"/>
        <v>42</v>
      </c>
      <c r="J378" s="131">
        <f ca="1" t="shared" si="123"/>
        <v>42</v>
      </c>
      <c r="K378" s="131">
        <f ca="1" t="shared" si="124"/>
        <v>42</v>
      </c>
      <c r="L378" s="131">
        <f ca="1" t="shared" si="125"/>
        <v>42</v>
      </c>
      <c r="M378" s="131">
        <f ca="1" t="shared" si="126"/>
        <v>37</v>
      </c>
      <c r="N378" s="131">
        <f ca="1" t="shared" si="127"/>
        <v>37</v>
      </c>
      <c r="O378" s="131">
        <f ca="1" t="shared" si="128"/>
        <v>37</v>
      </c>
      <c r="P378" s="131">
        <f ca="1" t="shared" si="129"/>
        <v>37</v>
      </c>
      <c r="Q378" s="131">
        <f ca="1" t="shared" si="130"/>
        <v>37</v>
      </c>
      <c r="R378" s="131">
        <f ca="1" t="shared" si="131"/>
        <v>37</v>
      </c>
      <c r="S378" s="131">
        <f ca="1" t="shared" si="132"/>
        <v>40</v>
      </c>
      <c r="T378" s="131">
        <f ca="1" t="shared" si="133"/>
        <v>42</v>
      </c>
      <c r="U378" s="131">
        <f ca="1" t="shared" si="134"/>
        <v>42</v>
      </c>
      <c r="V378" s="131">
        <f ca="1" t="shared" si="135"/>
        <v>43</v>
      </c>
      <c r="W378" s="124">
        <f ca="1">OFFSET($K$19,_xlfn.XLOOKUP(X378,$D$9:$D$28,$H$9:$H$28),MATCH(OFFSET($C$29,B378,MATCH(X378,$D$29:$V$29,0)),$L$19:$R$19,1))*(1+(OFFSET($C$29,B378,MATCH(X378,$D$29:$V$29,0))-1)*_xlfn.XLOOKUP(X378,梦灵养成!$D$9:$D$28,梦灵养成!$G$9:$G$28))</f>
        <v>56.784</v>
      </c>
      <c r="X378" s="106" t="str">
        <f ca="1" t="shared" si="116"/>
        <v>神算诸葛</v>
      </c>
      <c r="Y378" s="95">
        <f ca="1" t="shared" si="136"/>
        <v>198000</v>
      </c>
      <c r="Z378" s="96">
        <f ca="1" t="shared" si="137"/>
        <v>5.2</v>
      </c>
    </row>
    <row r="379" s="106" customFormat="1" ht="16.5" spans="2:26">
      <c r="B379" s="117">
        <v>350</v>
      </c>
      <c r="C379" s="130">
        <f t="shared" si="138"/>
        <v>35000</v>
      </c>
      <c r="D379" s="131">
        <f ca="1" t="shared" si="117"/>
        <v>50</v>
      </c>
      <c r="E379" s="131">
        <f ca="1" t="shared" si="118"/>
        <v>50</v>
      </c>
      <c r="F379" s="131">
        <f ca="1" t="shared" si="119"/>
        <v>50</v>
      </c>
      <c r="G379" s="131">
        <f ca="1" t="shared" si="120"/>
        <v>42</v>
      </c>
      <c r="H379" s="131">
        <f ca="1" t="shared" si="121"/>
        <v>42</v>
      </c>
      <c r="I379" s="131">
        <f ca="1" t="shared" si="122"/>
        <v>42</v>
      </c>
      <c r="J379" s="131">
        <f ca="1" t="shared" si="123"/>
        <v>42</v>
      </c>
      <c r="K379" s="131">
        <f ca="1" t="shared" si="124"/>
        <v>42</v>
      </c>
      <c r="L379" s="131">
        <f ca="1" t="shared" si="125"/>
        <v>42</v>
      </c>
      <c r="M379" s="131">
        <f ca="1" t="shared" si="126"/>
        <v>37</v>
      </c>
      <c r="N379" s="131">
        <f ca="1" t="shared" si="127"/>
        <v>37</v>
      </c>
      <c r="O379" s="131">
        <f ca="1" t="shared" si="128"/>
        <v>37</v>
      </c>
      <c r="P379" s="131">
        <f ca="1" t="shared" si="129"/>
        <v>37</v>
      </c>
      <c r="Q379" s="131">
        <f ca="1" t="shared" si="130"/>
        <v>37</v>
      </c>
      <c r="R379" s="131">
        <f ca="1" t="shared" si="131"/>
        <v>37</v>
      </c>
      <c r="S379" s="131">
        <f ca="1" t="shared" si="132"/>
        <v>40</v>
      </c>
      <c r="T379" s="131">
        <f ca="1" t="shared" si="133"/>
        <v>42</v>
      </c>
      <c r="U379" s="131">
        <f ca="1" t="shared" si="134"/>
        <v>42</v>
      </c>
      <c r="V379" s="131">
        <f ca="1" t="shared" si="135"/>
        <v>43</v>
      </c>
      <c r="W379" s="124">
        <f ca="1">OFFSET($K$19,_xlfn.XLOOKUP(X379,$D$9:$D$28,$H$9:$H$28),MATCH(OFFSET($C$29,B379,MATCH(X379,$D$29:$V$29,0)),$L$19:$R$19,1))*(1+(OFFSET($C$29,B379,MATCH(X379,$D$29:$V$29,0))-1)*_xlfn.XLOOKUP(X379,梦灵养成!$D$9:$D$28,梦灵养成!$G$9:$G$28))</f>
        <v>56.784</v>
      </c>
      <c r="X379" s="106" t="str">
        <f ca="1" t="shared" si="116"/>
        <v>神算诸葛</v>
      </c>
      <c r="Y379" s="95">
        <f ca="1" t="shared" si="136"/>
        <v>196200</v>
      </c>
      <c r="Z379" s="96">
        <f ca="1" t="shared" si="137"/>
        <v>5.2</v>
      </c>
    </row>
    <row r="380" s="106" customFormat="1" ht="16.5" spans="2:26">
      <c r="B380" s="117">
        <v>351</v>
      </c>
      <c r="C380" s="130">
        <f t="shared" si="138"/>
        <v>35100</v>
      </c>
      <c r="D380" s="131">
        <f ca="1" t="shared" si="117"/>
        <v>50</v>
      </c>
      <c r="E380" s="131">
        <f ca="1" t="shared" si="118"/>
        <v>50</v>
      </c>
      <c r="F380" s="131">
        <f ca="1" t="shared" si="119"/>
        <v>50</v>
      </c>
      <c r="G380" s="131">
        <f ca="1" t="shared" si="120"/>
        <v>42</v>
      </c>
      <c r="H380" s="131">
        <f ca="1" t="shared" si="121"/>
        <v>42</v>
      </c>
      <c r="I380" s="131">
        <f ca="1" t="shared" si="122"/>
        <v>42</v>
      </c>
      <c r="J380" s="131">
        <f ca="1" t="shared" si="123"/>
        <v>42</v>
      </c>
      <c r="K380" s="131">
        <f ca="1" t="shared" si="124"/>
        <v>42</v>
      </c>
      <c r="L380" s="131">
        <f ca="1" t="shared" si="125"/>
        <v>42</v>
      </c>
      <c r="M380" s="131">
        <f ca="1" t="shared" si="126"/>
        <v>37</v>
      </c>
      <c r="N380" s="131">
        <f ca="1" t="shared" si="127"/>
        <v>37</v>
      </c>
      <c r="O380" s="131">
        <f ca="1" t="shared" si="128"/>
        <v>37</v>
      </c>
      <c r="P380" s="131">
        <f ca="1" t="shared" si="129"/>
        <v>37</v>
      </c>
      <c r="Q380" s="131">
        <f ca="1" t="shared" si="130"/>
        <v>37</v>
      </c>
      <c r="R380" s="131">
        <f ca="1" t="shared" si="131"/>
        <v>37</v>
      </c>
      <c r="S380" s="131">
        <f ca="1" t="shared" si="132"/>
        <v>40</v>
      </c>
      <c r="T380" s="131">
        <f ca="1" t="shared" si="133"/>
        <v>42</v>
      </c>
      <c r="U380" s="131">
        <f ca="1" t="shared" si="134"/>
        <v>42</v>
      </c>
      <c r="V380" s="131">
        <f ca="1" t="shared" si="135"/>
        <v>43</v>
      </c>
      <c r="W380" s="124">
        <f ca="1">OFFSET($K$19,_xlfn.XLOOKUP(X380,$D$9:$D$28,$H$9:$H$28),MATCH(OFFSET($C$29,B380,MATCH(X380,$D$29:$V$29,0)),$L$19:$R$19,1))*(1+(OFFSET($C$29,B380,MATCH(X380,$D$29:$V$29,0))-1)*_xlfn.XLOOKUP(X380,梦灵养成!$D$9:$D$28,梦灵养成!$G$9:$G$28))</f>
        <v>56.784</v>
      </c>
      <c r="X380" s="106" t="str">
        <f ca="1" t="shared" si="116"/>
        <v>神算诸葛</v>
      </c>
      <c r="Y380" s="95">
        <f ca="1" t="shared" si="136"/>
        <v>194400</v>
      </c>
      <c r="Z380" s="96">
        <f ca="1" t="shared" si="137"/>
        <v>5.2</v>
      </c>
    </row>
    <row r="381" s="106" customFormat="1" ht="16.5" spans="2:26">
      <c r="B381" s="117">
        <v>352</v>
      </c>
      <c r="C381" s="130">
        <f t="shared" si="138"/>
        <v>35200</v>
      </c>
      <c r="D381" s="131">
        <f ca="1" t="shared" si="117"/>
        <v>50</v>
      </c>
      <c r="E381" s="131">
        <f ca="1" t="shared" si="118"/>
        <v>50</v>
      </c>
      <c r="F381" s="131">
        <f ca="1" t="shared" si="119"/>
        <v>50</v>
      </c>
      <c r="G381" s="131">
        <f ca="1" t="shared" si="120"/>
        <v>42</v>
      </c>
      <c r="H381" s="131">
        <f ca="1" t="shared" si="121"/>
        <v>42</v>
      </c>
      <c r="I381" s="131">
        <f ca="1" t="shared" si="122"/>
        <v>42</v>
      </c>
      <c r="J381" s="131">
        <f ca="1" t="shared" si="123"/>
        <v>42</v>
      </c>
      <c r="K381" s="131">
        <f ca="1" t="shared" si="124"/>
        <v>42</v>
      </c>
      <c r="L381" s="131">
        <f ca="1" t="shared" si="125"/>
        <v>42</v>
      </c>
      <c r="M381" s="131">
        <f ca="1" t="shared" si="126"/>
        <v>37</v>
      </c>
      <c r="N381" s="131">
        <f ca="1" t="shared" si="127"/>
        <v>37</v>
      </c>
      <c r="O381" s="131">
        <f ca="1" t="shared" si="128"/>
        <v>37</v>
      </c>
      <c r="P381" s="131">
        <f ca="1" t="shared" si="129"/>
        <v>37</v>
      </c>
      <c r="Q381" s="131">
        <f ca="1" t="shared" si="130"/>
        <v>37</v>
      </c>
      <c r="R381" s="131">
        <f ca="1" t="shared" si="131"/>
        <v>37</v>
      </c>
      <c r="S381" s="131">
        <f ca="1" t="shared" si="132"/>
        <v>40</v>
      </c>
      <c r="T381" s="131">
        <f ca="1" t="shared" si="133"/>
        <v>42</v>
      </c>
      <c r="U381" s="131">
        <f ca="1" t="shared" si="134"/>
        <v>42</v>
      </c>
      <c r="V381" s="131">
        <f ca="1" t="shared" si="135"/>
        <v>43</v>
      </c>
      <c r="W381" s="124">
        <f ca="1">OFFSET($K$19,_xlfn.XLOOKUP(X381,$D$9:$D$28,$H$9:$H$28),MATCH(OFFSET($C$29,B381,MATCH(X381,$D$29:$V$29,0)),$L$19:$R$19,1))*(1+(OFFSET($C$29,B381,MATCH(X381,$D$29:$V$29,0))-1)*_xlfn.XLOOKUP(X381,梦灵养成!$D$9:$D$28,梦灵养成!$G$9:$G$28))</f>
        <v>56.784</v>
      </c>
      <c r="X381" s="106" t="str">
        <f ca="1" t="shared" si="116"/>
        <v>神算诸葛</v>
      </c>
      <c r="Y381" s="95">
        <f ca="1" t="shared" si="136"/>
        <v>192600</v>
      </c>
      <c r="Z381" s="96">
        <f ca="1" t="shared" si="137"/>
        <v>5.2</v>
      </c>
    </row>
    <row r="382" s="106" customFormat="1" ht="16.5" spans="2:26">
      <c r="B382" s="117">
        <v>353</v>
      </c>
      <c r="C382" s="130">
        <f t="shared" si="138"/>
        <v>35300</v>
      </c>
      <c r="D382" s="131">
        <f ca="1" t="shared" si="117"/>
        <v>50</v>
      </c>
      <c r="E382" s="131">
        <f ca="1" t="shared" si="118"/>
        <v>50</v>
      </c>
      <c r="F382" s="131">
        <f ca="1" t="shared" si="119"/>
        <v>50</v>
      </c>
      <c r="G382" s="131">
        <f ca="1" t="shared" si="120"/>
        <v>42</v>
      </c>
      <c r="H382" s="131">
        <f ca="1" t="shared" si="121"/>
        <v>42</v>
      </c>
      <c r="I382" s="131">
        <f ca="1" t="shared" si="122"/>
        <v>42</v>
      </c>
      <c r="J382" s="131">
        <f ca="1" t="shared" si="123"/>
        <v>42</v>
      </c>
      <c r="K382" s="131">
        <f ca="1" t="shared" si="124"/>
        <v>42</v>
      </c>
      <c r="L382" s="131">
        <f ca="1" t="shared" si="125"/>
        <v>42</v>
      </c>
      <c r="M382" s="131">
        <f ca="1" t="shared" si="126"/>
        <v>37</v>
      </c>
      <c r="N382" s="131">
        <f ca="1" t="shared" si="127"/>
        <v>37</v>
      </c>
      <c r="O382" s="131">
        <f ca="1" t="shared" si="128"/>
        <v>37</v>
      </c>
      <c r="P382" s="131">
        <f ca="1" t="shared" si="129"/>
        <v>37</v>
      </c>
      <c r="Q382" s="131">
        <f ca="1" t="shared" si="130"/>
        <v>37</v>
      </c>
      <c r="R382" s="131">
        <f ca="1" t="shared" si="131"/>
        <v>37</v>
      </c>
      <c r="S382" s="131">
        <f ca="1" t="shared" si="132"/>
        <v>40</v>
      </c>
      <c r="T382" s="131">
        <f ca="1" t="shared" si="133"/>
        <v>42</v>
      </c>
      <c r="U382" s="131">
        <f ca="1" t="shared" si="134"/>
        <v>42</v>
      </c>
      <c r="V382" s="131">
        <f ca="1" t="shared" si="135"/>
        <v>43</v>
      </c>
      <c r="W382" s="124">
        <f ca="1">OFFSET($K$19,_xlfn.XLOOKUP(X382,$D$9:$D$28,$H$9:$H$28),MATCH(OFFSET($C$29,B382,MATCH(X382,$D$29:$V$29,0)),$L$19:$R$19,1))*(1+(OFFSET($C$29,B382,MATCH(X382,$D$29:$V$29,0))-1)*_xlfn.XLOOKUP(X382,梦灵养成!$D$9:$D$28,梦灵养成!$G$9:$G$28))</f>
        <v>56.784</v>
      </c>
      <c r="X382" s="106" t="str">
        <f ca="1" t="shared" si="116"/>
        <v>神算诸葛</v>
      </c>
      <c r="Y382" s="95">
        <f ca="1" t="shared" si="136"/>
        <v>190800</v>
      </c>
      <c r="Z382" s="96">
        <f ca="1" t="shared" si="137"/>
        <v>5.2</v>
      </c>
    </row>
    <row r="383" s="106" customFormat="1" ht="16.5" spans="2:26">
      <c r="B383" s="117">
        <v>354</v>
      </c>
      <c r="C383" s="130">
        <f t="shared" si="138"/>
        <v>35400</v>
      </c>
      <c r="D383" s="131">
        <f ca="1" t="shared" si="117"/>
        <v>51</v>
      </c>
      <c r="E383" s="131">
        <f ca="1" t="shared" si="118"/>
        <v>51</v>
      </c>
      <c r="F383" s="131">
        <f ca="1" t="shared" si="119"/>
        <v>51</v>
      </c>
      <c r="G383" s="131">
        <f ca="1" t="shared" si="120"/>
        <v>42</v>
      </c>
      <c r="H383" s="131">
        <f ca="1" t="shared" si="121"/>
        <v>42</v>
      </c>
      <c r="I383" s="131">
        <f ca="1" t="shared" si="122"/>
        <v>42</v>
      </c>
      <c r="J383" s="131">
        <f ca="1" t="shared" si="123"/>
        <v>42</v>
      </c>
      <c r="K383" s="131">
        <f ca="1" t="shared" si="124"/>
        <v>42</v>
      </c>
      <c r="L383" s="131">
        <f ca="1" t="shared" si="125"/>
        <v>42</v>
      </c>
      <c r="M383" s="131">
        <f ca="1" t="shared" si="126"/>
        <v>37</v>
      </c>
      <c r="N383" s="131">
        <f ca="1" t="shared" si="127"/>
        <v>37</v>
      </c>
      <c r="O383" s="131">
        <f ca="1" t="shared" si="128"/>
        <v>37</v>
      </c>
      <c r="P383" s="131">
        <f ca="1" t="shared" si="129"/>
        <v>37</v>
      </c>
      <c r="Q383" s="131">
        <f ca="1" t="shared" si="130"/>
        <v>37</v>
      </c>
      <c r="R383" s="131">
        <f ca="1" t="shared" si="131"/>
        <v>37</v>
      </c>
      <c r="S383" s="131">
        <f ca="1" t="shared" si="132"/>
        <v>40</v>
      </c>
      <c r="T383" s="131">
        <f ca="1" t="shared" si="133"/>
        <v>42</v>
      </c>
      <c r="U383" s="131">
        <f ca="1" t="shared" si="134"/>
        <v>42</v>
      </c>
      <c r="V383" s="131">
        <f ca="1" t="shared" si="135"/>
        <v>43</v>
      </c>
      <c r="W383" s="124">
        <f ca="1">OFFSET($K$19,_xlfn.XLOOKUP(X383,$D$9:$D$28,$H$9:$H$28),MATCH(OFFSET($C$29,B383,MATCH(X383,$D$29:$V$29,0)),$L$19:$R$19,1))*(1+(OFFSET($C$29,B383,MATCH(X383,$D$29:$V$29,0))-1)*_xlfn.XLOOKUP(X383,梦灵养成!$D$9:$D$28,梦灵养成!$G$9:$G$28))</f>
        <v>56.784</v>
      </c>
      <c r="X383" s="106" t="str">
        <f ca="1" t="shared" si="116"/>
        <v>神算诸葛</v>
      </c>
      <c r="Y383" s="95">
        <f ca="1" t="shared" si="136"/>
        <v>189000</v>
      </c>
      <c r="Z383" s="96">
        <f ca="1" t="shared" si="137"/>
        <v>5.2</v>
      </c>
    </row>
    <row r="384" s="106" customFormat="1" ht="16.5" spans="2:26">
      <c r="B384" s="117">
        <v>355</v>
      </c>
      <c r="C384" s="130">
        <f t="shared" si="138"/>
        <v>35500</v>
      </c>
      <c r="D384" s="131">
        <f ca="1" t="shared" si="117"/>
        <v>51</v>
      </c>
      <c r="E384" s="131">
        <f ca="1" t="shared" si="118"/>
        <v>51</v>
      </c>
      <c r="F384" s="131">
        <f ca="1" t="shared" si="119"/>
        <v>51</v>
      </c>
      <c r="G384" s="131">
        <f ca="1" t="shared" si="120"/>
        <v>42</v>
      </c>
      <c r="H384" s="131">
        <f ca="1" t="shared" si="121"/>
        <v>42</v>
      </c>
      <c r="I384" s="131">
        <f ca="1" t="shared" si="122"/>
        <v>42</v>
      </c>
      <c r="J384" s="131">
        <f ca="1" t="shared" si="123"/>
        <v>42</v>
      </c>
      <c r="K384" s="131">
        <f ca="1" t="shared" si="124"/>
        <v>42</v>
      </c>
      <c r="L384" s="131">
        <f ca="1" t="shared" si="125"/>
        <v>42</v>
      </c>
      <c r="M384" s="131">
        <f ca="1" t="shared" si="126"/>
        <v>37</v>
      </c>
      <c r="N384" s="131">
        <f ca="1" t="shared" si="127"/>
        <v>37</v>
      </c>
      <c r="O384" s="131">
        <f ca="1" t="shared" si="128"/>
        <v>37</v>
      </c>
      <c r="P384" s="131">
        <f ca="1" t="shared" si="129"/>
        <v>37</v>
      </c>
      <c r="Q384" s="131">
        <f ca="1" t="shared" si="130"/>
        <v>38</v>
      </c>
      <c r="R384" s="131">
        <f ca="1" t="shared" si="131"/>
        <v>37</v>
      </c>
      <c r="S384" s="131">
        <f ca="1" t="shared" si="132"/>
        <v>40</v>
      </c>
      <c r="T384" s="131">
        <f ca="1" t="shared" si="133"/>
        <v>42</v>
      </c>
      <c r="U384" s="131">
        <f ca="1" t="shared" si="134"/>
        <v>42</v>
      </c>
      <c r="V384" s="131">
        <f ca="1" t="shared" si="135"/>
        <v>43</v>
      </c>
      <c r="W384" s="124">
        <f ca="1">OFFSET($K$19,_xlfn.XLOOKUP(X384,$D$9:$D$28,$H$9:$H$28),MATCH(OFFSET($C$29,B384,MATCH(X384,$D$29:$V$29,0)),$L$19:$R$19,1))*(1+(OFFSET($C$29,B384,MATCH(X384,$D$29:$V$29,0))-1)*_xlfn.XLOOKUP(X384,梦灵养成!$D$9:$D$28,梦灵养成!$G$9:$G$28))</f>
        <v>56.784</v>
      </c>
      <c r="X384" s="106" t="str">
        <f ca="1" t="shared" si="116"/>
        <v>神算诸葛</v>
      </c>
      <c r="Y384" s="95">
        <f ca="1" t="shared" si="136"/>
        <v>187200</v>
      </c>
      <c r="Z384" s="96">
        <f ca="1" t="shared" si="137"/>
        <v>5.2</v>
      </c>
    </row>
    <row r="385" s="106" customFormat="1" ht="16.5" spans="2:26">
      <c r="B385" s="117">
        <v>356</v>
      </c>
      <c r="C385" s="130">
        <f t="shared" si="138"/>
        <v>35600</v>
      </c>
      <c r="D385" s="131">
        <f ca="1" t="shared" si="117"/>
        <v>51</v>
      </c>
      <c r="E385" s="131">
        <f ca="1" t="shared" si="118"/>
        <v>51</v>
      </c>
      <c r="F385" s="131">
        <f ca="1" t="shared" si="119"/>
        <v>51</v>
      </c>
      <c r="G385" s="131">
        <f ca="1" t="shared" si="120"/>
        <v>42</v>
      </c>
      <c r="H385" s="131">
        <f ca="1" t="shared" si="121"/>
        <v>42</v>
      </c>
      <c r="I385" s="131">
        <f ca="1" t="shared" si="122"/>
        <v>42</v>
      </c>
      <c r="J385" s="131">
        <f ca="1" t="shared" si="123"/>
        <v>42</v>
      </c>
      <c r="K385" s="131">
        <f ca="1" t="shared" si="124"/>
        <v>42</v>
      </c>
      <c r="L385" s="131">
        <f ca="1" t="shared" si="125"/>
        <v>42</v>
      </c>
      <c r="M385" s="131">
        <f ca="1" t="shared" si="126"/>
        <v>37</v>
      </c>
      <c r="N385" s="131">
        <f ca="1" t="shared" si="127"/>
        <v>37</v>
      </c>
      <c r="O385" s="131">
        <f ca="1" t="shared" si="128"/>
        <v>37</v>
      </c>
      <c r="P385" s="131">
        <f ca="1" t="shared" si="129"/>
        <v>37</v>
      </c>
      <c r="Q385" s="131">
        <f ca="1" t="shared" si="130"/>
        <v>38</v>
      </c>
      <c r="R385" s="131">
        <f ca="1" t="shared" si="131"/>
        <v>37</v>
      </c>
      <c r="S385" s="131">
        <f ca="1" t="shared" si="132"/>
        <v>40</v>
      </c>
      <c r="T385" s="131">
        <f ca="1" t="shared" si="133"/>
        <v>42</v>
      </c>
      <c r="U385" s="131">
        <f ca="1" t="shared" si="134"/>
        <v>42</v>
      </c>
      <c r="V385" s="131">
        <f ca="1" t="shared" si="135"/>
        <v>43</v>
      </c>
      <c r="W385" s="124">
        <f ca="1">OFFSET($K$19,_xlfn.XLOOKUP(X385,$D$9:$D$28,$H$9:$H$28),MATCH(OFFSET($C$29,B385,MATCH(X385,$D$29:$V$29,0)),$L$19:$R$19,1))*(1+(OFFSET($C$29,B385,MATCH(X385,$D$29:$V$29,0))-1)*_xlfn.XLOOKUP(X385,梦灵养成!$D$9:$D$28,梦灵养成!$G$9:$G$28))</f>
        <v>56.784</v>
      </c>
      <c r="X385" s="106" t="str">
        <f ca="1" t="shared" si="116"/>
        <v>神算诸葛</v>
      </c>
      <c r="Y385" s="95">
        <f ca="1" t="shared" si="136"/>
        <v>185400</v>
      </c>
      <c r="Z385" s="96">
        <f ca="1" t="shared" si="137"/>
        <v>5.2</v>
      </c>
    </row>
    <row r="386" s="106" customFormat="1" ht="16.5" spans="2:26">
      <c r="B386" s="117">
        <v>357</v>
      </c>
      <c r="C386" s="130">
        <f t="shared" si="138"/>
        <v>35700</v>
      </c>
      <c r="D386" s="131">
        <f ca="1" t="shared" si="117"/>
        <v>51</v>
      </c>
      <c r="E386" s="131">
        <f ca="1" t="shared" si="118"/>
        <v>51</v>
      </c>
      <c r="F386" s="131">
        <f ca="1" t="shared" si="119"/>
        <v>51</v>
      </c>
      <c r="G386" s="131">
        <f ca="1" t="shared" si="120"/>
        <v>42</v>
      </c>
      <c r="H386" s="131">
        <f ca="1" t="shared" si="121"/>
        <v>42</v>
      </c>
      <c r="I386" s="131">
        <f ca="1" t="shared" si="122"/>
        <v>42</v>
      </c>
      <c r="J386" s="131">
        <f ca="1" t="shared" si="123"/>
        <v>42</v>
      </c>
      <c r="K386" s="131">
        <f ca="1" t="shared" si="124"/>
        <v>42</v>
      </c>
      <c r="L386" s="131">
        <f ca="1" t="shared" si="125"/>
        <v>42</v>
      </c>
      <c r="M386" s="131">
        <f ca="1" t="shared" si="126"/>
        <v>37</v>
      </c>
      <c r="N386" s="131">
        <f ca="1" t="shared" si="127"/>
        <v>37</v>
      </c>
      <c r="O386" s="131">
        <f ca="1" t="shared" si="128"/>
        <v>38</v>
      </c>
      <c r="P386" s="131">
        <f ca="1" t="shared" si="129"/>
        <v>37</v>
      </c>
      <c r="Q386" s="131">
        <f ca="1" t="shared" si="130"/>
        <v>38</v>
      </c>
      <c r="R386" s="131">
        <f ca="1" t="shared" si="131"/>
        <v>37</v>
      </c>
      <c r="S386" s="131">
        <f ca="1" t="shared" si="132"/>
        <v>40</v>
      </c>
      <c r="T386" s="131">
        <f ca="1" t="shared" si="133"/>
        <v>42</v>
      </c>
      <c r="U386" s="131">
        <f ca="1" t="shared" si="134"/>
        <v>42</v>
      </c>
      <c r="V386" s="131">
        <f ca="1" t="shared" si="135"/>
        <v>43</v>
      </c>
      <c r="W386" s="124">
        <f ca="1">OFFSET($K$19,_xlfn.XLOOKUP(X386,$D$9:$D$28,$H$9:$H$28),MATCH(OFFSET($C$29,B386,MATCH(X386,$D$29:$V$29,0)),$L$19:$R$19,1))*(1+(OFFSET($C$29,B386,MATCH(X386,$D$29:$V$29,0))-1)*_xlfn.XLOOKUP(X386,梦灵养成!$D$9:$D$28,梦灵养成!$G$9:$G$28))</f>
        <v>56.784</v>
      </c>
      <c r="X386" s="106" t="str">
        <f ca="1" t="shared" si="116"/>
        <v>神算诸葛</v>
      </c>
      <c r="Y386" s="95">
        <f ca="1" t="shared" si="136"/>
        <v>183600</v>
      </c>
      <c r="Z386" s="96">
        <f ca="1" t="shared" si="137"/>
        <v>5.2</v>
      </c>
    </row>
    <row r="387" s="106" customFormat="1" ht="16.5" spans="2:26">
      <c r="B387" s="117">
        <v>358</v>
      </c>
      <c r="C387" s="130">
        <f t="shared" si="138"/>
        <v>35800</v>
      </c>
      <c r="D387" s="131">
        <f ca="1" t="shared" si="117"/>
        <v>51</v>
      </c>
      <c r="E387" s="131">
        <f ca="1" t="shared" si="118"/>
        <v>51</v>
      </c>
      <c r="F387" s="131">
        <f ca="1" t="shared" si="119"/>
        <v>51</v>
      </c>
      <c r="G387" s="131">
        <f ca="1" t="shared" si="120"/>
        <v>42</v>
      </c>
      <c r="H387" s="131">
        <f ca="1" t="shared" si="121"/>
        <v>42</v>
      </c>
      <c r="I387" s="131">
        <f ca="1" t="shared" si="122"/>
        <v>42</v>
      </c>
      <c r="J387" s="131">
        <f ca="1" t="shared" si="123"/>
        <v>42</v>
      </c>
      <c r="K387" s="131">
        <f ca="1" t="shared" si="124"/>
        <v>42</v>
      </c>
      <c r="L387" s="131">
        <f ca="1" t="shared" si="125"/>
        <v>42</v>
      </c>
      <c r="M387" s="131">
        <f ca="1" t="shared" si="126"/>
        <v>37</v>
      </c>
      <c r="N387" s="131">
        <f ca="1" t="shared" si="127"/>
        <v>37</v>
      </c>
      <c r="O387" s="131">
        <f ca="1" t="shared" si="128"/>
        <v>38</v>
      </c>
      <c r="P387" s="131">
        <f ca="1" t="shared" si="129"/>
        <v>37</v>
      </c>
      <c r="Q387" s="131">
        <f ca="1" t="shared" si="130"/>
        <v>38</v>
      </c>
      <c r="R387" s="131">
        <f ca="1" t="shared" si="131"/>
        <v>37</v>
      </c>
      <c r="S387" s="131">
        <f ca="1" t="shared" si="132"/>
        <v>40</v>
      </c>
      <c r="T387" s="131">
        <f ca="1" t="shared" si="133"/>
        <v>42</v>
      </c>
      <c r="U387" s="131">
        <f ca="1" t="shared" si="134"/>
        <v>42</v>
      </c>
      <c r="V387" s="131">
        <f ca="1" t="shared" si="135"/>
        <v>43</v>
      </c>
      <c r="W387" s="124">
        <f ca="1">OFFSET($K$19,_xlfn.XLOOKUP(X387,$D$9:$D$28,$H$9:$H$28),MATCH(OFFSET($C$29,B387,MATCH(X387,$D$29:$V$29,0)),$L$19:$R$19,1))*(1+(OFFSET($C$29,B387,MATCH(X387,$D$29:$V$29,0))-1)*_xlfn.XLOOKUP(X387,梦灵养成!$D$9:$D$28,梦灵养成!$G$9:$G$28))</f>
        <v>56.784</v>
      </c>
      <c r="X387" s="106" t="str">
        <f ca="1" t="shared" si="116"/>
        <v>神算诸葛</v>
      </c>
      <c r="Y387" s="95">
        <f ca="1" t="shared" si="136"/>
        <v>181800</v>
      </c>
      <c r="Z387" s="96">
        <f ca="1" t="shared" si="137"/>
        <v>5.2</v>
      </c>
    </row>
    <row r="388" s="106" customFormat="1" ht="16.5" spans="2:26">
      <c r="B388" s="117">
        <v>359</v>
      </c>
      <c r="C388" s="130">
        <f t="shared" si="138"/>
        <v>35900</v>
      </c>
      <c r="D388" s="131">
        <f ca="1" t="shared" si="117"/>
        <v>51</v>
      </c>
      <c r="E388" s="131">
        <f ca="1" t="shared" si="118"/>
        <v>51</v>
      </c>
      <c r="F388" s="131">
        <f ca="1" t="shared" si="119"/>
        <v>51</v>
      </c>
      <c r="G388" s="131">
        <f ca="1" t="shared" si="120"/>
        <v>42</v>
      </c>
      <c r="H388" s="131">
        <f ca="1" t="shared" si="121"/>
        <v>42</v>
      </c>
      <c r="I388" s="131">
        <f ca="1" t="shared" si="122"/>
        <v>42</v>
      </c>
      <c r="J388" s="131">
        <f ca="1" t="shared" si="123"/>
        <v>42</v>
      </c>
      <c r="K388" s="131">
        <f ca="1" t="shared" si="124"/>
        <v>42</v>
      </c>
      <c r="L388" s="131">
        <f ca="1" t="shared" si="125"/>
        <v>42</v>
      </c>
      <c r="M388" s="131">
        <f ca="1" t="shared" si="126"/>
        <v>37</v>
      </c>
      <c r="N388" s="131">
        <f ca="1" t="shared" si="127"/>
        <v>37</v>
      </c>
      <c r="O388" s="131">
        <f ca="1" t="shared" si="128"/>
        <v>38</v>
      </c>
      <c r="P388" s="131">
        <f ca="1" t="shared" si="129"/>
        <v>37</v>
      </c>
      <c r="Q388" s="131">
        <f ca="1" t="shared" si="130"/>
        <v>38</v>
      </c>
      <c r="R388" s="131">
        <f ca="1" t="shared" si="131"/>
        <v>37</v>
      </c>
      <c r="S388" s="131">
        <f ca="1" t="shared" si="132"/>
        <v>40</v>
      </c>
      <c r="T388" s="131">
        <f ca="1" t="shared" si="133"/>
        <v>42</v>
      </c>
      <c r="U388" s="131">
        <f ca="1" t="shared" si="134"/>
        <v>42</v>
      </c>
      <c r="V388" s="131">
        <f ca="1" t="shared" si="135"/>
        <v>43</v>
      </c>
      <c r="W388" s="124">
        <f ca="1">OFFSET($K$19,_xlfn.XLOOKUP(X388,$D$9:$D$28,$H$9:$H$28),MATCH(OFFSET($C$29,B388,MATCH(X388,$D$29:$V$29,0)),$L$19:$R$19,1))*(1+(OFFSET($C$29,B388,MATCH(X388,$D$29:$V$29,0))-1)*_xlfn.XLOOKUP(X388,梦灵养成!$D$9:$D$28,梦灵养成!$G$9:$G$28))</f>
        <v>56.784</v>
      </c>
      <c r="X388" s="106" t="str">
        <f ca="1" t="shared" si="116"/>
        <v>神算诸葛</v>
      </c>
      <c r="Y388" s="95">
        <f ca="1" t="shared" si="136"/>
        <v>180000</v>
      </c>
      <c r="Z388" s="96">
        <f ca="1" t="shared" si="137"/>
        <v>5.2</v>
      </c>
    </row>
    <row r="389" s="106" customFormat="1" ht="16.5" spans="2:26">
      <c r="B389" s="117">
        <v>360</v>
      </c>
      <c r="C389" s="130">
        <f t="shared" si="138"/>
        <v>36000</v>
      </c>
      <c r="D389" s="131">
        <f ca="1" t="shared" si="117"/>
        <v>51</v>
      </c>
      <c r="E389" s="131">
        <f ca="1" t="shared" si="118"/>
        <v>51</v>
      </c>
      <c r="F389" s="131">
        <f ca="1" t="shared" si="119"/>
        <v>51</v>
      </c>
      <c r="G389" s="131">
        <f ca="1" t="shared" si="120"/>
        <v>42</v>
      </c>
      <c r="H389" s="131">
        <f ca="1" t="shared" si="121"/>
        <v>42</v>
      </c>
      <c r="I389" s="131">
        <f ca="1" t="shared" si="122"/>
        <v>42</v>
      </c>
      <c r="J389" s="131">
        <f ca="1" t="shared" si="123"/>
        <v>42</v>
      </c>
      <c r="K389" s="131">
        <f ca="1" t="shared" si="124"/>
        <v>42</v>
      </c>
      <c r="L389" s="131">
        <f ca="1" t="shared" si="125"/>
        <v>42</v>
      </c>
      <c r="M389" s="131">
        <f ca="1" t="shared" si="126"/>
        <v>37</v>
      </c>
      <c r="N389" s="131">
        <f ca="1" t="shared" si="127"/>
        <v>38</v>
      </c>
      <c r="O389" s="131">
        <f ca="1" t="shared" si="128"/>
        <v>38</v>
      </c>
      <c r="P389" s="131">
        <f ca="1" t="shared" si="129"/>
        <v>37</v>
      </c>
      <c r="Q389" s="131">
        <f ca="1" t="shared" si="130"/>
        <v>38</v>
      </c>
      <c r="R389" s="131">
        <f ca="1" t="shared" si="131"/>
        <v>37</v>
      </c>
      <c r="S389" s="131">
        <f ca="1" t="shared" si="132"/>
        <v>40</v>
      </c>
      <c r="T389" s="131">
        <f ca="1" t="shared" si="133"/>
        <v>42</v>
      </c>
      <c r="U389" s="131">
        <f ca="1" t="shared" si="134"/>
        <v>42</v>
      </c>
      <c r="V389" s="131">
        <f ca="1" t="shared" si="135"/>
        <v>43</v>
      </c>
      <c r="W389" s="124">
        <f ca="1">OFFSET($K$19,_xlfn.XLOOKUP(X389,$D$9:$D$28,$H$9:$H$28),MATCH(OFFSET($C$29,B389,MATCH(X389,$D$29:$V$29,0)),$L$19:$R$19,1))*(1+(OFFSET($C$29,B389,MATCH(X389,$D$29:$V$29,0))-1)*_xlfn.XLOOKUP(X389,梦灵养成!$D$9:$D$28,梦灵养成!$G$9:$G$28))</f>
        <v>56.784</v>
      </c>
      <c r="X389" s="106" t="str">
        <f ca="1" t="shared" si="116"/>
        <v>神算诸葛</v>
      </c>
      <c r="Y389" s="95">
        <f ca="1" t="shared" si="136"/>
        <v>178200</v>
      </c>
      <c r="Z389" s="96">
        <f ca="1" t="shared" si="137"/>
        <v>5.2</v>
      </c>
    </row>
    <row r="390" s="106" customFormat="1" ht="16.5" spans="2:26">
      <c r="B390" s="117">
        <v>361</v>
      </c>
      <c r="C390" s="130">
        <f t="shared" si="138"/>
        <v>36100</v>
      </c>
      <c r="D390" s="131">
        <f ca="1" t="shared" si="117"/>
        <v>51</v>
      </c>
      <c r="E390" s="131">
        <f ca="1" t="shared" si="118"/>
        <v>51</v>
      </c>
      <c r="F390" s="131">
        <f ca="1" t="shared" si="119"/>
        <v>51</v>
      </c>
      <c r="G390" s="131">
        <f ca="1" t="shared" si="120"/>
        <v>42</v>
      </c>
      <c r="H390" s="131">
        <f ca="1" t="shared" si="121"/>
        <v>42</v>
      </c>
      <c r="I390" s="131">
        <f ca="1" t="shared" si="122"/>
        <v>42</v>
      </c>
      <c r="J390" s="131">
        <f ca="1" t="shared" si="123"/>
        <v>42</v>
      </c>
      <c r="K390" s="131">
        <f ca="1" t="shared" si="124"/>
        <v>42</v>
      </c>
      <c r="L390" s="131">
        <f ca="1" t="shared" si="125"/>
        <v>42</v>
      </c>
      <c r="M390" s="131">
        <f ca="1" t="shared" si="126"/>
        <v>38</v>
      </c>
      <c r="N390" s="131">
        <f ca="1" t="shared" si="127"/>
        <v>38</v>
      </c>
      <c r="O390" s="131">
        <f ca="1" t="shared" si="128"/>
        <v>38</v>
      </c>
      <c r="P390" s="131">
        <f ca="1" t="shared" si="129"/>
        <v>37</v>
      </c>
      <c r="Q390" s="131">
        <f ca="1" t="shared" si="130"/>
        <v>38</v>
      </c>
      <c r="R390" s="131">
        <f ca="1" t="shared" si="131"/>
        <v>38</v>
      </c>
      <c r="S390" s="131">
        <f ca="1" t="shared" si="132"/>
        <v>40</v>
      </c>
      <c r="T390" s="131">
        <f ca="1" t="shared" si="133"/>
        <v>42</v>
      </c>
      <c r="U390" s="131">
        <f ca="1" t="shared" si="134"/>
        <v>42</v>
      </c>
      <c r="V390" s="131">
        <f ca="1" t="shared" si="135"/>
        <v>43</v>
      </c>
      <c r="W390" s="124">
        <f ca="1">OFFSET($K$19,_xlfn.XLOOKUP(X390,$D$9:$D$28,$H$9:$H$28),MATCH(OFFSET($C$29,B390,MATCH(X390,$D$29:$V$29,0)),$L$19:$R$19,1))*(1+(OFFSET($C$29,B390,MATCH(X390,$D$29:$V$29,0))-1)*_xlfn.XLOOKUP(X390,梦灵养成!$D$9:$D$28,梦灵养成!$G$9:$G$28))</f>
        <v>56.784</v>
      </c>
      <c r="X390" s="106" t="str">
        <f ca="1" t="shared" si="116"/>
        <v>神算诸葛</v>
      </c>
      <c r="Y390" s="95">
        <f ca="1" t="shared" si="136"/>
        <v>176400</v>
      </c>
      <c r="Z390" s="96">
        <f ca="1" t="shared" si="137"/>
        <v>5.2</v>
      </c>
    </row>
    <row r="391" s="106" customFormat="1" ht="16.5" spans="2:26">
      <c r="B391" s="117">
        <v>362</v>
      </c>
      <c r="C391" s="130">
        <f t="shared" si="138"/>
        <v>36200</v>
      </c>
      <c r="D391" s="131">
        <f ca="1" t="shared" si="117"/>
        <v>51</v>
      </c>
      <c r="E391" s="131">
        <f ca="1" t="shared" si="118"/>
        <v>51</v>
      </c>
      <c r="F391" s="131">
        <f ca="1" t="shared" si="119"/>
        <v>51</v>
      </c>
      <c r="G391" s="131">
        <f ca="1" t="shared" si="120"/>
        <v>42</v>
      </c>
      <c r="H391" s="131">
        <f ca="1" t="shared" si="121"/>
        <v>42</v>
      </c>
      <c r="I391" s="131">
        <f ca="1" t="shared" si="122"/>
        <v>42</v>
      </c>
      <c r="J391" s="131">
        <f ca="1" t="shared" si="123"/>
        <v>42</v>
      </c>
      <c r="K391" s="131">
        <f ca="1" t="shared" si="124"/>
        <v>42</v>
      </c>
      <c r="L391" s="131">
        <f ca="1" t="shared" si="125"/>
        <v>42</v>
      </c>
      <c r="M391" s="131">
        <f ca="1" t="shared" si="126"/>
        <v>38</v>
      </c>
      <c r="N391" s="131">
        <f ca="1" t="shared" si="127"/>
        <v>38</v>
      </c>
      <c r="O391" s="131">
        <f ca="1" t="shared" si="128"/>
        <v>38</v>
      </c>
      <c r="P391" s="131">
        <f ca="1" t="shared" si="129"/>
        <v>37</v>
      </c>
      <c r="Q391" s="131">
        <f ca="1" t="shared" si="130"/>
        <v>38</v>
      </c>
      <c r="R391" s="131">
        <f ca="1" t="shared" si="131"/>
        <v>38</v>
      </c>
      <c r="S391" s="131">
        <f ca="1" t="shared" si="132"/>
        <v>40</v>
      </c>
      <c r="T391" s="131">
        <f ca="1" t="shared" si="133"/>
        <v>42</v>
      </c>
      <c r="U391" s="131">
        <f ca="1" t="shared" si="134"/>
        <v>42</v>
      </c>
      <c r="V391" s="131">
        <f ca="1" t="shared" si="135"/>
        <v>43</v>
      </c>
      <c r="W391" s="124">
        <f ca="1">OFFSET($K$19,_xlfn.XLOOKUP(X391,$D$9:$D$28,$H$9:$H$28),MATCH(OFFSET($C$29,B391,MATCH(X391,$D$29:$V$29,0)),$L$19:$R$19,1))*(1+(OFFSET($C$29,B391,MATCH(X391,$D$29:$V$29,0))-1)*_xlfn.XLOOKUP(X391,梦灵养成!$D$9:$D$28,梦灵养成!$G$9:$G$28))</f>
        <v>56.784</v>
      </c>
      <c r="X391" s="106" t="str">
        <f ca="1" t="shared" si="116"/>
        <v>神算诸葛</v>
      </c>
      <c r="Y391" s="95">
        <f ca="1" t="shared" si="136"/>
        <v>174600</v>
      </c>
      <c r="Z391" s="96">
        <f ca="1" t="shared" si="137"/>
        <v>5.2</v>
      </c>
    </row>
    <row r="392" s="106" customFormat="1" ht="16.5" spans="2:26">
      <c r="B392" s="117">
        <v>363</v>
      </c>
      <c r="C392" s="130">
        <f t="shared" si="138"/>
        <v>36300</v>
      </c>
      <c r="D392" s="131">
        <f ca="1" t="shared" si="117"/>
        <v>51</v>
      </c>
      <c r="E392" s="131">
        <f ca="1" t="shared" si="118"/>
        <v>51</v>
      </c>
      <c r="F392" s="131">
        <f ca="1" t="shared" si="119"/>
        <v>51</v>
      </c>
      <c r="G392" s="131">
        <f ca="1" t="shared" si="120"/>
        <v>42</v>
      </c>
      <c r="H392" s="131">
        <f ca="1" t="shared" si="121"/>
        <v>42</v>
      </c>
      <c r="I392" s="131">
        <f ca="1" t="shared" si="122"/>
        <v>42</v>
      </c>
      <c r="J392" s="131">
        <f ca="1" t="shared" si="123"/>
        <v>42</v>
      </c>
      <c r="K392" s="131">
        <f ca="1" t="shared" si="124"/>
        <v>42</v>
      </c>
      <c r="L392" s="131">
        <f ca="1" t="shared" si="125"/>
        <v>42</v>
      </c>
      <c r="M392" s="131">
        <f ca="1" t="shared" si="126"/>
        <v>38</v>
      </c>
      <c r="N392" s="131">
        <f ca="1" t="shared" si="127"/>
        <v>38</v>
      </c>
      <c r="O392" s="131">
        <f ca="1" t="shared" si="128"/>
        <v>38</v>
      </c>
      <c r="P392" s="131">
        <f ca="1" t="shared" si="129"/>
        <v>37</v>
      </c>
      <c r="Q392" s="131">
        <f ca="1" t="shared" si="130"/>
        <v>38</v>
      </c>
      <c r="R392" s="131">
        <f ca="1" t="shared" si="131"/>
        <v>38</v>
      </c>
      <c r="S392" s="131">
        <f ca="1" t="shared" si="132"/>
        <v>40</v>
      </c>
      <c r="T392" s="131">
        <f ca="1" t="shared" si="133"/>
        <v>42</v>
      </c>
      <c r="U392" s="131">
        <f ca="1" t="shared" si="134"/>
        <v>42</v>
      </c>
      <c r="V392" s="131">
        <f ca="1" t="shared" si="135"/>
        <v>43</v>
      </c>
      <c r="W392" s="124">
        <f ca="1">OFFSET($K$19,_xlfn.XLOOKUP(X392,$D$9:$D$28,$H$9:$H$28),MATCH(OFFSET($C$29,B392,MATCH(X392,$D$29:$V$29,0)),$L$19:$R$19,1))*(1+(OFFSET($C$29,B392,MATCH(X392,$D$29:$V$29,0))-1)*_xlfn.XLOOKUP(X392,梦灵养成!$D$9:$D$28,梦灵养成!$G$9:$G$28))</f>
        <v>56.784</v>
      </c>
      <c r="X392" s="106" t="str">
        <f ca="1" t="shared" si="116"/>
        <v>神算诸葛</v>
      </c>
      <c r="Y392" s="95">
        <f ca="1" t="shared" si="136"/>
        <v>172800</v>
      </c>
      <c r="Z392" s="96">
        <f ca="1" t="shared" si="137"/>
        <v>5.2</v>
      </c>
    </row>
    <row r="393" s="106" customFormat="1" ht="16.5" spans="2:26">
      <c r="B393" s="117">
        <v>364</v>
      </c>
      <c r="C393" s="130">
        <f t="shared" si="138"/>
        <v>36400</v>
      </c>
      <c r="D393" s="131">
        <f ca="1" t="shared" si="117"/>
        <v>51</v>
      </c>
      <c r="E393" s="131">
        <f ca="1" t="shared" si="118"/>
        <v>51</v>
      </c>
      <c r="F393" s="131">
        <f ca="1" t="shared" si="119"/>
        <v>51</v>
      </c>
      <c r="G393" s="131">
        <f ca="1" t="shared" si="120"/>
        <v>42</v>
      </c>
      <c r="H393" s="131">
        <f ca="1" t="shared" si="121"/>
        <v>42</v>
      </c>
      <c r="I393" s="131">
        <f ca="1" t="shared" si="122"/>
        <v>42</v>
      </c>
      <c r="J393" s="131">
        <f ca="1" t="shared" si="123"/>
        <v>42</v>
      </c>
      <c r="K393" s="131">
        <f ca="1" t="shared" si="124"/>
        <v>42</v>
      </c>
      <c r="L393" s="131">
        <f ca="1" t="shared" si="125"/>
        <v>42</v>
      </c>
      <c r="M393" s="131">
        <f ca="1" t="shared" si="126"/>
        <v>38</v>
      </c>
      <c r="N393" s="131">
        <f ca="1" t="shared" si="127"/>
        <v>38</v>
      </c>
      <c r="O393" s="131">
        <f ca="1" t="shared" si="128"/>
        <v>38</v>
      </c>
      <c r="P393" s="131">
        <f ca="1" t="shared" si="129"/>
        <v>38</v>
      </c>
      <c r="Q393" s="131">
        <f ca="1" t="shared" si="130"/>
        <v>38</v>
      </c>
      <c r="R393" s="131">
        <f ca="1" t="shared" si="131"/>
        <v>38</v>
      </c>
      <c r="S393" s="131">
        <f ca="1" t="shared" si="132"/>
        <v>40</v>
      </c>
      <c r="T393" s="131">
        <f ca="1" t="shared" si="133"/>
        <v>42</v>
      </c>
      <c r="U393" s="131">
        <f ca="1" t="shared" si="134"/>
        <v>43</v>
      </c>
      <c r="V393" s="131">
        <f ca="1" t="shared" si="135"/>
        <v>43</v>
      </c>
      <c r="W393" s="124">
        <f ca="1">OFFSET($K$19,_xlfn.XLOOKUP(X393,$D$9:$D$28,$H$9:$H$28),MATCH(OFFSET($C$29,B393,MATCH(X393,$D$29:$V$29,0)),$L$19:$R$19,1))*(1+(OFFSET($C$29,B393,MATCH(X393,$D$29:$V$29,0))-1)*_xlfn.XLOOKUP(X393,梦灵养成!$D$9:$D$28,梦灵养成!$G$9:$G$28))</f>
        <v>56.784</v>
      </c>
      <c r="X393" s="106" t="str">
        <f ca="1" t="shared" si="116"/>
        <v>神算诸葛</v>
      </c>
      <c r="Y393" s="95">
        <f ca="1" t="shared" si="136"/>
        <v>171000</v>
      </c>
      <c r="Z393" s="96">
        <f ca="1" t="shared" si="137"/>
        <v>5.2</v>
      </c>
    </row>
    <row r="394" s="106" customFormat="1" ht="16.5" spans="2:26">
      <c r="B394" s="117">
        <v>365</v>
      </c>
      <c r="C394" s="130">
        <f t="shared" si="138"/>
        <v>36500</v>
      </c>
      <c r="D394" s="131">
        <f ca="1" t="shared" si="117"/>
        <v>51</v>
      </c>
      <c r="E394" s="131">
        <f ca="1" t="shared" si="118"/>
        <v>51</v>
      </c>
      <c r="F394" s="131">
        <f ca="1" t="shared" si="119"/>
        <v>51</v>
      </c>
      <c r="G394" s="131">
        <f ca="1" t="shared" si="120"/>
        <v>42</v>
      </c>
      <c r="H394" s="131">
        <f ca="1" t="shared" si="121"/>
        <v>42</v>
      </c>
      <c r="I394" s="131">
        <f ca="1" t="shared" si="122"/>
        <v>42</v>
      </c>
      <c r="J394" s="131">
        <f ca="1" t="shared" si="123"/>
        <v>42</v>
      </c>
      <c r="K394" s="131">
        <f ca="1" t="shared" si="124"/>
        <v>42</v>
      </c>
      <c r="L394" s="131">
        <f ca="1" t="shared" si="125"/>
        <v>42</v>
      </c>
      <c r="M394" s="131">
        <f ca="1" t="shared" si="126"/>
        <v>38</v>
      </c>
      <c r="N394" s="131">
        <f ca="1" t="shared" si="127"/>
        <v>38</v>
      </c>
      <c r="O394" s="131">
        <f ca="1" t="shared" si="128"/>
        <v>38</v>
      </c>
      <c r="P394" s="131">
        <f ca="1" t="shared" si="129"/>
        <v>38</v>
      </c>
      <c r="Q394" s="131">
        <f ca="1" t="shared" si="130"/>
        <v>38</v>
      </c>
      <c r="R394" s="131">
        <f ca="1" t="shared" si="131"/>
        <v>38</v>
      </c>
      <c r="S394" s="131">
        <f ca="1" t="shared" si="132"/>
        <v>40</v>
      </c>
      <c r="T394" s="131">
        <f ca="1" t="shared" si="133"/>
        <v>42</v>
      </c>
      <c r="U394" s="131">
        <f ca="1" t="shared" si="134"/>
        <v>43</v>
      </c>
      <c r="V394" s="131">
        <f ca="1" t="shared" si="135"/>
        <v>43</v>
      </c>
      <c r="W394" s="124">
        <f ca="1">OFFSET($K$19,_xlfn.XLOOKUP(X394,$D$9:$D$28,$H$9:$H$28),MATCH(OFFSET($C$29,B394,MATCH(X394,$D$29:$V$29,0)),$L$19:$R$19,1))*(1+(OFFSET($C$29,B394,MATCH(X394,$D$29:$V$29,0))-1)*_xlfn.XLOOKUP(X394,梦灵养成!$D$9:$D$28,梦灵养成!$G$9:$G$28))</f>
        <v>56.784</v>
      </c>
      <c r="X394" s="106" t="str">
        <f ca="1" t="shared" si="116"/>
        <v>神算诸葛</v>
      </c>
      <c r="Y394" s="95">
        <f ca="1" t="shared" si="136"/>
        <v>169200</v>
      </c>
      <c r="Z394" s="96">
        <f ca="1" t="shared" si="137"/>
        <v>5.2</v>
      </c>
    </row>
    <row r="395" s="106" customFormat="1" ht="16.5" spans="2:26">
      <c r="B395" s="117">
        <v>366</v>
      </c>
      <c r="C395" s="130">
        <f t="shared" si="138"/>
        <v>36600</v>
      </c>
      <c r="D395" s="131">
        <f ca="1" t="shared" si="117"/>
        <v>51</v>
      </c>
      <c r="E395" s="131">
        <f ca="1" t="shared" si="118"/>
        <v>51</v>
      </c>
      <c r="F395" s="131">
        <f ca="1" t="shared" si="119"/>
        <v>51</v>
      </c>
      <c r="G395" s="131">
        <f ca="1" t="shared" si="120"/>
        <v>42</v>
      </c>
      <c r="H395" s="131">
        <f ca="1" t="shared" si="121"/>
        <v>42</v>
      </c>
      <c r="I395" s="131">
        <f ca="1" t="shared" si="122"/>
        <v>42</v>
      </c>
      <c r="J395" s="131">
        <f ca="1" t="shared" si="123"/>
        <v>42</v>
      </c>
      <c r="K395" s="131">
        <f ca="1" t="shared" si="124"/>
        <v>42</v>
      </c>
      <c r="L395" s="131">
        <f ca="1" t="shared" si="125"/>
        <v>42</v>
      </c>
      <c r="M395" s="131">
        <f ca="1" t="shared" si="126"/>
        <v>38</v>
      </c>
      <c r="N395" s="131">
        <f ca="1" t="shared" si="127"/>
        <v>38</v>
      </c>
      <c r="O395" s="131">
        <f ca="1" t="shared" si="128"/>
        <v>38</v>
      </c>
      <c r="P395" s="131">
        <f ca="1" t="shared" si="129"/>
        <v>38</v>
      </c>
      <c r="Q395" s="131">
        <f ca="1" t="shared" si="130"/>
        <v>38</v>
      </c>
      <c r="R395" s="131">
        <f ca="1" t="shared" si="131"/>
        <v>38</v>
      </c>
      <c r="S395" s="131">
        <f ca="1" t="shared" si="132"/>
        <v>40</v>
      </c>
      <c r="T395" s="131">
        <f ca="1" t="shared" si="133"/>
        <v>42</v>
      </c>
      <c r="U395" s="131">
        <f ca="1" t="shared" si="134"/>
        <v>43</v>
      </c>
      <c r="V395" s="131">
        <f ca="1" t="shared" si="135"/>
        <v>43</v>
      </c>
      <c r="W395" s="124">
        <f ca="1">OFFSET($K$19,_xlfn.XLOOKUP(X395,$D$9:$D$28,$H$9:$H$28),MATCH(OFFSET($C$29,B395,MATCH(X395,$D$29:$V$29,0)),$L$19:$R$19,1))*(1+(OFFSET($C$29,B395,MATCH(X395,$D$29:$V$29,0))-1)*_xlfn.XLOOKUP(X395,梦灵养成!$D$9:$D$28,梦灵养成!$G$9:$G$28))</f>
        <v>56.784</v>
      </c>
      <c r="X395" s="106" t="str">
        <f ca="1" t="shared" si="116"/>
        <v>神算诸葛</v>
      </c>
      <c r="Y395" s="95">
        <f ca="1" t="shared" si="136"/>
        <v>167400</v>
      </c>
      <c r="Z395" s="96">
        <f ca="1" t="shared" si="137"/>
        <v>5.2</v>
      </c>
    </row>
    <row r="396" s="106" customFormat="1" ht="16.5" spans="2:26">
      <c r="B396" s="117">
        <v>367</v>
      </c>
      <c r="C396" s="130">
        <f t="shared" si="138"/>
        <v>36700</v>
      </c>
      <c r="D396" s="131">
        <f ca="1" t="shared" si="117"/>
        <v>51</v>
      </c>
      <c r="E396" s="131">
        <f ca="1" t="shared" si="118"/>
        <v>51</v>
      </c>
      <c r="F396" s="131">
        <f ca="1" t="shared" si="119"/>
        <v>51</v>
      </c>
      <c r="G396" s="131">
        <f ca="1" t="shared" si="120"/>
        <v>42</v>
      </c>
      <c r="H396" s="131">
        <f ca="1" t="shared" si="121"/>
        <v>42</v>
      </c>
      <c r="I396" s="131">
        <f ca="1" t="shared" si="122"/>
        <v>42</v>
      </c>
      <c r="J396" s="131">
        <f ca="1" t="shared" si="123"/>
        <v>42</v>
      </c>
      <c r="K396" s="131">
        <f ca="1" t="shared" si="124"/>
        <v>42</v>
      </c>
      <c r="L396" s="131">
        <f ca="1" t="shared" si="125"/>
        <v>42</v>
      </c>
      <c r="M396" s="131">
        <f ca="1" t="shared" si="126"/>
        <v>38</v>
      </c>
      <c r="N396" s="131">
        <f ca="1" t="shared" si="127"/>
        <v>38</v>
      </c>
      <c r="O396" s="131">
        <f ca="1" t="shared" si="128"/>
        <v>38</v>
      </c>
      <c r="P396" s="131">
        <f ca="1" t="shared" si="129"/>
        <v>38</v>
      </c>
      <c r="Q396" s="131">
        <f ca="1" t="shared" si="130"/>
        <v>38</v>
      </c>
      <c r="R396" s="131">
        <f ca="1" t="shared" si="131"/>
        <v>38</v>
      </c>
      <c r="S396" s="131">
        <f ca="1" t="shared" si="132"/>
        <v>40</v>
      </c>
      <c r="T396" s="131">
        <f ca="1" t="shared" si="133"/>
        <v>42</v>
      </c>
      <c r="U396" s="131">
        <f ca="1" t="shared" si="134"/>
        <v>43</v>
      </c>
      <c r="V396" s="131">
        <f ca="1" t="shared" si="135"/>
        <v>43</v>
      </c>
      <c r="W396" s="124">
        <f ca="1">OFFSET($K$19,_xlfn.XLOOKUP(X396,$D$9:$D$28,$H$9:$H$28),MATCH(OFFSET($C$29,B396,MATCH(X396,$D$29:$V$29,0)),$L$19:$R$19,1))*(1+(OFFSET($C$29,B396,MATCH(X396,$D$29:$V$29,0))-1)*_xlfn.XLOOKUP(X396,梦灵养成!$D$9:$D$28,梦灵养成!$G$9:$G$28))</f>
        <v>56.784</v>
      </c>
      <c r="X396" s="106" t="str">
        <f ca="1" t="shared" si="116"/>
        <v>神算诸葛</v>
      </c>
      <c r="Y396" s="95">
        <f ca="1" t="shared" si="136"/>
        <v>165600</v>
      </c>
      <c r="Z396" s="96">
        <f ca="1" t="shared" si="137"/>
        <v>5.2</v>
      </c>
    </row>
    <row r="397" s="106" customFormat="1" ht="16.5" spans="2:26">
      <c r="B397" s="117">
        <v>368</v>
      </c>
      <c r="C397" s="130">
        <f t="shared" si="138"/>
        <v>36800</v>
      </c>
      <c r="D397" s="131">
        <f ca="1" t="shared" si="117"/>
        <v>51</v>
      </c>
      <c r="E397" s="131">
        <f ca="1" t="shared" si="118"/>
        <v>51</v>
      </c>
      <c r="F397" s="131">
        <f ca="1" t="shared" si="119"/>
        <v>51</v>
      </c>
      <c r="G397" s="131">
        <f ca="1" t="shared" si="120"/>
        <v>42</v>
      </c>
      <c r="H397" s="131">
        <f ca="1" t="shared" si="121"/>
        <v>42</v>
      </c>
      <c r="I397" s="131">
        <f ca="1" t="shared" si="122"/>
        <v>42</v>
      </c>
      <c r="J397" s="131">
        <f ca="1" t="shared" si="123"/>
        <v>42</v>
      </c>
      <c r="K397" s="131">
        <f ca="1" t="shared" si="124"/>
        <v>42</v>
      </c>
      <c r="L397" s="131">
        <f ca="1" t="shared" si="125"/>
        <v>42</v>
      </c>
      <c r="M397" s="131">
        <f ca="1" t="shared" si="126"/>
        <v>38</v>
      </c>
      <c r="N397" s="131">
        <f ca="1" t="shared" si="127"/>
        <v>38</v>
      </c>
      <c r="O397" s="131">
        <f ca="1" t="shared" si="128"/>
        <v>38</v>
      </c>
      <c r="P397" s="131">
        <f ca="1" t="shared" si="129"/>
        <v>38</v>
      </c>
      <c r="Q397" s="131">
        <f ca="1" t="shared" si="130"/>
        <v>38</v>
      </c>
      <c r="R397" s="131">
        <f ca="1" t="shared" si="131"/>
        <v>38</v>
      </c>
      <c r="S397" s="131">
        <f ca="1" t="shared" si="132"/>
        <v>40</v>
      </c>
      <c r="T397" s="131">
        <f ca="1" t="shared" si="133"/>
        <v>42</v>
      </c>
      <c r="U397" s="131">
        <f ca="1" t="shared" si="134"/>
        <v>43</v>
      </c>
      <c r="V397" s="131">
        <f ca="1" t="shared" si="135"/>
        <v>44</v>
      </c>
      <c r="W397" s="124">
        <f ca="1">OFFSET($K$19,_xlfn.XLOOKUP(X397,$D$9:$D$28,$H$9:$H$28),MATCH(OFFSET($C$29,B397,MATCH(X397,$D$29:$V$29,0)),$L$19:$R$19,1))*(1+(OFFSET($C$29,B397,MATCH(X397,$D$29:$V$29,0))-1)*_xlfn.XLOOKUP(X397,梦灵养成!$D$9:$D$28,梦灵养成!$G$9:$G$28))</f>
        <v>57.876</v>
      </c>
      <c r="X397" s="106" t="str">
        <f ca="1" t="shared" si="116"/>
        <v>神算诸葛</v>
      </c>
      <c r="Y397" s="95">
        <f ca="1" t="shared" si="136"/>
        <v>225000</v>
      </c>
      <c r="Z397" s="96">
        <f ca="1" t="shared" si="137"/>
        <v>5.3</v>
      </c>
    </row>
    <row r="398" s="106" customFormat="1" ht="16.5" spans="2:26">
      <c r="B398" s="117">
        <v>369</v>
      </c>
      <c r="C398" s="130">
        <f t="shared" si="138"/>
        <v>36900</v>
      </c>
      <c r="D398" s="131">
        <f ca="1" t="shared" si="117"/>
        <v>51</v>
      </c>
      <c r="E398" s="131">
        <f ca="1" t="shared" si="118"/>
        <v>51</v>
      </c>
      <c r="F398" s="131">
        <f ca="1" t="shared" si="119"/>
        <v>51</v>
      </c>
      <c r="G398" s="131">
        <f ca="1" t="shared" si="120"/>
        <v>42</v>
      </c>
      <c r="H398" s="131">
        <f ca="1" t="shared" si="121"/>
        <v>42</v>
      </c>
      <c r="I398" s="131">
        <f ca="1" t="shared" si="122"/>
        <v>42</v>
      </c>
      <c r="J398" s="131">
        <f ca="1" t="shared" si="123"/>
        <v>42</v>
      </c>
      <c r="K398" s="131">
        <f ca="1" t="shared" si="124"/>
        <v>42</v>
      </c>
      <c r="L398" s="131">
        <f ca="1" t="shared" si="125"/>
        <v>42</v>
      </c>
      <c r="M398" s="131">
        <f ca="1" t="shared" si="126"/>
        <v>38</v>
      </c>
      <c r="N398" s="131">
        <f ca="1" t="shared" si="127"/>
        <v>38</v>
      </c>
      <c r="O398" s="131">
        <f ca="1" t="shared" si="128"/>
        <v>38</v>
      </c>
      <c r="P398" s="131">
        <f ca="1" t="shared" si="129"/>
        <v>38</v>
      </c>
      <c r="Q398" s="131">
        <f ca="1" t="shared" si="130"/>
        <v>38</v>
      </c>
      <c r="R398" s="131">
        <f ca="1" t="shared" si="131"/>
        <v>38</v>
      </c>
      <c r="S398" s="131">
        <f ca="1" t="shared" si="132"/>
        <v>40</v>
      </c>
      <c r="T398" s="131">
        <f ca="1" t="shared" si="133"/>
        <v>43</v>
      </c>
      <c r="U398" s="131">
        <f ca="1" t="shared" si="134"/>
        <v>43</v>
      </c>
      <c r="V398" s="131">
        <f ca="1" t="shared" si="135"/>
        <v>44</v>
      </c>
      <c r="W398" s="124">
        <f ca="1">OFFSET($K$19,_xlfn.XLOOKUP(X398,$D$9:$D$28,$H$9:$H$28),MATCH(OFFSET($C$29,B398,MATCH(X398,$D$29:$V$29,0)),$L$19:$R$19,1))*(1+(OFFSET($C$29,B398,MATCH(X398,$D$29:$V$29,0))-1)*_xlfn.XLOOKUP(X398,梦灵养成!$D$9:$D$28,梦灵养成!$G$9:$G$28))</f>
        <v>57.876</v>
      </c>
      <c r="X398" s="106" t="str">
        <f ca="1" t="shared" si="116"/>
        <v>神算诸葛</v>
      </c>
      <c r="Y398" s="95">
        <f ca="1" t="shared" si="136"/>
        <v>223200</v>
      </c>
      <c r="Z398" s="96">
        <f ca="1" t="shared" si="137"/>
        <v>5.3</v>
      </c>
    </row>
    <row r="399" s="106" customFormat="1" ht="16.5" spans="2:26">
      <c r="B399" s="117">
        <v>370</v>
      </c>
      <c r="C399" s="130">
        <f t="shared" si="138"/>
        <v>37000</v>
      </c>
      <c r="D399" s="131">
        <f ca="1" t="shared" si="117"/>
        <v>51</v>
      </c>
      <c r="E399" s="131">
        <f ca="1" t="shared" si="118"/>
        <v>51</v>
      </c>
      <c r="F399" s="131">
        <f ca="1" t="shared" si="119"/>
        <v>51</v>
      </c>
      <c r="G399" s="131">
        <f ca="1" t="shared" si="120"/>
        <v>42</v>
      </c>
      <c r="H399" s="131">
        <f ca="1" t="shared" si="121"/>
        <v>42</v>
      </c>
      <c r="I399" s="131">
        <f ca="1" t="shared" si="122"/>
        <v>42</v>
      </c>
      <c r="J399" s="131">
        <f ca="1" t="shared" si="123"/>
        <v>42</v>
      </c>
      <c r="K399" s="131">
        <f ca="1" t="shared" si="124"/>
        <v>42</v>
      </c>
      <c r="L399" s="131">
        <f ca="1" t="shared" si="125"/>
        <v>42</v>
      </c>
      <c r="M399" s="131">
        <f ca="1" t="shared" si="126"/>
        <v>38</v>
      </c>
      <c r="N399" s="131">
        <f ca="1" t="shared" si="127"/>
        <v>38</v>
      </c>
      <c r="O399" s="131">
        <f ca="1" t="shared" si="128"/>
        <v>38</v>
      </c>
      <c r="P399" s="131">
        <f ca="1" t="shared" si="129"/>
        <v>38</v>
      </c>
      <c r="Q399" s="131">
        <f ca="1" t="shared" si="130"/>
        <v>38</v>
      </c>
      <c r="R399" s="131">
        <f ca="1" t="shared" si="131"/>
        <v>38</v>
      </c>
      <c r="S399" s="131">
        <f ca="1" t="shared" si="132"/>
        <v>40</v>
      </c>
      <c r="T399" s="131">
        <f ca="1" t="shared" si="133"/>
        <v>43</v>
      </c>
      <c r="U399" s="131">
        <f ca="1" t="shared" si="134"/>
        <v>43</v>
      </c>
      <c r="V399" s="131">
        <f ca="1" t="shared" si="135"/>
        <v>44</v>
      </c>
      <c r="W399" s="124">
        <f ca="1">OFFSET($K$19,_xlfn.XLOOKUP(X399,$D$9:$D$28,$H$9:$H$28),MATCH(OFFSET($C$29,B399,MATCH(X399,$D$29:$V$29,0)),$L$19:$R$19,1))*(1+(OFFSET($C$29,B399,MATCH(X399,$D$29:$V$29,0))-1)*_xlfn.XLOOKUP(X399,梦灵养成!$D$9:$D$28,梦灵养成!$G$9:$G$28))</f>
        <v>57.876</v>
      </c>
      <c r="X399" s="106" t="str">
        <f ca="1" t="shared" si="116"/>
        <v>神算诸葛</v>
      </c>
      <c r="Y399" s="95">
        <f ca="1" t="shared" si="136"/>
        <v>221400</v>
      </c>
      <c r="Z399" s="96">
        <f ca="1" t="shared" si="137"/>
        <v>5.3</v>
      </c>
    </row>
    <row r="400" s="106" customFormat="1" ht="16.5" spans="2:26">
      <c r="B400" s="117">
        <v>371</v>
      </c>
      <c r="C400" s="130">
        <f t="shared" si="138"/>
        <v>37100</v>
      </c>
      <c r="D400" s="131">
        <f ca="1" t="shared" si="117"/>
        <v>51</v>
      </c>
      <c r="E400" s="131">
        <f ca="1" t="shared" si="118"/>
        <v>51</v>
      </c>
      <c r="F400" s="131">
        <f ca="1" t="shared" si="119"/>
        <v>51</v>
      </c>
      <c r="G400" s="131">
        <f ca="1" t="shared" si="120"/>
        <v>42</v>
      </c>
      <c r="H400" s="131">
        <f ca="1" t="shared" si="121"/>
        <v>42</v>
      </c>
      <c r="I400" s="131">
        <f ca="1" t="shared" si="122"/>
        <v>42</v>
      </c>
      <c r="J400" s="131">
        <f ca="1" t="shared" si="123"/>
        <v>42</v>
      </c>
      <c r="K400" s="131">
        <f ca="1" t="shared" si="124"/>
        <v>42</v>
      </c>
      <c r="L400" s="131">
        <f ca="1" t="shared" si="125"/>
        <v>42</v>
      </c>
      <c r="M400" s="131">
        <f ca="1" t="shared" si="126"/>
        <v>38</v>
      </c>
      <c r="N400" s="131">
        <f ca="1" t="shared" si="127"/>
        <v>38</v>
      </c>
      <c r="O400" s="131">
        <f ca="1" t="shared" si="128"/>
        <v>38</v>
      </c>
      <c r="P400" s="131">
        <f ca="1" t="shared" si="129"/>
        <v>38</v>
      </c>
      <c r="Q400" s="131">
        <f ca="1" t="shared" si="130"/>
        <v>38</v>
      </c>
      <c r="R400" s="131">
        <f ca="1" t="shared" si="131"/>
        <v>38</v>
      </c>
      <c r="S400" s="131">
        <f ca="1" t="shared" si="132"/>
        <v>40</v>
      </c>
      <c r="T400" s="131">
        <f ca="1" t="shared" si="133"/>
        <v>43</v>
      </c>
      <c r="U400" s="131">
        <f ca="1" t="shared" si="134"/>
        <v>43</v>
      </c>
      <c r="V400" s="131">
        <f ca="1" t="shared" si="135"/>
        <v>44</v>
      </c>
      <c r="W400" s="124">
        <f ca="1">OFFSET($K$19,_xlfn.XLOOKUP(X400,$D$9:$D$28,$H$9:$H$28),MATCH(OFFSET($C$29,B400,MATCH(X400,$D$29:$V$29,0)),$L$19:$R$19,1))*(1+(OFFSET($C$29,B400,MATCH(X400,$D$29:$V$29,0))-1)*_xlfn.XLOOKUP(X400,梦灵养成!$D$9:$D$28,梦灵养成!$G$9:$G$28))</f>
        <v>57.876</v>
      </c>
      <c r="X400" s="106" t="str">
        <f ca="1" t="shared" si="116"/>
        <v>神算诸葛</v>
      </c>
      <c r="Y400" s="95">
        <f ca="1" t="shared" si="136"/>
        <v>219600</v>
      </c>
      <c r="Z400" s="96">
        <f ca="1" t="shared" si="137"/>
        <v>5.3</v>
      </c>
    </row>
    <row r="401" s="106" customFormat="1" ht="16.5" spans="2:26">
      <c r="B401" s="117">
        <v>372</v>
      </c>
      <c r="C401" s="130">
        <f t="shared" si="138"/>
        <v>37200</v>
      </c>
      <c r="D401" s="131">
        <f ca="1" t="shared" si="117"/>
        <v>51</v>
      </c>
      <c r="E401" s="131">
        <f ca="1" t="shared" si="118"/>
        <v>51</v>
      </c>
      <c r="F401" s="131">
        <f ca="1" t="shared" si="119"/>
        <v>51</v>
      </c>
      <c r="G401" s="131">
        <f ca="1" t="shared" si="120"/>
        <v>42</v>
      </c>
      <c r="H401" s="131">
        <f ca="1" t="shared" si="121"/>
        <v>42</v>
      </c>
      <c r="I401" s="131">
        <f ca="1" t="shared" si="122"/>
        <v>42</v>
      </c>
      <c r="J401" s="131">
        <f ca="1" t="shared" si="123"/>
        <v>42</v>
      </c>
      <c r="K401" s="131">
        <f ca="1" t="shared" si="124"/>
        <v>42</v>
      </c>
      <c r="L401" s="131">
        <f ca="1" t="shared" si="125"/>
        <v>42</v>
      </c>
      <c r="M401" s="131">
        <f ca="1" t="shared" si="126"/>
        <v>38</v>
      </c>
      <c r="N401" s="131">
        <f ca="1" t="shared" si="127"/>
        <v>38</v>
      </c>
      <c r="O401" s="131">
        <f ca="1" t="shared" si="128"/>
        <v>38</v>
      </c>
      <c r="P401" s="131">
        <f ca="1" t="shared" si="129"/>
        <v>38</v>
      </c>
      <c r="Q401" s="131">
        <f ca="1" t="shared" si="130"/>
        <v>38</v>
      </c>
      <c r="R401" s="131">
        <f ca="1" t="shared" si="131"/>
        <v>38</v>
      </c>
      <c r="S401" s="131">
        <f ca="1" t="shared" si="132"/>
        <v>40</v>
      </c>
      <c r="T401" s="131">
        <f ca="1" t="shared" si="133"/>
        <v>43</v>
      </c>
      <c r="U401" s="131">
        <f ca="1" t="shared" si="134"/>
        <v>43</v>
      </c>
      <c r="V401" s="131">
        <f ca="1" t="shared" si="135"/>
        <v>44</v>
      </c>
      <c r="W401" s="124">
        <f ca="1">OFFSET($K$19,_xlfn.XLOOKUP(X401,$D$9:$D$28,$H$9:$H$28),MATCH(OFFSET($C$29,B401,MATCH(X401,$D$29:$V$29,0)),$L$19:$R$19,1))*(1+(OFFSET($C$29,B401,MATCH(X401,$D$29:$V$29,0))-1)*_xlfn.XLOOKUP(X401,梦灵养成!$D$9:$D$28,梦灵养成!$G$9:$G$28))</f>
        <v>57.876</v>
      </c>
      <c r="X401" s="106" t="str">
        <f ca="1" t="shared" si="116"/>
        <v>神算诸葛</v>
      </c>
      <c r="Y401" s="95">
        <f ca="1" t="shared" si="136"/>
        <v>217800</v>
      </c>
      <c r="Z401" s="96">
        <f ca="1" t="shared" si="137"/>
        <v>5.3</v>
      </c>
    </row>
    <row r="402" s="106" customFormat="1" ht="16.5" spans="2:26">
      <c r="B402" s="117">
        <v>373</v>
      </c>
      <c r="C402" s="130">
        <f t="shared" si="138"/>
        <v>37300</v>
      </c>
      <c r="D402" s="131">
        <f ca="1" t="shared" si="117"/>
        <v>51</v>
      </c>
      <c r="E402" s="131">
        <f ca="1" t="shared" si="118"/>
        <v>51</v>
      </c>
      <c r="F402" s="131">
        <f ca="1" t="shared" si="119"/>
        <v>51</v>
      </c>
      <c r="G402" s="131">
        <f ca="1" t="shared" si="120"/>
        <v>42</v>
      </c>
      <c r="H402" s="131">
        <f ca="1" t="shared" si="121"/>
        <v>42</v>
      </c>
      <c r="I402" s="131">
        <f ca="1" t="shared" si="122"/>
        <v>42</v>
      </c>
      <c r="J402" s="131">
        <f ca="1" t="shared" si="123"/>
        <v>42</v>
      </c>
      <c r="K402" s="131">
        <f ca="1" t="shared" si="124"/>
        <v>42</v>
      </c>
      <c r="L402" s="131">
        <f ca="1" t="shared" si="125"/>
        <v>42</v>
      </c>
      <c r="M402" s="131">
        <f ca="1" t="shared" si="126"/>
        <v>38</v>
      </c>
      <c r="N402" s="131">
        <f ca="1" t="shared" si="127"/>
        <v>38</v>
      </c>
      <c r="O402" s="131">
        <f ca="1" t="shared" si="128"/>
        <v>38</v>
      </c>
      <c r="P402" s="131">
        <f ca="1" t="shared" si="129"/>
        <v>38</v>
      </c>
      <c r="Q402" s="131">
        <f ca="1" t="shared" si="130"/>
        <v>38</v>
      </c>
      <c r="R402" s="131">
        <f ca="1" t="shared" si="131"/>
        <v>38</v>
      </c>
      <c r="S402" s="131">
        <f ca="1" t="shared" si="132"/>
        <v>40</v>
      </c>
      <c r="T402" s="131">
        <f ca="1" t="shared" si="133"/>
        <v>43</v>
      </c>
      <c r="U402" s="131">
        <f ca="1" t="shared" si="134"/>
        <v>43</v>
      </c>
      <c r="V402" s="131">
        <f ca="1" t="shared" si="135"/>
        <v>44</v>
      </c>
      <c r="W402" s="124">
        <f ca="1">OFFSET($K$19,_xlfn.XLOOKUP(X402,$D$9:$D$28,$H$9:$H$28),MATCH(OFFSET($C$29,B402,MATCH(X402,$D$29:$V$29,0)),$L$19:$R$19,1))*(1+(OFFSET($C$29,B402,MATCH(X402,$D$29:$V$29,0))-1)*_xlfn.XLOOKUP(X402,梦灵养成!$D$9:$D$28,梦灵养成!$G$9:$G$28))</f>
        <v>57.876</v>
      </c>
      <c r="X402" s="106" t="str">
        <f ca="1" t="shared" si="116"/>
        <v>神算诸葛</v>
      </c>
      <c r="Y402" s="95">
        <f ca="1" t="shared" si="136"/>
        <v>216000</v>
      </c>
      <c r="Z402" s="96">
        <f ca="1" t="shared" si="137"/>
        <v>5.3</v>
      </c>
    </row>
    <row r="403" s="106" customFormat="1" ht="16.5" spans="2:26">
      <c r="B403" s="117">
        <v>374</v>
      </c>
      <c r="C403" s="130">
        <f t="shared" si="138"/>
        <v>37400</v>
      </c>
      <c r="D403" s="131">
        <f ca="1" t="shared" si="117"/>
        <v>51</v>
      </c>
      <c r="E403" s="131">
        <f ca="1" t="shared" si="118"/>
        <v>51</v>
      </c>
      <c r="F403" s="131">
        <f ca="1" t="shared" si="119"/>
        <v>51</v>
      </c>
      <c r="G403" s="131">
        <f ca="1" t="shared" si="120"/>
        <v>42</v>
      </c>
      <c r="H403" s="131">
        <f ca="1" t="shared" si="121"/>
        <v>42</v>
      </c>
      <c r="I403" s="131">
        <f ca="1" t="shared" si="122"/>
        <v>42</v>
      </c>
      <c r="J403" s="131">
        <f ca="1" t="shared" si="123"/>
        <v>42</v>
      </c>
      <c r="K403" s="131">
        <f ca="1" t="shared" si="124"/>
        <v>42</v>
      </c>
      <c r="L403" s="131">
        <f ca="1" t="shared" si="125"/>
        <v>42</v>
      </c>
      <c r="M403" s="131">
        <f ca="1" t="shared" si="126"/>
        <v>38</v>
      </c>
      <c r="N403" s="131">
        <f ca="1" t="shared" si="127"/>
        <v>38</v>
      </c>
      <c r="O403" s="131">
        <f ca="1" t="shared" si="128"/>
        <v>38</v>
      </c>
      <c r="P403" s="131">
        <f ca="1" t="shared" si="129"/>
        <v>38</v>
      </c>
      <c r="Q403" s="131">
        <f ca="1" t="shared" si="130"/>
        <v>38</v>
      </c>
      <c r="R403" s="131">
        <f ca="1" t="shared" si="131"/>
        <v>38</v>
      </c>
      <c r="S403" s="131">
        <f ca="1" t="shared" si="132"/>
        <v>40</v>
      </c>
      <c r="T403" s="131">
        <f ca="1" t="shared" si="133"/>
        <v>43</v>
      </c>
      <c r="U403" s="131">
        <f ca="1" t="shared" si="134"/>
        <v>43</v>
      </c>
      <c r="V403" s="131">
        <f ca="1" t="shared" si="135"/>
        <v>44</v>
      </c>
      <c r="W403" s="124">
        <f ca="1">OFFSET($K$19,_xlfn.XLOOKUP(X403,$D$9:$D$28,$H$9:$H$28),MATCH(OFFSET($C$29,B403,MATCH(X403,$D$29:$V$29,0)),$L$19:$R$19,1))*(1+(OFFSET($C$29,B403,MATCH(X403,$D$29:$V$29,0))-1)*_xlfn.XLOOKUP(X403,梦灵养成!$D$9:$D$28,梦灵养成!$G$9:$G$28))</f>
        <v>57.876</v>
      </c>
      <c r="X403" s="106" t="str">
        <f ca="1" t="shared" si="116"/>
        <v>神算诸葛</v>
      </c>
      <c r="Y403" s="95">
        <f ca="1" t="shared" si="136"/>
        <v>214200</v>
      </c>
      <c r="Z403" s="96">
        <f ca="1" t="shared" si="137"/>
        <v>5.3</v>
      </c>
    </row>
    <row r="404" s="106" customFormat="1" ht="16.5" spans="2:26">
      <c r="B404" s="117">
        <v>375</v>
      </c>
      <c r="C404" s="130">
        <f t="shared" si="138"/>
        <v>37500</v>
      </c>
      <c r="D404" s="131">
        <f ca="1" t="shared" si="117"/>
        <v>51</v>
      </c>
      <c r="E404" s="131">
        <f ca="1" t="shared" si="118"/>
        <v>51</v>
      </c>
      <c r="F404" s="131">
        <f ca="1" t="shared" si="119"/>
        <v>51</v>
      </c>
      <c r="G404" s="131">
        <f ca="1" t="shared" si="120"/>
        <v>42</v>
      </c>
      <c r="H404" s="131">
        <f ca="1" t="shared" si="121"/>
        <v>42</v>
      </c>
      <c r="I404" s="131">
        <f ca="1" t="shared" si="122"/>
        <v>42</v>
      </c>
      <c r="J404" s="131">
        <f ca="1" t="shared" si="123"/>
        <v>42</v>
      </c>
      <c r="K404" s="131">
        <f ca="1" t="shared" si="124"/>
        <v>42</v>
      </c>
      <c r="L404" s="131">
        <f ca="1" t="shared" si="125"/>
        <v>42</v>
      </c>
      <c r="M404" s="131">
        <f ca="1" t="shared" si="126"/>
        <v>38</v>
      </c>
      <c r="N404" s="131">
        <f ca="1" t="shared" si="127"/>
        <v>38</v>
      </c>
      <c r="O404" s="131">
        <f ca="1" t="shared" si="128"/>
        <v>38</v>
      </c>
      <c r="P404" s="131">
        <f ca="1" t="shared" si="129"/>
        <v>38</v>
      </c>
      <c r="Q404" s="131">
        <f ca="1" t="shared" si="130"/>
        <v>38</v>
      </c>
      <c r="R404" s="131">
        <f ca="1" t="shared" si="131"/>
        <v>38</v>
      </c>
      <c r="S404" s="131">
        <f ca="1" t="shared" si="132"/>
        <v>40</v>
      </c>
      <c r="T404" s="131">
        <f ca="1" t="shared" si="133"/>
        <v>43</v>
      </c>
      <c r="U404" s="131">
        <f ca="1" t="shared" si="134"/>
        <v>43</v>
      </c>
      <c r="V404" s="131">
        <f ca="1" t="shared" si="135"/>
        <v>44</v>
      </c>
      <c r="W404" s="124">
        <f ca="1">OFFSET($K$19,_xlfn.XLOOKUP(X404,$D$9:$D$28,$H$9:$H$28),MATCH(OFFSET($C$29,B404,MATCH(X404,$D$29:$V$29,0)),$L$19:$R$19,1))*(1+(OFFSET($C$29,B404,MATCH(X404,$D$29:$V$29,0))-1)*_xlfn.XLOOKUP(X404,梦灵养成!$D$9:$D$28,梦灵养成!$G$9:$G$28))</f>
        <v>57.876</v>
      </c>
      <c r="X404" s="106" t="str">
        <f ca="1" t="shared" si="116"/>
        <v>神算诸葛</v>
      </c>
      <c r="Y404" s="95">
        <f ca="1" t="shared" si="136"/>
        <v>212400</v>
      </c>
      <c r="Z404" s="96">
        <f ca="1" t="shared" si="137"/>
        <v>5.3</v>
      </c>
    </row>
    <row r="405" s="106" customFormat="1" ht="16.5" spans="2:26">
      <c r="B405" s="117">
        <v>376</v>
      </c>
      <c r="C405" s="130">
        <f t="shared" si="138"/>
        <v>37600</v>
      </c>
      <c r="D405" s="131">
        <f ca="1" t="shared" si="117"/>
        <v>51</v>
      </c>
      <c r="E405" s="131">
        <f ca="1" t="shared" si="118"/>
        <v>51</v>
      </c>
      <c r="F405" s="131">
        <f ca="1" t="shared" si="119"/>
        <v>51</v>
      </c>
      <c r="G405" s="131">
        <f ca="1" t="shared" si="120"/>
        <v>42</v>
      </c>
      <c r="H405" s="131">
        <f ca="1" t="shared" si="121"/>
        <v>42</v>
      </c>
      <c r="I405" s="131">
        <f ca="1" t="shared" si="122"/>
        <v>42</v>
      </c>
      <c r="J405" s="131">
        <f ca="1" t="shared" si="123"/>
        <v>42</v>
      </c>
      <c r="K405" s="131">
        <f ca="1" t="shared" si="124"/>
        <v>42</v>
      </c>
      <c r="L405" s="131">
        <f ca="1" t="shared" si="125"/>
        <v>42</v>
      </c>
      <c r="M405" s="131">
        <f ca="1" t="shared" si="126"/>
        <v>38</v>
      </c>
      <c r="N405" s="131">
        <f ca="1" t="shared" si="127"/>
        <v>38</v>
      </c>
      <c r="O405" s="131">
        <f ca="1" t="shared" si="128"/>
        <v>38</v>
      </c>
      <c r="P405" s="131">
        <f ca="1" t="shared" si="129"/>
        <v>38</v>
      </c>
      <c r="Q405" s="131">
        <f ca="1" t="shared" si="130"/>
        <v>38</v>
      </c>
      <c r="R405" s="131">
        <f ca="1" t="shared" si="131"/>
        <v>38</v>
      </c>
      <c r="S405" s="131">
        <f ca="1" t="shared" si="132"/>
        <v>40</v>
      </c>
      <c r="T405" s="131">
        <f ca="1" t="shared" si="133"/>
        <v>43</v>
      </c>
      <c r="U405" s="131">
        <f ca="1" t="shared" si="134"/>
        <v>43</v>
      </c>
      <c r="V405" s="131">
        <f ca="1" t="shared" si="135"/>
        <v>44</v>
      </c>
      <c r="W405" s="124">
        <f ca="1">OFFSET($K$19,_xlfn.XLOOKUP(X405,$D$9:$D$28,$H$9:$H$28),MATCH(OFFSET($C$29,B405,MATCH(X405,$D$29:$V$29,0)),$L$19:$R$19,1))*(1+(OFFSET($C$29,B405,MATCH(X405,$D$29:$V$29,0))-1)*_xlfn.XLOOKUP(X405,梦灵养成!$D$9:$D$28,梦灵养成!$G$9:$G$28))</f>
        <v>57.876</v>
      </c>
      <c r="X405" s="106" t="str">
        <f ca="1" t="shared" si="116"/>
        <v>神算诸葛</v>
      </c>
      <c r="Y405" s="95">
        <f ca="1" t="shared" si="136"/>
        <v>210600</v>
      </c>
      <c r="Z405" s="96">
        <f ca="1" t="shared" si="137"/>
        <v>5.3</v>
      </c>
    </row>
    <row r="406" s="106" customFormat="1" ht="16.5" spans="2:26">
      <c r="B406" s="117">
        <v>377</v>
      </c>
      <c r="C406" s="130">
        <f t="shared" si="138"/>
        <v>37700</v>
      </c>
      <c r="D406" s="131">
        <f ca="1" t="shared" si="117"/>
        <v>51</v>
      </c>
      <c r="E406" s="131">
        <f ca="1" t="shared" si="118"/>
        <v>51</v>
      </c>
      <c r="F406" s="131">
        <f ca="1" t="shared" si="119"/>
        <v>51</v>
      </c>
      <c r="G406" s="131">
        <f ca="1" t="shared" si="120"/>
        <v>42</v>
      </c>
      <c r="H406" s="131">
        <f ca="1" t="shared" si="121"/>
        <v>42</v>
      </c>
      <c r="I406" s="131">
        <f ca="1" t="shared" si="122"/>
        <v>42</v>
      </c>
      <c r="J406" s="131">
        <f ca="1" t="shared" si="123"/>
        <v>42</v>
      </c>
      <c r="K406" s="131">
        <f ca="1" t="shared" si="124"/>
        <v>42</v>
      </c>
      <c r="L406" s="131">
        <f ca="1" t="shared" si="125"/>
        <v>42</v>
      </c>
      <c r="M406" s="131">
        <f ca="1" t="shared" si="126"/>
        <v>38</v>
      </c>
      <c r="N406" s="131">
        <f ca="1" t="shared" si="127"/>
        <v>38</v>
      </c>
      <c r="O406" s="131">
        <f ca="1" t="shared" si="128"/>
        <v>38</v>
      </c>
      <c r="P406" s="131">
        <f ca="1" t="shared" si="129"/>
        <v>38</v>
      </c>
      <c r="Q406" s="131">
        <f ca="1" t="shared" si="130"/>
        <v>38</v>
      </c>
      <c r="R406" s="131">
        <f ca="1" t="shared" si="131"/>
        <v>38</v>
      </c>
      <c r="S406" s="131">
        <f ca="1" t="shared" si="132"/>
        <v>40</v>
      </c>
      <c r="T406" s="131">
        <f ca="1" t="shared" si="133"/>
        <v>43</v>
      </c>
      <c r="U406" s="131">
        <f ca="1" t="shared" si="134"/>
        <v>43</v>
      </c>
      <c r="V406" s="131">
        <f ca="1" t="shared" si="135"/>
        <v>44</v>
      </c>
      <c r="W406" s="124">
        <f ca="1">OFFSET($K$19,_xlfn.XLOOKUP(X406,$D$9:$D$28,$H$9:$H$28),MATCH(OFFSET($C$29,B406,MATCH(X406,$D$29:$V$29,0)),$L$19:$R$19,1))*(1+(OFFSET($C$29,B406,MATCH(X406,$D$29:$V$29,0))-1)*_xlfn.XLOOKUP(X406,梦灵养成!$D$9:$D$28,梦灵养成!$G$9:$G$28))</f>
        <v>57.876</v>
      </c>
      <c r="X406" s="106" t="str">
        <f ca="1" t="shared" si="116"/>
        <v>神算诸葛</v>
      </c>
      <c r="Y406" s="95">
        <f ca="1" t="shared" si="136"/>
        <v>208800</v>
      </c>
      <c r="Z406" s="96">
        <f ca="1" t="shared" si="137"/>
        <v>5.3</v>
      </c>
    </row>
    <row r="407" s="106" customFormat="1" ht="16.5" spans="2:26">
      <c r="B407" s="117">
        <v>378</v>
      </c>
      <c r="C407" s="130">
        <f t="shared" si="138"/>
        <v>37800</v>
      </c>
      <c r="D407" s="131">
        <f ca="1" t="shared" si="117"/>
        <v>51</v>
      </c>
      <c r="E407" s="131">
        <f ca="1" t="shared" si="118"/>
        <v>51</v>
      </c>
      <c r="F407" s="131">
        <f ca="1" t="shared" si="119"/>
        <v>51</v>
      </c>
      <c r="G407" s="131">
        <f ca="1" t="shared" si="120"/>
        <v>43</v>
      </c>
      <c r="H407" s="131">
        <f ca="1" t="shared" si="121"/>
        <v>43</v>
      </c>
      <c r="I407" s="131">
        <f ca="1" t="shared" si="122"/>
        <v>43</v>
      </c>
      <c r="J407" s="131">
        <f ca="1" t="shared" si="123"/>
        <v>42</v>
      </c>
      <c r="K407" s="131">
        <f ca="1" t="shared" si="124"/>
        <v>42</v>
      </c>
      <c r="L407" s="131">
        <f ca="1" t="shared" si="125"/>
        <v>42</v>
      </c>
      <c r="M407" s="131">
        <f ca="1" t="shared" si="126"/>
        <v>38</v>
      </c>
      <c r="N407" s="131">
        <f ca="1" t="shared" si="127"/>
        <v>38</v>
      </c>
      <c r="O407" s="131">
        <f ca="1" t="shared" si="128"/>
        <v>38</v>
      </c>
      <c r="P407" s="131">
        <f ca="1" t="shared" si="129"/>
        <v>38</v>
      </c>
      <c r="Q407" s="131">
        <f ca="1" t="shared" si="130"/>
        <v>38</v>
      </c>
      <c r="R407" s="131">
        <f ca="1" t="shared" si="131"/>
        <v>38</v>
      </c>
      <c r="S407" s="131">
        <f ca="1" t="shared" si="132"/>
        <v>40</v>
      </c>
      <c r="T407" s="131">
        <f ca="1" t="shared" si="133"/>
        <v>43</v>
      </c>
      <c r="U407" s="131">
        <f ca="1" t="shared" si="134"/>
        <v>43</v>
      </c>
      <c r="V407" s="131">
        <f ca="1" t="shared" si="135"/>
        <v>44</v>
      </c>
      <c r="W407" s="124">
        <f ca="1">OFFSET($K$19,_xlfn.XLOOKUP(X407,$D$9:$D$28,$H$9:$H$28),MATCH(OFFSET($C$29,B407,MATCH(X407,$D$29:$V$29,0)),$L$19:$R$19,1))*(1+(OFFSET($C$29,B407,MATCH(X407,$D$29:$V$29,0))-1)*_xlfn.XLOOKUP(X407,梦灵养成!$D$9:$D$28,梦灵养成!$G$9:$G$28))</f>
        <v>57.876</v>
      </c>
      <c r="X407" s="106" t="str">
        <f ca="1" t="shared" si="116"/>
        <v>神算诸葛</v>
      </c>
      <c r="Y407" s="95">
        <f ca="1" t="shared" si="136"/>
        <v>207000</v>
      </c>
      <c r="Z407" s="96">
        <f ca="1" t="shared" si="137"/>
        <v>5.3</v>
      </c>
    </row>
    <row r="408" s="106" customFormat="1" ht="16.5" spans="2:26">
      <c r="B408" s="117">
        <v>379</v>
      </c>
      <c r="C408" s="130">
        <f t="shared" si="138"/>
        <v>37900</v>
      </c>
      <c r="D408" s="131">
        <f ca="1" t="shared" si="117"/>
        <v>51</v>
      </c>
      <c r="E408" s="131">
        <f ca="1" t="shared" si="118"/>
        <v>51</v>
      </c>
      <c r="F408" s="131">
        <f ca="1" t="shared" si="119"/>
        <v>51</v>
      </c>
      <c r="G408" s="131">
        <f ca="1" t="shared" si="120"/>
        <v>43</v>
      </c>
      <c r="H408" s="131">
        <f ca="1" t="shared" si="121"/>
        <v>43</v>
      </c>
      <c r="I408" s="131">
        <f ca="1" t="shared" si="122"/>
        <v>43</v>
      </c>
      <c r="J408" s="131">
        <f ca="1" t="shared" si="123"/>
        <v>43</v>
      </c>
      <c r="K408" s="131">
        <f ca="1" t="shared" si="124"/>
        <v>42</v>
      </c>
      <c r="L408" s="131">
        <f ca="1" t="shared" si="125"/>
        <v>42</v>
      </c>
      <c r="M408" s="131">
        <f ca="1" t="shared" si="126"/>
        <v>38</v>
      </c>
      <c r="N408" s="131">
        <f ca="1" t="shared" si="127"/>
        <v>38</v>
      </c>
      <c r="O408" s="131">
        <f ca="1" t="shared" si="128"/>
        <v>38</v>
      </c>
      <c r="P408" s="131">
        <f ca="1" t="shared" si="129"/>
        <v>38</v>
      </c>
      <c r="Q408" s="131">
        <f ca="1" t="shared" si="130"/>
        <v>38</v>
      </c>
      <c r="R408" s="131">
        <f ca="1" t="shared" si="131"/>
        <v>38</v>
      </c>
      <c r="S408" s="131">
        <f ca="1" t="shared" si="132"/>
        <v>40</v>
      </c>
      <c r="T408" s="131">
        <f ca="1" t="shared" si="133"/>
        <v>43</v>
      </c>
      <c r="U408" s="131">
        <f ca="1" t="shared" si="134"/>
        <v>43</v>
      </c>
      <c r="V408" s="131">
        <f ca="1" t="shared" si="135"/>
        <v>44</v>
      </c>
      <c r="W408" s="124">
        <f ca="1">OFFSET($K$19,_xlfn.XLOOKUP(X408,$D$9:$D$28,$H$9:$H$28),MATCH(OFFSET($C$29,B408,MATCH(X408,$D$29:$V$29,0)),$L$19:$R$19,1))*(1+(OFFSET($C$29,B408,MATCH(X408,$D$29:$V$29,0))-1)*_xlfn.XLOOKUP(X408,梦灵养成!$D$9:$D$28,梦灵养成!$G$9:$G$28))</f>
        <v>57.876</v>
      </c>
      <c r="X408" s="106" t="str">
        <f ca="1" t="shared" si="116"/>
        <v>神算诸葛</v>
      </c>
      <c r="Y408" s="95">
        <f ca="1" t="shared" si="136"/>
        <v>205200</v>
      </c>
      <c r="Z408" s="96">
        <f ca="1" t="shared" si="137"/>
        <v>5.3</v>
      </c>
    </row>
    <row r="409" s="106" customFormat="1" ht="16.5" spans="2:26">
      <c r="B409" s="117">
        <v>380</v>
      </c>
      <c r="C409" s="130">
        <f t="shared" si="138"/>
        <v>38000</v>
      </c>
      <c r="D409" s="131">
        <f ca="1" t="shared" si="117"/>
        <v>51</v>
      </c>
      <c r="E409" s="131">
        <f ca="1" t="shared" si="118"/>
        <v>51</v>
      </c>
      <c r="F409" s="131">
        <f ca="1" t="shared" si="119"/>
        <v>51</v>
      </c>
      <c r="G409" s="131">
        <f ca="1" t="shared" si="120"/>
        <v>43</v>
      </c>
      <c r="H409" s="131">
        <f ca="1" t="shared" si="121"/>
        <v>43</v>
      </c>
      <c r="I409" s="131">
        <f ca="1" t="shared" si="122"/>
        <v>43</v>
      </c>
      <c r="J409" s="131">
        <f ca="1" t="shared" si="123"/>
        <v>43</v>
      </c>
      <c r="K409" s="131">
        <f ca="1" t="shared" si="124"/>
        <v>43</v>
      </c>
      <c r="L409" s="131">
        <f ca="1" t="shared" si="125"/>
        <v>43</v>
      </c>
      <c r="M409" s="131">
        <f ca="1" t="shared" si="126"/>
        <v>38</v>
      </c>
      <c r="N409" s="131">
        <f ca="1" t="shared" si="127"/>
        <v>38</v>
      </c>
      <c r="O409" s="131">
        <f ca="1" t="shared" si="128"/>
        <v>38</v>
      </c>
      <c r="P409" s="131">
        <f ca="1" t="shared" si="129"/>
        <v>38</v>
      </c>
      <c r="Q409" s="131">
        <f ca="1" t="shared" si="130"/>
        <v>39</v>
      </c>
      <c r="R409" s="131">
        <f ca="1" t="shared" si="131"/>
        <v>38</v>
      </c>
      <c r="S409" s="131">
        <f ca="1" t="shared" si="132"/>
        <v>41</v>
      </c>
      <c r="T409" s="131">
        <f ca="1" t="shared" si="133"/>
        <v>43</v>
      </c>
      <c r="U409" s="131">
        <f ca="1" t="shared" si="134"/>
        <v>43</v>
      </c>
      <c r="V409" s="131">
        <f ca="1" t="shared" si="135"/>
        <v>44</v>
      </c>
      <c r="W409" s="124">
        <f ca="1">OFFSET($K$19,_xlfn.XLOOKUP(X409,$D$9:$D$28,$H$9:$H$28),MATCH(OFFSET($C$29,B409,MATCH(X409,$D$29:$V$29,0)),$L$19:$R$19,1))*(1+(OFFSET($C$29,B409,MATCH(X409,$D$29:$V$29,0))-1)*_xlfn.XLOOKUP(X409,梦灵养成!$D$9:$D$28,梦灵养成!$G$9:$G$28))</f>
        <v>57.876</v>
      </c>
      <c r="X409" s="106" t="str">
        <f ca="1" t="shared" si="116"/>
        <v>神算诸葛</v>
      </c>
      <c r="Y409" s="95">
        <f ca="1" t="shared" si="136"/>
        <v>203400</v>
      </c>
      <c r="Z409" s="96">
        <f ca="1" t="shared" si="137"/>
        <v>5.3</v>
      </c>
    </row>
    <row r="410" s="106" customFormat="1" ht="16.5" spans="2:26">
      <c r="B410" s="117">
        <v>381</v>
      </c>
      <c r="C410" s="130">
        <f t="shared" si="138"/>
        <v>38100</v>
      </c>
      <c r="D410" s="131">
        <f ca="1" t="shared" si="117"/>
        <v>51</v>
      </c>
      <c r="E410" s="131">
        <f ca="1" t="shared" si="118"/>
        <v>51</v>
      </c>
      <c r="F410" s="131">
        <f ca="1" t="shared" si="119"/>
        <v>51</v>
      </c>
      <c r="G410" s="131">
        <f ca="1" t="shared" si="120"/>
        <v>43</v>
      </c>
      <c r="H410" s="131">
        <f ca="1" t="shared" si="121"/>
        <v>43</v>
      </c>
      <c r="I410" s="131">
        <f ca="1" t="shared" si="122"/>
        <v>43</v>
      </c>
      <c r="J410" s="131">
        <f ca="1" t="shared" si="123"/>
        <v>43</v>
      </c>
      <c r="K410" s="131">
        <f ca="1" t="shared" si="124"/>
        <v>43</v>
      </c>
      <c r="L410" s="131">
        <f ca="1" t="shared" si="125"/>
        <v>43</v>
      </c>
      <c r="M410" s="131">
        <f ca="1" t="shared" si="126"/>
        <v>38</v>
      </c>
      <c r="N410" s="131">
        <f ca="1" t="shared" si="127"/>
        <v>38</v>
      </c>
      <c r="O410" s="131">
        <f ca="1" t="shared" si="128"/>
        <v>38</v>
      </c>
      <c r="P410" s="131">
        <f ca="1" t="shared" si="129"/>
        <v>38</v>
      </c>
      <c r="Q410" s="131">
        <f ca="1" t="shared" si="130"/>
        <v>39</v>
      </c>
      <c r="R410" s="131">
        <f ca="1" t="shared" si="131"/>
        <v>38</v>
      </c>
      <c r="S410" s="131">
        <f ca="1" t="shared" si="132"/>
        <v>41</v>
      </c>
      <c r="T410" s="131">
        <f ca="1" t="shared" si="133"/>
        <v>43</v>
      </c>
      <c r="U410" s="131">
        <f ca="1" t="shared" si="134"/>
        <v>43</v>
      </c>
      <c r="V410" s="131">
        <f ca="1" t="shared" si="135"/>
        <v>44</v>
      </c>
      <c r="W410" s="124">
        <f ca="1">OFFSET($K$19,_xlfn.XLOOKUP(X410,$D$9:$D$28,$H$9:$H$28),MATCH(OFFSET($C$29,B410,MATCH(X410,$D$29:$V$29,0)),$L$19:$R$19,1))*(1+(OFFSET($C$29,B410,MATCH(X410,$D$29:$V$29,0))-1)*_xlfn.XLOOKUP(X410,梦灵养成!$D$9:$D$28,梦灵养成!$G$9:$G$28))</f>
        <v>57.876</v>
      </c>
      <c r="X410" s="106" t="str">
        <f ca="1" t="shared" si="116"/>
        <v>神算诸葛</v>
      </c>
      <c r="Y410" s="95">
        <f ca="1" t="shared" si="136"/>
        <v>201600</v>
      </c>
      <c r="Z410" s="96">
        <f ca="1" t="shared" si="137"/>
        <v>5.3</v>
      </c>
    </row>
    <row r="411" s="106" customFormat="1" ht="16.5" spans="2:26">
      <c r="B411" s="117">
        <v>382</v>
      </c>
      <c r="C411" s="130">
        <f t="shared" si="138"/>
        <v>38200</v>
      </c>
      <c r="D411" s="131">
        <f ca="1" t="shared" si="117"/>
        <v>51</v>
      </c>
      <c r="E411" s="131">
        <f ca="1" t="shared" si="118"/>
        <v>51</v>
      </c>
      <c r="F411" s="131">
        <f ca="1" t="shared" si="119"/>
        <v>51</v>
      </c>
      <c r="G411" s="131">
        <f ca="1" t="shared" si="120"/>
        <v>43</v>
      </c>
      <c r="H411" s="131">
        <f ca="1" t="shared" si="121"/>
        <v>43</v>
      </c>
      <c r="I411" s="131">
        <f ca="1" t="shared" si="122"/>
        <v>43</v>
      </c>
      <c r="J411" s="131">
        <f ca="1" t="shared" si="123"/>
        <v>43</v>
      </c>
      <c r="K411" s="131">
        <f ca="1" t="shared" si="124"/>
        <v>43</v>
      </c>
      <c r="L411" s="131">
        <f ca="1" t="shared" si="125"/>
        <v>43</v>
      </c>
      <c r="M411" s="131">
        <f ca="1" t="shared" si="126"/>
        <v>38</v>
      </c>
      <c r="N411" s="131">
        <f ca="1" t="shared" si="127"/>
        <v>38</v>
      </c>
      <c r="O411" s="131">
        <f ca="1" t="shared" si="128"/>
        <v>39</v>
      </c>
      <c r="P411" s="131">
        <f ca="1" t="shared" si="129"/>
        <v>38</v>
      </c>
      <c r="Q411" s="131">
        <f ca="1" t="shared" si="130"/>
        <v>39</v>
      </c>
      <c r="R411" s="131">
        <f ca="1" t="shared" si="131"/>
        <v>38</v>
      </c>
      <c r="S411" s="131">
        <f ca="1" t="shared" si="132"/>
        <v>41</v>
      </c>
      <c r="T411" s="131">
        <f ca="1" t="shared" si="133"/>
        <v>43</v>
      </c>
      <c r="U411" s="131">
        <f ca="1" t="shared" si="134"/>
        <v>43</v>
      </c>
      <c r="V411" s="131">
        <f ca="1" t="shared" si="135"/>
        <v>44</v>
      </c>
      <c r="W411" s="124">
        <f ca="1">OFFSET($K$19,_xlfn.XLOOKUP(X411,$D$9:$D$28,$H$9:$H$28),MATCH(OFFSET($C$29,B411,MATCH(X411,$D$29:$V$29,0)),$L$19:$R$19,1))*(1+(OFFSET($C$29,B411,MATCH(X411,$D$29:$V$29,0))-1)*_xlfn.XLOOKUP(X411,梦灵养成!$D$9:$D$28,梦灵养成!$G$9:$G$28))</f>
        <v>57.876</v>
      </c>
      <c r="X411" s="106" t="str">
        <f ca="1" t="shared" si="116"/>
        <v>神算诸葛</v>
      </c>
      <c r="Y411" s="95">
        <f ca="1" t="shared" si="136"/>
        <v>199800</v>
      </c>
      <c r="Z411" s="96">
        <f ca="1" t="shared" si="137"/>
        <v>5.3</v>
      </c>
    </row>
    <row r="412" s="106" customFormat="1" ht="16.5" spans="2:26">
      <c r="B412" s="117">
        <v>383</v>
      </c>
      <c r="C412" s="130">
        <f t="shared" si="138"/>
        <v>38300</v>
      </c>
      <c r="D412" s="131">
        <f ca="1" t="shared" si="117"/>
        <v>51</v>
      </c>
      <c r="E412" s="131">
        <f ca="1" t="shared" si="118"/>
        <v>51</v>
      </c>
      <c r="F412" s="131">
        <f ca="1" t="shared" si="119"/>
        <v>51</v>
      </c>
      <c r="G412" s="131">
        <f ca="1" t="shared" si="120"/>
        <v>43</v>
      </c>
      <c r="H412" s="131">
        <f ca="1" t="shared" si="121"/>
        <v>43</v>
      </c>
      <c r="I412" s="131">
        <f ca="1" t="shared" si="122"/>
        <v>43</v>
      </c>
      <c r="J412" s="131">
        <f ca="1" t="shared" si="123"/>
        <v>43</v>
      </c>
      <c r="K412" s="131">
        <f ca="1" t="shared" si="124"/>
        <v>43</v>
      </c>
      <c r="L412" s="131">
        <f ca="1" t="shared" si="125"/>
        <v>43</v>
      </c>
      <c r="M412" s="131">
        <f ca="1" t="shared" si="126"/>
        <v>38</v>
      </c>
      <c r="N412" s="131">
        <f ca="1" t="shared" si="127"/>
        <v>38</v>
      </c>
      <c r="O412" s="131">
        <f ca="1" t="shared" si="128"/>
        <v>39</v>
      </c>
      <c r="P412" s="131">
        <f ca="1" t="shared" si="129"/>
        <v>38</v>
      </c>
      <c r="Q412" s="131">
        <f ca="1" t="shared" si="130"/>
        <v>39</v>
      </c>
      <c r="R412" s="131">
        <f ca="1" t="shared" si="131"/>
        <v>38</v>
      </c>
      <c r="S412" s="131">
        <f ca="1" t="shared" si="132"/>
        <v>41</v>
      </c>
      <c r="T412" s="131">
        <f ca="1" t="shared" si="133"/>
        <v>43</v>
      </c>
      <c r="U412" s="131">
        <f ca="1" t="shared" si="134"/>
        <v>43</v>
      </c>
      <c r="V412" s="131">
        <f ca="1" t="shared" si="135"/>
        <v>44</v>
      </c>
      <c r="W412" s="124">
        <f ca="1">OFFSET($K$19,_xlfn.XLOOKUP(X412,$D$9:$D$28,$H$9:$H$28),MATCH(OFFSET($C$29,B412,MATCH(X412,$D$29:$V$29,0)),$L$19:$R$19,1))*(1+(OFFSET($C$29,B412,MATCH(X412,$D$29:$V$29,0))-1)*_xlfn.XLOOKUP(X412,梦灵养成!$D$9:$D$28,梦灵养成!$G$9:$G$28))</f>
        <v>57.876</v>
      </c>
      <c r="X412" s="106" t="str">
        <f ca="1" t="shared" si="116"/>
        <v>神算诸葛</v>
      </c>
      <c r="Y412" s="95">
        <f ca="1" t="shared" si="136"/>
        <v>198000</v>
      </c>
      <c r="Z412" s="96">
        <f ca="1" t="shared" si="137"/>
        <v>5.3</v>
      </c>
    </row>
    <row r="413" s="106" customFormat="1" ht="16.5" spans="2:26">
      <c r="B413" s="117">
        <v>384</v>
      </c>
      <c r="C413" s="130">
        <f t="shared" si="138"/>
        <v>38400</v>
      </c>
      <c r="D413" s="131">
        <f ca="1" t="shared" si="117"/>
        <v>51</v>
      </c>
      <c r="E413" s="131">
        <f ca="1" t="shared" si="118"/>
        <v>51</v>
      </c>
      <c r="F413" s="131">
        <f ca="1" t="shared" si="119"/>
        <v>51</v>
      </c>
      <c r="G413" s="131">
        <f ca="1" t="shared" si="120"/>
        <v>43</v>
      </c>
      <c r="H413" s="131">
        <f ca="1" t="shared" si="121"/>
        <v>43</v>
      </c>
      <c r="I413" s="131">
        <f ca="1" t="shared" si="122"/>
        <v>43</v>
      </c>
      <c r="J413" s="131">
        <f ca="1" t="shared" si="123"/>
        <v>43</v>
      </c>
      <c r="K413" s="131">
        <f ca="1" t="shared" si="124"/>
        <v>43</v>
      </c>
      <c r="L413" s="131">
        <f ca="1" t="shared" si="125"/>
        <v>43</v>
      </c>
      <c r="M413" s="131">
        <f ca="1" t="shared" si="126"/>
        <v>38</v>
      </c>
      <c r="N413" s="131">
        <f ca="1" t="shared" si="127"/>
        <v>38</v>
      </c>
      <c r="O413" s="131">
        <f ca="1" t="shared" si="128"/>
        <v>39</v>
      </c>
      <c r="P413" s="131">
        <f ca="1" t="shared" si="129"/>
        <v>38</v>
      </c>
      <c r="Q413" s="131">
        <f ca="1" t="shared" si="130"/>
        <v>39</v>
      </c>
      <c r="R413" s="131">
        <f ca="1" t="shared" si="131"/>
        <v>38</v>
      </c>
      <c r="S413" s="131">
        <f ca="1" t="shared" si="132"/>
        <v>41</v>
      </c>
      <c r="T413" s="131">
        <f ca="1" t="shared" si="133"/>
        <v>43</v>
      </c>
      <c r="U413" s="131">
        <f ca="1" t="shared" si="134"/>
        <v>43</v>
      </c>
      <c r="V413" s="131">
        <f ca="1" t="shared" si="135"/>
        <v>44</v>
      </c>
      <c r="W413" s="124">
        <f ca="1">OFFSET($K$19,_xlfn.XLOOKUP(X413,$D$9:$D$28,$H$9:$H$28),MATCH(OFFSET($C$29,B413,MATCH(X413,$D$29:$V$29,0)),$L$19:$R$19,1))*(1+(OFFSET($C$29,B413,MATCH(X413,$D$29:$V$29,0))-1)*_xlfn.XLOOKUP(X413,梦灵养成!$D$9:$D$28,梦灵养成!$G$9:$G$28))</f>
        <v>57.876</v>
      </c>
      <c r="X413" s="106" t="str">
        <f ca="1" t="shared" si="116"/>
        <v>神算诸葛</v>
      </c>
      <c r="Y413" s="95">
        <f ca="1" t="shared" si="136"/>
        <v>196200</v>
      </c>
      <c r="Z413" s="96">
        <f ca="1" t="shared" si="137"/>
        <v>5.3</v>
      </c>
    </row>
    <row r="414" s="106" customFormat="1" ht="16.5" spans="2:26">
      <c r="B414" s="117">
        <v>385</v>
      </c>
      <c r="C414" s="130">
        <f t="shared" si="138"/>
        <v>38500</v>
      </c>
      <c r="D414" s="131">
        <f ca="1" t="shared" si="117"/>
        <v>51</v>
      </c>
      <c r="E414" s="131">
        <f ca="1" t="shared" si="118"/>
        <v>51</v>
      </c>
      <c r="F414" s="131">
        <f ca="1" t="shared" si="119"/>
        <v>51</v>
      </c>
      <c r="G414" s="131">
        <f ca="1" t="shared" si="120"/>
        <v>43</v>
      </c>
      <c r="H414" s="131">
        <f ca="1" t="shared" si="121"/>
        <v>43</v>
      </c>
      <c r="I414" s="131">
        <f ca="1" t="shared" si="122"/>
        <v>43</v>
      </c>
      <c r="J414" s="131">
        <f ca="1" t="shared" si="123"/>
        <v>43</v>
      </c>
      <c r="K414" s="131">
        <f ca="1" t="shared" si="124"/>
        <v>43</v>
      </c>
      <c r="L414" s="131">
        <f ca="1" t="shared" si="125"/>
        <v>43</v>
      </c>
      <c r="M414" s="131">
        <f ca="1" t="shared" si="126"/>
        <v>38</v>
      </c>
      <c r="N414" s="131">
        <f ca="1" t="shared" si="127"/>
        <v>39</v>
      </c>
      <c r="O414" s="131">
        <f ca="1" t="shared" si="128"/>
        <v>39</v>
      </c>
      <c r="P414" s="131">
        <f ca="1" t="shared" si="129"/>
        <v>38</v>
      </c>
      <c r="Q414" s="131">
        <f ca="1" t="shared" si="130"/>
        <v>39</v>
      </c>
      <c r="R414" s="131">
        <f ca="1" t="shared" si="131"/>
        <v>38</v>
      </c>
      <c r="S414" s="131">
        <f ca="1" t="shared" si="132"/>
        <v>41</v>
      </c>
      <c r="T414" s="131">
        <f ca="1" t="shared" si="133"/>
        <v>43</v>
      </c>
      <c r="U414" s="131">
        <f ca="1" t="shared" si="134"/>
        <v>43</v>
      </c>
      <c r="V414" s="131">
        <f ca="1" t="shared" si="135"/>
        <v>44</v>
      </c>
      <c r="W414" s="124">
        <f ca="1">OFFSET($K$19,_xlfn.XLOOKUP(X414,$D$9:$D$28,$H$9:$H$28),MATCH(OFFSET($C$29,B414,MATCH(X414,$D$29:$V$29,0)),$L$19:$R$19,1))*(1+(OFFSET($C$29,B414,MATCH(X414,$D$29:$V$29,0))-1)*_xlfn.XLOOKUP(X414,梦灵养成!$D$9:$D$28,梦灵养成!$G$9:$G$28))</f>
        <v>57.876</v>
      </c>
      <c r="X414" s="106" t="str">
        <f ca="1" t="shared" ref="X414:X477" si="139">OFFSET($I$8,MATCH(C414,$C$9:$C$27,1),0)</f>
        <v>神算诸葛</v>
      </c>
      <c r="Y414" s="95">
        <f ca="1" t="shared" si="136"/>
        <v>194400</v>
      </c>
      <c r="Z414" s="96">
        <f ca="1" t="shared" si="137"/>
        <v>5.3</v>
      </c>
    </row>
    <row r="415" s="106" customFormat="1" ht="16.5" spans="2:26">
      <c r="B415" s="117">
        <v>386</v>
      </c>
      <c r="C415" s="130">
        <f t="shared" si="138"/>
        <v>38600</v>
      </c>
      <c r="D415" s="131">
        <f ca="1" t="shared" ref="D415:D478" si="140">IFERROR(MATCH(D1020*10,OFFSET($AP$635:$AP$734,0,D$631),1),0)</f>
        <v>52</v>
      </c>
      <c r="E415" s="131">
        <f ca="1" t="shared" ref="E415:E478" si="141">IFERROR(MATCH(E1020*10,OFFSET($AP$635:$AP$734,0,E$631),1),0)</f>
        <v>52</v>
      </c>
      <c r="F415" s="131">
        <f ca="1" t="shared" ref="F415:F478" si="142">IFERROR(MATCH(F1020*10,OFFSET($AP$635:$AP$734,0,F$631),1),0)</f>
        <v>52</v>
      </c>
      <c r="G415" s="131">
        <f ca="1" t="shared" ref="G415:G478" si="143">IFERROR(MATCH(G1020*10,OFFSET($AP$635:$AP$734,0,G$631),1),0)</f>
        <v>43</v>
      </c>
      <c r="H415" s="131">
        <f ca="1" t="shared" ref="H415:H478" si="144">IFERROR(MATCH(H1020*10,OFFSET($AP$635:$AP$734,0,H$631),1),0)</f>
        <v>43</v>
      </c>
      <c r="I415" s="131">
        <f ca="1" t="shared" ref="I415:I478" si="145">IFERROR(MATCH(I1020*10,OFFSET($AP$635:$AP$734,0,I$631),1),0)</f>
        <v>43</v>
      </c>
      <c r="J415" s="131">
        <f ca="1" t="shared" ref="J415:J478" si="146">IFERROR(MATCH(J1020*10,OFFSET($AP$635:$AP$734,0,J$631),1),0)</f>
        <v>43</v>
      </c>
      <c r="K415" s="131">
        <f ca="1" t="shared" ref="K415:K478" si="147">IFERROR(MATCH(K1020*10,OFFSET($AP$635:$AP$734,0,K$631),1),0)</f>
        <v>43</v>
      </c>
      <c r="L415" s="131">
        <f ca="1" t="shared" ref="L415:L478" si="148">IFERROR(MATCH(L1020*10,OFFSET($AP$635:$AP$734,0,L$631),1),0)</f>
        <v>43</v>
      </c>
      <c r="M415" s="131">
        <f ca="1" t="shared" ref="M415:M478" si="149">IFERROR(MATCH(M1020*10,OFFSET($AP$635:$AP$734,0,M$631),1),0)</f>
        <v>39</v>
      </c>
      <c r="N415" s="131">
        <f ca="1" t="shared" ref="N415:N478" si="150">IFERROR(MATCH(N1020*10,OFFSET($AP$635:$AP$734,0,N$631),1),0)</f>
        <v>39</v>
      </c>
      <c r="O415" s="131">
        <f ca="1" t="shared" ref="O415:O478" si="151">IFERROR(MATCH(O1020*10,OFFSET($AP$635:$AP$734,0,O$631),1),0)</f>
        <v>39</v>
      </c>
      <c r="P415" s="131">
        <f ca="1" t="shared" ref="P415:P478" si="152">IFERROR(MATCH(P1020*10,OFFSET($AP$635:$AP$734,0,P$631),1),0)</f>
        <v>38</v>
      </c>
      <c r="Q415" s="131">
        <f ca="1" t="shared" ref="Q415:Q478" si="153">IFERROR(MATCH(Q1020*10,OFFSET($AP$635:$AP$734,0,Q$631),1),0)</f>
        <v>39</v>
      </c>
      <c r="R415" s="131">
        <f ca="1" t="shared" ref="R415:R478" si="154">IFERROR(MATCH(R1020*10,OFFSET($AP$635:$AP$734,0,R$631),1),0)</f>
        <v>39</v>
      </c>
      <c r="S415" s="131">
        <f ca="1" t="shared" ref="S415:S478" si="155">IFERROR(MATCH(S1020*10,OFFSET($AP$635:$AP$734,0,S$631),1),0)</f>
        <v>41</v>
      </c>
      <c r="T415" s="131">
        <f ca="1" t="shared" ref="T415:T478" si="156">IFERROR(MATCH(T1020*10,OFFSET($AP$635:$AP$734,0,T$631),1),0)</f>
        <v>43</v>
      </c>
      <c r="U415" s="131">
        <f ca="1" t="shared" ref="U415:U478" si="157">IFERROR(MATCH(U1020*10,OFFSET($AP$635:$AP$734,0,U$631),1),0)</f>
        <v>43</v>
      </c>
      <c r="V415" s="131">
        <f ca="1" t="shared" ref="V415:V478" si="158">IFERROR(MATCH(V1020*10,OFFSET($AP$635:$AP$734,0,V$631),1),0)</f>
        <v>44</v>
      </c>
      <c r="W415" s="124">
        <f ca="1">OFFSET($K$19,_xlfn.XLOOKUP(X415,$D$9:$D$28,$H$9:$H$28),MATCH(OFFSET($C$29,B415,MATCH(X415,$D$29:$V$29,0)),$L$19:$R$19,1))*(1+(OFFSET($C$29,B415,MATCH(X415,$D$29:$V$29,0))-1)*_xlfn.XLOOKUP(X415,梦灵养成!$D$9:$D$28,梦灵养成!$G$9:$G$28))</f>
        <v>57.876</v>
      </c>
      <c r="X415" s="106" t="str">
        <f ca="1" t="shared" si="139"/>
        <v>神算诸葛</v>
      </c>
      <c r="Y415" s="95">
        <f ca="1" t="shared" ref="Y415:Y478" si="159">MAX((OFFSET($C$29,MATCH(W415*1.07,$W$30:$W$629,1)+1,0)-C415)*18,0)</f>
        <v>192600</v>
      </c>
      <c r="Z415" s="96">
        <f ca="1" t="shared" ref="Z415:Z478" si="160">_xlfn.XLOOKUP(X415,$D$9:$D$27,$G$9:$G$27)*(OFFSET($B415,0,MATCH($X415,$D$29:$V$29,0)+1)-1)+1</f>
        <v>5.3</v>
      </c>
    </row>
    <row r="416" s="106" customFormat="1" ht="16.5" spans="2:26">
      <c r="B416" s="117">
        <v>387</v>
      </c>
      <c r="C416" s="130">
        <f t="shared" ref="C416:C479" si="161">C415+100</f>
        <v>38700</v>
      </c>
      <c r="D416" s="131">
        <f ca="1" t="shared" si="140"/>
        <v>52</v>
      </c>
      <c r="E416" s="131">
        <f ca="1" t="shared" si="141"/>
        <v>52</v>
      </c>
      <c r="F416" s="131">
        <f ca="1" t="shared" si="142"/>
        <v>52</v>
      </c>
      <c r="G416" s="131">
        <f ca="1" t="shared" si="143"/>
        <v>43</v>
      </c>
      <c r="H416" s="131">
        <f ca="1" t="shared" si="144"/>
        <v>43</v>
      </c>
      <c r="I416" s="131">
        <f ca="1" t="shared" si="145"/>
        <v>43</v>
      </c>
      <c r="J416" s="131">
        <f ca="1" t="shared" si="146"/>
        <v>43</v>
      </c>
      <c r="K416" s="131">
        <f ca="1" t="shared" si="147"/>
        <v>43</v>
      </c>
      <c r="L416" s="131">
        <f ca="1" t="shared" si="148"/>
        <v>43</v>
      </c>
      <c r="M416" s="131">
        <f ca="1" t="shared" si="149"/>
        <v>39</v>
      </c>
      <c r="N416" s="131">
        <f ca="1" t="shared" si="150"/>
        <v>39</v>
      </c>
      <c r="O416" s="131">
        <f ca="1" t="shared" si="151"/>
        <v>39</v>
      </c>
      <c r="P416" s="131">
        <f ca="1" t="shared" si="152"/>
        <v>38</v>
      </c>
      <c r="Q416" s="131">
        <f ca="1" t="shared" si="153"/>
        <v>39</v>
      </c>
      <c r="R416" s="131">
        <f ca="1" t="shared" si="154"/>
        <v>39</v>
      </c>
      <c r="S416" s="131">
        <f ca="1" t="shared" si="155"/>
        <v>41</v>
      </c>
      <c r="T416" s="131">
        <f ca="1" t="shared" si="156"/>
        <v>43</v>
      </c>
      <c r="U416" s="131">
        <f ca="1" t="shared" si="157"/>
        <v>44</v>
      </c>
      <c r="V416" s="131">
        <f ca="1" t="shared" si="158"/>
        <v>44</v>
      </c>
      <c r="W416" s="124">
        <f ca="1">OFFSET($K$19,_xlfn.XLOOKUP(X416,$D$9:$D$28,$H$9:$H$28),MATCH(OFFSET($C$29,B416,MATCH(X416,$D$29:$V$29,0)),$L$19:$R$19,1))*(1+(OFFSET($C$29,B416,MATCH(X416,$D$29:$V$29,0))-1)*_xlfn.XLOOKUP(X416,梦灵养成!$D$9:$D$28,梦灵养成!$G$9:$G$28))</f>
        <v>57.876</v>
      </c>
      <c r="X416" s="106" t="str">
        <f ca="1" t="shared" si="139"/>
        <v>神算诸葛</v>
      </c>
      <c r="Y416" s="95">
        <f ca="1" t="shared" si="159"/>
        <v>190800</v>
      </c>
      <c r="Z416" s="96">
        <f ca="1" t="shared" si="160"/>
        <v>5.3</v>
      </c>
    </row>
    <row r="417" s="106" customFormat="1" ht="16.5" spans="2:26">
      <c r="B417" s="117">
        <v>388</v>
      </c>
      <c r="C417" s="130">
        <f t="shared" si="161"/>
        <v>38800</v>
      </c>
      <c r="D417" s="131">
        <f ca="1" t="shared" si="140"/>
        <v>52</v>
      </c>
      <c r="E417" s="131">
        <f ca="1" t="shared" si="141"/>
        <v>52</v>
      </c>
      <c r="F417" s="131">
        <f ca="1" t="shared" si="142"/>
        <v>52</v>
      </c>
      <c r="G417" s="131">
        <f ca="1" t="shared" si="143"/>
        <v>43</v>
      </c>
      <c r="H417" s="131">
        <f ca="1" t="shared" si="144"/>
        <v>43</v>
      </c>
      <c r="I417" s="131">
        <f ca="1" t="shared" si="145"/>
        <v>43</v>
      </c>
      <c r="J417" s="131">
        <f ca="1" t="shared" si="146"/>
        <v>43</v>
      </c>
      <c r="K417" s="131">
        <f ca="1" t="shared" si="147"/>
        <v>43</v>
      </c>
      <c r="L417" s="131">
        <f ca="1" t="shared" si="148"/>
        <v>43</v>
      </c>
      <c r="M417" s="131">
        <f ca="1" t="shared" si="149"/>
        <v>39</v>
      </c>
      <c r="N417" s="131">
        <f ca="1" t="shared" si="150"/>
        <v>39</v>
      </c>
      <c r="O417" s="131">
        <f ca="1" t="shared" si="151"/>
        <v>39</v>
      </c>
      <c r="P417" s="131">
        <f ca="1" t="shared" si="152"/>
        <v>38</v>
      </c>
      <c r="Q417" s="131">
        <f ca="1" t="shared" si="153"/>
        <v>39</v>
      </c>
      <c r="R417" s="131">
        <f ca="1" t="shared" si="154"/>
        <v>39</v>
      </c>
      <c r="S417" s="131">
        <f ca="1" t="shared" si="155"/>
        <v>41</v>
      </c>
      <c r="T417" s="131">
        <f ca="1" t="shared" si="156"/>
        <v>43</v>
      </c>
      <c r="U417" s="131">
        <f ca="1" t="shared" si="157"/>
        <v>44</v>
      </c>
      <c r="V417" s="131">
        <f ca="1" t="shared" si="158"/>
        <v>44</v>
      </c>
      <c r="W417" s="124">
        <f ca="1">OFFSET($K$19,_xlfn.XLOOKUP(X417,$D$9:$D$28,$H$9:$H$28),MATCH(OFFSET($C$29,B417,MATCH(X417,$D$29:$V$29,0)),$L$19:$R$19,1))*(1+(OFFSET($C$29,B417,MATCH(X417,$D$29:$V$29,0))-1)*_xlfn.XLOOKUP(X417,梦灵养成!$D$9:$D$28,梦灵养成!$G$9:$G$28))</f>
        <v>57.876</v>
      </c>
      <c r="X417" s="106" t="str">
        <f ca="1" t="shared" si="139"/>
        <v>神算诸葛</v>
      </c>
      <c r="Y417" s="95">
        <f ca="1" t="shared" si="159"/>
        <v>189000</v>
      </c>
      <c r="Z417" s="96">
        <f ca="1" t="shared" si="160"/>
        <v>5.3</v>
      </c>
    </row>
    <row r="418" s="106" customFormat="1" ht="16.5" spans="2:26">
      <c r="B418" s="117">
        <v>389</v>
      </c>
      <c r="C418" s="130">
        <f t="shared" si="161"/>
        <v>38900</v>
      </c>
      <c r="D418" s="131">
        <f ca="1" t="shared" si="140"/>
        <v>52</v>
      </c>
      <c r="E418" s="131">
        <f ca="1" t="shared" si="141"/>
        <v>52</v>
      </c>
      <c r="F418" s="131">
        <f ca="1" t="shared" si="142"/>
        <v>52</v>
      </c>
      <c r="G418" s="131">
        <f ca="1" t="shared" si="143"/>
        <v>43</v>
      </c>
      <c r="H418" s="131">
        <f ca="1" t="shared" si="144"/>
        <v>43</v>
      </c>
      <c r="I418" s="131">
        <f ca="1" t="shared" si="145"/>
        <v>43</v>
      </c>
      <c r="J418" s="131">
        <f ca="1" t="shared" si="146"/>
        <v>43</v>
      </c>
      <c r="K418" s="131">
        <f ca="1" t="shared" si="147"/>
        <v>43</v>
      </c>
      <c r="L418" s="131">
        <f ca="1" t="shared" si="148"/>
        <v>43</v>
      </c>
      <c r="M418" s="131">
        <f ca="1" t="shared" si="149"/>
        <v>39</v>
      </c>
      <c r="N418" s="131">
        <f ca="1" t="shared" si="150"/>
        <v>39</v>
      </c>
      <c r="O418" s="131">
        <f ca="1" t="shared" si="151"/>
        <v>39</v>
      </c>
      <c r="P418" s="131">
        <f ca="1" t="shared" si="152"/>
        <v>38</v>
      </c>
      <c r="Q418" s="131">
        <f ca="1" t="shared" si="153"/>
        <v>39</v>
      </c>
      <c r="R418" s="131">
        <f ca="1" t="shared" si="154"/>
        <v>39</v>
      </c>
      <c r="S418" s="131">
        <f ca="1" t="shared" si="155"/>
        <v>41</v>
      </c>
      <c r="T418" s="131">
        <f ca="1" t="shared" si="156"/>
        <v>43</v>
      </c>
      <c r="U418" s="131">
        <f ca="1" t="shared" si="157"/>
        <v>44</v>
      </c>
      <c r="V418" s="131">
        <f ca="1" t="shared" si="158"/>
        <v>44</v>
      </c>
      <c r="W418" s="124">
        <f ca="1">OFFSET($K$19,_xlfn.XLOOKUP(X418,$D$9:$D$28,$H$9:$H$28),MATCH(OFFSET($C$29,B418,MATCH(X418,$D$29:$V$29,0)),$L$19:$R$19,1))*(1+(OFFSET($C$29,B418,MATCH(X418,$D$29:$V$29,0))-1)*_xlfn.XLOOKUP(X418,梦灵养成!$D$9:$D$28,梦灵养成!$G$9:$G$28))</f>
        <v>57.876</v>
      </c>
      <c r="X418" s="106" t="str">
        <f ca="1" t="shared" si="139"/>
        <v>神算诸葛</v>
      </c>
      <c r="Y418" s="95">
        <f ca="1" t="shared" si="159"/>
        <v>187200</v>
      </c>
      <c r="Z418" s="96">
        <f ca="1" t="shared" si="160"/>
        <v>5.3</v>
      </c>
    </row>
    <row r="419" s="106" customFormat="1" ht="16.5" spans="2:26">
      <c r="B419" s="117">
        <v>390</v>
      </c>
      <c r="C419" s="130">
        <f t="shared" si="161"/>
        <v>39000</v>
      </c>
      <c r="D419" s="131">
        <f ca="1" t="shared" si="140"/>
        <v>52</v>
      </c>
      <c r="E419" s="131">
        <f ca="1" t="shared" si="141"/>
        <v>52</v>
      </c>
      <c r="F419" s="131">
        <f ca="1" t="shared" si="142"/>
        <v>52</v>
      </c>
      <c r="G419" s="131">
        <f ca="1" t="shared" si="143"/>
        <v>43</v>
      </c>
      <c r="H419" s="131">
        <f ca="1" t="shared" si="144"/>
        <v>43</v>
      </c>
      <c r="I419" s="131">
        <f ca="1" t="shared" si="145"/>
        <v>43</v>
      </c>
      <c r="J419" s="131">
        <f ca="1" t="shared" si="146"/>
        <v>43</v>
      </c>
      <c r="K419" s="131">
        <f ca="1" t="shared" si="147"/>
        <v>43</v>
      </c>
      <c r="L419" s="131">
        <f ca="1" t="shared" si="148"/>
        <v>43</v>
      </c>
      <c r="M419" s="131">
        <f ca="1" t="shared" si="149"/>
        <v>39</v>
      </c>
      <c r="N419" s="131">
        <f ca="1" t="shared" si="150"/>
        <v>39</v>
      </c>
      <c r="O419" s="131">
        <f ca="1" t="shared" si="151"/>
        <v>39</v>
      </c>
      <c r="P419" s="131">
        <f ca="1" t="shared" si="152"/>
        <v>39</v>
      </c>
      <c r="Q419" s="131">
        <f ca="1" t="shared" si="153"/>
        <v>39</v>
      </c>
      <c r="R419" s="131">
        <f ca="1" t="shared" si="154"/>
        <v>39</v>
      </c>
      <c r="S419" s="131">
        <f ca="1" t="shared" si="155"/>
        <v>41</v>
      </c>
      <c r="T419" s="131">
        <f ca="1" t="shared" si="156"/>
        <v>43</v>
      </c>
      <c r="U419" s="131">
        <f ca="1" t="shared" si="157"/>
        <v>44</v>
      </c>
      <c r="V419" s="131">
        <f ca="1" t="shared" si="158"/>
        <v>44</v>
      </c>
      <c r="W419" s="124">
        <f ca="1">OFFSET($K$19,_xlfn.XLOOKUP(X419,$D$9:$D$28,$H$9:$H$28),MATCH(OFFSET($C$29,B419,MATCH(X419,$D$29:$V$29,0)),$L$19:$R$19,1))*(1+(OFFSET($C$29,B419,MATCH(X419,$D$29:$V$29,0))-1)*_xlfn.XLOOKUP(X419,梦灵养成!$D$9:$D$28,梦灵养成!$G$9:$G$28))</f>
        <v>57.876</v>
      </c>
      <c r="X419" s="106" t="str">
        <f ca="1" t="shared" si="139"/>
        <v>神算诸葛</v>
      </c>
      <c r="Y419" s="95">
        <f ca="1" t="shared" si="159"/>
        <v>185400</v>
      </c>
      <c r="Z419" s="96">
        <f ca="1" t="shared" si="160"/>
        <v>5.3</v>
      </c>
    </row>
    <row r="420" s="106" customFormat="1" ht="16.5" spans="2:26">
      <c r="B420" s="117">
        <v>391</v>
      </c>
      <c r="C420" s="130">
        <f t="shared" si="161"/>
        <v>39100</v>
      </c>
      <c r="D420" s="131">
        <f ca="1" t="shared" si="140"/>
        <v>52</v>
      </c>
      <c r="E420" s="131">
        <f ca="1" t="shared" si="141"/>
        <v>52</v>
      </c>
      <c r="F420" s="131">
        <f ca="1" t="shared" si="142"/>
        <v>52</v>
      </c>
      <c r="G420" s="131">
        <f ca="1" t="shared" si="143"/>
        <v>43</v>
      </c>
      <c r="H420" s="131">
        <f ca="1" t="shared" si="144"/>
        <v>43</v>
      </c>
      <c r="I420" s="131">
        <f ca="1" t="shared" si="145"/>
        <v>43</v>
      </c>
      <c r="J420" s="131">
        <f ca="1" t="shared" si="146"/>
        <v>43</v>
      </c>
      <c r="K420" s="131">
        <f ca="1" t="shared" si="147"/>
        <v>43</v>
      </c>
      <c r="L420" s="131">
        <f ca="1" t="shared" si="148"/>
        <v>43</v>
      </c>
      <c r="M420" s="131">
        <f ca="1" t="shared" si="149"/>
        <v>39</v>
      </c>
      <c r="N420" s="131">
        <f ca="1" t="shared" si="150"/>
        <v>39</v>
      </c>
      <c r="O420" s="131">
        <f ca="1" t="shared" si="151"/>
        <v>39</v>
      </c>
      <c r="P420" s="131">
        <f ca="1" t="shared" si="152"/>
        <v>39</v>
      </c>
      <c r="Q420" s="131">
        <f ca="1" t="shared" si="153"/>
        <v>39</v>
      </c>
      <c r="R420" s="131">
        <f ca="1" t="shared" si="154"/>
        <v>39</v>
      </c>
      <c r="S420" s="131">
        <f ca="1" t="shared" si="155"/>
        <v>41</v>
      </c>
      <c r="T420" s="131">
        <f ca="1" t="shared" si="156"/>
        <v>43</v>
      </c>
      <c r="U420" s="131">
        <f ca="1" t="shared" si="157"/>
        <v>44</v>
      </c>
      <c r="V420" s="131">
        <f ca="1" t="shared" si="158"/>
        <v>45</v>
      </c>
      <c r="W420" s="124">
        <f ca="1">OFFSET($K$19,_xlfn.XLOOKUP(X420,$D$9:$D$28,$H$9:$H$28),MATCH(OFFSET($C$29,B420,MATCH(X420,$D$29:$V$29,0)),$L$19:$R$19,1))*(1+(OFFSET($C$29,B420,MATCH(X420,$D$29:$V$29,0))-1)*_xlfn.XLOOKUP(X420,梦灵养成!$D$9:$D$28,梦灵养成!$G$9:$G$28))</f>
        <v>58.968</v>
      </c>
      <c r="X420" s="106" t="str">
        <f ca="1" t="shared" si="139"/>
        <v>神算诸葛</v>
      </c>
      <c r="Y420" s="95">
        <f ca="1" t="shared" si="159"/>
        <v>246600</v>
      </c>
      <c r="Z420" s="96">
        <f ca="1" t="shared" si="160"/>
        <v>5.4</v>
      </c>
    </row>
    <row r="421" s="106" customFormat="1" ht="16.5" spans="2:26">
      <c r="B421" s="117">
        <v>392</v>
      </c>
      <c r="C421" s="130">
        <f t="shared" si="161"/>
        <v>39200</v>
      </c>
      <c r="D421" s="131">
        <f ca="1" t="shared" si="140"/>
        <v>52</v>
      </c>
      <c r="E421" s="131">
        <f ca="1" t="shared" si="141"/>
        <v>52</v>
      </c>
      <c r="F421" s="131">
        <f ca="1" t="shared" si="142"/>
        <v>52</v>
      </c>
      <c r="G421" s="131">
        <f ca="1" t="shared" si="143"/>
        <v>43</v>
      </c>
      <c r="H421" s="131">
        <f ca="1" t="shared" si="144"/>
        <v>43</v>
      </c>
      <c r="I421" s="131">
        <f ca="1" t="shared" si="145"/>
        <v>43</v>
      </c>
      <c r="J421" s="131">
        <f ca="1" t="shared" si="146"/>
        <v>43</v>
      </c>
      <c r="K421" s="131">
        <f ca="1" t="shared" si="147"/>
        <v>43</v>
      </c>
      <c r="L421" s="131">
        <f ca="1" t="shared" si="148"/>
        <v>43</v>
      </c>
      <c r="M421" s="131">
        <f ca="1" t="shared" si="149"/>
        <v>39</v>
      </c>
      <c r="N421" s="131">
        <f ca="1" t="shared" si="150"/>
        <v>39</v>
      </c>
      <c r="O421" s="131">
        <f ca="1" t="shared" si="151"/>
        <v>39</v>
      </c>
      <c r="P421" s="131">
        <f ca="1" t="shared" si="152"/>
        <v>39</v>
      </c>
      <c r="Q421" s="131">
        <f ca="1" t="shared" si="153"/>
        <v>39</v>
      </c>
      <c r="R421" s="131">
        <f ca="1" t="shared" si="154"/>
        <v>39</v>
      </c>
      <c r="S421" s="131">
        <f ca="1" t="shared" si="155"/>
        <v>41</v>
      </c>
      <c r="T421" s="131">
        <f ca="1" t="shared" si="156"/>
        <v>44</v>
      </c>
      <c r="U421" s="131">
        <f ca="1" t="shared" si="157"/>
        <v>44</v>
      </c>
      <c r="V421" s="131">
        <f ca="1" t="shared" si="158"/>
        <v>45</v>
      </c>
      <c r="W421" s="124">
        <f ca="1">OFFSET($K$19,_xlfn.XLOOKUP(X421,$D$9:$D$28,$H$9:$H$28),MATCH(OFFSET($C$29,B421,MATCH(X421,$D$29:$V$29,0)),$L$19:$R$19,1))*(1+(OFFSET($C$29,B421,MATCH(X421,$D$29:$V$29,0))-1)*_xlfn.XLOOKUP(X421,梦灵养成!$D$9:$D$28,梦灵养成!$G$9:$G$28))</f>
        <v>58.968</v>
      </c>
      <c r="X421" s="106" t="str">
        <f ca="1" t="shared" si="139"/>
        <v>神算诸葛</v>
      </c>
      <c r="Y421" s="95">
        <f ca="1" t="shared" si="159"/>
        <v>244800</v>
      </c>
      <c r="Z421" s="96">
        <f ca="1" t="shared" si="160"/>
        <v>5.4</v>
      </c>
    </row>
    <row r="422" s="106" customFormat="1" ht="16.5" spans="2:26">
      <c r="B422" s="117">
        <v>393</v>
      </c>
      <c r="C422" s="130">
        <f t="shared" si="161"/>
        <v>39300</v>
      </c>
      <c r="D422" s="131">
        <f ca="1" t="shared" si="140"/>
        <v>52</v>
      </c>
      <c r="E422" s="131">
        <f ca="1" t="shared" si="141"/>
        <v>52</v>
      </c>
      <c r="F422" s="131">
        <f ca="1" t="shared" si="142"/>
        <v>52</v>
      </c>
      <c r="G422" s="131">
        <f ca="1" t="shared" si="143"/>
        <v>43</v>
      </c>
      <c r="H422" s="131">
        <f ca="1" t="shared" si="144"/>
        <v>43</v>
      </c>
      <c r="I422" s="131">
        <f ca="1" t="shared" si="145"/>
        <v>43</v>
      </c>
      <c r="J422" s="131">
        <f ca="1" t="shared" si="146"/>
        <v>43</v>
      </c>
      <c r="K422" s="131">
        <f ca="1" t="shared" si="147"/>
        <v>43</v>
      </c>
      <c r="L422" s="131">
        <f ca="1" t="shared" si="148"/>
        <v>43</v>
      </c>
      <c r="M422" s="131">
        <f ca="1" t="shared" si="149"/>
        <v>39</v>
      </c>
      <c r="N422" s="131">
        <f ca="1" t="shared" si="150"/>
        <v>39</v>
      </c>
      <c r="O422" s="131">
        <f ca="1" t="shared" si="151"/>
        <v>39</v>
      </c>
      <c r="P422" s="131">
        <f ca="1" t="shared" si="152"/>
        <v>39</v>
      </c>
      <c r="Q422" s="131">
        <f ca="1" t="shared" si="153"/>
        <v>39</v>
      </c>
      <c r="R422" s="131">
        <f ca="1" t="shared" si="154"/>
        <v>39</v>
      </c>
      <c r="S422" s="131">
        <f ca="1" t="shared" si="155"/>
        <v>41</v>
      </c>
      <c r="T422" s="131">
        <f ca="1" t="shared" si="156"/>
        <v>44</v>
      </c>
      <c r="U422" s="131">
        <f ca="1" t="shared" si="157"/>
        <v>44</v>
      </c>
      <c r="V422" s="131">
        <f ca="1" t="shared" si="158"/>
        <v>45</v>
      </c>
      <c r="W422" s="124">
        <f ca="1">OFFSET($K$19,_xlfn.XLOOKUP(X422,$D$9:$D$28,$H$9:$H$28),MATCH(OFFSET($C$29,B422,MATCH(X422,$D$29:$V$29,0)),$L$19:$R$19,1))*(1+(OFFSET($C$29,B422,MATCH(X422,$D$29:$V$29,0))-1)*_xlfn.XLOOKUP(X422,梦灵养成!$D$9:$D$28,梦灵养成!$G$9:$G$28))</f>
        <v>58.968</v>
      </c>
      <c r="X422" s="106" t="str">
        <f ca="1" t="shared" si="139"/>
        <v>神算诸葛</v>
      </c>
      <c r="Y422" s="95">
        <f ca="1" t="shared" si="159"/>
        <v>243000</v>
      </c>
      <c r="Z422" s="96">
        <f ca="1" t="shared" si="160"/>
        <v>5.4</v>
      </c>
    </row>
    <row r="423" s="106" customFormat="1" ht="16.5" spans="2:26">
      <c r="B423" s="117">
        <v>394</v>
      </c>
      <c r="C423" s="130">
        <f t="shared" si="161"/>
        <v>39400</v>
      </c>
      <c r="D423" s="131">
        <f ca="1" t="shared" si="140"/>
        <v>52</v>
      </c>
      <c r="E423" s="131">
        <f ca="1" t="shared" si="141"/>
        <v>52</v>
      </c>
      <c r="F423" s="131">
        <f ca="1" t="shared" si="142"/>
        <v>52</v>
      </c>
      <c r="G423" s="131">
        <f ca="1" t="shared" si="143"/>
        <v>43</v>
      </c>
      <c r="H423" s="131">
        <f ca="1" t="shared" si="144"/>
        <v>43</v>
      </c>
      <c r="I423" s="131">
        <f ca="1" t="shared" si="145"/>
        <v>43</v>
      </c>
      <c r="J423" s="131">
        <f ca="1" t="shared" si="146"/>
        <v>43</v>
      </c>
      <c r="K423" s="131">
        <f ca="1" t="shared" si="147"/>
        <v>43</v>
      </c>
      <c r="L423" s="131">
        <f ca="1" t="shared" si="148"/>
        <v>43</v>
      </c>
      <c r="M423" s="131">
        <f ca="1" t="shared" si="149"/>
        <v>39</v>
      </c>
      <c r="N423" s="131">
        <f ca="1" t="shared" si="150"/>
        <v>39</v>
      </c>
      <c r="O423" s="131">
        <f ca="1" t="shared" si="151"/>
        <v>39</v>
      </c>
      <c r="P423" s="131">
        <f ca="1" t="shared" si="152"/>
        <v>39</v>
      </c>
      <c r="Q423" s="131">
        <f ca="1" t="shared" si="153"/>
        <v>39</v>
      </c>
      <c r="R423" s="131">
        <f ca="1" t="shared" si="154"/>
        <v>39</v>
      </c>
      <c r="S423" s="131">
        <f ca="1" t="shared" si="155"/>
        <v>41</v>
      </c>
      <c r="T423" s="131">
        <f ca="1" t="shared" si="156"/>
        <v>44</v>
      </c>
      <c r="U423" s="131">
        <f ca="1" t="shared" si="157"/>
        <v>44</v>
      </c>
      <c r="V423" s="131">
        <f ca="1" t="shared" si="158"/>
        <v>45</v>
      </c>
      <c r="W423" s="124">
        <f ca="1">OFFSET($K$19,_xlfn.XLOOKUP(X423,$D$9:$D$28,$H$9:$H$28),MATCH(OFFSET($C$29,B423,MATCH(X423,$D$29:$V$29,0)),$L$19:$R$19,1))*(1+(OFFSET($C$29,B423,MATCH(X423,$D$29:$V$29,0))-1)*_xlfn.XLOOKUP(X423,梦灵养成!$D$9:$D$28,梦灵养成!$G$9:$G$28))</f>
        <v>58.968</v>
      </c>
      <c r="X423" s="106" t="str">
        <f ca="1" t="shared" si="139"/>
        <v>神算诸葛</v>
      </c>
      <c r="Y423" s="95">
        <f ca="1" t="shared" si="159"/>
        <v>241200</v>
      </c>
      <c r="Z423" s="96">
        <f ca="1" t="shared" si="160"/>
        <v>5.4</v>
      </c>
    </row>
    <row r="424" s="106" customFormat="1" ht="16.5" spans="2:26">
      <c r="B424" s="117">
        <v>395</v>
      </c>
      <c r="C424" s="130">
        <f t="shared" si="161"/>
        <v>39500</v>
      </c>
      <c r="D424" s="131">
        <f ca="1" t="shared" si="140"/>
        <v>52</v>
      </c>
      <c r="E424" s="131">
        <f ca="1" t="shared" si="141"/>
        <v>52</v>
      </c>
      <c r="F424" s="131">
        <f ca="1" t="shared" si="142"/>
        <v>52</v>
      </c>
      <c r="G424" s="131">
        <f ca="1" t="shared" si="143"/>
        <v>43</v>
      </c>
      <c r="H424" s="131">
        <f ca="1" t="shared" si="144"/>
        <v>43</v>
      </c>
      <c r="I424" s="131">
        <f ca="1" t="shared" si="145"/>
        <v>43</v>
      </c>
      <c r="J424" s="131">
        <f ca="1" t="shared" si="146"/>
        <v>43</v>
      </c>
      <c r="K424" s="131">
        <f ca="1" t="shared" si="147"/>
        <v>43</v>
      </c>
      <c r="L424" s="131">
        <f ca="1" t="shared" si="148"/>
        <v>43</v>
      </c>
      <c r="M424" s="131">
        <f ca="1" t="shared" si="149"/>
        <v>39</v>
      </c>
      <c r="N424" s="131">
        <f ca="1" t="shared" si="150"/>
        <v>39</v>
      </c>
      <c r="O424" s="131">
        <f ca="1" t="shared" si="151"/>
        <v>39</v>
      </c>
      <c r="P424" s="131">
        <f ca="1" t="shared" si="152"/>
        <v>39</v>
      </c>
      <c r="Q424" s="131">
        <f ca="1" t="shared" si="153"/>
        <v>39</v>
      </c>
      <c r="R424" s="131">
        <f ca="1" t="shared" si="154"/>
        <v>39</v>
      </c>
      <c r="S424" s="131">
        <f ca="1" t="shared" si="155"/>
        <v>41</v>
      </c>
      <c r="T424" s="131">
        <f ca="1" t="shared" si="156"/>
        <v>44</v>
      </c>
      <c r="U424" s="131">
        <f ca="1" t="shared" si="157"/>
        <v>44</v>
      </c>
      <c r="V424" s="131">
        <f ca="1" t="shared" si="158"/>
        <v>45</v>
      </c>
      <c r="W424" s="124">
        <f ca="1">OFFSET($K$19,_xlfn.XLOOKUP(X424,$D$9:$D$28,$H$9:$H$28),MATCH(OFFSET($C$29,B424,MATCH(X424,$D$29:$V$29,0)),$L$19:$R$19,1))*(1+(OFFSET($C$29,B424,MATCH(X424,$D$29:$V$29,0))-1)*_xlfn.XLOOKUP(X424,梦灵养成!$D$9:$D$28,梦灵养成!$G$9:$G$28))</f>
        <v>58.968</v>
      </c>
      <c r="X424" s="106" t="str">
        <f ca="1" t="shared" si="139"/>
        <v>神算诸葛</v>
      </c>
      <c r="Y424" s="95">
        <f ca="1" t="shared" si="159"/>
        <v>239400</v>
      </c>
      <c r="Z424" s="96">
        <f ca="1" t="shared" si="160"/>
        <v>5.4</v>
      </c>
    </row>
    <row r="425" s="106" customFormat="1" ht="16.5" spans="2:26">
      <c r="B425" s="117">
        <v>396</v>
      </c>
      <c r="C425" s="130">
        <f t="shared" si="161"/>
        <v>39600</v>
      </c>
      <c r="D425" s="131">
        <f ca="1" t="shared" si="140"/>
        <v>52</v>
      </c>
      <c r="E425" s="131">
        <f ca="1" t="shared" si="141"/>
        <v>52</v>
      </c>
      <c r="F425" s="131">
        <f ca="1" t="shared" si="142"/>
        <v>52</v>
      </c>
      <c r="G425" s="131">
        <f ca="1" t="shared" si="143"/>
        <v>43</v>
      </c>
      <c r="H425" s="131">
        <f ca="1" t="shared" si="144"/>
        <v>43</v>
      </c>
      <c r="I425" s="131">
        <f ca="1" t="shared" si="145"/>
        <v>43</v>
      </c>
      <c r="J425" s="131">
        <f ca="1" t="shared" si="146"/>
        <v>43</v>
      </c>
      <c r="K425" s="131">
        <f ca="1" t="shared" si="147"/>
        <v>43</v>
      </c>
      <c r="L425" s="131">
        <f ca="1" t="shared" si="148"/>
        <v>43</v>
      </c>
      <c r="M425" s="131">
        <f ca="1" t="shared" si="149"/>
        <v>39</v>
      </c>
      <c r="N425" s="131">
        <f ca="1" t="shared" si="150"/>
        <v>39</v>
      </c>
      <c r="O425" s="131">
        <f ca="1" t="shared" si="151"/>
        <v>39</v>
      </c>
      <c r="P425" s="131">
        <f ca="1" t="shared" si="152"/>
        <v>39</v>
      </c>
      <c r="Q425" s="131">
        <f ca="1" t="shared" si="153"/>
        <v>39</v>
      </c>
      <c r="R425" s="131">
        <f ca="1" t="shared" si="154"/>
        <v>39</v>
      </c>
      <c r="S425" s="131">
        <f ca="1" t="shared" si="155"/>
        <v>41</v>
      </c>
      <c r="T425" s="131">
        <f ca="1" t="shared" si="156"/>
        <v>44</v>
      </c>
      <c r="U425" s="131">
        <f ca="1" t="shared" si="157"/>
        <v>44</v>
      </c>
      <c r="V425" s="131">
        <f ca="1" t="shared" si="158"/>
        <v>45</v>
      </c>
      <c r="W425" s="124">
        <f ca="1">OFFSET($K$19,_xlfn.XLOOKUP(X425,$D$9:$D$28,$H$9:$H$28),MATCH(OFFSET($C$29,B425,MATCH(X425,$D$29:$V$29,0)),$L$19:$R$19,1))*(1+(OFFSET($C$29,B425,MATCH(X425,$D$29:$V$29,0))-1)*_xlfn.XLOOKUP(X425,梦灵养成!$D$9:$D$28,梦灵养成!$G$9:$G$28))</f>
        <v>58.968</v>
      </c>
      <c r="X425" s="106" t="str">
        <f ca="1" t="shared" si="139"/>
        <v>神算诸葛</v>
      </c>
      <c r="Y425" s="95">
        <f ca="1" t="shared" si="159"/>
        <v>237600</v>
      </c>
      <c r="Z425" s="96">
        <f ca="1" t="shared" si="160"/>
        <v>5.4</v>
      </c>
    </row>
    <row r="426" s="106" customFormat="1" ht="16.5" spans="2:26">
      <c r="B426" s="117">
        <v>397</v>
      </c>
      <c r="C426" s="130">
        <f t="shared" si="161"/>
        <v>39700</v>
      </c>
      <c r="D426" s="131">
        <f ca="1" t="shared" si="140"/>
        <v>52</v>
      </c>
      <c r="E426" s="131">
        <f ca="1" t="shared" si="141"/>
        <v>52</v>
      </c>
      <c r="F426" s="131">
        <f ca="1" t="shared" si="142"/>
        <v>52</v>
      </c>
      <c r="G426" s="131">
        <f ca="1" t="shared" si="143"/>
        <v>43</v>
      </c>
      <c r="H426" s="131">
        <f ca="1" t="shared" si="144"/>
        <v>43</v>
      </c>
      <c r="I426" s="131">
        <f ca="1" t="shared" si="145"/>
        <v>43</v>
      </c>
      <c r="J426" s="131">
        <f ca="1" t="shared" si="146"/>
        <v>43</v>
      </c>
      <c r="K426" s="131">
        <f ca="1" t="shared" si="147"/>
        <v>43</v>
      </c>
      <c r="L426" s="131">
        <f ca="1" t="shared" si="148"/>
        <v>43</v>
      </c>
      <c r="M426" s="131">
        <f ca="1" t="shared" si="149"/>
        <v>39</v>
      </c>
      <c r="N426" s="131">
        <f ca="1" t="shared" si="150"/>
        <v>39</v>
      </c>
      <c r="O426" s="131">
        <f ca="1" t="shared" si="151"/>
        <v>39</v>
      </c>
      <c r="P426" s="131">
        <f ca="1" t="shared" si="152"/>
        <v>39</v>
      </c>
      <c r="Q426" s="131">
        <f ca="1" t="shared" si="153"/>
        <v>39</v>
      </c>
      <c r="R426" s="131">
        <f ca="1" t="shared" si="154"/>
        <v>39</v>
      </c>
      <c r="S426" s="131">
        <f ca="1" t="shared" si="155"/>
        <v>41</v>
      </c>
      <c r="T426" s="131">
        <f ca="1" t="shared" si="156"/>
        <v>44</v>
      </c>
      <c r="U426" s="131">
        <f ca="1" t="shared" si="157"/>
        <v>44</v>
      </c>
      <c r="V426" s="131">
        <f ca="1" t="shared" si="158"/>
        <v>45</v>
      </c>
      <c r="W426" s="124">
        <f ca="1">OFFSET($K$19,_xlfn.XLOOKUP(X426,$D$9:$D$28,$H$9:$H$28),MATCH(OFFSET($C$29,B426,MATCH(X426,$D$29:$V$29,0)),$L$19:$R$19,1))*(1+(OFFSET($C$29,B426,MATCH(X426,$D$29:$V$29,0))-1)*_xlfn.XLOOKUP(X426,梦灵养成!$D$9:$D$28,梦灵养成!$G$9:$G$28))</f>
        <v>58.968</v>
      </c>
      <c r="X426" s="106" t="str">
        <f ca="1" t="shared" si="139"/>
        <v>神算诸葛</v>
      </c>
      <c r="Y426" s="95">
        <f ca="1" t="shared" si="159"/>
        <v>235800</v>
      </c>
      <c r="Z426" s="96">
        <f ca="1" t="shared" si="160"/>
        <v>5.4</v>
      </c>
    </row>
    <row r="427" s="106" customFormat="1" ht="16.5" spans="2:26">
      <c r="B427" s="117">
        <v>398</v>
      </c>
      <c r="C427" s="130">
        <f t="shared" si="161"/>
        <v>39800</v>
      </c>
      <c r="D427" s="131">
        <f ca="1" t="shared" si="140"/>
        <v>52</v>
      </c>
      <c r="E427" s="131">
        <f ca="1" t="shared" si="141"/>
        <v>52</v>
      </c>
      <c r="F427" s="131">
        <f ca="1" t="shared" si="142"/>
        <v>52</v>
      </c>
      <c r="G427" s="131">
        <f ca="1" t="shared" si="143"/>
        <v>43</v>
      </c>
      <c r="H427" s="131">
        <f ca="1" t="shared" si="144"/>
        <v>43</v>
      </c>
      <c r="I427" s="131">
        <f ca="1" t="shared" si="145"/>
        <v>43</v>
      </c>
      <c r="J427" s="131">
        <f ca="1" t="shared" si="146"/>
        <v>43</v>
      </c>
      <c r="K427" s="131">
        <f ca="1" t="shared" si="147"/>
        <v>43</v>
      </c>
      <c r="L427" s="131">
        <f ca="1" t="shared" si="148"/>
        <v>43</v>
      </c>
      <c r="M427" s="131">
        <f ca="1" t="shared" si="149"/>
        <v>39</v>
      </c>
      <c r="N427" s="131">
        <f ca="1" t="shared" si="150"/>
        <v>39</v>
      </c>
      <c r="O427" s="131">
        <f ca="1" t="shared" si="151"/>
        <v>39</v>
      </c>
      <c r="P427" s="131">
        <f ca="1" t="shared" si="152"/>
        <v>39</v>
      </c>
      <c r="Q427" s="131">
        <f ca="1" t="shared" si="153"/>
        <v>39</v>
      </c>
      <c r="R427" s="131">
        <f ca="1" t="shared" si="154"/>
        <v>39</v>
      </c>
      <c r="S427" s="131">
        <f ca="1" t="shared" si="155"/>
        <v>41</v>
      </c>
      <c r="T427" s="131">
        <f ca="1" t="shared" si="156"/>
        <v>44</v>
      </c>
      <c r="U427" s="131">
        <f ca="1" t="shared" si="157"/>
        <v>44</v>
      </c>
      <c r="V427" s="131">
        <f ca="1" t="shared" si="158"/>
        <v>45</v>
      </c>
      <c r="W427" s="124">
        <f ca="1">OFFSET($K$19,_xlfn.XLOOKUP(X427,$D$9:$D$28,$H$9:$H$28),MATCH(OFFSET($C$29,B427,MATCH(X427,$D$29:$V$29,0)),$L$19:$R$19,1))*(1+(OFFSET($C$29,B427,MATCH(X427,$D$29:$V$29,0))-1)*_xlfn.XLOOKUP(X427,梦灵养成!$D$9:$D$28,梦灵养成!$G$9:$G$28))</f>
        <v>58.968</v>
      </c>
      <c r="X427" s="106" t="str">
        <f ca="1" t="shared" si="139"/>
        <v>神算诸葛</v>
      </c>
      <c r="Y427" s="95">
        <f ca="1" t="shared" si="159"/>
        <v>234000</v>
      </c>
      <c r="Z427" s="96">
        <f ca="1" t="shared" si="160"/>
        <v>5.4</v>
      </c>
    </row>
    <row r="428" s="106" customFormat="1" ht="16.5" spans="2:26">
      <c r="B428" s="117">
        <v>399</v>
      </c>
      <c r="C428" s="130">
        <f t="shared" si="161"/>
        <v>39900</v>
      </c>
      <c r="D428" s="131">
        <f ca="1" t="shared" si="140"/>
        <v>52</v>
      </c>
      <c r="E428" s="131">
        <f ca="1" t="shared" si="141"/>
        <v>52</v>
      </c>
      <c r="F428" s="131">
        <f ca="1" t="shared" si="142"/>
        <v>52</v>
      </c>
      <c r="G428" s="131">
        <f ca="1" t="shared" si="143"/>
        <v>43</v>
      </c>
      <c r="H428" s="131">
        <f ca="1" t="shared" si="144"/>
        <v>43</v>
      </c>
      <c r="I428" s="131">
        <f ca="1" t="shared" si="145"/>
        <v>43</v>
      </c>
      <c r="J428" s="131">
        <f ca="1" t="shared" si="146"/>
        <v>43</v>
      </c>
      <c r="K428" s="131">
        <f ca="1" t="shared" si="147"/>
        <v>43</v>
      </c>
      <c r="L428" s="131">
        <f ca="1" t="shared" si="148"/>
        <v>43</v>
      </c>
      <c r="M428" s="131">
        <f ca="1" t="shared" si="149"/>
        <v>39</v>
      </c>
      <c r="N428" s="131">
        <f ca="1" t="shared" si="150"/>
        <v>39</v>
      </c>
      <c r="O428" s="131">
        <f ca="1" t="shared" si="151"/>
        <v>39</v>
      </c>
      <c r="P428" s="131">
        <f ca="1" t="shared" si="152"/>
        <v>39</v>
      </c>
      <c r="Q428" s="131">
        <f ca="1" t="shared" si="153"/>
        <v>39</v>
      </c>
      <c r="R428" s="131">
        <f ca="1" t="shared" si="154"/>
        <v>39</v>
      </c>
      <c r="S428" s="131">
        <f ca="1" t="shared" si="155"/>
        <v>41</v>
      </c>
      <c r="T428" s="131">
        <f ca="1" t="shared" si="156"/>
        <v>44</v>
      </c>
      <c r="U428" s="131">
        <f ca="1" t="shared" si="157"/>
        <v>44</v>
      </c>
      <c r="V428" s="131">
        <f ca="1" t="shared" si="158"/>
        <v>45</v>
      </c>
      <c r="W428" s="124">
        <f ca="1">OFFSET($K$19,_xlfn.XLOOKUP(X428,$D$9:$D$28,$H$9:$H$28),MATCH(OFFSET($C$29,B428,MATCH(X428,$D$29:$V$29,0)),$L$19:$R$19,1))*(1+(OFFSET($C$29,B428,MATCH(X428,$D$29:$V$29,0))-1)*_xlfn.XLOOKUP(X428,梦灵养成!$D$9:$D$28,梦灵养成!$G$9:$G$28))</f>
        <v>58.968</v>
      </c>
      <c r="X428" s="106" t="str">
        <f ca="1" t="shared" si="139"/>
        <v>神算诸葛</v>
      </c>
      <c r="Y428" s="95">
        <f ca="1" t="shared" si="159"/>
        <v>232200</v>
      </c>
      <c r="Z428" s="96">
        <f ca="1" t="shared" si="160"/>
        <v>5.4</v>
      </c>
    </row>
    <row r="429" s="106" customFormat="1" ht="16.5" spans="2:26">
      <c r="B429" s="117">
        <v>400</v>
      </c>
      <c r="C429" s="130">
        <f t="shared" si="161"/>
        <v>40000</v>
      </c>
      <c r="D429" s="131">
        <f ca="1" t="shared" si="140"/>
        <v>52</v>
      </c>
      <c r="E429" s="131">
        <f ca="1" t="shared" si="141"/>
        <v>52</v>
      </c>
      <c r="F429" s="131">
        <f ca="1" t="shared" si="142"/>
        <v>52</v>
      </c>
      <c r="G429" s="131">
        <f ca="1" t="shared" si="143"/>
        <v>43</v>
      </c>
      <c r="H429" s="131">
        <f ca="1" t="shared" si="144"/>
        <v>43</v>
      </c>
      <c r="I429" s="131">
        <f ca="1" t="shared" si="145"/>
        <v>43</v>
      </c>
      <c r="J429" s="131">
        <f ca="1" t="shared" si="146"/>
        <v>43</v>
      </c>
      <c r="K429" s="131">
        <f ca="1" t="shared" si="147"/>
        <v>43</v>
      </c>
      <c r="L429" s="131">
        <f ca="1" t="shared" si="148"/>
        <v>43</v>
      </c>
      <c r="M429" s="131">
        <f ca="1" t="shared" si="149"/>
        <v>39</v>
      </c>
      <c r="N429" s="131">
        <f ca="1" t="shared" si="150"/>
        <v>39</v>
      </c>
      <c r="O429" s="131">
        <f ca="1" t="shared" si="151"/>
        <v>39</v>
      </c>
      <c r="P429" s="131">
        <f ca="1" t="shared" si="152"/>
        <v>39</v>
      </c>
      <c r="Q429" s="131">
        <f ca="1" t="shared" si="153"/>
        <v>39</v>
      </c>
      <c r="R429" s="131">
        <f ca="1" t="shared" si="154"/>
        <v>39</v>
      </c>
      <c r="S429" s="131">
        <f ca="1" t="shared" si="155"/>
        <v>41</v>
      </c>
      <c r="T429" s="131">
        <f ca="1" t="shared" si="156"/>
        <v>44</v>
      </c>
      <c r="U429" s="131">
        <f ca="1" t="shared" si="157"/>
        <v>44</v>
      </c>
      <c r="V429" s="131">
        <f ca="1" t="shared" si="158"/>
        <v>45</v>
      </c>
      <c r="W429" s="124">
        <f ca="1">OFFSET($K$19,_xlfn.XLOOKUP(X429,$D$9:$D$28,$H$9:$H$28),MATCH(OFFSET($C$29,B429,MATCH(X429,$D$29:$V$29,0)),$L$19:$R$19,1))*(1+(OFFSET($C$29,B429,MATCH(X429,$D$29:$V$29,0))-1)*_xlfn.XLOOKUP(X429,梦灵养成!$D$9:$D$28,梦灵养成!$G$9:$G$28))</f>
        <v>58.968</v>
      </c>
      <c r="X429" s="106" t="str">
        <f ca="1" t="shared" si="139"/>
        <v>神算诸葛</v>
      </c>
      <c r="Y429" s="95">
        <f ca="1" t="shared" si="159"/>
        <v>230400</v>
      </c>
      <c r="Z429" s="96">
        <f ca="1" t="shared" si="160"/>
        <v>5.4</v>
      </c>
    </row>
    <row r="430" s="106" customFormat="1" ht="16.5" spans="2:26">
      <c r="B430" s="117">
        <v>401</v>
      </c>
      <c r="C430" s="130">
        <f t="shared" si="161"/>
        <v>40100</v>
      </c>
      <c r="D430" s="131">
        <f ca="1" t="shared" si="140"/>
        <v>52</v>
      </c>
      <c r="E430" s="131">
        <f ca="1" t="shared" si="141"/>
        <v>52</v>
      </c>
      <c r="F430" s="131">
        <f ca="1" t="shared" si="142"/>
        <v>52</v>
      </c>
      <c r="G430" s="131">
        <f ca="1" t="shared" si="143"/>
        <v>43</v>
      </c>
      <c r="H430" s="131">
        <f ca="1" t="shared" si="144"/>
        <v>43</v>
      </c>
      <c r="I430" s="131">
        <f ca="1" t="shared" si="145"/>
        <v>43</v>
      </c>
      <c r="J430" s="131">
        <f ca="1" t="shared" si="146"/>
        <v>43</v>
      </c>
      <c r="K430" s="131">
        <f ca="1" t="shared" si="147"/>
        <v>43</v>
      </c>
      <c r="L430" s="131">
        <f ca="1" t="shared" si="148"/>
        <v>43</v>
      </c>
      <c r="M430" s="131">
        <f ca="1" t="shared" si="149"/>
        <v>39</v>
      </c>
      <c r="N430" s="131">
        <f ca="1" t="shared" si="150"/>
        <v>39</v>
      </c>
      <c r="O430" s="131">
        <f ca="1" t="shared" si="151"/>
        <v>39</v>
      </c>
      <c r="P430" s="131">
        <f ca="1" t="shared" si="152"/>
        <v>39</v>
      </c>
      <c r="Q430" s="131">
        <f ca="1" t="shared" si="153"/>
        <v>39</v>
      </c>
      <c r="R430" s="131">
        <f ca="1" t="shared" si="154"/>
        <v>39</v>
      </c>
      <c r="S430" s="131">
        <f ca="1" t="shared" si="155"/>
        <v>41</v>
      </c>
      <c r="T430" s="131">
        <f ca="1" t="shared" si="156"/>
        <v>44</v>
      </c>
      <c r="U430" s="131">
        <f ca="1" t="shared" si="157"/>
        <v>44</v>
      </c>
      <c r="V430" s="131">
        <f ca="1" t="shared" si="158"/>
        <v>45</v>
      </c>
      <c r="W430" s="124">
        <f ca="1">OFFSET($K$19,_xlfn.XLOOKUP(X430,$D$9:$D$28,$H$9:$H$28),MATCH(OFFSET($C$29,B430,MATCH(X430,$D$29:$V$29,0)),$L$19:$R$19,1))*(1+(OFFSET($C$29,B430,MATCH(X430,$D$29:$V$29,0))-1)*_xlfn.XLOOKUP(X430,梦灵养成!$D$9:$D$28,梦灵养成!$G$9:$G$28))</f>
        <v>58.968</v>
      </c>
      <c r="X430" s="106" t="str">
        <f ca="1" t="shared" si="139"/>
        <v>神算诸葛</v>
      </c>
      <c r="Y430" s="95">
        <f ca="1" t="shared" si="159"/>
        <v>228600</v>
      </c>
      <c r="Z430" s="96">
        <f ca="1" t="shared" si="160"/>
        <v>5.4</v>
      </c>
    </row>
    <row r="431" s="106" customFormat="1" ht="16.5" spans="2:26">
      <c r="B431" s="117">
        <v>402</v>
      </c>
      <c r="C431" s="130">
        <f t="shared" si="161"/>
        <v>40200</v>
      </c>
      <c r="D431" s="131">
        <f ca="1" t="shared" si="140"/>
        <v>52</v>
      </c>
      <c r="E431" s="131">
        <f ca="1" t="shared" si="141"/>
        <v>52</v>
      </c>
      <c r="F431" s="131">
        <f ca="1" t="shared" si="142"/>
        <v>52</v>
      </c>
      <c r="G431" s="131">
        <f ca="1" t="shared" si="143"/>
        <v>43</v>
      </c>
      <c r="H431" s="131">
        <f ca="1" t="shared" si="144"/>
        <v>43</v>
      </c>
      <c r="I431" s="131">
        <f ca="1" t="shared" si="145"/>
        <v>43</v>
      </c>
      <c r="J431" s="131">
        <f ca="1" t="shared" si="146"/>
        <v>43</v>
      </c>
      <c r="K431" s="131">
        <f ca="1" t="shared" si="147"/>
        <v>43</v>
      </c>
      <c r="L431" s="131">
        <f ca="1" t="shared" si="148"/>
        <v>43</v>
      </c>
      <c r="M431" s="131">
        <f ca="1" t="shared" si="149"/>
        <v>39</v>
      </c>
      <c r="N431" s="131">
        <f ca="1" t="shared" si="150"/>
        <v>39</v>
      </c>
      <c r="O431" s="131">
        <f ca="1" t="shared" si="151"/>
        <v>39</v>
      </c>
      <c r="P431" s="131">
        <f ca="1" t="shared" si="152"/>
        <v>39</v>
      </c>
      <c r="Q431" s="131">
        <f ca="1" t="shared" si="153"/>
        <v>39</v>
      </c>
      <c r="R431" s="131">
        <f ca="1" t="shared" si="154"/>
        <v>39</v>
      </c>
      <c r="S431" s="131">
        <f ca="1" t="shared" si="155"/>
        <v>41</v>
      </c>
      <c r="T431" s="131">
        <f ca="1" t="shared" si="156"/>
        <v>44</v>
      </c>
      <c r="U431" s="131">
        <f ca="1" t="shared" si="157"/>
        <v>44</v>
      </c>
      <c r="V431" s="131">
        <f ca="1" t="shared" si="158"/>
        <v>45</v>
      </c>
      <c r="W431" s="124">
        <f ca="1">OFFSET($K$19,_xlfn.XLOOKUP(X431,$D$9:$D$28,$H$9:$H$28),MATCH(OFFSET($C$29,B431,MATCH(X431,$D$29:$V$29,0)),$L$19:$R$19,1))*(1+(OFFSET($C$29,B431,MATCH(X431,$D$29:$V$29,0))-1)*_xlfn.XLOOKUP(X431,梦灵养成!$D$9:$D$28,梦灵养成!$G$9:$G$28))</f>
        <v>58.968</v>
      </c>
      <c r="X431" s="106" t="str">
        <f ca="1" t="shared" si="139"/>
        <v>神算诸葛</v>
      </c>
      <c r="Y431" s="95">
        <f ca="1" t="shared" si="159"/>
        <v>226800</v>
      </c>
      <c r="Z431" s="96">
        <f ca="1" t="shared" si="160"/>
        <v>5.4</v>
      </c>
    </row>
    <row r="432" s="106" customFormat="1" ht="16.5" spans="2:26">
      <c r="B432" s="117">
        <v>403</v>
      </c>
      <c r="C432" s="130">
        <f t="shared" si="161"/>
        <v>40300</v>
      </c>
      <c r="D432" s="131">
        <f ca="1" t="shared" si="140"/>
        <v>52</v>
      </c>
      <c r="E432" s="131">
        <f ca="1" t="shared" si="141"/>
        <v>52</v>
      </c>
      <c r="F432" s="131">
        <f ca="1" t="shared" si="142"/>
        <v>52</v>
      </c>
      <c r="G432" s="131">
        <f ca="1" t="shared" si="143"/>
        <v>43</v>
      </c>
      <c r="H432" s="131">
        <f ca="1" t="shared" si="144"/>
        <v>43</v>
      </c>
      <c r="I432" s="131">
        <f ca="1" t="shared" si="145"/>
        <v>43</v>
      </c>
      <c r="J432" s="131">
        <f ca="1" t="shared" si="146"/>
        <v>43</v>
      </c>
      <c r="K432" s="131">
        <f ca="1" t="shared" si="147"/>
        <v>43</v>
      </c>
      <c r="L432" s="131">
        <f ca="1" t="shared" si="148"/>
        <v>43</v>
      </c>
      <c r="M432" s="131">
        <f ca="1" t="shared" si="149"/>
        <v>39</v>
      </c>
      <c r="N432" s="131">
        <f ca="1" t="shared" si="150"/>
        <v>39</v>
      </c>
      <c r="O432" s="131">
        <f ca="1" t="shared" si="151"/>
        <v>39</v>
      </c>
      <c r="P432" s="131">
        <f ca="1" t="shared" si="152"/>
        <v>39</v>
      </c>
      <c r="Q432" s="131">
        <f ca="1" t="shared" si="153"/>
        <v>39</v>
      </c>
      <c r="R432" s="131">
        <f ca="1" t="shared" si="154"/>
        <v>39</v>
      </c>
      <c r="S432" s="131">
        <f ca="1" t="shared" si="155"/>
        <v>41</v>
      </c>
      <c r="T432" s="131">
        <f ca="1" t="shared" si="156"/>
        <v>44</v>
      </c>
      <c r="U432" s="131">
        <f ca="1" t="shared" si="157"/>
        <v>44</v>
      </c>
      <c r="V432" s="131">
        <f ca="1" t="shared" si="158"/>
        <v>45</v>
      </c>
      <c r="W432" s="124">
        <f ca="1">OFFSET($K$19,_xlfn.XLOOKUP(X432,$D$9:$D$28,$H$9:$H$28),MATCH(OFFSET($C$29,B432,MATCH(X432,$D$29:$V$29,0)),$L$19:$R$19,1))*(1+(OFFSET($C$29,B432,MATCH(X432,$D$29:$V$29,0))-1)*_xlfn.XLOOKUP(X432,梦灵养成!$D$9:$D$28,梦灵养成!$G$9:$G$28))</f>
        <v>58.968</v>
      </c>
      <c r="X432" s="106" t="str">
        <f ca="1" t="shared" si="139"/>
        <v>神算诸葛</v>
      </c>
      <c r="Y432" s="95">
        <f ca="1" t="shared" si="159"/>
        <v>225000</v>
      </c>
      <c r="Z432" s="96">
        <f ca="1" t="shared" si="160"/>
        <v>5.4</v>
      </c>
    </row>
    <row r="433" s="106" customFormat="1" ht="16.5" spans="2:26">
      <c r="B433" s="117">
        <v>404</v>
      </c>
      <c r="C433" s="130">
        <f t="shared" si="161"/>
        <v>40400</v>
      </c>
      <c r="D433" s="131">
        <f ca="1" t="shared" si="140"/>
        <v>52</v>
      </c>
      <c r="E433" s="131">
        <f ca="1" t="shared" si="141"/>
        <v>52</v>
      </c>
      <c r="F433" s="131">
        <f ca="1" t="shared" si="142"/>
        <v>52</v>
      </c>
      <c r="G433" s="131">
        <f ca="1" t="shared" si="143"/>
        <v>43</v>
      </c>
      <c r="H433" s="131">
        <f ca="1" t="shared" si="144"/>
        <v>43</v>
      </c>
      <c r="I433" s="131">
        <f ca="1" t="shared" si="145"/>
        <v>43</v>
      </c>
      <c r="J433" s="131">
        <f ca="1" t="shared" si="146"/>
        <v>43</v>
      </c>
      <c r="K433" s="131">
        <f ca="1" t="shared" si="147"/>
        <v>43</v>
      </c>
      <c r="L433" s="131">
        <f ca="1" t="shared" si="148"/>
        <v>43</v>
      </c>
      <c r="M433" s="131">
        <f ca="1" t="shared" si="149"/>
        <v>39</v>
      </c>
      <c r="N433" s="131">
        <f ca="1" t="shared" si="150"/>
        <v>39</v>
      </c>
      <c r="O433" s="131">
        <f ca="1" t="shared" si="151"/>
        <v>39</v>
      </c>
      <c r="P433" s="131">
        <f ca="1" t="shared" si="152"/>
        <v>39</v>
      </c>
      <c r="Q433" s="131">
        <f ca="1" t="shared" si="153"/>
        <v>39</v>
      </c>
      <c r="R433" s="131">
        <f ca="1" t="shared" si="154"/>
        <v>39</v>
      </c>
      <c r="S433" s="131">
        <f ca="1" t="shared" si="155"/>
        <v>41</v>
      </c>
      <c r="T433" s="131">
        <f ca="1" t="shared" si="156"/>
        <v>44</v>
      </c>
      <c r="U433" s="131">
        <f ca="1" t="shared" si="157"/>
        <v>44</v>
      </c>
      <c r="V433" s="131">
        <f ca="1" t="shared" si="158"/>
        <v>45</v>
      </c>
      <c r="W433" s="124">
        <f ca="1">OFFSET($K$19,_xlfn.XLOOKUP(X433,$D$9:$D$28,$H$9:$H$28),MATCH(OFFSET($C$29,B433,MATCH(X433,$D$29:$V$29,0)),$L$19:$R$19,1))*(1+(OFFSET($C$29,B433,MATCH(X433,$D$29:$V$29,0))-1)*_xlfn.XLOOKUP(X433,梦灵养成!$D$9:$D$28,梦灵养成!$G$9:$G$28))</f>
        <v>58.968</v>
      </c>
      <c r="X433" s="106" t="str">
        <f ca="1" t="shared" si="139"/>
        <v>神算诸葛</v>
      </c>
      <c r="Y433" s="95">
        <f ca="1" t="shared" si="159"/>
        <v>223200</v>
      </c>
      <c r="Z433" s="96">
        <f ca="1" t="shared" si="160"/>
        <v>5.4</v>
      </c>
    </row>
    <row r="434" s="106" customFormat="1" ht="16.5" spans="2:26">
      <c r="B434" s="117">
        <v>405</v>
      </c>
      <c r="C434" s="130">
        <f t="shared" si="161"/>
        <v>40500</v>
      </c>
      <c r="D434" s="131">
        <f ca="1" t="shared" si="140"/>
        <v>52</v>
      </c>
      <c r="E434" s="131">
        <f ca="1" t="shared" si="141"/>
        <v>52</v>
      </c>
      <c r="F434" s="131">
        <f ca="1" t="shared" si="142"/>
        <v>52</v>
      </c>
      <c r="G434" s="131">
        <f ca="1" t="shared" si="143"/>
        <v>43</v>
      </c>
      <c r="H434" s="131">
        <f ca="1" t="shared" si="144"/>
        <v>43</v>
      </c>
      <c r="I434" s="131">
        <f ca="1" t="shared" si="145"/>
        <v>43</v>
      </c>
      <c r="J434" s="131">
        <f ca="1" t="shared" si="146"/>
        <v>43</v>
      </c>
      <c r="K434" s="131">
        <f ca="1" t="shared" si="147"/>
        <v>43</v>
      </c>
      <c r="L434" s="131">
        <f ca="1" t="shared" si="148"/>
        <v>43</v>
      </c>
      <c r="M434" s="131">
        <f ca="1" t="shared" si="149"/>
        <v>39</v>
      </c>
      <c r="N434" s="131">
        <f ca="1" t="shared" si="150"/>
        <v>39</v>
      </c>
      <c r="O434" s="131">
        <f ca="1" t="shared" si="151"/>
        <v>39</v>
      </c>
      <c r="P434" s="131">
        <f ca="1" t="shared" si="152"/>
        <v>39</v>
      </c>
      <c r="Q434" s="131">
        <f ca="1" t="shared" si="153"/>
        <v>40</v>
      </c>
      <c r="R434" s="131">
        <f ca="1" t="shared" si="154"/>
        <v>39</v>
      </c>
      <c r="S434" s="131">
        <f ca="1" t="shared" si="155"/>
        <v>41</v>
      </c>
      <c r="T434" s="131">
        <f ca="1" t="shared" si="156"/>
        <v>44</v>
      </c>
      <c r="U434" s="131">
        <f ca="1" t="shared" si="157"/>
        <v>44</v>
      </c>
      <c r="V434" s="131">
        <f ca="1" t="shared" si="158"/>
        <v>45</v>
      </c>
      <c r="W434" s="124">
        <f ca="1">OFFSET($K$19,_xlfn.XLOOKUP(X434,$D$9:$D$28,$H$9:$H$28),MATCH(OFFSET($C$29,B434,MATCH(X434,$D$29:$V$29,0)),$L$19:$R$19,1))*(1+(OFFSET($C$29,B434,MATCH(X434,$D$29:$V$29,0))-1)*_xlfn.XLOOKUP(X434,梦灵养成!$D$9:$D$28,梦灵养成!$G$9:$G$28))</f>
        <v>58.968</v>
      </c>
      <c r="X434" s="106" t="str">
        <f ca="1" t="shared" si="139"/>
        <v>神算诸葛</v>
      </c>
      <c r="Y434" s="95">
        <f ca="1" t="shared" si="159"/>
        <v>221400</v>
      </c>
      <c r="Z434" s="96">
        <f ca="1" t="shared" si="160"/>
        <v>5.4</v>
      </c>
    </row>
    <row r="435" s="106" customFormat="1" ht="16.5" spans="2:26">
      <c r="B435" s="117">
        <v>406</v>
      </c>
      <c r="C435" s="130">
        <f t="shared" si="161"/>
        <v>40600</v>
      </c>
      <c r="D435" s="131">
        <f ca="1" t="shared" si="140"/>
        <v>52</v>
      </c>
      <c r="E435" s="131">
        <f ca="1" t="shared" si="141"/>
        <v>52</v>
      </c>
      <c r="F435" s="131">
        <f ca="1" t="shared" si="142"/>
        <v>52</v>
      </c>
      <c r="G435" s="131">
        <f ca="1" t="shared" si="143"/>
        <v>43</v>
      </c>
      <c r="H435" s="131">
        <f ca="1" t="shared" si="144"/>
        <v>43</v>
      </c>
      <c r="I435" s="131">
        <f ca="1" t="shared" si="145"/>
        <v>43</v>
      </c>
      <c r="J435" s="131">
        <f ca="1" t="shared" si="146"/>
        <v>43</v>
      </c>
      <c r="K435" s="131">
        <f ca="1" t="shared" si="147"/>
        <v>43</v>
      </c>
      <c r="L435" s="131">
        <f ca="1" t="shared" si="148"/>
        <v>43</v>
      </c>
      <c r="M435" s="131">
        <f ca="1" t="shared" si="149"/>
        <v>39</v>
      </c>
      <c r="N435" s="131">
        <f ca="1" t="shared" si="150"/>
        <v>39</v>
      </c>
      <c r="O435" s="131">
        <f ca="1" t="shared" si="151"/>
        <v>39</v>
      </c>
      <c r="P435" s="131">
        <f ca="1" t="shared" si="152"/>
        <v>39</v>
      </c>
      <c r="Q435" s="131">
        <f ca="1" t="shared" si="153"/>
        <v>40</v>
      </c>
      <c r="R435" s="131">
        <f ca="1" t="shared" si="154"/>
        <v>39</v>
      </c>
      <c r="S435" s="131">
        <f ca="1" t="shared" si="155"/>
        <v>41</v>
      </c>
      <c r="T435" s="131">
        <f ca="1" t="shared" si="156"/>
        <v>44</v>
      </c>
      <c r="U435" s="131">
        <f ca="1" t="shared" si="157"/>
        <v>44</v>
      </c>
      <c r="V435" s="131">
        <f ca="1" t="shared" si="158"/>
        <v>45</v>
      </c>
      <c r="W435" s="124">
        <f ca="1">OFFSET($K$19,_xlfn.XLOOKUP(X435,$D$9:$D$28,$H$9:$H$28),MATCH(OFFSET($C$29,B435,MATCH(X435,$D$29:$V$29,0)),$L$19:$R$19,1))*(1+(OFFSET($C$29,B435,MATCH(X435,$D$29:$V$29,0))-1)*_xlfn.XLOOKUP(X435,梦灵养成!$D$9:$D$28,梦灵养成!$G$9:$G$28))</f>
        <v>58.968</v>
      </c>
      <c r="X435" s="106" t="str">
        <f ca="1" t="shared" si="139"/>
        <v>神算诸葛</v>
      </c>
      <c r="Y435" s="95">
        <f ca="1" t="shared" si="159"/>
        <v>219600</v>
      </c>
      <c r="Z435" s="96">
        <f ca="1" t="shared" si="160"/>
        <v>5.4</v>
      </c>
    </row>
    <row r="436" s="106" customFormat="1" ht="16.5" spans="2:26">
      <c r="B436" s="117">
        <v>407</v>
      </c>
      <c r="C436" s="130">
        <f t="shared" si="161"/>
        <v>40700</v>
      </c>
      <c r="D436" s="131">
        <f ca="1" t="shared" si="140"/>
        <v>52</v>
      </c>
      <c r="E436" s="131">
        <f ca="1" t="shared" si="141"/>
        <v>52</v>
      </c>
      <c r="F436" s="131">
        <f ca="1" t="shared" si="142"/>
        <v>52</v>
      </c>
      <c r="G436" s="131">
        <f ca="1" t="shared" si="143"/>
        <v>43</v>
      </c>
      <c r="H436" s="131">
        <f ca="1" t="shared" si="144"/>
        <v>43</v>
      </c>
      <c r="I436" s="131">
        <f ca="1" t="shared" si="145"/>
        <v>43</v>
      </c>
      <c r="J436" s="131">
        <f ca="1" t="shared" si="146"/>
        <v>43</v>
      </c>
      <c r="K436" s="131">
        <f ca="1" t="shared" si="147"/>
        <v>43</v>
      </c>
      <c r="L436" s="131">
        <f ca="1" t="shared" si="148"/>
        <v>43</v>
      </c>
      <c r="M436" s="131">
        <f ca="1" t="shared" si="149"/>
        <v>39</v>
      </c>
      <c r="N436" s="131">
        <f ca="1" t="shared" si="150"/>
        <v>39</v>
      </c>
      <c r="O436" s="131">
        <f ca="1" t="shared" si="151"/>
        <v>40</v>
      </c>
      <c r="P436" s="131">
        <f ca="1" t="shared" si="152"/>
        <v>39</v>
      </c>
      <c r="Q436" s="131">
        <f ca="1" t="shared" si="153"/>
        <v>40</v>
      </c>
      <c r="R436" s="131">
        <f ca="1" t="shared" si="154"/>
        <v>39</v>
      </c>
      <c r="S436" s="131">
        <f ca="1" t="shared" si="155"/>
        <v>41</v>
      </c>
      <c r="T436" s="131">
        <f ca="1" t="shared" si="156"/>
        <v>44</v>
      </c>
      <c r="U436" s="131">
        <f ca="1" t="shared" si="157"/>
        <v>44</v>
      </c>
      <c r="V436" s="131">
        <f ca="1" t="shared" si="158"/>
        <v>45</v>
      </c>
      <c r="W436" s="124">
        <f ca="1">OFFSET($K$19,_xlfn.XLOOKUP(X436,$D$9:$D$28,$H$9:$H$28),MATCH(OFFSET($C$29,B436,MATCH(X436,$D$29:$V$29,0)),$L$19:$R$19,1))*(1+(OFFSET($C$29,B436,MATCH(X436,$D$29:$V$29,0))-1)*_xlfn.XLOOKUP(X436,梦灵养成!$D$9:$D$28,梦灵养成!$G$9:$G$28))</f>
        <v>58.968</v>
      </c>
      <c r="X436" s="106" t="str">
        <f ca="1" t="shared" si="139"/>
        <v>神算诸葛</v>
      </c>
      <c r="Y436" s="95">
        <f ca="1" t="shared" si="159"/>
        <v>217800</v>
      </c>
      <c r="Z436" s="96">
        <f ca="1" t="shared" si="160"/>
        <v>5.4</v>
      </c>
    </row>
    <row r="437" s="106" customFormat="1" ht="16.5" spans="2:26">
      <c r="B437" s="117">
        <v>408</v>
      </c>
      <c r="C437" s="130">
        <f t="shared" si="161"/>
        <v>40800</v>
      </c>
      <c r="D437" s="131">
        <f ca="1" t="shared" si="140"/>
        <v>52</v>
      </c>
      <c r="E437" s="131">
        <f ca="1" t="shared" si="141"/>
        <v>52</v>
      </c>
      <c r="F437" s="131">
        <f ca="1" t="shared" si="142"/>
        <v>52</v>
      </c>
      <c r="G437" s="131">
        <f ca="1" t="shared" si="143"/>
        <v>43</v>
      </c>
      <c r="H437" s="131">
        <f ca="1" t="shared" si="144"/>
        <v>43</v>
      </c>
      <c r="I437" s="131">
        <f ca="1" t="shared" si="145"/>
        <v>43</v>
      </c>
      <c r="J437" s="131">
        <f ca="1" t="shared" si="146"/>
        <v>43</v>
      </c>
      <c r="K437" s="131">
        <f ca="1" t="shared" si="147"/>
        <v>43</v>
      </c>
      <c r="L437" s="131">
        <f ca="1" t="shared" si="148"/>
        <v>43</v>
      </c>
      <c r="M437" s="131">
        <f ca="1" t="shared" si="149"/>
        <v>39</v>
      </c>
      <c r="N437" s="131">
        <f ca="1" t="shared" si="150"/>
        <v>39</v>
      </c>
      <c r="O437" s="131">
        <f ca="1" t="shared" si="151"/>
        <v>40</v>
      </c>
      <c r="P437" s="131">
        <f ca="1" t="shared" si="152"/>
        <v>39</v>
      </c>
      <c r="Q437" s="131">
        <f ca="1" t="shared" si="153"/>
        <v>40</v>
      </c>
      <c r="R437" s="131">
        <f ca="1" t="shared" si="154"/>
        <v>39</v>
      </c>
      <c r="S437" s="131">
        <f ca="1" t="shared" si="155"/>
        <v>41</v>
      </c>
      <c r="T437" s="131">
        <f ca="1" t="shared" si="156"/>
        <v>44</v>
      </c>
      <c r="U437" s="131">
        <f ca="1" t="shared" si="157"/>
        <v>44</v>
      </c>
      <c r="V437" s="131">
        <f ca="1" t="shared" si="158"/>
        <v>45</v>
      </c>
      <c r="W437" s="124">
        <f ca="1">OFFSET($K$19,_xlfn.XLOOKUP(X437,$D$9:$D$28,$H$9:$H$28),MATCH(OFFSET($C$29,B437,MATCH(X437,$D$29:$V$29,0)),$L$19:$R$19,1))*(1+(OFFSET($C$29,B437,MATCH(X437,$D$29:$V$29,0))-1)*_xlfn.XLOOKUP(X437,梦灵养成!$D$9:$D$28,梦灵养成!$G$9:$G$28))</f>
        <v>58.968</v>
      </c>
      <c r="X437" s="106" t="str">
        <f ca="1" t="shared" si="139"/>
        <v>神算诸葛</v>
      </c>
      <c r="Y437" s="95">
        <f ca="1" t="shared" si="159"/>
        <v>216000</v>
      </c>
      <c r="Z437" s="96">
        <f ca="1" t="shared" si="160"/>
        <v>5.4</v>
      </c>
    </row>
    <row r="438" s="106" customFormat="1" ht="16.5" spans="2:26">
      <c r="B438" s="117">
        <v>409</v>
      </c>
      <c r="C438" s="130">
        <f t="shared" si="161"/>
        <v>40900</v>
      </c>
      <c r="D438" s="131">
        <f ca="1" t="shared" si="140"/>
        <v>52</v>
      </c>
      <c r="E438" s="131">
        <f ca="1" t="shared" si="141"/>
        <v>52</v>
      </c>
      <c r="F438" s="131">
        <f ca="1" t="shared" si="142"/>
        <v>52</v>
      </c>
      <c r="G438" s="131">
        <f ca="1" t="shared" si="143"/>
        <v>43</v>
      </c>
      <c r="H438" s="131">
        <f ca="1" t="shared" si="144"/>
        <v>43</v>
      </c>
      <c r="I438" s="131">
        <f ca="1" t="shared" si="145"/>
        <v>43</v>
      </c>
      <c r="J438" s="131">
        <f ca="1" t="shared" si="146"/>
        <v>43</v>
      </c>
      <c r="K438" s="131">
        <f ca="1" t="shared" si="147"/>
        <v>43</v>
      </c>
      <c r="L438" s="131">
        <f ca="1" t="shared" si="148"/>
        <v>43</v>
      </c>
      <c r="M438" s="131">
        <f ca="1" t="shared" si="149"/>
        <v>39</v>
      </c>
      <c r="N438" s="131">
        <f ca="1" t="shared" si="150"/>
        <v>39</v>
      </c>
      <c r="O438" s="131">
        <f ca="1" t="shared" si="151"/>
        <v>40</v>
      </c>
      <c r="P438" s="131">
        <f ca="1" t="shared" si="152"/>
        <v>39</v>
      </c>
      <c r="Q438" s="131">
        <f ca="1" t="shared" si="153"/>
        <v>40</v>
      </c>
      <c r="R438" s="131">
        <f ca="1" t="shared" si="154"/>
        <v>39</v>
      </c>
      <c r="S438" s="131">
        <f ca="1" t="shared" si="155"/>
        <v>41</v>
      </c>
      <c r="T438" s="131">
        <f ca="1" t="shared" si="156"/>
        <v>44</v>
      </c>
      <c r="U438" s="131">
        <f ca="1" t="shared" si="157"/>
        <v>45</v>
      </c>
      <c r="V438" s="131">
        <f ca="1" t="shared" si="158"/>
        <v>45</v>
      </c>
      <c r="W438" s="124">
        <f ca="1">OFFSET($K$19,_xlfn.XLOOKUP(X438,$D$9:$D$28,$H$9:$H$28),MATCH(OFFSET($C$29,B438,MATCH(X438,$D$29:$V$29,0)),$L$19:$R$19,1))*(1+(OFFSET($C$29,B438,MATCH(X438,$D$29:$V$29,0))-1)*_xlfn.XLOOKUP(X438,梦灵养成!$D$9:$D$28,梦灵养成!$G$9:$G$28))</f>
        <v>58.968</v>
      </c>
      <c r="X438" s="106" t="str">
        <f ca="1" t="shared" si="139"/>
        <v>神算诸葛</v>
      </c>
      <c r="Y438" s="95">
        <f ca="1" t="shared" si="159"/>
        <v>214200</v>
      </c>
      <c r="Z438" s="96">
        <f ca="1" t="shared" si="160"/>
        <v>5.4</v>
      </c>
    </row>
    <row r="439" s="106" customFormat="1" ht="16.5" spans="2:26">
      <c r="B439" s="117">
        <v>410</v>
      </c>
      <c r="C439" s="130">
        <f t="shared" si="161"/>
        <v>41000</v>
      </c>
      <c r="D439" s="131">
        <f ca="1" t="shared" si="140"/>
        <v>52</v>
      </c>
      <c r="E439" s="131">
        <f ca="1" t="shared" si="141"/>
        <v>52</v>
      </c>
      <c r="F439" s="131">
        <f ca="1" t="shared" si="142"/>
        <v>52</v>
      </c>
      <c r="G439" s="131">
        <f ca="1" t="shared" si="143"/>
        <v>43</v>
      </c>
      <c r="H439" s="131">
        <f ca="1" t="shared" si="144"/>
        <v>43</v>
      </c>
      <c r="I439" s="131">
        <f ca="1" t="shared" si="145"/>
        <v>43</v>
      </c>
      <c r="J439" s="131">
        <f ca="1" t="shared" si="146"/>
        <v>43</v>
      </c>
      <c r="K439" s="131">
        <f ca="1" t="shared" si="147"/>
        <v>43</v>
      </c>
      <c r="L439" s="131">
        <f ca="1" t="shared" si="148"/>
        <v>43</v>
      </c>
      <c r="M439" s="131">
        <f ca="1" t="shared" si="149"/>
        <v>39</v>
      </c>
      <c r="N439" s="131">
        <f ca="1" t="shared" si="150"/>
        <v>39</v>
      </c>
      <c r="O439" s="131">
        <f ca="1" t="shared" si="151"/>
        <v>40</v>
      </c>
      <c r="P439" s="131">
        <f ca="1" t="shared" si="152"/>
        <v>39</v>
      </c>
      <c r="Q439" s="131">
        <f ca="1" t="shared" si="153"/>
        <v>40</v>
      </c>
      <c r="R439" s="131">
        <f ca="1" t="shared" si="154"/>
        <v>39</v>
      </c>
      <c r="S439" s="131">
        <f ca="1" t="shared" si="155"/>
        <v>41</v>
      </c>
      <c r="T439" s="131">
        <f ca="1" t="shared" si="156"/>
        <v>44</v>
      </c>
      <c r="U439" s="131">
        <f ca="1" t="shared" si="157"/>
        <v>45</v>
      </c>
      <c r="V439" s="131">
        <f ca="1" t="shared" si="158"/>
        <v>45</v>
      </c>
      <c r="W439" s="124">
        <f ca="1">OFFSET($K$19,_xlfn.XLOOKUP(X439,$D$9:$D$28,$H$9:$H$28),MATCH(OFFSET($C$29,B439,MATCH(X439,$D$29:$V$29,0)),$L$19:$R$19,1))*(1+(OFFSET($C$29,B439,MATCH(X439,$D$29:$V$29,0))-1)*_xlfn.XLOOKUP(X439,梦灵养成!$D$9:$D$28,梦灵养成!$G$9:$G$28))</f>
        <v>58.968</v>
      </c>
      <c r="X439" s="106" t="str">
        <f ca="1" t="shared" si="139"/>
        <v>神算诸葛</v>
      </c>
      <c r="Y439" s="95">
        <f ca="1" t="shared" si="159"/>
        <v>212400</v>
      </c>
      <c r="Z439" s="96">
        <f ca="1" t="shared" si="160"/>
        <v>5.4</v>
      </c>
    </row>
    <row r="440" s="106" customFormat="1" ht="16.5" spans="2:26">
      <c r="B440" s="117">
        <v>411</v>
      </c>
      <c r="C440" s="130">
        <f t="shared" si="161"/>
        <v>41100</v>
      </c>
      <c r="D440" s="131">
        <f ca="1" t="shared" si="140"/>
        <v>52</v>
      </c>
      <c r="E440" s="131">
        <f ca="1" t="shared" si="141"/>
        <v>52</v>
      </c>
      <c r="F440" s="131">
        <f ca="1" t="shared" si="142"/>
        <v>52</v>
      </c>
      <c r="G440" s="131">
        <f ca="1" t="shared" si="143"/>
        <v>44</v>
      </c>
      <c r="H440" s="131">
        <f ca="1" t="shared" si="144"/>
        <v>44</v>
      </c>
      <c r="I440" s="131">
        <f ca="1" t="shared" si="145"/>
        <v>44</v>
      </c>
      <c r="J440" s="131">
        <f ca="1" t="shared" si="146"/>
        <v>43</v>
      </c>
      <c r="K440" s="131">
        <f ca="1" t="shared" si="147"/>
        <v>43</v>
      </c>
      <c r="L440" s="131">
        <f ca="1" t="shared" si="148"/>
        <v>43</v>
      </c>
      <c r="M440" s="131">
        <f ca="1" t="shared" si="149"/>
        <v>39</v>
      </c>
      <c r="N440" s="131">
        <f ca="1" t="shared" si="150"/>
        <v>40</v>
      </c>
      <c r="O440" s="131">
        <f ca="1" t="shared" si="151"/>
        <v>40</v>
      </c>
      <c r="P440" s="131">
        <f ca="1" t="shared" si="152"/>
        <v>39</v>
      </c>
      <c r="Q440" s="131">
        <f ca="1" t="shared" si="153"/>
        <v>40</v>
      </c>
      <c r="R440" s="131">
        <f ca="1" t="shared" si="154"/>
        <v>40</v>
      </c>
      <c r="S440" s="131">
        <f ca="1" t="shared" si="155"/>
        <v>41</v>
      </c>
      <c r="T440" s="131">
        <f ca="1" t="shared" si="156"/>
        <v>44</v>
      </c>
      <c r="U440" s="131">
        <f ca="1" t="shared" si="157"/>
        <v>45</v>
      </c>
      <c r="V440" s="131">
        <f ca="1" t="shared" si="158"/>
        <v>45</v>
      </c>
      <c r="W440" s="124">
        <f ca="1">OFFSET($K$19,_xlfn.XLOOKUP(X440,$D$9:$D$28,$H$9:$H$28),MATCH(OFFSET($C$29,B440,MATCH(X440,$D$29:$V$29,0)),$L$19:$R$19,1))*(1+(OFFSET($C$29,B440,MATCH(X440,$D$29:$V$29,0))-1)*_xlfn.XLOOKUP(X440,梦灵养成!$D$9:$D$28,梦灵养成!$G$9:$G$28))</f>
        <v>58.968</v>
      </c>
      <c r="X440" s="106" t="str">
        <f ca="1" t="shared" si="139"/>
        <v>神算诸葛</v>
      </c>
      <c r="Y440" s="95">
        <f ca="1" t="shared" si="159"/>
        <v>210600</v>
      </c>
      <c r="Z440" s="96">
        <f ca="1" t="shared" si="160"/>
        <v>5.4</v>
      </c>
    </row>
    <row r="441" s="106" customFormat="1" ht="16.5" spans="2:26">
      <c r="B441" s="117">
        <v>412</v>
      </c>
      <c r="C441" s="130">
        <f t="shared" si="161"/>
        <v>41200</v>
      </c>
      <c r="D441" s="131">
        <f ca="1" t="shared" si="140"/>
        <v>52</v>
      </c>
      <c r="E441" s="131">
        <f ca="1" t="shared" si="141"/>
        <v>52</v>
      </c>
      <c r="F441" s="131">
        <f ca="1" t="shared" si="142"/>
        <v>52</v>
      </c>
      <c r="G441" s="131">
        <f ca="1" t="shared" si="143"/>
        <v>44</v>
      </c>
      <c r="H441" s="131">
        <f ca="1" t="shared" si="144"/>
        <v>44</v>
      </c>
      <c r="I441" s="131">
        <f ca="1" t="shared" si="145"/>
        <v>44</v>
      </c>
      <c r="J441" s="131">
        <f ca="1" t="shared" si="146"/>
        <v>44</v>
      </c>
      <c r="K441" s="131">
        <f ca="1" t="shared" si="147"/>
        <v>43</v>
      </c>
      <c r="L441" s="131">
        <f ca="1" t="shared" si="148"/>
        <v>43</v>
      </c>
      <c r="M441" s="131">
        <f ca="1" t="shared" si="149"/>
        <v>40</v>
      </c>
      <c r="N441" s="131">
        <f ca="1" t="shared" si="150"/>
        <v>40</v>
      </c>
      <c r="O441" s="131">
        <f ca="1" t="shared" si="151"/>
        <v>40</v>
      </c>
      <c r="P441" s="131">
        <f ca="1" t="shared" si="152"/>
        <v>39</v>
      </c>
      <c r="Q441" s="131">
        <f ca="1" t="shared" si="153"/>
        <v>40</v>
      </c>
      <c r="R441" s="131">
        <f ca="1" t="shared" si="154"/>
        <v>40</v>
      </c>
      <c r="S441" s="131">
        <f ca="1" t="shared" si="155"/>
        <v>41</v>
      </c>
      <c r="T441" s="131">
        <f ca="1" t="shared" si="156"/>
        <v>44</v>
      </c>
      <c r="U441" s="131">
        <f ca="1" t="shared" si="157"/>
        <v>45</v>
      </c>
      <c r="V441" s="131">
        <f ca="1" t="shared" si="158"/>
        <v>45</v>
      </c>
      <c r="W441" s="124">
        <f ca="1">OFFSET($K$19,_xlfn.XLOOKUP(X441,$D$9:$D$28,$H$9:$H$28),MATCH(OFFSET($C$29,B441,MATCH(X441,$D$29:$V$29,0)),$L$19:$R$19,1))*(1+(OFFSET($C$29,B441,MATCH(X441,$D$29:$V$29,0))-1)*_xlfn.XLOOKUP(X441,梦灵养成!$D$9:$D$28,梦灵养成!$G$9:$G$28))</f>
        <v>58.968</v>
      </c>
      <c r="X441" s="106" t="str">
        <f ca="1" t="shared" si="139"/>
        <v>神算诸葛</v>
      </c>
      <c r="Y441" s="95">
        <f ca="1" t="shared" si="159"/>
        <v>208800</v>
      </c>
      <c r="Z441" s="96">
        <f ca="1" t="shared" si="160"/>
        <v>5.4</v>
      </c>
    </row>
    <row r="442" s="106" customFormat="1" ht="16.5" spans="2:26">
      <c r="B442" s="117">
        <v>413</v>
      </c>
      <c r="C442" s="130">
        <f t="shared" si="161"/>
        <v>41300</v>
      </c>
      <c r="D442" s="131">
        <f ca="1" t="shared" si="140"/>
        <v>52</v>
      </c>
      <c r="E442" s="131">
        <f ca="1" t="shared" si="141"/>
        <v>52</v>
      </c>
      <c r="F442" s="131">
        <f ca="1" t="shared" si="142"/>
        <v>52</v>
      </c>
      <c r="G442" s="131">
        <f ca="1" t="shared" si="143"/>
        <v>44</v>
      </c>
      <c r="H442" s="131">
        <f ca="1" t="shared" si="144"/>
        <v>44</v>
      </c>
      <c r="I442" s="131">
        <f ca="1" t="shared" si="145"/>
        <v>44</v>
      </c>
      <c r="J442" s="131">
        <f ca="1" t="shared" si="146"/>
        <v>44</v>
      </c>
      <c r="K442" s="131">
        <f ca="1" t="shared" si="147"/>
        <v>44</v>
      </c>
      <c r="L442" s="131">
        <f ca="1" t="shared" si="148"/>
        <v>44</v>
      </c>
      <c r="M442" s="131">
        <f ca="1" t="shared" si="149"/>
        <v>40</v>
      </c>
      <c r="N442" s="131">
        <f ca="1" t="shared" si="150"/>
        <v>40</v>
      </c>
      <c r="O442" s="131">
        <f ca="1" t="shared" si="151"/>
        <v>40</v>
      </c>
      <c r="P442" s="131">
        <f ca="1" t="shared" si="152"/>
        <v>39</v>
      </c>
      <c r="Q442" s="131">
        <f ca="1" t="shared" si="153"/>
        <v>40</v>
      </c>
      <c r="R442" s="131">
        <f ca="1" t="shared" si="154"/>
        <v>40</v>
      </c>
      <c r="S442" s="131">
        <f ca="1" t="shared" si="155"/>
        <v>41</v>
      </c>
      <c r="T442" s="131">
        <f ca="1" t="shared" si="156"/>
        <v>44</v>
      </c>
      <c r="U442" s="131">
        <f ca="1" t="shared" si="157"/>
        <v>45</v>
      </c>
      <c r="V442" s="131">
        <f ca="1" t="shared" si="158"/>
        <v>45</v>
      </c>
      <c r="W442" s="124">
        <f ca="1">OFFSET($K$19,_xlfn.XLOOKUP(X442,$D$9:$D$28,$H$9:$H$28),MATCH(OFFSET($C$29,B442,MATCH(X442,$D$29:$V$29,0)),$L$19:$R$19,1))*(1+(OFFSET($C$29,B442,MATCH(X442,$D$29:$V$29,0))-1)*_xlfn.XLOOKUP(X442,梦灵养成!$D$9:$D$28,梦灵养成!$G$9:$G$28))</f>
        <v>58.968</v>
      </c>
      <c r="X442" s="106" t="str">
        <f ca="1" t="shared" si="139"/>
        <v>神算诸葛</v>
      </c>
      <c r="Y442" s="95">
        <f ca="1" t="shared" si="159"/>
        <v>207000</v>
      </c>
      <c r="Z442" s="96">
        <f ca="1" t="shared" si="160"/>
        <v>5.4</v>
      </c>
    </row>
    <row r="443" s="106" customFormat="1" ht="16.5" spans="2:26">
      <c r="B443" s="117">
        <v>414</v>
      </c>
      <c r="C443" s="130">
        <f t="shared" si="161"/>
        <v>41400</v>
      </c>
      <c r="D443" s="131">
        <f ca="1" t="shared" si="140"/>
        <v>52</v>
      </c>
      <c r="E443" s="131">
        <f ca="1" t="shared" si="141"/>
        <v>52</v>
      </c>
      <c r="F443" s="131">
        <f ca="1" t="shared" si="142"/>
        <v>52</v>
      </c>
      <c r="G443" s="131">
        <f ca="1" t="shared" si="143"/>
        <v>44</v>
      </c>
      <c r="H443" s="131">
        <f ca="1" t="shared" si="144"/>
        <v>44</v>
      </c>
      <c r="I443" s="131">
        <f ca="1" t="shared" si="145"/>
        <v>44</v>
      </c>
      <c r="J443" s="131">
        <f ca="1" t="shared" si="146"/>
        <v>44</v>
      </c>
      <c r="K443" s="131">
        <f ca="1" t="shared" si="147"/>
        <v>44</v>
      </c>
      <c r="L443" s="131">
        <f ca="1" t="shared" si="148"/>
        <v>44</v>
      </c>
      <c r="M443" s="131">
        <f ca="1" t="shared" si="149"/>
        <v>40</v>
      </c>
      <c r="N443" s="131">
        <f ca="1" t="shared" si="150"/>
        <v>40</v>
      </c>
      <c r="O443" s="131">
        <f ca="1" t="shared" si="151"/>
        <v>40</v>
      </c>
      <c r="P443" s="131">
        <f ca="1" t="shared" si="152"/>
        <v>39</v>
      </c>
      <c r="Q443" s="131">
        <f ca="1" t="shared" si="153"/>
        <v>40</v>
      </c>
      <c r="R443" s="131">
        <f ca="1" t="shared" si="154"/>
        <v>40</v>
      </c>
      <c r="S443" s="131">
        <f ca="1" t="shared" si="155"/>
        <v>42</v>
      </c>
      <c r="T443" s="131">
        <f ca="1" t="shared" si="156"/>
        <v>44</v>
      </c>
      <c r="U443" s="131">
        <f ca="1" t="shared" si="157"/>
        <v>45</v>
      </c>
      <c r="V443" s="131">
        <f ca="1" t="shared" si="158"/>
        <v>45</v>
      </c>
      <c r="W443" s="124">
        <f ca="1">OFFSET($K$19,_xlfn.XLOOKUP(X443,$D$9:$D$28,$H$9:$H$28),MATCH(OFFSET($C$29,B443,MATCH(X443,$D$29:$V$29,0)),$L$19:$R$19,1))*(1+(OFFSET($C$29,B443,MATCH(X443,$D$29:$V$29,0))-1)*_xlfn.XLOOKUP(X443,梦灵养成!$D$9:$D$28,梦灵养成!$G$9:$G$28))</f>
        <v>58.968</v>
      </c>
      <c r="X443" s="106" t="str">
        <f ca="1" t="shared" si="139"/>
        <v>神算诸葛</v>
      </c>
      <c r="Y443" s="95">
        <f ca="1" t="shared" si="159"/>
        <v>205200</v>
      </c>
      <c r="Z443" s="96">
        <f ca="1" t="shared" si="160"/>
        <v>5.4</v>
      </c>
    </row>
    <row r="444" s="106" customFormat="1" ht="16.5" spans="2:26">
      <c r="B444" s="117">
        <v>415</v>
      </c>
      <c r="C444" s="130">
        <f t="shared" si="161"/>
        <v>41500</v>
      </c>
      <c r="D444" s="131">
        <f ca="1" t="shared" si="140"/>
        <v>52</v>
      </c>
      <c r="E444" s="131">
        <f ca="1" t="shared" si="141"/>
        <v>52</v>
      </c>
      <c r="F444" s="131">
        <f ca="1" t="shared" si="142"/>
        <v>52</v>
      </c>
      <c r="G444" s="131">
        <f ca="1" t="shared" si="143"/>
        <v>44</v>
      </c>
      <c r="H444" s="131">
        <f ca="1" t="shared" si="144"/>
        <v>44</v>
      </c>
      <c r="I444" s="131">
        <f ca="1" t="shared" si="145"/>
        <v>44</v>
      </c>
      <c r="J444" s="131">
        <f ca="1" t="shared" si="146"/>
        <v>44</v>
      </c>
      <c r="K444" s="131">
        <f ca="1" t="shared" si="147"/>
        <v>44</v>
      </c>
      <c r="L444" s="131">
        <f ca="1" t="shared" si="148"/>
        <v>44</v>
      </c>
      <c r="M444" s="131">
        <f ca="1" t="shared" si="149"/>
        <v>40</v>
      </c>
      <c r="N444" s="131">
        <f ca="1" t="shared" si="150"/>
        <v>40</v>
      </c>
      <c r="O444" s="131">
        <f ca="1" t="shared" si="151"/>
        <v>40</v>
      </c>
      <c r="P444" s="131">
        <f ca="1" t="shared" si="152"/>
        <v>40</v>
      </c>
      <c r="Q444" s="131">
        <f ca="1" t="shared" si="153"/>
        <v>40</v>
      </c>
      <c r="R444" s="131">
        <f ca="1" t="shared" si="154"/>
        <v>40</v>
      </c>
      <c r="S444" s="131">
        <f ca="1" t="shared" si="155"/>
        <v>42</v>
      </c>
      <c r="T444" s="131">
        <f ca="1" t="shared" si="156"/>
        <v>45</v>
      </c>
      <c r="U444" s="131">
        <f ca="1" t="shared" si="157"/>
        <v>45</v>
      </c>
      <c r="V444" s="131">
        <f ca="1" t="shared" si="158"/>
        <v>45</v>
      </c>
      <c r="W444" s="124">
        <f ca="1">OFFSET($K$19,_xlfn.XLOOKUP(X444,$D$9:$D$28,$H$9:$H$28),MATCH(OFFSET($C$29,B444,MATCH(X444,$D$29:$V$29,0)),$L$19:$R$19,1))*(1+(OFFSET($C$29,B444,MATCH(X444,$D$29:$V$29,0))-1)*_xlfn.XLOOKUP(X444,梦灵养成!$D$9:$D$28,梦灵养成!$G$9:$G$28))</f>
        <v>58.968</v>
      </c>
      <c r="X444" s="106" t="str">
        <f ca="1" t="shared" si="139"/>
        <v>神算诸葛</v>
      </c>
      <c r="Y444" s="95">
        <f ca="1" t="shared" si="159"/>
        <v>203400</v>
      </c>
      <c r="Z444" s="96">
        <f ca="1" t="shared" si="160"/>
        <v>5.4</v>
      </c>
    </row>
    <row r="445" s="106" customFormat="1" ht="16.5" spans="2:26">
      <c r="B445" s="117">
        <v>416</v>
      </c>
      <c r="C445" s="130">
        <f t="shared" si="161"/>
        <v>41600</v>
      </c>
      <c r="D445" s="131">
        <f ca="1" t="shared" si="140"/>
        <v>52</v>
      </c>
      <c r="E445" s="131">
        <f ca="1" t="shared" si="141"/>
        <v>52</v>
      </c>
      <c r="F445" s="131">
        <f ca="1" t="shared" si="142"/>
        <v>52</v>
      </c>
      <c r="G445" s="131">
        <f ca="1" t="shared" si="143"/>
        <v>44</v>
      </c>
      <c r="H445" s="131">
        <f ca="1" t="shared" si="144"/>
        <v>44</v>
      </c>
      <c r="I445" s="131">
        <f ca="1" t="shared" si="145"/>
        <v>44</v>
      </c>
      <c r="J445" s="131">
        <f ca="1" t="shared" si="146"/>
        <v>44</v>
      </c>
      <c r="K445" s="131">
        <f ca="1" t="shared" si="147"/>
        <v>44</v>
      </c>
      <c r="L445" s="131">
        <f ca="1" t="shared" si="148"/>
        <v>44</v>
      </c>
      <c r="M445" s="131">
        <f ca="1" t="shared" si="149"/>
        <v>40</v>
      </c>
      <c r="N445" s="131">
        <f ca="1" t="shared" si="150"/>
        <v>40</v>
      </c>
      <c r="O445" s="131">
        <f ca="1" t="shared" si="151"/>
        <v>40</v>
      </c>
      <c r="P445" s="131">
        <f ca="1" t="shared" si="152"/>
        <v>40</v>
      </c>
      <c r="Q445" s="131">
        <f ca="1" t="shared" si="153"/>
        <v>40</v>
      </c>
      <c r="R445" s="131">
        <f ca="1" t="shared" si="154"/>
        <v>40</v>
      </c>
      <c r="S445" s="131">
        <f ca="1" t="shared" si="155"/>
        <v>42</v>
      </c>
      <c r="T445" s="131">
        <f ca="1" t="shared" si="156"/>
        <v>45</v>
      </c>
      <c r="U445" s="131">
        <f ca="1" t="shared" si="157"/>
        <v>45</v>
      </c>
      <c r="V445" s="131">
        <f ca="1" t="shared" si="158"/>
        <v>45</v>
      </c>
      <c r="W445" s="124">
        <f ca="1">OFFSET($K$19,_xlfn.XLOOKUP(X445,$D$9:$D$28,$H$9:$H$28),MATCH(OFFSET($C$29,B445,MATCH(X445,$D$29:$V$29,0)),$L$19:$R$19,1))*(1+(OFFSET($C$29,B445,MATCH(X445,$D$29:$V$29,0))-1)*_xlfn.XLOOKUP(X445,梦灵养成!$D$9:$D$28,梦灵养成!$G$9:$G$28))</f>
        <v>58.968</v>
      </c>
      <c r="X445" s="106" t="str">
        <f ca="1" t="shared" si="139"/>
        <v>神算诸葛</v>
      </c>
      <c r="Y445" s="95">
        <f ca="1" t="shared" si="159"/>
        <v>201600</v>
      </c>
      <c r="Z445" s="96">
        <f ca="1" t="shared" si="160"/>
        <v>5.4</v>
      </c>
    </row>
    <row r="446" s="106" customFormat="1" ht="16.5" spans="2:26">
      <c r="B446" s="117">
        <v>417</v>
      </c>
      <c r="C446" s="130">
        <f t="shared" si="161"/>
        <v>41700</v>
      </c>
      <c r="D446" s="131">
        <f ca="1" t="shared" si="140"/>
        <v>52</v>
      </c>
      <c r="E446" s="131">
        <f ca="1" t="shared" si="141"/>
        <v>52</v>
      </c>
      <c r="F446" s="131">
        <f ca="1" t="shared" si="142"/>
        <v>52</v>
      </c>
      <c r="G446" s="131">
        <f ca="1" t="shared" si="143"/>
        <v>44</v>
      </c>
      <c r="H446" s="131">
        <f ca="1" t="shared" si="144"/>
        <v>44</v>
      </c>
      <c r="I446" s="131">
        <f ca="1" t="shared" si="145"/>
        <v>44</v>
      </c>
      <c r="J446" s="131">
        <f ca="1" t="shared" si="146"/>
        <v>44</v>
      </c>
      <c r="K446" s="131">
        <f ca="1" t="shared" si="147"/>
        <v>44</v>
      </c>
      <c r="L446" s="131">
        <f ca="1" t="shared" si="148"/>
        <v>44</v>
      </c>
      <c r="M446" s="131">
        <f ca="1" t="shared" si="149"/>
        <v>40</v>
      </c>
      <c r="N446" s="131">
        <f ca="1" t="shared" si="150"/>
        <v>40</v>
      </c>
      <c r="O446" s="131">
        <f ca="1" t="shared" si="151"/>
        <v>40</v>
      </c>
      <c r="P446" s="131">
        <f ca="1" t="shared" si="152"/>
        <v>40</v>
      </c>
      <c r="Q446" s="131">
        <f ca="1" t="shared" si="153"/>
        <v>40</v>
      </c>
      <c r="R446" s="131">
        <f ca="1" t="shared" si="154"/>
        <v>40</v>
      </c>
      <c r="S446" s="131">
        <f ca="1" t="shared" si="155"/>
        <v>42</v>
      </c>
      <c r="T446" s="131">
        <f ca="1" t="shared" si="156"/>
        <v>45</v>
      </c>
      <c r="U446" s="131">
        <f ca="1" t="shared" si="157"/>
        <v>45</v>
      </c>
      <c r="V446" s="131">
        <f ca="1" t="shared" si="158"/>
        <v>45</v>
      </c>
      <c r="W446" s="124">
        <f ca="1">OFFSET($K$19,_xlfn.XLOOKUP(X446,$D$9:$D$28,$H$9:$H$28),MATCH(OFFSET($C$29,B446,MATCH(X446,$D$29:$V$29,0)),$L$19:$R$19,1))*(1+(OFFSET($C$29,B446,MATCH(X446,$D$29:$V$29,0))-1)*_xlfn.XLOOKUP(X446,梦灵养成!$D$9:$D$28,梦灵养成!$G$9:$G$28))</f>
        <v>58.968</v>
      </c>
      <c r="X446" s="106" t="str">
        <f ca="1" t="shared" si="139"/>
        <v>神算诸葛</v>
      </c>
      <c r="Y446" s="95">
        <f ca="1" t="shared" si="159"/>
        <v>199800</v>
      </c>
      <c r="Z446" s="96">
        <f ca="1" t="shared" si="160"/>
        <v>5.4</v>
      </c>
    </row>
    <row r="447" s="106" customFormat="1" ht="16.5" spans="2:26">
      <c r="B447" s="117">
        <v>418</v>
      </c>
      <c r="C447" s="130">
        <f t="shared" si="161"/>
        <v>41800</v>
      </c>
      <c r="D447" s="131">
        <f ca="1" t="shared" si="140"/>
        <v>53</v>
      </c>
      <c r="E447" s="131">
        <f ca="1" t="shared" si="141"/>
        <v>53</v>
      </c>
      <c r="F447" s="131">
        <f ca="1" t="shared" si="142"/>
        <v>53</v>
      </c>
      <c r="G447" s="131">
        <f ca="1" t="shared" si="143"/>
        <v>44</v>
      </c>
      <c r="H447" s="131">
        <f ca="1" t="shared" si="144"/>
        <v>44</v>
      </c>
      <c r="I447" s="131">
        <f ca="1" t="shared" si="145"/>
        <v>44</v>
      </c>
      <c r="J447" s="131">
        <f ca="1" t="shared" si="146"/>
        <v>44</v>
      </c>
      <c r="K447" s="131">
        <f ca="1" t="shared" si="147"/>
        <v>44</v>
      </c>
      <c r="L447" s="131">
        <f ca="1" t="shared" si="148"/>
        <v>44</v>
      </c>
      <c r="M447" s="131">
        <f ca="1" t="shared" si="149"/>
        <v>40</v>
      </c>
      <c r="N447" s="131">
        <f ca="1" t="shared" si="150"/>
        <v>40</v>
      </c>
      <c r="O447" s="131">
        <f ca="1" t="shared" si="151"/>
        <v>40</v>
      </c>
      <c r="P447" s="131">
        <f ca="1" t="shared" si="152"/>
        <v>40</v>
      </c>
      <c r="Q447" s="131">
        <f ca="1" t="shared" si="153"/>
        <v>40</v>
      </c>
      <c r="R447" s="131">
        <f ca="1" t="shared" si="154"/>
        <v>40</v>
      </c>
      <c r="S447" s="131">
        <f ca="1" t="shared" si="155"/>
        <v>42</v>
      </c>
      <c r="T447" s="131">
        <f ca="1" t="shared" si="156"/>
        <v>45</v>
      </c>
      <c r="U447" s="131">
        <f ca="1" t="shared" si="157"/>
        <v>45</v>
      </c>
      <c r="V447" s="131">
        <f ca="1" t="shared" si="158"/>
        <v>45</v>
      </c>
      <c r="W447" s="124">
        <f ca="1">OFFSET($K$19,_xlfn.XLOOKUP(X447,$D$9:$D$28,$H$9:$H$28),MATCH(OFFSET($C$29,B447,MATCH(X447,$D$29:$V$29,0)),$L$19:$R$19,1))*(1+(OFFSET($C$29,B447,MATCH(X447,$D$29:$V$29,0))-1)*_xlfn.XLOOKUP(X447,梦灵养成!$D$9:$D$28,梦灵养成!$G$9:$G$28))</f>
        <v>58.968</v>
      </c>
      <c r="X447" s="106" t="str">
        <f ca="1" t="shared" si="139"/>
        <v>神算诸葛</v>
      </c>
      <c r="Y447" s="95">
        <f ca="1" t="shared" si="159"/>
        <v>198000</v>
      </c>
      <c r="Z447" s="96">
        <f ca="1" t="shared" si="160"/>
        <v>5.4</v>
      </c>
    </row>
    <row r="448" s="106" customFormat="1" ht="16.5" spans="2:26">
      <c r="B448" s="117">
        <v>419</v>
      </c>
      <c r="C448" s="130">
        <f t="shared" si="161"/>
        <v>41900</v>
      </c>
      <c r="D448" s="131">
        <f ca="1" t="shared" si="140"/>
        <v>53</v>
      </c>
      <c r="E448" s="131">
        <f ca="1" t="shared" si="141"/>
        <v>53</v>
      </c>
      <c r="F448" s="131">
        <f ca="1" t="shared" si="142"/>
        <v>53</v>
      </c>
      <c r="G448" s="131">
        <f ca="1" t="shared" si="143"/>
        <v>44</v>
      </c>
      <c r="H448" s="131">
        <f ca="1" t="shared" si="144"/>
        <v>44</v>
      </c>
      <c r="I448" s="131">
        <f ca="1" t="shared" si="145"/>
        <v>44</v>
      </c>
      <c r="J448" s="131">
        <f ca="1" t="shared" si="146"/>
        <v>44</v>
      </c>
      <c r="K448" s="131">
        <f ca="1" t="shared" si="147"/>
        <v>44</v>
      </c>
      <c r="L448" s="131">
        <f ca="1" t="shared" si="148"/>
        <v>44</v>
      </c>
      <c r="M448" s="131">
        <f ca="1" t="shared" si="149"/>
        <v>40</v>
      </c>
      <c r="N448" s="131">
        <f ca="1" t="shared" si="150"/>
        <v>40</v>
      </c>
      <c r="O448" s="131">
        <f ca="1" t="shared" si="151"/>
        <v>40</v>
      </c>
      <c r="P448" s="131">
        <f ca="1" t="shared" si="152"/>
        <v>40</v>
      </c>
      <c r="Q448" s="131">
        <f ca="1" t="shared" si="153"/>
        <v>40</v>
      </c>
      <c r="R448" s="131">
        <f ca="1" t="shared" si="154"/>
        <v>40</v>
      </c>
      <c r="S448" s="131">
        <f ca="1" t="shared" si="155"/>
        <v>42</v>
      </c>
      <c r="T448" s="131">
        <f ca="1" t="shared" si="156"/>
        <v>45</v>
      </c>
      <c r="U448" s="131">
        <f ca="1" t="shared" si="157"/>
        <v>45</v>
      </c>
      <c r="V448" s="131">
        <f ca="1" t="shared" si="158"/>
        <v>45</v>
      </c>
      <c r="W448" s="124">
        <f ca="1">OFFSET($K$19,_xlfn.XLOOKUP(X448,$D$9:$D$28,$H$9:$H$28),MATCH(OFFSET($C$29,B448,MATCH(X448,$D$29:$V$29,0)),$L$19:$R$19,1))*(1+(OFFSET($C$29,B448,MATCH(X448,$D$29:$V$29,0))-1)*_xlfn.XLOOKUP(X448,梦灵养成!$D$9:$D$28,梦灵养成!$G$9:$G$28))</f>
        <v>58.968</v>
      </c>
      <c r="X448" s="106" t="str">
        <f ca="1" t="shared" si="139"/>
        <v>神算诸葛</v>
      </c>
      <c r="Y448" s="95">
        <f ca="1" t="shared" si="159"/>
        <v>196200</v>
      </c>
      <c r="Z448" s="96">
        <f ca="1" t="shared" si="160"/>
        <v>5.4</v>
      </c>
    </row>
    <row r="449" s="106" customFormat="1" ht="16.5" spans="2:26">
      <c r="B449" s="117">
        <v>420</v>
      </c>
      <c r="C449" s="130">
        <f t="shared" si="161"/>
        <v>42000</v>
      </c>
      <c r="D449" s="131">
        <f ca="1" t="shared" si="140"/>
        <v>53</v>
      </c>
      <c r="E449" s="131">
        <f ca="1" t="shared" si="141"/>
        <v>53</v>
      </c>
      <c r="F449" s="131">
        <f ca="1" t="shared" si="142"/>
        <v>53</v>
      </c>
      <c r="G449" s="131">
        <f ca="1" t="shared" si="143"/>
        <v>44</v>
      </c>
      <c r="H449" s="131">
        <f ca="1" t="shared" si="144"/>
        <v>44</v>
      </c>
      <c r="I449" s="131">
        <f ca="1" t="shared" si="145"/>
        <v>44</v>
      </c>
      <c r="J449" s="131">
        <f ca="1" t="shared" si="146"/>
        <v>44</v>
      </c>
      <c r="K449" s="131">
        <f ca="1" t="shared" si="147"/>
        <v>44</v>
      </c>
      <c r="L449" s="131">
        <f ca="1" t="shared" si="148"/>
        <v>44</v>
      </c>
      <c r="M449" s="131">
        <f ca="1" t="shared" si="149"/>
        <v>40</v>
      </c>
      <c r="N449" s="131">
        <f ca="1" t="shared" si="150"/>
        <v>40</v>
      </c>
      <c r="O449" s="131">
        <f ca="1" t="shared" si="151"/>
        <v>40</v>
      </c>
      <c r="P449" s="131">
        <f ca="1" t="shared" si="152"/>
        <v>40</v>
      </c>
      <c r="Q449" s="131">
        <f ca="1" t="shared" si="153"/>
        <v>40</v>
      </c>
      <c r="R449" s="131">
        <f ca="1" t="shared" si="154"/>
        <v>40</v>
      </c>
      <c r="S449" s="131">
        <f ca="1" t="shared" si="155"/>
        <v>42</v>
      </c>
      <c r="T449" s="131">
        <f ca="1" t="shared" si="156"/>
        <v>45</v>
      </c>
      <c r="U449" s="131">
        <f ca="1" t="shared" si="157"/>
        <v>45</v>
      </c>
      <c r="V449" s="131">
        <f ca="1" t="shared" si="158"/>
        <v>45</v>
      </c>
      <c r="W449" s="124">
        <f ca="1">OFFSET($K$19,_xlfn.XLOOKUP(X449,$D$9:$D$28,$H$9:$H$28),MATCH(OFFSET($C$29,B449,MATCH(X449,$D$29:$V$29,0)),$L$19:$R$19,1))*(1+(OFFSET($C$29,B449,MATCH(X449,$D$29:$V$29,0))-1)*_xlfn.XLOOKUP(X449,梦灵养成!$D$9:$D$28,梦灵养成!$G$9:$G$28))</f>
        <v>58.968</v>
      </c>
      <c r="X449" s="106" t="str">
        <f ca="1" t="shared" si="139"/>
        <v>神算诸葛</v>
      </c>
      <c r="Y449" s="95">
        <f ca="1" t="shared" si="159"/>
        <v>194400</v>
      </c>
      <c r="Z449" s="96">
        <f ca="1" t="shared" si="160"/>
        <v>5.4</v>
      </c>
    </row>
    <row r="450" s="106" customFormat="1" ht="16.5" spans="2:26">
      <c r="B450" s="117">
        <v>421</v>
      </c>
      <c r="C450" s="130">
        <f t="shared" si="161"/>
        <v>42100</v>
      </c>
      <c r="D450" s="131">
        <f ca="1" t="shared" si="140"/>
        <v>53</v>
      </c>
      <c r="E450" s="131">
        <f ca="1" t="shared" si="141"/>
        <v>53</v>
      </c>
      <c r="F450" s="131">
        <f ca="1" t="shared" si="142"/>
        <v>53</v>
      </c>
      <c r="G450" s="131">
        <f ca="1" t="shared" si="143"/>
        <v>44</v>
      </c>
      <c r="H450" s="131">
        <f ca="1" t="shared" si="144"/>
        <v>44</v>
      </c>
      <c r="I450" s="131">
        <f ca="1" t="shared" si="145"/>
        <v>44</v>
      </c>
      <c r="J450" s="131">
        <f ca="1" t="shared" si="146"/>
        <v>44</v>
      </c>
      <c r="K450" s="131">
        <f ca="1" t="shared" si="147"/>
        <v>44</v>
      </c>
      <c r="L450" s="131">
        <f ca="1" t="shared" si="148"/>
        <v>44</v>
      </c>
      <c r="M450" s="131">
        <f ca="1" t="shared" si="149"/>
        <v>40</v>
      </c>
      <c r="N450" s="131">
        <f ca="1" t="shared" si="150"/>
        <v>40</v>
      </c>
      <c r="O450" s="131">
        <f ca="1" t="shared" si="151"/>
        <v>40</v>
      </c>
      <c r="P450" s="131">
        <f ca="1" t="shared" si="152"/>
        <v>40</v>
      </c>
      <c r="Q450" s="131">
        <f ca="1" t="shared" si="153"/>
        <v>40</v>
      </c>
      <c r="R450" s="131">
        <f ca="1" t="shared" si="154"/>
        <v>40</v>
      </c>
      <c r="S450" s="131">
        <f ca="1" t="shared" si="155"/>
        <v>42</v>
      </c>
      <c r="T450" s="131">
        <f ca="1" t="shared" si="156"/>
        <v>45</v>
      </c>
      <c r="U450" s="131">
        <f ca="1" t="shared" si="157"/>
        <v>45</v>
      </c>
      <c r="V450" s="131">
        <f ca="1" t="shared" si="158"/>
        <v>45</v>
      </c>
      <c r="W450" s="124">
        <f ca="1">OFFSET($K$19,_xlfn.XLOOKUP(X450,$D$9:$D$28,$H$9:$H$28),MATCH(OFFSET($C$29,B450,MATCH(X450,$D$29:$V$29,0)),$L$19:$R$19,1))*(1+(OFFSET($C$29,B450,MATCH(X450,$D$29:$V$29,0))-1)*_xlfn.XLOOKUP(X450,梦灵养成!$D$9:$D$28,梦灵养成!$G$9:$G$28))</f>
        <v>58.968</v>
      </c>
      <c r="X450" s="106" t="str">
        <f ca="1" t="shared" si="139"/>
        <v>神算诸葛</v>
      </c>
      <c r="Y450" s="95">
        <f ca="1" t="shared" si="159"/>
        <v>192600</v>
      </c>
      <c r="Z450" s="96">
        <f ca="1" t="shared" si="160"/>
        <v>5.4</v>
      </c>
    </row>
    <row r="451" s="106" customFormat="1" ht="16.5" spans="2:26">
      <c r="B451" s="117">
        <v>422</v>
      </c>
      <c r="C451" s="130">
        <f t="shared" si="161"/>
        <v>42200</v>
      </c>
      <c r="D451" s="131">
        <f ca="1" t="shared" si="140"/>
        <v>53</v>
      </c>
      <c r="E451" s="131">
        <f ca="1" t="shared" si="141"/>
        <v>53</v>
      </c>
      <c r="F451" s="131">
        <f ca="1" t="shared" si="142"/>
        <v>53</v>
      </c>
      <c r="G451" s="131">
        <f ca="1" t="shared" si="143"/>
        <v>44</v>
      </c>
      <c r="H451" s="131">
        <f ca="1" t="shared" si="144"/>
        <v>44</v>
      </c>
      <c r="I451" s="131">
        <f ca="1" t="shared" si="145"/>
        <v>44</v>
      </c>
      <c r="J451" s="131">
        <f ca="1" t="shared" si="146"/>
        <v>44</v>
      </c>
      <c r="K451" s="131">
        <f ca="1" t="shared" si="147"/>
        <v>44</v>
      </c>
      <c r="L451" s="131">
        <f ca="1" t="shared" si="148"/>
        <v>44</v>
      </c>
      <c r="M451" s="131">
        <f ca="1" t="shared" si="149"/>
        <v>40</v>
      </c>
      <c r="N451" s="131">
        <f ca="1" t="shared" si="150"/>
        <v>40</v>
      </c>
      <c r="O451" s="131">
        <f ca="1" t="shared" si="151"/>
        <v>40</v>
      </c>
      <c r="P451" s="131">
        <f ca="1" t="shared" si="152"/>
        <v>40</v>
      </c>
      <c r="Q451" s="131">
        <f ca="1" t="shared" si="153"/>
        <v>40</v>
      </c>
      <c r="R451" s="131">
        <f ca="1" t="shared" si="154"/>
        <v>40</v>
      </c>
      <c r="S451" s="131">
        <f ca="1" t="shared" si="155"/>
        <v>42</v>
      </c>
      <c r="T451" s="131">
        <f ca="1" t="shared" si="156"/>
        <v>45</v>
      </c>
      <c r="U451" s="131">
        <f ca="1" t="shared" si="157"/>
        <v>45</v>
      </c>
      <c r="V451" s="131">
        <f ca="1" t="shared" si="158"/>
        <v>45</v>
      </c>
      <c r="W451" s="124">
        <f ca="1">OFFSET($K$19,_xlfn.XLOOKUP(X451,$D$9:$D$28,$H$9:$H$28),MATCH(OFFSET($C$29,B451,MATCH(X451,$D$29:$V$29,0)),$L$19:$R$19,1))*(1+(OFFSET($C$29,B451,MATCH(X451,$D$29:$V$29,0))-1)*_xlfn.XLOOKUP(X451,梦灵养成!$D$9:$D$28,梦灵养成!$G$9:$G$28))</f>
        <v>58.968</v>
      </c>
      <c r="X451" s="106" t="str">
        <f ca="1" t="shared" si="139"/>
        <v>神算诸葛</v>
      </c>
      <c r="Y451" s="95">
        <f ca="1" t="shared" si="159"/>
        <v>190800</v>
      </c>
      <c r="Z451" s="96">
        <f ca="1" t="shared" si="160"/>
        <v>5.4</v>
      </c>
    </row>
    <row r="452" s="106" customFormat="1" ht="16.5" spans="2:26">
      <c r="B452" s="117">
        <v>423</v>
      </c>
      <c r="C452" s="130">
        <f t="shared" si="161"/>
        <v>42300</v>
      </c>
      <c r="D452" s="131">
        <f ca="1" t="shared" si="140"/>
        <v>53</v>
      </c>
      <c r="E452" s="131">
        <f ca="1" t="shared" si="141"/>
        <v>53</v>
      </c>
      <c r="F452" s="131">
        <f ca="1" t="shared" si="142"/>
        <v>53</v>
      </c>
      <c r="G452" s="131">
        <f ca="1" t="shared" si="143"/>
        <v>44</v>
      </c>
      <c r="H452" s="131">
        <f ca="1" t="shared" si="144"/>
        <v>44</v>
      </c>
      <c r="I452" s="131">
        <f ca="1" t="shared" si="145"/>
        <v>44</v>
      </c>
      <c r="J452" s="131">
        <f ca="1" t="shared" si="146"/>
        <v>44</v>
      </c>
      <c r="K452" s="131">
        <f ca="1" t="shared" si="147"/>
        <v>44</v>
      </c>
      <c r="L452" s="131">
        <f ca="1" t="shared" si="148"/>
        <v>44</v>
      </c>
      <c r="M452" s="131">
        <f ca="1" t="shared" si="149"/>
        <v>40</v>
      </c>
      <c r="N452" s="131">
        <f ca="1" t="shared" si="150"/>
        <v>40</v>
      </c>
      <c r="O452" s="131">
        <f ca="1" t="shared" si="151"/>
        <v>40</v>
      </c>
      <c r="P452" s="131">
        <f ca="1" t="shared" si="152"/>
        <v>40</v>
      </c>
      <c r="Q452" s="131">
        <f ca="1" t="shared" si="153"/>
        <v>40</v>
      </c>
      <c r="R452" s="131">
        <f ca="1" t="shared" si="154"/>
        <v>40</v>
      </c>
      <c r="S452" s="131">
        <f ca="1" t="shared" si="155"/>
        <v>42</v>
      </c>
      <c r="T452" s="131">
        <f ca="1" t="shared" si="156"/>
        <v>45</v>
      </c>
      <c r="U452" s="131">
        <f ca="1" t="shared" si="157"/>
        <v>45</v>
      </c>
      <c r="V452" s="131">
        <f ca="1" t="shared" si="158"/>
        <v>45</v>
      </c>
      <c r="W452" s="124">
        <f ca="1">OFFSET($K$19,_xlfn.XLOOKUP(X452,$D$9:$D$28,$H$9:$H$28),MATCH(OFFSET($C$29,B452,MATCH(X452,$D$29:$V$29,0)),$L$19:$R$19,1))*(1+(OFFSET($C$29,B452,MATCH(X452,$D$29:$V$29,0))-1)*_xlfn.XLOOKUP(X452,梦灵养成!$D$9:$D$28,梦灵养成!$G$9:$G$28))</f>
        <v>58.968</v>
      </c>
      <c r="X452" s="106" t="str">
        <f ca="1" t="shared" si="139"/>
        <v>神算诸葛</v>
      </c>
      <c r="Y452" s="95">
        <f ca="1" t="shared" si="159"/>
        <v>189000</v>
      </c>
      <c r="Z452" s="96">
        <f ca="1" t="shared" si="160"/>
        <v>5.4</v>
      </c>
    </row>
    <row r="453" s="106" customFormat="1" ht="16.5" spans="2:26">
      <c r="B453" s="117">
        <v>424</v>
      </c>
      <c r="C453" s="130">
        <f t="shared" si="161"/>
        <v>42400</v>
      </c>
      <c r="D453" s="131">
        <f ca="1" t="shared" si="140"/>
        <v>53</v>
      </c>
      <c r="E453" s="131">
        <f ca="1" t="shared" si="141"/>
        <v>53</v>
      </c>
      <c r="F453" s="131">
        <f ca="1" t="shared" si="142"/>
        <v>53</v>
      </c>
      <c r="G453" s="131">
        <f ca="1" t="shared" si="143"/>
        <v>44</v>
      </c>
      <c r="H453" s="131">
        <f ca="1" t="shared" si="144"/>
        <v>44</v>
      </c>
      <c r="I453" s="131">
        <f ca="1" t="shared" si="145"/>
        <v>44</v>
      </c>
      <c r="J453" s="131">
        <f ca="1" t="shared" si="146"/>
        <v>44</v>
      </c>
      <c r="K453" s="131">
        <f ca="1" t="shared" si="147"/>
        <v>44</v>
      </c>
      <c r="L453" s="131">
        <f ca="1" t="shared" si="148"/>
        <v>44</v>
      </c>
      <c r="M453" s="131">
        <f ca="1" t="shared" si="149"/>
        <v>40</v>
      </c>
      <c r="N453" s="131">
        <f ca="1" t="shared" si="150"/>
        <v>40</v>
      </c>
      <c r="O453" s="131">
        <f ca="1" t="shared" si="151"/>
        <v>40</v>
      </c>
      <c r="P453" s="131">
        <f ca="1" t="shared" si="152"/>
        <v>40</v>
      </c>
      <c r="Q453" s="131">
        <f ca="1" t="shared" si="153"/>
        <v>40</v>
      </c>
      <c r="R453" s="131">
        <f ca="1" t="shared" si="154"/>
        <v>40</v>
      </c>
      <c r="S453" s="131">
        <f ca="1" t="shared" si="155"/>
        <v>42</v>
      </c>
      <c r="T453" s="131">
        <f ca="1" t="shared" si="156"/>
        <v>45</v>
      </c>
      <c r="U453" s="131">
        <f ca="1" t="shared" si="157"/>
        <v>45</v>
      </c>
      <c r="V453" s="131">
        <f ca="1" t="shared" si="158"/>
        <v>45</v>
      </c>
      <c r="W453" s="124">
        <f ca="1">OFFSET($K$19,_xlfn.XLOOKUP(X453,$D$9:$D$28,$H$9:$H$28),MATCH(OFFSET($C$29,B453,MATCH(X453,$D$29:$V$29,0)),$L$19:$R$19,1))*(1+(OFFSET($C$29,B453,MATCH(X453,$D$29:$V$29,0))-1)*_xlfn.XLOOKUP(X453,梦灵养成!$D$9:$D$28,梦灵养成!$G$9:$G$28))</f>
        <v>58.968</v>
      </c>
      <c r="X453" s="106" t="str">
        <f ca="1" t="shared" si="139"/>
        <v>神算诸葛</v>
      </c>
      <c r="Y453" s="95">
        <f ca="1" t="shared" si="159"/>
        <v>187200</v>
      </c>
      <c r="Z453" s="96">
        <f ca="1" t="shared" si="160"/>
        <v>5.4</v>
      </c>
    </row>
    <row r="454" s="106" customFormat="1" ht="16.5" spans="2:26">
      <c r="B454" s="117">
        <v>425</v>
      </c>
      <c r="C454" s="130">
        <f t="shared" si="161"/>
        <v>42500</v>
      </c>
      <c r="D454" s="131">
        <f ca="1" t="shared" si="140"/>
        <v>53</v>
      </c>
      <c r="E454" s="131">
        <f ca="1" t="shared" si="141"/>
        <v>53</v>
      </c>
      <c r="F454" s="131">
        <f ca="1" t="shared" si="142"/>
        <v>53</v>
      </c>
      <c r="G454" s="131">
        <f ca="1" t="shared" si="143"/>
        <v>44</v>
      </c>
      <c r="H454" s="131">
        <f ca="1" t="shared" si="144"/>
        <v>44</v>
      </c>
      <c r="I454" s="131">
        <f ca="1" t="shared" si="145"/>
        <v>44</v>
      </c>
      <c r="J454" s="131">
        <f ca="1" t="shared" si="146"/>
        <v>44</v>
      </c>
      <c r="K454" s="131">
        <f ca="1" t="shared" si="147"/>
        <v>44</v>
      </c>
      <c r="L454" s="131">
        <f ca="1" t="shared" si="148"/>
        <v>44</v>
      </c>
      <c r="M454" s="131">
        <f ca="1" t="shared" si="149"/>
        <v>40</v>
      </c>
      <c r="N454" s="131">
        <f ca="1" t="shared" si="150"/>
        <v>40</v>
      </c>
      <c r="O454" s="131">
        <f ca="1" t="shared" si="151"/>
        <v>40</v>
      </c>
      <c r="P454" s="131">
        <f ca="1" t="shared" si="152"/>
        <v>40</v>
      </c>
      <c r="Q454" s="131">
        <f ca="1" t="shared" si="153"/>
        <v>40</v>
      </c>
      <c r="R454" s="131">
        <f ca="1" t="shared" si="154"/>
        <v>40</v>
      </c>
      <c r="S454" s="131">
        <f ca="1" t="shared" si="155"/>
        <v>42</v>
      </c>
      <c r="T454" s="131">
        <f ca="1" t="shared" si="156"/>
        <v>45</v>
      </c>
      <c r="U454" s="131">
        <f ca="1" t="shared" si="157"/>
        <v>45</v>
      </c>
      <c r="V454" s="131">
        <f ca="1" t="shared" si="158"/>
        <v>46</v>
      </c>
      <c r="W454" s="124">
        <f ca="1">OFFSET($K$19,_xlfn.XLOOKUP(X454,$D$9:$D$28,$H$9:$H$28),MATCH(OFFSET($C$29,B454,MATCH(X454,$D$29:$V$29,0)),$L$19:$R$19,1))*(1+(OFFSET($C$29,B454,MATCH(X454,$D$29:$V$29,0))-1)*_xlfn.XLOOKUP(X454,梦灵养成!$D$9:$D$28,梦灵养成!$G$9:$G$28))</f>
        <v>60.06</v>
      </c>
      <c r="X454" s="106" t="str">
        <f ca="1" t="shared" si="139"/>
        <v>神算诸葛</v>
      </c>
      <c r="Y454" s="95">
        <f ca="1" t="shared" si="159"/>
        <v>246600</v>
      </c>
      <c r="Z454" s="96">
        <f ca="1" t="shared" si="160"/>
        <v>5.5</v>
      </c>
    </row>
    <row r="455" s="106" customFormat="1" ht="16.5" spans="2:26">
      <c r="B455" s="117">
        <v>426</v>
      </c>
      <c r="C455" s="130">
        <f t="shared" si="161"/>
        <v>42600</v>
      </c>
      <c r="D455" s="131">
        <f ca="1" t="shared" si="140"/>
        <v>53</v>
      </c>
      <c r="E455" s="131">
        <f ca="1" t="shared" si="141"/>
        <v>53</v>
      </c>
      <c r="F455" s="131">
        <f ca="1" t="shared" si="142"/>
        <v>53</v>
      </c>
      <c r="G455" s="131">
        <f ca="1" t="shared" si="143"/>
        <v>44</v>
      </c>
      <c r="H455" s="131">
        <f ca="1" t="shared" si="144"/>
        <v>44</v>
      </c>
      <c r="I455" s="131">
        <f ca="1" t="shared" si="145"/>
        <v>44</v>
      </c>
      <c r="J455" s="131">
        <f ca="1" t="shared" si="146"/>
        <v>44</v>
      </c>
      <c r="K455" s="131">
        <f ca="1" t="shared" si="147"/>
        <v>44</v>
      </c>
      <c r="L455" s="131">
        <f ca="1" t="shared" si="148"/>
        <v>44</v>
      </c>
      <c r="M455" s="131">
        <f ca="1" t="shared" si="149"/>
        <v>40</v>
      </c>
      <c r="N455" s="131">
        <f ca="1" t="shared" si="150"/>
        <v>40</v>
      </c>
      <c r="O455" s="131">
        <f ca="1" t="shared" si="151"/>
        <v>40</v>
      </c>
      <c r="P455" s="131">
        <f ca="1" t="shared" si="152"/>
        <v>40</v>
      </c>
      <c r="Q455" s="131">
        <f ca="1" t="shared" si="153"/>
        <v>40</v>
      </c>
      <c r="R455" s="131">
        <f ca="1" t="shared" si="154"/>
        <v>40</v>
      </c>
      <c r="S455" s="131">
        <f ca="1" t="shared" si="155"/>
        <v>42</v>
      </c>
      <c r="T455" s="131">
        <f ca="1" t="shared" si="156"/>
        <v>45</v>
      </c>
      <c r="U455" s="131">
        <f ca="1" t="shared" si="157"/>
        <v>45</v>
      </c>
      <c r="V455" s="131">
        <f ca="1" t="shared" si="158"/>
        <v>46</v>
      </c>
      <c r="W455" s="124">
        <f ca="1">OFFSET($K$19,_xlfn.XLOOKUP(X455,$D$9:$D$28,$H$9:$H$28),MATCH(OFFSET($C$29,B455,MATCH(X455,$D$29:$V$29,0)),$L$19:$R$19,1))*(1+(OFFSET($C$29,B455,MATCH(X455,$D$29:$V$29,0))-1)*_xlfn.XLOOKUP(X455,梦灵养成!$D$9:$D$28,梦灵养成!$G$9:$G$28))</f>
        <v>60.06</v>
      </c>
      <c r="X455" s="106" t="str">
        <f ca="1" t="shared" si="139"/>
        <v>神算诸葛</v>
      </c>
      <c r="Y455" s="95">
        <f ca="1" t="shared" si="159"/>
        <v>244800</v>
      </c>
      <c r="Z455" s="96">
        <f ca="1" t="shared" si="160"/>
        <v>5.5</v>
      </c>
    </row>
    <row r="456" s="106" customFormat="1" ht="16.5" spans="2:26">
      <c r="B456" s="117">
        <v>427</v>
      </c>
      <c r="C456" s="130">
        <f t="shared" si="161"/>
        <v>42700</v>
      </c>
      <c r="D456" s="131">
        <f ca="1" t="shared" si="140"/>
        <v>53</v>
      </c>
      <c r="E456" s="131">
        <f ca="1" t="shared" si="141"/>
        <v>53</v>
      </c>
      <c r="F456" s="131">
        <f ca="1" t="shared" si="142"/>
        <v>53</v>
      </c>
      <c r="G456" s="131">
        <f ca="1" t="shared" si="143"/>
        <v>44</v>
      </c>
      <c r="H456" s="131">
        <f ca="1" t="shared" si="144"/>
        <v>44</v>
      </c>
      <c r="I456" s="131">
        <f ca="1" t="shared" si="145"/>
        <v>44</v>
      </c>
      <c r="J456" s="131">
        <f ca="1" t="shared" si="146"/>
        <v>44</v>
      </c>
      <c r="K456" s="131">
        <f ca="1" t="shared" si="147"/>
        <v>44</v>
      </c>
      <c r="L456" s="131">
        <f ca="1" t="shared" si="148"/>
        <v>44</v>
      </c>
      <c r="M456" s="131">
        <f ca="1" t="shared" si="149"/>
        <v>40</v>
      </c>
      <c r="N456" s="131">
        <f ca="1" t="shared" si="150"/>
        <v>40</v>
      </c>
      <c r="O456" s="131">
        <f ca="1" t="shared" si="151"/>
        <v>40</v>
      </c>
      <c r="P456" s="131">
        <f ca="1" t="shared" si="152"/>
        <v>40</v>
      </c>
      <c r="Q456" s="131">
        <f ca="1" t="shared" si="153"/>
        <v>40</v>
      </c>
      <c r="R456" s="131">
        <f ca="1" t="shared" si="154"/>
        <v>40</v>
      </c>
      <c r="S456" s="131">
        <f ca="1" t="shared" si="155"/>
        <v>42</v>
      </c>
      <c r="T456" s="131">
        <f ca="1" t="shared" si="156"/>
        <v>45</v>
      </c>
      <c r="U456" s="131">
        <f ca="1" t="shared" si="157"/>
        <v>45</v>
      </c>
      <c r="V456" s="131">
        <f ca="1" t="shared" si="158"/>
        <v>46</v>
      </c>
      <c r="W456" s="124">
        <f ca="1">OFFSET($K$19,_xlfn.XLOOKUP(X456,$D$9:$D$28,$H$9:$H$28),MATCH(OFFSET($C$29,B456,MATCH(X456,$D$29:$V$29,0)),$L$19:$R$19,1))*(1+(OFFSET($C$29,B456,MATCH(X456,$D$29:$V$29,0))-1)*_xlfn.XLOOKUP(X456,梦灵养成!$D$9:$D$28,梦灵养成!$G$9:$G$28))</f>
        <v>60.06</v>
      </c>
      <c r="X456" s="106" t="str">
        <f ca="1" t="shared" si="139"/>
        <v>神算诸葛</v>
      </c>
      <c r="Y456" s="95">
        <f ca="1" t="shared" si="159"/>
        <v>243000</v>
      </c>
      <c r="Z456" s="96">
        <f ca="1" t="shared" si="160"/>
        <v>5.5</v>
      </c>
    </row>
    <row r="457" s="106" customFormat="1" ht="16.5" spans="2:26">
      <c r="B457" s="117">
        <v>428</v>
      </c>
      <c r="C457" s="130">
        <f t="shared" si="161"/>
        <v>42800</v>
      </c>
      <c r="D457" s="131">
        <f ca="1" t="shared" si="140"/>
        <v>53</v>
      </c>
      <c r="E457" s="131">
        <f ca="1" t="shared" si="141"/>
        <v>53</v>
      </c>
      <c r="F457" s="131">
        <f ca="1" t="shared" si="142"/>
        <v>53</v>
      </c>
      <c r="G457" s="131">
        <f ca="1" t="shared" si="143"/>
        <v>44</v>
      </c>
      <c r="H457" s="131">
        <f ca="1" t="shared" si="144"/>
        <v>44</v>
      </c>
      <c r="I457" s="131">
        <f ca="1" t="shared" si="145"/>
        <v>44</v>
      </c>
      <c r="J457" s="131">
        <f ca="1" t="shared" si="146"/>
        <v>44</v>
      </c>
      <c r="K457" s="131">
        <f ca="1" t="shared" si="147"/>
        <v>44</v>
      </c>
      <c r="L457" s="131">
        <f ca="1" t="shared" si="148"/>
        <v>44</v>
      </c>
      <c r="M457" s="131">
        <f ca="1" t="shared" si="149"/>
        <v>40</v>
      </c>
      <c r="N457" s="131">
        <f ca="1" t="shared" si="150"/>
        <v>40</v>
      </c>
      <c r="O457" s="131">
        <f ca="1" t="shared" si="151"/>
        <v>40</v>
      </c>
      <c r="P457" s="131">
        <f ca="1" t="shared" si="152"/>
        <v>40</v>
      </c>
      <c r="Q457" s="131">
        <f ca="1" t="shared" si="153"/>
        <v>40</v>
      </c>
      <c r="R457" s="131">
        <f ca="1" t="shared" si="154"/>
        <v>40</v>
      </c>
      <c r="S457" s="131">
        <f ca="1" t="shared" si="155"/>
        <v>42</v>
      </c>
      <c r="T457" s="131">
        <f ca="1" t="shared" si="156"/>
        <v>45</v>
      </c>
      <c r="U457" s="131">
        <f ca="1" t="shared" si="157"/>
        <v>45</v>
      </c>
      <c r="V457" s="131">
        <f ca="1" t="shared" si="158"/>
        <v>46</v>
      </c>
      <c r="W457" s="124">
        <f ca="1">OFFSET($K$19,_xlfn.XLOOKUP(X457,$D$9:$D$28,$H$9:$H$28),MATCH(OFFSET($C$29,B457,MATCH(X457,$D$29:$V$29,0)),$L$19:$R$19,1))*(1+(OFFSET($C$29,B457,MATCH(X457,$D$29:$V$29,0))-1)*_xlfn.XLOOKUP(X457,梦灵养成!$D$9:$D$28,梦灵养成!$G$9:$G$28))</f>
        <v>60.06</v>
      </c>
      <c r="X457" s="106" t="str">
        <f ca="1" t="shared" si="139"/>
        <v>神算诸葛</v>
      </c>
      <c r="Y457" s="95">
        <f ca="1" t="shared" si="159"/>
        <v>241200</v>
      </c>
      <c r="Z457" s="96">
        <f ca="1" t="shared" si="160"/>
        <v>5.5</v>
      </c>
    </row>
    <row r="458" s="106" customFormat="1" ht="16.5" spans="2:26">
      <c r="B458" s="117">
        <v>429</v>
      </c>
      <c r="C458" s="130">
        <f t="shared" si="161"/>
        <v>42900</v>
      </c>
      <c r="D458" s="131">
        <f ca="1" t="shared" si="140"/>
        <v>53</v>
      </c>
      <c r="E458" s="131">
        <f ca="1" t="shared" si="141"/>
        <v>53</v>
      </c>
      <c r="F458" s="131">
        <f ca="1" t="shared" si="142"/>
        <v>53</v>
      </c>
      <c r="G458" s="131">
        <f ca="1" t="shared" si="143"/>
        <v>44</v>
      </c>
      <c r="H458" s="131">
        <f ca="1" t="shared" si="144"/>
        <v>44</v>
      </c>
      <c r="I458" s="131">
        <f ca="1" t="shared" si="145"/>
        <v>44</v>
      </c>
      <c r="J458" s="131">
        <f ca="1" t="shared" si="146"/>
        <v>44</v>
      </c>
      <c r="K458" s="131">
        <f ca="1" t="shared" si="147"/>
        <v>44</v>
      </c>
      <c r="L458" s="131">
        <f ca="1" t="shared" si="148"/>
        <v>44</v>
      </c>
      <c r="M458" s="131">
        <f ca="1" t="shared" si="149"/>
        <v>40</v>
      </c>
      <c r="N458" s="131">
        <f ca="1" t="shared" si="150"/>
        <v>40</v>
      </c>
      <c r="O458" s="131">
        <f ca="1" t="shared" si="151"/>
        <v>40</v>
      </c>
      <c r="P458" s="131">
        <f ca="1" t="shared" si="152"/>
        <v>40</v>
      </c>
      <c r="Q458" s="131">
        <f ca="1" t="shared" si="153"/>
        <v>40</v>
      </c>
      <c r="R458" s="131">
        <f ca="1" t="shared" si="154"/>
        <v>40</v>
      </c>
      <c r="S458" s="131">
        <f ca="1" t="shared" si="155"/>
        <v>42</v>
      </c>
      <c r="T458" s="131">
        <f ca="1" t="shared" si="156"/>
        <v>45</v>
      </c>
      <c r="U458" s="131">
        <f ca="1" t="shared" si="157"/>
        <v>45</v>
      </c>
      <c r="V458" s="131">
        <f ca="1" t="shared" si="158"/>
        <v>46</v>
      </c>
      <c r="W458" s="124">
        <f ca="1">OFFSET($K$19,_xlfn.XLOOKUP(X458,$D$9:$D$28,$H$9:$H$28),MATCH(OFFSET($C$29,B458,MATCH(X458,$D$29:$V$29,0)),$L$19:$R$19,1))*(1+(OFFSET($C$29,B458,MATCH(X458,$D$29:$V$29,0))-1)*_xlfn.XLOOKUP(X458,梦灵养成!$D$9:$D$28,梦灵养成!$G$9:$G$28))</f>
        <v>60.06</v>
      </c>
      <c r="X458" s="106" t="str">
        <f ca="1" t="shared" si="139"/>
        <v>神算诸葛</v>
      </c>
      <c r="Y458" s="95">
        <f ca="1" t="shared" si="159"/>
        <v>239400</v>
      </c>
      <c r="Z458" s="96">
        <f ca="1" t="shared" si="160"/>
        <v>5.5</v>
      </c>
    </row>
    <row r="459" s="106" customFormat="1" ht="16.5" spans="2:26">
      <c r="B459" s="117">
        <v>430</v>
      </c>
      <c r="C459" s="130">
        <f t="shared" si="161"/>
        <v>43000</v>
      </c>
      <c r="D459" s="131">
        <f ca="1" t="shared" si="140"/>
        <v>53</v>
      </c>
      <c r="E459" s="131">
        <f ca="1" t="shared" si="141"/>
        <v>53</v>
      </c>
      <c r="F459" s="131">
        <f ca="1" t="shared" si="142"/>
        <v>53</v>
      </c>
      <c r="G459" s="131">
        <f ca="1" t="shared" si="143"/>
        <v>44</v>
      </c>
      <c r="H459" s="131">
        <f ca="1" t="shared" si="144"/>
        <v>44</v>
      </c>
      <c r="I459" s="131">
        <f ca="1" t="shared" si="145"/>
        <v>44</v>
      </c>
      <c r="J459" s="131">
        <f ca="1" t="shared" si="146"/>
        <v>44</v>
      </c>
      <c r="K459" s="131">
        <f ca="1" t="shared" si="147"/>
        <v>44</v>
      </c>
      <c r="L459" s="131">
        <f ca="1" t="shared" si="148"/>
        <v>44</v>
      </c>
      <c r="M459" s="131">
        <f ca="1" t="shared" si="149"/>
        <v>40</v>
      </c>
      <c r="N459" s="131">
        <f ca="1" t="shared" si="150"/>
        <v>40</v>
      </c>
      <c r="O459" s="131">
        <f ca="1" t="shared" si="151"/>
        <v>40</v>
      </c>
      <c r="P459" s="131">
        <f ca="1" t="shared" si="152"/>
        <v>40</v>
      </c>
      <c r="Q459" s="131">
        <f ca="1" t="shared" si="153"/>
        <v>40</v>
      </c>
      <c r="R459" s="131">
        <f ca="1" t="shared" si="154"/>
        <v>40</v>
      </c>
      <c r="S459" s="131">
        <f ca="1" t="shared" si="155"/>
        <v>42</v>
      </c>
      <c r="T459" s="131">
        <f ca="1" t="shared" si="156"/>
        <v>45</v>
      </c>
      <c r="U459" s="131">
        <f ca="1" t="shared" si="157"/>
        <v>45</v>
      </c>
      <c r="V459" s="131">
        <f ca="1" t="shared" si="158"/>
        <v>46</v>
      </c>
      <c r="W459" s="124">
        <f ca="1">OFFSET($K$19,_xlfn.XLOOKUP(X459,$D$9:$D$28,$H$9:$H$28),MATCH(OFFSET($C$29,B459,MATCH(X459,$D$29:$V$29,0)),$L$19:$R$19,1))*(1+(OFFSET($C$29,B459,MATCH(X459,$D$29:$V$29,0))-1)*_xlfn.XLOOKUP(X459,梦灵养成!$D$9:$D$28,梦灵养成!$G$9:$G$28))</f>
        <v>60.06</v>
      </c>
      <c r="X459" s="106" t="str">
        <f ca="1" t="shared" si="139"/>
        <v>神算诸葛</v>
      </c>
      <c r="Y459" s="95">
        <f ca="1" t="shared" si="159"/>
        <v>237600</v>
      </c>
      <c r="Z459" s="96">
        <f ca="1" t="shared" si="160"/>
        <v>5.5</v>
      </c>
    </row>
    <row r="460" s="106" customFormat="1" ht="16.5" spans="2:26">
      <c r="B460" s="117">
        <v>431</v>
      </c>
      <c r="C460" s="130">
        <f t="shared" si="161"/>
        <v>43100</v>
      </c>
      <c r="D460" s="131">
        <f ca="1" t="shared" si="140"/>
        <v>53</v>
      </c>
      <c r="E460" s="131">
        <f ca="1" t="shared" si="141"/>
        <v>53</v>
      </c>
      <c r="F460" s="131">
        <f ca="1" t="shared" si="142"/>
        <v>53</v>
      </c>
      <c r="G460" s="131">
        <f ca="1" t="shared" si="143"/>
        <v>44</v>
      </c>
      <c r="H460" s="131">
        <f ca="1" t="shared" si="144"/>
        <v>44</v>
      </c>
      <c r="I460" s="131">
        <f ca="1" t="shared" si="145"/>
        <v>44</v>
      </c>
      <c r="J460" s="131">
        <f ca="1" t="shared" si="146"/>
        <v>44</v>
      </c>
      <c r="K460" s="131">
        <f ca="1" t="shared" si="147"/>
        <v>44</v>
      </c>
      <c r="L460" s="131">
        <f ca="1" t="shared" si="148"/>
        <v>44</v>
      </c>
      <c r="M460" s="131">
        <f ca="1" t="shared" si="149"/>
        <v>40</v>
      </c>
      <c r="N460" s="131">
        <f ca="1" t="shared" si="150"/>
        <v>40</v>
      </c>
      <c r="O460" s="131">
        <f ca="1" t="shared" si="151"/>
        <v>40</v>
      </c>
      <c r="P460" s="131">
        <f ca="1" t="shared" si="152"/>
        <v>40</v>
      </c>
      <c r="Q460" s="131">
        <f ca="1" t="shared" si="153"/>
        <v>40</v>
      </c>
      <c r="R460" s="131">
        <f ca="1" t="shared" si="154"/>
        <v>40</v>
      </c>
      <c r="S460" s="131">
        <f ca="1" t="shared" si="155"/>
        <v>42</v>
      </c>
      <c r="T460" s="131">
        <f ca="1" t="shared" si="156"/>
        <v>45</v>
      </c>
      <c r="U460" s="131">
        <f ca="1" t="shared" si="157"/>
        <v>45</v>
      </c>
      <c r="V460" s="131">
        <f ca="1" t="shared" si="158"/>
        <v>46</v>
      </c>
      <c r="W460" s="124">
        <f ca="1">OFFSET($K$19,_xlfn.XLOOKUP(X460,$D$9:$D$28,$H$9:$H$28),MATCH(OFFSET($C$29,B460,MATCH(X460,$D$29:$V$29,0)),$L$19:$R$19,1))*(1+(OFFSET($C$29,B460,MATCH(X460,$D$29:$V$29,0))-1)*_xlfn.XLOOKUP(X460,梦灵养成!$D$9:$D$28,梦灵养成!$G$9:$G$28))</f>
        <v>60.06</v>
      </c>
      <c r="X460" s="106" t="str">
        <f ca="1" t="shared" si="139"/>
        <v>神算诸葛</v>
      </c>
      <c r="Y460" s="95">
        <f ca="1" t="shared" si="159"/>
        <v>235800</v>
      </c>
      <c r="Z460" s="96">
        <f ca="1" t="shared" si="160"/>
        <v>5.5</v>
      </c>
    </row>
    <row r="461" s="106" customFormat="1" ht="16.5" spans="2:26">
      <c r="B461" s="117">
        <v>432</v>
      </c>
      <c r="C461" s="130">
        <f t="shared" si="161"/>
        <v>43200</v>
      </c>
      <c r="D461" s="131">
        <f ca="1" t="shared" si="140"/>
        <v>53</v>
      </c>
      <c r="E461" s="131">
        <f ca="1" t="shared" si="141"/>
        <v>53</v>
      </c>
      <c r="F461" s="131">
        <f ca="1" t="shared" si="142"/>
        <v>53</v>
      </c>
      <c r="G461" s="131">
        <f ca="1" t="shared" si="143"/>
        <v>44</v>
      </c>
      <c r="H461" s="131">
        <f ca="1" t="shared" si="144"/>
        <v>44</v>
      </c>
      <c r="I461" s="131">
        <f ca="1" t="shared" si="145"/>
        <v>44</v>
      </c>
      <c r="J461" s="131">
        <f ca="1" t="shared" si="146"/>
        <v>44</v>
      </c>
      <c r="K461" s="131">
        <f ca="1" t="shared" si="147"/>
        <v>44</v>
      </c>
      <c r="L461" s="131">
        <f ca="1" t="shared" si="148"/>
        <v>44</v>
      </c>
      <c r="M461" s="131">
        <f ca="1" t="shared" si="149"/>
        <v>40</v>
      </c>
      <c r="N461" s="131">
        <f ca="1" t="shared" si="150"/>
        <v>40</v>
      </c>
      <c r="O461" s="131">
        <f ca="1" t="shared" si="151"/>
        <v>40</v>
      </c>
      <c r="P461" s="131">
        <f ca="1" t="shared" si="152"/>
        <v>40</v>
      </c>
      <c r="Q461" s="131">
        <f ca="1" t="shared" si="153"/>
        <v>40</v>
      </c>
      <c r="R461" s="131">
        <f ca="1" t="shared" si="154"/>
        <v>40</v>
      </c>
      <c r="S461" s="131">
        <f ca="1" t="shared" si="155"/>
        <v>42</v>
      </c>
      <c r="T461" s="131">
        <f ca="1" t="shared" si="156"/>
        <v>45</v>
      </c>
      <c r="U461" s="131">
        <f ca="1" t="shared" si="157"/>
        <v>45</v>
      </c>
      <c r="V461" s="131">
        <f ca="1" t="shared" si="158"/>
        <v>46</v>
      </c>
      <c r="W461" s="124">
        <f ca="1">OFFSET($K$19,_xlfn.XLOOKUP(X461,$D$9:$D$28,$H$9:$H$28),MATCH(OFFSET($C$29,B461,MATCH(X461,$D$29:$V$29,0)),$L$19:$R$19,1))*(1+(OFFSET($C$29,B461,MATCH(X461,$D$29:$V$29,0))-1)*_xlfn.XLOOKUP(X461,梦灵养成!$D$9:$D$28,梦灵养成!$G$9:$G$28))</f>
        <v>60.06</v>
      </c>
      <c r="X461" s="106" t="str">
        <f ca="1" t="shared" si="139"/>
        <v>神算诸葛</v>
      </c>
      <c r="Y461" s="95">
        <f ca="1" t="shared" si="159"/>
        <v>234000</v>
      </c>
      <c r="Z461" s="96">
        <f ca="1" t="shared" si="160"/>
        <v>5.5</v>
      </c>
    </row>
    <row r="462" s="106" customFormat="1" ht="16.5" spans="2:26">
      <c r="B462" s="117">
        <v>433</v>
      </c>
      <c r="C462" s="130">
        <f t="shared" si="161"/>
        <v>43300</v>
      </c>
      <c r="D462" s="131">
        <f ca="1" t="shared" si="140"/>
        <v>53</v>
      </c>
      <c r="E462" s="131">
        <f ca="1" t="shared" si="141"/>
        <v>53</v>
      </c>
      <c r="F462" s="131">
        <f ca="1" t="shared" si="142"/>
        <v>53</v>
      </c>
      <c r="G462" s="131">
        <f ca="1" t="shared" si="143"/>
        <v>44</v>
      </c>
      <c r="H462" s="131">
        <f ca="1" t="shared" si="144"/>
        <v>44</v>
      </c>
      <c r="I462" s="131">
        <f ca="1" t="shared" si="145"/>
        <v>44</v>
      </c>
      <c r="J462" s="131">
        <f ca="1" t="shared" si="146"/>
        <v>44</v>
      </c>
      <c r="K462" s="131">
        <f ca="1" t="shared" si="147"/>
        <v>44</v>
      </c>
      <c r="L462" s="131">
        <f ca="1" t="shared" si="148"/>
        <v>44</v>
      </c>
      <c r="M462" s="131">
        <f ca="1" t="shared" si="149"/>
        <v>40</v>
      </c>
      <c r="N462" s="131">
        <f ca="1" t="shared" si="150"/>
        <v>40</v>
      </c>
      <c r="O462" s="131">
        <f ca="1" t="shared" si="151"/>
        <v>40</v>
      </c>
      <c r="P462" s="131">
        <f ca="1" t="shared" si="152"/>
        <v>40</v>
      </c>
      <c r="Q462" s="131">
        <f ca="1" t="shared" si="153"/>
        <v>40</v>
      </c>
      <c r="R462" s="131">
        <f ca="1" t="shared" si="154"/>
        <v>40</v>
      </c>
      <c r="S462" s="131">
        <f ca="1" t="shared" si="155"/>
        <v>42</v>
      </c>
      <c r="T462" s="131">
        <f ca="1" t="shared" si="156"/>
        <v>45</v>
      </c>
      <c r="U462" s="131">
        <f ca="1" t="shared" si="157"/>
        <v>45</v>
      </c>
      <c r="V462" s="131">
        <f ca="1" t="shared" si="158"/>
        <v>46</v>
      </c>
      <c r="W462" s="124">
        <f ca="1">OFFSET($K$19,_xlfn.XLOOKUP(X462,$D$9:$D$28,$H$9:$H$28),MATCH(OFFSET($C$29,B462,MATCH(X462,$D$29:$V$29,0)),$L$19:$R$19,1))*(1+(OFFSET($C$29,B462,MATCH(X462,$D$29:$V$29,0))-1)*_xlfn.XLOOKUP(X462,梦灵养成!$D$9:$D$28,梦灵养成!$G$9:$G$28))</f>
        <v>60.06</v>
      </c>
      <c r="X462" s="106" t="str">
        <f ca="1" t="shared" si="139"/>
        <v>神算诸葛</v>
      </c>
      <c r="Y462" s="95">
        <f ca="1" t="shared" si="159"/>
        <v>232200</v>
      </c>
      <c r="Z462" s="96">
        <f ca="1" t="shared" si="160"/>
        <v>5.5</v>
      </c>
    </row>
    <row r="463" s="106" customFormat="1" ht="16.5" spans="2:26">
      <c r="B463" s="117">
        <v>434</v>
      </c>
      <c r="C463" s="130">
        <f t="shared" si="161"/>
        <v>43400</v>
      </c>
      <c r="D463" s="131">
        <f ca="1" t="shared" si="140"/>
        <v>53</v>
      </c>
      <c r="E463" s="131">
        <f ca="1" t="shared" si="141"/>
        <v>53</v>
      </c>
      <c r="F463" s="131">
        <f ca="1" t="shared" si="142"/>
        <v>53</v>
      </c>
      <c r="G463" s="131">
        <f ca="1" t="shared" si="143"/>
        <v>44</v>
      </c>
      <c r="H463" s="131">
        <f ca="1" t="shared" si="144"/>
        <v>44</v>
      </c>
      <c r="I463" s="131">
        <f ca="1" t="shared" si="145"/>
        <v>44</v>
      </c>
      <c r="J463" s="131">
        <f ca="1" t="shared" si="146"/>
        <v>44</v>
      </c>
      <c r="K463" s="131">
        <f ca="1" t="shared" si="147"/>
        <v>44</v>
      </c>
      <c r="L463" s="131">
        <f ca="1" t="shared" si="148"/>
        <v>44</v>
      </c>
      <c r="M463" s="131">
        <f ca="1" t="shared" si="149"/>
        <v>40</v>
      </c>
      <c r="N463" s="131">
        <f ca="1" t="shared" si="150"/>
        <v>40</v>
      </c>
      <c r="O463" s="131">
        <f ca="1" t="shared" si="151"/>
        <v>40</v>
      </c>
      <c r="P463" s="131">
        <f ca="1" t="shared" si="152"/>
        <v>40</v>
      </c>
      <c r="Q463" s="131">
        <f ca="1" t="shared" si="153"/>
        <v>40</v>
      </c>
      <c r="R463" s="131">
        <f ca="1" t="shared" si="154"/>
        <v>40</v>
      </c>
      <c r="S463" s="131">
        <f ca="1" t="shared" si="155"/>
        <v>42</v>
      </c>
      <c r="T463" s="131">
        <f ca="1" t="shared" si="156"/>
        <v>45</v>
      </c>
      <c r="U463" s="131">
        <f ca="1" t="shared" si="157"/>
        <v>45</v>
      </c>
      <c r="V463" s="131">
        <f ca="1" t="shared" si="158"/>
        <v>46</v>
      </c>
      <c r="W463" s="124">
        <f ca="1">OFFSET($K$19,_xlfn.XLOOKUP(X463,$D$9:$D$28,$H$9:$H$28),MATCH(OFFSET($C$29,B463,MATCH(X463,$D$29:$V$29,0)),$L$19:$R$19,1))*(1+(OFFSET($C$29,B463,MATCH(X463,$D$29:$V$29,0))-1)*_xlfn.XLOOKUP(X463,梦灵养成!$D$9:$D$28,梦灵养成!$G$9:$G$28))</f>
        <v>60.06</v>
      </c>
      <c r="X463" s="106" t="str">
        <f ca="1" t="shared" si="139"/>
        <v>神算诸葛</v>
      </c>
      <c r="Y463" s="95">
        <f ca="1" t="shared" si="159"/>
        <v>230400</v>
      </c>
      <c r="Z463" s="96">
        <f ca="1" t="shared" si="160"/>
        <v>5.5</v>
      </c>
    </row>
    <row r="464" s="106" customFormat="1" ht="16.5" spans="2:26">
      <c r="B464" s="117">
        <v>435</v>
      </c>
      <c r="C464" s="130">
        <f t="shared" si="161"/>
        <v>43500</v>
      </c>
      <c r="D464" s="131">
        <f ca="1" t="shared" si="140"/>
        <v>53</v>
      </c>
      <c r="E464" s="131">
        <f ca="1" t="shared" si="141"/>
        <v>53</v>
      </c>
      <c r="F464" s="131">
        <f ca="1" t="shared" si="142"/>
        <v>53</v>
      </c>
      <c r="G464" s="131">
        <f ca="1" t="shared" si="143"/>
        <v>44</v>
      </c>
      <c r="H464" s="131">
        <f ca="1" t="shared" si="144"/>
        <v>44</v>
      </c>
      <c r="I464" s="131">
        <f ca="1" t="shared" si="145"/>
        <v>44</v>
      </c>
      <c r="J464" s="131">
        <f ca="1" t="shared" si="146"/>
        <v>44</v>
      </c>
      <c r="K464" s="131">
        <f ca="1" t="shared" si="147"/>
        <v>44</v>
      </c>
      <c r="L464" s="131">
        <f ca="1" t="shared" si="148"/>
        <v>44</v>
      </c>
      <c r="M464" s="131">
        <f ca="1" t="shared" si="149"/>
        <v>40</v>
      </c>
      <c r="N464" s="131">
        <f ca="1" t="shared" si="150"/>
        <v>40</v>
      </c>
      <c r="O464" s="131">
        <f ca="1" t="shared" si="151"/>
        <v>40</v>
      </c>
      <c r="P464" s="131">
        <f ca="1" t="shared" si="152"/>
        <v>40</v>
      </c>
      <c r="Q464" s="131">
        <f ca="1" t="shared" si="153"/>
        <v>40</v>
      </c>
      <c r="R464" s="131">
        <f ca="1" t="shared" si="154"/>
        <v>40</v>
      </c>
      <c r="S464" s="131">
        <f ca="1" t="shared" si="155"/>
        <v>42</v>
      </c>
      <c r="T464" s="131">
        <f ca="1" t="shared" si="156"/>
        <v>45</v>
      </c>
      <c r="U464" s="131">
        <f ca="1" t="shared" si="157"/>
        <v>45</v>
      </c>
      <c r="V464" s="131">
        <f ca="1" t="shared" si="158"/>
        <v>46</v>
      </c>
      <c r="W464" s="124">
        <f ca="1">OFFSET($K$19,_xlfn.XLOOKUP(X464,$D$9:$D$28,$H$9:$H$28),MATCH(OFFSET($C$29,B464,MATCH(X464,$D$29:$V$29,0)),$L$19:$R$19,1))*(1+(OFFSET($C$29,B464,MATCH(X464,$D$29:$V$29,0))-1)*_xlfn.XLOOKUP(X464,梦灵养成!$D$9:$D$28,梦灵养成!$G$9:$G$28))</f>
        <v>60.06</v>
      </c>
      <c r="X464" s="106" t="str">
        <f ca="1" t="shared" si="139"/>
        <v>神算诸葛</v>
      </c>
      <c r="Y464" s="95">
        <f ca="1" t="shared" si="159"/>
        <v>228600</v>
      </c>
      <c r="Z464" s="96">
        <f ca="1" t="shared" si="160"/>
        <v>5.5</v>
      </c>
    </row>
    <row r="465" s="106" customFormat="1" ht="16.5" spans="2:26">
      <c r="B465" s="117">
        <v>436</v>
      </c>
      <c r="C465" s="130">
        <f t="shared" si="161"/>
        <v>43600</v>
      </c>
      <c r="D465" s="131">
        <f ca="1" t="shared" si="140"/>
        <v>53</v>
      </c>
      <c r="E465" s="131">
        <f ca="1" t="shared" si="141"/>
        <v>53</v>
      </c>
      <c r="F465" s="131">
        <f ca="1" t="shared" si="142"/>
        <v>53</v>
      </c>
      <c r="G465" s="131">
        <f ca="1" t="shared" si="143"/>
        <v>44</v>
      </c>
      <c r="H465" s="131">
        <f ca="1" t="shared" si="144"/>
        <v>44</v>
      </c>
      <c r="I465" s="131">
        <f ca="1" t="shared" si="145"/>
        <v>44</v>
      </c>
      <c r="J465" s="131">
        <f ca="1" t="shared" si="146"/>
        <v>44</v>
      </c>
      <c r="K465" s="131">
        <f ca="1" t="shared" si="147"/>
        <v>44</v>
      </c>
      <c r="L465" s="131">
        <f ca="1" t="shared" si="148"/>
        <v>44</v>
      </c>
      <c r="M465" s="131">
        <f ca="1" t="shared" si="149"/>
        <v>40</v>
      </c>
      <c r="N465" s="131">
        <f ca="1" t="shared" si="150"/>
        <v>40</v>
      </c>
      <c r="O465" s="131">
        <f ca="1" t="shared" si="151"/>
        <v>40</v>
      </c>
      <c r="P465" s="131">
        <f ca="1" t="shared" si="152"/>
        <v>40</v>
      </c>
      <c r="Q465" s="131">
        <f ca="1" t="shared" si="153"/>
        <v>40</v>
      </c>
      <c r="R465" s="131">
        <f ca="1" t="shared" si="154"/>
        <v>40</v>
      </c>
      <c r="S465" s="131">
        <f ca="1" t="shared" si="155"/>
        <v>42</v>
      </c>
      <c r="T465" s="131">
        <f ca="1" t="shared" si="156"/>
        <v>45</v>
      </c>
      <c r="U465" s="131">
        <f ca="1" t="shared" si="157"/>
        <v>45</v>
      </c>
      <c r="V465" s="131">
        <f ca="1" t="shared" si="158"/>
        <v>46</v>
      </c>
      <c r="W465" s="124">
        <f ca="1">OFFSET($K$19,_xlfn.XLOOKUP(X465,$D$9:$D$28,$H$9:$H$28),MATCH(OFFSET($C$29,B465,MATCH(X465,$D$29:$V$29,0)),$L$19:$R$19,1))*(1+(OFFSET($C$29,B465,MATCH(X465,$D$29:$V$29,0))-1)*_xlfn.XLOOKUP(X465,梦灵养成!$D$9:$D$28,梦灵养成!$G$9:$G$28))</f>
        <v>60.06</v>
      </c>
      <c r="X465" s="106" t="str">
        <f ca="1" t="shared" si="139"/>
        <v>神算诸葛</v>
      </c>
      <c r="Y465" s="95">
        <f ca="1" t="shared" si="159"/>
        <v>226800</v>
      </c>
      <c r="Z465" s="96">
        <f ca="1" t="shared" si="160"/>
        <v>5.5</v>
      </c>
    </row>
    <row r="466" s="106" customFormat="1" ht="16.5" spans="2:26">
      <c r="B466" s="117">
        <v>437</v>
      </c>
      <c r="C466" s="130">
        <f t="shared" si="161"/>
        <v>43700</v>
      </c>
      <c r="D466" s="131">
        <f ca="1" t="shared" si="140"/>
        <v>53</v>
      </c>
      <c r="E466" s="131">
        <f ca="1" t="shared" si="141"/>
        <v>53</v>
      </c>
      <c r="F466" s="131">
        <f ca="1" t="shared" si="142"/>
        <v>53</v>
      </c>
      <c r="G466" s="131">
        <f ca="1" t="shared" si="143"/>
        <v>44</v>
      </c>
      <c r="H466" s="131">
        <f ca="1" t="shared" si="144"/>
        <v>44</v>
      </c>
      <c r="I466" s="131">
        <f ca="1" t="shared" si="145"/>
        <v>44</v>
      </c>
      <c r="J466" s="131">
        <f ca="1" t="shared" si="146"/>
        <v>44</v>
      </c>
      <c r="K466" s="131">
        <f ca="1" t="shared" si="147"/>
        <v>44</v>
      </c>
      <c r="L466" s="131">
        <f ca="1" t="shared" si="148"/>
        <v>44</v>
      </c>
      <c r="M466" s="131">
        <f ca="1" t="shared" si="149"/>
        <v>40</v>
      </c>
      <c r="N466" s="131">
        <f ca="1" t="shared" si="150"/>
        <v>40</v>
      </c>
      <c r="O466" s="131">
        <f ca="1" t="shared" si="151"/>
        <v>40</v>
      </c>
      <c r="P466" s="131">
        <f ca="1" t="shared" si="152"/>
        <v>40</v>
      </c>
      <c r="Q466" s="131">
        <f ca="1" t="shared" si="153"/>
        <v>40</v>
      </c>
      <c r="R466" s="131">
        <f ca="1" t="shared" si="154"/>
        <v>40</v>
      </c>
      <c r="S466" s="131">
        <f ca="1" t="shared" si="155"/>
        <v>42</v>
      </c>
      <c r="T466" s="131">
        <f ca="1" t="shared" si="156"/>
        <v>45</v>
      </c>
      <c r="U466" s="131">
        <f ca="1" t="shared" si="157"/>
        <v>45</v>
      </c>
      <c r="V466" s="131">
        <f ca="1" t="shared" si="158"/>
        <v>46</v>
      </c>
      <c r="W466" s="124">
        <f ca="1">OFFSET($K$19,_xlfn.XLOOKUP(X466,$D$9:$D$28,$H$9:$H$28),MATCH(OFFSET($C$29,B466,MATCH(X466,$D$29:$V$29,0)),$L$19:$R$19,1))*(1+(OFFSET($C$29,B466,MATCH(X466,$D$29:$V$29,0))-1)*_xlfn.XLOOKUP(X466,梦灵养成!$D$9:$D$28,梦灵养成!$G$9:$G$28))</f>
        <v>60.06</v>
      </c>
      <c r="X466" s="106" t="str">
        <f ca="1" t="shared" si="139"/>
        <v>神算诸葛</v>
      </c>
      <c r="Y466" s="95">
        <f ca="1" t="shared" si="159"/>
        <v>225000</v>
      </c>
      <c r="Z466" s="96">
        <f ca="1" t="shared" si="160"/>
        <v>5.5</v>
      </c>
    </row>
    <row r="467" s="106" customFormat="1" ht="16.5" spans="2:26">
      <c r="B467" s="117">
        <v>438</v>
      </c>
      <c r="C467" s="130">
        <f t="shared" si="161"/>
        <v>43800</v>
      </c>
      <c r="D467" s="131">
        <f ca="1" t="shared" si="140"/>
        <v>53</v>
      </c>
      <c r="E467" s="131">
        <f ca="1" t="shared" si="141"/>
        <v>53</v>
      </c>
      <c r="F467" s="131">
        <f ca="1" t="shared" si="142"/>
        <v>53</v>
      </c>
      <c r="G467" s="131">
        <f ca="1" t="shared" si="143"/>
        <v>44</v>
      </c>
      <c r="H467" s="131">
        <f ca="1" t="shared" si="144"/>
        <v>44</v>
      </c>
      <c r="I467" s="131">
        <f ca="1" t="shared" si="145"/>
        <v>44</v>
      </c>
      <c r="J467" s="131">
        <f ca="1" t="shared" si="146"/>
        <v>44</v>
      </c>
      <c r="K467" s="131">
        <f ca="1" t="shared" si="147"/>
        <v>44</v>
      </c>
      <c r="L467" s="131">
        <f ca="1" t="shared" si="148"/>
        <v>44</v>
      </c>
      <c r="M467" s="131">
        <f ca="1" t="shared" si="149"/>
        <v>40</v>
      </c>
      <c r="N467" s="131">
        <f ca="1" t="shared" si="150"/>
        <v>40</v>
      </c>
      <c r="O467" s="131">
        <f ca="1" t="shared" si="151"/>
        <v>40</v>
      </c>
      <c r="P467" s="131">
        <f ca="1" t="shared" si="152"/>
        <v>40</v>
      </c>
      <c r="Q467" s="131">
        <f ca="1" t="shared" si="153"/>
        <v>40</v>
      </c>
      <c r="R467" s="131">
        <f ca="1" t="shared" si="154"/>
        <v>40</v>
      </c>
      <c r="S467" s="131">
        <f ca="1" t="shared" si="155"/>
        <v>42</v>
      </c>
      <c r="T467" s="131">
        <f ca="1" t="shared" si="156"/>
        <v>45</v>
      </c>
      <c r="U467" s="131">
        <f ca="1" t="shared" si="157"/>
        <v>45</v>
      </c>
      <c r="V467" s="131">
        <f ca="1" t="shared" si="158"/>
        <v>46</v>
      </c>
      <c r="W467" s="124">
        <f ca="1">OFFSET($K$19,_xlfn.XLOOKUP(X467,$D$9:$D$28,$H$9:$H$28),MATCH(OFFSET($C$29,B467,MATCH(X467,$D$29:$V$29,0)),$L$19:$R$19,1))*(1+(OFFSET($C$29,B467,MATCH(X467,$D$29:$V$29,0))-1)*_xlfn.XLOOKUP(X467,梦灵养成!$D$9:$D$28,梦灵养成!$G$9:$G$28))</f>
        <v>60.06</v>
      </c>
      <c r="X467" s="106" t="str">
        <f ca="1" t="shared" si="139"/>
        <v>神算诸葛</v>
      </c>
      <c r="Y467" s="95">
        <f ca="1" t="shared" si="159"/>
        <v>223200</v>
      </c>
      <c r="Z467" s="96">
        <f ca="1" t="shared" si="160"/>
        <v>5.5</v>
      </c>
    </row>
    <row r="468" s="106" customFormat="1" ht="16.5" spans="2:26">
      <c r="B468" s="117">
        <v>439</v>
      </c>
      <c r="C468" s="130">
        <f t="shared" si="161"/>
        <v>43900</v>
      </c>
      <c r="D468" s="131">
        <f ca="1" t="shared" si="140"/>
        <v>53</v>
      </c>
      <c r="E468" s="131">
        <f ca="1" t="shared" si="141"/>
        <v>53</v>
      </c>
      <c r="F468" s="131">
        <f ca="1" t="shared" si="142"/>
        <v>53</v>
      </c>
      <c r="G468" s="131">
        <f ca="1" t="shared" si="143"/>
        <v>44</v>
      </c>
      <c r="H468" s="131">
        <f ca="1" t="shared" si="144"/>
        <v>44</v>
      </c>
      <c r="I468" s="131">
        <f ca="1" t="shared" si="145"/>
        <v>44</v>
      </c>
      <c r="J468" s="131">
        <f ca="1" t="shared" si="146"/>
        <v>44</v>
      </c>
      <c r="K468" s="131">
        <f ca="1" t="shared" si="147"/>
        <v>44</v>
      </c>
      <c r="L468" s="131">
        <f ca="1" t="shared" si="148"/>
        <v>44</v>
      </c>
      <c r="M468" s="131">
        <f ca="1" t="shared" si="149"/>
        <v>40</v>
      </c>
      <c r="N468" s="131">
        <f ca="1" t="shared" si="150"/>
        <v>40</v>
      </c>
      <c r="O468" s="131">
        <f ca="1" t="shared" si="151"/>
        <v>40</v>
      </c>
      <c r="P468" s="131">
        <f ca="1" t="shared" si="152"/>
        <v>40</v>
      </c>
      <c r="Q468" s="131">
        <f ca="1" t="shared" si="153"/>
        <v>41</v>
      </c>
      <c r="R468" s="131">
        <f ca="1" t="shared" si="154"/>
        <v>40</v>
      </c>
      <c r="S468" s="131">
        <f ca="1" t="shared" si="155"/>
        <v>42</v>
      </c>
      <c r="T468" s="131">
        <f ca="1" t="shared" si="156"/>
        <v>45</v>
      </c>
      <c r="U468" s="131">
        <f ca="1" t="shared" si="157"/>
        <v>45</v>
      </c>
      <c r="V468" s="131">
        <f ca="1" t="shared" si="158"/>
        <v>46</v>
      </c>
      <c r="W468" s="124">
        <f ca="1">OFFSET($K$19,_xlfn.XLOOKUP(X468,$D$9:$D$28,$H$9:$H$28),MATCH(OFFSET($C$29,B468,MATCH(X468,$D$29:$V$29,0)),$L$19:$R$19,1))*(1+(OFFSET($C$29,B468,MATCH(X468,$D$29:$V$29,0))-1)*_xlfn.XLOOKUP(X468,梦灵养成!$D$9:$D$28,梦灵养成!$G$9:$G$28))</f>
        <v>60.06</v>
      </c>
      <c r="X468" s="106" t="str">
        <f ca="1" t="shared" si="139"/>
        <v>神算诸葛</v>
      </c>
      <c r="Y468" s="95">
        <f ca="1" t="shared" si="159"/>
        <v>221400</v>
      </c>
      <c r="Z468" s="96">
        <f ca="1" t="shared" si="160"/>
        <v>5.5</v>
      </c>
    </row>
    <row r="469" s="106" customFormat="1" ht="16.5" spans="2:26">
      <c r="B469" s="117">
        <v>440</v>
      </c>
      <c r="C469" s="130">
        <f t="shared" si="161"/>
        <v>44000</v>
      </c>
      <c r="D469" s="131">
        <f ca="1" t="shared" si="140"/>
        <v>53</v>
      </c>
      <c r="E469" s="131">
        <f ca="1" t="shared" si="141"/>
        <v>53</v>
      </c>
      <c r="F469" s="131">
        <f ca="1" t="shared" si="142"/>
        <v>53</v>
      </c>
      <c r="G469" s="131">
        <f ca="1" t="shared" si="143"/>
        <v>44</v>
      </c>
      <c r="H469" s="131">
        <f ca="1" t="shared" si="144"/>
        <v>44</v>
      </c>
      <c r="I469" s="131">
        <f ca="1" t="shared" si="145"/>
        <v>44</v>
      </c>
      <c r="J469" s="131">
        <f ca="1" t="shared" si="146"/>
        <v>44</v>
      </c>
      <c r="K469" s="131">
        <f ca="1" t="shared" si="147"/>
        <v>44</v>
      </c>
      <c r="L469" s="131">
        <f ca="1" t="shared" si="148"/>
        <v>44</v>
      </c>
      <c r="M469" s="131">
        <f ca="1" t="shared" si="149"/>
        <v>40</v>
      </c>
      <c r="N469" s="131">
        <f ca="1" t="shared" si="150"/>
        <v>40</v>
      </c>
      <c r="O469" s="131">
        <f ca="1" t="shared" si="151"/>
        <v>40</v>
      </c>
      <c r="P469" s="131">
        <f ca="1" t="shared" si="152"/>
        <v>40</v>
      </c>
      <c r="Q469" s="131">
        <f ca="1" t="shared" si="153"/>
        <v>41</v>
      </c>
      <c r="R469" s="131">
        <f ca="1" t="shared" si="154"/>
        <v>40</v>
      </c>
      <c r="S469" s="131">
        <f ca="1" t="shared" si="155"/>
        <v>42</v>
      </c>
      <c r="T469" s="131">
        <f ca="1" t="shared" si="156"/>
        <v>45</v>
      </c>
      <c r="U469" s="131">
        <f ca="1" t="shared" si="157"/>
        <v>45</v>
      </c>
      <c r="V469" s="131">
        <f ca="1" t="shared" si="158"/>
        <v>46</v>
      </c>
      <c r="W469" s="124">
        <f ca="1">OFFSET($K$19,_xlfn.XLOOKUP(X469,$D$9:$D$28,$H$9:$H$28),MATCH(OFFSET($C$29,B469,MATCH(X469,$D$29:$V$29,0)),$L$19:$R$19,1))*(1+(OFFSET($C$29,B469,MATCH(X469,$D$29:$V$29,0))-1)*_xlfn.XLOOKUP(X469,梦灵养成!$D$9:$D$28,梦灵养成!$G$9:$G$28))</f>
        <v>60.06</v>
      </c>
      <c r="X469" s="106" t="str">
        <f ca="1" t="shared" si="139"/>
        <v>神算诸葛</v>
      </c>
      <c r="Y469" s="95">
        <f ca="1" t="shared" si="159"/>
        <v>219600</v>
      </c>
      <c r="Z469" s="96">
        <f ca="1" t="shared" si="160"/>
        <v>5.5</v>
      </c>
    </row>
    <row r="470" s="106" customFormat="1" ht="16.5" spans="2:26">
      <c r="B470" s="117">
        <v>441</v>
      </c>
      <c r="C470" s="130">
        <f t="shared" si="161"/>
        <v>44100</v>
      </c>
      <c r="D470" s="131">
        <f ca="1" t="shared" si="140"/>
        <v>53</v>
      </c>
      <c r="E470" s="131">
        <f ca="1" t="shared" si="141"/>
        <v>53</v>
      </c>
      <c r="F470" s="131">
        <f ca="1" t="shared" si="142"/>
        <v>53</v>
      </c>
      <c r="G470" s="131">
        <f ca="1" t="shared" si="143"/>
        <v>44</v>
      </c>
      <c r="H470" s="131">
        <f ca="1" t="shared" si="144"/>
        <v>44</v>
      </c>
      <c r="I470" s="131">
        <f ca="1" t="shared" si="145"/>
        <v>44</v>
      </c>
      <c r="J470" s="131">
        <f ca="1" t="shared" si="146"/>
        <v>44</v>
      </c>
      <c r="K470" s="131">
        <f ca="1" t="shared" si="147"/>
        <v>44</v>
      </c>
      <c r="L470" s="131">
        <f ca="1" t="shared" si="148"/>
        <v>44</v>
      </c>
      <c r="M470" s="131">
        <f ca="1" t="shared" si="149"/>
        <v>40</v>
      </c>
      <c r="N470" s="131">
        <f ca="1" t="shared" si="150"/>
        <v>40</v>
      </c>
      <c r="O470" s="131">
        <f ca="1" t="shared" si="151"/>
        <v>41</v>
      </c>
      <c r="P470" s="131">
        <f ca="1" t="shared" si="152"/>
        <v>40</v>
      </c>
      <c r="Q470" s="131">
        <f ca="1" t="shared" si="153"/>
        <v>41</v>
      </c>
      <c r="R470" s="131">
        <f ca="1" t="shared" si="154"/>
        <v>40</v>
      </c>
      <c r="S470" s="131">
        <f ca="1" t="shared" si="155"/>
        <v>42</v>
      </c>
      <c r="T470" s="131">
        <f ca="1" t="shared" si="156"/>
        <v>45</v>
      </c>
      <c r="U470" s="131">
        <f ca="1" t="shared" si="157"/>
        <v>45</v>
      </c>
      <c r="V470" s="131">
        <f ca="1" t="shared" si="158"/>
        <v>46</v>
      </c>
      <c r="W470" s="124">
        <f ca="1">OFFSET($K$19,_xlfn.XLOOKUP(X470,$D$9:$D$28,$H$9:$H$28),MATCH(OFFSET($C$29,B470,MATCH(X470,$D$29:$V$29,0)),$L$19:$R$19,1))*(1+(OFFSET($C$29,B470,MATCH(X470,$D$29:$V$29,0))-1)*_xlfn.XLOOKUP(X470,梦灵养成!$D$9:$D$28,梦灵养成!$G$9:$G$28))</f>
        <v>60.06</v>
      </c>
      <c r="X470" s="106" t="str">
        <f ca="1" t="shared" si="139"/>
        <v>神算诸葛</v>
      </c>
      <c r="Y470" s="95">
        <f ca="1">MAX(Y441:Y469)</f>
        <v>246600</v>
      </c>
      <c r="Z470" s="96">
        <f ca="1" t="shared" si="160"/>
        <v>5.5</v>
      </c>
    </row>
    <row r="471" s="106" customFormat="1" ht="16.5" spans="2:26">
      <c r="B471" s="117">
        <v>442</v>
      </c>
      <c r="C471" s="130">
        <f t="shared" si="161"/>
        <v>44200</v>
      </c>
      <c r="D471" s="131">
        <f ca="1" t="shared" si="140"/>
        <v>53</v>
      </c>
      <c r="E471" s="131">
        <f ca="1" t="shared" si="141"/>
        <v>53</v>
      </c>
      <c r="F471" s="131">
        <f ca="1" t="shared" si="142"/>
        <v>53</v>
      </c>
      <c r="G471" s="131">
        <f ca="1" t="shared" si="143"/>
        <v>44</v>
      </c>
      <c r="H471" s="131">
        <f ca="1" t="shared" si="144"/>
        <v>44</v>
      </c>
      <c r="I471" s="131">
        <f ca="1" t="shared" si="145"/>
        <v>44</v>
      </c>
      <c r="J471" s="131">
        <f ca="1" t="shared" si="146"/>
        <v>44</v>
      </c>
      <c r="K471" s="131">
        <f ca="1" t="shared" si="147"/>
        <v>44</v>
      </c>
      <c r="L471" s="131">
        <f ca="1" t="shared" si="148"/>
        <v>44</v>
      </c>
      <c r="M471" s="131">
        <f ca="1" t="shared" si="149"/>
        <v>40</v>
      </c>
      <c r="N471" s="131">
        <f ca="1" t="shared" si="150"/>
        <v>40</v>
      </c>
      <c r="O471" s="131">
        <f ca="1" t="shared" si="151"/>
        <v>41</v>
      </c>
      <c r="P471" s="131">
        <f ca="1" t="shared" si="152"/>
        <v>40</v>
      </c>
      <c r="Q471" s="131">
        <f ca="1" t="shared" si="153"/>
        <v>41</v>
      </c>
      <c r="R471" s="131">
        <f ca="1" t="shared" si="154"/>
        <v>40</v>
      </c>
      <c r="S471" s="131">
        <f ca="1" t="shared" si="155"/>
        <v>42</v>
      </c>
      <c r="T471" s="131">
        <f ca="1" t="shared" si="156"/>
        <v>45</v>
      </c>
      <c r="U471" s="131">
        <f ca="1" t="shared" si="157"/>
        <v>45</v>
      </c>
      <c r="V471" s="131">
        <f ca="1" t="shared" si="158"/>
        <v>46</v>
      </c>
      <c r="W471" s="124">
        <f ca="1">OFFSET($K$19,_xlfn.XLOOKUP(X471,$D$9:$D$28,$H$9:$H$28),MATCH(OFFSET($C$29,B471,MATCH(X471,$D$29:$V$29,0)),$L$19:$R$19,1))*(1+(OFFSET($C$29,B471,MATCH(X471,$D$29:$V$29,0))-1)*_xlfn.XLOOKUP(X471,梦灵养成!$D$9:$D$28,梦灵养成!$G$9:$G$28))</f>
        <v>60.06</v>
      </c>
      <c r="X471" s="106" t="str">
        <f ca="1" t="shared" si="139"/>
        <v>神算诸葛</v>
      </c>
      <c r="Y471" s="95">
        <f ca="1" t="shared" ref="Y471:Y502" si="162">MAX(Y442:Y470)</f>
        <v>246600</v>
      </c>
      <c r="Z471" s="96">
        <f ca="1" t="shared" si="160"/>
        <v>5.5</v>
      </c>
    </row>
    <row r="472" s="106" customFormat="1" ht="16.5" spans="2:26">
      <c r="B472" s="117">
        <v>443</v>
      </c>
      <c r="C472" s="130">
        <f t="shared" si="161"/>
        <v>44300</v>
      </c>
      <c r="D472" s="131">
        <f ca="1" t="shared" si="140"/>
        <v>53</v>
      </c>
      <c r="E472" s="131">
        <f ca="1" t="shared" si="141"/>
        <v>53</v>
      </c>
      <c r="F472" s="131">
        <f ca="1" t="shared" si="142"/>
        <v>53</v>
      </c>
      <c r="G472" s="131">
        <f ca="1" t="shared" si="143"/>
        <v>45</v>
      </c>
      <c r="H472" s="131">
        <f ca="1" t="shared" si="144"/>
        <v>45</v>
      </c>
      <c r="I472" s="131">
        <f ca="1" t="shared" si="145"/>
        <v>45</v>
      </c>
      <c r="J472" s="131">
        <f ca="1" t="shared" si="146"/>
        <v>44</v>
      </c>
      <c r="K472" s="131">
        <f ca="1" t="shared" si="147"/>
        <v>44</v>
      </c>
      <c r="L472" s="131">
        <f ca="1" t="shared" si="148"/>
        <v>44</v>
      </c>
      <c r="M472" s="131">
        <f ca="1" t="shared" si="149"/>
        <v>40</v>
      </c>
      <c r="N472" s="131">
        <f ca="1" t="shared" si="150"/>
        <v>40</v>
      </c>
      <c r="O472" s="131">
        <f ca="1" t="shared" si="151"/>
        <v>41</v>
      </c>
      <c r="P472" s="131">
        <f ca="1" t="shared" si="152"/>
        <v>40</v>
      </c>
      <c r="Q472" s="131">
        <f ca="1" t="shared" si="153"/>
        <v>41</v>
      </c>
      <c r="R472" s="131">
        <f ca="1" t="shared" si="154"/>
        <v>40</v>
      </c>
      <c r="S472" s="131">
        <f ca="1" t="shared" si="155"/>
        <v>42</v>
      </c>
      <c r="T472" s="131">
        <f ca="1" t="shared" si="156"/>
        <v>45</v>
      </c>
      <c r="U472" s="131">
        <f ca="1" t="shared" si="157"/>
        <v>45</v>
      </c>
      <c r="V472" s="131">
        <f ca="1" t="shared" si="158"/>
        <v>46</v>
      </c>
      <c r="W472" s="124">
        <f ca="1">OFFSET($K$19,_xlfn.XLOOKUP(X472,$D$9:$D$28,$H$9:$H$28),MATCH(OFFSET($C$29,B472,MATCH(X472,$D$29:$V$29,0)),$L$19:$R$19,1))*(1+(OFFSET($C$29,B472,MATCH(X472,$D$29:$V$29,0))-1)*_xlfn.XLOOKUP(X472,梦灵养成!$D$9:$D$28,梦灵养成!$G$9:$G$28))</f>
        <v>60.06</v>
      </c>
      <c r="X472" s="106" t="str">
        <f ca="1" t="shared" si="139"/>
        <v>神算诸葛</v>
      </c>
      <c r="Y472" s="95">
        <f ca="1" t="shared" si="162"/>
        <v>246600</v>
      </c>
      <c r="Z472" s="96">
        <f ca="1" t="shared" si="160"/>
        <v>5.5</v>
      </c>
    </row>
    <row r="473" s="106" customFormat="1" ht="16.5" spans="2:26">
      <c r="B473" s="117">
        <v>444</v>
      </c>
      <c r="C473" s="130">
        <f t="shared" si="161"/>
        <v>44400</v>
      </c>
      <c r="D473" s="131">
        <f ca="1" t="shared" si="140"/>
        <v>53</v>
      </c>
      <c r="E473" s="131">
        <f ca="1" t="shared" si="141"/>
        <v>53</v>
      </c>
      <c r="F473" s="131">
        <f ca="1" t="shared" si="142"/>
        <v>53</v>
      </c>
      <c r="G473" s="131">
        <f ca="1" t="shared" si="143"/>
        <v>45</v>
      </c>
      <c r="H473" s="131">
        <f ca="1" t="shared" si="144"/>
        <v>45</v>
      </c>
      <c r="I473" s="131">
        <f ca="1" t="shared" si="145"/>
        <v>45</v>
      </c>
      <c r="J473" s="131">
        <f ca="1" t="shared" si="146"/>
        <v>45</v>
      </c>
      <c r="K473" s="131">
        <f ca="1" t="shared" si="147"/>
        <v>44</v>
      </c>
      <c r="L473" s="131">
        <f ca="1" t="shared" si="148"/>
        <v>44</v>
      </c>
      <c r="M473" s="131">
        <f ca="1" t="shared" si="149"/>
        <v>40</v>
      </c>
      <c r="N473" s="131">
        <f ca="1" t="shared" si="150"/>
        <v>41</v>
      </c>
      <c r="O473" s="131">
        <f ca="1" t="shared" si="151"/>
        <v>41</v>
      </c>
      <c r="P473" s="131">
        <f ca="1" t="shared" si="152"/>
        <v>40</v>
      </c>
      <c r="Q473" s="131">
        <f ca="1" t="shared" si="153"/>
        <v>41</v>
      </c>
      <c r="R473" s="131">
        <f ca="1" t="shared" si="154"/>
        <v>40</v>
      </c>
      <c r="S473" s="131">
        <f ca="1" t="shared" si="155"/>
        <v>42</v>
      </c>
      <c r="T473" s="131">
        <f ca="1" t="shared" si="156"/>
        <v>45</v>
      </c>
      <c r="U473" s="131">
        <f ca="1" t="shared" si="157"/>
        <v>46</v>
      </c>
      <c r="V473" s="131">
        <f ca="1" t="shared" si="158"/>
        <v>46</v>
      </c>
      <c r="W473" s="124">
        <f ca="1">OFFSET($K$19,_xlfn.XLOOKUP(X473,$D$9:$D$28,$H$9:$H$28),MATCH(OFFSET($C$29,B473,MATCH(X473,$D$29:$V$29,0)),$L$19:$R$19,1))*(1+(OFFSET($C$29,B473,MATCH(X473,$D$29:$V$29,0))-1)*_xlfn.XLOOKUP(X473,梦灵养成!$D$9:$D$28,梦灵养成!$G$9:$G$28))</f>
        <v>60.06</v>
      </c>
      <c r="X473" s="106" t="str">
        <f ca="1" t="shared" si="139"/>
        <v>神算诸葛</v>
      </c>
      <c r="Y473" s="95">
        <f ca="1" t="shared" si="162"/>
        <v>246600</v>
      </c>
      <c r="Z473" s="96">
        <f ca="1" t="shared" si="160"/>
        <v>5.5</v>
      </c>
    </row>
    <row r="474" s="106" customFormat="1" ht="16.5" spans="2:26">
      <c r="B474" s="117">
        <v>445</v>
      </c>
      <c r="C474" s="130">
        <f t="shared" si="161"/>
        <v>44500</v>
      </c>
      <c r="D474" s="131">
        <f ca="1" t="shared" si="140"/>
        <v>53</v>
      </c>
      <c r="E474" s="131">
        <f ca="1" t="shared" si="141"/>
        <v>53</v>
      </c>
      <c r="F474" s="131">
        <f ca="1" t="shared" si="142"/>
        <v>53</v>
      </c>
      <c r="G474" s="131">
        <f ca="1" t="shared" si="143"/>
        <v>45</v>
      </c>
      <c r="H474" s="131">
        <f ca="1" t="shared" si="144"/>
        <v>45</v>
      </c>
      <c r="I474" s="131">
        <f ca="1" t="shared" si="145"/>
        <v>45</v>
      </c>
      <c r="J474" s="131">
        <f ca="1" t="shared" si="146"/>
        <v>45</v>
      </c>
      <c r="K474" s="131">
        <f ca="1" t="shared" si="147"/>
        <v>45</v>
      </c>
      <c r="L474" s="131">
        <f ca="1" t="shared" si="148"/>
        <v>45</v>
      </c>
      <c r="M474" s="131">
        <f ca="1" t="shared" si="149"/>
        <v>41</v>
      </c>
      <c r="N474" s="131">
        <f ca="1" t="shared" si="150"/>
        <v>41</v>
      </c>
      <c r="O474" s="131">
        <f ca="1" t="shared" si="151"/>
        <v>41</v>
      </c>
      <c r="P474" s="131">
        <f ca="1" t="shared" si="152"/>
        <v>40</v>
      </c>
      <c r="Q474" s="131">
        <f ca="1" t="shared" si="153"/>
        <v>41</v>
      </c>
      <c r="R474" s="131">
        <f ca="1" t="shared" si="154"/>
        <v>41</v>
      </c>
      <c r="S474" s="131">
        <f ca="1" t="shared" si="155"/>
        <v>42</v>
      </c>
      <c r="T474" s="131">
        <f ca="1" t="shared" si="156"/>
        <v>45</v>
      </c>
      <c r="U474" s="131">
        <f ca="1" t="shared" si="157"/>
        <v>46</v>
      </c>
      <c r="V474" s="131">
        <f ca="1" t="shared" si="158"/>
        <v>46</v>
      </c>
      <c r="W474" s="124">
        <f ca="1">OFFSET($K$19,_xlfn.XLOOKUP(X474,$D$9:$D$28,$H$9:$H$28),MATCH(OFFSET($C$29,B474,MATCH(X474,$D$29:$V$29,0)),$L$19:$R$19,1))*(1+(OFFSET($C$29,B474,MATCH(X474,$D$29:$V$29,0))-1)*_xlfn.XLOOKUP(X474,梦灵养成!$D$9:$D$28,梦灵养成!$G$9:$G$28))</f>
        <v>60.06</v>
      </c>
      <c r="X474" s="106" t="str">
        <f ca="1" t="shared" si="139"/>
        <v>神算诸葛</v>
      </c>
      <c r="Y474" s="95">
        <f ca="1" t="shared" si="162"/>
        <v>246600</v>
      </c>
      <c r="Z474" s="96">
        <f ca="1" t="shared" si="160"/>
        <v>5.5</v>
      </c>
    </row>
    <row r="475" s="106" customFormat="1" ht="16.5" spans="2:26">
      <c r="B475" s="117">
        <v>446</v>
      </c>
      <c r="C475" s="130">
        <f t="shared" si="161"/>
        <v>44600</v>
      </c>
      <c r="D475" s="131">
        <f ca="1" t="shared" si="140"/>
        <v>53</v>
      </c>
      <c r="E475" s="131">
        <f ca="1" t="shared" si="141"/>
        <v>53</v>
      </c>
      <c r="F475" s="131">
        <f ca="1" t="shared" si="142"/>
        <v>53</v>
      </c>
      <c r="G475" s="131">
        <f ca="1" t="shared" si="143"/>
        <v>45</v>
      </c>
      <c r="H475" s="131">
        <f ca="1" t="shared" si="144"/>
        <v>45</v>
      </c>
      <c r="I475" s="131">
        <f ca="1" t="shared" si="145"/>
        <v>45</v>
      </c>
      <c r="J475" s="131">
        <f ca="1" t="shared" si="146"/>
        <v>45</v>
      </c>
      <c r="K475" s="131">
        <f ca="1" t="shared" si="147"/>
        <v>45</v>
      </c>
      <c r="L475" s="131">
        <f ca="1" t="shared" si="148"/>
        <v>45</v>
      </c>
      <c r="M475" s="131">
        <f ca="1" t="shared" si="149"/>
        <v>41</v>
      </c>
      <c r="N475" s="131">
        <f ca="1" t="shared" si="150"/>
        <v>41</v>
      </c>
      <c r="O475" s="131">
        <f ca="1" t="shared" si="151"/>
        <v>41</v>
      </c>
      <c r="P475" s="131">
        <f ca="1" t="shared" si="152"/>
        <v>40</v>
      </c>
      <c r="Q475" s="131">
        <f ca="1" t="shared" si="153"/>
        <v>41</v>
      </c>
      <c r="R475" s="131">
        <f ca="1" t="shared" si="154"/>
        <v>41</v>
      </c>
      <c r="S475" s="131">
        <f ca="1" t="shared" si="155"/>
        <v>42</v>
      </c>
      <c r="T475" s="131">
        <f ca="1" t="shared" si="156"/>
        <v>45</v>
      </c>
      <c r="U475" s="131">
        <f ca="1" t="shared" si="157"/>
        <v>46</v>
      </c>
      <c r="V475" s="131">
        <f ca="1" t="shared" si="158"/>
        <v>46</v>
      </c>
      <c r="W475" s="124">
        <f ca="1">OFFSET($K$19,_xlfn.XLOOKUP(X475,$D$9:$D$28,$H$9:$H$28),MATCH(OFFSET($C$29,B475,MATCH(X475,$D$29:$V$29,0)),$L$19:$R$19,1))*(1+(OFFSET($C$29,B475,MATCH(X475,$D$29:$V$29,0))-1)*_xlfn.XLOOKUP(X475,梦灵养成!$D$9:$D$28,梦灵养成!$G$9:$G$28))</f>
        <v>60.06</v>
      </c>
      <c r="X475" s="106" t="str">
        <f ca="1" t="shared" si="139"/>
        <v>神算诸葛</v>
      </c>
      <c r="Y475" s="95">
        <f ca="1" t="shared" si="162"/>
        <v>246600</v>
      </c>
      <c r="Z475" s="96">
        <f ca="1" t="shared" si="160"/>
        <v>5.5</v>
      </c>
    </row>
    <row r="476" s="106" customFormat="1" ht="16.5" spans="2:26">
      <c r="B476" s="117">
        <v>447</v>
      </c>
      <c r="C476" s="130">
        <f t="shared" si="161"/>
        <v>44700</v>
      </c>
      <c r="D476" s="131">
        <f ca="1" t="shared" si="140"/>
        <v>53</v>
      </c>
      <c r="E476" s="131">
        <f ca="1" t="shared" si="141"/>
        <v>53</v>
      </c>
      <c r="F476" s="131">
        <f ca="1" t="shared" si="142"/>
        <v>53</v>
      </c>
      <c r="G476" s="131">
        <f ca="1" t="shared" si="143"/>
        <v>45</v>
      </c>
      <c r="H476" s="131">
        <f ca="1" t="shared" si="144"/>
        <v>45</v>
      </c>
      <c r="I476" s="131">
        <f ca="1" t="shared" si="145"/>
        <v>45</v>
      </c>
      <c r="J476" s="131">
        <f ca="1" t="shared" si="146"/>
        <v>45</v>
      </c>
      <c r="K476" s="131">
        <f ca="1" t="shared" si="147"/>
        <v>45</v>
      </c>
      <c r="L476" s="131">
        <f ca="1" t="shared" si="148"/>
        <v>45</v>
      </c>
      <c r="M476" s="131">
        <f ca="1" t="shared" si="149"/>
        <v>41</v>
      </c>
      <c r="N476" s="131">
        <f ca="1" t="shared" si="150"/>
        <v>41</v>
      </c>
      <c r="O476" s="131">
        <f ca="1" t="shared" si="151"/>
        <v>41</v>
      </c>
      <c r="P476" s="131">
        <f ca="1" t="shared" si="152"/>
        <v>40</v>
      </c>
      <c r="Q476" s="131">
        <f ca="1" t="shared" si="153"/>
        <v>41</v>
      </c>
      <c r="R476" s="131">
        <f ca="1" t="shared" si="154"/>
        <v>41</v>
      </c>
      <c r="S476" s="131">
        <f ca="1" t="shared" si="155"/>
        <v>43</v>
      </c>
      <c r="T476" s="131">
        <f ca="1" t="shared" si="156"/>
        <v>45</v>
      </c>
      <c r="U476" s="131">
        <f ca="1" t="shared" si="157"/>
        <v>46</v>
      </c>
      <c r="V476" s="131">
        <f ca="1" t="shared" si="158"/>
        <v>46</v>
      </c>
      <c r="W476" s="124">
        <f ca="1">OFFSET($K$19,_xlfn.XLOOKUP(X476,$D$9:$D$28,$H$9:$H$28),MATCH(OFFSET($C$29,B476,MATCH(X476,$D$29:$V$29,0)),$L$19:$R$19,1))*(1+(OFFSET($C$29,B476,MATCH(X476,$D$29:$V$29,0))-1)*_xlfn.XLOOKUP(X476,梦灵养成!$D$9:$D$28,梦灵养成!$G$9:$G$28))</f>
        <v>60.06</v>
      </c>
      <c r="X476" s="106" t="str">
        <f ca="1" t="shared" si="139"/>
        <v>神算诸葛</v>
      </c>
      <c r="Y476" s="95">
        <f ca="1" t="shared" si="162"/>
        <v>246600</v>
      </c>
      <c r="Z476" s="96">
        <f ca="1" t="shared" si="160"/>
        <v>5.5</v>
      </c>
    </row>
    <row r="477" s="106" customFormat="1" ht="16.5" spans="2:26">
      <c r="B477" s="117">
        <v>448</v>
      </c>
      <c r="C477" s="130">
        <f t="shared" si="161"/>
        <v>44800</v>
      </c>
      <c r="D477" s="131">
        <f ca="1" t="shared" si="140"/>
        <v>53</v>
      </c>
      <c r="E477" s="131">
        <f ca="1" t="shared" si="141"/>
        <v>53</v>
      </c>
      <c r="F477" s="131">
        <f ca="1" t="shared" si="142"/>
        <v>53</v>
      </c>
      <c r="G477" s="131">
        <f ca="1" t="shared" si="143"/>
        <v>45</v>
      </c>
      <c r="H477" s="131">
        <f ca="1" t="shared" si="144"/>
        <v>45</v>
      </c>
      <c r="I477" s="131">
        <f ca="1" t="shared" si="145"/>
        <v>45</v>
      </c>
      <c r="J477" s="131">
        <f ca="1" t="shared" si="146"/>
        <v>45</v>
      </c>
      <c r="K477" s="131">
        <f ca="1" t="shared" si="147"/>
        <v>45</v>
      </c>
      <c r="L477" s="131">
        <f ca="1" t="shared" si="148"/>
        <v>45</v>
      </c>
      <c r="M477" s="131">
        <f ca="1" t="shared" si="149"/>
        <v>41</v>
      </c>
      <c r="N477" s="131">
        <f ca="1" t="shared" si="150"/>
        <v>41</v>
      </c>
      <c r="O477" s="131">
        <f ca="1" t="shared" si="151"/>
        <v>41</v>
      </c>
      <c r="P477" s="131">
        <f ca="1" t="shared" si="152"/>
        <v>41</v>
      </c>
      <c r="Q477" s="131">
        <f ca="1" t="shared" si="153"/>
        <v>41</v>
      </c>
      <c r="R477" s="131">
        <f ca="1" t="shared" si="154"/>
        <v>41</v>
      </c>
      <c r="S477" s="131">
        <f ca="1" t="shared" si="155"/>
        <v>43</v>
      </c>
      <c r="T477" s="131">
        <f ca="1" t="shared" si="156"/>
        <v>45</v>
      </c>
      <c r="U477" s="131">
        <f ca="1" t="shared" si="157"/>
        <v>46</v>
      </c>
      <c r="V477" s="131">
        <f ca="1" t="shared" si="158"/>
        <v>46</v>
      </c>
      <c r="W477" s="124">
        <f ca="1">OFFSET($K$19,_xlfn.XLOOKUP(X477,$D$9:$D$28,$H$9:$H$28),MATCH(OFFSET($C$29,B477,MATCH(X477,$D$29:$V$29,0)),$L$19:$R$19,1))*(1+(OFFSET($C$29,B477,MATCH(X477,$D$29:$V$29,0))-1)*_xlfn.XLOOKUP(X477,梦灵养成!$D$9:$D$28,梦灵养成!$G$9:$G$28))</f>
        <v>60.06</v>
      </c>
      <c r="X477" s="106" t="str">
        <f ca="1" t="shared" si="139"/>
        <v>神算诸葛</v>
      </c>
      <c r="Y477" s="95">
        <f ca="1" t="shared" si="162"/>
        <v>246600</v>
      </c>
      <c r="Z477" s="96">
        <f ca="1" t="shared" si="160"/>
        <v>5.5</v>
      </c>
    </row>
    <row r="478" s="106" customFormat="1" ht="16.5" spans="2:26">
      <c r="B478" s="117">
        <v>449</v>
      </c>
      <c r="C478" s="130">
        <f t="shared" si="161"/>
        <v>44900</v>
      </c>
      <c r="D478" s="131">
        <f ca="1" t="shared" si="140"/>
        <v>53</v>
      </c>
      <c r="E478" s="131">
        <f ca="1" t="shared" si="141"/>
        <v>53</v>
      </c>
      <c r="F478" s="131">
        <f ca="1" t="shared" si="142"/>
        <v>53</v>
      </c>
      <c r="G478" s="131">
        <f ca="1" t="shared" si="143"/>
        <v>45</v>
      </c>
      <c r="H478" s="131">
        <f ca="1" t="shared" si="144"/>
        <v>45</v>
      </c>
      <c r="I478" s="131">
        <f ca="1" t="shared" si="145"/>
        <v>45</v>
      </c>
      <c r="J478" s="131">
        <f ca="1" t="shared" si="146"/>
        <v>45</v>
      </c>
      <c r="K478" s="131">
        <f ca="1" t="shared" si="147"/>
        <v>45</v>
      </c>
      <c r="L478" s="131">
        <f ca="1" t="shared" si="148"/>
        <v>45</v>
      </c>
      <c r="M478" s="131">
        <f ca="1" t="shared" si="149"/>
        <v>41</v>
      </c>
      <c r="N478" s="131">
        <f ca="1" t="shared" si="150"/>
        <v>41</v>
      </c>
      <c r="O478" s="131">
        <f ca="1" t="shared" si="151"/>
        <v>41</v>
      </c>
      <c r="P478" s="131">
        <f ca="1" t="shared" si="152"/>
        <v>41</v>
      </c>
      <c r="Q478" s="131">
        <f ca="1" t="shared" si="153"/>
        <v>41</v>
      </c>
      <c r="R478" s="131">
        <f ca="1" t="shared" si="154"/>
        <v>41</v>
      </c>
      <c r="S478" s="131">
        <f ca="1" t="shared" si="155"/>
        <v>43</v>
      </c>
      <c r="T478" s="131">
        <f ca="1" t="shared" si="156"/>
        <v>46</v>
      </c>
      <c r="U478" s="131">
        <f ca="1" t="shared" si="157"/>
        <v>46</v>
      </c>
      <c r="V478" s="131">
        <f ca="1" t="shared" si="158"/>
        <v>46</v>
      </c>
      <c r="W478" s="124">
        <f ca="1">OFFSET($K$19,_xlfn.XLOOKUP(X478,$D$9:$D$28,$H$9:$H$28),MATCH(OFFSET($C$29,B478,MATCH(X478,$D$29:$V$29,0)),$L$19:$R$19,1))*(1+(OFFSET($C$29,B478,MATCH(X478,$D$29:$V$29,0))-1)*_xlfn.XLOOKUP(X478,梦灵养成!$D$9:$D$28,梦灵养成!$G$9:$G$28))</f>
        <v>60.06</v>
      </c>
      <c r="X478" s="106" t="str">
        <f ca="1" t="shared" ref="X478:X541" si="163">OFFSET($I$8,MATCH(C478,$C$9:$C$27,1),0)</f>
        <v>神算诸葛</v>
      </c>
      <c r="Y478" s="95">
        <f ca="1" t="shared" si="162"/>
        <v>246600</v>
      </c>
      <c r="Z478" s="96">
        <f ca="1" t="shared" si="160"/>
        <v>5.5</v>
      </c>
    </row>
    <row r="479" s="106" customFormat="1" ht="16.5" spans="2:26">
      <c r="B479" s="117">
        <v>450</v>
      </c>
      <c r="C479" s="130">
        <f t="shared" si="161"/>
        <v>45000</v>
      </c>
      <c r="D479" s="131">
        <f ca="1" t="shared" ref="D479:D542" si="164">IFERROR(MATCH(D1084*10,OFFSET($AP$635:$AP$734,0,D$631),1),0)</f>
        <v>54</v>
      </c>
      <c r="E479" s="131">
        <f ca="1" t="shared" ref="E479:E542" si="165">IFERROR(MATCH(E1084*10,OFFSET($AP$635:$AP$734,0,E$631),1),0)</f>
        <v>54</v>
      </c>
      <c r="F479" s="131">
        <f ca="1" t="shared" ref="F479:F542" si="166">IFERROR(MATCH(F1084*10,OFFSET($AP$635:$AP$734,0,F$631),1),0)</f>
        <v>54</v>
      </c>
      <c r="G479" s="131">
        <f ca="1" t="shared" ref="G479:G542" si="167">IFERROR(MATCH(G1084*10,OFFSET($AP$635:$AP$734,0,G$631),1),0)</f>
        <v>45</v>
      </c>
      <c r="H479" s="131">
        <f ca="1" t="shared" ref="H479:H542" si="168">IFERROR(MATCH(H1084*10,OFFSET($AP$635:$AP$734,0,H$631),1),0)</f>
        <v>45</v>
      </c>
      <c r="I479" s="131">
        <f ca="1" t="shared" ref="I479:I542" si="169">IFERROR(MATCH(I1084*10,OFFSET($AP$635:$AP$734,0,I$631),1),0)</f>
        <v>45</v>
      </c>
      <c r="J479" s="131">
        <f ca="1" t="shared" ref="J479:J542" si="170">IFERROR(MATCH(J1084*10,OFFSET($AP$635:$AP$734,0,J$631),1),0)</f>
        <v>45</v>
      </c>
      <c r="K479" s="131">
        <f ca="1" t="shared" ref="K479:K542" si="171">IFERROR(MATCH(K1084*10,OFFSET($AP$635:$AP$734,0,K$631),1),0)</f>
        <v>45</v>
      </c>
      <c r="L479" s="131">
        <f ca="1" t="shared" ref="L479:L542" si="172">IFERROR(MATCH(L1084*10,OFFSET($AP$635:$AP$734,0,L$631),1),0)</f>
        <v>45</v>
      </c>
      <c r="M479" s="131">
        <f ca="1" t="shared" ref="M479:M542" si="173">IFERROR(MATCH(M1084*10,OFFSET($AP$635:$AP$734,0,M$631),1),0)</f>
        <v>41</v>
      </c>
      <c r="N479" s="131">
        <f ca="1" t="shared" ref="N479:N542" si="174">IFERROR(MATCH(N1084*10,OFFSET($AP$635:$AP$734,0,N$631),1),0)</f>
        <v>41</v>
      </c>
      <c r="O479" s="131">
        <f ca="1" t="shared" ref="O479:O542" si="175">IFERROR(MATCH(O1084*10,OFFSET($AP$635:$AP$734,0,O$631),1),0)</f>
        <v>41</v>
      </c>
      <c r="P479" s="131">
        <f ca="1" t="shared" ref="P479:P542" si="176">IFERROR(MATCH(P1084*10,OFFSET($AP$635:$AP$734,0,P$631),1),0)</f>
        <v>41</v>
      </c>
      <c r="Q479" s="131">
        <f ca="1" t="shared" ref="Q479:Q542" si="177">IFERROR(MATCH(Q1084*10,OFFSET($AP$635:$AP$734,0,Q$631),1),0)</f>
        <v>41</v>
      </c>
      <c r="R479" s="131">
        <f ca="1" t="shared" ref="R479:R542" si="178">IFERROR(MATCH(R1084*10,OFFSET($AP$635:$AP$734,0,R$631),1),0)</f>
        <v>41</v>
      </c>
      <c r="S479" s="131">
        <f ca="1" t="shared" ref="S479:S542" si="179">IFERROR(MATCH(S1084*10,OFFSET($AP$635:$AP$734,0,S$631),1),0)</f>
        <v>43</v>
      </c>
      <c r="T479" s="131">
        <f ca="1" t="shared" ref="T479:T542" si="180">IFERROR(MATCH(T1084*10,OFFSET($AP$635:$AP$734,0,T$631),1),0)</f>
        <v>46</v>
      </c>
      <c r="U479" s="131">
        <f ca="1" t="shared" ref="U479:U542" si="181">IFERROR(MATCH(U1084*10,OFFSET($AP$635:$AP$734,0,U$631),1),0)</f>
        <v>46</v>
      </c>
      <c r="V479" s="131">
        <f ca="1" t="shared" ref="V479:V542" si="182">IFERROR(MATCH(V1084*10,OFFSET($AP$635:$AP$734,0,V$631),1),0)</f>
        <v>46</v>
      </c>
      <c r="W479" s="124">
        <f ca="1">OFFSET($K$19,_xlfn.XLOOKUP(X479,$D$9:$D$28,$H$9:$H$28),MATCH(OFFSET($C$29,B479,MATCH(X479,$D$29:$V$29,0)),$L$19:$R$19,1))*(1+(OFFSET($C$29,B479,MATCH(X479,$D$29:$V$29,0))-1)*_xlfn.XLOOKUP(X479,梦灵养成!$D$9:$D$28,梦灵养成!$G$9:$G$28))</f>
        <v>60.06</v>
      </c>
      <c r="X479" s="106" t="str">
        <f ca="1" t="shared" si="163"/>
        <v>神算诸葛</v>
      </c>
      <c r="Y479" s="95">
        <f ca="1" t="shared" si="162"/>
        <v>246600</v>
      </c>
      <c r="Z479" s="96">
        <f ca="1" t="shared" ref="Z479:Z542" si="183">_xlfn.XLOOKUP(X479,$D$9:$D$27,$G$9:$G$27)*(OFFSET($B479,0,MATCH($X479,$D$29:$V$29,0)+1)-1)+1</f>
        <v>5.5</v>
      </c>
    </row>
    <row r="480" s="106" customFormat="1" ht="16.5" spans="2:26">
      <c r="B480" s="117">
        <v>451</v>
      </c>
      <c r="C480" s="130">
        <f t="shared" ref="C480:C543" si="184">C479+100</f>
        <v>45100</v>
      </c>
      <c r="D480" s="131">
        <f ca="1" t="shared" si="164"/>
        <v>54</v>
      </c>
      <c r="E480" s="131">
        <f ca="1" t="shared" si="165"/>
        <v>54</v>
      </c>
      <c r="F480" s="131">
        <f ca="1" t="shared" si="166"/>
        <v>54</v>
      </c>
      <c r="G480" s="131">
        <f ca="1" t="shared" si="167"/>
        <v>45</v>
      </c>
      <c r="H480" s="131">
        <f ca="1" t="shared" si="168"/>
        <v>45</v>
      </c>
      <c r="I480" s="131">
        <f ca="1" t="shared" si="169"/>
        <v>45</v>
      </c>
      <c r="J480" s="131">
        <f ca="1" t="shared" si="170"/>
        <v>45</v>
      </c>
      <c r="K480" s="131">
        <f ca="1" t="shared" si="171"/>
        <v>45</v>
      </c>
      <c r="L480" s="131">
        <f ca="1" t="shared" si="172"/>
        <v>45</v>
      </c>
      <c r="M480" s="131">
        <f ca="1" t="shared" si="173"/>
        <v>41</v>
      </c>
      <c r="N480" s="131">
        <f ca="1" t="shared" si="174"/>
        <v>41</v>
      </c>
      <c r="O480" s="131">
        <f ca="1" t="shared" si="175"/>
        <v>41</v>
      </c>
      <c r="P480" s="131">
        <f ca="1" t="shared" si="176"/>
        <v>41</v>
      </c>
      <c r="Q480" s="131">
        <f ca="1" t="shared" si="177"/>
        <v>41</v>
      </c>
      <c r="R480" s="131">
        <f ca="1" t="shared" si="178"/>
        <v>41</v>
      </c>
      <c r="S480" s="131">
        <f ca="1" t="shared" si="179"/>
        <v>43</v>
      </c>
      <c r="T480" s="131">
        <f ca="1" t="shared" si="180"/>
        <v>46</v>
      </c>
      <c r="U480" s="131">
        <f ca="1" t="shared" si="181"/>
        <v>46</v>
      </c>
      <c r="V480" s="131">
        <f ca="1" t="shared" si="182"/>
        <v>46</v>
      </c>
      <c r="W480" s="124">
        <f ca="1">OFFSET($K$19,_xlfn.XLOOKUP(X480,$D$9:$D$28,$H$9:$H$28),MATCH(OFFSET($C$29,B480,MATCH(X480,$D$29:$V$29,0)),$L$19:$R$19,1))*(1+(OFFSET($C$29,B480,MATCH(X480,$D$29:$V$29,0))-1)*_xlfn.XLOOKUP(X480,梦灵养成!$D$9:$D$28,梦灵养成!$G$9:$G$28))</f>
        <v>60.06</v>
      </c>
      <c r="X480" s="106" t="str">
        <f ca="1" t="shared" si="163"/>
        <v>神算诸葛</v>
      </c>
      <c r="Y480" s="95">
        <f ca="1" t="shared" si="162"/>
        <v>246600</v>
      </c>
      <c r="Z480" s="96">
        <f ca="1" t="shared" si="183"/>
        <v>5.5</v>
      </c>
    </row>
    <row r="481" s="106" customFormat="1" ht="16.5" spans="2:26">
      <c r="B481" s="117">
        <v>452</v>
      </c>
      <c r="C481" s="130">
        <f t="shared" si="184"/>
        <v>45200</v>
      </c>
      <c r="D481" s="131">
        <f ca="1" t="shared" si="164"/>
        <v>54</v>
      </c>
      <c r="E481" s="131">
        <f ca="1" t="shared" si="165"/>
        <v>54</v>
      </c>
      <c r="F481" s="131">
        <f ca="1" t="shared" si="166"/>
        <v>54</v>
      </c>
      <c r="G481" s="131">
        <f ca="1" t="shared" si="167"/>
        <v>45</v>
      </c>
      <c r="H481" s="131">
        <f ca="1" t="shared" si="168"/>
        <v>45</v>
      </c>
      <c r="I481" s="131">
        <f ca="1" t="shared" si="169"/>
        <v>45</v>
      </c>
      <c r="J481" s="131">
        <f ca="1" t="shared" si="170"/>
        <v>45</v>
      </c>
      <c r="K481" s="131">
        <f ca="1" t="shared" si="171"/>
        <v>45</v>
      </c>
      <c r="L481" s="131">
        <f ca="1" t="shared" si="172"/>
        <v>45</v>
      </c>
      <c r="M481" s="131">
        <f ca="1" t="shared" si="173"/>
        <v>41</v>
      </c>
      <c r="N481" s="131">
        <f ca="1" t="shared" si="174"/>
        <v>41</v>
      </c>
      <c r="O481" s="131">
        <f ca="1" t="shared" si="175"/>
        <v>41</v>
      </c>
      <c r="P481" s="131">
        <f ca="1" t="shared" si="176"/>
        <v>41</v>
      </c>
      <c r="Q481" s="131">
        <f ca="1" t="shared" si="177"/>
        <v>41</v>
      </c>
      <c r="R481" s="131">
        <f ca="1" t="shared" si="178"/>
        <v>41</v>
      </c>
      <c r="S481" s="131">
        <f ca="1" t="shared" si="179"/>
        <v>43</v>
      </c>
      <c r="T481" s="131">
        <f ca="1" t="shared" si="180"/>
        <v>46</v>
      </c>
      <c r="U481" s="131">
        <f ca="1" t="shared" si="181"/>
        <v>46</v>
      </c>
      <c r="V481" s="131">
        <f ca="1" t="shared" si="182"/>
        <v>46</v>
      </c>
      <c r="W481" s="124">
        <f ca="1">OFFSET($K$19,_xlfn.XLOOKUP(X481,$D$9:$D$28,$H$9:$H$28),MATCH(OFFSET($C$29,B481,MATCH(X481,$D$29:$V$29,0)),$L$19:$R$19,1))*(1+(OFFSET($C$29,B481,MATCH(X481,$D$29:$V$29,0))-1)*_xlfn.XLOOKUP(X481,梦灵养成!$D$9:$D$28,梦灵养成!$G$9:$G$28))</f>
        <v>60.06</v>
      </c>
      <c r="X481" s="106" t="str">
        <f ca="1" t="shared" si="163"/>
        <v>神算诸葛</v>
      </c>
      <c r="Y481" s="95">
        <f ca="1" t="shared" si="162"/>
        <v>246600</v>
      </c>
      <c r="Z481" s="96">
        <f ca="1" t="shared" si="183"/>
        <v>5.5</v>
      </c>
    </row>
    <row r="482" s="106" customFormat="1" ht="16.5" spans="2:26">
      <c r="B482" s="117">
        <v>453</v>
      </c>
      <c r="C482" s="130">
        <f t="shared" si="184"/>
        <v>45300</v>
      </c>
      <c r="D482" s="131">
        <f ca="1" t="shared" si="164"/>
        <v>54</v>
      </c>
      <c r="E482" s="131">
        <f ca="1" t="shared" si="165"/>
        <v>54</v>
      </c>
      <c r="F482" s="131">
        <f ca="1" t="shared" si="166"/>
        <v>54</v>
      </c>
      <c r="G482" s="131">
        <f ca="1" t="shared" si="167"/>
        <v>45</v>
      </c>
      <c r="H482" s="131">
        <f ca="1" t="shared" si="168"/>
        <v>45</v>
      </c>
      <c r="I482" s="131">
        <f ca="1" t="shared" si="169"/>
        <v>45</v>
      </c>
      <c r="J482" s="131">
        <f ca="1" t="shared" si="170"/>
        <v>45</v>
      </c>
      <c r="K482" s="131">
        <f ca="1" t="shared" si="171"/>
        <v>45</v>
      </c>
      <c r="L482" s="131">
        <f ca="1" t="shared" si="172"/>
        <v>45</v>
      </c>
      <c r="M482" s="131">
        <f ca="1" t="shared" si="173"/>
        <v>41</v>
      </c>
      <c r="N482" s="131">
        <f ca="1" t="shared" si="174"/>
        <v>41</v>
      </c>
      <c r="O482" s="131">
        <f ca="1" t="shared" si="175"/>
        <v>41</v>
      </c>
      <c r="P482" s="131">
        <f ca="1" t="shared" si="176"/>
        <v>41</v>
      </c>
      <c r="Q482" s="131">
        <f ca="1" t="shared" si="177"/>
        <v>41</v>
      </c>
      <c r="R482" s="131">
        <f ca="1" t="shared" si="178"/>
        <v>41</v>
      </c>
      <c r="S482" s="131">
        <f ca="1" t="shared" si="179"/>
        <v>43</v>
      </c>
      <c r="T482" s="131">
        <f ca="1" t="shared" si="180"/>
        <v>46</v>
      </c>
      <c r="U482" s="131">
        <f ca="1" t="shared" si="181"/>
        <v>46</v>
      </c>
      <c r="V482" s="131">
        <f ca="1" t="shared" si="182"/>
        <v>46</v>
      </c>
      <c r="W482" s="124">
        <f ca="1">OFFSET($K$19,_xlfn.XLOOKUP(X482,$D$9:$D$28,$H$9:$H$28),MATCH(OFFSET($C$29,B482,MATCH(X482,$D$29:$V$29,0)),$L$19:$R$19,1))*(1+(OFFSET($C$29,B482,MATCH(X482,$D$29:$V$29,0))-1)*_xlfn.XLOOKUP(X482,梦灵养成!$D$9:$D$28,梦灵养成!$G$9:$G$28))</f>
        <v>60.06</v>
      </c>
      <c r="X482" s="106" t="str">
        <f ca="1" t="shared" si="163"/>
        <v>神算诸葛</v>
      </c>
      <c r="Y482" s="95">
        <f ca="1" t="shared" si="162"/>
        <v>246600</v>
      </c>
      <c r="Z482" s="96">
        <f ca="1" t="shared" si="183"/>
        <v>5.5</v>
      </c>
    </row>
    <row r="483" s="106" customFormat="1" ht="16.5" spans="2:26">
      <c r="B483" s="117">
        <v>454</v>
      </c>
      <c r="C483" s="130">
        <f t="shared" si="184"/>
        <v>45400</v>
      </c>
      <c r="D483" s="131">
        <f ca="1" t="shared" si="164"/>
        <v>54</v>
      </c>
      <c r="E483" s="131">
        <f ca="1" t="shared" si="165"/>
        <v>54</v>
      </c>
      <c r="F483" s="131">
        <f ca="1" t="shared" si="166"/>
        <v>54</v>
      </c>
      <c r="G483" s="131">
        <f ca="1" t="shared" si="167"/>
        <v>45</v>
      </c>
      <c r="H483" s="131">
        <f ca="1" t="shared" si="168"/>
        <v>45</v>
      </c>
      <c r="I483" s="131">
        <f ca="1" t="shared" si="169"/>
        <v>45</v>
      </c>
      <c r="J483" s="131">
        <f ca="1" t="shared" si="170"/>
        <v>45</v>
      </c>
      <c r="K483" s="131">
        <f ca="1" t="shared" si="171"/>
        <v>45</v>
      </c>
      <c r="L483" s="131">
        <f ca="1" t="shared" si="172"/>
        <v>45</v>
      </c>
      <c r="M483" s="131">
        <f ca="1" t="shared" si="173"/>
        <v>41</v>
      </c>
      <c r="N483" s="131">
        <f ca="1" t="shared" si="174"/>
        <v>41</v>
      </c>
      <c r="O483" s="131">
        <f ca="1" t="shared" si="175"/>
        <v>41</v>
      </c>
      <c r="P483" s="131">
        <f ca="1" t="shared" si="176"/>
        <v>41</v>
      </c>
      <c r="Q483" s="131">
        <f ca="1" t="shared" si="177"/>
        <v>41</v>
      </c>
      <c r="R483" s="131">
        <f ca="1" t="shared" si="178"/>
        <v>41</v>
      </c>
      <c r="S483" s="131">
        <f ca="1" t="shared" si="179"/>
        <v>43</v>
      </c>
      <c r="T483" s="131">
        <f ca="1" t="shared" si="180"/>
        <v>46</v>
      </c>
      <c r="U483" s="131">
        <f ca="1" t="shared" si="181"/>
        <v>46</v>
      </c>
      <c r="V483" s="131">
        <f ca="1" t="shared" si="182"/>
        <v>46</v>
      </c>
      <c r="W483" s="124">
        <f ca="1">OFFSET($K$19,_xlfn.XLOOKUP(X483,$D$9:$D$28,$H$9:$H$28),MATCH(OFFSET($C$29,B483,MATCH(X483,$D$29:$V$29,0)),$L$19:$R$19,1))*(1+(OFFSET($C$29,B483,MATCH(X483,$D$29:$V$29,0))-1)*_xlfn.XLOOKUP(X483,梦灵养成!$D$9:$D$28,梦灵养成!$G$9:$G$28))</f>
        <v>60.06</v>
      </c>
      <c r="X483" s="106" t="str">
        <f ca="1" t="shared" si="163"/>
        <v>神算诸葛</v>
      </c>
      <c r="Y483" s="95">
        <f ca="1" t="shared" si="162"/>
        <v>246600</v>
      </c>
      <c r="Z483" s="96">
        <f ca="1" t="shared" si="183"/>
        <v>5.5</v>
      </c>
    </row>
    <row r="484" s="106" customFormat="1" ht="16.5" spans="2:26">
      <c r="B484" s="117">
        <v>455</v>
      </c>
      <c r="C484" s="130">
        <f t="shared" si="184"/>
        <v>45500</v>
      </c>
      <c r="D484" s="131">
        <f ca="1" t="shared" si="164"/>
        <v>54</v>
      </c>
      <c r="E484" s="131">
        <f ca="1" t="shared" si="165"/>
        <v>54</v>
      </c>
      <c r="F484" s="131">
        <f ca="1" t="shared" si="166"/>
        <v>54</v>
      </c>
      <c r="G484" s="131">
        <f ca="1" t="shared" si="167"/>
        <v>45</v>
      </c>
      <c r="H484" s="131">
        <f ca="1" t="shared" si="168"/>
        <v>45</v>
      </c>
      <c r="I484" s="131">
        <f ca="1" t="shared" si="169"/>
        <v>45</v>
      </c>
      <c r="J484" s="131">
        <f ca="1" t="shared" si="170"/>
        <v>45</v>
      </c>
      <c r="K484" s="131">
        <f ca="1" t="shared" si="171"/>
        <v>45</v>
      </c>
      <c r="L484" s="131">
        <f ca="1" t="shared" si="172"/>
        <v>45</v>
      </c>
      <c r="M484" s="131">
        <f ca="1" t="shared" si="173"/>
        <v>41</v>
      </c>
      <c r="N484" s="131">
        <f ca="1" t="shared" si="174"/>
        <v>41</v>
      </c>
      <c r="O484" s="131">
        <f ca="1" t="shared" si="175"/>
        <v>41</v>
      </c>
      <c r="P484" s="131">
        <f ca="1" t="shared" si="176"/>
        <v>41</v>
      </c>
      <c r="Q484" s="131">
        <f ca="1" t="shared" si="177"/>
        <v>41</v>
      </c>
      <c r="R484" s="131">
        <f ca="1" t="shared" si="178"/>
        <v>41</v>
      </c>
      <c r="S484" s="131">
        <f ca="1" t="shared" si="179"/>
        <v>43</v>
      </c>
      <c r="T484" s="131">
        <f ca="1" t="shared" si="180"/>
        <v>46</v>
      </c>
      <c r="U484" s="131">
        <f ca="1" t="shared" si="181"/>
        <v>46</v>
      </c>
      <c r="V484" s="131">
        <f ca="1" t="shared" si="182"/>
        <v>46</v>
      </c>
      <c r="W484" s="124">
        <f ca="1">OFFSET($K$19,_xlfn.XLOOKUP(X484,$D$9:$D$28,$H$9:$H$28),MATCH(OFFSET($C$29,B484,MATCH(X484,$D$29:$V$29,0)),$L$19:$R$19,1))*(1+(OFFSET($C$29,B484,MATCH(X484,$D$29:$V$29,0))-1)*_xlfn.XLOOKUP(X484,梦灵养成!$D$9:$D$28,梦灵养成!$G$9:$G$28))</f>
        <v>60.06</v>
      </c>
      <c r="X484" s="106" t="str">
        <f ca="1" t="shared" si="163"/>
        <v>神算诸葛</v>
      </c>
      <c r="Y484" s="95">
        <f ca="1" t="shared" si="162"/>
        <v>246600</v>
      </c>
      <c r="Z484" s="96">
        <f ca="1" t="shared" si="183"/>
        <v>5.5</v>
      </c>
    </row>
    <row r="485" s="106" customFormat="1" ht="16.5" spans="2:26">
      <c r="B485" s="117">
        <v>456</v>
      </c>
      <c r="C485" s="130">
        <f t="shared" si="184"/>
        <v>45600</v>
      </c>
      <c r="D485" s="131">
        <f ca="1" t="shared" si="164"/>
        <v>54</v>
      </c>
      <c r="E485" s="131">
        <f ca="1" t="shared" si="165"/>
        <v>54</v>
      </c>
      <c r="F485" s="131">
        <f ca="1" t="shared" si="166"/>
        <v>54</v>
      </c>
      <c r="G485" s="131">
        <f ca="1" t="shared" si="167"/>
        <v>45</v>
      </c>
      <c r="H485" s="131">
        <f ca="1" t="shared" si="168"/>
        <v>45</v>
      </c>
      <c r="I485" s="131">
        <f ca="1" t="shared" si="169"/>
        <v>45</v>
      </c>
      <c r="J485" s="131">
        <f ca="1" t="shared" si="170"/>
        <v>45</v>
      </c>
      <c r="K485" s="131">
        <f ca="1" t="shared" si="171"/>
        <v>45</v>
      </c>
      <c r="L485" s="131">
        <f ca="1" t="shared" si="172"/>
        <v>45</v>
      </c>
      <c r="M485" s="131">
        <f ca="1" t="shared" si="173"/>
        <v>41</v>
      </c>
      <c r="N485" s="131">
        <f ca="1" t="shared" si="174"/>
        <v>41</v>
      </c>
      <c r="O485" s="131">
        <f ca="1" t="shared" si="175"/>
        <v>41</v>
      </c>
      <c r="P485" s="131">
        <f ca="1" t="shared" si="176"/>
        <v>41</v>
      </c>
      <c r="Q485" s="131">
        <f ca="1" t="shared" si="177"/>
        <v>41</v>
      </c>
      <c r="R485" s="131">
        <f ca="1" t="shared" si="178"/>
        <v>41</v>
      </c>
      <c r="S485" s="131">
        <f ca="1" t="shared" si="179"/>
        <v>43</v>
      </c>
      <c r="T485" s="131">
        <f ca="1" t="shared" si="180"/>
        <v>46</v>
      </c>
      <c r="U485" s="131">
        <f ca="1" t="shared" si="181"/>
        <v>46</v>
      </c>
      <c r="V485" s="131">
        <f ca="1" t="shared" si="182"/>
        <v>46</v>
      </c>
      <c r="W485" s="124">
        <f ca="1">OFFSET($K$19,_xlfn.XLOOKUP(X485,$D$9:$D$28,$H$9:$H$28),MATCH(OFFSET($C$29,B485,MATCH(X485,$D$29:$V$29,0)),$L$19:$R$19,1))*(1+(OFFSET($C$29,B485,MATCH(X485,$D$29:$V$29,0))-1)*_xlfn.XLOOKUP(X485,梦灵养成!$D$9:$D$28,梦灵养成!$G$9:$G$28))</f>
        <v>60.06</v>
      </c>
      <c r="X485" s="106" t="str">
        <f ca="1" t="shared" si="163"/>
        <v>神算诸葛</v>
      </c>
      <c r="Y485" s="95">
        <f ca="1" t="shared" si="162"/>
        <v>246600</v>
      </c>
      <c r="Z485" s="96">
        <f ca="1" t="shared" si="183"/>
        <v>5.5</v>
      </c>
    </row>
    <row r="486" s="106" customFormat="1" ht="16.5" spans="2:26">
      <c r="B486" s="117">
        <v>457</v>
      </c>
      <c r="C486" s="130">
        <f t="shared" si="184"/>
        <v>45700</v>
      </c>
      <c r="D486" s="131">
        <f ca="1" t="shared" si="164"/>
        <v>54</v>
      </c>
      <c r="E486" s="131">
        <f ca="1" t="shared" si="165"/>
        <v>54</v>
      </c>
      <c r="F486" s="131">
        <f ca="1" t="shared" si="166"/>
        <v>54</v>
      </c>
      <c r="G486" s="131">
        <f ca="1" t="shared" si="167"/>
        <v>45</v>
      </c>
      <c r="H486" s="131">
        <f ca="1" t="shared" si="168"/>
        <v>45</v>
      </c>
      <c r="I486" s="131">
        <f ca="1" t="shared" si="169"/>
        <v>45</v>
      </c>
      <c r="J486" s="131">
        <f ca="1" t="shared" si="170"/>
        <v>45</v>
      </c>
      <c r="K486" s="131">
        <f ca="1" t="shared" si="171"/>
        <v>45</v>
      </c>
      <c r="L486" s="131">
        <f ca="1" t="shared" si="172"/>
        <v>45</v>
      </c>
      <c r="M486" s="131">
        <f ca="1" t="shared" si="173"/>
        <v>41</v>
      </c>
      <c r="N486" s="131">
        <f ca="1" t="shared" si="174"/>
        <v>41</v>
      </c>
      <c r="O486" s="131">
        <f ca="1" t="shared" si="175"/>
        <v>41</v>
      </c>
      <c r="P486" s="131">
        <f ca="1" t="shared" si="176"/>
        <v>41</v>
      </c>
      <c r="Q486" s="131">
        <f ca="1" t="shared" si="177"/>
        <v>41</v>
      </c>
      <c r="R486" s="131">
        <f ca="1" t="shared" si="178"/>
        <v>41</v>
      </c>
      <c r="S486" s="131">
        <f ca="1" t="shared" si="179"/>
        <v>43</v>
      </c>
      <c r="T486" s="131">
        <f ca="1" t="shared" si="180"/>
        <v>46</v>
      </c>
      <c r="U486" s="131">
        <f ca="1" t="shared" si="181"/>
        <v>46</v>
      </c>
      <c r="V486" s="131">
        <f ca="1" t="shared" si="182"/>
        <v>46</v>
      </c>
      <c r="W486" s="124">
        <f ca="1">OFFSET($K$19,_xlfn.XLOOKUP(X486,$D$9:$D$28,$H$9:$H$28),MATCH(OFFSET($C$29,B486,MATCH(X486,$D$29:$V$29,0)),$L$19:$R$19,1))*(1+(OFFSET($C$29,B486,MATCH(X486,$D$29:$V$29,0))-1)*_xlfn.XLOOKUP(X486,梦灵养成!$D$9:$D$28,梦灵养成!$G$9:$G$28))</f>
        <v>60.06</v>
      </c>
      <c r="X486" s="106" t="str">
        <f ca="1" t="shared" si="163"/>
        <v>神算诸葛</v>
      </c>
      <c r="Y486" s="95">
        <f ca="1" t="shared" si="162"/>
        <v>246600</v>
      </c>
      <c r="Z486" s="96">
        <f ca="1" t="shared" si="183"/>
        <v>5.5</v>
      </c>
    </row>
    <row r="487" s="106" customFormat="1" ht="16.5" spans="2:26">
      <c r="B487" s="117">
        <v>458</v>
      </c>
      <c r="C487" s="130">
        <f t="shared" si="184"/>
        <v>45800</v>
      </c>
      <c r="D487" s="131">
        <f ca="1" t="shared" si="164"/>
        <v>54</v>
      </c>
      <c r="E487" s="131">
        <f ca="1" t="shared" si="165"/>
        <v>54</v>
      </c>
      <c r="F487" s="131">
        <f ca="1" t="shared" si="166"/>
        <v>54</v>
      </c>
      <c r="G487" s="131">
        <f ca="1" t="shared" si="167"/>
        <v>45</v>
      </c>
      <c r="H487" s="131">
        <f ca="1" t="shared" si="168"/>
        <v>45</v>
      </c>
      <c r="I487" s="131">
        <f ca="1" t="shared" si="169"/>
        <v>45</v>
      </c>
      <c r="J487" s="131">
        <f ca="1" t="shared" si="170"/>
        <v>45</v>
      </c>
      <c r="K487" s="131">
        <f ca="1" t="shared" si="171"/>
        <v>45</v>
      </c>
      <c r="L487" s="131">
        <f ca="1" t="shared" si="172"/>
        <v>45</v>
      </c>
      <c r="M487" s="131">
        <f ca="1" t="shared" si="173"/>
        <v>41</v>
      </c>
      <c r="N487" s="131">
        <f ca="1" t="shared" si="174"/>
        <v>41</v>
      </c>
      <c r="O487" s="131">
        <f ca="1" t="shared" si="175"/>
        <v>41</v>
      </c>
      <c r="P487" s="131">
        <f ca="1" t="shared" si="176"/>
        <v>41</v>
      </c>
      <c r="Q487" s="131">
        <f ca="1" t="shared" si="177"/>
        <v>41</v>
      </c>
      <c r="R487" s="131">
        <f ca="1" t="shared" si="178"/>
        <v>41</v>
      </c>
      <c r="S487" s="131">
        <f ca="1" t="shared" si="179"/>
        <v>43</v>
      </c>
      <c r="T487" s="131">
        <f ca="1" t="shared" si="180"/>
        <v>46</v>
      </c>
      <c r="U487" s="131">
        <f ca="1" t="shared" si="181"/>
        <v>46</v>
      </c>
      <c r="V487" s="131">
        <f ca="1" t="shared" si="182"/>
        <v>46</v>
      </c>
      <c r="W487" s="124">
        <f ca="1">OFFSET($K$19,_xlfn.XLOOKUP(X487,$D$9:$D$28,$H$9:$H$28),MATCH(OFFSET($C$29,B487,MATCH(X487,$D$29:$V$29,0)),$L$19:$R$19,1))*(1+(OFFSET($C$29,B487,MATCH(X487,$D$29:$V$29,0))-1)*_xlfn.XLOOKUP(X487,梦灵养成!$D$9:$D$28,梦灵养成!$G$9:$G$28))</f>
        <v>60.06</v>
      </c>
      <c r="X487" s="106" t="str">
        <f ca="1" t="shared" si="163"/>
        <v>神算诸葛</v>
      </c>
      <c r="Y487" s="95">
        <f ca="1" t="shared" si="162"/>
        <v>246600</v>
      </c>
      <c r="Z487" s="96">
        <f ca="1" t="shared" si="183"/>
        <v>5.5</v>
      </c>
    </row>
    <row r="488" s="106" customFormat="1" ht="16.5" spans="2:26">
      <c r="B488" s="117">
        <v>459</v>
      </c>
      <c r="C488" s="130">
        <f t="shared" si="184"/>
        <v>45900</v>
      </c>
      <c r="D488" s="131">
        <f ca="1" t="shared" si="164"/>
        <v>54</v>
      </c>
      <c r="E488" s="131">
        <f ca="1" t="shared" si="165"/>
        <v>54</v>
      </c>
      <c r="F488" s="131">
        <f ca="1" t="shared" si="166"/>
        <v>54</v>
      </c>
      <c r="G488" s="131">
        <f ca="1" t="shared" si="167"/>
        <v>45</v>
      </c>
      <c r="H488" s="131">
        <f ca="1" t="shared" si="168"/>
        <v>45</v>
      </c>
      <c r="I488" s="131">
        <f ca="1" t="shared" si="169"/>
        <v>45</v>
      </c>
      <c r="J488" s="131">
        <f ca="1" t="shared" si="170"/>
        <v>45</v>
      </c>
      <c r="K488" s="131">
        <f ca="1" t="shared" si="171"/>
        <v>45</v>
      </c>
      <c r="L488" s="131">
        <f ca="1" t="shared" si="172"/>
        <v>45</v>
      </c>
      <c r="M488" s="131">
        <f ca="1" t="shared" si="173"/>
        <v>41</v>
      </c>
      <c r="N488" s="131">
        <f ca="1" t="shared" si="174"/>
        <v>41</v>
      </c>
      <c r="O488" s="131">
        <f ca="1" t="shared" si="175"/>
        <v>41</v>
      </c>
      <c r="P488" s="131">
        <f ca="1" t="shared" si="176"/>
        <v>41</v>
      </c>
      <c r="Q488" s="131">
        <f ca="1" t="shared" si="177"/>
        <v>41</v>
      </c>
      <c r="R488" s="131">
        <f ca="1" t="shared" si="178"/>
        <v>41</v>
      </c>
      <c r="S488" s="131">
        <f ca="1" t="shared" si="179"/>
        <v>43</v>
      </c>
      <c r="T488" s="131">
        <f ca="1" t="shared" si="180"/>
        <v>46</v>
      </c>
      <c r="U488" s="131">
        <f ca="1" t="shared" si="181"/>
        <v>46</v>
      </c>
      <c r="V488" s="131">
        <f ca="1" t="shared" si="182"/>
        <v>47</v>
      </c>
      <c r="W488" s="124">
        <f ca="1">OFFSET($K$19,_xlfn.XLOOKUP(X488,$D$9:$D$28,$H$9:$H$28),MATCH(OFFSET($C$29,B488,MATCH(X488,$D$29:$V$29,0)),$L$19:$R$19,1))*(1+(OFFSET($C$29,B488,MATCH(X488,$D$29:$V$29,0))-1)*_xlfn.XLOOKUP(X488,梦灵养成!$D$9:$D$28,梦灵养成!$G$9:$G$28))</f>
        <v>61.152</v>
      </c>
      <c r="X488" s="106" t="str">
        <f ca="1" t="shared" si="163"/>
        <v>神算诸葛</v>
      </c>
      <c r="Y488" s="95">
        <f ca="1" t="shared" si="162"/>
        <v>246600</v>
      </c>
      <c r="Z488" s="96">
        <f ca="1" t="shared" si="183"/>
        <v>5.6</v>
      </c>
    </row>
    <row r="489" s="106" customFormat="1" ht="16.5" spans="2:26">
      <c r="B489" s="117">
        <v>460</v>
      </c>
      <c r="C489" s="130">
        <f t="shared" si="184"/>
        <v>46000</v>
      </c>
      <c r="D489" s="131">
        <f ca="1" t="shared" si="164"/>
        <v>54</v>
      </c>
      <c r="E489" s="131">
        <f ca="1" t="shared" si="165"/>
        <v>54</v>
      </c>
      <c r="F489" s="131">
        <f ca="1" t="shared" si="166"/>
        <v>54</v>
      </c>
      <c r="G489" s="131">
        <f ca="1" t="shared" si="167"/>
        <v>45</v>
      </c>
      <c r="H489" s="131">
        <f ca="1" t="shared" si="168"/>
        <v>45</v>
      </c>
      <c r="I489" s="131">
        <f ca="1" t="shared" si="169"/>
        <v>45</v>
      </c>
      <c r="J489" s="131">
        <f ca="1" t="shared" si="170"/>
        <v>45</v>
      </c>
      <c r="K489" s="131">
        <f ca="1" t="shared" si="171"/>
        <v>45</v>
      </c>
      <c r="L489" s="131">
        <f ca="1" t="shared" si="172"/>
        <v>45</v>
      </c>
      <c r="M489" s="131">
        <f ca="1" t="shared" si="173"/>
        <v>41</v>
      </c>
      <c r="N489" s="131">
        <f ca="1" t="shared" si="174"/>
        <v>41</v>
      </c>
      <c r="O489" s="131">
        <f ca="1" t="shared" si="175"/>
        <v>41</v>
      </c>
      <c r="P489" s="131">
        <f ca="1" t="shared" si="176"/>
        <v>41</v>
      </c>
      <c r="Q489" s="131">
        <f ca="1" t="shared" si="177"/>
        <v>41</v>
      </c>
      <c r="R489" s="131">
        <f ca="1" t="shared" si="178"/>
        <v>41</v>
      </c>
      <c r="S489" s="131">
        <f ca="1" t="shared" si="179"/>
        <v>43</v>
      </c>
      <c r="T489" s="131">
        <f ca="1" t="shared" si="180"/>
        <v>46</v>
      </c>
      <c r="U489" s="131">
        <f ca="1" t="shared" si="181"/>
        <v>46</v>
      </c>
      <c r="V489" s="131">
        <f ca="1" t="shared" si="182"/>
        <v>47</v>
      </c>
      <c r="W489" s="124">
        <f ca="1">OFFSET($K$19,_xlfn.XLOOKUP(X489,$D$9:$D$28,$H$9:$H$28),MATCH(OFFSET($C$29,B489,MATCH(X489,$D$29:$V$29,0)),$L$19:$R$19,1))*(1+(OFFSET($C$29,B489,MATCH(X489,$D$29:$V$29,0))-1)*_xlfn.XLOOKUP(X489,梦灵养成!$D$9:$D$28,梦灵养成!$G$9:$G$28))</f>
        <v>61.152</v>
      </c>
      <c r="X489" s="106" t="str">
        <f ca="1" t="shared" si="163"/>
        <v>神算诸葛</v>
      </c>
      <c r="Y489" s="95">
        <f ca="1" t="shared" si="162"/>
        <v>246600</v>
      </c>
      <c r="Z489" s="96">
        <f ca="1" t="shared" si="183"/>
        <v>5.6</v>
      </c>
    </row>
    <row r="490" s="106" customFormat="1" ht="16.5" spans="2:26">
      <c r="B490" s="117">
        <v>461</v>
      </c>
      <c r="C490" s="130">
        <f t="shared" si="184"/>
        <v>46100</v>
      </c>
      <c r="D490" s="131">
        <f ca="1" t="shared" si="164"/>
        <v>54</v>
      </c>
      <c r="E490" s="131">
        <f ca="1" t="shared" si="165"/>
        <v>54</v>
      </c>
      <c r="F490" s="131">
        <f ca="1" t="shared" si="166"/>
        <v>54</v>
      </c>
      <c r="G490" s="131">
        <f ca="1" t="shared" si="167"/>
        <v>45</v>
      </c>
      <c r="H490" s="131">
        <f ca="1" t="shared" si="168"/>
        <v>45</v>
      </c>
      <c r="I490" s="131">
        <f ca="1" t="shared" si="169"/>
        <v>45</v>
      </c>
      <c r="J490" s="131">
        <f ca="1" t="shared" si="170"/>
        <v>45</v>
      </c>
      <c r="K490" s="131">
        <f ca="1" t="shared" si="171"/>
        <v>45</v>
      </c>
      <c r="L490" s="131">
        <f ca="1" t="shared" si="172"/>
        <v>45</v>
      </c>
      <c r="M490" s="131">
        <f ca="1" t="shared" si="173"/>
        <v>41</v>
      </c>
      <c r="N490" s="131">
        <f ca="1" t="shared" si="174"/>
        <v>41</v>
      </c>
      <c r="O490" s="131">
        <f ca="1" t="shared" si="175"/>
        <v>41</v>
      </c>
      <c r="P490" s="131">
        <f ca="1" t="shared" si="176"/>
        <v>41</v>
      </c>
      <c r="Q490" s="131">
        <f ca="1" t="shared" si="177"/>
        <v>41</v>
      </c>
      <c r="R490" s="131">
        <f ca="1" t="shared" si="178"/>
        <v>41</v>
      </c>
      <c r="S490" s="131">
        <f ca="1" t="shared" si="179"/>
        <v>43</v>
      </c>
      <c r="T490" s="131">
        <f ca="1" t="shared" si="180"/>
        <v>46</v>
      </c>
      <c r="U490" s="131">
        <f ca="1" t="shared" si="181"/>
        <v>46</v>
      </c>
      <c r="V490" s="131">
        <f ca="1" t="shared" si="182"/>
        <v>47</v>
      </c>
      <c r="W490" s="124">
        <f ca="1">OFFSET($K$19,_xlfn.XLOOKUP(X490,$D$9:$D$28,$H$9:$H$28),MATCH(OFFSET($C$29,B490,MATCH(X490,$D$29:$V$29,0)),$L$19:$R$19,1))*(1+(OFFSET($C$29,B490,MATCH(X490,$D$29:$V$29,0))-1)*_xlfn.XLOOKUP(X490,梦灵养成!$D$9:$D$28,梦灵养成!$G$9:$G$28))</f>
        <v>61.152</v>
      </c>
      <c r="X490" s="106" t="str">
        <f ca="1" t="shared" si="163"/>
        <v>神算诸葛</v>
      </c>
      <c r="Y490" s="95">
        <f ca="1" t="shared" si="162"/>
        <v>246600</v>
      </c>
      <c r="Z490" s="96">
        <f ca="1" t="shared" si="183"/>
        <v>5.6</v>
      </c>
    </row>
    <row r="491" s="106" customFormat="1" ht="16.5" spans="2:26">
      <c r="B491" s="117">
        <v>462</v>
      </c>
      <c r="C491" s="130">
        <f t="shared" si="184"/>
        <v>46200</v>
      </c>
      <c r="D491" s="131">
        <f ca="1" t="shared" si="164"/>
        <v>54</v>
      </c>
      <c r="E491" s="131">
        <f ca="1" t="shared" si="165"/>
        <v>54</v>
      </c>
      <c r="F491" s="131">
        <f ca="1" t="shared" si="166"/>
        <v>54</v>
      </c>
      <c r="G491" s="131">
        <f ca="1" t="shared" si="167"/>
        <v>45</v>
      </c>
      <c r="H491" s="131">
        <f ca="1" t="shared" si="168"/>
        <v>45</v>
      </c>
      <c r="I491" s="131">
        <f ca="1" t="shared" si="169"/>
        <v>45</v>
      </c>
      <c r="J491" s="131">
        <f ca="1" t="shared" si="170"/>
        <v>45</v>
      </c>
      <c r="K491" s="131">
        <f ca="1" t="shared" si="171"/>
        <v>45</v>
      </c>
      <c r="L491" s="131">
        <f ca="1" t="shared" si="172"/>
        <v>45</v>
      </c>
      <c r="M491" s="131">
        <f ca="1" t="shared" si="173"/>
        <v>41</v>
      </c>
      <c r="N491" s="131">
        <f ca="1" t="shared" si="174"/>
        <v>41</v>
      </c>
      <c r="O491" s="131">
        <f ca="1" t="shared" si="175"/>
        <v>41</v>
      </c>
      <c r="P491" s="131">
        <f ca="1" t="shared" si="176"/>
        <v>41</v>
      </c>
      <c r="Q491" s="131">
        <f ca="1" t="shared" si="177"/>
        <v>41</v>
      </c>
      <c r="R491" s="131">
        <f ca="1" t="shared" si="178"/>
        <v>41</v>
      </c>
      <c r="S491" s="131">
        <f ca="1" t="shared" si="179"/>
        <v>43</v>
      </c>
      <c r="T491" s="131">
        <f ca="1" t="shared" si="180"/>
        <v>46</v>
      </c>
      <c r="U491" s="131">
        <f ca="1" t="shared" si="181"/>
        <v>46</v>
      </c>
      <c r="V491" s="131">
        <f ca="1" t="shared" si="182"/>
        <v>47</v>
      </c>
      <c r="W491" s="124">
        <f ca="1">OFFSET($K$19,_xlfn.XLOOKUP(X491,$D$9:$D$28,$H$9:$H$28),MATCH(OFFSET($C$29,B491,MATCH(X491,$D$29:$V$29,0)),$L$19:$R$19,1))*(1+(OFFSET($C$29,B491,MATCH(X491,$D$29:$V$29,0))-1)*_xlfn.XLOOKUP(X491,梦灵养成!$D$9:$D$28,梦灵养成!$G$9:$G$28))</f>
        <v>61.152</v>
      </c>
      <c r="X491" s="106" t="str">
        <f ca="1" t="shared" si="163"/>
        <v>神算诸葛</v>
      </c>
      <c r="Y491" s="95">
        <f ca="1" t="shared" si="162"/>
        <v>246600</v>
      </c>
      <c r="Z491" s="96">
        <f ca="1" t="shared" si="183"/>
        <v>5.6</v>
      </c>
    </row>
    <row r="492" s="106" customFormat="1" ht="16.5" spans="2:26">
      <c r="B492" s="117">
        <v>463</v>
      </c>
      <c r="C492" s="130">
        <f t="shared" si="184"/>
        <v>46300</v>
      </c>
      <c r="D492" s="131">
        <f ca="1" t="shared" si="164"/>
        <v>54</v>
      </c>
      <c r="E492" s="131">
        <f ca="1" t="shared" si="165"/>
        <v>54</v>
      </c>
      <c r="F492" s="131">
        <f ca="1" t="shared" si="166"/>
        <v>54</v>
      </c>
      <c r="G492" s="131">
        <f ca="1" t="shared" si="167"/>
        <v>45</v>
      </c>
      <c r="H492" s="131">
        <f ca="1" t="shared" si="168"/>
        <v>45</v>
      </c>
      <c r="I492" s="131">
        <f ca="1" t="shared" si="169"/>
        <v>45</v>
      </c>
      <c r="J492" s="131">
        <f ca="1" t="shared" si="170"/>
        <v>45</v>
      </c>
      <c r="K492" s="131">
        <f ca="1" t="shared" si="171"/>
        <v>45</v>
      </c>
      <c r="L492" s="131">
        <f ca="1" t="shared" si="172"/>
        <v>45</v>
      </c>
      <c r="M492" s="131">
        <f ca="1" t="shared" si="173"/>
        <v>41</v>
      </c>
      <c r="N492" s="131">
        <f ca="1" t="shared" si="174"/>
        <v>41</v>
      </c>
      <c r="O492" s="131">
        <f ca="1" t="shared" si="175"/>
        <v>41</v>
      </c>
      <c r="P492" s="131">
        <f ca="1" t="shared" si="176"/>
        <v>41</v>
      </c>
      <c r="Q492" s="131">
        <f ca="1" t="shared" si="177"/>
        <v>41</v>
      </c>
      <c r="R492" s="131">
        <f ca="1" t="shared" si="178"/>
        <v>41</v>
      </c>
      <c r="S492" s="131">
        <f ca="1" t="shared" si="179"/>
        <v>43</v>
      </c>
      <c r="T492" s="131">
        <f ca="1" t="shared" si="180"/>
        <v>46</v>
      </c>
      <c r="U492" s="131">
        <f ca="1" t="shared" si="181"/>
        <v>46</v>
      </c>
      <c r="V492" s="131">
        <f ca="1" t="shared" si="182"/>
        <v>47</v>
      </c>
      <c r="W492" s="124">
        <f ca="1">OFFSET($K$19,_xlfn.XLOOKUP(X492,$D$9:$D$28,$H$9:$H$28),MATCH(OFFSET($C$29,B492,MATCH(X492,$D$29:$V$29,0)),$L$19:$R$19,1))*(1+(OFFSET($C$29,B492,MATCH(X492,$D$29:$V$29,0))-1)*_xlfn.XLOOKUP(X492,梦灵养成!$D$9:$D$28,梦灵养成!$G$9:$G$28))</f>
        <v>61.152</v>
      </c>
      <c r="X492" s="106" t="str">
        <f ca="1" t="shared" si="163"/>
        <v>神算诸葛</v>
      </c>
      <c r="Y492" s="95">
        <f ca="1" t="shared" si="162"/>
        <v>246600</v>
      </c>
      <c r="Z492" s="96">
        <f ca="1" t="shared" si="183"/>
        <v>5.6</v>
      </c>
    </row>
    <row r="493" s="106" customFormat="1" ht="16.5" spans="2:26">
      <c r="B493" s="117">
        <v>464</v>
      </c>
      <c r="C493" s="130">
        <f t="shared" si="184"/>
        <v>46400</v>
      </c>
      <c r="D493" s="131">
        <f ca="1" t="shared" si="164"/>
        <v>54</v>
      </c>
      <c r="E493" s="131">
        <f ca="1" t="shared" si="165"/>
        <v>54</v>
      </c>
      <c r="F493" s="131">
        <f ca="1" t="shared" si="166"/>
        <v>54</v>
      </c>
      <c r="G493" s="131">
        <f ca="1" t="shared" si="167"/>
        <v>45</v>
      </c>
      <c r="H493" s="131">
        <f ca="1" t="shared" si="168"/>
        <v>45</v>
      </c>
      <c r="I493" s="131">
        <f ca="1" t="shared" si="169"/>
        <v>45</v>
      </c>
      <c r="J493" s="131">
        <f ca="1" t="shared" si="170"/>
        <v>45</v>
      </c>
      <c r="K493" s="131">
        <f ca="1" t="shared" si="171"/>
        <v>45</v>
      </c>
      <c r="L493" s="131">
        <f ca="1" t="shared" si="172"/>
        <v>45</v>
      </c>
      <c r="M493" s="131">
        <f ca="1" t="shared" si="173"/>
        <v>41</v>
      </c>
      <c r="N493" s="131">
        <f ca="1" t="shared" si="174"/>
        <v>41</v>
      </c>
      <c r="O493" s="131">
        <f ca="1" t="shared" si="175"/>
        <v>41</v>
      </c>
      <c r="P493" s="131">
        <f ca="1" t="shared" si="176"/>
        <v>41</v>
      </c>
      <c r="Q493" s="131">
        <f ca="1" t="shared" si="177"/>
        <v>41</v>
      </c>
      <c r="R493" s="131">
        <f ca="1" t="shared" si="178"/>
        <v>41</v>
      </c>
      <c r="S493" s="131">
        <f ca="1" t="shared" si="179"/>
        <v>43</v>
      </c>
      <c r="T493" s="131">
        <f ca="1" t="shared" si="180"/>
        <v>46</v>
      </c>
      <c r="U493" s="131">
        <f ca="1" t="shared" si="181"/>
        <v>46</v>
      </c>
      <c r="V493" s="131">
        <f ca="1" t="shared" si="182"/>
        <v>47</v>
      </c>
      <c r="W493" s="124">
        <f ca="1">OFFSET($K$19,_xlfn.XLOOKUP(X493,$D$9:$D$28,$H$9:$H$28),MATCH(OFFSET($C$29,B493,MATCH(X493,$D$29:$V$29,0)),$L$19:$R$19,1))*(1+(OFFSET($C$29,B493,MATCH(X493,$D$29:$V$29,0))-1)*_xlfn.XLOOKUP(X493,梦灵养成!$D$9:$D$28,梦灵养成!$G$9:$G$28))</f>
        <v>61.152</v>
      </c>
      <c r="X493" s="106" t="str">
        <f ca="1" t="shared" si="163"/>
        <v>神算诸葛</v>
      </c>
      <c r="Y493" s="95">
        <f ca="1" t="shared" si="162"/>
        <v>246600</v>
      </c>
      <c r="Z493" s="96">
        <f ca="1" t="shared" si="183"/>
        <v>5.6</v>
      </c>
    </row>
    <row r="494" s="106" customFormat="1" ht="16.5" spans="2:26">
      <c r="B494" s="117">
        <v>465</v>
      </c>
      <c r="C494" s="130">
        <f t="shared" si="184"/>
        <v>46500</v>
      </c>
      <c r="D494" s="131">
        <f ca="1" t="shared" si="164"/>
        <v>54</v>
      </c>
      <c r="E494" s="131">
        <f ca="1" t="shared" si="165"/>
        <v>54</v>
      </c>
      <c r="F494" s="131">
        <f ca="1" t="shared" si="166"/>
        <v>54</v>
      </c>
      <c r="G494" s="131">
        <f ca="1" t="shared" si="167"/>
        <v>45</v>
      </c>
      <c r="H494" s="131">
        <f ca="1" t="shared" si="168"/>
        <v>45</v>
      </c>
      <c r="I494" s="131">
        <f ca="1" t="shared" si="169"/>
        <v>45</v>
      </c>
      <c r="J494" s="131">
        <f ca="1" t="shared" si="170"/>
        <v>45</v>
      </c>
      <c r="K494" s="131">
        <f ca="1" t="shared" si="171"/>
        <v>45</v>
      </c>
      <c r="L494" s="131">
        <f ca="1" t="shared" si="172"/>
        <v>45</v>
      </c>
      <c r="M494" s="131">
        <f ca="1" t="shared" si="173"/>
        <v>41</v>
      </c>
      <c r="N494" s="131">
        <f ca="1" t="shared" si="174"/>
        <v>41</v>
      </c>
      <c r="O494" s="131">
        <f ca="1" t="shared" si="175"/>
        <v>41</v>
      </c>
      <c r="P494" s="131">
        <f ca="1" t="shared" si="176"/>
        <v>41</v>
      </c>
      <c r="Q494" s="131">
        <f ca="1" t="shared" si="177"/>
        <v>41</v>
      </c>
      <c r="R494" s="131">
        <f ca="1" t="shared" si="178"/>
        <v>41</v>
      </c>
      <c r="S494" s="131">
        <f ca="1" t="shared" si="179"/>
        <v>43</v>
      </c>
      <c r="T494" s="131">
        <f ca="1" t="shared" si="180"/>
        <v>46</v>
      </c>
      <c r="U494" s="131">
        <f ca="1" t="shared" si="181"/>
        <v>46</v>
      </c>
      <c r="V494" s="131">
        <f ca="1" t="shared" si="182"/>
        <v>47</v>
      </c>
      <c r="W494" s="124">
        <f ca="1">OFFSET($K$19,_xlfn.XLOOKUP(X494,$D$9:$D$28,$H$9:$H$28),MATCH(OFFSET($C$29,B494,MATCH(X494,$D$29:$V$29,0)),$L$19:$R$19,1))*(1+(OFFSET($C$29,B494,MATCH(X494,$D$29:$V$29,0))-1)*_xlfn.XLOOKUP(X494,梦灵养成!$D$9:$D$28,梦灵养成!$G$9:$G$28))</f>
        <v>61.152</v>
      </c>
      <c r="X494" s="106" t="str">
        <f ca="1" t="shared" si="163"/>
        <v>神算诸葛</v>
      </c>
      <c r="Y494" s="95">
        <f ca="1" t="shared" si="162"/>
        <v>246600</v>
      </c>
      <c r="Z494" s="96">
        <f ca="1" t="shared" si="183"/>
        <v>5.6</v>
      </c>
    </row>
    <row r="495" s="106" customFormat="1" ht="16.5" spans="2:26">
      <c r="B495" s="117">
        <v>466</v>
      </c>
      <c r="C495" s="130">
        <f t="shared" si="184"/>
        <v>46600</v>
      </c>
      <c r="D495" s="131">
        <f ca="1" t="shared" si="164"/>
        <v>54</v>
      </c>
      <c r="E495" s="131">
        <f ca="1" t="shared" si="165"/>
        <v>54</v>
      </c>
      <c r="F495" s="131">
        <f ca="1" t="shared" si="166"/>
        <v>54</v>
      </c>
      <c r="G495" s="131">
        <f ca="1" t="shared" si="167"/>
        <v>45</v>
      </c>
      <c r="H495" s="131">
        <f ca="1" t="shared" si="168"/>
        <v>45</v>
      </c>
      <c r="I495" s="131">
        <f ca="1" t="shared" si="169"/>
        <v>45</v>
      </c>
      <c r="J495" s="131">
        <f ca="1" t="shared" si="170"/>
        <v>45</v>
      </c>
      <c r="K495" s="131">
        <f ca="1" t="shared" si="171"/>
        <v>45</v>
      </c>
      <c r="L495" s="131">
        <f ca="1" t="shared" si="172"/>
        <v>45</v>
      </c>
      <c r="M495" s="131">
        <f ca="1" t="shared" si="173"/>
        <v>41</v>
      </c>
      <c r="N495" s="131">
        <f ca="1" t="shared" si="174"/>
        <v>41</v>
      </c>
      <c r="O495" s="131">
        <f ca="1" t="shared" si="175"/>
        <v>41</v>
      </c>
      <c r="P495" s="131">
        <f ca="1" t="shared" si="176"/>
        <v>41</v>
      </c>
      <c r="Q495" s="131">
        <f ca="1" t="shared" si="177"/>
        <v>41</v>
      </c>
      <c r="R495" s="131">
        <f ca="1" t="shared" si="178"/>
        <v>41</v>
      </c>
      <c r="S495" s="131">
        <f ca="1" t="shared" si="179"/>
        <v>43</v>
      </c>
      <c r="T495" s="131">
        <f ca="1" t="shared" si="180"/>
        <v>46</v>
      </c>
      <c r="U495" s="131">
        <f ca="1" t="shared" si="181"/>
        <v>46</v>
      </c>
      <c r="V495" s="131">
        <f ca="1" t="shared" si="182"/>
        <v>47</v>
      </c>
      <c r="W495" s="124">
        <f ca="1">OFFSET($K$19,_xlfn.XLOOKUP(X495,$D$9:$D$28,$H$9:$H$28),MATCH(OFFSET($C$29,B495,MATCH(X495,$D$29:$V$29,0)),$L$19:$R$19,1))*(1+(OFFSET($C$29,B495,MATCH(X495,$D$29:$V$29,0))-1)*_xlfn.XLOOKUP(X495,梦灵养成!$D$9:$D$28,梦灵养成!$G$9:$G$28))</f>
        <v>61.152</v>
      </c>
      <c r="X495" s="106" t="str">
        <f ca="1" t="shared" si="163"/>
        <v>神算诸葛</v>
      </c>
      <c r="Y495" s="95">
        <f ca="1" t="shared" si="162"/>
        <v>246600</v>
      </c>
      <c r="Z495" s="96">
        <f ca="1" t="shared" si="183"/>
        <v>5.6</v>
      </c>
    </row>
    <row r="496" s="106" customFormat="1" ht="16.5" spans="2:26">
      <c r="B496" s="117">
        <v>467</v>
      </c>
      <c r="C496" s="130">
        <f t="shared" si="184"/>
        <v>46700</v>
      </c>
      <c r="D496" s="131">
        <f ca="1" t="shared" si="164"/>
        <v>54</v>
      </c>
      <c r="E496" s="131">
        <f ca="1" t="shared" si="165"/>
        <v>54</v>
      </c>
      <c r="F496" s="131">
        <f ca="1" t="shared" si="166"/>
        <v>54</v>
      </c>
      <c r="G496" s="131">
        <f ca="1" t="shared" si="167"/>
        <v>45</v>
      </c>
      <c r="H496" s="131">
        <f ca="1" t="shared" si="168"/>
        <v>45</v>
      </c>
      <c r="I496" s="131">
        <f ca="1" t="shared" si="169"/>
        <v>45</v>
      </c>
      <c r="J496" s="131">
        <f ca="1" t="shared" si="170"/>
        <v>45</v>
      </c>
      <c r="K496" s="131">
        <f ca="1" t="shared" si="171"/>
        <v>45</v>
      </c>
      <c r="L496" s="131">
        <f ca="1" t="shared" si="172"/>
        <v>45</v>
      </c>
      <c r="M496" s="131">
        <f ca="1" t="shared" si="173"/>
        <v>41</v>
      </c>
      <c r="N496" s="131">
        <f ca="1" t="shared" si="174"/>
        <v>41</v>
      </c>
      <c r="O496" s="131">
        <f ca="1" t="shared" si="175"/>
        <v>41</v>
      </c>
      <c r="P496" s="131">
        <f ca="1" t="shared" si="176"/>
        <v>41</v>
      </c>
      <c r="Q496" s="131">
        <f ca="1" t="shared" si="177"/>
        <v>41</v>
      </c>
      <c r="R496" s="131">
        <f ca="1" t="shared" si="178"/>
        <v>41</v>
      </c>
      <c r="S496" s="131">
        <f ca="1" t="shared" si="179"/>
        <v>43</v>
      </c>
      <c r="T496" s="131">
        <f ca="1" t="shared" si="180"/>
        <v>46</v>
      </c>
      <c r="U496" s="131">
        <f ca="1" t="shared" si="181"/>
        <v>46</v>
      </c>
      <c r="V496" s="131">
        <f ca="1" t="shared" si="182"/>
        <v>47</v>
      </c>
      <c r="W496" s="124">
        <f ca="1">OFFSET($K$19,_xlfn.XLOOKUP(X496,$D$9:$D$28,$H$9:$H$28),MATCH(OFFSET($C$29,B496,MATCH(X496,$D$29:$V$29,0)),$L$19:$R$19,1))*(1+(OFFSET($C$29,B496,MATCH(X496,$D$29:$V$29,0))-1)*_xlfn.XLOOKUP(X496,梦灵养成!$D$9:$D$28,梦灵养成!$G$9:$G$28))</f>
        <v>61.152</v>
      </c>
      <c r="X496" s="106" t="str">
        <f ca="1" t="shared" si="163"/>
        <v>神算诸葛</v>
      </c>
      <c r="Y496" s="95">
        <f ca="1" t="shared" si="162"/>
        <v>246600</v>
      </c>
      <c r="Z496" s="96">
        <f ca="1" t="shared" si="183"/>
        <v>5.6</v>
      </c>
    </row>
    <row r="497" s="106" customFormat="1" ht="16.5" spans="2:26">
      <c r="B497" s="117">
        <v>468</v>
      </c>
      <c r="C497" s="130">
        <f t="shared" si="184"/>
        <v>46800</v>
      </c>
      <c r="D497" s="131">
        <f ca="1" t="shared" si="164"/>
        <v>54</v>
      </c>
      <c r="E497" s="131">
        <f ca="1" t="shared" si="165"/>
        <v>54</v>
      </c>
      <c r="F497" s="131">
        <f ca="1" t="shared" si="166"/>
        <v>54</v>
      </c>
      <c r="G497" s="131">
        <f ca="1" t="shared" si="167"/>
        <v>45</v>
      </c>
      <c r="H497" s="131">
        <f ca="1" t="shared" si="168"/>
        <v>45</v>
      </c>
      <c r="I497" s="131">
        <f ca="1" t="shared" si="169"/>
        <v>45</v>
      </c>
      <c r="J497" s="131">
        <f ca="1" t="shared" si="170"/>
        <v>45</v>
      </c>
      <c r="K497" s="131">
        <f ca="1" t="shared" si="171"/>
        <v>45</v>
      </c>
      <c r="L497" s="131">
        <f ca="1" t="shared" si="172"/>
        <v>45</v>
      </c>
      <c r="M497" s="131">
        <f ca="1" t="shared" si="173"/>
        <v>41</v>
      </c>
      <c r="N497" s="131">
        <f ca="1" t="shared" si="174"/>
        <v>41</v>
      </c>
      <c r="O497" s="131">
        <f ca="1" t="shared" si="175"/>
        <v>41</v>
      </c>
      <c r="P497" s="131">
        <f ca="1" t="shared" si="176"/>
        <v>41</v>
      </c>
      <c r="Q497" s="131">
        <f ca="1" t="shared" si="177"/>
        <v>41</v>
      </c>
      <c r="R497" s="131">
        <f ca="1" t="shared" si="178"/>
        <v>41</v>
      </c>
      <c r="S497" s="131">
        <f ca="1" t="shared" si="179"/>
        <v>43</v>
      </c>
      <c r="T497" s="131">
        <f ca="1" t="shared" si="180"/>
        <v>46</v>
      </c>
      <c r="U497" s="131">
        <f ca="1" t="shared" si="181"/>
        <v>46</v>
      </c>
      <c r="V497" s="131">
        <f ca="1" t="shared" si="182"/>
        <v>47</v>
      </c>
      <c r="W497" s="124">
        <f ca="1">OFFSET($K$19,_xlfn.XLOOKUP(X497,$D$9:$D$28,$H$9:$H$28),MATCH(OFFSET($C$29,B497,MATCH(X497,$D$29:$V$29,0)),$L$19:$R$19,1))*(1+(OFFSET($C$29,B497,MATCH(X497,$D$29:$V$29,0))-1)*_xlfn.XLOOKUP(X497,梦灵养成!$D$9:$D$28,梦灵养成!$G$9:$G$28))</f>
        <v>61.152</v>
      </c>
      <c r="X497" s="106" t="str">
        <f ca="1" t="shared" si="163"/>
        <v>神算诸葛</v>
      </c>
      <c r="Y497" s="95">
        <f ca="1" t="shared" si="162"/>
        <v>246600</v>
      </c>
      <c r="Z497" s="96">
        <f ca="1" t="shared" si="183"/>
        <v>5.6</v>
      </c>
    </row>
    <row r="498" s="106" customFormat="1" ht="16.5" spans="2:26">
      <c r="B498" s="117">
        <v>469</v>
      </c>
      <c r="C498" s="130">
        <f t="shared" si="184"/>
        <v>46900</v>
      </c>
      <c r="D498" s="131">
        <f ca="1" t="shared" si="164"/>
        <v>54</v>
      </c>
      <c r="E498" s="131">
        <f ca="1" t="shared" si="165"/>
        <v>54</v>
      </c>
      <c r="F498" s="131">
        <f ca="1" t="shared" si="166"/>
        <v>54</v>
      </c>
      <c r="G498" s="131">
        <f ca="1" t="shared" si="167"/>
        <v>45</v>
      </c>
      <c r="H498" s="131">
        <f ca="1" t="shared" si="168"/>
        <v>45</v>
      </c>
      <c r="I498" s="131">
        <f ca="1" t="shared" si="169"/>
        <v>45</v>
      </c>
      <c r="J498" s="131">
        <f ca="1" t="shared" si="170"/>
        <v>45</v>
      </c>
      <c r="K498" s="131">
        <f ca="1" t="shared" si="171"/>
        <v>45</v>
      </c>
      <c r="L498" s="131">
        <f ca="1" t="shared" si="172"/>
        <v>45</v>
      </c>
      <c r="M498" s="131">
        <f ca="1" t="shared" si="173"/>
        <v>41</v>
      </c>
      <c r="N498" s="131">
        <f ca="1" t="shared" si="174"/>
        <v>41</v>
      </c>
      <c r="O498" s="131">
        <f ca="1" t="shared" si="175"/>
        <v>41</v>
      </c>
      <c r="P498" s="131">
        <f ca="1" t="shared" si="176"/>
        <v>41</v>
      </c>
      <c r="Q498" s="131">
        <f ca="1" t="shared" si="177"/>
        <v>41</v>
      </c>
      <c r="R498" s="131">
        <f ca="1" t="shared" si="178"/>
        <v>41</v>
      </c>
      <c r="S498" s="131">
        <f ca="1" t="shared" si="179"/>
        <v>43</v>
      </c>
      <c r="T498" s="131">
        <f ca="1" t="shared" si="180"/>
        <v>46</v>
      </c>
      <c r="U498" s="131">
        <f ca="1" t="shared" si="181"/>
        <v>46</v>
      </c>
      <c r="V498" s="131">
        <f ca="1" t="shared" si="182"/>
        <v>47</v>
      </c>
      <c r="W498" s="124">
        <f ca="1">OFFSET($K$19,_xlfn.XLOOKUP(X498,$D$9:$D$28,$H$9:$H$28),MATCH(OFFSET($C$29,B498,MATCH(X498,$D$29:$V$29,0)),$L$19:$R$19,1))*(1+(OFFSET($C$29,B498,MATCH(X498,$D$29:$V$29,0))-1)*_xlfn.XLOOKUP(X498,梦灵养成!$D$9:$D$28,梦灵养成!$G$9:$G$28))</f>
        <v>61.152</v>
      </c>
      <c r="X498" s="106" t="str">
        <f ca="1" t="shared" si="163"/>
        <v>神算诸葛</v>
      </c>
      <c r="Y498" s="95">
        <f ca="1" t="shared" si="162"/>
        <v>246600</v>
      </c>
      <c r="Z498" s="96">
        <f ca="1" t="shared" si="183"/>
        <v>5.6</v>
      </c>
    </row>
    <row r="499" s="106" customFormat="1" ht="16.5" spans="2:26">
      <c r="B499" s="117">
        <v>470</v>
      </c>
      <c r="C499" s="130">
        <f t="shared" si="184"/>
        <v>47000</v>
      </c>
      <c r="D499" s="131">
        <f ca="1" t="shared" si="164"/>
        <v>54</v>
      </c>
      <c r="E499" s="131">
        <f ca="1" t="shared" si="165"/>
        <v>54</v>
      </c>
      <c r="F499" s="131">
        <f ca="1" t="shared" si="166"/>
        <v>54</v>
      </c>
      <c r="G499" s="131">
        <f ca="1" t="shared" si="167"/>
        <v>45</v>
      </c>
      <c r="H499" s="131">
        <f ca="1" t="shared" si="168"/>
        <v>45</v>
      </c>
      <c r="I499" s="131">
        <f ca="1" t="shared" si="169"/>
        <v>45</v>
      </c>
      <c r="J499" s="131">
        <f ca="1" t="shared" si="170"/>
        <v>45</v>
      </c>
      <c r="K499" s="131">
        <f ca="1" t="shared" si="171"/>
        <v>45</v>
      </c>
      <c r="L499" s="131">
        <f ca="1" t="shared" si="172"/>
        <v>45</v>
      </c>
      <c r="M499" s="131">
        <f ca="1" t="shared" si="173"/>
        <v>41</v>
      </c>
      <c r="N499" s="131">
        <f ca="1" t="shared" si="174"/>
        <v>41</v>
      </c>
      <c r="O499" s="131">
        <f ca="1" t="shared" si="175"/>
        <v>41</v>
      </c>
      <c r="P499" s="131">
        <f ca="1" t="shared" si="176"/>
        <v>41</v>
      </c>
      <c r="Q499" s="131">
        <f ca="1" t="shared" si="177"/>
        <v>41</v>
      </c>
      <c r="R499" s="131">
        <f ca="1" t="shared" si="178"/>
        <v>41</v>
      </c>
      <c r="S499" s="131">
        <f ca="1" t="shared" si="179"/>
        <v>43</v>
      </c>
      <c r="T499" s="131">
        <f ca="1" t="shared" si="180"/>
        <v>46</v>
      </c>
      <c r="U499" s="131">
        <f ca="1" t="shared" si="181"/>
        <v>46</v>
      </c>
      <c r="V499" s="131">
        <f ca="1" t="shared" si="182"/>
        <v>47</v>
      </c>
      <c r="W499" s="124">
        <f ca="1">OFFSET($K$19,_xlfn.XLOOKUP(X499,$D$9:$D$28,$H$9:$H$28),MATCH(OFFSET($C$29,B499,MATCH(X499,$D$29:$V$29,0)),$L$19:$R$19,1))*(1+(OFFSET($C$29,B499,MATCH(X499,$D$29:$V$29,0))-1)*_xlfn.XLOOKUP(X499,梦灵养成!$D$9:$D$28,梦灵养成!$G$9:$G$28))</f>
        <v>61.152</v>
      </c>
      <c r="X499" s="106" t="str">
        <f ca="1" t="shared" si="163"/>
        <v>神算诸葛</v>
      </c>
      <c r="Y499" s="95">
        <f ca="1" t="shared" si="162"/>
        <v>246600</v>
      </c>
      <c r="Z499" s="96">
        <f ca="1" t="shared" si="183"/>
        <v>5.6</v>
      </c>
    </row>
    <row r="500" s="106" customFormat="1" ht="16.5" spans="2:26">
      <c r="B500" s="117">
        <v>471</v>
      </c>
      <c r="C500" s="130">
        <f t="shared" si="184"/>
        <v>47100</v>
      </c>
      <c r="D500" s="131">
        <f ca="1" t="shared" si="164"/>
        <v>54</v>
      </c>
      <c r="E500" s="131">
        <f ca="1" t="shared" si="165"/>
        <v>54</v>
      </c>
      <c r="F500" s="131">
        <f ca="1" t="shared" si="166"/>
        <v>54</v>
      </c>
      <c r="G500" s="131">
        <f ca="1" t="shared" si="167"/>
        <v>45</v>
      </c>
      <c r="H500" s="131">
        <f ca="1" t="shared" si="168"/>
        <v>45</v>
      </c>
      <c r="I500" s="131">
        <f ca="1" t="shared" si="169"/>
        <v>45</v>
      </c>
      <c r="J500" s="131">
        <f ca="1" t="shared" si="170"/>
        <v>45</v>
      </c>
      <c r="K500" s="131">
        <f ca="1" t="shared" si="171"/>
        <v>45</v>
      </c>
      <c r="L500" s="131">
        <f ca="1" t="shared" si="172"/>
        <v>45</v>
      </c>
      <c r="M500" s="131">
        <f ca="1" t="shared" si="173"/>
        <v>41</v>
      </c>
      <c r="N500" s="131">
        <f ca="1" t="shared" si="174"/>
        <v>41</v>
      </c>
      <c r="O500" s="131">
        <f ca="1" t="shared" si="175"/>
        <v>41</v>
      </c>
      <c r="P500" s="131">
        <f ca="1" t="shared" si="176"/>
        <v>41</v>
      </c>
      <c r="Q500" s="131">
        <f ca="1" t="shared" si="177"/>
        <v>41</v>
      </c>
      <c r="R500" s="131">
        <f ca="1" t="shared" si="178"/>
        <v>41</v>
      </c>
      <c r="S500" s="131">
        <f ca="1" t="shared" si="179"/>
        <v>43</v>
      </c>
      <c r="T500" s="131">
        <f ca="1" t="shared" si="180"/>
        <v>46</v>
      </c>
      <c r="U500" s="131">
        <f ca="1" t="shared" si="181"/>
        <v>46</v>
      </c>
      <c r="V500" s="131">
        <f ca="1" t="shared" si="182"/>
        <v>47</v>
      </c>
      <c r="W500" s="124">
        <f ca="1">OFFSET($K$19,_xlfn.XLOOKUP(X500,$D$9:$D$28,$H$9:$H$28),MATCH(OFFSET($C$29,B500,MATCH(X500,$D$29:$V$29,0)),$L$19:$R$19,1))*(1+(OFFSET($C$29,B500,MATCH(X500,$D$29:$V$29,0))-1)*_xlfn.XLOOKUP(X500,梦灵养成!$D$9:$D$28,梦灵养成!$G$9:$G$28))</f>
        <v>61.152</v>
      </c>
      <c r="X500" s="106" t="str">
        <f ca="1" t="shared" si="163"/>
        <v>神算诸葛</v>
      </c>
      <c r="Y500" s="95">
        <f ca="1" t="shared" si="162"/>
        <v>246600</v>
      </c>
      <c r="Z500" s="96">
        <f ca="1" t="shared" si="183"/>
        <v>5.6</v>
      </c>
    </row>
    <row r="501" s="106" customFormat="1" ht="16.5" spans="2:26">
      <c r="B501" s="117">
        <v>472</v>
      </c>
      <c r="C501" s="130">
        <f t="shared" si="184"/>
        <v>47200</v>
      </c>
      <c r="D501" s="131">
        <f ca="1" t="shared" si="164"/>
        <v>54</v>
      </c>
      <c r="E501" s="131">
        <f ca="1" t="shared" si="165"/>
        <v>54</v>
      </c>
      <c r="F501" s="131">
        <f ca="1" t="shared" si="166"/>
        <v>54</v>
      </c>
      <c r="G501" s="131">
        <f ca="1" t="shared" si="167"/>
        <v>45</v>
      </c>
      <c r="H501" s="131">
        <f ca="1" t="shared" si="168"/>
        <v>45</v>
      </c>
      <c r="I501" s="131">
        <f ca="1" t="shared" si="169"/>
        <v>45</v>
      </c>
      <c r="J501" s="131">
        <f ca="1" t="shared" si="170"/>
        <v>45</v>
      </c>
      <c r="K501" s="131">
        <f ca="1" t="shared" si="171"/>
        <v>45</v>
      </c>
      <c r="L501" s="131">
        <f ca="1" t="shared" si="172"/>
        <v>45</v>
      </c>
      <c r="M501" s="131">
        <f ca="1" t="shared" si="173"/>
        <v>41</v>
      </c>
      <c r="N501" s="131">
        <f ca="1" t="shared" si="174"/>
        <v>41</v>
      </c>
      <c r="O501" s="131">
        <f ca="1" t="shared" si="175"/>
        <v>41</v>
      </c>
      <c r="P501" s="131">
        <f ca="1" t="shared" si="176"/>
        <v>41</v>
      </c>
      <c r="Q501" s="131">
        <f ca="1" t="shared" si="177"/>
        <v>41</v>
      </c>
      <c r="R501" s="131">
        <f ca="1" t="shared" si="178"/>
        <v>41</v>
      </c>
      <c r="S501" s="131">
        <f ca="1" t="shared" si="179"/>
        <v>43</v>
      </c>
      <c r="T501" s="131">
        <f ca="1" t="shared" si="180"/>
        <v>46</v>
      </c>
      <c r="U501" s="131">
        <f ca="1" t="shared" si="181"/>
        <v>46</v>
      </c>
      <c r="V501" s="131">
        <f ca="1" t="shared" si="182"/>
        <v>47</v>
      </c>
      <c r="W501" s="124">
        <f ca="1">OFFSET($K$19,_xlfn.XLOOKUP(X501,$D$9:$D$28,$H$9:$H$28),MATCH(OFFSET($C$29,B501,MATCH(X501,$D$29:$V$29,0)),$L$19:$R$19,1))*(1+(OFFSET($C$29,B501,MATCH(X501,$D$29:$V$29,0))-1)*_xlfn.XLOOKUP(X501,梦灵养成!$D$9:$D$28,梦灵养成!$G$9:$G$28))</f>
        <v>61.152</v>
      </c>
      <c r="X501" s="106" t="str">
        <f ca="1" t="shared" si="163"/>
        <v>神算诸葛</v>
      </c>
      <c r="Y501" s="95">
        <f ca="1" t="shared" si="162"/>
        <v>246600</v>
      </c>
      <c r="Z501" s="96">
        <f ca="1" t="shared" si="183"/>
        <v>5.6</v>
      </c>
    </row>
    <row r="502" s="106" customFormat="1" ht="16.5" spans="2:26">
      <c r="B502" s="117">
        <v>473</v>
      </c>
      <c r="C502" s="130">
        <f t="shared" si="184"/>
        <v>47300</v>
      </c>
      <c r="D502" s="131">
        <f ca="1" t="shared" si="164"/>
        <v>54</v>
      </c>
      <c r="E502" s="131">
        <f ca="1" t="shared" si="165"/>
        <v>54</v>
      </c>
      <c r="F502" s="131">
        <f ca="1" t="shared" si="166"/>
        <v>54</v>
      </c>
      <c r="G502" s="131">
        <f ca="1" t="shared" si="167"/>
        <v>45</v>
      </c>
      <c r="H502" s="131">
        <f ca="1" t="shared" si="168"/>
        <v>45</v>
      </c>
      <c r="I502" s="131">
        <f ca="1" t="shared" si="169"/>
        <v>45</v>
      </c>
      <c r="J502" s="131">
        <f ca="1" t="shared" si="170"/>
        <v>45</v>
      </c>
      <c r="K502" s="131">
        <f ca="1" t="shared" si="171"/>
        <v>45</v>
      </c>
      <c r="L502" s="131">
        <f ca="1" t="shared" si="172"/>
        <v>45</v>
      </c>
      <c r="M502" s="131">
        <f ca="1" t="shared" si="173"/>
        <v>41</v>
      </c>
      <c r="N502" s="131">
        <f ca="1" t="shared" si="174"/>
        <v>41</v>
      </c>
      <c r="O502" s="131">
        <f ca="1" t="shared" si="175"/>
        <v>41</v>
      </c>
      <c r="P502" s="131">
        <f ca="1" t="shared" si="176"/>
        <v>41</v>
      </c>
      <c r="Q502" s="131">
        <f ca="1" t="shared" si="177"/>
        <v>42</v>
      </c>
      <c r="R502" s="131">
        <f ca="1" t="shared" si="178"/>
        <v>41</v>
      </c>
      <c r="S502" s="131">
        <f ca="1" t="shared" si="179"/>
        <v>43</v>
      </c>
      <c r="T502" s="131">
        <f ca="1" t="shared" si="180"/>
        <v>46</v>
      </c>
      <c r="U502" s="131">
        <f ca="1" t="shared" si="181"/>
        <v>46</v>
      </c>
      <c r="V502" s="131">
        <f ca="1" t="shared" si="182"/>
        <v>47</v>
      </c>
      <c r="W502" s="124">
        <f ca="1">OFFSET($K$19,_xlfn.XLOOKUP(X502,$D$9:$D$28,$H$9:$H$28),MATCH(OFFSET($C$29,B502,MATCH(X502,$D$29:$V$29,0)),$L$19:$R$19,1))*(1+(OFFSET($C$29,B502,MATCH(X502,$D$29:$V$29,0))-1)*_xlfn.XLOOKUP(X502,梦灵养成!$D$9:$D$28,梦灵养成!$G$9:$G$28))</f>
        <v>61.152</v>
      </c>
      <c r="X502" s="106" t="str">
        <f ca="1" t="shared" si="163"/>
        <v>神算诸葛</v>
      </c>
      <c r="Y502" s="95">
        <f ca="1" t="shared" si="162"/>
        <v>246600</v>
      </c>
      <c r="Z502" s="96">
        <f ca="1" t="shared" si="183"/>
        <v>5.6</v>
      </c>
    </row>
    <row r="503" s="106" customFormat="1" ht="16.5" spans="2:26">
      <c r="B503" s="117">
        <v>474</v>
      </c>
      <c r="C503" s="130">
        <f t="shared" si="184"/>
        <v>47400</v>
      </c>
      <c r="D503" s="131">
        <f ca="1" t="shared" si="164"/>
        <v>54</v>
      </c>
      <c r="E503" s="131">
        <f ca="1" t="shared" si="165"/>
        <v>54</v>
      </c>
      <c r="F503" s="131">
        <f ca="1" t="shared" si="166"/>
        <v>54</v>
      </c>
      <c r="G503" s="131">
        <f ca="1" t="shared" si="167"/>
        <v>45</v>
      </c>
      <c r="H503" s="131">
        <f ca="1" t="shared" si="168"/>
        <v>45</v>
      </c>
      <c r="I503" s="131">
        <f ca="1" t="shared" si="169"/>
        <v>45</v>
      </c>
      <c r="J503" s="131">
        <f ca="1" t="shared" si="170"/>
        <v>45</v>
      </c>
      <c r="K503" s="131">
        <f ca="1" t="shared" si="171"/>
        <v>45</v>
      </c>
      <c r="L503" s="131">
        <f ca="1" t="shared" si="172"/>
        <v>45</v>
      </c>
      <c r="M503" s="131">
        <f ca="1" t="shared" si="173"/>
        <v>41</v>
      </c>
      <c r="N503" s="131">
        <f ca="1" t="shared" si="174"/>
        <v>41</v>
      </c>
      <c r="O503" s="131">
        <f ca="1" t="shared" si="175"/>
        <v>42</v>
      </c>
      <c r="P503" s="131">
        <f ca="1" t="shared" si="176"/>
        <v>41</v>
      </c>
      <c r="Q503" s="131">
        <f ca="1" t="shared" si="177"/>
        <v>42</v>
      </c>
      <c r="R503" s="131">
        <f ca="1" t="shared" si="178"/>
        <v>41</v>
      </c>
      <c r="S503" s="131">
        <f ca="1" t="shared" si="179"/>
        <v>43</v>
      </c>
      <c r="T503" s="131">
        <f ca="1" t="shared" si="180"/>
        <v>46</v>
      </c>
      <c r="U503" s="131">
        <f ca="1" t="shared" si="181"/>
        <v>46</v>
      </c>
      <c r="V503" s="131">
        <f ca="1" t="shared" si="182"/>
        <v>47</v>
      </c>
      <c r="W503" s="124">
        <f ca="1">OFFSET($K$19,_xlfn.XLOOKUP(X503,$D$9:$D$28,$H$9:$H$28),MATCH(OFFSET($C$29,B503,MATCH(X503,$D$29:$V$29,0)),$L$19:$R$19,1))*(1+(OFFSET($C$29,B503,MATCH(X503,$D$29:$V$29,0))-1)*_xlfn.XLOOKUP(X503,梦灵养成!$D$9:$D$28,梦灵养成!$G$9:$G$28))</f>
        <v>61.152</v>
      </c>
      <c r="X503" s="106" t="str">
        <f ca="1" t="shared" si="163"/>
        <v>神算诸葛</v>
      </c>
      <c r="Y503" s="95">
        <f ca="1" t="shared" ref="Y503:Y534" si="185">MAX(Y474:Y502)</f>
        <v>246600</v>
      </c>
      <c r="Z503" s="96">
        <f ca="1" t="shared" si="183"/>
        <v>5.6</v>
      </c>
    </row>
    <row r="504" s="106" customFormat="1" ht="16.5" spans="2:26">
      <c r="B504" s="117">
        <v>475</v>
      </c>
      <c r="C504" s="130">
        <f t="shared" si="184"/>
        <v>47500</v>
      </c>
      <c r="D504" s="131">
        <f ca="1" t="shared" si="164"/>
        <v>54</v>
      </c>
      <c r="E504" s="131">
        <f ca="1" t="shared" si="165"/>
        <v>54</v>
      </c>
      <c r="F504" s="131">
        <f ca="1" t="shared" si="166"/>
        <v>54</v>
      </c>
      <c r="G504" s="131">
        <f ca="1" t="shared" si="167"/>
        <v>45</v>
      </c>
      <c r="H504" s="131">
        <f ca="1" t="shared" si="168"/>
        <v>45</v>
      </c>
      <c r="I504" s="131">
        <f ca="1" t="shared" si="169"/>
        <v>45</v>
      </c>
      <c r="J504" s="131">
        <f ca="1" t="shared" si="170"/>
        <v>45</v>
      </c>
      <c r="K504" s="131">
        <f ca="1" t="shared" si="171"/>
        <v>45</v>
      </c>
      <c r="L504" s="131">
        <f ca="1" t="shared" si="172"/>
        <v>45</v>
      </c>
      <c r="M504" s="131">
        <f ca="1" t="shared" si="173"/>
        <v>41</v>
      </c>
      <c r="N504" s="131">
        <f ca="1" t="shared" si="174"/>
        <v>41</v>
      </c>
      <c r="O504" s="131">
        <f ca="1" t="shared" si="175"/>
        <v>42</v>
      </c>
      <c r="P504" s="131">
        <f ca="1" t="shared" si="176"/>
        <v>41</v>
      </c>
      <c r="Q504" s="131">
        <f ca="1" t="shared" si="177"/>
        <v>42</v>
      </c>
      <c r="R504" s="131">
        <f ca="1" t="shared" si="178"/>
        <v>41</v>
      </c>
      <c r="S504" s="131">
        <f ca="1" t="shared" si="179"/>
        <v>43</v>
      </c>
      <c r="T504" s="131">
        <f ca="1" t="shared" si="180"/>
        <v>46</v>
      </c>
      <c r="U504" s="131">
        <f ca="1" t="shared" si="181"/>
        <v>46</v>
      </c>
      <c r="V504" s="131">
        <f ca="1" t="shared" si="182"/>
        <v>47</v>
      </c>
      <c r="W504" s="124">
        <f ca="1">OFFSET($K$19,_xlfn.XLOOKUP(X504,$D$9:$D$28,$H$9:$H$28),MATCH(OFFSET($C$29,B504,MATCH(X504,$D$29:$V$29,0)),$L$19:$R$19,1))*(1+(OFFSET($C$29,B504,MATCH(X504,$D$29:$V$29,0))-1)*_xlfn.XLOOKUP(X504,梦灵养成!$D$9:$D$28,梦灵养成!$G$9:$G$28))</f>
        <v>61.152</v>
      </c>
      <c r="X504" s="106" t="str">
        <f ca="1" t="shared" si="163"/>
        <v>神算诸葛</v>
      </c>
      <c r="Y504" s="95">
        <f ca="1" t="shared" si="185"/>
        <v>246600</v>
      </c>
      <c r="Z504" s="96">
        <f ca="1" t="shared" si="183"/>
        <v>5.6</v>
      </c>
    </row>
    <row r="505" s="106" customFormat="1" ht="16.5" spans="2:26">
      <c r="B505" s="117">
        <v>476</v>
      </c>
      <c r="C505" s="130">
        <f t="shared" si="184"/>
        <v>47600</v>
      </c>
      <c r="D505" s="131">
        <f ca="1" t="shared" si="164"/>
        <v>54</v>
      </c>
      <c r="E505" s="131">
        <f ca="1" t="shared" si="165"/>
        <v>54</v>
      </c>
      <c r="F505" s="131">
        <f ca="1" t="shared" si="166"/>
        <v>54</v>
      </c>
      <c r="G505" s="131">
        <f ca="1" t="shared" si="167"/>
        <v>45</v>
      </c>
      <c r="H505" s="131">
        <f ca="1" t="shared" si="168"/>
        <v>45</v>
      </c>
      <c r="I505" s="131">
        <f ca="1" t="shared" si="169"/>
        <v>45</v>
      </c>
      <c r="J505" s="131">
        <f ca="1" t="shared" si="170"/>
        <v>45</v>
      </c>
      <c r="K505" s="131">
        <f ca="1" t="shared" si="171"/>
        <v>45</v>
      </c>
      <c r="L505" s="131">
        <f ca="1" t="shared" si="172"/>
        <v>45</v>
      </c>
      <c r="M505" s="131">
        <f ca="1" t="shared" si="173"/>
        <v>41</v>
      </c>
      <c r="N505" s="131">
        <f ca="1" t="shared" si="174"/>
        <v>41</v>
      </c>
      <c r="O505" s="131">
        <f ca="1" t="shared" si="175"/>
        <v>42</v>
      </c>
      <c r="P505" s="131">
        <f ca="1" t="shared" si="176"/>
        <v>41</v>
      </c>
      <c r="Q505" s="131">
        <f ca="1" t="shared" si="177"/>
        <v>42</v>
      </c>
      <c r="R505" s="131">
        <f ca="1" t="shared" si="178"/>
        <v>41</v>
      </c>
      <c r="S505" s="131">
        <f ca="1" t="shared" si="179"/>
        <v>43</v>
      </c>
      <c r="T505" s="131">
        <f ca="1" t="shared" si="180"/>
        <v>46</v>
      </c>
      <c r="U505" s="131">
        <f ca="1" t="shared" si="181"/>
        <v>46</v>
      </c>
      <c r="V505" s="131">
        <f ca="1" t="shared" si="182"/>
        <v>47</v>
      </c>
      <c r="W505" s="124">
        <f ca="1">OFFSET($K$19,_xlfn.XLOOKUP(X505,$D$9:$D$28,$H$9:$H$28),MATCH(OFFSET($C$29,B505,MATCH(X505,$D$29:$V$29,0)),$L$19:$R$19,1))*(1+(OFFSET($C$29,B505,MATCH(X505,$D$29:$V$29,0))-1)*_xlfn.XLOOKUP(X505,梦灵养成!$D$9:$D$28,梦灵养成!$G$9:$G$28))</f>
        <v>61.152</v>
      </c>
      <c r="X505" s="106" t="str">
        <f ca="1" t="shared" si="163"/>
        <v>神算诸葛</v>
      </c>
      <c r="Y505" s="95">
        <f ca="1" t="shared" si="185"/>
        <v>246600</v>
      </c>
      <c r="Z505" s="96">
        <f ca="1" t="shared" si="183"/>
        <v>5.6</v>
      </c>
    </row>
    <row r="506" s="106" customFormat="1" ht="16.5" spans="2:26">
      <c r="B506" s="117">
        <v>477</v>
      </c>
      <c r="C506" s="130">
        <f t="shared" si="184"/>
        <v>47700</v>
      </c>
      <c r="D506" s="131">
        <f ca="1" t="shared" si="164"/>
        <v>54</v>
      </c>
      <c r="E506" s="131">
        <f ca="1" t="shared" si="165"/>
        <v>54</v>
      </c>
      <c r="F506" s="131">
        <f ca="1" t="shared" si="166"/>
        <v>54</v>
      </c>
      <c r="G506" s="131">
        <f ca="1" t="shared" si="167"/>
        <v>45</v>
      </c>
      <c r="H506" s="131">
        <f ca="1" t="shared" si="168"/>
        <v>45</v>
      </c>
      <c r="I506" s="131">
        <f ca="1" t="shared" si="169"/>
        <v>45</v>
      </c>
      <c r="J506" s="131">
        <f ca="1" t="shared" si="170"/>
        <v>45</v>
      </c>
      <c r="K506" s="131">
        <f ca="1" t="shared" si="171"/>
        <v>45</v>
      </c>
      <c r="L506" s="131">
        <f ca="1" t="shared" si="172"/>
        <v>45</v>
      </c>
      <c r="M506" s="131">
        <f ca="1" t="shared" si="173"/>
        <v>41</v>
      </c>
      <c r="N506" s="131">
        <f ca="1" t="shared" si="174"/>
        <v>41</v>
      </c>
      <c r="O506" s="131">
        <f ca="1" t="shared" si="175"/>
        <v>42</v>
      </c>
      <c r="P506" s="131">
        <f ca="1" t="shared" si="176"/>
        <v>41</v>
      </c>
      <c r="Q506" s="131">
        <f ca="1" t="shared" si="177"/>
        <v>42</v>
      </c>
      <c r="R506" s="131">
        <f ca="1" t="shared" si="178"/>
        <v>41</v>
      </c>
      <c r="S506" s="131">
        <f ca="1" t="shared" si="179"/>
        <v>43</v>
      </c>
      <c r="T506" s="131">
        <f ca="1" t="shared" si="180"/>
        <v>46</v>
      </c>
      <c r="U506" s="131">
        <f ca="1" t="shared" si="181"/>
        <v>46</v>
      </c>
      <c r="V506" s="131">
        <f ca="1" t="shared" si="182"/>
        <v>47</v>
      </c>
      <c r="W506" s="124">
        <f ca="1">OFFSET($K$19,_xlfn.XLOOKUP(X506,$D$9:$D$28,$H$9:$H$28),MATCH(OFFSET($C$29,B506,MATCH(X506,$D$29:$V$29,0)),$L$19:$R$19,1))*(1+(OFFSET($C$29,B506,MATCH(X506,$D$29:$V$29,0))-1)*_xlfn.XLOOKUP(X506,梦灵养成!$D$9:$D$28,梦灵养成!$G$9:$G$28))</f>
        <v>61.152</v>
      </c>
      <c r="X506" s="106" t="str">
        <f ca="1" t="shared" si="163"/>
        <v>神算诸葛</v>
      </c>
      <c r="Y506" s="95">
        <f ca="1" t="shared" si="185"/>
        <v>246600</v>
      </c>
      <c r="Z506" s="96">
        <f ca="1" t="shared" si="183"/>
        <v>5.6</v>
      </c>
    </row>
    <row r="507" s="106" customFormat="1" ht="16.5" spans="2:26">
      <c r="B507" s="117">
        <v>478</v>
      </c>
      <c r="C507" s="130">
        <f t="shared" si="184"/>
        <v>47800</v>
      </c>
      <c r="D507" s="131">
        <f ca="1" t="shared" si="164"/>
        <v>54</v>
      </c>
      <c r="E507" s="131">
        <f ca="1" t="shared" si="165"/>
        <v>54</v>
      </c>
      <c r="F507" s="131">
        <f ca="1" t="shared" si="166"/>
        <v>54</v>
      </c>
      <c r="G507" s="131">
        <f ca="1" t="shared" si="167"/>
        <v>45</v>
      </c>
      <c r="H507" s="131">
        <f ca="1" t="shared" si="168"/>
        <v>45</v>
      </c>
      <c r="I507" s="131">
        <f ca="1" t="shared" si="169"/>
        <v>45</v>
      </c>
      <c r="J507" s="131">
        <f ca="1" t="shared" si="170"/>
        <v>45</v>
      </c>
      <c r="K507" s="131">
        <f ca="1" t="shared" si="171"/>
        <v>45</v>
      </c>
      <c r="L507" s="131">
        <f ca="1" t="shared" si="172"/>
        <v>45</v>
      </c>
      <c r="M507" s="131">
        <f ca="1" t="shared" si="173"/>
        <v>41</v>
      </c>
      <c r="N507" s="131">
        <f ca="1" t="shared" si="174"/>
        <v>42</v>
      </c>
      <c r="O507" s="131">
        <f ca="1" t="shared" si="175"/>
        <v>42</v>
      </c>
      <c r="P507" s="131">
        <f ca="1" t="shared" si="176"/>
        <v>41</v>
      </c>
      <c r="Q507" s="131">
        <f ca="1" t="shared" si="177"/>
        <v>42</v>
      </c>
      <c r="R507" s="131">
        <f ca="1" t="shared" si="178"/>
        <v>41</v>
      </c>
      <c r="S507" s="131">
        <f ca="1" t="shared" si="179"/>
        <v>43</v>
      </c>
      <c r="T507" s="131">
        <f ca="1" t="shared" si="180"/>
        <v>46</v>
      </c>
      <c r="U507" s="131">
        <f ca="1" t="shared" si="181"/>
        <v>47</v>
      </c>
      <c r="V507" s="131">
        <f ca="1" t="shared" si="182"/>
        <v>47</v>
      </c>
      <c r="W507" s="124">
        <f ca="1">OFFSET($K$19,_xlfn.XLOOKUP(X507,$D$9:$D$28,$H$9:$H$28),MATCH(OFFSET($C$29,B507,MATCH(X507,$D$29:$V$29,0)),$L$19:$R$19,1))*(1+(OFFSET($C$29,B507,MATCH(X507,$D$29:$V$29,0))-1)*_xlfn.XLOOKUP(X507,梦灵养成!$D$9:$D$28,梦灵养成!$G$9:$G$28))</f>
        <v>61.152</v>
      </c>
      <c r="X507" s="106" t="str">
        <f ca="1" t="shared" si="163"/>
        <v>神算诸葛</v>
      </c>
      <c r="Y507" s="95">
        <f ca="1" t="shared" si="185"/>
        <v>246600</v>
      </c>
      <c r="Z507" s="96">
        <f ca="1" t="shared" si="183"/>
        <v>5.6</v>
      </c>
    </row>
    <row r="508" s="106" customFormat="1" ht="16.5" spans="2:26">
      <c r="B508" s="117">
        <v>479</v>
      </c>
      <c r="C508" s="130">
        <f t="shared" si="184"/>
        <v>47900</v>
      </c>
      <c r="D508" s="131">
        <f ca="1" t="shared" si="164"/>
        <v>54</v>
      </c>
      <c r="E508" s="131">
        <f ca="1" t="shared" si="165"/>
        <v>54</v>
      </c>
      <c r="F508" s="131">
        <f ca="1" t="shared" si="166"/>
        <v>54</v>
      </c>
      <c r="G508" s="131">
        <f ca="1" t="shared" si="167"/>
        <v>45</v>
      </c>
      <c r="H508" s="131">
        <f ca="1" t="shared" si="168"/>
        <v>45</v>
      </c>
      <c r="I508" s="131">
        <f ca="1" t="shared" si="169"/>
        <v>45</v>
      </c>
      <c r="J508" s="131">
        <f ca="1" t="shared" si="170"/>
        <v>45</v>
      </c>
      <c r="K508" s="131">
        <f ca="1" t="shared" si="171"/>
        <v>45</v>
      </c>
      <c r="L508" s="131">
        <f ca="1" t="shared" si="172"/>
        <v>45</v>
      </c>
      <c r="M508" s="131">
        <f ca="1" t="shared" si="173"/>
        <v>42</v>
      </c>
      <c r="N508" s="131">
        <f ca="1" t="shared" si="174"/>
        <v>42</v>
      </c>
      <c r="O508" s="131">
        <f ca="1" t="shared" si="175"/>
        <v>42</v>
      </c>
      <c r="P508" s="131">
        <f ca="1" t="shared" si="176"/>
        <v>41</v>
      </c>
      <c r="Q508" s="131">
        <f ca="1" t="shared" si="177"/>
        <v>42</v>
      </c>
      <c r="R508" s="131">
        <f ca="1" t="shared" si="178"/>
        <v>42</v>
      </c>
      <c r="S508" s="131">
        <f ca="1" t="shared" si="179"/>
        <v>43</v>
      </c>
      <c r="T508" s="131">
        <f ca="1" t="shared" si="180"/>
        <v>46</v>
      </c>
      <c r="U508" s="131">
        <f ca="1" t="shared" si="181"/>
        <v>47</v>
      </c>
      <c r="V508" s="131">
        <f ca="1" t="shared" si="182"/>
        <v>47</v>
      </c>
      <c r="W508" s="124">
        <f ca="1">OFFSET($K$19,_xlfn.XLOOKUP(X508,$D$9:$D$28,$H$9:$H$28),MATCH(OFFSET($C$29,B508,MATCH(X508,$D$29:$V$29,0)),$L$19:$R$19,1))*(1+(OFFSET($C$29,B508,MATCH(X508,$D$29:$V$29,0))-1)*_xlfn.XLOOKUP(X508,梦灵养成!$D$9:$D$28,梦灵养成!$G$9:$G$28))</f>
        <v>61.152</v>
      </c>
      <c r="X508" s="106" t="str">
        <f ca="1" t="shared" si="163"/>
        <v>神算诸葛</v>
      </c>
      <c r="Y508" s="95">
        <f ca="1" t="shared" si="185"/>
        <v>246600</v>
      </c>
      <c r="Z508" s="96">
        <f ca="1" t="shared" si="183"/>
        <v>5.6</v>
      </c>
    </row>
    <row r="509" s="106" customFormat="1" ht="16.5" spans="2:26">
      <c r="B509" s="117">
        <v>480</v>
      </c>
      <c r="C509" s="130">
        <f t="shared" si="184"/>
        <v>48000</v>
      </c>
      <c r="D509" s="131">
        <f ca="1" t="shared" si="164"/>
        <v>54</v>
      </c>
      <c r="E509" s="131">
        <f ca="1" t="shared" si="165"/>
        <v>54</v>
      </c>
      <c r="F509" s="131">
        <f ca="1" t="shared" si="166"/>
        <v>54</v>
      </c>
      <c r="G509" s="131">
        <f ca="1" t="shared" si="167"/>
        <v>45</v>
      </c>
      <c r="H509" s="131">
        <f ca="1" t="shared" si="168"/>
        <v>45</v>
      </c>
      <c r="I509" s="131">
        <f ca="1" t="shared" si="169"/>
        <v>45</v>
      </c>
      <c r="J509" s="131">
        <f ca="1" t="shared" si="170"/>
        <v>45</v>
      </c>
      <c r="K509" s="131">
        <f ca="1" t="shared" si="171"/>
        <v>45</v>
      </c>
      <c r="L509" s="131">
        <f ca="1" t="shared" si="172"/>
        <v>45</v>
      </c>
      <c r="M509" s="131">
        <f ca="1" t="shared" si="173"/>
        <v>42</v>
      </c>
      <c r="N509" s="131">
        <f ca="1" t="shared" si="174"/>
        <v>42</v>
      </c>
      <c r="O509" s="131">
        <f ca="1" t="shared" si="175"/>
        <v>42</v>
      </c>
      <c r="P509" s="131">
        <f ca="1" t="shared" si="176"/>
        <v>41</v>
      </c>
      <c r="Q509" s="131">
        <f ca="1" t="shared" si="177"/>
        <v>42</v>
      </c>
      <c r="R509" s="131">
        <f ca="1" t="shared" si="178"/>
        <v>42</v>
      </c>
      <c r="S509" s="131">
        <f ca="1" t="shared" si="179"/>
        <v>43</v>
      </c>
      <c r="T509" s="131">
        <f ca="1" t="shared" si="180"/>
        <v>46</v>
      </c>
      <c r="U509" s="131">
        <f ca="1" t="shared" si="181"/>
        <v>47</v>
      </c>
      <c r="V509" s="131">
        <f ca="1" t="shared" si="182"/>
        <v>47</v>
      </c>
      <c r="W509" s="124">
        <f ca="1">OFFSET($K$19,_xlfn.XLOOKUP(X509,$D$9:$D$28,$H$9:$H$28),MATCH(OFFSET($C$29,B509,MATCH(X509,$D$29:$V$29,0)),$L$19:$R$19,1))*(1+(OFFSET($C$29,B509,MATCH(X509,$D$29:$V$29,0))-1)*_xlfn.XLOOKUP(X509,梦灵养成!$D$9:$D$28,梦灵养成!$G$9:$G$28))</f>
        <v>61.152</v>
      </c>
      <c r="X509" s="106" t="str">
        <f ca="1" t="shared" si="163"/>
        <v>神算诸葛</v>
      </c>
      <c r="Y509" s="95">
        <f ca="1" t="shared" si="185"/>
        <v>246600</v>
      </c>
      <c r="Z509" s="96">
        <f ca="1" t="shared" si="183"/>
        <v>5.6</v>
      </c>
    </row>
    <row r="510" s="106" customFormat="1" ht="16.5" spans="2:26">
      <c r="B510" s="117">
        <v>481</v>
      </c>
      <c r="C510" s="130">
        <f t="shared" si="184"/>
        <v>48100</v>
      </c>
      <c r="D510" s="131">
        <f ca="1" t="shared" si="164"/>
        <v>54</v>
      </c>
      <c r="E510" s="131">
        <f ca="1" t="shared" si="165"/>
        <v>54</v>
      </c>
      <c r="F510" s="131">
        <f ca="1" t="shared" si="166"/>
        <v>54</v>
      </c>
      <c r="G510" s="131">
        <f ca="1" t="shared" si="167"/>
        <v>45</v>
      </c>
      <c r="H510" s="131">
        <f ca="1" t="shared" si="168"/>
        <v>45</v>
      </c>
      <c r="I510" s="131">
        <f ca="1" t="shared" si="169"/>
        <v>45</v>
      </c>
      <c r="J510" s="131">
        <f ca="1" t="shared" si="170"/>
        <v>45</v>
      </c>
      <c r="K510" s="131">
        <f ca="1" t="shared" si="171"/>
        <v>45</v>
      </c>
      <c r="L510" s="131">
        <f ca="1" t="shared" si="172"/>
        <v>45</v>
      </c>
      <c r="M510" s="131">
        <f ca="1" t="shared" si="173"/>
        <v>42</v>
      </c>
      <c r="N510" s="131">
        <f ca="1" t="shared" si="174"/>
        <v>42</v>
      </c>
      <c r="O510" s="131">
        <f ca="1" t="shared" si="175"/>
        <v>42</v>
      </c>
      <c r="P510" s="131">
        <f ca="1" t="shared" si="176"/>
        <v>41</v>
      </c>
      <c r="Q510" s="131">
        <f ca="1" t="shared" si="177"/>
        <v>42</v>
      </c>
      <c r="R510" s="131">
        <f ca="1" t="shared" si="178"/>
        <v>42</v>
      </c>
      <c r="S510" s="131">
        <f ca="1" t="shared" si="179"/>
        <v>44</v>
      </c>
      <c r="T510" s="131">
        <f ca="1" t="shared" si="180"/>
        <v>46</v>
      </c>
      <c r="U510" s="131">
        <f ca="1" t="shared" si="181"/>
        <v>47</v>
      </c>
      <c r="V510" s="131">
        <f ca="1" t="shared" si="182"/>
        <v>47</v>
      </c>
      <c r="W510" s="124">
        <f ca="1">OFFSET($K$19,_xlfn.XLOOKUP(X510,$D$9:$D$28,$H$9:$H$28),MATCH(OFFSET($C$29,B510,MATCH(X510,$D$29:$V$29,0)),$L$19:$R$19,1))*(1+(OFFSET($C$29,B510,MATCH(X510,$D$29:$V$29,0))-1)*_xlfn.XLOOKUP(X510,梦灵养成!$D$9:$D$28,梦灵养成!$G$9:$G$28))</f>
        <v>61.152</v>
      </c>
      <c r="X510" s="106" t="str">
        <f ca="1" t="shared" si="163"/>
        <v>神算诸葛</v>
      </c>
      <c r="Y510" s="95">
        <f ca="1" t="shared" si="185"/>
        <v>246600</v>
      </c>
      <c r="Z510" s="96">
        <f ca="1" t="shared" si="183"/>
        <v>5.6</v>
      </c>
    </row>
    <row r="511" s="106" customFormat="1" ht="16.5" spans="2:26">
      <c r="B511" s="117">
        <v>482</v>
      </c>
      <c r="C511" s="130">
        <f t="shared" si="184"/>
        <v>48200</v>
      </c>
      <c r="D511" s="131">
        <f ca="1" t="shared" si="164"/>
        <v>54</v>
      </c>
      <c r="E511" s="131">
        <f ca="1" t="shared" si="165"/>
        <v>54</v>
      </c>
      <c r="F511" s="131">
        <f ca="1" t="shared" si="166"/>
        <v>54</v>
      </c>
      <c r="G511" s="131">
        <f ca="1" t="shared" si="167"/>
        <v>45</v>
      </c>
      <c r="H511" s="131">
        <f ca="1" t="shared" si="168"/>
        <v>45</v>
      </c>
      <c r="I511" s="131">
        <f ca="1" t="shared" si="169"/>
        <v>45</v>
      </c>
      <c r="J511" s="131">
        <f ca="1" t="shared" si="170"/>
        <v>45</v>
      </c>
      <c r="K511" s="131">
        <f ca="1" t="shared" si="171"/>
        <v>45</v>
      </c>
      <c r="L511" s="131">
        <f ca="1" t="shared" si="172"/>
        <v>45</v>
      </c>
      <c r="M511" s="131">
        <f ca="1" t="shared" si="173"/>
        <v>42</v>
      </c>
      <c r="N511" s="131">
        <f ca="1" t="shared" si="174"/>
        <v>42</v>
      </c>
      <c r="O511" s="131">
        <f ca="1" t="shared" si="175"/>
        <v>42</v>
      </c>
      <c r="P511" s="131">
        <f ca="1" t="shared" si="176"/>
        <v>42</v>
      </c>
      <c r="Q511" s="131">
        <f ca="1" t="shared" si="177"/>
        <v>42</v>
      </c>
      <c r="R511" s="131">
        <f ca="1" t="shared" si="178"/>
        <v>42</v>
      </c>
      <c r="S511" s="131">
        <f ca="1" t="shared" si="179"/>
        <v>44</v>
      </c>
      <c r="T511" s="131">
        <f ca="1" t="shared" si="180"/>
        <v>46</v>
      </c>
      <c r="U511" s="131">
        <f ca="1" t="shared" si="181"/>
        <v>47</v>
      </c>
      <c r="V511" s="131">
        <f ca="1" t="shared" si="182"/>
        <v>47</v>
      </c>
      <c r="W511" s="124">
        <f ca="1">OFFSET($K$19,_xlfn.XLOOKUP(X511,$D$9:$D$28,$H$9:$H$28),MATCH(OFFSET($C$29,B511,MATCH(X511,$D$29:$V$29,0)),$L$19:$R$19,1))*(1+(OFFSET($C$29,B511,MATCH(X511,$D$29:$V$29,0))-1)*_xlfn.XLOOKUP(X511,梦灵养成!$D$9:$D$28,梦灵养成!$G$9:$G$28))</f>
        <v>61.152</v>
      </c>
      <c r="X511" s="106" t="str">
        <f ca="1" t="shared" si="163"/>
        <v>神算诸葛</v>
      </c>
      <c r="Y511" s="95">
        <f ca="1" t="shared" si="185"/>
        <v>246600</v>
      </c>
      <c r="Z511" s="96">
        <f ca="1" t="shared" si="183"/>
        <v>5.6</v>
      </c>
    </row>
    <row r="512" s="106" customFormat="1" ht="16.5" spans="2:26">
      <c r="B512" s="117">
        <v>483</v>
      </c>
      <c r="C512" s="130">
        <f t="shared" si="184"/>
        <v>48300</v>
      </c>
      <c r="D512" s="131">
        <f ca="1" t="shared" si="164"/>
        <v>55</v>
      </c>
      <c r="E512" s="131">
        <f ca="1" t="shared" si="165"/>
        <v>55</v>
      </c>
      <c r="F512" s="131">
        <f ca="1" t="shared" si="166"/>
        <v>55</v>
      </c>
      <c r="G512" s="131">
        <f ca="1" t="shared" si="167"/>
        <v>45</v>
      </c>
      <c r="H512" s="131">
        <f ca="1" t="shared" si="168"/>
        <v>45</v>
      </c>
      <c r="I512" s="131">
        <f ca="1" t="shared" si="169"/>
        <v>45</v>
      </c>
      <c r="J512" s="131">
        <f ca="1" t="shared" si="170"/>
        <v>45</v>
      </c>
      <c r="K512" s="131">
        <f ca="1" t="shared" si="171"/>
        <v>45</v>
      </c>
      <c r="L512" s="131">
        <f ca="1" t="shared" si="172"/>
        <v>45</v>
      </c>
      <c r="M512" s="131">
        <f ca="1" t="shared" si="173"/>
        <v>42</v>
      </c>
      <c r="N512" s="131">
        <f ca="1" t="shared" si="174"/>
        <v>42</v>
      </c>
      <c r="O512" s="131">
        <f ca="1" t="shared" si="175"/>
        <v>42</v>
      </c>
      <c r="P512" s="131">
        <f ca="1" t="shared" si="176"/>
        <v>42</v>
      </c>
      <c r="Q512" s="131">
        <f ca="1" t="shared" si="177"/>
        <v>42</v>
      </c>
      <c r="R512" s="131">
        <f ca="1" t="shared" si="178"/>
        <v>42</v>
      </c>
      <c r="S512" s="131">
        <f ca="1" t="shared" si="179"/>
        <v>44</v>
      </c>
      <c r="T512" s="131">
        <f ca="1" t="shared" si="180"/>
        <v>47</v>
      </c>
      <c r="U512" s="131">
        <f ca="1" t="shared" si="181"/>
        <v>47</v>
      </c>
      <c r="V512" s="131">
        <f ca="1" t="shared" si="182"/>
        <v>47</v>
      </c>
      <c r="W512" s="124">
        <f ca="1">OFFSET($K$19,_xlfn.XLOOKUP(X512,$D$9:$D$28,$H$9:$H$28),MATCH(OFFSET($C$29,B512,MATCH(X512,$D$29:$V$29,0)),$L$19:$R$19,1))*(1+(OFFSET($C$29,B512,MATCH(X512,$D$29:$V$29,0))-1)*_xlfn.XLOOKUP(X512,梦灵养成!$D$9:$D$28,梦灵养成!$G$9:$G$28))</f>
        <v>61.152</v>
      </c>
      <c r="X512" s="106" t="str">
        <f ca="1" t="shared" si="163"/>
        <v>神算诸葛</v>
      </c>
      <c r="Y512" s="95">
        <f ca="1" t="shared" si="185"/>
        <v>246600</v>
      </c>
      <c r="Z512" s="96">
        <f ca="1" t="shared" si="183"/>
        <v>5.6</v>
      </c>
    </row>
    <row r="513" s="106" customFormat="1" ht="16.5" spans="2:26">
      <c r="B513" s="117">
        <v>484</v>
      </c>
      <c r="C513" s="130">
        <f t="shared" si="184"/>
        <v>48400</v>
      </c>
      <c r="D513" s="131">
        <f ca="1" t="shared" si="164"/>
        <v>55</v>
      </c>
      <c r="E513" s="131">
        <f ca="1" t="shared" si="165"/>
        <v>55</v>
      </c>
      <c r="F513" s="131">
        <f ca="1" t="shared" si="166"/>
        <v>55</v>
      </c>
      <c r="G513" s="131">
        <f ca="1" t="shared" si="167"/>
        <v>45</v>
      </c>
      <c r="H513" s="131">
        <f ca="1" t="shared" si="168"/>
        <v>45</v>
      </c>
      <c r="I513" s="131">
        <f ca="1" t="shared" si="169"/>
        <v>45</v>
      </c>
      <c r="J513" s="131">
        <f ca="1" t="shared" si="170"/>
        <v>45</v>
      </c>
      <c r="K513" s="131">
        <f ca="1" t="shared" si="171"/>
        <v>45</v>
      </c>
      <c r="L513" s="131">
        <f ca="1" t="shared" si="172"/>
        <v>45</v>
      </c>
      <c r="M513" s="131">
        <f ca="1" t="shared" si="173"/>
        <v>42</v>
      </c>
      <c r="N513" s="131">
        <f ca="1" t="shared" si="174"/>
        <v>42</v>
      </c>
      <c r="O513" s="131">
        <f ca="1" t="shared" si="175"/>
        <v>42</v>
      </c>
      <c r="P513" s="131">
        <f ca="1" t="shared" si="176"/>
        <v>42</v>
      </c>
      <c r="Q513" s="131">
        <f ca="1" t="shared" si="177"/>
        <v>42</v>
      </c>
      <c r="R513" s="131">
        <f ca="1" t="shared" si="178"/>
        <v>42</v>
      </c>
      <c r="S513" s="131">
        <f ca="1" t="shared" si="179"/>
        <v>44</v>
      </c>
      <c r="T513" s="131">
        <f ca="1" t="shared" si="180"/>
        <v>47</v>
      </c>
      <c r="U513" s="131">
        <f ca="1" t="shared" si="181"/>
        <v>47</v>
      </c>
      <c r="V513" s="131">
        <f ca="1" t="shared" si="182"/>
        <v>47</v>
      </c>
      <c r="W513" s="124">
        <f ca="1">OFFSET($K$19,_xlfn.XLOOKUP(X513,$D$9:$D$28,$H$9:$H$28),MATCH(OFFSET($C$29,B513,MATCH(X513,$D$29:$V$29,0)),$L$19:$R$19,1))*(1+(OFFSET($C$29,B513,MATCH(X513,$D$29:$V$29,0))-1)*_xlfn.XLOOKUP(X513,梦灵养成!$D$9:$D$28,梦灵养成!$G$9:$G$28))</f>
        <v>61.152</v>
      </c>
      <c r="X513" s="106" t="str">
        <f ca="1" t="shared" si="163"/>
        <v>神算诸葛</v>
      </c>
      <c r="Y513" s="95">
        <f ca="1" t="shared" si="185"/>
        <v>246600</v>
      </c>
      <c r="Z513" s="96">
        <f ca="1" t="shared" si="183"/>
        <v>5.6</v>
      </c>
    </row>
    <row r="514" s="106" customFormat="1" ht="16.5" spans="2:26">
      <c r="B514" s="117">
        <v>485</v>
      </c>
      <c r="C514" s="130">
        <f t="shared" si="184"/>
        <v>48500</v>
      </c>
      <c r="D514" s="131">
        <f ca="1" t="shared" si="164"/>
        <v>55</v>
      </c>
      <c r="E514" s="131">
        <f ca="1" t="shared" si="165"/>
        <v>55</v>
      </c>
      <c r="F514" s="131">
        <f ca="1" t="shared" si="166"/>
        <v>55</v>
      </c>
      <c r="G514" s="131">
        <f ca="1" t="shared" si="167"/>
        <v>45</v>
      </c>
      <c r="H514" s="131">
        <f ca="1" t="shared" si="168"/>
        <v>45</v>
      </c>
      <c r="I514" s="131">
        <f ca="1" t="shared" si="169"/>
        <v>45</v>
      </c>
      <c r="J514" s="131">
        <f ca="1" t="shared" si="170"/>
        <v>45</v>
      </c>
      <c r="K514" s="131">
        <f ca="1" t="shared" si="171"/>
        <v>45</v>
      </c>
      <c r="L514" s="131">
        <f ca="1" t="shared" si="172"/>
        <v>45</v>
      </c>
      <c r="M514" s="131">
        <f ca="1" t="shared" si="173"/>
        <v>42</v>
      </c>
      <c r="N514" s="131">
        <f ca="1" t="shared" si="174"/>
        <v>42</v>
      </c>
      <c r="O514" s="131">
        <f ca="1" t="shared" si="175"/>
        <v>42</v>
      </c>
      <c r="P514" s="131">
        <f ca="1" t="shared" si="176"/>
        <v>42</v>
      </c>
      <c r="Q514" s="131">
        <f ca="1" t="shared" si="177"/>
        <v>42</v>
      </c>
      <c r="R514" s="131">
        <f ca="1" t="shared" si="178"/>
        <v>42</v>
      </c>
      <c r="S514" s="131">
        <f ca="1" t="shared" si="179"/>
        <v>44</v>
      </c>
      <c r="T514" s="131">
        <f ca="1" t="shared" si="180"/>
        <v>47</v>
      </c>
      <c r="U514" s="131">
        <f ca="1" t="shared" si="181"/>
        <v>47</v>
      </c>
      <c r="V514" s="131">
        <f ca="1" t="shared" si="182"/>
        <v>47</v>
      </c>
      <c r="W514" s="124">
        <f ca="1">OFFSET($K$19,_xlfn.XLOOKUP(X514,$D$9:$D$28,$H$9:$H$28),MATCH(OFFSET($C$29,B514,MATCH(X514,$D$29:$V$29,0)),$L$19:$R$19,1))*(1+(OFFSET($C$29,B514,MATCH(X514,$D$29:$V$29,0))-1)*_xlfn.XLOOKUP(X514,梦灵养成!$D$9:$D$28,梦灵养成!$G$9:$G$28))</f>
        <v>61.152</v>
      </c>
      <c r="X514" s="106" t="str">
        <f ca="1" t="shared" si="163"/>
        <v>神算诸葛</v>
      </c>
      <c r="Y514" s="95">
        <f ca="1" t="shared" si="185"/>
        <v>246600</v>
      </c>
      <c r="Z514" s="96">
        <f ca="1" t="shared" si="183"/>
        <v>5.6</v>
      </c>
    </row>
    <row r="515" s="106" customFormat="1" ht="16.5" spans="2:26">
      <c r="B515" s="117">
        <v>486</v>
      </c>
      <c r="C515" s="130">
        <f t="shared" si="184"/>
        <v>48600</v>
      </c>
      <c r="D515" s="131">
        <f ca="1" t="shared" si="164"/>
        <v>55</v>
      </c>
      <c r="E515" s="131">
        <f ca="1" t="shared" si="165"/>
        <v>55</v>
      </c>
      <c r="F515" s="131">
        <f ca="1" t="shared" si="166"/>
        <v>55</v>
      </c>
      <c r="G515" s="131">
        <f ca="1" t="shared" si="167"/>
        <v>46</v>
      </c>
      <c r="H515" s="131">
        <f ca="1" t="shared" si="168"/>
        <v>46</v>
      </c>
      <c r="I515" s="131">
        <f ca="1" t="shared" si="169"/>
        <v>46</v>
      </c>
      <c r="J515" s="131">
        <f ca="1" t="shared" si="170"/>
        <v>45</v>
      </c>
      <c r="K515" s="131">
        <f ca="1" t="shared" si="171"/>
        <v>45</v>
      </c>
      <c r="L515" s="131">
        <f ca="1" t="shared" si="172"/>
        <v>45</v>
      </c>
      <c r="M515" s="131">
        <f ca="1" t="shared" si="173"/>
        <v>42</v>
      </c>
      <c r="N515" s="131">
        <f ca="1" t="shared" si="174"/>
        <v>42</v>
      </c>
      <c r="O515" s="131">
        <f ca="1" t="shared" si="175"/>
        <v>42</v>
      </c>
      <c r="P515" s="131">
        <f ca="1" t="shared" si="176"/>
        <v>42</v>
      </c>
      <c r="Q515" s="131">
        <f ca="1" t="shared" si="177"/>
        <v>42</v>
      </c>
      <c r="R515" s="131">
        <f ca="1" t="shared" si="178"/>
        <v>42</v>
      </c>
      <c r="S515" s="131">
        <f ca="1" t="shared" si="179"/>
        <v>44</v>
      </c>
      <c r="T515" s="131">
        <f ca="1" t="shared" si="180"/>
        <v>47</v>
      </c>
      <c r="U515" s="131">
        <f ca="1" t="shared" si="181"/>
        <v>47</v>
      </c>
      <c r="V515" s="131">
        <f ca="1" t="shared" si="182"/>
        <v>47</v>
      </c>
      <c r="W515" s="124">
        <f ca="1">OFFSET($K$19,_xlfn.XLOOKUP(X515,$D$9:$D$28,$H$9:$H$28),MATCH(OFFSET($C$29,B515,MATCH(X515,$D$29:$V$29,0)),$L$19:$R$19,1))*(1+(OFFSET($C$29,B515,MATCH(X515,$D$29:$V$29,0))-1)*_xlfn.XLOOKUP(X515,梦灵养成!$D$9:$D$28,梦灵养成!$G$9:$G$28))</f>
        <v>61.152</v>
      </c>
      <c r="X515" s="106" t="str">
        <f ca="1" t="shared" si="163"/>
        <v>神算诸葛</v>
      </c>
      <c r="Y515" s="95">
        <f ca="1" t="shared" si="185"/>
        <v>246600</v>
      </c>
      <c r="Z515" s="96">
        <f ca="1" t="shared" si="183"/>
        <v>5.6</v>
      </c>
    </row>
    <row r="516" s="106" customFormat="1" ht="16.5" spans="2:26">
      <c r="B516" s="117">
        <v>487</v>
      </c>
      <c r="C516" s="130">
        <f t="shared" si="184"/>
        <v>48700</v>
      </c>
      <c r="D516" s="131">
        <f ca="1" t="shared" si="164"/>
        <v>55</v>
      </c>
      <c r="E516" s="131">
        <f ca="1" t="shared" si="165"/>
        <v>55</v>
      </c>
      <c r="F516" s="131">
        <f ca="1" t="shared" si="166"/>
        <v>55</v>
      </c>
      <c r="G516" s="131">
        <f ca="1" t="shared" si="167"/>
        <v>46</v>
      </c>
      <c r="H516" s="131">
        <f ca="1" t="shared" si="168"/>
        <v>46</v>
      </c>
      <c r="I516" s="131">
        <f ca="1" t="shared" si="169"/>
        <v>46</v>
      </c>
      <c r="J516" s="131">
        <f ca="1" t="shared" si="170"/>
        <v>46</v>
      </c>
      <c r="K516" s="131">
        <f ca="1" t="shared" si="171"/>
        <v>45</v>
      </c>
      <c r="L516" s="131">
        <f ca="1" t="shared" si="172"/>
        <v>45</v>
      </c>
      <c r="M516" s="131">
        <f ca="1" t="shared" si="173"/>
        <v>42</v>
      </c>
      <c r="N516" s="131">
        <f ca="1" t="shared" si="174"/>
        <v>42</v>
      </c>
      <c r="O516" s="131">
        <f ca="1" t="shared" si="175"/>
        <v>42</v>
      </c>
      <c r="P516" s="131">
        <f ca="1" t="shared" si="176"/>
        <v>42</v>
      </c>
      <c r="Q516" s="131">
        <f ca="1" t="shared" si="177"/>
        <v>42</v>
      </c>
      <c r="R516" s="131">
        <f ca="1" t="shared" si="178"/>
        <v>42</v>
      </c>
      <c r="S516" s="131">
        <f ca="1" t="shared" si="179"/>
        <v>44</v>
      </c>
      <c r="T516" s="131">
        <f ca="1" t="shared" si="180"/>
        <v>47</v>
      </c>
      <c r="U516" s="131">
        <f ca="1" t="shared" si="181"/>
        <v>47</v>
      </c>
      <c r="V516" s="131">
        <f ca="1" t="shared" si="182"/>
        <v>47</v>
      </c>
      <c r="W516" s="124">
        <f ca="1">OFFSET($K$19,_xlfn.XLOOKUP(X516,$D$9:$D$28,$H$9:$H$28),MATCH(OFFSET($C$29,B516,MATCH(X516,$D$29:$V$29,0)),$L$19:$R$19,1))*(1+(OFFSET($C$29,B516,MATCH(X516,$D$29:$V$29,0))-1)*_xlfn.XLOOKUP(X516,梦灵养成!$D$9:$D$28,梦灵养成!$G$9:$G$28))</f>
        <v>61.152</v>
      </c>
      <c r="X516" s="106" t="str">
        <f ca="1" t="shared" si="163"/>
        <v>神算诸葛</v>
      </c>
      <c r="Y516" s="95">
        <f ca="1" t="shared" si="185"/>
        <v>246600</v>
      </c>
      <c r="Z516" s="96">
        <f ca="1" t="shared" si="183"/>
        <v>5.6</v>
      </c>
    </row>
    <row r="517" s="106" customFormat="1" ht="16.5" spans="2:26">
      <c r="B517" s="117">
        <v>488</v>
      </c>
      <c r="C517" s="130">
        <f t="shared" si="184"/>
        <v>48800</v>
      </c>
      <c r="D517" s="131">
        <f ca="1" t="shared" si="164"/>
        <v>55</v>
      </c>
      <c r="E517" s="131">
        <f ca="1" t="shared" si="165"/>
        <v>55</v>
      </c>
      <c r="F517" s="131">
        <f ca="1" t="shared" si="166"/>
        <v>55</v>
      </c>
      <c r="G517" s="131">
        <f ca="1" t="shared" si="167"/>
        <v>46</v>
      </c>
      <c r="H517" s="131">
        <f ca="1" t="shared" si="168"/>
        <v>46</v>
      </c>
      <c r="I517" s="131">
        <f ca="1" t="shared" si="169"/>
        <v>46</v>
      </c>
      <c r="J517" s="131">
        <f ca="1" t="shared" si="170"/>
        <v>46</v>
      </c>
      <c r="K517" s="131">
        <f ca="1" t="shared" si="171"/>
        <v>46</v>
      </c>
      <c r="L517" s="131">
        <f ca="1" t="shared" si="172"/>
        <v>46</v>
      </c>
      <c r="M517" s="131">
        <f ca="1" t="shared" si="173"/>
        <v>42</v>
      </c>
      <c r="N517" s="131">
        <f ca="1" t="shared" si="174"/>
        <v>42</v>
      </c>
      <c r="O517" s="131">
        <f ca="1" t="shared" si="175"/>
        <v>42</v>
      </c>
      <c r="P517" s="131">
        <f ca="1" t="shared" si="176"/>
        <v>42</v>
      </c>
      <c r="Q517" s="131">
        <f ca="1" t="shared" si="177"/>
        <v>42</v>
      </c>
      <c r="R517" s="131">
        <f ca="1" t="shared" si="178"/>
        <v>42</v>
      </c>
      <c r="S517" s="131">
        <f ca="1" t="shared" si="179"/>
        <v>44</v>
      </c>
      <c r="T517" s="131">
        <f ca="1" t="shared" si="180"/>
        <v>47</v>
      </c>
      <c r="U517" s="131">
        <f ca="1" t="shared" si="181"/>
        <v>47</v>
      </c>
      <c r="V517" s="131">
        <f ca="1" t="shared" si="182"/>
        <v>47</v>
      </c>
      <c r="W517" s="124">
        <f ca="1">OFFSET($K$19,_xlfn.XLOOKUP(X517,$D$9:$D$28,$H$9:$H$28),MATCH(OFFSET($C$29,B517,MATCH(X517,$D$29:$V$29,0)),$L$19:$R$19,1))*(1+(OFFSET($C$29,B517,MATCH(X517,$D$29:$V$29,0))-1)*_xlfn.XLOOKUP(X517,梦灵养成!$D$9:$D$28,梦灵养成!$G$9:$G$28))</f>
        <v>61.152</v>
      </c>
      <c r="X517" s="106" t="str">
        <f ca="1" t="shared" si="163"/>
        <v>神算诸葛</v>
      </c>
      <c r="Y517" s="95">
        <f ca="1" t="shared" si="185"/>
        <v>246600</v>
      </c>
      <c r="Z517" s="96">
        <f ca="1" t="shared" si="183"/>
        <v>5.6</v>
      </c>
    </row>
    <row r="518" s="106" customFormat="1" ht="16.5" spans="2:26">
      <c r="B518" s="117">
        <v>489</v>
      </c>
      <c r="C518" s="130">
        <f t="shared" si="184"/>
        <v>48900</v>
      </c>
      <c r="D518" s="131">
        <f ca="1" t="shared" si="164"/>
        <v>55</v>
      </c>
      <c r="E518" s="131">
        <f ca="1" t="shared" si="165"/>
        <v>55</v>
      </c>
      <c r="F518" s="131">
        <f ca="1" t="shared" si="166"/>
        <v>55</v>
      </c>
      <c r="G518" s="131">
        <f ca="1" t="shared" si="167"/>
        <v>46</v>
      </c>
      <c r="H518" s="131">
        <f ca="1" t="shared" si="168"/>
        <v>46</v>
      </c>
      <c r="I518" s="131">
        <f ca="1" t="shared" si="169"/>
        <v>46</v>
      </c>
      <c r="J518" s="131">
        <f ca="1" t="shared" si="170"/>
        <v>46</v>
      </c>
      <c r="K518" s="131">
        <f ca="1" t="shared" si="171"/>
        <v>46</v>
      </c>
      <c r="L518" s="131">
        <f ca="1" t="shared" si="172"/>
        <v>46</v>
      </c>
      <c r="M518" s="131">
        <f ca="1" t="shared" si="173"/>
        <v>42</v>
      </c>
      <c r="N518" s="131">
        <f ca="1" t="shared" si="174"/>
        <v>42</v>
      </c>
      <c r="O518" s="131">
        <f ca="1" t="shared" si="175"/>
        <v>42</v>
      </c>
      <c r="P518" s="131">
        <f ca="1" t="shared" si="176"/>
        <v>42</v>
      </c>
      <c r="Q518" s="131">
        <f ca="1" t="shared" si="177"/>
        <v>42</v>
      </c>
      <c r="R518" s="131">
        <f ca="1" t="shared" si="178"/>
        <v>42</v>
      </c>
      <c r="S518" s="131">
        <f ca="1" t="shared" si="179"/>
        <v>44</v>
      </c>
      <c r="T518" s="131">
        <f ca="1" t="shared" si="180"/>
        <v>47</v>
      </c>
      <c r="U518" s="131">
        <f ca="1" t="shared" si="181"/>
        <v>47</v>
      </c>
      <c r="V518" s="131">
        <f ca="1" t="shared" si="182"/>
        <v>47</v>
      </c>
      <c r="W518" s="124">
        <f ca="1">OFFSET($K$19,_xlfn.XLOOKUP(X518,$D$9:$D$28,$H$9:$H$28),MATCH(OFFSET($C$29,B518,MATCH(X518,$D$29:$V$29,0)),$L$19:$R$19,1))*(1+(OFFSET($C$29,B518,MATCH(X518,$D$29:$V$29,0))-1)*_xlfn.XLOOKUP(X518,梦灵养成!$D$9:$D$28,梦灵养成!$G$9:$G$28))</f>
        <v>61.152</v>
      </c>
      <c r="X518" s="106" t="str">
        <f ca="1" t="shared" si="163"/>
        <v>神算诸葛</v>
      </c>
      <c r="Y518" s="95">
        <f ca="1" t="shared" si="185"/>
        <v>246600</v>
      </c>
      <c r="Z518" s="96">
        <f ca="1" t="shared" si="183"/>
        <v>5.6</v>
      </c>
    </row>
    <row r="519" s="106" customFormat="1" ht="16.5" spans="2:26">
      <c r="B519" s="117">
        <v>490</v>
      </c>
      <c r="C519" s="130">
        <f t="shared" si="184"/>
        <v>49000</v>
      </c>
      <c r="D519" s="131">
        <f ca="1" t="shared" si="164"/>
        <v>55</v>
      </c>
      <c r="E519" s="131">
        <f ca="1" t="shared" si="165"/>
        <v>55</v>
      </c>
      <c r="F519" s="131">
        <f ca="1" t="shared" si="166"/>
        <v>55</v>
      </c>
      <c r="G519" s="131">
        <f ca="1" t="shared" si="167"/>
        <v>46</v>
      </c>
      <c r="H519" s="131">
        <f ca="1" t="shared" si="168"/>
        <v>46</v>
      </c>
      <c r="I519" s="131">
        <f ca="1" t="shared" si="169"/>
        <v>46</v>
      </c>
      <c r="J519" s="131">
        <f ca="1" t="shared" si="170"/>
        <v>46</v>
      </c>
      <c r="K519" s="131">
        <f ca="1" t="shared" si="171"/>
        <v>46</v>
      </c>
      <c r="L519" s="131">
        <f ca="1" t="shared" si="172"/>
        <v>46</v>
      </c>
      <c r="M519" s="131">
        <f ca="1" t="shared" si="173"/>
        <v>42</v>
      </c>
      <c r="N519" s="131">
        <f ca="1" t="shared" si="174"/>
        <v>42</v>
      </c>
      <c r="O519" s="131">
        <f ca="1" t="shared" si="175"/>
        <v>42</v>
      </c>
      <c r="P519" s="131">
        <f ca="1" t="shared" si="176"/>
        <v>42</v>
      </c>
      <c r="Q519" s="131">
        <f ca="1" t="shared" si="177"/>
        <v>42</v>
      </c>
      <c r="R519" s="131">
        <f ca="1" t="shared" si="178"/>
        <v>42</v>
      </c>
      <c r="S519" s="131">
        <f ca="1" t="shared" si="179"/>
        <v>44</v>
      </c>
      <c r="T519" s="131">
        <f ca="1" t="shared" si="180"/>
        <v>47</v>
      </c>
      <c r="U519" s="131">
        <f ca="1" t="shared" si="181"/>
        <v>47</v>
      </c>
      <c r="V519" s="131">
        <f ca="1" t="shared" si="182"/>
        <v>47</v>
      </c>
      <c r="W519" s="124">
        <f ca="1">OFFSET($K$19,_xlfn.XLOOKUP(X519,$D$9:$D$28,$H$9:$H$28),MATCH(OFFSET($C$29,B519,MATCH(X519,$D$29:$V$29,0)),$L$19:$R$19,1))*(1+(OFFSET($C$29,B519,MATCH(X519,$D$29:$V$29,0))-1)*_xlfn.XLOOKUP(X519,梦灵养成!$D$9:$D$28,梦灵养成!$G$9:$G$28))</f>
        <v>61.152</v>
      </c>
      <c r="X519" s="106" t="str">
        <f ca="1" t="shared" si="163"/>
        <v>神算诸葛</v>
      </c>
      <c r="Y519" s="95">
        <f ca="1" t="shared" si="185"/>
        <v>246600</v>
      </c>
      <c r="Z519" s="96">
        <f ca="1" t="shared" si="183"/>
        <v>5.6</v>
      </c>
    </row>
    <row r="520" s="106" customFormat="1" ht="16.5" spans="2:26">
      <c r="B520" s="117">
        <v>491</v>
      </c>
      <c r="C520" s="130">
        <f t="shared" si="184"/>
        <v>49100</v>
      </c>
      <c r="D520" s="131">
        <f ca="1" t="shared" si="164"/>
        <v>55</v>
      </c>
      <c r="E520" s="131">
        <f ca="1" t="shared" si="165"/>
        <v>55</v>
      </c>
      <c r="F520" s="131">
        <f ca="1" t="shared" si="166"/>
        <v>55</v>
      </c>
      <c r="G520" s="131">
        <f ca="1" t="shared" si="167"/>
        <v>46</v>
      </c>
      <c r="H520" s="131">
        <f ca="1" t="shared" si="168"/>
        <v>46</v>
      </c>
      <c r="I520" s="131">
        <f ca="1" t="shared" si="169"/>
        <v>46</v>
      </c>
      <c r="J520" s="131">
        <f ca="1" t="shared" si="170"/>
        <v>46</v>
      </c>
      <c r="K520" s="131">
        <f ca="1" t="shared" si="171"/>
        <v>46</v>
      </c>
      <c r="L520" s="131">
        <f ca="1" t="shared" si="172"/>
        <v>46</v>
      </c>
      <c r="M520" s="131">
        <f ca="1" t="shared" si="173"/>
        <v>42</v>
      </c>
      <c r="N520" s="131">
        <f ca="1" t="shared" si="174"/>
        <v>42</v>
      </c>
      <c r="O520" s="131">
        <f ca="1" t="shared" si="175"/>
        <v>42</v>
      </c>
      <c r="P520" s="131">
        <f ca="1" t="shared" si="176"/>
        <v>42</v>
      </c>
      <c r="Q520" s="131">
        <f ca="1" t="shared" si="177"/>
        <v>42</v>
      </c>
      <c r="R520" s="131">
        <f ca="1" t="shared" si="178"/>
        <v>42</v>
      </c>
      <c r="S520" s="131">
        <f ca="1" t="shared" si="179"/>
        <v>44</v>
      </c>
      <c r="T520" s="131">
        <f ca="1" t="shared" si="180"/>
        <v>47</v>
      </c>
      <c r="U520" s="131">
        <f ca="1" t="shared" si="181"/>
        <v>47</v>
      </c>
      <c r="V520" s="131">
        <f ca="1" t="shared" si="182"/>
        <v>47</v>
      </c>
      <c r="W520" s="124">
        <f ca="1">OFFSET($K$19,_xlfn.XLOOKUP(X520,$D$9:$D$28,$H$9:$H$28),MATCH(OFFSET($C$29,B520,MATCH(X520,$D$29:$V$29,0)),$L$19:$R$19,1))*(1+(OFFSET($C$29,B520,MATCH(X520,$D$29:$V$29,0))-1)*_xlfn.XLOOKUP(X520,梦灵养成!$D$9:$D$28,梦灵养成!$G$9:$G$28))</f>
        <v>61.152</v>
      </c>
      <c r="X520" s="106" t="str">
        <f ca="1" t="shared" si="163"/>
        <v>神算诸葛</v>
      </c>
      <c r="Y520" s="95">
        <f ca="1" t="shared" si="185"/>
        <v>246600</v>
      </c>
      <c r="Z520" s="96">
        <f ca="1" t="shared" si="183"/>
        <v>5.6</v>
      </c>
    </row>
    <row r="521" s="106" customFormat="1" ht="16.5" spans="2:26">
      <c r="B521" s="117">
        <v>492</v>
      </c>
      <c r="C521" s="130">
        <f t="shared" si="184"/>
        <v>49200</v>
      </c>
      <c r="D521" s="131">
        <f ca="1" t="shared" si="164"/>
        <v>55</v>
      </c>
      <c r="E521" s="131">
        <f ca="1" t="shared" si="165"/>
        <v>55</v>
      </c>
      <c r="F521" s="131">
        <f ca="1" t="shared" si="166"/>
        <v>55</v>
      </c>
      <c r="G521" s="131">
        <f ca="1" t="shared" si="167"/>
        <v>46</v>
      </c>
      <c r="H521" s="131">
        <f ca="1" t="shared" si="168"/>
        <v>46</v>
      </c>
      <c r="I521" s="131">
        <f ca="1" t="shared" si="169"/>
        <v>46</v>
      </c>
      <c r="J521" s="131">
        <f ca="1" t="shared" si="170"/>
        <v>46</v>
      </c>
      <c r="K521" s="131">
        <f ca="1" t="shared" si="171"/>
        <v>46</v>
      </c>
      <c r="L521" s="131">
        <f ca="1" t="shared" si="172"/>
        <v>46</v>
      </c>
      <c r="M521" s="131">
        <f ca="1" t="shared" si="173"/>
        <v>42</v>
      </c>
      <c r="N521" s="131">
        <f ca="1" t="shared" si="174"/>
        <v>42</v>
      </c>
      <c r="O521" s="131">
        <f ca="1" t="shared" si="175"/>
        <v>42</v>
      </c>
      <c r="P521" s="131">
        <f ca="1" t="shared" si="176"/>
        <v>42</v>
      </c>
      <c r="Q521" s="131">
        <f ca="1" t="shared" si="177"/>
        <v>42</v>
      </c>
      <c r="R521" s="131">
        <f ca="1" t="shared" si="178"/>
        <v>42</v>
      </c>
      <c r="S521" s="131">
        <f ca="1" t="shared" si="179"/>
        <v>44</v>
      </c>
      <c r="T521" s="131">
        <f ca="1" t="shared" si="180"/>
        <v>47</v>
      </c>
      <c r="U521" s="131">
        <f ca="1" t="shared" si="181"/>
        <v>47</v>
      </c>
      <c r="V521" s="131">
        <f ca="1" t="shared" si="182"/>
        <v>47</v>
      </c>
      <c r="W521" s="124">
        <f ca="1">OFFSET($K$19,_xlfn.XLOOKUP(X521,$D$9:$D$28,$H$9:$H$28),MATCH(OFFSET($C$29,B521,MATCH(X521,$D$29:$V$29,0)),$L$19:$R$19,1))*(1+(OFFSET($C$29,B521,MATCH(X521,$D$29:$V$29,0))-1)*_xlfn.XLOOKUP(X521,梦灵养成!$D$9:$D$28,梦灵养成!$G$9:$G$28))</f>
        <v>61.152</v>
      </c>
      <c r="X521" s="106" t="str">
        <f ca="1" t="shared" si="163"/>
        <v>神算诸葛</v>
      </c>
      <c r="Y521" s="95">
        <f ca="1" t="shared" si="185"/>
        <v>246600</v>
      </c>
      <c r="Z521" s="96">
        <f ca="1" t="shared" si="183"/>
        <v>5.6</v>
      </c>
    </row>
    <row r="522" s="106" customFormat="1" ht="16.5" spans="2:26">
      <c r="B522" s="117">
        <v>493</v>
      </c>
      <c r="C522" s="130">
        <f t="shared" si="184"/>
        <v>49300</v>
      </c>
      <c r="D522" s="131">
        <f ca="1" t="shared" si="164"/>
        <v>55</v>
      </c>
      <c r="E522" s="131">
        <f ca="1" t="shared" si="165"/>
        <v>55</v>
      </c>
      <c r="F522" s="131">
        <f ca="1" t="shared" si="166"/>
        <v>55</v>
      </c>
      <c r="G522" s="131">
        <f ca="1" t="shared" si="167"/>
        <v>46</v>
      </c>
      <c r="H522" s="131">
        <f ca="1" t="shared" si="168"/>
        <v>46</v>
      </c>
      <c r="I522" s="131">
        <f ca="1" t="shared" si="169"/>
        <v>46</v>
      </c>
      <c r="J522" s="131">
        <f ca="1" t="shared" si="170"/>
        <v>46</v>
      </c>
      <c r="K522" s="131">
        <f ca="1" t="shared" si="171"/>
        <v>46</v>
      </c>
      <c r="L522" s="131">
        <f ca="1" t="shared" si="172"/>
        <v>46</v>
      </c>
      <c r="M522" s="131">
        <f ca="1" t="shared" si="173"/>
        <v>42</v>
      </c>
      <c r="N522" s="131">
        <f ca="1" t="shared" si="174"/>
        <v>42</v>
      </c>
      <c r="O522" s="131">
        <f ca="1" t="shared" si="175"/>
        <v>42</v>
      </c>
      <c r="P522" s="131">
        <f ca="1" t="shared" si="176"/>
        <v>42</v>
      </c>
      <c r="Q522" s="131">
        <f ca="1" t="shared" si="177"/>
        <v>42</v>
      </c>
      <c r="R522" s="131">
        <f ca="1" t="shared" si="178"/>
        <v>42</v>
      </c>
      <c r="S522" s="131">
        <f ca="1" t="shared" si="179"/>
        <v>44</v>
      </c>
      <c r="T522" s="131">
        <f ca="1" t="shared" si="180"/>
        <v>47</v>
      </c>
      <c r="U522" s="131">
        <f ca="1" t="shared" si="181"/>
        <v>47</v>
      </c>
      <c r="V522" s="131">
        <f ca="1" t="shared" si="182"/>
        <v>48</v>
      </c>
      <c r="W522" s="124">
        <f ca="1">OFFSET($K$19,_xlfn.XLOOKUP(X522,$D$9:$D$28,$H$9:$H$28),MATCH(OFFSET($C$29,B522,MATCH(X522,$D$29:$V$29,0)),$L$19:$R$19,1))*(1+(OFFSET($C$29,B522,MATCH(X522,$D$29:$V$29,0))-1)*_xlfn.XLOOKUP(X522,梦灵养成!$D$9:$D$28,梦灵养成!$G$9:$G$28))</f>
        <v>62.244</v>
      </c>
      <c r="X522" s="106" t="str">
        <f ca="1" t="shared" si="163"/>
        <v>神算诸葛</v>
      </c>
      <c r="Y522" s="95">
        <f ca="1" t="shared" si="185"/>
        <v>246600</v>
      </c>
      <c r="Z522" s="96">
        <f ca="1" t="shared" si="183"/>
        <v>5.7</v>
      </c>
    </row>
    <row r="523" s="106" customFormat="1" ht="16.5" spans="2:26">
      <c r="B523" s="117">
        <v>494</v>
      </c>
      <c r="C523" s="130">
        <f t="shared" si="184"/>
        <v>49400</v>
      </c>
      <c r="D523" s="131">
        <f ca="1" t="shared" si="164"/>
        <v>55</v>
      </c>
      <c r="E523" s="131">
        <f ca="1" t="shared" si="165"/>
        <v>55</v>
      </c>
      <c r="F523" s="131">
        <f ca="1" t="shared" si="166"/>
        <v>55</v>
      </c>
      <c r="G523" s="131">
        <f ca="1" t="shared" si="167"/>
        <v>46</v>
      </c>
      <c r="H523" s="131">
        <f ca="1" t="shared" si="168"/>
        <v>46</v>
      </c>
      <c r="I523" s="131">
        <f ca="1" t="shared" si="169"/>
        <v>46</v>
      </c>
      <c r="J523" s="131">
        <f ca="1" t="shared" si="170"/>
        <v>46</v>
      </c>
      <c r="K523" s="131">
        <f ca="1" t="shared" si="171"/>
        <v>46</v>
      </c>
      <c r="L523" s="131">
        <f ca="1" t="shared" si="172"/>
        <v>46</v>
      </c>
      <c r="M523" s="131">
        <f ca="1" t="shared" si="173"/>
        <v>42</v>
      </c>
      <c r="N523" s="131">
        <f ca="1" t="shared" si="174"/>
        <v>42</v>
      </c>
      <c r="O523" s="131">
        <f ca="1" t="shared" si="175"/>
        <v>42</v>
      </c>
      <c r="P523" s="131">
        <f ca="1" t="shared" si="176"/>
        <v>42</v>
      </c>
      <c r="Q523" s="131">
        <f ca="1" t="shared" si="177"/>
        <v>42</v>
      </c>
      <c r="R523" s="131">
        <f ca="1" t="shared" si="178"/>
        <v>42</v>
      </c>
      <c r="S523" s="131">
        <f ca="1" t="shared" si="179"/>
        <v>44</v>
      </c>
      <c r="T523" s="131">
        <f ca="1" t="shared" si="180"/>
        <v>47</v>
      </c>
      <c r="U523" s="131">
        <f ca="1" t="shared" si="181"/>
        <v>47</v>
      </c>
      <c r="V523" s="131">
        <f ca="1" t="shared" si="182"/>
        <v>48</v>
      </c>
      <c r="W523" s="124">
        <f ca="1">OFFSET($K$19,_xlfn.XLOOKUP(X523,$D$9:$D$28,$H$9:$H$28),MATCH(OFFSET($C$29,B523,MATCH(X523,$D$29:$V$29,0)),$L$19:$R$19,1))*(1+(OFFSET($C$29,B523,MATCH(X523,$D$29:$V$29,0))-1)*_xlfn.XLOOKUP(X523,梦灵养成!$D$9:$D$28,梦灵养成!$G$9:$G$28))</f>
        <v>62.244</v>
      </c>
      <c r="X523" s="106" t="str">
        <f ca="1" t="shared" si="163"/>
        <v>神算诸葛</v>
      </c>
      <c r="Y523" s="95">
        <f ca="1" t="shared" si="185"/>
        <v>246600</v>
      </c>
      <c r="Z523" s="96">
        <f ca="1" t="shared" si="183"/>
        <v>5.7</v>
      </c>
    </row>
    <row r="524" s="106" customFormat="1" ht="16.5" spans="2:26">
      <c r="B524" s="117">
        <v>495</v>
      </c>
      <c r="C524" s="130">
        <f t="shared" si="184"/>
        <v>49500</v>
      </c>
      <c r="D524" s="131">
        <f ca="1" t="shared" si="164"/>
        <v>55</v>
      </c>
      <c r="E524" s="131">
        <f ca="1" t="shared" si="165"/>
        <v>55</v>
      </c>
      <c r="F524" s="131">
        <f ca="1" t="shared" si="166"/>
        <v>55</v>
      </c>
      <c r="G524" s="131">
        <f ca="1" t="shared" si="167"/>
        <v>46</v>
      </c>
      <c r="H524" s="131">
        <f ca="1" t="shared" si="168"/>
        <v>46</v>
      </c>
      <c r="I524" s="131">
        <f ca="1" t="shared" si="169"/>
        <v>46</v>
      </c>
      <c r="J524" s="131">
        <f ca="1" t="shared" si="170"/>
        <v>46</v>
      </c>
      <c r="K524" s="131">
        <f ca="1" t="shared" si="171"/>
        <v>46</v>
      </c>
      <c r="L524" s="131">
        <f ca="1" t="shared" si="172"/>
        <v>46</v>
      </c>
      <c r="M524" s="131">
        <f ca="1" t="shared" si="173"/>
        <v>42</v>
      </c>
      <c r="N524" s="131">
        <f ca="1" t="shared" si="174"/>
        <v>42</v>
      </c>
      <c r="O524" s="131">
        <f ca="1" t="shared" si="175"/>
        <v>42</v>
      </c>
      <c r="P524" s="131">
        <f ca="1" t="shared" si="176"/>
        <v>42</v>
      </c>
      <c r="Q524" s="131">
        <f ca="1" t="shared" si="177"/>
        <v>42</v>
      </c>
      <c r="R524" s="131">
        <f ca="1" t="shared" si="178"/>
        <v>42</v>
      </c>
      <c r="S524" s="131">
        <f ca="1" t="shared" si="179"/>
        <v>44</v>
      </c>
      <c r="T524" s="131">
        <f ca="1" t="shared" si="180"/>
        <v>47</v>
      </c>
      <c r="U524" s="131">
        <f ca="1" t="shared" si="181"/>
        <v>47</v>
      </c>
      <c r="V524" s="131">
        <f ca="1" t="shared" si="182"/>
        <v>48</v>
      </c>
      <c r="W524" s="124">
        <f ca="1">OFFSET($K$19,_xlfn.XLOOKUP(X524,$D$9:$D$28,$H$9:$H$28),MATCH(OFFSET($C$29,B524,MATCH(X524,$D$29:$V$29,0)),$L$19:$R$19,1))*(1+(OFFSET($C$29,B524,MATCH(X524,$D$29:$V$29,0))-1)*_xlfn.XLOOKUP(X524,梦灵养成!$D$9:$D$28,梦灵养成!$G$9:$G$28))</f>
        <v>62.244</v>
      </c>
      <c r="X524" s="106" t="str">
        <f ca="1" t="shared" si="163"/>
        <v>神算诸葛</v>
      </c>
      <c r="Y524" s="95">
        <f ca="1" t="shared" si="185"/>
        <v>246600</v>
      </c>
      <c r="Z524" s="96">
        <f ca="1" t="shared" si="183"/>
        <v>5.7</v>
      </c>
    </row>
    <row r="525" s="106" customFormat="1" ht="16.5" spans="2:26">
      <c r="B525" s="117">
        <v>496</v>
      </c>
      <c r="C525" s="130">
        <f t="shared" si="184"/>
        <v>49600</v>
      </c>
      <c r="D525" s="131">
        <f ca="1" t="shared" si="164"/>
        <v>55</v>
      </c>
      <c r="E525" s="131">
        <f ca="1" t="shared" si="165"/>
        <v>55</v>
      </c>
      <c r="F525" s="131">
        <f ca="1" t="shared" si="166"/>
        <v>55</v>
      </c>
      <c r="G525" s="131">
        <f ca="1" t="shared" si="167"/>
        <v>46</v>
      </c>
      <c r="H525" s="131">
        <f ca="1" t="shared" si="168"/>
        <v>46</v>
      </c>
      <c r="I525" s="131">
        <f ca="1" t="shared" si="169"/>
        <v>46</v>
      </c>
      <c r="J525" s="131">
        <f ca="1" t="shared" si="170"/>
        <v>46</v>
      </c>
      <c r="K525" s="131">
        <f ca="1" t="shared" si="171"/>
        <v>46</v>
      </c>
      <c r="L525" s="131">
        <f ca="1" t="shared" si="172"/>
        <v>46</v>
      </c>
      <c r="M525" s="131">
        <f ca="1" t="shared" si="173"/>
        <v>42</v>
      </c>
      <c r="N525" s="131">
        <f ca="1" t="shared" si="174"/>
        <v>42</v>
      </c>
      <c r="O525" s="131">
        <f ca="1" t="shared" si="175"/>
        <v>42</v>
      </c>
      <c r="P525" s="131">
        <f ca="1" t="shared" si="176"/>
        <v>42</v>
      </c>
      <c r="Q525" s="131">
        <f ca="1" t="shared" si="177"/>
        <v>42</v>
      </c>
      <c r="R525" s="131">
        <f ca="1" t="shared" si="178"/>
        <v>42</v>
      </c>
      <c r="S525" s="131">
        <f ca="1" t="shared" si="179"/>
        <v>44</v>
      </c>
      <c r="T525" s="131">
        <f ca="1" t="shared" si="180"/>
        <v>47</v>
      </c>
      <c r="U525" s="131">
        <f ca="1" t="shared" si="181"/>
        <v>47</v>
      </c>
      <c r="V525" s="131">
        <f ca="1" t="shared" si="182"/>
        <v>48</v>
      </c>
      <c r="W525" s="124">
        <f ca="1">OFFSET($K$19,_xlfn.XLOOKUP(X525,$D$9:$D$28,$H$9:$H$28),MATCH(OFFSET($C$29,B525,MATCH(X525,$D$29:$V$29,0)),$L$19:$R$19,1))*(1+(OFFSET($C$29,B525,MATCH(X525,$D$29:$V$29,0))-1)*_xlfn.XLOOKUP(X525,梦灵养成!$D$9:$D$28,梦灵养成!$G$9:$G$28))</f>
        <v>62.244</v>
      </c>
      <c r="X525" s="106" t="str">
        <f ca="1" t="shared" si="163"/>
        <v>神算诸葛</v>
      </c>
      <c r="Y525" s="95">
        <f ca="1" t="shared" si="185"/>
        <v>246600</v>
      </c>
      <c r="Z525" s="96">
        <f ca="1" t="shared" si="183"/>
        <v>5.7</v>
      </c>
    </row>
    <row r="526" s="106" customFormat="1" ht="16.5" spans="2:26">
      <c r="B526" s="117">
        <v>497</v>
      </c>
      <c r="C526" s="130">
        <f t="shared" si="184"/>
        <v>49700</v>
      </c>
      <c r="D526" s="131">
        <f ca="1" t="shared" si="164"/>
        <v>55</v>
      </c>
      <c r="E526" s="131">
        <f ca="1" t="shared" si="165"/>
        <v>55</v>
      </c>
      <c r="F526" s="131">
        <f ca="1" t="shared" si="166"/>
        <v>55</v>
      </c>
      <c r="G526" s="131">
        <f ca="1" t="shared" si="167"/>
        <v>46</v>
      </c>
      <c r="H526" s="131">
        <f ca="1" t="shared" si="168"/>
        <v>46</v>
      </c>
      <c r="I526" s="131">
        <f ca="1" t="shared" si="169"/>
        <v>46</v>
      </c>
      <c r="J526" s="131">
        <f ca="1" t="shared" si="170"/>
        <v>46</v>
      </c>
      <c r="K526" s="131">
        <f ca="1" t="shared" si="171"/>
        <v>46</v>
      </c>
      <c r="L526" s="131">
        <f ca="1" t="shared" si="172"/>
        <v>46</v>
      </c>
      <c r="M526" s="131">
        <f ca="1" t="shared" si="173"/>
        <v>42</v>
      </c>
      <c r="N526" s="131">
        <f ca="1" t="shared" si="174"/>
        <v>42</v>
      </c>
      <c r="O526" s="131">
        <f ca="1" t="shared" si="175"/>
        <v>42</v>
      </c>
      <c r="P526" s="131">
        <f ca="1" t="shared" si="176"/>
        <v>42</v>
      </c>
      <c r="Q526" s="131">
        <f ca="1" t="shared" si="177"/>
        <v>42</v>
      </c>
      <c r="R526" s="131">
        <f ca="1" t="shared" si="178"/>
        <v>42</v>
      </c>
      <c r="S526" s="131">
        <f ca="1" t="shared" si="179"/>
        <v>44</v>
      </c>
      <c r="T526" s="131">
        <f ca="1" t="shared" si="180"/>
        <v>47</v>
      </c>
      <c r="U526" s="131">
        <f ca="1" t="shared" si="181"/>
        <v>47</v>
      </c>
      <c r="V526" s="131">
        <f ca="1" t="shared" si="182"/>
        <v>48</v>
      </c>
      <c r="W526" s="124">
        <f ca="1">OFFSET($K$19,_xlfn.XLOOKUP(X526,$D$9:$D$28,$H$9:$H$28),MATCH(OFFSET($C$29,B526,MATCH(X526,$D$29:$V$29,0)),$L$19:$R$19,1))*(1+(OFFSET($C$29,B526,MATCH(X526,$D$29:$V$29,0))-1)*_xlfn.XLOOKUP(X526,梦灵养成!$D$9:$D$28,梦灵养成!$G$9:$G$28))</f>
        <v>62.244</v>
      </c>
      <c r="X526" s="106" t="str">
        <f ca="1" t="shared" si="163"/>
        <v>神算诸葛</v>
      </c>
      <c r="Y526" s="95">
        <f ca="1" t="shared" si="185"/>
        <v>246600</v>
      </c>
      <c r="Z526" s="96">
        <f ca="1" t="shared" si="183"/>
        <v>5.7</v>
      </c>
    </row>
    <row r="527" s="106" customFormat="1" ht="16.5" spans="2:26">
      <c r="B527" s="117">
        <v>498</v>
      </c>
      <c r="C527" s="130">
        <f t="shared" si="184"/>
        <v>49800</v>
      </c>
      <c r="D527" s="131">
        <f ca="1" t="shared" si="164"/>
        <v>55</v>
      </c>
      <c r="E527" s="131">
        <f ca="1" t="shared" si="165"/>
        <v>55</v>
      </c>
      <c r="F527" s="131">
        <f ca="1" t="shared" si="166"/>
        <v>55</v>
      </c>
      <c r="G527" s="131">
        <f ca="1" t="shared" si="167"/>
        <v>46</v>
      </c>
      <c r="H527" s="131">
        <f ca="1" t="shared" si="168"/>
        <v>46</v>
      </c>
      <c r="I527" s="131">
        <f ca="1" t="shared" si="169"/>
        <v>46</v>
      </c>
      <c r="J527" s="131">
        <f ca="1" t="shared" si="170"/>
        <v>46</v>
      </c>
      <c r="K527" s="131">
        <f ca="1" t="shared" si="171"/>
        <v>46</v>
      </c>
      <c r="L527" s="131">
        <f ca="1" t="shared" si="172"/>
        <v>46</v>
      </c>
      <c r="M527" s="131">
        <f ca="1" t="shared" si="173"/>
        <v>42</v>
      </c>
      <c r="N527" s="131">
        <f ca="1" t="shared" si="174"/>
        <v>42</v>
      </c>
      <c r="O527" s="131">
        <f ca="1" t="shared" si="175"/>
        <v>42</v>
      </c>
      <c r="P527" s="131">
        <f ca="1" t="shared" si="176"/>
        <v>42</v>
      </c>
      <c r="Q527" s="131">
        <f ca="1" t="shared" si="177"/>
        <v>42</v>
      </c>
      <c r="R527" s="131">
        <f ca="1" t="shared" si="178"/>
        <v>42</v>
      </c>
      <c r="S527" s="131">
        <f ca="1" t="shared" si="179"/>
        <v>44</v>
      </c>
      <c r="T527" s="131">
        <f ca="1" t="shared" si="180"/>
        <v>47</v>
      </c>
      <c r="U527" s="131">
        <f ca="1" t="shared" si="181"/>
        <v>47</v>
      </c>
      <c r="V527" s="131">
        <f ca="1" t="shared" si="182"/>
        <v>48</v>
      </c>
      <c r="W527" s="124">
        <f ca="1">OFFSET($K$19,_xlfn.XLOOKUP(X527,$D$9:$D$28,$H$9:$H$28),MATCH(OFFSET($C$29,B527,MATCH(X527,$D$29:$V$29,0)),$L$19:$R$19,1))*(1+(OFFSET($C$29,B527,MATCH(X527,$D$29:$V$29,0))-1)*_xlfn.XLOOKUP(X527,梦灵养成!$D$9:$D$28,梦灵养成!$G$9:$G$28))</f>
        <v>62.244</v>
      </c>
      <c r="X527" s="106" t="str">
        <f ca="1" t="shared" si="163"/>
        <v>神算诸葛</v>
      </c>
      <c r="Y527" s="95">
        <f ca="1" t="shared" si="185"/>
        <v>246600</v>
      </c>
      <c r="Z527" s="96">
        <f ca="1" t="shared" si="183"/>
        <v>5.7</v>
      </c>
    </row>
    <row r="528" s="106" customFormat="1" ht="16.5" spans="2:26">
      <c r="B528" s="117">
        <v>499</v>
      </c>
      <c r="C528" s="130">
        <f t="shared" si="184"/>
        <v>49900</v>
      </c>
      <c r="D528" s="131">
        <f ca="1" t="shared" si="164"/>
        <v>55</v>
      </c>
      <c r="E528" s="131">
        <f ca="1" t="shared" si="165"/>
        <v>55</v>
      </c>
      <c r="F528" s="131">
        <f ca="1" t="shared" si="166"/>
        <v>55</v>
      </c>
      <c r="G528" s="131">
        <f ca="1" t="shared" si="167"/>
        <v>46</v>
      </c>
      <c r="H528" s="131">
        <f ca="1" t="shared" si="168"/>
        <v>46</v>
      </c>
      <c r="I528" s="131">
        <f ca="1" t="shared" si="169"/>
        <v>46</v>
      </c>
      <c r="J528" s="131">
        <f ca="1" t="shared" si="170"/>
        <v>46</v>
      </c>
      <c r="K528" s="131">
        <f ca="1" t="shared" si="171"/>
        <v>46</v>
      </c>
      <c r="L528" s="131">
        <f ca="1" t="shared" si="172"/>
        <v>46</v>
      </c>
      <c r="M528" s="131">
        <f ca="1" t="shared" si="173"/>
        <v>42</v>
      </c>
      <c r="N528" s="131">
        <f ca="1" t="shared" si="174"/>
        <v>42</v>
      </c>
      <c r="O528" s="131">
        <f ca="1" t="shared" si="175"/>
        <v>42</v>
      </c>
      <c r="P528" s="131">
        <f ca="1" t="shared" si="176"/>
        <v>42</v>
      </c>
      <c r="Q528" s="131">
        <f ca="1" t="shared" si="177"/>
        <v>42</v>
      </c>
      <c r="R528" s="131">
        <f ca="1" t="shared" si="178"/>
        <v>42</v>
      </c>
      <c r="S528" s="131">
        <f ca="1" t="shared" si="179"/>
        <v>44</v>
      </c>
      <c r="T528" s="131">
        <f ca="1" t="shared" si="180"/>
        <v>47</v>
      </c>
      <c r="U528" s="131">
        <f ca="1" t="shared" si="181"/>
        <v>47</v>
      </c>
      <c r="V528" s="131">
        <f ca="1" t="shared" si="182"/>
        <v>48</v>
      </c>
      <c r="W528" s="124">
        <f ca="1">OFFSET($K$19,_xlfn.XLOOKUP(X528,$D$9:$D$28,$H$9:$H$28),MATCH(OFFSET($C$29,B528,MATCH(X528,$D$29:$V$29,0)),$L$19:$R$19,1))*(1+(OFFSET($C$29,B528,MATCH(X528,$D$29:$V$29,0))-1)*_xlfn.XLOOKUP(X528,梦灵养成!$D$9:$D$28,梦灵养成!$G$9:$G$28))</f>
        <v>62.244</v>
      </c>
      <c r="X528" s="106" t="str">
        <f ca="1" t="shared" si="163"/>
        <v>神算诸葛</v>
      </c>
      <c r="Y528" s="95">
        <f ca="1" t="shared" si="185"/>
        <v>246600</v>
      </c>
      <c r="Z528" s="96">
        <f ca="1" t="shared" si="183"/>
        <v>5.7</v>
      </c>
    </row>
    <row r="529" s="106" customFormat="1" ht="16.5" spans="2:26">
      <c r="B529" s="117">
        <v>500</v>
      </c>
      <c r="C529" s="130">
        <f t="shared" si="184"/>
        <v>50000</v>
      </c>
      <c r="D529" s="131">
        <f ca="1" t="shared" si="164"/>
        <v>55</v>
      </c>
      <c r="E529" s="131">
        <f ca="1" t="shared" si="165"/>
        <v>55</v>
      </c>
      <c r="F529" s="131">
        <f ca="1" t="shared" si="166"/>
        <v>55</v>
      </c>
      <c r="G529" s="131">
        <f ca="1" t="shared" si="167"/>
        <v>46</v>
      </c>
      <c r="H529" s="131">
        <f ca="1" t="shared" si="168"/>
        <v>46</v>
      </c>
      <c r="I529" s="131">
        <f ca="1" t="shared" si="169"/>
        <v>46</v>
      </c>
      <c r="J529" s="131">
        <f ca="1" t="shared" si="170"/>
        <v>46</v>
      </c>
      <c r="K529" s="131">
        <f ca="1" t="shared" si="171"/>
        <v>46</v>
      </c>
      <c r="L529" s="131">
        <f ca="1" t="shared" si="172"/>
        <v>46</v>
      </c>
      <c r="M529" s="131">
        <f ca="1" t="shared" si="173"/>
        <v>42</v>
      </c>
      <c r="N529" s="131">
        <f ca="1" t="shared" si="174"/>
        <v>42</v>
      </c>
      <c r="O529" s="131">
        <f ca="1" t="shared" si="175"/>
        <v>42</v>
      </c>
      <c r="P529" s="131">
        <f ca="1" t="shared" si="176"/>
        <v>42</v>
      </c>
      <c r="Q529" s="131">
        <f ca="1" t="shared" si="177"/>
        <v>42</v>
      </c>
      <c r="R529" s="131">
        <f ca="1" t="shared" si="178"/>
        <v>42</v>
      </c>
      <c r="S529" s="131">
        <f ca="1" t="shared" si="179"/>
        <v>44</v>
      </c>
      <c r="T529" s="131">
        <f ca="1" t="shared" si="180"/>
        <v>47</v>
      </c>
      <c r="U529" s="131">
        <f ca="1" t="shared" si="181"/>
        <v>47</v>
      </c>
      <c r="V529" s="131">
        <f ca="1" t="shared" si="182"/>
        <v>48</v>
      </c>
      <c r="W529" s="124">
        <f ca="1">OFFSET($K$19,_xlfn.XLOOKUP(X529,$D$9:$D$28,$H$9:$H$28),MATCH(OFFSET($C$29,B529,MATCH(X529,$D$29:$V$29,0)),$L$19:$R$19,1))*(1+(OFFSET($C$29,B529,MATCH(X529,$D$29:$V$29,0))-1)*_xlfn.XLOOKUP(X529,梦灵养成!$D$9:$D$28,梦灵养成!$G$9:$G$28))</f>
        <v>62.244</v>
      </c>
      <c r="X529" s="106" t="str">
        <f ca="1" t="shared" si="163"/>
        <v>神算诸葛</v>
      </c>
      <c r="Y529" s="95">
        <f ca="1" t="shared" si="185"/>
        <v>246600</v>
      </c>
      <c r="Z529" s="96">
        <f ca="1" t="shared" si="183"/>
        <v>5.7</v>
      </c>
    </row>
    <row r="530" s="106" customFormat="1" ht="16.5" spans="2:26">
      <c r="B530" s="117">
        <v>501</v>
      </c>
      <c r="C530" s="130">
        <f t="shared" si="184"/>
        <v>50100</v>
      </c>
      <c r="D530" s="131">
        <f ca="1" t="shared" si="164"/>
        <v>55</v>
      </c>
      <c r="E530" s="131">
        <f ca="1" t="shared" si="165"/>
        <v>55</v>
      </c>
      <c r="F530" s="131">
        <f ca="1" t="shared" si="166"/>
        <v>55</v>
      </c>
      <c r="G530" s="131">
        <f ca="1" t="shared" si="167"/>
        <v>46</v>
      </c>
      <c r="H530" s="131">
        <f ca="1" t="shared" si="168"/>
        <v>46</v>
      </c>
      <c r="I530" s="131">
        <f ca="1" t="shared" si="169"/>
        <v>46</v>
      </c>
      <c r="J530" s="131">
        <f ca="1" t="shared" si="170"/>
        <v>46</v>
      </c>
      <c r="K530" s="131">
        <f ca="1" t="shared" si="171"/>
        <v>46</v>
      </c>
      <c r="L530" s="131">
        <f ca="1" t="shared" si="172"/>
        <v>46</v>
      </c>
      <c r="M530" s="131">
        <f ca="1" t="shared" si="173"/>
        <v>42</v>
      </c>
      <c r="N530" s="131">
        <f ca="1" t="shared" si="174"/>
        <v>42</v>
      </c>
      <c r="O530" s="131">
        <f ca="1" t="shared" si="175"/>
        <v>42</v>
      </c>
      <c r="P530" s="131">
        <f ca="1" t="shared" si="176"/>
        <v>42</v>
      </c>
      <c r="Q530" s="131">
        <f ca="1" t="shared" si="177"/>
        <v>42</v>
      </c>
      <c r="R530" s="131">
        <f ca="1" t="shared" si="178"/>
        <v>42</v>
      </c>
      <c r="S530" s="131">
        <f ca="1" t="shared" si="179"/>
        <v>44</v>
      </c>
      <c r="T530" s="131">
        <f ca="1" t="shared" si="180"/>
        <v>47</v>
      </c>
      <c r="U530" s="131">
        <f ca="1" t="shared" si="181"/>
        <v>47</v>
      </c>
      <c r="V530" s="131">
        <f ca="1" t="shared" si="182"/>
        <v>48</v>
      </c>
      <c r="W530" s="124">
        <f ca="1">OFFSET($K$19,_xlfn.XLOOKUP(X530,$D$9:$D$28,$H$9:$H$28),MATCH(OFFSET($C$29,B530,MATCH(X530,$D$29:$V$29,0)),$L$19:$R$19,1))*(1+(OFFSET($C$29,B530,MATCH(X530,$D$29:$V$29,0))-1)*_xlfn.XLOOKUP(X530,梦灵养成!$D$9:$D$28,梦灵养成!$G$9:$G$28))</f>
        <v>62.244</v>
      </c>
      <c r="X530" s="106" t="str">
        <f ca="1" t="shared" si="163"/>
        <v>神算诸葛</v>
      </c>
      <c r="Y530" s="95">
        <f ca="1" t="shared" si="185"/>
        <v>246600</v>
      </c>
      <c r="Z530" s="96">
        <f ca="1" t="shared" si="183"/>
        <v>5.7</v>
      </c>
    </row>
    <row r="531" s="106" customFormat="1" ht="16.5" spans="2:26">
      <c r="B531" s="117">
        <v>502</v>
      </c>
      <c r="C531" s="130">
        <f t="shared" si="184"/>
        <v>50200</v>
      </c>
      <c r="D531" s="131">
        <f ca="1" t="shared" si="164"/>
        <v>55</v>
      </c>
      <c r="E531" s="131">
        <f ca="1" t="shared" si="165"/>
        <v>55</v>
      </c>
      <c r="F531" s="131">
        <f ca="1" t="shared" si="166"/>
        <v>55</v>
      </c>
      <c r="G531" s="131">
        <f ca="1" t="shared" si="167"/>
        <v>46</v>
      </c>
      <c r="H531" s="131">
        <f ca="1" t="shared" si="168"/>
        <v>46</v>
      </c>
      <c r="I531" s="131">
        <f ca="1" t="shared" si="169"/>
        <v>46</v>
      </c>
      <c r="J531" s="131">
        <f ca="1" t="shared" si="170"/>
        <v>46</v>
      </c>
      <c r="K531" s="131">
        <f ca="1" t="shared" si="171"/>
        <v>46</v>
      </c>
      <c r="L531" s="131">
        <f ca="1" t="shared" si="172"/>
        <v>46</v>
      </c>
      <c r="M531" s="131">
        <f ca="1" t="shared" si="173"/>
        <v>42</v>
      </c>
      <c r="N531" s="131">
        <f ca="1" t="shared" si="174"/>
        <v>42</v>
      </c>
      <c r="O531" s="131">
        <f ca="1" t="shared" si="175"/>
        <v>42</v>
      </c>
      <c r="P531" s="131">
        <f ca="1" t="shared" si="176"/>
        <v>42</v>
      </c>
      <c r="Q531" s="131">
        <f ca="1" t="shared" si="177"/>
        <v>42</v>
      </c>
      <c r="R531" s="131">
        <f ca="1" t="shared" si="178"/>
        <v>42</v>
      </c>
      <c r="S531" s="131">
        <f ca="1" t="shared" si="179"/>
        <v>44</v>
      </c>
      <c r="T531" s="131">
        <f ca="1" t="shared" si="180"/>
        <v>47</v>
      </c>
      <c r="U531" s="131">
        <f ca="1" t="shared" si="181"/>
        <v>47</v>
      </c>
      <c r="V531" s="131">
        <f ca="1" t="shared" si="182"/>
        <v>48</v>
      </c>
      <c r="W531" s="124">
        <f ca="1">OFFSET($K$19,_xlfn.XLOOKUP(X531,$D$9:$D$28,$H$9:$H$28),MATCH(OFFSET($C$29,B531,MATCH(X531,$D$29:$V$29,0)),$L$19:$R$19,1))*(1+(OFFSET($C$29,B531,MATCH(X531,$D$29:$V$29,0))-1)*_xlfn.XLOOKUP(X531,梦灵养成!$D$9:$D$28,梦灵养成!$G$9:$G$28))</f>
        <v>62.244</v>
      </c>
      <c r="X531" s="106" t="str">
        <f ca="1" t="shared" si="163"/>
        <v>神算诸葛</v>
      </c>
      <c r="Y531" s="95">
        <f ca="1" t="shared" si="185"/>
        <v>246600</v>
      </c>
      <c r="Z531" s="96">
        <f ca="1" t="shared" si="183"/>
        <v>5.7</v>
      </c>
    </row>
    <row r="532" s="106" customFormat="1" ht="16.5" spans="2:26">
      <c r="B532" s="117">
        <v>503</v>
      </c>
      <c r="C532" s="130">
        <f t="shared" si="184"/>
        <v>50300</v>
      </c>
      <c r="D532" s="131">
        <f ca="1" t="shared" si="164"/>
        <v>55</v>
      </c>
      <c r="E532" s="131">
        <f ca="1" t="shared" si="165"/>
        <v>55</v>
      </c>
      <c r="F532" s="131">
        <f ca="1" t="shared" si="166"/>
        <v>55</v>
      </c>
      <c r="G532" s="131">
        <f ca="1" t="shared" si="167"/>
        <v>46</v>
      </c>
      <c r="H532" s="131">
        <f ca="1" t="shared" si="168"/>
        <v>46</v>
      </c>
      <c r="I532" s="131">
        <f ca="1" t="shared" si="169"/>
        <v>46</v>
      </c>
      <c r="J532" s="131">
        <f ca="1" t="shared" si="170"/>
        <v>46</v>
      </c>
      <c r="K532" s="131">
        <f ca="1" t="shared" si="171"/>
        <v>46</v>
      </c>
      <c r="L532" s="131">
        <f ca="1" t="shared" si="172"/>
        <v>46</v>
      </c>
      <c r="M532" s="131">
        <f ca="1" t="shared" si="173"/>
        <v>42</v>
      </c>
      <c r="N532" s="131">
        <f ca="1" t="shared" si="174"/>
        <v>42</v>
      </c>
      <c r="O532" s="131">
        <f ca="1" t="shared" si="175"/>
        <v>42</v>
      </c>
      <c r="P532" s="131">
        <f ca="1" t="shared" si="176"/>
        <v>42</v>
      </c>
      <c r="Q532" s="131">
        <f ca="1" t="shared" si="177"/>
        <v>42</v>
      </c>
      <c r="R532" s="131">
        <f ca="1" t="shared" si="178"/>
        <v>42</v>
      </c>
      <c r="S532" s="131">
        <f ca="1" t="shared" si="179"/>
        <v>44</v>
      </c>
      <c r="T532" s="131">
        <f ca="1" t="shared" si="180"/>
        <v>47</v>
      </c>
      <c r="U532" s="131">
        <f ca="1" t="shared" si="181"/>
        <v>47</v>
      </c>
      <c r="V532" s="131">
        <f ca="1" t="shared" si="182"/>
        <v>48</v>
      </c>
      <c r="W532" s="124">
        <f ca="1">OFFSET($K$19,_xlfn.XLOOKUP(X532,$D$9:$D$28,$H$9:$H$28),MATCH(OFFSET($C$29,B532,MATCH(X532,$D$29:$V$29,0)),$L$19:$R$19,1))*(1+(OFFSET($C$29,B532,MATCH(X532,$D$29:$V$29,0))-1)*_xlfn.XLOOKUP(X532,梦灵养成!$D$9:$D$28,梦灵养成!$G$9:$G$28))</f>
        <v>62.244</v>
      </c>
      <c r="X532" s="106" t="str">
        <f ca="1" t="shared" si="163"/>
        <v>神算诸葛</v>
      </c>
      <c r="Y532" s="95">
        <f ca="1" t="shared" si="185"/>
        <v>246600</v>
      </c>
      <c r="Z532" s="96">
        <f ca="1" t="shared" si="183"/>
        <v>5.7</v>
      </c>
    </row>
    <row r="533" s="106" customFormat="1" ht="16.5" spans="2:26">
      <c r="B533" s="117">
        <v>504</v>
      </c>
      <c r="C533" s="130">
        <f t="shared" si="184"/>
        <v>50400</v>
      </c>
      <c r="D533" s="131">
        <f ca="1" t="shared" si="164"/>
        <v>55</v>
      </c>
      <c r="E533" s="131">
        <f ca="1" t="shared" si="165"/>
        <v>55</v>
      </c>
      <c r="F533" s="131">
        <f ca="1" t="shared" si="166"/>
        <v>55</v>
      </c>
      <c r="G533" s="131">
        <f ca="1" t="shared" si="167"/>
        <v>46</v>
      </c>
      <c r="H533" s="131">
        <f ca="1" t="shared" si="168"/>
        <v>46</v>
      </c>
      <c r="I533" s="131">
        <f ca="1" t="shared" si="169"/>
        <v>46</v>
      </c>
      <c r="J533" s="131">
        <f ca="1" t="shared" si="170"/>
        <v>46</v>
      </c>
      <c r="K533" s="131">
        <f ca="1" t="shared" si="171"/>
        <v>46</v>
      </c>
      <c r="L533" s="131">
        <f ca="1" t="shared" si="172"/>
        <v>46</v>
      </c>
      <c r="M533" s="131">
        <f ca="1" t="shared" si="173"/>
        <v>42</v>
      </c>
      <c r="N533" s="131">
        <f ca="1" t="shared" si="174"/>
        <v>42</v>
      </c>
      <c r="O533" s="131">
        <f ca="1" t="shared" si="175"/>
        <v>42</v>
      </c>
      <c r="P533" s="131">
        <f ca="1" t="shared" si="176"/>
        <v>42</v>
      </c>
      <c r="Q533" s="131">
        <f ca="1" t="shared" si="177"/>
        <v>42</v>
      </c>
      <c r="R533" s="131">
        <f ca="1" t="shared" si="178"/>
        <v>42</v>
      </c>
      <c r="S533" s="131">
        <f ca="1" t="shared" si="179"/>
        <v>44</v>
      </c>
      <c r="T533" s="131">
        <f ca="1" t="shared" si="180"/>
        <v>47</v>
      </c>
      <c r="U533" s="131">
        <f ca="1" t="shared" si="181"/>
        <v>47</v>
      </c>
      <c r="V533" s="131">
        <f ca="1" t="shared" si="182"/>
        <v>48</v>
      </c>
      <c r="W533" s="124">
        <f ca="1">OFFSET($K$19,_xlfn.XLOOKUP(X533,$D$9:$D$28,$H$9:$H$28),MATCH(OFFSET($C$29,B533,MATCH(X533,$D$29:$V$29,0)),$L$19:$R$19,1))*(1+(OFFSET($C$29,B533,MATCH(X533,$D$29:$V$29,0))-1)*_xlfn.XLOOKUP(X533,梦灵养成!$D$9:$D$28,梦灵养成!$G$9:$G$28))</f>
        <v>62.244</v>
      </c>
      <c r="X533" s="106" t="str">
        <f ca="1" t="shared" si="163"/>
        <v>神算诸葛</v>
      </c>
      <c r="Y533" s="95">
        <f ca="1" t="shared" si="185"/>
        <v>246600</v>
      </c>
      <c r="Z533" s="96">
        <f ca="1" t="shared" si="183"/>
        <v>5.7</v>
      </c>
    </row>
    <row r="534" s="106" customFormat="1" ht="16.5" spans="2:26">
      <c r="B534" s="117">
        <v>505</v>
      </c>
      <c r="C534" s="130">
        <f t="shared" si="184"/>
        <v>50500</v>
      </c>
      <c r="D534" s="131">
        <f ca="1" t="shared" si="164"/>
        <v>55</v>
      </c>
      <c r="E534" s="131">
        <f ca="1" t="shared" si="165"/>
        <v>55</v>
      </c>
      <c r="F534" s="131">
        <f ca="1" t="shared" si="166"/>
        <v>55</v>
      </c>
      <c r="G534" s="131">
        <f ca="1" t="shared" si="167"/>
        <v>46</v>
      </c>
      <c r="H534" s="131">
        <f ca="1" t="shared" si="168"/>
        <v>46</v>
      </c>
      <c r="I534" s="131">
        <f ca="1" t="shared" si="169"/>
        <v>46</v>
      </c>
      <c r="J534" s="131">
        <f ca="1" t="shared" si="170"/>
        <v>46</v>
      </c>
      <c r="K534" s="131">
        <f ca="1" t="shared" si="171"/>
        <v>46</v>
      </c>
      <c r="L534" s="131">
        <f ca="1" t="shared" si="172"/>
        <v>46</v>
      </c>
      <c r="M534" s="131">
        <f ca="1" t="shared" si="173"/>
        <v>42</v>
      </c>
      <c r="N534" s="131">
        <f ca="1" t="shared" si="174"/>
        <v>42</v>
      </c>
      <c r="O534" s="131">
        <f ca="1" t="shared" si="175"/>
        <v>42</v>
      </c>
      <c r="P534" s="131">
        <f ca="1" t="shared" si="176"/>
        <v>42</v>
      </c>
      <c r="Q534" s="131">
        <f ca="1" t="shared" si="177"/>
        <v>42</v>
      </c>
      <c r="R534" s="131">
        <f ca="1" t="shared" si="178"/>
        <v>42</v>
      </c>
      <c r="S534" s="131">
        <f ca="1" t="shared" si="179"/>
        <v>44</v>
      </c>
      <c r="T534" s="131">
        <f ca="1" t="shared" si="180"/>
        <v>47</v>
      </c>
      <c r="U534" s="131">
        <f ca="1" t="shared" si="181"/>
        <v>47</v>
      </c>
      <c r="V534" s="131">
        <f ca="1" t="shared" si="182"/>
        <v>48</v>
      </c>
      <c r="W534" s="124">
        <f ca="1">OFFSET($K$19,_xlfn.XLOOKUP(X534,$D$9:$D$28,$H$9:$H$28),MATCH(OFFSET($C$29,B534,MATCH(X534,$D$29:$V$29,0)),$L$19:$R$19,1))*(1+(OFFSET($C$29,B534,MATCH(X534,$D$29:$V$29,0))-1)*_xlfn.XLOOKUP(X534,梦灵养成!$D$9:$D$28,梦灵养成!$G$9:$G$28))</f>
        <v>62.244</v>
      </c>
      <c r="X534" s="106" t="str">
        <f ca="1" t="shared" si="163"/>
        <v>神算诸葛</v>
      </c>
      <c r="Y534" s="95">
        <f ca="1" t="shared" si="185"/>
        <v>246600</v>
      </c>
      <c r="Z534" s="96">
        <f ca="1" t="shared" si="183"/>
        <v>5.7</v>
      </c>
    </row>
    <row r="535" s="106" customFormat="1" ht="16.5" spans="2:26">
      <c r="B535" s="117">
        <v>506</v>
      </c>
      <c r="C535" s="130">
        <f t="shared" si="184"/>
        <v>50600</v>
      </c>
      <c r="D535" s="131">
        <f ca="1" t="shared" si="164"/>
        <v>55</v>
      </c>
      <c r="E535" s="131">
        <f ca="1" t="shared" si="165"/>
        <v>55</v>
      </c>
      <c r="F535" s="131">
        <f ca="1" t="shared" si="166"/>
        <v>55</v>
      </c>
      <c r="G535" s="131">
        <f ca="1" t="shared" si="167"/>
        <v>46</v>
      </c>
      <c r="H535" s="131">
        <f ca="1" t="shared" si="168"/>
        <v>46</v>
      </c>
      <c r="I535" s="131">
        <f ca="1" t="shared" si="169"/>
        <v>46</v>
      </c>
      <c r="J535" s="131">
        <f ca="1" t="shared" si="170"/>
        <v>46</v>
      </c>
      <c r="K535" s="131">
        <f ca="1" t="shared" si="171"/>
        <v>46</v>
      </c>
      <c r="L535" s="131">
        <f ca="1" t="shared" si="172"/>
        <v>46</v>
      </c>
      <c r="M535" s="131">
        <f ca="1" t="shared" si="173"/>
        <v>42</v>
      </c>
      <c r="N535" s="131">
        <f ca="1" t="shared" si="174"/>
        <v>42</v>
      </c>
      <c r="O535" s="131">
        <f ca="1" t="shared" si="175"/>
        <v>42</v>
      </c>
      <c r="P535" s="131">
        <f ca="1" t="shared" si="176"/>
        <v>42</v>
      </c>
      <c r="Q535" s="131">
        <f ca="1" t="shared" si="177"/>
        <v>43</v>
      </c>
      <c r="R535" s="131">
        <f ca="1" t="shared" si="178"/>
        <v>42</v>
      </c>
      <c r="S535" s="131">
        <f ca="1" t="shared" si="179"/>
        <v>44</v>
      </c>
      <c r="T535" s="131">
        <f ca="1" t="shared" si="180"/>
        <v>47</v>
      </c>
      <c r="U535" s="131">
        <f ca="1" t="shared" si="181"/>
        <v>47</v>
      </c>
      <c r="V535" s="131">
        <f ca="1" t="shared" si="182"/>
        <v>48</v>
      </c>
      <c r="W535" s="124">
        <f ca="1">OFFSET($K$19,_xlfn.XLOOKUP(X535,$D$9:$D$28,$H$9:$H$28),MATCH(OFFSET($C$29,B535,MATCH(X535,$D$29:$V$29,0)),$L$19:$R$19,1))*(1+(OFFSET($C$29,B535,MATCH(X535,$D$29:$V$29,0))-1)*_xlfn.XLOOKUP(X535,梦灵养成!$D$9:$D$28,梦灵养成!$G$9:$G$28))</f>
        <v>62.244</v>
      </c>
      <c r="X535" s="106" t="str">
        <f ca="1" t="shared" si="163"/>
        <v>神算诸葛</v>
      </c>
      <c r="Y535" s="95">
        <f ca="1" t="shared" ref="Y535:Y566" si="186">MAX(Y506:Y534)</f>
        <v>246600</v>
      </c>
      <c r="Z535" s="96">
        <f ca="1" t="shared" si="183"/>
        <v>5.7</v>
      </c>
    </row>
    <row r="536" s="106" customFormat="1" ht="16.5" spans="2:26">
      <c r="B536" s="117">
        <v>507</v>
      </c>
      <c r="C536" s="130">
        <f t="shared" si="184"/>
        <v>50700</v>
      </c>
      <c r="D536" s="131">
        <f ca="1" t="shared" si="164"/>
        <v>55</v>
      </c>
      <c r="E536" s="131">
        <f ca="1" t="shared" si="165"/>
        <v>55</v>
      </c>
      <c r="F536" s="131">
        <f ca="1" t="shared" si="166"/>
        <v>55</v>
      </c>
      <c r="G536" s="131">
        <f ca="1" t="shared" si="167"/>
        <v>46</v>
      </c>
      <c r="H536" s="131">
        <f ca="1" t="shared" si="168"/>
        <v>46</v>
      </c>
      <c r="I536" s="131">
        <f ca="1" t="shared" si="169"/>
        <v>46</v>
      </c>
      <c r="J536" s="131">
        <f ca="1" t="shared" si="170"/>
        <v>46</v>
      </c>
      <c r="K536" s="131">
        <f ca="1" t="shared" si="171"/>
        <v>46</v>
      </c>
      <c r="L536" s="131">
        <f ca="1" t="shared" si="172"/>
        <v>46</v>
      </c>
      <c r="M536" s="131">
        <f ca="1" t="shared" si="173"/>
        <v>42</v>
      </c>
      <c r="N536" s="131">
        <f ca="1" t="shared" si="174"/>
        <v>42</v>
      </c>
      <c r="O536" s="131">
        <f ca="1" t="shared" si="175"/>
        <v>42</v>
      </c>
      <c r="P536" s="131">
        <f ca="1" t="shared" si="176"/>
        <v>42</v>
      </c>
      <c r="Q536" s="131">
        <f ca="1" t="shared" si="177"/>
        <v>43</v>
      </c>
      <c r="R536" s="131">
        <f ca="1" t="shared" si="178"/>
        <v>42</v>
      </c>
      <c r="S536" s="131">
        <f ca="1" t="shared" si="179"/>
        <v>44</v>
      </c>
      <c r="T536" s="131">
        <f ca="1" t="shared" si="180"/>
        <v>47</v>
      </c>
      <c r="U536" s="131">
        <f ca="1" t="shared" si="181"/>
        <v>47</v>
      </c>
      <c r="V536" s="131">
        <f ca="1" t="shared" si="182"/>
        <v>48</v>
      </c>
      <c r="W536" s="124">
        <f ca="1">OFFSET($K$19,_xlfn.XLOOKUP(X536,$D$9:$D$28,$H$9:$H$28),MATCH(OFFSET($C$29,B536,MATCH(X536,$D$29:$V$29,0)),$L$19:$R$19,1))*(1+(OFFSET($C$29,B536,MATCH(X536,$D$29:$V$29,0))-1)*_xlfn.XLOOKUP(X536,梦灵养成!$D$9:$D$28,梦灵养成!$G$9:$G$28))</f>
        <v>62.244</v>
      </c>
      <c r="X536" s="106" t="str">
        <f ca="1" t="shared" si="163"/>
        <v>神算诸葛</v>
      </c>
      <c r="Y536" s="95">
        <f ca="1" t="shared" si="186"/>
        <v>246600</v>
      </c>
      <c r="Z536" s="96">
        <f ca="1" t="shared" si="183"/>
        <v>5.7</v>
      </c>
    </row>
    <row r="537" s="106" customFormat="1" ht="16.5" spans="2:26">
      <c r="B537" s="117">
        <v>508</v>
      </c>
      <c r="C537" s="130">
        <f t="shared" si="184"/>
        <v>50800</v>
      </c>
      <c r="D537" s="131">
        <f ca="1" t="shared" si="164"/>
        <v>55</v>
      </c>
      <c r="E537" s="131">
        <f ca="1" t="shared" si="165"/>
        <v>55</v>
      </c>
      <c r="F537" s="131">
        <f ca="1" t="shared" si="166"/>
        <v>55</v>
      </c>
      <c r="G537" s="131">
        <f ca="1" t="shared" si="167"/>
        <v>46</v>
      </c>
      <c r="H537" s="131">
        <f ca="1" t="shared" si="168"/>
        <v>46</v>
      </c>
      <c r="I537" s="131">
        <f ca="1" t="shared" si="169"/>
        <v>46</v>
      </c>
      <c r="J537" s="131">
        <f ca="1" t="shared" si="170"/>
        <v>46</v>
      </c>
      <c r="K537" s="131">
        <f ca="1" t="shared" si="171"/>
        <v>46</v>
      </c>
      <c r="L537" s="131">
        <f ca="1" t="shared" si="172"/>
        <v>46</v>
      </c>
      <c r="M537" s="131">
        <f ca="1" t="shared" si="173"/>
        <v>42</v>
      </c>
      <c r="N537" s="131">
        <f ca="1" t="shared" si="174"/>
        <v>42</v>
      </c>
      <c r="O537" s="131">
        <f ca="1" t="shared" si="175"/>
        <v>43</v>
      </c>
      <c r="P537" s="131">
        <f ca="1" t="shared" si="176"/>
        <v>42</v>
      </c>
      <c r="Q537" s="131">
        <f ca="1" t="shared" si="177"/>
        <v>43</v>
      </c>
      <c r="R537" s="131">
        <f ca="1" t="shared" si="178"/>
        <v>42</v>
      </c>
      <c r="S537" s="131">
        <f ca="1" t="shared" si="179"/>
        <v>44</v>
      </c>
      <c r="T537" s="131">
        <f ca="1" t="shared" si="180"/>
        <v>47</v>
      </c>
      <c r="U537" s="131">
        <f ca="1" t="shared" si="181"/>
        <v>47</v>
      </c>
      <c r="V537" s="131">
        <f ca="1" t="shared" si="182"/>
        <v>48</v>
      </c>
      <c r="W537" s="124">
        <f ca="1">OFFSET($K$19,_xlfn.XLOOKUP(X537,$D$9:$D$28,$H$9:$H$28),MATCH(OFFSET($C$29,B537,MATCH(X537,$D$29:$V$29,0)),$L$19:$R$19,1))*(1+(OFFSET($C$29,B537,MATCH(X537,$D$29:$V$29,0))-1)*_xlfn.XLOOKUP(X537,梦灵养成!$D$9:$D$28,梦灵养成!$G$9:$G$28))</f>
        <v>62.244</v>
      </c>
      <c r="X537" s="106" t="str">
        <f ca="1" t="shared" si="163"/>
        <v>神算诸葛</v>
      </c>
      <c r="Y537" s="95">
        <f ca="1" t="shared" si="186"/>
        <v>246600</v>
      </c>
      <c r="Z537" s="96">
        <f ca="1" t="shared" si="183"/>
        <v>5.7</v>
      </c>
    </row>
    <row r="538" s="106" customFormat="1" ht="16.5" spans="2:26">
      <c r="B538" s="117">
        <v>509</v>
      </c>
      <c r="C538" s="130">
        <f t="shared" si="184"/>
        <v>50900</v>
      </c>
      <c r="D538" s="131">
        <f ca="1" t="shared" si="164"/>
        <v>55</v>
      </c>
      <c r="E538" s="131">
        <f ca="1" t="shared" si="165"/>
        <v>55</v>
      </c>
      <c r="F538" s="131">
        <f ca="1" t="shared" si="166"/>
        <v>55</v>
      </c>
      <c r="G538" s="131">
        <f ca="1" t="shared" si="167"/>
        <v>46</v>
      </c>
      <c r="H538" s="131">
        <f ca="1" t="shared" si="168"/>
        <v>46</v>
      </c>
      <c r="I538" s="131">
        <f ca="1" t="shared" si="169"/>
        <v>46</v>
      </c>
      <c r="J538" s="131">
        <f ca="1" t="shared" si="170"/>
        <v>46</v>
      </c>
      <c r="K538" s="131">
        <f ca="1" t="shared" si="171"/>
        <v>46</v>
      </c>
      <c r="L538" s="131">
        <f ca="1" t="shared" si="172"/>
        <v>46</v>
      </c>
      <c r="M538" s="131">
        <f ca="1" t="shared" si="173"/>
        <v>42</v>
      </c>
      <c r="N538" s="131">
        <f ca="1" t="shared" si="174"/>
        <v>42</v>
      </c>
      <c r="O538" s="131">
        <f ca="1" t="shared" si="175"/>
        <v>43</v>
      </c>
      <c r="P538" s="131">
        <f ca="1" t="shared" si="176"/>
        <v>42</v>
      </c>
      <c r="Q538" s="131">
        <f ca="1" t="shared" si="177"/>
        <v>43</v>
      </c>
      <c r="R538" s="131">
        <f ca="1" t="shared" si="178"/>
        <v>42</v>
      </c>
      <c r="S538" s="131">
        <f ca="1" t="shared" si="179"/>
        <v>44</v>
      </c>
      <c r="T538" s="131">
        <f ca="1" t="shared" si="180"/>
        <v>47</v>
      </c>
      <c r="U538" s="131">
        <f ca="1" t="shared" si="181"/>
        <v>47</v>
      </c>
      <c r="V538" s="131">
        <f ca="1" t="shared" si="182"/>
        <v>48</v>
      </c>
      <c r="W538" s="124">
        <f ca="1">OFFSET($K$19,_xlfn.XLOOKUP(X538,$D$9:$D$28,$H$9:$H$28),MATCH(OFFSET($C$29,B538,MATCH(X538,$D$29:$V$29,0)),$L$19:$R$19,1))*(1+(OFFSET($C$29,B538,MATCH(X538,$D$29:$V$29,0))-1)*_xlfn.XLOOKUP(X538,梦灵养成!$D$9:$D$28,梦灵养成!$G$9:$G$28))</f>
        <v>62.244</v>
      </c>
      <c r="X538" s="106" t="str">
        <f ca="1" t="shared" si="163"/>
        <v>神算诸葛</v>
      </c>
      <c r="Y538" s="95">
        <f ca="1" t="shared" si="186"/>
        <v>246600</v>
      </c>
      <c r="Z538" s="96">
        <f ca="1" t="shared" si="183"/>
        <v>5.7</v>
      </c>
    </row>
    <row r="539" s="106" customFormat="1" ht="16.5" spans="2:26">
      <c r="B539" s="117">
        <v>510</v>
      </c>
      <c r="C539" s="130">
        <f t="shared" si="184"/>
        <v>51000</v>
      </c>
      <c r="D539" s="131">
        <f ca="1" t="shared" si="164"/>
        <v>55</v>
      </c>
      <c r="E539" s="131">
        <f ca="1" t="shared" si="165"/>
        <v>55</v>
      </c>
      <c r="F539" s="131">
        <f ca="1" t="shared" si="166"/>
        <v>55</v>
      </c>
      <c r="G539" s="131">
        <f ca="1" t="shared" si="167"/>
        <v>46</v>
      </c>
      <c r="H539" s="131">
        <f ca="1" t="shared" si="168"/>
        <v>46</v>
      </c>
      <c r="I539" s="131">
        <f ca="1" t="shared" si="169"/>
        <v>46</v>
      </c>
      <c r="J539" s="131">
        <f ca="1" t="shared" si="170"/>
        <v>46</v>
      </c>
      <c r="K539" s="131">
        <f ca="1" t="shared" si="171"/>
        <v>46</v>
      </c>
      <c r="L539" s="131">
        <f ca="1" t="shared" si="172"/>
        <v>46</v>
      </c>
      <c r="M539" s="131">
        <f ca="1" t="shared" si="173"/>
        <v>42</v>
      </c>
      <c r="N539" s="131">
        <f ca="1" t="shared" si="174"/>
        <v>42</v>
      </c>
      <c r="O539" s="131">
        <f ca="1" t="shared" si="175"/>
        <v>43</v>
      </c>
      <c r="P539" s="131">
        <f ca="1" t="shared" si="176"/>
        <v>42</v>
      </c>
      <c r="Q539" s="131">
        <f ca="1" t="shared" si="177"/>
        <v>43</v>
      </c>
      <c r="R539" s="131">
        <f ca="1" t="shared" si="178"/>
        <v>42</v>
      </c>
      <c r="S539" s="131">
        <f ca="1" t="shared" si="179"/>
        <v>44</v>
      </c>
      <c r="T539" s="131">
        <f ca="1" t="shared" si="180"/>
        <v>47</v>
      </c>
      <c r="U539" s="131">
        <f ca="1" t="shared" si="181"/>
        <v>47</v>
      </c>
      <c r="V539" s="131">
        <f ca="1" t="shared" si="182"/>
        <v>48</v>
      </c>
      <c r="W539" s="124">
        <f ca="1">OFFSET($K$19,_xlfn.XLOOKUP(X539,$D$9:$D$28,$H$9:$H$28),MATCH(OFFSET($C$29,B539,MATCH(X539,$D$29:$V$29,0)),$L$19:$R$19,1))*(1+(OFFSET($C$29,B539,MATCH(X539,$D$29:$V$29,0))-1)*_xlfn.XLOOKUP(X539,梦灵养成!$D$9:$D$28,梦灵养成!$G$9:$G$28))</f>
        <v>62.244</v>
      </c>
      <c r="X539" s="106" t="str">
        <f ca="1" t="shared" si="163"/>
        <v>神算诸葛</v>
      </c>
      <c r="Y539" s="95">
        <f ca="1" t="shared" si="186"/>
        <v>246600</v>
      </c>
      <c r="Z539" s="96">
        <f ca="1" t="shared" si="183"/>
        <v>5.7</v>
      </c>
    </row>
    <row r="540" s="106" customFormat="1" ht="16.5" spans="2:26">
      <c r="B540" s="117">
        <v>511</v>
      </c>
      <c r="C540" s="130">
        <f t="shared" si="184"/>
        <v>51100</v>
      </c>
      <c r="D540" s="131">
        <f ca="1" t="shared" si="164"/>
        <v>55</v>
      </c>
      <c r="E540" s="131">
        <f ca="1" t="shared" si="165"/>
        <v>55</v>
      </c>
      <c r="F540" s="131">
        <f ca="1" t="shared" si="166"/>
        <v>55</v>
      </c>
      <c r="G540" s="131">
        <f ca="1" t="shared" si="167"/>
        <v>46</v>
      </c>
      <c r="H540" s="131">
        <f ca="1" t="shared" si="168"/>
        <v>46</v>
      </c>
      <c r="I540" s="131">
        <f ca="1" t="shared" si="169"/>
        <v>46</v>
      </c>
      <c r="J540" s="131">
        <f ca="1" t="shared" si="170"/>
        <v>46</v>
      </c>
      <c r="K540" s="131">
        <f ca="1" t="shared" si="171"/>
        <v>46</v>
      </c>
      <c r="L540" s="131">
        <f ca="1" t="shared" si="172"/>
        <v>46</v>
      </c>
      <c r="M540" s="131">
        <f ca="1" t="shared" si="173"/>
        <v>42</v>
      </c>
      <c r="N540" s="131">
        <f ca="1" t="shared" si="174"/>
        <v>43</v>
      </c>
      <c r="O540" s="131">
        <f ca="1" t="shared" si="175"/>
        <v>43</v>
      </c>
      <c r="P540" s="131">
        <f ca="1" t="shared" si="176"/>
        <v>42</v>
      </c>
      <c r="Q540" s="131">
        <f ca="1" t="shared" si="177"/>
        <v>43</v>
      </c>
      <c r="R540" s="131">
        <f ca="1" t="shared" si="178"/>
        <v>42</v>
      </c>
      <c r="S540" s="131">
        <f ca="1" t="shared" si="179"/>
        <v>44</v>
      </c>
      <c r="T540" s="131">
        <f ca="1" t="shared" si="180"/>
        <v>47</v>
      </c>
      <c r="U540" s="131">
        <f ca="1" t="shared" si="181"/>
        <v>47</v>
      </c>
      <c r="V540" s="131">
        <f ca="1" t="shared" si="182"/>
        <v>48</v>
      </c>
      <c r="W540" s="124">
        <f ca="1">OFFSET($K$19,_xlfn.XLOOKUP(X540,$D$9:$D$28,$H$9:$H$28),MATCH(OFFSET($C$29,B540,MATCH(X540,$D$29:$V$29,0)),$L$19:$R$19,1))*(1+(OFFSET($C$29,B540,MATCH(X540,$D$29:$V$29,0))-1)*_xlfn.XLOOKUP(X540,梦灵养成!$D$9:$D$28,梦灵养成!$G$9:$G$28))</f>
        <v>62.244</v>
      </c>
      <c r="X540" s="106" t="str">
        <f ca="1" t="shared" si="163"/>
        <v>神算诸葛</v>
      </c>
      <c r="Y540" s="95">
        <f ca="1" t="shared" si="186"/>
        <v>246600</v>
      </c>
      <c r="Z540" s="96">
        <f ca="1" t="shared" si="183"/>
        <v>5.7</v>
      </c>
    </row>
    <row r="541" s="106" customFormat="1" ht="16.5" spans="2:26">
      <c r="B541" s="117">
        <v>512</v>
      </c>
      <c r="C541" s="130">
        <f t="shared" si="184"/>
        <v>51200</v>
      </c>
      <c r="D541" s="131">
        <f ca="1" t="shared" si="164"/>
        <v>55</v>
      </c>
      <c r="E541" s="131">
        <f ca="1" t="shared" si="165"/>
        <v>55</v>
      </c>
      <c r="F541" s="131">
        <f ca="1" t="shared" si="166"/>
        <v>55</v>
      </c>
      <c r="G541" s="131">
        <f ca="1" t="shared" si="167"/>
        <v>46</v>
      </c>
      <c r="H541" s="131">
        <f ca="1" t="shared" si="168"/>
        <v>46</v>
      </c>
      <c r="I541" s="131">
        <f ca="1" t="shared" si="169"/>
        <v>46</v>
      </c>
      <c r="J541" s="131">
        <f ca="1" t="shared" si="170"/>
        <v>46</v>
      </c>
      <c r="K541" s="131">
        <f ca="1" t="shared" si="171"/>
        <v>46</v>
      </c>
      <c r="L541" s="131">
        <f ca="1" t="shared" si="172"/>
        <v>46</v>
      </c>
      <c r="M541" s="131">
        <f ca="1" t="shared" si="173"/>
        <v>43</v>
      </c>
      <c r="N541" s="131">
        <f ca="1" t="shared" si="174"/>
        <v>43</v>
      </c>
      <c r="O541" s="131">
        <f ca="1" t="shared" si="175"/>
        <v>43</v>
      </c>
      <c r="P541" s="131">
        <f ca="1" t="shared" si="176"/>
        <v>42</v>
      </c>
      <c r="Q541" s="131">
        <f ca="1" t="shared" si="177"/>
        <v>43</v>
      </c>
      <c r="R541" s="131">
        <f ca="1" t="shared" si="178"/>
        <v>43</v>
      </c>
      <c r="S541" s="131">
        <f ca="1" t="shared" si="179"/>
        <v>44</v>
      </c>
      <c r="T541" s="131">
        <f ca="1" t="shared" si="180"/>
        <v>47</v>
      </c>
      <c r="U541" s="131">
        <f ca="1" t="shared" si="181"/>
        <v>48</v>
      </c>
      <c r="V541" s="131">
        <f ca="1" t="shared" si="182"/>
        <v>48</v>
      </c>
      <c r="W541" s="124">
        <f ca="1">OFFSET($K$19,_xlfn.XLOOKUP(X541,$D$9:$D$28,$H$9:$H$28),MATCH(OFFSET($C$29,B541,MATCH(X541,$D$29:$V$29,0)),$L$19:$R$19,1))*(1+(OFFSET($C$29,B541,MATCH(X541,$D$29:$V$29,0))-1)*_xlfn.XLOOKUP(X541,梦灵养成!$D$9:$D$28,梦灵养成!$G$9:$G$28))</f>
        <v>62.244</v>
      </c>
      <c r="X541" s="106" t="str">
        <f ca="1" t="shared" si="163"/>
        <v>神算诸葛</v>
      </c>
      <c r="Y541" s="95">
        <f ca="1" t="shared" si="186"/>
        <v>246600</v>
      </c>
      <c r="Z541" s="96">
        <f ca="1" t="shared" si="183"/>
        <v>5.7</v>
      </c>
    </row>
    <row r="542" s="106" customFormat="1" ht="16.5" spans="2:26">
      <c r="B542" s="117">
        <v>513</v>
      </c>
      <c r="C542" s="130">
        <f t="shared" si="184"/>
        <v>51300</v>
      </c>
      <c r="D542" s="131">
        <f ca="1" t="shared" si="164"/>
        <v>55</v>
      </c>
      <c r="E542" s="131">
        <f ca="1" t="shared" si="165"/>
        <v>55</v>
      </c>
      <c r="F542" s="131">
        <f ca="1" t="shared" si="166"/>
        <v>55</v>
      </c>
      <c r="G542" s="131">
        <f ca="1" t="shared" si="167"/>
        <v>46</v>
      </c>
      <c r="H542" s="131">
        <f ca="1" t="shared" si="168"/>
        <v>46</v>
      </c>
      <c r="I542" s="131">
        <f ca="1" t="shared" si="169"/>
        <v>46</v>
      </c>
      <c r="J542" s="131">
        <f ca="1" t="shared" si="170"/>
        <v>46</v>
      </c>
      <c r="K542" s="131">
        <f ca="1" t="shared" si="171"/>
        <v>46</v>
      </c>
      <c r="L542" s="131">
        <f ca="1" t="shared" si="172"/>
        <v>46</v>
      </c>
      <c r="M542" s="131">
        <f ca="1" t="shared" si="173"/>
        <v>43</v>
      </c>
      <c r="N542" s="131">
        <f ca="1" t="shared" si="174"/>
        <v>43</v>
      </c>
      <c r="O542" s="131">
        <f ca="1" t="shared" si="175"/>
        <v>43</v>
      </c>
      <c r="P542" s="131">
        <f ca="1" t="shared" si="176"/>
        <v>42</v>
      </c>
      <c r="Q542" s="131">
        <f ca="1" t="shared" si="177"/>
        <v>43</v>
      </c>
      <c r="R542" s="131">
        <f ca="1" t="shared" si="178"/>
        <v>43</v>
      </c>
      <c r="S542" s="131">
        <f ca="1" t="shared" si="179"/>
        <v>44</v>
      </c>
      <c r="T542" s="131">
        <f ca="1" t="shared" si="180"/>
        <v>47</v>
      </c>
      <c r="U542" s="131">
        <f ca="1" t="shared" si="181"/>
        <v>48</v>
      </c>
      <c r="V542" s="131">
        <f ca="1" t="shared" si="182"/>
        <v>48</v>
      </c>
      <c r="W542" s="124">
        <f ca="1">OFFSET($K$19,_xlfn.XLOOKUP(X542,$D$9:$D$28,$H$9:$H$28),MATCH(OFFSET($C$29,B542,MATCH(X542,$D$29:$V$29,0)),$L$19:$R$19,1))*(1+(OFFSET($C$29,B542,MATCH(X542,$D$29:$V$29,0))-1)*_xlfn.XLOOKUP(X542,梦灵养成!$D$9:$D$28,梦灵养成!$G$9:$G$28))</f>
        <v>62.244</v>
      </c>
      <c r="X542" s="106" t="str">
        <f ca="1" t="shared" ref="X542:X605" si="187">OFFSET($I$8,MATCH(C542,$C$9:$C$27,1),0)</f>
        <v>神算诸葛</v>
      </c>
      <c r="Y542" s="95">
        <f ca="1" t="shared" si="186"/>
        <v>246600</v>
      </c>
      <c r="Z542" s="96">
        <f ca="1" t="shared" si="183"/>
        <v>5.7</v>
      </c>
    </row>
    <row r="543" s="106" customFormat="1" ht="16.5" spans="2:26">
      <c r="B543" s="117">
        <v>514</v>
      </c>
      <c r="C543" s="130">
        <f t="shared" si="184"/>
        <v>51400</v>
      </c>
      <c r="D543" s="131">
        <f ca="1" t="shared" ref="D543:D606" si="188">IFERROR(MATCH(D1148*10,OFFSET($AP$635:$AP$734,0,D$631),1),0)</f>
        <v>55</v>
      </c>
      <c r="E543" s="131">
        <f ca="1" t="shared" ref="E543:E606" si="189">IFERROR(MATCH(E1148*10,OFFSET($AP$635:$AP$734,0,E$631),1),0)</f>
        <v>55</v>
      </c>
      <c r="F543" s="131">
        <f ca="1" t="shared" ref="F543:F606" si="190">IFERROR(MATCH(F1148*10,OFFSET($AP$635:$AP$734,0,F$631),1),0)</f>
        <v>55</v>
      </c>
      <c r="G543" s="131">
        <f ca="1" t="shared" ref="G543:G606" si="191">IFERROR(MATCH(G1148*10,OFFSET($AP$635:$AP$734,0,G$631),1),0)</f>
        <v>46</v>
      </c>
      <c r="H543" s="131">
        <f ca="1" t="shared" ref="H543:H606" si="192">IFERROR(MATCH(H1148*10,OFFSET($AP$635:$AP$734,0,H$631),1),0)</f>
        <v>46</v>
      </c>
      <c r="I543" s="131">
        <f ca="1" t="shared" ref="I543:I606" si="193">IFERROR(MATCH(I1148*10,OFFSET($AP$635:$AP$734,0,I$631),1),0)</f>
        <v>46</v>
      </c>
      <c r="J543" s="131">
        <f ca="1" t="shared" ref="J543:J606" si="194">IFERROR(MATCH(J1148*10,OFFSET($AP$635:$AP$734,0,J$631),1),0)</f>
        <v>46</v>
      </c>
      <c r="K543" s="131">
        <f ca="1" t="shared" ref="K543:K606" si="195">IFERROR(MATCH(K1148*10,OFFSET($AP$635:$AP$734,0,K$631),1),0)</f>
        <v>46</v>
      </c>
      <c r="L543" s="131">
        <f ca="1" t="shared" ref="L543:L606" si="196">IFERROR(MATCH(L1148*10,OFFSET($AP$635:$AP$734,0,L$631),1),0)</f>
        <v>46</v>
      </c>
      <c r="M543" s="131">
        <f ca="1" t="shared" ref="M543:M606" si="197">IFERROR(MATCH(M1148*10,OFFSET($AP$635:$AP$734,0,M$631),1),0)</f>
        <v>43</v>
      </c>
      <c r="N543" s="131">
        <f ca="1" t="shared" ref="N543:N606" si="198">IFERROR(MATCH(N1148*10,OFFSET($AP$635:$AP$734,0,N$631),1),0)</f>
        <v>43</v>
      </c>
      <c r="O543" s="131">
        <f ca="1" t="shared" ref="O543:O606" si="199">IFERROR(MATCH(O1148*10,OFFSET($AP$635:$AP$734,0,O$631),1),0)</f>
        <v>43</v>
      </c>
      <c r="P543" s="131">
        <f ca="1" t="shared" ref="P543:P606" si="200">IFERROR(MATCH(P1148*10,OFFSET($AP$635:$AP$734,0,P$631),1),0)</f>
        <v>42</v>
      </c>
      <c r="Q543" s="131">
        <f ca="1" t="shared" ref="Q543:Q606" si="201">IFERROR(MATCH(Q1148*10,OFFSET($AP$635:$AP$734,0,Q$631),1),0)</f>
        <v>43</v>
      </c>
      <c r="R543" s="131">
        <f ca="1" t="shared" ref="R543:R606" si="202">IFERROR(MATCH(R1148*10,OFFSET($AP$635:$AP$734,0,R$631),1),0)</f>
        <v>43</v>
      </c>
      <c r="S543" s="131">
        <f ca="1" t="shared" ref="S543:S606" si="203">IFERROR(MATCH(S1148*10,OFFSET($AP$635:$AP$734,0,S$631),1),0)</f>
        <v>44</v>
      </c>
      <c r="T543" s="131">
        <f ca="1" t="shared" ref="T543:T606" si="204">IFERROR(MATCH(T1148*10,OFFSET($AP$635:$AP$734,0,T$631),1),0)</f>
        <v>47</v>
      </c>
      <c r="U543" s="131">
        <f ca="1" t="shared" ref="U543:U606" si="205">IFERROR(MATCH(U1148*10,OFFSET($AP$635:$AP$734,0,U$631),1),0)</f>
        <v>48</v>
      </c>
      <c r="V543" s="131">
        <f ca="1" t="shared" ref="V543:V606" si="206">IFERROR(MATCH(V1148*10,OFFSET($AP$635:$AP$734,0,V$631),1),0)</f>
        <v>48</v>
      </c>
      <c r="W543" s="124">
        <f ca="1">OFFSET($K$19,_xlfn.XLOOKUP(X543,$D$9:$D$28,$H$9:$H$28),MATCH(OFFSET($C$29,B543,MATCH(X543,$D$29:$V$29,0)),$L$19:$R$19,1))*(1+(OFFSET($C$29,B543,MATCH(X543,$D$29:$V$29,0))-1)*_xlfn.XLOOKUP(X543,梦灵养成!$D$9:$D$28,梦灵养成!$G$9:$G$28))</f>
        <v>62.244</v>
      </c>
      <c r="X543" s="106" t="str">
        <f ca="1" t="shared" si="187"/>
        <v>神算诸葛</v>
      </c>
      <c r="Y543" s="95">
        <f ca="1" t="shared" si="186"/>
        <v>246600</v>
      </c>
      <c r="Z543" s="96">
        <f ca="1" t="shared" ref="Z543:Z606" si="207">_xlfn.XLOOKUP(X543,$D$9:$D$27,$G$9:$G$27)*(OFFSET($B543,0,MATCH($X543,$D$29:$V$29,0)+1)-1)+1</f>
        <v>5.7</v>
      </c>
    </row>
    <row r="544" s="106" customFormat="1" ht="16.5" spans="2:26">
      <c r="B544" s="117">
        <v>515</v>
      </c>
      <c r="C544" s="130">
        <f t="shared" ref="C544:C607" si="208">C543+100</f>
        <v>51500</v>
      </c>
      <c r="D544" s="131">
        <f ca="1" t="shared" si="188"/>
        <v>55</v>
      </c>
      <c r="E544" s="131">
        <f ca="1" t="shared" si="189"/>
        <v>55</v>
      </c>
      <c r="F544" s="131">
        <f ca="1" t="shared" si="190"/>
        <v>55</v>
      </c>
      <c r="G544" s="131">
        <f ca="1" t="shared" si="191"/>
        <v>46</v>
      </c>
      <c r="H544" s="131">
        <f ca="1" t="shared" si="192"/>
        <v>46</v>
      </c>
      <c r="I544" s="131">
        <f ca="1" t="shared" si="193"/>
        <v>46</v>
      </c>
      <c r="J544" s="131">
        <f ca="1" t="shared" si="194"/>
        <v>46</v>
      </c>
      <c r="K544" s="131">
        <f ca="1" t="shared" si="195"/>
        <v>46</v>
      </c>
      <c r="L544" s="131">
        <f ca="1" t="shared" si="196"/>
        <v>46</v>
      </c>
      <c r="M544" s="131">
        <f ca="1" t="shared" si="197"/>
        <v>43</v>
      </c>
      <c r="N544" s="131">
        <f ca="1" t="shared" si="198"/>
        <v>43</v>
      </c>
      <c r="O544" s="131">
        <f ca="1" t="shared" si="199"/>
        <v>43</v>
      </c>
      <c r="P544" s="131">
        <f ca="1" t="shared" si="200"/>
        <v>42</v>
      </c>
      <c r="Q544" s="131">
        <f ca="1" t="shared" si="201"/>
        <v>43</v>
      </c>
      <c r="R544" s="131">
        <f ca="1" t="shared" si="202"/>
        <v>43</v>
      </c>
      <c r="S544" s="131">
        <f ca="1" t="shared" si="203"/>
        <v>45</v>
      </c>
      <c r="T544" s="131">
        <f ca="1" t="shared" si="204"/>
        <v>47</v>
      </c>
      <c r="U544" s="131">
        <f ca="1" t="shared" si="205"/>
        <v>48</v>
      </c>
      <c r="V544" s="131">
        <f ca="1" t="shared" si="206"/>
        <v>48</v>
      </c>
      <c r="W544" s="124">
        <f ca="1">OFFSET($K$19,_xlfn.XLOOKUP(X544,$D$9:$D$28,$H$9:$H$28),MATCH(OFFSET($C$29,B544,MATCH(X544,$D$29:$V$29,0)),$L$19:$R$19,1))*(1+(OFFSET($C$29,B544,MATCH(X544,$D$29:$V$29,0))-1)*_xlfn.XLOOKUP(X544,梦灵养成!$D$9:$D$28,梦灵养成!$G$9:$G$28))</f>
        <v>62.244</v>
      </c>
      <c r="X544" s="106" t="str">
        <f ca="1" t="shared" si="187"/>
        <v>神算诸葛</v>
      </c>
      <c r="Y544" s="95">
        <f ca="1" t="shared" si="186"/>
        <v>246600</v>
      </c>
      <c r="Z544" s="96">
        <f ca="1" t="shared" si="207"/>
        <v>5.7</v>
      </c>
    </row>
    <row r="545" s="106" customFormat="1" ht="16.5" spans="2:26">
      <c r="B545" s="117">
        <v>516</v>
      </c>
      <c r="C545" s="130">
        <f t="shared" si="208"/>
        <v>51600</v>
      </c>
      <c r="D545" s="131">
        <f ca="1" t="shared" si="188"/>
        <v>55</v>
      </c>
      <c r="E545" s="131">
        <f ca="1" t="shared" si="189"/>
        <v>55</v>
      </c>
      <c r="F545" s="131">
        <f ca="1" t="shared" si="190"/>
        <v>55</v>
      </c>
      <c r="G545" s="131">
        <f ca="1" t="shared" si="191"/>
        <v>46</v>
      </c>
      <c r="H545" s="131">
        <f ca="1" t="shared" si="192"/>
        <v>46</v>
      </c>
      <c r="I545" s="131">
        <f ca="1" t="shared" si="193"/>
        <v>46</v>
      </c>
      <c r="J545" s="131">
        <f ca="1" t="shared" si="194"/>
        <v>46</v>
      </c>
      <c r="K545" s="131">
        <f ca="1" t="shared" si="195"/>
        <v>46</v>
      </c>
      <c r="L545" s="131">
        <f ca="1" t="shared" si="196"/>
        <v>46</v>
      </c>
      <c r="M545" s="131">
        <f ca="1" t="shared" si="197"/>
        <v>43</v>
      </c>
      <c r="N545" s="131">
        <f ca="1" t="shared" si="198"/>
        <v>43</v>
      </c>
      <c r="O545" s="131">
        <f ca="1" t="shared" si="199"/>
        <v>43</v>
      </c>
      <c r="P545" s="131">
        <f ca="1" t="shared" si="200"/>
        <v>43</v>
      </c>
      <c r="Q545" s="131">
        <f ca="1" t="shared" si="201"/>
        <v>43</v>
      </c>
      <c r="R545" s="131">
        <f ca="1" t="shared" si="202"/>
        <v>43</v>
      </c>
      <c r="S545" s="131">
        <f ca="1" t="shared" si="203"/>
        <v>45</v>
      </c>
      <c r="T545" s="131">
        <f ca="1" t="shared" si="204"/>
        <v>47</v>
      </c>
      <c r="U545" s="131">
        <f ca="1" t="shared" si="205"/>
        <v>48</v>
      </c>
      <c r="V545" s="131">
        <f ca="1" t="shared" si="206"/>
        <v>48</v>
      </c>
      <c r="W545" s="124">
        <f ca="1">OFFSET($K$19,_xlfn.XLOOKUP(X545,$D$9:$D$28,$H$9:$H$28),MATCH(OFFSET($C$29,B545,MATCH(X545,$D$29:$V$29,0)),$L$19:$R$19,1))*(1+(OFFSET($C$29,B545,MATCH(X545,$D$29:$V$29,0))-1)*_xlfn.XLOOKUP(X545,梦灵养成!$D$9:$D$28,梦灵养成!$G$9:$G$28))</f>
        <v>62.244</v>
      </c>
      <c r="X545" s="106" t="str">
        <f ca="1" t="shared" si="187"/>
        <v>神算诸葛</v>
      </c>
      <c r="Y545" s="95">
        <f ca="1" t="shared" si="186"/>
        <v>246600</v>
      </c>
      <c r="Z545" s="96">
        <f ca="1" t="shared" si="207"/>
        <v>5.7</v>
      </c>
    </row>
    <row r="546" s="106" customFormat="1" ht="16.5" spans="2:26">
      <c r="B546" s="117">
        <v>517</v>
      </c>
      <c r="C546" s="130">
        <f t="shared" si="208"/>
        <v>51700</v>
      </c>
      <c r="D546" s="131">
        <f ca="1" t="shared" si="188"/>
        <v>55</v>
      </c>
      <c r="E546" s="131">
        <f ca="1" t="shared" si="189"/>
        <v>55</v>
      </c>
      <c r="F546" s="131">
        <f ca="1" t="shared" si="190"/>
        <v>55</v>
      </c>
      <c r="G546" s="131">
        <f ca="1" t="shared" si="191"/>
        <v>46</v>
      </c>
      <c r="H546" s="131">
        <f ca="1" t="shared" si="192"/>
        <v>46</v>
      </c>
      <c r="I546" s="131">
        <f ca="1" t="shared" si="193"/>
        <v>46</v>
      </c>
      <c r="J546" s="131">
        <f ca="1" t="shared" si="194"/>
        <v>46</v>
      </c>
      <c r="K546" s="131">
        <f ca="1" t="shared" si="195"/>
        <v>46</v>
      </c>
      <c r="L546" s="131">
        <f ca="1" t="shared" si="196"/>
        <v>46</v>
      </c>
      <c r="M546" s="131">
        <f ca="1" t="shared" si="197"/>
        <v>43</v>
      </c>
      <c r="N546" s="131">
        <f ca="1" t="shared" si="198"/>
        <v>43</v>
      </c>
      <c r="O546" s="131">
        <f ca="1" t="shared" si="199"/>
        <v>43</v>
      </c>
      <c r="P546" s="131">
        <f ca="1" t="shared" si="200"/>
        <v>43</v>
      </c>
      <c r="Q546" s="131">
        <f ca="1" t="shared" si="201"/>
        <v>43</v>
      </c>
      <c r="R546" s="131">
        <f ca="1" t="shared" si="202"/>
        <v>43</v>
      </c>
      <c r="S546" s="131">
        <f ca="1" t="shared" si="203"/>
        <v>45</v>
      </c>
      <c r="T546" s="131">
        <f ca="1" t="shared" si="204"/>
        <v>47</v>
      </c>
      <c r="U546" s="131">
        <f ca="1" t="shared" si="205"/>
        <v>48</v>
      </c>
      <c r="V546" s="131">
        <f ca="1" t="shared" si="206"/>
        <v>48</v>
      </c>
      <c r="W546" s="124">
        <f ca="1">OFFSET($K$19,_xlfn.XLOOKUP(X546,$D$9:$D$28,$H$9:$H$28),MATCH(OFFSET($C$29,B546,MATCH(X546,$D$29:$V$29,0)),$L$19:$R$19,1))*(1+(OFFSET($C$29,B546,MATCH(X546,$D$29:$V$29,0))-1)*_xlfn.XLOOKUP(X546,梦灵养成!$D$9:$D$28,梦灵养成!$G$9:$G$28))</f>
        <v>62.244</v>
      </c>
      <c r="X546" s="106" t="str">
        <f ca="1" t="shared" si="187"/>
        <v>神算诸葛</v>
      </c>
      <c r="Y546" s="95">
        <f ca="1" t="shared" si="186"/>
        <v>246600</v>
      </c>
      <c r="Z546" s="96">
        <f ca="1" t="shared" si="207"/>
        <v>5.7</v>
      </c>
    </row>
    <row r="547" s="106" customFormat="1" ht="16.5" spans="2:26">
      <c r="B547" s="117">
        <v>518</v>
      </c>
      <c r="C547" s="130">
        <f t="shared" si="208"/>
        <v>51800</v>
      </c>
      <c r="D547" s="131">
        <f ca="1" t="shared" si="188"/>
        <v>55</v>
      </c>
      <c r="E547" s="131">
        <f ca="1" t="shared" si="189"/>
        <v>55</v>
      </c>
      <c r="F547" s="131">
        <f ca="1" t="shared" si="190"/>
        <v>55</v>
      </c>
      <c r="G547" s="131">
        <f ca="1" t="shared" si="191"/>
        <v>46</v>
      </c>
      <c r="H547" s="131">
        <f ca="1" t="shared" si="192"/>
        <v>46</v>
      </c>
      <c r="I547" s="131">
        <f ca="1" t="shared" si="193"/>
        <v>46</v>
      </c>
      <c r="J547" s="131">
        <f ca="1" t="shared" si="194"/>
        <v>46</v>
      </c>
      <c r="K547" s="131">
        <f ca="1" t="shared" si="195"/>
        <v>46</v>
      </c>
      <c r="L547" s="131">
        <f ca="1" t="shared" si="196"/>
        <v>46</v>
      </c>
      <c r="M547" s="131">
        <f ca="1" t="shared" si="197"/>
        <v>43</v>
      </c>
      <c r="N547" s="131">
        <f ca="1" t="shared" si="198"/>
        <v>43</v>
      </c>
      <c r="O547" s="131">
        <f ca="1" t="shared" si="199"/>
        <v>43</v>
      </c>
      <c r="P547" s="131">
        <f ca="1" t="shared" si="200"/>
        <v>43</v>
      </c>
      <c r="Q547" s="131">
        <f ca="1" t="shared" si="201"/>
        <v>43</v>
      </c>
      <c r="R547" s="131">
        <f ca="1" t="shared" si="202"/>
        <v>43</v>
      </c>
      <c r="S547" s="131">
        <f ca="1" t="shared" si="203"/>
        <v>45</v>
      </c>
      <c r="T547" s="131">
        <f ca="1" t="shared" si="204"/>
        <v>48</v>
      </c>
      <c r="U547" s="131">
        <f ca="1" t="shared" si="205"/>
        <v>48</v>
      </c>
      <c r="V547" s="131">
        <f ca="1" t="shared" si="206"/>
        <v>48</v>
      </c>
      <c r="W547" s="124">
        <f ca="1">OFFSET($K$19,_xlfn.XLOOKUP(X547,$D$9:$D$28,$H$9:$H$28),MATCH(OFFSET($C$29,B547,MATCH(X547,$D$29:$V$29,0)),$L$19:$R$19,1))*(1+(OFFSET($C$29,B547,MATCH(X547,$D$29:$V$29,0))-1)*_xlfn.XLOOKUP(X547,梦灵养成!$D$9:$D$28,梦灵养成!$G$9:$G$28))</f>
        <v>62.244</v>
      </c>
      <c r="X547" s="106" t="str">
        <f ca="1" t="shared" si="187"/>
        <v>神算诸葛</v>
      </c>
      <c r="Y547" s="95">
        <f ca="1" t="shared" si="186"/>
        <v>246600</v>
      </c>
      <c r="Z547" s="96">
        <f ca="1" t="shared" si="207"/>
        <v>5.7</v>
      </c>
    </row>
    <row r="548" s="106" customFormat="1" ht="16.5" spans="2:26">
      <c r="B548" s="117">
        <v>519</v>
      </c>
      <c r="C548" s="130">
        <f t="shared" si="208"/>
        <v>51900</v>
      </c>
      <c r="D548" s="131">
        <f ca="1" t="shared" si="188"/>
        <v>55</v>
      </c>
      <c r="E548" s="131">
        <f ca="1" t="shared" si="189"/>
        <v>55</v>
      </c>
      <c r="F548" s="131">
        <f ca="1" t="shared" si="190"/>
        <v>55</v>
      </c>
      <c r="G548" s="131">
        <f ca="1" t="shared" si="191"/>
        <v>46</v>
      </c>
      <c r="H548" s="131">
        <f ca="1" t="shared" si="192"/>
        <v>46</v>
      </c>
      <c r="I548" s="131">
        <f ca="1" t="shared" si="193"/>
        <v>46</v>
      </c>
      <c r="J548" s="131">
        <f ca="1" t="shared" si="194"/>
        <v>46</v>
      </c>
      <c r="K548" s="131">
        <f ca="1" t="shared" si="195"/>
        <v>46</v>
      </c>
      <c r="L548" s="131">
        <f ca="1" t="shared" si="196"/>
        <v>46</v>
      </c>
      <c r="M548" s="131">
        <f ca="1" t="shared" si="197"/>
        <v>43</v>
      </c>
      <c r="N548" s="131">
        <f ca="1" t="shared" si="198"/>
        <v>43</v>
      </c>
      <c r="O548" s="131">
        <f ca="1" t="shared" si="199"/>
        <v>43</v>
      </c>
      <c r="P548" s="131">
        <f ca="1" t="shared" si="200"/>
        <v>43</v>
      </c>
      <c r="Q548" s="131">
        <f ca="1" t="shared" si="201"/>
        <v>43</v>
      </c>
      <c r="R548" s="131">
        <f ca="1" t="shared" si="202"/>
        <v>43</v>
      </c>
      <c r="S548" s="131">
        <f ca="1" t="shared" si="203"/>
        <v>45</v>
      </c>
      <c r="T548" s="131">
        <f ca="1" t="shared" si="204"/>
        <v>48</v>
      </c>
      <c r="U548" s="131">
        <f ca="1" t="shared" si="205"/>
        <v>48</v>
      </c>
      <c r="V548" s="131">
        <f ca="1" t="shared" si="206"/>
        <v>48</v>
      </c>
      <c r="W548" s="124">
        <f ca="1">OFFSET($K$19,_xlfn.XLOOKUP(X548,$D$9:$D$28,$H$9:$H$28),MATCH(OFFSET($C$29,B548,MATCH(X548,$D$29:$V$29,0)),$L$19:$R$19,1))*(1+(OFFSET($C$29,B548,MATCH(X548,$D$29:$V$29,0))-1)*_xlfn.XLOOKUP(X548,梦灵养成!$D$9:$D$28,梦灵养成!$G$9:$G$28))</f>
        <v>62.244</v>
      </c>
      <c r="X548" s="106" t="str">
        <f ca="1" t="shared" si="187"/>
        <v>神算诸葛</v>
      </c>
      <c r="Y548" s="95">
        <f ca="1" t="shared" si="186"/>
        <v>246600</v>
      </c>
      <c r="Z548" s="96">
        <f ca="1" t="shared" si="207"/>
        <v>5.7</v>
      </c>
    </row>
    <row r="549" s="106" customFormat="1" ht="16.5" spans="2:26">
      <c r="B549" s="117">
        <v>520</v>
      </c>
      <c r="C549" s="130">
        <f t="shared" si="208"/>
        <v>52000</v>
      </c>
      <c r="D549" s="131">
        <f ca="1" t="shared" si="188"/>
        <v>55</v>
      </c>
      <c r="E549" s="131">
        <f ca="1" t="shared" si="189"/>
        <v>55</v>
      </c>
      <c r="F549" s="131">
        <f ca="1" t="shared" si="190"/>
        <v>55</v>
      </c>
      <c r="G549" s="131">
        <f ca="1" t="shared" si="191"/>
        <v>46</v>
      </c>
      <c r="H549" s="131">
        <f ca="1" t="shared" si="192"/>
        <v>46</v>
      </c>
      <c r="I549" s="131">
        <f ca="1" t="shared" si="193"/>
        <v>46</v>
      </c>
      <c r="J549" s="131">
        <f ca="1" t="shared" si="194"/>
        <v>46</v>
      </c>
      <c r="K549" s="131">
        <f ca="1" t="shared" si="195"/>
        <v>46</v>
      </c>
      <c r="L549" s="131">
        <f ca="1" t="shared" si="196"/>
        <v>46</v>
      </c>
      <c r="M549" s="131">
        <f ca="1" t="shared" si="197"/>
        <v>43</v>
      </c>
      <c r="N549" s="131">
        <f ca="1" t="shared" si="198"/>
        <v>43</v>
      </c>
      <c r="O549" s="131">
        <f ca="1" t="shared" si="199"/>
        <v>43</v>
      </c>
      <c r="P549" s="131">
        <f ca="1" t="shared" si="200"/>
        <v>43</v>
      </c>
      <c r="Q549" s="131">
        <f ca="1" t="shared" si="201"/>
        <v>43</v>
      </c>
      <c r="R549" s="131">
        <f ca="1" t="shared" si="202"/>
        <v>43</v>
      </c>
      <c r="S549" s="131">
        <f ca="1" t="shared" si="203"/>
        <v>45</v>
      </c>
      <c r="T549" s="131">
        <f ca="1" t="shared" si="204"/>
        <v>48</v>
      </c>
      <c r="U549" s="131">
        <f ca="1" t="shared" si="205"/>
        <v>48</v>
      </c>
      <c r="V549" s="131">
        <f ca="1" t="shared" si="206"/>
        <v>48</v>
      </c>
      <c r="W549" s="124">
        <f ca="1">OFFSET($K$19,_xlfn.XLOOKUP(X549,$D$9:$D$28,$H$9:$H$28),MATCH(OFFSET($C$29,B549,MATCH(X549,$D$29:$V$29,0)),$L$19:$R$19,1))*(1+(OFFSET($C$29,B549,MATCH(X549,$D$29:$V$29,0))-1)*_xlfn.XLOOKUP(X549,梦灵养成!$D$9:$D$28,梦灵养成!$G$9:$G$28))</f>
        <v>62.244</v>
      </c>
      <c r="X549" s="106" t="str">
        <f ca="1" t="shared" si="187"/>
        <v>神算诸葛</v>
      </c>
      <c r="Y549" s="95">
        <f ca="1" t="shared" si="186"/>
        <v>246600</v>
      </c>
      <c r="Z549" s="96">
        <f ca="1" t="shared" si="207"/>
        <v>5.7</v>
      </c>
    </row>
    <row r="550" s="106" customFormat="1" ht="16.5" spans="2:26">
      <c r="B550" s="117">
        <v>521</v>
      </c>
      <c r="C550" s="130">
        <f t="shared" si="208"/>
        <v>52100</v>
      </c>
      <c r="D550" s="131">
        <f ca="1" t="shared" si="188"/>
        <v>56</v>
      </c>
      <c r="E550" s="131">
        <f ca="1" t="shared" si="189"/>
        <v>56</v>
      </c>
      <c r="F550" s="131">
        <f ca="1" t="shared" si="190"/>
        <v>56</v>
      </c>
      <c r="G550" s="131">
        <f ca="1" t="shared" si="191"/>
        <v>46</v>
      </c>
      <c r="H550" s="131">
        <f ca="1" t="shared" si="192"/>
        <v>46</v>
      </c>
      <c r="I550" s="131">
        <f ca="1" t="shared" si="193"/>
        <v>46</v>
      </c>
      <c r="J550" s="131">
        <f ca="1" t="shared" si="194"/>
        <v>46</v>
      </c>
      <c r="K550" s="131">
        <f ca="1" t="shared" si="195"/>
        <v>46</v>
      </c>
      <c r="L550" s="131">
        <f ca="1" t="shared" si="196"/>
        <v>46</v>
      </c>
      <c r="M550" s="131">
        <f ca="1" t="shared" si="197"/>
        <v>43</v>
      </c>
      <c r="N550" s="131">
        <f ca="1" t="shared" si="198"/>
        <v>43</v>
      </c>
      <c r="O550" s="131">
        <f ca="1" t="shared" si="199"/>
        <v>43</v>
      </c>
      <c r="P550" s="131">
        <f ca="1" t="shared" si="200"/>
        <v>43</v>
      </c>
      <c r="Q550" s="131">
        <f ca="1" t="shared" si="201"/>
        <v>43</v>
      </c>
      <c r="R550" s="131">
        <f ca="1" t="shared" si="202"/>
        <v>43</v>
      </c>
      <c r="S550" s="131">
        <f ca="1" t="shared" si="203"/>
        <v>45</v>
      </c>
      <c r="T550" s="131">
        <f ca="1" t="shared" si="204"/>
        <v>48</v>
      </c>
      <c r="U550" s="131">
        <f ca="1" t="shared" si="205"/>
        <v>48</v>
      </c>
      <c r="V550" s="131">
        <f ca="1" t="shared" si="206"/>
        <v>48</v>
      </c>
      <c r="W550" s="124">
        <f ca="1">OFFSET($K$19,_xlfn.XLOOKUP(X550,$D$9:$D$28,$H$9:$H$28),MATCH(OFFSET($C$29,B550,MATCH(X550,$D$29:$V$29,0)),$L$19:$R$19,1))*(1+(OFFSET($C$29,B550,MATCH(X550,$D$29:$V$29,0))-1)*_xlfn.XLOOKUP(X550,梦灵养成!$D$9:$D$28,梦灵养成!$G$9:$G$28))</f>
        <v>62.244</v>
      </c>
      <c r="X550" s="106" t="str">
        <f ca="1" t="shared" si="187"/>
        <v>神算诸葛</v>
      </c>
      <c r="Y550" s="95">
        <f ca="1" t="shared" si="186"/>
        <v>246600</v>
      </c>
      <c r="Z550" s="96">
        <f ca="1" t="shared" si="207"/>
        <v>5.7</v>
      </c>
    </row>
    <row r="551" s="106" customFormat="1" ht="16.5" spans="2:26">
      <c r="B551" s="117">
        <v>522</v>
      </c>
      <c r="C551" s="130">
        <f t="shared" si="208"/>
        <v>52200</v>
      </c>
      <c r="D551" s="131">
        <f ca="1" t="shared" si="188"/>
        <v>56</v>
      </c>
      <c r="E551" s="131">
        <f ca="1" t="shared" si="189"/>
        <v>56</v>
      </c>
      <c r="F551" s="131">
        <f ca="1" t="shared" si="190"/>
        <v>56</v>
      </c>
      <c r="G551" s="131">
        <f ca="1" t="shared" si="191"/>
        <v>46</v>
      </c>
      <c r="H551" s="131">
        <f ca="1" t="shared" si="192"/>
        <v>46</v>
      </c>
      <c r="I551" s="131">
        <f ca="1" t="shared" si="193"/>
        <v>46</v>
      </c>
      <c r="J551" s="131">
        <f ca="1" t="shared" si="194"/>
        <v>46</v>
      </c>
      <c r="K551" s="131">
        <f ca="1" t="shared" si="195"/>
        <v>46</v>
      </c>
      <c r="L551" s="131">
        <f ca="1" t="shared" si="196"/>
        <v>46</v>
      </c>
      <c r="M551" s="131">
        <f ca="1" t="shared" si="197"/>
        <v>43</v>
      </c>
      <c r="N551" s="131">
        <f ca="1" t="shared" si="198"/>
        <v>43</v>
      </c>
      <c r="O551" s="131">
        <f ca="1" t="shared" si="199"/>
        <v>43</v>
      </c>
      <c r="P551" s="131">
        <f ca="1" t="shared" si="200"/>
        <v>43</v>
      </c>
      <c r="Q551" s="131">
        <f ca="1" t="shared" si="201"/>
        <v>43</v>
      </c>
      <c r="R551" s="131">
        <f ca="1" t="shared" si="202"/>
        <v>43</v>
      </c>
      <c r="S551" s="131">
        <f ca="1" t="shared" si="203"/>
        <v>45</v>
      </c>
      <c r="T551" s="131">
        <f ca="1" t="shared" si="204"/>
        <v>48</v>
      </c>
      <c r="U551" s="131">
        <f ca="1" t="shared" si="205"/>
        <v>48</v>
      </c>
      <c r="V551" s="131">
        <f ca="1" t="shared" si="206"/>
        <v>48</v>
      </c>
      <c r="W551" s="124">
        <f ca="1">OFFSET($K$19,_xlfn.XLOOKUP(X551,$D$9:$D$28,$H$9:$H$28),MATCH(OFFSET($C$29,B551,MATCH(X551,$D$29:$V$29,0)),$L$19:$R$19,1))*(1+(OFFSET($C$29,B551,MATCH(X551,$D$29:$V$29,0))-1)*_xlfn.XLOOKUP(X551,梦灵养成!$D$9:$D$28,梦灵养成!$G$9:$G$28))</f>
        <v>62.244</v>
      </c>
      <c r="X551" s="106" t="str">
        <f ca="1" t="shared" si="187"/>
        <v>神算诸葛</v>
      </c>
      <c r="Y551" s="95">
        <f ca="1" t="shared" si="186"/>
        <v>246600</v>
      </c>
      <c r="Z551" s="96">
        <f ca="1" t="shared" si="207"/>
        <v>5.7</v>
      </c>
    </row>
    <row r="552" s="106" customFormat="1" ht="16.5" spans="2:26">
      <c r="B552" s="117">
        <v>523</v>
      </c>
      <c r="C552" s="130">
        <f t="shared" si="208"/>
        <v>52300</v>
      </c>
      <c r="D552" s="131">
        <f ca="1" t="shared" si="188"/>
        <v>56</v>
      </c>
      <c r="E552" s="131">
        <f ca="1" t="shared" si="189"/>
        <v>56</v>
      </c>
      <c r="F552" s="131">
        <f ca="1" t="shared" si="190"/>
        <v>56</v>
      </c>
      <c r="G552" s="131">
        <f ca="1" t="shared" si="191"/>
        <v>46</v>
      </c>
      <c r="H552" s="131">
        <f ca="1" t="shared" si="192"/>
        <v>46</v>
      </c>
      <c r="I552" s="131">
        <f ca="1" t="shared" si="193"/>
        <v>46</v>
      </c>
      <c r="J552" s="131">
        <f ca="1" t="shared" si="194"/>
        <v>46</v>
      </c>
      <c r="K552" s="131">
        <f ca="1" t="shared" si="195"/>
        <v>46</v>
      </c>
      <c r="L552" s="131">
        <f ca="1" t="shared" si="196"/>
        <v>46</v>
      </c>
      <c r="M552" s="131">
        <f ca="1" t="shared" si="197"/>
        <v>43</v>
      </c>
      <c r="N552" s="131">
        <f ca="1" t="shared" si="198"/>
        <v>43</v>
      </c>
      <c r="O552" s="131">
        <f ca="1" t="shared" si="199"/>
        <v>43</v>
      </c>
      <c r="P552" s="131">
        <f ca="1" t="shared" si="200"/>
        <v>43</v>
      </c>
      <c r="Q552" s="131">
        <f ca="1" t="shared" si="201"/>
        <v>43</v>
      </c>
      <c r="R552" s="131">
        <f ca="1" t="shared" si="202"/>
        <v>43</v>
      </c>
      <c r="S552" s="131">
        <f ca="1" t="shared" si="203"/>
        <v>45</v>
      </c>
      <c r="T552" s="131">
        <f ca="1" t="shared" si="204"/>
        <v>48</v>
      </c>
      <c r="U552" s="131">
        <f ca="1" t="shared" si="205"/>
        <v>48</v>
      </c>
      <c r="V552" s="131">
        <f ca="1" t="shared" si="206"/>
        <v>48</v>
      </c>
      <c r="W552" s="124">
        <f ca="1">OFFSET($K$19,_xlfn.XLOOKUP(X552,$D$9:$D$28,$H$9:$H$28),MATCH(OFFSET($C$29,B552,MATCH(X552,$D$29:$V$29,0)),$L$19:$R$19,1))*(1+(OFFSET($C$29,B552,MATCH(X552,$D$29:$V$29,0))-1)*_xlfn.XLOOKUP(X552,梦灵养成!$D$9:$D$28,梦灵养成!$G$9:$G$28))</f>
        <v>62.244</v>
      </c>
      <c r="X552" s="106" t="str">
        <f ca="1" t="shared" si="187"/>
        <v>神算诸葛</v>
      </c>
      <c r="Y552" s="95">
        <f ca="1" t="shared" si="186"/>
        <v>246600</v>
      </c>
      <c r="Z552" s="96">
        <f ca="1" t="shared" si="207"/>
        <v>5.7</v>
      </c>
    </row>
    <row r="553" s="106" customFormat="1" ht="16.5" spans="2:26">
      <c r="B553" s="117">
        <v>524</v>
      </c>
      <c r="C553" s="130">
        <f t="shared" si="208"/>
        <v>52400</v>
      </c>
      <c r="D553" s="131">
        <f ca="1" t="shared" si="188"/>
        <v>56</v>
      </c>
      <c r="E553" s="131">
        <f ca="1" t="shared" si="189"/>
        <v>56</v>
      </c>
      <c r="F553" s="131">
        <f ca="1" t="shared" si="190"/>
        <v>56</v>
      </c>
      <c r="G553" s="131">
        <f ca="1" t="shared" si="191"/>
        <v>46</v>
      </c>
      <c r="H553" s="131">
        <f ca="1" t="shared" si="192"/>
        <v>46</v>
      </c>
      <c r="I553" s="131">
        <f ca="1" t="shared" si="193"/>
        <v>46</v>
      </c>
      <c r="J553" s="131">
        <f ca="1" t="shared" si="194"/>
        <v>46</v>
      </c>
      <c r="K553" s="131">
        <f ca="1" t="shared" si="195"/>
        <v>46</v>
      </c>
      <c r="L553" s="131">
        <f ca="1" t="shared" si="196"/>
        <v>46</v>
      </c>
      <c r="M553" s="131">
        <f ca="1" t="shared" si="197"/>
        <v>43</v>
      </c>
      <c r="N553" s="131">
        <f ca="1" t="shared" si="198"/>
        <v>43</v>
      </c>
      <c r="O553" s="131">
        <f ca="1" t="shared" si="199"/>
        <v>43</v>
      </c>
      <c r="P553" s="131">
        <f ca="1" t="shared" si="200"/>
        <v>43</v>
      </c>
      <c r="Q553" s="131">
        <f ca="1" t="shared" si="201"/>
        <v>43</v>
      </c>
      <c r="R553" s="131">
        <f ca="1" t="shared" si="202"/>
        <v>43</v>
      </c>
      <c r="S553" s="131">
        <f ca="1" t="shared" si="203"/>
        <v>45</v>
      </c>
      <c r="T553" s="131">
        <f ca="1" t="shared" si="204"/>
        <v>48</v>
      </c>
      <c r="U553" s="131">
        <f ca="1" t="shared" si="205"/>
        <v>48</v>
      </c>
      <c r="V553" s="131">
        <f ca="1" t="shared" si="206"/>
        <v>48</v>
      </c>
      <c r="W553" s="124">
        <f ca="1">OFFSET($K$19,_xlfn.XLOOKUP(X553,$D$9:$D$28,$H$9:$H$28),MATCH(OFFSET($C$29,B553,MATCH(X553,$D$29:$V$29,0)),$L$19:$R$19,1))*(1+(OFFSET($C$29,B553,MATCH(X553,$D$29:$V$29,0))-1)*_xlfn.XLOOKUP(X553,梦灵养成!$D$9:$D$28,梦灵养成!$G$9:$G$28))</f>
        <v>62.244</v>
      </c>
      <c r="X553" s="106" t="str">
        <f ca="1" t="shared" si="187"/>
        <v>神算诸葛</v>
      </c>
      <c r="Y553" s="95">
        <f ca="1" t="shared" si="186"/>
        <v>246600</v>
      </c>
      <c r="Z553" s="96">
        <f ca="1" t="shared" si="207"/>
        <v>5.7</v>
      </c>
    </row>
    <row r="554" s="106" customFormat="1" ht="16.5" spans="2:26">
      <c r="B554" s="117">
        <v>525</v>
      </c>
      <c r="C554" s="130">
        <f t="shared" si="208"/>
        <v>52500</v>
      </c>
      <c r="D554" s="131">
        <f ca="1" t="shared" si="188"/>
        <v>56</v>
      </c>
      <c r="E554" s="131">
        <f ca="1" t="shared" si="189"/>
        <v>56</v>
      </c>
      <c r="F554" s="131">
        <f ca="1" t="shared" si="190"/>
        <v>56</v>
      </c>
      <c r="G554" s="131">
        <f ca="1" t="shared" si="191"/>
        <v>46</v>
      </c>
      <c r="H554" s="131">
        <f ca="1" t="shared" si="192"/>
        <v>46</v>
      </c>
      <c r="I554" s="131">
        <f ca="1" t="shared" si="193"/>
        <v>46</v>
      </c>
      <c r="J554" s="131">
        <f ca="1" t="shared" si="194"/>
        <v>46</v>
      </c>
      <c r="K554" s="131">
        <f ca="1" t="shared" si="195"/>
        <v>46</v>
      </c>
      <c r="L554" s="131">
        <f ca="1" t="shared" si="196"/>
        <v>46</v>
      </c>
      <c r="M554" s="131">
        <f ca="1" t="shared" si="197"/>
        <v>43</v>
      </c>
      <c r="N554" s="131">
        <f ca="1" t="shared" si="198"/>
        <v>43</v>
      </c>
      <c r="O554" s="131">
        <f ca="1" t="shared" si="199"/>
        <v>43</v>
      </c>
      <c r="P554" s="131">
        <f ca="1" t="shared" si="200"/>
        <v>43</v>
      </c>
      <c r="Q554" s="131">
        <f ca="1" t="shared" si="201"/>
        <v>43</v>
      </c>
      <c r="R554" s="131">
        <f ca="1" t="shared" si="202"/>
        <v>43</v>
      </c>
      <c r="S554" s="131">
        <f ca="1" t="shared" si="203"/>
        <v>45</v>
      </c>
      <c r="T554" s="131">
        <f ca="1" t="shared" si="204"/>
        <v>48</v>
      </c>
      <c r="U554" s="131">
        <f ca="1" t="shared" si="205"/>
        <v>48</v>
      </c>
      <c r="V554" s="131">
        <f ca="1" t="shared" si="206"/>
        <v>48</v>
      </c>
      <c r="W554" s="124">
        <f ca="1">OFFSET($K$19,_xlfn.XLOOKUP(X554,$D$9:$D$28,$H$9:$H$28),MATCH(OFFSET($C$29,B554,MATCH(X554,$D$29:$V$29,0)),$L$19:$R$19,1))*(1+(OFFSET($C$29,B554,MATCH(X554,$D$29:$V$29,0))-1)*_xlfn.XLOOKUP(X554,梦灵养成!$D$9:$D$28,梦灵养成!$G$9:$G$28))</f>
        <v>62.244</v>
      </c>
      <c r="X554" s="106" t="str">
        <f ca="1" t="shared" si="187"/>
        <v>神算诸葛</v>
      </c>
      <c r="Y554" s="95">
        <f ca="1" t="shared" si="186"/>
        <v>246600</v>
      </c>
      <c r="Z554" s="96">
        <f ca="1" t="shared" si="207"/>
        <v>5.7</v>
      </c>
    </row>
    <row r="555" s="106" customFormat="1" ht="16.5" spans="2:26">
      <c r="B555" s="117">
        <v>526</v>
      </c>
      <c r="C555" s="130">
        <f t="shared" si="208"/>
        <v>52600</v>
      </c>
      <c r="D555" s="131">
        <f ca="1" t="shared" si="188"/>
        <v>56</v>
      </c>
      <c r="E555" s="131">
        <f ca="1" t="shared" si="189"/>
        <v>56</v>
      </c>
      <c r="F555" s="131">
        <f ca="1" t="shared" si="190"/>
        <v>56</v>
      </c>
      <c r="G555" s="131">
        <f ca="1" t="shared" si="191"/>
        <v>46</v>
      </c>
      <c r="H555" s="131">
        <f ca="1" t="shared" si="192"/>
        <v>46</v>
      </c>
      <c r="I555" s="131">
        <f ca="1" t="shared" si="193"/>
        <v>46</v>
      </c>
      <c r="J555" s="131">
        <f ca="1" t="shared" si="194"/>
        <v>46</v>
      </c>
      <c r="K555" s="131">
        <f ca="1" t="shared" si="195"/>
        <v>46</v>
      </c>
      <c r="L555" s="131">
        <f ca="1" t="shared" si="196"/>
        <v>46</v>
      </c>
      <c r="M555" s="131">
        <f ca="1" t="shared" si="197"/>
        <v>43</v>
      </c>
      <c r="N555" s="131">
        <f ca="1" t="shared" si="198"/>
        <v>43</v>
      </c>
      <c r="O555" s="131">
        <f ca="1" t="shared" si="199"/>
        <v>43</v>
      </c>
      <c r="P555" s="131">
        <f ca="1" t="shared" si="200"/>
        <v>43</v>
      </c>
      <c r="Q555" s="131">
        <f ca="1" t="shared" si="201"/>
        <v>43</v>
      </c>
      <c r="R555" s="131">
        <f ca="1" t="shared" si="202"/>
        <v>43</v>
      </c>
      <c r="S555" s="131">
        <f ca="1" t="shared" si="203"/>
        <v>45</v>
      </c>
      <c r="T555" s="131">
        <f ca="1" t="shared" si="204"/>
        <v>48</v>
      </c>
      <c r="U555" s="131">
        <f ca="1" t="shared" si="205"/>
        <v>48</v>
      </c>
      <c r="V555" s="131">
        <f ca="1" t="shared" si="206"/>
        <v>48</v>
      </c>
      <c r="W555" s="124">
        <f ca="1">OFFSET($K$19,_xlfn.XLOOKUP(X555,$D$9:$D$28,$H$9:$H$28),MATCH(OFFSET($C$29,B555,MATCH(X555,$D$29:$V$29,0)),$L$19:$R$19,1))*(1+(OFFSET($C$29,B555,MATCH(X555,$D$29:$V$29,0))-1)*_xlfn.XLOOKUP(X555,梦灵养成!$D$9:$D$28,梦灵养成!$G$9:$G$28))</f>
        <v>62.244</v>
      </c>
      <c r="X555" s="106" t="str">
        <f ca="1" t="shared" si="187"/>
        <v>神算诸葛</v>
      </c>
      <c r="Y555" s="95">
        <f ca="1" t="shared" si="186"/>
        <v>246600</v>
      </c>
      <c r="Z555" s="96">
        <f ca="1" t="shared" si="207"/>
        <v>5.7</v>
      </c>
    </row>
    <row r="556" s="106" customFormat="1" ht="16.5" spans="2:26">
      <c r="B556" s="117">
        <v>527</v>
      </c>
      <c r="C556" s="130">
        <f t="shared" si="208"/>
        <v>52700</v>
      </c>
      <c r="D556" s="131">
        <f ca="1" t="shared" si="188"/>
        <v>56</v>
      </c>
      <c r="E556" s="131">
        <f ca="1" t="shared" si="189"/>
        <v>56</v>
      </c>
      <c r="F556" s="131">
        <f ca="1" t="shared" si="190"/>
        <v>56</v>
      </c>
      <c r="G556" s="131">
        <f ca="1" t="shared" si="191"/>
        <v>46</v>
      </c>
      <c r="H556" s="131">
        <f ca="1" t="shared" si="192"/>
        <v>46</v>
      </c>
      <c r="I556" s="131">
        <f ca="1" t="shared" si="193"/>
        <v>46</v>
      </c>
      <c r="J556" s="131">
        <f ca="1" t="shared" si="194"/>
        <v>46</v>
      </c>
      <c r="K556" s="131">
        <f ca="1" t="shared" si="195"/>
        <v>46</v>
      </c>
      <c r="L556" s="131">
        <f ca="1" t="shared" si="196"/>
        <v>46</v>
      </c>
      <c r="M556" s="131">
        <f ca="1" t="shared" si="197"/>
        <v>43</v>
      </c>
      <c r="N556" s="131">
        <f ca="1" t="shared" si="198"/>
        <v>43</v>
      </c>
      <c r="O556" s="131">
        <f ca="1" t="shared" si="199"/>
        <v>43</v>
      </c>
      <c r="P556" s="131">
        <f ca="1" t="shared" si="200"/>
        <v>43</v>
      </c>
      <c r="Q556" s="131">
        <f ca="1" t="shared" si="201"/>
        <v>43</v>
      </c>
      <c r="R556" s="131">
        <f ca="1" t="shared" si="202"/>
        <v>43</v>
      </c>
      <c r="S556" s="131">
        <f ca="1" t="shared" si="203"/>
        <v>45</v>
      </c>
      <c r="T556" s="131">
        <f ca="1" t="shared" si="204"/>
        <v>48</v>
      </c>
      <c r="U556" s="131">
        <f ca="1" t="shared" si="205"/>
        <v>48</v>
      </c>
      <c r="V556" s="131">
        <f ca="1" t="shared" si="206"/>
        <v>48</v>
      </c>
      <c r="W556" s="124">
        <f ca="1">OFFSET($K$19,_xlfn.XLOOKUP(X556,$D$9:$D$28,$H$9:$H$28),MATCH(OFFSET($C$29,B556,MATCH(X556,$D$29:$V$29,0)),$L$19:$R$19,1))*(1+(OFFSET($C$29,B556,MATCH(X556,$D$29:$V$29,0))-1)*_xlfn.XLOOKUP(X556,梦灵养成!$D$9:$D$28,梦灵养成!$G$9:$G$28))</f>
        <v>62.244</v>
      </c>
      <c r="X556" s="106" t="str">
        <f ca="1" t="shared" si="187"/>
        <v>神算诸葛</v>
      </c>
      <c r="Y556" s="95">
        <f ca="1" t="shared" si="186"/>
        <v>246600</v>
      </c>
      <c r="Z556" s="96">
        <f ca="1" t="shared" si="207"/>
        <v>5.7</v>
      </c>
    </row>
    <row r="557" s="106" customFormat="1" ht="16.5" spans="2:26">
      <c r="B557" s="117">
        <v>528</v>
      </c>
      <c r="C557" s="130">
        <f t="shared" si="208"/>
        <v>52800</v>
      </c>
      <c r="D557" s="131">
        <f ca="1" t="shared" si="188"/>
        <v>56</v>
      </c>
      <c r="E557" s="131">
        <f ca="1" t="shared" si="189"/>
        <v>56</v>
      </c>
      <c r="F557" s="131">
        <f ca="1" t="shared" si="190"/>
        <v>56</v>
      </c>
      <c r="G557" s="131">
        <f ca="1" t="shared" si="191"/>
        <v>46</v>
      </c>
      <c r="H557" s="131">
        <f ca="1" t="shared" si="192"/>
        <v>46</v>
      </c>
      <c r="I557" s="131">
        <f ca="1" t="shared" si="193"/>
        <v>46</v>
      </c>
      <c r="J557" s="131">
        <f ca="1" t="shared" si="194"/>
        <v>46</v>
      </c>
      <c r="K557" s="131">
        <f ca="1" t="shared" si="195"/>
        <v>46</v>
      </c>
      <c r="L557" s="131">
        <f ca="1" t="shared" si="196"/>
        <v>46</v>
      </c>
      <c r="M557" s="131">
        <f ca="1" t="shared" si="197"/>
        <v>43</v>
      </c>
      <c r="N557" s="131">
        <f ca="1" t="shared" si="198"/>
        <v>43</v>
      </c>
      <c r="O557" s="131">
        <f ca="1" t="shared" si="199"/>
        <v>43</v>
      </c>
      <c r="P557" s="131">
        <f ca="1" t="shared" si="200"/>
        <v>43</v>
      </c>
      <c r="Q557" s="131">
        <f ca="1" t="shared" si="201"/>
        <v>43</v>
      </c>
      <c r="R557" s="131">
        <f ca="1" t="shared" si="202"/>
        <v>43</v>
      </c>
      <c r="S557" s="131">
        <f ca="1" t="shared" si="203"/>
        <v>45</v>
      </c>
      <c r="T557" s="131">
        <f ca="1" t="shared" si="204"/>
        <v>48</v>
      </c>
      <c r="U557" s="131">
        <f ca="1" t="shared" si="205"/>
        <v>48</v>
      </c>
      <c r="V557" s="131">
        <f ca="1" t="shared" si="206"/>
        <v>49</v>
      </c>
      <c r="W557" s="124">
        <f ca="1">OFFSET($K$19,_xlfn.XLOOKUP(X557,$D$9:$D$28,$H$9:$H$28),MATCH(OFFSET($C$29,B557,MATCH(X557,$D$29:$V$29,0)),$L$19:$R$19,1))*(1+(OFFSET($C$29,B557,MATCH(X557,$D$29:$V$29,0))-1)*_xlfn.XLOOKUP(X557,梦灵养成!$D$9:$D$28,梦灵养成!$G$9:$G$28))</f>
        <v>63.336</v>
      </c>
      <c r="X557" s="106" t="str">
        <f ca="1" t="shared" si="187"/>
        <v>神算诸葛</v>
      </c>
      <c r="Y557" s="95">
        <f ca="1" t="shared" si="186"/>
        <v>246600</v>
      </c>
      <c r="Z557" s="96">
        <f ca="1" t="shared" si="207"/>
        <v>5.8</v>
      </c>
    </row>
    <row r="558" s="106" customFormat="1" ht="16.5" spans="2:26">
      <c r="B558" s="117">
        <v>529</v>
      </c>
      <c r="C558" s="130">
        <f t="shared" si="208"/>
        <v>52900</v>
      </c>
      <c r="D558" s="131">
        <f ca="1" t="shared" si="188"/>
        <v>56</v>
      </c>
      <c r="E558" s="131">
        <f ca="1" t="shared" si="189"/>
        <v>56</v>
      </c>
      <c r="F558" s="131">
        <f ca="1" t="shared" si="190"/>
        <v>56</v>
      </c>
      <c r="G558" s="131">
        <f ca="1" t="shared" si="191"/>
        <v>46</v>
      </c>
      <c r="H558" s="131">
        <f ca="1" t="shared" si="192"/>
        <v>46</v>
      </c>
      <c r="I558" s="131">
        <f ca="1" t="shared" si="193"/>
        <v>46</v>
      </c>
      <c r="J558" s="131">
        <f ca="1" t="shared" si="194"/>
        <v>46</v>
      </c>
      <c r="K558" s="131">
        <f ca="1" t="shared" si="195"/>
        <v>46</v>
      </c>
      <c r="L558" s="131">
        <f ca="1" t="shared" si="196"/>
        <v>46</v>
      </c>
      <c r="M558" s="131">
        <f ca="1" t="shared" si="197"/>
        <v>43</v>
      </c>
      <c r="N558" s="131">
        <f ca="1" t="shared" si="198"/>
        <v>43</v>
      </c>
      <c r="O558" s="131">
        <f ca="1" t="shared" si="199"/>
        <v>43</v>
      </c>
      <c r="P558" s="131">
        <f ca="1" t="shared" si="200"/>
        <v>43</v>
      </c>
      <c r="Q558" s="131">
        <f ca="1" t="shared" si="201"/>
        <v>43</v>
      </c>
      <c r="R558" s="131">
        <f ca="1" t="shared" si="202"/>
        <v>43</v>
      </c>
      <c r="S558" s="131">
        <f ca="1" t="shared" si="203"/>
        <v>45</v>
      </c>
      <c r="T558" s="131">
        <f ca="1" t="shared" si="204"/>
        <v>48</v>
      </c>
      <c r="U558" s="131">
        <f ca="1" t="shared" si="205"/>
        <v>48</v>
      </c>
      <c r="V558" s="131">
        <f ca="1" t="shared" si="206"/>
        <v>49</v>
      </c>
      <c r="W558" s="124">
        <f ca="1">OFFSET($K$19,_xlfn.XLOOKUP(X558,$D$9:$D$28,$H$9:$H$28),MATCH(OFFSET($C$29,B558,MATCH(X558,$D$29:$V$29,0)),$L$19:$R$19,1))*(1+(OFFSET($C$29,B558,MATCH(X558,$D$29:$V$29,0))-1)*_xlfn.XLOOKUP(X558,梦灵养成!$D$9:$D$28,梦灵养成!$G$9:$G$28))</f>
        <v>63.336</v>
      </c>
      <c r="X558" s="106" t="str">
        <f ca="1" t="shared" si="187"/>
        <v>神算诸葛</v>
      </c>
      <c r="Y558" s="95">
        <f ca="1" t="shared" si="186"/>
        <v>246600</v>
      </c>
      <c r="Z558" s="96">
        <f ca="1" t="shared" si="207"/>
        <v>5.8</v>
      </c>
    </row>
    <row r="559" s="106" customFormat="1" ht="16.5" spans="2:26">
      <c r="B559" s="117">
        <v>530</v>
      </c>
      <c r="C559" s="130">
        <f t="shared" si="208"/>
        <v>53000</v>
      </c>
      <c r="D559" s="131">
        <f ca="1" t="shared" si="188"/>
        <v>56</v>
      </c>
      <c r="E559" s="131">
        <f ca="1" t="shared" si="189"/>
        <v>56</v>
      </c>
      <c r="F559" s="131">
        <f ca="1" t="shared" si="190"/>
        <v>56</v>
      </c>
      <c r="G559" s="131">
        <f ca="1" t="shared" si="191"/>
        <v>47</v>
      </c>
      <c r="H559" s="131">
        <f ca="1" t="shared" si="192"/>
        <v>47</v>
      </c>
      <c r="I559" s="131">
        <f ca="1" t="shared" si="193"/>
        <v>47</v>
      </c>
      <c r="J559" s="131">
        <f ca="1" t="shared" si="194"/>
        <v>46</v>
      </c>
      <c r="K559" s="131">
        <f ca="1" t="shared" si="195"/>
        <v>46</v>
      </c>
      <c r="L559" s="131">
        <f ca="1" t="shared" si="196"/>
        <v>46</v>
      </c>
      <c r="M559" s="131">
        <f ca="1" t="shared" si="197"/>
        <v>43</v>
      </c>
      <c r="N559" s="131">
        <f ca="1" t="shared" si="198"/>
        <v>43</v>
      </c>
      <c r="O559" s="131">
        <f ca="1" t="shared" si="199"/>
        <v>43</v>
      </c>
      <c r="P559" s="131">
        <f ca="1" t="shared" si="200"/>
        <v>43</v>
      </c>
      <c r="Q559" s="131">
        <f ca="1" t="shared" si="201"/>
        <v>43</v>
      </c>
      <c r="R559" s="131">
        <f ca="1" t="shared" si="202"/>
        <v>43</v>
      </c>
      <c r="S559" s="131">
        <f ca="1" t="shared" si="203"/>
        <v>45</v>
      </c>
      <c r="T559" s="131">
        <f ca="1" t="shared" si="204"/>
        <v>48</v>
      </c>
      <c r="U559" s="131">
        <f ca="1" t="shared" si="205"/>
        <v>48</v>
      </c>
      <c r="V559" s="131">
        <f ca="1" t="shared" si="206"/>
        <v>49</v>
      </c>
      <c r="W559" s="124">
        <f ca="1">OFFSET($K$19,_xlfn.XLOOKUP(X559,$D$9:$D$28,$H$9:$H$28),MATCH(OFFSET($C$29,B559,MATCH(X559,$D$29:$V$29,0)),$L$19:$R$19,1))*(1+(OFFSET($C$29,B559,MATCH(X559,$D$29:$V$29,0))-1)*_xlfn.XLOOKUP(X559,梦灵养成!$D$9:$D$28,梦灵养成!$G$9:$G$28))</f>
        <v>63.336</v>
      </c>
      <c r="X559" s="106" t="str">
        <f ca="1" t="shared" si="187"/>
        <v>神算诸葛</v>
      </c>
      <c r="Y559" s="95">
        <f ca="1" t="shared" si="186"/>
        <v>246600</v>
      </c>
      <c r="Z559" s="96">
        <f ca="1" t="shared" si="207"/>
        <v>5.8</v>
      </c>
    </row>
    <row r="560" s="106" customFormat="1" ht="16.5" spans="2:26">
      <c r="B560" s="117">
        <v>531</v>
      </c>
      <c r="C560" s="130">
        <f t="shared" si="208"/>
        <v>53100</v>
      </c>
      <c r="D560" s="131">
        <f ca="1" t="shared" si="188"/>
        <v>56</v>
      </c>
      <c r="E560" s="131">
        <f ca="1" t="shared" si="189"/>
        <v>56</v>
      </c>
      <c r="F560" s="131">
        <f ca="1" t="shared" si="190"/>
        <v>56</v>
      </c>
      <c r="G560" s="131">
        <f ca="1" t="shared" si="191"/>
        <v>47</v>
      </c>
      <c r="H560" s="131">
        <f ca="1" t="shared" si="192"/>
        <v>47</v>
      </c>
      <c r="I560" s="131">
        <f ca="1" t="shared" si="193"/>
        <v>47</v>
      </c>
      <c r="J560" s="131">
        <f ca="1" t="shared" si="194"/>
        <v>47</v>
      </c>
      <c r="K560" s="131">
        <f ca="1" t="shared" si="195"/>
        <v>47</v>
      </c>
      <c r="L560" s="131">
        <f ca="1" t="shared" si="196"/>
        <v>47</v>
      </c>
      <c r="M560" s="131">
        <f ca="1" t="shared" si="197"/>
        <v>43</v>
      </c>
      <c r="N560" s="131">
        <f ca="1" t="shared" si="198"/>
        <v>43</v>
      </c>
      <c r="O560" s="131">
        <f ca="1" t="shared" si="199"/>
        <v>43</v>
      </c>
      <c r="P560" s="131">
        <f ca="1" t="shared" si="200"/>
        <v>43</v>
      </c>
      <c r="Q560" s="131">
        <f ca="1" t="shared" si="201"/>
        <v>43</v>
      </c>
      <c r="R560" s="131">
        <f ca="1" t="shared" si="202"/>
        <v>43</v>
      </c>
      <c r="S560" s="131">
        <f ca="1" t="shared" si="203"/>
        <v>45</v>
      </c>
      <c r="T560" s="131">
        <f ca="1" t="shared" si="204"/>
        <v>48</v>
      </c>
      <c r="U560" s="131">
        <f ca="1" t="shared" si="205"/>
        <v>48</v>
      </c>
      <c r="V560" s="131">
        <f ca="1" t="shared" si="206"/>
        <v>49</v>
      </c>
      <c r="W560" s="124">
        <f ca="1">OFFSET($K$19,_xlfn.XLOOKUP(X560,$D$9:$D$28,$H$9:$H$28),MATCH(OFFSET($C$29,B560,MATCH(X560,$D$29:$V$29,0)),$L$19:$R$19,1))*(1+(OFFSET($C$29,B560,MATCH(X560,$D$29:$V$29,0))-1)*_xlfn.XLOOKUP(X560,梦灵养成!$D$9:$D$28,梦灵养成!$G$9:$G$28))</f>
        <v>63.336</v>
      </c>
      <c r="X560" s="106" t="str">
        <f ca="1" t="shared" si="187"/>
        <v>神算诸葛</v>
      </c>
      <c r="Y560" s="95">
        <f ca="1" t="shared" si="186"/>
        <v>246600</v>
      </c>
      <c r="Z560" s="96">
        <f ca="1" t="shared" si="207"/>
        <v>5.8</v>
      </c>
    </row>
    <row r="561" s="106" customFormat="1" ht="16.5" spans="2:26">
      <c r="B561" s="117">
        <v>532</v>
      </c>
      <c r="C561" s="130">
        <f t="shared" si="208"/>
        <v>53200</v>
      </c>
      <c r="D561" s="131">
        <f ca="1" t="shared" si="188"/>
        <v>56</v>
      </c>
      <c r="E561" s="131">
        <f ca="1" t="shared" si="189"/>
        <v>56</v>
      </c>
      <c r="F561" s="131">
        <f ca="1" t="shared" si="190"/>
        <v>56</v>
      </c>
      <c r="G561" s="131">
        <f ca="1" t="shared" si="191"/>
        <v>47</v>
      </c>
      <c r="H561" s="131">
        <f ca="1" t="shared" si="192"/>
        <v>47</v>
      </c>
      <c r="I561" s="131">
        <f ca="1" t="shared" si="193"/>
        <v>47</v>
      </c>
      <c r="J561" s="131">
        <f ca="1" t="shared" si="194"/>
        <v>47</v>
      </c>
      <c r="K561" s="131">
        <f ca="1" t="shared" si="195"/>
        <v>47</v>
      </c>
      <c r="L561" s="131">
        <f ca="1" t="shared" si="196"/>
        <v>47</v>
      </c>
      <c r="M561" s="131">
        <f ca="1" t="shared" si="197"/>
        <v>43</v>
      </c>
      <c r="N561" s="131">
        <f ca="1" t="shared" si="198"/>
        <v>43</v>
      </c>
      <c r="O561" s="131">
        <f ca="1" t="shared" si="199"/>
        <v>43</v>
      </c>
      <c r="P561" s="131">
        <f ca="1" t="shared" si="200"/>
        <v>43</v>
      </c>
      <c r="Q561" s="131">
        <f ca="1" t="shared" si="201"/>
        <v>43</v>
      </c>
      <c r="R561" s="131">
        <f ca="1" t="shared" si="202"/>
        <v>43</v>
      </c>
      <c r="S561" s="131">
        <f ca="1" t="shared" si="203"/>
        <v>45</v>
      </c>
      <c r="T561" s="131">
        <f ca="1" t="shared" si="204"/>
        <v>48</v>
      </c>
      <c r="U561" s="131">
        <f ca="1" t="shared" si="205"/>
        <v>48</v>
      </c>
      <c r="V561" s="131">
        <f ca="1" t="shared" si="206"/>
        <v>49</v>
      </c>
      <c r="W561" s="124">
        <f ca="1">OFFSET($K$19,_xlfn.XLOOKUP(X561,$D$9:$D$28,$H$9:$H$28),MATCH(OFFSET($C$29,B561,MATCH(X561,$D$29:$V$29,0)),$L$19:$R$19,1))*(1+(OFFSET($C$29,B561,MATCH(X561,$D$29:$V$29,0))-1)*_xlfn.XLOOKUP(X561,梦灵养成!$D$9:$D$28,梦灵养成!$G$9:$G$28))</f>
        <v>63.336</v>
      </c>
      <c r="X561" s="106" t="str">
        <f ca="1" t="shared" si="187"/>
        <v>神算诸葛</v>
      </c>
      <c r="Y561" s="95">
        <f ca="1" t="shared" si="186"/>
        <v>246600</v>
      </c>
      <c r="Z561" s="96">
        <f ca="1" t="shared" si="207"/>
        <v>5.8</v>
      </c>
    </row>
    <row r="562" s="106" customFormat="1" ht="16.5" spans="2:26">
      <c r="B562" s="117">
        <v>533</v>
      </c>
      <c r="C562" s="130">
        <f t="shared" si="208"/>
        <v>53300</v>
      </c>
      <c r="D562" s="131">
        <f ca="1" t="shared" si="188"/>
        <v>56</v>
      </c>
      <c r="E562" s="131">
        <f ca="1" t="shared" si="189"/>
        <v>56</v>
      </c>
      <c r="F562" s="131">
        <f ca="1" t="shared" si="190"/>
        <v>56</v>
      </c>
      <c r="G562" s="131">
        <f ca="1" t="shared" si="191"/>
        <v>47</v>
      </c>
      <c r="H562" s="131">
        <f ca="1" t="shared" si="192"/>
        <v>47</v>
      </c>
      <c r="I562" s="131">
        <f ca="1" t="shared" si="193"/>
        <v>47</v>
      </c>
      <c r="J562" s="131">
        <f ca="1" t="shared" si="194"/>
        <v>47</v>
      </c>
      <c r="K562" s="131">
        <f ca="1" t="shared" si="195"/>
        <v>47</v>
      </c>
      <c r="L562" s="131">
        <f ca="1" t="shared" si="196"/>
        <v>47</v>
      </c>
      <c r="M562" s="131">
        <f ca="1" t="shared" si="197"/>
        <v>43</v>
      </c>
      <c r="N562" s="131">
        <f ca="1" t="shared" si="198"/>
        <v>43</v>
      </c>
      <c r="O562" s="131">
        <f ca="1" t="shared" si="199"/>
        <v>43</v>
      </c>
      <c r="P562" s="131">
        <f ca="1" t="shared" si="200"/>
        <v>43</v>
      </c>
      <c r="Q562" s="131">
        <f ca="1" t="shared" si="201"/>
        <v>43</v>
      </c>
      <c r="R562" s="131">
        <f ca="1" t="shared" si="202"/>
        <v>43</v>
      </c>
      <c r="S562" s="131">
        <f ca="1" t="shared" si="203"/>
        <v>45</v>
      </c>
      <c r="T562" s="131">
        <f ca="1" t="shared" si="204"/>
        <v>48</v>
      </c>
      <c r="U562" s="131">
        <f ca="1" t="shared" si="205"/>
        <v>48</v>
      </c>
      <c r="V562" s="131">
        <f ca="1" t="shared" si="206"/>
        <v>49</v>
      </c>
      <c r="W562" s="124">
        <f ca="1">OFFSET($K$19,_xlfn.XLOOKUP(X562,$D$9:$D$28,$H$9:$H$28),MATCH(OFFSET($C$29,B562,MATCH(X562,$D$29:$V$29,0)),$L$19:$R$19,1))*(1+(OFFSET($C$29,B562,MATCH(X562,$D$29:$V$29,0))-1)*_xlfn.XLOOKUP(X562,梦灵养成!$D$9:$D$28,梦灵养成!$G$9:$G$28))</f>
        <v>63.336</v>
      </c>
      <c r="X562" s="106" t="str">
        <f ca="1" t="shared" si="187"/>
        <v>神算诸葛</v>
      </c>
      <c r="Y562" s="95">
        <f ca="1" t="shared" si="186"/>
        <v>246600</v>
      </c>
      <c r="Z562" s="96">
        <f ca="1" t="shared" si="207"/>
        <v>5.8</v>
      </c>
    </row>
    <row r="563" s="106" customFormat="1" ht="16.5" spans="2:26">
      <c r="B563" s="117">
        <v>534</v>
      </c>
      <c r="C563" s="130">
        <f t="shared" si="208"/>
        <v>53400</v>
      </c>
      <c r="D563" s="131">
        <f ca="1" t="shared" si="188"/>
        <v>56</v>
      </c>
      <c r="E563" s="131">
        <f ca="1" t="shared" si="189"/>
        <v>56</v>
      </c>
      <c r="F563" s="131">
        <f ca="1" t="shared" si="190"/>
        <v>56</v>
      </c>
      <c r="G563" s="131">
        <f ca="1" t="shared" si="191"/>
        <v>47</v>
      </c>
      <c r="H563" s="131">
        <f ca="1" t="shared" si="192"/>
        <v>47</v>
      </c>
      <c r="I563" s="131">
        <f ca="1" t="shared" si="193"/>
        <v>47</v>
      </c>
      <c r="J563" s="131">
        <f ca="1" t="shared" si="194"/>
        <v>47</v>
      </c>
      <c r="K563" s="131">
        <f ca="1" t="shared" si="195"/>
        <v>47</v>
      </c>
      <c r="L563" s="131">
        <f ca="1" t="shared" si="196"/>
        <v>47</v>
      </c>
      <c r="M563" s="131">
        <f ca="1" t="shared" si="197"/>
        <v>43</v>
      </c>
      <c r="N563" s="131">
        <f ca="1" t="shared" si="198"/>
        <v>43</v>
      </c>
      <c r="O563" s="131">
        <f ca="1" t="shared" si="199"/>
        <v>43</v>
      </c>
      <c r="P563" s="131">
        <f ca="1" t="shared" si="200"/>
        <v>43</v>
      </c>
      <c r="Q563" s="131">
        <f ca="1" t="shared" si="201"/>
        <v>43</v>
      </c>
      <c r="R563" s="131">
        <f ca="1" t="shared" si="202"/>
        <v>43</v>
      </c>
      <c r="S563" s="131">
        <f ca="1" t="shared" si="203"/>
        <v>45</v>
      </c>
      <c r="T563" s="131">
        <f ca="1" t="shared" si="204"/>
        <v>48</v>
      </c>
      <c r="U563" s="131">
        <f ca="1" t="shared" si="205"/>
        <v>48</v>
      </c>
      <c r="V563" s="131">
        <f ca="1" t="shared" si="206"/>
        <v>49</v>
      </c>
      <c r="W563" s="124">
        <f ca="1">OFFSET($K$19,_xlfn.XLOOKUP(X563,$D$9:$D$28,$H$9:$H$28),MATCH(OFFSET($C$29,B563,MATCH(X563,$D$29:$V$29,0)),$L$19:$R$19,1))*(1+(OFFSET($C$29,B563,MATCH(X563,$D$29:$V$29,0))-1)*_xlfn.XLOOKUP(X563,梦灵养成!$D$9:$D$28,梦灵养成!$G$9:$G$28))</f>
        <v>63.336</v>
      </c>
      <c r="X563" s="106" t="str">
        <f ca="1" t="shared" si="187"/>
        <v>神算诸葛</v>
      </c>
      <c r="Y563" s="95">
        <f ca="1" t="shared" si="186"/>
        <v>246600</v>
      </c>
      <c r="Z563" s="96">
        <f ca="1" t="shared" si="207"/>
        <v>5.8</v>
      </c>
    </row>
    <row r="564" s="106" customFormat="1" ht="16.5" spans="2:26">
      <c r="B564" s="117">
        <v>535</v>
      </c>
      <c r="C564" s="130">
        <f t="shared" si="208"/>
        <v>53500</v>
      </c>
      <c r="D564" s="131">
        <f ca="1" t="shared" si="188"/>
        <v>56</v>
      </c>
      <c r="E564" s="131">
        <f ca="1" t="shared" si="189"/>
        <v>56</v>
      </c>
      <c r="F564" s="131">
        <f ca="1" t="shared" si="190"/>
        <v>56</v>
      </c>
      <c r="G564" s="131">
        <f ca="1" t="shared" si="191"/>
        <v>47</v>
      </c>
      <c r="H564" s="131">
        <f ca="1" t="shared" si="192"/>
        <v>47</v>
      </c>
      <c r="I564" s="131">
        <f ca="1" t="shared" si="193"/>
        <v>47</v>
      </c>
      <c r="J564" s="131">
        <f ca="1" t="shared" si="194"/>
        <v>47</v>
      </c>
      <c r="K564" s="131">
        <f ca="1" t="shared" si="195"/>
        <v>47</v>
      </c>
      <c r="L564" s="131">
        <f ca="1" t="shared" si="196"/>
        <v>47</v>
      </c>
      <c r="M564" s="131">
        <f ca="1" t="shared" si="197"/>
        <v>43</v>
      </c>
      <c r="N564" s="131">
        <f ca="1" t="shared" si="198"/>
        <v>43</v>
      </c>
      <c r="O564" s="131">
        <f ca="1" t="shared" si="199"/>
        <v>43</v>
      </c>
      <c r="P564" s="131">
        <f ca="1" t="shared" si="200"/>
        <v>43</v>
      </c>
      <c r="Q564" s="131">
        <f ca="1" t="shared" si="201"/>
        <v>43</v>
      </c>
      <c r="R564" s="131">
        <f ca="1" t="shared" si="202"/>
        <v>43</v>
      </c>
      <c r="S564" s="131">
        <f ca="1" t="shared" si="203"/>
        <v>45</v>
      </c>
      <c r="T564" s="131">
        <f ca="1" t="shared" si="204"/>
        <v>48</v>
      </c>
      <c r="U564" s="131">
        <f ca="1" t="shared" si="205"/>
        <v>48</v>
      </c>
      <c r="V564" s="131">
        <f ca="1" t="shared" si="206"/>
        <v>49</v>
      </c>
      <c r="W564" s="124">
        <f ca="1">OFFSET($K$19,_xlfn.XLOOKUP(X564,$D$9:$D$28,$H$9:$H$28),MATCH(OFFSET($C$29,B564,MATCH(X564,$D$29:$V$29,0)),$L$19:$R$19,1))*(1+(OFFSET($C$29,B564,MATCH(X564,$D$29:$V$29,0))-1)*_xlfn.XLOOKUP(X564,梦灵养成!$D$9:$D$28,梦灵养成!$G$9:$G$28))</f>
        <v>63.336</v>
      </c>
      <c r="X564" s="106" t="str">
        <f ca="1" t="shared" si="187"/>
        <v>神算诸葛</v>
      </c>
      <c r="Y564" s="95">
        <f ca="1" t="shared" si="186"/>
        <v>246600</v>
      </c>
      <c r="Z564" s="96">
        <f ca="1" t="shared" si="207"/>
        <v>5.8</v>
      </c>
    </row>
    <row r="565" s="106" customFormat="1" ht="16.5" spans="2:26">
      <c r="B565" s="117">
        <v>536</v>
      </c>
      <c r="C565" s="130">
        <f t="shared" si="208"/>
        <v>53600</v>
      </c>
      <c r="D565" s="131">
        <f ca="1" t="shared" si="188"/>
        <v>56</v>
      </c>
      <c r="E565" s="131">
        <f ca="1" t="shared" si="189"/>
        <v>56</v>
      </c>
      <c r="F565" s="131">
        <f ca="1" t="shared" si="190"/>
        <v>56</v>
      </c>
      <c r="G565" s="131">
        <f ca="1" t="shared" si="191"/>
        <v>47</v>
      </c>
      <c r="H565" s="131">
        <f ca="1" t="shared" si="192"/>
        <v>47</v>
      </c>
      <c r="I565" s="131">
        <f ca="1" t="shared" si="193"/>
        <v>47</v>
      </c>
      <c r="J565" s="131">
        <f ca="1" t="shared" si="194"/>
        <v>47</v>
      </c>
      <c r="K565" s="131">
        <f ca="1" t="shared" si="195"/>
        <v>47</v>
      </c>
      <c r="L565" s="131">
        <f ca="1" t="shared" si="196"/>
        <v>47</v>
      </c>
      <c r="M565" s="131">
        <f ca="1" t="shared" si="197"/>
        <v>43</v>
      </c>
      <c r="N565" s="131">
        <f ca="1" t="shared" si="198"/>
        <v>43</v>
      </c>
      <c r="O565" s="131">
        <f ca="1" t="shared" si="199"/>
        <v>43</v>
      </c>
      <c r="P565" s="131">
        <f ca="1" t="shared" si="200"/>
        <v>43</v>
      </c>
      <c r="Q565" s="131">
        <f ca="1" t="shared" si="201"/>
        <v>43</v>
      </c>
      <c r="R565" s="131">
        <f ca="1" t="shared" si="202"/>
        <v>43</v>
      </c>
      <c r="S565" s="131">
        <f ca="1" t="shared" si="203"/>
        <v>45</v>
      </c>
      <c r="T565" s="131">
        <f ca="1" t="shared" si="204"/>
        <v>48</v>
      </c>
      <c r="U565" s="131">
        <f ca="1" t="shared" si="205"/>
        <v>48</v>
      </c>
      <c r="V565" s="131">
        <f ca="1" t="shared" si="206"/>
        <v>49</v>
      </c>
      <c r="W565" s="124">
        <f ca="1">OFFSET($K$19,_xlfn.XLOOKUP(X565,$D$9:$D$28,$H$9:$H$28),MATCH(OFFSET($C$29,B565,MATCH(X565,$D$29:$V$29,0)),$L$19:$R$19,1))*(1+(OFFSET($C$29,B565,MATCH(X565,$D$29:$V$29,0))-1)*_xlfn.XLOOKUP(X565,梦灵养成!$D$9:$D$28,梦灵养成!$G$9:$G$28))</f>
        <v>63.336</v>
      </c>
      <c r="X565" s="106" t="str">
        <f ca="1" t="shared" si="187"/>
        <v>神算诸葛</v>
      </c>
      <c r="Y565" s="95">
        <f ca="1" t="shared" si="186"/>
        <v>246600</v>
      </c>
      <c r="Z565" s="96">
        <f ca="1" t="shared" si="207"/>
        <v>5.8</v>
      </c>
    </row>
    <row r="566" s="106" customFormat="1" ht="16.5" spans="2:26">
      <c r="B566" s="117">
        <v>537</v>
      </c>
      <c r="C566" s="130">
        <f t="shared" si="208"/>
        <v>53700</v>
      </c>
      <c r="D566" s="131">
        <f ca="1" t="shared" si="188"/>
        <v>56</v>
      </c>
      <c r="E566" s="131">
        <f ca="1" t="shared" si="189"/>
        <v>56</v>
      </c>
      <c r="F566" s="131">
        <f ca="1" t="shared" si="190"/>
        <v>56</v>
      </c>
      <c r="G566" s="131">
        <f ca="1" t="shared" si="191"/>
        <v>47</v>
      </c>
      <c r="H566" s="131">
        <f ca="1" t="shared" si="192"/>
        <v>47</v>
      </c>
      <c r="I566" s="131">
        <f ca="1" t="shared" si="193"/>
        <v>47</v>
      </c>
      <c r="J566" s="131">
        <f ca="1" t="shared" si="194"/>
        <v>47</v>
      </c>
      <c r="K566" s="131">
        <f ca="1" t="shared" si="195"/>
        <v>47</v>
      </c>
      <c r="L566" s="131">
        <f ca="1" t="shared" si="196"/>
        <v>47</v>
      </c>
      <c r="M566" s="131">
        <f ca="1" t="shared" si="197"/>
        <v>43</v>
      </c>
      <c r="N566" s="131">
        <f ca="1" t="shared" si="198"/>
        <v>43</v>
      </c>
      <c r="O566" s="131">
        <f ca="1" t="shared" si="199"/>
        <v>43</v>
      </c>
      <c r="P566" s="131">
        <f ca="1" t="shared" si="200"/>
        <v>43</v>
      </c>
      <c r="Q566" s="131">
        <f ca="1" t="shared" si="201"/>
        <v>43</v>
      </c>
      <c r="R566" s="131">
        <f ca="1" t="shared" si="202"/>
        <v>43</v>
      </c>
      <c r="S566" s="131">
        <f ca="1" t="shared" si="203"/>
        <v>45</v>
      </c>
      <c r="T566" s="131">
        <f ca="1" t="shared" si="204"/>
        <v>48</v>
      </c>
      <c r="U566" s="131">
        <f ca="1" t="shared" si="205"/>
        <v>48</v>
      </c>
      <c r="V566" s="131">
        <f ca="1" t="shared" si="206"/>
        <v>49</v>
      </c>
      <c r="W566" s="124">
        <f ca="1">OFFSET($K$19,_xlfn.XLOOKUP(X566,$D$9:$D$28,$H$9:$H$28),MATCH(OFFSET($C$29,B566,MATCH(X566,$D$29:$V$29,0)),$L$19:$R$19,1))*(1+(OFFSET($C$29,B566,MATCH(X566,$D$29:$V$29,0))-1)*_xlfn.XLOOKUP(X566,梦灵养成!$D$9:$D$28,梦灵养成!$G$9:$G$28))</f>
        <v>63.336</v>
      </c>
      <c r="X566" s="106" t="str">
        <f ca="1" t="shared" si="187"/>
        <v>神算诸葛</v>
      </c>
      <c r="Y566" s="95">
        <f ca="1" t="shared" si="186"/>
        <v>246600</v>
      </c>
      <c r="Z566" s="96">
        <f ca="1" t="shared" si="207"/>
        <v>5.8</v>
      </c>
    </row>
    <row r="567" s="106" customFormat="1" ht="16.5" spans="2:26">
      <c r="B567" s="117">
        <v>538</v>
      </c>
      <c r="C567" s="130">
        <f t="shared" si="208"/>
        <v>53800</v>
      </c>
      <c r="D567" s="131">
        <f ca="1" t="shared" si="188"/>
        <v>56</v>
      </c>
      <c r="E567" s="131">
        <f ca="1" t="shared" si="189"/>
        <v>56</v>
      </c>
      <c r="F567" s="131">
        <f ca="1" t="shared" si="190"/>
        <v>56</v>
      </c>
      <c r="G567" s="131">
        <f ca="1" t="shared" si="191"/>
        <v>47</v>
      </c>
      <c r="H567" s="131">
        <f ca="1" t="shared" si="192"/>
        <v>47</v>
      </c>
      <c r="I567" s="131">
        <f ca="1" t="shared" si="193"/>
        <v>47</v>
      </c>
      <c r="J567" s="131">
        <f ca="1" t="shared" si="194"/>
        <v>47</v>
      </c>
      <c r="K567" s="131">
        <f ca="1" t="shared" si="195"/>
        <v>47</v>
      </c>
      <c r="L567" s="131">
        <f ca="1" t="shared" si="196"/>
        <v>47</v>
      </c>
      <c r="M567" s="131">
        <f ca="1" t="shared" si="197"/>
        <v>43</v>
      </c>
      <c r="N567" s="131">
        <f ca="1" t="shared" si="198"/>
        <v>43</v>
      </c>
      <c r="O567" s="131">
        <f ca="1" t="shared" si="199"/>
        <v>43</v>
      </c>
      <c r="P567" s="131">
        <f ca="1" t="shared" si="200"/>
        <v>43</v>
      </c>
      <c r="Q567" s="131">
        <f ca="1" t="shared" si="201"/>
        <v>43</v>
      </c>
      <c r="R567" s="131">
        <f ca="1" t="shared" si="202"/>
        <v>43</v>
      </c>
      <c r="S567" s="131">
        <f ca="1" t="shared" si="203"/>
        <v>45</v>
      </c>
      <c r="T567" s="131">
        <f ca="1" t="shared" si="204"/>
        <v>48</v>
      </c>
      <c r="U567" s="131">
        <f ca="1" t="shared" si="205"/>
        <v>48</v>
      </c>
      <c r="V567" s="131">
        <f ca="1" t="shared" si="206"/>
        <v>49</v>
      </c>
      <c r="W567" s="124">
        <f ca="1">OFFSET($K$19,_xlfn.XLOOKUP(X567,$D$9:$D$28,$H$9:$H$28),MATCH(OFFSET($C$29,B567,MATCH(X567,$D$29:$V$29,0)),$L$19:$R$19,1))*(1+(OFFSET($C$29,B567,MATCH(X567,$D$29:$V$29,0))-1)*_xlfn.XLOOKUP(X567,梦灵养成!$D$9:$D$28,梦灵养成!$G$9:$G$28))</f>
        <v>63.336</v>
      </c>
      <c r="X567" s="106" t="str">
        <f ca="1" t="shared" si="187"/>
        <v>神算诸葛</v>
      </c>
      <c r="Y567" s="95">
        <f ca="1" t="shared" ref="Y567:Y598" si="209">MAX(Y538:Y566)</f>
        <v>246600</v>
      </c>
      <c r="Z567" s="96">
        <f ca="1" t="shared" si="207"/>
        <v>5.8</v>
      </c>
    </row>
    <row r="568" s="106" customFormat="1" ht="16.5" spans="2:26">
      <c r="B568" s="117">
        <v>539</v>
      </c>
      <c r="C568" s="130">
        <f t="shared" si="208"/>
        <v>53900</v>
      </c>
      <c r="D568" s="131">
        <f ca="1" t="shared" si="188"/>
        <v>56</v>
      </c>
      <c r="E568" s="131">
        <f ca="1" t="shared" si="189"/>
        <v>56</v>
      </c>
      <c r="F568" s="131">
        <f ca="1" t="shared" si="190"/>
        <v>56</v>
      </c>
      <c r="G568" s="131">
        <f ca="1" t="shared" si="191"/>
        <v>47</v>
      </c>
      <c r="H568" s="131">
        <f ca="1" t="shared" si="192"/>
        <v>47</v>
      </c>
      <c r="I568" s="131">
        <f ca="1" t="shared" si="193"/>
        <v>47</v>
      </c>
      <c r="J568" s="131">
        <f ca="1" t="shared" si="194"/>
        <v>47</v>
      </c>
      <c r="K568" s="131">
        <f ca="1" t="shared" si="195"/>
        <v>47</v>
      </c>
      <c r="L568" s="131">
        <f ca="1" t="shared" si="196"/>
        <v>47</v>
      </c>
      <c r="M568" s="131">
        <f ca="1" t="shared" si="197"/>
        <v>43</v>
      </c>
      <c r="N568" s="131">
        <f ca="1" t="shared" si="198"/>
        <v>43</v>
      </c>
      <c r="O568" s="131">
        <f ca="1" t="shared" si="199"/>
        <v>43</v>
      </c>
      <c r="P568" s="131">
        <f ca="1" t="shared" si="200"/>
        <v>43</v>
      </c>
      <c r="Q568" s="131">
        <f ca="1" t="shared" si="201"/>
        <v>43</v>
      </c>
      <c r="R568" s="131">
        <f ca="1" t="shared" si="202"/>
        <v>43</v>
      </c>
      <c r="S568" s="131">
        <f ca="1" t="shared" si="203"/>
        <v>45</v>
      </c>
      <c r="T568" s="131">
        <f ca="1" t="shared" si="204"/>
        <v>48</v>
      </c>
      <c r="U568" s="131">
        <f ca="1" t="shared" si="205"/>
        <v>48</v>
      </c>
      <c r="V568" s="131">
        <f ca="1" t="shared" si="206"/>
        <v>49</v>
      </c>
      <c r="W568" s="124">
        <f ca="1">OFFSET($K$19,_xlfn.XLOOKUP(X568,$D$9:$D$28,$H$9:$H$28),MATCH(OFFSET($C$29,B568,MATCH(X568,$D$29:$V$29,0)),$L$19:$R$19,1))*(1+(OFFSET($C$29,B568,MATCH(X568,$D$29:$V$29,0))-1)*_xlfn.XLOOKUP(X568,梦灵养成!$D$9:$D$28,梦灵养成!$G$9:$G$28))</f>
        <v>63.336</v>
      </c>
      <c r="X568" s="106" t="str">
        <f ca="1" t="shared" si="187"/>
        <v>神算诸葛</v>
      </c>
      <c r="Y568" s="95">
        <f ca="1" t="shared" si="209"/>
        <v>246600</v>
      </c>
      <c r="Z568" s="96">
        <f ca="1" t="shared" si="207"/>
        <v>5.8</v>
      </c>
    </row>
    <row r="569" s="106" customFormat="1" ht="16.5" spans="2:26">
      <c r="B569" s="117">
        <v>540</v>
      </c>
      <c r="C569" s="130">
        <f t="shared" si="208"/>
        <v>54000</v>
      </c>
      <c r="D569" s="131">
        <f ca="1" t="shared" si="188"/>
        <v>56</v>
      </c>
      <c r="E569" s="131">
        <f ca="1" t="shared" si="189"/>
        <v>56</v>
      </c>
      <c r="F569" s="131">
        <f ca="1" t="shared" si="190"/>
        <v>56</v>
      </c>
      <c r="G569" s="131">
        <f ca="1" t="shared" si="191"/>
        <v>47</v>
      </c>
      <c r="H569" s="131">
        <f ca="1" t="shared" si="192"/>
        <v>47</v>
      </c>
      <c r="I569" s="131">
        <f ca="1" t="shared" si="193"/>
        <v>47</v>
      </c>
      <c r="J569" s="131">
        <f ca="1" t="shared" si="194"/>
        <v>47</v>
      </c>
      <c r="K569" s="131">
        <f ca="1" t="shared" si="195"/>
        <v>47</v>
      </c>
      <c r="L569" s="131">
        <f ca="1" t="shared" si="196"/>
        <v>47</v>
      </c>
      <c r="M569" s="131">
        <f ca="1" t="shared" si="197"/>
        <v>43</v>
      </c>
      <c r="N569" s="131">
        <f ca="1" t="shared" si="198"/>
        <v>43</v>
      </c>
      <c r="O569" s="131">
        <f ca="1" t="shared" si="199"/>
        <v>43</v>
      </c>
      <c r="P569" s="131">
        <f ca="1" t="shared" si="200"/>
        <v>43</v>
      </c>
      <c r="Q569" s="131">
        <f ca="1" t="shared" si="201"/>
        <v>44</v>
      </c>
      <c r="R569" s="131">
        <f ca="1" t="shared" si="202"/>
        <v>43</v>
      </c>
      <c r="S569" s="131">
        <f ca="1" t="shared" si="203"/>
        <v>45</v>
      </c>
      <c r="T569" s="131">
        <f ca="1" t="shared" si="204"/>
        <v>48</v>
      </c>
      <c r="U569" s="131">
        <f ca="1" t="shared" si="205"/>
        <v>48</v>
      </c>
      <c r="V569" s="131">
        <f ca="1" t="shared" si="206"/>
        <v>49</v>
      </c>
      <c r="W569" s="124">
        <f ca="1">OFFSET($K$19,_xlfn.XLOOKUP(X569,$D$9:$D$28,$H$9:$H$28),MATCH(OFFSET($C$29,B569,MATCH(X569,$D$29:$V$29,0)),$L$19:$R$19,1))*(1+(OFFSET($C$29,B569,MATCH(X569,$D$29:$V$29,0))-1)*_xlfn.XLOOKUP(X569,梦灵养成!$D$9:$D$28,梦灵养成!$G$9:$G$28))</f>
        <v>63.336</v>
      </c>
      <c r="X569" s="106" t="str">
        <f ca="1" t="shared" si="187"/>
        <v>神算诸葛</v>
      </c>
      <c r="Y569" s="95">
        <f ca="1" t="shared" si="209"/>
        <v>246600</v>
      </c>
      <c r="Z569" s="96">
        <f ca="1" t="shared" si="207"/>
        <v>5.8</v>
      </c>
    </row>
    <row r="570" s="106" customFormat="1" ht="16.5" spans="2:26">
      <c r="B570" s="117">
        <v>541</v>
      </c>
      <c r="C570" s="130">
        <f t="shared" si="208"/>
        <v>54100</v>
      </c>
      <c r="D570" s="131">
        <f ca="1" t="shared" si="188"/>
        <v>56</v>
      </c>
      <c r="E570" s="131">
        <f ca="1" t="shared" si="189"/>
        <v>56</v>
      </c>
      <c r="F570" s="131">
        <f ca="1" t="shared" si="190"/>
        <v>56</v>
      </c>
      <c r="G570" s="131">
        <f ca="1" t="shared" si="191"/>
        <v>47</v>
      </c>
      <c r="H570" s="131">
        <f ca="1" t="shared" si="192"/>
        <v>47</v>
      </c>
      <c r="I570" s="131">
        <f ca="1" t="shared" si="193"/>
        <v>47</v>
      </c>
      <c r="J570" s="131">
        <f ca="1" t="shared" si="194"/>
        <v>47</v>
      </c>
      <c r="K570" s="131">
        <f ca="1" t="shared" si="195"/>
        <v>47</v>
      </c>
      <c r="L570" s="131">
        <f ca="1" t="shared" si="196"/>
        <v>47</v>
      </c>
      <c r="M570" s="131">
        <f ca="1" t="shared" si="197"/>
        <v>43</v>
      </c>
      <c r="N570" s="131">
        <f ca="1" t="shared" si="198"/>
        <v>43</v>
      </c>
      <c r="O570" s="131">
        <f ca="1" t="shared" si="199"/>
        <v>43</v>
      </c>
      <c r="P570" s="131">
        <f ca="1" t="shared" si="200"/>
        <v>43</v>
      </c>
      <c r="Q570" s="131">
        <f ca="1" t="shared" si="201"/>
        <v>44</v>
      </c>
      <c r="R570" s="131">
        <f ca="1" t="shared" si="202"/>
        <v>43</v>
      </c>
      <c r="S570" s="131">
        <f ca="1" t="shared" si="203"/>
        <v>45</v>
      </c>
      <c r="T570" s="131">
        <f ca="1" t="shared" si="204"/>
        <v>48</v>
      </c>
      <c r="U570" s="131">
        <f ca="1" t="shared" si="205"/>
        <v>48</v>
      </c>
      <c r="V570" s="131">
        <f ca="1" t="shared" si="206"/>
        <v>49</v>
      </c>
      <c r="W570" s="124">
        <f ca="1">OFFSET($K$19,_xlfn.XLOOKUP(X570,$D$9:$D$28,$H$9:$H$28),MATCH(OFFSET($C$29,B570,MATCH(X570,$D$29:$V$29,0)),$L$19:$R$19,1))*(1+(OFFSET($C$29,B570,MATCH(X570,$D$29:$V$29,0))-1)*_xlfn.XLOOKUP(X570,梦灵养成!$D$9:$D$28,梦灵养成!$G$9:$G$28))</f>
        <v>63.336</v>
      </c>
      <c r="X570" s="106" t="str">
        <f ca="1" t="shared" si="187"/>
        <v>神算诸葛</v>
      </c>
      <c r="Y570" s="95">
        <f ca="1" t="shared" si="209"/>
        <v>246600</v>
      </c>
      <c r="Z570" s="96">
        <f ca="1" t="shared" si="207"/>
        <v>5.8</v>
      </c>
    </row>
    <row r="571" s="106" customFormat="1" ht="16.5" spans="2:26">
      <c r="B571" s="117">
        <v>542</v>
      </c>
      <c r="C571" s="130">
        <f t="shared" si="208"/>
        <v>54200</v>
      </c>
      <c r="D571" s="131">
        <f ca="1" t="shared" si="188"/>
        <v>56</v>
      </c>
      <c r="E571" s="131">
        <f ca="1" t="shared" si="189"/>
        <v>56</v>
      </c>
      <c r="F571" s="131">
        <f ca="1" t="shared" si="190"/>
        <v>56</v>
      </c>
      <c r="G571" s="131">
        <f ca="1" t="shared" si="191"/>
        <v>47</v>
      </c>
      <c r="H571" s="131">
        <f ca="1" t="shared" si="192"/>
        <v>47</v>
      </c>
      <c r="I571" s="131">
        <f ca="1" t="shared" si="193"/>
        <v>47</v>
      </c>
      <c r="J571" s="131">
        <f ca="1" t="shared" si="194"/>
        <v>47</v>
      </c>
      <c r="K571" s="131">
        <f ca="1" t="shared" si="195"/>
        <v>47</v>
      </c>
      <c r="L571" s="131">
        <f ca="1" t="shared" si="196"/>
        <v>47</v>
      </c>
      <c r="M571" s="131">
        <f ca="1" t="shared" si="197"/>
        <v>43</v>
      </c>
      <c r="N571" s="131">
        <f ca="1" t="shared" si="198"/>
        <v>43</v>
      </c>
      <c r="O571" s="131">
        <f ca="1" t="shared" si="199"/>
        <v>44</v>
      </c>
      <c r="P571" s="131">
        <f ca="1" t="shared" si="200"/>
        <v>43</v>
      </c>
      <c r="Q571" s="131">
        <f ca="1" t="shared" si="201"/>
        <v>44</v>
      </c>
      <c r="R571" s="131">
        <f ca="1" t="shared" si="202"/>
        <v>43</v>
      </c>
      <c r="S571" s="131">
        <f ca="1" t="shared" si="203"/>
        <v>45</v>
      </c>
      <c r="T571" s="131">
        <f ca="1" t="shared" si="204"/>
        <v>48</v>
      </c>
      <c r="U571" s="131">
        <f ca="1" t="shared" si="205"/>
        <v>48</v>
      </c>
      <c r="V571" s="131">
        <f ca="1" t="shared" si="206"/>
        <v>49</v>
      </c>
      <c r="W571" s="124">
        <f ca="1">OFFSET($K$19,_xlfn.XLOOKUP(X571,$D$9:$D$28,$H$9:$H$28),MATCH(OFFSET($C$29,B571,MATCH(X571,$D$29:$V$29,0)),$L$19:$R$19,1))*(1+(OFFSET($C$29,B571,MATCH(X571,$D$29:$V$29,0))-1)*_xlfn.XLOOKUP(X571,梦灵养成!$D$9:$D$28,梦灵养成!$G$9:$G$28))</f>
        <v>63.336</v>
      </c>
      <c r="X571" s="106" t="str">
        <f ca="1" t="shared" si="187"/>
        <v>神算诸葛</v>
      </c>
      <c r="Y571" s="95">
        <f ca="1" t="shared" si="209"/>
        <v>246600</v>
      </c>
      <c r="Z571" s="96">
        <f ca="1" t="shared" si="207"/>
        <v>5.8</v>
      </c>
    </row>
    <row r="572" s="106" customFormat="1" ht="16.5" spans="2:26">
      <c r="B572" s="117">
        <v>543</v>
      </c>
      <c r="C572" s="130">
        <f t="shared" si="208"/>
        <v>54300</v>
      </c>
      <c r="D572" s="131">
        <f ca="1" t="shared" si="188"/>
        <v>56</v>
      </c>
      <c r="E572" s="131">
        <f ca="1" t="shared" si="189"/>
        <v>56</v>
      </c>
      <c r="F572" s="131">
        <f ca="1" t="shared" si="190"/>
        <v>56</v>
      </c>
      <c r="G572" s="131">
        <f ca="1" t="shared" si="191"/>
        <v>47</v>
      </c>
      <c r="H572" s="131">
        <f ca="1" t="shared" si="192"/>
        <v>47</v>
      </c>
      <c r="I572" s="131">
        <f ca="1" t="shared" si="193"/>
        <v>47</v>
      </c>
      <c r="J572" s="131">
        <f ca="1" t="shared" si="194"/>
        <v>47</v>
      </c>
      <c r="K572" s="131">
        <f ca="1" t="shared" si="195"/>
        <v>47</v>
      </c>
      <c r="L572" s="131">
        <f ca="1" t="shared" si="196"/>
        <v>47</v>
      </c>
      <c r="M572" s="131">
        <f ca="1" t="shared" si="197"/>
        <v>43</v>
      </c>
      <c r="N572" s="131">
        <f ca="1" t="shared" si="198"/>
        <v>43</v>
      </c>
      <c r="O572" s="131">
        <f ca="1" t="shared" si="199"/>
        <v>44</v>
      </c>
      <c r="P572" s="131">
        <f ca="1" t="shared" si="200"/>
        <v>43</v>
      </c>
      <c r="Q572" s="131">
        <f ca="1" t="shared" si="201"/>
        <v>44</v>
      </c>
      <c r="R572" s="131">
        <f ca="1" t="shared" si="202"/>
        <v>43</v>
      </c>
      <c r="S572" s="131">
        <f ca="1" t="shared" si="203"/>
        <v>45</v>
      </c>
      <c r="T572" s="131">
        <f ca="1" t="shared" si="204"/>
        <v>48</v>
      </c>
      <c r="U572" s="131">
        <f ca="1" t="shared" si="205"/>
        <v>48</v>
      </c>
      <c r="V572" s="131">
        <f ca="1" t="shared" si="206"/>
        <v>49</v>
      </c>
      <c r="W572" s="124">
        <f ca="1">OFFSET($K$19,_xlfn.XLOOKUP(X572,$D$9:$D$28,$H$9:$H$28),MATCH(OFFSET($C$29,B572,MATCH(X572,$D$29:$V$29,0)),$L$19:$R$19,1))*(1+(OFFSET($C$29,B572,MATCH(X572,$D$29:$V$29,0))-1)*_xlfn.XLOOKUP(X572,梦灵养成!$D$9:$D$28,梦灵养成!$G$9:$G$28))</f>
        <v>63.336</v>
      </c>
      <c r="X572" s="106" t="str">
        <f ca="1" t="shared" si="187"/>
        <v>神算诸葛</v>
      </c>
      <c r="Y572" s="95">
        <f ca="1" t="shared" si="209"/>
        <v>246600</v>
      </c>
      <c r="Z572" s="96">
        <f ca="1" t="shared" si="207"/>
        <v>5.8</v>
      </c>
    </row>
    <row r="573" s="106" customFormat="1" ht="16.5" spans="2:26">
      <c r="B573" s="117">
        <v>544</v>
      </c>
      <c r="C573" s="130">
        <f t="shared" si="208"/>
        <v>54400</v>
      </c>
      <c r="D573" s="131">
        <f ca="1" t="shared" si="188"/>
        <v>56</v>
      </c>
      <c r="E573" s="131">
        <f ca="1" t="shared" si="189"/>
        <v>56</v>
      </c>
      <c r="F573" s="131">
        <f ca="1" t="shared" si="190"/>
        <v>56</v>
      </c>
      <c r="G573" s="131">
        <f ca="1" t="shared" si="191"/>
        <v>47</v>
      </c>
      <c r="H573" s="131">
        <f ca="1" t="shared" si="192"/>
        <v>47</v>
      </c>
      <c r="I573" s="131">
        <f ca="1" t="shared" si="193"/>
        <v>47</v>
      </c>
      <c r="J573" s="131">
        <f ca="1" t="shared" si="194"/>
        <v>47</v>
      </c>
      <c r="K573" s="131">
        <f ca="1" t="shared" si="195"/>
        <v>47</v>
      </c>
      <c r="L573" s="131">
        <f ca="1" t="shared" si="196"/>
        <v>47</v>
      </c>
      <c r="M573" s="131">
        <f ca="1" t="shared" si="197"/>
        <v>43</v>
      </c>
      <c r="N573" s="131">
        <f ca="1" t="shared" si="198"/>
        <v>43</v>
      </c>
      <c r="O573" s="131">
        <f ca="1" t="shared" si="199"/>
        <v>44</v>
      </c>
      <c r="P573" s="131">
        <f ca="1" t="shared" si="200"/>
        <v>43</v>
      </c>
      <c r="Q573" s="131">
        <f ca="1" t="shared" si="201"/>
        <v>44</v>
      </c>
      <c r="R573" s="131">
        <f ca="1" t="shared" si="202"/>
        <v>43</v>
      </c>
      <c r="S573" s="131">
        <f ca="1" t="shared" si="203"/>
        <v>45</v>
      </c>
      <c r="T573" s="131">
        <f ca="1" t="shared" si="204"/>
        <v>48</v>
      </c>
      <c r="U573" s="131">
        <f ca="1" t="shared" si="205"/>
        <v>48</v>
      </c>
      <c r="V573" s="131">
        <f ca="1" t="shared" si="206"/>
        <v>49</v>
      </c>
      <c r="W573" s="124">
        <f ca="1">OFFSET($K$19,_xlfn.XLOOKUP(X573,$D$9:$D$28,$H$9:$H$28),MATCH(OFFSET($C$29,B573,MATCH(X573,$D$29:$V$29,0)),$L$19:$R$19,1))*(1+(OFFSET($C$29,B573,MATCH(X573,$D$29:$V$29,0))-1)*_xlfn.XLOOKUP(X573,梦灵养成!$D$9:$D$28,梦灵养成!$G$9:$G$28))</f>
        <v>63.336</v>
      </c>
      <c r="X573" s="106" t="str">
        <f ca="1" t="shared" si="187"/>
        <v>神算诸葛</v>
      </c>
      <c r="Y573" s="95">
        <f ca="1" t="shared" si="209"/>
        <v>246600</v>
      </c>
      <c r="Z573" s="96">
        <f ca="1" t="shared" si="207"/>
        <v>5.8</v>
      </c>
    </row>
    <row r="574" s="106" customFormat="1" ht="16.5" spans="2:26">
      <c r="B574" s="117">
        <v>545</v>
      </c>
      <c r="C574" s="130">
        <f t="shared" si="208"/>
        <v>54500</v>
      </c>
      <c r="D574" s="131">
        <f ca="1" t="shared" si="188"/>
        <v>56</v>
      </c>
      <c r="E574" s="131">
        <f ca="1" t="shared" si="189"/>
        <v>56</v>
      </c>
      <c r="F574" s="131">
        <f ca="1" t="shared" si="190"/>
        <v>56</v>
      </c>
      <c r="G574" s="131">
        <f ca="1" t="shared" si="191"/>
        <v>47</v>
      </c>
      <c r="H574" s="131">
        <f ca="1" t="shared" si="192"/>
        <v>47</v>
      </c>
      <c r="I574" s="131">
        <f ca="1" t="shared" si="193"/>
        <v>47</v>
      </c>
      <c r="J574" s="131">
        <f ca="1" t="shared" si="194"/>
        <v>47</v>
      </c>
      <c r="K574" s="131">
        <f ca="1" t="shared" si="195"/>
        <v>47</v>
      </c>
      <c r="L574" s="131">
        <f ca="1" t="shared" si="196"/>
        <v>47</v>
      </c>
      <c r="M574" s="131">
        <f ca="1" t="shared" si="197"/>
        <v>43</v>
      </c>
      <c r="N574" s="131">
        <f ca="1" t="shared" si="198"/>
        <v>44</v>
      </c>
      <c r="O574" s="131">
        <f ca="1" t="shared" si="199"/>
        <v>44</v>
      </c>
      <c r="P574" s="131">
        <f ca="1" t="shared" si="200"/>
        <v>43</v>
      </c>
      <c r="Q574" s="131">
        <f ca="1" t="shared" si="201"/>
        <v>44</v>
      </c>
      <c r="R574" s="131">
        <f ca="1" t="shared" si="202"/>
        <v>43</v>
      </c>
      <c r="S574" s="131">
        <f ca="1" t="shared" si="203"/>
        <v>45</v>
      </c>
      <c r="T574" s="131">
        <f ca="1" t="shared" si="204"/>
        <v>48</v>
      </c>
      <c r="U574" s="131">
        <f ca="1" t="shared" si="205"/>
        <v>48</v>
      </c>
      <c r="V574" s="131">
        <f ca="1" t="shared" si="206"/>
        <v>49</v>
      </c>
      <c r="W574" s="124">
        <f ca="1">OFFSET($K$19,_xlfn.XLOOKUP(X574,$D$9:$D$28,$H$9:$H$28),MATCH(OFFSET($C$29,B574,MATCH(X574,$D$29:$V$29,0)),$L$19:$R$19,1))*(1+(OFFSET($C$29,B574,MATCH(X574,$D$29:$V$29,0))-1)*_xlfn.XLOOKUP(X574,梦灵养成!$D$9:$D$28,梦灵养成!$G$9:$G$28))</f>
        <v>63.336</v>
      </c>
      <c r="X574" s="106" t="str">
        <f ca="1" t="shared" si="187"/>
        <v>神算诸葛</v>
      </c>
      <c r="Y574" s="95">
        <f ca="1" t="shared" si="209"/>
        <v>246600</v>
      </c>
      <c r="Z574" s="96">
        <f ca="1" t="shared" si="207"/>
        <v>5.8</v>
      </c>
    </row>
    <row r="575" s="106" customFormat="1" ht="16.5" spans="2:26">
      <c r="B575" s="117">
        <v>546</v>
      </c>
      <c r="C575" s="130">
        <f t="shared" si="208"/>
        <v>54600</v>
      </c>
      <c r="D575" s="131">
        <f ca="1" t="shared" si="188"/>
        <v>56</v>
      </c>
      <c r="E575" s="131">
        <f ca="1" t="shared" si="189"/>
        <v>56</v>
      </c>
      <c r="F575" s="131">
        <f ca="1" t="shared" si="190"/>
        <v>56</v>
      </c>
      <c r="G575" s="131">
        <f ca="1" t="shared" si="191"/>
        <v>47</v>
      </c>
      <c r="H575" s="131">
        <f ca="1" t="shared" si="192"/>
        <v>47</v>
      </c>
      <c r="I575" s="131">
        <f ca="1" t="shared" si="193"/>
        <v>47</v>
      </c>
      <c r="J575" s="131">
        <f ca="1" t="shared" si="194"/>
        <v>47</v>
      </c>
      <c r="K575" s="131">
        <f ca="1" t="shared" si="195"/>
        <v>47</v>
      </c>
      <c r="L575" s="131">
        <f ca="1" t="shared" si="196"/>
        <v>47</v>
      </c>
      <c r="M575" s="131">
        <f ca="1" t="shared" si="197"/>
        <v>44</v>
      </c>
      <c r="N575" s="131">
        <f ca="1" t="shared" si="198"/>
        <v>44</v>
      </c>
      <c r="O575" s="131">
        <f ca="1" t="shared" si="199"/>
        <v>44</v>
      </c>
      <c r="P575" s="131">
        <f ca="1" t="shared" si="200"/>
        <v>43</v>
      </c>
      <c r="Q575" s="131">
        <f ca="1" t="shared" si="201"/>
        <v>44</v>
      </c>
      <c r="R575" s="131">
        <f ca="1" t="shared" si="202"/>
        <v>44</v>
      </c>
      <c r="S575" s="131">
        <f ca="1" t="shared" si="203"/>
        <v>45</v>
      </c>
      <c r="T575" s="131">
        <f ca="1" t="shared" si="204"/>
        <v>48</v>
      </c>
      <c r="U575" s="131">
        <f ca="1" t="shared" si="205"/>
        <v>48</v>
      </c>
      <c r="V575" s="131">
        <f ca="1" t="shared" si="206"/>
        <v>49</v>
      </c>
      <c r="W575" s="124">
        <f ca="1">OFFSET($K$19,_xlfn.XLOOKUP(X575,$D$9:$D$28,$H$9:$H$28),MATCH(OFFSET($C$29,B575,MATCH(X575,$D$29:$V$29,0)),$L$19:$R$19,1))*(1+(OFFSET($C$29,B575,MATCH(X575,$D$29:$V$29,0))-1)*_xlfn.XLOOKUP(X575,梦灵养成!$D$9:$D$28,梦灵养成!$G$9:$G$28))</f>
        <v>63.336</v>
      </c>
      <c r="X575" s="106" t="str">
        <f ca="1" t="shared" si="187"/>
        <v>神算诸葛</v>
      </c>
      <c r="Y575" s="95">
        <f ca="1" t="shared" si="209"/>
        <v>246600</v>
      </c>
      <c r="Z575" s="96">
        <f ca="1" t="shared" si="207"/>
        <v>5.8</v>
      </c>
    </row>
    <row r="576" s="106" customFormat="1" ht="16.5" spans="2:26">
      <c r="B576" s="117">
        <v>547</v>
      </c>
      <c r="C576" s="130">
        <f t="shared" si="208"/>
        <v>54700</v>
      </c>
      <c r="D576" s="131">
        <f ca="1" t="shared" si="188"/>
        <v>56</v>
      </c>
      <c r="E576" s="131">
        <f ca="1" t="shared" si="189"/>
        <v>56</v>
      </c>
      <c r="F576" s="131">
        <f ca="1" t="shared" si="190"/>
        <v>56</v>
      </c>
      <c r="G576" s="131">
        <f ca="1" t="shared" si="191"/>
        <v>47</v>
      </c>
      <c r="H576" s="131">
        <f ca="1" t="shared" si="192"/>
        <v>47</v>
      </c>
      <c r="I576" s="131">
        <f ca="1" t="shared" si="193"/>
        <v>47</v>
      </c>
      <c r="J576" s="131">
        <f ca="1" t="shared" si="194"/>
        <v>47</v>
      </c>
      <c r="K576" s="131">
        <f ca="1" t="shared" si="195"/>
        <v>47</v>
      </c>
      <c r="L576" s="131">
        <f ca="1" t="shared" si="196"/>
        <v>47</v>
      </c>
      <c r="M576" s="131">
        <f ca="1" t="shared" si="197"/>
        <v>44</v>
      </c>
      <c r="N576" s="131">
        <f ca="1" t="shared" si="198"/>
        <v>44</v>
      </c>
      <c r="O576" s="131">
        <f ca="1" t="shared" si="199"/>
        <v>44</v>
      </c>
      <c r="P576" s="131">
        <f ca="1" t="shared" si="200"/>
        <v>43</v>
      </c>
      <c r="Q576" s="131">
        <f ca="1" t="shared" si="201"/>
        <v>44</v>
      </c>
      <c r="R576" s="131">
        <f ca="1" t="shared" si="202"/>
        <v>44</v>
      </c>
      <c r="S576" s="131">
        <f ca="1" t="shared" si="203"/>
        <v>45</v>
      </c>
      <c r="T576" s="131">
        <f ca="1" t="shared" si="204"/>
        <v>48</v>
      </c>
      <c r="U576" s="131">
        <f ca="1" t="shared" si="205"/>
        <v>49</v>
      </c>
      <c r="V576" s="131">
        <f ca="1" t="shared" si="206"/>
        <v>49</v>
      </c>
      <c r="W576" s="124">
        <f ca="1">OFFSET($K$19,_xlfn.XLOOKUP(X576,$D$9:$D$28,$H$9:$H$28),MATCH(OFFSET($C$29,B576,MATCH(X576,$D$29:$V$29,0)),$L$19:$R$19,1))*(1+(OFFSET($C$29,B576,MATCH(X576,$D$29:$V$29,0))-1)*_xlfn.XLOOKUP(X576,梦灵养成!$D$9:$D$28,梦灵养成!$G$9:$G$28))</f>
        <v>63.336</v>
      </c>
      <c r="X576" s="106" t="str">
        <f ca="1" t="shared" si="187"/>
        <v>神算诸葛</v>
      </c>
      <c r="Y576" s="95">
        <f ca="1" t="shared" si="209"/>
        <v>246600</v>
      </c>
      <c r="Z576" s="96">
        <f ca="1" t="shared" si="207"/>
        <v>5.8</v>
      </c>
    </row>
    <row r="577" s="106" customFormat="1" ht="16.5" spans="2:26">
      <c r="B577" s="117">
        <v>548</v>
      </c>
      <c r="C577" s="130">
        <f t="shared" si="208"/>
        <v>54800</v>
      </c>
      <c r="D577" s="131">
        <f ca="1" t="shared" si="188"/>
        <v>56</v>
      </c>
      <c r="E577" s="131">
        <f ca="1" t="shared" si="189"/>
        <v>56</v>
      </c>
      <c r="F577" s="131">
        <f ca="1" t="shared" si="190"/>
        <v>56</v>
      </c>
      <c r="G577" s="131">
        <f ca="1" t="shared" si="191"/>
        <v>47</v>
      </c>
      <c r="H577" s="131">
        <f ca="1" t="shared" si="192"/>
        <v>47</v>
      </c>
      <c r="I577" s="131">
        <f ca="1" t="shared" si="193"/>
        <v>47</v>
      </c>
      <c r="J577" s="131">
        <f ca="1" t="shared" si="194"/>
        <v>47</v>
      </c>
      <c r="K577" s="131">
        <f ca="1" t="shared" si="195"/>
        <v>47</v>
      </c>
      <c r="L577" s="131">
        <f ca="1" t="shared" si="196"/>
        <v>47</v>
      </c>
      <c r="M577" s="131">
        <f ca="1" t="shared" si="197"/>
        <v>44</v>
      </c>
      <c r="N577" s="131">
        <f ca="1" t="shared" si="198"/>
        <v>44</v>
      </c>
      <c r="O577" s="131">
        <f ca="1" t="shared" si="199"/>
        <v>44</v>
      </c>
      <c r="P577" s="131">
        <f ca="1" t="shared" si="200"/>
        <v>43</v>
      </c>
      <c r="Q577" s="131">
        <f ca="1" t="shared" si="201"/>
        <v>44</v>
      </c>
      <c r="R577" s="131">
        <f ca="1" t="shared" si="202"/>
        <v>44</v>
      </c>
      <c r="S577" s="131">
        <f ca="1" t="shared" si="203"/>
        <v>45</v>
      </c>
      <c r="T577" s="131">
        <f ca="1" t="shared" si="204"/>
        <v>48</v>
      </c>
      <c r="U577" s="131">
        <f ca="1" t="shared" si="205"/>
        <v>49</v>
      </c>
      <c r="V577" s="131">
        <f ca="1" t="shared" si="206"/>
        <v>49</v>
      </c>
      <c r="W577" s="124">
        <f ca="1">OFFSET($K$19,_xlfn.XLOOKUP(X577,$D$9:$D$28,$H$9:$H$28),MATCH(OFFSET($C$29,B577,MATCH(X577,$D$29:$V$29,0)),$L$19:$R$19,1))*(1+(OFFSET($C$29,B577,MATCH(X577,$D$29:$V$29,0))-1)*_xlfn.XLOOKUP(X577,梦灵养成!$D$9:$D$28,梦灵养成!$G$9:$G$28))</f>
        <v>63.336</v>
      </c>
      <c r="X577" s="106" t="str">
        <f ca="1" t="shared" si="187"/>
        <v>神算诸葛</v>
      </c>
      <c r="Y577" s="95">
        <f ca="1" t="shared" si="209"/>
        <v>246600</v>
      </c>
      <c r="Z577" s="96">
        <f ca="1" t="shared" si="207"/>
        <v>5.8</v>
      </c>
    </row>
    <row r="578" s="106" customFormat="1" ht="16.5" spans="2:26">
      <c r="B578" s="117">
        <v>549</v>
      </c>
      <c r="C578" s="130">
        <f t="shared" si="208"/>
        <v>54900</v>
      </c>
      <c r="D578" s="131">
        <f ca="1" t="shared" si="188"/>
        <v>56</v>
      </c>
      <c r="E578" s="131">
        <f ca="1" t="shared" si="189"/>
        <v>56</v>
      </c>
      <c r="F578" s="131">
        <f ca="1" t="shared" si="190"/>
        <v>56</v>
      </c>
      <c r="G578" s="131">
        <f ca="1" t="shared" si="191"/>
        <v>47</v>
      </c>
      <c r="H578" s="131">
        <f ca="1" t="shared" si="192"/>
        <v>47</v>
      </c>
      <c r="I578" s="131">
        <f ca="1" t="shared" si="193"/>
        <v>47</v>
      </c>
      <c r="J578" s="131">
        <f ca="1" t="shared" si="194"/>
        <v>47</v>
      </c>
      <c r="K578" s="131">
        <f ca="1" t="shared" si="195"/>
        <v>47</v>
      </c>
      <c r="L578" s="131">
        <f ca="1" t="shared" si="196"/>
        <v>47</v>
      </c>
      <c r="M578" s="131">
        <f ca="1" t="shared" si="197"/>
        <v>44</v>
      </c>
      <c r="N578" s="131">
        <f ca="1" t="shared" si="198"/>
        <v>44</v>
      </c>
      <c r="O578" s="131">
        <f ca="1" t="shared" si="199"/>
        <v>44</v>
      </c>
      <c r="P578" s="131">
        <f ca="1" t="shared" si="200"/>
        <v>44</v>
      </c>
      <c r="Q578" s="131">
        <f ca="1" t="shared" si="201"/>
        <v>44</v>
      </c>
      <c r="R578" s="131">
        <f ca="1" t="shared" si="202"/>
        <v>44</v>
      </c>
      <c r="S578" s="131">
        <f ca="1" t="shared" si="203"/>
        <v>45</v>
      </c>
      <c r="T578" s="131">
        <f ca="1" t="shared" si="204"/>
        <v>48</v>
      </c>
      <c r="U578" s="131">
        <f ca="1" t="shared" si="205"/>
        <v>49</v>
      </c>
      <c r="V578" s="131">
        <f ca="1" t="shared" si="206"/>
        <v>49</v>
      </c>
      <c r="W578" s="124">
        <f ca="1">OFFSET($K$19,_xlfn.XLOOKUP(X578,$D$9:$D$28,$H$9:$H$28),MATCH(OFFSET($C$29,B578,MATCH(X578,$D$29:$V$29,0)),$L$19:$R$19,1))*(1+(OFFSET($C$29,B578,MATCH(X578,$D$29:$V$29,0))-1)*_xlfn.XLOOKUP(X578,梦灵养成!$D$9:$D$28,梦灵养成!$G$9:$G$28))</f>
        <v>63.336</v>
      </c>
      <c r="X578" s="106" t="str">
        <f ca="1" t="shared" si="187"/>
        <v>神算诸葛</v>
      </c>
      <c r="Y578" s="95">
        <f ca="1" t="shared" si="209"/>
        <v>246600</v>
      </c>
      <c r="Z578" s="96">
        <f ca="1" t="shared" si="207"/>
        <v>5.8</v>
      </c>
    </row>
    <row r="579" s="106" customFormat="1" ht="16.5" spans="2:26">
      <c r="B579" s="117">
        <v>550</v>
      </c>
      <c r="C579" s="130">
        <f t="shared" si="208"/>
        <v>55000</v>
      </c>
      <c r="D579" s="131">
        <f ca="1" t="shared" si="188"/>
        <v>56</v>
      </c>
      <c r="E579" s="131">
        <f ca="1" t="shared" si="189"/>
        <v>56</v>
      </c>
      <c r="F579" s="131">
        <f ca="1" t="shared" si="190"/>
        <v>56</v>
      </c>
      <c r="G579" s="131">
        <f ca="1" t="shared" si="191"/>
        <v>47</v>
      </c>
      <c r="H579" s="131">
        <f ca="1" t="shared" si="192"/>
        <v>47</v>
      </c>
      <c r="I579" s="131">
        <f ca="1" t="shared" si="193"/>
        <v>47</v>
      </c>
      <c r="J579" s="131">
        <f ca="1" t="shared" si="194"/>
        <v>47</v>
      </c>
      <c r="K579" s="131">
        <f ca="1" t="shared" si="195"/>
        <v>47</v>
      </c>
      <c r="L579" s="131">
        <f ca="1" t="shared" si="196"/>
        <v>47</v>
      </c>
      <c r="M579" s="131">
        <f ca="1" t="shared" si="197"/>
        <v>44</v>
      </c>
      <c r="N579" s="131">
        <f ca="1" t="shared" si="198"/>
        <v>44</v>
      </c>
      <c r="O579" s="131">
        <f ca="1" t="shared" si="199"/>
        <v>44</v>
      </c>
      <c r="P579" s="131">
        <f ca="1" t="shared" si="200"/>
        <v>44</v>
      </c>
      <c r="Q579" s="131">
        <f ca="1" t="shared" si="201"/>
        <v>44</v>
      </c>
      <c r="R579" s="131">
        <f ca="1" t="shared" si="202"/>
        <v>44</v>
      </c>
      <c r="S579" s="131">
        <f ca="1" t="shared" si="203"/>
        <v>45</v>
      </c>
      <c r="T579" s="131">
        <f ca="1" t="shared" si="204"/>
        <v>48</v>
      </c>
      <c r="U579" s="131">
        <f ca="1" t="shared" si="205"/>
        <v>49</v>
      </c>
      <c r="V579" s="131">
        <f ca="1" t="shared" si="206"/>
        <v>49</v>
      </c>
      <c r="W579" s="124">
        <f ca="1">OFFSET($K$19,_xlfn.XLOOKUP(X579,$D$9:$D$28,$H$9:$H$28),MATCH(OFFSET($C$29,B579,MATCH(X579,$D$29:$V$29,0)),$L$19:$R$19,1))*(1+(OFFSET($C$29,B579,MATCH(X579,$D$29:$V$29,0))-1)*_xlfn.XLOOKUP(X579,梦灵养成!$D$9:$D$28,梦灵养成!$G$9:$G$28))</f>
        <v>63.336</v>
      </c>
      <c r="X579" s="106" t="str">
        <f ca="1" t="shared" si="187"/>
        <v>神算诸葛</v>
      </c>
      <c r="Y579" s="95">
        <f ca="1" t="shared" si="209"/>
        <v>246600</v>
      </c>
      <c r="Z579" s="96">
        <f ca="1" t="shared" si="207"/>
        <v>5.8</v>
      </c>
    </row>
    <row r="580" s="106" customFormat="1" ht="16.5" spans="2:26">
      <c r="B580" s="117">
        <v>551</v>
      </c>
      <c r="C580" s="130">
        <f t="shared" si="208"/>
        <v>55100</v>
      </c>
      <c r="D580" s="131">
        <f ca="1" t="shared" si="188"/>
        <v>56</v>
      </c>
      <c r="E580" s="131">
        <f ca="1" t="shared" si="189"/>
        <v>56</v>
      </c>
      <c r="F580" s="131">
        <f ca="1" t="shared" si="190"/>
        <v>56</v>
      </c>
      <c r="G580" s="131">
        <f ca="1" t="shared" si="191"/>
        <v>47</v>
      </c>
      <c r="H580" s="131">
        <f ca="1" t="shared" si="192"/>
        <v>47</v>
      </c>
      <c r="I580" s="131">
        <f ca="1" t="shared" si="193"/>
        <v>47</v>
      </c>
      <c r="J580" s="131">
        <f ca="1" t="shared" si="194"/>
        <v>47</v>
      </c>
      <c r="K580" s="131">
        <f ca="1" t="shared" si="195"/>
        <v>47</v>
      </c>
      <c r="L580" s="131">
        <f ca="1" t="shared" si="196"/>
        <v>47</v>
      </c>
      <c r="M580" s="131">
        <f ca="1" t="shared" si="197"/>
        <v>44</v>
      </c>
      <c r="N580" s="131">
        <f ca="1" t="shared" si="198"/>
        <v>44</v>
      </c>
      <c r="O580" s="131">
        <f ca="1" t="shared" si="199"/>
        <v>44</v>
      </c>
      <c r="P580" s="131">
        <f ca="1" t="shared" si="200"/>
        <v>44</v>
      </c>
      <c r="Q580" s="131">
        <f ca="1" t="shared" si="201"/>
        <v>44</v>
      </c>
      <c r="R580" s="131">
        <f ca="1" t="shared" si="202"/>
        <v>44</v>
      </c>
      <c r="S580" s="131">
        <f ca="1" t="shared" si="203"/>
        <v>45</v>
      </c>
      <c r="T580" s="131">
        <f ca="1" t="shared" si="204"/>
        <v>48</v>
      </c>
      <c r="U580" s="131">
        <f ca="1" t="shared" si="205"/>
        <v>49</v>
      </c>
      <c r="V580" s="131">
        <f ca="1" t="shared" si="206"/>
        <v>49</v>
      </c>
      <c r="W580" s="124">
        <f ca="1">OFFSET($K$19,_xlfn.XLOOKUP(X580,$D$9:$D$28,$H$9:$H$28),MATCH(OFFSET($C$29,B580,MATCH(X580,$D$29:$V$29,0)),$L$19:$R$19,1))*(1+(OFFSET($C$29,B580,MATCH(X580,$D$29:$V$29,0))-1)*_xlfn.XLOOKUP(X580,梦灵养成!$D$9:$D$28,梦灵养成!$G$9:$G$28))</f>
        <v>63.336</v>
      </c>
      <c r="X580" s="106" t="str">
        <f ca="1" t="shared" si="187"/>
        <v>神算诸葛</v>
      </c>
      <c r="Y580" s="95">
        <f ca="1" t="shared" si="209"/>
        <v>246600</v>
      </c>
      <c r="Z580" s="96">
        <f ca="1" t="shared" si="207"/>
        <v>5.8</v>
      </c>
    </row>
    <row r="581" s="106" customFormat="1" ht="16.5" spans="2:26">
      <c r="B581" s="117">
        <v>552</v>
      </c>
      <c r="C581" s="130">
        <f t="shared" si="208"/>
        <v>55200</v>
      </c>
      <c r="D581" s="131">
        <f ca="1" t="shared" si="188"/>
        <v>56</v>
      </c>
      <c r="E581" s="131">
        <f ca="1" t="shared" si="189"/>
        <v>56</v>
      </c>
      <c r="F581" s="131">
        <f ca="1" t="shared" si="190"/>
        <v>56</v>
      </c>
      <c r="G581" s="131">
        <f ca="1" t="shared" si="191"/>
        <v>47</v>
      </c>
      <c r="H581" s="131">
        <f ca="1" t="shared" si="192"/>
        <v>47</v>
      </c>
      <c r="I581" s="131">
        <f ca="1" t="shared" si="193"/>
        <v>47</v>
      </c>
      <c r="J581" s="131">
        <f ca="1" t="shared" si="194"/>
        <v>47</v>
      </c>
      <c r="K581" s="131">
        <f ca="1" t="shared" si="195"/>
        <v>47</v>
      </c>
      <c r="L581" s="131">
        <f ca="1" t="shared" si="196"/>
        <v>47</v>
      </c>
      <c r="M581" s="131">
        <f ca="1" t="shared" si="197"/>
        <v>44</v>
      </c>
      <c r="N581" s="131">
        <f ca="1" t="shared" si="198"/>
        <v>44</v>
      </c>
      <c r="O581" s="131">
        <f ca="1" t="shared" si="199"/>
        <v>44</v>
      </c>
      <c r="P581" s="131">
        <f ca="1" t="shared" si="200"/>
        <v>44</v>
      </c>
      <c r="Q581" s="131">
        <f ca="1" t="shared" si="201"/>
        <v>44</v>
      </c>
      <c r="R581" s="131">
        <f ca="1" t="shared" si="202"/>
        <v>44</v>
      </c>
      <c r="S581" s="131">
        <f ca="1" t="shared" si="203"/>
        <v>45</v>
      </c>
      <c r="T581" s="131">
        <f ca="1" t="shared" si="204"/>
        <v>49</v>
      </c>
      <c r="U581" s="131">
        <f ca="1" t="shared" si="205"/>
        <v>49</v>
      </c>
      <c r="V581" s="131">
        <f ca="1" t="shared" si="206"/>
        <v>49</v>
      </c>
      <c r="W581" s="124">
        <f ca="1">OFFSET($K$19,_xlfn.XLOOKUP(X581,$D$9:$D$28,$H$9:$H$28),MATCH(OFFSET($C$29,B581,MATCH(X581,$D$29:$V$29,0)),$L$19:$R$19,1))*(1+(OFFSET($C$29,B581,MATCH(X581,$D$29:$V$29,0))-1)*_xlfn.XLOOKUP(X581,梦灵养成!$D$9:$D$28,梦灵养成!$G$9:$G$28))</f>
        <v>63.336</v>
      </c>
      <c r="X581" s="106" t="str">
        <f ca="1" t="shared" si="187"/>
        <v>神算诸葛</v>
      </c>
      <c r="Y581" s="95">
        <f ca="1" t="shared" si="209"/>
        <v>246600</v>
      </c>
      <c r="Z581" s="96">
        <f ca="1" t="shared" si="207"/>
        <v>5.8</v>
      </c>
    </row>
    <row r="582" s="106" customFormat="1" ht="16.5" spans="2:26">
      <c r="B582" s="117">
        <v>553</v>
      </c>
      <c r="C582" s="130">
        <f t="shared" si="208"/>
        <v>55300</v>
      </c>
      <c r="D582" s="131">
        <f ca="1" t="shared" si="188"/>
        <v>56</v>
      </c>
      <c r="E582" s="131">
        <f ca="1" t="shared" si="189"/>
        <v>56</v>
      </c>
      <c r="F582" s="131">
        <f ca="1" t="shared" si="190"/>
        <v>56</v>
      </c>
      <c r="G582" s="131">
        <f ca="1" t="shared" si="191"/>
        <v>47</v>
      </c>
      <c r="H582" s="131">
        <f ca="1" t="shared" si="192"/>
        <v>47</v>
      </c>
      <c r="I582" s="131">
        <f ca="1" t="shared" si="193"/>
        <v>47</v>
      </c>
      <c r="J582" s="131">
        <f ca="1" t="shared" si="194"/>
        <v>47</v>
      </c>
      <c r="K582" s="131">
        <f ca="1" t="shared" si="195"/>
        <v>47</v>
      </c>
      <c r="L582" s="131">
        <f ca="1" t="shared" si="196"/>
        <v>47</v>
      </c>
      <c r="M582" s="131">
        <f ca="1" t="shared" si="197"/>
        <v>44</v>
      </c>
      <c r="N582" s="131">
        <f ca="1" t="shared" si="198"/>
        <v>44</v>
      </c>
      <c r="O582" s="131">
        <f ca="1" t="shared" si="199"/>
        <v>44</v>
      </c>
      <c r="P582" s="131">
        <f ca="1" t="shared" si="200"/>
        <v>44</v>
      </c>
      <c r="Q582" s="131">
        <f ca="1" t="shared" si="201"/>
        <v>44</v>
      </c>
      <c r="R582" s="131">
        <f ca="1" t="shared" si="202"/>
        <v>44</v>
      </c>
      <c r="S582" s="131">
        <f ca="1" t="shared" si="203"/>
        <v>45</v>
      </c>
      <c r="T582" s="131">
        <f ca="1" t="shared" si="204"/>
        <v>49</v>
      </c>
      <c r="U582" s="131">
        <f ca="1" t="shared" si="205"/>
        <v>49</v>
      </c>
      <c r="V582" s="131">
        <f ca="1" t="shared" si="206"/>
        <v>49</v>
      </c>
      <c r="W582" s="124">
        <f ca="1">OFFSET($K$19,_xlfn.XLOOKUP(X582,$D$9:$D$28,$H$9:$H$28),MATCH(OFFSET($C$29,B582,MATCH(X582,$D$29:$V$29,0)),$L$19:$R$19,1))*(1+(OFFSET($C$29,B582,MATCH(X582,$D$29:$V$29,0))-1)*_xlfn.XLOOKUP(X582,梦灵养成!$D$9:$D$28,梦灵养成!$G$9:$G$28))</f>
        <v>63.336</v>
      </c>
      <c r="X582" s="106" t="str">
        <f ca="1" t="shared" si="187"/>
        <v>神算诸葛</v>
      </c>
      <c r="Y582" s="95">
        <f ca="1" t="shared" si="209"/>
        <v>246600</v>
      </c>
      <c r="Z582" s="96">
        <f ca="1" t="shared" si="207"/>
        <v>5.8</v>
      </c>
    </row>
    <row r="583" s="106" customFormat="1" ht="16.5" spans="2:26">
      <c r="B583" s="117">
        <v>554</v>
      </c>
      <c r="C583" s="130">
        <f t="shared" si="208"/>
        <v>55400</v>
      </c>
      <c r="D583" s="131">
        <f ca="1" t="shared" si="188"/>
        <v>56</v>
      </c>
      <c r="E583" s="131">
        <f ca="1" t="shared" si="189"/>
        <v>56</v>
      </c>
      <c r="F583" s="131">
        <f ca="1" t="shared" si="190"/>
        <v>56</v>
      </c>
      <c r="G583" s="131">
        <f ca="1" t="shared" si="191"/>
        <v>47</v>
      </c>
      <c r="H583" s="131">
        <f ca="1" t="shared" si="192"/>
        <v>47</v>
      </c>
      <c r="I583" s="131">
        <f ca="1" t="shared" si="193"/>
        <v>47</v>
      </c>
      <c r="J583" s="131">
        <f ca="1" t="shared" si="194"/>
        <v>47</v>
      </c>
      <c r="K583" s="131">
        <f ca="1" t="shared" si="195"/>
        <v>47</v>
      </c>
      <c r="L583" s="131">
        <f ca="1" t="shared" si="196"/>
        <v>47</v>
      </c>
      <c r="M583" s="131">
        <f ca="1" t="shared" si="197"/>
        <v>44</v>
      </c>
      <c r="N583" s="131">
        <f ca="1" t="shared" si="198"/>
        <v>44</v>
      </c>
      <c r="O583" s="131">
        <f ca="1" t="shared" si="199"/>
        <v>44</v>
      </c>
      <c r="P583" s="131">
        <f ca="1" t="shared" si="200"/>
        <v>44</v>
      </c>
      <c r="Q583" s="131">
        <f ca="1" t="shared" si="201"/>
        <v>44</v>
      </c>
      <c r="R583" s="131">
        <f ca="1" t="shared" si="202"/>
        <v>44</v>
      </c>
      <c r="S583" s="131">
        <f ca="1" t="shared" si="203"/>
        <v>45</v>
      </c>
      <c r="T583" s="131">
        <f ca="1" t="shared" si="204"/>
        <v>49</v>
      </c>
      <c r="U583" s="131">
        <f ca="1" t="shared" si="205"/>
        <v>49</v>
      </c>
      <c r="V583" s="131">
        <f ca="1" t="shared" si="206"/>
        <v>49</v>
      </c>
      <c r="W583" s="124">
        <f ca="1">OFFSET($K$19,_xlfn.XLOOKUP(X583,$D$9:$D$28,$H$9:$H$28),MATCH(OFFSET($C$29,B583,MATCH(X583,$D$29:$V$29,0)),$L$19:$R$19,1))*(1+(OFFSET($C$29,B583,MATCH(X583,$D$29:$V$29,0))-1)*_xlfn.XLOOKUP(X583,梦灵养成!$D$9:$D$28,梦灵养成!$G$9:$G$28))</f>
        <v>63.336</v>
      </c>
      <c r="X583" s="106" t="str">
        <f ca="1" t="shared" si="187"/>
        <v>神算诸葛</v>
      </c>
      <c r="Y583" s="95">
        <f ca="1" t="shared" si="209"/>
        <v>246600</v>
      </c>
      <c r="Z583" s="96">
        <f ca="1" t="shared" si="207"/>
        <v>5.8</v>
      </c>
    </row>
    <row r="584" s="106" customFormat="1" ht="16.5" spans="2:26">
      <c r="B584" s="117">
        <v>555</v>
      </c>
      <c r="C584" s="130">
        <f t="shared" si="208"/>
        <v>55500</v>
      </c>
      <c r="D584" s="131">
        <f ca="1" t="shared" si="188"/>
        <v>56</v>
      </c>
      <c r="E584" s="131">
        <f ca="1" t="shared" si="189"/>
        <v>56</v>
      </c>
      <c r="F584" s="131">
        <f ca="1" t="shared" si="190"/>
        <v>56</v>
      </c>
      <c r="G584" s="131">
        <f ca="1" t="shared" si="191"/>
        <v>47</v>
      </c>
      <c r="H584" s="131">
        <f ca="1" t="shared" si="192"/>
        <v>47</v>
      </c>
      <c r="I584" s="131">
        <f ca="1" t="shared" si="193"/>
        <v>47</v>
      </c>
      <c r="J584" s="131">
        <f ca="1" t="shared" si="194"/>
        <v>47</v>
      </c>
      <c r="K584" s="131">
        <f ca="1" t="shared" si="195"/>
        <v>47</v>
      </c>
      <c r="L584" s="131">
        <f ca="1" t="shared" si="196"/>
        <v>47</v>
      </c>
      <c r="M584" s="131">
        <f ca="1" t="shared" si="197"/>
        <v>44</v>
      </c>
      <c r="N584" s="131">
        <f ca="1" t="shared" si="198"/>
        <v>44</v>
      </c>
      <c r="O584" s="131">
        <f ca="1" t="shared" si="199"/>
        <v>44</v>
      </c>
      <c r="P584" s="131">
        <f ca="1" t="shared" si="200"/>
        <v>44</v>
      </c>
      <c r="Q584" s="131">
        <f ca="1" t="shared" si="201"/>
        <v>44</v>
      </c>
      <c r="R584" s="131">
        <f ca="1" t="shared" si="202"/>
        <v>44</v>
      </c>
      <c r="S584" s="131">
        <f ca="1" t="shared" si="203"/>
        <v>45</v>
      </c>
      <c r="T584" s="131">
        <f ca="1" t="shared" si="204"/>
        <v>49</v>
      </c>
      <c r="U584" s="131">
        <f ca="1" t="shared" si="205"/>
        <v>49</v>
      </c>
      <c r="V584" s="131">
        <f ca="1" t="shared" si="206"/>
        <v>49</v>
      </c>
      <c r="W584" s="124">
        <f ca="1">OFFSET($K$19,_xlfn.XLOOKUP(X584,$D$9:$D$28,$H$9:$H$28),MATCH(OFFSET($C$29,B584,MATCH(X584,$D$29:$V$29,0)),$L$19:$R$19,1))*(1+(OFFSET($C$29,B584,MATCH(X584,$D$29:$V$29,0))-1)*_xlfn.XLOOKUP(X584,梦灵养成!$D$9:$D$28,梦灵养成!$G$9:$G$28))</f>
        <v>63.336</v>
      </c>
      <c r="X584" s="106" t="str">
        <f ca="1" t="shared" si="187"/>
        <v>神算诸葛</v>
      </c>
      <c r="Y584" s="95">
        <f ca="1" t="shared" si="209"/>
        <v>246600</v>
      </c>
      <c r="Z584" s="96">
        <f ca="1" t="shared" si="207"/>
        <v>5.8</v>
      </c>
    </row>
    <row r="585" s="106" customFormat="1" ht="16.5" spans="2:26">
      <c r="B585" s="117">
        <v>556</v>
      </c>
      <c r="C585" s="130">
        <f t="shared" si="208"/>
        <v>55600</v>
      </c>
      <c r="D585" s="131">
        <f ca="1" t="shared" si="188"/>
        <v>56</v>
      </c>
      <c r="E585" s="131">
        <f ca="1" t="shared" si="189"/>
        <v>56</v>
      </c>
      <c r="F585" s="131">
        <f ca="1" t="shared" si="190"/>
        <v>56</v>
      </c>
      <c r="G585" s="131">
        <f ca="1" t="shared" si="191"/>
        <v>47</v>
      </c>
      <c r="H585" s="131">
        <f ca="1" t="shared" si="192"/>
        <v>47</v>
      </c>
      <c r="I585" s="131">
        <f ca="1" t="shared" si="193"/>
        <v>47</v>
      </c>
      <c r="J585" s="131">
        <f ca="1" t="shared" si="194"/>
        <v>47</v>
      </c>
      <c r="K585" s="131">
        <f ca="1" t="shared" si="195"/>
        <v>47</v>
      </c>
      <c r="L585" s="131">
        <f ca="1" t="shared" si="196"/>
        <v>47</v>
      </c>
      <c r="M585" s="131">
        <f ca="1" t="shared" si="197"/>
        <v>44</v>
      </c>
      <c r="N585" s="131">
        <f ca="1" t="shared" si="198"/>
        <v>44</v>
      </c>
      <c r="O585" s="131">
        <f ca="1" t="shared" si="199"/>
        <v>44</v>
      </c>
      <c r="P585" s="131">
        <f ca="1" t="shared" si="200"/>
        <v>44</v>
      </c>
      <c r="Q585" s="131">
        <f ca="1" t="shared" si="201"/>
        <v>44</v>
      </c>
      <c r="R585" s="131">
        <f ca="1" t="shared" si="202"/>
        <v>44</v>
      </c>
      <c r="S585" s="131">
        <f ca="1" t="shared" si="203"/>
        <v>45</v>
      </c>
      <c r="T585" s="131">
        <f ca="1" t="shared" si="204"/>
        <v>49</v>
      </c>
      <c r="U585" s="131">
        <f ca="1" t="shared" si="205"/>
        <v>49</v>
      </c>
      <c r="V585" s="131">
        <f ca="1" t="shared" si="206"/>
        <v>49</v>
      </c>
      <c r="W585" s="124">
        <f ca="1">OFFSET($K$19,_xlfn.XLOOKUP(X585,$D$9:$D$28,$H$9:$H$28),MATCH(OFFSET($C$29,B585,MATCH(X585,$D$29:$V$29,0)),$L$19:$R$19,1))*(1+(OFFSET($C$29,B585,MATCH(X585,$D$29:$V$29,0))-1)*_xlfn.XLOOKUP(X585,梦灵养成!$D$9:$D$28,梦灵养成!$G$9:$G$28))</f>
        <v>63.336</v>
      </c>
      <c r="X585" s="106" t="str">
        <f ca="1" t="shared" si="187"/>
        <v>神算诸葛</v>
      </c>
      <c r="Y585" s="95">
        <f ca="1" t="shared" si="209"/>
        <v>246600</v>
      </c>
      <c r="Z585" s="96">
        <f ca="1" t="shared" si="207"/>
        <v>5.8</v>
      </c>
    </row>
    <row r="586" s="106" customFormat="1" ht="16.5" spans="2:26">
      <c r="B586" s="117">
        <v>557</v>
      </c>
      <c r="C586" s="130">
        <f t="shared" si="208"/>
        <v>55700</v>
      </c>
      <c r="D586" s="131">
        <f ca="1" t="shared" si="188"/>
        <v>56</v>
      </c>
      <c r="E586" s="131">
        <f ca="1" t="shared" si="189"/>
        <v>56</v>
      </c>
      <c r="F586" s="131">
        <f ca="1" t="shared" si="190"/>
        <v>56</v>
      </c>
      <c r="G586" s="131">
        <f ca="1" t="shared" si="191"/>
        <v>47</v>
      </c>
      <c r="H586" s="131">
        <f ca="1" t="shared" si="192"/>
        <v>47</v>
      </c>
      <c r="I586" s="131">
        <f ca="1" t="shared" si="193"/>
        <v>47</v>
      </c>
      <c r="J586" s="131">
        <f ca="1" t="shared" si="194"/>
        <v>47</v>
      </c>
      <c r="K586" s="131">
        <f ca="1" t="shared" si="195"/>
        <v>47</v>
      </c>
      <c r="L586" s="131">
        <f ca="1" t="shared" si="196"/>
        <v>47</v>
      </c>
      <c r="M586" s="131">
        <f ca="1" t="shared" si="197"/>
        <v>44</v>
      </c>
      <c r="N586" s="131">
        <f ca="1" t="shared" si="198"/>
        <v>44</v>
      </c>
      <c r="O586" s="131">
        <f ca="1" t="shared" si="199"/>
        <v>44</v>
      </c>
      <c r="P586" s="131">
        <f ca="1" t="shared" si="200"/>
        <v>44</v>
      </c>
      <c r="Q586" s="131">
        <f ca="1" t="shared" si="201"/>
        <v>44</v>
      </c>
      <c r="R586" s="131">
        <f ca="1" t="shared" si="202"/>
        <v>44</v>
      </c>
      <c r="S586" s="131">
        <f ca="1" t="shared" si="203"/>
        <v>45</v>
      </c>
      <c r="T586" s="131">
        <f ca="1" t="shared" si="204"/>
        <v>49</v>
      </c>
      <c r="U586" s="131">
        <f ca="1" t="shared" si="205"/>
        <v>49</v>
      </c>
      <c r="V586" s="131">
        <f ca="1" t="shared" si="206"/>
        <v>49</v>
      </c>
      <c r="W586" s="124">
        <f ca="1">OFFSET($K$19,_xlfn.XLOOKUP(X586,$D$9:$D$28,$H$9:$H$28),MATCH(OFFSET($C$29,B586,MATCH(X586,$D$29:$V$29,0)),$L$19:$R$19,1))*(1+(OFFSET($C$29,B586,MATCH(X586,$D$29:$V$29,0))-1)*_xlfn.XLOOKUP(X586,梦灵养成!$D$9:$D$28,梦灵养成!$G$9:$G$28))</f>
        <v>63.336</v>
      </c>
      <c r="X586" s="106" t="str">
        <f ca="1" t="shared" si="187"/>
        <v>神算诸葛</v>
      </c>
      <c r="Y586" s="95">
        <f ca="1" t="shared" si="209"/>
        <v>246600</v>
      </c>
      <c r="Z586" s="96">
        <f ca="1" t="shared" si="207"/>
        <v>5.8</v>
      </c>
    </row>
    <row r="587" s="106" customFormat="1" ht="16.5" spans="2:26">
      <c r="B587" s="117">
        <v>558</v>
      </c>
      <c r="C587" s="130">
        <f t="shared" si="208"/>
        <v>55800</v>
      </c>
      <c r="D587" s="131">
        <f ca="1" t="shared" si="188"/>
        <v>56</v>
      </c>
      <c r="E587" s="131">
        <f ca="1" t="shared" si="189"/>
        <v>56</v>
      </c>
      <c r="F587" s="131">
        <f ca="1" t="shared" si="190"/>
        <v>56</v>
      </c>
      <c r="G587" s="131">
        <f ca="1" t="shared" si="191"/>
        <v>47</v>
      </c>
      <c r="H587" s="131">
        <f ca="1" t="shared" si="192"/>
        <v>47</v>
      </c>
      <c r="I587" s="131">
        <f ca="1" t="shared" si="193"/>
        <v>47</v>
      </c>
      <c r="J587" s="131">
        <f ca="1" t="shared" si="194"/>
        <v>47</v>
      </c>
      <c r="K587" s="131">
        <f ca="1" t="shared" si="195"/>
        <v>47</v>
      </c>
      <c r="L587" s="131">
        <f ca="1" t="shared" si="196"/>
        <v>47</v>
      </c>
      <c r="M587" s="131">
        <f ca="1" t="shared" si="197"/>
        <v>44</v>
      </c>
      <c r="N587" s="131">
        <f ca="1" t="shared" si="198"/>
        <v>44</v>
      </c>
      <c r="O587" s="131">
        <f ca="1" t="shared" si="199"/>
        <v>44</v>
      </c>
      <c r="P587" s="131">
        <f ca="1" t="shared" si="200"/>
        <v>44</v>
      </c>
      <c r="Q587" s="131">
        <f ca="1" t="shared" si="201"/>
        <v>44</v>
      </c>
      <c r="R587" s="131">
        <f ca="1" t="shared" si="202"/>
        <v>44</v>
      </c>
      <c r="S587" s="131">
        <f ca="1" t="shared" si="203"/>
        <v>45</v>
      </c>
      <c r="T587" s="131">
        <f ca="1" t="shared" si="204"/>
        <v>49</v>
      </c>
      <c r="U587" s="131">
        <f ca="1" t="shared" si="205"/>
        <v>49</v>
      </c>
      <c r="V587" s="131">
        <f ca="1" t="shared" si="206"/>
        <v>49</v>
      </c>
      <c r="W587" s="124">
        <f ca="1">OFFSET($K$19,_xlfn.XLOOKUP(X587,$D$9:$D$28,$H$9:$H$28),MATCH(OFFSET($C$29,B587,MATCH(X587,$D$29:$V$29,0)),$L$19:$R$19,1))*(1+(OFFSET($C$29,B587,MATCH(X587,$D$29:$V$29,0))-1)*_xlfn.XLOOKUP(X587,梦灵养成!$D$9:$D$28,梦灵养成!$G$9:$G$28))</f>
        <v>63.336</v>
      </c>
      <c r="X587" s="106" t="str">
        <f ca="1" t="shared" si="187"/>
        <v>神算诸葛</v>
      </c>
      <c r="Y587" s="95">
        <f ca="1" t="shared" si="209"/>
        <v>246600</v>
      </c>
      <c r="Z587" s="96">
        <f ca="1" t="shared" si="207"/>
        <v>5.8</v>
      </c>
    </row>
    <row r="588" s="106" customFormat="1" ht="16.5" spans="2:26">
      <c r="B588" s="117">
        <v>559</v>
      </c>
      <c r="C588" s="130">
        <f t="shared" si="208"/>
        <v>55900</v>
      </c>
      <c r="D588" s="131">
        <f ca="1" t="shared" si="188"/>
        <v>57</v>
      </c>
      <c r="E588" s="131">
        <f ca="1" t="shared" si="189"/>
        <v>57</v>
      </c>
      <c r="F588" s="131">
        <f ca="1" t="shared" si="190"/>
        <v>57</v>
      </c>
      <c r="G588" s="131">
        <f ca="1" t="shared" si="191"/>
        <v>47</v>
      </c>
      <c r="H588" s="131">
        <f ca="1" t="shared" si="192"/>
        <v>47</v>
      </c>
      <c r="I588" s="131">
        <f ca="1" t="shared" si="193"/>
        <v>47</v>
      </c>
      <c r="J588" s="131">
        <f ca="1" t="shared" si="194"/>
        <v>47</v>
      </c>
      <c r="K588" s="131">
        <f ca="1" t="shared" si="195"/>
        <v>47</v>
      </c>
      <c r="L588" s="131">
        <f ca="1" t="shared" si="196"/>
        <v>47</v>
      </c>
      <c r="M588" s="131">
        <f ca="1" t="shared" si="197"/>
        <v>44</v>
      </c>
      <c r="N588" s="131">
        <f ca="1" t="shared" si="198"/>
        <v>44</v>
      </c>
      <c r="O588" s="131">
        <f ca="1" t="shared" si="199"/>
        <v>44</v>
      </c>
      <c r="P588" s="131">
        <f ca="1" t="shared" si="200"/>
        <v>44</v>
      </c>
      <c r="Q588" s="131">
        <f ca="1" t="shared" si="201"/>
        <v>44</v>
      </c>
      <c r="R588" s="131">
        <f ca="1" t="shared" si="202"/>
        <v>44</v>
      </c>
      <c r="S588" s="131">
        <f ca="1" t="shared" si="203"/>
        <v>45</v>
      </c>
      <c r="T588" s="131">
        <f ca="1" t="shared" si="204"/>
        <v>49</v>
      </c>
      <c r="U588" s="131">
        <f ca="1" t="shared" si="205"/>
        <v>49</v>
      </c>
      <c r="V588" s="131">
        <f ca="1" t="shared" si="206"/>
        <v>49</v>
      </c>
      <c r="W588" s="124">
        <f ca="1">OFFSET($K$19,_xlfn.XLOOKUP(X588,$D$9:$D$28,$H$9:$H$28),MATCH(OFFSET($C$29,B588,MATCH(X588,$D$29:$V$29,0)),$L$19:$R$19,1))*(1+(OFFSET($C$29,B588,MATCH(X588,$D$29:$V$29,0))-1)*_xlfn.XLOOKUP(X588,梦灵养成!$D$9:$D$28,梦灵养成!$G$9:$G$28))</f>
        <v>63.336</v>
      </c>
      <c r="X588" s="106" t="str">
        <f ca="1" t="shared" si="187"/>
        <v>神算诸葛</v>
      </c>
      <c r="Y588" s="95">
        <f ca="1" t="shared" si="209"/>
        <v>246600</v>
      </c>
      <c r="Z588" s="96">
        <f ca="1" t="shared" si="207"/>
        <v>5.8</v>
      </c>
    </row>
    <row r="589" s="106" customFormat="1" ht="16.5" spans="2:26">
      <c r="B589" s="117">
        <v>560</v>
      </c>
      <c r="C589" s="130">
        <f t="shared" si="208"/>
        <v>56000</v>
      </c>
      <c r="D589" s="131">
        <f ca="1" t="shared" si="188"/>
        <v>57</v>
      </c>
      <c r="E589" s="131">
        <f ca="1" t="shared" si="189"/>
        <v>57</v>
      </c>
      <c r="F589" s="131">
        <f ca="1" t="shared" si="190"/>
        <v>57</v>
      </c>
      <c r="G589" s="131">
        <f ca="1" t="shared" si="191"/>
        <v>47</v>
      </c>
      <c r="H589" s="131">
        <f ca="1" t="shared" si="192"/>
        <v>47</v>
      </c>
      <c r="I589" s="131">
        <f ca="1" t="shared" si="193"/>
        <v>47</v>
      </c>
      <c r="J589" s="131">
        <f ca="1" t="shared" si="194"/>
        <v>47</v>
      </c>
      <c r="K589" s="131">
        <f ca="1" t="shared" si="195"/>
        <v>47</v>
      </c>
      <c r="L589" s="131">
        <f ca="1" t="shared" si="196"/>
        <v>47</v>
      </c>
      <c r="M589" s="131">
        <f ca="1" t="shared" si="197"/>
        <v>44</v>
      </c>
      <c r="N589" s="131">
        <f ca="1" t="shared" si="198"/>
        <v>44</v>
      </c>
      <c r="O589" s="131">
        <f ca="1" t="shared" si="199"/>
        <v>44</v>
      </c>
      <c r="P589" s="131">
        <f ca="1" t="shared" si="200"/>
        <v>44</v>
      </c>
      <c r="Q589" s="131">
        <f ca="1" t="shared" si="201"/>
        <v>44</v>
      </c>
      <c r="R589" s="131">
        <f ca="1" t="shared" si="202"/>
        <v>44</v>
      </c>
      <c r="S589" s="131">
        <f ca="1" t="shared" si="203"/>
        <v>45</v>
      </c>
      <c r="T589" s="131">
        <f ca="1" t="shared" si="204"/>
        <v>49</v>
      </c>
      <c r="U589" s="131">
        <f ca="1" t="shared" si="205"/>
        <v>49</v>
      </c>
      <c r="V589" s="131">
        <f ca="1" t="shared" si="206"/>
        <v>49</v>
      </c>
      <c r="W589" s="124">
        <f ca="1">OFFSET($K$19,_xlfn.XLOOKUP(X589,$D$9:$D$28,$H$9:$H$28),MATCH(OFFSET($C$29,B589,MATCH(X589,$D$29:$V$29,0)),$L$19:$R$19,1))*(1+(OFFSET($C$29,B589,MATCH(X589,$D$29:$V$29,0))-1)*_xlfn.XLOOKUP(X589,梦灵养成!$D$9:$D$28,梦灵养成!$G$9:$G$28))</f>
        <v>63.336</v>
      </c>
      <c r="X589" s="106" t="str">
        <f ca="1" t="shared" si="187"/>
        <v>神算诸葛</v>
      </c>
      <c r="Y589" s="95">
        <f ca="1" t="shared" si="209"/>
        <v>246600</v>
      </c>
      <c r="Z589" s="96">
        <f ca="1" t="shared" si="207"/>
        <v>5.8</v>
      </c>
    </row>
    <row r="590" s="106" customFormat="1" ht="16.5" spans="2:26">
      <c r="B590" s="117">
        <v>561</v>
      </c>
      <c r="C590" s="130">
        <f t="shared" si="208"/>
        <v>56100</v>
      </c>
      <c r="D590" s="131">
        <f ca="1" t="shared" si="188"/>
        <v>57</v>
      </c>
      <c r="E590" s="131">
        <f ca="1" t="shared" si="189"/>
        <v>57</v>
      </c>
      <c r="F590" s="131">
        <f ca="1" t="shared" si="190"/>
        <v>57</v>
      </c>
      <c r="G590" s="131">
        <f ca="1" t="shared" si="191"/>
        <v>47</v>
      </c>
      <c r="H590" s="131">
        <f ca="1" t="shared" si="192"/>
        <v>47</v>
      </c>
      <c r="I590" s="131">
        <f ca="1" t="shared" si="193"/>
        <v>47</v>
      </c>
      <c r="J590" s="131">
        <f ca="1" t="shared" si="194"/>
        <v>47</v>
      </c>
      <c r="K590" s="131">
        <f ca="1" t="shared" si="195"/>
        <v>47</v>
      </c>
      <c r="L590" s="131">
        <f ca="1" t="shared" si="196"/>
        <v>47</v>
      </c>
      <c r="M590" s="131">
        <f ca="1" t="shared" si="197"/>
        <v>44</v>
      </c>
      <c r="N590" s="131">
        <f ca="1" t="shared" si="198"/>
        <v>44</v>
      </c>
      <c r="O590" s="131">
        <f ca="1" t="shared" si="199"/>
        <v>44</v>
      </c>
      <c r="P590" s="131">
        <f ca="1" t="shared" si="200"/>
        <v>44</v>
      </c>
      <c r="Q590" s="131">
        <f ca="1" t="shared" si="201"/>
        <v>44</v>
      </c>
      <c r="R590" s="131">
        <f ca="1" t="shared" si="202"/>
        <v>44</v>
      </c>
      <c r="S590" s="131">
        <f ca="1" t="shared" si="203"/>
        <v>45</v>
      </c>
      <c r="T590" s="131">
        <f ca="1" t="shared" si="204"/>
        <v>49</v>
      </c>
      <c r="U590" s="131">
        <f ca="1" t="shared" si="205"/>
        <v>49</v>
      </c>
      <c r="V590" s="131">
        <f ca="1" t="shared" si="206"/>
        <v>49</v>
      </c>
      <c r="W590" s="124">
        <f ca="1">OFFSET($K$19,_xlfn.XLOOKUP(X590,$D$9:$D$28,$H$9:$H$28),MATCH(OFFSET($C$29,B590,MATCH(X590,$D$29:$V$29,0)),$L$19:$R$19,1))*(1+(OFFSET($C$29,B590,MATCH(X590,$D$29:$V$29,0))-1)*_xlfn.XLOOKUP(X590,梦灵养成!$D$9:$D$28,梦灵养成!$G$9:$G$28))</f>
        <v>63.336</v>
      </c>
      <c r="X590" s="106" t="str">
        <f ca="1" t="shared" si="187"/>
        <v>神算诸葛</v>
      </c>
      <c r="Y590" s="95">
        <f ca="1" t="shared" si="209"/>
        <v>246600</v>
      </c>
      <c r="Z590" s="96">
        <f ca="1" t="shared" si="207"/>
        <v>5.8</v>
      </c>
    </row>
    <row r="591" s="106" customFormat="1" ht="16.5" spans="2:26">
      <c r="B591" s="117">
        <v>562</v>
      </c>
      <c r="C591" s="130">
        <f t="shared" si="208"/>
        <v>56200</v>
      </c>
      <c r="D591" s="131">
        <f ca="1" t="shared" si="188"/>
        <v>57</v>
      </c>
      <c r="E591" s="131">
        <f ca="1" t="shared" si="189"/>
        <v>57</v>
      </c>
      <c r="F591" s="131">
        <f ca="1" t="shared" si="190"/>
        <v>57</v>
      </c>
      <c r="G591" s="131">
        <f ca="1" t="shared" si="191"/>
        <v>47</v>
      </c>
      <c r="H591" s="131">
        <f ca="1" t="shared" si="192"/>
        <v>47</v>
      </c>
      <c r="I591" s="131">
        <f ca="1" t="shared" si="193"/>
        <v>47</v>
      </c>
      <c r="J591" s="131">
        <f ca="1" t="shared" si="194"/>
        <v>47</v>
      </c>
      <c r="K591" s="131">
        <f ca="1" t="shared" si="195"/>
        <v>47</v>
      </c>
      <c r="L591" s="131">
        <f ca="1" t="shared" si="196"/>
        <v>47</v>
      </c>
      <c r="M591" s="131">
        <f ca="1" t="shared" si="197"/>
        <v>44</v>
      </c>
      <c r="N591" s="131">
        <f ca="1" t="shared" si="198"/>
        <v>44</v>
      </c>
      <c r="O591" s="131">
        <f ca="1" t="shared" si="199"/>
        <v>44</v>
      </c>
      <c r="P591" s="131">
        <f ca="1" t="shared" si="200"/>
        <v>44</v>
      </c>
      <c r="Q591" s="131">
        <f ca="1" t="shared" si="201"/>
        <v>44</v>
      </c>
      <c r="R591" s="131">
        <f ca="1" t="shared" si="202"/>
        <v>44</v>
      </c>
      <c r="S591" s="131">
        <f ca="1" t="shared" si="203"/>
        <v>45</v>
      </c>
      <c r="T591" s="131">
        <f ca="1" t="shared" si="204"/>
        <v>49</v>
      </c>
      <c r="U591" s="131">
        <f ca="1" t="shared" si="205"/>
        <v>49</v>
      </c>
      <c r="V591" s="131">
        <f ca="1" t="shared" si="206"/>
        <v>50</v>
      </c>
      <c r="W591" s="124">
        <f ca="1">OFFSET($K$19,_xlfn.XLOOKUP(X591,$D$9:$D$28,$H$9:$H$28),MATCH(OFFSET($C$29,B591,MATCH(X591,$D$29:$V$29,0)),$L$19:$R$19,1))*(1+(OFFSET($C$29,B591,MATCH(X591,$D$29:$V$29,0))-1)*_xlfn.XLOOKUP(X591,梦灵养成!$D$9:$D$28,梦灵养成!$G$9:$G$28))</f>
        <v>64.428</v>
      </c>
      <c r="X591" s="106" t="str">
        <f ca="1" t="shared" si="187"/>
        <v>神算诸葛</v>
      </c>
      <c r="Y591" s="95">
        <f ca="1" t="shared" si="209"/>
        <v>246600</v>
      </c>
      <c r="Z591" s="96">
        <f ca="1" t="shared" si="207"/>
        <v>5.9</v>
      </c>
    </row>
    <row r="592" s="106" customFormat="1" ht="16.5" spans="2:26">
      <c r="B592" s="117">
        <v>563</v>
      </c>
      <c r="C592" s="130">
        <f t="shared" si="208"/>
        <v>56300</v>
      </c>
      <c r="D592" s="131">
        <f ca="1" t="shared" si="188"/>
        <v>57</v>
      </c>
      <c r="E592" s="131">
        <f ca="1" t="shared" si="189"/>
        <v>57</v>
      </c>
      <c r="F592" s="131">
        <f ca="1" t="shared" si="190"/>
        <v>57</v>
      </c>
      <c r="G592" s="131">
        <f ca="1" t="shared" si="191"/>
        <v>47</v>
      </c>
      <c r="H592" s="131">
        <f ca="1" t="shared" si="192"/>
        <v>47</v>
      </c>
      <c r="I592" s="131">
        <f ca="1" t="shared" si="193"/>
        <v>47</v>
      </c>
      <c r="J592" s="131">
        <f ca="1" t="shared" si="194"/>
        <v>47</v>
      </c>
      <c r="K592" s="131">
        <f ca="1" t="shared" si="195"/>
        <v>47</v>
      </c>
      <c r="L592" s="131">
        <f ca="1" t="shared" si="196"/>
        <v>47</v>
      </c>
      <c r="M592" s="131">
        <f ca="1" t="shared" si="197"/>
        <v>44</v>
      </c>
      <c r="N592" s="131">
        <f ca="1" t="shared" si="198"/>
        <v>44</v>
      </c>
      <c r="O592" s="131">
        <f ca="1" t="shared" si="199"/>
        <v>44</v>
      </c>
      <c r="P592" s="131">
        <f ca="1" t="shared" si="200"/>
        <v>44</v>
      </c>
      <c r="Q592" s="131">
        <f ca="1" t="shared" si="201"/>
        <v>44</v>
      </c>
      <c r="R592" s="131">
        <f ca="1" t="shared" si="202"/>
        <v>44</v>
      </c>
      <c r="S592" s="131">
        <f ca="1" t="shared" si="203"/>
        <v>45</v>
      </c>
      <c r="T592" s="131">
        <f ca="1" t="shared" si="204"/>
        <v>49</v>
      </c>
      <c r="U592" s="131">
        <f ca="1" t="shared" si="205"/>
        <v>49</v>
      </c>
      <c r="V592" s="131">
        <f ca="1" t="shared" si="206"/>
        <v>50</v>
      </c>
      <c r="W592" s="124">
        <f ca="1">OFFSET($K$19,_xlfn.XLOOKUP(X592,$D$9:$D$28,$H$9:$H$28),MATCH(OFFSET($C$29,B592,MATCH(X592,$D$29:$V$29,0)),$L$19:$R$19,1))*(1+(OFFSET($C$29,B592,MATCH(X592,$D$29:$V$29,0))-1)*_xlfn.XLOOKUP(X592,梦灵养成!$D$9:$D$28,梦灵养成!$G$9:$G$28))</f>
        <v>64.428</v>
      </c>
      <c r="X592" s="106" t="str">
        <f ca="1" t="shared" si="187"/>
        <v>神算诸葛</v>
      </c>
      <c r="Y592" s="95">
        <f ca="1" t="shared" si="209"/>
        <v>246600</v>
      </c>
      <c r="Z592" s="96">
        <f ca="1" t="shared" si="207"/>
        <v>5.9</v>
      </c>
    </row>
    <row r="593" s="106" customFormat="1" ht="16.5" spans="2:26">
      <c r="B593" s="117">
        <v>564</v>
      </c>
      <c r="C593" s="130">
        <f t="shared" si="208"/>
        <v>56400</v>
      </c>
      <c r="D593" s="131">
        <f ca="1" t="shared" si="188"/>
        <v>57</v>
      </c>
      <c r="E593" s="131">
        <f ca="1" t="shared" si="189"/>
        <v>57</v>
      </c>
      <c r="F593" s="131">
        <f ca="1" t="shared" si="190"/>
        <v>57</v>
      </c>
      <c r="G593" s="131">
        <f ca="1" t="shared" si="191"/>
        <v>47</v>
      </c>
      <c r="H593" s="131">
        <f ca="1" t="shared" si="192"/>
        <v>47</v>
      </c>
      <c r="I593" s="131">
        <f ca="1" t="shared" si="193"/>
        <v>47</v>
      </c>
      <c r="J593" s="131">
        <f ca="1" t="shared" si="194"/>
        <v>47</v>
      </c>
      <c r="K593" s="131">
        <f ca="1" t="shared" si="195"/>
        <v>47</v>
      </c>
      <c r="L593" s="131">
        <f ca="1" t="shared" si="196"/>
        <v>47</v>
      </c>
      <c r="M593" s="131">
        <f ca="1" t="shared" si="197"/>
        <v>44</v>
      </c>
      <c r="N593" s="131">
        <f ca="1" t="shared" si="198"/>
        <v>44</v>
      </c>
      <c r="O593" s="131">
        <f ca="1" t="shared" si="199"/>
        <v>44</v>
      </c>
      <c r="P593" s="131">
        <f ca="1" t="shared" si="200"/>
        <v>44</v>
      </c>
      <c r="Q593" s="131">
        <f ca="1" t="shared" si="201"/>
        <v>44</v>
      </c>
      <c r="R593" s="131">
        <f ca="1" t="shared" si="202"/>
        <v>44</v>
      </c>
      <c r="S593" s="131">
        <f ca="1" t="shared" si="203"/>
        <v>45</v>
      </c>
      <c r="T593" s="131">
        <f ca="1" t="shared" si="204"/>
        <v>49</v>
      </c>
      <c r="U593" s="131">
        <f ca="1" t="shared" si="205"/>
        <v>49</v>
      </c>
      <c r="V593" s="131">
        <f ca="1" t="shared" si="206"/>
        <v>50</v>
      </c>
      <c r="W593" s="124">
        <f ca="1">OFFSET($K$19,_xlfn.XLOOKUP(X593,$D$9:$D$28,$H$9:$H$28),MATCH(OFFSET($C$29,B593,MATCH(X593,$D$29:$V$29,0)),$L$19:$R$19,1))*(1+(OFFSET($C$29,B593,MATCH(X593,$D$29:$V$29,0))-1)*_xlfn.XLOOKUP(X593,梦灵养成!$D$9:$D$28,梦灵养成!$G$9:$G$28))</f>
        <v>64.428</v>
      </c>
      <c r="X593" s="106" t="str">
        <f ca="1" t="shared" si="187"/>
        <v>神算诸葛</v>
      </c>
      <c r="Y593" s="95">
        <f ca="1" t="shared" si="209"/>
        <v>246600</v>
      </c>
      <c r="Z593" s="96">
        <f ca="1" t="shared" si="207"/>
        <v>5.9</v>
      </c>
    </row>
    <row r="594" s="106" customFormat="1" ht="16.5" spans="2:26">
      <c r="B594" s="117">
        <v>565</v>
      </c>
      <c r="C594" s="130">
        <f t="shared" si="208"/>
        <v>56500</v>
      </c>
      <c r="D594" s="131">
        <f ca="1" t="shared" si="188"/>
        <v>57</v>
      </c>
      <c r="E594" s="131">
        <f ca="1" t="shared" si="189"/>
        <v>57</v>
      </c>
      <c r="F594" s="131">
        <f ca="1" t="shared" si="190"/>
        <v>57</v>
      </c>
      <c r="G594" s="131">
        <f ca="1" t="shared" si="191"/>
        <v>47</v>
      </c>
      <c r="H594" s="131">
        <f ca="1" t="shared" si="192"/>
        <v>47</v>
      </c>
      <c r="I594" s="131">
        <f ca="1" t="shared" si="193"/>
        <v>47</v>
      </c>
      <c r="J594" s="131">
        <f ca="1" t="shared" si="194"/>
        <v>47</v>
      </c>
      <c r="K594" s="131">
        <f ca="1" t="shared" si="195"/>
        <v>47</v>
      </c>
      <c r="L594" s="131">
        <f ca="1" t="shared" si="196"/>
        <v>47</v>
      </c>
      <c r="M594" s="131">
        <f ca="1" t="shared" si="197"/>
        <v>44</v>
      </c>
      <c r="N594" s="131">
        <f ca="1" t="shared" si="198"/>
        <v>44</v>
      </c>
      <c r="O594" s="131">
        <f ca="1" t="shared" si="199"/>
        <v>44</v>
      </c>
      <c r="P594" s="131">
        <f ca="1" t="shared" si="200"/>
        <v>44</v>
      </c>
      <c r="Q594" s="131">
        <f ca="1" t="shared" si="201"/>
        <v>44</v>
      </c>
      <c r="R594" s="131">
        <f ca="1" t="shared" si="202"/>
        <v>44</v>
      </c>
      <c r="S594" s="131">
        <f ca="1" t="shared" si="203"/>
        <v>46</v>
      </c>
      <c r="T594" s="131">
        <f ca="1" t="shared" si="204"/>
        <v>49</v>
      </c>
      <c r="U594" s="131">
        <f ca="1" t="shared" si="205"/>
        <v>49</v>
      </c>
      <c r="V594" s="131">
        <f ca="1" t="shared" si="206"/>
        <v>50</v>
      </c>
      <c r="W594" s="124">
        <f ca="1">OFFSET($K$19,_xlfn.XLOOKUP(X594,$D$9:$D$28,$H$9:$H$28),MATCH(OFFSET($C$29,B594,MATCH(X594,$D$29:$V$29,0)),$L$19:$R$19,1))*(1+(OFFSET($C$29,B594,MATCH(X594,$D$29:$V$29,0))-1)*_xlfn.XLOOKUP(X594,梦灵养成!$D$9:$D$28,梦灵养成!$G$9:$G$28))</f>
        <v>64.428</v>
      </c>
      <c r="X594" s="106" t="str">
        <f ca="1" t="shared" si="187"/>
        <v>神算诸葛</v>
      </c>
      <c r="Y594" s="95">
        <f ca="1" t="shared" si="209"/>
        <v>246600</v>
      </c>
      <c r="Z594" s="96">
        <f ca="1" t="shared" si="207"/>
        <v>5.9</v>
      </c>
    </row>
    <row r="595" s="106" customFormat="1" ht="16.5" spans="2:26">
      <c r="B595" s="117">
        <v>566</v>
      </c>
      <c r="C595" s="130">
        <f t="shared" si="208"/>
        <v>56600</v>
      </c>
      <c r="D595" s="131">
        <f ca="1" t="shared" si="188"/>
        <v>57</v>
      </c>
      <c r="E595" s="131">
        <f ca="1" t="shared" si="189"/>
        <v>57</v>
      </c>
      <c r="F595" s="131">
        <f ca="1" t="shared" si="190"/>
        <v>57</v>
      </c>
      <c r="G595" s="131">
        <f ca="1" t="shared" si="191"/>
        <v>47</v>
      </c>
      <c r="H595" s="131">
        <f ca="1" t="shared" si="192"/>
        <v>47</v>
      </c>
      <c r="I595" s="131">
        <f ca="1" t="shared" si="193"/>
        <v>47</v>
      </c>
      <c r="J595" s="131">
        <f ca="1" t="shared" si="194"/>
        <v>47</v>
      </c>
      <c r="K595" s="131">
        <f ca="1" t="shared" si="195"/>
        <v>47</v>
      </c>
      <c r="L595" s="131">
        <f ca="1" t="shared" si="196"/>
        <v>47</v>
      </c>
      <c r="M595" s="131">
        <f ca="1" t="shared" si="197"/>
        <v>44</v>
      </c>
      <c r="N595" s="131">
        <f ca="1" t="shared" si="198"/>
        <v>44</v>
      </c>
      <c r="O595" s="131">
        <f ca="1" t="shared" si="199"/>
        <v>44</v>
      </c>
      <c r="P595" s="131">
        <f ca="1" t="shared" si="200"/>
        <v>44</v>
      </c>
      <c r="Q595" s="131">
        <f ca="1" t="shared" si="201"/>
        <v>44</v>
      </c>
      <c r="R595" s="131">
        <f ca="1" t="shared" si="202"/>
        <v>44</v>
      </c>
      <c r="S595" s="131">
        <f ca="1" t="shared" si="203"/>
        <v>46</v>
      </c>
      <c r="T595" s="131">
        <f ca="1" t="shared" si="204"/>
        <v>49</v>
      </c>
      <c r="U595" s="131">
        <f ca="1" t="shared" si="205"/>
        <v>49</v>
      </c>
      <c r="V595" s="131">
        <f ca="1" t="shared" si="206"/>
        <v>50</v>
      </c>
      <c r="W595" s="124">
        <f ca="1">OFFSET($K$19,_xlfn.XLOOKUP(X595,$D$9:$D$28,$H$9:$H$28),MATCH(OFFSET($C$29,B595,MATCH(X595,$D$29:$V$29,0)),$L$19:$R$19,1))*(1+(OFFSET($C$29,B595,MATCH(X595,$D$29:$V$29,0))-1)*_xlfn.XLOOKUP(X595,梦灵养成!$D$9:$D$28,梦灵养成!$G$9:$G$28))</f>
        <v>64.428</v>
      </c>
      <c r="X595" s="106" t="str">
        <f ca="1" t="shared" si="187"/>
        <v>神算诸葛</v>
      </c>
      <c r="Y595" s="95">
        <f ca="1" t="shared" si="209"/>
        <v>246600</v>
      </c>
      <c r="Z595" s="96">
        <f ca="1" t="shared" si="207"/>
        <v>5.9</v>
      </c>
    </row>
    <row r="596" s="106" customFormat="1" ht="16.5" spans="2:26">
      <c r="B596" s="117">
        <v>567</v>
      </c>
      <c r="C596" s="130">
        <f t="shared" si="208"/>
        <v>56700</v>
      </c>
      <c r="D596" s="131">
        <f ca="1" t="shared" si="188"/>
        <v>57</v>
      </c>
      <c r="E596" s="131">
        <f ca="1" t="shared" si="189"/>
        <v>57</v>
      </c>
      <c r="F596" s="131">
        <f ca="1" t="shared" si="190"/>
        <v>57</v>
      </c>
      <c r="G596" s="131">
        <f ca="1" t="shared" si="191"/>
        <v>47</v>
      </c>
      <c r="H596" s="131">
        <f ca="1" t="shared" si="192"/>
        <v>47</v>
      </c>
      <c r="I596" s="131">
        <f ca="1" t="shared" si="193"/>
        <v>47</v>
      </c>
      <c r="J596" s="131">
        <f ca="1" t="shared" si="194"/>
        <v>47</v>
      </c>
      <c r="K596" s="131">
        <f ca="1" t="shared" si="195"/>
        <v>47</v>
      </c>
      <c r="L596" s="131">
        <f ca="1" t="shared" si="196"/>
        <v>47</v>
      </c>
      <c r="M596" s="131">
        <f ca="1" t="shared" si="197"/>
        <v>44</v>
      </c>
      <c r="N596" s="131">
        <f ca="1" t="shared" si="198"/>
        <v>44</v>
      </c>
      <c r="O596" s="131">
        <f ca="1" t="shared" si="199"/>
        <v>44</v>
      </c>
      <c r="P596" s="131">
        <f ca="1" t="shared" si="200"/>
        <v>44</v>
      </c>
      <c r="Q596" s="131">
        <f ca="1" t="shared" si="201"/>
        <v>44</v>
      </c>
      <c r="R596" s="131">
        <f ca="1" t="shared" si="202"/>
        <v>44</v>
      </c>
      <c r="S596" s="131">
        <f ca="1" t="shared" si="203"/>
        <v>46</v>
      </c>
      <c r="T596" s="131">
        <f ca="1" t="shared" si="204"/>
        <v>49</v>
      </c>
      <c r="U596" s="131">
        <f ca="1" t="shared" si="205"/>
        <v>49</v>
      </c>
      <c r="V596" s="131">
        <f ca="1" t="shared" si="206"/>
        <v>50</v>
      </c>
      <c r="W596" s="124">
        <f ca="1">OFFSET($K$19,_xlfn.XLOOKUP(X596,$D$9:$D$28,$H$9:$H$28),MATCH(OFFSET($C$29,B596,MATCH(X596,$D$29:$V$29,0)),$L$19:$R$19,1))*(1+(OFFSET($C$29,B596,MATCH(X596,$D$29:$V$29,0))-1)*_xlfn.XLOOKUP(X596,梦灵养成!$D$9:$D$28,梦灵养成!$G$9:$G$28))</f>
        <v>64.428</v>
      </c>
      <c r="X596" s="106" t="str">
        <f ca="1" t="shared" si="187"/>
        <v>神算诸葛</v>
      </c>
      <c r="Y596" s="95">
        <f ca="1" t="shared" si="209"/>
        <v>246600</v>
      </c>
      <c r="Z596" s="96">
        <f ca="1" t="shared" si="207"/>
        <v>5.9</v>
      </c>
    </row>
    <row r="597" s="106" customFormat="1" ht="16.5" spans="2:26">
      <c r="B597" s="117">
        <v>568</v>
      </c>
      <c r="C597" s="130">
        <f t="shared" si="208"/>
        <v>56800</v>
      </c>
      <c r="D597" s="131">
        <f ca="1" t="shared" si="188"/>
        <v>57</v>
      </c>
      <c r="E597" s="131">
        <f ca="1" t="shared" si="189"/>
        <v>57</v>
      </c>
      <c r="F597" s="131">
        <f ca="1" t="shared" si="190"/>
        <v>57</v>
      </c>
      <c r="G597" s="131">
        <f ca="1" t="shared" si="191"/>
        <v>47</v>
      </c>
      <c r="H597" s="131">
        <f ca="1" t="shared" si="192"/>
        <v>47</v>
      </c>
      <c r="I597" s="131">
        <f ca="1" t="shared" si="193"/>
        <v>47</v>
      </c>
      <c r="J597" s="131">
        <f ca="1" t="shared" si="194"/>
        <v>47</v>
      </c>
      <c r="K597" s="131">
        <f ca="1" t="shared" si="195"/>
        <v>47</v>
      </c>
      <c r="L597" s="131">
        <f ca="1" t="shared" si="196"/>
        <v>47</v>
      </c>
      <c r="M597" s="131">
        <f ca="1" t="shared" si="197"/>
        <v>44</v>
      </c>
      <c r="N597" s="131">
        <f ca="1" t="shared" si="198"/>
        <v>44</v>
      </c>
      <c r="O597" s="131">
        <f ca="1" t="shared" si="199"/>
        <v>44</v>
      </c>
      <c r="P597" s="131">
        <f ca="1" t="shared" si="200"/>
        <v>44</v>
      </c>
      <c r="Q597" s="131">
        <f ca="1" t="shared" si="201"/>
        <v>44</v>
      </c>
      <c r="R597" s="131">
        <f ca="1" t="shared" si="202"/>
        <v>44</v>
      </c>
      <c r="S597" s="131">
        <f ca="1" t="shared" si="203"/>
        <v>46</v>
      </c>
      <c r="T597" s="131">
        <f ca="1" t="shared" si="204"/>
        <v>49</v>
      </c>
      <c r="U597" s="131">
        <f ca="1" t="shared" si="205"/>
        <v>49</v>
      </c>
      <c r="V597" s="131">
        <f ca="1" t="shared" si="206"/>
        <v>50</v>
      </c>
      <c r="W597" s="124">
        <f ca="1">OFFSET($K$19,_xlfn.XLOOKUP(X597,$D$9:$D$28,$H$9:$H$28),MATCH(OFFSET($C$29,B597,MATCH(X597,$D$29:$V$29,0)),$L$19:$R$19,1))*(1+(OFFSET($C$29,B597,MATCH(X597,$D$29:$V$29,0))-1)*_xlfn.XLOOKUP(X597,梦灵养成!$D$9:$D$28,梦灵养成!$G$9:$G$28))</f>
        <v>64.428</v>
      </c>
      <c r="X597" s="106" t="str">
        <f ca="1" t="shared" si="187"/>
        <v>神算诸葛</v>
      </c>
      <c r="Y597" s="95">
        <f ca="1" t="shared" si="209"/>
        <v>246600</v>
      </c>
      <c r="Z597" s="96">
        <f ca="1" t="shared" si="207"/>
        <v>5.9</v>
      </c>
    </row>
    <row r="598" s="106" customFormat="1" ht="16.5" spans="2:26">
      <c r="B598" s="117">
        <v>569</v>
      </c>
      <c r="C598" s="130">
        <f t="shared" si="208"/>
        <v>56900</v>
      </c>
      <c r="D598" s="131">
        <f ca="1" t="shared" si="188"/>
        <v>57</v>
      </c>
      <c r="E598" s="131">
        <f ca="1" t="shared" si="189"/>
        <v>57</v>
      </c>
      <c r="F598" s="131">
        <f ca="1" t="shared" si="190"/>
        <v>57</v>
      </c>
      <c r="G598" s="131">
        <f ca="1" t="shared" si="191"/>
        <v>47</v>
      </c>
      <c r="H598" s="131">
        <f ca="1" t="shared" si="192"/>
        <v>47</v>
      </c>
      <c r="I598" s="131">
        <f ca="1" t="shared" si="193"/>
        <v>47</v>
      </c>
      <c r="J598" s="131">
        <f ca="1" t="shared" si="194"/>
        <v>47</v>
      </c>
      <c r="K598" s="131">
        <f ca="1" t="shared" si="195"/>
        <v>47</v>
      </c>
      <c r="L598" s="131">
        <f ca="1" t="shared" si="196"/>
        <v>47</v>
      </c>
      <c r="M598" s="131">
        <f ca="1" t="shared" si="197"/>
        <v>44</v>
      </c>
      <c r="N598" s="131">
        <f ca="1" t="shared" si="198"/>
        <v>44</v>
      </c>
      <c r="O598" s="131">
        <f ca="1" t="shared" si="199"/>
        <v>44</v>
      </c>
      <c r="P598" s="131">
        <f ca="1" t="shared" si="200"/>
        <v>44</v>
      </c>
      <c r="Q598" s="131">
        <f ca="1" t="shared" si="201"/>
        <v>44</v>
      </c>
      <c r="R598" s="131">
        <f ca="1" t="shared" si="202"/>
        <v>44</v>
      </c>
      <c r="S598" s="131">
        <f ca="1" t="shared" si="203"/>
        <v>46</v>
      </c>
      <c r="T598" s="131">
        <f ca="1" t="shared" si="204"/>
        <v>49</v>
      </c>
      <c r="U598" s="131">
        <f ca="1" t="shared" si="205"/>
        <v>49</v>
      </c>
      <c r="V598" s="131">
        <f ca="1" t="shared" si="206"/>
        <v>50</v>
      </c>
      <c r="W598" s="124">
        <f ca="1">OFFSET($K$19,_xlfn.XLOOKUP(X598,$D$9:$D$28,$H$9:$H$28),MATCH(OFFSET($C$29,B598,MATCH(X598,$D$29:$V$29,0)),$L$19:$R$19,1))*(1+(OFFSET($C$29,B598,MATCH(X598,$D$29:$V$29,0))-1)*_xlfn.XLOOKUP(X598,梦灵养成!$D$9:$D$28,梦灵养成!$G$9:$G$28))</f>
        <v>64.428</v>
      </c>
      <c r="X598" s="106" t="str">
        <f ca="1" t="shared" si="187"/>
        <v>神算诸葛</v>
      </c>
      <c r="Y598" s="95">
        <f ca="1" t="shared" si="209"/>
        <v>246600</v>
      </c>
      <c r="Z598" s="96">
        <f ca="1" t="shared" si="207"/>
        <v>5.9</v>
      </c>
    </row>
    <row r="599" s="106" customFormat="1" ht="16.5" spans="2:26">
      <c r="B599" s="117">
        <v>570</v>
      </c>
      <c r="C599" s="130">
        <f t="shared" si="208"/>
        <v>57000</v>
      </c>
      <c r="D599" s="131">
        <f ca="1" t="shared" si="188"/>
        <v>57</v>
      </c>
      <c r="E599" s="131">
        <f ca="1" t="shared" si="189"/>
        <v>57</v>
      </c>
      <c r="F599" s="131">
        <f ca="1" t="shared" si="190"/>
        <v>57</v>
      </c>
      <c r="G599" s="131">
        <f ca="1" t="shared" si="191"/>
        <v>47</v>
      </c>
      <c r="H599" s="131">
        <f ca="1" t="shared" si="192"/>
        <v>47</v>
      </c>
      <c r="I599" s="131">
        <f ca="1" t="shared" si="193"/>
        <v>47</v>
      </c>
      <c r="J599" s="131">
        <f ca="1" t="shared" si="194"/>
        <v>47</v>
      </c>
      <c r="K599" s="131">
        <f ca="1" t="shared" si="195"/>
        <v>47</v>
      </c>
      <c r="L599" s="131">
        <f ca="1" t="shared" si="196"/>
        <v>47</v>
      </c>
      <c r="M599" s="131">
        <f ca="1" t="shared" si="197"/>
        <v>44</v>
      </c>
      <c r="N599" s="131">
        <f ca="1" t="shared" si="198"/>
        <v>44</v>
      </c>
      <c r="O599" s="131">
        <f ca="1" t="shared" si="199"/>
        <v>44</v>
      </c>
      <c r="P599" s="131">
        <f ca="1" t="shared" si="200"/>
        <v>44</v>
      </c>
      <c r="Q599" s="131">
        <f ca="1" t="shared" si="201"/>
        <v>44</v>
      </c>
      <c r="R599" s="131">
        <f ca="1" t="shared" si="202"/>
        <v>44</v>
      </c>
      <c r="S599" s="131">
        <f ca="1" t="shared" si="203"/>
        <v>46</v>
      </c>
      <c r="T599" s="131">
        <f ca="1" t="shared" si="204"/>
        <v>49</v>
      </c>
      <c r="U599" s="131">
        <f ca="1" t="shared" si="205"/>
        <v>49</v>
      </c>
      <c r="V599" s="131">
        <f ca="1" t="shared" si="206"/>
        <v>50</v>
      </c>
      <c r="W599" s="124">
        <f ca="1">OFFSET($K$19,_xlfn.XLOOKUP(X599,$D$9:$D$28,$H$9:$H$28),MATCH(OFFSET($C$29,B599,MATCH(X599,$D$29:$V$29,0)),$L$19:$R$19,1))*(1+(OFFSET($C$29,B599,MATCH(X599,$D$29:$V$29,0))-1)*_xlfn.XLOOKUP(X599,梦灵养成!$D$9:$D$28,梦灵养成!$G$9:$G$28))</f>
        <v>64.428</v>
      </c>
      <c r="X599" s="106" t="str">
        <f ca="1" t="shared" si="187"/>
        <v>神算诸葛</v>
      </c>
      <c r="Y599" s="95">
        <f ca="1" t="shared" ref="Y599:Y629" si="210">MAX(Y570:Y598)</f>
        <v>246600</v>
      </c>
      <c r="Z599" s="96">
        <f ca="1" t="shared" si="207"/>
        <v>5.9</v>
      </c>
    </row>
    <row r="600" s="106" customFormat="1" ht="16.5" spans="2:26">
      <c r="B600" s="117">
        <v>571</v>
      </c>
      <c r="C600" s="130">
        <f t="shared" si="208"/>
        <v>57100</v>
      </c>
      <c r="D600" s="131">
        <f ca="1" t="shared" si="188"/>
        <v>57</v>
      </c>
      <c r="E600" s="131">
        <f ca="1" t="shared" si="189"/>
        <v>57</v>
      </c>
      <c r="F600" s="131">
        <f ca="1" t="shared" si="190"/>
        <v>57</v>
      </c>
      <c r="G600" s="131">
        <f ca="1" t="shared" si="191"/>
        <v>47</v>
      </c>
      <c r="H600" s="131">
        <f ca="1" t="shared" si="192"/>
        <v>47</v>
      </c>
      <c r="I600" s="131">
        <f ca="1" t="shared" si="193"/>
        <v>47</v>
      </c>
      <c r="J600" s="131">
        <f ca="1" t="shared" si="194"/>
        <v>47</v>
      </c>
      <c r="K600" s="131">
        <f ca="1" t="shared" si="195"/>
        <v>47</v>
      </c>
      <c r="L600" s="131">
        <f ca="1" t="shared" si="196"/>
        <v>47</v>
      </c>
      <c r="M600" s="131">
        <f ca="1" t="shared" si="197"/>
        <v>44</v>
      </c>
      <c r="N600" s="131">
        <f ca="1" t="shared" si="198"/>
        <v>44</v>
      </c>
      <c r="O600" s="131">
        <f ca="1" t="shared" si="199"/>
        <v>44</v>
      </c>
      <c r="P600" s="131">
        <f ca="1" t="shared" si="200"/>
        <v>44</v>
      </c>
      <c r="Q600" s="131">
        <f ca="1" t="shared" si="201"/>
        <v>44</v>
      </c>
      <c r="R600" s="131">
        <f ca="1" t="shared" si="202"/>
        <v>44</v>
      </c>
      <c r="S600" s="131">
        <f ca="1" t="shared" si="203"/>
        <v>46</v>
      </c>
      <c r="T600" s="131">
        <f ca="1" t="shared" si="204"/>
        <v>49</v>
      </c>
      <c r="U600" s="131">
        <f ca="1" t="shared" si="205"/>
        <v>49</v>
      </c>
      <c r="V600" s="131">
        <f ca="1" t="shared" si="206"/>
        <v>50</v>
      </c>
      <c r="W600" s="124">
        <f ca="1">OFFSET($K$19,_xlfn.XLOOKUP(X600,$D$9:$D$28,$H$9:$H$28),MATCH(OFFSET($C$29,B600,MATCH(X600,$D$29:$V$29,0)),$L$19:$R$19,1))*(1+(OFFSET($C$29,B600,MATCH(X600,$D$29:$V$29,0))-1)*_xlfn.XLOOKUP(X600,梦灵养成!$D$9:$D$28,梦灵养成!$G$9:$G$28))</f>
        <v>64.428</v>
      </c>
      <c r="X600" s="106" t="str">
        <f ca="1" t="shared" si="187"/>
        <v>神算诸葛</v>
      </c>
      <c r="Y600" s="95">
        <f ca="1" t="shared" si="210"/>
        <v>246600</v>
      </c>
      <c r="Z600" s="96">
        <f ca="1" t="shared" si="207"/>
        <v>5.9</v>
      </c>
    </row>
    <row r="601" s="106" customFormat="1" ht="16.5" spans="2:26">
      <c r="B601" s="117">
        <v>572</v>
      </c>
      <c r="C601" s="130">
        <f t="shared" si="208"/>
        <v>57200</v>
      </c>
      <c r="D601" s="131">
        <f ca="1" t="shared" si="188"/>
        <v>57</v>
      </c>
      <c r="E601" s="131">
        <f ca="1" t="shared" si="189"/>
        <v>57</v>
      </c>
      <c r="F601" s="131">
        <f ca="1" t="shared" si="190"/>
        <v>57</v>
      </c>
      <c r="G601" s="131">
        <f ca="1" t="shared" si="191"/>
        <v>47</v>
      </c>
      <c r="H601" s="131">
        <f ca="1" t="shared" si="192"/>
        <v>47</v>
      </c>
      <c r="I601" s="131">
        <f ca="1" t="shared" si="193"/>
        <v>47</v>
      </c>
      <c r="J601" s="131">
        <f ca="1" t="shared" si="194"/>
        <v>47</v>
      </c>
      <c r="K601" s="131">
        <f ca="1" t="shared" si="195"/>
        <v>47</v>
      </c>
      <c r="L601" s="131">
        <f ca="1" t="shared" si="196"/>
        <v>47</v>
      </c>
      <c r="M601" s="131">
        <f ca="1" t="shared" si="197"/>
        <v>44</v>
      </c>
      <c r="N601" s="131">
        <f ca="1" t="shared" si="198"/>
        <v>44</v>
      </c>
      <c r="O601" s="131">
        <f ca="1" t="shared" si="199"/>
        <v>44</v>
      </c>
      <c r="P601" s="131">
        <f ca="1" t="shared" si="200"/>
        <v>44</v>
      </c>
      <c r="Q601" s="131">
        <f ca="1" t="shared" si="201"/>
        <v>44</v>
      </c>
      <c r="R601" s="131">
        <f ca="1" t="shared" si="202"/>
        <v>44</v>
      </c>
      <c r="S601" s="131">
        <f ca="1" t="shared" si="203"/>
        <v>46</v>
      </c>
      <c r="T601" s="131">
        <f ca="1" t="shared" si="204"/>
        <v>49</v>
      </c>
      <c r="U601" s="131">
        <f ca="1" t="shared" si="205"/>
        <v>49</v>
      </c>
      <c r="V601" s="131">
        <f ca="1" t="shared" si="206"/>
        <v>50</v>
      </c>
      <c r="W601" s="124">
        <f ca="1">OFFSET($K$19,_xlfn.XLOOKUP(X601,$D$9:$D$28,$H$9:$H$28),MATCH(OFFSET($C$29,B601,MATCH(X601,$D$29:$V$29,0)),$L$19:$R$19,1))*(1+(OFFSET($C$29,B601,MATCH(X601,$D$29:$V$29,0))-1)*_xlfn.XLOOKUP(X601,梦灵养成!$D$9:$D$28,梦灵养成!$G$9:$G$28))</f>
        <v>64.428</v>
      </c>
      <c r="X601" s="106" t="str">
        <f ca="1" t="shared" si="187"/>
        <v>神算诸葛</v>
      </c>
      <c r="Y601" s="95">
        <f ca="1" t="shared" si="210"/>
        <v>246600</v>
      </c>
      <c r="Z601" s="96">
        <f ca="1" t="shared" si="207"/>
        <v>5.9</v>
      </c>
    </row>
    <row r="602" s="106" customFormat="1" ht="16.5" spans="2:26">
      <c r="B602" s="117">
        <v>573</v>
      </c>
      <c r="C602" s="130">
        <f t="shared" si="208"/>
        <v>57300</v>
      </c>
      <c r="D602" s="131">
        <f ca="1" t="shared" si="188"/>
        <v>57</v>
      </c>
      <c r="E602" s="131">
        <f ca="1" t="shared" si="189"/>
        <v>57</v>
      </c>
      <c r="F602" s="131">
        <f ca="1" t="shared" si="190"/>
        <v>57</v>
      </c>
      <c r="G602" s="131">
        <f ca="1" t="shared" si="191"/>
        <v>48</v>
      </c>
      <c r="H602" s="131">
        <f ca="1" t="shared" si="192"/>
        <v>48</v>
      </c>
      <c r="I602" s="131">
        <f ca="1" t="shared" si="193"/>
        <v>48</v>
      </c>
      <c r="J602" s="131">
        <f ca="1" t="shared" si="194"/>
        <v>47</v>
      </c>
      <c r="K602" s="131">
        <f ca="1" t="shared" si="195"/>
        <v>47</v>
      </c>
      <c r="L602" s="131">
        <f ca="1" t="shared" si="196"/>
        <v>47</v>
      </c>
      <c r="M602" s="131">
        <f ca="1" t="shared" si="197"/>
        <v>44</v>
      </c>
      <c r="N602" s="131">
        <f ca="1" t="shared" si="198"/>
        <v>44</v>
      </c>
      <c r="O602" s="131">
        <f ca="1" t="shared" si="199"/>
        <v>44</v>
      </c>
      <c r="P602" s="131">
        <f ca="1" t="shared" si="200"/>
        <v>44</v>
      </c>
      <c r="Q602" s="131">
        <f ca="1" t="shared" si="201"/>
        <v>45</v>
      </c>
      <c r="R602" s="131">
        <f ca="1" t="shared" si="202"/>
        <v>44</v>
      </c>
      <c r="S602" s="131">
        <f ca="1" t="shared" si="203"/>
        <v>46</v>
      </c>
      <c r="T602" s="131">
        <f ca="1" t="shared" si="204"/>
        <v>49</v>
      </c>
      <c r="U602" s="131">
        <f ca="1" t="shared" si="205"/>
        <v>49</v>
      </c>
      <c r="V602" s="131">
        <f ca="1" t="shared" si="206"/>
        <v>50</v>
      </c>
      <c r="W602" s="124">
        <f ca="1">OFFSET($K$19,_xlfn.XLOOKUP(X602,$D$9:$D$28,$H$9:$H$28),MATCH(OFFSET($C$29,B602,MATCH(X602,$D$29:$V$29,0)),$L$19:$R$19,1))*(1+(OFFSET($C$29,B602,MATCH(X602,$D$29:$V$29,0))-1)*_xlfn.XLOOKUP(X602,梦灵养成!$D$9:$D$28,梦灵养成!$G$9:$G$28))</f>
        <v>64.428</v>
      </c>
      <c r="X602" s="106" t="str">
        <f ca="1" t="shared" si="187"/>
        <v>神算诸葛</v>
      </c>
      <c r="Y602" s="95">
        <f ca="1" t="shared" si="210"/>
        <v>246600</v>
      </c>
      <c r="Z602" s="96">
        <f ca="1" t="shared" si="207"/>
        <v>5.9</v>
      </c>
    </row>
    <row r="603" s="106" customFormat="1" ht="16.5" spans="2:26">
      <c r="B603" s="117">
        <v>574</v>
      </c>
      <c r="C603" s="130">
        <f t="shared" si="208"/>
        <v>57400</v>
      </c>
      <c r="D603" s="131">
        <f ca="1" t="shared" si="188"/>
        <v>57</v>
      </c>
      <c r="E603" s="131">
        <f ca="1" t="shared" si="189"/>
        <v>57</v>
      </c>
      <c r="F603" s="131">
        <f ca="1" t="shared" si="190"/>
        <v>57</v>
      </c>
      <c r="G603" s="131">
        <f ca="1" t="shared" si="191"/>
        <v>48</v>
      </c>
      <c r="H603" s="131">
        <f ca="1" t="shared" si="192"/>
        <v>48</v>
      </c>
      <c r="I603" s="131">
        <f ca="1" t="shared" si="193"/>
        <v>48</v>
      </c>
      <c r="J603" s="131">
        <f ca="1" t="shared" si="194"/>
        <v>48</v>
      </c>
      <c r="K603" s="131">
        <f ca="1" t="shared" si="195"/>
        <v>47</v>
      </c>
      <c r="L603" s="131">
        <f ca="1" t="shared" si="196"/>
        <v>47</v>
      </c>
      <c r="M603" s="131">
        <f ca="1" t="shared" si="197"/>
        <v>44</v>
      </c>
      <c r="N603" s="131">
        <f ca="1" t="shared" si="198"/>
        <v>44</v>
      </c>
      <c r="O603" s="131">
        <f ca="1" t="shared" si="199"/>
        <v>44</v>
      </c>
      <c r="P603" s="131">
        <f ca="1" t="shared" si="200"/>
        <v>44</v>
      </c>
      <c r="Q603" s="131">
        <f ca="1" t="shared" si="201"/>
        <v>45</v>
      </c>
      <c r="R603" s="131">
        <f ca="1" t="shared" si="202"/>
        <v>44</v>
      </c>
      <c r="S603" s="131">
        <f ca="1" t="shared" si="203"/>
        <v>46</v>
      </c>
      <c r="T603" s="131">
        <f ca="1" t="shared" si="204"/>
        <v>49</v>
      </c>
      <c r="U603" s="131">
        <f ca="1" t="shared" si="205"/>
        <v>49</v>
      </c>
      <c r="V603" s="131">
        <f ca="1" t="shared" si="206"/>
        <v>50</v>
      </c>
      <c r="W603" s="124">
        <f ca="1">OFFSET($K$19,_xlfn.XLOOKUP(X603,$D$9:$D$28,$H$9:$H$28),MATCH(OFFSET($C$29,B603,MATCH(X603,$D$29:$V$29,0)),$L$19:$R$19,1))*(1+(OFFSET($C$29,B603,MATCH(X603,$D$29:$V$29,0))-1)*_xlfn.XLOOKUP(X603,梦灵养成!$D$9:$D$28,梦灵养成!$G$9:$G$28))</f>
        <v>64.428</v>
      </c>
      <c r="X603" s="106" t="str">
        <f ca="1" t="shared" si="187"/>
        <v>神算诸葛</v>
      </c>
      <c r="Y603" s="95">
        <f ca="1" t="shared" si="210"/>
        <v>246600</v>
      </c>
      <c r="Z603" s="96">
        <f ca="1" t="shared" si="207"/>
        <v>5.9</v>
      </c>
    </row>
    <row r="604" s="106" customFormat="1" ht="16.5" spans="2:26">
      <c r="B604" s="117">
        <v>575</v>
      </c>
      <c r="C604" s="130">
        <f t="shared" si="208"/>
        <v>57500</v>
      </c>
      <c r="D604" s="131">
        <f ca="1" t="shared" si="188"/>
        <v>57</v>
      </c>
      <c r="E604" s="131">
        <f ca="1" t="shared" si="189"/>
        <v>57</v>
      </c>
      <c r="F604" s="131">
        <f ca="1" t="shared" si="190"/>
        <v>57</v>
      </c>
      <c r="G604" s="131">
        <f ca="1" t="shared" si="191"/>
        <v>48</v>
      </c>
      <c r="H604" s="131">
        <f ca="1" t="shared" si="192"/>
        <v>48</v>
      </c>
      <c r="I604" s="131">
        <f ca="1" t="shared" si="193"/>
        <v>48</v>
      </c>
      <c r="J604" s="131">
        <f ca="1" t="shared" si="194"/>
        <v>48</v>
      </c>
      <c r="K604" s="131">
        <f ca="1" t="shared" si="195"/>
        <v>48</v>
      </c>
      <c r="L604" s="131">
        <f ca="1" t="shared" si="196"/>
        <v>48</v>
      </c>
      <c r="M604" s="131">
        <f ca="1" t="shared" si="197"/>
        <v>44</v>
      </c>
      <c r="N604" s="131">
        <f ca="1" t="shared" si="198"/>
        <v>44</v>
      </c>
      <c r="O604" s="131">
        <f ca="1" t="shared" si="199"/>
        <v>45</v>
      </c>
      <c r="P604" s="131">
        <f ca="1" t="shared" si="200"/>
        <v>44</v>
      </c>
      <c r="Q604" s="131">
        <f ca="1" t="shared" si="201"/>
        <v>45</v>
      </c>
      <c r="R604" s="131">
        <f ca="1" t="shared" si="202"/>
        <v>44</v>
      </c>
      <c r="S604" s="131">
        <f ca="1" t="shared" si="203"/>
        <v>46</v>
      </c>
      <c r="T604" s="131">
        <f ca="1" t="shared" si="204"/>
        <v>49</v>
      </c>
      <c r="U604" s="131">
        <f ca="1" t="shared" si="205"/>
        <v>49</v>
      </c>
      <c r="V604" s="131">
        <f ca="1" t="shared" si="206"/>
        <v>50</v>
      </c>
      <c r="W604" s="124">
        <f ca="1">OFFSET($K$19,_xlfn.XLOOKUP(X604,$D$9:$D$28,$H$9:$H$28),MATCH(OFFSET($C$29,B604,MATCH(X604,$D$29:$V$29,0)),$L$19:$R$19,1))*(1+(OFFSET($C$29,B604,MATCH(X604,$D$29:$V$29,0))-1)*_xlfn.XLOOKUP(X604,梦灵养成!$D$9:$D$28,梦灵养成!$G$9:$G$28))</f>
        <v>64.428</v>
      </c>
      <c r="X604" s="106" t="str">
        <f ca="1" t="shared" si="187"/>
        <v>神算诸葛</v>
      </c>
      <c r="Y604" s="95">
        <f ca="1" t="shared" si="210"/>
        <v>246600</v>
      </c>
      <c r="Z604" s="96">
        <f ca="1" t="shared" si="207"/>
        <v>5.9</v>
      </c>
    </row>
    <row r="605" s="106" customFormat="1" ht="16.5" spans="2:26">
      <c r="B605" s="117">
        <v>576</v>
      </c>
      <c r="C605" s="130">
        <f t="shared" si="208"/>
        <v>57600</v>
      </c>
      <c r="D605" s="131">
        <f ca="1" t="shared" si="188"/>
        <v>57</v>
      </c>
      <c r="E605" s="131">
        <f ca="1" t="shared" si="189"/>
        <v>57</v>
      </c>
      <c r="F605" s="131">
        <f ca="1" t="shared" si="190"/>
        <v>57</v>
      </c>
      <c r="G605" s="131">
        <f ca="1" t="shared" si="191"/>
        <v>48</v>
      </c>
      <c r="H605" s="131">
        <f ca="1" t="shared" si="192"/>
        <v>48</v>
      </c>
      <c r="I605" s="131">
        <f ca="1" t="shared" si="193"/>
        <v>48</v>
      </c>
      <c r="J605" s="131">
        <f ca="1" t="shared" si="194"/>
        <v>48</v>
      </c>
      <c r="K605" s="131">
        <f ca="1" t="shared" si="195"/>
        <v>48</v>
      </c>
      <c r="L605" s="131">
        <f ca="1" t="shared" si="196"/>
        <v>48</v>
      </c>
      <c r="M605" s="131">
        <f ca="1" t="shared" si="197"/>
        <v>44</v>
      </c>
      <c r="N605" s="131">
        <f ca="1" t="shared" si="198"/>
        <v>44</v>
      </c>
      <c r="O605" s="131">
        <f ca="1" t="shared" si="199"/>
        <v>45</v>
      </c>
      <c r="P605" s="131">
        <f ca="1" t="shared" si="200"/>
        <v>44</v>
      </c>
      <c r="Q605" s="131">
        <f ca="1" t="shared" si="201"/>
        <v>45</v>
      </c>
      <c r="R605" s="131">
        <f ca="1" t="shared" si="202"/>
        <v>44</v>
      </c>
      <c r="S605" s="131">
        <f ca="1" t="shared" si="203"/>
        <v>46</v>
      </c>
      <c r="T605" s="131">
        <f ca="1" t="shared" si="204"/>
        <v>49</v>
      </c>
      <c r="U605" s="131">
        <f ca="1" t="shared" si="205"/>
        <v>49</v>
      </c>
      <c r="V605" s="131">
        <f ca="1" t="shared" si="206"/>
        <v>50</v>
      </c>
      <c r="W605" s="124">
        <f ca="1">OFFSET($K$19,_xlfn.XLOOKUP(X605,$D$9:$D$28,$H$9:$H$28),MATCH(OFFSET($C$29,B605,MATCH(X605,$D$29:$V$29,0)),$L$19:$R$19,1))*(1+(OFFSET($C$29,B605,MATCH(X605,$D$29:$V$29,0))-1)*_xlfn.XLOOKUP(X605,梦灵养成!$D$9:$D$28,梦灵养成!$G$9:$G$28))</f>
        <v>64.428</v>
      </c>
      <c r="X605" s="106" t="str">
        <f ca="1" t="shared" si="187"/>
        <v>神算诸葛</v>
      </c>
      <c r="Y605" s="95">
        <f ca="1" t="shared" si="210"/>
        <v>246600</v>
      </c>
      <c r="Z605" s="96">
        <f ca="1" t="shared" si="207"/>
        <v>5.9</v>
      </c>
    </row>
    <row r="606" s="106" customFormat="1" ht="16.5" spans="2:26">
      <c r="B606" s="117">
        <v>577</v>
      </c>
      <c r="C606" s="130">
        <f t="shared" si="208"/>
        <v>57700</v>
      </c>
      <c r="D606" s="131">
        <f ca="1" t="shared" si="188"/>
        <v>57</v>
      </c>
      <c r="E606" s="131">
        <f ca="1" t="shared" si="189"/>
        <v>57</v>
      </c>
      <c r="F606" s="131">
        <f ca="1" t="shared" si="190"/>
        <v>57</v>
      </c>
      <c r="G606" s="131">
        <f ca="1" t="shared" si="191"/>
        <v>48</v>
      </c>
      <c r="H606" s="131">
        <f ca="1" t="shared" si="192"/>
        <v>48</v>
      </c>
      <c r="I606" s="131">
        <f ca="1" t="shared" si="193"/>
        <v>48</v>
      </c>
      <c r="J606" s="131">
        <f ca="1" t="shared" si="194"/>
        <v>48</v>
      </c>
      <c r="K606" s="131">
        <f ca="1" t="shared" si="195"/>
        <v>48</v>
      </c>
      <c r="L606" s="131">
        <f ca="1" t="shared" si="196"/>
        <v>48</v>
      </c>
      <c r="M606" s="131">
        <f ca="1" t="shared" si="197"/>
        <v>44</v>
      </c>
      <c r="N606" s="131">
        <f ca="1" t="shared" si="198"/>
        <v>44</v>
      </c>
      <c r="O606" s="131">
        <f ca="1" t="shared" si="199"/>
        <v>45</v>
      </c>
      <c r="P606" s="131">
        <f ca="1" t="shared" si="200"/>
        <v>44</v>
      </c>
      <c r="Q606" s="131">
        <f ca="1" t="shared" si="201"/>
        <v>45</v>
      </c>
      <c r="R606" s="131">
        <f ca="1" t="shared" si="202"/>
        <v>44</v>
      </c>
      <c r="S606" s="131">
        <f ca="1" t="shared" si="203"/>
        <v>46</v>
      </c>
      <c r="T606" s="131">
        <f ca="1" t="shared" si="204"/>
        <v>49</v>
      </c>
      <c r="U606" s="131">
        <f ca="1" t="shared" si="205"/>
        <v>49</v>
      </c>
      <c r="V606" s="131">
        <f ca="1" t="shared" si="206"/>
        <v>50</v>
      </c>
      <c r="W606" s="124">
        <f ca="1">OFFSET($K$19,_xlfn.XLOOKUP(X606,$D$9:$D$28,$H$9:$H$28),MATCH(OFFSET($C$29,B606,MATCH(X606,$D$29:$V$29,0)),$L$19:$R$19,1))*(1+(OFFSET($C$29,B606,MATCH(X606,$D$29:$V$29,0))-1)*_xlfn.XLOOKUP(X606,梦灵养成!$D$9:$D$28,梦灵养成!$G$9:$G$28))</f>
        <v>64.428</v>
      </c>
      <c r="X606" s="106" t="str">
        <f ca="1" t="shared" ref="X606:X629" si="211">OFFSET($I$8,MATCH(C606,$C$9:$C$27,1),0)</f>
        <v>神算诸葛</v>
      </c>
      <c r="Y606" s="95">
        <f ca="1" t="shared" si="210"/>
        <v>246600</v>
      </c>
      <c r="Z606" s="96">
        <f ca="1" t="shared" si="207"/>
        <v>5.9</v>
      </c>
    </row>
    <row r="607" s="106" customFormat="1" ht="16.5" spans="2:26">
      <c r="B607" s="117">
        <v>578</v>
      </c>
      <c r="C607" s="130">
        <f t="shared" si="208"/>
        <v>57800</v>
      </c>
      <c r="D607" s="131">
        <f ca="1" t="shared" ref="D607:V607" si="212">IFERROR(MATCH(D1212*10,OFFSET($AP$635:$AP$734,0,D$631),1),0)</f>
        <v>57</v>
      </c>
      <c r="E607" s="131">
        <f ca="1" t="shared" si="212"/>
        <v>57</v>
      </c>
      <c r="F607" s="131">
        <f ca="1" t="shared" si="212"/>
        <v>57</v>
      </c>
      <c r="G607" s="131">
        <f ca="1" t="shared" si="212"/>
        <v>48</v>
      </c>
      <c r="H607" s="131">
        <f ca="1" t="shared" si="212"/>
        <v>48</v>
      </c>
      <c r="I607" s="131">
        <f ca="1" t="shared" si="212"/>
        <v>48</v>
      </c>
      <c r="J607" s="131">
        <f ca="1" t="shared" si="212"/>
        <v>48</v>
      </c>
      <c r="K607" s="131">
        <f ca="1" t="shared" si="212"/>
        <v>48</v>
      </c>
      <c r="L607" s="131">
        <f ca="1" t="shared" si="212"/>
        <v>48</v>
      </c>
      <c r="M607" s="131">
        <f ca="1" t="shared" si="212"/>
        <v>44</v>
      </c>
      <c r="N607" s="131">
        <f ca="1" t="shared" si="212"/>
        <v>44</v>
      </c>
      <c r="O607" s="131">
        <f ca="1" t="shared" si="212"/>
        <v>45</v>
      </c>
      <c r="P607" s="131">
        <f ca="1" t="shared" si="212"/>
        <v>44</v>
      </c>
      <c r="Q607" s="131">
        <f ca="1" t="shared" si="212"/>
        <v>45</v>
      </c>
      <c r="R607" s="131">
        <f ca="1" t="shared" si="212"/>
        <v>44</v>
      </c>
      <c r="S607" s="131">
        <f ca="1" t="shared" si="212"/>
        <v>46</v>
      </c>
      <c r="T607" s="131">
        <f ca="1" t="shared" si="212"/>
        <v>49</v>
      </c>
      <c r="U607" s="131">
        <f ca="1" t="shared" si="212"/>
        <v>49</v>
      </c>
      <c r="V607" s="131">
        <f ca="1" t="shared" si="212"/>
        <v>50</v>
      </c>
      <c r="W607" s="124">
        <f ca="1">OFFSET($K$19,_xlfn.XLOOKUP(X607,$D$9:$D$28,$H$9:$H$28),MATCH(OFFSET($C$29,B607,MATCH(X607,$D$29:$V$29,0)),$L$19:$R$19,1))*(1+(OFFSET($C$29,B607,MATCH(X607,$D$29:$V$29,0))-1)*_xlfn.XLOOKUP(X607,梦灵养成!$D$9:$D$28,梦灵养成!$G$9:$G$28))</f>
        <v>64.428</v>
      </c>
      <c r="X607" s="106" t="str">
        <f ca="1" t="shared" si="211"/>
        <v>神算诸葛</v>
      </c>
      <c r="Y607" s="95">
        <f ca="1" t="shared" si="210"/>
        <v>246600</v>
      </c>
      <c r="Z607" s="96">
        <f ca="1" t="shared" ref="Z607:Z629" si="213">_xlfn.XLOOKUP(X607,$D$9:$D$27,$G$9:$G$27)*(OFFSET($B607,0,MATCH($X607,$D$29:$V$29,0)+1)-1)+1</f>
        <v>5.9</v>
      </c>
    </row>
    <row r="608" s="106" customFormat="1" ht="16.5" spans="2:26">
      <c r="B608" s="117">
        <v>579</v>
      </c>
      <c r="C608" s="130">
        <f t="shared" ref="C608:C629" si="214">C607+100</f>
        <v>57900</v>
      </c>
      <c r="D608" s="131">
        <f ca="1" t="shared" ref="D608:V608" si="215">IFERROR(MATCH(D1213*10,OFFSET($AP$635:$AP$734,0,D$631),1),0)</f>
        <v>57</v>
      </c>
      <c r="E608" s="131">
        <f ca="1" t="shared" si="215"/>
        <v>57</v>
      </c>
      <c r="F608" s="131">
        <f ca="1" t="shared" si="215"/>
        <v>57</v>
      </c>
      <c r="G608" s="131">
        <f ca="1" t="shared" si="215"/>
        <v>48</v>
      </c>
      <c r="H608" s="131">
        <f ca="1" t="shared" si="215"/>
        <v>48</v>
      </c>
      <c r="I608" s="131">
        <f ca="1" t="shared" si="215"/>
        <v>48</v>
      </c>
      <c r="J608" s="131">
        <f ca="1" t="shared" si="215"/>
        <v>48</v>
      </c>
      <c r="K608" s="131">
        <f ca="1" t="shared" si="215"/>
        <v>48</v>
      </c>
      <c r="L608" s="131">
        <f ca="1" t="shared" si="215"/>
        <v>48</v>
      </c>
      <c r="M608" s="131">
        <f ca="1" t="shared" si="215"/>
        <v>44</v>
      </c>
      <c r="N608" s="131">
        <f ca="1" t="shared" si="215"/>
        <v>45</v>
      </c>
      <c r="O608" s="131">
        <f ca="1" t="shared" si="215"/>
        <v>45</v>
      </c>
      <c r="P608" s="131">
        <f ca="1" t="shared" si="215"/>
        <v>44</v>
      </c>
      <c r="Q608" s="131">
        <f ca="1" t="shared" si="215"/>
        <v>45</v>
      </c>
      <c r="R608" s="131">
        <f ca="1" t="shared" si="215"/>
        <v>45</v>
      </c>
      <c r="S608" s="131">
        <f ca="1" t="shared" si="215"/>
        <v>46</v>
      </c>
      <c r="T608" s="131">
        <f ca="1" t="shared" si="215"/>
        <v>49</v>
      </c>
      <c r="U608" s="131">
        <f ca="1" t="shared" si="215"/>
        <v>49</v>
      </c>
      <c r="V608" s="131">
        <f ca="1" t="shared" si="215"/>
        <v>50</v>
      </c>
      <c r="W608" s="124">
        <f ca="1">OFFSET($K$19,_xlfn.XLOOKUP(X608,$D$9:$D$28,$H$9:$H$28),MATCH(OFFSET($C$29,B608,MATCH(X608,$D$29:$V$29,0)),$L$19:$R$19,1))*(1+(OFFSET($C$29,B608,MATCH(X608,$D$29:$V$29,0))-1)*_xlfn.XLOOKUP(X608,梦灵养成!$D$9:$D$28,梦灵养成!$G$9:$G$28))</f>
        <v>64.428</v>
      </c>
      <c r="X608" s="106" t="str">
        <f ca="1" t="shared" si="211"/>
        <v>神算诸葛</v>
      </c>
      <c r="Y608" s="95">
        <f ca="1" t="shared" si="210"/>
        <v>246600</v>
      </c>
      <c r="Z608" s="96">
        <f ca="1" t="shared" si="213"/>
        <v>5.9</v>
      </c>
    </row>
    <row r="609" s="106" customFormat="1" ht="16.5" spans="2:26">
      <c r="B609" s="117">
        <v>580</v>
      </c>
      <c r="C609" s="130">
        <f t="shared" si="214"/>
        <v>58000</v>
      </c>
      <c r="D609" s="131">
        <f ca="1" t="shared" ref="D609:V609" si="216">IFERROR(MATCH(D1214*10,OFFSET($AP$635:$AP$734,0,D$631),1),0)</f>
        <v>57</v>
      </c>
      <c r="E609" s="131">
        <f ca="1" t="shared" si="216"/>
        <v>57</v>
      </c>
      <c r="F609" s="131">
        <f ca="1" t="shared" si="216"/>
        <v>57</v>
      </c>
      <c r="G609" s="131">
        <f ca="1" t="shared" si="216"/>
        <v>48</v>
      </c>
      <c r="H609" s="131">
        <f ca="1" t="shared" si="216"/>
        <v>48</v>
      </c>
      <c r="I609" s="131">
        <f ca="1" t="shared" si="216"/>
        <v>48</v>
      </c>
      <c r="J609" s="131">
        <f ca="1" t="shared" si="216"/>
        <v>48</v>
      </c>
      <c r="K609" s="131">
        <f ca="1" t="shared" si="216"/>
        <v>48</v>
      </c>
      <c r="L609" s="131">
        <f ca="1" t="shared" si="216"/>
        <v>48</v>
      </c>
      <c r="M609" s="131">
        <f ca="1" t="shared" si="216"/>
        <v>45</v>
      </c>
      <c r="N609" s="131">
        <f ca="1" t="shared" si="216"/>
        <v>45</v>
      </c>
      <c r="O609" s="131">
        <f ca="1" t="shared" si="216"/>
        <v>45</v>
      </c>
      <c r="P609" s="131">
        <f ca="1" t="shared" si="216"/>
        <v>44</v>
      </c>
      <c r="Q609" s="131">
        <f ca="1" t="shared" si="216"/>
        <v>45</v>
      </c>
      <c r="R609" s="131">
        <f ca="1" t="shared" si="216"/>
        <v>45</v>
      </c>
      <c r="S609" s="131">
        <f ca="1" t="shared" si="216"/>
        <v>46</v>
      </c>
      <c r="T609" s="131">
        <f ca="1" t="shared" si="216"/>
        <v>49</v>
      </c>
      <c r="U609" s="131">
        <f ca="1" t="shared" si="216"/>
        <v>49</v>
      </c>
      <c r="V609" s="131">
        <f ca="1" t="shared" si="216"/>
        <v>50</v>
      </c>
      <c r="W609" s="124">
        <f ca="1">OFFSET($K$19,_xlfn.XLOOKUP(X609,$D$9:$D$28,$H$9:$H$28),MATCH(OFFSET($C$29,B609,MATCH(X609,$D$29:$V$29,0)),$L$19:$R$19,1))*(1+(OFFSET($C$29,B609,MATCH(X609,$D$29:$V$29,0))-1)*_xlfn.XLOOKUP(X609,梦灵养成!$D$9:$D$28,梦灵养成!$G$9:$G$28))</f>
        <v>64.428</v>
      </c>
      <c r="X609" s="106" t="str">
        <f ca="1" t="shared" si="211"/>
        <v>神算诸葛</v>
      </c>
      <c r="Y609" s="95">
        <f ca="1" t="shared" si="210"/>
        <v>246600</v>
      </c>
      <c r="Z609" s="96">
        <f ca="1" t="shared" si="213"/>
        <v>5.9</v>
      </c>
    </row>
    <row r="610" s="106" customFormat="1" ht="16.5" spans="2:26">
      <c r="B610" s="117">
        <v>581</v>
      </c>
      <c r="C610" s="130">
        <f t="shared" si="214"/>
        <v>58100</v>
      </c>
      <c r="D610" s="131">
        <f ca="1" t="shared" ref="D610:V610" si="217">IFERROR(MATCH(D1215*10,OFFSET($AP$635:$AP$734,0,D$631),1),0)</f>
        <v>57</v>
      </c>
      <c r="E610" s="131">
        <f ca="1" t="shared" si="217"/>
        <v>57</v>
      </c>
      <c r="F610" s="131">
        <f ca="1" t="shared" si="217"/>
        <v>57</v>
      </c>
      <c r="G610" s="131">
        <f ca="1" t="shared" si="217"/>
        <v>48</v>
      </c>
      <c r="H610" s="131">
        <f ca="1" t="shared" si="217"/>
        <v>48</v>
      </c>
      <c r="I610" s="131">
        <f ca="1" t="shared" si="217"/>
        <v>48</v>
      </c>
      <c r="J610" s="131">
        <f ca="1" t="shared" si="217"/>
        <v>48</v>
      </c>
      <c r="K610" s="131">
        <f ca="1" t="shared" si="217"/>
        <v>48</v>
      </c>
      <c r="L610" s="131">
        <f ca="1" t="shared" si="217"/>
        <v>48</v>
      </c>
      <c r="M610" s="131">
        <f ca="1" t="shared" si="217"/>
        <v>45</v>
      </c>
      <c r="N610" s="131">
        <f ca="1" t="shared" si="217"/>
        <v>45</v>
      </c>
      <c r="O610" s="131">
        <f ca="1" t="shared" si="217"/>
        <v>45</v>
      </c>
      <c r="P610" s="131">
        <f ca="1" t="shared" si="217"/>
        <v>44</v>
      </c>
      <c r="Q610" s="131">
        <f ca="1" t="shared" si="217"/>
        <v>45</v>
      </c>
      <c r="R610" s="131">
        <f ca="1" t="shared" si="217"/>
        <v>45</v>
      </c>
      <c r="S610" s="131">
        <f ca="1" t="shared" si="217"/>
        <v>46</v>
      </c>
      <c r="T610" s="131">
        <f ca="1" t="shared" si="217"/>
        <v>49</v>
      </c>
      <c r="U610" s="131">
        <f ca="1" t="shared" si="217"/>
        <v>50</v>
      </c>
      <c r="V610" s="131">
        <f ca="1" t="shared" si="217"/>
        <v>50</v>
      </c>
      <c r="W610" s="124">
        <f ca="1">OFFSET($K$19,_xlfn.XLOOKUP(X610,$D$9:$D$28,$H$9:$H$28),MATCH(OFFSET($C$29,B610,MATCH(X610,$D$29:$V$29,0)),$L$19:$R$19,1))*(1+(OFFSET($C$29,B610,MATCH(X610,$D$29:$V$29,0))-1)*_xlfn.XLOOKUP(X610,梦灵养成!$D$9:$D$28,梦灵养成!$G$9:$G$28))</f>
        <v>64.428</v>
      </c>
      <c r="X610" s="106" t="str">
        <f ca="1" t="shared" si="211"/>
        <v>神算诸葛</v>
      </c>
      <c r="Y610" s="95">
        <f ca="1" t="shared" si="210"/>
        <v>246600</v>
      </c>
      <c r="Z610" s="96">
        <f ca="1" t="shared" si="213"/>
        <v>5.9</v>
      </c>
    </row>
    <row r="611" s="106" customFormat="1" ht="16.5" spans="2:26">
      <c r="B611" s="117">
        <v>582</v>
      </c>
      <c r="C611" s="130">
        <f t="shared" si="214"/>
        <v>58200</v>
      </c>
      <c r="D611" s="131">
        <f ca="1" t="shared" ref="D611:V611" si="218">IFERROR(MATCH(D1216*10,OFFSET($AP$635:$AP$734,0,D$631),1),0)</f>
        <v>57</v>
      </c>
      <c r="E611" s="131">
        <f ca="1" t="shared" si="218"/>
        <v>57</v>
      </c>
      <c r="F611" s="131">
        <f ca="1" t="shared" si="218"/>
        <v>57</v>
      </c>
      <c r="G611" s="131">
        <f ca="1" t="shared" si="218"/>
        <v>48</v>
      </c>
      <c r="H611" s="131">
        <f ca="1" t="shared" si="218"/>
        <v>48</v>
      </c>
      <c r="I611" s="131">
        <f ca="1" t="shared" si="218"/>
        <v>48</v>
      </c>
      <c r="J611" s="131">
        <f ca="1" t="shared" si="218"/>
        <v>48</v>
      </c>
      <c r="K611" s="131">
        <f ca="1" t="shared" si="218"/>
        <v>48</v>
      </c>
      <c r="L611" s="131">
        <f ca="1" t="shared" si="218"/>
        <v>48</v>
      </c>
      <c r="M611" s="131">
        <f ca="1" t="shared" si="218"/>
        <v>45</v>
      </c>
      <c r="N611" s="131">
        <f ca="1" t="shared" si="218"/>
        <v>45</v>
      </c>
      <c r="O611" s="131">
        <f ca="1" t="shared" si="218"/>
        <v>45</v>
      </c>
      <c r="P611" s="131">
        <f ca="1" t="shared" si="218"/>
        <v>44</v>
      </c>
      <c r="Q611" s="131">
        <f ca="1" t="shared" si="218"/>
        <v>45</v>
      </c>
      <c r="R611" s="131">
        <f ca="1" t="shared" si="218"/>
        <v>45</v>
      </c>
      <c r="S611" s="131">
        <f ca="1" t="shared" si="218"/>
        <v>46</v>
      </c>
      <c r="T611" s="131">
        <f ca="1" t="shared" si="218"/>
        <v>49</v>
      </c>
      <c r="U611" s="131">
        <f ca="1" t="shared" si="218"/>
        <v>50</v>
      </c>
      <c r="V611" s="131">
        <f ca="1" t="shared" si="218"/>
        <v>50</v>
      </c>
      <c r="W611" s="124">
        <f ca="1">OFFSET($K$19,_xlfn.XLOOKUP(X611,$D$9:$D$28,$H$9:$H$28),MATCH(OFFSET($C$29,B611,MATCH(X611,$D$29:$V$29,0)),$L$19:$R$19,1))*(1+(OFFSET($C$29,B611,MATCH(X611,$D$29:$V$29,0))-1)*_xlfn.XLOOKUP(X611,梦灵养成!$D$9:$D$28,梦灵养成!$G$9:$G$28))</f>
        <v>64.428</v>
      </c>
      <c r="X611" s="106" t="str">
        <f ca="1" t="shared" si="211"/>
        <v>神算诸葛</v>
      </c>
      <c r="Y611" s="95">
        <f ca="1" t="shared" si="210"/>
        <v>246600</v>
      </c>
      <c r="Z611" s="96">
        <f ca="1" t="shared" si="213"/>
        <v>5.9</v>
      </c>
    </row>
    <row r="612" s="106" customFormat="1" ht="16.5" spans="2:26">
      <c r="B612" s="117">
        <v>583</v>
      </c>
      <c r="C612" s="130">
        <f t="shared" si="214"/>
        <v>58300</v>
      </c>
      <c r="D612" s="131">
        <f ca="1" t="shared" ref="D612:V612" si="219">IFERROR(MATCH(D1217*10,OFFSET($AP$635:$AP$734,0,D$631),1),0)</f>
        <v>57</v>
      </c>
      <c r="E612" s="131">
        <f ca="1" t="shared" si="219"/>
        <v>57</v>
      </c>
      <c r="F612" s="131">
        <f ca="1" t="shared" si="219"/>
        <v>57</v>
      </c>
      <c r="G612" s="131">
        <f ca="1" t="shared" si="219"/>
        <v>48</v>
      </c>
      <c r="H612" s="131">
        <f ca="1" t="shared" si="219"/>
        <v>48</v>
      </c>
      <c r="I612" s="131">
        <f ca="1" t="shared" si="219"/>
        <v>48</v>
      </c>
      <c r="J612" s="131">
        <f ca="1" t="shared" si="219"/>
        <v>48</v>
      </c>
      <c r="K612" s="131">
        <f ca="1" t="shared" si="219"/>
        <v>48</v>
      </c>
      <c r="L612" s="131">
        <f ca="1" t="shared" si="219"/>
        <v>48</v>
      </c>
      <c r="M612" s="131">
        <f ca="1" t="shared" si="219"/>
        <v>45</v>
      </c>
      <c r="N612" s="131">
        <f ca="1" t="shared" si="219"/>
        <v>45</v>
      </c>
      <c r="O612" s="131">
        <f ca="1" t="shared" si="219"/>
        <v>45</v>
      </c>
      <c r="P612" s="131">
        <f ca="1" t="shared" si="219"/>
        <v>45</v>
      </c>
      <c r="Q612" s="131">
        <f ca="1" t="shared" si="219"/>
        <v>45</v>
      </c>
      <c r="R612" s="131">
        <f ca="1" t="shared" si="219"/>
        <v>45</v>
      </c>
      <c r="S612" s="131">
        <f ca="1" t="shared" si="219"/>
        <v>46</v>
      </c>
      <c r="T612" s="131">
        <f ca="1" t="shared" si="219"/>
        <v>49</v>
      </c>
      <c r="U612" s="131">
        <f ca="1" t="shared" si="219"/>
        <v>50</v>
      </c>
      <c r="V612" s="131">
        <f ca="1" t="shared" si="219"/>
        <v>50</v>
      </c>
      <c r="W612" s="124">
        <f ca="1">OFFSET($K$19,_xlfn.XLOOKUP(X612,$D$9:$D$28,$H$9:$H$28),MATCH(OFFSET($C$29,B612,MATCH(X612,$D$29:$V$29,0)),$L$19:$R$19,1))*(1+(OFFSET($C$29,B612,MATCH(X612,$D$29:$V$29,0))-1)*_xlfn.XLOOKUP(X612,梦灵养成!$D$9:$D$28,梦灵养成!$G$9:$G$28))</f>
        <v>64.428</v>
      </c>
      <c r="X612" s="106" t="str">
        <f ca="1" t="shared" si="211"/>
        <v>神算诸葛</v>
      </c>
      <c r="Y612" s="95">
        <f ca="1" t="shared" si="210"/>
        <v>246600</v>
      </c>
      <c r="Z612" s="96">
        <f ca="1" t="shared" si="213"/>
        <v>5.9</v>
      </c>
    </row>
    <row r="613" s="106" customFormat="1" ht="16.5" spans="2:26">
      <c r="B613" s="117">
        <v>584</v>
      </c>
      <c r="C613" s="130">
        <f t="shared" si="214"/>
        <v>58400</v>
      </c>
      <c r="D613" s="131">
        <f ca="1" t="shared" ref="D613:V613" si="220">IFERROR(MATCH(D1218*10,OFFSET($AP$635:$AP$734,0,D$631),1),0)</f>
        <v>57</v>
      </c>
      <c r="E613" s="131">
        <f ca="1" t="shared" si="220"/>
        <v>57</v>
      </c>
      <c r="F613" s="131">
        <f ca="1" t="shared" si="220"/>
        <v>57</v>
      </c>
      <c r="G613" s="131">
        <f ca="1" t="shared" si="220"/>
        <v>48</v>
      </c>
      <c r="H613" s="131">
        <f ca="1" t="shared" si="220"/>
        <v>48</v>
      </c>
      <c r="I613" s="131">
        <f ca="1" t="shared" si="220"/>
        <v>48</v>
      </c>
      <c r="J613" s="131">
        <f ca="1" t="shared" si="220"/>
        <v>48</v>
      </c>
      <c r="K613" s="131">
        <f ca="1" t="shared" si="220"/>
        <v>48</v>
      </c>
      <c r="L613" s="131">
        <f ca="1" t="shared" si="220"/>
        <v>48</v>
      </c>
      <c r="M613" s="131">
        <f ca="1" t="shared" si="220"/>
        <v>45</v>
      </c>
      <c r="N613" s="131">
        <f ca="1" t="shared" si="220"/>
        <v>45</v>
      </c>
      <c r="O613" s="131">
        <f ca="1" t="shared" si="220"/>
        <v>45</v>
      </c>
      <c r="P613" s="131">
        <f ca="1" t="shared" si="220"/>
        <v>45</v>
      </c>
      <c r="Q613" s="131">
        <f ca="1" t="shared" si="220"/>
        <v>45</v>
      </c>
      <c r="R613" s="131">
        <f ca="1" t="shared" si="220"/>
        <v>45</v>
      </c>
      <c r="S613" s="131">
        <f ca="1" t="shared" si="220"/>
        <v>46</v>
      </c>
      <c r="T613" s="131">
        <f ca="1" t="shared" si="220"/>
        <v>49</v>
      </c>
      <c r="U613" s="131">
        <f ca="1" t="shared" si="220"/>
        <v>50</v>
      </c>
      <c r="V613" s="131">
        <f ca="1" t="shared" si="220"/>
        <v>50</v>
      </c>
      <c r="W613" s="124">
        <f ca="1">OFFSET($K$19,_xlfn.XLOOKUP(X613,$D$9:$D$28,$H$9:$H$28),MATCH(OFFSET($C$29,B613,MATCH(X613,$D$29:$V$29,0)),$L$19:$R$19,1))*(1+(OFFSET($C$29,B613,MATCH(X613,$D$29:$V$29,0))-1)*_xlfn.XLOOKUP(X613,梦灵养成!$D$9:$D$28,梦灵养成!$G$9:$G$28))</f>
        <v>64.428</v>
      </c>
      <c r="X613" s="106" t="str">
        <f ca="1" t="shared" si="211"/>
        <v>神算诸葛</v>
      </c>
      <c r="Y613" s="95">
        <f ca="1" t="shared" si="210"/>
        <v>246600</v>
      </c>
      <c r="Z613" s="96">
        <f ca="1" t="shared" si="213"/>
        <v>5.9</v>
      </c>
    </row>
    <row r="614" s="106" customFormat="1" ht="16.5" spans="2:26">
      <c r="B614" s="117">
        <v>585</v>
      </c>
      <c r="C614" s="130">
        <f t="shared" si="214"/>
        <v>58500</v>
      </c>
      <c r="D614" s="131">
        <f ca="1" t="shared" ref="D614:V614" si="221">IFERROR(MATCH(D1219*10,OFFSET($AP$635:$AP$734,0,D$631),1),0)</f>
        <v>57</v>
      </c>
      <c r="E614" s="131">
        <f ca="1" t="shared" si="221"/>
        <v>57</v>
      </c>
      <c r="F614" s="131">
        <f ca="1" t="shared" si="221"/>
        <v>57</v>
      </c>
      <c r="G614" s="131">
        <f ca="1" t="shared" si="221"/>
        <v>48</v>
      </c>
      <c r="H614" s="131">
        <f ca="1" t="shared" si="221"/>
        <v>48</v>
      </c>
      <c r="I614" s="131">
        <f ca="1" t="shared" si="221"/>
        <v>48</v>
      </c>
      <c r="J614" s="131">
        <f ca="1" t="shared" si="221"/>
        <v>48</v>
      </c>
      <c r="K614" s="131">
        <f ca="1" t="shared" si="221"/>
        <v>48</v>
      </c>
      <c r="L614" s="131">
        <f ca="1" t="shared" si="221"/>
        <v>48</v>
      </c>
      <c r="M614" s="131">
        <f ca="1" t="shared" si="221"/>
        <v>45</v>
      </c>
      <c r="N614" s="131">
        <f ca="1" t="shared" si="221"/>
        <v>45</v>
      </c>
      <c r="O614" s="131">
        <f ca="1" t="shared" si="221"/>
        <v>45</v>
      </c>
      <c r="P614" s="131">
        <f ca="1" t="shared" si="221"/>
        <v>45</v>
      </c>
      <c r="Q614" s="131">
        <f ca="1" t="shared" si="221"/>
        <v>45</v>
      </c>
      <c r="R614" s="131">
        <f ca="1" t="shared" si="221"/>
        <v>45</v>
      </c>
      <c r="S614" s="131">
        <f ca="1" t="shared" si="221"/>
        <v>46</v>
      </c>
      <c r="T614" s="131">
        <f ca="1" t="shared" si="221"/>
        <v>49</v>
      </c>
      <c r="U614" s="131">
        <f ca="1" t="shared" si="221"/>
        <v>50</v>
      </c>
      <c r="V614" s="131">
        <f ca="1" t="shared" si="221"/>
        <v>50</v>
      </c>
      <c r="W614" s="124">
        <f ca="1">OFFSET($K$19,_xlfn.XLOOKUP(X614,$D$9:$D$28,$H$9:$H$28),MATCH(OFFSET($C$29,B614,MATCH(X614,$D$29:$V$29,0)),$L$19:$R$19,1))*(1+(OFFSET($C$29,B614,MATCH(X614,$D$29:$V$29,0))-1)*_xlfn.XLOOKUP(X614,梦灵养成!$D$9:$D$28,梦灵养成!$G$9:$G$28))</f>
        <v>64.428</v>
      </c>
      <c r="X614" s="106" t="str">
        <f ca="1" t="shared" si="211"/>
        <v>神算诸葛</v>
      </c>
      <c r="Y614" s="95">
        <f ca="1" t="shared" si="210"/>
        <v>246600</v>
      </c>
      <c r="Z614" s="96">
        <f ca="1" t="shared" si="213"/>
        <v>5.9</v>
      </c>
    </row>
    <row r="615" s="106" customFormat="1" ht="16.5" spans="2:26">
      <c r="B615" s="117">
        <v>586</v>
      </c>
      <c r="C615" s="130">
        <f t="shared" si="214"/>
        <v>58600</v>
      </c>
      <c r="D615" s="131">
        <f ca="1" t="shared" ref="D615:V615" si="222">IFERROR(MATCH(D1220*10,OFFSET($AP$635:$AP$734,0,D$631),1),0)</f>
        <v>57</v>
      </c>
      <c r="E615" s="131">
        <f ca="1" t="shared" si="222"/>
        <v>57</v>
      </c>
      <c r="F615" s="131">
        <f ca="1" t="shared" si="222"/>
        <v>57</v>
      </c>
      <c r="G615" s="131">
        <f ca="1" t="shared" si="222"/>
        <v>48</v>
      </c>
      <c r="H615" s="131">
        <f ca="1" t="shared" si="222"/>
        <v>48</v>
      </c>
      <c r="I615" s="131">
        <f ca="1" t="shared" si="222"/>
        <v>48</v>
      </c>
      <c r="J615" s="131">
        <f ca="1" t="shared" si="222"/>
        <v>48</v>
      </c>
      <c r="K615" s="131">
        <f ca="1" t="shared" si="222"/>
        <v>48</v>
      </c>
      <c r="L615" s="131">
        <f ca="1" t="shared" si="222"/>
        <v>48</v>
      </c>
      <c r="M615" s="131">
        <f ca="1" t="shared" si="222"/>
        <v>45</v>
      </c>
      <c r="N615" s="131">
        <f ca="1" t="shared" si="222"/>
        <v>45</v>
      </c>
      <c r="O615" s="131">
        <f ca="1" t="shared" si="222"/>
        <v>45</v>
      </c>
      <c r="P615" s="131">
        <f ca="1" t="shared" si="222"/>
        <v>45</v>
      </c>
      <c r="Q615" s="131">
        <f ca="1" t="shared" si="222"/>
        <v>45</v>
      </c>
      <c r="R615" s="131">
        <f ca="1" t="shared" si="222"/>
        <v>45</v>
      </c>
      <c r="S615" s="131">
        <f ca="1" t="shared" si="222"/>
        <v>46</v>
      </c>
      <c r="T615" s="131">
        <f ca="1" t="shared" si="222"/>
        <v>50</v>
      </c>
      <c r="U615" s="131">
        <f ca="1" t="shared" si="222"/>
        <v>50</v>
      </c>
      <c r="V615" s="131">
        <f ca="1" t="shared" si="222"/>
        <v>50</v>
      </c>
      <c r="W615" s="124">
        <f ca="1">OFFSET($K$19,_xlfn.XLOOKUP(X615,$D$9:$D$28,$H$9:$H$28),MATCH(OFFSET($C$29,B615,MATCH(X615,$D$29:$V$29,0)),$L$19:$R$19,1))*(1+(OFFSET($C$29,B615,MATCH(X615,$D$29:$V$29,0))-1)*_xlfn.XLOOKUP(X615,梦灵养成!$D$9:$D$28,梦灵养成!$G$9:$G$28))</f>
        <v>64.428</v>
      </c>
      <c r="X615" s="106" t="str">
        <f ca="1" t="shared" si="211"/>
        <v>神算诸葛</v>
      </c>
      <c r="Y615" s="95">
        <f ca="1" t="shared" si="210"/>
        <v>246600</v>
      </c>
      <c r="Z615" s="96">
        <f ca="1" t="shared" si="213"/>
        <v>5.9</v>
      </c>
    </row>
    <row r="616" s="106" customFormat="1" ht="16.5" spans="2:26">
      <c r="B616" s="117">
        <v>587</v>
      </c>
      <c r="C616" s="130">
        <f t="shared" si="214"/>
        <v>58700</v>
      </c>
      <c r="D616" s="131">
        <f ca="1" t="shared" ref="D616:V616" si="223">IFERROR(MATCH(D1221*10,OFFSET($AP$635:$AP$734,0,D$631),1),0)</f>
        <v>57</v>
      </c>
      <c r="E616" s="131">
        <f ca="1" t="shared" si="223"/>
        <v>57</v>
      </c>
      <c r="F616" s="131">
        <f ca="1" t="shared" si="223"/>
        <v>57</v>
      </c>
      <c r="G616" s="131">
        <f ca="1" t="shared" si="223"/>
        <v>48</v>
      </c>
      <c r="H616" s="131">
        <f ca="1" t="shared" si="223"/>
        <v>48</v>
      </c>
      <c r="I616" s="131">
        <f ca="1" t="shared" si="223"/>
        <v>48</v>
      </c>
      <c r="J616" s="131">
        <f ca="1" t="shared" si="223"/>
        <v>48</v>
      </c>
      <c r="K616" s="131">
        <f ca="1" t="shared" si="223"/>
        <v>48</v>
      </c>
      <c r="L616" s="131">
        <f ca="1" t="shared" si="223"/>
        <v>48</v>
      </c>
      <c r="M616" s="131">
        <f ca="1" t="shared" si="223"/>
        <v>45</v>
      </c>
      <c r="N616" s="131">
        <f ca="1" t="shared" si="223"/>
        <v>45</v>
      </c>
      <c r="O616" s="131">
        <f ca="1" t="shared" si="223"/>
        <v>45</v>
      </c>
      <c r="P616" s="131">
        <f ca="1" t="shared" si="223"/>
        <v>45</v>
      </c>
      <c r="Q616" s="131">
        <f ca="1" t="shared" si="223"/>
        <v>45</v>
      </c>
      <c r="R616" s="131">
        <f ca="1" t="shared" si="223"/>
        <v>45</v>
      </c>
      <c r="S616" s="131">
        <f ca="1" t="shared" si="223"/>
        <v>46</v>
      </c>
      <c r="T616" s="131">
        <f ca="1" t="shared" si="223"/>
        <v>50</v>
      </c>
      <c r="U616" s="131">
        <f ca="1" t="shared" si="223"/>
        <v>50</v>
      </c>
      <c r="V616" s="131">
        <f ca="1" t="shared" si="223"/>
        <v>50</v>
      </c>
      <c r="W616" s="124">
        <f ca="1">OFFSET($K$19,_xlfn.XLOOKUP(X616,$D$9:$D$28,$H$9:$H$28),MATCH(OFFSET($C$29,B616,MATCH(X616,$D$29:$V$29,0)),$L$19:$R$19,1))*(1+(OFFSET($C$29,B616,MATCH(X616,$D$29:$V$29,0))-1)*_xlfn.XLOOKUP(X616,梦灵养成!$D$9:$D$28,梦灵养成!$G$9:$G$28))</f>
        <v>64.428</v>
      </c>
      <c r="X616" s="106" t="str">
        <f ca="1" t="shared" si="211"/>
        <v>神算诸葛</v>
      </c>
      <c r="Y616" s="95">
        <f ca="1" t="shared" si="210"/>
        <v>246600</v>
      </c>
      <c r="Z616" s="96">
        <f ca="1" t="shared" si="213"/>
        <v>5.9</v>
      </c>
    </row>
    <row r="617" s="106" customFormat="1" ht="16.5" spans="2:26">
      <c r="B617" s="117">
        <v>588</v>
      </c>
      <c r="C617" s="130">
        <f t="shared" si="214"/>
        <v>58800</v>
      </c>
      <c r="D617" s="131">
        <f ca="1" t="shared" ref="D617:V617" si="224">IFERROR(MATCH(D1222*10,OFFSET($AP$635:$AP$734,0,D$631),1),0)</f>
        <v>57</v>
      </c>
      <c r="E617" s="131">
        <f ca="1" t="shared" si="224"/>
        <v>57</v>
      </c>
      <c r="F617" s="131">
        <f ca="1" t="shared" si="224"/>
        <v>57</v>
      </c>
      <c r="G617" s="131">
        <f ca="1" t="shared" si="224"/>
        <v>48</v>
      </c>
      <c r="H617" s="131">
        <f ca="1" t="shared" si="224"/>
        <v>48</v>
      </c>
      <c r="I617" s="131">
        <f ca="1" t="shared" si="224"/>
        <v>48</v>
      </c>
      <c r="J617" s="131">
        <f ca="1" t="shared" si="224"/>
        <v>48</v>
      </c>
      <c r="K617" s="131">
        <f ca="1" t="shared" si="224"/>
        <v>48</v>
      </c>
      <c r="L617" s="131">
        <f ca="1" t="shared" si="224"/>
        <v>48</v>
      </c>
      <c r="M617" s="131">
        <f ca="1" t="shared" si="224"/>
        <v>45</v>
      </c>
      <c r="N617" s="131">
        <f ca="1" t="shared" si="224"/>
        <v>45</v>
      </c>
      <c r="O617" s="131">
        <f ca="1" t="shared" si="224"/>
        <v>45</v>
      </c>
      <c r="P617" s="131">
        <f ca="1" t="shared" si="224"/>
        <v>45</v>
      </c>
      <c r="Q617" s="131">
        <f ca="1" t="shared" si="224"/>
        <v>45</v>
      </c>
      <c r="R617" s="131">
        <f ca="1" t="shared" si="224"/>
        <v>45</v>
      </c>
      <c r="S617" s="131">
        <f ca="1" t="shared" si="224"/>
        <v>46</v>
      </c>
      <c r="T617" s="131">
        <f ca="1" t="shared" si="224"/>
        <v>50</v>
      </c>
      <c r="U617" s="131">
        <f ca="1" t="shared" si="224"/>
        <v>50</v>
      </c>
      <c r="V617" s="131">
        <f ca="1" t="shared" si="224"/>
        <v>50</v>
      </c>
      <c r="W617" s="124">
        <f ca="1">OFFSET($K$19,_xlfn.XLOOKUP(X617,$D$9:$D$28,$H$9:$H$28),MATCH(OFFSET($C$29,B617,MATCH(X617,$D$29:$V$29,0)),$L$19:$R$19,1))*(1+(OFFSET($C$29,B617,MATCH(X617,$D$29:$V$29,0))-1)*_xlfn.XLOOKUP(X617,梦灵养成!$D$9:$D$28,梦灵养成!$G$9:$G$28))</f>
        <v>64.428</v>
      </c>
      <c r="X617" s="106" t="str">
        <f ca="1" t="shared" si="211"/>
        <v>神算诸葛</v>
      </c>
      <c r="Y617" s="95">
        <f ca="1" t="shared" si="210"/>
        <v>246600</v>
      </c>
      <c r="Z617" s="96">
        <f ca="1" t="shared" si="213"/>
        <v>5.9</v>
      </c>
    </row>
    <row r="618" s="106" customFormat="1" ht="16.5" spans="2:26">
      <c r="B618" s="117">
        <v>589</v>
      </c>
      <c r="C618" s="130">
        <f t="shared" si="214"/>
        <v>58900</v>
      </c>
      <c r="D618" s="131">
        <f ca="1" t="shared" ref="D618:V618" si="225">IFERROR(MATCH(D1223*10,OFFSET($AP$635:$AP$734,0,D$631),1),0)</f>
        <v>57</v>
      </c>
      <c r="E618" s="131">
        <f ca="1" t="shared" si="225"/>
        <v>57</v>
      </c>
      <c r="F618" s="131">
        <f ca="1" t="shared" si="225"/>
        <v>57</v>
      </c>
      <c r="G618" s="131">
        <f ca="1" t="shared" si="225"/>
        <v>48</v>
      </c>
      <c r="H618" s="131">
        <f ca="1" t="shared" si="225"/>
        <v>48</v>
      </c>
      <c r="I618" s="131">
        <f ca="1" t="shared" si="225"/>
        <v>48</v>
      </c>
      <c r="J618" s="131">
        <f ca="1" t="shared" si="225"/>
        <v>48</v>
      </c>
      <c r="K618" s="131">
        <f ca="1" t="shared" si="225"/>
        <v>48</v>
      </c>
      <c r="L618" s="131">
        <f ca="1" t="shared" si="225"/>
        <v>48</v>
      </c>
      <c r="M618" s="131">
        <f ca="1" t="shared" si="225"/>
        <v>45</v>
      </c>
      <c r="N618" s="131">
        <f ca="1" t="shared" si="225"/>
        <v>45</v>
      </c>
      <c r="O618" s="131">
        <f ca="1" t="shared" si="225"/>
        <v>45</v>
      </c>
      <c r="P618" s="131">
        <f ca="1" t="shared" si="225"/>
        <v>45</v>
      </c>
      <c r="Q618" s="131">
        <f ca="1" t="shared" si="225"/>
        <v>45</v>
      </c>
      <c r="R618" s="131">
        <f ca="1" t="shared" si="225"/>
        <v>45</v>
      </c>
      <c r="S618" s="131">
        <f ca="1" t="shared" si="225"/>
        <v>46</v>
      </c>
      <c r="T618" s="131">
        <f ca="1" t="shared" si="225"/>
        <v>50</v>
      </c>
      <c r="U618" s="131">
        <f ca="1" t="shared" si="225"/>
        <v>50</v>
      </c>
      <c r="V618" s="131">
        <f ca="1" t="shared" si="225"/>
        <v>50</v>
      </c>
      <c r="W618" s="124">
        <f ca="1">OFFSET($K$19,_xlfn.XLOOKUP(X618,$D$9:$D$28,$H$9:$H$28),MATCH(OFFSET($C$29,B618,MATCH(X618,$D$29:$V$29,0)),$L$19:$R$19,1))*(1+(OFFSET($C$29,B618,MATCH(X618,$D$29:$V$29,0))-1)*_xlfn.XLOOKUP(X618,梦灵养成!$D$9:$D$28,梦灵养成!$G$9:$G$28))</f>
        <v>64.428</v>
      </c>
      <c r="X618" s="106" t="str">
        <f ca="1" t="shared" si="211"/>
        <v>神算诸葛</v>
      </c>
      <c r="Y618" s="95">
        <f ca="1" t="shared" si="210"/>
        <v>246600</v>
      </c>
      <c r="Z618" s="96">
        <f ca="1" t="shared" si="213"/>
        <v>5.9</v>
      </c>
    </row>
    <row r="619" s="106" customFormat="1" ht="16.5" spans="2:26">
      <c r="B619" s="117">
        <v>590</v>
      </c>
      <c r="C619" s="130">
        <f t="shared" si="214"/>
        <v>59000</v>
      </c>
      <c r="D619" s="131">
        <f ca="1" t="shared" ref="D619:V619" si="226">IFERROR(MATCH(D1224*10,OFFSET($AP$635:$AP$734,0,D$631),1),0)</f>
        <v>57</v>
      </c>
      <c r="E619" s="131">
        <f ca="1" t="shared" si="226"/>
        <v>57</v>
      </c>
      <c r="F619" s="131">
        <f ca="1" t="shared" si="226"/>
        <v>57</v>
      </c>
      <c r="G619" s="131">
        <f ca="1" t="shared" si="226"/>
        <v>48</v>
      </c>
      <c r="H619" s="131">
        <f ca="1" t="shared" si="226"/>
        <v>48</v>
      </c>
      <c r="I619" s="131">
        <f ca="1" t="shared" si="226"/>
        <v>48</v>
      </c>
      <c r="J619" s="131">
        <f ca="1" t="shared" si="226"/>
        <v>48</v>
      </c>
      <c r="K619" s="131">
        <f ca="1" t="shared" si="226"/>
        <v>48</v>
      </c>
      <c r="L619" s="131">
        <f ca="1" t="shared" si="226"/>
        <v>48</v>
      </c>
      <c r="M619" s="131">
        <f ca="1" t="shared" si="226"/>
        <v>45</v>
      </c>
      <c r="N619" s="131">
        <f ca="1" t="shared" si="226"/>
        <v>45</v>
      </c>
      <c r="O619" s="131">
        <f ca="1" t="shared" si="226"/>
        <v>45</v>
      </c>
      <c r="P619" s="131">
        <f ca="1" t="shared" si="226"/>
        <v>45</v>
      </c>
      <c r="Q619" s="131">
        <f ca="1" t="shared" si="226"/>
        <v>45</v>
      </c>
      <c r="R619" s="131">
        <f ca="1" t="shared" si="226"/>
        <v>45</v>
      </c>
      <c r="S619" s="131">
        <f ca="1" t="shared" si="226"/>
        <v>46</v>
      </c>
      <c r="T619" s="131">
        <f ca="1" t="shared" si="226"/>
        <v>50</v>
      </c>
      <c r="U619" s="131">
        <f ca="1" t="shared" si="226"/>
        <v>50</v>
      </c>
      <c r="V619" s="131">
        <f ca="1" t="shared" si="226"/>
        <v>50</v>
      </c>
      <c r="W619" s="124">
        <f ca="1">OFFSET($K$19,_xlfn.XLOOKUP(X619,$D$9:$D$28,$H$9:$H$28),MATCH(OFFSET($C$29,B619,MATCH(X619,$D$29:$V$29,0)),$L$19:$R$19,1))*(1+(OFFSET($C$29,B619,MATCH(X619,$D$29:$V$29,0))-1)*_xlfn.XLOOKUP(X619,梦灵养成!$D$9:$D$28,梦灵养成!$G$9:$G$28))</f>
        <v>64.428</v>
      </c>
      <c r="X619" s="106" t="str">
        <f ca="1" t="shared" si="211"/>
        <v>神算诸葛</v>
      </c>
      <c r="Y619" s="95">
        <f ca="1" t="shared" si="210"/>
        <v>246600</v>
      </c>
      <c r="Z619" s="96">
        <f ca="1" t="shared" si="213"/>
        <v>5.9</v>
      </c>
    </row>
    <row r="620" s="106" customFormat="1" ht="16.5" spans="2:26">
      <c r="B620" s="117">
        <v>591</v>
      </c>
      <c r="C620" s="130">
        <f t="shared" si="214"/>
        <v>59100</v>
      </c>
      <c r="D620" s="131">
        <f ca="1" t="shared" ref="D620:V620" si="227">IFERROR(MATCH(D1225*10,OFFSET($AP$635:$AP$734,0,D$631),1),0)</f>
        <v>57</v>
      </c>
      <c r="E620" s="131">
        <f ca="1" t="shared" si="227"/>
        <v>57</v>
      </c>
      <c r="F620" s="131">
        <f ca="1" t="shared" si="227"/>
        <v>57</v>
      </c>
      <c r="G620" s="131">
        <f ca="1" t="shared" si="227"/>
        <v>48</v>
      </c>
      <c r="H620" s="131">
        <f ca="1" t="shared" si="227"/>
        <v>48</v>
      </c>
      <c r="I620" s="131">
        <f ca="1" t="shared" si="227"/>
        <v>48</v>
      </c>
      <c r="J620" s="131">
        <f ca="1" t="shared" si="227"/>
        <v>48</v>
      </c>
      <c r="K620" s="131">
        <f ca="1" t="shared" si="227"/>
        <v>48</v>
      </c>
      <c r="L620" s="131">
        <f ca="1" t="shared" si="227"/>
        <v>48</v>
      </c>
      <c r="M620" s="131">
        <f ca="1" t="shared" si="227"/>
        <v>45</v>
      </c>
      <c r="N620" s="131">
        <f ca="1" t="shared" si="227"/>
        <v>45</v>
      </c>
      <c r="O620" s="131">
        <f ca="1" t="shared" si="227"/>
        <v>45</v>
      </c>
      <c r="P620" s="131">
        <f ca="1" t="shared" si="227"/>
        <v>45</v>
      </c>
      <c r="Q620" s="131">
        <f ca="1" t="shared" si="227"/>
        <v>45</v>
      </c>
      <c r="R620" s="131">
        <f ca="1" t="shared" si="227"/>
        <v>45</v>
      </c>
      <c r="S620" s="131">
        <f ca="1" t="shared" si="227"/>
        <v>46</v>
      </c>
      <c r="T620" s="131">
        <f ca="1" t="shared" si="227"/>
        <v>50</v>
      </c>
      <c r="U620" s="131">
        <f ca="1" t="shared" si="227"/>
        <v>50</v>
      </c>
      <c r="V620" s="131">
        <f ca="1" t="shared" si="227"/>
        <v>50</v>
      </c>
      <c r="W620" s="124">
        <f ca="1">OFFSET($K$19,_xlfn.XLOOKUP(X620,$D$9:$D$28,$H$9:$H$28),MATCH(OFFSET($C$29,B620,MATCH(X620,$D$29:$V$29,0)),$L$19:$R$19,1))*(1+(OFFSET($C$29,B620,MATCH(X620,$D$29:$V$29,0))-1)*_xlfn.XLOOKUP(X620,梦灵养成!$D$9:$D$28,梦灵养成!$G$9:$G$28))</f>
        <v>64.428</v>
      </c>
      <c r="X620" s="106" t="str">
        <f ca="1" t="shared" si="211"/>
        <v>神算诸葛</v>
      </c>
      <c r="Y620" s="95">
        <f ca="1" t="shared" si="210"/>
        <v>246600</v>
      </c>
      <c r="Z620" s="96">
        <f ca="1" t="shared" si="213"/>
        <v>5.9</v>
      </c>
    </row>
    <row r="621" s="106" customFormat="1" ht="16.5" spans="2:26">
      <c r="B621" s="117">
        <v>592</v>
      </c>
      <c r="C621" s="130">
        <f t="shared" si="214"/>
        <v>59200</v>
      </c>
      <c r="D621" s="131">
        <f ca="1" t="shared" ref="D621:V621" si="228">IFERROR(MATCH(D1226*10,OFFSET($AP$635:$AP$734,0,D$631),1),0)</f>
        <v>57</v>
      </c>
      <c r="E621" s="131">
        <f ca="1" t="shared" si="228"/>
        <v>57</v>
      </c>
      <c r="F621" s="131">
        <f ca="1" t="shared" si="228"/>
        <v>57</v>
      </c>
      <c r="G621" s="131">
        <f ca="1" t="shared" si="228"/>
        <v>48</v>
      </c>
      <c r="H621" s="131">
        <f ca="1" t="shared" si="228"/>
        <v>48</v>
      </c>
      <c r="I621" s="131">
        <f ca="1" t="shared" si="228"/>
        <v>48</v>
      </c>
      <c r="J621" s="131">
        <f ca="1" t="shared" si="228"/>
        <v>48</v>
      </c>
      <c r="K621" s="131">
        <f ca="1" t="shared" si="228"/>
        <v>48</v>
      </c>
      <c r="L621" s="131">
        <f ca="1" t="shared" si="228"/>
        <v>48</v>
      </c>
      <c r="M621" s="131">
        <f ca="1" t="shared" si="228"/>
        <v>45</v>
      </c>
      <c r="N621" s="131">
        <f ca="1" t="shared" si="228"/>
        <v>45</v>
      </c>
      <c r="O621" s="131">
        <f ca="1" t="shared" si="228"/>
        <v>45</v>
      </c>
      <c r="P621" s="131">
        <f ca="1" t="shared" si="228"/>
        <v>45</v>
      </c>
      <c r="Q621" s="131">
        <f ca="1" t="shared" si="228"/>
        <v>45</v>
      </c>
      <c r="R621" s="131">
        <f ca="1" t="shared" si="228"/>
        <v>45</v>
      </c>
      <c r="S621" s="131">
        <f ca="1" t="shared" si="228"/>
        <v>46</v>
      </c>
      <c r="T621" s="131">
        <f ca="1" t="shared" si="228"/>
        <v>50</v>
      </c>
      <c r="U621" s="131">
        <f ca="1" t="shared" si="228"/>
        <v>50</v>
      </c>
      <c r="V621" s="131">
        <f ca="1" t="shared" si="228"/>
        <v>50</v>
      </c>
      <c r="W621" s="124">
        <f ca="1">OFFSET($K$19,_xlfn.XLOOKUP(X621,$D$9:$D$28,$H$9:$H$28),MATCH(OFFSET($C$29,B621,MATCH(X621,$D$29:$V$29,0)),$L$19:$R$19,1))*(1+(OFFSET($C$29,B621,MATCH(X621,$D$29:$V$29,0))-1)*_xlfn.XLOOKUP(X621,梦灵养成!$D$9:$D$28,梦灵养成!$G$9:$G$28))</f>
        <v>64.428</v>
      </c>
      <c r="X621" s="106" t="str">
        <f ca="1" t="shared" si="211"/>
        <v>神算诸葛</v>
      </c>
      <c r="Y621" s="95">
        <f ca="1" t="shared" si="210"/>
        <v>246600</v>
      </c>
      <c r="Z621" s="96">
        <f ca="1" t="shared" si="213"/>
        <v>5.9</v>
      </c>
    </row>
    <row r="622" s="106" customFormat="1" ht="16.5" spans="2:26">
      <c r="B622" s="117">
        <v>593</v>
      </c>
      <c r="C622" s="130">
        <f t="shared" si="214"/>
        <v>59300</v>
      </c>
      <c r="D622" s="131">
        <f ca="1" t="shared" ref="D622:V622" si="229">IFERROR(MATCH(D1227*10,OFFSET($AP$635:$AP$734,0,D$631),1),0)</f>
        <v>57</v>
      </c>
      <c r="E622" s="131">
        <f ca="1" t="shared" si="229"/>
        <v>57</v>
      </c>
      <c r="F622" s="131">
        <f ca="1" t="shared" si="229"/>
        <v>57</v>
      </c>
      <c r="G622" s="131">
        <f ca="1" t="shared" si="229"/>
        <v>48</v>
      </c>
      <c r="H622" s="131">
        <f ca="1" t="shared" si="229"/>
        <v>48</v>
      </c>
      <c r="I622" s="131">
        <f ca="1" t="shared" si="229"/>
        <v>48</v>
      </c>
      <c r="J622" s="131">
        <f ca="1" t="shared" si="229"/>
        <v>48</v>
      </c>
      <c r="K622" s="131">
        <f ca="1" t="shared" si="229"/>
        <v>48</v>
      </c>
      <c r="L622" s="131">
        <f ca="1" t="shared" si="229"/>
        <v>48</v>
      </c>
      <c r="M622" s="131">
        <f ca="1" t="shared" si="229"/>
        <v>45</v>
      </c>
      <c r="N622" s="131">
        <f ca="1" t="shared" si="229"/>
        <v>45</v>
      </c>
      <c r="O622" s="131">
        <f ca="1" t="shared" si="229"/>
        <v>45</v>
      </c>
      <c r="P622" s="131">
        <f ca="1" t="shared" si="229"/>
        <v>45</v>
      </c>
      <c r="Q622" s="131">
        <f ca="1" t="shared" si="229"/>
        <v>45</v>
      </c>
      <c r="R622" s="131">
        <f ca="1" t="shared" si="229"/>
        <v>45</v>
      </c>
      <c r="S622" s="131">
        <f ca="1" t="shared" si="229"/>
        <v>46</v>
      </c>
      <c r="T622" s="131">
        <f ca="1" t="shared" si="229"/>
        <v>50</v>
      </c>
      <c r="U622" s="131">
        <f ca="1" t="shared" si="229"/>
        <v>50</v>
      </c>
      <c r="V622" s="131">
        <f ca="1" t="shared" si="229"/>
        <v>50</v>
      </c>
      <c r="W622" s="124">
        <f ca="1">OFFSET($K$19,_xlfn.XLOOKUP(X622,$D$9:$D$28,$H$9:$H$28),MATCH(OFFSET($C$29,B622,MATCH(X622,$D$29:$V$29,0)),$L$19:$R$19,1))*(1+(OFFSET($C$29,B622,MATCH(X622,$D$29:$V$29,0))-1)*_xlfn.XLOOKUP(X622,梦灵养成!$D$9:$D$28,梦灵养成!$G$9:$G$28))</f>
        <v>64.428</v>
      </c>
      <c r="X622" s="106" t="str">
        <f ca="1" t="shared" si="211"/>
        <v>神算诸葛</v>
      </c>
      <c r="Y622" s="95">
        <f ca="1" t="shared" si="210"/>
        <v>246600</v>
      </c>
      <c r="Z622" s="96">
        <f ca="1" t="shared" si="213"/>
        <v>5.9</v>
      </c>
    </row>
    <row r="623" s="106" customFormat="1" ht="16.5" spans="2:26">
      <c r="B623" s="117">
        <v>594</v>
      </c>
      <c r="C623" s="130">
        <f t="shared" si="214"/>
        <v>59400</v>
      </c>
      <c r="D623" s="131">
        <f ca="1" t="shared" ref="D623:V623" si="230">IFERROR(MATCH(D1228*10,OFFSET($AP$635:$AP$734,0,D$631),1),0)</f>
        <v>57</v>
      </c>
      <c r="E623" s="131">
        <f ca="1" t="shared" si="230"/>
        <v>57</v>
      </c>
      <c r="F623" s="131">
        <f ca="1" t="shared" si="230"/>
        <v>57</v>
      </c>
      <c r="G623" s="131">
        <f ca="1" t="shared" si="230"/>
        <v>48</v>
      </c>
      <c r="H623" s="131">
        <f ca="1" t="shared" si="230"/>
        <v>48</v>
      </c>
      <c r="I623" s="131">
        <f ca="1" t="shared" si="230"/>
        <v>48</v>
      </c>
      <c r="J623" s="131">
        <f ca="1" t="shared" si="230"/>
        <v>48</v>
      </c>
      <c r="K623" s="131">
        <f ca="1" t="shared" si="230"/>
        <v>48</v>
      </c>
      <c r="L623" s="131">
        <f ca="1" t="shared" si="230"/>
        <v>48</v>
      </c>
      <c r="M623" s="131">
        <f ca="1" t="shared" si="230"/>
        <v>45</v>
      </c>
      <c r="N623" s="131">
        <f ca="1" t="shared" si="230"/>
        <v>45</v>
      </c>
      <c r="O623" s="131">
        <f ca="1" t="shared" si="230"/>
        <v>45</v>
      </c>
      <c r="P623" s="131">
        <f ca="1" t="shared" si="230"/>
        <v>45</v>
      </c>
      <c r="Q623" s="131">
        <f ca="1" t="shared" si="230"/>
        <v>45</v>
      </c>
      <c r="R623" s="131">
        <f ca="1" t="shared" si="230"/>
        <v>45</v>
      </c>
      <c r="S623" s="131">
        <f ca="1" t="shared" si="230"/>
        <v>46</v>
      </c>
      <c r="T623" s="131">
        <f ca="1" t="shared" si="230"/>
        <v>50</v>
      </c>
      <c r="U623" s="131">
        <f ca="1" t="shared" si="230"/>
        <v>50</v>
      </c>
      <c r="V623" s="131">
        <f ca="1" t="shared" si="230"/>
        <v>50</v>
      </c>
      <c r="W623" s="124">
        <f ca="1">OFFSET($K$19,_xlfn.XLOOKUP(X623,$D$9:$D$28,$H$9:$H$28),MATCH(OFFSET($C$29,B623,MATCH(X623,$D$29:$V$29,0)),$L$19:$R$19,1))*(1+(OFFSET($C$29,B623,MATCH(X623,$D$29:$V$29,0))-1)*_xlfn.XLOOKUP(X623,梦灵养成!$D$9:$D$28,梦灵养成!$G$9:$G$28))</f>
        <v>64.428</v>
      </c>
      <c r="X623" s="106" t="str">
        <f ca="1" t="shared" si="211"/>
        <v>神算诸葛</v>
      </c>
      <c r="Y623" s="95">
        <f ca="1" t="shared" si="210"/>
        <v>246600</v>
      </c>
      <c r="Z623" s="96">
        <f ca="1" t="shared" si="213"/>
        <v>5.9</v>
      </c>
    </row>
    <row r="624" s="106" customFormat="1" ht="16.5" spans="2:26">
      <c r="B624" s="117">
        <v>595</v>
      </c>
      <c r="C624" s="130">
        <f t="shared" si="214"/>
        <v>59500</v>
      </c>
      <c r="D624" s="131">
        <f ca="1" t="shared" ref="D624:V624" si="231">IFERROR(MATCH(D1229*10,OFFSET($AP$635:$AP$734,0,D$631),1),0)</f>
        <v>57</v>
      </c>
      <c r="E624" s="131">
        <f ca="1" t="shared" si="231"/>
        <v>57</v>
      </c>
      <c r="F624" s="131">
        <f ca="1" t="shared" si="231"/>
        <v>57</v>
      </c>
      <c r="G624" s="131">
        <f ca="1" t="shared" si="231"/>
        <v>48</v>
      </c>
      <c r="H624" s="131">
        <f ca="1" t="shared" si="231"/>
        <v>48</v>
      </c>
      <c r="I624" s="131">
        <f ca="1" t="shared" si="231"/>
        <v>48</v>
      </c>
      <c r="J624" s="131">
        <f ca="1" t="shared" si="231"/>
        <v>48</v>
      </c>
      <c r="K624" s="131">
        <f ca="1" t="shared" si="231"/>
        <v>48</v>
      </c>
      <c r="L624" s="131">
        <f ca="1" t="shared" si="231"/>
        <v>48</v>
      </c>
      <c r="M624" s="131">
        <f ca="1" t="shared" si="231"/>
        <v>45</v>
      </c>
      <c r="N624" s="131">
        <f ca="1" t="shared" si="231"/>
        <v>45</v>
      </c>
      <c r="O624" s="131">
        <f ca="1" t="shared" si="231"/>
        <v>45</v>
      </c>
      <c r="P624" s="131">
        <f ca="1" t="shared" si="231"/>
        <v>45</v>
      </c>
      <c r="Q624" s="131">
        <f ca="1" t="shared" si="231"/>
        <v>45</v>
      </c>
      <c r="R624" s="131">
        <f ca="1" t="shared" si="231"/>
        <v>45</v>
      </c>
      <c r="S624" s="131">
        <f ca="1" t="shared" si="231"/>
        <v>46</v>
      </c>
      <c r="T624" s="131">
        <f ca="1" t="shared" si="231"/>
        <v>50</v>
      </c>
      <c r="U624" s="131">
        <f ca="1" t="shared" si="231"/>
        <v>50</v>
      </c>
      <c r="V624" s="131">
        <f ca="1" t="shared" si="231"/>
        <v>50</v>
      </c>
      <c r="W624" s="124">
        <f ca="1">OFFSET($K$19,_xlfn.XLOOKUP(X624,$D$9:$D$28,$H$9:$H$28),MATCH(OFFSET($C$29,B624,MATCH(X624,$D$29:$V$29,0)),$L$19:$R$19,1))*(1+(OFFSET($C$29,B624,MATCH(X624,$D$29:$V$29,0))-1)*_xlfn.XLOOKUP(X624,梦灵养成!$D$9:$D$28,梦灵养成!$G$9:$G$28))</f>
        <v>64.428</v>
      </c>
      <c r="X624" s="106" t="str">
        <f ca="1" t="shared" si="211"/>
        <v>神算诸葛</v>
      </c>
      <c r="Y624" s="95">
        <f ca="1" t="shared" si="210"/>
        <v>246600</v>
      </c>
      <c r="Z624" s="96">
        <f ca="1" t="shared" si="213"/>
        <v>5.9</v>
      </c>
    </row>
    <row r="625" s="106" customFormat="1" ht="16.5" spans="2:46">
      <c r="B625" s="117">
        <v>596</v>
      </c>
      <c r="C625" s="130">
        <f t="shared" si="214"/>
        <v>59600</v>
      </c>
      <c r="D625" s="131">
        <f ca="1" t="shared" ref="D625:V625" si="232">IFERROR(MATCH(D1230*10,OFFSET($AP$635:$AP$734,0,D$631),1),0)</f>
        <v>57</v>
      </c>
      <c r="E625" s="131">
        <f ca="1" t="shared" si="232"/>
        <v>57</v>
      </c>
      <c r="F625" s="131">
        <f ca="1" t="shared" si="232"/>
        <v>57</v>
      </c>
      <c r="G625" s="131">
        <f ca="1" t="shared" si="232"/>
        <v>48</v>
      </c>
      <c r="H625" s="131">
        <f ca="1" t="shared" si="232"/>
        <v>48</v>
      </c>
      <c r="I625" s="131">
        <f ca="1" t="shared" si="232"/>
        <v>48</v>
      </c>
      <c r="J625" s="131">
        <f ca="1" t="shared" si="232"/>
        <v>48</v>
      </c>
      <c r="K625" s="131">
        <f ca="1" t="shared" si="232"/>
        <v>48</v>
      </c>
      <c r="L625" s="131">
        <f ca="1" t="shared" si="232"/>
        <v>48</v>
      </c>
      <c r="M625" s="131">
        <f ca="1" t="shared" si="232"/>
        <v>45</v>
      </c>
      <c r="N625" s="131">
        <f ca="1" t="shared" si="232"/>
        <v>45</v>
      </c>
      <c r="O625" s="131">
        <f ca="1" t="shared" si="232"/>
        <v>45</v>
      </c>
      <c r="P625" s="131">
        <f ca="1" t="shared" si="232"/>
        <v>45</v>
      </c>
      <c r="Q625" s="131">
        <f ca="1" t="shared" si="232"/>
        <v>45</v>
      </c>
      <c r="R625" s="131">
        <f ca="1" t="shared" si="232"/>
        <v>45</v>
      </c>
      <c r="S625" s="131">
        <f ca="1" t="shared" si="232"/>
        <v>46</v>
      </c>
      <c r="T625" s="131">
        <f ca="1" t="shared" si="232"/>
        <v>50</v>
      </c>
      <c r="U625" s="131">
        <f ca="1" t="shared" si="232"/>
        <v>50</v>
      </c>
      <c r="V625" s="131">
        <f ca="1" t="shared" si="232"/>
        <v>50</v>
      </c>
      <c r="W625" s="124">
        <f ca="1">OFFSET($K$19,_xlfn.XLOOKUP(X625,$D$9:$D$28,$H$9:$H$28),MATCH(OFFSET($C$29,B625,MATCH(X625,$D$29:$V$29,0)),$L$19:$R$19,1))*(1+(OFFSET($C$29,B625,MATCH(X625,$D$29:$V$29,0))-1)*_xlfn.XLOOKUP(X625,梦灵养成!$D$9:$D$28,梦灵养成!$G$9:$G$28))</f>
        <v>64.428</v>
      </c>
      <c r="X625" s="106" t="str">
        <f ca="1" t="shared" si="211"/>
        <v>神算诸葛</v>
      </c>
      <c r="Y625" s="95">
        <f ca="1" t="shared" si="210"/>
        <v>246600</v>
      </c>
      <c r="Z625" s="96">
        <f ca="1" t="shared" si="213"/>
        <v>5.9</v>
      </c>
    </row>
    <row r="626" s="106" customFormat="1" ht="16.5" spans="2:46">
      <c r="B626" s="117">
        <v>597</v>
      </c>
      <c r="C626" s="130">
        <f t="shared" si="214"/>
        <v>59700</v>
      </c>
      <c r="D626" s="131">
        <f ca="1" t="shared" ref="D626:V626" si="233">IFERROR(MATCH(D1231*10,OFFSET($AP$635:$AP$734,0,D$631),1),0)</f>
        <v>57</v>
      </c>
      <c r="E626" s="131">
        <f ca="1" t="shared" si="233"/>
        <v>57</v>
      </c>
      <c r="F626" s="131">
        <f ca="1" t="shared" si="233"/>
        <v>57</v>
      </c>
      <c r="G626" s="131">
        <f ca="1" t="shared" si="233"/>
        <v>48</v>
      </c>
      <c r="H626" s="131">
        <f ca="1" t="shared" si="233"/>
        <v>48</v>
      </c>
      <c r="I626" s="131">
        <f ca="1" t="shared" si="233"/>
        <v>48</v>
      </c>
      <c r="J626" s="131">
        <f ca="1" t="shared" si="233"/>
        <v>48</v>
      </c>
      <c r="K626" s="131">
        <f ca="1" t="shared" si="233"/>
        <v>48</v>
      </c>
      <c r="L626" s="131">
        <f ca="1" t="shared" si="233"/>
        <v>48</v>
      </c>
      <c r="M626" s="131">
        <f ca="1" t="shared" si="233"/>
        <v>45</v>
      </c>
      <c r="N626" s="131">
        <f ca="1" t="shared" si="233"/>
        <v>45</v>
      </c>
      <c r="O626" s="131">
        <f ca="1" t="shared" si="233"/>
        <v>45</v>
      </c>
      <c r="P626" s="131">
        <f ca="1" t="shared" si="233"/>
        <v>45</v>
      </c>
      <c r="Q626" s="131">
        <f ca="1" t="shared" si="233"/>
        <v>45</v>
      </c>
      <c r="R626" s="131">
        <f ca="1" t="shared" si="233"/>
        <v>45</v>
      </c>
      <c r="S626" s="131">
        <f ca="1" t="shared" si="233"/>
        <v>46</v>
      </c>
      <c r="T626" s="131">
        <f ca="1" t="shared" si="233"/>
        <v>50</v>
      </c>
      <c r="U626" s="131">
        <f ca="1" t="shared" si="233"/>
        <v>50</v>
      </c>
      <c r="V626" s="131">
        <f ca="1" t="shared" si="233"/>
        <v>50</v>
      </c>
      <c r="W626" s="124">
        <f ca="1">OFFSET($K$19,_xlfn.XLOOKUP(X626,$D$9:$D$28,$H$9:$H$28),MATCH(OFFSET($C$29,B626,MATCH(X626,$D$29:$V$29,0)),$L$19:$R$19,1))*(1+(OFFSET($C$29,B626,MATCH(X626,$D$29:$V$29,0))-1)*_xlfn.XLOOKUP(X626,梦灵养成!$D$9:$D$28,梦灵养成!$G$9:$G$28))</f>
        <v>64.428</v>
      </c>
      <c r="X626" s="106" t="str">
        <f ca="1" t="shared" si="211"/>
        <v>神算诸葛</v>
      </c>
      <c r="Y626" s="95">
        <f ca="1" t="shared" si="210"/>
        <v>246600</v>
      </c>
      <c r="Z626" s="96">
        <f ca="1" t="shared" si="213"/>
        <v>5.9</v>
      </c>
    </row>
    <row r="627" s="106" customFormat="1" ht="16.5" spans="2:46">
      <c r="B627" s="117">
        <v>598</v>
      </c>
      <c r="C627" s="130">
        <f t="shared" si="214"/>
        <v>59800</v>
      </c>
      <c r="D627" s="131">
        <f ca="1" t="shared" ref="D627:V627" si="234">IFERROR(MATCH(D1232*10,OFFSET($AP$635:$AP$734,0,D$631),1),0)</f>
        <v>58</v>
      </c>
      <c r="E627" s="131">
        <f ca="1" t="shared" si="234"/>
        <v>58</v>
      </c>
      <c r="F627" s="131">
        <f ca="1" t="shared" si="234"/>
        <v>58</v>
      </c>
      <c r="G627" s="131">
        <f ca="1" t="shared" si="234"/>
        <v>48</v>
      </c>
      <c r="H627" s="131">
        <f ca="1" t="shared" si="234"/>
        <v>48</v>
      </c>
      <c r="I627" s="131">
        <f ca="1" t="shared" si="234"/>
        <v>48</v>
      </c>
      <c r="J627" s="131">
        <f ca="1" t="shared" si="234"/>
        <v>48</v>
      </c>
      <c r="K627" s="131">
        <f ca="1" t="shared" si="234"/>
        <v>48</v>
      </c>
      <c r="L627" s="131">
        <f ca="1" t="shared" si="234"/>
        <v>48</v>
      </c>
      <c r="M627" s="131">
        <f ca="1" t="shared" si="234"/>
        <v>45</v>
      </c>
      <c r="N627" s="131">
        <f ca="1" t="shared" si="234"/>
        <v>45</v>
      </c>
      <c r="O627" s="131">
        <f ca="1" t="shared" si="234"/>
        <v>45</v>
      </c>
      <c r="P627" s="131">
        <f ca="1" t="shared" si="234"/>
        <v>45</v>
      </c>
      <c r="Q627" s="131">
        <f ca="1" t="shared" si="234"/>
        <v>45</v>
      </c>
      <c r="R627" s="131">
        <f ca="1" t="shared" si="234"/>
        <v>45</v>
      </c>
      <c r="S627" s="131">
        <f ca="1" t="shared" si="234"/>
        <v>46</v>
      </c>
      <c r="T627" s="131">
        <f ca="1" t="shared" si="234"/>
        <v>50</v>
      </c>
      <c r="U627" s="131">
        <f ca="1" t="shared" si="234"/>
        <v>50</v>
      </c>
      <c r="V627" s="131">
        <f ca="1" t="shared" si="234"/>
        <v>50</v>
      </c>
      <c r="W627" s="124">
        <f ca="1">OFFSET($K$19,_xlfn.XLOOKUP(X627,$D$9:$D$28,$H$9:$H$28),MATCH(OFFSET($C$29,B627,MATCH(X627,$D$29:$V$29,0)),$L$19:$R$19,1))*(1+(OFFSET($C$29,B627,MATCH(X627,$D$29:$V$29,0))-1)*_xlfn.XLOOKUP(X627,梦灵养成!$D$9:$D$28,梦灵养成!$G$9:$G$28))</f>
        <v>64.428</v>
      </c>
      <c r="X627" s="106" t="str">
        <f ca="1" t="shared" si="211"/>
        <v>神算诸葛</v>
      </c>
      <c r="Y627" s="95">
        <f ca="1" t="shared" si="210"/>
        <v>246600</v>
      </c>
      <c r="Z627" s="96">
        <f ca="1" t="shared" si="213"/>
        <v>5.9</v>
      </c>
    </row>
    <row r="628" s="106" customFormat="1" ht="16.5" spans="2:46">
      <c r="B628" s="117">
        <v>599</v>
      </c>
      <c r="C628" s="130">
        <f t="shared" si="214"/>
        <v>59900</v>
      </c>
      <c r="D628" s="131">
        <f ca="1" t="shared" ref="D628:V628" si="235">IFERROR(MATCH(D1233*10,OFFSET($AP$635:$AP$734,0,D$631),1),0)</f>
        <v>58</v>
      </c>
      <c r="E628" s="131">
        <f ca="1" t="shared" si="235"/>
        <v>58</v>
      </c>
      <c r="F628" s="131">
        <f ca="1" t="shared" si="235"/>
        <v>58</v>
      </c>
      <c r="G628" s="131">
        <f ca="1" t="shared" si="235"/>
        <v>48</v>
      </c>
      <c r="H628" s="131">
        <f ca="1" t="shared" si="235"/>
        <v>48</v>
      </c>
      <c r="I628" s="131">
        <f ca="1" t="shared" si="235"/>
        <v>48</v>
      </c>
      <c r="J628" s="131">
        <f ca="1" t="shared" si="235"/>
        <v>48</v>
      </c>
      <c r="K628" s="131">
        <f ca="1" t="shared" si="235"/>
        <v>48</v>
      </c>
      <c r="L628" s="131">
        <f ca="1" t="shared" si="235"/>
        <v>48</v>
      </c>
      <c r="M628" s="131">
        <f ca="1" t="shared" si="235"/>
        <v>45</v>
      </c>
      <c r="N628" s="131">
        <f ca="1" t="shared" si="235"/>
        <v>45</v>
      </c>
      <c r="O628" s="131">
        <f ca="1" t="shared" si="235"/>
        <v>45</v>
      </c>
      <c r="P628" s="131">
        <f ca="1" t="shared" si="235"/>
        <v>45</v>
      </c>
      <c r="Q628" s="131">
        <f ca="1" t="shared" si="235"/>
        <v>45</v>
      </c>
      <c r="R628" s="131">
        <f ca="1" t="shared" si="235"/>
        <v>45</v>
      </c>
      <c r="S628" s="131">
        <f ca="1" t="shared" si="235"/>
        <v>46</v>
      </c>
      <c r="T628" s="131">
        <f ca="1" t="shared" si="235"/>
        <v>50</v>
      </c>
      <c r="U628" s="131">
        <f ca="1" t="shared" si="235"/>
        <v>50</v>
      </c>
      <c r="V628" s="131">
        <f ca="1" t="shared" si="235"/>
        <v>50</v>
      </c>
      <c r="W628" s="124">
        <f ca="1">OFFSET($K$19,_xlfn.XLOOKUP(X628,$D$9:$D$28,$H$9:$H$28),MATCH(OFFSET($C$29,B628,MATCH(X628,$D$29:$V$29,0)),$L$19:$R$19,1))*(1+(OFFSET($C$29,B628,MATCH(X628,$D$29:$V$29,0))-1)*_xlfn.XLOOKUP(X628,梦灵养成!$D$9:$D$28,梦灵养成!$G$9:$G$28))</f>
        <v>64.428</v>
      </c>
      <c r="X628" s="106" t="str">
        <f ca="1" t="shared" si="211"/>
        <v>神算诸葛</v>
      </c>
      <c r="Y628" s="95">
        <f ca="1" t="shared" si="210"/>
        <v>246600</v>
      </c>
      <c r="Z628" s="96">
        <f ca="1" t="shared" si="213"/>
        <v>5.9</v>
      </c>
    </row>
    <row r="629" s="106" customFormat="1" ht="16.5" spans="2:46">
      <c r="B629" s="117">
        <v>600</v>
      </c>
      <c r="C629" s="130">
        <f t="shared" si="214"/>
        <v>60000</v>
      </c>
      <c r="D629" s="131">
        <f ca="1" t="shared" ref="D629:V629" si="236">IFERROR(MATCH(D1234*10,OFFSET($AP$635:$AP$734,0,D$631),1),0)</f>
        <v>58</v>
      </c>
      <c r="E629" s="131">
        <f ca="1" t="shared" si="236"/>
        <v>58</v>
      </c>
      <c r="F629" s="131">
        <f ca="1" t="shared" si="236"/>
        <v>58</v>
      </c>
      <c r="G629" s="131">
        <f ca="1" t="shared" si="236"/>
        <v>48</v>
      </c>
      <c r="H629" s="131">
        <f ca="1" t="shared" si="236"/>
        <v>48</v>
      </c>
      <c r="I629" s="131">
        <f ca="1" t="shared" si="236"/>
        <v>48</v>
      </c>
      <c r="J629" s="131">
        <f ca="1" t="shared" si="236"/>
        <v>48</v>
      </c>
      <c r="K629" s="131">
        <f ca="1" t="shared" si="236"/>
        <v>48</v>
      </c>
      <c r="L629" s="131">
        <f ca="1" t="shared" si="236"/>
        <v>48</v>
      </c>
      <c r="M629" s="131">
        <f ca="1" t="shared" si="236"/>
        <v>45</v>
      </c>
      <c r="N629" s="131">
        <f ca="1" t="shared" si="236"/>
        <v>45</v>
      </c>
      <c r="O629" s="131">
        <f ca="1" t="shared" si="236"/>
        <v>45</v>
      </c>
      <c r="P629" s="131">
        <f ca="1" t="shared" si="236"/>
        <v>45</v>
      </c>
      <c r="Q629" s="131">
        <f ca="1" t="shared" si="236"/>
        <v>45</v>
      </c>
      <c r="R629" s="131">
        <f ca="1" t="shared" si="236"/>
        <v>45</v>
      </c>
      <c r="S629" s="131">
        <f ca="1" t="shared" si="236"/>
        <v>46</v>
      </c>
      <c r="T629" s="131">
        <f ca="1" t="shared" si="236"/>
        <v>50</v>
      </c>
      <c r="U629" s="131">
        <f ca="1" t="shared" si="236"/>
        <v>50</v>
      </c>
      <c r="V629" s="131">
        <f ca="1" t="shared" si="236"/>
        <v>50</v>
      </c>
      <c r="W629" s="124">
        <f ca="1">OFFSET($K$19,_xlfn.XLOOKUP(X629,$D$9:$D$28,$H$9:$H$28),MATCH(OFFSET($C$29,B629,MATCH(X629,$D$29:$V$29,0)),$L$19:$R$19,1))*(1+(OFFSET($C$29,B629,MATCH(X629,$D$29:$V$29,0))-1)*_xlfn.XLOOKUP(X629,梦灵养成!$D$9:$D$28,梦灵养成!$G$9:$G$28))</f>
        <v>64.428</v>
      </c>
      <c r="X629" s="106" t="str">
        <f ca="1" t="shared" si="211"/>
        <v>神算诸葛</v>
      </c>
      <c r="Y629" s="95">
        <f ca="1" t="shared" si="210"/>
        <v>246600</v>
      </c>
      <c r="Z629" s="96">
        <f ca="1" t="shared" si="213"/>
        <v>5.9</v>
      </c>
    </row>
    <row r="631" s="106" customFormat="1" ht="16.5" spans="2:46">
      <c r="C631" s="132" t="s">
        <v>73</v>
      </c>
      <c r="D631" s="113">
        <v>1</v>
      </c>
      <c r="E631" s="113">
        <v>1</v>
      </c>
      <c r="F631" s="113">
        <v>1</v>
      </c>
      <c r="G631" s="113">
        <v>2</v>
      </c>
      <c r="H631" s="113">
        <v>2</v>
      </c>
      <c r="I631" s="113">
        <v>2</v>
      </c>
      <c r="J631" s="113">
        <v>2</v>
      </c>
      <c r="K631" s="113">
        <v>2</v>
      </c>
      <c r="L631" s="113">
        <v>2</v>
      </c>
      <c r="M631" s="11">
        <v>3</v>
      </c>
      <c r="N631" s="11">
        <v>3</v>
      </c>
      <c r="O631" s="11">
        <v>3</v>
      </c>
      <c r="P631" s="11">
        <v>3</v>
      </c>
      <c r="Q631" s="11">
        <v>3</v>
      </c>
      <c r="R631" s="11">
        <v>3</v>
      </c>
      <c r="S631" s="11">
        <v>3</v>
      </c>
      <c r="T631" s="11">
        <v>4</v>
      </c>
      <c r="U631" s="11">
        <v>4</v>
      </c>
      <c r="V631" s="11">
        <v>4</v>
      </c>
      <c r="W631" s="9">
        <v>1</v>
      </c>
      <c r="X631" s="9">
        <v>2</v>
      </c>
      <c r="Y631" s="9">
        <v>3</v>
      </c>
      <c r="Z631" s="9">
        <v>4</v>
      </c>
      <c r="AA631" s="9"/>
      <c r="AB631" s="9"/>
      <c r="AC631" s="9"/>
      <c r="AD631" s="9"/>
      <c r="AE631" s="9"/>
      <c r="AF631" s="9"/>
      <c r="AG631" s="9"/>
      <c r="AH631" s="132"/>
      <c r="AI631" s="132"/>
      <c r="AJ631" s="132"/>
      <c r="AK631" s="132"/>
      <c r="AL631" s="132"/>
      <c r="AM631" s="132"/>
      <c r="AN631" s="132"/>
    </row>
    <row r="632" s="106" customFormat="1" ht="16.5" spans="2:46">
      <c r="B632" s="132"/>
      <c r="D632" s="113">
        <v>3</v>
      </c>
      <c r="E632" s="113">
        <v>3</v>
      </c>
      <c r="F632" s="113">
        <v>3</v>
      </c>
      <c r="G632" s="113">
        <v>6</v>
      </c>
      <c r="H632" s="113">
        <f>G632</f>
        <v>6</v>
      </c>
      <c r="I632" s="113">
        <f>H632</f>
        <v>6</v>
      </c>
      <c r="J632" s="113">
        <f>I632</f>
        <v>6</v>
      </c>
      <c r="K632" s="113">
        <f>J632</f>
        <v>6</v>
      </c>
      <c r="L632" s="113">
        <f>K632</f>
        <v>6</v>
      </c>
      <c r="M632" s="113">
        <f t="shared" ref="M632:S632" si="237">7</f>
        <v>7</v>
      </c>
      <c r="N632" s="113">
        <f t="shared" si="237"/>
        <v>7</v>
      </c>
      <c r="O632" s="113">
        <f t="shared" si="237"/>
        <v>7</v>
      </c>
      <c r="P632" s="113">
        <f t="shared" si="237"/>
        <v>7</v>
      </c>
      <c r="Q632" s="113">
        <f t="shared" si="237"/>
        <v>7</v>
      </c>
      <c r="R632" s="113">
        <f t="shared" si="237"/>
        <v>7</v>
      </c>
      <c r="S632" s="113">
        <f t="shared" si="237"/>
        <v>7</v>
      </c>
      <c r="T632" s="113">
        <f>3</f>
        <v>3</v>
      </c>
      <c r="U632" s="113">
        <f>3</f>
        <v>3</v>
      </c>
      <c r="V632" s="113">
        <f>3</f>
        <v>3</v>
      </c>
      <c r="W632" s="133"/>
      <c r="X632" s="133"/>
      <c r="Y632" s="133"/>
      <c r="Z632" s="133"/>
      <c r="AA632" s="133"/>
      <c r="AB632" s="133"/>
      <c r="AC632" s="133"/>
      <c r="AD632" s="133"/>
      <c r="AE632" s="133"/>
      <c r="AF632" s="133"/>
      <c r="AG632" s="133"/>
      <c r="AH632" s="133"/>
      <c r="AI632" s="133"/>
      <c r="AJ632" s="133"/>
      <c r="AK632" s="133"/>
      <c r="AL632" s="133"/>
      <c r="AM632" s="133"/>
      <c r="AN632" s="134"/>
    </row>
    <row r="633" s="106" customFormat="1" ht="16.5" spans="2:46">
      <c r="B633" s="132" t="s">
        <v>74</v>
      </c>
      <c r="D633" s="113">
        <f ca="1">OFFSET($C$8,MATCH(D$634,$D$9:$D$27,0),0)</f>
        <v>0</v>
      </c>
      <c r="E633" s="113">
        <f ca="1" t="shared" ref="E633:V633" si="238">OFFSET($C$8,MATCH(E$634,$D$9:$D$27,0),0)</f>
        <v>0</v>
      </c>
      <c r="F633" s="113">
        <f ca="1" t="shared" si="238"/>
        <v>0</v>
      </c>
      <c r="G633" s="113">
        <f ca="1" t="shared" si="238"/>
        <v>10</v>
      </c>
      <c r="H633" s="113">
        <f ca="1" t="shared" si="238"/>
        <v>40</v>
      </c>
      <c r="I633" s="113">
        <f ca="1" t="shared" si="238"/>
        <v>80</v>
      </c>
      <c r="J633" s="113">
        <f ca="1" t="shared" si="238"/>
        <v>150</v>
      </c>
      <c r="K633" s="113">
        <f ca="1" t="shared" si="238"/>
        <v>200</v>
      </c>
      <c r="L633" s="113">
        <f ca="1" t="shared" si="238"/>
        <v>280</v>
      </c>
      <c r="M633" s="113">
        <f ca="1" t="shared" si="238"/>
        <v>391</v>
      </c>
      <c r="N633" s="113">
        <f ca="1" t="shared" si="238"/>
        <v>699</v>
      </c>
      <c r="O633" s="113">
        <f ca="1" t="shared" si="238"/>
        <v>600</v>
      </c>
      <c r="P633" s="113">
        <f ca="1" t="shared" si="238"/>
        <v>1450</v>
      </c>
      <c r="Q633" s="113">
        <f ca="1" t="shared" si="238"/>
        <v>995</v>
      </c>
      <c r="R633" s="113">
        <f ca="1" t="shared" si="238"/>
        <v>1989.15009041591</v>
      </c>
      <c r="S633" s="113">
        <f ca="1" t="shared" si="238"/>
        <v>2201</v>
      </c>
      <c r="T633" s="113">
        <f ca="1" t="shared" si="238"/>
        <v>4550</v>
      </c>
      <c r="U633" s="113">
        <f ca="1" t="shared" si="238"/>
        <v>3842.67631103074</v>
      </c>
      <c r="V633" s="113">
        <f ca="1" t="shared" si="238"/>
        <v>3150</v>
      </c>
      <c r="W633" s="133"/>
      <c r="X633" s="133"/>
      <c r="Y633" s="133"/>
      <c r="Z633" s="133"/>
      <c r="AA633" s="133"/>
      <c r="AB633" s="133"/>
      <c r="AC633" s="133"/>
      <c r="AD633" s="133"/>
      <c r="AE633" s="133"/>
      <c r="AF633" s="133"/>
      <c r="AG633" s="133"/>
      <c r="AH633" s="133"/>
      <c r="AI633" s="133"/>
      <c r="AJ633" s="133"/>
      <c r="AK633" s="133"/>
      <c r="AL633" s="133"/>
      <c r="AM633" s="133"/>
      <c r="AN633" s="134"/>
      <c r="AQ633" s="132">
        <v>3</v>
      </c>
      <c r="AR633" s="132">
        <v>4</v>
      </c>
      <c r="AS633" s="132">
        <v>5</v>
      </c>
      <c r="AT633" s="132">
        <v>6</v>
      </c>
    </row>
    <row r="634" s="106" customFormat="1" ht="16.5" spans="2:46">
      <c r="B634" s="107" t="s">
        <v>27</v>
      </c>
      <c r="C634" s="107" t="s">
        <v>69</v>
      </c>
      <c r="D634" s="107" t="s">
        <v>49</v>
      </c>
      <c r="E634" s="107" t="s">
        <v>50</v>
      </c>
      <c r="F634" s="107" t="s">
        <v>51</v>
      </c>
      <c r="G634" s="107" t="s">
        <v>52</v>
      </c>
      <c r="H634" s="107" t="s">
        <v>53</v>
      </c>
      <c r="I634" s="107" t="s">
        <v>54</v>
      </c>
      <c r="J634" s="107" t="s">
        <v>55</v>
      </c>
      <c r="K634" s="107" t="s">
        <v>56</v>
      </c>
      <c r="L634" s="107" t="s">
        <v>57</v>
      </c>
      <c r="M634" s="107" t="s">
        <v>58</v>
      </c>
      <c r="N634" s="107" t="s">
        <v>60</v>
      </c>
      <c r="O634" s="107" t="s">
        <v>61</v>
      </c>
      <c r="P634" s="107" t="s">
        <v>63</v>
      </c>
      <c r="Q634" s="107" t="s">
        <v>62</v>
      </c>
      <c r="R634" s="107" t="s">
        <v>64</v>
      </c>
      <c r="S634" s="107" t="s">
        <v>65</v>
      </c>
      <c r="T634" s="107" t="s">
        <v>68</v>
      </c>
      <c r="U634" s="107" t="s">
        <v>67</v>
      </c>
      <c r="V634" s="107" t="s">
        <v>66</v>
      </c>
      <c r="W634" s="112"/>
      <c r="X634" s="112"/>
      <c r="Y634" s="112"/>
      <c r="Z634" s="112"/>
      <c r="AA634" s="112" t="s">
        <v>75</v>
      </c>
      <c r="AB634" s="112" t="s">
        <v>76</v>
      </c>
      <c r="AC634" s="112" t="s">
        <v>77</v>
      </c>
      <c r="AD634" s="112" t="s">
        <v>78</v>
      </c>
      <c r="AE634" s="112" t="s">
        <v>79</v>
      </c>
      <c r="AF634" s="112" t="s">
        <v>80</v>
      </c>
      <c r="AG634" s="112" t="s">
        <v>81</v>
      </c>
      <c r="AH634" s="112" t="s">
        <v>75</v>
      </c>
      <c r="AI634" s="112" t="s">
        <v>76</v>
      </c>
      <c r="AJ634" s="112" t="s">
        <v>77</v>
      </c>
      <c r="AK634" s="112" t="s">
        <v>78</v>
      </c>
      <c r="AL634" s="112" t="s">
        <v>79</v>
      </c>
      <c r="AM634" s="112" t="s">
        <v>80</v>
      </c>
      <c r="AN634" s="112" t="s">
        <v>81</v>
      </c>
      <c r="AP634" s="132" t="s">
        <v>82</v>
      </c>
      <c r="AQ634" s="132" t="s">
        <v>83</v>
      </c>
      <c r="AR634" s="132" t="s">
        <v>84</v>
      </c>
      <c r="AS634" s="132" t="s">
        <v>85</v>
      </c>
      <c r="AT634" s="132" t="s">
        <v>86</v>
      </c>
    </row>
    <row r="635" s="106" customFormat="1" ht="16.5" spans="2:46">
      <c r="B635" s="117">
        <v>1</v>
      </c>
      <c r="C635" s="130">
        <f t="shared" ref="C635:C698" si="239">C30</f>
        <v>100</v>
      </c>
      <c r="D635" s="131" cm="1">
        <f ca="1" t="array" ref="D635">IF(D1237=1,OFFSET($W$634,$B635,D$631-1)/SUMPRODUCT(--($D$631:$V$631=D$631),--($D1237:$V1237=1)),0)+SUM(D634)+IF(COUNTIF(D$1237:D1237,1)=1,5,0)+IF(COUNTIF(E635:$W635,"&gt;"&amp;0)&lt;5,IF(AND(COUNTIF(D$1237:D1237,1)&gt;7,MOD(1+IFERROR(MATCH($C635,总览!$D$46:$D$345,1)+1,1),7)=0),$C$3,0),0)</f>
        <v>18.3333333333333</v>
      </c>
      <c r="E635" s="131" cm="1">
        <f ca="1" t="array" ref="E635">IF(E1237=1,OFFSET($W$634,$B635,E$631-1)/SUMPRODUCT(--($D$631:$V$631=E$631),--($D1237:$V1237=1)),0)+SUM(E634)+IF(COUNTIF(E$1237:E1237,1)=1,5,0)+IF(COUNTIF(F635:$W635,"&gt;"&amp;0)&lt;5,IF(AND(COUNTIF(E$1237:E1237,1)&gt;7,MOD(1+IFERROR(MATCH($C635,总览!$D$46:$D$345,1)+1,1),7)=0),$C$3,0),0)</f>
        <v>18.3333333333333</v>
      </c>
      <c r="F635" s="131" cm="1">
        <f ca="1" t="array" ref="F635">IF(F1237=1,OFFSET($W$634,$B635,F$631-1)/SUMPRODUCT(--($D$631:$V$631=F$631),--($D1237:$V1237=1)),0)+SUM(F634)+IF(COUNTIF(F$1237:F1237,1)=1,5,0)+IF(COUNTIF(G635:$W635,"&gt;"&amp;0)&lt;5,IF(AND(COUNTIF(F$1237:F1237,1)&gt;7,MOD(1+IFERROR(MATCH($C635,总览!$D$46:$D$345,1)+1,1),7)=0),$C$3,0),0)</f>
        <v>18.3333333333333</v>
      </c>
      <c r="G635" s="131" cm="1">
        <f ca="1" t="array" ref="G635">IF(G1237=1,OFFSET($W$634,$B635,G$631-1)/SUMPRODUCT(--($D$631:$V$631=G$631),--($D1237:$V1237=1)),0)+SUM(G634)+IF(COUNTIF(G$1237:G1237,1)=1,5,0)+IF(COUNTIF(H635:$W635,"&gt;"&amp;0)&lt;5,IF(AND(COUNTIF(G$1237:G1237,1)&gt;7,MOD(1+IFERROR(MATCH($C635,总览!$D$46:$D$345,1)+1,1),7)=0),$C$3,0),0)</f>
        <v>8.33333333333333</v>
      </c>
      <c r="H635" s="131" cm="1">
        <f ca="1" t="array" ref="H635">IF(H1237=1,OFFSET($W$634,$B635,H$631-1)/SUMPRODUCT(--($D$631:$V$631=H$631),--($D1237:$V1237=1)),0)+SUM(H634)+IF(COUNTIF(H$1237:H1237,1)=1,5,0)+IF(COUNTIF(I635:$W635,"&gt;"&amp;0)&lt;5,IF(AND(COUNTIF(H$1237:H1237,1)&gt;7,MOD(1+IFERROR(MATCH($C635,总览!$D$46:$D$345,1)+1,1),7)=0),$C$3,0),0)</f>
        <v>8.33333333333333</v>
      </c>
      <c r="I635" s="131" cm="1">
        <f ca="1" t="array" ref="I635">IF(I1237=1,OFFSET($W$634,$B635,I$631-1)/SUMPRODUCT(--($D$631:$V$631=I$631),--($D1237:$V1237=1)),0)+SUM(I634)+IF(COUNTIF(I$1237:I1237,1)=1,5,0)+IF(COUNTIF(J635:$W635,"&gt;"&amp;0)&lt;5,IF(AND(COUNTIF(I$1237:I1237,1)&gt;7,MOD(1+IFERROR(MATCH($C635,总览!$D$46:$D$345,1)+1,1),7)=0),$C$3,0),0)</f>
        <v>8.33333333333333</v>
      </c>
      <c r="J635" s="131" cm="1">
        <f ca="1" t="array" ref="J635">IF(J1237=1,OFFSET($W$634,$B635,J$631-1)/SUMPRODUCT(--($D$631:$V$631=J$631),--($D1237:$V1237=1)),0)+SUM(J634)+IF(COUNTIF(J$1237:J1237,1)=1,5,0)+IF(COUNTIF(K635:$W635,"&gt;"&amp;0)&lt;5,IF(AND(COUNTIF(J$1237:J1237,1)&gt;7,MOD(1+IFERROR(MATCH($C635,总览!$D$46:$D$345,1)+1,1),7)=0),$C$3,0),0)</f>
        <v>0</v>
      </c>
      <c r="K635" s="131" cm="1">
        <f ca="1" t="array" ref="K635">IF(K1237=1,OFFSET($W$634,$B635,K$631-1)/SUMPRODUCT(--($D$631:$V$631=K$631),--($D1237:$V1237=1)),0)+SUM(K634)+IF(COUNTIF(K$1237:K1237,1)=1,5,0)+IF(COUNTIF(L635:$W635,"&gt;"&amp;0)&lt;5,IF(AND(COUNTIF(K$1237:K1237,1)&gt;7,MOD(1+IFERROR(MATCH($C635,总览!$D$46:$D$345,1)+1,1),7)=0),$C$3,0),0)</f>
        <v>0</v>
      </c>
      <c r="L635" s="131" cm="1">
        <f ca="1" t="array" ref="L635">IF(L1237=1,OFFSET($W$634,$B635,L$631-1)/SUMPRODUCT(--($D$631:$V$631=L$631),--($D1237:$V1237=1)),0)+SUM(L634)+IF(COUNTIF(L$1237:L1237,1)=1,5,0)+IF(COUNTIF(M635:$W635,"&gt;"&amp;0)&lt;5,IF(AND(COUNTIF(L$1237:L1237,1)&gt;7,MOD(1+IFERROR(MATCH($C635,总览!$D$46:$D$345,1)+1,1),7)=0),$C$3,0),0)</f>
        <v>0</v>
      </c>
      <c r="M635" s="131" cm="1">
        <f ca="1" t="array" ref="M635">IF(M1237=1,OFFSET($W$634,$B635,M$631-1)/SUMPRODUCT(--($D$631:$V$631=M$631),--($D1237:$V1237=1)),0)+SUM(M634)+IF(COUNTIF(M$1237:M1237,1)=1,5,0)+IF(COUNTIF(N635:$W635,"&gt;"&amp;0)&lt;5,IF(AND(COUNTIF(M$1237:M1237,1)&gt;7,MOD(1+IFERROR(MATCH($C635,总览!$D$46:$D$345,1)+1,1),7)=0),$C$3,0),0)</f>
        <v>0</v>
      </c>
      <c r="N635" s="131" cm="1">
        <f ca="1" t="array" ref="N635">IF(N1237=1,OFFSET($W$634,$B635,N$631-1)/SUMPRODUCT(--($D$631:$V$631=N$631),--($D1237:$V1237=1)),0)+SUM(N634)+IF(COUNTIF(N$1237:N1237,1)=1,5,0)+IF(COUNTIF(O635:$W635,"&gt;"&amp;0)&lt;5,IF(AND(COUNTIF(N$1237:N1237,1)&gt;7,MOD(1+IFERROR(MATCH($C635,总览!$D$46:$D$345,1)+1,1),7)=0),$C$3,0),0)</f>
        <v>0</v>
      </c>
      <c r="O635" s="131" cm="1">
        <f ca="1" t="array" ref="O635">IF(O1237=1,OFFSET($W$634,$B635,O$631-1)/SUMPRODUCT(--($D$631:$V$631=O$631),--($D1237:$V1237=1)),0)+SUM(O634)+IF(COUNTIF(O$1237:O1237,1)=1,5,0)+IF(COUNTIF(P635:$W635,"&gt;"&amp;0)&lt;5,IF(AND(COUNTIF(O$1237:O1237,1)&gt;7,MOD(1+IFERROR(MATCH($C635,总览!$D$46:$D$345,1)+1,1),7)=0),$C$3,0),0)</f>
        <v>0</v>
      </c>
      <c r="P635" s="131" cm="1">
        <f ca="1" t="array" ref="P635">IF(P1237=1,OFFSET($W$634,$B635,P$631-1)/SUMPRODUCT(--($D$631:$V$631=P$631),--($D1237:$V1237=1)),0)+SUM(P634)+IF(COUNTIF(P$1237:P1237,1)=1,5,0)+IF(COUNTIF(Q635:$W635,"&gt;"&amp;0)&lt;5,IF(AND(COUNTIF(P$1237:P1237,1)&gt;7,MOD(1+IFERROR(MATCH($C635,总览!$D$46:$D$345,1)+1,1),7)=0),$C$3,0),0)</f>
        <v>0</v>
      </c>
      <c r="Q635" s="131" cm="1">
        <f ca="1" t="array" ref="Q635">IF(Q1237=1,OFFSET($W$634,$B635,Q$631-1)/SUMPRODUCT(--($D$631:$V$631=Q$631),--($D1237:$V1237=1)),0)+SUM(Q634)+IF(COUNTIF(Q$1237:Q1237,1)=1,5,0)+IF(COUNTIF(R635:$W635,"&gt;"&amp;0)&lt;5,IF(AND(COUNTIF(Q$1237:Q1237,1)&gt;7,MOD(1+IFERROR(MATCH($C635,总览!$D$46:$D$345,1)+1,1),7)=0),$C$3,0),0)</f>
        <v>0</v>
      </c>
      <c r="R635" s="131" cm="1">
        <f ca="1" t="array" ref="R635">IF(R1237=1,OFFSET($W$634,$B635,R$631-1)/SUMPRODUCT(--($D$631:$V$631=R$631),--($D1237:$V1237=1)),0)+SUM(R634)+IF(COUNTIF(R$1237:R1237,1)=1,5,0)+IF(COUNTIF(S635:$W635,"&gt;"&amp;0)&lt;5,IF(AND(COUNTIF(R$1237:R1237,1)&gt;7,MOD(1+IFERROR(MATCH($C635,总览!$D$46:$D$345,1)+1,1),7)=0),$C$3,0),0)</f>
        <v>0</v>
      </c>
      <c r="S635" s="131" cm="1">
        <f ca="1" t="array" ref="S635">IF(S1237=1,OFFSET($W$634,$B635,S$631-1)/SUMPRODUCT(--($D$631:$V$631=S$631),--($D1237:$V1237=1)),0)+SUM(S634)+IF(COUNTIF(S$1237:S1237,1)=1,5,0)+IF(COUNTIF(T635:$W635,"&gt;"&amp;0)&lt;5,IF(AND(COUNTIF(S$1237:S1237,1)&gt;7,MOD(1+IFERROR(MATCH($C635,总览!$D$46:$D$345,1)+1,1),7)=0),$C$3,0),0)</f>
        <v>0</v>
      </c>
      <c r="T635" s="131" cm="1">
        <f ca="1" t="array" ref="T635">IF(T1237=1,OFFSET($W$634,$B635,T$631-1)/SUMPRODUCT(--($D$631:$V$631=T$631),--($D1237:$V1237=1)),0)+SUM(T634)+IF(COUNTIF(T$1237:T1237,1)=1,5,0)+IF(COUNTIF(U635:$W635,"&gt;"&amp;0)&lt;5,IF(AND(COUNTIF(T$1237:T1237,1)&gt;7,MOD(1+IFERROR(MATCH($C635,总览!$D$46:$D$345,1)+1,1),7)=0),$C$3,0),0)</f>
        <v>0</v>
      </c>
      <c r="U635" s="131" cm="1">
        <f ca="1" t="array" ref="U635">IF(U1237=1,OFFSET($W$634,$B635,U$631-1)/SUMPRODUCT(--($D$631:$V$631=U$631),--($D1237:$V1237=1)),0)+SUM(U634)+IF(COUNTIF(U$1237:U1237,1)=1,5,0)+IF(COUNTIF(V635:$W635,"&gt;"&amp;0)&lt;5,IF(AND(COUNTIF(U$1237:U1237,1)&gt;7,MOD(1+IFERROR(MATCH($C635,总览!$D$46:$D$345,1)+1,1),7)=0),$C$3,0),0)</f>
        <v>0</v>
      </c>
      <c r="V635" s="131" cm="1">
        <f ca="1" t="array" ref="V635">IF(V1237=1,OFFSET($W$634,$B635,V$631-1)/SUMPRODUCT(--($D$631:$V$631=V$631),--($D1237:$V1237=1)),0)+SUM(V634)+IF(COUNTIF(V$1237:V1237,1)=1,5,0)+IF(COUNTIF(W635:$W635,"&gt;"&amp;0)&lt;5,IF(AND(COUNTIF(V$1237:V1237,1)&gt;7,MOD(1+IFERROR(MATCH($C635,总览!$D$46:$D$345,1)+1,1),7)=0),$C$3,0),0)</f>
        <v>0</v>
      </c>
      <c r="W635" s="135" cm="1">
        <f ca="1" t="array" ref="W635">SUMPRODUCT(TRANSPOSE($AA635:$AG635),OFFSET($L$9:$L$15,0,W$631-1))</f>
        <v>40</v>
      </c>
      <c r="X635" s="135" cm="1">
        <f ca="1" t="array" ref="X635">SUMPRODUCT(TRANSPOSE($AA635:$AG635),OFFSET($L$9:$L$15,0,X$631-1))</f>
        <v>10</v>
      </c>
      <c r="Y635" s="135" cm="1">
        <f ca="1" t="array" ref="Y635">SUMPRODUCT(TRANSPOSE($AA635:$AG635),OFFSET($L$9:$L$15,0,Y$631-1))</f>
        <v>0</v>
      </c>
      <c r="Z635" s="135" cm="1">
        <f ca="1" t="array" ref="Z635">SUMPRODUCT(TRANSPOSE($AA635:$AG635),OFFSET($L$9:$L$15,0,Z$631-1))</f>
        <v>0</v>
      </c>
      <c r="AA635" s="136">
        <f ca="1" t="shared" ref="AA635:AG635" si="240">AH635</f>
        <v>100</v>
      </c>
      <c r="AB635" s="136">
        <f ca="1" t="shared" si="240"/>
        <v>0</v>
      </c>
      <c r="AC635" s="136">
        <f ca="1" t="shared" si="240"/>
        <v>0</v>
      </c>
      <c r="AD635" s="136">
        <f ca="1" t="shared" si="240"/>
        <v>0</v>
      </c>
      <c r="AE635" s="136">
        <f ca="1" t="shared" si="240"/>
        <v>0</v>
      </c>
      <c r="AF635" s="136">
        <f ca="1" t="shared" si="240"/>
        <v>0</v>
      </c>
      <c r="AG635" s="136">
        <f ca="1" t="shared" si="240"/>
        <v>0</v>
      </c>
      <c r="AH635" s="136">
        <f ca="1" t="shared" ref="AH635:AH698" si="241">IF($C635&gt;OFFSET($Q$8,MATCH(AH$634,$AH$634:$AN$634,0),0),OFFSET($P$8,MATCH(AH$634,$AH$634:$AN$634,0),0),$C635)</f>
        <v>100</v>
      </c>
      <c r="AI635" s="136">
        <f ca="1" t="shared" ref="AI635:AN635" si="242">IF($C635&gt;OFFSET($Q$8,MATCH(AI$634,$AH$634:$AN$634,0),0),OFFSET($P$8,MATCH(AI$634,$AH$634:$AN$634,0),0),MAX(0,$C635-OFFSET($Q$8,RIGHT(AI$634,1)-1,0)))</f>
        <v>0</v>
      </c>
      <c r="AJ635" s="136">
        <f ca="1" t="shared" si="242"/>
        <v>0</v>
      </c>
      <c r="AK635" s="136">
        <f ca="1" t="shared" si="242"/>
        <v>0</v>
      </c>
      <c r="AL635" s="136">
        <f ca="1" t="shared" si="242"/>
        <v>0</v>
      </c>
      <c r="AM635" s="136">
        <f ca="1" t="shared" si="242"/>
        <v>0</v>
      </c>
      <c r="AN635" s="136">
        <f ca="1" t="shared" si="242"/>
        <v>0</v>
      </c>
      <c r="AP635" s="132">
        <v>1</v>
      </c>
      <c r="AQ635" s="132">
        <v>10</v>
      </c>
      <c r="AR635" s="132">
        <v>10</v>
      </c>
      <c r="AS635" s="132">
        <v>10</v>
      </c>
      <c r="AT635" s="132">
        <v>10</v>
      </c>
    </row>
    <row r="636" s="106" customFormat="1" ht="16.5" spans="2:46">
      <c r="B636" s="117">
        <v>2</v>
      </c>
      <c r="C636" s="130">
        <f t="shared" si="239"/>
        <v>200</v>
      </c>
      <c r="D636" s="131" cm="1">
        <f ca="1" t="array" ref="D636">IF(D1238=1,OFFSET($W$634,$B636,D$631-1)/SUMPRODUCT(--($D$631:$V$631=D$631),--($D1238:$V1238=1)),0)+SUM(D635)+IF(COUNTIF(D$1237:D1238,1)=1,5,0)+IF(COUNTIF(E636:$W636,"&gt;"&amp;0)&lt;5,IF(AND(COUNTIF(D$1237:D1238,1)&gt;7,MOD(1+IFERROR(MATCH($C636,总览!$D$46:$D$345,1)+1,1),7)=0),$C$3,0),0)</f>
        <v>31.6666666666667</v>
      </c>
      <c r="E636" s="131" cm="1">
        <f ca="1" t="array" ref="E636">IF(E1238=1,OFFSET($W$634,$B636,E$631-1)/SUMPRODUCT(--($D$631:$V$631=E$631),--($D1238:$V1238=1)),0)+SUM(E635)+IF(COUNTIF(E$1237:E1238,1)=1,5,0)+IF(COUNTIF(F636:$W636,"&gt;"&amp;0)&lt;5,IF(AND(COUNTIF(E$1237:E1238,1)&gt;7,MOD(1+IFERROR(MATCH($C636,总览!$D$46:$D$345,1)+1,1),7)=0),$C$3,0),0)</f>
        <v>31.6666666666667</v>
      </c>
      <c r="F636" s="131" cm="1">
        <f ca="1" t="array" ref="F636">IF(F1238=1,OFFSET($W$634,$B636,F$631-1)/SUMPRODUCT(--($D$631:$V$631=F$631),--($D1238:$V1238=1)),0)+SUM(F635)+IF(COUNTIF(F$1237:F1238,1)=1,5,0)+IF(COUNTIF(G636:$W636,"&gt;"&amp;0)&lt;5,IF(AND(COUNTIF(F$1237:F1238,1)&gt;7,MOD(1+IFERROR(MATCH($C636,总览!$D$46:$D$345,1)+1,1),7)=0),$C$3,0),0)</f>
        <v>31.6666666666667</v>
      </c>
      <c r="G636" s="131" cm="1">
        <f ca="1" t="array" ref="G636">IF(G1238=1,OFFSET($W$634,$B636,G$631-1)/SUMPRODUCT(--($D$631:$V$631=G$631),--($D1238:$V1238=1)),0)+SUM(G635)+IF(COUNTIF(G$1237:G1238,1)=1,5,0)+IF(COUNTIF(H636:$W636,"&gt;"&amp;0)&lt;5,IF(AND(COUNTIF(G$1237:G1238,1)&gt;7,MOD(1+IFERROR(MATCH($C636,总览!$D$46:$D$345,1)+1,1),7)=0),$C$3,0),0)</f>
        <v>10.8333333333333</v>
      </c>
      <c r="H636" s="131" cm="1">
        <f ca="1" t="array" ref="H636">IF(H1238=1,OFFSET($W$634,$B636,H$631-1)/SUMPRODUCT(--($D$631:$V$631=H$631),--($D1238:$V1238=1)),0)+SUM(H635)+IF(COUNTIF(H$1237:H1238,1)=1,5,0)+IF(COUNTIF(I636:$W636,"&gt;"&amp;0)&lt;5,IF(AND(COUNTIF(H$1237:H1238,1)&gt;7,MOD(1+IFERROR(MATCH($C636,总览!$D$46:$D$345,1)+1,1),7)=0),$C$3,0),0)</f>
        <v>10.8333333333333</v>
      </c>
      <c r="I636" s="131" cm="1">
        <f ca="1" t="array" ref="I636">IF(I1238=1,OFFSET($W$634,$B636,I$631-1)/SUMPRODUCT(--($D$631:$V$631=I$631),--($D1238:$V1238=1)),0)+SUM(I635)+IF(COUNTIF(I$1237:I1238,1)=1,5,0)+IF(COUNTIF(J636:$W636,"&gt;"&amp;0)&lt;5,IF(AND(COUNTIF(I$1237:I1238,1)&gt;7,MOD(1+IFERROR(MATCH($C636,总览!$D$46:$D$345,1)+1,1),7)=0),$C$3,0),0)</f>
        <v>10.8333333333333</v>
      </c>
      <c r="J636" s="131" cm="1">
        <f ca="1" t="array" ref="J636">IF(J1238=1,OFFSET($W$634,$B636,J$631-1)/SUMPRODUCT(--($D$631:$V$631=J$631),--($D1238:$V1238=1)),0)+SUM(J635)+IF(COUNTIF(J$1237:J1238,1)=1,5,0)+IF(COUNTIF(K636:$W636,"&gt;"&amp;0)&lt;5,IF(AND(COUNTIF(J$1237:J1238,1)&gt;7,MOD(1+IFERROR(MATCH($C636,总览!$D$46:$D$345,1)+1,1),7)=0),$C$3,0),0)</f>
        <v>7.5</v>
      </c>
      <c r="K636" s="131" cm="1">
        <f ca="1" t="array" ref="K636">IF(K1238=1,OFFSET($W$634,$B636,K$631-1)/SUMPRODUCT(--($D$631:$V$631=K$631),--($D1238:$V1238=1)),0)+SUM(K635)+IF(COUNTIF(K$1237:K1238,1)=1,5,0)+IF(COUNTIF(L636:$W636,"&gt;"&amp;0)&lt;5,IF(AND(COUNTIF(K$1237:K1238,1)&gt;7,MOD(1+IFERROR(MATCH($C636,总览!$D$46:$D$345,1)+1,1),7)=0),$C$3,0),0)</f>
        <v>0</v>
      </c>
      <c r="L636" s="131" cm="1">
        <f ca="1" t="array" ref="L636">IF(L1238=1,OFFSET($W$634,$B636,L$631-1)/SUMPRODUCT(--($D$631:$V$631=L$631),--($D1238:$V1238=1)),0)+SUM(L635)+IF(COUNTIF(L$1237:L1238,1)=1,5,0)+IF(COUNTIF(M636:$W636,"&gt;"&amp;0)&lt;5,IF(AND(COUNTIF(L$1237:L1238,1)&gt;7,MOD(1+IFERROR(MATCH($C636,总览!$D$46:$D$345,1)+1,1),7)=0),$C$3,0),0)</f>
        <v>0</v>
      </c>
      <c r="M636" s="131" cm="1">
        <f ca="1" t="array" ref="M636">IF(M1238=1,OFFSET($W$634,$B636,M$631-1)/SUMPRODUCT(--($D$631:$V$631=M$631),--($D1238:$V1238=1)),0)+SUM(M635)+IF(COUNTIF(M$1237:M1238,1)=1,5,0)+IF(COUNTIF(N636:$W636,"&gt;"&amp;0)&lt;5,IF(AND(COUNTIF(M$1237:M1238,1)&gt;7,MOD(1+IFERROR(MATCH($C636,总览!$D$46:$D$345,1)+1,1),7)=0),$C$3,0),0)</f>
        <v>0</v>
      </c>
      <c r="N636" s="131" cm="1">
        <f ca="1" t="array" ref="N636">IF(N1238=1,OFFSET($W$634,$B636,N$631-1)/SUMPRODUCT(--($D$631:$V$631=N$631),--($D1238:$V1238=1)),0)+SUM(N635)+IF(COUNTIF(N$1237:N1238,1)=1,5,0)+IF(COUNTIF(O636:$W636,"&gt;"&amp;0)&lt;5,IF(AND(COUNTIF(N$1237:N1238,1)&gt;7,MOD(1+IFERROR(MATCH($C636,总览!$D$46:$D$345,1)+1,1),7)=0),$C$3,0),0)</f>
        <v>0</v>
      </c>
      <c r="O636" s="131" cm="1">
        <f ca="1" t="array" ref="O636">IF(O1238=1,OFFSET($W$634,$B636,O$631-1)/SUMPRODUCT(--($D$631:$V$631=O$631),--($D1238:$V1238=1)),0)+SUM(O635)+IF(COUNTIF(O$1237:O1238,1)=1,5,0)+IF(COUNTIF(P636:$W636,"&gt;"&amp;0)&lt;5,IF(AND(COUNTIF(O$1237:O1238,1)&gt;7,MOD(1+IFERROR(MATCH($C636,总览!$D$46:$D$345,1)+1,1),7)=0),$C$3,0),0)</f>
        <v>0</v>
      </c>
      <c r="P636" s="131" cm="1">
        <f ca="1" t="array" ref="P636">IF(P1238=1,OFFSET($W$634,$B636,P$631-1)/SUMPRODUCT(--($D$631:$V$631=P$631),--($D1238:$V1238=1)),0)+SUM(P635)+IF(COUNTIF(P$1237:P1238,1)=1,5,0)+IF(COUNTIF(Q636:$W636,"&gt;"&amp;0)&lt;5,IF(AND(COUNTIF(P$1237:P1238,1)&gt;7,MOD(1+IFERROR(MATCH($C636,总览!$D$46:$D$345,1)+1,1),7)=0),$C$3,0),0)</f>
        <v>0</v>
      </c>
      <c r="Q636" s="131" cm="1">
        <f ca="1" t="array" ref="Q636">IF(Q1238=1,OFFSET($W$634,$B636,Q$631-1)/SUMPRODUCT(--($D$631:$V$631=Q$631),--($D1238:$V1238=1)),0)+SUM(Q635)+IF(COUNTIF(Q$1237:Q1238,1)=1,5,0)+IF(COUNTIF(R636:$W636,"&gt;"&amp;0)&lt;5,IF(AND(COUNTIF(Q$1237:Q1238,1)&gt;7,MOD(1+IFERROR(MATCH($C636,总览!$D$46:$D$345,1)+1,1),7)=0),$C$3,0),0)</f>
        <v>0</v>
      </c>
      <c r="R636" s="131" cm="1">
        <f ca="1" t="array" ref="R636">IF(R1238=1,OFFSET($W$634,$B636,R$631-1)/SUMPRODUCT(--($D$631:$V$631=R$631),--($D1238:$V1238=1)),0)+SUM(R635)+IF(COUNTIF(R$1237:R1238,1)=1,5,0)+IF(COUNTIF(S636:$W636,"&gt;"&amp;0)&lt;5,IF(AND(COUNTIF(R$1237:R1238,1)&gt;7,MOD(1+IFERROR(MATCH($C636,总览!$D$46:$D$345,1)+1,1),7)=0),$C$3,0),0)</f>
        <v>0</v>
      </c>
      <c r="S636" s="131" cm="1">
        <f ca="1" t="array" ref="S636">IF(S1238=1,OFFSET($W$634,$B636,S$631-1)/SUMPRODUCT(--($D$631:$V$631=S$631),--($D1238:$V1238=1)),0)+SUM(S635)+IF(COUNTIF(S$1237:S1238,1)=1,5,0)+IF(COUNTIF(T636:$W636,"&gt;"&amp;0)&lt;5,IF(AND(COUNTIF(S$1237:S1238,1)&gt;7,MOD(1+IFERROR(MATCH($C636,总览!$D$46:$D$345,1)+1,1),7)=0),$C$3,0),0)</f>
        <v>0</v>
      </c>
      <c r="T636" s="131" cm="1">
        <f ca="1" t="array" ref="T636">IF(T1238=1,OFFSET($W$634,$B636,T$631-1)/SUMPRODUCT(--($D$631:$V$631=T$631),--($D1238:$V1238=1)),0)+SUM(T635)+IF(COUNTIF(T$1237:T1238,1)=1,5,0)+IF(COUNTIF(U636:$W636,"&gt;"&amp;0)&lt;5,IF(AND(COUNTIF(T$1237:T1238,1)&gt;7,MOD(1+IFERROR(MATCH($C636,总览!$D$46:$D$345,1)+1,1),7)=0),$C$3,0),0)</f>
        <v>0</v>
      </c>
      <c r="U636" s="131" cm="1">
        <f ca="1" t="array" ref="U636">IF(U1238=1,OFFSET($W$634,$B636,U$631-1)/SUMPRODUCT(--($D$631:$V$631=U$631),--($D1238:$V1238=1)),0)+SUM(U635)+IF(COUNTIF(U$1237:U1238,1)=1,5,0)+IF(COUNTIF(V636:$W636,"&gt;"&amp;0)&lt;5,IF(AND(COUNTIF(U$1237:U1238,1)&gt;7,MOD(1+IFERROR(MATCH($C636,总览!$D$46:$D$345,1)+1,1),7)=0),$C$3,0),0)</f>
        <v>0</v>
      </c>
      <c r="V636" s="131" cm="1">
        <f ca="1" t="array" ref="V636">IF(V1238=1,OFFSET($W$634,$B636,V$631-1)/SUMPRODUCT(--($D$631:$V$631=V$631),--($D1238:$V1238=1)),0)+SUM(V635)+IF(COUNTIF(V$1237:V1238,1)=1,5,0)+IF(COUNTIF(W636:$W636,"&gt;"&amp;0)&lt;5,IF(AND(COUNTIF(V$1237:V1238,1)&gt;7,MOD(1+IFERROR(MATCH($C636,总览!$D$46:$D$345,1)+1,1),7)=0),$C$3,0),0)</f>
        <v>0</v>
      </c>
      <c r="W636" s="135" cm="1">
        <f ca="1" t="array" ref="W636">SUMPRODUCT(TRANSPOSE($AA636:$AG636),OFFSET($L$9:$L$15,0,W$631-1))</f>
        <v>40</v>
      </c>
      <c r="X636" s="135" cm="1">
        <f ca="1" t="array" ref="X636">SUMPRODUCT(TRANSPOSE($AA636:$AG636),OFFSET($L$9:$L$15,0,X$631-1))</f>
        <v>10</v>
      </c>
      <c r="Y636" s="135" cm="1">
        <f ca="1" t="array" ref="Y636">SUMPRODUCT(TRANSPOSE($AA636:$AG636),OFFSET($L$9:$L$15,0,Y$631-1))</f>
        <v>0</v>
      </c>
      <c r="Z636" s="135" cm="1">
        <f ca="1" t="array" ref="Z636">SUMPRODUCT(TRANSPOSE($AA636:$AG636),OFFSET($L$9:$L$15,0,Z$631-1))</f>
        <v>0</v>
      </c>
      <c r="AA636" s="136">
        <f ca="1" t="shared" ref="AA636:AG636" si="243">AH636-AH635</f>
        <v>100</v>
      </c>
      <c r="AB636" s="136">
        <f ca="1" t="shared" si="243"/>
        <v>0</v>
      </c>
      <c r="AC636" s="136">
        <f ca="1" t="shared" si="243"/>
        <v>0</v>
      </c>
      <c r="AD636" s="136">
        <f ca="1" t="shared" si="243"/>
        <v>0</v>
      </c>
      <c r="AE636" s="136">
        <f ca="1" t="shared" si="243"/>
        <v>0</v>
      </c>
      <c r="AF636" s="136">
        <f ca="1" t="shared" si="243"/>
        <v>0</v>
      </c>
      <c r="AG636" s="136">
        <f ca="1" t="shared" si="243"/>
        <v>0</v>
      </c>
      <c r="AH636" s="136">
        <f ca="1" t="shared" si="241"/>
        <v>200</v>
      </c>
      <c r="AI636" s="136">
        <f ca="1" t="shared" ref="AI636:AN636" si="244">IF($C636&gt;OFFSET($Q$8,MATCH(AI$634,$AH$634:$AN$634,0),0),OFFSET($P$8,MATCH(AI$634,$AH$634:$AN$634,0),0),MAX(0,$C636-OFFSET($Q$8,RIGHT(AI$634,1)-1,0)))</f>
        <v>0</v>
      </c>
      <c r="AJ636" s="136">
        <f ca="1" t="shared" si="244"/>
        <v>0</v>
      </c>
      <c r="AK636" s="136">
        <f ca="1" t="shared" si="244"/>
        <v>0</v>
      </c>
      <c r="AL636" s="136">
        <f ca="1" t="shared" si="244"/>
        <v>0</v>
      </c>
      <c r="AM636" s="136">
        <f ca="1" t="shared" si="244"/>
        <v>0</v>
      </c>
      <c r="AN636" s="136">
        <f ca="1" t="shared" si="244"/>
        <v>0</v>
      </c>
      <c r="AP636" s="132">
        <v>2</v>
      </c>
      <c r="AQ636" s="132">
        <v>20</v>
      </c>
      <c r="AR636" s="132">
        <v>20</v>
      </c>
      <c r="AS636" s="132">
        <v>20</v>
      </c>
      <c r="AT636" s="132">
        <v>20</v>
      </c>
    </row>
    <row r="637" s="106" customFormat="1" ht="16.5" spans="2:46">
      <c r="B637" s="117">
        <v>3</v>
      </c>
      <c r="C637" s="130">
        <f t="shared" si="239"/>
        <v>300</v>
      </c>
      <c r="D637" s="131" cm="1">
        <f ca="1" t="array" ref="D637">IF(D1239=1,OFFSET($W$634,$B637,D$631-1)/SUMPRODUCT(--($D$631:$V$631=D$631),--($D1239:$V1239=1)),0)+SUM(D636)+IF(COUNTIF(D$1237:D1239,1)=1,5,0)+IF(COUNTIF(E637:$W637,"&gt;"&amp;0)&lt;5,IF(AND(COUNTIF(D$1237:D1239,1)&gt;7,MOD(1+IFERROR(MATCH($C637,总览!$D$46:$D$345,1)+1,1),7)=0),$C$3,0),0)</f>
        <v>45</v>
      </c>
      <c r="E637" s="131" cm="1">
        <f ca="1" t="array" ref="E637">IF(E1239=1,OFFSET($W$634,$B637,E$631-1)/SUMPRODUCT(--($D$631:$V$631=E$631),--($D1239:$V1239=1)),0)+SUM(E636)+IF(COUNTIF(E$1237:E1239,1)=1,5,0)+IF(COUNTIF(F637:$W637,"&gt;"&amp;0)&lt;5,IF(AND(COUNTIF(E$1237:E1239,1)&gt;7,MOD(1+IFERROR(MATCH($C637,总览!$D$46:$D$345,1)+1,1),7)=0),$C$3,0),0)</f>
        <v>45</v>
      </c>
      <c r="F637" s="131" cm="1">
        <f ca="1" t="array" ref="F637">IF(F1239=1,OFFSET($W$634,$B637,F$631-1)/SUMPRODUCT(--($D$631:$V$631=F$631),--($D1239:$V1239=1)),0)+SUM(F636)+IF(COUNTIF(F$1237:F1239,1)=1,5,0)+IF(COUNTIF(G637:$W637,"&gt;"&amp;0)&lt;5,IF(AND(COUNTIF(F$1237:F1239,1)&gt;7,MOD(1+IFERROR(MATCH($C637,总览!$D$46:$D$345,1)+1,1),7)=0),$C$3,0),0)</f>
        <v>45</v>
      </c>
      <c r="G637" s="131" cm="1">
        <f ca="1" t="array" ref="G637">IF(G1239=1,OFFSET($W$634,$B637,G$631-1)/SUMPRODUCT(--($D$631:$V$631=G$631),--($D1239:$V1239=1)),0)+SUM(G636)+IF(COUNTIF(G$1237:G1239,1)=1,5,0)+IF(COUNTIF(H637:$W637,"&gt;"&amp;0)&lt;5,IF(AND(COUNTIF(G$1237:G1239,1)&gt;7,MOD(1+IFERROR(MATCH($C637,总览!$D$46:$D$345,1)+1,1),7)=0),$C$3,0),0)</f>
        <v>12.5</v>
      </c>
      <c r="H637" s="131" cm="1">
        <f ca="1" t="array" ref="H637">IF(H1239=1,OFFSET($W$634,$B637,H$631-1)/SUMPRODUCT(--($D$631:$V$631=H$631),--($D1239:$V1239=1)),0)+SUM(H636)+IF(COUNTIF(H$1237:H1239,1)=1,5,0)+IF(COUNTIF(I637:$W637,"&gt;"&amp;0)&lt;5,IF(AND(COUNTIF(H$1237:H1239,1)&gt;7,MOD(1+IFERROR(MATCH($C637,总览!$D$46:$D$345,1)+1,1),7)=0),$C$3,0),0)</f>
        <v>12.5</v>
      </c>
      <c r="I637" s="131" cm="1">
        <f ca="1" t="array" ref="I637">IF(I1239=1,OFFSET($W$634,$B637,I$631-1)/SUMPRODUCT(--($D$631:$V$631=I$631),--($D1239:$V1239=1)),0)+SUM(I636)+IF(COUNTIF(I$1237:I1239,1)=1,5,0)+IF(COUNTIF(J637:$W637,"&gt;"&amp;0)&lt;5,IF(AND(COUNTIF(I$1237:I1239,1)&gt;7,MOD(1+IFERROR(MATCH($C637,总览!$D$46:$D$345,1)+1,1),7)=0),$C$3,0),0)</f>
        <v>12.5</v>
      </c>
      <c r="J637" s="131" cm="1">
        <f ca="1" t="array" ref="J637">IF(J1239=1,OFFSET($W$634,$B637,J$631-1)/SUMPRODUCT(--($D$631:$V$631=J$631),--($D1239:$V1239=1)),0)+SUM(J636)+IF(COUNTIF(J$1237:J1239,1)=1,5,0)+IF(COUNTIF(K637:$W637,"&gt;"&amp;0)&lt;5,IF(AND(COUNTIF(J$1237:J1239,1)&gt;7,MOD(1+IFERROR(MATCH($C637,总览!$D$46:$D$345,1)+1,1),7)=0),$C$3,0),0)</f>
        <v>9.16666666666667</v>
      </c>
      <c r="K637" s="131" cm="1">
        <f ca="1" t="array" ref="K637">IF(K1239=1,OFFSET($W$634,$B637,K$631-1)/SUMPRODUCT(--($D$631:$V$631=K$631),--($D1239:$V1239=1)),0)+SUM(K636)+IF(COUNTIF(K$1237:K1239,1)=1,5,0)+IF(COUNTIF(L637:$W637,"&gt;"&amp;0)&lt;5,IF(AND(COUNTIF(K$1237:K1239,1)&gt;7,MOD(1+IFERROR(MATCH($C637,总览!$D$46:$D$345,1)+1,1),7)=0),$C$3,0),0)</f>
        <v>6.66666666666667</v>
      </c>
      <c r="L637" s="131" cm="1">
        <f ca="1" t="array" ref="L637">IF(L1239=1,OFFSET($W$634,$B637,L$631-1)/SUMPRODUCT(--($D$631:$V$631=L$631),--($D1239:$V1239=1)),0)+SUM(L636)+IF(COUNTIF(L$1237:L1239,1)=1,5,0)+IF(COUNTIF(M637:$W637,"&gt;"&amp;0)&lt;5,IF(AND(COUNTIF(L$1237:L1239,1)&gt;7,MOD(1+IFERROR(MATCH($C637,总览!$D$46:$D$345,1)+1,1),7)=0),$C$3,0),0)</f>
        <v>6.66666666666667</v>
      </c>
      <c r="M637" s="131" cm="1">
        <f ca="1" t="array" ref="M637">IF(M1239=1,OFFSET($W$634,$B637,M$631-1)/SUMPRODUCT(--($D$631:$V$631=M$631),--($D1239:$V1239=1)),0)+SUM(M636)+IF(COUNTIF(M$1237:M1239,1)=1,5,0)+IF(COUNTIF(N637:$W637,"&gt;"&amp;0)&lt;5,IF(AND(COUNTIF(M$1237:M1239,1)&gt;7,MOD(1+IFERROR(MATCH($C637,总览!$D$46:$D$345,1)+1,1),7)=0),$C$3,0),0)</f>
        <v>0</v>
      </c>
      <c r="N637" s="131" cm="1">
        <f ca="1" t="array" ref="N637">IF(N1239=1,OFFSET($W$634,$B637,N$631-1)/SUMPRODUCT(--($D$631:$V$631=N$631),--($D1239:$V1239=1)),0)+SUM(N636)+IF(COUNTIF(N$1237:N1239,1)=1,5,0)+IF(COUNTIF(O637:$W637,"&gt;"&amp;0)&lt;5,IF(AND(COUNTIF(N$1237:N1239,1)&gt;7,MOD(1+IFERROR(MATCH($C637,总览!$D$46:$D$345,1)+1,1),7)=0),$C$3,0),0)</f>
        <v>0</v>
      </c>
      <c r="O637" s="131" cm="1">
        <f ca="1" t="array" ref="O637">IF(O1239=1,OFFSET($W$634,$B637,O$631-1)/SUMPRODUCT(--($D$631:$V$631=O$631),--($D1239:$V1239=1)),0)+SUM(O636)+IF(COUNTIF(O$1237:O1239,1)=1,5,0)+IF(COUNTIF(P637:$W637,"&gt;"&amp;0)&lt;5,IF(AND(COUNTIF(O$1237:O1239,1)&gt;7,MOD(1+IFERROR(MATCH($C637,总览!$D$46:$D$345,1)+1,1),7)=0),$C$3,0),0)</f>
        <v>0</v>
      </c>
      <c r="P637" s="131" cm="1">
        <f ca="1" t="array" ref="P637">IF(P1239=1,OFFSET($W$634,$B637,P$631-1)/SUMPRODUCT(--($D$631:$V$631=P$631),--($D1239:$V1239=1)),0)+SUM(P636)+IF(COUNTIF(P$1237:P1239,1)=1,5,0)+IF(COUNTIF(Q637:$W637,"&gt;"&amp;0)&lt;5,IF(AND(COUNTIF(P$1237:P1239,1)&gt;7,MOD(1+IFERROR(MATCH($C637,总览!$D$46:$D$345,1)+1,1),7)=0),$C$3,0),0)</f>
        <v>0</v>
      </c>
      <c r="Q637" s="131" cm="1">
        <f ca="1" t="array" ref="Q637">IF(Q1239=1,OFFSET($W$634,$B637,Q$631-1)/SUMPRODUCT(--($D$631:$V$631=Q$631),--($D1239:$V1239=1)),0)+SUM(Q636)+IF(COUNTIF(Q$1237:Q1239,1)=1,5,0)+IF(COUNTIF(R637:$W637,"&gt;"&amp;0)&lt;5,IF(AND(COUNTIF(Q$1237:Q1239,1)&gt;7,MOD(1+IFERROR(MATCH($C637,总览!$D$46:$D$345,1)+1,1),7)=0),$C$3,0),0)</f>
        <v>0</v>
      </c>
      <c r="R637" s="131" cm="1">
        <f ca="1" t="array" ref="R637">IF(R1239=1,OFFSET($W$634,$B637,R$631-1)/SUMPRODUCT(--($D$631:$V$631=R$631),--($D1239:$V1239=1)),0)+SUM(R636)+IF(COUNTIF(R$1237:R1239,1)=1,5,0)+IF(COUNTIF(S637:$W637,"&gt;"&amp;0)&lt;5,IF(AND(COUNTIF(R$1237:R1239,1)&gt;7,MOD(1+IFERROR(MATCH($C637,总览!$D$46:$D$345,1)+1,1),7)=0),$C$3,0),0)</f>
        <v>0</v>
      </c>
      <c r="S637" s="131" cm="1">
        <f ca="1" t="array" ref="S637">IF(S1239=1,OFFSET($W$634,$B637,S$631-1)/SUMPRODUCT(--($D$631:$V$631=S$631),--($D1239:$V1239=1)),0)+SUM(S636)+IF(COUNTIF(S$1237:S1239,1)=1,5,0)+IF(COUNTIF(T637:$W637,"&gt;"&amp;0)&lt;5,IF(AND(COUNTIF(S$1237:S1239,1)&gt;7,MOD(1+IFERROR(MATCH($C637,总览!$D$46:$D$345,1)+1,1),7)=0),$C$3,0),0)</f>
        <v>0</v>
      </c>
      <c r="T637" s="131" cm="1">
        <f ca="1" t="array" ref="T637">IF(T1239=1,OFFSET($W$634,$B637,T$631-1)/SUMPRODUCT(--($D$631:$V$631=T$631),--($D1239:$V1239=1)),0)+SUM(T636)+IF(COUNTIF(T$1237:T1239,1)=1,5,0)+IF(COUNTIF(U637:$W637,"&gt;"&amp;0)&lt;5,IF(AND(COUNTIF(T$1237:T1239,1)&gt;7,MOD(1+IFERROR(MATCH($C637,总览!$D$46:$D$345,1)+1,1),7)=0),$C$3,0),0)</f>
        <v>0</v>
      </c>
      <c r="U637" s="131" cm="1">
        <f ca="1" t="array" ref="U637">IF(U1239=1,OFFSET($W$634,$B637,U$631-1)/SUMPRODUCT(--($D$631:$V$631=U$631),--($D1239:$V1239=1)),0)+SUM(U636)+IF(COUNTIF(U$1237:U1239,1)=1,5,0)+IF(COUNTIF(V637:$W637,"&gt;"&amp;0)&lt;5,IF(AND(COUNTIF(U$1237:U1239,1)&gt;7,MOD(1+IFERROR(MATCH($C637,总览!$D$46:$D$345,1)+1,1),7)=0),$C$3,0),0)</f>
        <v>0</v>
      </c>
      <c r="V637" s="131" cm="1">
        <f ca="1" t="array" ref="V637">IF(V1239=1,OFFSET($W$634,$B637,V$631-1)/SUMPRODUCT(--($D$631:$V$631=V$631),--($D1239:$V1239=1)),0)+SUM(V636)+IF(COUNTIF(V$1237:V1239,1)=1,5,0)+IF(COUNTIF(W637:$W637,"&gt;"&amp;0)&lt;5,IF(AND(COUNTIF(V$1237:V1239,1)&gt;7,MOD(1+IFERROR(MATCH($C637,总览!$D$46:$D$345,1)+1,1),7)=0),$C$3,0),0)</f>
        <v>0</v>
      </c>
      <c r="W637" s="135" cm="1">
        <f ca="1" t="array" ref="W637">SUMPRODUCT(TRANSPOSE($AA637:$AG637),OFFSET($L$9:$L$15,0,W$631-1))</f>
        <v>40</v>
      </c>
      <c r="X637" s="135" cm="1">
        <f ca="1" t="array" ref="X637">SUMPRODUCT(TRANSPOSE($AA637:$AG637),OFFSET($L$9:$L$15,0,X$631-1))</f>
        <v>10</v>
      </c>
      <c r="Y637" s="135" cm="1">
        <f ca="1" t="array" ref="Y637">SUMPRODUCT(TRANSPOSE($AA637:$AG637),OFFSET($L$9:$L$15,0,Y$631-1))</f>
        <v>0</v>
      </c>
      <c r="Z637" s="135" cm="1">
        <f ca="1" t="array" ref="Z637">SUMPRODUCT(TRANSPOSE($AA637:$AG637),OFFSET($L$9:$L$15,0,Z$631-1))</f>
        <v>0</v>
      </c>
      <c r="AA637" s="136">
        <f ca="1" t="shared" ref="AA637:AG637" si="245">AH637-AH636</f>
        <v>100</v>
      </c>
      <c r="AB637" s="136">
        <f ca="1" t="shared" si="245"/>
        <v>0</v>
      </c>
      <c r="AC637" s="136">
        <f ca="1" t="shared" si="245"/>
        <v>0</v>
      </c>
      <c r="AD637" s="136">
        <f ca="1" t="shared" si="245"/>
        <v>0</v>
      </c>
      <c r="AE637" s="136">
        <f ca="1" t="shared" si="245"/>
        <v>0</v>
      </c>
      <c r="AF637" s="136">
        <f ca="1" t="shared" si="245"/>
        <v>0</v>
      </c>
      <c r="AG637" s="136">
        <f ca="1" t="shared" si="245"/>
        <v>0</v>
      </c>
      <c r="AH637" s="136">
        <f ca="1" t="shared" si="241"/>
        <v>300</v>
      </c>
      <c r="AI637" s="136">
        <f ca="1" t="shared" ref="AI637:AN637" si="246">IF($C637&gt;OFFSET($Q$8,MATCH(AI$634,$AH$634:$AN$634,0),0),OFFSET($P$8,MATCH(AI$634,$AH$634:$AN$634,0),0),MAX(0,$C637-OFFSET($Q$8,RIGHT(AI$634,1)-1,0)))</f>
        <v>0</v>
      </c>
      <c r="AJ637" s="136">
        <f ca="1" t="shared" si="246"/>
        <v>0</v>
      </c>
      <c r="AK637" s="136">
        <f ca="1" t="shared" si="246"/>
        <v>0</v>
      </c>
      <c r="AL637" s="136">
        <f ca="1" t="shared" si="246"/>
        <v>0</v>
      </c>
      <c r="AM637" s="136">
        <f ca="1" t="shared" si="246"/>
        <v>0</v>
      </c>
      <c r="AN637" s="136">
        <f ca="1" t="shared" si="246"/>
        <v>0</v>
      </c>
      <c r="AP637" s="132">
        <v>3</v>
      </c>
      <c r="AQ637" s="132">
        <v>30</v>
      </c>
      <c r="AR637" s="132">
        <v>30</v>
      </c>
      <c r="AS637" s="132">
        <v>30</v>
      </c>
      <c r="AT637" s="132">
        <v>30</v>
      </c>
    </row>
    <row r="638" s="106" customFormat="1" ht="16.5" spans="2:46">
      <c r="B638" s="117">
        <v>4</v>
      </c>
      <c r="C638" s="130">
        <f t="shared" si="239"/>
        <v>400</v>
      </c>
      <c r="D638" s="131" cm="1">
        <f ca="1" t="array" ref="D638">IF(D1240=1,OFFSET($W$634,$B638,D$631-1)/SUMPRODUCT(--($D$631:$V$631=D$631),--($D1240:$V1240=1)),0)+SUM(D637)+IF(COUNTIF(D$1237:D1240,1)=1,5,0)+IF(COUNTIF(E638:$W638,"&gt;"&amp;0)&lt;5,IF(AND(COUNTIF(D$1237:D1240,1)&gt;7,MOD(1+IFERROR(MATCH($C638,总览!$D$46:$D$345,1)+1,1),7)=0),$C$3,0),0)</f>
        <v>58.3333333333333</v>
      </c>
      <c r="E638" s="131" cm="1">
        <f ca="1" t="array" ref="E638">IF(E1240=1,OFFSET($W$634,$B638,E$631-1)/SUMPRODUCT(--($D$631:$V$631=E$631),--($D1240:$V1240=1)),0)+SUM(E637)+IF(COUNTIF(E$1237:E1240,1)=1,5,0)+IF(COUNTIF(F638:$W638,"&gt;"&amp;0)&lt;5,IF(AND(COUNTIF(E$1237:E1240,1)&gt;7,MOD(1+IFERROR(MATCH($C638,总览!$D$46:$D$345,1)+1,1),7)=0),$C$3,0),0)</f>
        <v>58.3333333333333</v>
      </c>
      <c r="F638" s="131" cm="1">
        <f ca="1" t="array" ref="F638">IF(F1240=1,OFFSET($W$634,$B638,F$631-1)/SUMPRODUCT(--($D$631:$V$631=F$631),--($D1240:$V1240=1)),0)+SUM(F637)+IF(COUNTIF(F$1237:F1240,1)=1,5,0)+IF(COUNTIF(G638:$W638,"&gt;"&amp;0)&lt;5,IF(AND(COUNTIF(F$1237:F1240,1)&gt;7,MOD(1+IFERROR(MATCH($C638,总览!$D$46:$D$345,1)+1,1),7)=0),$C$3,0),0)</f>
        <v>58.3333333333333</v>
      </c>
      <c r="G638" s="131" cm="1">
        <f ca="1" t="array" ref="G638">IF(G1240=1,OFFSET($W$634,$B638,G$631-1)/SUMPRODUCT(--($D$631:$V$631=G$631),--($D1240:$V1240=1)),0)+SUM(G637)+IF(COUNTIF(G$1237:G1240,1)=1,5,0)+IF(COUNTIF(H638:$W638,"&gt;"&amp;0)&lt;5,IF(AND(COUNTIF(G$1237:G1240,1)&gt;7,MOD(1+IFERROR(MATCH($C638,总览!$D$46:$D$345,1)+1,1),7)=0),$C$3,0),0)</f>
        <v>14.1666666666667</v>
      </c>
      <c r="H638" s="131" cm="1">
        <f ca="1" t="array" ref="H638">IF(H1240=1,OFFSET($W$634,$B638,H$631-1)/SUMPRODUCT(--($D$631:$V$631=H$631),--($D1240:$V1240=1)),0)+SUM(H637)+IF(COUNTIF(H$1237:H1240,1)=1,5,0)+IF(COUNTIF(I638:$W638,"&gt;"&amp;0)&lt;5,IF(AND(COUNTIF(H$1237:H1240,1)&gt;7,MOD(1+IFERROR(MATCH($C638,总览!$D$46:$D$345,1)+1,1),7)=0),$C$3,0),0)</f>
        <v>14.1666666666667</v>
      </c>
      <c r="I638" s="131" cm="1">
        <f ca="1" t="array" ref="I638">IF(I1240=1,OFFSET($W$634,$B638,I$631-1)/SUMPRODUCT(--($D$631:$V$631=I$631),--($D1240:$V1240=1)),0)+SUM(I637)+IF(COUNTIF(I$1237:I1240,1)=1,5,0)+IF(COUNTIF(J638:$W638,"&gt;"&amp;0)&lt;5,IF(AND(COUNTIF(I$1237:I1240,1)&gt;7,MOD(1+IFERROR(MATCH($C638,总览!$D$46:$D$345,1)+1,1),7)=0),$C$3,0),0)</f>
        <v>14.1666666666667</v>
      </c>
      <c r="J638" s="131" cm="1">
        <f ca="1" t="array" ref="J638">IF(J1240=1,OFFSET($W$634,$B638,J$631-1)/SUMPRODUCT(--($D$631:$V$631=J$631),--($D1240:$V1240=1)),0)+SUM(J637)+IF(COUNTIF(J$1237:J1240,1)=1,5,0)+IF(COUNTIF(K638:$W638,"&gt;"&amp;0)&lt;5,IF(AND(COUNTIF(J$1237:J1240,1)&gt;7,MOD(1+IFERROR(MATCH($C638,总览!$D$46:$D$345,1)+1,1),7)=0),$C$3,0),0)</f>
        <v>10.8333333333333</v>
      </c>
      <c r="K638" s="131" cm="1">
        <f ca="1" t="array" ref="K638">IF(K1240=1,OFFSET($W$634,$B638,K$631-1)/SUMPRODUCT(--($D$631:$V$631=K$631),--($D1240:$V1240=1)),0)+SUM(K637)+IF(COUNTIF(K$1237:K1240,1)=1,5,0)+IF(COUNTIF(L638:$W638,"&gt;"&amp;0)&lt;5,IF(AND(COUNTIF(K$1237:K1240,1)&gt;7,MOD(1+IFERROR(MATCH($C638,总览!$D$46:$D$345,1)+1,1),7)=0),$C$3,0),0)</f>
        <v>8.33333333333333</v>
      </c>
      <c r="L638" s="131" cm="1">
        <f ca="1" t="array" ref="L638">IF(L1240=1,OFFSET($W$634,$B638,L$631-1)/SUMPRODUCT(--($D$631:$V$631=L$631),--($D1240:$V1240=1)),0)+SUM(L637)+IF(COUNTIF(L$1237:L1240,1)=1,5,0)+IF(COUNTIF(M638:$W638,"&gt;"&amp;0)&lt;5,IF(AND(COUNTIF(L$1237:L1240,1)&gt;7,MOD(1+IFERROR(MATCH($C638,总览!$D$46:$D$345,1)+1,1),7)=0),$C$3,0),0)</f>
        <v>8.33333333333333</v>
      </c>
      <c r="M638" s="131" cm="1">
        <f ca="1" t="array" ref="M638">IF(M1240=1,OFFSET($W$634,$B638,M$631-1)/SUMPRODUCT(--($D$631:$V$631=M$631),--($D1240:$V1240=1)),0)+SUM(M637)+IF(COUNTIF(M$1237:M1240,1)=1,5,0)+IF(COUNTIF(N638:$W638,"&gt;"&amp;0)&lt;5,IF(AND(COUNTIF(M$1237:M1240,1)&gt;7,MOD(1+IFERROR(MATCH($C638,总览!$D$46:$D$345,1)+1,1),7)=0),$C$3,0),0)</f>
        <v>5</v>
      </c>
      <c r="N638" s="131" cm="1">
        <f ca="1" t="array" ref="N638">IF(N1240=1,OFFSET($W$634,$B638,N$631-1)/SUMPRODUCT(--($D$631:$V$631=N$631),--($D1240:$V1240=1)),0)+SUM(N637)+IF(COUNTIF(N$1237:N1240,1)=1,5,0)+IF(COUNTIF(O638:$W638,"&gt;"&amp;0)&lt;5,IF(AND(COUNTIF(N$1237:N1240,1)&gt;7,MOD(1+IFERROR(MATCH($C638,总览!$D$46:$D$345,1)+1,1),7)=0),$C$3,0),0)</f>
        <v>0</v>
      </c>
      <c r="O638" s="131" cm="1">
        <f ca="1" t="array" ref="O638">IF(O1240=1,OFFSET($W$634,$B638,O$631-1)/SUMPRODUCT(--($D$631:$V$631=O$631),--($D1240:$V1240=1)),0)+SUM(O637)+IF(COUNTIF(O$1237:O1240,1)=1,5,0)+IF(COUNTIF(P638:$W638,"&gt;"&amp;0)&lt;5,IF(AND(COUNTIF(O$1237:O1240,1)&gt;7,MOD(1+IFERROR(MATCH($C638,总览!$D$46:$D$345,1)+1,1),7)=0),$C$3,0),0)</f>
        <v>0</v>
      </c>
      <c r="P638" s="131" cm="1">
        <f ca="1" t="array" ref="P638">IF(P1240=1,OFFSET($W$634,$B638,P$631-1)/SUMPRODUCT(--($D$631:$V$631=P$631),--($D1240:$V1240=1)),0)+SUM(P637)+IF(COUNTIF(P$1237:P1240,1)=1,5,0)+IF(COUNTIF(Q638:$W638,"&gt;"&amp;0)&lt;5,IF(AND(COUNTIF(P$1237:P1240,1)&gt;7,MOD(1+IFERROR(MATCH($C638,总览!$D$46:$D$345,1)+1,1),7)=0),$C$3,0),0)</f>
        <v>0</v>
      </c>
      <c r="Q638" s="131" cm="1">
        <f ca="1" t="array" ref="Q638">IF(Q1240=1,OFFSET($W$634,$B638,Q$631-1)/SUMPRODUCT(--($D$631:$V$631=Q$631),--($D1240:$V1240=1)),0)+SUM(Q637)+IF(COUNTIF(Q$1237:Q1240,1)=1,5,0)+IF(COUNTIF(R638:$W638,"&gt;"&amp;0)&lt;5,IF(AND(COUNTIF(Q$1237:Q1240,1)&gt;7,MOD(1+IFERROR(MATCH($C638,总览!$D$46:$D$345,1)+1,1),7)=0),$C$3,0),0)</f>
        <v>0</v>
      </c>
      <c r="R638" s="131" cm="1">
        <f ca="1" t="array" ref="R638">IF(R1240=1,OFFSET($W$634,$B638,R$631-1)/SUMPRODUCT(--($D$631:$V$631=R$631),--($D1240:$V1240=1)),0)+SUM(R637)+IF(COUNTIF(R$1237:R1240,1)=1,5,0)+IF(COUNTIF(S638:$W638,"&gt;"&amp;0)&lt;5,IF(AND(COUNTIF(R$1237:R1240,1)&gt;7,MOD(1+IFERROR(MATCH($C638,总览!$D$46:$D$345,1)+1,1),7)=0),$C$3,0),0)</f>
        <v>0</v>
      </c>
      <c r="S638" s="131" cm="1">
        <f ca="1" t="array" ref="S638">IF(S1240=1,OFFSET($W$634,$B638,S$631-1)/SUMPRODUCT(--($D$631:$V$631=S$631),--($D1240:$V1240=1)),0)+SUM(S637)+IF(COUNTIF(S$1237:S1240,1)=1,5,0)+IF(COUNTIF(T638:$W638,"&gt;"&amp;0)&lt;5,IF(AND(COUNTIF(S$1237:S1240,1)&gt;7,MOD(1+IFERROR(MATCH($C638,总览!$D$46:$D$345,1)+1,1),7)=0),$C$3,0),0)</f>
        <v>0</v>
      </c>
      <c r="T638" s="131" cm="1">
        <f ca="1" t="array" ref="T638">IF(T1240=1,OFFSET($W$634,$B638,T$631-1)/SUMPRODUCT(--($D$631:$V$631=T$631),--($D1240:$V1240=1)),0)+SUM(T637)+IF(COUNTIF(T$1237:T1240,1)=1,5,0)+IF(COUNTIF(U638:$W638,"&gt;"&amp;0)&lt;5,IF(AND(COUNTIF(T$1237:T1240,1)&gt;7,MOD(1+IFERROR(MATCH($C638,总览!$D$46:$D$345,1)+1,1),7)=0),$C$3,0),0)</f>
        <v>0</v>
      </c>
      <c r="U638" s="131" cm="1">
        <f ca="1" t="array" ref="U638">IF(U1240=1,OFFSET($W$634,$B638,U$631-1)/SUMPRODUCT(--($D$631:$V$631=U$631),--($D1240:$V1240=1)),0)+SUM(U637)+IF(COUNTIF(U$1237:U1240,1)=1,5,0)+IF(COUNTIF(V638:$W638,"&gt;"&amp;0)&lt;5,IF(AND(COUNTIF(U$1237:U1240,1)&gt;7,MOD(1+IFERROR(MATCH($C638,总览!$D$46:$D$345,1)+1,1),7)=0),$C$3,0),0)</f>
        <v>0</v>
      </c>
      <c r="V638" s="131" cm="1">
        <f ca="1" t="array" ref="V638">IF(V1240=1,OFFSET($W$634,$B638,V$631-1)/SUMPRODUCT(--($D$631:$V$631=V$631),--($D1240:$V1240=1)),0)+SUM(V637)+IF(COUNTIF(V$1237:V1240,1)=1,5,0)+IF(COUNTIF(W638:$W638,"&gt;"&amp;0)&lt;5,IF(AND(COUNTIF(V$1237:V1240,1)&gt;7,MOD(1+IFERROR(MATCH($C638,总览!$D$46:$D$345,1)+1,1),7)=0),$C$3,0),0)</f>
        <v>0</v>
      </c>
      <c r="W638" s="135" cm="1">
        <f ca="1" t="array" ref="W638">SUMPRODUCT(TRANSPOSE($AA638:$AG638),OFFSET($L$9:$L$15,0,W$631-1))</f>
        <v>40</v>
      </c>
      <c r="X638" s="135" cm="1">
        <f ca="1" t="array" ref="X638">SUMPRODUCT(TRANSPOSE($AA638:$AG638),OFFSET($L$9:$L$15,0,X$631-1))</f>
        <v>10</v>
      </c>
      <c r="Y638" s="135" cm="1">
        <f ca="1" t="array" ref="Y638">SUMPRODUCT(TRANSPOSE($AA638:$AG638),OFFSET($L$9:$L$15,0,Y$631-1))</f>
        <v>0</v>
      </c>
      <c r="Z638" s="135" cm="1">
        <f ca="1" t="array" ref="Z638">SUMPRODUCT(TRANSPOSE($AA638:$AG638),OFFSET($L$9:$L$15,0,Z$631-1))</f>
        <v>0</v>
      </c>
      <c r="AA638" s="136">
        <f ca="1" t="shared" ref="AA638:AG638" si="247">AH638-AH637</f>
        <v>100</v>
      </c>
      <c r="AB638" s="136">
        <f ca="1" t="shared" si="247"/>
        <v>0</v>
      </c>
      <c r="AC638" s="136">
        <f ca="1" t="shared" si="247"/>
        <v>0</v>
      </c>
      <c r="AD638" s="136">
        <f ca="1" t="shared" si="247"/>
        <v>0</v>
      </c>
      <c r="AE638" s="136">
        <f ca="1" t="shared" si="247"/>
        <v>0</v>
      </c>
      <c r="AF638" s="136">
        <f ca="1" t="shared" si="247"/>
        <v>0</v>
      </c>
      <c r="AG638" s="136">
        <f ca="1" t="shared" si="247"/>
        <v>0</v>
      </c>
      <c r="AH638" s="136">
        <f ca="1" t="shared" si="241"/>
        <v>400</v>
      </c>
      <c r="AI638" s="136">
        <f ca="1" t="shared" ref="AI638:AN638" si="248">IF($C638&gt;OFFSET($Q$8,MATCH(AI$634,$AH$634:$AN$634,0),0),OFFSET($P$8,MATCH(AI$634,$AH$634:$AN$634,0),0),MAX(0,$C638-OFFSET($Q$8,RIGHT(AI$634,1)-1,0)))</f>
        <v>0</v>
      </c>
      <c r="AJ638" s="136">
        <f ca="1" t="shared" si="248"/>
        <v>0</v>
      </c>
      <c r="AK638" s="136">
        <f ca="1" t="shared" si="248"/>
        <v>0</v>
      </c>
      <c r="AL638" s="136">
        <f ca="1" t="shared" si="248"/>
        <v>0</v>
      </c>
      <c r="AM638" s="136">
        <f ca="1" t="shared" si="248"/>
        <v>0</v>
      </c>
      <c r="AN638" s="136">
        <f ca="1" t="shared" si="248"/>
        <v>0</v>
      </c>
      <c r="AP638" s="132">
        <v>4</v>
      </c>
      <c r="AQ638" s="132">
        <v>40</v>
      </c>
      <c r="AR638" s="132">
        <v>40</v>
      </c>
      <c r="AS638" s="132">
        <v>40</v>
      </c>
      <c r="AT638" s="132">
        <v>40</v>
      </c>
    </row>
    <row r="639" s="106" customFormat="1" ht="16.5" spans="2:46">
      <c r="B639" s="117">
        <v>5</v>
      </c>
      <c r="C639" s="130">
        <f t="shared" si="239"/>
        <v>500</v>
      </c>
      <c r="D639" s="131" cm="1">
        <f ca="1" t="array" ref="D639">IF(D1241=1,OFFSET($W$634,$B639,D$631-1)/SUMPRODUCT(--($D$631:$V$631=D$631),--($D1241:$V1241=1)),0)+SUM(D638)+IF(COUNTIF(D$1237:D1241,1)=1,5,0)+IF(COUNTIF(E639:$W639,"&gt;"&amp;0)&lt;5,IF(AND(COUNTIF(D$1237:D1241,1)&gt;7,MOD(1+IFERROR(MATCH($C639,总览!$D$46:$D$345,1)+1,1),7)=0),$C$3,0),0)</f>
        <v>70.9166666666667</v>
      </c>
      <c r="E639" s="131" cm="1">
        <f ca="1" t="array" ref="E639">IF(E1241=1,OFFSET($W$634,$B639,E$631-1)/SUMPRODUCT(--($D$631:$V$631=E$631),--($D1241:$V1241=1)),0)+SUM(E638)+IF(COUNTIF(E$1237:E1241,1)=1,5,0)+IF(COUNTIF(F639:$W639,"&gt;"&amp;0)&lt;5,IF(AND(COUNTIF(E$1237:E1241,1)&gt;7,MOD(1+IFERROR(MATCH($C639,总览!$D$46:$D$345,1)+1,1),7)=0),$C$3,0),0)</f>
        <v>70.9166666666667</v>
      </c>
      <c r="F639" s="131" cm="1">
        <f ca="1" t="array" ref="F639">IF(F1241=1,OFFSET($W$634,$B639,F$631-1)/SUMPRODUCT(--($D$631:$V$631=F$631),--($D1241:$V1241=1)),0)+SUM(F638)+IF(COUNTIF(F$1237:F1241,1)=1,5,0)+IF(COUNTIF(G639:$W639,"&gt;"&amp;0)&lt;5,IF(AND(COUNTIF(F$1237:F1241,1)&gt;7,MOD(1+IFERROR(MATCH($C639,总览!$D$46:$D$345,1)+1,1),7)=0),$C$3,0),0)</f>
        <v>70.9166666666667</v>
      </c>
      <c r="G639" s="131" cm="1">
        <f ca="1" t="array" ref="G639">IF(G1241=1,OFFSET($W$634,$B639,G$631-1)/SUMPRODUCT(--($D$631:$V$631=G$631),--($D1241:$V1241=1)),0)+SUM(G638)+IF(COUNTIF(G$1237:G1241,1)=1,5,0)+IF(COUNTIF(H639:$W639,"&gt;"&amp;0)&lt;5,IF(AND(COUNTIF(G$1237:G1241,1)&gt;7,MOD(1+IFERROR(MATCH($C639,总览!$D$46:$D$345,1)+1,1),7)=0),$C$3,0),0)</f>
        <v>16</v>
      </c>
      <c r="H639" s="131" cm="1">
        <f ca="1" t="array" ref="H639">IF(H1241=1,OFFSET($W$634,$B639,H$631-1)/SUMPRODUCT(--($D$631:$V$631=H$631),--($D1241:$V1241=1)),0)+SUM(H638)+IF(COUNTIF(H$1237:H1241,1)=1,5,0)+IF(COUNTIF(I639:$W639,"&gt;"&amp;0)&lt;5,IF(AND(COUNTIF(H$1237:H1241,1)&gt;7,MOD(1+IFERROR(MATCH($C639,总览!$D$46:$D$345,1)+1,1),7)=0),$C$3,0),0)</f>
        <v>16</v>
      </c>
      <c r="I639" s="131" cm="1">
        <f ca="1" t="array" ref="I639">IF(I1241=1,OFFSET($W$634,$B639,I$631-1)/SUMPRODUCT(--($D$631:$V$631=I$631),--($D1241:$V1241=1)),0)+SUM(I638)+IF(COUNTIF(I$1237:I1241,1)=1,5,0)+IF(COUNTIF(J639:$W639,"&gt;"&amp;0)&lt;5,IF(AND(COUNTIF(I$1237:I1241,1)&gt;7,MOD(1+IFERROR(MATCH($C639,总览!$D$46:$D$345,1)+1,1),7)=0),$C$3,0),0)</f>
        <v>16</v>
      </c>
      <c r="J639" s="131" cm="1">
        <f ca="1" t="array" ref="J639">IF(J1241=1,OFFSET($W$634,$B639,J$631-1)/SUMPRODUCT(--($D$631:$V$631=J$631),--($D1241:$V1241=1)),0)+SUM(J638)+IF(COUNTIF(J$1237:J1241,1)=1,5,0)+IF(COUNTIF(K639:$W639,"&gt;"&amp;0)&lt;5,IF(AND(COUNTIF(J$1237:J1241,1)&gt;7,MOD(1+IFERROR(MATCH($C639,总览!$D$46:$D$345,1)+1,1),7)=0),$C$3,0),0)</f>
        <v>12.6666666666667</v>
      </c>
      <c r="K639" s="131" cm="1">
        <f ca="1" t="array" ref="K639">IF(K1241=1,OFFSET($W$634,$B639,K$631-1)/SUMPRODUCT(--($D$631:$V$631=K$631),--($D1241:$V1241=1)),0)+SUM(K638)+IF(COUNTIF(K$1237:K1241,1)=1,5,0)+IF(COUNTIF(L639:$W639,"&gt;"&amp;0)&lt;5,IF(AND(COUNTIF(K$1237:K1241,1)&gt;7,MOD(1+IFERROR(MATCH($C639,总览!$D$46:$D$345,1)+1,1),7)=0),$C$3,0),0)</f>
        <v>10.1666666666667</v>
      </c>
      <c r="L639" s="131" cm="1">
        <f ca="1" t="array" ref="L639">IF(L1241=1,OFFSET($W$634,$B639,L$631-1)/SUMPRODUCT(--($D$631:$V$631=L$631),--($D1241:$V1241=1)),0)+SUM(L638)+IF(COUNTIF(L$1237:L1241,1)=1,5,0)+IF(COUNTIF(M639:$W639,"&gt;"&amp;0)&lt;5,IF(AND(COUNTIF(L$1237:L1241,1)&gt;7,MOD(1+IFERROR(MATCH($C639,总览!$D$46:$D$345,1)+1,1),7)=0),$C$3,0),0)</f>
        <v>10.1666666666667</v>
      </c>
      <c r="M639" s="131" cm="1">
        <f ca="1" t="array" ref="M639">IF(M1241=1,OFFSET($W$634,$B639,M$631-1)/SUMPRODUCT(--($D$631:$V$631=M$631),--($D1241:$V1241=1)),0)+SUM(M638)+IF(COUNTIF(M$1237:M1241,1)=1,5,0)+IF(COUNTIF(N639:$W639,"&gt;"&amp;0)&lt;5,IF(AND(COUNTIF(M$1237:M1241,1)&gt;7,MOD(1+IFERROR(MATCH($C639,总览!$D$46:$D$345,1)+1,1),7)=0),$C$3,0),0)</f>
        <v>6.25</v>
      </c>
      <c r="N639" s="131" cm="1">
        <f ca="1" t="array" ref="N639">IF(N1241=1,OFFSET($W$634,$B639,N$631-1)/SUMPRODUCT(--($D$631:$V$631=N$631),--($D1241:$V1241=1)),0)+SUM(N638)+IF(COUNTIF(N$1237:N1241,1)=1,5,0)+IF(COUNTIF(O639:$W639,"&gt;"&amp;0)&lt;5,IF(AND(COUNTIF(N$1237:N1241,1)&gt;7,MOD(1+IFERROR(MATCH($C639,总览!$D$46:$D$345,1)+1,1),7)=0),$C$3,0),0)</f>
        <v>0</v>
      </c>
      <c r="O639" s="131" cm="1">
        <f ca="1" t="array" ref="O639">IF(O1241=1,OFFSET($W$634,$B639,O$631-1)/SUMPRODUCT(--($D$631:$V$631=O$631),--($D1241:$V1241=1)),0)+SUM(O638)+IF(COUNTIF(O$1237:O1241,1)=1,5,0)+IF(COUNTIF(P639:$W639,"&gt;"&amp;0)&lt;5,IF(AND(COUNTIF(O$1237:O1241,1)&gt;7,MOD(1+IFERROR(MATCH($C639,总览!$D$46:$D$345,1)+1,1),7)=0),$C$3,0),0)</f>
        <v>0</v>
      </c>
      <c r="P639" s="131" cm="1">
        <f ca="1" t="array" ref="P639">IF(P1241=1,OFFSET($W$634,$B639,P$631-1)/SUMPRODUCT(--($D$631:$V$631=P$631),--($D1241:$V1241=1)),0)+SUM(P638)+IF(COUNTIF(P$1237:P1241,1)=1,5,0)+IF(COUNTIF(Q639:$W639,"&gt;"&amp;0)&lt;5,IF(AND(COUNTIF(P$1237:P1241,1)&gt;7,MOD(1+IFERROR(MATCH($C639,总览!$D$46:$D$345,1)+1,1),7)=0),$C$3,0),0)</f>
        <v>0</v>
      </c>
      <c r="Q639" s="131" cm="1">
        <f ca="1" t="array" ref="Q639">IF(Q1241=1,OFFSET($W$634,$B639,Q$631-1)/SUMPRODUCT(--($D$631:$V$631=Q$631),--($D1241:$V1241=1)),0)+SUM(Q638)+IF(COUNTIF(Q$1237:Q1241,1)=1,5,0)+IF(COUNTIF(R639:$W639,"&gt;"&amp;0)&lt;5,IF(AND(COUNTIF(Q$1237:Q1241,1)&gt;7,MOD(1+IFERROR(MATCH($C639,总览!$D$46:$D$345,1)+1,1),7)=0),$C$3,0),0)</f>
        <v>0</v>
      </c>
      <c r="R639" s="131" cm="1">
        <f ca="1" t="array" ref="R639">IF(R1241=1,OFFSET($W$634,$B639,R$631-1)/SUMPRODUCT(--($D$631:$V$631=R$631),--($D1241:$V1241=1)),0)+SUM(R638)+IF(COUNTIF(R$1237:R1241,1)=1,5,0)+IF(COUNTIF(S639:$W639,"&gt;"&amp;0)&lt;5,IF(AND(COUNTIF(R$1237:R1241,1)&gt;7,MOD(1+IFERROR(MATCH($C639,总览!$D$46:$D$345,1)+1,1),7)=0),$C$3,0),0)</f>
        <v>0</v>
      </c>
      <c r="S639" s="131" cm="1">
        <f ca="1" t="array" ref="S639">IF(S1241=1,OFFSET($W$634,$B639,S$631-1)/SUMPRODUCT(--($D$631:$V$631=S$631),--($D1241:$V1241=1)),0)+SUM(S638)+IF(COUNTIF(S$1237:S1241,1)=1,5,0)+IF(COUNTIF(T639:$W639,"&gt;"&amp;0)&lt;5,IF(AND(COUNTIF(S$1237:S1241,1)&gt;7,MOD(1+IFERROR(MATCH($C639,总览!$D$46:$D$345,1)+1,1),7)=0),$C$3,0),0)</f>
        <v>0</v>
      </c>
      <c r="T639" s="131" cm="1">
        <f ca="1" t="array" ref="T639">IF(T1241=1,OFFSET($W$634,$B639,T$631-1)/SUMPRODUCT(--($D$631:$V$631=T$631),--($D1241:$V1241=1)),0)+SUM(T638)+IF(COUNTIF(T$1237:T1241,1)=1,5,0)+IF(COUNTIF(U639:$W639,"&gt;"&amp;0)&lt;5,IF(AND(COUNTIF(T$1237:T1241,1)&gt;7,MOD(1+IFERROR(MATCH($C639,总览!$D$46:$D$345,1)+1,1),7)=0),$C$3,0),0)</f>
        <v>0</v>
      </c>
      <c r="U639" s="131" cm="1">
        <f ca="1" t="array" ref="U639">IF(U1241=1,OFFSET($W$634,$B639,U$631-1)/SUMPRODUCT(--($D$631:$V$631=U$631),--($D1241:$V1241=1)),0)+SUM(U638)+IF(COUNTIF(U$1237:U1241,1)=1,5,0)+IF(COUNTIF(V639:$W639,"&gt;"&amp;0)&lt;5,IF(AND(COUNTIF(U$1237:U1241,1)&gt;7,MOD(1+IFERROR(MATCH($C639,总览!$D$46:$D$345,1)+1,1),7)=0),$C$3,0),0)</f>
        <v>0</v>
      </c>
      <c r="V639" s="131" cm="1">
        <f ca="1" t="array" ref="V639">IF(V1241=1,OFFSET($W$634,$B639,V$631-1)/SUMPRODUCT(--($D$631:$V$631=V$631),--($D1241:$V1241=1)),0)+SUM(V638)+IF(COUNTIF(V$1237:V1241,1)=1,5,0)+IF(COUNTIF(W639:$W639,"&gt;"&amp;0)&lt;5,IF(AND(COUNTIF(V$1237:V1241,1)&gt;7,MOD(1+IFERROR(MATCH($C639,总览!$D$46:$D$345,1)+1,1),7)=0),$C$3,0),0)</f>
        <v>0</v>
      </c>
      <c r="W639" s="135" cm="1">
        <f ca="1" t="array" ref="W639">SUMPRODUCT(TRANSPOSE($AA639:$AG639),OFFSET($L$9:$L$15,0,W$631-1))</f>
        <v>37.75</v>
      </c>
      <c r="X639" s="135" cm="1">
        <f ca="1" t="array" ref="X639">SUMPRODUCT(TRANSPOSE($AA639:$AG639),OFFSET($L$9:$L$15,0,X$631-1))</f>
        <v>11</v>
      </c>
      <c r="Y639" s="135" cm="1">
        <f ca="1" t="array" ref="Y639">SUMPRODUCT(TRANSPOSE($AA639:$AG639),OFFSET($L$9:$L$15,0,Y$631-1))</f>
        <v>1.25</v>
      </c>
      <c r="Z639" s="135" cm="1">
        <f ca="1" t="array" ref="Z639">SUMPRODUCT(TRANSPOSE($AA639:$AG639),OFFSET($L$9:$L$15,0,Z$631-1))</f>
        <v>0</v>
      </c>
      <c r="AA639" s="136">
        <f ca="1" t="shared" ref="AA639:AG639" si="249">AH639-AH638</f>
        <v>50</v>
      </c>
      <c r="AB639" s="136">
        <f ca="1" t="shared" si="249"/>
        <v>50</v>
      </c>
      <c r="AC639" s="136">
        <f ca="1" t="shared" si="249"/>
        <v>0</v>
      </c>
      <c r="AD639" s="136">
        <f ca="1" t="shared" si="249"/>
        <v>0</v>
      </c>
      <c r="AE639" s="136">
        <f ca="1" t="shared" si="249"/>
        <v>0</v>
      </c>
      <c r="AF639" s="136">
        <f ca="1" t="shared" si="249"/>
        <v>0</v>
      </c>
      <c r="AG639" s="136">
        <f ca="1" t="shared" si="249"/>
        <v>0</v>
      </c>
      <c r="AH639" s="136">
        <f ca="1" t="shared" si="241"/>
        <v>450</v>
      </c>
      <c r="AI639" s="136">
        <f ca="1" t="shared" ref="AI639:AN639" si="250">IF($C639&gt;OFFSET($Q$8,MATCH(AI$634,$AH$634:$AN$634,0),0),OFFSET($P$8,MATCH(AI$634,$AH$634:$AN$634,0),0),MAX(0,$C639-OFFSET($Q$8,RIGHT(AI$634,1)-1,0)))</f>
        <v>50</v>
      </c>
      <c r="AJ639" s="136">
        <f ca="1" t="shared" si="250"/>
        <v>0</v>
      </c>
      <c r="AK639" s="136">
        <f ca="1" t="shared" si="250"/>
        <v>0</v>
      </c>
      <c r="AL639" s="136">
        <f ca="1" t="shared" si="250"/>
        <v>0</v>
      </c>
      <c r="AM639" s="136">
        <f ca="1" t="shared" si="250"/>
        <v>0</v>
      </c>
      <c r="AN639" s="136">
        <f ca="1" t="shared" si="250"/>
        <v>0</v>
      </c>
      <c r="AP639" s="132">
        <v>5</v>
      </c>
      <c r="AQ639" s="132">
        <v>50</v>
      </c>
      <c r="AR639" s="132">
        <v>50</v>
      </c>
      <c r="AS639" s="132">
        <v>50</v>
      </c>
      <c r="AT639" s="132">
        <v>50</v>
      </c>
    </row>
    <row r="640" s="106" customFormat="1" ht="16.5" spans="2:46">
      <c r="B640" s="117">
        <v>6</v>
      </c>
      <c r="C640" s="130">
        <f t="shared" si="239"/>
        <v>600</v>
      </c>
      <c r="D640" s="131" cm="1">
        <f ca="1" t="array" ref="D640">IF(D1242=1,OFFSET($W$634,$B640,D$631-1)/SUMPRODUCT(--($D$631:$V$631=D$631),--($D1242:$V1242=1)),0)+SUM(D639)+IF(COUNTIF(D$1237:D1242,1)=1,5,0)+IF(COUNTIF(E640:$W640,"&gt;"&amp;0)&lt;5,IF(AND(COUNTIF(D$1237:D1242,1)&gt;7,MOD(1+IFERROR(MATCH($C640,总览!$D$46:$D$345,1)+1,1),7)=0),$C$3,0),0)</f>
        <v>82.75</v>
      </c>
      <c r="E640" s="131" cm="1">
        <f ca="1" t="array" ref="E640">IF(E1242=1,OFFSET($W$634,$B640,E$631-1)/SUMPRODUCT(--($D$631:$V$631=E$631),--($D1242:$V1242=1)),0)+SUM(E639)+IF(COUNTIF(E$1237:E1242,1)=1,5,0)+IF(COUNTIF(F640:$W640,"&gt;"&amp;0)&lt;5,IF(AND(COUNTIF(E$1237:E1242,1)&gt;7,MOD(1+IFERROR(MATCH($C640,总览!$D$46:$D$345,1)+1,1),7)=0),$C$3,0),0)</f>
        <v>82.75</v>
      </c>
      <c r="F640" s="131" cm="1">
        <f ca="1" t="array" ref="F640">IF(F1242=1,OFFSET($W$634,$B640,F$631-1)/SUMPRODUCT(--($D$631:$V$631=F$631),--($D1242:$V1242=1)),0)+SUM(F639)+IF(COUNTIF(F$1237:F1242,1)=1,5,0)+IF(COUNTIF(G640:$W640,"&gt;"&amp;0)&lt;5,IF(AND(COUNTIF(F$1237:F1242,1)&gt;7,MOD(1+IFERROR(MATCH($C640,总览!$D$46:$D$345,1)+1,1),7)=0),$C$3,0),0)</f>
        <v>82.75</v>
      </c>
      <c r="G640" s="131" cm="1">
        <f ca="1" t="array" ref="G640">IF(G1242=1,OFFSET($W$634,$B640,G$631-1)/SUMPRODUCT(--($D$631:$V$631=G$631),--($D1242:$V1242=1)),0)+SUM(G639)+IF(COUNTIF(G$1237:G1242,1)=1,5,0)+IF(COUNTIF(H640:$W640,"&gt;"&amp;0)&lt;5,IF(AND(COUNTIF(G$1237:G1242,1)&gt;7,MOD(1+IFERROR(MATCH($C640,总览!$D$46:$D$345,1)+1,1),7)=0),$C$3,0),0)</f>
        <v>18</v>
      </c>
      <c r="H640" s="131" cm="1">
        <f ca="1" t="array" ref="H640">IF(H1242=1,OFFSET($W$634,$B640,H$631-1)/SUMPRODUCT(--($D$631:$V$631=H$631),--($D1242:$V1242=1)),0)+SUM(H639)+IF(COUNTIF(H$1237:H1242,1)=1,5,0)+IF(COUNTIF(I640:$W640,"&gt;"&amp;0)&lt;5,IF(AND(COUNTIF(H$1237:H1242,1)&gt;7,MOD(1+IFERROR(MATCH($C640,总览!$D$46:$D$345,1)+1,1),7)=0),$C$3,0),0)</f>
        <v>18</v>
      </c>
      <c r="I640" s="131" cm="1">
        <f ca="1" t="array" ref="I640">IF(I1242=1,OFFSET($W$634,$B640,I$631-1)/SUMPRODUCT(--($D$631:$V$631=I$631),--($D1242:$V1242=1)),0)+SUM(I639)+IF(COUNTIF(I$1237:I1242,1)=1,5,0)+IF(COUNTIF(J640:$W640,"&gt;"&amp;0)&lt;5,IF(AND(COUNTIF(I$1237:I1242,1)&gt;7,MOD(1+IFERROR(MATCH($C640,总览!$D$46:$D$345,1)+1,1),7)=0),$C$3,0),0)</f>
        <v>18</v>
      </c>
      <c r="J640" s="131" cm="1">
        <f ca="1" t="array" ref="J640">IF(J1242=1,OFFSET($W$634,$B640,J$631-1)/SUMPRODUCT(--($D$631:$V$631=J$631),--($D1242:$V1242=1)),0)+SUM(J639)+IF(COUNTIF(J$1237:J1242,1)=1,5,0)+IF(COUNTIF(K640:$W640,"&gt;"&amp;0)&lt;5,IF(AND(COUNTIF(J$1237:J1242,1)&gt;7,MOD(1+IFERROR(MATCH($C640,总览!$D$46:$D$345,1)+1,1),7)=0),$C$3,0),0)</f>
        <v>14.6666666666667</v>
      </c>
      <c r="K640" s="131" cm="1">
        <f ca="1" t="array" ref="K640">IF(K1242=1,OFFSET($W$634,$B640,K$631-1)/SUMPRODUCT(--($D$631:$V$631=K$631),--($D1242:$V1242=1)),0)+SUM(K639)+IF(COUNTIF(K$1237:K1242,1)=1,5,0)+IF(COUNTIF(L640:$W640,"&gt;"&amp;0)&lt;5,IF(AND(COUNTIF(K$1237:K1242,1)&gt;7,MOD(1+IFERROR(MATCH($C640,总览!$D$46:$D$345,1)+1,1),7)=0),$C$3,0),0)</f>
        <v>12.1666666666667</v>
      </c>
      <c r="L640" s="131" cm="1">
        <f ca="1" t="array" ref="L640">IF(L1242=1,OFFSET($W$634,$B640,L$631-1)/SUMPRODUCT(--($D$631:$V$631=L$631),--($D1242:$V1242=1)),0)+SUM(L639)+IF(COUNTIF(L$1237:L1242,1)=1,5,0)+IF(COUNTIF(M640:$W640,"&gt;"&amp;0)&lt;5,IF(AND(COUNTIF(L$1237:L1242,1)&gt;7,MOD(1+IFERROR(MATCH($C640,总览!$D$46:$D$345,1)+1,1),7)=0),$C$3,0),0)</f>
        <v>12.1666666666667</v>
      </c>
      <c r="M640" s="131" cm="1">
        <f ca="1" t="array" ref="M640">IF(M1242=1,OFFSET($W$634,$B640,M$631-1)/SUMPRODUCT(--($D$631:$V$631=M$631),--($D1242:$V1242=1)),0)+SUM(M639)+IF(COUNTIF(M$1237:M1242,1)=1,5,0)+IF(COUNTIF(N640:$W640,"&gt;"&amp;0)&lt;5,IF(AND(COUNTIF(M$1237:M1242,1)&gt;7,MOD(1+IFERROR(MATCH($C640,总览!$D$46:$D$345,1)+1,1),7)=0),$C$3,0),0)</f>
        <v>8.75</v>
      </c>
      <c r="N640" s="131" cm="1">
        <f ca="1" t="array" ref="N640">IF(N1242=1,OFFSET($W$634,$B640,N$631-1)/SUMPRODUCT(--($D$631:$V$631=N$631),--($D1242:$V1242=1)),0)+SUM(N639)+IF(COUNTIF(N$1237:N1242,1)=1,5,0)+IF(COUNTIF(O640:$W640,"&gt;"&amp;0)&lt;5,IF(AND(COUNTIF(N$1237:N1242,1)&gt;7,MOD(1+IFERROR(MATCH($C640,总览!$D$46:$D$345,1)+1,1),7)=0),$C$3,0),0)</f>
        <v>0</v>
      </c>
      <c r="O640" s="131" cm="1">
        <f ca="1" t="array" ref="O640">IF(O1242=1,OFFSET($W$634,$B640,O$631-1)/SUMPRODUCT(--($D$631:$V$631=O$631),--($D1242:$V1242=1)),0)+SUM(O639)+IF(COUNTIF(O$1237:O1242,1)=1,5,0)+IF(COUNTIF(P640:$W640,"&gt;"&amp;0)&lt;5,IF(AND(COUNTIF(O$1237:O1242,1)&gt;7,MOD(1+IFERROR(MATCH($C640,总览!$D$46:$D$345,1)+1,1),7)=0),$C$3,0),0)</f>
        <v>0</v>
      </c>
      <c r="P640" s="131" cm="1">
        <f ca="1" t="array" ref="P640">IF(P1242=1,OFFSET($W$634,$B640,P$631-1)/SUMPRODUCT(--($D$631:$V$631=P$631),--($D1242:$V1242=1)),0)+SUM(P639)+IF(COUNTIF(P$1237:P1242,1)=1,5,0)+IF(COUNTIF(Q640:$W640,"&gt;"&amp;0)&lt;5,IF(AND(COUNTIF(P$1237:P1242,1)&gt;7,MOD(1+IFERROR(MATCH($C640,总览!$D$46:$D$345,1)+1,1),7)=0),$C$3,0),0)</f>
        <v>0</v>
      </c>
      <c r="Q640" s="131" cm="1">
        <f ca="1" t="array" ref="Q640">IF(Q1242=1,OFFSET($W$634,$B640,Q$631-1)/SUMPRODUCT(--($D$631:$V$631=Q$631),--($D1242:$V1242=1)),0)+SUM(Q639)+IF(COUNTIF(Q$1237:Q1242,1)=1,5,0)+IF(COUNTIF(R640:$W640,"&gt;"&amp;0)&lt;5,IF(AND(COUNTIF(Q$1237:Q1242,1)&gt;7,MOD(1+IFERROR(MATCH($C640,总览!$D$46:$D$345,1)+1,1),7)=0),$C$3,0),0)</f>
        <v>0</v>
      </c>
      <c r="R640" s="131" cm="1">
        <f ca="1" t="array" ref="R640">IF(R1242=1,OFFSET($W$634,$B640,R$631-1)/SUMPRODUCT(--($D$631:$V$631=R$631),--($D1242:$V1242=1)),0)+SUM(R639)+IF(COUNTIF(R$1237:R1242,1)=1,5,0)+IF(COUNTIF(S640:$W640,"&gt;"&amp;0)&lt;5,IF(AND(COUNTIF(R$1237:R1242,1)&gt;7,MOD(1+IFERROR(MATCH($C640,总览!$D$46:$D$345,1)+1,1),7)=0),$C$3,0),0)</f>
        <v>0</v>
      </c>
      <c r="S640" s="131" cm="1">
        <f ca="1" t="array" ref="S640">IF(S1242=1,OFFSET($W$634,$B640,S$631-1)/SUMPRODUCT(--($D$631:$V$631=S$631),--($D1242:$V1242=1)),0)+SUM(S639)+IF(COUNTIF(S$1237:S1242,1)=1,5,0)+IF(COUNTIF(T640:$W640,"&gt;"&amp;0)&lt;5,IF(AND(COUNTIF(S$1237:S1242,1)&gt;7,MOD(1+IFERROR(MATCH($C640,总览!$D$46:$D$345,1)+1,1),7)=0),$C$3,0),0)</f>
        <v>0</v>
      </c>
      <c r="T640" s="131" cm="1">
        <f ca="1" t="array" ref="T640">IF(T1242=1,OFFSET($W$634,$B640,T$631-1)/SUMPRODUCT(--($D$631:$V$631=T$631),--($D1242:$V1242=1)),0)+SUM(T639)+IF(COUNTIF(T$1237:T1242,1)=1,5,0)+IF(COUNTIF(U640:$W640,"&gt;"&amp;0)&lt;5,IF(AND(COUNTIF(T$1237:T1242,1)&gt;7,MOD(1+IFERROR(MATCH($C640,总览!$D$46:$D$345,1)+1,1),7)=0),$C$3,0),0)</f>
        <v>0</v>
      </c>
      <c r="U640" s="131" cm="1">
        <f ca="1" t="array" ref="U640">IF(U1242=1,OFFSET($W$634,$B640,U$631-1)/SUMPRODUCT(--($D$631:$V$631=U$631),--($D1242:$V1242=1)),0)+SUM(U639)+IF(COUNTIF(U$1237:U1242,1)=1,5,0)+IF(COUNTIF(V640:$W640,"&gt;"&amp;0)&lt;5,IF(AND(COUNTIF(U$1237:U1242,1)&gt;7,MOD(1+IFERROR(MATCH($C640,总览!$D$46:$D$345,1)+1,1),7)=0),$C$3,0),0)</f>
        <v>0</v>
      </c>
      <c r="V640" s="131" cm="1">
        <f ca="1" t="array" ref="V640">IF(V1242=1,OFFSET($W$634,$B640,V$631-1)/SUMPRODUCT(--($D$631:$V$631=V$631),--($D1242:$V1242=1)),0)+SUM(V639)+IF(COUNTIF(V$1237:V1242,1)=1,5,0)+IF(COUNTIF(W640:$W640,"&gt;"&amp;0)&lt;5,IF(AND(COUNTIF(V$1237:V1242,1)&gt;7,MOD(1+IFERROR(MATCH($C640,总览!$D$46:$D$345,1)+1,1),7)=0),$C$3,0),0)</f>
        <v>0</v>
      </c>
      <c r="W640" s="135" cm="1">
        <f ca="1" t="array" ref="W640">SUMPRODUCT(TRANSPOSE($AA640:$AG640),OFFSET($L$9:$L$15,0,W$631-1))</f>
        <v>35.5</v>
      </c>
      <c r="X640" s="135" cm="1">
        <f ca="1" t="array" ref="X640">SUMPRODUCT(TRANSPOSE($AA640:$AG640),OFFSET($L$9:$L$15,0,X$631-1))</f>
        <v>12</v>
      </c>
      <c r="Y640" s="135" cm="1">
        <f ca="1" t="array" ref="Y640">SUMPRODUCT(TRANSPOSE($AA640:$AG640),OFFSET($L$9:$L$15,0,Y$631-1))</f>
        <v>2.5</v>
      </c>
      <c r="Z640" s="135" cm="1">
        <f ca="1" t="array" ref="Z640">SUMPRODUCT(TRANSPOSE($AA640:$AG640),OFFSET($L$9:$L$15,0,Z$631-1))</f>
        <v>0</v>
      </c>
      <c r="AA640" s="136">
        <f ca="1" t="shared" ref="AA640:AG640" si="251">AH640-AH639</f>
        <v>0</v>
      </c>
      <c r="AB640" s="136">
        <f ca="1" t="shared" si="251"/>
        <v>100</v>
      </c>
      <c r="AC640" s="136">
        <f ca="1" t="shared" si="251"/>
        <v>0</v>
      </c>
      <c r="AD640" s="136">
        <f ca="1" t="shared" si="251"/>
        <v>0</v>
      </c>
      <c r="AE640" s="136">
        <f ca="1" t="shared" si="251"/>
        <v>0</v>
      </c>
      <c r="AF640" s="136">
        <f ca="1" t="shared" si="251"/>
        <v>0</v>
      </c>
      <c r="AG640" s="136">
        <f ca="1" t="shared" si="251"/>
        <v>0</v>
      </c>
      <c r="AH640" s="136">
        <f ca="1" t="shared" si="241"/>
        <v>450</v>
      </c>
      <c r="AI640" s="136">
        <f ca="1" t="shared" ref="AI640:AN640" si="252">IF($C640&gt;OFFSET($Q$8,MATCH(AI$634,$AH$634:$AN$634,0),0),OFFSET($P$8,MATCH(AI$634,$AH$634:$AN$634,0),0),MAX(0,$C640-OFFSET($Q$8,RIGHT(AI$634,1)-1,0)))</f>
        <v>150</v>
      </c>
      <c r="AJ640" s="136">
        <f ca="1" t="shared" si="252"/>
        <v>0</v>
      </c>
      <c r="AK640" s="136">
        <f ca="1" t="shared" si="252"/>
        <v>0</v>
      </c>
      <c r="AL640" s="136">
        <f ca="1" t="shared" si="252"/>
        <v>0</v>
      </c>
      <c r="AM640" s="136">
        <f ca="1" t="shared" si="252"/>
        <v>0</v>
      </c>
      <c r="AN640" s="136">
        <f ca="1" t="shared" si="252"/>
        <v>0</v>
      </c>
      <c r="AP640" s="132">
        <v>6</v>
      </c>
      <c r="AQ640" s="132">
        <v>80</v>
      </c>
      <c r="AR640" s="132">
        <v>80</v>
      </c>
      <c r="AS640" s="132">
        <v>80</v>
      </c>
      <c r="AT640" s="132">
        <v>80</v>
      </c>
    </row>
    <row r="641" s="106" customFormat="1" ht="16.5" spans="2:46">
      <c r="B641" s="117">
        <v>7</v>
      </c>
      <c r="C641" s="130">
        <f t="shared" si="239"/>
        <v>700</v>
      </c>
      <c r="D641" s="131" cm="1">
        <f ca="1" t="array" ref="D641">IF(D1243=1,OFFSET($W$634,$B641,D$631-1)/SUMPRODUCT(--($D$631:$V$631=D$631),--($D1243:$V1243=1)),0)+SUM(D640)+IF(COUNTIF(D$1237:D1243,1)=1,5,0)+IF(COUNTIF(E641:$W641,"&gt;"&amp;0)&lt;5,IF(AND(COUNTIF(D$1237:D1243,1)&gt;7,MOD(1+IFERROR(MATCH($C641,总览!$D$46:$D$345,1)+1,1),7)=0),$C$3,0),0)</f>
        <v>94.5833333333333</v>
      </c>
      <c r="E641" s="131" cm="1">
        <f ca="1" t="array" ref="E641">IF(E1243=1,OFFSET($W$634,$B641,E$631-1)/SUMPRODUCT(--($D$631:$V$631=E$631),--($D1243:$V1243=1)),0)+SUM(E640)+IF(COUNTIF(E$1237:E1243,1)=1,5,0)+IF(COUNTIF(F641:$W641,"&gt;"&amp;0)&lt;5,IF(AND(COUNTIF(E$1237:E1243,1)&gt;7,MOD(1+IFERROR(MATCH($C641,总览!$D$46:$D$345,1)+1,1),7)=0),$C$3,0),0)</f>
        <v>94.5833333333333</v>
      </c>
      <c r="F641" s="131" cm="1">
        <f ca="1" t="array" ref="F641">IF(F1243=1,OFFSET($W$634,$B641,F$631-1)/SUMPRODUCT(--($D$631:$V$631=F$631),--($D1243:$V1243=1)),0)+SUM(F640)+IF(COUNTIF(F$1237:F1243,1)=1,5,0)+IF(COUNTIF(G641:$W641,"&gt;"&amp;0)&lt;5,IF(AND(COUNTIF(F$1237:F1243,1)&gt;7,MOD(1+IFERROR(MATCH($C641,总览!$D$46:$D$345,1)+1,1),7)=0),$C$3,0),0)</f>
        <v>94.5833333333333</v>
      </c>
      <c r="G641" s="131" cm="1">
        <f ca="1" t="array" ref="G641">IF(G1243=1,OFFSET($W$634,$B641,G$631-1)/SUMPRODUCT(--($D$631:$V$631=G$631),--($D1243:$V1243=1)),0)+SUM(G640)+IF(COUNTIF(G$1237:G1243,1)=1,5,0)+IF(COUNTIF(H641:$W641,"&gt;"&amp;0)&lt;5,IF(AND(COUNTIF(G$1237:G1243,1)&gt;7,MOD(1+IFERROR(MATCH($C641,总览!$D$46:$D$345,1)+1,1),7)=0),$C$3,0),0)</f>
        <v>20</v>
      </c>
      <c r="H641" s="131" cm="1">
        <f ca="1" t="array" ref="H641">IF(H1243=1,OFFSET($W$634,$B641,H$631-1)/SUMPRODUCT(--($D$631:$V$631=H$631),--($D1243:$V1243=1)),0)+SUM(H640)+IF(COUNTIF(H$1237:H1243,1)=1,5,0)+IF(COUNTIF(I641:$W641,"&gt;"&amp;0)&lt;5,IF(AND(COUNTIF(H$1237:H1243,1)&gt;7,MOD(1+IFERROR(MATCH($C641,总览!$D$46:$D$345,1)+1,1),7)=0),$C$3,0),0)</f>
        <v>20</v>
      </c>
      <c r="I641" s="131" cm="1">
        <f ca="1" t="array" ref="I641">IF(I1243=1,OFFSET($W$634,$B641,I$631-1)/SUMPRODUCT(--($D$631:$V$631=I$631),--($D1243:$V1243=1)),0)+SUM(I640)+IF(COUNTIF(I$1237:I1243,1)=1,5,0)+IF(COUNTIF(J641:$W641,"&gt;"&amp;0)&lt;5,IF(AND(COUNTIF(I$1237:I1243,1)&gt;7,MOD(1+IFERROR(MATCH($C641,总览!$D$46:$D$345,1)+1,1),7)=0),$C$3,0),0)</f>
        <v>20</v>
      </c>
      <c r="J641" s="131" cm="1">
        <f ca="1" t="array" ref="J641">IF(J1243=1,OFFSET($W$634,$B641,J$631-1)/SUMPRODUCT(--($D$631:$V$631=J$631),--($D1243:$V1243=1)),0)+SUM(J640)+IF(COUNTIF(J$1237:J1243,1)=1,5,0)+IF(COUNTIF(K641:$W641,"&gt;"&amp;0)&lt;5,IF(AND(COUNTIF(J$1237:J1243,1)&gt;7,MOD(1+IFERROR(MATCH($C641,总览!$D$46:$D$345,1)+1,1),7)=0),$C$3,0),0)</f>
        <v>16.6666666666667</v>
      </c>
      <c r="K641" s="131" cm="1">
        <f ca="1" t="array" ref="K641">IF(K1243=1,OFFSET($W$634,$B641,K$631-1)/SUMPRODUCT(--($D$631:$V$631=K$631),--($D1243:$V1243=1)),0)+SUM(K640)+IF(COUNTIF(K$1237:K1243,1)=1,5,0)+IF(COUNTIF(L641:$W641,"&gt;"&amp;0)&lt;5,IF(AND(COUNTIF(K$1237:K1243,1)&gt;7,MOD(1+IFERROR(MATCH($C641,总览!$D$46:$D$345,1)+1,1),7)=0),$C$3,0),0)</f>
        <v>14.1666666666667</v>
      </c>
      <c r="L641" s="131" cm="1">
        <f ca="1" t="array" ref="L641">IF(L1243=1,OFFSET($W$634,$B641,L$631-1)/SUMPRODUCT(--($D$631:$V$631=L$631),--($D1243:$V1243=1)),0)+SUM(L640)+IF(COUNTIF(L$1237:L1243,1)=1,5,0)+IF(COUNTIF(M641:$W641,"&gt;"&amp;0)&lt;5,IF(AND(COUNTIF(L$1237:L1243,1)&gt;7,MOD(1+IFERROR(MATCH($C641,总览!$D$46:$D$345,1)+1,1),7)=0),$C$3,0),0)</f>
        <v>14.1666666666667</v>
      </c>
      <c r="M641" s="131" cm="1">
        <f ca="1" t="array" ref="M641">IF(M1243=1,OFFSET($W$634,$B641,M$631-1)/SUMPRODUCT(--($D$631:$V$631=M$631),--($D1243:$V1243=1)),0)+SUM(M640)+IF(COUNTIF(M$1237:M1243,1)=1,5,0)+IF(COUNTIF(N641:$W641,"&gt;"&amp;0)&lt;5,IF(AND(COUNTIF(M$1237:M1243,1)&gt;7,MOD(1+IFERROR(MATCH($C641,总览!$D$46:$D$345,1)+1,1),7)=0),$C$3,0),0)</f>
        <v>9.58333333333333</v>
      </c>
      <c r="N641" s="131" cm="1">
        <f ca="1" t="array" ref="N641">IF(N1243=1,OFFSET($W$634,$B641,N$631-1)/SUMPRODUCT(--($D$631:$V$631=N$631),--($D1243:$V1243=1)),0)+SUM(N640)+IF(COUNTIF(N$1237:N1243,1)=1,5,0)+IF(COUNTIF(O641:$W641,"&gt;"&amp;0)&lt;5,IF(AND(COUNTIF(N$1237:N1243,1)&gt;7,MOD(1+IFERROR(MATCH($C641,总览!$D$46:$D$345,1)+1,1),7)=0),$C$3,0),0)</f>
        <v>5.83333333333333</v>
      </c>
      <c r="O641" s="131" cm="1">
        <f ca="1" t="array" ref="O641">IF(O1243=1,OFFSET($W$634,$B641,O$631-1)/SUMPRODUCT(--($D$631:$V$631=O$631),--($D1243:$V1243=1)),0)+SUM(O640)+IF(COUNTIF(O$1237:O1243,1)=1,5,0)+IF(COUNTIF(P641:$W641,"&gt;"&amp;0)&lt;5,IF(AND(COUNTIF(O$1237:O1243,1)&gt;7,MOD(1+IFERROR(MATCH($C641,总览!$D$46:$D$345,1)+1,1),7)=0),$C$3,0),0)</f>
        <v>5.83333333333333</v>
      </c>
      <c r="P641" s="131" cm="1">
        <f ca="1" t="array" ref="P641">IF(P1243=1,OFFSET($W$634,$B641,P$631-1)/SUMPRODUCT(--($D$631:$V$631=P$631),--($D1243:$V1243=1)),0)+SUM(P640)+IF(COUNTIF(P$1237:P1243,1)=1,5,0)+IF(COUNTIF(Q641:$W641,"&gt;"&amp;0)&lt;5,IF(AND(COUNTIF(P$1237:P1243,1)&gt;7,MOD(1+IFERROR(MATCH($C641,总览!$D$46:$D$345,1)+1,1),7)=0),$C$3,0),0)</f>
        <v>0</v>
      </c>
      <c r="Q641" s="131" cm="1">
        <f ca="1" t="array" ref="Q641">IF(Q1243=1,OFFSET($W$634,$B641,Q$631-1)/SUMPRODUCT(--($D$631:$V$631=Q$631),--($D1243:$V1243=1)),0)+SUM(Q640)+IF(COUNTIF(Q$1237:Q1243,1)=1,5,0)+IF(COUNTIF(R641:$W641,"&gt;"&amp;0)&lt;5,IF(AND(COUNTIF(Q$1237:Q1243,1)&gt;7,MOD(1+IFERROR(MATCH($C641,总览!$D$46:$D$345,1)+1,1),7)=0),$C$3,0),0)</f>
        <v>0</v>
      </c>
      <c r="R641" s="131" cm="1">
        <f ca="1" t="array" ref="R641">IF(R1243=1,OFFSET($W$634,$B641,R$631-1)/SUMPRODUCT(--($D$631:$V$631=R$631),--($D1243:$V1243=1)),0)+SUM(R640)+IF(COUNTIF(R$1237:R1243,1)=1,5,0)+IF(COUNTIF(S641:$W641,"&gt;"&amp;0)&lt;5,IF(AND(COUNTIF(R$1237:R1243,1)&gt;7,MOD(1+IFERROR(MATCH($C641,总览!$D$46:$D$345,1)+1,1),7)=0),$C$3,0),0)</f>
        <v>0</v>
      </c>
      <c r="S641" s="131" cm="1">
        <f ca="1" t="array" ref="S641">IF(S1243=1,OFFSET($W$634,$B641,S$631-1)/SUMPRODUCT(--($D$631:$V$631=S$631),--($D1243:$V1243=1)),0)+SUM(S640)+IF(COUNTIF(S$1237:S1243,1)=1,5,0)+IF(COUNTIF(T641:$W641,"&gt;"&amp;0)&lt;5,IF(AND(COUNTIF(S$1237:S1243,1)&gt;7,MOD(1+IFERROR(MATCH($C641,总览!$D$46:$D$345,1)+1,1),7)=0),$C$3,0),0)</f>
        <v>0</v>
      </c>
      <c r="T641" s="131" cm="1">
        <f ca="1" t="array" ref="T641">IF(T1243=1,OFFSET($W$634,$B641,T$631-1)/SUMPRODUCT(--($D$631:$V$631=T$631),--($D1243:$V1243=1)),0)+SUM(T640)+IF(COUNTIF(T$1237:T1243,1)=1,5,0)+IF(COUNTIF(U641:$W641,"&gt;"&amp;0)&lt;5,IF(AND(COUNTIF(T$1237:T1243,1)&gt;7,MOD(1+IFERROR(MATCH($C641,总览!$D$46:$D$345,1)+1,1),7)=0),$C$3,0),0)</f>
        <v>0</v>
      </c>
      <c r="U641" s="131" cm="1">
        <f ca="1" t="array" ref="U641">IF(U1243=1,OFFSET($W$634,$B641,U$631-1)/SUMPRODUCT(--($D$631:$V$631=U$631),--($D1243:$V1243=1)),0)+SUM(U640)+IF(COUNTIF(U$1237:U1243,1)=1,5,0)+IF(COUNTIF(V641:$W641,"&gt;"&amp;0)&lt;5,IF(AND(COUNTIF(U$1237:U1243,1)&gt;7,MOD(1+IFERROR(MATCH($C641,总览!$D$46:$D$345,1)+1,1),7)=0),$C$3,0),0)</f>
        <v>0</v>
      </c>
      <c r="V641" s="131" cm="1">
        <f ca="1" t="array" ref="V641">IF(V1243=1,OFFSET($W$634,$B641,V$631-1)/SUMPRODUCT(--($D$631:$V$631=V$631),--($D1243:$V1243=1)),0)+SUM(V640)+IF(COUNTIF(V$1237:V1243,1)=1,5,0)+IF(COUNTIF(W641:$W641,"&gt;"&amp;0)&lt;5,IF(AND(COUNTIF(V$1237:V1243,1)&gt;7,MOD(1+IFERROR(MATCH($C641,总览!$D$46:$D$345,1)+1,1),7)=0),$C$3,0),0)</f>
        <v>0</v>
      </c>
      <c r="W641" s="135" cm="1">
        <f ca="1" t="array" ref="W641">SUMPRODUCT(TRANSPOSE($AA641:$AG641),OFFSET($L$9:$L$15,0,W$631-1))</f>
        <v>35.5</v>
      </c>
      <c r="X641" s="135" cm="1">
        <f ca="1" t="array" ref="X641">SUMPRODUCT(TRANSPOSE($AA641:$AG641),OFFSET($L$9:$L$15,0,X$631-1))</f>
        <v>12</v>
      </c>
      <c r="Y641" s="135" cm="1">
        <f ca="1" t="array" ref="Y641">SUMPRODUCT(TRANSPOSE($AA641:$AG641),OFFSET($L$9:$L$15,0,Y$631-1))</f>
        <v>2.5</v>
      </c>
      <c r="Z641" s="135" cm="1">
        <f ca="1" t="array" ref="Z641">SUMPRODUCT(TRANSPOSE($AA641:$AG641),OFFSET($L$9:$L$15,0,Z$631-1))</f>
        <v>0</v>
      </c>
      <c r="AA641" s="136">
        <f ca="1" t="shared" ref="AA641:AG641" si="253">AH641-AH640</f>
        <v>0</v>
      </c>
      <c r="AB641" s="136">
        <f ca="1" t="shared" si="253"/>
        <v>100</v>
      </c>
      <c r="AC641" s="136">
        <f ca="1" t="shared" si="253"/>
        <v>0</v>
      </c>
      <c r="AD641" s="136">
        <f ca="1" t="shared" si="253"/>
        <v>0</v>
      </c>
      <c r="AE641" s="136">
        <f ca="1" t="shared" si="253"/>
        <v>0</v>
      </c>
      <c r="AF641" s="136">
        <f ca="1" t="shared" si="253"/>
        <v>0</v>
      </c>
      <c r="AG641" s="136">
        <f ca="1" t="shared" si="253"/>
        <v>0</v>
      </c>
      <c r="AH641" s="136">
        <f ca="1" t="shared" si="241"/>
        <v>450</v>
      </c>
      <c r="AI641" s="136">
        <f ca="1" t="shared" ref="AI641:AN641" si="254">IF($C641&gt;OFFSET($Q$8,MATCH(AI$634,$AH$634:$AN$634,0),0),OFFSET($P$8,MATCH(AI$634,$AH$634:$AN$634,0),0),MAX(0,$C641-OFFSET($Q$8,RIGHT(AI$634,1)-1,0)))</f>
        <v>250</v>
      </c>
      <c r="AJ641" s="136">
        <f ca="1" t="shared" si="254"/>
        <v>0</v>
      </c>
      <c r="AK641" s="136">
        <f ca="1" t="shared" si="254"/>
        <v>0</v>
      </c>
      <c r="AL641" s="136">
        <f ca="1" t="shared" si="254"/>
        <v>0</v>
      </c>
      <c r="AM641" s="136">
        <f ca="1" t="shared" si="254"/>
        <v>0</v>
      </c>
      <c r="AN641" s="136">
        <f ca="1" t="shared" si="254"/>
        <v>0</v>
      </c>
      <c r="AP641" s="132">
        <v>7</v>
      </c>
      <c r="AQ641" s="132">
        <v>110</v>
      </c>
      <c r="AR641" s="132">
        <v>110</v>
      </c>
      <c r="AS641" s="132">
        <v>110</v>
      </c>
      <c r="AT641" s="132">
        <v>110</v>
      </c>
    </row>
    <row r="642" s="106" customFormat="1" ht="16.5" spans="2:46">
      <c r="B642" s="117">
        <v>8</v>
      </c>
      <c r="C642" s="130">
        <f t="shared" si="239"/>
        <v>800</v>
      </c>
      <c r="D642" s="131" cm="1">
        <f ca="1" t="array" ref="D642">IF(D1244=1,OFFSET($W$634,$B642,D$631-1)/SUMPRODUCT(--($D$631:$V$631=D$631),--($D1244:$V1244=1)),0)+SUM(D641)+IF(COUNTIF(D$1237:D1244,1)=1,5,0)+IF(COUNTIF(E642:$W642,"&gt;"&amp;0)&lt;5,IF(AND(COUNTIF(D$1237:D1244,1)&gt;7,MOD(1+IFERROR(MATCH($C642,总览!$D$46:$D$345,1)+1,1),7)=0),$C$3,0),0)</f>
        <v>106.416666666667</v>
      </c>
      <c r="E642" s="131" cm="1">
        <f ca="1" t="array" ref="E642">IF(E1244=1,OFFSET($W$634,$B642,E$631-1)/SUMPRODUCT(--($D$631:$V$631=E$631),--($D1244:$V1244=1)),0)+SUM(E641)+IF(COUNTIF(E$1237:E1244,1)=1,5,0)+IF(COUNTIF(F642:$W642,"&gt;"&amp;0)&lt;5,IF(AND(COUNTIF(E$1237:E1244,1)&gt;7,MOD(1+IFERROR(MATCH($C642,总览!$D$46:$D$345,1)+1,1),7)=0),$C$3,0),0)</f>
        <v>106.416666666667</v>
      </c>
      <c r="F642" s="131" cm="1">
        <f ca="1" t="array" ref="F642">IF(F1244=1,OFFSET($W$634,$B642,F$631-1)/SUMPRODUCT(--($D$631:$V$631=F$631),--($D1244:$V1244=1)),0)+SUM(F641)+IF(COUNTIF(F$1237:F1244,1)=1,5,0)+IF(COUNTIF(G642:$W642,"&gt;"&amp;0)&lt;5,IF(AND(COUNTIF(F$1237:F1244,1)&gt;7,MOD(1+IFERROR(MATCH($C642,总览!$D$46:$D$345,1)+1,1),7)=0),$C$3,0),0)</f>
        <v>106.416666666667</v>
      </c>
      <c r="G642" s="131" cm="1">
        <f ca="1" t="array" ref="G642">IF(G1244=1,OFFSET($W$634,$B642,G$631-1)/SUMPRODUCT(--($D$631:$V$631=G$631),--($D1244:$V1244=1)),0)+SUM(G641)+IF(COUNTIF(G$1237:G1244,1)=1,5,0)+IF(COUNTIF(H642:$W642,"&gt;"&amp;0)&lt;5,IF(AND(COUNTIF(G$1237:G1244,1)&gt;7,MOD(1+IFERROR(MATCH($C642,总览!$D$46:$D$345,1)+1,1),7)=0),$C$3,0),0)</f>
        <v>22</v>
      </c>
      <c r="H642" s="131" cm="1">
        <f ca="1" t="array" ref="H642">IF(H1244=1,OFFSET($W$634,$B642,H$631-1)/SUMPRODUCT(--($D$631:$V$631=H$631),--($D1244:$V1244=1)),0)+SUM(H641)+IF(COUNTIF(H$1237:H1244,1)=1,5,0)+IF(COUNTIF(I642:$W642,"&gt;"&amp;0)&lt;5,IF(AND(COUNTIF(H$1237:H1244,1)&gt;7,MOD(1+IFERROR(MATCH($C642,总览!$D$46:$D$345,1)+1,1),7)=0),$C$3,0),0)</f>
        <v>22</v>
      </c>
      <c r="I642" s="131" cm="1">
        <f ca="1" t="array" ref="I642">IF(I1244=1,OFFSET($W$634,$B642,I$631-1)/SUMPRODUCT(--($D$631:$V$631=I$631),--($D1244:$V1244=1)),0)+SUM(I641)+IF(COUNTIF(I$1237:I1244,1)=1,5,0)+IF(COUNTIF(J642:$W642,"&gt;"&amp;0)&lt;5,IF(AND(COUNTIF(I$1237:I1244,1)&gt;7,MOD(1+IFERROR(MATCH($C642,总览!$D$46:$D$345,1)+1,1),7)=0),$C$3,0),0)</f>
        <v>22</v>
      </c>
      <c r="J642" s="131" cm="1">
        <f ca="1" t="array" ref="J642">IF(J1244=1,OFFSET($W$634,$B642,J$631-1)/SUMPRODUCT(--($D$631:$V$631=J$631),--($D1244:$V1244=1)),0)+SUM(J641)+IF(COUNTIF(J$1237:J1244,1)=1,5,0)+IF(COUNTIF(K642:$W642,"&gt;"&amp;0)&lt;5,IF(AND(COUNTIF(J$1237:J1244,1)&gt;7,MOD(1+IFERROR(MATCH($C642,总览!$D$46:$D$345,1)+1,1),7)=0),$C$3,0),0)</f>
        <v>18.6666666666667</v>
      </c>
      <c r="K642" s="131" cm="1">
        <f ca="1" t="array" ref="K642">IF(K1244=1,OFFSET($W$634,$B642,K$631-1)/SUMPRODUCT(--($D$631:$V$631=K$631),--($D1244:$V1244=1)),0)+SUM(K641)+IF(COUNTIF(K$1237:K1244,1)=1,5,0)+IF(COUNTIF(L642:$W642,"&gt;"&amp;0)&lt;5,IF(AND(COUNTIF(K$1237:K1244,1)&gt;7,MOD(1+IFERROR(MATCH($C642,总览!$D$46:$D$345,1)+1,1),7)=0),$C$3,0),0)</f>
        <v>16.1666666666667</v>
      </c>
      <c r="L642" s="131" cm="1">
        <f ca="1" t="array" ref="L642">IF(L1244=1,OFFSET($W$634,$B642,L$631-1)/SUMPRODUCT(--($D$631:$V$631=L$631),--($D1244:$V1244=1)),0)+SUM(L641)+IF(COUNTIF(L$1237:L1244,1)=1,5,0)+IF(COUNTIF(M642:$W642,"&gt;"&amp;0)&lt;5,IF(AND(COUNTIF(L$1237:L1244,1)&gt;7,MOD(1+IFERROR(MATCH($C642,总览!$D$46:$D$345,1)+1,1),7)=0),$C$3,0),0)</f>
        <v>16.1666666666667</v>
      </c>
      <c r="M642" s="131" cm="1">
        <f ca="1" t="array" ref="M642">IF(M1244=1,OFFSET($W$634,$B642,M$631-1)/SUMPRODUCT(--($D$631:$V$631=M$631),--($D1244:$V1244=1)),0)+SUM(M641)+IF(COUNTIF(M$1237:M1244,1)=1,5,0)+IF(COUNTIF(N642:$W642,"&gt;"&amp;0)&lt;5,IF(AND(COUNTIF(M$1237:M1244,1)&gt;7,MOD(1+IFERROR(MATCH($C642,总览!$D$46:$D$345,1)+1,1),7)=0),$C$3,0),0)</f>
        <v>10.4166666666667</v>
      </c>
      <c r="N642" s="131" cm="1">
        <f ca="1" t="array" ref="N642">IF(N1244=1,OFFSET($W$634,$B642,N$631-1)/SUMPRODUCT(--($D$631:$V$631=N$631),--($D1244:$V1244=1)),0)+SUM(N641)+IF(COUNTIF(N$1237:N1244,1)=1,5,0)+IF(COUNTIF(O642:$W642,"&gt;"&amp;0)&lt;5,IF(AND(COUNTIF(N$1237:N1244,1)&gt;7,MOD(1+IFERROR(MATCH($C642,总览!$D$46:$D$345,1)+1,1),7)=0),$C$3,0),0)</f>
        <v>6.66666666666667</v>
      </c>
      <c r="O642" s="131" cm="1">
        <f ca="1" t="array" ref="O642">IF(O1244=1,OFFSET($W$634,$B642,O$631-1)/SUMPRODUCT(--($D$631:$V$631=O$631),--($D1244:$V1244=1)),0)+SUM(O641)+IF(COUNTIF(O$1237:O1244,1)=1,5,0)+IF(COUNTIF(P642:$W642,"&gt;"&amp;0)&lt;5,IF(AND(COUNTIF(O$1237:O1244,1)&gt;7,MOD(1+IFERROR(MATCH($C642,总览!$D$46:$D$345,1)+1,1),7)=0),$C$3,0),0)</f>
        <v>6.66666666666667</v>
      </c>
      <c r="P642" s="131" cm="1">
        <f ca="1" t="array" ref="P642">IF(P1244=1,OFFSET($W$634,$B642,P$631-1)/SUMPRODUCT(--($D$631:$V$631=P$631),--($D1244:$V1244=1)),0)+SUM(P641)+IF(COUNTIF(P$1237:P1244,1)=1,5,0)+IF(COUNTIF(Q642:$W642,"&gt;"&amp;0)&lt;5,IF(AND(COUNTIF(P$1237:P1244,1)&gt;7,MOD(1+IFERROR(MATCH($C642,总览!$D$46:$D$345,1)+1,1),7)=0),$C$3,0),0)</f>
        <v>0</v>
      </c>
      <c r="Q642" s="131" cm="1">
        <f ca="1" t="array" ref="Q642">IF(Q1244=1,OFFSET($W$634,$B642,Q$631-1)/SUMPRODUCT(--($D$631:$V$631=Q$631),--($D1244:$V1244=1)),0)+SUM(Q641)+IF(COUNTIF(Q$1237:Q1244,1)=1,5,0)+IF(COUNTIF(R642:$W642,"&gt;"&amp;0)&lt;5,IF(AND(COUNTIF(Q$1237:Q1244,1)&gt;7,MOD(1+IFERROR(MATCH($C642,总览!$D$46:$D$345,1)+1,1),7)=0),$C$3,0),0)</f>
        <v>0</v>
      </c>
      <c r="R642" s="131" cm="1">
        <f ca="1" t="array" ref="R642">IF(R1244=1,OFFSET($W$634,$B642,R$631-1)/SUMPRODUCT(--($D$631:$V$631=R$631),--($D1244:$V1244=1)),0)+SUM(R641)+IF(COUNTIF(R$1237:R1244,1)=1,5,0)+IF(COUNTIF(S642:$W642,"&gt;"&amp;0)&lt;5,IF(AND(COUNTIF(R$1237:R1244,1)&gt;7,MOD(1+IFERROR(MATCH($C642,总览!$D$46:$D$345,1)+1,1),7)=0),$C$3,0),0)</f>
        <v>0</v>
      </c>
      <c r="S642" s="131" cm="1">
        <f ca="1" t="array" ref="S642">IF(S1244=1,OFFSET($W$634,$B642,S$631-1)/SUMPRODUCT(--($D$631:$V$631=S$631),--($D1244:$V1244=1)),0)+SUM(S641)+IF(COUNTIF(S$1237:S1244,1)=1,5,0)+IF(COUNTIF(T642:$W642,"&gt;"&amp;0)&lt;5,IF(AND(COUNTIF(S$1237:S1244,1)&gt;7,MOD(1+IFERROR(MATCH($C642,总览!$D$46:$D$345,1)+1,1),7)=0),$C$3,0),0)</f>
        <v>0</v>
      </c>
      <c r="T642" s="131" cm="1">
        <f ca="1" t="array" ref="T642">IF(T1244=1,OFFSET($W$634,$B642,T$631-1)/SUMPRODUCT(--($D$631:$V$631=T$631),--($D1244:$V1244=1)),0)+SUM(T641)+IF(COUNTIF(T$1237:T1244,1)=1,5,0)+IF(COUNTIF(U642:$W642,"&gt;"&amp;0)&lt;5,IF(AND(COUNTIF(T$1237:T1244,1)&gt;7,MOD(1+IFERROR(MATCH($C642,总览!$D$46:$D$345,1)+1,1),7)=0),$C$3,0),0)</f>
        <v>0</v>
      </c>
      <c r="U642" s="131" cm="1">
        <f ca="1" t="array" ref="U642">IF(U1244=1,OFFSET($W$634,$B642,U$631-1)/SUMPRODUCT(--($D$631:$V$631=U$631),--($D1244:$V1244=1)),0)+SUM(U641)+IF(COUNTIF(U$1237:U1244,1)=1,5,0)+IF(COUNTIF(V642:$W642,"&gt;"&amp;0)&lt;5,IF(AND(COUNTIF(U$1237:U1244,1)&gt;7,MOD(1+IFERROR(MATCH($C642,总览!$D$46:$D$345,1)+1,1),7)=0),$C$3,0),0)</f>
        <v>0</v>
      </c>
      <c r="V642" s="131" cm="1">
        <f ca="1" t="array" ref="V642">IF(V1244=1,OFFSET($W$634,$B642,V$631-1)/SUMPRODUCT(--($D$631:$V$631=V$631),--($D1244:$V1244=1)),0)+SUM(V641)+IF(COUNTIF(V$1237:V1244,1)=1,5,0)+IF(COUNTIF(W642:$W642,"&gt;"&amp;0)&lt;5,IF(AND(COUNTIF(V$1237:V1244,1)&gt;7,MOD(1+IFERROR(MATCH($C642,总览!$D$46:$D$345,1)+1,1),7)=0),$C$3,0),0)</f>
        <v>0</v>
      </c>
      <c r="W642" s="135" cm="1">
        <f ca="1" t="array" ref="W642">SUMPRODUCT(TRANSPOSE($AA642:$AG642),OFFSET($L$9:$L$15,0,W$631-1))</f>
        <v>35.5</v>
      </c>
      <c r="X642" s="135" cm="1">
        <f ca="1" t="array" ref="X642">SUMPRODUCT(TRANSPOSE($AA642:$AG642),OFFSET($L$9:$L$15,0,X$631-1))</f>
        <v>12</v>
      </c>
      <c r="Y642" s="135" cm="1">
        <f ca="1" t="array" ref="Y642">SUMPRODUCT(TRANSPOSE($AA642:$AG642),OFFSET($L$9:$L$15,0,Y$631-1))</f>
        <v>2.5</v>
      </c>
      <c r="Z642" s="135" cm="1">
        <f ca="1" t="array" ref="Z642">SUMPRODUCT(TRANSPOSE($AA642:$AG642),OFFSET($L$9:$L$15,0,Z$631-1))</f>
        <v>0</v>
      </c>
      <c r="AA642" s="136">
        <f ca="1" t="shared" ref="AA642:AG642" si="255">AH642-AH641</f>
        <v>0</v>
      </c>
      <c r="AB642" s="136">
        <f ca="1" t="shared" si="255"/>
        <v>100</v>
      </c>
      <c r="AC642" s="136">
        <f ca="1" t="shared" si="255"/>
        <v>0</v>
      </c>
      <c r="AD642" s="136">
        <f ca="1" t="shared" si="255"/>
        <v>0</v>
      </c>
      <c r="AE642" s="136">
        <f ca="1" t="shared" si="255"/>
        <v>0</v>
      </c>
      <c r="AF642" s="136">
        <f ca="1" t="shared" si="255"/>
        <v>0</v>
      </c>
      <c r="AG642" s="136">
        <f ca="1" t="shared" si="255"/>
        <v>0</v>
      </c>
      <c r="AH642" s="136">
        <f ca="1" t="shared" si="241"/>
        <v>450</v>
      </c>
      <c r="AI642" s="136">
        <f ca="1" t="shared" ref="AI642:AN642" si="256">IF($C642&gt;OFFSET($Q$8,MATCH(AI$634,$AH$634:$AN$634,0),0),OFFSET($P$8,MATCH(AI$634,$AH$634:$AN$634,0),0),MAX(0,$C642-OFFSET($Q$8,RIGHT(AI$634,1)-1,0)))</f>
        <v>350</v>
      </c>
      <c r="AJ642" s="136">
        <f ca="1" t="shared" si="256"/>
        <v>0</v>
      </c>
      <c r="AK642" s="136">
        <f ca="1" t="shared" si="256"/>
        <v>0</v>
      </c>
      <c r="AL642" s="136">
        <f ca="1" t="shared" si="256"/>
        <v>0</v>
      </c>
      <c r="AM642" s="136">
        <f ca="1" t="shared" si="256"/>
        <v>0</v>
      </c>
      <c r="AN642" s="136">
        <f ca="1" t="shared" si="256"/>
        <v>0</v>
      </c>
      <c r="AP642" s="132">
        <v>8</v>
      </c>
      <c r="AQ642" s="132">
        <v>140</v>
      </c>
      <c r="AR642" s="132">
        <v>140</v>
      </c>
      <c r="AS642" s="132">
        <v>140</v>
      </c>
      <c r="AT642" s="132">
        <v>140</v>
      </c>
    </row>
    <row r="643" s="106" customFormat="1" ht="16.5" spans="2:46">
      <c r="B643" s="117">
        <v>9</v>
      </c>
      <c r="C643" s="130">
        <f t="shared" si="239"/>
        <v>900</v>
      </c>
      <c r="D643" s="131" cm="1">
        <f ca="1" t="array" ref="D643">IF(D1245=1,OFFSET($W$634,$B643,D$631-1)/SUMPRODUCT(--($D$631:$V$631=D$631),--($D1245:$V1245=1)),0)+SUM(D642)+IF(COUNTIF(D$1237:D1245,1)=1,5,0)+IF(COUNTIF(E643:$W643,"&gt;"&amp;0)&lt;5,IF(AND(COUNTIF(D$1237:D1245,1)&gt;7,MOD(1+IFERROR(MATCH($C643,总览!$D$46:$D$345,1)+1,1),7)=0),$C$3,0),0)</f>
        <v>118.25</v>
      </c>
      <c r="E643" s="131" cm="1">
        <f ca="1" t="array" ref="E643">IF(E1245=1,OFFSET($W$634,$B643,E$631-1)/SUMPRODUCT(--($D$631:$V$631=E$631),--($D1245:$V1245=1)),0)+SUM(E642)+IF(COUNTIF(E$1237:E1245,1)=1,5,0)+IF(COUNTIF(F643:$W643,"&gt;"&amp;0)&lt;5,IF(AND(COUNTIF(E$1237:E1245,1)&gt;7,MOD(1+IFERROR(MATCH($C643,总览!$D$46:$D$345,1)+1,1),7)=0),$C$3,0),0)</f>
        <v>118.25</v>
      </c>
      <c r="F643" s="131" cm="1">
        <f ca="1" t="array" ref="F643">IF(F1245=1,OFFSET($W$634,$B643,F$631-1)/SUMPRODUCT(--($D$631:$V$631=F$631),--($D1245:$V1245=1)),0)+SUM(F642)+IF(COUNTIF(F$1237:F1245,1)=1,5,0)+IF(COUNTIF(G643:$W643,"&gt;"&amp;0)&lt;5,IF(AND(COUNTIF(F$1237:F1245,1)&gt;7,MOD(1+IFERROR(MATCH($C643,总览!$D$46:$D$345,1)+1,1),7)=0),$C$3,0),0)</f>
        <v>118.25</v>
      </c>
      <c r="G643" s="131" cm="1">
        <f ca="1" t="array" ref="G643">IF(G1245=1,OFFSET($W$634,$B643,G$631-1)/SUMPRODUCT(--($D$631:$V$631=G$631),--($D1245:$V1245=1)),0)+SUM(G642)+IF(COUNTIF(G$1237:G1245,1)=1,5,0)+IF(COUNTIF(H643:$W643,"&gt;"&amp;0)&lt;5,IF(AND(COUNTIF(G$1237:G1245,1)&gt;7,MOD(1+IFERROR(MATCH($C643,总览!$D$46:$D$345,1)+1,1),7)=0),$C$3,0),0)</f>
        <v>24</v>
      </c>
      <c r="H643" s="131" cm="1">
        <f ca="1" t="array" ref="H643">IF(H1245=1,OFFSET($W$634,$B643,H$631-1)/SUMPRODUCT(--($D$631:$V$631=H$631),--($D1245:$V1245=1)),0)+SUM(H642)+IF(COUNTIF(H$1237:H1245,1)=1,5,0)+IF(COUNTIF(I643:$W643,"&gt;"&amp;0)&lt;5,IF(AND(COUNTIF(H$1237:H1245,1)&gt;7,MOD(1+IFERROR(MATCH($C643,总览!$D$46:$D$345,1)+1,1),7)=0),$C$3,0),0)</f>
        <v>24</v>
      </c>
      <c r="I643" s="131" cm="1">
        <f ca="1" t="array" ref="I643">IF(I1245=1,OFFSET($W$634,$B643,I$631-1)/SUMPRODUCT(--($D$631:$V$631=I$631),--($D1245:$V1245=1)),0)+SUM(I642)+IF(COUNTIF(I$1237:I1245,1)=1,5,0)+IF(COUNTIF(J643:$W643,"&gt;"&amp;0)&lt;5,IF(AND(COUNTIF(I$1237:I1245,1)&gt;7,MOD(1+IFERROR(MATCH($C643,总览!$D$46:$D$345,1)+1,1),7)=0),$C$3,0),0)</f>
        <v>24</v>
      </c>
      <c r="J643" s="131" cm="1">
        <f ca="1" t="array" ref="J643">IF(J1245=1,OFFSET($W$634,$B643,J$631-1)/SUMPRODUCT(--($D$631:$V$631=J$631),--($D1245:$V1245=1)),0)+SUM(J642)+IF(COUNTIF(J$1237:J1245,1)=1,5,0)+IF(COUNTIF(K643:$W643,"&gt;"&amp;0)&lt;5,IF(AND(COUNTIF(J$1237:J1245,1)&gt;7,MOD(1+IFERROR(MATCH($C643,总览!$D$46:$D$345,1)+1,1),7)=0),$C$3,0),0)</f>
        <v>20.6666666666667</v>
      </c>
      <c r="K643" s="131" cm="1">
        <f ca="1" t="array" ref="K643">IF(K1245=1,OFFSET($W$634,$B643,K$631-1)/SUMPRODUCT(--($D$631:$V$631=K$631),--($D1245:$V1245=1)),0)+SUM(K642)+IF(COUNTIF(K$1237:K1245,1)=1,5,0)+IF(COUNTIF(L643:$W643,"&gt;"&amp;0)&lt;5,IF(AND(COUNTIF(K$1237:K1245,1)&gt;7,MOD(1+IFERROR(MATCH($C643,总览!$D$46:$D$345,1)+1,1),7)=0),$C$3,0),0)</f>
        <v>18.1666666666667</v>
      </c>
      <c r="L643" s="131" cm="1">
        <f ca="1" t="array" ref="L643">IF(L1245=1,OFFSET($W$634,$B643,L$631-1)/SUMPRODUCT(--($D$631:$V$631=L$631),--($D1245:$V1245=1)),0)+SUM(L642)+IF(COUNTIF(L$1237:L1245,1)=1,5,0)+IF(COUNTIF(M643:$W643,"&gt;"&amp;0)&lt;5,IF(AND(COUNTIF(L$1237:L1245,1)&gt;7,MOD(1+IFERROR(MATCH($C643,总览!$D$46:$D$345,1)+1,1),7)=0),$C$3,0),0)</f>
        <v>18.1666666666667</v>
      </c>
      <c r="M643" s="131" cm="1">
        <f ca="1" t="array" ref="M643">IF(M1245=1,OFFSET($W$634,$B643,M$631-1)/SUMPRODUCT(--($D$631:$V$631=M$631),--($D1245:$V1245=1)),0)+SUM(M642)+IF(COUNTIF(M$1237:M1245,1)=1,5,0)+IF(COUNTIF(N643:$W643,"&gt;"&amp;0)&lt;5,IF(AND(COUNTIF(M$1237:M1245,1)&gt;7,MOD(1+IFERROR(MATCH($C643,总览!$D$46:$D$345,1)+1,1),7)=0),$C$3,0),0)</f>
        <v>11.25</v>
      </c>
      <c r="N643" s="131" cm="1">
        <f ca="1" t="array" ref="N643">IF(N1245=1,OFFSET($W$634,$B643,N$631-1)/SUMPRODUCT(--($D$631:$V$631=N$631),--($D1245:$V1245=1)),0)+SUM(N642)+IF(COUNTIF(N$1237:N1245,1)=1,5,0)+IF(COUNTIF(O643:$W643,"&gt;"&amp;0)&lt;5,IF(AND(COUNTIF(N$1237:N1245,1)&gt;7,MOD(1+IFERROR(MATCH($C643,总览!$D$46:$D$345,1)+1,1),7)=0),$C$3,0),0)</f>
        <v>7.5</v>
      </c>
      <c r="O643" s="131" cm="1">
        <f ca="1" t="array" ref="O643">IF(O1245=1,OFFSET($W$634,$B643,O$631-1)/SUMPRODUCT(--($D$631:$V$631=O$631),--($D1245:$V1245=1)),0)+SUM(O642)+IF(COUNTIF(O$1237:O1245,1)=1,5,0)+IF(COUNTIF(P643:$W643,"&gt;"&amp;0)&lt;5,IF(AND(COUNTIF(O$1237:O1245,1)&gt;7,MOD(1+IFERROR(MATCH($C643,总览!$D$46:$D$345,1)+1,1),7)=0),$C$3,0),0)</f>
        <v>7.5</v>
      </c>
      <c r="P643" s="131" cm="1">
        <f ca="1" t="array" ref="P643">IF(P1245=1,OFFSET($W$634,$B643,P$631-1)/SUMPRODUCT(--($D$631:$V$631=P$631),--($D1245:$V1245=1)),0)+SUM(P642)+IF(COUNTIF(P$1237:P1245,1)=1,5,0)+IF(COUNTIF(Q643:$W643,"&gt;"&amp;0)&lt;5,IF(AND(COUNTIF(P$1237:P1245,1)&gt;7,MOD(1+IFERROR(MATCH($C643,总览!$D$46:$D$345,1)+1,1),7)=0),$C$3,0),0)</f>
        <v>0</v>
      </c>
      <c r="Q643" s="131" cm="1">
        <f ca="1" t="array" ref="Q643">IF(Q1245=1,OFFSET($W$634,$B643,Q$631-1)/SUMPRODUCT(--($D$631:$V$631=Q$631),--($D1245:$V1245=1)),0)+SUM(Q642)+IF(COUNTIF(Q$1237:Q1245,1)=1,5,0)+IF(COUNTIF(R643:$W643,"&gt;"&amp;0)&lt;5,IF(AND(COUNTIF(Q$1237:Q1245,1)&gt;7,MOD(1+IFERROR(MATCH($C643,总览!$D$46:$D$345,1)+1,1),7)=0),$C$3,0),0)</f>
        <v>0</v>
      </c>
      <c r="R643" s="131" cm="1">
        <f ca="1" t="array" ref="R643">IF(R1245=1,OFFSET($W$634,$B643,R$631-1)/SUMPRODUCT(--($D$631:$V$631=R$631),--($D1245:$V1245=1)),0)+SUM(R642)+IF(COUNTIF(R$1237:R1245,1)=1,5,0)+IF(COUNTIF(S643:$W643,"&gt;"&amp;0)&lt;5,IF(AND(COUNTIF(R$1237:R1245,1)&gt;7,MOD(1+IFERROR(MATCH($C643,总览!$D$46:$D$345,1)+1,1),7)=0),$C$3,0),0)</f>
        <v>0</v>
      </c>
      <c r="S643" s="131" cm="1">
        <f ca="1" t="array" ref="S643">IF(S1245=1,OFFSET($W$634,$B643,S$631-1)/SUMPRODUCT(--($D$631:$V$631=S$631),--($D1245:$V1245=1)),0)+SUM(S642)+IF(COUNTIF(S$1237:S1245,1)=1,5,0)+IF(COUNTIF(T643:$W643,"&gt;"&amp;0)&lt;5,IF(AND(COUNTIF(S$1237:S1245,1)&gt;7,MOD(1+IFERROR(MATCH($C643,总览!$D$46:$D$345,1)+1,1),7)=0),$C$3,0),0)</f>
        <v>0</v>
      </c>
      <c r="T643" s="131" cm="1">
        <f ca="1" t="array" ref="T643">IF(T1245=1,OFFSET($W$634,$B643,T$631-1)/SUMPRODUCT(--($D$631:$V$631=T$631),--($D1245:$V1245=1)),0)+SUM(T642)+IF(COUNTIF(T$1237:T1245,1)=1,5,0)+IF(COUNTIF(U643:$W643,"&gt;"&amp;0)&lt;5,IF(AND(COUNTIF(T$1237:T1245,1)&gt;7,MOD(1+IFERROR(MATCH($C643,总览!$D$46:$D$345,1)+1,1),7)=0),$C$3,0),0)</f>
        <v>0</v>
      </c>
      <c r="U643" s="131" cm="1">
        <f ca="1" t="array" ref="U643">IF(U1245=1,OFFSET($W$634,$B643,U$631-1)/SUMPRODUCT(--($D$631:$V$631=U$631),--($D1245:$V1245=1)),0)+SUM(U642)+IF(COUNTIF(U$1237:U1245,1)=1,5,0)+IF(COUNTIF(V643:$W643,"&gt;"&amp;0)&lt;5,IF(AND(COUNTIF(U$1237:U1245,1)&gt;7,MOD(1+IFERROR(MATCH($C643,总览!$D$46:$D$345,1)+1,1),7)=0),$C$3,0),0)</f>
        <v>0</v>
      </c>
      <c r="V643" s="131" cm="1">
        <f ca="1" t="array" ref="V643">IF(V1245=1,OFFSET($W$634,$B643,V$631-1)/SUMPRODUCT(--($D$631:$V$631=V$631),--($D1245:$V1245=1)),0)+SUM(V642)+IF(COUNTIF(V$1237:V1245,1)=1,5,0)+IF(COUNTIF(W643:$W643,"&gt;"&amp;0)&lt;5,IF(AND(COUNTIF(V$1237:V1245,1)&gt;7,MOD(1+IFERROR(MATCH($C643,总览!$D$46:$D$345,1)+1,1),7)=0),$C$3,0),0)</f>
        <v>0</v>
      </c>
      <c r="W643" s="135" cm="1">
        <f ca="1" t="array" ref="W643">SUMPRODUCT(TRANSPOSE($AA643:$AG643),OFFSET($L$9:$L$15,0,W$631-1))</f>
        <v>35.5</v>
      </c>
      <c r="X643" s="135" cm="1">
        <f ca="1" t="array" ref="X643">SUMPRODUCT(TRANSPOSE($AA643:$AG643),OFFSET($L$9:$L$15,0,X$631-1))</f>
        <v>12</v>
      </c>
      <c r="Y643" s="135" cm="1">
        <f ca="1" t="array" ref="Y643">SUMPRODUCT(TRANSPOSE($AA643:$AG643),OFFSET($L$9:$L$15,0,Y$631-1))</f>
        <v>2.5</v>
      </c>
      <c r="Z643" s="135" cm="1">
        <f ca="1" t="array" ref="Z643">SUMPRODUCT(TRANSPOSE($AA643:$AG643),OFFSET($L$9:$L$15,0,Z$631-1))</f>
        <v>0</v>
      </c>
      <c r="AA643" s="136">
        <f ca="1" t="shared" ref="AA643:AG643" si="257">AH643-AH642</f>
        <v>0</v>
      </c>
      <c r="AB643" s="136">
        <f ca="1" t="shared" si="257"/>
        <v>100</v>
      </c>
      <c r="AC643" s="136">
        <f ca="1" t="shared" si="257"/>
        <v>0</v>
      </c>
      <c r="AD643" s="136">
        <f ca="1" t="shared" si="257"/>
        <v>0</v>
      </c>
      <c r="AE643" s="136">
        <f ca="1" t="shared" si="257"/>
        <v>0</v>
      </c>
      <c r="AF643" s="136">
        <f ca="1" t="shared" si="257"/>
        <v>0</v>
      </c>
      <c r="AG643" s="136">
        <f ca="1" t="shared" si="257"/>
        <v>0</v>
      </c>
      <c r="AH643" s="136">
        <f ca="1" t="shared" si="241"/>
        <v>450</v>
      </c>
      <c r="AI643" s="136">
        <f ca="1" t="shared" ref="AI643:AN643" si="258">IF($C643&gt;OFFSET($Q$8,MATCH(AI$634,$AH$634:$AN$634,0),0),OFFSET($P$8,MATCH(AI$634,$AH$634:$AN$634,0),0),MAX(0,$C643-OFFSET($Q$8,RIGHT(AI$634,1)-1,0)))</f>
        <v>450</v>
      </c>
      <c r="AJ643" s="136">
        <f ca="1" t="shared" si="258"/>
        <v>0</v>
      </c>
      <c r="AK643" s="136">
        <f ca="1" t="shared" si="258"/>
        <v>0</v>
      </c>
      <c r="AL643" s="136">
        <f ca="1" t="shared" si="258"/>
        <v>0</v>
      </c>
      <c r="AM643" s="136">
        <f ca="1" t="shared" si="258"/>
        <v>0</v>
      </c>
      <c r="AN643" s="136">
        <f ca="1" t="shared" si="258"/>
        <v>0</v>
      </c>
      <c r="AP643" s="132">
        <v>9</v>
      </c>
      <c r="AQ643" s="132">
        <v>170</v>
      </c>
      <c r="AR643" s="132">
        <v>170</v>
      </c>
      <c r="AS643" s="132">
        <v>170</v>
      </c>
      <c r="AT643" s="132">
        <v>170</v>
      </c>
    </row>
    <row r="644" s="106" customFormat="1" ht="16.5" spans="2:46">
      <c r="B644" s="117">
        <v>10</v>
      </c>
      <c r="C644" s="130">
        <f t="shared" si="239"/>
        <v>1000</v>
      </c>
      <c r="D644" s="131" cm="1">
        <f ca="1" t="array" ref="D644">IF(D1246=1,OFFSET($W$634,$B644,D$631-1)/SUMPRODUCT(--($D$631:$V$631=D$631),--($D1246:$V1246=1)),0)+SUM(D643)+IF(COUNTIF(D$1237:D1246,1)=1,5,0)+IF(COUNTIF(E644:$W644,"&gt;"&amp;0)&lt;5,IF(AND(COUNTIF(D$1237:D1246,1)&gt;7,MOD(1+IFERROR(MATCH($C644,总览!$D$46:$D$345,1)+1,1),7)=0),$C$3,0),0)</f>
        <v>130.083333333333</v>
      </c>
      <c r="E644" s="131" cm="1">
        <f ca="1" t="array" ref="E644">IF(E1246=1,OFFSET($W$634,$B644,E$631-1)/SUMPRODUCT(--($D$631:$V$631=E$631),--($D1246:$V1246=1)),0)+SUM(E643)+IF(COUNTIF(E$1237:E1246,1)=1,5,0)+IF(COUNTIF(F644:$W644,"&gt;"&amp;0)&lt;5,IF(AND(COUNTIF(E$1237:E1246,1)&gt;7,MOD(1+IFERROR(MATCH($C644,总览!$D$46:$D$345,1)+1,1),7)=0),$C$3,0),0)</f>
        <v>130.083333333333</v>
      </c>
      <c r="F644" s="131" cm="1">
        <f ca="1" t="array" ref="F644">IF(F1246=1,OFFSET($W$634,$B644,F$631-1)/SUMPRODUCT(--($D$631:$V$631=F$631),--($D1246:$V1246=1)),0)+SUM(F643)+IF(COUNTIF(F$1237:F1246,1)=1,5,0)+IF(COUNTIF(G644:$W644,"&gt;"&amp;0)&lt;5,IF(AND(COUNTIF(F$1237:F1246,1)&gt;7,MOD(1+IFERROR(MATCH($C644,总览!$D$46:$D$345,1)+1,1),7)=0),$C$3,0),0)</f>
        <v>130.083333333333</v>
      </c>
      <c r="G644" s="131" cm="1">
        <f ca="1" t="array" ref="G644">IF(G1246=1,OFFSET($W$634,$B644,G$631-1)/SUMPRODUCT(--($D$631:$V$631=G$631),--($D1246:$V1246=1)),0)+SUM(G643)+IF(COUNTIF(G$1237:G1246,1)=1,5,0)+IF(COUNTIF(H644:$W644,"&gt;"&amp;0)&lt;5,IF(AND(COUNTIF(G$1237:G1246,1)&gt;7,MOD(1+IFERROR(MATCH($C644,总览!$D$46:$D$345,1)+1,1),7)=0),$C$3,0),0)</f>
        <v>26</v>
      </c>
      <c r="H644" s="131" cm="1">
        <f ca="1" t="array" ref="H644">IF(H1246=1,OFFSET($W$634,$B644,H$631-1)/SUMPRODUCT(--($D$631:$V$631=H$631),--($D1246:$V1246=1)),0)+SUM(H643)+IF(COUNTIF(H$1237:H1246,1)=1,5,0)+IF(COUNTIF(I644:$W644,"&gt;"&amp;0)&lt;5,IF(AND(COUNTIF(H$1237:H1246,1)&gt;7,MOD(1+IFERROR(MATCH($C644,总览!$D$46:$D$345,1)+1,1),7)=0),$C$3,0),0)</f>
        <v>26</v>
      </c>
      <c r="I644" s="131" cm="1">
        <f ca="1" t="array" ref="I644">IF(I1246=1,OFFSET($W$634,$B644,I$631-1)/SUMPRODUCT(--($D$631:$V$631=I$631),--($D1246:$V1246=1)),0)+SUM(I643)+IF(COUNTIF(I$1237:I1246,1)=1,5,0)+IF(COUNTIF(J644:$W644,"&gt;"&amp;0)&lt;5,IF(AND(COUNTIF(I$1237:I1246,1)&gt;7,MOD(1+IFERROR(MATCH($C644,总览!$D$46:$D$345,1)+1,1),7)=0),$C$3,0),0)</f>
        <v>26</v>
      </c>
      <c r="J644" s="131" cm="1">
        <f ca="1" t="array" ref="J644">IF(J1246=1,OFFSET($W$634,$B644,J$631-1)/SUMPRODUCT(--($D$631:$V$631=J$631),--($D1246:$V1246=1)),0)+SUM(J643)+IF(COUNTIF(J$1237:J1246,1)=1,5,0)+IF(COUNTIF(K644:$W644,"&gt;"&amp;0)&lt;5,IF(AND(COUNTIF(J$1237:J1246,1)&gt;7,MOD(1+IFERROR(MATCH($C644,总览!$D$46:$D$345,1)+1,1),7)=0),$C$3,0),0)</f>
        <v>22.6666666666667</v>
      </c>
      <c r="K644" s="131" cm="1">
        <f ca="1" t="array" ref="K644">IF(K1246=1,OFFSET($W$634,$B644,K$631-1)/SUMPRODUCT(--($D$631:$V$631=K$631),--($D1246:$V1246=1)),0)+SUM(K643)+IF(COUNTIF(K$1237:K1246,1)=1,5,0)+IF(COUNTIF(L644:$W644,"&gt;"&amp;0)&lt;5,IF(AND(COUNTIF(K$1237:K1246,1)&gt;7,MOD(1+IFERROR(MATCH($C644,总览!$D$46:$D$345,1)+1,1),7)=0),$C$3,0),0)</f>
        <v>20.1666666666667</v>
      </c>
      <c r="L644" s="131" cm="1">
        <f ca="1" t="array" ref="L644">IF(L1246=1,OFFSET($W$634,$B644,L$631-1)/SUMPRODUCT(--($D$631:$V$631=L$631),--($D1246:$V1246=1)),0)+SUM(L643)+IF(COUNTIF(L$1237:L1246,1)=1,5,0)+IF(COUNTIF(M644:$W644,"&gt;"&amp;0)&lt;5,IF(AND(COUNTIF(L$1237:L1246,1)&gt;7,MOD(1+IFERROR(MATCH($C644,总览!$D$46:$D$345,1)+1,1),7)=0),$C$3,0),0)</f>
        <v>20.1666666666667</v>
      </c>
      <c r="M644" s="131" cm="1">
        <f ca="1" t="array" ref="M644">IF(M1246=1,OFFSET($W$634,$B644,M$631-1)/SUMPRODUCT(--($D$631:$V$631=M$631),--($D1246:$V1246=1)),0)+SUM(M643)+IF(COUNTIF(M$1237:M1246,1)=1,5,0)+IF(COUNTIF(N644:$W644,"&gt;"&amp;0)&lt;5,IF(AND(COUNTIF(M$1237:M1246,1)&gt;7,MOD(1+IFERROR(MATCH($C644,总览!$D$46:$D$345,1)+1,1),7)=0),$C$3,0),0)</f>
        <v>11.875</v>
      </c>
      <c r="N644" s="131" cm="1">
        <f ca="1" t="array" ref="N644">IF(N1246=1,OFFSET($W$634,$B644,N$631-1)/SUMPRODUCT(--($D$631:$V$631=N$631),--($D1246:$V1246=1)),0)+SUM(N643)+IF(COUNTIF(N$1237:N1246,1)=1,5,0)+IF(COUNTIF(O644:$W644,"&gt;"&amp;0)&lt;5,IF(AND(COUNTIF(N$1237:N1246,1)&gt;7,MOD(1+IFERROR(MATCH($C644,总览!$D$46:$D$345,1)+1,1),7)=0),$C$3,0),0)</f>
        <v>8.125</v>
      </c>
      <c r="O644" s="131" cm="1">
        <f ca="1" t="array" ref="O644">IF(O1246=1,OFFSET($W$634,$B644,O$631-1)/SUMPRODUCT(--($D$631:$V$631=O$631),--($D1246:$V1246=1)),0)+SUM(O643)+IF(COUNTIF(O$1237:O1246,1)=1,5,0)+IF(COUNTIF(P644:$W644,"&gt;"&amp;0)&lt;5,IF(AND(COUNTIF(O$1237:O1246,1)&gt;7,MOD(1+IFERROR(MATCH($C644,总览!$D$46:$D$345,1)+1,1),7)=0),$C$3,0),0)</f>
        <v>8.125</v>
      </c>
      <c r="P644" s="131" cm="1">
        <f ca="1" t="array" ref="P644">IF(P1246=1,OFFSET($W$634,$B644,P$631-1)/SUMPRODUCT(--($D$631:$V$631=P$631),--($D1246:$V1246=1)),0)+SUM(P643)+IF(COUNTIF(P$1237:P1246,1)=1,5,0)+IF(COUNTIF(Q644:$W644,"&gt;"&amp;0)&lt;5,IF(AND(COUNTIF(P$1237:P1246,1)&gt;7,MOD(1+IFERROR(MATCH($C644,总览!$D$46:$D$345,1)+1,1),7)=0),$C$3,0),0)</f>
        <v>0</v>
      </c>
      <c r="Q644" s="131" cm="1">
        <f ca="1" t="array" ref="Q644">IF(Q1246=1,OFFSET($W$634,$B644,Q$631-1)/SUMPRODUCT(--($D$631:$V$631=Q$631),--($D1246:$V1246=1)),0)+SUM(Q643)+IF(COUNTIF(Q$1237:Q1246,1)=1,5,0)+IF(COUNTIF(R644:$W644,"&gt;"&amp;0)&lt;5,IF(AND(COUNTIF(Q$1237:Q1246,1)&gt;7,MOD(1+IFERROR(MATCH($C644,总览!$D$46:$D$345,1)+1,1),7)=0),$C$3,0),0)</f>
        <v>5.625</v>
      </c>
      <c r="R644" s="131" cm="1">
        <f ca="1" t="array" ref="R644">IF(R1246=1,OFFSET($W$634,$B644,R$631-1)/SUMPRODUCT(--($D$631:$V$631=R$631),--($D1246:$V1246=1)),0)+SUM(R643)+IF(COUNTIF(R$1237:R1246,1)=1,5,0)+IF(COUNTIF(S644:$W644,"&gt;"&amp;0)&lt;5,IF(AND(COUNTIF(R$1237:R1246,1)&gt;7,MOD(1+IFERROR(MATCH($C644,总览!$D$46:$D$345,1)+1,1),7)=0),$C$3,0),0)</f>
        <v>0</v>
      </c>
      <c r="S644" s="131" cm="1">
        <f ca="1" t="array" ref="S644">IF(S1246=1,OFFSET($W$634,$B644,S$631-1)/SUMPRODUCT(--($D$631:$V$631=S$631),--($D1246:$V1246=1)),0)+SUM(S643)+IF(COUNTIF(S$1237:S1246,1)=1,5,0)+IF(COUNTIF(T644:$W644,"&gt;"&amp;0)&lt;5,IF(AND(COUNTIF(S$1237:S1246,1)&gt;7,MOD(1+IFERROR(MATCH($C644,总览!$D$46:$D$345,1)+1,1),7)=0),$C$3,0),0)</f>
        <v>0</v>
      </c>
      <c r="T644" s="131" cm="1">
        <f ca="1" t="array" ref="T644">IF(T1246=1,OFFSET($W$634,$B644,T$631-1)/SUMPRODUCT(--($D$631:$V$631=T$631),--($D1246:$V1246=1)),0)+SUM(T643)+IF(COUNTIF(T$1237:T1246,1)=1,5,0)+IF(COUNTIF(U644:$W644,"&gt;"&amp;0)&lt;5,IF(AND(COUNTIF(T$1237:T1246,1)&gt;7,MOD(1+IFERROR(MATCH($C644,总览!$D$46:$D$345,1)+1,1),7)=0),$C$3,0),0)</f>
        <v>0</v>
      </c>
      <c r="U644" s="131" cm="1">
        <f ca="1" t="array" ref="U644">IF(U1246=1,OFFSET($W$634,$B644,U$631-1)/SUMPRODUCT(--($D$631:$V$631=U$631),--($D1246:$V1246=1)),0)+SUM(U643)+IF(COUNTIF(U$1237:U1246,1)=1,5,0)+IF(COUNTIF(V644:$W644,"&gt;"&amp;0)&lt;5,IF(AND(COUNTIF(U$1237:U1246,1)&gt;7,MOD(1+IFERROR(MATCH($C644,总览!$D$46:$D$345,1)+1,1),7)=0),$C$3,0),0)</f>
        <v>0</v>
      </c>
      <c r="V644" s="131" cm="1">
        <f ca="1" t="array" ref="V644">IF(V1246=1,OFFSET($W$634,$B644,V$631-1)/SUMPRODUCT(--($D$631:$V$631=V$631),--($D1246:$V1246=1)),0)+SUM(V643)+IF(COUNTIF(V$1237:V1246,1)=1,5,0)+IF(COUNTIF(W644:$W644,"&gt;"&amp;0)&lt;5,IF(AND(COUNTIF(V$1237:V1246,1)&gt;7,MOD(1+IFERROR(MATCH($C644,总览!$D$46:$D$345,1)+1,1),7)=0),$C$3,0),0)</f>
        <v>0</v>
      </c>
      <c r="W644" s="135" cm="1">
        <f ca="1" t="array" ref="W644">SUMPRODUCT(TRANSPOSE($AA644:$AG644),OFFSET($L$9:$L$15,0,W$631-1))</f>
        <v>35.5</v>
      </c>
      <c r="X644" s="135" cm="1">
        <f ca="1" t="array" ref="X644">SUMPRODUCT(TRANSPOSE($AA644:$AG644),OFFSET($L$9:$L$15,0,X$631-1))</f>
        <v>12</v>
      </c>
      <c r="Y644" s="135" cm="1">
        <f ca="1" t="array" ref="Y644">SUMPRODUCT(TRANSPOSE($AA644:$AG644),OFFSET($L$9:$L$15,0,Y$631-1))</f>
        <v>2.5</v>
      </c>
      <c r="Z644" s="135" cm="1">
        <f ca="1" t="array" ref="Z644">SUMPRODUCT(TRANSPOSE($AA644:$AG644),OFFSET($L$9:$L$15,0,Z$631-1))</f>
        <v>0</v>
      </c>
      <c r="AA644" s="136">
        <f ca="1" t="shared" ref="AA644:AG644" si="259">AH644-AH643</f>
        <v>0</v>
      </c>
      <c r="AB644" s="136">
        <f ca="1" t="shared" si="259"/>
        <v>100</v>
      </c>
      <c r="AC644" s="136">
        <f ca="1" t="shared" si="259"/>
        <v>0</v>
      </c>
      <c r="AD644" s="136">
        <f ca="1" t="shared" si="259"/>
        <v>0</v>
      </c>
      <c r="AE644" s="136">
        <f ca="1" t="shared" si="259"/>
        <v>0</v>
      </c>
      <c r="AF644" s="136">
        <f ca="1" t="shared" si="259"/>
        <v>0</v>
      </c>
      <c r="AG644" s="136">
        <f ca="1" t="shared" si="259"/>
        <v>0</v>
      </c>
      <c r="AH644" s="136">
        <f ca="1" t="shared" si="241"/>
        <v>450</v>
      </c>
      <c r="AI644" s="136">
        <f ca="1" t="shared" ref="AI644:AN644" si="260">IF($C644&gt;OFFSET($Q$8,MATCH(AI$634,$AH$634:$AN$634,0),0),OFFSET($P$8,MATCH(AI$634,$AH$634:$AN$634,0),0),MAX(0,$C644-OFFSET($Q$8,RIGHT(AI$634,1)-1,0)))</f>
        <v>550</v>
      </c>
      <c r="AJ644" s="136">
        <f ca="1" t="shared" si="260"/>
        <v>0</v>
      </c>
      <c r="AK644" s="136">
        <f ca="1" t="shared" si="260"/>
        <v>0</v>
      </c>
      <c r="AL644" s="136">
        <f ca="1" t="shared" si="260"/>
        <v>0</v>
      </c>
      <c r="AM644" s="136">
        <f ca="1" t="shared" si="260"/>
        <v>0</v>
      </c>
      <c r="AN644" s="136">
        <f ca="1" t="shared" si="260"/>
        <v>0</v>
      </c>
      <c r="AP644" s="132">
        <v>10</v>
      </c>
      <c r="AQ644" s="132">
        <v>200</v>
      </c>
      <c r="AR644" s="132">
        <v>200</v>
      </c>
      <c r="AS644" s="132">
        <v>200</v>
      </c>
      <c r="AT644" s="132">
        <v>200</v>
      </c>
    </row>
    <row r="645" s="106" customFormat="1" ht="16.5" spans="2:46">
      <c r="B645" s="117">
        <v>11</v>
      </c>
      <c r="C645" s="130">
        <f t="shared" si="239"/>
        <v>1100</v>
      </c>
      <c r="D645" s="131" cm="1">
        <f ca="1" t="array" ref="D645">IF(D1247=1,OFFSET($W$634,$B645,D$631-1)/SUMPRODUCT(--($D$631:$V$631=D$631),--($D1247:$V1247=1)),0)+SUM(D644)+IF(COUNTIF(D$1237:D1247,1)=1,5,0)+IF(COUNTIF(E645:$W645,"&gt;"&amp;0)&lt;5,IF(AND(COUNTIF(D$1237:D1247,1)&gt;7,MOD(1+IFERROR(MATCH($C645,总览!$D$46:$D$345,1)+1,1),7)=0),$C$3,0),0)</f>
        <v>141.916666666667</v>
      </c>
      <c r="E645" s="131" cm="1">
        <f ca="1" t="array" ref="E645">IF(E1247=1,OFFSET($W$634,$B645,E$631-1)/SUMPRODUCT(--($D$631:$V$631=E$631),--($D1247:$V1247=1)),0)+SUM(E644)+IF(COUNTIF(E$1237:E1247,1)=1,5,0)+IF(COUNTIF(F645:$W645,"&gt;"&amp;0)&lt;5,IF(AND(COUNTIF(E$1237:E1247,1)&gt;7,MOD(1+IFERROR(MATCH($C645,总览!$D$46:$D$345,1)+1,1),7)=0),$C$3,0),0)</f>
        <v>141.916666666667</v>
      </c>
      <c r="F645" s="131" cm="1">
        <f ca="1" t="array" ref="F645">IF(F1247=1,OFFSET($W$634,$B645,F$631-1)/SUMPRODUCT(--($D$631:$V$631=F$631),--($D1247:$V1247=1)),0)+SUM(F644)+IF(COUNTIF(F$1237:F1247,1)=1,5,0)+IF(COUNTIF(G645:$W645,"&gt;"&amp;0)&lt;5,IF(AND(COUNTIF(F$1237:F1247,1)&gt;7,MOD(1+IFERROR(MATCH($C645,总览!$D$46:$D$345,1)+1,1),7)=0),$C$3,0),0)</f>
        <v>141.916666666667</v>
      </c>
      <c r="G645" s="131" cm="1">
        <f ca="1" t="array" ref="G645">IF(G1247=1,OFFSET($W$634,$B645,G$631-1)/SUMPRODUCT(--($D$631:$V$631=G$631),--($D1247:$V1247=1)),0)+SUM(G644)+IF(COUNTIF(G$1237:G1247,1)=1,5,0)+IF(COUNTIF(H645:$W645,"&gt;"&amp;0)&lt;5,IF(AND(COUNTIF(G$1237:G1247,1)&gt;7,MOD(1+IFERROR(MATCH($C645,总览!$D$46:$D$345,1)+1,1),7)=0),$C$3,0),0)</f>
        <v>28</v>
      </c>
      <c r="H645" s="131" cm="1">
        <f ca="1" t="array" ref="H645">IF(H1247=1,OFFSET($W$634,$B645,H$631-1)/SUMPRODUCT(--($D$631:$V$631=H$631),--($D1247:$V1247=1)),0)+SUM(H644)+IF(COUNTIF(H$1237:H1247,1)=1,5,0)+IF(COUNTIF(I645:$W645,"&gt;"&amp;0)&lt;5,IF(AND(COUNTIF(H$1237:H1247,1)&gt;7,MOD(1+IFERROR(MATCH($C645,总览!$D$46:$D$345,1)+1,1),7)=0),$C$3,0),0)</f>
        <v>28</v>
      </c>
      <c r="I645" s="131" cm="1">
        <f ca="1" t="array" ref="I645">IF(I1247=1,OFFSET($W$634,$B645,I$631-1)/SUMPRODUCT(--($D$631:$V$631=I$631),--($D1247:$V1247=1)),0)+SUM(I644)+IF(COUNTIF(I$1237:I1247,1)=1,5,0)+IF(COUNTIF(J645:$W645,"&gt;"&amp;0)&lt;5,IF(AND(COUNTIF(I$1237:I1247,1)&gt;7,MOD(1+IFERROR(MATCH($C645,总览!$D$46:$D$345,1)+1,1),7)=0),$C$3,0),0)</f>
        <v>28</v>
      </c>
      <c r="J645" s="131" cm="1">
        <f ca="1" t="array" ref="J645">IF(J1247=1,OFFSET($W$634,$B645,J$631-1)/SUMPRODUCT(--($D$631:$V$631=J$631),--($D1247:$V1247=1)),0)+SUM(J644)+IF(COUNTIF(J$1237:J1247,1)=1,5,0)+IF(COUNTIF(K645:$W645,"&gt;"&amp;0)&lt;5,IF(AND(COUNTIF(J$1237:J1247,1)&gt;7,MOD(1+IFERROR(MATCH($C645,总览!$D$46:$D$345,1)+1,1),7)=0),$C$3,0),0)</f>
        <v>24.6666666666667</v>
      </c>
      <c r="K645" s="131" cm="1">
        <f ca="1" t="array" ref="K645">IF(K1247=1,OFFSET($W$634,$B645,K$631-1)/SUMPRODUCT(--($D$631:$V$631=K$631),--($D1247:$V1247=1)),0)+SUM(K644)+IF(COUNTIF(K$1237:K1247,1)=1,5,0)+IF(COUNTIF(L645:$W645,"&gt;"&amp;0)&lt;5,IF(AND(COUNTIF(K$1237:K1247,1)&gt;7,MOD(1+IFERROR(MATCH($C645,总览!$D$46:$D$345,1)+1,1),7)=0),$C$3,0),0)</f>
        <v>22.1666666666667</v>
      </c>
      <c r="L645" s="131" cm="1">
        <f ca="1" t="array" ref="L645">IF(L1247=1,OFFSET($W$634,$B645,L$631-1)/SUMPRODUCT(--($D$631:$V$631=L$631),--($D1247:$V1247=1)),0)+SUM(L644)+IF(COUNTIF(L$1237:L1247,1)=1,5,0)+IF(COUNTIF(M645:$W645,"&gt;"&amp;0)&lt;5,IF(AND(COUNTIF(L$1237:L1247,1)&gt;7,MOD(1+IFERROR(MATCH($C645,总览!$D$46:$D$345,1)+1,1),7)=0),$C$3,0),0)</f>
        <v>22.1666666666667</v>
      </c>
      <c r="M645" s="131" cm="1">
        <f ca="1" t="array" ref="M645">IF(M1247=1,OFFSET($W$634,$B645,M$631-1)/SUMPRODUCT(--($D$631:$V$631=M$631),--($D1247:$V1247=1)),0)+SUM(M644)+IF(COUNTIF(M$1237:M1247,1)=1,5,0)+IF(COUNTIF(N645:$W645,"&gt;"&amp;0)&lt;5,IF(AND(COUNTIF(M$1237:M1247,1)&gt;7,MOD(1+IFERROR(MATCH($C645,总览!$D$46:$D$345,1)+1,1),7)=0),$C$3,0),0)</f>
        <v>12.5</v>
      </c>
      <c r="N645" s="131" cm="1">
        <f ca="1" t="array" ref="N645">IF(N1247=1,OFFSET($W$634,$B645,N$631-1)/SUMPRODUCT(--($D$631:$V$631=N$631),--($D1247:$V1247=1)),0)+SUM(N644)+IF(COUNTIF(N$1237:N1247,1)=1,5,0)+IF(COUNTIF(O645:$W645,"&gt;"&amp;0)&lt;5,IF(AND(COUNTIF(N$1237:N1247,1)&gt;7,MOD(1+IFERROR(MATCH($C645,总览!$D$46:$D$345,1)+1,1),7)=0),$C$3,0),0)</f>
        <v>8.75</v>
      </c>
      <c r="O645" s="131" cm="1">
        <f ca="1" t="array" ref="O645">IF(O1247=1,OFFSET($W$634,$B645,O$631-1)/SUMPRODUCT(--($D$631:$V$631=O$631),--($D1247:$V1247=1)),0)+SUM(O644)+IF(COUNTIF(O$1237:O1247,1)=1,5,0)+IF(COUNTIF(P645:$W645,"&gt;"&amp;0)&lt;5,IF(AND(COUNTIF(O$1237:O1247,1)&gt;7,MOD(1+IFERROR(MATCH($C645,总览!$D$46:$D$345,1)+1,1),7)=0),$C$3,0),0)</f>
        <v>8.75</v>
      </c>
      <c r="P645" s="131" cm="1">
        <f ca="1" t="array" ref="P645">IF(P1247=1,OFFSET($W$634,$B645,P$631-1)/SUMPRODUCT(--($D$631:$V$631=P$631),--($D1247:$V1247=1)),0)+SUM(P644)+IF(COUNTIF(P$1237:P1247,1)=1,5,0)+IF(COUNTIF(Q645:$W645,"&gt;"&amp;0)&lt;5,IF(AND(COUNTIF(P$1237:P1247,1)&gt;7,MOD(1+IFERROR(MATCH($C645,总览!$D$46:$D$345,1)+1,1),7)=0),$C$3,0),0)</f>
        <v>0</v>
      </c>
      <c r="Q645" s="131" cm="1">
        <f ca="1" t="array" ref="Q645">IF(Q1247=1,OFFSET($W$634,$B645,Q$631-1)/SUMPRODUCT(--($D$631:$V$631=Q$631),--($D1247:$V1247=1)),0)+SUM(Q644)+IF(COUNTIF(Q$1237:Q1247,1)=1,5,0)+IF(COUNTIF(R645:$W645,"&gt;"&amp;0)&lt;5,IF(AND(COUNTIF(Q$1237:Q1247,1)&gt;7,MOD(1+IFERROR(MATCH($C645,总览!$D$46:$D$345,1)+1,1),7)=0),$C$3,0),0)</f>
        <v>6.25</v>
      </c>
      <c r="R645" s="131" cm="1">
        <f ca="1" t="array" ref="R645">IF(R1247=1,OFFSET($W$634,$B645,R$631-1)/SUMPRODUCT(--($D$631:$V$631=R$631),--($D1247:$V1247=1)),0)+SUM(R644)+IF(COUNTIF(R$1237:R1247,1)=1,5,0)+IF(COUNTIF(S645:$W645,"&gt;"&amp;0)&lt;5,IF(AND(COUNTIF(R$1237:R1247,1)&gt;7,MOD(1+IFERROR(MATCH($C645,总览!$D$46:$D$345,1)+1,1),7)=0),$C$3,0),0)</f>
        <v>0</v>
      </c>
      <c r="S645" s="131" cm="1">
        <f ca="1" t="array" ref="S645">IF(S1247=1,OFFSET($W$634,$B645,S$631-1)/SUMPRODUCT(--($D$631:$V$631=S$631),--($D1247:$V1247=1)),0)+SUM(S644)+IF(COUNTIF(S$1237:S1247,1)=1,5,0)+IF(COUNTIF(T645:$W645,"&gt;"&amp;0)&lt;5,IF(AND(COUNTIF(S$1237:S1247,1)&gt;7,MOD(1+IFERROR(MATCH($C645,总览!$D$46:$D$345,1)+1,1),7)=0),$C$3,0),0)</f>
        <v>0</v>
      </c>
      <c r="T645" s="131" cm="1">
        <f ca="1" t="array" ref="T645">IF(T1247=1,OFFSET($W$634,$B645,T$631-1)/SUMPRODUCT(--($D$631:$V$631=T$631),--($D1247:$V1247=1)),0)+SUM(T644)+IF(COUNTIF(T$1237:T1247,1)=1,5,0)+IF(COUNTIF(U645:$W645,"&gt;"&amp;0)&lt;5,IF(AND(COUNTIF(T$1237:T1247,1)&gt;7,MOD(1+IFERROR(MATCH($C645,总览!$D$46:$D$345,1)+1,1),7)=0),$C$3,0),0)</f>
        <v>0</v>
      </c>
      <c r="U645" s="131" cm="1">
        <f ca="1" t="array" ref="U645">IF(U1247=1,OFFSET($W$634,$B645,U$631-1)/SUMPRODUCT(--($D$631:$V$631=U$631),--($D1247:$V1247=1)),0)+SUM(U644)+IF(COUNTIF(U$1237:U1247,1)=1,5,0)+IF(COUNTIF(V645:$W645,"&gt;"&amp;0)&lt;5,IF(AND(COUNTIF(U$1237:U1247,1)&gt;7,MOD(1+IFERROR(MATCH($C645,总览!$D$46:$D$345,1)+1,1),7)=0),$C$3,0),0)</f>
        <v>0</v>
      </c>
      <c r="V645" s="131" cm="1">
        <f ca="1" t="array" ref="V645">IF(V1247=1,OFFSET($W$634,$B645,V$631-1)/SUMPRODUCT(--($D$631:$V$631=V$631),--($D1247:$V1247=1)),0)+SUM(V644)+IF(COUNTIF(V$1237:V1247,1)=1,5,0)+IF(COUNTIF(W645:$W645,"&gt;"&amp;0)&lt;5,IF(AND(COUNTIF(V$1237:V1247,1)&gt;7,MOD(1+IFERROR(MATCH($C645,总览!$D$46:$D$345,1)+1,1),7)=0),$C$3,0),0)</f>
        <v>0</v>
      </c>
      <c r="W645" s="135" cm="1">
        <f ca="1" t="array" ref="W645">SUMPRODUCT(TRANSPOSE($AA645:$AG645),OFFSET($L$9:$L$15,0,W$631-1))</f>
        <v>35.5</v>
      </c>
      <c r="X645" s="135" cm="1">
        <f ca="1" t="array" ref="X645">SUMPRODUCT(TRANSPOSE($AA645:$AG645),OFFSET($L$9:$L$15,0,X$631-1))</f>
        <v>12</v>
      </c>
      <c r="Y645" s="135" cm="1">
        <f ca="1" t="array" ref="Y645">SUMPRODUCT(TRANSPOSE($AA645:$AG645),OFFSET($L$9:$L$15,0,Y$631-1))</f>
        <v>2.5</v>
      </c>
      <c r="Z645" s="135" cm="1">
        <f ca="1" t="array" ref="Z645">SUMPRODUCT(TRANSPOSE($AA645:$AG645),OFFSET($L$9:$L$15,0,Z$631-1))</f>
        <v>0</v>
      </c>
      <c r="AA645" s="136">
        <f ca="1" t="shared" ref="AA645:AG645" si="261">AH645-AH644</f>
        <v>0</v>
      </c>
      <c r="AB645" s="136">
        <f ca="1" t="shared" si="261"/>
        <v>100</v>
      </c>
      <c r="AC645" s="136">
        <f ca="1" t="shared" si="261"/>
        <v>0</v>
      </c>
      <c r="AD645" s="136">
        <f ca="1" t="shared" si="261"/>
        <v>0</v>
      </c>
      <c r="AE645" s="136">
        <f ca="1" t="shared" si="261"/>
        <v>0</v>
      </c>
      <c r="AF645" s="136">
        <f ca="1" t="shared" si="261"/>
        <v>0</v>
      </c>
      <c r="AG645" s="136">
        <f ca="1" t="shared" si="261"/>
        <v>0</v>
      </c>
      <c r="AH645" s="136">
        <f ca="1" t="shared" si="241"/>
        <v>450</v>
      </c>
      <c r="AI645" s="136">
        <f ca="1" t="shared" ref="AI645:AN645" si="262">IF($C645&gt;OFFSET($Q$8,MATCH(AI$634,$AH$634:$AN$634,0),0),OFFSET($P$8,MATCH(AI$634,$AH$634:$AN$634,0),0),MAX(0,$C645-OFFSET($Q$8,RIGHT(AI$634,1)-1,0)))</f>
        <v>650</v>
      </c>
      <c r="AJ645" s="136">
        <f ca="1" t="shared" si="262"/>
        <v>0</v>
      </c>
      <c r="AK645" s="136">
        <f ca="1" t="shared" si="262"/>
        <v>0</v>
      </c>
      <c r="AL645" s="136">
        <f ca="1" t="shared" si="262"/>
        <v>0</v>
      </c>
      <c r="AM645" s="136">
        <f ca="1" t="shared" si="262"/>
        <v>0</v>
      </c>
      <c r="AN645" s="136">
        <f ca="1" t="shared" si="262"/>
        <v>0</v>
      </c>
      <c r="AP645" s="132">
        <v>11</v>
      </c>
      <c r="AQ645" s="132">
        <v>260</v>
      </c>
      <c r="AR645" s="132">
        <v>260</v>
      </c>
      <c r="AS645" s="132">
        <v>260</v>
      </c>
      <c r="AT645" s="132">
        <v>250</v>
      </c>
    </row>
    <row r="646" s="106" customFormat="1" ht="16.5" spans="2:46">
      <c r="B646" s="117">
        <v>12</v>
      </c>
      <c r="C646" s="130">
        <f t="shared" si="239"/>
        <v>1200</v>
      </c>
      <c r="D646" s="131" cm="1">
        <f ca="1" t="array" ref="D646">IF(D1248=1,OFFSET($W$634,$B646,D$631-1)/SUMPRODUCT(--($D$631:$V$631=D$631),--($D1248:$V1248=1)),0)+SUM(D645)+IF(COUNTIF(D$1237:D1248,1)=1,5,0)+IF(COUNTIF(E646:$W646,"&gt;"&amp;0)&lt;5,IF(AND(COUNTIF(D$1237:D1248,1)&gt;7,MOD(1+IFERROR(MATCH($C646,总览!$D$46:$D$345,1)+1,1),7)=0),$C$3,0),0)</f>
        <v>153.75</v>
      </c>
      <c r="E646" s="131" cm="1">
        <f ca="1" t="array" ref="E646">IF(E1248=1,OFFSET($W$634,$B646,E$631-1)/SUMPRODUCT(--($D$631:$V$631=E$631),--($D1248:$V1248=1)),0)+SUM(E645)+IF(COUNTIF(E$1237:E1248,1)=1,5,0)+IF(COUNTIF(F646:$W646,"&gt;"&amp;0)&lt;5,IF(AND(COUNTIF(E$1237:E1248,1)&gt;7,MOD(1+IFERROR(MATCH($C646,总览!$D$46:$D$345,1)+1,1),7)=0),$C$3,0),0)</f>
        <v>153.75</v>
      </c>
      <c r="F646" s="131" cm="1">
        <f ca="1" t="array" ref="F646">IF(F1248=1,OFFSET($W$634,$B646,F$631-1)/SUMPRODUCT(--($D$631:$V$631=F$631),--($D1248:$V1248=1)),0)+SUM(F645)+IF(COUNTIF(F$1237:F1248,1)=1,5,0)+IF(COUNTIF(G646:$W646,"&gt;"&amp;0)&lt;5,IF(AND(COUNTIF(F$1237:F1248,1)&gt;7,MOD(1+IFERROR(MATCH($C646,总览!$D$46:$D$345,1)+1,1),7)=0),$C$3,0),0)</f>
        <v>153.75</v>
      </c>
      <c r="G646" s="131" cm="1">
        <f ca="1" t="array" ref="G646">IF(G1248=1,OFFSET($W$634,$B646,G$631-1)/SUMPRODUCT(--($D$631:$V$631=G$631),--($D1248:$V1248=1)),0)+SUM(G645)+IF(COUNTIF(G$1237:G1248,1)=1,5,0)+IF(COUNTIF(H646:$W646,"&gt;"&amp;0)&lt;5,IF(AND(COUNTIF(G$1237:G1248,1)&gt;7,MOD(1+IFERROR(MATCH($C646,总览!$D$46:$D$345,1)+1,1),7)=0),$C$3,0),0)</f>
        <v>30</v>
      </c>
      <c r="H646" s="131" cm="1">
        <f ca="1" t="array" ref="H646">IF(H1248=1,OFFSET($W$634,$B646,H$631-1)/SUMPRODUCT(--($D$631:$V$631=H$631),--($D1248:$V1248=1)),0)+SUM(H645)+IF(COUNTIF(H$1237:H1248,1)=1,5,0)+IF(COUNTIF(I646:$W646,"&gt;"&amp;0)&lt;5,IF(AND(COUNTIF(H$1237:H1248,1)&gt;7,MOD(1+IFERROR(MATCH($C646,总览!$D$46:$D$345,1)+1,1),7)=0),$C$3,0),0)</f>
        <v>30</v>
      </c>
      <c r="I646" s="131" cm="1">
        <f ca="1" t="array" ref="I646">IF(I1248=1,OFFSET($W$634,$B646,I$631-1)/SUMPRODUCT(--($D$631:$V$631=I$631),--($D1248:$V1248=1)),0)+SUM(I645)+IF(COUNTIF(I$1237:I1248,1)=1,5,0)+IF(COUNTIF(J646:$W646,"&gt;"&amp;0)&lt;5,IF(AND(COUNTIF(I$1237:I1248,1)&gt;7,MOD(1+IFERROR(MATCH($C646,总览!$D$46:$D$345,1)+1,1),7)=0),$C$3,0),0)</f>
        <v>30</v>
      </c>
      <c r="J646" s="131" cm="1">
        <f ca="1" t="array" ref="J646">IF(J1248=1,OFFSET($W$634,$B646,J$631-1)/SUMPRODUCT(--($D$631:$V$631=J$631),--($D1248:$V1248=1)),0)+SUM(J645)+IF(COUNTIF(J$1237:J1248,1)=1,5,0)+IF(COUNTIF(K646:$W646,"&gt;"&amp;0)&lt;5,IF(AND(COUNTIF(J$1237:J1248,1)&gt;7,MOD(1+IFERROR(MATCH($C646,总览!$D$46:$D$345,1)+1,1),7)=0),$C$3,0),0)</f>
        <v>26.6666666666667</v>
      </c>
      <c r="K646" s="131" cm="1">
        <f ca="1" t="array" ref="K646">IF(K1248=1,OFFSET($W$634,$B646,K$631-1)/SUMPRODUCT(--($D$631:$V$631=K$631),--($D1248:$V1248=1)),0)+SUM(K645)+IF(COUNTIF(K$1237:K1248,1)=1,5,0)+IF(COUNTIF(L646:$W646,"&gt;"&amp;0)&lt;5,IF(AND(COUNTIF(K$1237:K1248,1)&gt;7,MOD(1+IFERROR(MATCH($C646,总览!$D$46:$D$345,1)+1,1),7)=0),$C$3,0),0)</f>
        <v>24.1666666666667</v>
      </c>
      <c r="L646" s="131" cm="1">
        <f ca="1" t="array" ref="L646">IF(L1248=1,OFFSET($W$634,$B646,L$631-1)/SUMPRODUCT(--($D$631:$V$631=L$631),--($D1248:$V1248=1)),0)+SUM(L645)+IF(COUNTIF(L$1237:L1248,1)=1,5,0)+IF(COUNTIF(M646:$W646,"&gt;"&amp;0)&lt;5,IF(AND(COUNTIF(L$1237:L1248,1)&gt;7,MOD(1+IFERROR(MATCH($C646,总览!$D$46:$D$345,1)+1,1),7)=0),$C$3,0),0)</f>
        <v>24.1666666666667</v>
      </c>
      <c r="M646" s="131" cm="1">
        <f ca="1" t="array" ref="M646">IF(M1248=1,OFFSET($W$634,$B646,M$631-1)/SUMPRODUCT(--($D$631:$V$631=M$631),--($D1248:$V1248=1)),0)+SUM(M645)+IF(COUNTIF(M$1237:M1248,1)=1,5,0)+IF(COUNTIF(N646:$W646,"&gt;"&amp;0)&lt;5,IF(AND(COUNTIF(M$1237:M1248,1)&gt;7,MOD(1+IFERROR(MATCH($C646,总览!$D$46:$D$345,1)+1,1),7)=0),$C$3,0),0)</f>
        <v>13.125</v>
      </c>
      <c r="N646" s="131" cm="1">
        <f ca="1" t="array" ref="N646">IF(N1248=1,OFFSET($W$634,$B646,N$631-1)/SUMPRODUCT(--($D$631:$V$631=N$631),--($D1248:$V1248=1)),0)+SUM(N645)+IF(COUNTIF(N$1237:N1248,1)=1,5,0)+IF(COUNTIF(O646:$W646,"&gt;"&amp;0)&lt;5,IF(AND(COUNTIF(N$1237:N1248,1)&gt;7,MOD(1+IFERROR(MATCH($C646,总览!$D$46:$D$345,1)+1,1),7)=0),$C$3,0),0)</f>
        <v>9.375</v>
      </c>
      <c r="O646" s="131" cm="1">
        <f ca="1" t="array" ref="O646">IF(O1248=1,OFFSET($W$634,$B646,O$631-1)/SUMPRODUCT(--($D$631:$V$631=O$631),--($D1248:$V1248=1)),0)+SUM(O645)+IF(COUNTIF(O$1237:O1248,1)=1,5,0)+IF(COUNTIF(P646:$W646,"&gt;"&amp;0)&lt;5,IF(AND(COUNTIF(O$1237:O1248,1)&gt;7,MOD(1+IFERROR(MATCH($C646,总览!$D$46:$D$345,1)+1,1),7)=0),$C$3,0),0)</f>
        <v>9.375</v>
      </c>
      <c r="P646" s="131" cm="1">
        <f ca="1" t="array" ref="P646">IF(P1248=1,OFFSET($W$634,$B646,P$631-1)/SUMPRODUCT(--($D$631:$V$631=P$631),--($D1248:$V1248=1)),0)+SUM(P645)+IF(COUNTIF(P$1237:P1248,1)=1,5,0)+IF(COUNTIF(Q646:$W646,"&gt;"&amp;0)&lt;5,IF(AND(COUNTIF(P$1237:P1248,1)&gt;7,MOD(1+IFERROR(MATCH($C646,总览!$D$46:$D$345,1)+1,1),7)=0),$C$3,0),0)</f>
        <v>0</v>
      </c>
      <c r="Q646" s="131" cm="1">
        <f ca="1" t="array" ref="Q646">IF(Q1248=1,OFFSET($W$634,$B646,Q$631-1)/SUMPRODUCT(--($D$631:$V$631=Q$631),--($D1248:$V1248=1)),0)+SUM(Q645)+IF(COUNTIF(Q$1237:Q1248,1)=1,5,0)+IF(COUNTIF(R646:$W646,"&gt;"&amp;0)&lt;5,IF(AND(COUNTIF(Q$1237:Q1248,1)&gt;7,MOD(1+IFERROR(MATCH($C646,总览!$D$46:$D$345,1)+1,1),7)=0),$C$3,0),0)</f>
        <v>6.875</v>
      </c>
      <c r="R646" s="131" cm="1">
        <f ca="1" t="array" ref="R646">IF(R1248=1,OFFSET($W$634,$B646,R$631-1)/SUMPRODUCT(--($D$631:$V$631=R$631),--($D1248:$V1248=1)),0)+SUM(R645)+IF(COUNTIF(R$1237:R1248,1)=1,5,0)+IF(COUNTIF(S646:$W646,"&gt;"&amp;0)&lt;5,IF(AND(COUNTIF(R$1237:R1248,1)&gt;7,MOD(1+IFERROR(MATCH($C646,总览!$D$46:$D$345,1)+1,1),7)=0),$C$3,0),0)</f>
        <v>0</v>
      </c>
      <c r="S646" s="131" cm="1">
        <f ca="1" t="array" ref="S646">IF(S1248=1,OFFSET($W$634,$B646,S$631-1)/SUMPRODUCT(--($D$631:$V$631=S$631),--($D1248:$V1248=1)),0)+SUM(S645)+IF(COUNTIF(S$1237:S1248,1)=1,5,0)+IF(COUNTIF(T646:$W646,"&gt;"&amp;0)&lt;5,IF(AND(COUNTIF(S$1237:S1248,1)&gt;7,MOD(1+IFERROR(MATCH($C646,总览!$D$46:$D$345,1)+1,1),7)=0),$C$3,0),0)</f>
        <v>0</v>
      </c>
      <c r="T646" s="131" cm="1">
        <f ca="1" t="array" ref="T646">IF(T1248=1,OFFSET($W$634,$B646,T$631-1)/SUMPRODUCT(--($D$631:$V$631=T$631),--($D1248:$V1248=1)),0)+SUM(T645)+IF(COUNTIF(T$1237:T1248,1)=1,5,0)+IF(COUNTIF(U646:$W646,"&gt;"&amp;0)&lt;5,IF(AND(COUNTIF(T$1237:T1248,1)&gt;7,MOD(1+IFERROR(MATCH($C646,总览!$D$46:$D$345,1)+1,1),7)=0),$C$3,0),0)</f>
        <v>0</v>
      </c>
      <c r="U646" s="131" cm="1">
        <f ca="1" t="array" ref="U646">IF(U1248=1,OFFSET($W$634,$B646,U$631-1)/SUMPRODUCT(--($D$631:$V$631=U$631),--($D1248:$V1248=1)),0)+SUM(U645)+IF(COUNTIF(U$1237:U1248,1)=1,5,0)+IF(COUNTIF(V646:$W646,"&gt;"&amp;0)&lt;5,IF(AND(COUNTIF(U$1237:U1248,1)&gt;7,MOD(1+IFERROR(MATCH($C646,总览!$D$46:$D$345,1)+1,1),7)=0),$C$3,0),0)</f>
        <v>0</v>
      </c>
      <c r="V646" s="131" cm="1">
        <f ca="1" t="array" ref="V646">IF(V1248=1,OFFSET($W$634,$B646,V$631-1)/SUMPRODUCT(--($D$631:$V$631=V$631),--($D1248:$V1248=1)),0)+SUM(V645)+IF(COUNTIF(V$1237:V1248,1)=1,5,0)+IF(COUNTIF(W646:$W646,"&gt;"&amp;0)&lt;5,IF(AND(COUNTIF(V$1237:V1248,1)&gt;7,MOD(1+IFERROR(MATCH($C646,总览!$D$46:$D$345,1)+1,1),7)=0),$C$3,0),0)</f>
        <v>0</v>
      </c>
      <c r="W646" s="135" cm="1">
        <f ca="1" t="array" ref="W646">SUMPRODUCT(TRANSPOSE($AA646:$AG646),OFFSET($L$9:$L$15,0,W$631-1))</f>
        <v>35.5</v>
      </c>
      <c r="X646" s="135" cm="1">
        <f ca="1" t="array" ref="X646">SUMPRODUCT(TRANSPOSE($AA646:$AG646),OFFSET($L$9:$L$15,0,X$631-1))</f>
        <v>12</v>
      </c>
      <c r="Y646" s="135" cm="1">
        <f ca="1" t="array" ref="Y646">SUMPRODUCT(TRANSPOSE($AA646:$AG646),OFFSET($L$9:$L$15,0,Y$631-1))</f>
        <v>2.5</v>
      </c>
      <c r="Z646" s="135" cm="1">
        <f ca="1" t="array" ref="Z646">SUMPRODUCT(TRANSPOSE($AA646:$AG646),OFFSET($L$9:$L$15,0,Z$631-1))</f>
        <v>0</v>
      </c>
      <c r="AA646" s="136">
        <f ca="1" t="shared" ref="AA646:AG646" si="263">AH646-AH645</f>
        <v>0</v>
      </c>
      <c r="AB646" s="136">
        <f ca="1" t="shared" si="263"/>
        <v>100</v>
      </c>
      <c r="AC646" s="136">
        <f ca="1" t="shared" si="263"/>
        <v>0</v>
      </c>
      <c r="AD646" s="136">
        <f ca="1" t="shared" si="263"/>
        <v>0</v>
      </c>
      <c r="AE646" s="136">
        <f ca="1" t="shared" si="263"/>
        <v>0</v>
      </c>
      <c r="AF646" s="136">
        <f ca="1" t="shared" si="263"/>
        <v>0</v>
      </c>
      <c r="AG646" s="136">
        <f ca="1" t="shared" si="263"/>
        <v>0</v>
      </c>
      <c r="AH646" s="136">
        <f ca="1" t="shared" si="241"/>
        <v>450</v>
      </c>
      <c r="AI646" s="136">
        <f ca="1" t="shared" ref="AI646:AN646" si="264">IF($C646&gt;OFFSET($Q$8,MATCH(AI$634,$AH$634:$AN$634,0),0),OFFSET($P$8,MATCH(AI$634,$AH$634:$AN$634,0),0),MAX(0,$C646-OFFSET($Q$8,RIGHT(AI$634,1)-1,0)))</f>
        <v>750</v>
      </c>
      <c r="AJ646" s="136">
        <f ca="1" t="shared" si="264"/>
        <v>0</v>
      </c>
      <c r="AK646" s="136">
        <f ca="1" t="shared" si="264"/>
        <v>0</v>
      </c>
      <c r="AL646" s="136">
        <f ca="1" t="shared" si="264"/>
        <v>0</v>
      </c>
      <c r="AM646" s="136">
        <f ca="1" t="shared" si="264"/>
        <v>0</v>
      </c>
      <c r="AN646" s="136">
        <f ca="1" t="shared" si="264"/>
        <v>0</v>
      </c>
      <c r="AP646" s="132">
        <v>12</v>
      </c>
      <c r="AQ646" s="132">
        <v>320</v>
      </c>
      <c r="AR646" s="132">
        <v>320</v>
      </c>
      <c r="AS646" s="132">
        <v>320</v>
      </c>
      <c r="AT646" s="132">
        <v>300</v>
      </c>
    </row>
    <row r="647" s="106" customFormat="1" ht="16.5" spans="2:46">
      <c r="B647" s="117">
        <v>13</v>
      </c>
      <c r="C647" s="130">
        <f t="shared" si="239"/>
        <v>1300</v>
      </c>
      <c r="D647" s="131" cm="1">
        <f ca="1" t="array" ref="D647">IF(D1249=1,OFFSET($W$634,$B647,D$631-1)/SUMPRODUCT(--($D$631:$V$631=D$631),--($D1249:$V1249=1)),0)+SUM(D646)+IF(COUNTIF(D$1237:D1249,1)=1,5,0)+IF(COUNTIF(E647:$W647,"&gt;"&amp;0)&lt;5,IF(AND(COUNTIF(D$1237:D1249,1)&gt;7,MOD(1+IFERROR(MATCH($C647,总览!$D$46:$D$345,1)+1,1),7)=0),$C$3,0),0)</f>
        <v>165.583333333333</v>
      </c>
      <c r="E647" s="131" cm="1">
        <f ca="1" t="array" ref="E647">IF(E1249=1,OFFSET($W$634,$B647,E$631-1)/SUMPRODUCT(--($D$631:$V$631=E$631),--($D1249:$V1249=1)),0)+SUM(E646)+IF(COUNTIF(E$1237:E1249,1)=1,5,0)+IF(COUNTIF(F647:$W647,"&gt;"&amp;0)&lt;5,IF(AND(COUNTIF(E$1237:E1249,1)&gt;7,MOD(1+IFERROR(MATCH($C647,总览!$D$46:$D$345,1)+1,1),7)=0),$C$3,0),0)</f>
        <v>165.583333333333</v>
      </c>
      <c r="F647" s="131" cm="1">
        <f ca="1" t="array" ref="F647">IF(F1249=1,OFFSET($W$634,$B647,F$631-1)/SUMPRODUCT(--($D$631:$V$631=F$631),--($D1249:$V1249=1)),0)+SUM(F646)+IF(COUNTIF(F$1237:F1249,1)=1,5,0)+IF(COUNTIF(G647:$W647,"&gt;"&amp;0)&lt;5,IF(AND(COUNTIF(F$1237:F1249,1)&gt;7,MOD(1+IFERROR(MATCH($C647,总览!$D$46:$D$345,1)+1,1),7)=0),$C$3,0),0)</f>
        <v>165.583333333333</v>
      </c>
      <c r="G647" s="131" cm="1">
        <f ca="1" t="array" ref="G647">IF(G1249=1,OFFSET($W$634,$B647,G$631-1)/SUMPRODUCT(--($D$631:$V$631=G$631),--($D1249:$V1249=1)),0)+SUM(G646)+IF(COUNTIF(G$1237:G1249,1)=1,5,0)+IF(COUNTIF(H647:$W647,"&gt;"&amp;0)&lt;5,IF(AND(COUNTIF(G$1237:G1249,1)&gt;7,MOD(1+IFERROR(MATCH($C647,总览!$D$46:$D$345,1)+1,1),7)=0),$C$3,0),0)</f>
        <v>32</v>
      </c>
      <c r="H647" s="131" cm="1">
        <f ca="1" t="array" ref="H647">IF(H1249=1,OFFSET($W$634,$B647,H$631-1)/SUMPRODUCT(--($D$631:$V$631=H$631),--($D1249:$V1249=1)),0)+SUM(H646)+IF(COUNTIF(H$1237:H1249,1)=1,5,0)+IF(COUNTIF(I647:$W647,"&gt;"&amp;0)&lt;5,IF(AND(COUNTIF(H$1237:H1249,1)&gt;7,MOD(1+IFERROR(MATCH($C647,总览!$D$46:$D$345,1)+1,1),7)=0),$C$3,0),0)</f>
        <v>32</v>
      </c>
      <c r="I647" s="131" cm="1">
        <f ca="1" t="array" ref="I647">IF(I1249=1,OFFSET($W$634,$B647,I$631-1)/SUMPRODUCT(--($D$631:$V$631=I$631),--($D1249:$V1249=1)),0)+SUM(I646)+IF(COUNTIF(I$1237:I1249,1)=1,5,0)+IF(COUNTIF(J647:$W647,"&gt;"&amp;0)&lt;5,IF(AND(COUNTIF(I$1237:I1249,1)&gt;7,MOD(1+IFERROR(MATCH($C647,总览!$D$46:$D$345,1)+1,1),7)=0),$C$3,0),0)</f>
        <v>32</v>
      </c>
      <c r="J647" s="131" cm="1">
        <f ca="1" t="array" ref="J647">IF(J1249=1,OFFSET($W$634,$B647,J$631-1)/SUMPRODUCT(--($D$631:$V$631=J$631),--($D1249:$V1249=1)),0)+SUM(J646)+IF(COUNTIF(J$1237:J1249,1)=1,5,0)+IF(COUNTIF(K647:$W647,"&gt;"&amp;0)&lt;5,IF(AND(COUNTIF(J$1237:J1249,1)&gt;7,MOD(1+IFERROR(MATCH($C647,总览!$D$46:$D$345,1)+1,1),7)=0),$C$3,0),0)</f>
        <v>28.6666666666667</v>
      </c>
      <c r="K647" s="131" cm="1">
        <f ca="1" t="array" ref="K647">IF(K1249=1,OFFSET($W$634,$B647,K$631-1)/SUMPRODUCT(--($D$631:$V$631=K$631),--($D1249:$V1249=1)),0)+SUM(K646)+IF(COUNTIF(K$1237:K1249,1)=1,5,0)+IF(COUNTIF(L647:$W647,"&gt;"&amp;0)&lt;5,IF(AND(COUNTIF(K$1237:K1249,1)&gt;7,MOD(1+IFERROR(MATCH($C647,总览!$D$46:$D$345,1)+1,1),7)=0),$C$3,0),0)</f>
        <v>26.1666666666667</v>
      </c>
      <c r="L647" s="131" cm="1">
        <f ca="1" t="array" ref="L647">IF(L1249=1,OFFSET($W$634,$B647,L$631-1)/SUMPRODUCT(--($D$631:$V$631=L$631),--($D1249:$V1249=1)),0)+SUM(L646)+IF(COUNTIF(L$1237:L1249,1)=1,5,0)+IF(COUNTIF(M647:$W647,"&gt;"&amp;0)&lt;5,IF(AND(COUNTIF(L$1237:L1249,1)&gt;7,MOD(1+IFERROR(MATCH($C647,总览!$D$46:$D$345,1)+1,1),7)=0),$C$3,0),0)</f>
        <v>26.1666666666667</v>
      </c>
      <c r="M647" s="131" cm="1">
        <f ca="1" t="array" ref="M647">IF(M1249=1,OFFSET($W$634,$B647,M$631-1)/SUMPRODUCT(--($D$631:$V$631=M$631),--($D1249:$V1249=1)),0)+SUM(M646)+IF(COUNTIF(M$1237:M1249,1)=1,5,0)+IF(COUNTIF(N647:$W647,"&gt;"&amp;0)&lt;5,IF(AND(COUNTIF(M$1237:M1249,1)&gt;7,MOD(1+IFERROR(MATCH($C647,总览!$D$46:$D$345,1)+1,1),7)=0),$C$3,0),0)</f>
        <v>13.75</v>
      </c>
      <c r="N647" s="131" cm="1">
        <f ca="1" t="array" ref="N647">IF(N1249=1,OFFSET($W$634,$B647,N$631-1)/SUMPRODUCT(--($D$631:$V$631=N$631),--($D1249:$V1249=1)),0)+SUM(N646)+IF(COUNTIF(N$1237:N1249,1)=1,5,0)+IF(COUNTIF(O647:$W647,"&gt;"&amp;0)&lt;5,IF(AND(COUNTIF(N$1237:N1249,1)&gt;7,MOD(1+IFERROR(MATCH($C647,总览!$D$46:$D$345,1)+1,1),7)=0),$C$3,0),0)</f>
        <v>10</v>
      </c>
      <c r="O647" s="131" cm="1">
        <f ca="1" t="array" ref="O647">IF(O1249=1,OFFSET($W$634,$B647,O$631-1)/SUMPRODUCT(--($D$631:$V$631=O$631),--($D1249:$V1249=1)),0)+SUM(O646)+IF(COUNTIF(O$1237:O1249,1)=1,5,0)+IF(COUNTIF(P647:$W647,"&gt;"&amp;0)&lt;5,IF(AND(COUNTIF(O$1237:O1249,1)&gt;7,MOD(1+IFERROR(MATCH($C647,总览!$D$46:$D$345,1)+1,1),7)=0),$C$3,0),0)</f>
        <v>10</v>
      </c>
      <c r="P647" s="131" cm="1">
        <f ca="1" t="array" ref="P647">IF(P1249=1,OFFSET($W$634,$B647,P$631-1)/SUMPRODUCT(--($D$631:$V$631=P$631),--($D1249:$V1249=1)),0)+SUM(P646)+IF(COUNTIF(P$1237:P1249,1)=1,5,0)+IF(COUNTIF(Q647:$W647,"&gt;"&amp;0)&lt;5,IF(AND(COUNTIF(P$1237:P1249,1)&gt;7,MOD(1+IFERROR(MATCH($C647,总览!$D$46:$D$345,1)+1,1),7)=0),$C$3,0),0)</f>
        <v>0</v>
      </c>
      <c r="Q647" s="131" cm="1">
        <f ca="1" t="array" ref="Q647">IF(Q1249=1,OFFSET($W$634,$B647,Q$631-1)/SUMPRODUCT(--($D$631:$V$631=Q$631),--($D1249:$V1249=1)),0)+SUM(Q646)+IF(COUNTIF(Q$1237:Q1249,1)=1,5,0)+IF(COUNTIF(R647:$W647,"&gt;"&amp;0)&lt;5,IF(AND(COUNTIF(Q$1237:Q1249,1)&gt;7,MOD(1+IFERROR(MATCH($C647,总览!$D$46:$D$345,1)+1,1),7)=0),$C$3,0),0)</f>
        <v>7.5</v>
      </c>
      <c r="R647" s="131" cm="1">
        <f ca="1" t="array" ref="R647">IF(R1249=1,OFFSET($W$634,$B647,R$631-1)/SUMPRODUCT(--($D$631:$V$631=R$631),--($D1249:$V1249=1)),0)+SUM(R646)+IF(COUNTIF(R$1237:R1249,1)=1,5,0)+IF(COUNTIF(S647:$W647,"&gt;"&amp;0)&lt;5,IF(AND(COUNTIF(R$1237:R1249,1)&gt;7,MOD(1+IFERROR(MATCH($C647,总览!$D$46:$D$345,1)+1,1),7)=0),$C$3,0),0)</f>
        <v>0</v>
      </c>
      <c r="S647" s="131" cm="1">
        <f ca="1" t="array" ref="S647">IF(S1249=1,OFFSET($W$634,$B647,S$631-1)/SUMPRODUCT(--($D$631:$V$631=S$631),--($D1249:$V1249=1)),0)+SUM(S646)+IF(COUNTIF(S$1237:S1249,1)=1,5,0)+IF(COUNTIF(T647:$W647,"&gt;"&amp;0)&lt;5,IF(AND(COUNTIF(S$1237:S1249,1)&gt;7,MOD(1+IFERROR(MATCH($C647,总览!$D$46:$D$345,1)+1,1),7)=0),$C$3,0),0)</f>
        <v>0</v>
      </c>
      <c r="T647" s="131" cm="1">
        <f ca="1" t="array" ref="T647">IF(T1249=1,OFFSET($W$634,$B647,T$631-1)/SUMPRODUCT(--($D$631:$V$631=T$631),--($D1249:$V1249=1)),0)+SUM(T646)+IF(COUNTIF(T$1237:T1249,1)=1,5,0)+IF(COUNTIF(U647:$W647,"&gt;"&amp;0)&lt;5,IF(AND(COUNTIF(T$1237:T1249,1)&gt;7,MOD(1+IFERROR(MATCH($C647,总览!$D$46:$D$345,1)+1,1),7)=0),$C$3,0),0)</f>
        <v>0</v>
      </c>
      <c r="U647" s="131" cm="1">
        <f ca="1" t="array" ref="U647">IF(U1249=1,OFFSET($W$634,$B647,U$631-1)/SUMPRODUCT(--($D$631:$V$631=U$631),--($D1249:$V1249=1)),0)+SUM(U646)+IF(COUNTIF(U$1237:U1249,1)=1,5,0)+IF(COUNTIF(V647:$W647,"&gt;"&amp;0)&lt;5,IF(AND(COUNTIF(U$1237:U1249,1)&gt;7,MOD(1+IFERROR(MATCH($C647,总览!$D$46:$D$345,1)+1,1),7)=0),$C$3,0),0)</f>
        <v>0</v>
      </c>
      <c r="V647" s="131" cm="1">
        <f ca="1" t="array" ref="V647">IF(V1249=1,OFFSET($W$634,$B647,V$631-1)/SUMPRODUCT(--($D$631:$V$631=V$631),--($D1249:$V1249=1)),0)+SUM(V646)+IF(COUNTIF(V$1237:V1249,1)=1,5,0)+IF(COUNTIF(W647:$W647,"&gt;"&amp;0)&lt;5,IF(AND(COUNTIF(V$1237:V1249,1)&gt;7,MOD(1+IFERROR(MATCH($C647,总览!$D$46:$D$345,1)+1,1),7)=0),$C$3,0),0)</f>
        <v>0</v>
      </c>
      <c r="W647" s="135" cm="1">
        <f ca="1" t="array" ref="W647">SUMPRODUCT(TRANSPOSE($AA647:$AG647),OFFSET($L$9:$L$15,0,W$631-1))</f>
        <v>35.5</v>
      </c>
      <c r="X647" s="135" cm="1">
        <f ca="1" t="array" ref="X647">SUMPRODUCT(TRANSPOSE($AA647:$AG647),OFFSET($L$9:$L$15,0,X$631-1))</f>
        <v>12</v>
      </c>
      <c r="Y647" s="135" cm="1">
        <f ca="1" t="array" ref="Y647">SUMPRODUCT(TRANSPOSE($AA647:$AG647),OFFSET($L$9:$L$15,0,Y$631-1))</f>
        <v>2.5</v>
      </c>
      <c r="Z647" s="135" cm="1">
        <f ca="1" t="array" ref="Z647">SUMPRODUCT(TRANSPOSE($AA647:$AG647),OFFSET($L$9:$L$15,0,Z$631-1))</f>
        <v>0</v>
      </c>
      <c r="AA647" s="136">
        <f ca="1" t="shared" ref="AA647:AG647" si="265">AH647-AH646</f>
        <v>0</v>
      </c>
      <c r="AB647" s="136">
        <f ca="1" t="shared" si="265"/>
        <v>100</v>
      </c>
      <c r="AC647" s="136">
        <f ca="1" t="shared" si="265"/>
        <v>0</v>
      </c>
      <c r="AD647" s="136">
        <f ca="1" t="shared" si="265"/>
        <v>0</v>
      </c>
      <c r="AE647" s="136">
        <f ca="1" t="shared" si="265"/>
        <v>0</v>
      </c>
      <c r="AF647" s="136">
        <f ca="1" t="shared" si="265"/>
        <v>0</v>
      </c>
      <c r="AG647" s="136">
        <f ca="1" t="shared" si="265"/>
        <v>0</v>
      </c>
      <c r="AH647" s="136">
        <f ca="1" t="shared" si="241"/>
        <v>450</v>
      </c>
      <c r="AI647" s="136">
        <f ca="1" t="shared" ref="AI647:AN647" si="266">IF($C647&gt;OFFSET($Q$8,MATCH(AI$634,$AH$634:$AN$634,0),0),OFFSET($P$8,MATCH(AI$634,$AH$634:$AN$634,0),0),MAX(0,$C647-OFFSET($Q$8,RIGHT(AI$634,1)-1,0)))</f>
        <v>850</v>
      </c>
      <c r="AJ647" s="136">
        <f ca="1" t="shared" si="266"/>
        <v>0</v>
      </c>
      <c r="AK647" s="136">
        <f ca="1" t="shared" si="266"/>
        <v>0</v>
      </c>
      <c r="AL647" s="136">
        <f ca="1" t="shared" si="266"/>
        <v>0</v>
      </c>
      <c r="AM647" s="136">
        <f ca="1" t="shared" si="266"/>
        <v>0</v>
      </c>
      <c r="AN647" s="136">
        <f ca="1" t="shared" si="266"/>
        <v>0</v>
      </c>
      <c r="AP647" s="132">
        <v>13</v>
      </c>
      <c r="AQ647" s="132">
        <v>380</v>
      </c>
      <c r="AR647" s="132">
        <v>380</v>
      </c>
      <c r="AS647" s="132">
        <v>380</v>
      </c>
      <c r="AT647" s="132">
        <v>350</v>
      </c>
    </row>
    <row r="648" s="106" customFormat="1" ht="16.5" spans="2:46">
      <c r="B648" s="117">
        <v>14</v>
      </c>
      <c r="C648" s="130">
        <f t="shared" si="239"/>
        <v>1400</v>
      </c>
      <c r="D648" s="131" cm="1">
        <f ca="1" t="array" ref="D648">IF(D1250=1,OFFSET($W$634,$B648,D$631-1)/SUMPRODUCT(--($D$631:$V$631=D$631),--($D1250:$V1250=1)),0)+SUM(D647)+IF(COUNTIF(D$1237:D1250,1)=1,5,0)+IF(COUNTIF(E648:$W648,"&gt;"&amp;0)&lt;5,IF(AND(COUNTIF(D$1237:D1250,1)&gt;7,MOD(1+IFERROR(MATCH($C648,总览!$D$46:$D$345,1)+1,1),7)=0),$C$3,0),0)</f>
        <v>176.801666666667</v>
      </c>
      <c r="E648" s="131" cm="1">
        <f ca="1" t="array" ref="E648">IF(E1250=1,OFFSET($W$634,$B648,E$631-1)/SUMPRODUCT(--($D$631:$V$631=E$631),--($D1250:$V1250=1)),0)+SUM(E647)+IF(COUNTIF(E$1237:E1250,1)=1,5,0)+IF(COUNTIF(F648:$W648,"&gt;"&amp;0)&lt;5,IF(AND(COUNTIF(E$1237:E1250,1)&gt;7,MOD(1+IFERROR(MATCH($C648,总览!$D$46:$D$345,1)+1,1),7)=0),$C$3,0),0)</f>
        <v>176.801666666667</v>
      </c>
      <c r="F648" s="131" cm="1">
        <f ca="1" t="array" ref="F648">IF(F1250=1,OFFSET($W$634,$B648,F$631-1)/SUMPRODUCT(--($D$631:$V$631=F$631),--($D1250:$V1250=1)),0)+SUM(F647)+IF(COUNTIF(F$1237:F1250,1)=1,5,0)+IF(COUNTIF(G648:$W648,"&gt;"&amp;0)&lt;5,IF(AND(COUNTIF(F$1237:F1250,1)&gt;7,MOD(1+IFERROR(MATCH($C648,总览!$D$46:$D$345,1)+1,1),7)=0),$C$3,0),0)</f>
        <v>176.801666666667</v>
      </c>
      <c r="G648" s="131" cm="1">
        <f ca="1" t="array" ref="G648">IF(G1250=1,OFFSET($W$634,$B648,G$631-1)/SUMPRODUCT(--($D$631:$V$631=G$631),--($D1250:$V1250=1)),0)+SUM(G647)+IF(COUNTIF(G$1237:G1250,1)=1,5,0)+IF(COUNTIF(H648:$W648,"&gt;"&amp;0)&lt;5,IF(AND(COUNTIF(G$1237:G1250,1)&gt;7,MOD(1+IFERROR(MATCH($C648,总览!$D$46:$D$345,1)+1,1),7)=0),$C$3,0),0)</f>
        <v>34.1366666666667</v>
      </c>
      <c r="H648" s="131" cm="1">
        <f ca="1" t="array" ref="H648">IF(H1250=1,OFFSET($W$634,$B648,H$631-1)/SUMPRODUCT(--($D$631:$V$631=H$631),--($D1250:$V1250=1)),0)+SUM(H647)+IF(COUNTIF(H$1237:H1250,1)=1,5,0)+IF(COUNTIF(I648:$W648,"&gt;"&amp;0)&lt;5,IF(AND(COUNTIF(H$1237:H1250,1)&gt;7,MOD(1+IFERROR(MATCH($C648,总览!$D$46:$D$345,1)+1,1),7)=0),$C$3,0),0)</f>
        <v>34.1366666666667</v>
      </c>
      <c r="I648" s="131" cm="1">
        <f ca="1" t="array" ref="I648">IF(I1250=1,OFFSET($W$634,$B648,I$631-1)/SUMPRODUCT(--($D$631:$V$631=I$631),--($D1250:$V1250=1)),0)+SUM(I647)+IF(COUNTIF(I$1237:I1250,1)=1,5,0)+IF(COUNTIF(J648:$W648,"&gt;"&amp;0)&lt;5,IF(AND(COUNTIF(I$1237:I1250,1)&gt;7,MOD(1+IFERROR(MATCH($C648,总览!$D$46:$D$345,1)+1,1),7)=0),$C$3,0),0)</f>
        <v>34.1366666666667</v>
      </c>
      <c r="J648" s="131" cm="1">
        <f ca="1" t="array" ref="J648">IF(J1250=1,OFFSET($W$634,$B648,J$631-1)/SUMPRODUCT(--($D$631:$V$631=J$631),--($D1250:$V1250=1)),0)+SUM(J647)+IF(COUNTIF(J$1237:J1250,1)=1,5,0)+IF(COUNTIF(K648:$W648,"&gt;"&amp;0)&lt;5,IF(AND(COUNTIF(J$1237:J1250,1)&gt;7,MOD(1+IFERROR(MATCH($C648,总览!$D$46:$D$345,1)+1,1),7)=0),$C$3,0),0)</f>
        <v>30.8033333333333</v>
      </c>
      <c r="K648" s="131" cm="1">
        <f ca="1" t="array" ref="K648">IF(K1250=1,OFFSET($W$634,$B648,K$631-1)/SUMPRODUCT(--($D$631:$V$631=K$631),--($D1250:$V1250=1)),0)+SUM(K647)+IF(COUNTIF(K$1237:K1250,1)=1,5,0)+IF(COUNTIF(L648:$W648,"&gt;"&amp;0)&lt;5,IF(AND(COUNTIF(K$1237:K1250,1)&gt;7,MOD(1+IFERROR(MATCH($C648,总览!$D$46:$D$345,1)+1,1),7)=0),$C$3,0),0)</f>
        <v>28.3033333333333</v>
      </c>
      <c r="L648" s="131" cm="1">
        <f ca="1" t="array" ref="L648">IF(L1250=1,OFFSET($W$634,$B648,L$631-1)/SUMPRODUCT(--($D$631:$V$631=L$631),--($D1250:$V1250=1)),0)+SUM(L647)+IF(COUNTIF(L$1237:L1250,1)=1,5,0)+IF(COUNTIF(M648:$W648,"&gt;"&amp;0)&lt;5,IF(AND(COUNTIF(L$1237:L1250,1)&gt;7,MOD(1+IFERROR(MATCH($C648,总览!$D$46:$D$345,1)+1,1),7)=0),$C$3,0),0)</f>
        <v>28.3033333333333</v>
      </c>
      <c r="M648" s="131" cm="1">
        <f ca="1" t="array" ref="M648">IF(M1250=1,OFFSET($W$634,$B648,M$631-1)/SUMPRODUCT(--($D$631:$V$631=M$631),--($D1250:$V1250=1)),0)+SUM(M647)+IF(COUNTIF(M$1237:M1250,1)=1,5,0)+IF(COUNTIF(N648:$W648,"&gt;"&amp;0)&lt;5,IF(AND(COUNTIF(M$1237:M1250,1)&gt;7,MOD(1+IFERROR(MATCH($C648,总览!$D$46:$D$345,1)+1,1),7)=0),$C$3,0),0)</f>
        <v>14.63125</v>
      </c>
      <c r="N648" s="131" cm="1">
        <f ca="1" t="array" ref="N648">IF(N1250=1,OFFSET($W$634,$B648,N$631-1)/SUMPRODUCT(--($D$631:$V$631=N$631),--($D1250:$V1250=1)),0)+SUM(N647)+IF(COUNTIF(N$1237:N1250,1)=1,5,0)+IF(COUNTIF(O648:$W648,"&gt;"&amp;0)&lt;5,IF(AND(COUNTIF(N$1237:N1250,1)&gt;7,MOD(1+IFERROR(MATCH($C648,总览!$D$46:$D$345,1)+1,1),7)=0),$C$3,0),0)</f>
        <v>10.88125</v>
      </c>
      <c r="O648" s="131" cm="1">
        <f ca="1" t="array" ref="O648">IF(O1250=1,OFFSET($W$634,$B648,O$631-1)/SUMPRODUCT(--($D$631:$V$631=O$631),--($D1250:$V1250=1)),0)+SUM(O647)+IF(COUNTIF(O$1237:O1250,1)=1,5,0)+IF(COUNTIF(P648:$W648,"&gt;"&amp;0)&lt;5,IF(AND(COUNTIF(O$1237:O1250,1)&gt;7,MOD(1+IFERROR(MATCH($C648,总览!$D$46:$D$345,1)+1,1),7)=0),$C$3,0),0)</f>
        <v>10.88125</v>
      </c>
      <c r="P648" s="131" cm="1">
        <f ca="1" t="array" ref="P648">IF(P1250=1,OFFSET($W$634,$B648,P$631-1)/SUMPRODUCT(--($D$631:$V$631=P$631),--($D1250:$V1250=1)),0)+SUM(P647)+IF(COUNTIF(P$1237:P1250,1)=1,5,0)+IF(COUNTIF(Q648:$W648,"&gt;"&amp;0)&lt;5,IF(AND(COUNTIF(P$1237:P1250,1)&gt;7,MOD(1+IFERROR(MATCH($C648,总览!$D$46:$D$345,1)+1,1),7)=0),$C$3,0),0)</f>
        <v>0</v>
      </c>
      <c r="Q648" s="131" cm="1">
        <f ca="1" t="array" ref="Q648">IF(Q1250=1,OFFSET($W$634,$B648,Q$631-1)/SUMPRODUCT(--($D$631:$V$631=Q$631),--($D1250:$V1250=1)),0)+SUM(Q647)+IF(COUNTIF(Q$1237:Q1250,1)=1,5,0)+IF(COUNTIF(R648:$W648,"&gt;"&amp;0)&lt;5,IF(AND(COUNTIF(Q$1237:Q1250,1)&gt;7,MOD(1+IFERROR(MATCH($C648,总览!$D$46:$D$345,1)+1,1),7)=0),$C$3,0),0)</f>
        <v>8.38125</v>
      </c>
      <c r="R648" s="131" cm="1">
        <f ca="1" t="array" ref="R648">IF(R1250=1,OFFSET($W$634,$B648,R$631-1)/SUMPRODUCT(--($D$631:$V$631=R$631),--($D1250:$V1250=1)),0)+SUM(R647)+IF(COUNTIF(R$1237:R1250,1)=1,5,0)+IF(COUNTIF(S648:$W648,"&gt;"&amp;0)&lt;5,IF(AND(COUNTIF(R$1237:R1250,1)&gt;7,MOD(1+IFERROR(MATCH($C648,总览!$D$46:$D$345,1)+1,1),7)=0),$C$3,0),0)</f>
        <v>0</v>
      </c>
      <c r="S648" s="131" cm="1">
        <f ca="1" t="array" ref="S648">IF(S1250=1,OFFSET($W$634,$B648,S$631-1)/SUMPRODUCT(--($D$631:$V$631=S$631),--($D1250:$V1250=1)),0)+SUM(S647)+IF(COUNTIF(S$1237:S1250,1)=1,5,0)+IF(COUNTIF(T648:$W648,"&gt;"&amp;0)&lt;5,IF(AND(COUNTIF(S$1237:S1250,1)&gt;7,MOD(1+IFERROR(MATCH($C648,总览!$D$46:$D$345,1)+1,1),7)=0),$C$3,0),0)</f>
        <v>0</v>
      </c>
      <c r="T648" s="131" cm="1">
        <f ca="1" t="array" ref="T648">IF(T1250=1,OFFSET($W$634,$B648,T$631-1)/SUMPRODUCT(--($D$631:$V$631=T$631),--($D1250:$V1250=1)),0)+SUM(T647)+IF(COUNTIF(T$1237:T1250,1)=1,5,0)+IF(COUNTIF(U648:$W648,"&gt;"&amp;0)&lt;5,IF(AND(COUNTIF(T$1237:T1250,1)&gt;7,MOD(1+IFERROR(MATCH($C648,总览!$D$46:$D$345,1)+1,1),7)=0),$C$3,0),0)</f>
        <v>0</v>
      </c>
      <c r="U648" s="131" cm="1">
        <f ca="1" t="array" ref="U648">IF(U1250=1,OFFSET($W$634,$B648,U$631-1)/SUMPRODUCT(--($D$631:$V$631=U$631),--($D1250:$V1250=1)),0)+SUM(U647)+IF(COUNTIF(U$1237:U1250,1)=1,5,0)+IF(COUNTIF(V648:$W648,"&gt;"&amp;0)&lt;5,IF(AND(COUNTIF(U$1237:U1250,1)&gt;7,MOD(1+IFERROR(MATCH($C648,总览!$D$46:$D$345,1)+1,1),7)=0),$C$3,0),0)</f>
        <v>0</v>
      </c>
      <c r="V648" s="131" cm="1">
        <f ca="1" t="array" ref="V648">IF(V1250=1,OFFSET($W$634,$B648,V$631-1)/SUMPRODUCT(--($D$631:$V$631=V$631),--($D1250:$V1250=1)),0)+SUM(V647)+IF(COUNTIF(V$1237:V1250,1)=1,5,0)+IF(COUNTIF(W648:$W648,"&gt;"&amp;0)&lt;5,IF(AND(COUNTIF(V$1237:V1250,1)&gt;7,MOD(1+IFERROR(MATCH($C648,总览!$D$46:$D$345,1)+1,1),7)=0),$C$3,0),0)</f>
        <v>0</v>
      </c>
      <c r="W648" s="135" cm="1">
        <f ca="1" t="array" ref="W648">SUMPRODUCT(TRANSPOSE($AA648:$AG648),OFFSET($L$9:$L$15,0,W$631-1))</f>
        <v>33.655</v>
      </c>
      <c r="X648" s="135" cm="1">
        <f ca="1" t="array" ref="X648">SUMPRODUCT(TRANSPOSE($AA648:$AG648),OFFSET($L$9:$L$15,0,X$631-1))</f>
        <v>12.82</v>
      </c>
      <c r="Y648" s="135" cm="1">
        <f ca="1" t="array" ref="Y648">SUMPRODUCT(TRANSPOSE($AA648:$AG648),OFFSET($L$9:$L$15,0,Y$631-1))</f>
        <v>3.525</v>
      </c>
      <c r="Z648" s="135" cm="1">
        <f ca="1" t="array" ref="Z648">SUMPRODUCT(TRANSPOSE($AA648:$AG648),OFFSET($L$9:$L$15,0,Z$631-1))</f>
        <v>0</v>
      </c>
      <c r="AA648" s="136">
        <f ca="1" t="shared" ref="AA648:AG648" si="267">AH648-AH647</f>
        <v>0</v>
      </c>
      <c r="AB648" s="136">
        <f ca="1" t="shared" si="267"/>
        <v>59</v>
      </c>
      <c r="AC648" s="136">
        <f ca="1" t="shared" si="267"/>
        <v>41</v>
      </c>
      <c r="AD648" s="136">
        <f ca="1" t="shared" si="267"/>
        <v>0</v>
      </c>
      <c r="AE648" s="136">
        <f ca="1" t="shared" si="267"/>
        <v>0</v>
      </c>
      <c r="AF648" s="136">
        <f ca="1" t="shared" si="267"/>
        <v>0</v>
      </c>
      <c r="AG648" s="136">
        <f ca="1" t="shared" si="267"/>
        <v>0</v>
      </c>
      <c r="AH648" s="136">
        <f ca="1" t="shared" si="241"/>
        <v>450</v>
      </c>
      <c r="AI648" s="136">
        <f ca="1" t="shared" ref="AI648:AN648" si="268">IF($C648&gt;OFFSET($Q$8,MATCH(AI$634,$AH$634:$AN$634,0),0),OFFSET($P$8,MATCH(AI$634,$AH$634:$AN$634,0),0),MAX(0,$C648-OFFSET($Q$8,RIGHT(AI$634,1)-1,0)))</f>
        <v>909</v>
      </c>
      <c r="AJ648" s="136">
        <f ca="1" t="shared" si="268"/>
        <v>41</v>
      </c>
      <c r="AK648" s="136">
        <f ca="1" t="shared" si="268"/>
        <v>0</v>
      </c>
      <c r="AL648" s="136">
        <f ca="1" t="shared" si="268"/>
        <v>0</v>
      </c>
      <c r="AM648" s="136">
        <f ca="1" t="shared" si="268"/>
        <v>0</v>
      </c>
      <c r="AN648" s="136">
        <f ca="1" t="shared" si="268"/>
        <v>0</v>
      </c>
      <c r="AP648" s="132">
        <v>14</v>
      </c>
      <c r="AQ648" s="132">
        <v>440</v>
      </c>
      <c r="AR648" s="132">
        <v>440</v>
      </c>
      <c r="AS648" s="132">
        <v>440</v>
      </c>
      <c r="AT648" s="132">
        <v>400</v>
      </c>
    </row>
    <row r="649" s="106" customFormat="1" ht="16.5" spans="2:46">
      <c r="B649" s="117">
        <v>15</v>
      </c>
      <c r="C649" s="130">
        <f t="shared" si="239"/>
        <v>1500</v>
      </c>
      <c r="D649" s="131" cm="1">
        <f ca="1" t="array" ref="D649">IF(D1251=1,OFFSET($W$634,$B649,D$631-1)/SUMPRODUCT(--($D$631:$V$631=D$631),--($D1251:$V1251=1)),0)+SUM(D648)+IF(COUNTIF(D$1237:D1251,1)=1,5,0)+IF(COUNTIF(E649:$W649,"&gt;"&amp;0)&lt;5,IF(AND(COUNTIF(D$1237:D1251,1)&gt;7,MOD(1+IFERROR(MATCH($C649,总览!$D$46:$D$345,1)+1,1),7)=0),$C$3,0),0)</f>
        <v>187.135</v>
      </c>
      <c r="E649" s="131" cm="1">
        <f ca="1" t="array" ref="E649">IF(E1251=1,OFFSET($W$634,$B649,E$631-1)/SUMPRODUCT(--($D$631:$V$631=E$631),--($D1251:$V1251=1)),0)+SUM(E648)+IF(COUNTIF(E$1237:E1251,1)=1,5,0)+IF(COUNTIF(F649:$W649,"&gt;"&amp;0)&lt;5,IF(AND(COUNTIF(E$1237:E1251,1)&gt;7,MOD(1+IFERROR(MATCH($C649,总览!$D$46:$D$345,1)+1,1),7)=0),$C$3,0),0)</f>
        <v>187.135</v>
      </c>
      <c r="F649" s="131" cm="1">
        <f ca="1" t="array" ref="F649">IF(F1251=1,OFFSET($W$634,$B649,F$631-1)/SUMPRODUCT(--($D$631:$V$631=F$631),--($D1251:$V1251=1)),0)+SUM(F648)+IF(COUNTIF(F$1237:F1251,1)=1,5,0)+IF(COUNTIF(G649:$W649,"&gt;"&amp;0)&lt;5,IF(AND(COUNTIF(F$1237:F1251,1)&gt;7,MOD(1+IFERROR(MATCH($C649,总览!$D$46:$D$345,1)+1,1),7)=0),$C$3,0),0)</f>
        <v>187.135</v>
      </c>
      <c r="G649" s="131" cm="1">
        <f ca="1" t="array" ref="G649">IF(G1251=1,OFFSET($W$634,$B649,G$631-1)/SUMPRODUCT(--($D$631:$V$631=G$631),--($D1251:$V1251=1)),0)+SUM(G648)+IF(COUNTIF(G$1237:G1251,1)=1,5,0)+IF(COUNTIF(H649:$W649,"&gt;"&amp;0)&lt;5,IF(AND(COUNTIF(G$1237:G1251,1)&gt;7,MOD(1+IFERROR(MATCH($C649,总览!$D$46:$D$345,1)+1,1),7)=0),$C$3,0),0)</f>
        <v>36.47</v>
      </c>
      <c r="H649" s="131" cm="1">
        <f ca="1" t="array" ref="H649">IF(H1251=1,OFFSET($W$634,$B649,H$631-1)/SUMPRODUCT(--($D$631:$V$631=H$631),--($D1251:$V1251=1)),0)+SUM(H648)+IF(COUNTIF(H$1237:H1251,1)=1,5,0)+IF(COUNTIF(I649:$W649,"&gt;"&amp;0)&lt;5,IF(AND(COUNTIF(H$1237:H1251,1)&gt;7,MOD(1+IFERROR(MATCH($C649,总览!$D$46:$D$345,1)+1,1),7)=0),$C$3,0),0)</f>
        <v>36.47</v>
      </c>
      <c r="I649" s="131" cm="1">
        <f ca="1" t="array" ref="I649">IF(I1251=1,OFFSET($W$634,$B649,I$631-1)/SUMPRODUCT(--($D$631:$V$631=I$631),--($D1251:$V1251=1)),0)+SUM(I648)+IF(COUNTIF(I$1237:I1251,1)=1,5,0)+IF(COUNTIF(J649:$W649,"&gt;"&amp;0)&lt;5,IF(AND(COUNTIF(I$1237:I1251,1)&gt;7,MOD(1+IFERROR(MATCH($C649,总览!$D$46:$D$345,1)+1,1),7)=0),$C$3,0),0)</f>
        <v>36.47</v>
      </c>
      <c r="J649" s="131" cm="1">
        <f ca="1" t="array" ref="J649">IF(J1251=1,OFFSET($W$634,$B649,J$631-1)/SUMPRODUCT(--($D$631:$V$631=J$631),--($D1251:$V1251=1)),0)+SUM(J648)+IF(COUNTIF(J$1237:J1251,1)=1,5,0)+IF(COUNTIF(K649:$W649,"&gt;"&amp;0)&lt;5,IF(AND(COUNTIF(J$1237:J1251,1)&gt;7,MOD(1+IFERROR(MATCH($C649,总览!$D$46:$D$345,1)+1,1),7)=0),$C$3,0),0)</f>
        <v>33.1366666666667</v>
      </c>
      <c r="K649" s="131" cm="1">
        <f ca="1" t="array" ref="K649">IF(K1251=1,OFFSET($W$634,$B649,K$631-1)/SUMPRODUCT(--($D$631:$V$631=K$631),--($D1251:$V1251=1)),0)+SUM(K648)+IF(COUNTIF(K$1237:K1251,1)=1,5,0)+IF(COUNTIF(L649:$W649,"&gt;"&amp;0)&lt;5,IF(AND(COUNTIF(K$1237:K1251,1)&gt;7,MOD(1+IFERROR(MATCH($C649,总览!$D$46:$D$345,1)+1,1),7)=0),$C$3,0),0)</f>
        <v>30.6366666666667</v>
      </c>
      <c r="L649" s="131" cm="1">
        <f ca="1" t="array" ref="L649">IF(L1251=1,OFFSET($W$634,$B649,L$631-1)/SUMPRODUCT(--($D$631:$V$631=L$631),--($D1251:$V1251=1)),0)+SUM(L648)+IF(COUNTIF(L$1237:L1251,1)=1,5,0)+IF(COUNTIF(M649:$W649,"&gt;"&amp;0)&lt;5,IF(AND(COUNTIF(L$1237:L1251,1)&gt;7,MOD(1+IFERROR(MATCH($C649,总览!$D$46:$D$345,1)+1,1),7)=0),$C$3,0),0)</f>
        <v>30.6366666666667</v>
      </c>
      <c r="M649" s="131" cm="1">
        <f ca="1" t="array" ref="M649">IF(M1251=1,OFFSET($W$634,$B649,M$631-1)/SUMPRODUCT(--($D$631:$V$631=M$631),--($D1251:$V1251=1)),0)+SUM(M648)+IF(COUNTIF(M$1237:M1251,1)=1,5,0)+IF(COUNTIF(N649:$W649,"&gt;"&amp;0)&lt;5,IF(AND(COUNTIF(M$1237:M1251,1)&gt;7,MOD(1+IFERROR(MATCH($C649,总览!$D$46:$D$345,1)+1,1),7)=0),$C$3,0),0)</f>
        <v>15.63125</v>
      </c>
      <c r="N649" s="131" cm="1">
        <f ca="1" t="array" ref="N649">IF(N1251=1,OFFSET($W$634,$B649,N$631-1)/SUMPRODUCT(--($D$631:$V$631=N$631),--($D1251:$V1251=1)),0)+SUM(N648)+IF(COUNTIF(N$1237:N1251,1)=1,5,0)+IF(COUNTIF(O649:$W649,"&gt;"&amp;0)&lt;5,IF(AND(COUNTIF(N$1237:N1251,1)&gt;7,MOD(1+IFERROR(MATCH($C649,总览!$D$46:$D$345,1)+1,1),7)=0),$C$3,0),0)</f>
        <v>11.88125</v>
      </c>
      <c r="O649" s="131" cm="1">
        <f ca="1" t="array" ref="O649">IF(O1251=1,OFFSET($W$634,$B649,O$631-1)/SUMPRODUCT(--($D$631:$V$631=O$631),--($D1251:$V1251=1)),0)+SUM(O648)+IF(COUNTIF(O$1237:O1251,1)=1,5,0)+IF(COUNTIF(P649:$W649,"&gt;"&amp;0)&lt;5,IF(AND(COUNTIF(O$1237:O1251,1)&gt;7,MOD(1+IFERROR(MATCH($C649,总览!$D$46:$D$345,1)+1,1),7)=0),$C$3,0),0)</f>
        <v>11.88125</v>
      </c>
      <c r="P649" s="131" cm="1">
        <f ca="1" t="array" ref="P649">IF(P1251=1,OFFSET($W$634,$B649,P$631-1)/SUMPRODUCT(--($D$631:$V$631=P$631),--($D1251:$V1251=1)),0)+SUM(P648)+IF(COUNTIF(P$1237:P1251,1)=1,5,0)+IF(COUNTIF(Q649:$W649,"&gt;"&amp;0)&lt;5,IF(AND(COUNTIF(P$1237:P1251,1)&gt;7,MOD(1+IFERROR(MATCH($C649,总览!$D$46:$D$345,1)+1,1),7)=0),$C$3,0),0)</f>
        <v>6</v>
      </c>
      <c r="Q649" s="131" cm="1">
        <f ca="1" t="array" ref="Q649">IF(Q1251=1,OFFSET($W$634,$B649,Q$631-1)/SUMPRODUCT(--($D$631:$V$631=Q$631),--($D1251:$V1251=1)),0)+SUM(Q648)+IF(COUNTIF(Q$1237:Q1251,1)=1,5,0)+IF(COUNTIF(R649:$W649,"&gt;"&amp;0)&lt;5,IF(AND(COUNTIF(Q$1237:Q1251,1)&gt;7,MOD(1+IFERROR(MATCH($C649,总览!$D$46:$D$345,1)+1,1),7)=0),$C$3,0),0)</f>
        <v>9.38125</v>
      </c>
      <c r="R649" s="131" cm="1">
        <f ca="1" t="array" ref="R649">IF(R1251=1,OFFSET($W$634,$B649,R$631-1)/SUMPRODUCT(--($D$631:$V$631=R$631),--($D1251:$V1251=1)),0)+SUM(R648)+IF(COUNTIF(R$1237:R1251,1)=1,5,0)+IF(COUNTIF(S649:$W649,"&gt;"&amp;0)&lt;5,IF(AND(COUNTIF(R$1237:R1251,1)&gt;7,MOD(1+IFERROR(MATCH($C649,总览!$D$46:$D$345,1)+1,1),7)=0),$C$3,0),0)</f>
        <v>0</v>
      </c>
      <c r="S649" s="131" cm="1">
        <f ca="1" t="array" ref="S649">IF(S1251=1,OFFSET($W$634,$B649,S$631-1)/SUMPRODUCT(--($D$631:$V$631=S$631),--($D1251:$V1251=1)),0)+SUM(S648)+IF(COUNTIF(S$1237:S1251,1)=1,5,0)+IF(COUNTIF(T649:$W649,"&gt;"&amp;0)&lt;5,IF(AND(COUNTIF(S$1237:S1251,1)&gt;7,MOD(1+IFERROR(MATCH($C649,总览!$D$46:$D$345,1)+1,1),7)=0),$C$3,0),0)</f>
        <v>0</v>
      </c>
      <c r="T649" s="131" cm="1">
        <f ca="1" t="array" ref="T649">IF(T1251=1,OFFSET($W$634,$B649,T$631-1)/SUMPRODUCT(--($D$631:$V$631=T$631),--($D1251:$V1251=1)),0)+SUM(T648)+IF(COUNTIF(T$1237:T1251,1)=1,5,0)+IF(COUNTIF(U649:$W649,"&gt;"&amp;0)&lt;5,IF(AND(COUNTIF(T$1237:T1251,1)&gt;7,MOD(1+IFERROR(MATCH($C649,总览!$D$46:$D$345,1)+1,1),7)=0),$C$3,0),0)</f>
        <v>0</v>
      </c>
      <c r="U649" s="131" cm="1">
        <f ca="1" t="array" ref="U649">IF(U1251=1,OFFSET($W$634,$B649,U$631-1)/SUMPRODUCT(--($D$631:$V$631=U$631),--($D1251:$V1251=1)),0)+SUM(U648)+IF(COUNTIF(U$1237:U1251,1)=1,5,0)+IF(COUNTIF(V649:$W649,"&gt;"&amp;0)&lt;5,IF(AND(COUNTIF(U$1237:U1251,1)&gt;7,MOD(1+IFERROR(MATCH($C649,总览!$D$46:$D$345,1)+1,1),7)=0),$C$3,0),0)</f>
        <v>0</v>
      </c>
      <c r="V649" s="131" cm="1">
        <f ca="1" t="array" ref="V649">IF(V1251=1,OFFSET($W$634,$B649,V$631-1)/SUMPRODUCT(--($D$631:$V$631=V$631),--($D1251:$V1251=1)),0)+SUM(V648)+IF(COUNTIF(V$1237:V1251,1)=1,5,0)+IF(COUNTIF(W649:$W649,"&gt;"&amp;0)&lt;5,IF(AND(COUNTIF(V$1237:V1251,1)&gt;7,MOD(1+IFERROR(MATCH($C649,总览!$D$46:$D$345,1)+1,1),7)=0),$C$3,0),0)</f>
        <v>0</v>
      </c>
      <c r="W649" s="135" cm="1">
        <f ca="1" t="array" ref="W649">SUMPRODUCT(TRANSPOSE($AA649:$AG649),OFFSET($L$9:$L$15,0,W$631-1))</f>
        <v>31</v>
      </c>
      <c r="X649" s="135" cm="1">
        <f ca="1" t="array" ref="X649">SUMPRODUCT(TRANSPOSE($AA649:$AG649),OFFSET($L$9:$L$15,0,X$631-1))</f>
        <v>14</v>
      </c>
      <c r="Y649" s="135" cm="1">
        <f ca="1" t="array" ref="Y649">SUMPRODUCT(TRANSPOSE($AA649:$AG649),OFFSET($L$9:$L$15,0,Y$631-1))</f>
        <v>5</v>
      </c>
      <c r="Z649" s="135" cm="1">
        <f ca="1" t="array" ref="Z649">SUMPRODUCT(TRANSPOSE($AA649:$AG649),OFFSET($L$9:$L$15,0,Z$631-1))</f>
        <v>0</v>
      </c>
      <c r="AA649" s="136">
        <f ca="1" t="shared" ref="AA649:AG649" si="269">AH649-AH648</f>
        <v>0</v>
      </c>
      <c r="AB649" s="136">
        <f ca="1" t="shared" si="269"/>
        <v>0</v>
      </c>
      <c r="AC649" s="136">
        <f ca="1" t="shared" si="269"/>
        <v>100</v>
      </c>
      <c r="AD649" s="136">
        <f ca="1" t="shared" si="269"/>
        <v>0</v>
      </c>
      <c r="AE649" s="136">
        <f ca="1" t="shared" si="269"/>
        <v>0</v>
      </c>
      <c r="AF649" s="136">
        <f ca="1" t="shared" si="269"/>
        <v>0</v>
      </c>
      <c r="AG649" s="136">
        <f ca="1" t="shared" si="269"/>
        <v>0</v>
      </c>
      <c r="AH649" s="136">
        <f ca="1" t="shared" si="241"/>
        <v>450</v>
      </c>
      <c r="AI649" s="136">
        <f ca="1" t="shared" ref="AI649:AN649" si="270">IF($C649&gt;OFFSET($Q$8,MATCH(AI$634,$AH$634:$AN$634,0),0),OFFSET($P$8,MATCH(AI$634,$AH$634:$AN$634,0),0),MAX(0,$C649-OFFSET($Q$8,RIGHT(AI$634,1)-1,0)))</f>
        <v>909</v>
      </c>
      <c r="AJ649" s="136">
        <f ca="1" t="shared" si="270"/>
        <v>141</v>
      </c>
      <c r="AK649" s="136">
        <f ca="1" t="shared" si="270"/>
        <v>0</v>
      </c>
      <c r="AL649" s="136">
        <f ca="1" t="shared" si="270"/>
        <v>0</v>
      </c>
      <c r="AM649" s="136">
        <f ca="1" t="shared" si="270"/>
        <v>0</v>
      </c>
      <c r="AN649" s="136">
        <f ca="1" t="shared" si="270"/>
        <v>0</v>
      </c>
      <c r="AP649" s="132">
        <v>15</v>
      </c>
      <c r="AQ649" s="132">
        <v>500</v>
      </c>
      <c r="AR649" s="132">
        <v>500</v>
      </c>
      <c r="AS649" s="132">
        <v>500</v>
      </c>
      <c r="AT649" s="132">
        <v>450</v>
      </c>
    </row>
    <row r="650" s="106" customFormat="1" ht="16.5" spans="2:46">
      <c r="B650" s="117">
        <v>16</v>
      </c>
      <c r="C650" s="130">
        <f t="shared" si="239"/>
        <v>1600</v>
      </c>
      <c r="D650" s="131" cm="1">
        <f ca="1" t="array" ref="D650">IF(D1252=1,OFFSET($W$634,$B650,D$631-1)/SUMPRODUCT(--($D$631:$V$631=D$631),--($D1252:$V1252=1)),0)+SUM(D649)+IF(COUNTIF(D$1237:D1252,1)=1,5,0)+IF(COUNTIF(E650:$W650,"&gt;"&amp;0)&lt;5,IF(AND(COUNTIF(D$1237:D1252,1)&gt;7,MOD(1+IFERROR(MATCH($C650,总览!$D$46:$D$345,1)+1,1),7)=0),$C$3,0),0)</f>
        <v>197.468333333333</v>
      </c>
      <c r="E650" s="131" cm="1">
        <f ca="1" t="array" ref="E650">IF(E1252=1,OFFSET($W$634,$B650,E$631-1)/SUMPRODUCT(--($D$631:$V$631=E$631),--($D1252:$V1252=1)),0)+SUM(E649)+IF(COUNTIF(E$1237:E1252,1)=1,5,0)+IF(COUNTIF(F650:$W650,"&gt;"&amp;0)&lt;5,IF(AND(COUNTIF(E$1237:E1252,1)&gt;7,MOD(1+IFERROR(MATCH($C650,总览!$D$46:$D$345,1)+1,1),7)=0),$C$3,0),0)</f>
        <v>197.468333333333</v>
      </c>
      <c r="F650" s="131" cm="1">
        <f ca="1" t="array" ref="F650">IF(F1252=1,OFFSET($W$634,$B650,F$631-1)/SUMPRODUCT(--($D$631:$V$631=F$631),--($D1252:$V1252=1)),0)+SUM(F649)+IF(COUNTIF(F$1237:F1252,1)=1,5,0)+IF(COUNTIF(G650:$W650,"&gt;"&amp;0)&lt;5,IF(AND(COUNTIF(F$1237:F1252,1)&gt;7,MOD(1+IFERROR(MATCH($C650,总览!$D$46:$D$345,1)+1,1),7)=0),$C$3,0),0)</f>
        <v>197.468333333333</v>
      </c>
      <c r="G650" s="131" cm="1">
        <f ca="1" t="array" ref="G650">IF(G1252=1,OFFSET($W$634,$B650,G$631-1)/SUMPRODUCT(--($D$631:$V$631=G$631),--($D1252:$V1252=1)),0)+SUM(G649)+IF(COUNTIF(G$1237:G1252,1)=1,5,0)+IF(COUNTIF(H650:$W650,"&gt;"&amp;0)&lt;5,IF(AND(COUNTIF(G$1237:G1252,1)&gt;7,MOD(1+IFERROR(MATCH($C650,总览!$D$46:$D$345,1)+1,1),7)=0),$C$3,0),0)</f>
        <v>38.8033333333333</v>
      </c>
      <c r="H650" s="131" cm="1">
        <f ca="1" t="array" ref="H650">IF(H1252=1,OFFSET($W$634,$B650,H$631-1)/SUMPRODUCT(--($D$631:$V$631=H$631),--($D1252:$V1252=1)),0)+SUM(H649)+IF(COUNTIF(H$1237:H1252,1)=1,5,0)+IF(COUNTIF(I650:$W650,"&gt;"&amp;0)&lt;5,IF(AND(COUNTIF(H$1237:H1252,1)&gt;7,MOD(1+IFERROR(MATCH($C650,总览!$D$46:$D$345,1)+1,1),7)=0),$C$3,0),0)</f>
        <v>38.8033333333333</v>
      </c>
      <c r="I650" s="131" cm="1">
        <f ca="1" t="array" ref="I650">IF(I1252=1,OFFSET($W$634,$B650,I$631-1)/SUMPRODUCT(--($D$631:$V$631=I$631),--($D1252:$V1252=1)),0)+SUM(I649)+IF(COUNTIF(I$1237:I1252,1)=1,5,0)+IF(COUNTIF(J650:$W650,"&gt;"&amp;0)&lt;5,IF(AND(COUNTIF(I$1237:I1252,1)&gt;7,MOD(1+IFERROR(MATCH($C650,总览!$D$46:$D$345,1)+1,1),7)=0),$C$3,0),0)</f>
        <v>38.8033333333333</v>
      </c>
      <c r="J650" s="131" cm="1">
        <f ca="1" t="array" ref="J650">IF(J1252=1,OFFSET($W$634,$B650,J$631-1)/SUMPRODUCT(--($D$631:$V$631=J$631),--($D1252:$V1252=1)),0)+SUM(J649)+IF(COUNTIF(J$1237:J1252,1)=1,5,0)+IF(COUNTIF(K650:$W650,"&gt;"&amp;0)&lt;5,IF(AND(COUNTIF(J$1237:J1252,1)&gt;7,MOD(1+IFERROR(MATCH($C650,总览!$D$46:$D$345,1)+1,1),7)=0),$C$3,0),0)</f>
        <v>35.47</v>
      </c>
      <c r="K650" s="131" cm="1">
        <f ca="1" t="array" ref="K650">IF(K1252=1,OFFSET($W$634,$B650,K$631-1)/SUMPRODUCT(--($D$631:$V$631=K$631),--($D1252:$V1252=1)),0)+SUM(K649)+IF(COUNTIF(K$1237:K1252,1)=1,5,0)+IF(COUNTIF(L650:$W650,"&gt;"&amp;0)&lt;5,IF(AND(COUNTIF(K$1237:K1252,1)&gt;7,MOD(1+IFERROR(MATCH($C650,总览!$D$46:$D$345,1)+1,1),7)=0),$C$3,0),0)</f>
        <v>32.97</v>
      </c>
      <c r="L650" s="131" cm="1">
        <f ca="1" t="array" ref="L650">IF(L1252=1,OFFSET($W$634,$B650,L$631-1)/SUMPRODUCT(--($D$631:$V$631=L$631),--($D1252:$V1252=1)),0)+SUM(L649)+IF(COUNTIF(L$1237:L1252,1)=1,5,0)+IF(COUNTIF(M650:$W650,"&gt;"&amp;0)&lt;5,IF(AND(COUNTIF(L$1237:L1252,1)&gt;7,MOD(1+IFERROR(MATCH($C650,总览!$D$46:$D$345,1)+1,1),7)=0),$C$3,0),0)</f>
        <v>32.97</v>
      </c>
      <c r="M650" s="131" cm="1">
        <f ca="1" t="array" ref="M650">IF(M1252=1,OFFSET($W$634,$B650,M$631-1)/SUMPRODUCT(--($D$631:$V$631=M$631),--($D1252:$V1252=1)),0)+SUM(M649)+IF(COUNTIF(M$1237:M1252,1)=1,5,0)+IF(COUNTIF(N650:$W650,"&gt;"&amp;0)&lt;5,IF(AND(COUNTIF(M$1237:M1252,1)&gt;7,MOD(1+IFERROR(MATCH($C650,总览!$D$46:$D$345,1)+1,1),7)=0),$C$3,0),0)</f>
        <v>16.63125</v>
      </c>
      <c r="N650" s="131" cm="1">
        <f ca="1" t="array" ref="N650">IF(N1252=1,OFFSET($W$634,$B650,N$631-1)/SUMPRODUCT(--($D$631:$V$631=N$631),--($D1252:$V1252=1)),0)+SUM(N649)+IF(COUNTIF(N$1237:N1252,1)=1,5,0)+IF(COUNTIF(O650:$W650,"&gt;"&amp;0)&lt;5,IF(AND(COUNTIF(N$1237:N1252,1)&gt;7,MOD(1+IFERROR(MATCH($C650,总览!$D$46:$D$345,1)+1,1),7)=0),$C$3,0),0)</f>
        <v>17.88125</v>
      </c>
      <c r="O650" s="131" cm="1">
        <f ca="1" t="array" ref="O650">IF(O1252=1,OFFSET($W$634,$B650,O$631-1)/SUMPRODUCT(--($D$631:$V$631=O$631),--($D1252:$V1252=1)),0)+SUM(O649)+IF(COUNTIF(O$1237:O1252,1)=1,5,0)+IF(COUNTIF(P650:$W650,"&gt;"&amp;0)&lt;5,IF(AND(COUNTIF(O$1237:O1252,1)&gt;7,MOD(1+IFERROR(MATCH($C650,总览!$D$46:$D$345,1)+1,1),7)=0),$C$3,0),0)</f>
        <v>17.88125</v>
      </c>
      <c r="P650" s="131" cm="1">
        <f ca="1" t="array" ref="P650">IF(P1252=1,OFFSET($W$634,$B650,P$631-1)/SUMPRODUCT(--($D$631:$V$631=P$631),--($D1252:$V1252=1)),0)+SUM(P649)+IF(COUNTIF(P$1237:P1252,1)=1,5,0)+IF(COUNTIF(Q650:$W650,"&gt;"&amp;0)&lt;5,IF(AND(COUNTIF(P$1237:P1252,1)&gt;7,MOD(1+IFERROR(MATCH($C650,总览!$D$46:$D$345,1)+1,1),7)=0),$C$3,0),0)</f>
        <v>7</v>
      </c>
      <c r="Q650" s="131" cm="1">
        <f ca="1" t="array" ref="Q650">IF(Q1252=1,OFFSET($W$634,$B650,Q$631-1)/SUMPRODUCT(--($D$631:$V$631=Q$631),--($D1252:$V1252=1)),0)+SUM(Q649)+IF(COUNTIF(Q$1237:Q1252,1)=1,5,0)+IF(COUNTIF(R650:$W650,"&gt;"&amp;0)&lt;5,IF(AND(COUNTIF(Q$1237:Q1252,1)&gt;7,MOD(1+IFERROR(MATCH($C650,总览!$D$46:$D$345,1)+1,1),7)=0),$C$3,0),0)</f>
        <v>10.38125</v>
      </c>
      <c r="R650" s="131" cm="1">
        <f ca="1" t="array" ref="R650">IF(R1252=1,OFFSET($W$634,$B650,R$631-1)/SUMPRODUCT(--($D$631:$V$631=R$631),--($D1252:$V1252=1)),0)+SUM(R649)+IF(COUNTIF(R$1237:R1252,1)=1,5,0)+IF(COUNTIF(S650:$W650,"&gt;"&amp;0)&lt;5,IF(AND(COUNTIF(R$1237:R1252,1)&gt;7,MOD(1+IFERROR(MATCH($C650,总览!$D$46:$D$345,1)+1,1),7)=0),$C$3,0),0)</f>
        <v>0</v>
      </c>
      <c r="S650" s="131" cm="1">
        <f ca="1" t="array" ref="S650">IF(S1252=1,OFFSET($W$634,$B650,S$631-1)/SUMPRODUCT(--($D$631:$V$631=S$631),--($D1252:$V1252=1)),0)+SUM(S649)+IF(COUNTIF(S$1237:S1252,1)=1,5,0)+IF(COUNTIF(T650:$W650,"&gt;"&amp;0)&lt;5,IF(AND(COUNTIF(S$1237:S1252,1)&gt;7,MOD(1+IFERROR(MATCH($C650,总览!$D$46:$D$345,1)+1,1),7)=0),$C$3,0),0)</f>
        <v>0</v>
      </c>
      <c r="T650" s="131" cm="1">
        <f ca="1" t="array" ref="T650">IF(T1252=1,OFFSET($W$634,$B650,T$631-1)/SUMPRODUCT(--($D$631:$V$631=T$631),--($D1252:$V1252=1)),0)+SUM(T649)+IF(COUNTIF(T$1237:T1252,1)=1,5,0)+IF(COUNTIF(U650:$W650,"&gt;"&amp;0)&lt;5,IF(AND(COUNTIF(T$1237:T1252,1)&gt;7,MOD(1+IFERROR(MATCH($C650,总览!$D$46:$D$345,1)+1,1),7)=0),$C$3,0),0)</f>
        <v>0</v>
      </c>
      <c r="U650" s="131" cm="1">
        <f ca="1" t="array" ref="U650">IF(U1252=1,OFFSET($W$634,$B650,U$631-1)/SUMPRODUCT(--($D$631:$V$631=U$631),--($D1252:$V1252=1)),0)+SUM(U649)+IF(COUNTIF(U$1237:U1252,1)=1,5,0)+IF(COUNTIF(V650:$W650,"&gt;"&amp;0)&lt;5,IF(AND(COUNTIF(U$1237:U1252,1)&gt;7,MOD(1+IFERROR(MATCH($C650,总览!$D$46:$D$345,1)+1,1),7)=0),$C$3,0),0)</f>
        <v>0</v>
      </c>
      <c r="V650" s="131" cm="1">
        <f ca="1" t="array" ref="V650">IF(V1252=1,OFFSET($W$634,$B650,V$631-1)/SUMPRODUCT(--($D$631:$V$631=V$631),--($D1252:$V1252=1)),0)+SUM(V649)+IF(COUNTIF(V$1237:V1252,1)=1,5,0)+IF(COUNTIF(W650:$W650,"&gt;"&amp;0)&lt;5,IF(AND(COUNTIF(V$1237:V1252,1)&gt;7,MOD(1+IFERROR(MATCH($C650,总览!$D$46:$D$345,1)+1,1),7)=0),$C$3,0),0)</f>
        <v>0</v>
      </c>
      <c r="W650" s="135" cm="1">
        <f ca="1" t="array" ref="W650">SUMPRODUCT(TRANSPOSE($AA650:$AG650),OFFSET($L$9:$L$15,0,W$631-1))</f>
        <v>31</v>
      </c>
      <c r="X650" s="135" cm="1">
        <f ca="1" t="array" ref="X650">SUMPRODUCT(TRANSPOSE($AA650:$AG650),OFFSET($L$9:$L$15,0,X$631-1))</f>
        <v>14</v>
      </c>
      <c r="Y650" s="135" cm="1">
        <f ca="1" t="array" ref="Y650">SUMPRODUCT(TRANSPOSE($AA650:$AG650),OFFSET($L$9:$L$15,0,Y$631-1))</f>
        <v>5</v>
      </c>
      <c r="Z650" s="135" cm="1">
        <f ca="1" t="array" ref="Z650">SUMPRODUCT(TRANSPOSE($AA650:$AG650),OFFSET($L$9:$L$15,0,Z$631-1))</f>
        <v>0</v>
      </c>
      <c r="AA650" s="136">
        <f ca="1" t="shared" ref="AA650:AG650" si="271">AH650-AH649</f>
        <v>0</v>
      </c>
      <c r="AB650" s="136">
        <f ca="1" t="shared" si="271"/>
        <v>0</v>
      </c>
      <c r="AC650" s="136">
        <f ca="1" t="shared" si="271"/>
        <v>100</v>
      </c>
      <c r="AD650" s="136">
        <f ca="1" t="shared" si="271"/>
        <v>0</v>
      </c>
      <c r="AE650" s="136">
        <f ca="1" t="shared" si="271"/>
        <v>0</v>
      </c>
      <c r="AF650" s="136">
        <f ca="1" t="shared" si="271"/>
        <v>0</v>
      </c>
      <c r="AG650" s="136">
        <f ca="1" t="shared" si="271"/>
        <v>0</v>
      </c>
      <c r="AH650" s="136">
        <f ca="1" t="shared" si="241"/>
        <v>450</v>
      </c>
      <c r="AI650" s="136">
        <f ca="1" t="shared" ref="AI650:AN650" si="272">IF($C650&gt;OFFSET($Q$8,MATCH(AI$634,$AH$634:$AN$634,0),0),OFFSET($P$8,MATCH(AI$634,$AH$634:$AN$634,0),0),MAX(0,$C650-OFFSET($Q$8,RIGHT(AI$634,1)-1,0)))</f>
        <v>909</v>
      </c>
      <c r="AJ650" s="136">
        <f ca="1" t="shared" si="272"/>
        <v>241</v>
      </c>
      <c r="AK650" s="136">
        <f ca="1" t="shared" si="272"/>
        <v>0</v>
      </c>
      <c r="AL650" s="136">
        <f ca="1" t="shared" si="272"/>
        <v>0</v>
      </c>
      <c r="AM650" s="136">
        <f ca="1" t="shared" si="272"/>
        <v>0</v>
      </c>
      <c r="AN650" s="136">
        <f ca="1" t="shared" si="272"/>
        <v>0</v>
      </c>
      <c r="AP650" s="132">
        <v>16</v>
      </c>
      <c r="AQ650" s="132">
        <v>590</v>
      </c>
      <c r="AR650" s="132">
        <v>590</v>
      </c>
      <c r="AS650" s="132">
        <v>590</v>
      </c>
      <c r="AT650" s="132">
        <v>520</v>
      </c>
    </row>
    <row r="651" s="106" customFormat="1" ht="16.5" spans="2:46">
      <c r="B651" s="117">
        <v>17</v>
      </c>
      <c r="C651" s="130">
        <f t="shared" si="239"/>
        <v>1700</v>
      </c>
      <c r="D651" s="131" cm="1">
        <f ca="1" t="array" ref="D651">IF(D1253=1,OFFSET($W$634,$B651,D$631-1)/SUMPRODUCT(--($D$631:$V$631=D$631),--($D1253:$V1253=1)),0)+SUM(D650)+IF(COUNTIF(D$1237:D1253,1)=1,5,0)+IF(COUNTIF(E651:$W651,"&gt;"&amp;0)&lt;5,IF(AND(COUNTIF(D$1237:D1253,1)&gt;7,MOD(1+IFERROR(MATCH($C651,总览!$D$46:$D$345,1)+1,1),7)=0),$C$3,0),0)</f>
        <v>207.801666666667</v>
      </c>
      <c r="E651" s="131" cm="1">
        <f ca="1" t="array" ref="E651">IF(E1253=1,OFFSET($W$634,$B651,E$631-1)/SUMPRODUCT(--($D$631:$V$631=E$631),--($D1253:$V1253=1)),0)+SUM(E650)+IF(COUNTIF(E$1237:E1253,1)=1,5,0)+IF(COUNTIF(F651:$W651,"&gt;"&amp;0)&lt;5,IF(AND(COUNTIF(E$1237:E1253,1)&gt;7,MOD(1+IFERROR(MATCH($C651,总览!$D$46:$D$345,1)+1,1),7)=0),$C$3,0),0)</f>
        <v>207.801666666667</v>
      </c>
      <c r="F651" s="131" cm="1">
        <f ca="1" t="array" ref="F651">IF(F1253=1,OFFSET($W$634,$B651,F$631-1)/SUMPRODUCT(--($D$631:$V$631=F$631),--($D1253:$V1253=1)),0)+SUM(F650)+IF(COUNTIF(F$1237:F1253,1)=1,5,0)+IF(COUNTIF(G651:$W651,"&gt;"&amp;0)&lt;5,IF(AND(COUNTIF(F$1237:F1253,1)&gt;7,MOD(1+IFERROR(MATCH($C651,总览!$D$46:$D$345,1)+1,1),7)=0),$C$3,0),0)</f>
        <v>207.801666666667</v>
      </c>
      <c r="G651" s="131" cm="1">
        <f ca="1" t="array" ref="G651">IF(G1253=1,OFFSET($W$634,$B651,G$631-1)/SUMPRODUCT(--($D$631:$V$631=G$631),--($D1253:$V1253=1)),0)+SUM(G650)+IF(COUNTIF(G$1237:G1253,1)=1,5,0)+IF(COUNTIF(H651:$W651,"&gt;"&amp;0)&lt;5,IF(AND(COUNTIF(G$1237:G1253,1)&gt;7,MOD(1+IFERROR(MATCH($C651,总览!$D$46:$D$345,1)+1,1),7)=0),$C$3,0),0)</f>
        <v>41.1366666666667</v>
      </c>
      <c r="H651" s="131" cm="1">
        <f ca="1" t="array" ref="H651">IF(H1253=1,OFFSET($W$634,$B651,H$631-1)/SUMPRODUCT(--($D$631:$V$631=H$631),--($D1253:$V1253=1)),0)+SUM(H650)+IF(COUNTIF(H$1237:H1253,1)=1,5,0)+IF(COUNTIF(I651:$W651,"&gt;"&amp;0)&lt;5,IF(AND(COUNTIF(H$1237:H1253,1)&gt;7,MOD(1+IFERROR(MATCH($C651,总览!$D$46:$D$345,1)+1,1),7)=0),$C$3,0),0)</f>
        <v>41.1366666666667</v>
      </c>
      <c r="I651" s="131" cm="1">
        <f ca="1" t="array" ref="I651">IF(I1253=1,OFFSET($W$634,$B651,I$631-1)/SUMPRODUCT(--($D$631:$V$631=I$631),--($D1253:$V1253=1)),0)+SUM(I650)+IF(COUNTIF(I$1237:I1253,1)=1,5,0)+IF(COUNTIF(J651:$W651,"&gt;"&amp;0)&lt;5,IF(AND(COUNTIF(I$1237:I1253,1)&gt;7,MOD(1+IFERROR(MATCH($C651,总览!$D$46:$D$345,1)+1,1),7)=0),$C$3,0),0)</f>
        <v>41.1366666666667</v>
      </c>
      <c r="J651" s="131" cm="1">
        <f ca="1" t="array" ref="J651">IF(J1253=1,OFFSET($W$634,$B651,J$631-1)/SUMPRODUCT(--($D$631:$V$631=J$631),--($D1253:$V1253=1)),0)+SUM(J650)+IF(COUNTIF(J$1237:J1253,1)=1,5,0)+IF(COUNTIF(K651:$W651,"&gt;"&amp;0)&lt;5,IF(AND(COUNTIF(J$1237:J1253,1)&gt;7,MOD(1+IFERROR(MATCH($C651,总览!$D$46:$D$345,1)+1,1),7)=0),$C$3,0),0)</f>
        <v>37.8033333333333</v>
      </c>
      <c r="K651" s="131" cm="1">
        <f ca="1" t="array" ref="K651">IF(K1253=1,OFFSET($W$634,$B651,K$631-1)/SUMPRODUCT(--($D$631:$V$631=K$631),--($D1253:$V1253=1)),0)+SUM(K650)+IF(COUNTIF(K$1237:K1253,1)=1,5,0)+IF(COUNTIF(L651:$W651,"&gt;"&amp;0)&lt;5,IF(AND(COUNTIF(K$1237:K1253,1)&gt;7,MOD(1+IFERROR(MATCH($C651,总览!$D$46:$D$345,1)+1,1),7)=0),$C$3,0),0)</f>
        <v>35.3033333333333</v>
      </c>
      <c r="L651" s="131" cm="1">
        <f ca="1" t="array" ref="L651">IF(L1253=1,OFFSET($W$634,$B651,L$631-1)/SUMPRODUCT(--($D$631:$V$631=L$631),--($D1253:$V1253=1)),0)+SUM(L650)+IF(COUNTIF(L$1237:L1253,1)=1,5,0)+IF(COUNTIF(M651:$W651,"&gt;"&amp;0)&lt;5,IF(AND(COUNTIF(L$1237:L1253,1)&gt;7,MOD(1+IFERROR(MATCH($C651,总览!$D$46:$D$345,1)+1,1),7)=0),$C$3,0),0)</f>
        <v>35.3033333333333</v>
      </c>
      <c r="M651" s="131" cm="1">
        <f ca="1" t="array" ref="M651">IF(M1253=1,OFFSET($W$634,$B651,M$631-1)/SUMPRODUCT(--($D$631:$V$631=M$631),--($D1253:$V1253=1)),0)+SUM(M650)+IF(COUNTIF(M$1237:M1253,1)=1,5,0)+IF(COUNTIF(N651:$W651,"&gt;"&amp;0)&lt;5,IF(AND(COUNTIF(M$1237:M1253,1)&gt;7,MOD(1+IFERROR(MATCH($C651,总览!$D$46:$D$345,1)+1,1),7)=0),$C$3,0),0)</f>
        <v>17.63125</v>
      </c>
      <c r="N651" s="131" cm="1">
        <f ca="1" t="array" ref="N651">IF(N1253=1,OFFSET($W$634,$B651,N$631-1)/SUMPRODUCT(--($D$631:$V$631=N$631),--($D1253:$V1253=1)),0)+SUM(N650)+IF(COUNTIF(N$1237:N1253,1)=1,5,0)+IF(COUNTIF(O651:$W651,"&gt;"&amp;0)&lt;5,IF(AND(COUNTIF(N$1237:N1253,1)&gt;7,MOD(1+IFERROR(MATCH($C651,总览!$D$46:$D$345,1)+1,1),7)=0),$C$3,0),0)</f>
        <v>18.88125</v>
      </c>
      <c r="O651" s="131" cm="1">
        <f ca="1" t="array" ref="O651">IF(O1253=1,OFFSET($W$634,$B651,O$631-1)/SUMPRODUCT(--($D$631:$V$631=O$631),--($D1253:$V1253=1)),0)+SUM(O650)+IF(COUNTIF(O$1237:O1253,1)=1,5,0)+IF(COUNTIF(P651:$W651,"&gt;"&amp;0)&lt;5,IF(AND(COUNTIF(O$1237:O1253,1)&gt;7,MOD(1+IFERROR(MATCH($C651,总览!$D$46:$D$345,1)+1,1),7)=0),$C$3,0),0)</f>
        <v>18.88125</v>
      </c>
      <c r="P651" s="131" cm="1">
        <f ca="1" t="array" ref="P651">IF(P1253=1,OFFSET($W$634,$B651,P$631-1)/SUMPRODUCT(--($D$631:$V$631=P$631),--($D1253:$V1253=1)),0)+SUM(P650)+IF(COUNTIF(P$1237:P1253,1)=1,5,0)+IF(COUNTIF(Q651:$W651,"&gt;"&amp;0)&lt;5,IF(AND(COUNTIF(P$1237:P1253,1)&gt;7,MOD(1+IFERROR(MATCH($C651,总览!$D$46:$D$345,1)+1,1),7)=0),$C$3,0),0)</f>
        <v>8</v>
      </c>
      <c r="Q651" s="131" cm="1">
        <f ca="1" t="array" ref="Q651">IF(Q1253=1,OFFSET($W$634,$B651,Q$631-1)/SUMPRODUCT(--($D$631:$V$631=Q$631),--($D1253:$V1253=1)),0)+SUM(Q650)+IF(COUNTIF(Q$1237:Q1253,1)=1,5,0)+IF(COUNTIF(R651:$W651,"&gt;"&amp;0)&lt;5,IF(AND(COUNTIF(Q$1237:Q1253,1)&gt;7,MOD(1+IFERROR(MATCH($C651,总览!$D$46:$D$345,1)+1,1),7)=0),$C$3,0),0)</f>
        <v>11.38125</v>
      </c>
      <c r="R651" s="131" cm="1">
        <f ca="1" t="array" ref="R651">IF(R1253=1,OFFSET($W$634,$B651,R$631-1)/SUMPRODUCT(--($D$631:$V$631=R$631),--($D1253:$V1253=1)),0)+SUM(R650)+IF(COUNTIF(R$1237:R1253,1)=1,5,0)+IF(COUNTIF(S651:$W651,"&gt;"&amp;0)&lt;5,IF(AND(COUNTIF(R$1237:R1253,1)&gt;7,MOD(1+IFERROR(MATCH($C651,总览!$D$46:$D$345,1)+1,1),7)=0),$C$3,0),0)</f>
        <v>0</v>
      </c>
      <c r="S651" s="131" cm="1">
        <f ca="1" t="array" ref="S651">IF(S1253=1,OFFSET($W$634,$B651,S$631-1)/SUMPRODUCT(--($D$631:$V$631=S$631),--($D1253:$V1253=1)),0)+SUM(S650)+IF(COUNTIF(S$1237:S1253,1)=1,5,0)+IF(COUNTIF(T651:$W651,"&gt;"&amp;0)&lt;5,IF(AND(COUNTIF(S$1237:S1253,1)&gt;7,MOD(1+IFERROR(MATCH($C651,总览!$D$46:$D$345,1)+1,1),7)=0),$C$3,0),0)</f>
        <v>0</v>
      </c>
      <c r="T651" s="131" cm="1">
        <f ca="1" t="array" ref="T651">IF(T1253=1,OFFSET($W$634,$B651,T$631-1)/SUMPRODUCT(--($D$631:$V$631=T$631),--($D1253:$V1253=1)),0)+SUM(T650)+IF(COUNTIF(T$1237:T1253,1)=1,5,0)+IF(COUNTIF(U651:$W651,"&gt;"&amp;0)&lt;5,IF(AND(COUNTIF(T$1237:T1253,1)&gt;7,MOD(1+IFERROR(MATCH($C651,总览!$D$46:$D$345,1)+1,1),7)=0),$C$3,0),0)</f>
        <v>0</v>
      </c>
      <c r="U651" s="131" cm="1">
        <f ca="1" t="array" ref="U651">IF(U1253=1,OFFSET($W$634,$B651,U$631-1)/SUMPRODUCT(--($D$631:$V$631=U$631),--($D1253:$V1253=1)),0)+SUM(U650)+IF(COUNTIF(U$1237:U1253,1)=1,5,0)+IF(COUNTIF(V651:$W651,"&gt;"&amp;0)&lt;5,IF(AND(COUNTIF(U$1237:U1253,1)&gt;7,MOD(1+IFERROR(MATCH($C651,总览!$D$46:$D$345,1)+1,1),7)=0),$C$3,0),0)</f>
        <v>0</v>
      </c>
      <c r="V651" s="131" cm="1">
        <f ca="1" t="array" ref="V651">IF(V1253=1,OFFSET($W$634,$B651,V$631-1)/SUMPRODUCT(--($D$631:$V$631=V$631),--($D1253:$V1253=1)),0)+SUM(V650)+IF(COUNTIF(V$1237:V1253,1)=1,5,0)+IF(COUNTIF(W651:$W651,"&gt;"&amp;0)&lt;5,IF(AND(COUNTIF(V$1237:V1253,1)&gt;7,MOD(1+IFERROR(MATCH($C651,总览!$D$46:$D$345,1)+1,1),7)=0),$C$3,0),0)</f>
        <v>0</v>
      </c>
      <c r="W651" s="135" cm="1">
        <f ca="1" t="array" ref="W651">SUMPRODUCT(TRANSPOSE($AA651:$AG651),OFFSET($L$9:$L$15,0,W$631-1))</f>
        <v>31</v>
      </c>
      <c r="X651" s="135" cm="1">
        <f ca="1" t="array" ref="X651">SUMPRODUCT(TRANSPOSE($AA651:$AG651),OFFSET($L$9:$L$15,0,X$631-1))</f>
        <v>14</v>
      </c>
      <c r="Y651" s="135" cm="1">
        <f ca="1" t="array" ref="Y651">SUMPRODUCT(TRANSPOSE($AA651:$AG651),OFFSET($L$9:$L$15,0,Y$631-1))</f>
        <v>5</v>
      </c>
      <c r="Z651" s="135" cm="1">
        <f ca="1" t="array" ref="Z651">SUMPRODUCT(TRANSPOSE($AA651:$AG651),OFFSET($L$9:$L$15,0,Z$631-1))</f>
        <v>0</v>
      </c>
      <c r="AA651" s="136">
        <f ca="1" t="shared" ref="AA651:AG651" si="273">AH651-AH650</f>
        <v>0</v>
      </c>
      <c r="AB651" s="136">
        <f ca="1" t="shared" si="273"/>
        <v>0</v>
      </c>
      <c r="AC651" s="136">
        <f ca="1" t="shared" si="273"/>
        <v>100</v>
      </c>
      <c r="AD651" s="136">
        <f ca="1" t="shared" si="273"/>
        <v>0</v>
      </c>
      <c r="AE651" s="136">
        <f ca="1" t="shared" si="273"/>
        <v>0</v>
      </c>
      <c r="AF651" s="136">
        <f ca="1" t="shared" si="273"/>
        <v>0</v>
      </c>
      <c r="AG651" s="136">
        <f ca="1" t="shared" si="273"/>
        <v>0</v>
      </c>
      <c r="AH651" s="136">
        <f ca="1" t="shared" si="241"/>
        <v>450</v>
      </c>
      <c r="AI651" s="136">
        <f ca="1" t="shared" ref="AI651:AN651" si="274">IF($C651&gt;OFFSET($Q$8,MATCH(AI$634,$AH$634:$AN$634,0),0),OFFSET($P$8,MATCH(AI$634,$AH$634:$AN$634,0),0),MAX(0,$C651-OFFSET($Q$8,RIGHT(AI$634,1)-1,0)))</f>
        <v>909</v>
      </c>
      <c r="AJ651" s="136">
        <f ca="1" t="shared" si="274"/>
        <v>341</v>
      </c>
      <c r="AK651" s="136">
        <f ca="1" t="shared" si="274"/>
        <v>0</v>
      </c>
      <c r="AL651" s="136">
        <f ca="1" t="shared" si="274"/>
        <v>0</v>
      </c>
      <c r="AM651" s="136">
        <f ca="1" t="shared" si="274"/>
        <v>0</v>
      </c>
      <c r="AN651" s="136">
        <f ca="1" t="shared" si="274"/>
        <v>0</v>
      </c>
      <c r="AP651" s="132">
        <v>17</v>
      </c>
      <c r="AQ651" s="132">
        <v>680</v>
      </c>
      <c r="AR651" s="132">
        <v>680</v>
      </c>
      <c r="AS651" s="132">
        <v>680</v>
      </c>
      <c r="AT651" s="132">
        <v>590</v>
      </c>
    </row>
    <row r="652" s="106" customFormat="1" ht="16.5" spans="2:46">
      <c r="B652" s="117">
        <v>18</v>
      </c>
      <c r="C652" s="130">
        <f t="shared" si="239"/>
        <v>1800</v>
      </c>
      <c r="D652" s="131" cm="1">
        <f ca="1" t="array" ref="D652">IF(D1254=1,OFFSET($W$634,$B652,D$631-1)/SUMPRODUCT(--($D$631:$V$631=D$631),--($D1254:$V1254=1)),0)+SUM(D651)+IF(COUNTIF(D$1237:D1254,1)=1,5,0)+IF(COUNTIF(E652:$W652,"&gt;"&amp;0)&lt;5,IF(AND(COUNTIF(D$1237:D1254,1)&gt;7,MOD(1+IFERROR(MATCH($C652,总览!$D$46:$D$345,1)+1,1),7)=0),$C$3,0),0)</f>
        <v>218.135</v>
      </c>
      <c r="E652" s="131" cm="1">
        <f ca="1" t="array" ref="E652">IF(E1254=1,OFFSET($W$634,$B652,E$631-1)/SUMPRODUCT(--($D$631:$V$631=E$631),--($D1254:$V1254=1)),0)+SUM(E651)+IF(COUNTIF(E$1237:E1254,1)=1,5,0)+IF(COUNTIF(F652:$W652,"&gt;"&amp;0)&lt;5,IF(AND(COUNTIF(E$1237:E1254,1)&gt;7,MOD(1+IFERROR(MATCH($C652,总览!$D$46:$D$345,1)+1,1),7)=0),$C$3,0),0)</f>
        <v>218.135</v>
      </c>
      <c r="F652" s="131" cm="1">
        <f ca="1" t="array" ref="F652">IF(F1254=1,OFFSET($W$634,$B652,F$631-1)/SUMPRODUCT(--($D$631:$V$631=F$631),--($D1254:$V1254=1)),0)+SUM(F651)+IF(COUNTIF(F$1237:F1254,1)=1,5,0)+IF(COUNTIF(G652:$W652,"&gt;"&amp;0)&lt;5,IF(AND(COUNTIF(F$1237:F1254,1)&gt;7,MOD(1+IFERROR(MATCH($C652,总览!$D$46:$D$345,1)+1,1),7)=0),$C$3,0),0)</f>
        <v>218.135</v>
      </c>
      <c r="G652" s="131" cm="1">
        <f ca="1" t="array" ref="G652">IF(G1254=1,OFFSET($W$634,$B652,G$631-1)/SUMPRODUCT(--($D$631:$V$631=G$631),--($D1254:$V1254=1)),0)+SUM(G651)+IF(COUNTIF(G$1237:G1254,1)=1,5,0)+IF(COUNTIF(H652:$W652,"&gt;"&amp;0)&lt;5,IF(AND(COUNTIF(G$1237:G1254,1)&gt;7,MOD(1+IFERROR(MATCH($C652,总览!$D$46:$D$345,1)+1,1),7)=0),$C$3,0),0)</f>
        <v>43.47</v>
      </c>
      <c r="H652" s="131" cm="1">
        <f ca="1" t="array" ref="H652">IF(H1254=1,OFFSET($W$634,$B652,H$631-1)/SUMPRODUCT(--($D$631:$V$631=H$631),--($D1254:$V1254=1)),0)+SUM(H651)+IF(COUNTIF(H$1237:H1254,1)=1,5,0)+IF(COUNTIF(I652:$W652,"&gt;"&amp;0)&lt;5,IF(AND(COUNTIF(H$1237:H1254,1)&gt;7,MOD(1+IFERROR(MATCH($C652,总览!$D$46:$D$345,1)+1,1),7)=0),$C$3,0),0)</f>
        <v>43.47</v>
      </c>
      <c r="I652" s="131" cm="1">
        <f ca="1" t="array" ref="I652">IF(I1254=1,OFFSET($W$634,$B652,I$631-1)/SUMPRODUCT(--($D$631:$V$631=I$631),--($D1254:$V1254=1)),0)+SUM(I651)+IF(COUNTIF(I$1237:I1254,1)=1,5,0)+IF(COUNTIF(J652:$W652,"&gt;"&amp;0)&lt;5,IF(AND(COUNTIF(I$1237:I1254,1)&gt;7,MOD(1+IFERROR(MATCH($C652,总览!$D$46:$D$345,1)+1,1),7)=0),$C$3,0),0)</f>
        <v>43.47</v>
      </c>
      <c r="J652" s="131" cm="1">
        <f ca="1" t="array" ref="J652">IF(J1254=1,OFFSET($W$634,$B652,J$631-1)/SUMPRODUCT(--($D$631:$V$631=J$631),--($D1254:$V1254=1)),0)+SUM(J651)+IF(COUNTIF(J$1237:J1254,1)=1,5,0)+IF(COUNTIF(K652:$W652,"&gt;"&amp;0)&lt;5,IF(AND(COUNTIF(J$1237:J1254,1)&gt;7,MOD(1+IFERROR(MATCH($C652,总览!$D$46:$D$345,1)+1,1),7)=0),$C$3,0),0)</f>
        <v>40.1366666666667</v>
      </c>
      <c r="K652" s="131" cm="1">
        <f ca="1" t="array" ref="K652">IF(K1254=1,OFFSET($W$634,$B652,K$631-1)/SUMPRODUCT(--($D$631:$V$631=K$631),--($D1254:$V1254=1)),0)+SUM(K651)+IF(COUNTIF(K$1237:K1254,1)=1,5,0)+IF(COUNTIF(L652:$W652,"&gt;"&amp;0)&lt;5,IF(AND(COUNTIF(K$1237:K1254,1)&gt;7,MOD(1+IFERROR(MATCH($C652,总览!$D$46:$D$345,1)+1,1),7)=0),$C$3,0),0)</f>
        <v>37.6366666666667</v>
      </c>
      <c r="L652" s="131" cm="1">
        <f ca="1" t="array" ref="L652">IF(L1254=1,OFFSET($W$634,$B652,L$631-1)/SUMPRODUCT(--($D$631:$V$631=L$631),--($D1254:$V1254=1)),0)+SUM(L651)+IF(COUNTIF(L$1237:L1254,1)=1,5,0)+IF(COUNTIF(M652:$W652,"&gt;"&amp;0)&lt;5,IF(AND(COUNTIF(L$1237:L1254,1)&gt;7,MOD(1+IFERROR(MATCH($C652,总览!$D$46:$D$345,1)+1,1),7)=0),$C$3,0),0)</f>
        <v>37.6366666666667</v>
      </c>
      <c r="M652" s="131" cm="1">
        <f ca="1" t="array" ref="M652">IF(M1254=1,OFFSET($W$634,$B652,M$631-1)/SUMPRODUCT(--($D$631:$V$631=M$631),--($D1254:$V1254=1)),0)+SUM(M651)+IF(COUNTIF(M$1237:M1254,1)=1,5,0)+IF(COUNTIF(N652:$W652,"&gt;"&amp;0)&lt;5,IF(AND(COUNTIF(M$1237:M1254,1)&gt;7,MOD(1+IFERROR(MATCH($C652,总览!$D$46:$D$345,1)+1,1),7)=0),$C$3,0),0)</f>
        <v>18.63125</v>
      </c>
      <c r="N652" s="131" cm="1">
        <f ca="1" t="array" ref="N652">IF(N1254=1,OFFSET($W$634,$B652,N$631-1)/SUMPRODUCT(--($D$631:$V$631=N$631),--($D1254:$V1254=1)),0)+SUM(N651)+IF(COUNTIF(N$1237:N1254,1)=1,5,0)+IF(COUNTIF(O652:$W652,"&gt;"&amp;0)&lt;5,IF(AND(COUNTIF(N$1237:N1254,1)&gt;7,MOD(1+IFERROR(MATCH($C652,总览!$D$46:$D$345,1)+1,1),7)=0),$C$3,0),0)</f>
        <v>19.88125</v>
      </c>
      <c r="O652" s="131" cm="1">
        <f ca="1" t="array" ref="O652">IF(O1254=1,OFFSET($W$634,$B652,O$631-1)/SUMPRODUCT(--($D$631:$V$631=O$631),--($D1254:$V1254=1)),0)+SUM(O651)+IF(COUNTIF(O$1237:O1254,1)=1,5,0)+IF(COUNTIF(P652:$W652,"&gt;"&amp;0)&lt;5,IF(AND(COUNTIF(O$1237:O1254,1)&gt;7,MOD(1+IFERROR(MATCH($C652,总览!$D$46:$D$345,1)+1,1),7)=0),$C$3,0),0)</f>
        <v>19.88125</v>
      </c>
      <c r="P652" s="131" cm="1">
        <f ca="1" t="array" ref="P652">IF(P1254=1,OFFSET($W$634,$B652,P$631-1)/SUMPRODUCT(--($D$631:$V$631=P$631),--($D1254:$V1254=1)),0)+SUM(P651)+IF(COUNTIF(P$1237:P1254,1)=1,5,0)+IF(COUNTIF(Q652:$W652,"&gt;"&amp;0)&lt;5,IF(AND(COUNTIF(P$1237:P1254,1)&gt;7,MOD(1+IFERROR(MATCH($C652,总览!$D$46:$D$345,1)+1,1),7)=0),$C$3,0),0)</f>
        <v>9</v>
      </c>
      <c r="Q652" s="131" cm="1">
        <f ca="1" t="array" ref="Q652">IF(Q1254=1,OFFSET($W$634,$B652,Q$631-1)/SUMPRODUCT(--($D$631:$V$631=Q$631),--($D1254:$V1254=1)),0)+SUM(Q651)+IF(COUNTIF(Q$1237:Q1254,1)=1,5,0)+IF(COUNTIF(R652:$W652,"&gt;"&amp;0)&lt;5,IF(AND(COUNTIF(Q$1237:Q1254,1)&gt;7,MOD(1+IFERROR(MATCH($C652,总览!$D$46:$D$345,1)+1,1),7)=0),$C$3,0),0)</f>
        <v>12.38125</v>
      </c>
      <c r="R652" s="131" cm="1">
        <f ca="1" t="array" ref="R652">IF(R1254=1,OFFSET($W$634,$B652,R$631-1)/SUMPRODUCT(--($D$631:$V$631=R$631),--($D1254:$V1254=1)),0)+SUM(R651)+IF(COUNTIF(R$1237:R1254,1)=1,5,0)+IF(COUNTIF(S652:$W652,"&gt;"&amp;0)&lt;5,IF(AND(COUNTIF(R$1237:R1254,1)&gt;7,MOD(1+IFERROR(MATCH($C652,总览!$D$46:$D$345,1)+1,1),7)=0),$C$3,0),0)</f>
        <v>0</v>
      </c>
      <c r="S652" s="131" cm="1">
        <f ca="1" t="array" ref="S652">IF(S1254=1,OFFSET($W$634,$B652,S$631-1)/SUMPRODUCT(--($D$631:$V$631=S$631),--($D1254:$V1254=1)),0)+SUM(S651)+IF(COUNTIF(S$1237:S1254,1)=1,5,0)+IF(COUNTIF(T652:$W652,"&gt;"&amp;0)&lt;5,IF(AND(COUNTIF(S$1237:S1254,1)&gt;7,MOD(1+IFERROR(MATCH($C652,总览!$D$46:$D$345,1)+1,1),7)=0),$C$3,0),0)</f>
        <v>0</v>
      </c>
      <c r="T652" s="131" cm="1">
        <f ca="1" t="array" ref="T652">IF(T1254=1,OFFSET($W$634,$B652,T$631-1)/SUMPRODUCT(--($D$631:$V$631=T$631),--($D1254:$V1254=1)),0)+SUM(T651)+IF(COUNTIF(T$1237:T1254,1)=1,5,0)+IF(COUNTIF(U652:$W652,"&gt;"&amp;0)&lt;5,IF(AND(COUNTIF(T$1237:T1254,1)&gt;7,MOD(1+IFERROR(MATCH($C652,总览!$D$46:$D$345,1)+1,1),7)=0),$C$3,0),0)</f>
        <v>0</v>
      </c>
      <c r="U652" s="131" cm="1">
        <f ca="1" t="array" ref="U652">IF(U1254=1,OFFSET($W$634,$B652,U$631-1)/SUMPRODUCT(--($D$631:$V$631=U$631),--($D1254:$V1254=1)),0)+SUM(U651)+IF(COUNTIF(U$1237:U1254,1)=1,5,0)+IF(COUNTIF(V652:$W652,"&gt;"&amp;0)&lt;5,IF(AND(COUNTIF(U$1237:U1254,1)&gt;7,MOD(1+IFERROR(MATCH($C652,总览!$D$46:$D$345,1)+1,1),7)=0),$C$3,0),0)</f>
        <v>0</v>
      </c>
      <c r="V652" s="131" cm="1">
        <f ca="1" t="array" ref="V652">IF(V1254=1,OFFSET($W$634,$B652,V$631-1)/SUMPRODUCT(--($D$631:$V$631=V$631),--($D1254:$V1254=1)),0)+SUM(V651)+IF(COUNTIF(V$1237:V1254,1)=1,5,0)+IF(COUNTIF(W652:$W652,"&gt;"&amp;0)&lt;5,IF(AND(COUNTIF(V$1237:V1254,1)&gt;7,MOD(1+IFERROR(MATCH($C652,总览!$D$46:$D$345,1)+1,1),7)=0),$C$3,0),0)</f>
        <v>0</v>
      </c>
      <c r="W652" s="135" cm="1">
        <f ca="1" t="array" ref="W652">SUMPRODUCT(TRANSPOSE($AA652:$AG652),OFFSET($L$9:$L$15,0,W$631-1))</f>
        <v>31</v>
      </c>
      <c r="X652" s="135" cm="1">
        <f ca="1" t="array" ref="X652">SUMPRODUCT(TRANSPOSE($AA652:$AG652),OFFSET($L$9:$L$15,0,X$631-1))</f>
        <v>14</v>
      </c>
      <c r="Y652" s="135" cm="1">
        <f ca="1" t="array" ref="Y652">SUMPRODUCT(TRANSPOSE($AA652:$AG652),OFFSET($L$9:$L$15,0,Y$631-1))</f>
        <v>5</v>
      </c>
      <c r="Z652" s="135" cm="1">
        <f ca="1" t="array" ref="Z652">SUMPRODUCT(TRANSPOSE($AA652:$AG652),OFFSET($L$9:$L$15,0,Z$631-1))</f>
        <v>0</v>
      </c>
      <c r="AA652" s="136">
        <f ca="1" t="shared" ref="AA652:AG652" si="275">AH652-AH651</f>
        <v>0</v>
      </c>
      <c r="AB652" s="136">
        <f ca="1" t="shared" si="275"/>
        <v>0</v>
      </c>
      <c r="AC652" s="136">
        <f ca="1" t="shared" si="275"/>
        <v>100</v>
      </c>
      <c r="AD652" s="136">
        <f ca="1" t="shared" si="275"/>
        <v>0</v>
      </c>
      <c r="AE652" s="136">
        <f ca="1" t="shared" si="275"/>
        <v>0</v>
      </c>
      <c r="AF652" s="136">
        <f ca="1" t="shared" si="275"/>
        <v>0</v>
      </c>
      <c r="AG652" s="136">
        <f ca="1" t="shared" si="275"/>
        <v>0</v>
      </c>
      <c r="AH652" s="136">
        <f ca="1" t="shared" si="241"/>
        <v>450</v>
      </c>
      <c r="AI652" s="136">
        <f ca="1" t="shared" ref="AI652:AN652" si="276">IF($C652&gt;OFFSET($Q$8,MATCH(AI$634,$AH$634:$AN$634,0),0),OFFSET($P$8,MATCH(AI$634,$AH$634:$AN$634,0),0),MAX(0,$C652-OFFSET($Q$8,RIGHT(AI$634,1)-1,0)))</f>
        <v>909</v>
      </c>
      <c r="AJ652" s="136">
        <f ca="1" t="shared" si="276"/>
        <v>441</v>
      </c>
      <c r="AK652" s="136">
        <f ca="1" t="shared" si="276"/>
        <v>0</v>
      </c>
      <c r="AL652" s="136">
        <f ca="1" t="shared" si="276"/>
        <v>0</v>
      </c>
      <c r="AM652" s="136">
        <f ca="1" t="shared" si="276"/>
        <v>0</v>
      </c>
      <c r="AN652" s="136">
        <f ca="1" t="shared" si="276"/>
        <v>0</v>
      </c>
      <c r="AP652" s="132">
        <v>18</v>
      </c>
      <c r="AQ652" s="132">
        <v>770</v>
      </c>
      <c r="AR652" s="132">
        <v>770</v>
      </c>
      <c r="AS652" s="132">
        <v>770</v>
      </c>
      <c r="AT652" s="132">
        <v>660</v>
      </c>
    </row>
    <row r="653" s="106" customFormat="1" ht="16.5" spans="2:46">
      <c r="B653" s="117">
        <v>19</v>
      </c>
      <c r="C653" s="130">
        <f t="shared" si="239"/>
        <v>1900</v>
      </c>
      <c r="D653" s="131" cm="1">
        <f ca="1" t="array" ref="D653">IF(D1255=1,OFFSET($W$634,$B653,D$631-1)/SUMPRODUCT(--($D$631:$V$631=D$631),--($D1255:$V1255=1)),0)+SUM(D652)+IF(COUNTIF(D$1237:D1255,1)=1,5,0)+IF(COUNTIF(E653:$W653,"&gt;"&amp;0)&lt;5,IF(AND(COUNTIF(D$1237:D1255,1)&gt;7,MOD(1+IFERROR(MATCH($C653,总览!$D$46:$D$345,1)+1,1),7)=0),$C$3,0),0)</f>
        <v>228.468333333333</v>
      </c>
      <c r="E653" s="131" cm="1">
        <f ca="1" t="array" ref="E653">IF(E1255=1,OFFSET($W$634,$B653,E$631-1)/SUMPRODUCT(--($D$631:$V$631=E$631),--($D1255:$V1255=1)),0)+SUM(E652)+IF(COUNTIF(E$1237:E1255,1)=1,5,0)+IF(COUNTIF(F653:$W653,"&gt;"&amp;0)&lt;5,IF(AND(COUNTIF(E$1237:E1255,1)&gt;7,MOD(1+IFERROR(MATCH($C653,总览!$D$46:$D$345,1)+1,1),7)=0),$C$3,0),0)</f>
        <v>228.468333333333</v>
      </c>
      <c r="F653" s="131" cm="1">
        <f ca="1" t="array" ref="F653">IF(F1255=1,OFFSET($W$634,$B653,F$631-1)/SUMPRODUCT(--($D$631:$V$631=F$631),--($D1255:$V1255=1)),0)+SUM(F652)+IF(COUNTIF(F$1237:F1255,1)=1,5,0)+IF(COUNTIF(G653:$W653,"&gt;"&amp;0)&lt;5,IF(AND(COUNTIF(F$1237:F1255,1)&gt;7,MOD(1+IFERROR(MATCH($C653,总览!$D$46:$D$345,1)+1,1),7)=0),$C$3,0),0)</f>
        <v>228.468333333333</v>
      </c>
      <c r="G653" s="131" cm="1">
        <f ca="1" t="array" ref="G653">IF(G1255=1,OFFSET($W$634,$B653,G$631-1)/SUMPRODUCT(--($D$631:$V$631=G$631),--($D1255:$V1255=1)),0)+SUM(G652)+IF(COUNTIF(G$1237:G1255,1)=1,5,0)+IF(COUNTIF(H653:$W653,"&gt;"&amp;0)&lt;5,IF(AND(COUNTIF(G$1237:G1255,1)&gt;7,MOD(1+IFERROR(MATCH($C653,总览!$D$46:$D$345,1)+1,1),7)=0),$C$3,0),0)</f>
        <v>45.8033333333333</v>
      </c>
      <c r="H653" s="131" cm="1">
        <f ca="1" t="array" ref="H653">IF(H1255=1,OFFSET($W$634,$B653,H$631-1)/SUMPRODUCT(--($D$631:$V$631=H$631),--($D1255:$V1255=1)),0)+SUM(H652)+IF(COUNTIF(H$1237:H1255,1)=1,5,0)+IF(COUNTIF(I653:$W653,"&gt;"&amp;0)&lt;5,IF(AND(COUNTIF(H$1237:H1255,1)&gt;7,MOD(1+IFERROR(MATCH($C653,总览!$D$46:$D$345,1)+1,1),7)=0),$C$3,0),0)</f>
        <v>45.8033333333333</v>
      </c>
      <c r="I653" s="131" cm="1">
        <f ca="1" t="array" ref="I653">IF(I1255=1,OFFSET($W$634,$B653,I$631-1)/SUMPRODUCT(--($D$631:$V$631=I$631),--($D1255:$V1255=1)),0)+SUM(I652)+IF(COUNTIF(I$1237:I1255,1)=1,5,0)+IF(COUNTIF(J653:$W653,"&gt;"&amp;0)&lt;5,IF(AND(COUNTIF(I$1237:I1255,1)&gt;7,MOD(1+IFERROR(MATCH($C653,总览!$D$46:$D$345,1)+1,1),7)=0),$C$3,0),0)</f>
        <v>45.8033333333333</v>
      </c>
      <c r="J653" s="131" cm="1">
        <f ca="1" t="array" ref="J653">IF(J1255=1,OFFSET($W$634,$B653,J$631-1)/SUMPRODUCT(--($D$631:$V$631=J$631),--($D1255:$V1255=1)),0)+SUM(J652)+IF(COUNTIF(J$1237:J1255,1)=1,5,0)+IF(COUNTIF(K653:$W653,"&gt;"&amp;0)&lt;5,IF(AND(COUNTIF(J$1237:J1255,1)&gt;7,MOD(1+IFERROR(MATCH($C653,总览!$D$46:$D$345,1)+1,1),7)=0),$C$3,0),0)</f>
        <v>42.47</v>
      </c>
      <c r="K653" s="131" cm="1">
        <f ca="1" t="array" ref="K653">IF(K1255=1,OFFSET($W$634,$B653,K$631-1)/SUMPRODUCT(--($D$631:$V$631=K$631),--($D1255:$V1255=1)),0)+SUM(K652)+IF(COUNTIF(K$1237:K1255,1)=1,5,0)+IF(COUNTIF(L653:$W653,"&gt;"&amp;0)&lt;5,IF(AND(COUNTIF(K$1237:K1255,1)&gt;7,MOD(1+IFERROR(MATCH($C653,总览!$D$46:$D$345,1)+1,1),7)=0),$C$3,0),0)</f>
        <v>39.97</v>
      </c>
      <c r="L653" s="131" cm="1">
        <f ca="1" t="array" ref="L653">IF(L1255=1,OFFSET($W$634,$B653,L$631-1)/SUMPRODUCT(--($D$631:$V$631=L$631),--($D1255:$V1255=1)),0)+SUM(L652)+IF(COUNTIF(L$1237:L1255,1)=1,5,0)+IF(COUNTIF(M653:$W653,"&gt;"&amp;0)&lt;5,IF(AND(COUNTIF(L$1237:L1255,1)&gt;7,MOD(1+IFERROR(MATCH($C653,总览!$D$46:$D$345,1)+1,1),7)=0),$C$3,0),0)</f>
        <v>39.97</v>
      </c>
      <c r="M653" s="131" cm="1">
        <f ca="1" t="array" ref="M653">IF(M1255=1,OFFSET($W$634,$B653,M$631-1)/SUMPRODUCT(--($D$631:$V$631=M$631),--($D1255:$V1255=1)),0)+SUM(M652)+IF(COUNTIF(M$1237:M1255,1)=1,5,0)+IF(COUNTIF(N653:$W653,"&gt;"&amp;0)&lt;5,IF(AND(COUNTIF(M$1237:M1255,1)&gt;7,MOD(1+IFERROR(MATCH($C653,总览!$D$46:$D$345,1)+1,1),7)=0),$C$3,0),0)</f>
        <v>19.63125</v>
      </c>
      <c r="N653" s="131" cm="1">
        <f ca="1" t="array" ref="N653">IF(N1255=1,OFFSET($W$634,$B653,N$631-1)/SUMPRODUCT(--($D$631:$V$631=N$631),--($D1255:$V1255=1)),0)+SUM(N652)+IF(COUNTIF(N$1237:N1255,1)=1,5,0)+IF(COUNTIF(O653:$W653,"&gt;"&amp;0)&lt;5,IF(AND(COUNTIF(N$1237:N1255,1)&gt;7,MOD(1+IFERROR(MATCH($C653,总览!$D$46:$D$345,1)+1,1),7)=0),$C$3,0),0)</f>
        <v>20.88125</v>
      </c>
      <c r="O653" s="131" cm="1">
        <f ca="1" t="array" ref="O653">IF(O1255=1,OFFSET($W$634,$B653,O$631-1)/SUMPRODUCT(--($D$631:$V$631=O$631),--($D1255:$V1255=1)),0)+SUM(O652)+IF(COUNTIF(O$1237:O1255,1)=1,5,0)+IF(COUNTIF(P653:$W653,"&gt;"&amp;0)&lt;5,IF(AND(COUNTIF(O$1237:O1255,1)&gt;7,MOD(1+IFERROR(MATCH($C653,总览!$D$46:$D$345,1)+1,1),7)=0),$C$3,0),0)</f>
        <v>20.88125</v>
      </c>
      <c r="P653" s="131" cm="1">
        <f ca="1" t="array" ref="P653">IF(P1255=1,OFFSET($W$634,$B653,P$631-1)/SUMPRODUCT(--($D$631:$V$631=P$631),--($D1255:$V1255=1)),0)+SUM(P652)+IF(COUNTIF(P$1237:P1255,1)=1,5,0)+IF(COUNTIF(Q653:$W653,"&gt;"&amp;0)&lt;5,IF(AND(COUNTIF(P$1237:P1255,1)&gt;7,MOD(1+IFERROR(MATCH($C653,总览!$D$46:$D$345,1)+1,1),7)=0),$C$3,0),0)</f>
        <v>10</v>
      </c>
      <c r="Q653" s="131" cm="1">
        <f ca="1" t="array" ref="Q653">IF(Q1255=1,OFFSET($W$634,$B653,Q$631-1)/SUMPRODUCT(--($D$631:$V$631=Q$631),--($D1255:$V1255=1)),0)+SUM(Q652)+IF(COUNTIF(Q$1237:Q1255,1)=1,5,0)+IF(COUNTIF(R653:$W653,"&gt;"&amp;0)&lt;5,IF(AND(COUNTIF(Q$1237:Q1255,1)&gt;7,MOD(1+IFERROR(MATCH($C653,总览!$D$46:$D$345,1)+1,1),7)=0),$C$3,0),0)</f>
        <v>13.38125</v>
      </c>
      <c r="R653" s="131" cm="1">
        <f ca="1" t="array" ref="R653">IF(R1255=1,OFFSET($W$634,$B653,R$631-1)/SUMPRODUCT(--($D$631:$V$631=R$631),--($D1255:$V1255=1)),0)+SUM(R652)+IF(COUNTIF(R$1237:R1255,1)=1,5,0)+IF(COUNTIF(S653:$W653,"&gt;"&amp;0)&lt;5,IF(AND(COUNTIF(R$1237:R1255,1)&gt;7,MOD(1+IFERROR(MATCH($C653,总览!$D$46:$D$345,1)+1,1),7)=0),$C$3,0),0)</f>
        <v>0</v>
      </c>
      <c r="S653" s="131" cm="1">
        <f ca="1" t="array" ref="S653">IF(S1255=1,OFFSET($W$634,$B653,S$631-1)/SUMPRODUCT(--($D$631:$V$631=S$631),--($D1255:$V1255=1)),0)+SUM(S652)+IF(COUNTIF(S$1237:S1255,1)=1,5,0)+IF(COUNTIF(T653:$W653,"&gt;"&amp;0)&lt;5,IF(AND(COUNTIF(S$1237:S1255,1)&gt;7,MOD(1+IFERROR(MATCH($C653,总览!$D$46:$D$345,1)+1,1),7)=0),$C$3,0),0)</f>
        <v>0</v>
      </c>
      <c r="T653" s="131" cm="1">
        <f ca="1" t="array" ref="T653">IF(T1255=1,OFFSET($W$634,$B653,T$631-1)/SUMPRODUCT(--($D$631:$V$631=T$631),--($D1255:$V1255=1)),0)+SUM(T652)+IF(COUNTIF(T$1237:T1255,1)=1,5,0)+IF(COUNTIF(U653:$W653,"&gt;"&amp;0)&lt;5,IF(AND(COUNTIF(T$1237:T1255,1)&gt;7,MOD(1+IFERROR(MATCH($C653,总览!$D$46:$D$345,1)+1,1),7)=0),$C$3,0),0)</f>
        <v>0</v>
      </c>
      <c r="U653" s="131" cm="1">
        <f ca="1" t="array" ref="U653">IF(U1255=1,OFFSET($W$634,$B653,U$631-1)/SUMPRODUCT(--($D$631:$V$631=U$631),--($D1255:$V1255=1)),0)+SUM(U652)+IF(COUNTIF(U$1237:U1255,1)=1,5,0)+IF(COUNTIF(V653:$W653,"&gt;"&amp;0)&lt;5,IF(AND(COUNTIF(U$1237:U1255,1)&gt;7,MOD(1+IFERROR(MATCH($C653,总览!$D$46:$D$345,1)+1,1),7)=0),$C$3,0),0)</f>
        <v>0</v>
      </c>
      <c r="V653" s="131" cm="1">
        <f ca="1" t="array" ref="V653">IF(V1255=1,OFFSET($W$634,$B653,V$631-1)/SUMPRODUCT(--($D$631:$V$631=V$631),--($D1255:$V1255=1)),0)+SUM(V652)+IF(COUNTIF(V$1237:V1255,1)=1,5,0)+IF(COUNTIF(W653:$W653,"&gt;"&amp;0)&lt;5,IF(AND(COUNTIF(V$1237:V1255,1)&gt;7,MOD(1+IFERROR(MATCH($C653,总览!$D$46:$D$345,1)+1,1),7)=0),$C$3,0),0)</f>
        <v>0</v>
      </c>
      <c r="W653" s="135" cm="1">
        <f ca="1" t="array" ref="W653">SUMPRODUCT(TRANSPOSE($AA653:$AG653),OFFSET($L$9:$L$15,0,W$631-1))</f>
        <v>31</v>
      </c>
      <c r="X653" s="135" cm="1">
        <f ca="1" t="array" ref="X653">SUMPRODUCT(TRANSPOSE($AA653:$AG653),OFFSET($L$9:$L$15,0,X$631-1))</f>
        <v>14</v>
      </c>
      <c r="Y653" s="135" cm="1">
        <f ca="1" t="array" ref="Y653">SUMPRODUCT(TRANSPOSE($AA653:$AG653),OFFSET($L$9:$L$15,0,Y$631-1))</f>
        <v>5</v>
      </c>
      <c r="Z653" s="135" cm="1">
        <f ca="1" t="array" ref="Z653">SUMPRODUCT(TRANSPOSE($AA653:$AG653),OFFSET($L$9:$L$15,0,Z$631-1))</f>
        <v>0</v>
      </c>
      <c r="AA653" s="136">
        <f ca="1" t="shared" ref="AA653:AG653" si="277">AH653-AH652</f>
        <v>0</v>
      </c>
      <c r="AB653" s="136">
        <f ca="1" t="shared" si="277"/>
        <v>0</v>
      </c>
      <c r="AC653" s="136">
        <f ca="1" t="shared" si="277"/>
        <v>100</v>
      </c>
      <c r="AD653" s="136">
        <f ca="1" t="shared" si="277"/>
        <v>0</v>
      </c>
      <c r="AE653" s="136">
        <f ca="1" t="shared" si="277"/>
        <v>0</v>
      </c>
      <c r="AF653" s="136">
        <f ca="1" t="shared" si="277"/>
        <v>0</v>
      </c>
      <c r="AG653" s="136">
        <f ca="1" t="shared" si="277"/>
        <v>0</v>
      </c>
      <c r="AH653" s="136">
        <f ca="1" t="shared" si="241"/>
        <v>450</v>
      </c>
      <c r="AI653" s="136">
        <f ca="1" t="shared" ref="AI653:AN653" si="278">IF($C653&gt;OFFSET($Q$8,MATCH(AI$634,$AH$634:$AN$634,0),0),OFFSET($P$8,MATCH(AI$634,$AH$634:$AN$634,0),0),MAX(0,$C653-OFFSET($Q$8,RIGHT(AI$634,1)-1,0)))</f>
        <v>909</v>
      </c>
      <c r="AJ653" s="136">
        <f ca="1" t="shared" si="278"/>
        <v>541</v>
      </c>
      <c r="AK653" s="136">
        <f ca="1" t="shared" si="278"/>
        <v>0</v>
      </c>
      <c r="AL653" s="136">
        <f ca="1" t="shared" si="278"/>
        <v>0</v>
      </c>
      <c r="AM653" s="136">
        <f ca="1" t="shared" si="278"/>
        <v>0</v>
      </c>
      <c r="AN653" s="136">
        <f ca="1" t="shared" si="278"/>
        <v>0</v>
      </c>
      <c r="AP653" s="132">
        <v>19</v>
      </c>
      <c r="AQ653" s="132">
        <v>860</v>
      </c>
      <c r="AR653" s="132">
        <v>860</v>
      </c>
      <c r="AS653" s="132">
        <v>860</v>
      </c>
      <c r="AT653" s="132">
        <v>730</v>
      </c>
    </row>
    <row r="654" s="106" customFormat="1" ht="16.5" spans="2:46">
      <c r="B654" s="117">
        <v>20</v>
      </c>
      <c r="C654" s="130">
        <f t="shared" si="239"/>
        <v>2000</v>
      </c>
      <c r="D654" s="131" cm="1">
        <f ca="1" t="array" ref="D654">IF(D1256=1,OFFSET($W$634,$B654,D$631-1)/SUMPRODUCT(--($D$631:$V$631=D$631),--($D1256:$V1256=1)),0)+SUM(D653)+IF(COUNTIF(D$1237:D1256,1)=1,5,0)+IF(COUNTIF(E654:$W654,"&gt;"&amp;0)&lt;5,IF(AND(COUNTIF(D$1237:D1256,1)&gt;7,MOD(1+IFERROR(MATCH($C654,总览!$D$46:$D$345,1)+1,1),7)=0),$C$3,0),0)</f>
        <v>238.801666666667</v>
      </c>
      <c r="E654" s="131" cm="1">
        <f ca="1" t="array" ref="E654">IF(E1256=1,OFFSET($W$634,$B654,E$631-1)/SUMPRODUCT(--($D$631:$V$631=E$631),--($D1256:$V1256=1)),0)+SUM(E653)+IF(COUNTIF(E$1237:E1256,1)=1,5,0)+IF(COUNTIF(F654:$W654,"&gt;"&amp;0)&lt;5,IF(AND(COUNTIF(E$1237:E1256,1)&gt;7,MOD(1+IFERROR(MATCH($C654,总览!$D$46:$D$345,1)+1,1),7)=0),$C$3,0),0)</f>
        <v>238.801666666667</v>
      </c>
      <c r="F654" s="131" cm="1">
        <f ca="1" t="array" ref="F654">IF(F1256=1,OFFSET($W$634,$B654,F$631-1)/SUMPRODUCT(--($D$631:$V$631=F$631),--($D1256:$V1256=1)),0)+SUM(F653)+IF(COUNTIF(F$1237:F1256,1)=1,5,0)+IF(COUNTIF(G654:$W654,"&gt;"&amp;0)&lt;5,IF(AND(COUNTIF(F$1237:F1256,1)&gt;7,MOD(1+IFERROR(MATCH($C654,总览!$D$46:$D$345,1)+1,1),7)=0),$C$3,0),0)</f>
        <v>238.801666666667</v>
      </c>
      <c r="G654" s="131" cm="1">
        <f ca="1" t="array" ref="G654">IF(G1256=1,OFFSET($W$634,$B654,G$631-1)/SUMPRODUCT(--($D$631:$V$631=G$631),--($D1256:$V1256=1)),0)+SUM(G653)+IF(COUNTIF(G$1237:G1256,1)=1,5,0)+IF(COUNTIF(H654:$W654,"&gt;"&amp;0)&lt;5,IF(AND(COUNTIF(G$1237:G1256,1)&gt;7,MOD(1+IFERROR(MATCH($C654,总览!$D$46:$D$345,1)+1,1),7)=0),$C$3,0),0)</f>
        <v>48.1366666666667</v>
      </c>
      <c r="H654" s="131" cm="1">
        <f ca="1" t="array" ref="H654">IF(H1256=1,OFFSET($W$634,$B654,H$631-1)/SUMPRODUCT(--($D$631:$V$631=H$631),--($D1256:$V1256=1)),0)+SUM(H653)+IF(COUNTIF(H$1237:H1256,1)=1,5,0)+IF(COUNTIF(I654:$W654,"&gt;"&amp;0)&lt;5,IF(AND(COUNTIF(H$1237:H1256,1)&gt;7,MOD(1+IFERROR(MATCH($C654,总览!$D$46:$D$345,1)+1,1),7)=0),$C$3,0),0)</f>
        <v>48.1366666666667</v>
      </c>
      <c r="I654" s="131" cm="1">
        <f ca="1" t="array" ref="I654">IF(I1256=1,OFFSET($W$634,$B654,I$631-1)/SUMPRODUCT(--($D$631:$V$631=I$631),--($D1256:$V1256=1)),0)+SUM(I653)+IF(COUNTIF(I$1237:I1256,1)=1,5,0)+IF(COUNTIF(J654:$W654,"&gt;"&amp;0)&lt;5,IF(AND(COUNTIF(I$1237:I1256,1)&gt;7,MOD(1+IFERROR(MATCH($C654,总览!$D$46:$D$345,1)+1,1),7)=0),$C$3,0),0)</f>
        <v>48.1366666666667</v>
      </c>
      <c r="J654" s="131" cm="1">
        <f ca="1" t="array" ref="J654">IF(J1256=1,OFFSET($W$634,$B654,J$631-1)/SUMPRODUCT(--($D$631:$V$631=J$631),--($D1256:$V1256=1)),0)+SUM(J653)+IF(COUNTIF(J$1237:J1256,1)=1,5,0)+IF(COUNTIF(K654:$W654,"&gt;"&amp;0)&lt;5,IF(AND(COUNTIF(J$1237:J1256,1)&gt;7,MOD(1+IFERROR(MATCH($C654,总览!$D$46:$D$345,1)+1,1),7)=0),$C$3,0),0)</f>
        <v>44.8033333333333</v>
      </c>
      <c r="K654" s="131" cm="1">
        <f ca="1" t="array" ref="K654">IF(K1256=1,OFFSET($W$634,$B654,K$631-1)/SUMPRODUCT(--($D$631:$V$631=K$631),--($D1256:$V1256=1)),0)+SUM(K653)+IF(COUNTIF(K$1237:K1256,1)=1,5,0)+IF(COUNTIF(L654:$W654,"&gt;"&amp;0)&lt;5,IF(AND(COUNTIF(K$1237:K1256,1)&gt;7,MOD(1+IFERROR(MATCH($C654,总览!$D$46:$D$345,1)+1,1),7)=0),$C$3,0),0)</f>
        <v>42.3033333333333</v>
      </c>
      <c r="L654" s="131" cm="1">
        <f ca="1" t="array" ref="L654">IF(L1256=1,OFFSET($W$634,$B654,L$631-1)/SUMPRODUCT(--($D$631:$V$631=L$631),--($D1256:$V1256=1)),0)+SUM(L653)+IF(COUNTIF(L$1237:L1256,1)=1,5,0)+IF(COUNTIF(M654:$W654,"&gt;"&amp;0)&lt;5,IF(AND(COUNTIF(L$1237:L1256,1)&gt;7,MOD(1+IFERROR(MATCH($C654,总览!$D$46:$D$345,1)+1,1),7)=0),$C$3,0),0)</f>
        <v>42.3033333333333</v>
      </c>
      <c r="M654" s="131" cm="1">
        <f ca="1" t="array" ref="M654">IF(M1256=1,OFFSET($W$634,$B654,M$631-1)/SUMPRODUCT(--($D$631:$V$631=M$631),--($D1256:$V1256=1)),0)+SUM(M653)+IF(COUNTIF(M$1237:M1256,1)=1,5,0)+IF(COUNTIF(N654:$W654,"&gt;"&amp;0)&lt;5,IF(AND(COUNTIF(M$1237:M1256,1)&gt;7,MOD(1+IFERROR(MATCH($C654,总览!$D$46:$D$345,1)+1,1),7)=0),$C$3,0),0)</f>
        <v>20.4645833333333</v>
      </c>
      <c r="N654" s="131" cm="1">
        <f ca="1" t="array" ref="N654">IF(N1256=1,OFFSET($W$634,$B654,N$631-1)/SUMPRODUCT(--($D$631:$V$631=N$631),--($D1256:$V1256=1)),0)+SUM(N653)+IF(COUNTIF(N$1237:N1256,1)=1,5,0)+IF(COUNTIF(O654:$W654,"&gt;"&amp;0)&lt;5,IF(AND(COUNTIF(N$1237:N1256,1)&gt;7,MOD(1+IFERROR(MATCH($C654,总览!$D$46:$D$345,1)+1,1),7)=0),$C$3,0),0)</f>
        <v>21.7145833333333</v>
      </c>
      <c r="O654" s="131" cm="1">
        <f ca="1" t="array" ref="O654">IF(O1256=1,OFFSET($W$634,$B654,O$631-1)/SUMPRODUCT(--($D$631:$V$631=O$631),--($D1256:$V1256=1)),0)+SUM(O653)+IF(COUNTIF(O$1237:O1256,1)=1,5,0)+IF(COUNTIF(P654:$W654,"&gt;"&amp;0)&lt;5,IF(AND(COUNTIF(O$1237:O1256,1)&gt;7,MOD(1+IFERROR(MATCH($C654,总览!$D$46:$D$345,1)+1,1),7)=0),$C$3,0),0)</f>
        <v>26.7145833333333</v>
      </c>
      <c r="P654" s="131" cm="1">
        <f ca="1" t="array" ref="P654">IF(P1256=1,OFFSET($W$634,$B654,P$631-1)/SUMPRODUCT(--($D$631:$V$631=P$631),--($D1256:$V1256=1)),0)+SUM(P653)+IF(COUNTIF(P$1237:P1256,1)=1,5,0)+IF(COUNTIF(Q654:$W654,"&gt;"&amp;0)&lt;5,IF(AND(COUNTIF(P$1237:P1256,1)&gt;7,MOD(1+IFERROR(MATCH($C654,总览!$D$46:$D$345,1)+1,1),7)=0),$C$3,0),0)</f>
        <v>10.8333333333333</v>
      </c>
      <c r="Q654" s="131" cm="1">
        <f ca="1" t="array" ref="Q654">IF(Q1256=1,OFFSET($W$634,$B654,Q$631-1)/SUMPRODUCT(--($D$631:$V$631=Q$631),--($D1256:$V1256=1)),0)+SUM(Q653)+IF(COUNTIF(Q$1237:Q1256,1)=1,5,0)+IF(COUNTIF(R654:$W654,"&gt;"&amp;0)&lt;5,IF(AND(COUNTIF(Q$1237:Q1256,1)&gt;7,MOD(1+IFERROR(MATCH($C654,总览!$D$46:$D$345,1)+1,1),7)=0),$C$3,0),0)</f>
        <v>19.2145833333333</v>
      </c>
      <c r="R654" s="131" cm="1">
        <f ca="1" t="array" ref="R654">IF(R1256=1,OFFSET($W$634,$B654,R$631-1)/SUMPRODUCT(--($D$631:$V$631=R$631),--($D1256:$V1256=1)),0)+SUM(R653)+IF(COUNTIF(R$1237:R1256,1)=1,5,0)+IF(COUNTIF(S654:$W654,"&gt;"&amp;0)&lt;5,IF(AND(COUNTIF(R$1237:R1256,1)&gt;7,MOD(1+IFERROR(MATCH($C654,总览!$D$46:$D$345,1)+1,1),7)=0),$C$3,0),0)</f>
        <v>5.83333333333333</v>
      </c>
      <c r="S654" s="131" cm="1">
        <f ca="1" t="array" ref="S654">IF(S1256=1,OFFSET($W$634,$B654,S$631-1)/SUMPRODUCT(--($D$631:$V$631=S$631),--($D1256:$V1256=1)),0)+SUM(S653)+IF(COUNTIF(S$1237:S1256,1)=1,5,0)+IF(COUNTIF(T654:$W654,"&gt;"&amp;0)&lt;5,IF(AND(COUNTIF(S$1237:S1256,1)&gt;7,MOD(1+IFERROR(MATCH($C654,总览!$D$46:$D$345,1)+1,1),7)=0),$C$3,0),0)</f>
        <v>0</v>
      </c>
      <c r="T654" s="131" cm="1">
        <f ca="1" t="array" ref="T654">IF(T1256=1,OFFSET($W$634,$B654,T$631-1)/SUMPRODUCT(--($D$631:$V$631=T$631),--($D1256:$V1256=1)),0)+SUM(T653)+IF(COUNTIF(T$1237:T1256,1)=1,5,0)+IF(COUNTIF(U654:$W654,"&gt;"&amp;0)&lt;5,IF(AND(COUNTIF(T$1237:T1256,1)&gt;7,MOD(1+IFERROR(MATCH($C654,总览!$D$46:$D$345,1)+1,1),7)=0),$C$3,0),0)</f>
        <v>0</v>
      </c>
      <c r="U654" s="131" cm="1">
        <f ca="1" t="array" ref="U654">IF(U1256=1,OFFSET($W$634,$B654,U$631-1)/SUMPRODUCT(--($D$631:$V$631=U$631),--($D1256:$V1256=1)),0)+SUM(U653)+IF(COUNTIF(U$1237:U1256,1)=1,5,0)+IF(COUNTIF(V654:$W654,"&gt;"&amp;0)&lt;5,IF(AND(COUNTIF(U$1237:U1256,1)&gt;7,MOD(1+IFERROR(MATCH($C654,总览!$D$46:$D$345,1)+1,1),7)=0),$C$3,0),0)</f>
        <v>0</v>
      </c>
      <c r="V654" s="131" cm="1">
        <f ca="1" t="array" ref="V654">IF(V1256=1,OFFSET($W$634,$B654,V$631-1)/SUMPRODUCT(--($D$631:$V$631=V$631),--($D1256:$V1256=1)),0)+SUM(V653)+IF(COUNTIF(V$1237:V1256,1)=1,5,0)+IF(COUNTIF(W654:$W654,"&gt;"&amp;0)&lt;5,IF(AND(COUNTIF(V$1237:V1256,1)&gt;7,MOD(1+IFERROR(MATCH($C654,总览!$D$46:$D$345,1)+1,1),7)=0),$C$3,0),0)</f>
        <v>0</v>
      </c>
      <c r="W654" s="135" cm="1">
        <f ca="1" t="array" ref="W654">SUMPRODUCT(TRANSPOSE($AA654:$AG654),OFFSET($L$9:$L$15,0,W$631-1))</f>
        <v>31</v>
      </c>
      <c r="X654" s="135" cm="1">
        <f ca="1" t="array" ref="X654">SUMPRODUCT(TRANSPOSE($AA654:$AG654),OFFSET($L$9:$L$15,0,X$631-1))</f>
        <v>14</v>
      </c>
      <c r="Y654" s="135" cm="1">
        <f ca="1" t="array" ref="Y654">SUMPRODUCT(TRANSPOSE($AA654:$AG654),OFFSET($L$9:$L$15,0,Y$631-1))</f>
        <v>5</v>
      </c>
      <c r="Z654" s="135" cm="1">
        <f ca="1" t="array" ref="Z654">SUMPRODUCT(TRANSPOSE($AA654:$AG654),OFFSET($L$9:$L$15,0,Z$631-1))</f>
        <v>0</v>
      </c>
      <c r="AA654" s="136">
        <f ca="1" t="shared" ref="AA654:AG654" si="279">AH654-AH653</f>
        <v>0</v>
      </c>
      <c r="AB654" s="136">
        <f ca="1" t="shared" si="279"/>
        <v>0</v>
      </c>
      <c r="AC654" s="136">
        <f ca="1" t="shared" si="279"/>
        <v>100</v>
      </c>
      <c r="AD654" s="136">
        <f ca="1" t="shared" si="279"/>
        <v>0</v>
      </c>
      <c r="AE654" s="136">
        <f ca="1" t="shared" si="279"/>
        <v>0</v>
      </c>
      <c r="AF654" s="136">
        <f ca="1" t="shared" si="279"/>
        <v>0</v>
      </c>
      <c r="AG654" s="136">
        <f ca="1" t="shared" si="279"/>
        <v>0</v>
      </c>
      <c r="AH654" s="136">
        <f ca="1" t="shared" si="241"/>
        <v>450</v>
      </c>
      <c r="AI654" s="136">
        <f ca="1" t="shared" ref="AI654:AN654" si="280">IF($C654&gt;OFFSET($Q$8,MATCH(AI$634,$AH$634:$AN$634,0),0),OFFSET($P$8,MATCH(AI$634,$AH$634:$AN$634,0),0),MAX(0,$C654-OFFSET($Q$8,RIGHT(AI$634,1)-1,0)))</f>
        <v>909</v>
      </c>
      <c r="AJ654" s="136">
        <f ca="1" t="shared" si="280"/>
        <v>641</v>
      </c>
      <c r="AK654" s="136">
        <f ca="1" t="shared" si="280"/>
        <v>0</v>
      </c>
      <c r="AL654" s="136">
        <f ca="1" t="shared" si="280"/>
        <v>0</v>
      </c>
      <c r="AM654" s="136">
        <f ca="1" t="shared" si="280"/>
        <v>0</v>
      </c>
      <c r="AN654" s="136">
        <f ca="1" t="shared" si="280"/>
        <v>0</v>
      </c>
      <c r="AP654" s="132">
        <v>20</v>
      </c>
      <c r="AQ654" s="132">
        <v>950</v>
      </c>
      <c r="AR654" s="132">
        <v>950</v>
      </c>
      <c r="AS654" s="132">
        <v>950</v>
      </c>
      <c r="AT654" s="132">
        <v>800</v>
      </c>
    </row>
    <row r="655" s="106" customFormat="1" ht="16.5" spans="2:46">
      <c r="B655" s="117">
        <v>21</v>
      </c>
      <c r="C655" s="130">
        <f t="shared" si="239"/>
        <v>2100</v>
      </c>
      <c r="D655" s="131" cm="1">
        <f ca="1" t="array" ref="D655">IF(D1257=1,OFFSET($W$634,$B655,D$631-1)/SUMPRODUCT(--($D$631:$V$631=D$631),--($D1257:$V1257=1)),0)+SUM(D654)+IF(COUNTIF(D$1237:D1257,1)=1,5,0)+IF(COUNTIF(E655:$W655,"&gt;"&amp;0)&lt;5,IF(AND(COUNTIF(D$1237:D1257,1)&gt;7,MOD(1+IFERROR(MATCH($C655,总览!$D$46:$D$345,1)+1,1),7)=0),$C$3,0),0)</f>
        <v>249.135</v>
      </c>
      <c r="E655" s="131" cm="1">
        <f ca="1" t="array" ref="E655">IF(E1257=1,OFFSET($W$634,$B655,E$631-1)/SUMPRODUCT(--($D$631:$V$631=E$631),--($D1257:$V1257=1)),0)+SUM(E654)+IF(COUNTIF(E$1237:E1257,1)=1,5,0)+IF(COUNTIF(F655:$W655,"&gt;"&amp;0)&lt;5,IF(AND(COUNTIF(E$1237:E1257,1)&gt;7,MOD(1+IFERROR(MATCH($C655,总览!$D$46:$D$345,1)+1,1),7)=0),$C$3,0),0)</f>
        <v>249.135</v>
      </c>
      <c r="F655" s="131" cm="1">
        <f ca="1" t="array" ref="F655">IF(F1257=1,OFFSET($W$634,$B655,F$631-1)/SUMPRODUCT(--($D$631:$V$631=F$631),--($D1257:$V1257=1)),0)+SUM(F654)+IF(COUNTIF(F$1237:F1257,1)=1,5,0)+IF(COUNTIF(G655:$W655,"&gt;"&amp;0)&lt;5,IF(AND(COUNTIF(F$1237:F1257,1)&gt;7,MOD(1+IFERROR(MATCH($C655,总览!$D$46:$D$345,1)+1,1),7)=0),$C$3,0),0)</f>
        <v>249.135</v>
      </c>
      <c r="G655" s="131" cm="1">
        <f ca="1" t="array" ref="G655">IF(G1257=1,OFFSET($W$634,$B655,G$631-1)/SUMPRODUCT(--($D$631:$V$631=G$631),--($D1257:$V1257=1)),0)+SUM(G654)+IF(COUNTIF(G$1237:G1257,1)=1,5,0)+IF(COUNTIF(H655:$W655,"&gt;"&amp;0)&lt;5,IF(AND(COUNTIF(G$1237:G1257,1)&gt;7,MOD(1+IFERROR(MATCH($C655,总览!$D$46:$D$345,1)+1,1),7)=0),$C$3,0),0)</f>
        <v>50.47</v>
      </c>
      <c r="H655" s="131" cm="1">
        <f ca="1" t="array" ref="H655">IF(H1257=1,OFFSET($W$634,$B655,H$631-1)/SUMPRODUCT(--($D$631:$V$631=H$631),--($D1257:$V1257=1)),0)+SUM(H654)+IF(COUNTIF(H$1237:H1257,1)=1,5,0)+IF(COUNTIF(I655:$W655,"&gt;"&amp;0)&lt;5,IF(AND(COUNTIF(H$1237:H1257,1)&gt;7,MOD(1+IFERROR(MATCH($C655,总览!$D$46:$D$345,1)+1,1),7)=0),$C$3,0),0)</f>
        <v>50.47</v>
      </c>
      <c r="I655" s="131" cm="1">
        <f ca="1" t="array" ref="I655">IF(I1257=1,OFFSET($W$634,$B655,I$631-1)/SUMPRODUCT(--($D$631:$V$631=I$631),--($D1257:$V1257=1)),0)+SUM(I654)+IF(COUNTIF(I$1237:I1257,1)=1,5,0)+IF(COUNTIF(J655:$W655,"&gt;"&amp;0)&lt;5,IF(AND(COUNTIF(I$1237:I1257,1)&gt;7,MOD(1+IFERROR(MATCH($C655,总览!$D$46:$D$345,1)+1,1),7)=0),$C$3,0),0)</f>
        <v>50.47</v>
      </c>
      <c r="J655" s="131" cm="1">
        <f ca="1" t="array" ref="J655">IF(J1257=1,OFFSET($W$634,$B655,J$631-1)/SUMPRODUCT(--($D$631:$V$631=J$631),--($D1257:$V1257=1)),0)+SUM(J654)+IF(COUNTIF(J$1237:J1257,1)=1,5,0)+IF(COUNTIF(K655:$W655,"&gt;"&amp;0)&lt;5,IF(AND(COUNTIF(J$1237:J1257,1)&gt;7,MOD(1+IFERROR(MATCH($C655,总览!$D$46:$D$345,1)+1,1),7)=0),$C$3,0),0)</f>
        <v>47.1366666666667</v>
      </c>
      <c r="K655" s="131" cm="1">
        <f ca="1" t="array" ref="K655">IF(K1257=1,OFFSET($W$634,$B655,K$631-1)/SUMPRODUCT(--($D$631:$V$631=K$631),--($D1257:$V1257=1)),0)+SUM(K654)+IF(COUNTIF(K$1237:K1257,1)=1,5,0)+IF(COUNTIF(L655:$W655,"&gt;"&amp;0)&lt;5,IF(AND(COUNTIF(K$1237:K1257,1)&gt;7,MOD(1+IFERROR(MATCH($C655,总览!$D$46:$D$345,1)+1,1),7)=0),$C$3,0),0)</f>
        <v>44.6366666666667</v>
      </c>
      <c r="L655" s="131" cm="1">
        <f ca="1" t="array" ref="L655">IF(L1257=1,OFFSET($W$634,$B655,L$631-1)/SUMPRODUCT(--($D$631:$V$631=L$631),--($D1257:$V1257=1)),0)+SUM(L654)+IF(COUNTIF(L$1237:L1257,1)=1,5,0)+IF(COUNTIF(M655:$W655,"&gt;"&amp;0)&lt;5,IF(AND(COUNTIF(L$1237:L1257,1)&gt;7,MOD(1+IFERROR(MATCH($C655,总览!$D$46:$D$345,1)+1,1),7)=0),$C$3,0),0)</f>
        <v>44.6366666666667</v>
      </c>
      <c r="M655" s="131" cm="1">
        <f ca="1" t="array" ref="M655">IF(M1257=1,OFFSET($W$634,$B655,M$631-1)/SUMPRODUCT(--($D$631:$V$631=M$631),--($D1257:$V1257=1)),0)+SUM(M654)+IF(COUNTIF(M$1237:M1257,1)=1,5,0)+IF(COUNTIF(N655:$W655,"&gt;"&amp;0)&lt;5,IF(AND(COUNTIF(M$1237:M1257,1)&gt;7,MOD(1+IFERROR(MATCH($C655,总览!$D$46:$D$345,1)+1,1),7)=0),$C$3,0),0)</f>
        <v>21.2979166666667</v>
      </c>
      <c r="N655" s="131" cm="1">
        <f ca="1" t="array" ref="N655">IF(N1257=1,OFFSET($W$634,$B655,N$631-1)/SUMPRODUCT(--($D$631:$V$631=N$631),--($D1257:$V1257=1)),0)+SUM(N654)+IF(COUNTIF(N$1237:N1257,1)=1,5,0)+IF(COUNTIF(O655:$W655,"&gt;"&amp;0)&lt;5,IF(AND(COUNTIF(N$1237:N1257,1)&gt;7,MOD(1+IFERROR(MATCH($C655,总览!$D$46:$D$345,1)+1,1),7)=0),$C$3,0),0)</f>
        <v>22.5479166666667</v>
      </c>
      <c r="O655" s="131" cm="1">
        <f ca="1" t="array" ref="O655">IF(O1257=1,OFFSET($W$634,$B655,O$631-1)/SUMPRODUCT(--($D$631:$V$631=O$631),--($D1257:$V1257=1)),0)+SUM(O654)+IF(COUNTIF(O$1237:O1257,1)=1,5,0)+IF(COUNTIF(P655:$W655,"&gt;"&amp;0)&lt;5,IF(AND(COUNTIF(O$1237:O1257,1)&gt;7,MOD(1+IFERROR(MATCH($C655,总览!$D$46:$D$345,1)+1,1),7)=0),$C$3,0),0)</f>
        <v>27.5479166666667</v>
      </c>
      <c r="P655" s="131" cm="1">
        <f ca="1" t="array" ref="P655">IF(P1257=1,OFFSET($W$634,$B655,P$631-1)/SUMPRODUCT(--($D$631:$V$631=P$631),--($D1257:$V1257=1)),0)+SUM(P654)+IF(COUNTIF(P$1237:P1257,1)=1,5,0)+IF(COUNTIF(Q655:$W655,"&gt;"&amp;0)&lt;5,IF(AND(COUNTIF(P$1237:P1257,1)&gt;7,MOD(1+IFERROR(MATCH($C655,总览!$D$46:$D$345,1)+1,1),7)=0),$C$3,0),0)</f>
        <v>11.6666666666667</v>
      </c>
      <c r="Q655" s="131" cm="1">
        <f ca="1" t="array" ref="Q655">IF(Q1257=1,OFFSET($W$634,$B655,Q$631-1)/SUMPRODUCT(--($D$631:$V$631=Q$631),--($D1257:$V1257=1)),0)+SUM(Q654)+IF(COUNTIF(Q$1237:Q1257,1)=1,5,0)+IF(COUNTIF(R655:$W655,"&gt;"&amp;0)&lt;5,IF(AND(COUNTIF(Q$1237:Q1257,1)&gt;7,MOD(1+IFERROR(MATCH($C655,总览!$D$46:$D$345,1)+1,1),7)=0),$C$3,0),0)</f>
        <v>20.0479166666667</v>
      </c>
      <c r="R655" s="131" cm="1">
        <f ca="1" t="array" ref="R655">IF(R1257=1,OFFSET($W$634,$B655,R$631-1)/SUMPRODUCT(--($D$631:$V$631=R$631),--($D1257:$V1257=1)),0)+SUM(R654)+IF(COUNTIF(R$1237:R1257,1)=1,5,0)+IF(COUNTIF(S655:$W655,"&gt;"&amp;0)&lt;5,IF(AND(COUNTIF(R$1237:R1257,1)&gt;7,MOD(1+IFERROR(MATCH($C655,总览!$D$46:$D$345,1)+1,1),7)=0),$C$3,0),0)</f>
        <v>6.66666666666667</v>
      </c>
      <c r="S655" s="131" cm="1">
        <f ca="1" t="array" ref="S655">IF(S1257=1,OFFSET($W$634,$B655,S$631-1)/SUMPRODUCT(--($D$631:$V$631=S$631),--($D1257:$V1257=1)),0)+SUM(S654)+IF(COUNTIF(S$1237:S1257,1)=1,5,0)+IF(COUNTIF(T655:$W655,"&gt;"&amp;0)&lt;5,IF(AND(COUNTIF(S$1237:S1257,1)&gt;7,MOD(1+IFERROR(MATCH($C655,总览!$D$46:$D$345,1)+1,1),7)=0),$C$3,0),0)</f>
        <v>0</v>
      </c>
      <c r="T655" s="131" cm="1">
        <f ca="1" t="array" ref="T655">IF(T1257=1,OFFSET($W$634,$B655,T$631-1)/SUMPRODUCT(--($D$631:$V$631=T$631),--($D1257:$V1257=1)),0)+SUM(T654)+IF(COUNTIF(T$1237:T1257,1)=1,5,0)+IF(COUNTIF(U655:$W655,"&gt;"&amp;0)&lt;5,IF(AND(COUNTIF(T$1237:T1257,1)&gt;7,MOD(1+IFERROR(MATCH($C655,总览!$D$46:$D$345,1)+1,1),7)=0),$C$3,0),0)</f>
        <v>0</v>
      </c>
      <c r="U655" s="131" cm="1">
        <f ca="1" t="array" ref="U655">IF(U1257=1,OFFSET($W$634,$B655,U$631-1)/SUMPRODUCT(--($D$631:$V$631=U$631),--($D1257:$V1257=1)),0)+SUM(U654)+IF(COUNTIF(U$1237:U1257,1)=1,5,0)+IF(COUNTIF(V655:$W655,"&gt;"&amp;0)&lt;5,IF(AND(COUNTIF(U$1237:U1257,1)&gt;7,MOD(1+IFERROR(MATCH($C655,总览!$D$46:$D$345,1)+1,1),7)=0),$C$3,0),0)</f>
        <v>0</v>
      </c>
      <c r="V655" s="131" cm="1">
        <f ca="1" t="array" ref="V655">IF(V1257=1,OFFSET($W$634,$B655,V$631-1)/SUMPRODUCT(--($D$631:$V$631=V$631),--($D1257:$V1257=1)),0)+SUM(V654)+IF(COUNTIF(V$1237:V1257,1)=1,5,0)+IF(COUNTIF(W655:$W655,"&gt;"&amp;0)&lt;5,IF(AND(COUNTIF(V$1237:V1257,1)&gt;7,MOD(1+IFERROR(MATCH($C655,总览!$D$46:$D$345,1)+1,1),7)=0),$C$3,0),0)</f>
        <v>0</v>
      </c>
      <c r="W655" s="135" cm="1">
        <f ca="1" t="array" ref="W655">SUMPRODUCT(TRANSPOSE($AA655:$AG655),OFFSET($L$9:$L$15,0,W$631-1))</f>
        <v>31</v>
      </c>
      <c r="X655" s="135" cm="1">
        <f ca="1" t="array" ref="X655">SUMPRODUCT(TRANSPOSE($AA655:$AG655),OFFSET($L$9:$L$15,0,X$631-1))</f>
        <v>14</v>
      </c>
      <c r="Y655" s="135" cm="1">
        <f ca="1" t="array" ref="Y655">SUMPRODUCT(TRANSPOSE($AA655:$AG655),OFFSET($L$9:$L$15,0,Y$631-1))</f>
        <v>5</v>
      </c>
      <c r="Z655" s="135" cm="1">
        <f ca="1" t="array" ref="Z655">SUMPRODUCT(TRANSPOSE($AA655:$AG655),OFFSET($L$9:$L$15,0,Z$631-1))</f>
        <v>0</v>
      </c>
      <c r="AA655" s="136">
        <f ca="1" t="shared" ref="AA655:AG655" si="281">AH655-AH654</f>
        <v>0</v>
      </c>
      <c r="AB655" s="136">
        <f ca="1" t="shared" si="281"/>
        <v>0</v>
      </c>
      <c r="AC655" s="136">
        <f ca="1" t="shared" si="281"/>
        <v>100</v>
      </c>
      <c r="AD655" s="136">
        <f ca="1" t="shared" si="281"/>
        <v>0</v>
      </c>
      <c r="AE655" s="136">
        <f ca="1" t="shared" si="281"/>
        <v>0</v>
      </c>
      <c r="AF655" s="136">
        <f ca="1" t="shared" si="281"/>
        <v>0</v>
      </c>
      <c r="AG655" s="136">
        <f ca="1" t="shared" si="281"/>
        <v>0</v>
      </c>
      <c r="AH655" s="136">
        <f ca="1" t="shared" si="241"/>
        <v>450</v>
      </c>
      <c r="AI655" s="136">
        <f ca="1" t="shared" ref="AI655:AN655" si="282">IF($C655&gt;OFFSET($Q$8,MATCH(AI$634,$AH$634:$AN$634,0),0),OFFSET($P$8,MATCH(AI$634,$AH$634:$AN$634,0),0),MAX(0,$C655-OFFSET($Q$8,RIGHT(AI$634,1)-1,0)))</f>
        <v>909</v>
      </c>
      <c r="AJ655" s="136">
        <f ca="1" t="shared" si="282"/>
        <v>741</v>
      </c>
      <c r="AK655" s="136">
        <f ca="1" t="shared" si="282"/>
        <v>0</v>
      </c>
      <c r="AL655" s="136">
        <f ca="1" t="shared" si="282"/>
        <v>0</v>
      </c>
      <c r="AM655" s="136">
        <f ca="1" t="shared" si="282"/>
        <v>0</v>
      </c>
      <c r="AN655" s="136">
        <f ca="1" t="shared" si="282"/>
        <v>0</v>
      </c>
      <c r="AP655" s="132">
        <v>21</v>
      </c>
      <c r="AQ655" s="132">
        <v>1070</v>
      </c>
      <c r="AR655" s="132">
        <v>1070</v>
      </c>
      <c r="AS655" s="132">
        <v>1070</v>
      </c>
      <c r="AT655" s="132">
        <v>890</v>
      </c>
    </row>
    <row r="656" s="106" customFormat="1" ht="16.5" spans="2:46">
      <c r="B656" s="117">
        <v>22</v>
      </c>
      <c r="C656" s="130">
        <f t="shared" si="239"/>
        <v>2200</v>
      </c>
      <c r="D656" s="131" cm="1">
        <f ca="1" t="array" ref="D656">IF(D1258=1,OFFSET($W$634,$B656,D$631-1)/SUMPRODUCT(--($D$631:$V$631=D$631),--($D1258:$V1258=1)),0)+SUM(D655)+IF(COUNTIF(D$1237:D1258,1)=1,5,0)+IF(COUNTIF(E656:$W656,"&gt;"&amp;0)&lt;5,IF(AND(COUNTIF(D$1237:D1258,1)&gt;7,MOD(1+IFERROR(MATCH($C656,总览!$D$46:$D$345,1)+1,1),7)=0),$C$3,0),0)</f>
        <v>259.468333333333</v>
      </c>
      <c r="E656" s="131" cm="1">
        <f ca="1" t="array" ref="E656">IF(E1258=1,OFFSET($W$634,$B656,E$631-1)/SUMPRODUCT(--($D$631:$V$631=E$631),--($D1258:$V1258=1)),0)+SUM(E655)+IF(COUNTIF(E$1237:E1258,1)=1,5,0)+IF(COUNTIF(F656:$W656,"&gt;"&amp;0)&lt;5,IF(AND(COUNTIF(E$1237:E1258,1)&gt;7,MOD(1+IFERROR(MATCH($C656,总览!$D$46:$D$345,1)+1,1),7)=0),$C$3,0),0)</f>
        <v>259.468333333333</v>
      </c>
      <c r="F656" s="131" cm="1">
        <f ca="1" t="array" ref="F656">IF(F1258=1,OFFSET($W$634,$B656,F$631-1)/SUMPRODUCT(--($D$631:$V$631=F$631),--($D1258:$V1258=1)),0)+SUM(F655)+IF(COUNTIF(F$1237:F1258,1)=1,5,0)+IF(COUNTIF(G656:$W656,"&gt;"&amp;0)&lt;5,IF(AND(COUNTIF(F$1237:F1258,1)&gt;7,MOD(1+IFERROR(MATCH($C656,总览!$D$46:$D$345,1)+1,1),7)=0),$C$3,0),0)</f>
        <v>259.468333333333</v>
      </c>
      <c r="G656" s="131" cm="1">
        <f ca="1" t="array" ref="G656">IF(G1258=1,OFFSET($W$634,$B656,G$631-1)/SUMPRODUCT(--($D$631:$V$631=G$631),--($D1258:$V1258=1)),0)+SUM(G655)+IF(COUNTIF(G$1237:G1258,1)=1,5,0)+IF(COUNTIF(H656:$W656,"&gt;"&amp;0)&lt;5,IF(AND(COUNTIF(G$1237:G1258,1)&gt;7,MOD(1+IFERROR(MATCH($C656,总览!$D$46:$D$345,1)+1,1),7)=0),$C$3,0),0)</f>
        <v>52.8033333333334</v>
      </c>
      <c r="H656" s="131" cm="1">
        <f ca="1" t="array" ref="H656">IF(H1258=1,OFFSET($W$634,$B656,H$631-1)/SUMPRODUCT(--($D$631:$V$631=H$631),--($D1258:$V1258=1)),0)+SUM(H655)+IF(COUNTIF(H$1237:H1258,1)=1,5,0)+IF(COUNTIF(I656:$W656,"&gt;"&amp;0)&lt;5,IF(AND(COUNTIF(H$1237:H1258,1)&gt;7,MOD(1+IFERROR(MATCH($C656,总览!$D$46:$D$345,1)+1,1),7)=0),$C$3,0),0)</f>
        <v>52.8033333333334</v>
      </c>
      <c r="I656" s="131" cm="1">
        <f ca="1" t="array" ref="I656">IF(I1258=1,OFFSET($W$634,$B656,I$631-1)/SUMPRODUCT(--($D$631:$V$631=I$631),--($D1258:$V1258=1)),0)+SUM(I655)+IF(COUNTIF(I$1237:I1258,1)=1,5,0)+IF(COUNTIF(J656:$W656,"&gt;"&amp;0)&lt;5,IF(AND(COUNTIF(I$1237:I1258,1)&gt;7,MOD(1+IFERROR(MATCH($C656,总览!$D$46:$D$345,1)+1,1),7)=0),$C$3,0),0)</f>
        <v>52.8033333333334</v>
      </c>
      <c r="J656" s="131" cm="1">
        <f ca="1" t="array" ref="J656">IF(J1258=1,OFFSET($W$634,$B656,J$631-1)/SUMPRODUCT(--($D$631:$V$631=J$631),--($D1258:$V1258=1)),0)+SUM(J655)+IF(COUNTIF(J$1237:J1258,1)=1,5,0)+IF(COUNTIF(K656:$W656,"&gt;"&amp;0)&lt;5,IF(AND(COUNTIF(J$1237:J1258,1)&gt;7,MOD(1+IFERROR(MATCH($C656,总览!$D$46:$D$345,1)+1,1),7)=0),$C$3,0),0)</f>
        <v>49.47</v>
      </c>
      <c r="K656" s="131" cm="1">
        <f ca="1" t="array" ref="K656">IF(K1258=1,OFFSET($W$634,$B656,K$631-1)/SUMPRODUCT(--($D$631:$V$631=K$631),--($D1258:$V1258=1)),0)+SUM(K655)+IF(COUNTIF(K$1237:K1258,1)=1,5,0)+IF(COUNTIF(L656:$W656,"&gt;"&amp;0)&lt;5,IF(AND(COUNTIF(K$1237:K1258,1)&gt;7,MOD(1+IFERROR(MATCH($C656,总览!$D$46:$D$345,1)+1,1),7)=0),$C$3,0),0)</f>
        <v>46.97</v>
      </c>
      <c r="L656" s="131" cm="1">
        <f ca="1" t="array" ref="L656">IF(L1258=1,OFFSET($W$634,$B656,L$631-1)/SUMPRODUCT(--($D$631:$V$631=L$631),--($D1258:$V1258=1)),0)+SUM(L655)+IF(COUNTIF(L$1237:L1258,1)=1,5,0)+IF(COUNTIF(M656:$W656,"&gt;"&amp;0)&lt;5,IF(AND(COUNTIF(L$1237:L1258,1)&gt;7,MOD(1+IFERROR(MATCH($C656,总览!$D$46:$D$345,1)+1,1),7)=0),$C$3,0),0)</f>
        <v>46.97</v>
      </c>
      <c r="M656" s="131" cm="1">
        <f ca="1" t="array" ref="M656">IF(M1258=1,OFFSET($W$634,$B656,M$631-1)/SUMPRODUCT(--($D$631:$V$631=M$631),--($D1258:$V1258=1)),0)+SUM(M655)+IF(COUNTIF(M$1237:M1258,1)=1,5,0)+IF(COUNTIF(N656:$W656,"&gt;"&amp;0)&lt;5,IF(AND(COUNTIF(M$1237:M1258,1)&gt;7,MOD(1+IFERROR(MATCH($C656,总览!$D$46:$D$345,1)+1,1),7)=0),$C$3,0),0)</f>
        <v>22.13125</v>
      </c>
      <c r="N656" s="131" cm="1">
        <f ca="1" t="array" ref="N656">IF(N1258=1,OFFSET($W$634,$B656,N$631-1)/SUMPRODUCT(--($D$631:$V$631=N$631),--($D1258:$V1258=1)),0)+SUM(N655)+IF(COUNTIF(N$1237:N1258,1)=1,5,0)+IF(COUNTIF(O656:$W656,"&gt;"&amp;0)&lt;5,IF(AND(COUNTIF(N$1237:N1258,1)&gt;7,MOD(1+IFERROR(MATCH($C656,总览!$D$46:$D$345,1)+1,1),7)=0),$C$3,0),0)</f>
        <v>23.38125</v>
      </c>
      <c r="O656" s="131" cm="1">
        <f ca="1" t="array" ref="O656">IF(O1258=1,OFFSET($W$634,$B656,O$631-1)/SUMPRODUCT(--($D$631:$V$631=O$631),--($D1258:$V1258=1)),0)+SUM(O655)+IF(COUNTIF(O$1237:O1258,1)=1,5,0)+IF(COUNTIF(P656:$W656,"&gt;"&amp;0)&lt;5,IF(AND(COUNTIF(O$1237:O1258,1)&gt;7,MOD(1+IFERROR(MATCH($C656,总览!$D$46:$D$345,1)+1,1),7)=0),$C$3,0),0)</f>
        <v>28.38125</v>
      </c>
      <c r="P656" s="131" cm="1">
        <f ca="1" t="array" ref="P656">IF(P1258=1,OFFSET($W$634,$B656,P$631-1)/SUMPRODUCT(--($D$631:$V$631=P$631),--($D1258:$V1258=1)),0)+SUM(P655)+IF(COUNTIF(P$1237:P1258,1)=1,5,0)+IF(COUNTIF(Q656:$W656,"&gt;"&amp;0)&lt;5,IF(AND(COUNTIF(P$1237:P1258,1)&gt;7,MOD(1+IFERROR(MATCH($C656,总览!$D$46:$D$345,1)+1,1),7)=0),$C$3,0),0)</f>
        <v>12.5</v>
      </c>
      <c r="Q656" s="131" cm="1">
        <f ca="1" t="array" ref="Q656">IF(Q1258=1,OFFSET($W$634,$B656,Q$631-1)/SUMPRODUCT(--($D$631:$V$631=Q$631),--($D1258:$V1258=1)),0)+SUM(Q655)+IF(COUNTIF(Q$1237:Q1258,1)=1,5,0)+IF(COUNTIF(R656:$W656,"&gt;"&amp;0)&lt;5,IF(AND(COUNTIF(Q$1237:Q1258,1)&gt;7,MOD(1+IFERROR(MATCH($C656,总览!$D$46:$D$345,1)+1,1),7)=0),$C$3,0),0)</f>
        <v>20.88125</v>
      </c>
      <c r="R656" s="131" cm="1">
        <f ca="1" t="array" ref="R656">IF(R1258=1,OFFSET($W$634,$B656,R$631-1)/SUMPRODUCT(--($D$631:$V$631=R$631),--($D1258:$V1258=1)),0)+SUM(R655)+IF(COUNTIF(R$1237:R1258,1)=1,5,0)+IF(COUNTIF(S656:$W656,"&gt;"&amp;0)&lt;5,IF(AND(COUNTIF(R$1237:R1258,1)&gt;7,MOD(1+IFERROR(MATCH($C656,总览!$D$46:$D$345,1)+1,1),7)=0),$C$3,0),0)</f>
        <v>7.5</v>
      </c>
      <c r="S656" s="131" cm="1">
        <f ca="1" t="array" ref="S656">IF(S1258=1,OFFSET($W$634,$B656,S$631-1)/SUMPRODUCT(--($D$631:$V$631=S$631),--($D1258:$V1258=1)),0)+SUM(S655)+IF(COUNTIF(S$1237:S1258,1)=1,5,0)+IF(COUNTIF(T656:$W656,"&gt;"&amp;0)&lt;5,IF(AND(COUNTIF(S$1237:S1258,1)&gt;7,MOD(1+IFERROR(MATCH($C656,总览!$D$46:$D$345,1)+1,1),7)=0),$C$3,0),0)</f>
        <v>0</v>
      </c>
      <c r="T656" s="131" cm="1">
        <f ca="1" t="array" ref="T656">IF(T1258=1,OFFSET($W$634,$B656,T$631-1)/SUMPRODUCT(--($D$631:$V$631=T$631),--($D1258:$V1258=1)),0)+SUM(T655)+IF(COUNTIF(T$1237:T1258,1)=1,5,0)+IF(COUNTIF(U656:$W656,"&gt;"&amp;0)&lt;5,IF(AND(COUNTIF(T$1237:T1258,1)&gt;7,MOD(1+IFERROR(MATCH($C656,总览!$D$46:$D$345,1)+1,1),7)=0),$C$3,0),0)</f>
        <v>0</v>
      </c>
      <c r="U656" s="131" cm="1">
        <f ca="1" t="array" ref="U656">IF(U1258=1,OFFSET($W$634,$B656,U$631-1)/SUMPRODUCT(--($D$631:$V$631=U$631),--($D1258:$V1258=1)),0)+SUM(U655)+IF(COUNTIF(U$1237:U1258,1)=1,5,0)+IF(COUNTIF(V656:$W656,"&gt;"&amp;0)&lt;5,IF(AND(COUNTIF(U$1237:U1258,1)&gt;7,MOD(1+IFERROR(MATCH($C656,总览!$D$46:$D$345,1)+1,1),7)=0),$C$3,0),0)</f>
        <v>0</v>
      </c>
      <c r="V656" s="131" cm="1">
        <f ca="1" t="array" ref="V656">IF(V1258=1,OFFSET($W$634,$B656,V$631-1)/SUMPRODUCT(--($D$631:$V$631=V$631),--($D1258:$V1258=1)),0)+SUM(V655)+IF(COUNTIF(V$1237:V1258,1)=1,5,0)+IF(COUNTIF(W656:$W656,"&gt;"&amp;0)&lt;5,IF(AND(COUNTIF(V$1237:V1258,1)&gt;7,MOD(1+IFERROR(MATCH($C656,总览!$D$46:$D$345,1)+1,1),7)=0),$C$3,0),0)</f>
        <v>0</v>
      </c>
      <c r="W656" s="135" cm="1">
        <f ca="1" t="array" ref="W656">SUMPRODUCT(TRANSPOSE($AA656:$AG656),OFFSET($L$9:$L$15,0,W$631-1))</f>
        <v>31</v>
      </c>
      <c r="X656" s="135" cm="1">
        <f ca="1" t="array" ref="X656">SUMPRODUCT(TRANSPOSE($AA656:$AG656),OFFSET($L$9:$L$15,0,X$631-1))</f>
        <v>14</v>
      </c>
      <c r="Y656" s="135" cm="1">
        <f ca="1" t="array" ref="Y656">SUMPRODUCT(TRANSPOSE($AA656:$AG656),OFFSET($L$9:$L$15,0,Y$631-1))</f>
        <v>5</v>
      </c>
      <c r="Z656" s="135" cm="1">
        <f ca="1" t="array" ref="Z656">SUMPRODUCT(TRANSPOSE($AA656:$AG656),OFFSET($L$9:$L$15,0,Z$631-1))</f>
        <v>0</v>
      </c>
      <c r="AA656" s="136">
        <f ca="1" t="shared" ref="AA656:AG656" si="283">AH656-AH655</f>
        <v>0</v>
      </c>
      <c r="AB656" s="136">
        <f ca="1" t="shared" si="283"/>
        <v>0</v>
      </c>
      <c r="AC656" s="136">
        <f ca="1" t="shared" si="283"/>
        <v>100</v>
      </c>
      <c r="AD656" s="136">
        <f ca="1" t="shared" si="283"/>
        <v>0</v>
      </c>
      <c r="AE656" s="136">
        <f ca="1" t="shared" si="283"/>
        <v>0</v>
      </c>
      <c r="AF656" s="136">
        <f ca="1" t="shared" si="283"/>
        <v>0</v>
      </c>
      <c r="AG656" s="136">
        <f ca="1" t="shared" si="283"/>
        <v>0</v>
      </c>
      <c r="AH656" s="136">
        <f ca="1" t="shared" si="241"/>
        <v>450</v>
      </c>
      <c r="AI656" s="136">
        <f ca="1" t="shared" ref="AI656:AN656" si="284">IF($C656&gt;OFFSET($Q$8,MATCH(AI$634,$AH$634:$AN$634,0),0),OFFSET($P$8,MATCH(AI$634,$AH$634:$AN$634,0),0),MAX(0,$C656-OFFSET($Q$8,RIGHT(AI$634,1)-1,0)))</f>
        <v>909</v>
      </c>
      <c r="AJ656" s="136">
        <f ca="1" t="shared" si="284"/>
        <v>841</v>
      </c>
      <c r="AK656" s="136">
        <f ca="1" t="shared" si="284"/>
        <v>0</v>
      </c>
      <c r="AL656" s="136">
        <f ca="1" t="shared" si="284"/>
        <v>0</v>
      </c>
      <c r="AM656" s="136">
        <f ca="1" t="shared" si="284"/>
        <v>0</v>
      </c>
      <c r="AN656" s="136">
        <f ca="1" t="shared" si="284"/>
        <v>0</v>
      </c>
      <c r="AP656" s="132">
        <v>22</v>
      </c>
      <c r="AQ656" s="132">
        <v>1190</v>
      </c>
      <c r="AR656" s="132">
        <v>1190</v>
      </c>
      <c r="AS656" s="132">
        <v>1190</v>
      </c>
      <c r="AT656" s="132">
        <v>980</v>
      </c>
    </row>
    <row r="657" s="106" customFormat="1" ht="16.5" spans="2:46">
      <c r="B657" s="117">
        <v>23</v>
      </c>
      <c r="C657" s="130">
        <f t="shared" si="239"/>
        <v>2300</v>
      </c>
      <c r="D657" s="131" cm="1">
        <f ca="1" t="array" ref="D657">IF(D1259=1,OFFSET($W$634,$B657,D$631-1)/SUMPRODUCT(--($D$631:$V$631=D$631),--($D1259:$V1259=1)),0)+SUM(D656)+IF(COUNTIF(D$1237:D1259,1)=1,5,0)+IF(COUNTIF(E657:$W657,"&gt;"&amp;0)&lt;5,IF(AND(COUNTIF(D$1237:D1259,1)&gt;7,MOD(1+IFERROR(MATCH($C657,总览!$D$46:$D$345,1)+1,1),7)=0),$C$3,0),0)</f>
        <v>269.801666666667</v>
      </c>
      <c r="E657" s="131" cm="1">
        <f ca="1" t="array" ref="E657">IF(E1259=1,OFFSET($W$634,$B657,E$631-1)/SUMPRODUCT(--($D$631:$V$631=E$631),--($D1259:$V1259=1)),0)+SUM(E656)+IF(COUNTIF(E$1237:E1259,1)=1,5,0)+IF(COUNTIF(F657:$W657,"&gt;"&amp;0)&lt;5,IF(AND(COUNTIF(E$1237:E1259,1)&gt;7,MOD(1+IFERROR(MATCH($C657,总览!$D$46:$D$345,1)+1,1),7)=0),$C$3,0),0)</f>
        <v>269.801666666667</v>
      </c>
      <c r="F657" s="131" cm="1">
        <f ca="1" t="array" ref="F657">IF(F1259=1,OFFSET($W$634,$B657,F$631-1)/SUMPRODUCT(--($D$631:$V$631=F$631),--($D1259:$V1259=1)),0)+SUM(F656)+IF(COUNTIF(F$1237:F1259,1)=1,5,0)+IF(COUNTIF(G657:$W657,"&gt;"&amp;0)&lt;5,IF(AND(COUNTIF(F$1237:F1259,1)&gt;7,MOD(1+IFERROR(MATCH($C657,总览!$D$46:$D$345,1)+1,1),7)=0),$C$3,0),0)</f>
        <v>269.801666666667</v>
      </c>
      <c r="G657" s="131" cm="1">
        <f ca="1" t="array" ref="G657">IF(G1259=1,OFFSET($W$634,$B657,G$631-1)/SUMPRODUCT(--($D$631:$V$631=G$631),--($D1259:$V1259=1)),0)+SUM(G656)+IF(COUNTIF(G$1237:G1259,1)=1,5,0)+IF(COUNTIF(H657:$W657,"&gt;"&amp;0)&lt;5,IF(AND(COUNTIF(G$1237:G1259,1)&gt;7,MOD(1+IFERROR(MATCH($C657,总览!$D$46:$D$345,1)+1,1),7)=0),$C$3,0),0)</f>
        <v>55.1366666666667</v>
      </c>
      <c r="H657" s="131" cm="1">
        <f ca="1" t="array" ref="H657">IF(H1259=1,OFFSET($W$634,$B657,H$631-1)/SUMPRODUCT(--($D$631:$V$631=H$631),--($D1259:$V1259=1)),0)+SUM(H656)+IF(COUNTIF(H$1237:H1259,1)=1,5,0)+IF(COUNTIF(I657:$W657,"&gt;"&amp;0)&lt;5,IF(AND(COUNTIF(H$1237:H1259,1)&gt;7,MOD(1+IFERROR(MATCH($C657,总览!$D$46:$D$345,1)+1,1),7)=0),$C$3,0),0)</f>
        <v>55.1366666666667</v>
      </c>
      <c r="I657" s="131" cm="1">
        <f ca="1" t="array" ref="I657">IF(I1259=1,OFFSET($W$634,$B657,I$631-1)/SUMPRODUCT(--($D$631:$V$631=I$631),--($D1259:$V1259=1)),0)+SUM(I656)+IF(COUNTIF(I$1237:I1259,1)=1,5,0)+IF(COUNTIF(J657:$W657,"&gt;"&amp;0)&lt;5,IF(AND(COUNTIF(I$1237:I1259,1)&gt;7,MOD(1+IFERROR(MATCH($C657,总览!$D$46:$D$345,1)+1,1),7)=0),$C$3,0),0)</f>
        <v>55.1366666666667</v>
      </c>
      <c r="J657" s="131" cm="1">
        <f ca="1" t="array" ref="J657">IF(J1259=1,OFFSET($W$634,$B657,J$631-1)/SUMPRODUCT(--($D$631:$V$631=J$631),--($D1259:$V1259=1)),0)+SUM(J656)+IF(COUNTIF(J$1237:J1259,1)=1,5,0)+IF(COUNTIF(K657:$W657,"&gt;"&amp;0)&lt;5,IF(AND(COUNTIF(J$1237:J1259,1)&gt;7,MOD(1+IFERROR(MATCH($C657,总览!$D$46:$D$345,1)+1,1),7)=0),$C$3,0),0)</f>
        <v>51.8033333333333</v>
      </c>
      <c r="K657" s="131" cm="1">
        <f ca="1" t="array" ref="K657">IF(K1259=1,OFFSET($W$634,$B657,K$631-1)/SUMPRODUCT(--($D$631:$V$631=K$631),--($D1259:$V1259=1)),0)+SUM(K656)+IF(COUNTIF(K$1237:K1259,1)=1,5,0)+IF(COUNTIF(L657:$W657,"&gt;"&amp;0)&lt;5,IF(AND(COUNTIF(K$1237:K1259,1)&gt;7,MOD(1+IFERROR(MATCH($C657,总览!$D$46:$D$345,1)+1,1),7)=0),$C$3,0),0)</f>
        <v>49.3033333333333</v>
      </c>
      <c r="L657" s="131" cm="1">
        <f ca="1" t="array" ref="L657">IF(L1259=1,OFFSET($W$634,$B657,L$631-1)/SUMPRODUCT(--($D$631:$V$631=L$631),--($D1259:$V1259=1)),0)+SUM(L656)+IF(COUNTIF(L$1237:L1259,1)=1,5,0)+IF(COUNTIF(M657:$W657,"&gt;"&amp;0)&lt;5,IF(AND(COUNTIF(L$1237:L1259,1)&gt;7,MOD(1+IFERROR(MATCH($C657,总览!$D$46:$D$345,1)+1,1),7)=0),$C$3,0),0)</f>
        <v>49.3033333333333</v>
      </c>
      <c r="M657" s="131" cm="1">
        <f ca="1" t="array" ref="M657">IF(M1259=1,OFFSET($W$634,$B657,M$631-1)/SUMPRODUCT(--($D$631:$V$631=M$631),--($D1259:$V1259=1)),0)+SUM(M656)+IF(COUNTIF(M$1237:M1259,1)=1,5,0)+IF(COUNTIF(N657:$W657,"&gt;"&amp;0)&lt;5,IF(AND(COUNTIF(M$1237:M1259,1)&gt;7,MOD(1+IFERROR(MATCH($C657,总览!$D$46:$D$345,1)+1,1),7)=0),$C$3,0),0)</f>
        <v>22.8455357142857</v>
      </c>
      <c r="N657" s="131" cm="1">
        <f ca="1" t="array" ref="N657">IF(N1259=1,OFFSET($W$634,$B657,N$631-1)/SUMPRODUCT(--($D$631:$V$631=N$631),--($D1259:$V1259=1)),0)+SUM(N656)+IF(COUNTIF(N$1237:N1259,1)=1,5,0)+IF(COUNTIF(O657:$W657,"&gt;"&amp;0)&lt;5,IF(AND(COUNTIF(N$1237:N1259,1)&gt;7,MOD(1+IFERROR(MATCH($C657,总览!$D$46:$D$345,1)+1,1),7)=0),$C$3,0),0)</f>
        <v>24.0955357142857</v>
      </c>
      <c r="O657" s="131" cm="1">
        <f ca="1" t="array" ref="O657">IF(O1259=1,OFFSET($W$634,$B657,O$631-1)/SUMPRODUCT(--($D$631:$V$631=O$631),--($D1259:$V1259=1)),0)+SUM(O656)+IF(COUNTIF(O$1237:O1259,1)=1,5,0)+IF(COUNTIF(P657:$W657,"&gt;"&amp;0)&lt;5,IF(AND(COUNTIF(O$1237:O1259,1)&gt;7,MOD(1+IFERROR(MATCH($C657,总览!$D$46:$D$345,1)+1,1),7)=0),$C$3,0),0)</f>
        <v>29.0955357142857</v>
      </c>
      <c r="P657" s="131" cm="1">
        <f ca="1" t="array" ref="P657">IF(P1259=1,OFFSET($W$634,$B657,P$631-1)/SUMPRODUCT(--($D$631:$V$631=P$631),--($D1259:$V1259=1)),0)+SUM(P656)+IF(COUNTIF(P$1237:P1259,1)=1,5,0)+IF(COUNTIF(Q657:$W657,"&gt;"&amp;0)&lt;5,IF(AND(COUNTIF(P$1237:P1259,1)&gt;7,MOD(1+IFERROR(MATCH($C657,总览!$D$46:$D$345,1)+1,1),7)=0),$C$3,0),0)</f>
        <v>13.2142857142857</v>
      </c>
      <c r="Q657" s="131" cm="1">
        <f ca="1" t="array" ref="Q657">IF(Q1259=1,OFFSET($W$634,$B657,Q$631-1)/SUMPRODUCT(--($D$631:$V$631=Q$631),--($D1259:$V1259=1)),0)+SUM(Q656)+IF(COUNTIF(Q$1237:Q1259,1)=1,5,0)+IF(COUNTIF(R657:$W657,"&gt;"&amp;0)&lt;5,IF(AND(COUNTIF(Q$1237:Q1259,1)&gt;7,MOD(1+IFERROR(MATCH($C657,总览!$D$46:$D$345,1)+1,1),7)=0),$C$3,0),0)</f>
        <v>21.5955357142857</v>
      </c>
      <c r="R657" s="131" cm="1">
        <f ca="1" t="array" ref="R657">IF(R1259=1,OFFSET($W$634,$B657,R$631-1)/SUMPRODUCT(--($D$631:$V$631=R$631),--($D1259:$V1259=1)),0)+SUM(R656)+IF(COUNTIF(R$1237:R1259,1)=1,5,0)+IF(COUNTIF(S657:$W657,"&gt;"&amp;0)&lt;5,IF(AND(COUNTIF(R$1237:R1259,1)&gt;7,MOD(1+IFERROR(MATCH($C657,总览!$D$46:$D$345,1)+1,1),7)=0),$C$3,0),0)</f>
        <v>8.21428571428571</v>
      </c>
      <c r="S657" s="131" cm="1">
        <f ca="1" t="array" ref="S657">IF(S1259=1,OFFSET($W$634,$B657,S$631-1)/SUMPRODUCT(--($D$631:$V$631=S$631),--($D1259:$V1259=1)),0)+SUM(S656)+IF(COUNTIF(S$1237:S1259,1)=1,5,0)+IF(COUNTIF(T657:$W657,"&gt;"&amp;0)&lt;5,IF(AND(COUNTIF(S$1237:S1259,1)&gt;7,MOD(1+IFERROR(MATCH($C657,总览!$D$46:$D$345,1)+1,1),7)=0),$C$3,0),0)</f>
        <v>5.71428571428571</v>
      </c>
      <c r="T657" s="131" cm="1">
        <f ca="1" t="array" ref="T657">IF(T1259=1,OFFSET($W$634,$B657,T$631-1)/SUMPRODUCT(--($D$631:$V$631=T$631),--($D1259:$V1259=1)),0)+SUM(T656)+IF(COUNTIF(T$1237:T1259,1)=1,5,0)+IF(COUNTIF(U657:$W657,"&gt;"&amp;0)&lt;5,IF(AND(COUNTIF(T$1237:T1259,1)&gt;7,MOD(1+IFERROR(MATCH($C657,总览!$D$46:$D$345,1)+1,1),7)=0),$C$3,0),0)</f>
        <v>0</v>
      </c>
      <c r="U657" s="131" cm="1">
        <f ca="1" t="array" ref="U657">IF(U1259=1,OFFSET($W$634,$B657,U$631-1)/SUMPRODUCT(--($D$631:$V$631=U$631),--($D1259:$V1259=1)),0)+SUM(U656)+IF(COUNTIF(U$1237:U1259,1)=1,5,0)+IF(COUNTIF(V657:$W657,"&gt;"&amp;0)&lt;5,IF(AND(COUNTIF(U$1237:U1259,1)&gt;7,MOD(1+IFERROR(MATCH($C657,总览!$D$46:$D$345,1)+1,1),7)=0),$C$3,0),0)</f>
        <v>0</v>
      </c>
      <c r="V657" s="131" cm="1">
        <f ca="1" t="array" ref="V657">IF(V1259=1,OFFSET($W$634,$B657,V$631-1)/SUMPRODUCT(--($D$631:$V$631=V$631),--($D1259:$V1259=1)),0)+SUM(V656)+IF(COUNTIF(V$1237:V1259,1)=1,5,0)+IF(COUNTIF(W657:$W657,"&gt;"&amp;0)&lt;5,IF(AND(COUNTIF(V$1237:V1259,1)&gt;7,MOD(1+IFERROR(MATCH($C657,总览!$D$46:$D$345,1)+1,1),7)=0),$C$3,0),0)</f>
        <v>0</v>
      </c>
      <c r="W657" s="135" cm="1">
        <f ca="1" t="array" ref="W657">SUMPRODUCT(TRANSPOSE($AA657:$AG657),OFFSET($L$9:$L$15,0,W$631-1))</f>
        <v>31</v>
      </c>
      <c r="X657" s="135" cm="1">
        <f ca="1" t="array" ref="X657">SUMPRODUCT(TRANSPOSE($AA657:$AG657),OFFSET($L$9:$L$15,0,X$631-1))</f>
        <v>14</v>
      </c>
      <c r="Y657" s="135" cm="1">
        <f ca="1" t="array" ref="Y657">SUMPRODUCT(TRANSPOSE($AA657:$AG657),OFFSET($L$9:$L$15,0,Y$631-1))</f>
        <v>5</v>
      </c>
      <c r="Z657" s="135" cm="1">
        <f ca="1" t="array" ref="Z657">SUMPRODUCT(TRANSPOSE($AA657:$AG657),OFFSET($L$9:$L$15,0,Z$631-1))</f>
        <v>0</v>
      </c>
      <c r="AA657" s="136">
        <f ca="1" t="shared" ref="AA657:AG657" si="285">AH657-AH656</f>
        <v>0</v>
      </c>
      <c r="AB657" s="136">
        <f ca="1" t="shared" si="285"/>
        <v>0</v>
      </c>
      <c r="AC657" s="136">
        <f ca="1" t="shared" si="285"/>
        <v>100</v>
      </c>
      <c r="AD657" s="136">
        <f ca="1" t="shared" si="285"/>
        <v>0</v>
      </c>
      <c r="AE657" s="136">
        <f ca="1" t="shared" si="285"/>
        <v>0</v>
      </c>
      <c r="AF657" s="136">
        <f ca="1" t="shared" si="285"/>
        <v>0</v>
      </c>
      <c r="AG657" s="136">
        <f ca="1" t="shared" si="285"/>
        <v>0</v>
      </c>
      <c r="AH657" s="136">
        <f ca="1" t="shared" si="241"/>
        <v>450</v>
      </c>
      <c r="AI657" s="136">
        <f ca="1" t="shared" ref="AI657:AN657" si="286">IF($C657&gt;OFFSET($Q$8,MATCH(AI$634,$AH$634:$AN$634,0),0),OFFSET($P$8,MATCH(AI$634,$AH$634:$AN$634,0),0),MAX(0,$C657-OFFSET($Q$8,RIGHT(AI$634,1)-1,0)))</f>
        <v>909</v>
      </c>
      <c r="AJ657" s="136">
        <f ca="1" t="shared" si="286"/>
        <v>941</v>
      </c>
      <c r="AK657" s="136">
        <f ca="1" t="shared" si="286"/>
        <v>0</v>
      </c>
      <c r="AL657" s="136">
        <f ca="1" t="shared" si="286"/>
        <v>0</v>
      </c>
      <c r="AM657" s="136">
        <f ca="1" t="shared" si="286"/>
        <v>0</v>
      </c>
      <c r="AN657" s="136">
        <f ca="1" t="shared" si="286"/>
        <v>0</v>
      </c>
      <c r="AP657" s="132">
        <v>23</v>
      </c>
      <c r="AQ657" s="132">
        <v>1310</v>
      </c>
      <c r="AR657" s="132">
        <v>1310</v>
      </c>
      <c r="AS657" s="132">
        <v>1310</v>
      </c>
      <c r="AT657" s="132">
        <v>1070</v>
      </c>
    </row>
    <row r="658" s="106" customFormat="1" ht="16.5" spans="2:46">
      <c r="B658" s="117">
        <v>24</v>
      </c>
      <c r="C658" s="130">
        <f t="shared" si="239"/>
        <v>2400</v>
      </c>
      <c r="D658" s="131" cm="1">
        <f ca="1" t="array" ref="D658">IF(D1260=1,OFFSET($W$634,$B658,D$631-1)/SUMPRODUCT(--($D$631:$V$631=D$631),--($D1260:$V1260=1)),0)+SUM(D657)+IF(COUNTIF(D$1237:D1260,1)=1,5,0)+IF(COUNTIF(E658:$W658,"&gt;"&amp;0)&lt;5,IF(AND(COUNTIF(D$1237:D1260,1)&gt;7,MOD(1+IFERROR(MATCH($C658,总览!$D$46:$D$345,1)+1,1),7)=0),$C$3,0),0)</f>
        <v>280.135</v>
      </c>
      <c r="E658" s="131" cm="1">
        <f ca="1" t="array" ref="E658">IF(E1260=1,OFFSET($W$634,$B658,E$631-1)/SUMPRODUCT(--($D$631:$V$631=E$631),--($D1260:$V1260=1)),0)+SUM(E657)+IF(COUNTIF(E$1237:E1260,1)=1,5,0)+IF(COUNTIF(F658:$W658,"&gt;"&amp;0)&lt;5,IF(AND(COUNTIF(E$1237:E1260,1)&gt;7,MOD(1+IFERROR(MATCH($C658,总览!$D$46:$D$345,1)+1,1),7)=0),$C$3,0),0)</f>
        <v>280.135</v>
      </c>
      <c r="F658" s="131" cm="1">
        <f ca="1" t="array" ref="F658">IF(F1260=1,OFFSET($W$634,$B658,F$631-1)/SUMPRODUCT(--($D$631:$V$631=F$631),--($D1260:$V1260=1)),0)+SUM(F657)+IF(COUNTIF(F$1237:F1260,1)=1,5,0)+IF(COUNTIF(G658:$W658,"&gt;"&amp;0)&lt;5,IF(AND(COUNTIF(F$1237:F1260,1)&gt;7,MOD(1+IFERROR(MATCH($C658,总览!$D$46:$D$345,1)+1,1),7)=0),$C$3,0),0)</f>
        <v>280.135</v>
      </c>
      <c r="G658" s="131" cm="1">
        <f ca="1" t="array" ref="G658">IF(G1260=1,OFFSET($W$634,$B658,G$631-1)/SUMPRODUCT(--($D$631:$V$631=G$631),--($D1260:$V1260=1)),0)+SUM(G657)+IF(COUNTIF(G$1237:G1260,1)=1,5,0)+IF(COUNTIF(H658:$W658,"&gt;"&amp;0)&lt;5,IF(AND(COUNTIF(G$1237:G1260,1)&gt;7,MOD(1+IFERROR(MATCH($C658,总览!$D$46:$D$345,1)+1,1),7)=0),$C$3,0),0)</f>
        <v>57.47</v>
      </c>
      <c r="H658" s="131" cm="1">
        <f ca="1" t="array" ref="H658">IF(H1260=1,OFFSET($W$634,$B658,H$631-1)/SUMPRODUCT(--($D$631:$V$631=H$631),--($D1260:$V1260=1)),0)+SUM(H657)+IF(COUNTIF(H$1237:H1260,1)=1,5,0)+IF(COUNTIF(I658:$W658,"&gt;"&amp;0)&lt;5,IF(AND(COUNTIF(H$1237:H1260,1)&gt;7,MOD(1+IFERROR(MATCH($C658,总览!$D$46:$D$345,1)+1,1),7)=0),$C$3,0),0)</f>
        <v>57.47</v>
      </c>
      <c r="I658" s="131" cm="1">
        <f ca="1" t="array" ref="I658">IF(I1260=1,OFFSET($W$634,$B658,I$631-1)/SUMPRODUCT(--($D$631:$V$631=I$631),--($D1260:$V1260=1)),0)+SUM(I657)+IF(COUNTIF(I$1237:I1260,1)=1,5,0)+IF(COUNTIF(J658:$W658,"&gt;"&amp;0)&lt;5,IF(AND(COUNTIF(I$1237:I1260,1)&gt;7,MOD(1+IFERROR(MATCH($C658,总览!$D$46:$D$345,1)+1,1),7)=0),$C$3,0),0)</f>
        <v>57.47</v>
      </c>
      <c r="J658" s="131" cm="1">
        <f ca="1" t="array" ref="J658">IF(J1260=1,OFFSET($W$634,$B658,J$631-1)/SUMPRODUCT(--($D$631:$V$631=J$631),--($D1260:$V1260=1)),0)+SUM(J657)+IF(COUNTIF(J$1237:J1260,1)=1,5,0)+IF(COUNTIF(K658:$W658,"&gt;"&amp;0)&lt;5,IF(AND(COUNTIF(J$1237:J1260,1)&gt;7,MOD(1+IFERROR(MATCH($C658,总览!$D$46:$D$345,1)+1,1),7)=0),$C$3,0),0)</f>
        <v>54.1366666666667</v>
      </c>
      <c r="K658" s="131" cm="1">
        <f ca="1" t="array" ref="K658">IF(K1260=1,OFFSET($W$634,$B658,K$631-1)/SUMPRODUCT(--($D$631:$V$631=K$631),--($D1260:$V1260=1)),0)+SUM(K657)+IF(COUNTIF(K$1237:K1260,1)=1,5,0)+IF(COUNTIF(L658:$W658,"&gt;"&amp;0)&lt;5,IF(AND(COUNTIF(K$1237:K1260,1)&gt;7,MOD(1+IFERROR(MATCH($C658,总览!$D$46:$D$345,1)+1,1),7)=0),$C$3,0),0)</f>
        <v>51.6366666666667</v>
      </c>
      <c r="L658" s="131" cm="1">
        <f ca="1" t="array" ref="L658">IF(L1260=1,OFFSET($W$634,$B658,L$631-1)/SUMPRODUCT(--($D$631:$V$631=L$631),--($D1260:$V1260=1)),0)+SUM(L657)+IF(COUNTIF(L$1237:L1260,1)=1,5,0)+IF(COUNTIF(M658:$W658,"&gt;"&amp;0)&lt;5,IF(AND(COUNTIF(L$1237:L1260,1)&gt;7,MOD(1+IFERROR(MATCH($C658,总览!$D$46:$D$345,1)+1,1),7)=0),$C$3,0),0)</f>
        <v>51.6366666666667</v>
      </c>
      <c r="M658" s="131" cm="1">
        <f ca="1" t="array" ref="M658">IF(M1260=1,OFFSET($W$634,$B658,M$631-1)/SUMPRODUCT(--($D$631:$V$631=M$631),--($D1260:$V1260=1)),0)+SUM(M657)+IF(COUNTIF(M$1237:M1260,1)=1,5,0)+IF(COUNTIF(N658:$W658,"&gt;"&amp;0)&lt;5,IF(AND(COUNTIF(M$1237:M1260,1)&gt;7,MOD(1+IFERROR(MATCH($C658,总览!$D$46:$D$345,1)+1,1),7)=0),$C$3,0),0)</f>
        <v>23.5598214285714</v>
      </c>
      <c r="N658" s="131" cm="1">
        <f ca="1" t="array" ref="N658">IF(N1260=1,OFFSET($W$634,$B658,N$631-1)/SUMPRODUCT(--($D$631:$V$631=N$631),--($D1260:$V1260=1)),0)+SUM(N657)+IF(COUNTIF(N$1237:N1260,1)=1,5,0)+IF(COUNTIF(O658:$W658,"&gt;"&amp;0)&lt;5,IF(AND(COUNTIF(N$1237:N1260,1)&gt;7,MOD(1+IFERROR(MATCH($C658,总览!$D$46:$D$345,1)+1,1),7)=0),$C$3,0),0)</f>
        <v>24.8098214285714</v>
      </c>
      <c r="O658" s="131" cm="1">
        <f ca="1" t="array" ref="O658">IF(O1260=1,OFFSET($W$634,$B658,O$631-1)/SUMPRODUCT(--($D$631:$V$631=O$631),--($D1260:$V1260=1)),0)+SUM(O657)+IF(COUNTIF(O$1237:O1260,1)=1,5,0)+IF(COUNTIF(P658:$W658,"&gt;"&amp;0)&lt;5,IF(AND(COUNTIF(O$1237:O1260,1)&gt;7,MOD(1+IFERROR(MATCH($C658,总览!$D$46:$D$345,1)+1,1),7)=0),$C$3,0),0)</f>
        <v>29.8098214285714</v>
      </c>
      <c r="P658" s="131" cm="1">
        <f ca="1" t="array" ref="P658">IF(P1260=1,OFFSET($W$634,$B658,P$631-1)/SUMPRODUCT(--($D$631:$V$631=P$631),--($D1260:$V1260=1)),0)+SUM(P657)+IF(COUNTIF(P$1237:P1260,1)=1,5,0)+IF(COUNTIF(Q658:$W658,"&gt;"&amp;0)&lt;5,IF(AND(COUNTIF(P$1237:P1260,1)&gt;7,MOD(1+IFERROR(MATCH($C658,总览!$D$46:$D$345,1)+1,1),7)=0),$C$3,0),0)</f>
        <v>18.9285714285714</v>
      </c>
      <c r="Q658" s="131" cm="1">
        <f ca="1" t="array" ref="Q658">IF(Q1260=1,OFFSET($W$634,$B658,Q$631-1)/SUMPRODUCT(--($D$631:$V$631=Q$631),--($D1260:$V1260=1)),0)+SUM(Q657)+IF(COUNTIF(Q$1237:Q1260,1)=1,5,0)+IF(COUNTIF(R658:$W658,"&gt;"&amp;0)&lt;5,IF(AND(COUNTIF(Q$1237:Q1260,1)&gt;7,MOD(1+IFERROR(MATCH($C658,总览!$D$46:$D$345,1)+1,1),7)=0),$C$3,0),0)</f>
        <v>27.3098214285714</v>
      </c>
      <c r="R658" s="131" cm="1">
        <f ca="1" t="array" ref="R658">IF(R1260=1,OFFSET($W$634,$B658,R$631-1)/SUMPRODUCT(--($D$631:$V$631=R$631),--($D1260:$V1260=1)),0)+SUM(R657)+IF(COUNTIF(R$1237:R1260,1)=1,5,0)+IF(COUNTIF(S658:$W658,"&gt;"&amp;0)&lt;5,IF(AND(COUNTIF(R$1237:R1260,1)&gt;7,MOD(1+IFERROR(MATCH($C658,总览!$D$46:$D$345,1)+1,1),7)=0),$C$3,0),0)</f>
        <v>8.92857142857143</v>
      </c>
      <c r="S658" s="131" cm="1">
        <f ca="1" t="array" ref="S658">IF(S1260=1,OFFSET($W$634,$B658,S$631-1)/SUMPRODUCT(--($D$631:$V$631=S$631),--($D1260:$V1260=1)),0)+SUM(S657)+IF(COUNTIF(S$1237:S1260,1)=1,5,0)+IF(COUNTIF(T658:$W658,"&gt;"&amp;0)&lt;5,IF(AND(COUNTIF(S$1237:S1260,1)&gt;7,MOD(1+IFERROR(MATCH($C658,总览!$D$46:$D$345,1)+1,1),7)=0),$C$3,0),0)</f>
        <v>6.42857142857143</v>
      </c>
      <c r="T658" s="131" cm="1">
        <f ca="1" t="array" ref="T658">IF(T1260=1,OFFSET($W$634,$B658,T$631-1)/SUMPRODUCT(--($D$631:$V$631=T$631),--($D1260:$V1260=1)),0)+SUM(T657)+IF(COUNTIF(T$1237:T1260,1)=1,5,0)+IF(COUNTIF(U658:$W658,"&gt;"&amp;0)&lt;5,IF(AND(COUNTIF(T$1237:T1260,1)&gt;7,MOD(1+IFERROR(MATCH($C658,总览!$D$46:$D$345,1)+1,1),7)=0),$C$3,0),0)</f>
        <v>0</v>
      </c>
      <c r="U658" s="131" cm="1">
        <f ca="1" t="array" ref="U658">IF(U1260=1,OFFSET($W$634,$B658,U$631-1)/SUMPRODUCT(--($D$631:$V$631=U$631),--($D1260:$V1260=1)),0)+SUM(U657)+IF(COUNTIF(U$1237:U1260,1)=1,5,0)+IF(COUNTIF(V658:$W658,"&gt;"&amp;0)&lt;5,IF(AND(COUNTIF(U$1237:U1260,1)&gt;7,MOD(1+IFERROR(MATCH($C658,总览!$D$46:$D$345,1)+1,1),7)=0),$C$3,0),0)</f>
        <v>0</v>
      </c>
      <c r="V658" s="131" cm="1">
        <f ca="1" t="array" ref="V658">IF(V1260=1,OFFSET($W$634,$B658,V$631-1)/SUMPRODUCT(--($D$631:$V$631=V$631),--($D1260:$V1260=1)),0)+SUM(V657)+IF(COUNTIF(V$1237:V1260,1)=1,5,0)+IF(COUNTIF(W658:$W658,"&gt;"&amp;0)&lt;5,IF(AND(COUNTIF(V$1237:V1260,1)&gt;7,MOD(1+IFERROR(MATCH($C658,总览!$D$46:$D$345,1)+1,1),7)=0),$C$3,0),0)</f>
        <v>0</v>
      </c>
      <c r="W658" s="135" cm="1">
        <f ca="1" t="array" ref="W658">SUMPRODUCT(TRANSPOSE($AA658:$AG658),OFFSET($L$9:$L$15,0,W$631-1))</f>
        <v>31</v>
      </c>
      <c r="X658" s="135" cm="1">
        <f ca="1" t="array" ref="X658">SUMPRODUCT(TRANSPOSE($AA658:$AG658),OFFSET($L$9:$L$15,0,X$631-1))</f>
        <v>14</v>
      </c>
      <c r="Y658" s="135" cm="1">
        <f ca="1" t="array" ref="Y658">SUMPRODUCT(TRANSPOSE($AA658:$AG658),OFFSET($L$9:$L$15,0,Y$631-1))</f>
        <v>5</v>
      </c>
      <c r="Z658" s="135" cm="1">
        <f ca="1" t="array" ref="Z658">SUMPRODUCT(TRANSPOSE($AA658:$AG658),OFFSET($L$9:$L$15,0,Z$631-1))</f>
        <v>0</v>
      </c>
      <c r="AA658" s="136">
        <f ca="1" t="shared" ref="AA658:AG658" si="287">AH658-AH657</f>
        <v>0</v>
      </c>
      <c r="AB658" s="136">
        <f ca="1" t="shared" si="287"/>
        <v>0</v>
      </c>
      <c r="AC658" s="136">
        <f ca="1" t="shared" si="287"/>
        <v>100</v>
      </c>
      <c r="AD658" s="136">
        <f ca="1" t="shared" si="287"/>
        <v>0</v>
      </c>
      <c r="AE658" s="136">
        <f ca="1" t="shared" si="287"/>
        <v>0</v>
      </c>
      <c r="AF658" s="136">
        <f ca="1" t="shared" si="287"/>
        <v>0</v>
      </c>
      <c r="AG658" s="136">
        <f ca="1" t="shared" si="287"/>
        <v>0</v>
      </c>
      <c r="AH658" s="136">
        <f ca="1" t="shared" si="241"/>
        <v>450</v>
      </c>
      <c r="AI658" s="136">
        <f ca="1" t="shared" ref="AI658:AN658" si="288">IF($C658&gt;OFFSET($Q$8,MATCH(AI$634,$AH$634:$AN$634,0),0),OFFSET($P$8,MATCH(AI$634,$AH$634:$AN$634,0),0),MAX(0,$C658-OFFSET($Q$8,RIGHT(AI$634,1)-1,0)))</f>
        <v>909</v>
      </c>
      <c r="AJ658" s="136">
        <f ca="1" t="shared" si="288"/>
        <v>1041</v>
      </c>
      <c r="AK658" s="136">
        <f ca="1" t="shared" si="288"/>
        <v>0</v>
      </c>
      <c r="AL658" s="136">
        <f ca="1" t="shared" si="288"/>
        <v>0</v>
      </c>
      <c r="AM658" s="136">
        <f ca="1" t="shared" si="288"/>
        <v>0</v>
      </c>
      <c r="AN658" s="136">
        <f ca="1" t="shared" si="288"/>
        <v>0</v>
      </c>
      <c r="AP658" s="132">
        <v>24</v>
      </c>
      <c r="AQ658" s="132">
        <v>1430</v>
      </c>
      <c r="AR658" s="132">
        <v>1430</v>
      </c>
      <c r="AS658" s="132">
        <v>1430</v>
      </c>
      <c r="AT658" s="132">
        <v>1160</v>
      </c>
    </row>
    <row r="659" s="106" customFormat="1" ht="16.5" spans="2:46">
      <c r="B659" s="117">
        <v>25</v>
      </c>
      <c r="C659" s="130">
        <f t="shared" si="239"/>
        <v>2500</v>
      </c>
      <c r="D659" s="131" cm="1">
        <f ca="1" t="array" ref="D659">IF(D1261=1,OFFSET($W$634,$B659,D$631-1)/SUMPRODUCT(--($D$631:$V$631=D$631),--($D1261:$V1261=1)),0)+SUM(D658)+IF(COUNTIF(D$1237:D1261,1)=1,5,0)+IF(COUNTIF(E659:$W659,"&gt;"&amp;0)&lt;5,IF(AND(COUNTIF(D$1237:D1261,1)&gt;7,MOD(1+IFERROR(MATCH($C659,总览!$D$46:$D$345,1)+1,1),7)=0),$C$3,0),0)</f>
        <v>290.468333333333</v>
      </c>
      <c r="E659" s="131" cm="1">
        <f ca="1" t="array" ref="E659">IF(E1261=1,OFFSET($W$634,$B659,E$631-1)/SUMPRODUCT(--($D$631:$V$631=E$631),--($D1261:$V1261=1)),0)+SUM(E658)+IF(COUNTIF(E$1237:E1261,1)=1,5,0)+IF(COUNTIF(F659:$W659,"&gt;"&amp;0)&lt;5,IF(AND(COUNTIF(E$1237:E1261,1)&gt;7,MOD(1+IFERROR(MATCH($C659,总览!$D$46:$D$345,1)+1,1),7)=0),$C$3,0),0)</f>
        <v>290.468333333333</v>
      </c>
      <c r="F659" s="131" cm="1">
        <f ca="1" t="array" ref="F659">IF(F1261=1,OFFSET($W$634,$B659,F$631-1)/SUMPRODUCT(--($D$631:$V$631=F$631),--($D1261:$V1261=1)),0)+SUM(F658)+IF(COUNTIF(F$1237:F1261,1)=1,5,0)+IF(COUNTIF(G659:$W659,"&gt;"&amp;0)&lt;5,IF(AND(COUNTIF(F$1237:F1261,1)&gt;7,MOD(1+IFERROR(MATCH($C659,总览!$D$46:$D$345,1)+1,1),7)=0),$C$3,0),0)</f>
        <v>290.468333333333</v>
      </c>
      <c r="G659" s="131" cm="1">
        <f ca="1" t="array" ref="G659">IF(G1261=1,OFFSET($W$634,$B659,G$631-1)/SUMPRODUCT(--($D$631:$V$631=G$631),--($D1261:$V1261=1)),0)+SUM(G658)+IF(COUNTIF(G$1237:G1261,1)=1,5,0)+IF(COUNTIF(H659:$W659,"&gt;"&amp;0)&lt;5,IF(AND(COUNTIF(G$1237:G1261,1)&gt;7,MOD(1+IFERROR(MATCH($C659,总览!$D$46:$D$345,1)+1,1),7)=0),$C$3,0),0)</f>
        <v>59.8033333333334</v>
      </c>
      <c r="H659" s="131" cm="1">
        <f ca="1" t="array" ref="H659">IF(H1261=1,OFFSET($W$634,$B659,H$631-1)/SUMPRODUCT(--($D$631:$V$631=H$631),--($D1261:$V1261=1)),0)+SUM(H658)+IF(COUNTIF(H$1237:H1261,1)=1,5,0)+IF(COUNTIF(I659:$W659,"&gt;"&amp;0)&lt;5,IF(AND(COUNTIF(H$1237:H1261,1)&gt;7,MOD(1+IFERROR(MATCH($C659,总览!$D$46:$D$345,1)+1,1),7)=0),$C$3,0),0)</f>
        <v>59.8033333333334</v>
      </c>
      <c r="I659" s="131" cm="1">
        <f ca="1" t="array" ref="I659">IF(I1261=1,OFFSET($W$634,$B659,I$631-1)/SUMPRODUCT(--($D$631:$V$631=I$631),--($D1261:$V1261=1)),0)+SUM(I658)+IF(COUNTIF(I$1237:I1261,1)=1,5,0)+IF(COUNTIF(J659:$W659,"&gt;"&amp;0)&lt;5,IF(AND(COUNTIF(I$1237:I1261,1)&gt;7,MOD(1+IFERROR(MATCH($C659,总览!$D$46:$D$345,1)+1,1),7)=0),$C$3,0),0)</f>
        <v>59.8033333333334</v>
      </c>
      <c r="J659" s="131" cm="1">
        <f ca="1" t="array" ref="J659">IF(J1261=1,OFFSET($W$634,$B659,J$631-1)/SUMPRODUCT(--($D$631:$V$631=J$631),--($D1261:$V1261=1)),0)+SUM(J658)+IF(COUNTIF(J$1237:J1261,1)=1,5,0)+IF(COUNTIF(K659:$W659,"&gt;"&amp;0)&lt;5,IF(AND(COUNTIF(J$1237:J1261,1)&gt;7,MOD(1+IFERROR(MATCH($C659,总览!$D$46:$D$345,1)+1,1),7)=0),$C$3,0),0)</f>
        <v>56.47</v>
      </c>
      <c r="K659" s="131" cm="1">
        <f ca="1" t="array" ref="K659">IF(K1261=1,OFFSET($W$634,$B659,K$631-1)/SUMPRODUCT(--($D$631:$V$631=K$631),--($D1261:$V1261=1)),0)+SUM(K658)+IF(COUNTIF(K$1237:K1261,1)=1,5,0)+IF(COUNTIF(L659:$W659,"&gt;"&amp;0)&lt;5,IF(AND(COUNTIF(K$1237:K1261,1)&gt;7,MOD(1+IFERROR(MATCH($C659,总览!$D$46:$D$345,1)+1,1),7)=0),$C$3,0),0)</f>
        <v>53.97</v>
      </c>
      <c r="L659" s="131" cm="1">
        <f ca="1" t="array" ref="L659">IF(L1261=1,OFFSET($W$634,$B659,L$631-1)/SUMPRODUCT(--($D$631:$V$631=L$631),--($D1261:$V1261=1)),0)+SUM(L658)+IF(COUNTIF(L$1237:L1261,1)=1,5,0)+IF(COUNTIF(M659:$W659,"&gt;"&amp;0)&lt;5,IF(AND(COUNTIF(L$1237:L1261,1)&gt;7,MOD(1+IFERROR(MATCH($C659,总览!$D$46:$D$345,1)+1,1),7)=0),$C$3,0),0)</f>
        <v>53.97</v>
      </c>
      <c r="M659" s="131" cm="1">
        <f ca="1" t="array" ref="M659">IF(M1261=1,OFFSET($W$634,$B659,M$631-1)/SUMPRODUCT(--($D$631:$V$631=M$631),--($D1261:$V1261=1)),0)+SUM(M658)+IF(COUNTIF(M$1237:M1261,1)=1,5,0)+IF(COUNTIF(N659:$W659,"&gt;"&amp;0)&lt;5,IF(AND(COUNTIF(M$1237:M1261,1)&gt;7,MOD(1+IFERROR(MATCH($C659,总览!$D$46:$D$345,1)+1,1),7)=0),$C$3,0),0)</f>
        <v>24.2741071428571</v>
      </c>
      <c r="N659" s="131" cm="1">
        <f ca="1" t="array" ref="N659">IF(N1261=1,OFFSET($W$634,$B659,N$631-1)/SUMPRODUCT(--($D$631:$V$631=N$631),--($D1261:$V1261=1)),0)+SUM(N658)+IF(COUNTIF(N$1237:N1261,1)=1,5,0)+IF(COUNTIF(O659:$W659,"&gt;"&amp;0)&lt;5,IF(AND(COUNTIF(N$1237:N1261,1)&gt;7,MOD(1+IFERROR(MATCH($C659,总览!$D$46:$D$345,1)+1,1),7)=0),$C$3,0),0)</f>
        <v>25.5241071428571</v>
      </c>
      <c r="O659" s="131" cm="1">
        <f ca="1" t="array" ref="O659">IF(O1261=1,OFFSET($W$634,$B659,O$631-1)/SUMPRODUCT(--($D$631:$V$631=O$631),--($D1261:$V1261=1)),0)+SUM(O658)+IF(COUNTIF(O$1237:O1261,1)=1,5,0)+IF(COUNTIF(P659:$W659,"&gt;"&amp;0)&lt;5,IF(AND(COUNTIF(O$1237:O1261,1)&gt;7,MOD(1+IFERROR(MATCH($C659,总览!$D$46:$D$345,1)+1,1),7)=0),$C$3,0),0)</f>
        <v>30.5241071428571</v>
      </c>
      <c r="P659" s="131" cm="1">
        <f ca="1" t="array" ref="P659">IF(P1261=1,OFFSET($W$634,$B659,P$631-1)/SUMPRODUCT(--($D$631:$V$631=P$631),--($D1261:$V1261=1)),0)+SUM(P658)+IF(COUNTIF(P$1237:P1261,1)=1,5,0)+IF(COUNTIF(Q659:$W659,"&gt;"&amp;0)&lt;5,IF(AND(COUNTIF(P$1237:P1261,1)&gt;7,MOD(1+IFERROR(MATCH($C659,总览!$D$46:$D$345,1)+1,1),7)=0),$C$3,0),0)</f>
        <v>19.6428571428571</v>
      </c>
      <c r="Q659" s="131" cm="1">
        <f ca="1" t="array" ref="Q659">IF(Q1261=1,OFFSET($W$634,$B659,Q$631-1)/SUMPRODUCT(--($D$631:$V$631=Q$631),--($D1261:$V1261=1)),0)+SUM(Q658)+IF(COUNTIF(Q$1237:Q1261,1)=1,5,0)+IF(COUNTIF(R659:$W659,"&gt;"&amp;0)&lt;5,IF(AND(COUNTIF(Q$1237:Q1261,1)&gt;7,MOD(1+IFERROR(MATCH($C659,总览!$D$46:$D$345,1)+1,1),7)=0),$C$3,0),0)</f>
        <v>28.0241071428571</v>
      </c>
      <c r="R659" s="131" cm="1">
        <f ca="1" t="array" ref="R659">IF(R1261=1,OFFSET($W$634,$B659,R$631-1)/SUMPRODUCT(--($D$631:$V$631=R$631),--($D1261:$V1261=1)),0)+SUM(R658)+IF(COUNTIF(R$1237:R1261,1)=1,5,0)+IF(COUNTIF(S659:$W659,"&gt;"&amp;0)&lt;5,IF(AND(COUNTIF(R$1237:R1261,1)&gt;7,MOD(1+IFERROR(MATCH($C659,总览!$D$46:$D$345,1)+1,1),7)=0),$C$3,0),0)</f>
        <v>9.64285714285714</v>
      </c>
      <c r="S659" s="131" cm="1">
        <f ca="1" t="array" ref="S659">IF(S1261=1,OFFSET($W$634,$B659,S$631-1)/SUMPRODUCT(--($D$631:$V$631=S$631),--($D1261:$V1261=1)),0)+SUM(S658)+IF(COUNTIF(S$1237:S1261,1)=1,5,0)+IF(COUNTIF(T659:$W659,"&gt;"&amp;0)&lt;5,IF(AND(COUNTIF(S$1237:S1261,1)&gt;7,MOD(1+IFERROR(MATCH($C659,总览!$D$46:$D$345,1)+1,1),7)=0),$C$3,0),0)</f>
        <v>7.14285714285714</v>
      </c>
      <c r="T659" s="131" cm="1">
        <f ca="1" t="array" ref="T659">IF(T1261=1,OFFSET($W$634,$B659,T$631-1)/SUMPRODUCT(--($D$631:$V$631=T$631),--($D1261:$V1261=1)),0)+SUM(T658)+IF(COUNTIF(T$1237:T1261,1)=1,5,0)+IF(COUNTIF(U659:$W659,"&gt;"&amp;0)&lt;5,IF(AND(COUNTIF(T$1237:T1261,1)&gt;7,MOD(1+IFERROR(MATCH($C659,总览!$D$46:$D$345,1)+1,1),7)=0),$C$3,0),0)</f>
        <v>0</v>
      </c>
      <c r="U659" s="131" cm="1">
        <f ca="1" t="array" ref="U659">IF(U1261=1,OFFSET($W$634,$B659,U$631-1)/SUMPRODUCT(--($D$631:$V$631=U$631),--($D1261:$V1261=1)),0)+SUM(U658)+IF(COUNTIF(U$1237:U1261,1)=1,5,0)+IF(COUNTIF(V659:$W659,"&gt;"&amp;0)&lt;5,IF(AND(COUNTIF(U$1237:U1261,1)&gt;7,MOD(1+IFERROR(MATCH($C659,总览!$D$46:$D$345,1)+1,1),7)=0),$C$3,0),0)</f>
        <v>0</v>
      </c>
      <c r="V659" s="131" cm="1">
        <f ca="1" t="array" ref="V659">IF(V1261=1,OFFSET($W$634,$B659,V$631-1)/SUMPRODUCT(--($D$631:$V$631=V$631),--($D1261:$V1261=1)),0)+SUM(V658)+IF(COUNTIF(V$1237:V1261,1)=1,5,0)+IF(COUNTIF(W659:$W659,"&gt;"&amp;0)&lt;5,IF(AND(COUNTIF(V$1237:V1261,1)&gt;7,MOD(1+IFERROR(MATCH($C659,总览!$D$46:$D$345,1)+1,1),7)=0),$C$3,0),0)</f>
        <v>0</v>
      </c>
      <c r="W659" s="135" cm="1">
        <f ca="1" t="array" ref="W659">SUMPRODUCT(TRANSPOSE($AA659:$AG659),OFFSET($L$9:$L$15,0,W$631-1))</f>
        <v>31</v>
      </c>
      <c r="X659" s="135" cm="1">
        <f ca="1" t="array" ref="X659">SUMPRODUCT(TRANSPOSE($AA659:$AG659),OFFSET($L$9:$L$15,0,X$631-1))</f>
        <v>14</v>
      </c>
      <c r="Y659" s="135" cm="1">
        <f ca="1" t="array" ref="Y659">SUMPRODUCT(TRANSPOSE($AA659:$AG659),OFFSET($L$9:$L$15,0,Y$631-1))</f>
        <v>5</v>
      </c>
      <c r="Z659" s="135" cm="1">
        <f ca="1" t="array" ref="Z659">SUMPRODUCT(TRANSPOSE($AA659:$AG659),OFFSET($L$9:$L$15,0,Z$631-1))</f>
        <v>0</v>
      </c>
      <c r="AA659" s="136">
        <f ca="1" t="shared" ref="AA659:AG659" si="289">AH659-AH658</f>
        <v>0</v>
      </c>
      <c r="AB659" s="136">
        <f ca="1" t="shared" si="289"/>
        <v>0</v>
      </c>
      <c r="AC659" s="136">
        <f ca="1" t="shared" si="289"/>
        <v>100</v>
      </c>
      <c r="AD659" s="136">
        <f ca="1" t="shared" si="289"/>
        <v>0</v>
      </c>
      <c r="AE659" s="136">
        <f ca="1" t="shared" si="289"/>
        <v>0</v>
      </c>
      <c r="AF659" s="136">
        <f ca="1" t="shared" si="289"/>
        <v>0</v>
      </c>
      <c r="AG659" s="136">
        <f ca="1" t="shared" si="289"/>
        <v>0</v>
      </c>
      <c r="AH659" s="136">
        <f ca="1" t="shared" si="241"/>
        <v>450</v>
      </c>
      <c r="AI659" s="136">
        <f ca="1" t="shared" ref="AI659:AN659" si="290">IF($C659&gt;OFFSET($Q$8,MATCH(AI$634,$AH$634:$AN$634,0),0),OFFSET($P$8,MATCH(AI$634,$AH$634:$AN$634,0),0),MAX(0,$C659-OFFSET($Q$8,RIGHT(AI$634,1)-1,0)))</f>
        <v>909</v>
      </c>
      <c r="AJ659" s="136">
        <f ca="1" t="shared" si="290"/>
        <v>1141</v>
      </c>
      <c r="AK659" s="136">
        <f ca="1" t="shared" si="290"/>
        <v>0</v>
      </c>
      <c r="AL659" s="136">
        <f ca="1" t="shared" si="290"/>
        <v>0</v>
      </c>
      <c r="AM659" s="136">
        <f ca="1" t="shared" si="290"/>
        <v>0</v>
      </c>
      <c r="AN659" s="136">
        <f ca="1" t="shared" si="290"/>
        <v>0</v>
      </c>
      <c r="AP659" s="132">
        <v>25</v>
      </c>
      <c r="AQ659" s="132">
        <v>1550</v>
      </c>
      <c r="AR659" s="132">
        <v>1550</v>
      </c>
      <c r="AS659" s="132">
        <v>1550</v>
      </c>
      <c r="AT659" s="132">
        <v>1250</v>
      </c>
    </row>
    <row r="660" s="106" customFormat="1" ht="16.5" spans="2:46">
      <c r="B660" s="117">
        <v>26</v>
      </c>
      <c r="C660" s="130">
        <f t="shared" si="239"/>
        <v>2600</v>
      </c>
      <c r="D660" s="131" cm="1">
        <f ca="1" t="array" ref="D660">IF(D1262=1,OFFSET($W$634,$B660,D$631-1)/SUMPRODUCT(--($D$631:$V$631=D$631),--($D1262:$V1262=1)),0)+SUM(D659)+IF(COUNTIF(D$1237:D1262,1)=1,5,0)+IF(COUNTIF(E660:$W660,"&gt;"&amp;0)&lt;5,IF(AND(COUNTIF(D$1237:D1262,1)&gt;7,MOD(1+IFERROR(MATCH($C660,总览!$D$46:$D$345,1)+1,1),7)=0),$C$3,0),0)</f>
        <v>300.801666666667</v>
      </c>
      <c r="E660" s="131" cm="1">
        <f ca="1" t="array" ref="E660">IF(E1262=1,OFFSET($W$634,$B660,E$631-1)/SUMPRODUCT(--($D$631:$V$631=E$631),--($D1262:$V1262=1)),0)+SUM(E659)+IF(COUNTIF(E$1237:E1262,1)=1,5,0)+IF(COUNTIF(F660:$W660,"&gt;"&amp;0)&lt;5,IF(AND(COUNTIF(E$1237:E1262,1)&gt;7,MOD(1+IFERROR(MATCH($C660,总览!$D$46:$D$345,1)+1,1),7)=0),$C$3,0),0)</f>
        <v>300.801666666667</v>
      </c>
      <c r="F660" s="131" cm="1">
        <f ca="1" t="array" ref="F660">IF(F1262=1,OFFSET($W$634,$B660,F$631-1)/SUMPRODUCT(--($D$631:$V$631=F$631),--($D1262:$V1262=1)),0)+SUM(F659)+IF(COUNTIF(F$1237:F1262,1)=1,5,0)+IF(COUNTIF(G660:$W660,"&gt;"&amp;0)&lt;5,IF(AND(COUNTIF(F$1237:F1262,1)&gt;7,MOD(1+IFERROR(MATCH($C660,总览!$D$46:$D$345,1)+1,1),7)=0),$C$3,0),0)</f>
        <v>300.801666666667</v>
      </c>
      <c r="G660" s="131" cm="1">
        <f ca="1" t="array" ref="G660">IF(G1262=1,OFFSET($W$634,$B660,G$631-1)/SUMPRODUCT(--($D$631:$V$631=G$631),--($D1262:$V1262=1)),0)+SUM(G659)+IF(COUNTIF(G$1237:G1262,1)=1,5,0)+IF(COUNTIF(H660:$W660,"&gt;"&amp;0)&lt;5,IF(AND(COUNTIF(G$1237:G1262,1)&gt;7,MOD(1+IFERROR(MATCH($C660,总览!$D$46:$D$345,1)+1,1),7)=0),$C$3,0),0)</f>
        <v>62.1366666666667</v>
      </c>
      <c r="H660" s="131" cm="1">
        <f ca="1" t="array" ref="H660">IF(H1262=1,OFFSET($W$634,$B660,H$631-1)/SUMPRODUCT(--($D$631:$V$631=H$631),--($D1262:$V1262=1)),0)+SUM(H659)+IF(COUNTIF(H$1237:H1262,1)=1,5,0)+IF(COUNTIF(I660:$W660,"&gt;"&amp;0)&lt;5,IF(AND(COUNTIF(H$1237:H1262,1)&gt;7,MOD(1+IFERROR(MATCH($C660,总览!$D$46:$D$345,1)+1,1),7)=0),$C$3,0),0)</f>
        <v>62.1366666666667</v>
      </c>
      <c r="I660" s="131" cm="1">
        <f ca="1" t="array" ref="I660">IF(I1262=1,OFFSET($W$634,$B660,I$631-1)/SUMPRODUCT(--($D$631:$V$631=I$631),--($D1262:$V1262=1)),0)+SUM(I659)+IF(COUNTIF(I$1237:I1262,1)=1,5,0)+IF(COUNTIF(J660:$W660,"&gt;"&amp;0)&lt;5,IF(AND(COUNTIF(I$1237:I1262,1)&gt;7,MOD(1+IFERROR(MATCH($C660,总览!$D$46:$D$345,1)+1,1),7)=0),$C$3,0),0)</f>
        <v>62.1366666666667</v>
      </c>
      <c r="J660" s="131" cm="1">
        <f ca="1" t="array" ref="J660">IF(J1262=1,OFFSET($W$634,$B660,J$631-1)/SUMPRODUCT(--($D$631:$V$631=J$631),--($D1262:$V1262=1)),0)+SUM(J659)+IF(COUNTIF(J$1237:J1262,1)=1,5,0)+IF(COUNTIF(K660:$W660,"&gt;"&amp;0)&lt;5,IF(AND(COUNTIF(J$1237:J1262,1)&gt;7,MOD(1+IFERROR(MATCH($C660,总览!$D$46:$D$345,1)+1,1),7)=0),$C$3,0),0)</f>
        <v>58.8033333333334</v>
      </c>
      <c r="K660" s="131" cm="1">
        <f ca="1" t="array" ref="K660">IF(K1262=1,OFFSET($W$634,$B660,K$631-1)/SUMPRODUCT(--($D$631:$V$631=K$631),--($D1262:$V1262=1)),0)+SUM(K659)+IF(COUNTIF(K$1237:K1262,1)=1,5,0)+IF(COUNTIF(L660:$W660,"&gt;"&amp;0)&lt;5,IF(AND(COUNTIF(K$1237:K1262,1)&gt;7,MOD(1+IFERROR(MATCH($C660,总览!$D$46:$D$345,1)+1,1),7)=0),$C$3,0),0)</f>
        <v>56.3033333333334</v>
      </c>
      <c r="L660" s="131" cm="1">
        <f ca="1" t="array" ref="L660">IF(L1262=1,OFFSET($W$634,$B660,L$631-1)/SUMPRODUCT(--($D$631:$V$631=L$631),--($D1262:$V1262=1)),0)+SUM(L659)+IF(COUNTIF(L$1237:L1262,1)=1,5,0)+IF(COUNTIF(M660:$W660,"&gt;"&amp;0)&lt;5,IF(AND(COUNTIF(L$1237:L1262,1)&gt;7,MOD(1+IFERROR(MATCH($C660,总览!$D$46:$D$345,1)+1,1),7)=0),$C$3,0),0)</f>
        <v>56.3033333333334</v>
      </c>
      <c r="M660" s="131" cm="1">
        <f ca="1" t="array" ref="M660">IF(M1262=1,OFFSET($W$634,$B660,M$631-1)/SUMPRODUCT(--($D$631:$V$631=M$631),--($D1262:$V1262=1)),0)+SUM(M659)+IF(COUNTIF(M$1237:M1262,1)=1,5,0)+IF(COUNTIF(N660:$W660,"&gt;"&amp;0)&lt;5,IF(AND(COUNTIF(M$1237:M1262,1)&gt;7,MOD(1+IFERROR(MATCH($C660,总览!$D$46:$D$345,1)+1,1),7)=0),$C$3,0),0)</f>
        <v>24.9883928571429</v>
      </c>
      <c r="N660" s="131" cm="1">
        <f ca="1" t="array" ref="N660">IF(N1262=1,OFFSET($W$634,$B660,N$631-1)/SUMPRODUCT(--($D$631:$V$631=N$631),--($D1262:$V1262=1)),0)+SUM(N659)+IF(COUNTIF(N$1237:N1262,1)=1,5,0)+IF(COUNTIF(O660:$W660,"&gt;"&amp;0)&lt;5,IF(AND(COUNTIF(N$1237:N1262,1)&gt;7,MOD(1+IFERROR(MATCH($C660,总览!$D$46:$D$345,1)+1,1),7)=0),$C$3,0),0)</f>
        <v>26.2383928571429</v>
      </c>
      <c r="O660" s="131" cm="1">
        <f ca="1" t="array" ref="O660">IF(O1262=1,OFFSET($W$634,$B660,O$631-1)/SUMPRODUCT(--($D$631:$V$631=O$631),--($D1262:$V1262=1)),0)+SUM(O659)+IF(COUNTIF(O$1237:O1262,1)=1,5,0)+IF(COUNTIF(P660:$W660,"&gt;"&amp;0)&lt;5,IF(AND(COUNTIF(O$1237:O1262,1)&gt;7,MOD(1+IFERROR(MATCH($C660,总览!$D$46:$D$345,1)+1,1),7)=0),$C$3,0),0)</f>
        <v>31.2383928571429</v>
      </c>
      <c r="P660" s="131" cm="1">
        <f ca="1" t="array" ref="P660">IF(P1262=1,OFFSET($W$634,$B660,P$631-1)/SUMPRODUCT(--($D$631:$V$631=P$631),--($D1262:$V1262=1)),0)+SUM(P659)+IF(COUNTIF(P$1237:P1262,1)=1,5,0)+IF(COUNTIF(Q660:$W660,"&gt;"&amp;0)&lt;5,IF(AND(COUNTIF(P$1237:P1262,1)&gt;7,MOD(1+IFERROR(MATCH($C660,总览!$D$46:$D$345,1)+1,1),7)=0),$C$3,0),0)</f>
        <v>20.3571428571429</v>
      </c>
      <c r="Q660" s="131" cm="1">
        <f ca="1" t="array" ref="Q660">IF(Q1262=1,OFFSET($W$634,$B660,Q$631-1)/SUMPRODUCT(--($D$631:$V$631=Q$631),--($D1262:$V1262=1)),0)+SUM(Q659)+IF(COUNTIF(Q$1237:Q1262,1)=1,5,0)+IF(COUNTIF(R660:$W660,"&gt;"&amp;0)&lt;5,IF(AND(COUNTIF(Q$1237:Q1262,1)&gt;7,MOD(1+IFERROR(MATCH($C660,总览!$D$46:$D$345,1)+1,1),7)=0),$C$3,0),0)</f>
        <v>28.7383928571429</v>
      </c>
      <c r="R660" s="131" cm="1">
        <f ca="1" t="array" ref="R660">IF(R1262=1,OFFSET($W$634,$B660,R$631-1)/SUMPRODUCT(--($D$631:$V$631=R$631),--($D1262:$V1262=1)),0)+SUM(R659)+IF(COUNTIF(R$1237:R1262,1)=1,5,0)+IF(COUNTIF(S660:$W660,"&gt;"&amp;0)&lt;5,IF(AND(COUNTIF(R$1237:R1262,1)&gt;7,MOD(1+IFERROR(MATCH($C660,总览!$D$46:$D$345,1)+1,1),7)=0),$C$3,0),0)</f>
        <v>10.3571428571429</v>
      </c>
      <c r="S660" s="131" cm="1">
        <f ca="1" t="array" ref="S660">IF(S1262=1,OFFSET($W$634,$B660,S$631-1)/SUMPRODUCT(--($D$631:$V$631=S$631),--($D1262:$V1262=1)),0)+SUM(S659)+IF(COUNTIF(S$1237:S1262,1)=1,5,0)+IF(COUNTIF(T660:$W660,"&gt;"&amp;0)&lt;5,IF(AND(COUNTIF(S$1237:S1262,1)&gt;7,MOD(1+IFERROR(MATCH($C660,总览!$D$46:$D$345,1)+1,1),7)=0),$C$3,0),0)</f>
        <v>7.85714285714286</v>
      </c>
      <c r="T660" s="131" cm="1">
        <f ca="1" t="array" ref="T660">IF(T1262=1,OFFSET($W$634,$B660,T$631-1)/SUMPRODUCT(--($D$631:$V$631=T$631),--($D1262:$V1262=1)),0)+SUM(T659)+IF(COUNTIF(T$1237:T1262,1)=1,5,0)+IF(COUNTIF(U660:$W660,"&gt;"&amp;0)&lt;5,IF(AND(COUNTIF(T$1237:T1262,1)&gt;7,MOD(1+IFERROR(MATCH($C660,总览!$D$46:$D$345,1)+1,1),7)=0),$C$3,0),0)</f>
        <v>0</v>
      </c>
      <c r="U660" s="131" cm="1">
        <f ca="1" t="array" ref="U660">IF(U1262=1,OFFSET($W$634,$B660,U$631-1)/SUMPRODUCT(--($D$631:$V$631=U$631),--($D1262:$V1262=1)),0)+SUM(U659)+IF(COUNTIF(U$1237:U1262,1)=1,5,0)+IF(COUNTIF(V660:$W660,"&gt;"&amp;0)&lt;5,IF(AND(COUNTIF(U$1237:U1262,1)&gt;7,MOD(1+IFERROR(MATCH($C660,总览!$D$46:$D$345,1)+1,1),7)=0),$C$3,0),0)</f>
        <v>0</v>
      </c>
      <c r="V660" s="131" cm="1">
        <f ca="1" t="array" ref="V660">IF(V1262=1,OFFSET($W$634,$B660,V$631-1)/SUMPRODUCT(--($D$631:$V$631=V$631),--($D1262:$V1262=1)),0)+SUM(V659)+IF(COUNTIF(V$1237:V1262,1)=1,5,0)+IF(COUNTIF(W660:$W660,"&gt;"&amp;0)&lt;5,IF(AND(COUNTIF(V$1237:V1262,1)&gt;7,MOD(1+IFERROR(MATCH($C660,总览!$D$46:$D$345,1)+1,1),7)=0),$C$3,0),0)</f>
        <v>0</v>
      </c>
      <c r="W660" s="135" cm="1">
        <f ca="1" t="array" ref="W660">SUMPRODUCT(TRANSPOSE($AA660:$AG660),OFFSET($L$9:$L$15,0,W$631-1))</f>
        <v>31</v>
      </c>
      <c r="X660" s="135" cm="1">
        <f ca="1" t="array" ref="X660">SUMPRODUCT(TRANSPOSE($AA660:$AG660),OFFSET($L$9:$L$15,0,X$631-1))</f>
        <v>14</v>
      </c>
      <c r="Y660" s="135" cm="1">
        <f ca="1" t="array" ref="Y660">SUMPRODUCT(TRANSPOSE($AA660:$AG660),OFFSET($L$9:$L$15,0,Y$631-1))</f>
        <v>5</v>
      </c>
      <c r="Z660" s="135" cm="1">
        <f ca="1" t="array" ref="Z660">SUMPRODUCT(TRANSPOSE($AA660:$AG660),OFFSET($L$9:$L$15,0,Z$631-1))</f>
        <v>0</v>
      </c>
      <c r="AA660" s="136">
        <f ca="1" t="shared" ref="AA660:AG660" si="291">AH660-AH659</f>
        <v>0</v>
      </c>
      <c r="AB660" s="136">
        <f ca="1" t="shared" si="291"/>
        <v>0</v>
      </c>
      <c r="AC660" s="136">
        <f ca="1" t="shared" si="291"/>
        <v>100</v>
      </c>
      <c r="AD660" s="136">
        <f ca="1" t="shared" si="291"/>
        <v>0</v>
      </c>
      <c r="AE660" s="136">
        <f ca="1" t="shared" si="291"/>
        <v>0</v>
      </c>
      <c r="AF660" s="136">
        <f ca="1" t="shared" si="291"/>
        <v>0</v>
      </c>
      <c r="AG660" s="136">
        <f ca="1" t="shared" si="291"/>
        <v>0</v>
      </c>
      <c r="AH660" s="136">
        <f ca="1" t="shared" si="241"/>
        <v>450</v>
      </c>
      <c r="AI660" s="136">
        <f ca="1" t="shared" ref="AI660:AN660" si="292">IF($C660&gt;OFFSET($Q$8,MATCH(AI$634,$AH$634:$AN$634,0),0),OFFSET($P$8,MATCH(AI$634,$AH$634:$AN$634,0),0),MAX(0,$C660-OFFSET($Q$8,RIGHT(AI$634,1)-1,0)))</f>
        <v>909</v>
      </c>
      <c r="AJ660" s="136">
        <f ca="1" t="shared" si="292"/>
        <v>1241</v>
      </c>
      <c r="AK660" s="136">
        <f ca="1" t="shared" si="292"/>
        <v>0</v>
      </c>
      <c r="AL660" s="136">
        <f ca="1" t="shared" si="292"/>
        <v>0</v>
      </c>
      <c r="AM660" s="136">
        <f ca="1" t="shared" si="292"/>
        <v>0</v>
      </c>
      <c r="AN660" s="136">
        <f ca="1" t="shared" si="292"/>
        <v>0</v>
      </c>
      <c r="AP660" s="132">
        <v>26</v>
      </c>
      <c r="AQ660" s="132">
        <v>1790</v>
      </c>
      <c r="AR660" s="132">
        <v>1790</v>
      </c>
      <c r="AS660" s="132">
        <v>1730</v>
      </c>
      <c r="AT660" s="132">
        <v>1370</v>
      </c>
    </row>
    <row r="661" s="106" customFormat="1" ht="16.5" spans="2:46">
      <c r="B661" s="117">
        <v>27</v>
      </c>
      <c r="C661" s="130">
        <f t="shared" si="239"/>
        <v>2700</v>
      </c>
      <c r="D661" s="131" cm="1">
        <f ca="1" t="array" ref="D661">IF(D1263=1,OFFSET($W$634,$B661,D$631-1)/SUMPRODUCT(--($D$631:$V$631=D$631),--($D1263:$V1263=1)),0)+SUM(D660)+IF(COUNTIF(D$1237:D1263,1)=1,5,0)+IF(COUNTIF(E661:$W661,"&gt;"&amp;0)&lt;5,IF(AND(COUNTIF(D$1237:D1263,1)&gt;7,MOD(1+IFERROR(MATCH($C661,总览!$D$46:$D$345,1)+1,1),7)=0),$C$3,0),0)</f>
        <v>311.135</v>
      </c>
      <c r="E661" s="131" cm="1">
        <f ca="1" t="array" ref="E661">IF(E1263=1,OFFSET($W$634,$B661,E$631-1)/SUMPRODUCT(--($D$631:$V$631=E$631),--($D1263:$V1263=1)),0)+SUM(E660)+IF(COUNTIF(E$1237:E1263,1)=1,5,0)+IF(COUNTIF(F661:$W661,"&gt;"&amp;0)&lt;5,IF(AND(COUNTIF(E$1237:E1263,1)&gt;7,MOD(1+IFERROR(MATCH($C661,总览!$D$46:$D$345,1)+1,1),7)=0),$C$3,0),0)</f>
        <v>311.135</v>
      </c>
      <c r="F661" s="131" cm="1">
        <f ca="1" t="array" ref="F661">IF(F1263=1,OFFSET($W$634,$B661,F$631-1)/SUMPRODUCT(--($D$631:$V$631=F$631),--($D1263:$V1263=1)),0)+SUM(F660)+IF(COUNTIF(F$1237:F1263,1)=1,5,0)+IF(COUNTIF(G661:$W661,"&gt;"&amp;0)&lt;5,IF(AND(COUNTIF(F$1237:F1263,1)&gt;7,MOD(1+IFERROR(MATCH($C661,总览!$D$46:$D$345,1)+1,1),7)=0),$C$3,0),0)</f>
        <v>311.135</v>
      </c>
      <c r="G661" s="131" cm="1">
        <f ca="1" t="array" ref="G661">IF(G1263=1,OFFSET($W$634,$B661,G$631-1)/SUMPRODUCT(--($D$631:$V$631=G$631),--($D1263:$V1263=1)),0)+SUM(G660)+IF(COUNTIF(G$1237:G1263,1)=1,5,0)+IF(COUNTIF(H661:$W661,"&gt;"&amp;0)&lt;5,IF(AND(COUNTIF(G$1237:G1263,1)&gt;7,MOD(1+IFERROR(MATCH($C661,总览!$D$46:$D$345,1)+1,1),7)=0),$C$3,0),0)</f>
        <v>64.47</v>
      </c>
      <c r="H661" s="131" cm="1">
        <f ca="1" t="array" ref="H661">IF(H1263=1,OFFSET($W$634,$B661,H$631-1)/SUMPRODUCT(--($D$631:$V$631=H$631),--($D1263:$V1263=1)),0)+SUM(H660)+IF(COUNTIF(H$1237:H1263,1)=1,5,0)+IF(COUNTIF(I661:$W661,"&gt;"&amp;0)&lt;5,IF(AND(COUNTIF(H$1237:H1263,1)&gt;7,MOD(1+IFERROR(MATCH($C661,总览!$D$46:$D$345,1)+1,1),7)=0),$C$3,0),0)</f>
        <v>64.47</v>
      </c>
      <c r="I661" s="131" cm="1">
        <f ca="1" t="array" ref="I661">IF(I1263=1,OFFSET($W$634,$B661,I$631-1)/SUMPRODUCT(--($D$631:$V$631=I$631),--($D1263:$V1263=1)),0)+SUM(I660)+IF(COUNTIF(I$1237:I1263,1)=1,5,0)+IF(COUNTIF(J661:$W661,"&gt;"&amp;0)&lt;5,IF(AND(COUNTIF(I$1237:I1263,1)&gt;7,MOD(1+IFERROR(MATCH($C661,总览!$D$46:$D$345,1)+1,1),7)=0),$C$3,0),0)</f>
        <v>64.47</v>
      </c>
      <c r="J661" s="131" cm="1">
        <f ca="1" t="array" ref="J661">IF(J1263=1,OFFSET($W$634,$B661,J$631-1)/SUMPRODUCT(--($D$631:$V$631=J$631),--($D1263:$V1263=1)),0)+SUM(J660)+IF(COUNTIF(J$1237:J1263,1)=1,5,0)+IF(COUNTIF(K661:$W661,"&gt;"&amp;0)&lt;5,IF(AND(COUNTIF(J$1237:J1263,1)&gt;7,MOD(1+IFERROR(MATCH($C661,总览!$D$46:$D$345,1)+1,1),7)=0),$C$3,0),0)</f>
        <v>61.1366666666667</v>
      </c>
      <c r="K661" s="131" cm="1">
        <f ca="1" t="array" ref="K661">IF(K1263=1,OFFSET($W$634,$B661,K$631-1)/SUMPRODUCT(--($D$631:$V$631=K$631),--($D1263:$V1263=1)),0)+SUM(K660)+IF(COUNTIF(K$1237:K1263,1)=1,5,0)+IF(COUNTIF(L661:$W661,"&gt;"&amp;0)&lt;5,IF(AND(COUNTIF(K$1237:K1263,1)&gt;7,MOD(1+IFERROR(MATCH($C661,总览!$D$46:$D$345,1)+1,1),7)=0),$C$3,0),0)</f>
        <v>58.6366666666667</v>
      </c>
      <c r="L661" s="131" cm="1">
        <f ca="1" t="array" ref="L661">IF(L1263=1,OFFSET($W$634,$B661,L$631-1)/SUMPRODUCT(--($D$631:$V$631=L$631),--($D1263:$V1263=1)),0)+SUM(L660)+IF(COUNTIF(L$1237:L1263,1)=1,5,0)+IF(COUNTIF(M661:$W661,"&gt;"&amp;0)&lt;5,IF(AND(COUNTIF(L$1237:L1263,1)&gt;7,MOD(1+IFERROR(MATCH($C661,总览!$D$46:$D$345,1)+1,1),7)=0),$C$3,0),0)</f>
        <v>58.6366666666667</v>
      </c>
      <c r="M661" s="131" cm="1">
        <f ca="1" t="array" ref="M661">IF(M1263=1,OFFSET($W$634,$B661,M$631-1)/SUMPRODUCT(--($D$631:$V$631=M$631),--($D1263:$V1263=1)),0)+SUM(M660)+IF(COUNTIF(M$1237:M1263,1)=1,5,0)+IF(COUNTIF(N661:$W661,"&gt;"&amp;0)&lt;5,IF(AND(COUNTIF(M$1237:M1263,1)&gt;7,MOD(1+IFERROR(MATCH($C661,总览!$D$46:$D$345,1)+1,1),7)=0),$C$3,0),0)</f>
        <v>25.7026785714286</v>
      </c>
      <c r="N661" s="131" cm="1">
        <f ca="1" t="array" ref="N661">IF(N1263=1,OFFSET($W$634,$B661,N$631-1)/SUMPRODUCT(--($D$631:$V$631=N$631),--($D1263:$V1263=1)),0)+SUM(N660)+IF(COUNTIF(N$1237:N1263,1)=1,5,0)+IF(COUNTIF(O661:$W661,"&gt;"&amp;0)&lt;5,IF(AND(COUNTIF(N$1237:N1263,1)&gt;7,MOD(1+IFERROR(MATCH($C661,总览!$D$46:$D$345,1)+1,1),7)=0),$C$3,0),0)</f>
        <v>26.9526785714286</v>
      </c>
      <c r="O661" s="131" cm="1">
        <f ca="1" t="array" ref="O661">IF(O1263=1,OFFSET($W$634,$B661,O$631-1)/SUMPRODUCT(--($D$631:$V$631=O$631),--($D1263:$V1263=1)),0)+SUM(O660)+IF(COUNTIF(O$1237:O1263,1)=1,5,0)+IF(COUNTIF(P661:$W661,"&gt;"&amp;0)&lt;5,IF(AND(COUNTIF(O$1237:O1263,1)&gt;7,MOD(1+IFERROR(MATCH($C661,总览!$D$46:$D$345,1)+1,1),7)=0),$C$3,0),0)</f>
        <v>31.9526785714286</v>
      </c>
      <c r="P661" s="131" cm="1">
        <f ca="1" t="array" ref="P661">IF(P1263=1,OFFSET($W$634,$B661,P$631-1)/SUMPRODUCT(--($D$631:$V$631=P$631),--($D1263:$V1263=1)),0)+SUM(P660)+IF(COUNTIF(P$1237:P1263,1)=1,5,0)+IF(COUNTIF(Q661:$W661,"&gt;"&amp;0)&lt;5,IF(AND(COUNTIF(P$1237:P1263,1)&gt;7,MOD(1+IFERROR(MATCH($C661,总览!$D$46:$D$345,1)+1,1),7)=0),$C$3,0),0)</f>
        <v>21.0714285714286</v>
      </c>
      <c r="Q661" s="131" cm="1">
        <f ca="1" t="array" ref="Q661">IF(Q1263=1,OFFSET($W$634,$B661,Q$631-1)/SUMPRODUCT(--($D$631:$V$631=Q$631),--($D1263:$V1263=1)),0)+SUM(Q660)+IF(COUNTIF(Q$1237:Q1263,1)=1,5,0)+IF(COUNTIF(R661:$W661,"&gt;"&amp;0)&lt;5,IF(AND(COUNTIF(Q$1237:Q1263,1)&gt;7,MOD(1+IFERROR(MATCH($C661,总览!$D$46:$D$345,1)+1,1),7)=0),$C$3,0),0)</f>
        <v>29.4526785714286</v>
      </c>
      <c r="R661" s="131" cm="1">
        <f ca="1" t="array" ref="R661">IF(R1263=1,OFFSET($W$634,$B661,R$631-1)/SUMPRODUCT(--($D$631:$V$631=R$631),--($D1263:$V1263=1)),0)+SUM(R660)+IF(COUNTIF(R$1237:R1263,1)=1,5,0)+IF(COUNTIF(S661:$W661,"&gt;"&amp;0)&lt;5,IF(AND(COUNTIF(R$1237:R1263,1)&gt;7,MOD(1+IFERROR(MATCH($C661,总览!$D$46:$D$345,1)+1,1),7)=0),$C$3,0),0)</f>
        <v>11.0714285714286</v>
      </c>
      <c r="S661" s="131" cm="1">
        <f ca="1" t="array" ref="S661">IF(S1263=1,OFFSET($W$634,$B661,S$631-1)/SUMPRODUCT(--($D$631:$V$631=S$631),--($D1263:$V1263=1)),0)+SUM(S660)+IF(COUNTIF(S$1237:S1263,1)=1,5,0)+IF(COUNTIF(T661:$W661,"&gt;"&amp;0)&lt;5,IF(AND(COUNTIF(S$1237:S1263,1)&gt;7,MOD(1+IFERROR(MATCH($C661,总览!$D$46:$D$345,1)+1,1),7)=0),$C$3,0),0)</f>
        <v>8.57142857142857</v>
      </c>
      <c r="T661" s="131" cm="1">
        <f ca="1" t="array" ref="T661">IF(T1263=1,OFFSET($W$634,$B661,T$631-1)/SUMPRODUCT(--($D$631:$V$631=T$631),--($D1263:$V1263=1)),0)+SUM(T660)+IF(COUNTIF(T$1237:T1263,1)=1,5,0)+IF(COUNTIF(U661:$W661,"&gt;"&amp;0)&lt;5,IF(AND(COUNTIF(T$1237:T1263,1)&gt;7,MOD(1+IFERROR(MATCH($C661,总览!$D$46:$D$345,1)+1,1),7)=0),$C$3,0),0)</f>
        <v>0</v>
      </c>
      <c r="U661" s="131" cm="1">
        <f ca="1" t="array" ref="U661">IF(U1263=1,OFFSET($W$634,$B661,U$631-1)/SUMPRODUCT(--($D$631:$V$631=U$631),--($D1263:$V1263=1)),0)+SUM(U660)+IF(COUNTIF(U$1237:U1263,1)=1,5,0)+IF(COUNTIF(V661:$W661,"&gt;"&amp;0)&lt;5,IF(AND(COUNTIF(U$1237:U1263,1)&gt;7,MOD(1+IFERROR(MATCH($C661,总览!$D$46:$D$345,1)+1,1),7)=0),$C$3,0),0)</f>
        <v>0</v>
      </c>
      <c r="V661" s="131" cm="1">
        <f ca="1" t="array" ref="V661">IF(V1263=1,OFFSET($W$634,$B661,V$631-1)/SUMPRODUCT(--($D$631:$V$631=V$631),--($D1263:$V1263=1)),0)+SUM(V660)+IF(COUNTIF(V$1237:V1263,1)=1,5,0)+IF(COUNTIF(W661:$W661,"&gt;"&amp;0)&lt;5,IF(AND(COUNTIF(V$1237:V1263,1)&gt;7,MOD(1+IFERROR(MATCH($C661,总览!$D$46:$D$345,1)+1,1),7)=0),$C$3,0),0)</f>
        <v>0</v>
      </c>
      <c r="W661" s="135" cm="1">
        <f ca="1" t="array" ref="W661">SUMPRODUCT(TRANSPOSE($AA661:$AG661),OFFSET($L$9:$L$15,0,W$631-1))</f>
        <v>31</v>
      </c>
      <c r="X661" s="135" cm="1">
        <f ca="1" t="array" ref="X661">SUMPRODUCT(TRANSPOSE($AA661:$AG661),OFFSET($L$9:$L$15,0,X$631-1))</f>
        <v>14</v>
      </c>
      <c r="Y661" s="135" cm="1">
        <f ca="1" t="array" ref="Y661">SUMPRODUCT(TRANSPOSE($AA661:$AG661),OFFSET($L$9:$L$15,0,Y$631-1))</f>
        <v>5</v>
      </c>
      <c r="Z661" s="135" cm="1">
        <f ca="1" t="array" ref="Z661">SUMPRODUCT(TRANSPOSE($AA661:$AG661),OFFSET($L$9:$L$15,0,Z$631-1))</f>
        <v>0</v>
      </c>
      <c r="AA661" s="136">
        <f ca="1" t="shared" ref="AA661:AG661" si="293">AH661-AH660</f>
        <v>0</v>
      </c>
      <c r="AB661" s="136">
        <f ca="1" t="shared" si="293"/>
        <v>0</v>
      </c>
      <c r="AC661" s="136">
        <f ca="1" t="shared" si="293"/>
        <v>100</v>
      </c>
      <c r="AD661" s="136">
        <f ca="1" t="shared" si="293"/>
        <v>0</v>
      </c>
      <c r="AE661" s="136">
        <f ca="1" t="shared" si="293"/>
        <v>0</v>
      </c>
      <c r="AF661" s="136">
        <f ca="1" t="shared" si="293"/>
        <v>0</v>
      </c>
      <c r="AG661" s="136">
        <f ca="1" t="shared" si="293"/>
        <v>0</v>
      </c>
      <c r="AH661" s="136">
        <f ca="1" t="shared" si="241"/>
        <v>450</v>
      </c>
      <c r="AI661" s="136">
        <f ca="1" t="shared" ref="AI661:AN661" si="294">IF($C661&gt;OFFSET($Q$8,MATCH(AI$634,$AH$634:$AN$634,0),0),OFFSET($P$8,MATCH(AI$634,$AH$634:$AN$634,0),0),MAX(0,$C661-OFFSET($Q$8,RIGHT(AI$634,1)-1,0)))</f>
        <v>909</v>
      </c>
      <c r="AJ661" s="136">
        <f ca="1" t="shared" si="294"/>
        <v>1341</v>
      </c>
      <c r="AK661" s="136">
        <f ca="1" t="shared" si="294"/>
        <v>0</v>
      </c>
      <c r="AL661" s="136">
        <f ca="1" t="shared" si="294"/>
        <v>0</v>
      </c>
      <c r="AM661" s="136">
        <f ca="1" t="shared" si="294"/>
        <v>0</v>
      </c>
      <c r="AN661" s="136">
        <f ca="1" t="shared" si="294"/>
        <v>0</v>
      </c>
      <c r="AP661" s="132">
        <v>27</v>
      </c>
      <c r="AQ661" s="132">
        <v>2030</v>
      </c>
      <c r="AR661" s="132">
        <v>2030</v>
      </c>
      <c r="AS661" s="132">
        <v>1910</v>
      </c>
      <c r="AT661" s="132">
        <v>1490</v>
      </c>
    </row>
    <row r="662" s="106" customFormat="1" ht="16.5" spans="2:46">
      <c r="B662" s="117">
        <v>28</v>
      </c>
      <c r="C662" s="130">
        <f t="shared" si="239"/>
        <v>2800</v>
      </c>
      <c r="D662" s="131" cm="1">
        <f ca="1" t="array" ref="D662">IF(D1264=1,OFFSET($W$634,$B662,D$631-1)/SUMPRODUCT(--($D$631:$V$631=D$631),--($D1264:$V1264=1)),0)+SUM(D661)+IF(COUNTIF(D$1237:D1264,1)=1,5,0)+IF(COUNTIF(E662:$W662,"&gt;"&amp;0)&lt;5,IF(AND(COUNTIF(D$1237:D1264,1)&gt;7,MOD(1+IFERROR(MATCH($C662,总览!$D$46:$D$345,1)+1,1),7)=0),$C$3,0),0)</f>
        <v>321.468333333333</v>
      </c>
      <c r="E662" s="131" cm="1">
        <f ca="1" t="array" ref="E662">IF(E1264=1,OFFSET($W$634,$B662,E$631-1)/SUMPRODUCT(--($D$631:$V$631=E$631),--($D1264:$V1264=1)),0)+SUM(E661)+IF(COUNTIF(E$1237:E1264,1)=1,5,0)+IF(COUNTIF(F662:$W662,"&gt;"&amp;0)&lt;5,IF(AND(COUNTIF(E$1237:E1264,1)&gt;7,MOD(1+IFERROR(MATCH($C662,总览!$D$46:$D$345,1)+1,1),7)=0),$C$3,0),0)</f>
        <v>321.468333333333</v>
      </c>
      <c r="F662" s="131" cm="1">
        <f ca="1" t="array" ref="F662">IF(F1264=1,OFFSET($W$634,$B662,F$631-1)/SUMPRODUCT(--($D$631:$V$631=F$631),--($D1264:$V1264=1)),0)+SUM(F661)+IF(COUNTIF(F$1237:F1264,1)=1,5,0)+IF(COUNTIF(G662:$W662,"&gt;"&amp;0)&lt;5,IF(AND(COUNTIF(F$1237:F1264,1)&gt;7,MOD(1+IFERROR(MATCH($C662,总览!$D$46:$D$345,1)+1,1),7)=0),$C$3,0),0)</f>
        <v>321.468333333333</v>
      </c>
      <c r="G662" s="131" cm="1">
        <f ca="1" t="array" ref="G662">IF(G1264=1,OFFSET($W$634,$B662,G$631-1)/SUMPRODUCT(--($D$631:$V$631=G$631),--($D1264:$V1264=1)),0)+SUM(G661)+IF(COUNTIF(G$1237:G1264,1)=1,5,0)+IF(COUNTIF(H662:$W662,"&gt;"&amp;0)&lt;5,IF(AND(COUNTIF(G$1237:G1264,1)&gt;7,MOD(1+IFERROR(MATCH($C662,总览!$D$46:$D$345,1)+1,1),7)=0),$C$3,0),0)</f>
        <v>66.8033333333334</v>
      </c>
      <c r="H662" s="131" cm="1">
        <f ca="1" t="array" ref="H662">IF(H1264=1,OFFSET($W$634,$B662,H$631-1)/SUMPRODUCT(--($D$631:$V$631=H$631),--($D1264:$V1264=1)),0)+SUM(H661)+IF(COUNTIF(H$1237:H1264,1)=1,5,0)+IF(COUNTIF(I662:$W662,"&gt;"&amp;0)&lt;5,IF(AND(COUNTIF(H$1237:H1264,1)&gt;7,MOD(1+IFERROR(MATCH($C662,总览!$D$46:$D$345,1)+1,1),7)=0),$C$3,0),0)</f>
        <v>66.8033333333334</v>
      </c>
      <c r="I662" s="131" cm="1">
        <f ca="1" t="array" ref="I662">IF(I1264=1,OFFSET($W$634,$B662,I$631-1)/SUMPRODUCT(--($D$631:$V$631=I$631),--($D1264:$V1264=1)),0)+SUM(I661)+IF(COUNTIF(I$1237:I1264,1)=1,5,0)+IF(COUNTIF(J662:$W662,"&gt;"&amp;0)&lt;5,IF(AND(COUNTIF(I$1237:I1264,1)&gt;7,MOD(1+IFERROR(MATCH($C662,总览!$D$46:$D$345,1)+1,1),7)=0),$C$3,0),0)</f>
        <v>66.8033333333334</v>
      </c>
      <c r="J662" s="131" cm="1">
        <f ca="1" t="array" ref="J662">IF(J1264=1,OFFSET($W$634,$B662,J$631-1)/SUMPRODUCT(--($D$631:$V$631=J$631),--($D1264:$V1264=1)),0)+SUM(J661)+IF(COUNTIF(J$1237:J1264,1)=1,5,0)+IF(COUNTIF(K662:$W662,"&gt;"&amp;0)&lt;5,IF(AND(COUNTIF(J$1237:J1264,1)&gt;7,MOD(1+IFERROR(MATCH($C662,总览!$D$46:$D$345,1)+1,1),7)=0),$C$3,0),0)</f>
        <v>63.47</v>
      </c>
      <c r="K662" s="131" cm="1">
        <f ca="1" t="array" ref="K662">IF(K1264=1,OFFSET($W$634,$B662,K$631-1)/SUMPRODUCT(--($D$631:$V$631=K$631),--($D1264:$V1264=1)),0)+SUM(K661)+IF(COUNTIF(K$1237:K1264,1)=1,5,0)+IF(COUNTIF(L662:$W662,"&gt;"&amp;0)&lt;5,IF(AND(COUNTIF(K$1237:K1264,1)&gt;7,MOD(1+IFERROR(MATCH($C662,总览!$D$46:$D$345,1)+1,1),7)=0),$C$3,0),0)</f>
        <v>60.97</v>
      </c>
      <c r="L662" s="131" cm="1">
        <f ca="1" t="array" ref="L662">IF(L1264=1,OFFSET($W$634,$B662,L$631-1)/SUMPRODUCT(--($D$631:$V$631=L$631),--($D1264:$V1264=1)),0)+SUM(L661)+IF(COUNTIF(L$1237:L1264,1)=1,5,0)+IF(COUNTIF(M662:$W662,"&gt;"&amp;0)&lt;5,IF(AND(COUNTIF(L$1237:L1264,1)&gt;7,MOD(1+IFERROR(MATCH($C662,总览!$D$46:$D$345,1)+1,1),7)=0),$C$3,0),0)</f>
        <v>60.97</v>
      </c>
      <c r="M662" s="131" cm="1">
        <f ca="1" t="array" ref="M662">IF(M1264=1,OFFSET($W$634,$B662,M$631-1)/SUMPRODUCT(--($D$631:$V$631=M$631),--($D1264:$V1264=1)),0)+SUM(M661)+IF(COUNTIF(M$1237:M1264,1)=1,5,0)+IF(COUNTIF(N662:$W662,"&gt;"&amp;0)&lt;5,IF(AND(COUNTIF(M$1237:M1264,1)&gt;7,MOD(1+IFERROR(MATCH($C662,总览!$D$46:$D$345,1)+1,1),7)=0),$C$3,0),0)</f>
        <v>26.4169642857143</v>
      </c>
      <c r="N662" s="131" cm="1">
        <f ca="1" t="array" ref="N662">IF(N1264=1,OFFSET($W$634,$B662,N$631-1)/SUMPRODUCT(--($D$631:$V$631=N$631),--($D1264:$V1264=1)),0)+SUM(N661)+IF(COUNTIF(N$1237:N1264,1)=1,5,0)+IF(COUNTIF(O662:$W662,"&gt;"&amp;0)&lt;5,IF(AND(COUNTIF(N$1237:N1264,1)&gt;7,MOD(1+IFERROR(MATCH($C662,总览!$D$46:$D$345,1)+1,1),7)=0),$C$3,0),0)</f>
        <v>27.6669642857143</v>
      </c>
      <c r="O662" s="131" cm="1">
        <f ca="1" t="array" ref="O662">IF(O1264=1,OFFSET($W$634,$B662,O$631-1)/SUMPRODUCT(--($D$631:$V$631=O$631),--($D1264:$V1264=1)),0)+SUM(O661)+IF(COUNTIF(O$1237:O1264,1)=1,5,0)+IF(COUNTIF(P662:$W662,"&gt;"&amp;0)&lt;5,IF(AND(COUNTIF(O$1237:O1264,1)&gt;7,MOD(1+IFERROR(MATCH($C662,总览!$D$46:$D$345,1)+1,1),7)=0),$C$3,0),0)</f>
        <v>32.6669642857143</v>
      </c>
      <c r="P662" s="131" cm="1">
        <f ca="1" t="array" ref="P662">IF(P1264=1,OFFSET($W$634,$B662,P$631-1)/SUMPRODUCT(--($D$631:$V$631=P$631),--($D1264:$V1264=1)),0)+SUM(P661)+IF(COUNTIF(P$1237:P1264,1)=1,5,0)+IF(COUNTIF(Q662:$W662,"&gt;"&amp;0)&lt;5,IF(AND(COUNTIF(P$1237:P1264,1)&gt;7,MOD(1+IFERROR(MATCH($C662,总览!$D$46:$D$345,1)+1,1),7)=0),$C$3,0),0)</f>
        <v>21.7857142857143</v>
      </c>
      <c r="Q662" s="131" cm="1">
        <f ca="1" t="array" ref="Q662">IF(Q1264=1,OFFSET($W$634,$B662,Q$631-1)/SUMPRODUCT(--($D$631:$V$631=Q$631),--($D1264:$V1264=1)),0)+SUM(Q661)+IF(COUNTIF(Q$1237:Q1264,1)=1,5,0)+IF(COUNTIF(R662:$W662,"&gt;"&amp;0)&lt;5,IF(AND(COUNTIF(Q$1237:Q1264,1)&gt;7,MOD(1+IFERROR(MATCH($C662,总览!$D$46:$D$345,1)+1,1),7)=0),$C$3,0),0)</f>
        <v>30.1669642857143</v>
      </c>
      <c r="R662" s="131" cm="1">
        <f ca="1" t="array" ref="R662">IF(R1264=1,OFFSET($W$634,$B662,R$631-1)/SUMPRODUCT(--($D$631:$V$631=R$631),--($D1264:$V1264=1)),0)+SUM(R661)+IF(COUNTIF(R$1237:R1264,1)=1,5,0)+IF(COUNTIF(S662:$W662,"&gt;"&amp;0)&lt;5,IF(AND(COUNTIF(R$1237:R1264,1)&gt;7,MOD(1+IFERROR(MATCH($C662,总览!$D$46:$D$345,1)+1,1),7)=0),$C$3,0),0)</f>
        <v>11.7857142857143</v>
      </c>
      <c r="S662" s="131" cm="1">
        <f ca="1" t="array" ref="S662">IF(S1264=1,OFFSET($W$634,$B662,S$631-1)/SUMPRODUCT(--($D$631:$V$631=S$631),--($D1264:$V1264=1)),0)+SUM(S661)+IF(COUNTIF(S$1237:S1264,1)=1,5,0)+IF(COUNTIF(T662:$W662,"&gt;"&amp;0)&lt;5,IF(AND(COUNTIF(S$1237:S1264,1)&gt;7,MOD(1+IFERROR(MATCH($C662,总览!$D$46:$D$345,1)+1,1),7)=0),$C$3,0),0)</f>
        <v>9.28571428571428</v>
      </c>
      <c r="T662" s="131" cm="1">
        <f ca="1" t="array" ref="T662">IF(T1264=1,OFFSET($W$634,$B662,T$631-1)/SUMPRODUCT(--($D$631:$V$631=T$631),--($D1264:$V1264=1)),0)+SUM(T661)+IF(COUNTIF(T$1237:T1264,1)=1,5,0)+IF(COUNTIF(U662:$W662,"&gt;"&amp;0)&lt;5,IF(AND(COUNTIF(T$1237:T1264,1)&gt;7,MOD(1+IFERROR(MATCH($C662,总览!$D$46:$D$345,1)+1,1),7)=0),$C$3,0),0)</f>
        <v>0</v>
      </c>
      <c r="U662" s="131" cm="1">
        <f ca="1" t="array" ref="U662">IF(U1264=1,OFFSET($W$634,$B662,U$631-1)/SUMPRODUCT(--($D$631:$V$631=U$631),--($D1264:$V1264=1)),0)+SUM(U661)+IF(COUNTIF(U$1237:U1264,1)=1,5,0)+IF(COUNTIF(V662:$W662,"&gt;"&amp;0)&lt;5,IF(AND(COUNTIF(U$1237:U1264,1)&gt;7,MOD(1+IFERROR(MATCH($C662,总览!$D$46:$D$345,1)+1,1),7)=0),$C$3,0),0)</f>
        <v>0</v>
      </c>
      <c r="V662" s="131" cm="1">
        <f ca="1" t="array" ref="V662">IF(V1264=1,OFFSET($W$634,$B662,V$631-1)/SUMPRODUCT(--($D$631:$V$631=V$631),--($D1264:$V1264=1)),0)+SUM(V661)+IF(COUNTIF(V$1237:V1264,1)=1,5,0)+IF(COUNTIF(W662:$W662,"&gt;"&amp;0)&lt;5,IF(AND(COUNTIF(V$1237:V1264,1)&gt;7,MOD(1+IFERROR(MATCH($C662,总览!$D$46:$D$345,1)+1,1),7)=0),$C$3,0),0)</f>
        <v>0</v>
      </c>
      <c r="W662" s="135" cm="1">
        <f ca="1" t="array" ref="W662">SUMPRODUCT(TRANSPOSE($AA662:$AG662),OFFSET($L$9:$L$15,0,W$631-1))</f>
        <v>31</v>
      </c>
      <c r="X662" s="135" cm="1">
        <f ca="1" t="array" ref="X662">SUMPRODUCT(TRANSPOSE($AA662:$AG662),OFFSET($L$9:$L$15,0,X$631-1))</f>
        <v>14</v>
      </c>
      <c r="Y662" s="135" cm="1">
        <f ca="1" t="array" ref="Y662">SUMPRODUCT(TRANSPOSE($AA662:$AG662),OFFSET($L$9:$L$15,0,Y$631-1))</f>
        <v>5</v>
      </c>
      <c r="Z662" s="135" cm="1">
        <f ca="1" t="array" ref="Z662">SUMPRODUCT(TRANSPOSE($AA662:$AG662),OFFSET($L$9:$L$15,0,Z$631-1))</f>
        <v>0</v>
      </c>
      <c r="AA662" s="136">
        <f ca="1" t="shared" ref="AA662:AG662" si="295">AH662-AH661</f>
        <v>0</v>
      </c>
      <c r="AB662" s="136">
        <f ca="1" t="shared" si="295"/>
        <v>0</v>
      </c>
      <c r="AC662" s="136">
        <f ca="1" t="shared" si="295"/>
        <v>100</v>
      </c>
      <c r="AD662" s="136">
        <f ca="1" t="shared" si="295"/>
        <v>0</v>
      </c>
      <c r="AE662" s="136">
        <f ca="1" t="shared" si="295"/>
        <v>0</v>
      </c>
      <c r="AF662" s="136">
        <f ca="1" t="shared" si="295"/>
        <v>0</v>
      </c>
      <c r="AG662" s="136">
        <f ca="1" t="shared" si="295"/>
        <v>0</v>
      </c>
      <c r="AH662" s="136">
        <f ca="1" t="shared" si="241"/>
        <v>450</v>
      </c>
      <c r="AI662" s="136">
        <f ca="1" t="shared" ref="AI662:AN662" si="296">IF($C662&gt;OFFSET($Q$8,MATCH(AI$634,$AH$634:$AN$634,0),0),OFFSET($P$8,MATCH(AI$634,$AH$634:$AN$634,0),0),MAX(0,$C662-OFFSET($Q$8,RIGHT(AI$634,1)-1,0)))</f>
        <v>909</v>
      </c>
      <c r="AJ662" s="136">
        <f ca="1" t="shared" si="296"/>
        <v>1441</v>
      </c>
      <c r="AK662" s="136">
        <f ca="1" t="shared" si="296"/>
        <v>0</v>
      </c>
      <c r="AL662" s="136">
        <f ca="1" t="shared" si="296"/>
        <v>0</v>
      </c>
      <c r="AM662" s="136">
        <f ca="1" t="shared" si="296"/>
        <v>0</v>
      </c>
      <c r="AN662" s="136">
        <f ca="1" t="shared" si="296"/>
        <v>0</v>
      </c>
      <c r="AP662" s="132">
        <v>28</v>
      </c>
      <c r="AQ662" s="132">
        <v>2270</v>
      </c>
      <c r="AR662" s="132">
        <v>2270</v>
      </c>
      <c r="AS662" s="132">
        <v>2090</v>
      </c>
      <c r="AT662" s="132">
        <v>1610</v>
      </c>
    </row>
    <row r="663" s="106" customFormat="1" ht="16.5" spans="2:46">
      <c r="B663" s="117">
        <v>29</v>
      </c>
      <c r="C663" s="130">
        <f t="shared" si="239"/>
        <v>2900</v>
      </c>
      <c r="D663" s="131" cm="1">
        <f ca="1" t="array" ref="D663">IF(D1265=1,OFFSET($W$634,$B663,D$631-1)/SUMPRODUCT(--($D$631:$V$631=D$631),--($D1265:$V1265=1)),0)+SUM(D662)+IF(COUNTIF(D$1237:D1265,1)=1,5,0)+IF(COUNTIF(E663:$W663,"&gt;"&amp;0)&lt;5,IF(AND(COUNTIF(D$1237:D1265,1)&gt;7,MOD(1+IFERROR(MATCH($C663,总览!$D$46:$D$345,1)+1,1),7)=0),$C$3,0),0)</f>
        <v>331.801666666667</v>
      </c>
      <c r="E663" s="131" cm="1">
        <f ca="1" t="array" ref="E663">IF(E1265=1,OFFSET($W$634,$B663,E$631-1)/SUMPRODUCT(--($D$631:$V$631=E$631),--($D1265:$V1265=1)),0)+SUM(E662)+IF(COUNTIF(E$1237:E1265,1)=1,5,0)+IF(COUNTIF(F663:$W663,"&gt;"&amp;0)&lt;5,IF(AND(COUNTIF(E$1237:E1265,1)&gt;7,MOD(1+IFERROR(MATCH($C663,总览!$D$46:$D$345,1)+1,1),7)=0),$C$3,0),0)</f>
        <v>331.801666666667</v>
      </c>
      <c r="F663" s="131" cm="1">
        <f ca="1" t="array" ref="F663">IF(F1265=1,OFFSET($W$634,$B663,F$631-1)/SUMPRODUCT(--($D$631:$V$631=F$631),--($D1265:$V1265=1)),0)+SUM(F662)+IF(COUNTIF(F$1237:F1265,1)=1,5,0)+IF(COUNTIF(G663:$W663,"&gt;"&amp;0)&lt;5,IF(AND(COUNTIF(F$1237:F1265,1)&gt;7,MOD(1+IFERROR(MATCH($C663,总览!$D$46:$D$345,1)+1,1),7)=0),$C$3,0),0)</f>
        <v>331.801666666667</v>
      </c>
      <c r="G663" s="131" cm="1">
        <f ca="1" t="array" ref="G663">IF(G1265=1,OFFSET($W$634,$B663,G$631-1)/SUMPRODUCT(--($D$631:$V$631=G$631),--($D1265:$V1265=1)),0)+SUM(G662)+IF(COUNTIF(G$1237:G1265,1)=1,5,0)+IF(COUNTIF(H663:$W663,"&gt;"&amp;0)&lt;5,IF(AND(COUNTIF(G$1237:G1265,1)&gt;7,MOD(1+IFERROR(MATCH($C663,总览!$D$46:$D$345,1)+1,1),7)=0),$C$3,0),0)</f>
        <v>69.1366666666667</v>
      </c>
      <c r="H663" s="131" cm="1">
        <f ca="1" t="array" ref="H663">IF(H1265=1,OFFSET($W$634,$B663,H$631-1)/SUMPRODUCT(--($D$631:$V$631=H$631),--($D1265:$V1265=1)),0)+SUM(H662)+IF(COUNTIF(H$1237:H1265,1)=1,5,0)+IF(COUNTIF(I663:$W663,"&gt;"&amp;0)&lt;5,IF(AND(COUNTIF(H$1237:H1265,1)&gt;7,MOD(1+IFERROR(MATCH($C663,总览!$D$46:$D$345,1)+1,1),7)=0),$C$3,0),0)</f>
        <v>69.1366666666667</v>
      </c>
      <c r="I663" s="131" cm="1">
        <f ca="1" t="array" ref="I663">IF(I1265=1,OFFSET($W$634,$B663,I$631-1)/SUMPRODUCT(--($D$631:$V$631=I$631),--($D1265:$V1265=1)),0)+SUM(I662)+IF(COUNTIF(I$1237:I1265,1)=1,5,0)+IF(COUNTIF(J663:$W663,"&gt;"&amp;0)&lt;5,IF(AND(COUNTIF(I$1237:I1265,1)&gt;7,MOD(1+IFERROR(MATCH($C663,总览!$D$46:$D$345,1)+1,1),7)=0),$C$3,0),0)</f>
        <v>69.1366666666667</v>
      </c>
      <c r="J663" s="131" cm="1">
        <f ca="1" t="array" ref="J663">IF(J1265=1,OFFSET($W$634,$B663,J$631-1)/SUMPRODUCT(--($D$631:$V$631=J$631),--($D1265:$V1265=1)),0)+SUM(J662)+IF(COUNTIF(J$1237:J1265,1)=1,5,0)+IF(COUNTIF(K663:$W663,"&gt;"&amp;0)&lt;5,IF(AND(COUNTIF(J$1237:J1265,1)&gt;7,MOD(1+IFERROR(MATCH($C663,总览!$D$46:$D$345,1)+1,1),7)=0),$C$3,0),0)</f>
        <v>65.8033333333334</v>
      </c>
      <c r="K663" s="131" cm="1">
        <f ca="1" t="array" ref="K663">IF(K1265=1,OFFSET($W$634,$B663,K$631-1)/SUMPRODUCT(--($D$631:$V$631=K$631),--($D1265:$V1265=1)),0)+SUM(K662)+IF(COUNTIF(K$1237:K1265,1)=1,5,0)+IF(COUNTIF(L663:$W663,"&gt;"&amp;0)&lt;5,IF(AND(COUNTIF(K$1237:K1265,1)&gt;7,MOD(1+IFERROR(MATCH($C663,总览!$D$46:$D$345,1)+1,1),7)=0),$C$3,0),0)</f>
        <v>63.3033333333334</v>
      </c>
      <c r="L663" s="131" cm="1">
        <f ca="1" t="array" ref="L663">IF(L1265=1,OFFSET($W$634,$B663,L$631-1)/SUMPRODUCT(--($D$631:$V$631=L$631),--($D1265:$V1265=1)),0)+SUM(L662)+IF(COUNTIF(L$1237:L1265,1)=1,5,0)+IF(COUNTIF(M663:$W663,"&gt;"&amp;0)&lt;5,IF(AND(COUNTIF(L$1237:L1265,1)&gt;7,MOD(1+IFERROR(MATCH($C663,总览!$D$46:$D$345,1)+1,1),7)=0),$C$3,0),0)</f>
        <v>63.3033333333334</v>
      </c>
      <c r="M663" s="131" cm="1">
        <f ca="1" t="array" ref="M663">IF(M1265=1,OFFSET($W$634,$B663,M$631-1)/SUMPRODUCT(--($D$631:$V$631=M$631),--($D1265:$V1265=1)),0)+SUM(M662)+IF(COUNTIF(M$1237:M1265,1)=1,5,0)+IF(COUNTIF(N663:$W663,"&gt;"&amp;0)&lt;5,IF(AND(COUNTIF(M$1237:M1265,1)&gt;7,MOD(1+IFERROR(MATCH($C663,总览!$D$46:$D$345,1)+1,1),7)=0),$C$3,0),0)</f>
        <v>27.13125</v>
      </c>
      <c r="N663" s="131" cm="1">
        <f ca="1" t="array" ref="N663">IF(N1265=1,OFFSET($W$634,$B663,N$631-1)/SUMPRODUCT(--($D$631:$V$631=N$631),--($D1265:$V1265=1)),0)+SUM(N662)+IF(COUNTIF(N$1237:N1265,1)=1,5,0)+IF(COUNTIF(O663:$W663,"&gt;"&amp;0)&lt;5,IF(AND(COUNTIF(N$1237:N1265,1)&gt;7,MOD(1+IFERROR(MATCH($C663,总览!$D$46:$D$345,1)+1,1),7)=0),$C$3,0),0)</f>
        <v>28.38125</v>
      </c>
      <c r="O663" s="131" cm="1">
        <f ca="1" t="array" ref="O663">IF(O1265=1,OFFSET($W$634,$B663,O$631-1)/SUMPRODUCT(--($D$631:$V$631=O$631),--($D1265:$V1265=1)),0)+SUM(O662)+IF(COUNTIF(O$1237:O1265,1)=1,5,0)+IF(COUNTIF(P663:$W663,"&gt;"&amp;0)&lt;5,IF(AND(COUNTIF(O$1237:O1265,1)&gt;7,MOD(1+IFERROR(MATCH($C663,总览!$D$46:$D$345,1)+1,1),7)=0),$C$3,0),0)</f>
        <v>33.38125</v>
      </c>
      <c r="P663" s="131" cm="1">
        <f ca="1" t="array" ref="P663">IF(P1265=1,OFFSET($W$634,$B663,P$631-1)/SUMPRODUCT(--($D$631:$V$631=P$631),--($D1265:$V1265=1)),0)+SUM(P662)+IF(COUNTIF(P$1237:P1265,1)=1,5,0)+IF(COUNTIF(Q663:$W663,"&gt;"&amp;0)&lt;5,IF(AND(COUNTIF(P$1237:P1265,1)&gt;7,MOD(1+IFERROR(MATCH($C663,总览!$D$46:$D$345,1)+1,1),7)=0),$C$3,0),0)</f>
        <v>22.5</v>
      </c>
      <c r="Q663" s="131" cm="1">
        <f ca="1" t="array" ref="Q663">IF(Q1265=1,OFFSET($W$634,$B663,Q$631-1)/SUMPRODUCT(--($D$631:$V$631=Q$631),--($D1265:$V1265=1)),0)+SUM(Q662)+IF(COUNTIF(Q$1237:Q1265,1)=1,5,0)+IF(COUNTIF(R663:$W663,"&gt;"&amp;0)&lt;5,IF(AND(COUNTIF(Q$1237:Q1265,1)&gt;7,MOD(1+IFERROR(MATCH($C663,总览!$D$46:$D$345,1)+1,1),7)=0),$C$3,0),0)</f>
        <v>30.88125</v>
      </c>
      <c r="R663" s="131" cm="1">
        <f ca="1" t="array" ref="R663">IF(R1265=1,OFFSET($W$634,$B663,R$631-1)/SUMPRODUCT(--($D$631:$V$631=R$631),--($D1265:$V1265=1)),0)+SUM(R662)+IF(COUNTIF(R$1237:R1265,1)=1,5,0)+IF(COUNTIF(S663:$W663,"&gt;"&amp;0)&lt;5,IF(AND(COUNTIF(R$1237:R1265,1)&gt;7,MOD(1+IFERROR(MATCH($C663,总览!$D$46:$D$345,1)+1,1),7)=0),$C$3,0),0)</f>
        <v>12.5</v>
      </c>
      <c r="S663" s="131" cm="1">
        <f ca="1" t="array" ref="S663">IF(S1265=1,OFFSET($W$634,$B663,S$631-1)/SUMPRODUCT(--($D$631:$V$631=S$631),--($D1265:$V1265=1)),0)+SUM(S662)+IF(COUNTIF(S$1237:S1265,1)=1,5,0)+IF(COUNTIF(T663:$W663,"&gt;"&amp;0)&lt;5,IF(AND(COUNTIF(S$1237:S1265,1)&gt;7,MOD(1+IFERROR(MATCH($C663,总览!$D$46:$D$345,1)+1,1),7)=0),$C$3,0),0)</f>
        <v>10</v>
      </c>
      <c r="T663" s="131" cm="1">
        <f ca="1" t="array" ref="T663">IF(T1265=1,OFFSET($W$634,$B663,T$631-1)/SUMPRODUCT(--($D$631:$V$631=T$631),--($D1265:$V1265=1)),0)+SUM(T662)+IF(COUNTIF(T$1237:T1265,1)=1,5,0)+IF(COUNTIF(U663:$W663,"&gt;"&amp;0)&lt;5,IF(AND(COUNTIF(T$1237:T1265,1)&gt;7,MOD(1+IFERROR(MATCH($C663,总览!$D$46:$D$345,1)+1,1),7)=0),$C$3,0),0)</f>
        <v>0</v>
      </c>
      <c r="U663" s="131" cm="1">
        <f ca="1" t="array" ref="U663">IF(U1265=1,OFFSET($W$634,$B663,U$631-1)/SUMPRODUCT(--($D$631:$V$631=U$631),--($D1265:$V1265=1)),0)+SUM(U662)+IF(COUNTIF(U$1237:U1265,1)=1,5,0)+IF(COUNTIF(V663:$W663,"&gt;"&amp;0)&lt;5,IF(AND(COUNTIF(U$1237:U1265,1)&gt;7,MOD(1+IFERROR(MATCH($C663,总览!$D$46:$D$345,1)+1,1),7)=0),$C$3,0),0)</f>
        <v>0</v>
      </c>
      <c r="V663" s="131" cm="1">
        <f ca="1" t="array" ref="V663">IF(V1265=1,OFFSET($W$634,$B663,V$631-1)/SUMPRODUCT(--($D$631:$V$631=V$631),--($D1265:$V1265=1)),0)+SUM(V662)+IF(COUNTIF(V$1237:V1265,1)=1,5,0)+IF(COUNTIF(W663:$W663,"&gt;"&amp;0)&lt;5,IF(AND(COUNTIF(V$1237:V1265,1)&gt;7,MOD(1+IFERROR(MATCH($C663,总览!$D$46:$D$345,1)+1,1),7)=0),$C$3,0),0)</f>
        <v>0</v>
      </c>
      <c r="W663" s="135" cm="1">
        <f ca="1" t="array" ref="W663">SUMPRODUCT(TRANSPOSE($AA663:$AG663),OFFSET($L$9:$L$15,0,W$631-1))</f>
        <v>31</v>
      </c>
      <c r="X663" s="135" cm="1">
        <f ca="1" t="array" ref="X663">SUMPRODUCT(TRANSPOSE($AA663:$AG663),OFFSET($L$9:$L$15,0,X$631-1))</f>
        <v>14</v>
      </c>
      <c r="Y663" s="135" cm="1">
        <f ca="1" t="array" ref="Y663">SUMPRODUCT(TRANSPOSE($AA663:$AG663),OFFSET($L$9:$L$15,0,Y$631-1))</f>
        <v>5</v>
      </c>
      <c r="Z663" s="135" cm="1">
        <f ca="1" t="array" ref="Z663">SUMPRODUCT(TRANSPOSE($AA663:$AG663),OFFSET($L$9:$L$15,0,Z$631-1))</f>
        <v>0</v>
      </c>
      <c r="AA663" s="136">
        <f ca="1" t="shared" ref="AA663:AG663" si="297">AH663-AH662</f>
        <v>0</v>
      </c>
      <c r="AB663" s="136">
        <f ca="1" t="shared" si="297"/>
        <v>0</v>
      </c>
      <c r="AC663" s="136">
        <f ca="1" t="shared" si="297"/>
        <v>100</v>
      </c>
      <c r="AD663" s="136">
        <f ca="1" t="shared" si="297"/>
        <v>0</v>
      </c>
      <c r="AE663" s="136">
        <f ca="1" t="shared" si="297"/>
        <v>0</v>
      </c>
      <c r="AF663" s="136">
        <f ca="1" t="shared" si="297"/>
        <v>0</v>
      </c>
      <c r="AG663" s="136">
        <f ca="1" t="shared" si="297"/>
        <v>0</v>
      </c>
      <c r="AH663" s="136">
        <f ca="1" t="shared" si="241"/>
        <v>450</v>
      </c>
      <c r="AI663" s="136">
        <f ca="1" t="shared" ref="AI663:AN663" si="298">IF($C663&gt;OFFSET($Q$8,MATCH(AI$634,$AH$634:$AN$634,0),0),OFFSET($P$8,MATCH(AI$634,$AH$634:$AN$634,0),0),MAX(0,$C663-OFFSET($Q$8,RIGHT(AI$634,1)-1,0)))</f>
        <v>909</v>
      </c>
      <c r="AJ663" s="136">
        <f ca="1" t="shared" si="298"/>
        <v>1541</v>
      </c>
      <c r="AK663" s="136">
        <f ca="1" t="shared" si="298"/>
        <v>0</v>
      </c>
      <c r="AL663" s="136">
        <f ca="1" t="shared" si="298"/>
        <v>0</v>
      </c>
      <c r="AM663" s="136">
        <f ca="1" t="shared" si="298"/>
        <v>0</v>
      </c>
      <c r="AN663" s="136">
        <f ca="1" t="shared" si="298"/>
        <v>0</v>
      </c>
      <c r="AP663" s="132">
        <v>29</v>
      </c>
      <c r="AQ663" s="132">
        <v>2510</v>
      </c>
      <c r="AR663" s="132">
        <v>2510</v>
      </c>
      <c r="AS663" s="132">
        <v>2270</v>
      </c>
      <c r="AT663" s="132">
        <v>1730</v>
      </c>
    </row>
    <row r="664" s="106" customFormat="1" ht="16.5" spans="2:46">
      <c r="B664" s="117">
        <v>30</v>
      </c>
      <c r="C664" s="130">
        <f t="shared" si="239"/>
        <v>3000</v>
      </c>
      <c r="D664" s="131" cm="1">
        <f ca="1" t="array" ref="D664">IF(D1266=1,OFFSET($W$634,$B664,D$631-1)/SUMPRODUCT(--($D$631:$V$631=D$631),--($D1266:$V1266=1)),0)+SUM(D663)+IF(COUNTIF(D$1237:D1266,1)=1,5,0)+IF(COUNTIF(E664:$W664,"&gt;"&amp;0)&lt;5,IF(AND(COUNTIF(D$1237:D1266,1)&gt;7,MOD(1+IFERROR(MATCH($C664,总览!$D$46:$D$345,1)+1,1),7)=0),$C$3,0),0)</f>
        <v>342.135</v>
      </c>
      <c r="E664" s="131" cm="1">
        <f ca="1" t="array" ref="E664">IF(E1266=1,OFFSET($W$634,$B664,E$631-1)/SUMPRODUCT(--($D$631:$V$631=E$631),--($D1266:$V1266=1)),0)+SUM(E663)+IF(COUNTIF(E$1237:E1266,1)=1,5,0)+IF(COUNTIF(F664:$W664,"&gt;"&amp;0)&lt;5,IF(AND(COUNTIF(E$1237:E1266,1)&gt;7,MOD(1+IFERROR(MATCH($C664,总览!$D$46:$D$345,1)+1,1),7)=0),$C$3,0),0)</f>
        <v>342.135</v>
      </c>
      <c r="F664" s="131" cm="1">
        <f ca="1" t="array" ref="F664">IF(F1266=1,OFFSET($W$634,$B664,F$631-1)/SUMPRODUCT(--($D$631:$V$631=F$631),--($D1266:$V1266=1)),0)+SUM(F663)+IF(COUNTIF(F$1237:F1266,1)=1,5,0)+IF(COUNTIF(G664:$W664,"&gt;"&amp;0)&lt;5,IF(AND(COUNTIF(F$1237:F1266,1)&gt;7,MOD(1+IFERROR(MATCH($C664,总览!$D$46:$D$345,1)+1,1),7)=0),$C$3,0),0)</f>
        <v>342.135</v>
      </c>
      <c r="G664" s="131" cm="1">
        <f ca="1" t="array" ref="G664">IF(G1266=1,OFFSET($W$634,$B664,G$631-1)/SUMPRODUCT(--($D$631:$V$631=G$631),--($D1266:$V1266=1)),0)+SUM(G663)+IF(COUNTIF(G$1237:G1266,1)=1,5,0)+IF(COUNTIF(H664:$W664,"&gt;"&amp;0)&lt;5,IF(AND(COUNTIF(G$1237:G1266,1)&gt;7,MOD(1+IFERROR(MATCH($C664,总览!$D$46:$D$345,1)+1,1),7)=0),$C$3,0),0)</f>
        <v>71.47</v>
      </c>
      <c r="H664" s="131" cm="1">
        <f ca="1" t="array" ref="H664">IF(H1266=1,OFFSET($W$634,$B664,H$631-1)/SUMPRODUCT(--($D$631:$V$631=H$631),--($D1266:$V1266=1)),0)+SUM(H663)+IF(COUNTIF(H$1237:H1266,1)=1,5,0)+IF(COUNTIF(I664:$W664,"&gt;"&amp;0)&lt;5,IF(AND(COUNTIF(H$1237:H1266,1)&gt;7,MOD(1+IFERROR(MATCH($C664,总览!$D$46:$D$345,1)+1,1),7)=0),$C$3,0),0)</f>
        <v>71.47</v>
      </c>
      <c r="I664" s="131" cm="1">
        <f ca="1" t="array" ref="I664">IF(I1266=1,OFFSET($W$634,$B664,I$631-1)/SUMPRODUCT(--($D$631:$V$631=I$631),--($D1266:$V1266=1)),0)+SUM(I663)+IF(COUNTIF(I$1237:I1266,1)=1,5,0)+IF(COUNTIF(J664:$W664,"&gt;"&amp;0)&lt;5,IF(AND(COUNTIF(I$1237:I1266,1)&gt;7,MOD(1+IFERROR(MATCH($C664,总览!$D$46:$D$345,1)+1,1),7)=0),$C$3,0),0)</f>
        <v>71.47</v>
      </c>
      <c r="J664" s="131" cm="1">
        <f ca="1" t="array" ref="J664">IF(J1266=1,OFFSET($W$634,$B664,J$631-1)/SUMPRODUCT(--($D$631:$V$631=J$631),--($D1266:$V1266=1)),0)+SUM(J663)+IF(COUNTIF(J$1237:J1266,1)=1,5,0)+IF(COUNTIF(K664:$W664,"&gt;"&amp;0)&lt;5,IF(AND(COUNTIF(J$1237:J1266,1)&gt;7,MOD(1+IFERROR(MATCH($C664,总览!$D$46:$D$345,1)+1,1),7)=0),$C$3,0),0)</f>
        <v>68.1366666666667</v>
      </c>
      <c r="K664" s="131" cm="1">
        <f ca="1" t="array" ref="K664">IF(K1266=1,OFFSET($W$634,$B664,K$631-1)/SUMPRODUCT(--($D$631:$V$631=K$631),--($D1266:$V1266=1)),0)+SUM(K663)+IF(COUNTIF(K$1237:K1266,1)=1,5,0)+IF(COUNTIF(L664:$W664,"&gt;"&amp;0)&lt;5,IF(AND(COUNTIF(K$1237:K1266,1)&gt;7,MOD(1+IFERROR(MATCH($C664,总览!$D$46:$D$345,1)+1,1),7)=0),$C$3,0),0)</f>
        <v>65.6366666666667</v>
      </c>
      <c r="L664" s="131" cm="1">
        <f ca="1" t="array" ref="L664">IF(L1266=1,OFFSET($W$634,$B664,L$631-1)/SUMPRODUCT(--($D$631:$V$631=L$631),--($D1266:$V1266=1)),0)+SUM(L663)+IF(COUNTIF(L$1237:L1266,1)=1,5,0)+IF(COUNTIF(M664:$W664,"&gt;"&amp;0)&lt;5,IF(AND(COUNTIF(L$1237:L1266,1)&gt;7,MOD(1+IFERROR(MATCH($C664,总览!$D$46:$D$345,1)+1,1),7)=0),$C$3,0),0)</f>
        <v>65.6366666666667</v>
      </c>
      <c r="M664" s="131" cm="1">
        <f ca="1" t="array" ref="M664">IF(M1266=1,OFFSET($W$634,$B664,M$631-1)/SUMPRODUCT(--($D$631:$V$631=M$631),--($D1266:$V1266=1)),0)+SUM(M663)+IF(COUNTIF(M$1237:M1266,1)=1,5,0)+IF(COUNTIF(N664:$W664,"&gt;"&amp;0)&lt;5,IF(AND(COUNTIF(M$1237:M1266,1)&gt;7,MOD(1+IFERROR(MATCH($C664,总览!$D$46:$D$345,1)+1,1),7)=0),$C$3,0),0)</f>
        <v>27.8455357142857</v>
      </c>
      <c r="N664" s="131" cm="1">
        <f ca="1" t="array" ref="N664">IF(N1266=1,OFFSET($W$634,$B664,N$631-1)/SUMPRODUCT(--($D$631:$V$631=N$631),--($D1266:$V1266=1)),0)+SUM(N663)+IF(COUNTIF(N$1237:N1266,1)=1,5,0)+IF(COUNTIF(O664:$W664,"&gt;"&amp;0)&lt;5,IF(AND(COUNTIF(N$1237:N1266,1)&gt;7,MOD(1+IFERROR(MATCH($C664,总览!$D$46:$D$345,1)+1,1),7)=0),$C$3,0),0)</f>
        <v>29.0955357142857</v>
      </c>
      <c r="O664" s="131" cm="1">
        <f ca="1" t="array" ref="O664">IF(O1266=1,OFFSET($W$634,$B664,O$631-1)/SUMPRODUCT(--($D$631:$V$631=O$631),--($D1266:$V1266=1)),0)+SUM(O663)+IF(COUNTIF(O$1237:O1266,1)=1,5,0)+IF(COUNTIF(P664:$W664,"&gt;"&amp;0)&lt;5,IF(AND(COUNTIF(O$1237:O1266,1)&gt;7,MOD(1+IFERROR(MATCH($C664,总览!$D$46:$D$345,1)+1,1),7)=0),$C$3,0),0)</f>
        <v>34.0955357142857</v>
      </c>
      <c r="P664" s="131" cm="1">
        <f ca="1" t="array" ref="P664">IF(P1266=1,OFFSET($W$634,$B664,P$631-1)/SUMPRODUCT(--($D$631:$V$631=P$631),--($D1266:$V1266=1)),0)+SUM(P663)+IF(COUNTIF(P$1237:P1266,1)=1,5,0)+IF(COUNTIF(Q664:$W664,"&gt;"&amp;0)&lt;5,IF(AND(COUNTIF(P$1237:P1266,1)&gt;7,MOD(1+IFERROR(MATCH($C664,总览!$D$46:$D$345,1)+1,1),7)=0),$C$3,0),0)</f>
        <v>23.2142857142857</v>
      </c>
      <c r="Q664" s="131" cm="1">
        <f ca="1" t="array" ref="Q664">IF(Q1266=1,OFFSET($W$634,$B664,Q$631-1)/SUMPRODUCT(--($D$631:$V$631=Q$631),--($D1266:$V1266=1)),0)+SUM(Q663)+IF(COUNTIF(Q$1237:Q1266,1)=1,5,0)+IF(COUNTIF(R664:$W664,"&gt;"&amp;0)&lt;5,IF(AND(COUNTIF(Q$1237:Q1266,1)&gt;7,MOD(1+IFERROR(MATCH($C664,总览!$D$46:$D$345,1)+1,1),7)=0),$C$3,0),0)</f>
        <v>31.5955357142857</v>
      </c>
      <c r="R664" s="131" cm="1">
        <f ca="1" t="array" ref="R664">IF(R1266=1,OFFSET($W$634,$B664,R$631-1)/SUMPRODUCT(--($D$631:$V$631=R$631),--($D1266:$V1266=1)),0)+SUM(R663)+IF(COUNTIF(R$1237:R1266,1)=1,5,0)+IF(COUNTIF(S664:$W664,"&gt;"&amp;0)&lt;5,IF(AND(COUNTIF(R$1237:R1266,1)&gt;7,MOD(1+IFERROR(MATCH($C664,总览!$D$46:$D$345,1)+1,1),7)=0),$C$3,0),0)</f>
        <v>13.2142857142857</v>
      </c>
      <c r="S664" s="131" cm="1">
        <f ca="1" t="array" ref="S664">IF(S1266=1,OFFSET($W$634,$B664,S$631-1)/SUMPRODUCT(--($D$631:$V$631=S$631),--($D1266:$V1266=1)),0)+SUM(S663)+IF(COUNTIF(S$1237:S1266,1)=1,5,0)+IF(COUNTIF(T664:$W664,"&gt;"&amp;0)&lt;5,IF(AND(COUNTIF(S$1237:S1266,1)&gt;7,MOD(1+IFERROR(MATCH($C664,总览!$D$46:$D$345,1)+1,1),7)=0),$C$3,0),0)</f>
        <v>10.7142857142857</v>
      </c>
      <c r="T664" s="131" cm="1">
        <f ca="1" t="array" ref="T664">IF(T1266=1,OFFSET($W$634,$B664,T$631-1)/SUMPRODUCT(--($D$631:$V$631=T$631),--($D1266:$V1266=1)),0)+SUM(T663)+IF(COUNTIF(T$1237:T1266,1)=1,5,0)+IF(COUNTIF(U664:$W664,"&gt;"&amp;0)&lt;5,IF(AND(COUNTIF(T$1237:T1266,1)&gt;7,MOD(1+IFERROR(MATCH($C664,总览!$D$46:$D$345,1)+1,1),7)=0),$C$3,0),0)</f>
        <v>0</v>
      </c>
      <c r="U664" s="131" cm="1">
        <f ca="1" t="array" ref="U664">IF(U1266=1,OFFSET($W$634,$B664,U$631-1)/SUMPRODUCT(--($D$631:$V$631=U$631),--($D1266:$V1266=1)),0)+SUM(U663)+IF(COUNTIF(U$1237:U1266,1)=1,5,0)+IF(COUNTIF(V664:$W664,"&gt;"&amp;0)&lt;5,IF(AND(COUNTIF(U$1237:U1266,1)&gt;7,MOD(1+IFERROR(MATCH($C664,总览!$D$46:$D$345,1)+1,1),7)=0),$C$3,0),0)</f>
        <v>0</v>
      </c>
      <c r="V664" s="131" cm="1">
        <f ca="1" t="array" ref="V664">IF(V1266=1,OFFSET($W$634,$B664,V$631-1)/SUMPRODUCT(--($D$631:$V$631=V$631),--($D1266:$V1266=1)),0)+SUM(V663)+IF(COUNTIF(V$1237:V1266,1)=1,5,0)+IF(COUNTIF(W664:$W664,"&gt;"&amp;0)&lt;5,IF(AND(COUNTIF(V$1237:V1266,1)&gt;7,MOD(1+IFERROR(MATCH($C664,总览!$D$46:$D$345,1)+1,1),7)=0),$C$3,0),0)</f>
        <v>0</v>
      </c>
      <c r="W664" s="135" cm="1">
        <f ca="1" t="array" ref="W664">SUMPRODUCT(TRANSPOSE($AA664:$AG664),OFFSET($L$9:$L$15,0,W$631-1))</f>
        <v>31</v>
      </c>
      <c r="X664" s="135" cm="1">
        <f ca="1" t="array" ref="X664">SUMPRODUCT(TRANSPOSE($AA664:$AG664),OFFSET($L$9:$L$15,0,X$631-1))</f>
        <v>14</v>
      </c>
      <c r="Y664" s="135" cm="1">
        <f ca="1" t="array" ref="Y664">SUMPRODUCT(TRANSPOSE($AA664:$AG664),OFFSET($L$9:$L$15,0,Y$631-1))</f>
        <v>5</v>
      </c>
      <c r="Z664" s="135" cm="1">
        <f ca="1" t="array" ref="Z664">SUMPRODUCT(TRANSPOSE($AA664:$AG664),OFFSET($L$9:$L$15,0,Z$631-1))</f>
        <v>0</v>
      </c>
      <c r="AA664" s="136">
        <f ca="1" t="shared" ref="AA664:AG664" si="299">AH664-AH663</f>
        <v>0</v>
      </c>
      <c r="AB664" s="136">
        <f ca="1" t="shared" si="299"/>
        <v>0</v>
      </c>
      <c r="AC664" s="136">
        <f ca="1" t="shared" si="299"/>
        <v>100</v>
      </c>
      <c r="AD664" s="136">
        <f ca="1" t="shared" si="299"/>
        <v>0</v>
      </c>
      <c r="AE664" s="136">
        <f ca="1" t="shared" si="299"/>
        <v>0</v>
      </c>
      <c r="AF664" s="136">
        <f ca="1" t="shared" si="299"/>
        <v>0</v>
      </c>
      <c r="AG664" s="136">
        <f ca="1" t="shared" si="299"/>
        <v>0</v>
      </c>
      <c r="AH664" s="136">
        <f ca="1" t="shared" si="241"/>
        <v>450</v>
      </c>
      <c r="AI664" s="136">
        <f ca="1" t="shared" ref="AI664:AN664" si="300">IF($C664&gt;OFFSET($Q$8,MATCH(AI$634,$AH$634:$AN$634,0),0),OFFSET($P$8,MATCH(AI$634,$AH$634:$AN$634,0),0),MAX(0,$C664-OFFSET($Q$8,RIGHT(AI$634,1)-1,0)))</f>
        <v>909</v>
      </c>
      <c r="AJ664" s="136">
        <f ca="1" t="shared" si="300"/>
        <v>1641</v>
      </c>
      <c r="AK664" s="136">
        <f ca="1" t="shared" si="300"/>
        <v>0</v>
      </c>
      <c r="AL664" s="136">
        <f ca="1" t="shared" si="300"/>
        <v>0</v>
      </c>
      <c r="AM664" s="136">
        <f ca="1" t="shared" si="300"/>
        <v>0</v>
      </c>
      <c r="AN664" s="136">
        <f ca="1" t="shared" si="300"/>
        <v>0</v>
      </c>
      <c r="AP664" s="132">
        <v>30</v>
      </c>
      <c r="AQ664" s="132">
        <v>2750</v>
      </c>
      <c r="AR664" s="132">
        <v>2750</v>
      </c>
      <c r="AS664" s="132">
        <v>2450</v>
      </c>
      <c r="AT664" s="132">
        <v>1850</v>
      </c>
    </row>
    <row r="665" s="106" customFormat="1" ht="16.5" spans="2:46">
      <c r="B665" s="117">
        <v>31</v>
      </c>
      <c r="C665" s="130">
        <f t="shared" si="239"/>
        <v>3100</v>
      </c>
      <c r="D665" s="131" cm="1">
        <f ca="1" t="array" ref="D665">IF(D1267=1,OFFSET($W$634,$B665,D$631-1)/SUMPRODUCT(--($D$631:$V$631=D$631),--($D1267:$V1267=1)),0)+SUM(D664)+IF(COUNTIF(D$1237:D1267,1)=1,5,0)+IF(COUNTIF(E665:$W665,"&gt;"&amp;0)&lt;5,IF(AND(COUNTIF(D$1237:D1267,1)&gt;7,MOD(1+IFERROR(MATCH($C665,总览!$D$46:$D$345,1)+1,1),7)=0),$C$3,0),0)</f>
        <v>352.468333333333</v>
      </c>
      <c r="E665" s="131" cm="1">
        <f ca="1" t="array" ref="E665">IF(E1267=1,OFFSET($W$634,$B665,E$631-1)/SUMPRODUCT(--($D$631:$V$631=E$631),--($D1267:$V1267=1)),0)+SUM(E664)+IF(COUNTIF(E$1237:E1267,1)=1,5,0)+IF(COUNTIF(F665:$W665,"&gt;"&amp;0)&lt;5,IF(AND(COUNTIF(E$1237:E1267,1)&gt;7,MOD(1+IFERROR(MATCH($C665,总览!$D$46:$D$345,1)+1,1),7)=0),$C$3,0),0)</f>
        <v>352.468333333333</v>
      </c>
      <c r="F665" s="131" cm="1">
        <f ca="1" t="array" ref="F665">IF(F1267=1,OFFSET($W$634,$B665,F$631-1)/SUMPRODUCT(--($D$631:$V$631=F$631),--($D1267:$V1267=1)),0)+SUM(F664)+IF(COUNTIF(F$1237:F1267,1)=1,5,0)+IF(COUNTIF(G665:$W665,"&gt;"&amp;0)&lt;5,IF(AND(COUNTIF(F$1237:F1267,1)&gt;7,MOD(1+IFERROR(MATCH($C665,总览!$D$46:$D$345,1)+1,1),7)=0),$C$3,0),0)</f>
        <v>352.468333333333</v>
      </c>
      <c r="G665" s="131" cm="1">
        <f ca="1" t="array" ref="G665">IF(G1267=1,OFFSET($W$634,$B665,G$631-1)/SUMPRODUCT(--($D$631:$V$631=G$631),--($D1267:$V1267=1)),0)+SUM(G664)+IF(COUNTIF(G$1237:G1267,1)=1,5,0)+IF(COUNTIF(H665:$W665,"&gt;"&amp;0)&lt;5,IF(AND(COUNTIF(G$1237:G1267,1)&gt;7,MOD(1+IFERROR(MATCH($C665,总览!$D$46:$D$345,1)+1,1),7)=0),$C$3,0),0)</f>
        <v>73.8033333333333</v>
      </c>
      <c r="H665" s="131" cm="1">
        <f ca="1" t="array" ref="H665">IF(H1267=1,OFFSET($W$634,$B665,H$631-1)/SUMPRODUCT(--($D$631:$V$631=H$631),--($D1267:$V1267=1)),0)+SUM(H664)+IF(COUNTIF(H$1237:H1267,1)=1,5,0)+IF(COUNTIF(I665:$W665,"&gt;"&amp;0)&lt;5,IF(AND(COUNTIF(H$1237:H1267,1)&gt;7,MOD(1+IFERROR(MATCH($C665,总览!$D$46:$D$345,1)+1,1),7)=0),$C$3,0),0)</f>
        <v>73.8033333333333</v>
      </c>
      <c r="I665" s="131" cm="1">
        <f ca="1" t="array" ref="I665">IF(I1267=1,OFFSET($W$634,$B665,I$631-1)/SUMPRODUCT(--($D$631:$V$631=I$631),--($D1267:$V1267=1)),0)+SUM(I664)+IF(COUNTIF(I$1237:I1267,1)=1,5,0)+IF(COUNTIF(J665:$W665,"&gt;"&amp;0)&lt;5,IF(AND(COUNTIF(I$1237:I1267,1)&gt;7,MOD(1+IFERROR(MATCH($C665,总览!$D$46:$D$345,1)+1,1),7)=0),$C$3,0),0)</f>
        <v>73.8033333333333</v>
      </c>
      <c r="J665" s="131" cm="1">
        <f ca="1" t="array" ref="J665">IF(J1267=1,OFFSET($W$634,$B665,J$631-1)/SUMPRODUCT(--($D$631:$V$631=J$631),--($D1267:$V1267=1)),0)+SUM(J664)+IF(COUNTIF(J$1237:J1267,1)=1,5,0)+IF(COUNTIF(K665:$W665,"&gt;"&amp;0)&lt;5,IF(AND(COUNTIF(J$1237:J1267,1)&gt;7,MOD(1+IFERROR(MATCH($C665,总览!$D$46:$D$345,1)+1,1),7)=0),$C$3,0),0)</f>
        <v>70.47</v>
      </c>
      <c r="K665" s="131" cm="1">
        <f ca="1" t="array" ref="K665">IF(K1267=1,OFFSET($W$634,$B665,K$631-1)/SUMPRODUCT(--($D$631:$V$631=K$631),--($D1267:$V1267=1)),0)+SUM(K664)+IF(COUNTIF(K$1237:K1267,1)=1,5,0)+IF(COUNTIF(L665:$W665,"&gt;"&amp;0)&lt;5,IF(AND(COUNTIF(K$1237:K1267,1)&gt;7,MOD(1+IFERROR(MATCH($C665,总览!$D$46:$D$345,1)+1,1),7)=0),$C$3,0),0)</f>
        <v>67.97</v>
      </c>
      <c r="L665" s="131" cm="1">
        <f ca="1" t="array" ref="L665">IF(L1267=1,OFFSET($W$634,$B665,L$631-1)/SUMPRODUCT(--($D$631:$V$631=L$631),--($D1267:$V1267=1)),0)+SUM(L664)+IF(COUNTIF(L$1237:L1267,1)=1,5,0)+IF(COUNTIF(M665:$W665,"&gt;"&amp;0)&lt;5,IF(AND(COUNTIF(L$1237:L1267,1)&gt;7,MOD(1+IFERROR(MATCH($C665,总览!$D$46:$D$345,1)+1,1),7)=0),$C$3,0),0)</f>
        <v>67.97</v>
      </c>
      <c r="M665" s="131" cm="1">
        <f ca="1" t="array" ref="M665">IF(M1267=1,OFFSET($W$634,$B665,M$631-1)/SUMPRODUCT(--($D$631:$V$631=M$631),--($D1267:$V1267=1)),0)+SUM(M664)+IF(COUNTIF(M$1237:M1267,1)=1,5,0)+IF(COUNTIF(N665:$W665,"&gt;"&amp;0)&lt;5,IF(AND(COUNTIF(M$1237:M1267,1)&gt;7,MOD(1+IFERROR(MATCH($C665,总览!$D$46:$D$345,1)+1,1),7)=0),$C$3,0),0)</f>
        <v>28.5598214285714</v>
      </c>
      <c r="N665" s="131" cm="1">
        <f ca="1" t="array" ref="N665">IF(N1267=1,OFFSET($W$634,$B665,N$631-1)/SUMPRODUCT(--($D$631:$V$631=N$631),--($D1267:$V1267=1)),0)+SUM(N664)+IF(COUNTIF(N$1237:N1267,1)=1,5,0)+IF(COUNTIF(O665:$W665,"&gt;"&amp;0)&lt;5,IF(AND(COUNTIF(N$1237:N1267,1)&gt;7,MOD(1+IFERROR(MATCH($C665,总览!$D$46:$D$345,1)+1,1),7)=0),$C$3,0),0)</f>
        <v>29.8098214285714</v>
      </c>
      <c r="O665" s="131" cm="1">
        <f ca="1" t="array" ref="O665">IF(O1267=1,OFFSET($W$634,$B665,O$631-1)/SUMPRODUCT(--($D$631:$V$631=O$631),--($D1267:$V1267=1)),0)+SUM(O664)+IF(COUNTIF(O$1237:O1267,1)=1,5,0)+IF(COUNTIF(P665:$W665,"&gt;"&amp;0)&lt;5,IF(AND(COUNTIF(O$1237:O1267,1)&gt;7,MOD(1+IFERROR(MATCH($C665,总览!$D$46:$D$345,1)+1,1),7)=0),$C$3,0),0)</f>
        <v>34.8098214285714</v>
      </c>
      <c r="P665" s="131" cm="1">
        <f ca="1" t="array" ref="P665">IF(P1267=1,OFFSET($W$634,$B665,P$631-1)/SUMPRODUCT(--($D$631:$V$631=P$631),--($D1267:$V1267=1)),0)+SUM(P664)+IF(COUNTIF(P$1237:P1267,1)=1,5,0)+IF(COUNTIF(Q665:$W665,"&gt;"&amp;0)&lt;5,IF(AND(COUNTIF(P$1237:P1267,1)&gt;7,MOD(1+IFERROR(MATCH($C665,总览!$D$46:$D$345,1)+1,1),7)=0),$C$3,0),0)</f>
        <v>23.9285714285714</v>
      </c>
      <c r="Q665" s="131" cm="1">
        <f ca="1" t="array" ref="Q665">IF(Q1267=1,OFFSET($W$634,$B665,Q$631-1)/SUMPRODUCT(--($D$631:$V$631=Q$631),--($D1267:$V1267=1)),0)+SUM(Q664)+IF(COUNTIF(Q$1237:Q1267,1)=1,5,0)+IF(COUNTIF(R665:$W665,"&gt;"&amp;0)&lt;5,IF(AND(COUNTIF(Q$1237:Q1267,1)&gt;7,MOD(1+IFERROR(MATCH($C665,总览!$D$46:$D$345,1)+1,1),7)=0),$C$3,0),0)</f>
        <v>32.3098214285714</v>
      </c>
      <c r="R665" s="131" cm="1">
        <f ca="1" t="array" ref="R665">IF(R1267=1,OFFSET($W$634,$B665,R$631-1)/SUMPRODUCT(--($D$631:$V$631=R$631),--($D1267:$V1267=1)),0)+SUM(R664)+IF(COUNTIF(R$1237:R1267,1)=1,5,0)+IF(COUNTIF(S665:$W665,"&gt;"&amp;0)&lt;5,IF(AND(COUNTIF(R$1237:R1267,1)&gt;7,MOD(1+IFERROR(MATCH($C665,总览!$D$46:$D$345,1)+1,1),7)=0),$C$3,0),0)</f>
        <v>13.9285714285714</v>
      </c>
      <c r="S665" s="131" cm="1">
        <f ca="1" t="array" ref="S665">IF(S1267=1,OFFSET($W$634,$B665,S$631-1)/SUMPRODUCT(--($D$631:$V$631=S$631),--($D1267:$V1267=1)),0)+SUM(S664)+IF(COUNTIF(S$1237:S1267,1)=1,5,0)+IF(COUNTIF(T665:$W665,"&gt;"&amp;0)&lt;5,IF(AND(COUNTIF(S$1237:S1267,1)&gt;7,MOD(1+IFERROR(MATCH($C665,总览!$D$46:$D$345,1)+1,1),7)=0),$C$3,0),0)</f>
        <v>11.4285714285714</v>
      </c>
      <c r="T665" s="131" cm="1">
        <f ca="1" t="array" ref="T665">IF(T1267=1,OFFSET($W$634,$B665,T$631-1)/SUMPRODUCT(--($D$631:$V$631=T$631),--($D1267:$V1267=1)),0)+SUM(T664)+IF(COUNTIF(T$1237:T1267,1)=1,5,0)+IF(COUNTIF(U665:$W665,"&gt;"&amp;0)&lt;5,IF(AND(COUNTIF(T$1237:T1267,1)&gt;7,MOD(1+IFERROR(MATCH($C665,总览!$D$46:$D$345,1)+1,1),7)=0),$C$3,0),0)</f>
        <v>0</v>
      </c>
      <c r="U665" s="131" cm="1">
        <f ca="1" t="array" ref="U665">IF(U1267=1,OFFSET($W$634,$B665,U$631-1)/SUMPRODUCT(--($D$631:$V$631=U$631),--($D1267:$V1267=1)),0)+SUM(U664)+IF(COUNTIF(U$1237:U1267,1)=1,5,0)+IF(COUNTIF(V665:$W665,"&gt;"&amp;0)&lt;5,IF(AND(COUNTIF(U$1237:U1267,1)&gt;7,MOD(1+IFERROR(MATCH($C665,总览!$D$46:$D$345,1)+1,1),7)=0),$C$3,0),0)</f>
        <v>0</v>
      </c>
      <c r="V665" s="131" cm="1">
        <f ca="1" t="array" ref="V665">IF(V1267=1,OFFSET($W$634,$B665,V$631-1)/SUMPRODUCT(--($D$631:$V$631=V$631),--($D1267:$V1267=1)),0)+SUM(V664)+IF(COUNTIF(V$1237:V1267,1)=1,5,0)+IF(COUNTIF(W665:$W665,"&gt;"&amp;0)&lt;5,IF(AND(COUNTIF(V$1237:V1267,1)&gt;7,MOD(1+IFERROR(MATCH($C665,总览!$D$46:$D$345,1)+1,1),7)=0),$C$3,0),0)</f>
        <v>0</v>
      </c>
      <c r="W665" s="135" cm="1">
        <f ca="1" t="array" ref="W665">SUMPRODUCT(TRANSPOSE($AA665:$AG665),OFFSET($L$9:$L$15,0,W$631-1))</f>
        <v>31</v>
      </c>
      <c r="X665" s="135" cm="1">
        <f ca="1" t="array" ref="X665">SUMPRODUCT(TRANSPOSE($AA665:$AG665),OFFSET($L$9:$L$15,0,X$631-1))</f>
        <v>14</v>
      </c>
      <c r="Y665" s="135" cm="1">
        <f ca="1" t="array" ref="Y665">SUMPRODUCT(TRANSPOSE($AA665:$AG665),OFFSET($L$9:$L$15,0,Y$631-1))</f>
        <v>5</v>
      </c>
      <c r="Z665" s="135" cm="1">
        <f ca="1" t="array" ref="Z665">SUMPRODUCT(TRANSPOSE($AA665:$AG665),OFFSET($L$9:$L$15,0,Z$631-1))</f>
        <v>0</v>
      </c>
      <c r="AA665" s="136">
        <f ca="1" t="shared" ref="AA665:AG665" si="301">AH665-AH664</f>
        <v>0</v>
      </c>
      <c r="AB665" s="136">
        <f ca="1" t="shared" si="301"/>
        <v>0</v>
      </c>
      <c r="AC665" s="136">
        <f ca="1" t="shared" si="301"/>
        <v>100</v>
      </c>
      <c r="AD665" s="136">
        <f ca="1" t="shared" si="301"/>
        <v>0</v>
      </c>
      <c r="AE665" s="136">
        <f ca="1" t="shared" si="301"/>
        <v>0</v>
      </c>
      <c r="AF665" s="136">
        <f ca="1" t="shared" si="301"/>
        <v>0</v>
      </c>
      <c r="AG665" s="136">
        <f ca="1" t="shared" si="301"/>
        <v>0</v>
      </c>
      <c r="AH665" s="136">
        <f ca="1" t="shared" si="241"/>
        <v>450</v>
      </c>
      <c r="AI665" s="136">
        <f ca="1" t="shared" ref="AI665:AN665" si="302">IF($C665&gt;OFFSET($Q$8,MATCH(AI$634,$AH$634:$AN$634,0),0),OFFSET($P$8,MATCH(AI$634,$AH$634:$AN$634,0),0),MAX(0,$C665-OFFSET($Q$8,RIGHT(AI$634,1)-1,0)))</f>
        <v>909</v>
      </c>
      <c r="AJ665" s="136">
        <f ca="1" t="shared" si="302"/>
        <v>1741</v>
      </c>
      <c r="AK665" s="136">
        <f ca="1" t="shared" si="302"/>
        <v>0</v>
      </c>
      <c r="AL665" s="136">
        <f ca="1" t="shared" si="302"/>
        <v>0</v>
      </c>
      <c r="AM665" s="136">
        <f ca="1" t="shared" si="302"/>
        <v>0</v>
      </c>
      <c r="AN665" s="136">
        <f ca="1" t="shared" si="302"/>
        <v>0</v>
      </c>
      <c r="AP665" s="132">
        <v>31</v>
      </c>
      <c r="AQ665" s="132">
        <v>3230</v>
      </c>
      <c r="AR665" s="132">
        <v>3230</v>
      </c>
      <c r="AS665" s="132">
        <v>2690</v>
      </c>
      <c r="AT665" s="132">
        <v>2000</v>
      </c>
    </row>
    <row r="666" s="106" customFormat="1" ht="16.5" spans="2:46">
      <c r="B666" s="117">
        <v>32</v>
      </c>
      <c r="C666" s="130">
        <f t="shared" si="239"/>
        <v>3200</v>
      </c>
      <c r="D666" s="131" cm="1">
        <f ca="1" t="array" ref="D666">IF(D1268=1,OFFSET($W$634,$B666,D$631-1)/SUMPRODUCT(--($D$631:$V$631=D$631),--($D1268:$V1268=1)),0)+SUM(D665)+IF(COUNTIF(D$1237:D1268,1)=1,5,0)+IF(COUNTIF(E666:$W666,"&gt;"&amp;0)&lt;5,IF(AND(COUNTIF(D$1237:D1268,1)&gt;7,MOD(1+IFERROR(MATCH($C666,总览!$D$46:$D$345,1)+1,1),7)=0),$C$3,0),0)</f>
        <v>362.450735156027</v>
      </c>
      <c r="E666" s="131" cm="1">
        <f ca="1" t="array" ref="E666">IF(E1268=1,OFFSET($W$634,$B666,E$631-1)/SUMPRODUCT(--($D$631:$V$631=E$631),--($D1268:$V1268=1)),0)+SUM(E665)+IF(COUNTIF(E$1237:E1268,1)=1,5,0)+IF(COUNTIF(F666:$W666,"&gt;"&amp;0)&lt;5,IF(AND(COUNTIF(E$1237:E1268,1)&gt;7,MOD(1+IFERROR(MATCH($C666,总览!$D$46:$D$345,1)+1,1),7)=0),$C$3,0),0)</f>
        <v>362.450735156027</v>
      </c>
      <c r="F666" s="131" cm="1">
        <f ca="1" t="array" ref="F666">IF(F1268=1,OFFSET($W$634,$B666,F$631-1)/SUMPRODUCT(--($D$631:$V$631=F$631),--($D1268:$V1268=1)),0)+SUM(F665)+IF(COUNTIF(F$1237:F1268,1)=1,5,0)+IF(COUNTIF(G666:$W666,"&gt;"&amp;0)&lt;5,IF(AND(COUNTIF(F$1237:F1268,1)&gt;7,MOD(1+IFERROR(MATCH($C666,总览!$D$46:$D$345,1)+1,1),7)=0),$C$3,0),0)</f>
        <v>362.450735156027</v>
      </c>
      <c r="G666" s="131" cm="1">
        <f ca="1" t="array" ref="G666">IF(G1268=1,OFFSET($W$634,$B666,G$631-1)/SUMPRODUCT(--($D$631:$V$631=G$631),--($D1268:$V1268=1)),0)+SUM(G665)+IF(COUNTIF(G$1237:G1268,1)=1,5,0)+IF(COUNTIF(H666:$W666,"&gt;"&amp;0)&lt;5,IF(AND(COUNTIF(G$1237:G1268,1)&gt;7,MOD(1+IFERROR(MATCH($C666,总览!$D$46:$D$345,1)+1,1),7)=0),$C$3,0),0)</f>
        <v>76.2133333333333</v>
      </c>
      <c r="H666" s="131" cm="1">
        <f ca="1" t="array" ref="H666">IF(H1268=1,OFFSET($W$634,$B666,H$631-1)/SUMPRODUCT(--($D$631:$V$631=H$631),--($D1268:$V1268=1)),0)+SUM(H665)+IF(COUNTIF(H$1237:H1268,1)=1,5,0)+IF(COUNTIF(I666:$W666,"&gt;"&amp;0)&lt;5,IF(AND(COUNTIF(H$1237:H1268,1)&gt;7,MOD(1+IFERROR(MATCH($C666,总览!$D$46:$D$345,1)+1,1),7)=0),$C$3,0),0)</f>
        <v>76.2133333333333</v>
      </c>
      <c r="I666" s="131" cm="1">
        <f ca="1" t="array" ref="I666">IF(I1268=1,OFFSET($W$634,$B666,I$631-1)/SUMPRODUCT(--($D$631:$V$631=I$631),--($D1268:$V1268=1)),0)+SUM(I665)+IF(COUNTIF(I$1237:I1268,1)=1,5,0)+IF(COUNTIF(J666:$W666,"&gt;"&amp;0)&lt;5,IF(AND(COUNTIF(I$1237:I1268,1)&gt;7,MOD(1+IFERROR(MATCH($C666,总览!$D$46:$D$345,1)+1,1),7)=0),$C$3,0),0)</f>
        <v>76.2133333333333</v>
      </c>
      <c r="J666" s="131" cm="1">
        <f ca="1" t="array" ref="J666">IF(J1268=1,OFFSET($W$634,$B666,J$631-1)/SUMPRODUCT(--($D$631:$V$631=J$631),--($D1268:$V1268=1)),0)+SUM(J665)+IF(COUNTIF(J$1237:J1268,1)=1,5,0)+IF(COUNTIF(K666:$W666,"&gt;"&amp;0)&lt;5,IF(AND(COUNTIF(J$1237:J1268,1)&gt;7,MOD(1+IFERROR(MATCH($C666,总览!$D$46:$D$345,1)+1,1),7)=0),$C$3,0),0)</f>
        <v>72.88</v>
      </c>
      <c r="K666" s="131" cm="1">
        <f ca="1" t="array" ref="K666">IF(K1268=1,OFFSET($W$634,$B666,K$631-1)/SUMPRODUCT(--($D$631:$V$631=K$631),--($D1268:$V1268=1)),0)+SUM(K665)+IF(COUNTIF(K$1237:K1268,1)=1,5,0)+IF(COUNTIF(L666:$W666,"&gt;"&amp;0)&lt;5,IF(AND(COUNTIF(K$1237:K1268,1)&gt;7,MOD(1+IFERROR(MATCH($C666,总览!$D$46:$D$345,1)+1,1),7)=0),$C$3,0),0)</f>
        <v>70.38</v>
      </c>
      <c r="L666" s="131" cm="1">
        <f ca="1" t="array" ref="L666">IF(L1268=1,OFFSET($W$634,$B666,L$631-1)/SUMPRODUCT(--($D$631:$V$631=L$631),--($D1268:$V1268=1)),0)+SUM(L665)+IF(COUNTIF(L$1237:L1268,1)=1,5,0)+IF(COUNTIF(M666:$W666,"&gt;"&amp;0)&lt;5,IF(AND(COUNTIF(L$1237:L1268,1)&gt;7,MOD(1+IFERROR(MATCH($C666,总览!$D$46:$D$345,1)+1,1),7)=0),$C$3,0),0)</f>
        <v>70.38</v>
      </c>
      <c r="M666" s="131" cm="1">
        <f ca="1" t="array" ref="M666">IF(M1268=1,OFFSET($W$634,$B666,M$631-1)/SUMPRODUCT(--($D$631:$V$631=M$631),--($D1268:$V1268=1)),0)+SUM(M665)+IF(COUNTIF(M$1237:M1268,1)=1,5,0)+IF(COUNTIF(N666:$W666,"&gt;"&amp;0)&lt;5,IF(AND(COUNTIF(M$1237:M1268,1)&gt;7,MOD(1+IFERROR(MATCH($C666,总览!$D$46:$D$345,1)+1,1),7)=0),$C$3,0),0)</f>
        <v>29.3069642857143</v>
      </c>
      <c r="N666" s="131" cm="1">
        <f ca="1" t="array" ref="N666">IF(N1268=1,OFFSET($W$634,$B666,N$631-1)/SUMPRODUCT(--($D$631:$V$631=N$631),--($D1268:$V1268=1)),0)+SUM(N665)+IF(COUNTIF(N$1237:N1268,1)=1,5,0)+IF(COUNTIF(O666:$W666,"&gt;"&amp;0)&lt;5,IF(AND(COUNTIF(N$1237:N1268,1)&gt;7,MOD(1+IFERROR(MATCH($C666,总览!$D$46:$D$345,1)+1,1),7)=0),$C$3,0),0)</f>
        <v>30.5569642857143</v>
      </c>
      <c r="O666" s="131" cm="1">
        <f ca="1" t="array" ref="O666">IF(O1268=1,OFFSET($W$634,$B666,O$631-1)/SUMPRODUCT(--($D$631:$V$631=O$631),--($D1268:$V1268=1)),0)+SUM(O665)+IF(COUNTIF(O$1237:O1268,1)=1,5,0)+IF(COUNTIF(P666:$W666,"&gt;"&amp;0)&lt;5,IF(AND(COUNTIF(O$1237:O1268,1)&gt;7,MOD(1+IFERROR(MATCH($C666,总览!$D$46:$D$345,1)+1,1),7)=0),$C$3,0),0)</f>
        <v>35.5569642857143</v>
      </c>
      <c r="P666" s="131" cm="1">
        <f ca="1" t="array" ref="P666">IF(P1268=1,OFFSET($W$634,$B666,P$631-1)/SUMPRODUCT(--($D$631:$V$631=P$631),--($D1268:$V1268=1)),0)+SUM(P665)+IF(COUNTIF(P$1237:P1268,1)=1,5,0)+IF(COUNTIF(Q666:$W666,"&gt;"&amp;0)&lt;5,IF(AND(COUNTIF(P$1237:P1268,1)&gt;7,MOD(1+IFERROR(MATCH($C666,总览!$D$46:$D$345,1)+1,1),7)=0),$C$3,0),0)</f>
        <v>24.6757142857143</v>
      </c>
      <c r="Q666" s="131" cm="1">
        <f ca="1" t="array" ref="Q666">IF(Q1268=1,OFFSET($W$634,$B666,Q$631-1)/SUMPRODUCT(--($D$631:$V$631=Q$631),--($D1268:$V1268=1)),0)+SUM(Q665)+IF(COUNTIF(Q$1237:Q1268,1)=1,5,0)+IF(COUNTIF(R666:$W666,"&gt;"&amp;0)&lt;5,IF(AND(COUNTIF(Q$1237:Q1268,1)&gt;7,MOD(1+IFERROR(MATCH($C666,总览!$D$46:$D$345,1)+1,1),7)=0),$C$3,0),0)</f>
        <v>33.0569642857143</v>
      </c>
      <c r="R666" s="131" cm="1">
        <f ca="1" t="array" ref="R666">IF(R1268=1,OFFSET($W$634,$B666,R$631-1)/SUMPRODUCT(--($D$631:$V$631=R$631),--($D1268:$V1268=1)),0)+SUM(R665)+IF(COUNTIF(R$1237:R1268,1)=1,5,0)+IF(COUNTIF(S666:$W666,"&gt;"&amp;0)&lt;5,IF(AND(COUNTIF(R$1237:R1268,1)&gt;7,MOD(1+IFERROR(MATCH($C666,总览!$D$46:$D$345,1)+1,1),7)=0),$C$3,0),0)</f>
        <v>14.6757142857143</v>
      </c>
      <c r="S666" s="131" cm="1">
        <f ca="1" t="array" ref="S666">IF(S1268=1,OFFSET($W$634,$B666,S$631-1)/SUMPRODUCT(--($D$631:$V$631=S$631),--($D1268:$V1268=1)),0)+SUM(S665)+IF(COUNTIF(S$1237:S1268,1)=1,5,0)+IF(COUNTIF(T666:$W666,"&gt;"&amp;0)&lt;5,IF(AND(COUNTIF(S$1237:S1268,1)&gt;7,MOD(1+IFERROR(MATCH($C666,总览!$D$46:$D$345,1)+1,1),7)=0),$C$3,0),0)</f>
        <v>12.1757142857143</v>
      </c>
      <c r="T666" s="131" cm="1">
        <f ca="1" t="array" ref="T666">IF(T1268=1,OFFSET($W$634,$B666,T$631-1)/SUMPRODUCT(--($D$631:$V$631=T$631),--($D1268:$V1268=1)),0)+SUM(T665)+IF(COUNTIF(T$1237:T1268,1)=1,5,0)+IF(COUNTIF(U666:$W666,"&gt;"&amp;0)&lt;5,IF(AND(COUNTIF(T$1237:T1268,1)&gt;7,MOD(1+IFERROR(MATCH($C666,总览!$D$46:$D$345,1)+1,1),7)=0),$C$3,0),0)</f>
        <v>0</v>
      </c>
      <c r="U666" s="131" cm="1">
        <f ca="1" t="array" ref="U666">IF(U1268=1,OFFSET($W$634,$B666,U$631-1)/SUMPRODUCT(--($D$631:$V$631=U$631),--($D1268:$V1268=1)),0)+SUM(U665)+IF(COUNTIF(U$1237:U1268,1)=1,5,0)+IF(COUNTIF(V666:$W666,"&gt;"&amp;0)&lt;5,IF(AND(COUNTIF(U$1237:U1268,1)&gt;7,MOD(1+IFERROR(MATCH($C666,总览!$D$46:$D$345,1)+1,1),7)=0),$C$3,0),0)</f>
        <v>0</v>
      </c>
      <c r="V666" s="131" cm="1">
        <f ca="1" t="array" ref="V666">IF(V1268=1,OFFSET($W$634,$B666,V$631-1)/SUMPRODUCT(--($D$631:$V$631=V$631),--($D1268:$V1268=1)),0)+SUM(V665)+IF(COUNTIF(V$1237:V1268,1)=1,5,0)+IF(COUNTIF(W666:$W666,"&gt;"&amp;0)&lt;5,IF(AND(COUNTIF(V$1237:V1268,1)&gt;7,MOD(1+IFERROR(MATCH($C666,总览!$D$46:$D$345,1)+1,1),7)=0),$C$3,0),0)</f>
        <v>5.36279453191969</v>
      </c>
      <c r="W666" s="135" cm="1">
        <f ca="1" t="array" ref="W666">SUMPRODUCT(TRANSPOSE($AA666:$AG666),OFFSET($L$9:$L$15,0,W$631-1))</f>
        <v>29.9472054680803</v>
      </c>
      <c r="X666" s="135" cm="1">
        <f ca="1" t="array" ref="X666">SUMPRODUCT(TRANSPOSE($AA666:$AG666),OFFSET($L$9:$L$15,0,X$631-1))</f>
        <v>14.46</v>
      </c>
      <c r="Y666" s="135" cm="1">
        <f ca="1" t="array" ref="Y666">SUMPRODUCT(TRANSPOSE($AA666:$AG666),OFFSET($L$9:$L$15,0,Y$631-1))</f>
        <v>5.23</v>
      </c>
      <c r="Z666" s="135" cm="1">
        <f ca="1" t="array" ref="Z666">SUMPRODUCT(TRANSPOSE($AA666:$AG666),OFFSET($L$9:$L$15,0,Z$631-1))</f>
        <v>0.36279453191969</v>
      </c>
      <c r="AA666" s="136">
        <f ca="1" t="shared" ref="AA666:AG666" si="303">AH666-AH665</f>
        <v>0</v>
      </c>
      <c r="AB666" s="136">
        <f ca="1" t="shared" si="303"/>
        <v>0</v>
      </c>
      <c r="AC666" s="136">
        <f ca="1" t="shared" si="303"/>
        <v>77</v>
      </c>
      <c r="AD666" s="136">
        <f ca="1" t="shared" si="303"/>
        <v>23</v>
      </c>
      <c r="AE666" s="136">
        <f ca="1" t="shared" si="303"/>
        <v>0</v>
      </c>
      <c r="AF666" s="136">
        <f ca="1" t="shared" si="303"/>
        <v>0</v>
      </c>
      <c r="AG666" s="136">
        <f ca="1" t="shared" si="303"/>
        <v>0</v>
      </c>
      <c r="AH666" s="136">
        <f ca="1" t="shared" si="241"/>
        <v>450</v>
      </c>
      <c r="AI666" s="136">
        <f ca="1" t="shared" ref="AI666:AN666" si="304">IF($C666&gt;OFFSET($Q$8,MATCH(AI$634,$AH$634:$AN$634,0),0),OFFSET($P$8,MATCH(AI$634,$AH$634:$AN$634,0),0),MAX(0,$C666-OFFSET($Q$8,RIGHT(AI$634,1)-1,0)))</f>
        <v>909</v>
      </c>
      <c r="AJ666" s="136">
        <f ca="1" t="shared" si="304"/>
        <v>1818</v>
      </c>
      <c r="AK666" s="136">
        <f ca="1" t="shared" si="304"/>
        <v>23</v>
      </c>
      <c r="AL666" s="136">
        <f ca="1" t="shared" si="304"/>
        <v>0</v>
      </c>
      <c r="AM666" s="136">
        <f ca="1" t="shared" si="304"/>
        <v>0</v>
      </c>
      <c r="AN666" s="136">
        <f ca="1" t="shared" si="304"/>
        <v>0</v>
      </c>
      <c r="AP666" s="132">
        <v>32</v>
      </c>
      <c r="AQ666" s="132">
        <v>3710</v>
      </c>
      <c r="AR666" s="132">
        <v>3710</v>
      </c>
      <c r="AS666" s="132">
        <v>2930</v>
      </c>
      <c r="AT666" s="132">
        <v>2150</v>
      </c>
    </row>
    <row r="667" s="106" customFormat="1" ht="16.5" spans="2:46">
      <c r="B667" s="117">
        <v>33</v>
      </c>
      <c r="C667" s="130">
        <f t="shared" si="239"/>
        <v>3300</v>
      </c>
      <c r="D667" s="131" cm="1">
        <f ca="1" t="array" ref="D667">IF(D1269=1,OFFSET($W$634,$B667,D$631-1)/SUMPRODUCT(--($D$631:$V$631=D$631),--($D1269:$V1269=1)),0)+SUM(D666)+IF(COUNTIF(D$1237:D1269,1)=1,5,0)+IF(COUNTIF(E667:$W667,"&gt;"&amp;0)&lt;5,IF(AND(COUNTIF(D$1237:D1269,1)&gt;7,MOD(1+IFERROR(MATCH($C667,总览!$D$46:$D$345,1)+1,1),7)=0),$C$3,0),0)</f>
        <v>371.258279312665</v>
      </c>
      <c r="E667" s="131" cm="1">
        <f ca="1" t="array" ref="E667">IF(E1269=1,OFFSET($W$634,$B667,E$631-1)/SUMPRODUCT(--($D$631:$V$631=E$631),--($D1269:$V1269=1)),0)+SUM(E666)+IF(COUNTIF(E$1237:E1269,1)=1,5,0)+IF(COUNTIF(F667:$W667,"&gt;"&amp;0)&lt;5,IF(AND(COUNTIF(E$1237:E1269,1)&gt;7,MOD(1+IFERROR(MATCH($C667,总览!$D$46:$D$345,1)+1,1),7)=0),$C$3,0),0)</f>
        <v>371.258279312665</v>
      </c>
      <c r="F667" s="131" cm="1">
        <f ca="1" t="array" ref="F667">IF(F1269=1,OFFSET($W$634,$B667,F$631-1)/SUMPRODUCT(--($D$631:$V$631=F$631),--($D1269:$V1269=1)),0)+SUM(F666)+IF(COUNTIF(F$1237:F1269,1)=1,5,0)+IF(COUNTIF(G667:$W667,"&gt;"&amp;0)&lt;5,IF(AND(COUNTIF(F$1237:F1269,1)&gt;7,MOD(1+IFERROR(MATCH($C667,总览!$D$46:$D$345,1)+1,1),7)=0),$C$3,0),0)</f>
        <v>371.258279312665</v>
      </c>
      <c r="G667" s="131" cm="1">
        <f ca="1" t="array" ref="G667">IF(G1269=1,OFFSET($W$634,$B667,G$631-1)/SUMPRODUCT(--($D$631:$V$631=G$631),--($D1269:$V1269=1)),0)+SUM(G666)+IF(COUNTIF(G$1237:G1269,1)=1,5,0)+IF(COUNTIF(H667:$W667,"&gt;"&amp;0)&lt;5,IF(AND(COUNTIF(G$1237:G1269,1)&gt;7,MOD(1+IFERROR(MATCH($C667,总览!$D$46:$D$345,1)+1,1),7)=0),$C$3,0),0)</f>
        <v>78.88</v>
      </c>
      <c r="H667" s="131" cm="1">
        <f ca="1" t="array" ref="H667">IF(H1269=1,OFFSET($W$634,$B667,H$631-1)/SUMPRODUCT(--($D$631:$V$631=H$631),--($D1269:$V1269=1)),0)+SUM(H666)+IF(COUNTIF(H$1237:H1269,1)=1,5,0)+IF(COUNTIF(I667:$W667,"&gt;"&amp;0)&lt;5,IF(AND(COUNTIF(H$1237:H1269,1)&gt;7,MOD(1+IFERROR(MATCH($C667,总览!$D$46:$D$345,1)+1,1),7)=0),$C$3,0),0)</f>
        <v>78.88</v>
      </c>
      <c r="I667" s="131" cm="1">
        <f ca="1" t="array" ref="I667">IF(I1269=1,OFFSET($W$634,$B667,I$631-1)/SUMPRODUCT(--($D$631:$V$631=I$631),--($D1269:$V1269=1)),0)+SUM(I666)+IF(COUNTIF(I$1237:I1269,1)=1,5,0)+IF(COUNTIF(J667:$W667,"&gt;"&amp;0)&lt;5,IF(AND(COUNTIF(I$1237:I1269,1)&gt;7,MOD(1+IFERROR(MATCH($C667,总览!$D$46:$D$345,1)+1,1),7)=0),$C$3,0),0)</f>
        <v>78.88</v>
      </c>
      <c r="J667" s="131" cm="1">
        <f ca="1" t="array" ref="J667">IF(J1269=1,OFFSET($W$634,$B667,J$631-1)/SUMPRODUCT(--($D$631:$V$631=J$631),--($D1269:$V1269=1)),0)+SUM(J666)+IF(COUNTIF(J$1237:J1269,1)=1,5,0)+IF(COUNTIF(K667:$W667,"&gt;"&amp;0)&lt;5,IF(AND(COUNTIF(J$1237:J1269,1)&gt;7,MOD(1+IFERROR(MATCH($C667,总览!$D$46:$D$345,1)+1,1),7)=0),$C$3,0),0)</f>
        <v>75.5466666666667</v>
      </c>
      <c r="K667" s="131" cm="1">
        <f ca="1" t="array" ref="K667">IF(K1269=1,OFFSET($W$634,$B667,K$631-1)/SUMPRODUCT(--($D$631:$V$631=K$631),--($D1269:$V1269=1)),0)+SUM(K666)+IF(COUNTIF(K$1237:K1269,1)=1,5,0)+IF(COUNTIF(L667:$W667,"&gt;"&amp;0)&lt;5,IF(AND(COUNTIF(K$1237:K1269,1)&gt;7,MOD(1+IFERROR(MATCH($C667,总览!$D$46:$D$345,1)+1,1),7)=0),$C$3,0),0)</f>
        <v>73.0466666666667</v>
      </c>
      <c r="L667" s="131" cm="1">
        <f ca="1" t="array" ref="L667">IF(L1269=1,OFFSET($W$634,$B667,L$631-1)/SUMPRODUCT(--($D$631:$V$631=L$631),--($D1269:$V1269=1)),0)+SUM(L666)+IF(COUNTIF(L$1237:L1269,1)=1,5,0)+IF(COUNTIF(M667:$W667,"&gt;"&amp;0)&lt;5,IF(AND(COUNTIF(L$1237:L1269,1)&gt;7,MOD(1+IFERROR(MATCH($C667,总览!$D$46:$D$345,1)+1,1),7)=0),$C$3,0),0)</f>
        <v>73.0466666666667</v>
      </c>
      <c r="M667" s="131" cm="1">
        <f ca="1" t="array" ref="M667">IF(M1269=1,OFFSET($W$634,$B667,M$631-1)/SUMPRODUCT(--($D$631:$V$631=M$631),--($D1269:$V1269=1)),0)+SUM(M666)+IF(COUNTIF(M$1237:M1269,1)=1,5,0)+IF(COUNTIF(N667:$W667,"&gt;"&amp;0)&lt;5,IF(AND(COUNTIF(M$1237:M1269,1)&gt;7,MOD(1+IFERROR(MATCH($C667,总览!$D$46:$D$345,1)+1,1),7)=0),$C$3,0),0)</f>
        <v>30.1641071428572</v>
      </c>
      <c r="N667" s="131" cm="1">
        <f ca="1" t="array" ref="N667">IF(N1269=1,OFFSET($W$634,$B667,N$631-1)/SUMPRODUCT(--($D$631:$V$631=N$631),--($D1269:$V1269=1)),0)+SUM(N666)+IF(COUNTIF(N$1237:N1269,1)=1,5,0)+IF(COUNTIF(O667:$W667,"&gt;"&amp;0)&lt;5,IF(AND(COUNTIF(N$1237:N1269,1)&gt;7,MOD(1+IFERROR(MATCH($C667,总览!$D$46:$D$345,1)+1,1),7)=0),$C$3,0),0)</f>
        <v>31.4141071428572</v>
      </c>
      <c r="O667" s="131" cm="1">
        <f ca="1" t="array" ref="O667">IF(O1269=1,OFFSET($W$634,$B667,O$631-1)/SUMPRODUCT(--($D$631:$V$631=O$631),--($D1269:$V1269=1)),0)+SUM(O666)+IF(COUNTIF(O$1237:O1269,1)=1,5,0)+IF(COUNTIF(P667:$W667,"&gt;"&amp;0)&lt;5,IF(AND(COUNTIF(O$1237:O1269,1)&gt;7,MOD(1+IFERROR(MATCH($C667,总览!$D$46:$D$345,1)+1,1),7)=0),$C$3,0),0)</f>
        <v>36.4141071428571</v>
      </c>
      <c r="P667" s="131" cm="1">
        <f ca="1" t="array" ref="P667">IF(P1269=1,OFFSET($W$634,$B667,P$631-1)/SUMPRODUCT(--($D$631:$V$631=P$631),--($D1269:$V1269=1)),0)+SUM(P666)+IF(COUNTIF(P$1237:P1269,1)=1,5,0)+IF(COUNTIF(Q667:$W667,"&gt;"&amp;0)&lt;5,IF(AND(COUNTIF(P$1237:P1269,1)&gt;7,MOD(1+IFERROR(MATCH($C667,总览!$D$46:$D$345,1)+1,1),7)=0),$C$3,0),0)</f>
        <v>25.5328571428572</v>
      </c>
      <c r="Q667" s="131" cm="1">
        <f ca="1" t="array" ref="Q667">IF(Q1269=1,OFFSET($W$634,$B667,Q$631-1)/SUMPRODUCT(--($D$631:$V$631=Q$631),--($D1269:$V1269=1)),0)+SUM(Q666)+IF(COUNTIF(Q$1237:Q1269,1)=1,5,0)+IF(COUNTIF(R667:$W667,"&gt;"&amp;0)&lt;5,IF(AND(COUNTIF(Q$1237:Q1269,1)&gt;7,MOD(1+IFERROR(MATCH($C667,总览!$D$46:$D$345,1)+1,1),7)=0),$C$3,0),0)</f>
        <v>33.9141071428571</v>
      </c>
      <c r="R667" s="131" cm="1">
        <f ca="1" t="array" ref="R667">IF(R1269=1,OFFSET($W$634,$B667,R$631-1)/SUMPRODUCT(--($D$631:$V$631=R$631),--($D1269:$V1269=1)),0)+SUM(R666)+IF(COUNTIF(R$1237:R1269,1)=1,5,0)+IF(COUNTIF(S667:$W667,"&gt;"&amp;0)&lt;5,IF(AND(COUNTIF(R$1237:R1269,1)&gt;7,MOD(1+IFERROR(MATCH($C667,总览!$D$46:$D$345,1)+1,1),7)=0),$C$3,0),0)</f>
        <v>15.5328571428571</v>
      </c>
      <c r="S667" s="131" cm="1">
        <f ca="1" t="array" ref="S667">IF(S1269=1,OFFSET($W$634,$B667,S$631-1)/SUMPRODUCT(--($D$631:$V$631=S$631),--($D1269:$V1269=1)),0)+SUM(S666)+IF(COUNTIF(S$1237:S1269,1)=1,5,0)+IF(COUNTIF(T667:$W667,"&gt;"&amp;0)&lt;5,IF(AND(COUNTIF(S$1237:S1269,1)&gt;7,MOD(1+IFERROR(MATCH($C667,总览!$D$46:$D$345,1)+1,1),7)=0),$C$3,0),0)</f>
        <v>13.0328571428571</v>
      </c>
      <c r="T667" s="131" cm="1">
        <f ca="1" t="array" ref="T667">IF(T1269=1,OFFSET($W$634,$B667,T$631-1)/SUMPRODUCT(--($D$631:$V$631=T$631),--($D1269:$V1269=1)),0)+SUM(T666)+IF(COUNTIF(T$1237:T1269,1)=1,5,0)+IF(COUNTIF(U667:$W667,"&gt;"&amp;0)&lt;5,IF(AND(COUNTIF(T$1237:T1269,1)&gt;7,MOD(1+IFERROR(MATCH($C667,总览!$D$46:$D$345,1)+1,1),7)=0),$C$3,0),0)</f>
        <v>0</v>
      </c>
      <c r="U667" s="131" cm="1">
        <f ca="1" t="array" ref="U667">IF(U1269=1,OFFSET($W$634,$B667,U$631-1)/SUMPRODUCT(--($D$631:$V$631=U$631),--($D1269:$V1269=1)),0)+SUM(U666)+IF(COUNTIF(U$1237:U1269,1)=1,5,0)+IF(COUNTIF(V667:$W667,"&gt;"&amp;0)&lt;5,IF(AND(COUNTIF(U$1237:U1269,1)&gt;7,MOD(1+IFERROR(MATCH($C667,总览!$D$46:$D$345,1)+1,1),7)=0),$C$3,0),0)</f>
        <v>0</v>
      </c>
      <c r="V667" s="131" cm="1">
        <f ca="1" t="array" ref="V667">IF(V1269=1,OFFSET($W$634,$B667,V$631-1)/SUMPRODUCT(--($D$631:$V$631=V$631),--($D1269:$V1269=1)),0)+SUM(V666)+IF(COUNTIF(V$1237:V1269,1)=1,5,0)+IF(COUNTIF(W667:$W667,"&gt;"&amp;0)&lt;5,IF(AND(COUNTIF(V$1237:V1269,1)&gt;7,MOD(1+IFERROR(MATCH($C667,总览!$D$46:$D$345,1)+1,1),7)=0),$C$3,0),0)</f>
        <v>6.9401620620053</v>
      </c>
      <c r="W667" s="135" cm="1">
        <f ca="1" t="array" ref="W667">SUMPRODUCT(TRANSPOSE($AA667:$AG667),OFFSET($L$9:$L$15,0,W$631-1))</f>
        <v>26.4226324699144</v>
      </c>
      <c r="X667" s="135" cm="1">
        <f ca="1" t="array" ref="X667">SUMPRODUCT(TRANSPOSE($AA667:$AG667),OFFSET($L$9:$L$15,0,X$631-1))</f>
        <v>16</v>
      </c>
      <c r="Y667" s="135" cm="1">
        <f ca="1" t="array" ref="Y667">SUMPRODUCT(TRANSPOSE($AA667:$AG667),OFFSET($L$9:$L$15,0,Y$631-1))</f>
        <v>6</v>
      </c>
      <c r="Z667" s="135" cm="1">
        <f ca="1" t="array" ref="Z667">SUMPRODUCT(TRANSPOSE($AA667:$AG667),OFFSET($L$9:$L$15,0,Z$631-1))</f>
        <v>1.57736753008561</v>
      </c>
      <c r="AA667" s="136">
        <f ca="1" t="shared" ref="AA667:AG667" si="305">AH667-AH666</f>
        <v>0</v>
      </c>
      <c r="AB667" s="136">
        <f ca="1" t="shared" si="305"/>
        <v>0</v>
      </c>
      <c r="AC667" s="136">
        <f ca="1" t="shared" si="305"/>
        <v>0</v>
      </c>
      <c r="AD667" s="136">
        <f ca="1" t="shared" si="305"/>
        <v>100</v>
      </c>
      <c r="AE667" s="136">
        <f ca="1" t="shared" si="305"/>
        <v>0</v>
      </c>
      <c r="AF667" s="136">
        <f ca="1" t="shared" si="305"/>
        <v>0</v>
      </c>
      <c r="AG667" s="136">
        <f ca="1" t="shared" si="305"/>
        <v>0</v>
      </c>
      <c r="AH667" s="136">
        <f ca="1" t="shared" si="241"/>
        <v>450</v>
      </c>
      <c r="AI667" s="136">
        <f ca="1" t="shared" ref="AI667:AN667" si="306">IF($C667&gt;OFFSET($Q$8,MATCH(AI$634,$AH$634:$AN$634,0),0),OFFSET($P$8,MATCH(AI$634,$AH$634:$AN$634,0),0),MAX(0,$C667-OFFSET($Q$8,RIGHT(AI$634,1)-1,0)))</f>
        <v>909</v>
      </c>
      <c r="AJ667" s="136">
        <f ca="1" t="shared" si="306"/>
        <v>1818</v>
      </c>
      <c r="AK667" s="136">
        <f ca="1" t="shared" si="306"/>
        <v>123</v>
      </c>
      <c r="AL667" s="136">
        <f ca="1" t="shared" si="306"/>
        <v>0</v>
      </c>
      <c r="AM667" s="136">
        <f ca="1" t="shared" si="306"/>
        <v>0</v>
      </c>
      <c r="AN667" s="136">
        <f ca="1" t="shared" si="306"/>
        <v>0</v>
      </c>
      <c r="AP667" s="132">
        <v>33</v>
      </c>
      <c r="AQ667" s="132">
        <v>4190</v>
      </c>
      <c r="AR667" s="132">
        <v>4190</v>
      </c>
      <c r="AS667" s="132">
        <v>3170</v>
      </c>
      <c r="AT667" s="132">
        <v>2300</v>
      </c>
    </row>
    <row r="668" s="106" customFormat="1" ht="16.5" spans="2:46">
      <c r="B668" s="117">
        <v>34</v>
      </c>
      <c r="C668" s="130">
        <f t="shared" si="239"/>
        <v>3400</v>
      </c>
      <c r="D668" s="131" cm="1">
        <f ca="1" t="array" ref="D668">IF(D1270=1,OFFSET($W$634,$B668,D$631-1)/SUMPRODUCT(--($D$631:$V$631=D$631),--($D1270:$V1270=1)),0)+SUM(D667)+IF(COUNTIF(D$1237:D1270,1)=1,5,0)+IF(COUNTIF(E668:$W668,"&gt;"&amp;0)&lt;5,IF(AND(COUNTIF(D$1237:D1270,1)&gt;7,MOD(1+IFERROR(MATCH($C668,总览!$D$46:$D$345,1)+1,1),7)=0),$C$3,0),0)</f>
        <v>380.065823469303</v>
      </c>
      <c r="E668" s="131" cm="1">
        <f ca="1" t="array" ref="E668">IF(E1270=1,OFFSET($W$634,$B668,E$631-1)/SUMPRODUCT(--($D$631:$V$631=E$631),--($D1270:$V1270=1)),0)+SUM(E667)+IF(COUNTIF(E$1237:E1270,1)=1,5,0)+IF(COUNTIF(F668:$W668,"&gt;"&amp;0)&lt;5,IF(AND(COUNTIF(E$1237:E1270,1)&gt;7,MOD(1+IFERROR(MATCH($C668,总览!$D$46:$D$345,1)+1,1),7)=0),$C$3,0),0)</f>
        <v>380.065823469303</v>
      </c>
      <c r="F668" s="131" cm="1">
        <f ca="1" t="array" ref="F668">IF(F1270=1,OFFSET($W$634,$B668,F$631-1)/SUMPRODUCT(--($D$631:$V$631=F$631),--($D1270:$V1270=1)),0)+SUM(F667)+IF(COUNTIF(F$1237:F1270,1)=1,5,0)+IF(COUNTIF(G668:$W668,"&gt;"&amp;0)&lt;5,IF(AND(COUNTIF(F$1237:F1270,1)&gt;7,MOD(1+IFERROR(MATCH($C668,总览!$D$46:$D$345,1)+1,1),7)=0),$C$3,0),0)</f>
        <v>380.065823469303</v>
      </c>
      <c r="G668" s="131" cm="1">
        <f ca="1" t="array" ref="G668">IF(G1270=1,OFFSET($W$634,$B668,G$631-1)/SUMPRODUCT(--($D$631:$V$631=G$631),--($D1270:$V1270=1)),0)+SUM(G667)+IF(COUNTIF(G$1237:G1270,1)=1,5,0)+IF(COUNTIF(H668:$W668,"&gt;"&amp;0)&lt;5,IF(AND(COUNTIF(G$1237:G1270,1)&gt;7,MOD(1+IFERROR(MATCH($C668,总览!$D$46:$D$345,1)+1,1),7)=0),$C$3,0),0)</f>
        <v>81.5466666666667</v>
      </c>
      <c r="H668" s="131" cm="1">
        <f ca="1" t="array" ref="H668">IF(H1270=1,OFFSET($W$634,$B668,H$631-1)/SUMPRODUCT(--($D$631:$V$631=H$631),--($D1270:$V1270=1)),0)+SUM(H667)+IF(COUNTIF(H$1237:H1270,1)=1,5,0)+IF(COUNTIF(I668:$W668,"&gt;"&amp;0)&lt;5,IF(AND(COUNTIF(H$1237:H1270,1)&gt;7,MOD(1+IFERROR(MATCH($C668,总览!$D$46:$D$345,1)+1,1),7)=0),$C$3,0),0)</f>
        <v>81.5466666666667</v>
      </c>
      <c r="I668" s="131" cm="1">
        <f ca="1" t="array" ref="I668">IF(I1270=1,OFFSET($W$634,$B668,I$631-1)/SUMPRODUCT(--($D$631:$V$631=I$631),--($D1270:$V1270=1)),0)+SUM(I667)+IF(COUNTIF(I$1237:I1270,1)=1,5,0)+IF(COUNTIF(J668:$W668,"&gt;"&amp;0)&lt;5,IF(AND(COUNTIF(I$1237:I1270,1)&gt;7,MOD(1+IFERROR(MATCH($C668,总览!$D$46:$D$345,1)+1,1),7)=0),$C$3,0),0)</f>
        <v>81.5466666666667</v>
      </c>
      <c r="J668" s="131" cm="1">
        <f ca="1" t="array" ref="J668">IF(J1270=1,OFFSET($W$634,$B668,J$631-1)/SUMPRODUCT(--($D$631:$V$631=J$631),--($D1270:$V1270=1)),0)+SUM(J667)+IF(COUNTIF(J$1237:J1270,1)=1,5,0)+IF(COUNTIF(K668:$W668,"&gt;"&amp;0)&lt;5,IF(AND(COUNTIF(J$1237:J1270,1)&gt;7,MOD(1+IFERROR(MATCH($C668,总览!$D$46:$D$345,1)+1,1),7)=0),$C$3,0),0)</f>
        <v>78.2133333333334</v>
      </c>
      <c r="K668" s="131" cm="1">
        <f ca="1" t="array" ref="K668">IF(K1270=1,OFFSET($W$634,$B668,K$631-1)/SUMPRODUCT(--($D$631:$V$631=K$631),--($D1270:$V1270=1)),0)+SUM(K667)+IF(COUNTIF(K$1237:K1270,1)=1,5,0)+IF(COUNTIF(L668:$W668,"&gt;"&amp;0)&lt;5,IF(AND(COUNTIF(K$1237:K1270,1)&gt;7,MOD(1+IFERROR(MATCH($C668,总览!$D$46:$D$345,1)+1,1),7)=0),$C$3,0),0)</f>
        <v>75.7133333333334</v>
      </c>
      <c r="L668" s="131" cm="1">
        <f ca="1" t="array" ref="L668">IF(L1270=1,OFFSET($W$634,$B668,L$631-1)/SUMPRODUCT(--($D$631:$V$631=L$631),--($D1270:$V1270=1)),0)+SUM(L667)+IF(COUNTIF(L$1237:L1270,1)=1,5,0)+IF(COUNTIF(M668:$W668,"&gt;"&amp;0)&lt;5,IF(AND(COUNTIF(L$1237:L1270,1)&gt;7,MOD(1+IFERROR(MATCH($C668,总览!$D$46:$D$345,1)+1,1),7)=0),$C$3,0),0)</f>
        <v>75.7133333333334</v>
      </c>
      <c r="M668" s="131" cm="1">
        <f ca="1" t="array" ref="M668">IF(M1270=1,OFFSET($W$634,$B668,M$631-1)/SUMPRODUCT(--($D$631:$V$631=M$631),--($D1270:$V1270=1)),0)+SUM(M667)+IF(COUNTIF(M$1237:M1270,1)=1,5,0)+IF(COUNTIF(N668:$W668,"&gt;"&amp;0)&lt;5,IF(AND(COUNTIF(M$1237:M1270,1)&gt;7,MOD(1+IFERROR(MATCH($C668,总览!$D$46:$D$345,1)+1,1),7)=0),$C$3,0),0)</f>
        <v>31.02125</v>
      </c>
      <c r="N668" s="131" cm="1">
        <f ca="1" t="array" ref="N668">IF(N1270=1,OFFSET($W$634,$B668,N$631-1)/SUMPRODUCT(--($D$631:$V$631=N$631),--($D1270:$V1270=1)),0)+SUM(N667)+IF(COUNTIF(N$1237:N1270,1)=1,5,0)+IF(COUNTIF(O668:$W668,"&gt;"&amp;0)&lt;5,IF(AND(COUNTIF(N$1237:N1270,1)&gt;7,MOD(1+IFERROR(MATCH($C668,总览!$D$46:$D$345,1)+1,1),7)=0),$C$3,0),0)</f>
        <v>32.27125</v>
      </c>
      <c r="O668" s="131" cm="1">
        <f ca="1" t="array" ref="O668">IF(O1270=1,OFFSET($W$634,$B668,O$631-1)/SUMPRODUCT(--($D$631:$V$631=O$631),--($D1270:$V1270=1)),0)+SUM(O667)+IF(COUNTIF(O$1237:O1270,1)=1,5,0)+IF(COUNTIF(P668:$W668,"&gt;"&amp;0)&lt;5,IF(AND(COUNTIF(O$1237:O1270,1)&gt;7,MOD(1+IFERROR(MATCH($C668,总览!$D$46:$D$345,1)+1,1),7)=0),$C$3,0),0)</f>
        <v>37.27125</v>
      </c>
      <c r="P668" s="131" cm="1">
        <f ca="1" t="array" ref="P668">IF(P1270=1,OFFSET($W$634,$B668,P$631-1)/SUMPRODUCT(--($D$631:$V$631=P$631),--($D1270:$V1270=1)),0)+SUM(P667)+IF(COUNTIF(P$1237:P1270,1)=1,5,0)+IF(COUNTIF(Q668:$W668,"&gt;"&amp;0)&lt;5,IF(AND(COUNTIF(P$1237:P1270,1)&gt;7,MOD(1+IFERROR(MATCH($C668,总览!$D$46:$D$345,1)+1,1),7)=0),$C$3,0),0)</f>
        <v>26.39</v>
      </c>
      <c r="Q668" s="131" cm="1">
        <f ca="1" t="array" ref="Q668">IF(Q1270=1,OFFSET($W$634,$B668,Q$631-1)/SUMPRODUCT(--($D$631:$V$631=Q$631),--($D1270:$V1270=1)),0)+SUM(Q667)+IF(COUNTIF(Q$1237:Q1270,1)=1,5,0)+IF(COUNTIF(R668:$W668,"&gt;"&amp;0)&lt;5,IF(AND(COUNTIF(Q$1237:Q1270,1)&gt;7,MOD(1+IFERROR(MATCH($C668,总览!$D$46:$D$345,1)+1,1),7)=0),$C$3,0),0)</f>
        <v>34.77125</v>
      </c>
      <c r="R668" s="131" cm="1">
        <f ca="1" t="array" ref="R668">IF(R1270=1,OFFSET($W$634,$B668,R$631-1)/SUMPRODUCT(--($D$631:$V$631=R$631),--($D1270:$V1270=1)),0)+SUM(R667)+IF(COUNTIF(R$1237:R1270,1)=1,5,0)+IF(COUNTIF(S668:$W668,"&gt;"&amp;0)&lt;5,IF(AND(COUNTIF(R$1237:R1270,1)&gt;7,MOD(1+IFERROR(MATCH($C668,总览!$D$46:$D$345,1)+1,1),7)=0),$C$3,0),0)</f>
        <v>16.39</v>
      </c>
      <c r="S668" s="131" cm="1">
        <f ca="1" t="array" ref="S668">IF(S1270=1,OFFSET($W$634,$B668,S$631-1)/SUMPRODUCT(--($D$631:$V$631=S$631),--($D1270:$V1270=1)),0)+SUM(S667)+IF(COUNTIF(S$1237:S1270,1)=1,5,0)+IF(COUNTIF(T668:$W668,"&gt;"&amp;0)&lt;5,IF(AND(COUNTIF(S$1237:S1270,1)&gt;7,MOD(1+IFERROR(MATCH($C668,总览!$D$46:$D$345,1)+1,1),7)=0),$C$3,0),0)</f>
        <v>13.89</v>
      </c>
      <c r="T668" s="131" cm="1">
        <f ca="1" t="array" ref="T668">IF(T1270=1,OFFSET($W$634,$B668,T$631-1)/SUMPRODUCT(--($D$631:$V$631=T$631),--($D1270:$V1270=1)),0)+SUM(T667)+IF(COUNTIF(T$1237:T1270,1)=1,5,0)+IF(COUNTIF(U668:$W668,"&gt;"&amp;0)&lt;5,IF(AND(COUNTIF(T$1237:T1270,1)&gt;7,MOD(1+IFERROR(MATCH($C668,总览!$D$46:$D$345,1)+1,1),7)=0),$C$3,0),0)</f>
        <v>0</v>
      </c>
      <c r="U668" s="131" cm="1">
        <f ca="1" t="array" ref="U668">IF(U1270=1,OFFSET($W$634,$B668,U$631-1)/SUMPRODUCT(--($D$631:$V$631=U$631),--($D1270:$V1270=1)),0)+SUM(U667)+IF(COUNTIF(U$1237:U1270,1)=1,5,0)+IF(COUNTIF(V668:$W668,"&gt;"&amp;0)&lt;5,IF(AND(COUNTIF(U$1237:U1270,1)&gt;7,MOD(1+IFERROR(MATCH($C668,总览!$D$46:$D$345,1)+1,1),7)=0),$C$3,0),0)</f>
        <v>0</v>
      </c>
      <c r="V668" s="131" cm="1">
        <f ca="1" t="array" ref="V668">IF(V1270=1,OFFSET($W$634,$B668,V$631-1)/SUMPRODUCT(--($D$631:$V$631=V$631),--($D1270:$V1270=1)),0)+SUM(V667)+IF(COUNTIF(V$1237:V1270,1)=1,5,0)+IF(COUNTIF(W668:$W668,"&gt;"&amp;0)&lt;5,IF(AND(COUNTIF(V$1237:V1270,1)&gt;7,MOD(1+IFERROR(MATCH($C668,总览!$D$46:$D$345,1)+1,1),7)=0),$C$3,0),0)</f>
        <v>8.51752959209091</v>
      </c>
      <c r="W668" s="135" cm="1">
        <f ca="1" t="array" ref="W668">SUMPRODUCT(TRANSPOSE($AA668:$AG668),OFFSET($L$9:$L$15,0,W$631-1))</f>
        <v>26.4226324699144</v>
      </c>
      <c r="X668" s="135" cm="1">
        <f ca="1" t="array" ref="X668">SUMPRODUCT(TRANSPOSE($AA668:$AG668),OFFSET($L$9:$L$15,0,X$631-1))</f>
        <v>16</v>
      </c>
      <c r="Y668" s="135" cm="1">
        <f ca="1" t="array" ref="Y668">SUMPRODUCT(TRANSPOSE($AA668:$AG668),OFFSET($L$9:$L$15,0,Y$631-1))</f>
        <v>6</v>
      </c>
      <c r="Z668" s="135" cm="1">
        <f ca="1" t="array" ref="Z668">SUMPRODUCT(TRANSPOSE($AA668:$AG668),OFFSET($L$9:$L$15,0,Z$631-1))</f>
        <v>1.57736753008561</v>
      </c>
      <c r="AA668" s="136">
        <f ca="1" t="shared" ref="AA668:AG668" si="307">AH668-AH667</f>
        <v>0</v>
      </c>
      <c r="AB668" s="136">
        <f ca="1" t="shared" si="307"/>
        <v>0</v>
      </c>
      <c r="AC668" s="136">
        <f ca="1" t="shared" si="307"/>
        <v>0</v>
      </c>
      <c r="AD668" s="136">
        <f ca="1" t="shared" si="307"/>
        <v>100</v>
      </c>
      <c r="AE668" s="136">
        <f ca="1" t="shared" si="307"/>
        <v>0</v>
      </c>
      <c r="AF668" s="136">
        <f ca="1" t="shared" si="307"/>
        <v>0</v>
      </c>
      <c r="AG668" s="136">
        <f ca="1" t="shared" si="307"/>
        <v>0</v>
      </c>
      <c r="AH668" s="136">
        <f ca="1" t="shared" si="241"/>
        <v>450</v>
      </c>
      <c r="AI668" s="136">
        <f ca="1" t="shared" ref="AI668:AN668" si="308">IF($C668&gt;OFFSET($Q$8,MATCH(AI$634,$AH$634:$AN$634,0),0),OFFSET($P$8,MATCH(AI$634,$AH$634:$AN$634,0),0),MAX(0,$C668-OFFSET($Q$8,RIGHT(AI$634,1)-1,0)))</f>
        <v>909</v>
      </c>
      <c r="AJ668" s="136">
        <f ca="1" t="shared" si="308"/>
        <v>1818</v>
      </c>
      <c r="AK668" s="136">
        <f ca="1" t="shared" si="308"/>
        <v>223</v>
      </c>
      <c r="AL668" s="136">
        <f ca="1" t="shared" si="308"/>
        <v>0</v>
      </c>
      <c r="AM668" s="136">
        <f ca="1" t="shared" si="308"/>
        <v>0</v>
      </c>
      <c r="AN668" s="136">
        <f ca="1" t="shared" si="308"/>
        <v>0</v>
      </c>
      <c r="AP668" s="132">
        <v>34</v>
      </c>
      <c r="AQ668" s="132">
        <v>4670</v>
      </c>
      <c r="AR668" s="132">
        <v>4670</v>
      </c>
      <c r="AS668" s="132">
        <v>3410</v>
      </c>
      <c r="AT668" s="132">
        <v>2450</v>
      </c>
    </row>
    <row r="669" s="106" customFormat="1" ht="16.5" spans="2:46">
      <c r="B669" s="117">
        <v>35</v>
      </c>
      <c r="C669" s="130">
        <f t="shared" si="239"/>
        <v>3500</v>
      </c>
      <c r="D669" s="131" cm="1">
        <f ca="1" t="array" ref="D669">IF(D1271=1,OFFSET($W$634,$B669,D$631-1)/SUMPRODUCT(--($D$631:$V$631=D$631),--($D1271:$V1271=1)),0)+SUM(D668)+IF(COUNTIF(D$1237:D1271,1)=1,5,0)+IF(COUNTIF(E669:$W669,"&gt;"&amp;0)&lt;5,IF(AND(COUNTIF(D$1237:D1271,1)&gt;7,MOD(1+IFERROR(MATCH($C669,总览!$D$46:$D$345,1)+1,1),7)=0),$C$3,0),0)</f>
        <v>388.873367625941</v>
      </c>
      <c r="E669" s="131" cm="1">
        <f ca="1" t="array" ref="E669">IF(E1271=1,OFFSET($W$634,$B669,E$631-1)/SUMPRODUCT(--($D$631:$V$631=E$631),--($D1271:$V1271=1)),0)+SUM(E668)+IF(COUNTIF(E$1237:E1271,1)=1,5,0)+IF(COUNTIF(F669:$W669,"&gt;"&amp;0)&lt;5,IF(AND(COUNTIF(E$1237:E1271,1)&gt;7,MOD(1+IFERROR(MATCH($C669,总览!$D$46:$D$345,1)+1,1),7)=0),$C$3,0),0)</f>
        <v>388.873367625941</v>
      </c>
      <c r="F669" s="131" cm="1">
        <f ca="1" t="array" ref="F669">IF(F1271=1,OFFSET($W$634,$B669,F$631-1)/SUMPRODUCT(--($D$631:$V$631=F$631),--($D1271:$V1271=1)),0)+SUM(F668)+IF(COUNTIF(F$1237:F1271,1)=1,5,0)+IF(COUNTIF(G669:$W669,"&gt;"&amp;0)&lt;5,IF(AND(COUNTIF(F$1237:F1271,1)&gt;7,MOD(1+IFERROR(MATCH($C669,总览!$D$46:$D$345,1)+1,1),7)=0),$C$3,0),0)</f>
        <v>388.873367625941</v>
      </c>
      <c r="G669" s="131" cm="1">
        <f ca="1" t="array" ref="G669">IF(G1271=1,OFFSET($W$634,$B669,G$631-1)/SUMPRODUCT(--($D$631:$V$631=G$631),--($D1271:$V1271=1)),0)+SUM(G668)+IF(COUNTIF(G$1237:G1271,1)=1,5,0)+IF(COUNTIF(H669:$W669,"&gt;"&amp;0)&lt;5,IF(AND(COUNTIF(G$1237:G1271,1)&gt;7,MOD(1+IFERROR(MATCH($C669,总览!$D$46:$D$345,1)+1,1),7)=0),$C$3,0),0)</f>
        <v>84.2133333333334</v>
      </c>
      <c r="H669" s="131" cm="1">
        <f ca="1" t="array" ref="H669">IF(H1271=1,OFFSET($W$634,$B669,H$631-1)/SUMPRODUCT(--($D$631:$V$631=H$631),--($D1271:$V1271=1)),0)+SUM(H668)+IF(COUNTIF(H$1237:H1271,1)=1,5,0)+IF(COUNTIF(I669:$W669,"&gt;"&amp;0)&lt;5,IF(AND(COUNTIF(H$1237:H1271,1)&gt;7,MOD(1+IFERROR(MATCH($C669,总览!$D$46:$D$345,1)+1,1),7)=0),$C$3,0),0)</f>
        <v>84.2133333333334</v>
      </c>
      <c r="I669" s="131" cm="1">
        <f ca="1" t="array" ref="I669">IF(I1271=1,OFFSET($W$634,$B669,I$631-1)/SUMPRODUCT(--($D$631:$V$631=I$631),--($D1271:$V1271=1)),0)+SUM(I668)+IF(COUNTIF(I$1237:I1271,1)=1,5,0)+IF(COUNTIF(J669:$W669,"&gt;"&amp;0)&lt;5,IF(AND(COUNTIF(I$1237:I1271,1)&gt;7,MOD(1+IFERROR(MATCH($C669,总览!$D$46:$D$345,1)+1,1),7)=0),$C$3,0),0)</f>
        <v>84.2133333333334</v>
      </c>
      <c r="J669" s="131" cm="1">
        <f ca="1" t="array" ref="J669">IF(J1271=1,OFFSET($W$634,$B669,J$631-1)/SUMPRODUCT(--($D$631:$V$631=J$631),--($D1271:$V1271=1)),0)+SUM(J668)+IF(COUNTIF(J$1237:J1271,1)=1,5,0)+IF(COUNTIF(K669:$W669,"&gt;"&amp;0)&lt;5,IF(AND(COUNTIF(J$1237:J1271,1)&gt;7,MOD(1+IFERROR(MATCH($C669,总览!$D$46:$D$345,1)+1,1),7)=0),$C$3,0),0)</f>
        <v>80.88</v>
      </c>
      <c r="K669" s="131" cm="1">
        <f ca="1" t="array" ref="K669">IF(K1271=1,OFFSET($W$634,$B669,K$631-1)/SUMPRODUCT(--($D$631:$V$631=K$631),--($D1271:$V1271=1)),0)+SUM(K668)+IF(COUNTIF(K$1237:K1271,1)=1,5,0)+IF(COUNTIF(L669:$W669,"&gt;"&amp;0)&lt;5,IF(AND(COUNTIF(K$1237:K1271,1)&gt;7,MOD(1+IFERROR(MATCH($C669,总览!$D$46:$D$345,1)+1,1),7)=0),$C$3,0),0)</f>
        <v>78.38</v>
      </c>
      <c r="L669" s="131" cm="1">
        <f ca="1" t="array" ref="L669">IF(L1271=1,OFFSET($W$634,$B669,L$631-1)/SUMPRODUCT(--($D$631:$V$631=L$631),--($D1271:$V1271=1)),0)+SUM(L668)+IF(COUNTIF(L$1237:L1271,1)=1,5,0)+IF(COUNTIF(M669:$W669,"&gt;"&amp;0)&lt;5,IF(AND(COUNTIF(L$1237:L1271,1)&gt;7,MOD(1+IFERROR(MATCH($C669,总览!$D$46:$D$345,1)+1,1),7)=0),$C$3,0),0)</f>
        <v>78.38</v>
      </c>
      <c r="M669" s="131" cm="1">
        <f ca="1" t="array" ref="M669">IF(M1271=1,OFFSET($W$634,$B669,M$631-1)/SUMPRODUCT(--($D$631:$V$631=M$631),--($D1271:$V1271=1)),0)+SUM(M668)+IF(COUNTIF(M$1237:M1271,1)=1,5,0)+IF(COUNTIF(N669:$W669,"&gt;"&amp;0)&lt;5,IF(AND(COUNTIF(M$1237:M1271,1)&gt;7,MOD(1+IFERROR(MATCH($C669,总览!$D$46:$D$345,1)+1,1),7)=0),$C$3,0),0)</f>
        <v>31.8783928571429</v>
      </c>
      <c r="N669" s="131" cm="1">
        <f ca="1" t="array" ref="N669">IF(N1271=1,OFFSET($W$634,$B669,N$631-1)/SUMPRODUCT(--($D$631:$V$631=N$631),--($D1271:$V1271=1)),0)+SUM(N668)+IF(COUNTIF(N$1237:N1271,1)=1,5,0)+IF(COUNTIF(O669:$W669,"&gt;"&amp;0)&lt;5,IF(AND(COUNTIF(N$1237:N1271,1)&gt;7,MOD(1+IFERROR(MATCH($C669,总览!$D$46:$D$345,1)+1,1),7)=0),$C$3,0),0)</f>
        <v>33.1283928571429</v>
      </c>
      <c r="O669" s="131" cm="1">
        <f ca="1" t="array" ref="O669">IF(O1271=1,OFFSET($W$634,$B669,O$631-1)/SUMPRODUCT(--($D$631:$V$631=O$631),--($D1271:$V1271=1)),0)+SUM(O668)+IF(COUNTIF(O$1237:O1271,1)=1,5,0)+IF(COUNTIF(P669:$W669,"&gt;"&amp;0)&lt;5,IF(AND(COUNTIF(O$1237:O1271,1)&gt;7,MOD(1+IFERROR(MATCH($C669,总览!$D$46:$D$345,1)+1,1),7)=0),$C$3,0),0)</f>
        <v>38.1283928571428</v>
      </c>
      <c r="P669" s="131" cm="1">
        <f ca="1" t="array" ref="P669">IF(P1271=1,OFFSET($W$634,$B669,P$631-1)/SUMPRODUCT(--($D$631:$V$631=P$631),--($D1271:$V1271=1)),0)+SUM(P668)+IF(COUNTIF(P$1237:P1271,1)=1,5,0)+IF(COUNTIF(Q669:$W669,"&gt;"&amp;0)&lt;5,IF(AND(COUNTIF(P$1237:P1271,1)&gt;7,MOD(1+IFERROR(MATCH($C669,总览!$D$46:$D$345,1)+1,1),7)=0),$C$3,0),0)</f>
        <v>27.2471428571429</v>
      </c>
      <c r="Q669" s="131" cm="1">
        <f ca="1" t="array" ref="Q669">IF(Q1271=1,OFFSET($W$634,$B669,Q$631-1)/SUMPRODUCT(--($D$631:$V$631=Q$631),--($D1271:$V1271=1)),0)+SUM(Q668)+IF(COUNTIF(Q$1237:Q1271,1)=1,5,0)+IF(COUNTIF(R669:$W669,"&gt;"&amp;0)&lt;5,IF(AND(COUNTIF(Q$1237:Q1271,1)&gt;7,MOD(1+IFERROR(MATCH($C669,总览!$D$46:$D$345,1)+1,1),7)=0),$C$3,0),0)</f>
        <v>35.6283928571428</v>
      </c>
      <c r="R669" s="131" cm="1">
        <f ca="1" t="array" ref="R669">IF(R1271=1,OFFSET($W$634,$B669,R$631-1)/SUMPRODUCT(--($D$631:$V$631=R$631),--($D1271:$V1271=1)),0)+SUM(R668)+IF(COUNTIF(R$1237:R1271,1)=1,5,0)+IF(COUNTIF(S669:$W669,"&gt;"&amp;0)&lt;5,IF(AND(COUNTIF(R$1237:R1271,1)&gt;7,MOD(1+IFERROR(MATCH($C669,总览!$D$46:$D$345,1)+1,1),7)=0),$C$3,0),0)</f>
        <v>17.2471428571429</v>
      </c>
      <c r="S669" s="131" cm="1">
        <f ca="1" t="array" ref="S669">IF(S1271=1,OFFSET($W$634,$B669,S$631-1)/SUMPRODUCT(--($D$631:$V$631=S$631),--($D1271:$V1271=1)),0)+SUM(S668)+IF(COUNTIF(S$1237:S1271,1)=1,5,0)+IF(COUNTIF(T669:$W669,"&gt;"&amp;0)&lt;5,IF(AND(COUNTIF(S$1237:S1271,1)&gt;7,MOD(1+IFERROR(MATCH($C669,总览!$D$46:$D$345,1)+1,1),7)=0),$C$3,0),0)</f>
        <v>14.7471428571429</v>
      </c>
      <c r="T669" s="131" cm="1">
        <f ca="1" t="array" ref="T669">IF(T1271=1,OFFSET($W$634,$B669,T$631-1)/SUMPRODUCT(--($D$631:$V$631=T$631),--($D1271:$V1271=1)),0)+SUM(T668)+IF(COUNTIF(T$1237:T1271,1)=1,5,0)+IF(COUNTIF(U669:$W669,"&gt;"&amp;0)&lt;5,IF(AND(COUNTIF(T$1237:T1271,1)&gt;7,MOD(1+IFERROR(MATCH($C669,总览!$D$46:$D$345,1)+1,1),7)=0),$C$3,0),0)</f>
        <v>0</v>
      </c>
      <c r="U669" s="131" cm="1">
        <f ca="1" t="array" ref="U669">IF(U1271=1,OFFSET($W$634,$B669,U$631-1)/SUMPRODUCT(--($D$631:$V$631=U$631),--($D1271:$V1271=1)),0)+SUM(U668)+IF(COUNTIF(U$1237:U1271,1)=1,5,0)+IF(COUNTIF(V669:$W669,"&gt;"&amp;0)&lt;5,IF(AND(COUNTIF(U$1237:U1271,1)&gt;7,MOD(1+IFERROR(MATCH($C669,总览!$D$46:$D$345,1)+1,1),7)=0),$C$3,0),0)</f>
        <v>0</v>
      </c>
      <c r="V669" s="131" cm="1">
        <f ca="1" t="array" ref="V669">IF(V1271=1,OFFSET($W$634,$B669,V$631-1)/SUMPRODUCT(--($D$631:$V$631=V$631),--($D1271:$V1271=1)),0)+SUM(V668)+IF(COUNTIF(V$1237:V1271,1)=1,5,0)+IF(COUNTIF(W669:$W669,"&gt;"&amp;0)&lt;5,IF(AND(COUNTIF(V$1237:V1271,1)&gt;7,MOD(1+IFERROR(MATCH($C669,总览!$D$46:$D$345,1)+1,1),7)=0),$C$3,0),0)</f>
        <v>10.0948971221765</v>
      </c>
      <c r="W669" s="135" cm="1">
        <f ca="1" t="array" ref="W669">SUMPRODUCT(TRANSPOSE($AA669:$AG669),OFFSET($L$9:$L$15,0,W$631-1))</f>
        <v>26.4226324699144</v>
      </c>
      <c r="X669" s="135" cm="1">
        <f ca="1" t="array" ref="X669">SUMPRODUCT(TRANSPOSE($AA669:$AG669),OFFSET($L$9:$L$15,0,X$631-1))</f>
        <v>16</v>
      </c>
      <c r="Y669" s="135" cm="1">
        <f ca="1" t="array" ref="Y669">SUMPRODUCT(TRANSPOSE($AA669:$AG669),OFFSET($L$9:$L$15,0,Y$631-1))</f>
        <v>6</v>
      </c>
      <c r="Z669" s="135" cm="1">
        <f ca="1" t="array" ref="Z669">SUMPRODUCT(TRANSPOSE($AA669:$AG669),OFFSET($L$9:$L$15,0,Z$631-1))</f>
        <v>1.57736753008561</v>
      </c>
      <c r="AA669" s="136">
        <f ca="1" t="shared" ref="AA669:AG669" si="309">AH669-AH668</f>
        <v>0</v>
      </c>
      <c r="AB669" s="136">
        <f ca="1" t="shared" si="309"/>
        <v>0</v>
      </c>
      <c r="AC669" s="136">
        <f ca="1" t="shared" si="309"/>
        <v>0</v>
      </c>
      <c r="AD669" s="136">
        <f ca="1" t="shared" si="309"/>
        <v>100</v>
      </c>
      <c r="AE669" s="136">
        <f ca="1" t="shared" si="309"/>
        <v>0</v>
      </c>
      <c r="AF669" s="136">
        <f ca="1" t="shared" si="309"/>
        <v>0</v>
      </c>
      <c r="AG669" s="136">
        <f ca="1" t="shared" si="309"/>
        <v>0</v>
      </c>
      <c r="AH669" s="136">
        <f ca="1" t="shared" si="241"/>
        <v>450</v>
      </c>
      <c r="AI669" s="136">
        <f ca="1" t="shared" ref="AI669:AN669" si="310">IF($C669&gt;OFFSET($Q$8,MATCH(AI$634,$AH$634:$AN$634,0),0),OFFSET($P$8,MATCH(AI$634,$AH$634:$AN$634,0),0),MAX(0,$C669-OFFSET($Q$8,RIGHT(AI$634,1)-1,0)))</f>
        <v>909</v>
      </c>
      <c r="AJ669" s="136">
        <f ca="1" t="shared" si="310"/>
        <v>1818</v>
      </c>
      <c r="AK669" s="136">
        <f ca="1" t="shared" si="310"/>
        <v>323</v>
      </c>
      <c r="AL669" s="136">
        <f ca="1" t="shared" si="310"/>
        <v>0</v>
      </c>
      <c r="AM669" s="136">
        <f ca="1" t="shared" si="310"/>
        <v>0</v>
      </c>
      <c r="AN669" s="136">
        <f ca="1" t="shared" si="310"/>
        <v>0</v>
      </c>
      <c r="AP669" s="132">
        <v>35</v>
      </c>
      <c r="AQ669" s="132">
        <v>5150</v>
      </c>
      <c r="AR669" s="132">
        <v>5150</v>
      </c>
      <c r="AS669" s="132">
        <v>3650</v>
      </c>
      <c r="AT669" s="132">
        <v>2600</v>
      </c>
    </row>
    <row r="670" s="106" customFormat="1" ht="16.5" spans="2:46">
      <c r="B670" s="117">
        <v>36</v>
      </c>
      <c r="C670" s="130">
        <f t="shared" si="239"/>
        <v>3600</v>
      </c>
      <c r="D670" s="131" cm="1">
        <f ca="1" t="array" ref="D670">IF(D1272=1,OFFSET($W$634,$B670,D$631-1)/SUMPRODUCT(--($D$631:$V$631=D$631),--($D1272:$V1272=1)),0)+SUM(D669)+IF(COUNTIF(D$1237:D1272,1)=1,5,0)+IF(COUNTIF(E670:$W670,"&gt;"&amp;0)&lt;5,IF(AND(COUNTIF(D$1237:D1272,1)&gt;7,MOD(1+IFERROR(MATCH($C670,总览!$D$46:$D$345,1)+1,1),7)=0),$C$3,0),0)</f>
        <v>397.680911782579</v>
      </c>
      <c r="E670" s="131" cm="1">
        <f ca="1" t="array" ref="E670">IF(E1272=1,OFFSET($W$634,$B670,E$631-1)/SUMPRODUCT(--($D$631:$V$631=E$631),--($D1272:$V1272=1)),0)+SUM(E669)+IF(COUNTIF(E$1237:E1272,1)=1,5,0)+IF(COUNTIF(F670:$W670,"&gt;"&amp;0)&lt;5,IF(AND(COUNTIF(E$1237:E1272,1)&gt;7,MOD(1+IFERROR(MATCH($C670,总览!$D$46:$D$345,1)+1,1),7)=0),$C$3,0),0)</f>
        <v>397.680911782579</v>
      </c>
      <c r="F670" s="131" cm="1">
        <f ca="1" t="array" ref="F670">IF(F1272=1,OFFSET($W$634,$B670,F$631-1)/SUMPRODUCT(--($D$631:$V$631=F$631),--($D1272:$V1272=1)),0)+SUM(F669)+IF(COUNTIF(F$1237:F1272,1)=1,5,0)+IF(COUNTIF(G670:$W670,"&gt;"&amp;0)&lt;5,IF(AND(COUNTIF(F$1237:F1272,1)&gt;7,MOD(1+IFERROR(MATCH($C670,总览!$D$46:$D$345,1)+1,1),7)=0),$C$3,0),0)</f>
        <v>397.680911782579</v>
      </c>
      <c r="G670" s="131" cm="1">
        <f ca="1" t="array" ref="G670">IF(G1272=1,OFFSET($W$634,$B670,G$631-1)/SUMPRODUCT(--($D$631:$V$631=G$631),--($D1272:$V1272=1)),0)+SUM(G669)+IF(COUNTIF(G$1237:G1272,1)=1,5,0)+IF(COUNTIF(H670:$W670,"&gt;"&amp;0)&lt;5,IF(AND(COUNTIF(G$1237:G1272,1)&gt;7,MOD(1+IFERROR(MATCH($C670,总览!$D$46:$D$345,1)+1,1),7)=0),$C$3,0),0)</f>
        <v>86.88</v>
      </c>
      <c r="H670" s="131" cm="1">
        <f ca="1" t="array" ref="H670">IF(H1272=1,OFFSET($W$634,$B670,H$631-1)/SUMPRODUCT(--($D$631:$V$631=H$631),--($D1272:$V1272=1)),0)+SUM(H669)+IF(COUNTIF(H$1237:H1272,1)=1,5,0)+IF(COUNTIF(I670:$W670,"&gt;"&amp;0)&lt;5,IF(AND(COUNTIF(H$1237:H1272,1)&gt;7,MOD(1+IFERROR(MATCH($C670,总览!$D$46:$D$345,1)+1,1),7)=0),$C$3,0),0)</f>
        <v>86.88</v>
      </c>
      <c r="I670" s="131" cm="1">
        <f ca="1" t="array" ref="I670">IF(I1272=1,OFFSET($W$634,$B670,I$631-1)/SUMPRODUCT(--($D$631:$V$631=I$631),--($D1272:$V1272=1)),0)+SUM(I669)+IF(COUNTIF(I$1237:I1272,1)=1,5,0)+IF(COUNTIF(J670:$W670,"&gt;"&amp;0)&lt;5,IF(AND(COUNTIF(I$1237:I1272,1)&gt;7,MOD(1+IFERROR(MATCH($C670,总览!$D$46:$D$345,1)+1,1),7)=0),$C$3,0),0)</f>
        <v>86.88</v>
      </c>
      <c r="J670" s="131" cm="1">
        <f ca="1" t="array" ref="J670">IF(J1272=1,OFFSET($W$634,$B670,J$631-1)/SUMPRODUCT(--($D$631:$V$631=J$631),--($D1272:$V1272=1)),0)+SUM(J669)+IF(COUNTIF(J$1237:J1272,1)=1,5,0)+IF(COUNTIF(K670:$W670,"&gt;"&amp;0)&lt;5,IF(AND(COUNTIF(J$1237:J1272,1)&gt;7,MOD(1+IFERROR(MATCH($C670,总览!$D$46:$D$345,1)+1,1),7)=0),$C$3,0),0)</f>
        <v>83.5466666666667</v>
      </c>
      <c r="K670" s="131" cm="1">
        <f ca="1" t="array" ref="K670">IF(K1272=1,OFFSET($W$634,$B670,K$631-1)/SUMPRODUCT(--($D$631:$V$631=K$631),--($D1272:$V1272=1)),0)+SUM(K669)+IF(COUNTIF(K$1237:K1272,1)=1,5,0)+IF(COUNTIF(L670:$W670,"&gt;"&amp;0)&lt;5,IF(AND(COUNTIF(K$1237:K1272,1)&gt;7,MOD(1+IFERROR(MATCH($C670,总览!$D$46:$D$345,1)+1,1),7)=0),$C$3,0),0)</f>
        <v>81.0466666666667</v>
      </c>
      <c r="L670" s="131" cm="1">
        <f ca="1" t="array" ref="L670">IF(L1272=1,OFFSET($W$634,$B670,L$631-1)/SUMPRODUCT(--($D$631:$V$631=L$631),--($D1272:$V1272=1)),0)+SUM(L669)+IF(COUNTIF(L$1237:L1272,1)=1,5,0)+IF(COUNTIF(M670:$W670,"&gt;"&amp;0)&lt;5,IF(AND(COUNTIF(L$1237:L1272,1)&gt;7,MOD(1+IFERROR(MATCH($C670,总览!$D$46:$D$345,1)+1,1),7)=0),$C$3,0),0)</f>
        <v>81.0466666666667</v>
      </c>
      <c r="M670" s="131" cm="1">
        <f ca="1" t="array" ref="M670">IF(M1272=1,OFFSET($W$634,$B670,M$631-1)/SUMPRODUCT(--($D$631:$V$631=M$631),--($D1272:$V1272=1)),0)+SUM(M669)+IF(COUNTIF(M$1237:M1272,1)=1,5,0)+IF(COUNTIF(N670:$W670,"&gt;"&amp;0)&lt;5,IF(AND(COUNTIF(M$1237:M1272,1)&gt;7,MOD(1+IFERROR(MATCH($C670,总览!$D$46:$D$345,1)+1,1),7)=0),$C$3,0),0)</f>
        <v>32.7355357142857</v>
      </c>
      <c r="N670" s="131" cm="1">
        <f ca="1" t="array" ref="N670">IF(N1272=1,OFFSET($W$634,$B670,N$631-1)/SUMPRODUCT(--($D$631:$V$631=N$631),--($D1272:$V1272=1)),0)+SUM(N669)+IF(COUNTIF(N$1237:N1272,1)=1,5,0)+IF(COUNTIF(O670:$W670,"&gt;"&amp;0)&lt;5,IF(AND(COUNTIF(N$1237:N1272,1)&gt;7,MOD(1+IFERROR(MATCH($C670,总览!$D$46:$D$345,1)+1,1),7)=0),$C$3,0),0)</f>
        <v>33.9855357142857</v>
      </c>
      <c r="O670" s="131" cm="1">
        <f ca="1" t="array" ref="O670">IF(O1272=1,OFFSET($W$634,$B670,O$631-1)/SUMPRODUCT(--($D$631:$V$631=O$631),--($D1272:$V1272=1)),0)+SUM(O669)+IF(COUNTIF(O$1237:O1272,1)=1,5,0)+IF(COUNTIF(P670:$W670,"&gt;"&amp;0)&lt;5,IF(AND(COUNTIF(O$1237:O1272,1)&gt;7,MOD(1+IFERROR(MATCH($C670,总览!$D$46:$D$345,1)+1,1),7)=0),$C$3,0),0)</f>
        <v>38.9855357142857</v>
      </c>
      <c r="P670" s="131" cm="1">
        <f ca="1" t="array" ref="P670">IF(P1272=1,OFFSET($W$634,$B670,P$631-1)/SUMPRODUCT(--($D$631:$V$631=P$631),--($D1272:$V1272=1)),0)+SUM(P669)+IF(COUNTIF(P$1237:P1272,1)=1,5,0)+IF(COUNTIF(Q670:$W670,"&gt;"&amp;0)&lt;5,IF(AND(COUNTIF(P$1237:P1272,1)&gt;7,MOD(1+IFERROR(MATCH($C670,总览!$D$46:$D$345,1)+1,1),7)=0),$C$3,0),0)</f>
        <v>28.1042857142857</v>
      </c>
      <c r="Q670" s="131" cm="1">
        <f ca="1" t="array" ref="Q670">IF(Q1272=1,OFFSET($W$634,$B670,Q$631-1)/SUMPRODUCT(--($D$631:$V$631=Q$631),--($D1272:$V1272=1)),0)+SUM(Q669)+IF(COUNTIF(Q$1237:Q1272,1)=1,5,0)+IF(COUNTIF(R670:$W670,"&gt;"&amp;0)&lt;5,IF(AND(COUNTIF(Q$1237:Q1272,1)&gt;7,MOD(1+IFERROR(MATCH($C670,总览!$D$46:$D$345,1)+1,1),7)=0),$C$3,0),0)</f>
        <v>36.4855357142857</v>
      </c>
      <c r="R670" s="131" cm="1">
        <f ca="1" t="array" ref="R670">IF(R1272=1,OFFSET($W$634,$B670,R$631-1)/SUMPRODUCT(--($D$631:$V$631=R$631),--($D1272:$V1272=1)),0)+SUM(R669)+IF(COUNTIF(R$1237:R1272,1)=1,5,0)+IF(COUNTIF(S670:$W670,"&gt;"&amp;0)&lt;5,IF(AND(COUNTIF(R$1237:R1272,1)&gt;7,MOD(1+IFERROR(MATCH($C670,总览!$D$46:$D$345,1)+1,1),7)=0),$C$3,0),0)</f>
        <v>18.1042857142857</v>
      </c>
      <c r="S670" s="131" cm="1">
        <f ca="1" t="array" ref="S670">IF(S1272=1,OFFSET($W$634,$B670,S$631-1)/SUMPRODUCT(--($D$631:$V$631=S$631),--($D1272:$V1272=1)),0)+SUM(S669)+IF(COUNTIF(S$1237:S1272,1)=1,5,0)+IF(COUNTIF(T670:$W670,"&gt;"&amp;0)&lt;5,IF(AND(COUNTIF(S$1237:S1272,1)&gt;7,MOD(1+IFERROR(MATCH($C670,总览!$D$46:$D$345,1)+1,1),7)=0),$C$3,0),0)</f>
        <v>15.6042857142857</v>
      </c>
      <c r="T670" s="131" cm="1">
        <f ca="1" t="array" ref="T670">IF(T1272=1,OFFSET($W$634,$B670,T$631-1)/SUMPRODUCT(--($D$631:$V$631=T$631),--($D1272:$V1272=1)),0)+SUM(T669)+IF(COUNTIF(T$1237:T1272,1)=1,5,0)+IF(COUNTIF(U670:$W670,"&gt;"&amp;0)&lt;5,IF(AND(COUNTIF(T$1237:T1272,1)&gt;7,MOD(1+IFERROR(MATCH($C670,总览!$D$46:$D$345,1)+1,1),7)=0),$C$3,0),0)</f>
        <v>0</v>
      </c>
      <c r="U670" s="131" cm="1">
        <f ca="1" t="array" ref="U670">IF(U1272=1,OFFSET($W$634,$B670,U$631-1)/SUMPRODUCT(--($D$631:$V$631=U$631),--($D1272:$V1272=1)),0)+SUM(U669)+IF(COUNTIF(U$1237:U1272,1)=1,5,0)+IF(COUNTIF(V670:$W670,"&gt;"&amp;0)&lt;5,IF(AND(COUNTIF(U$1237:U1272,1)&gt;7,MOD(1+IFERROR(MATCH($C670,总览!$D$46:$D$345,1)+1,1),7)=0),$C$3,0),0)</f>
        <v>0</v>
      </c>
      <c r="V670" s="131" cm="1">
        <f ca="1" t="array" ref="V670">IF(V1272=1,OFFSET($W$634,$B670,V$631-1)/SUMPRODUCT(--($D$631:$V$631=V$631),--($D1272:$V1272=1)),0)+SUM(V669)+IF(COUNTIF(V$1237:V1272,1)=1,5,0)+IF(COUNTIF(W670:$W670,"&gt;"&amp;0)&lt;5,IF(AND(COUNTIF(V$1237:V1272,1)&gt;7,MOD(1+IFERROR(MATCH($C670,总览!$D$46:$D$345,1)+1,1),7)=0),$C$3,0),0)</f>
        <v>11.6722646522621</v>
      </c>
      <c r="W670" s="135" cm="1">
        <f ca="1" t="array" ref="W670">SUMPRODUCT(TRANSPOSE($AA670:$AG670),OFFSET($L$9:$L$15,0,W$631-1))</f>
        <v>26.4226324699144</v>
      </c>
      <c r="X670" s="135" cm="1">
        <f ca="1" t="array" ref="X670">SUMPRODUCT(TRANSPOSE($AA670:$AG670),OFFSET($L$9:$L$15,0,X$631-1))</f>
        <v>16</v>
      </c>
      <c r="Y670" s="135" cm="1">
        <f ca="1" t="array" ref="Y670">SUMPRODUCT(TRANSPOSE($AA670:$AG670),OFFSET($L$9:$L$15,0,Y$631-1))</f>
        <v>6</v>
      </c>
      <c r="Z670" s="135" cm="1">
        <f ca="1" t="array" ref="Z670">SUMPRODUCT(TRANSPOSE($AA670:$AG670),OFFSET($L$9:$L$15,0,Z$631-1))</f>
        <v>1.57736753008561</v>
      </c>
      <c r="AA670" s="136">
        <f ca="1" t="shared" ref="AA670:AG670" si="311">AH670-AH669</f>
        <v>0</v>
      </c>
      <c r="AB670" s="136">
        <f ca="1" t="shared" si="311"/>
        <v>0</v>
      </c>
      <c r="AC670" s="136">
        <f ca="1" t="shared" si="311"/>
        <v>0</v>
      </c>
      <c r="AD670" s="136">
        <f ca="1" t="shared" si="311"/>
        <v>100</v>
      </c>
      <c r="AE670" s="136">
        <f ca="1" t="shared" si="311"/>
        <v>0</v>
      </c>
      <c r="AF670" s="136">
        <f ca="1" t="shared" si="311"/>
        <v>0</v>
      </c>
      <c r="AG670" s="136">
        <f ca="1" t="shared" si="311"/>
        <v>0</v>
      </c>
      <c r="AH670" s="136">
        <f ca="1" t="shared" si="241"/>
        <v>450</v>
      </c>
      <c r="AI670" s="136">
        <f ca="1" t="shared" ref="AI670:AN670" si="312">IF($C670&gt;OFFSET($Q$8,MATCH(AI$634,$AH$634:$AN$634,0),0),OFFSET($P$8,MATCH(AI$634,$AH$634:$AN$634,0),0),MAX(0,$C670-OFFSET($Q$8,RIGHT(AI$634,1)-1,0)))</f>
        <v>909</v>
      </c>
      <c r="AJ670" s="136">
        <f ca="1" t="shared" si="312"/>
        <v>1818</v>
      </c>
      <c r="AK670" s="136">
        <f ca="1" t="shared" si="312"/>
        <v>423</v>
      </c>
      <c r="AL670" s="136">
        <f ca="1" t="shared" si="312"/>
        <v>0</v>
      </c>
      <c r="AM670" s="136">
        <f ca="1" t="shared" si="312"/>
        <v>0</v>
      </c>
      <c r="AN670" s="136">
        <f ca="1" t="shared" si="312"/>
        <v>0</v>
      </c>
      <c r="AP670" s="132">
        <v>36</v>
      </c>
      <c r="AQ670" s="132">
        <v>5870</v>
      </c>
      <c r="AR670" s="132">
        <v>5870</v>
      </c>
      <c r="AS670" s="132">
        <v>4010</v>
      </c>
      <c r="AT670" s="132">
        <v>2780</v>
      </c>
    </row>
    <row r="671" s="106" customFormat="1" ht="16.5" spans="2:46">
      <c r="B671" s="117">
        <v>37</v>
      </c>
      <c r="C671" s="130">
        <f t="shared" si="239"/>
        <v>3700</v>
      </c>
      <c r="D671" s="131" cm="1">
        <f ca="1" t="array" ref="D671">IF(D1273=1,OFFSET($W$634,$B671,D$631-1)/SUMPRODUCT(--($D$631:$V$631=D$631),--($D1273:$V1273=1)),0)+SUM(D670)+IF(COUNTIF(D$1237:D1273,1)=1,5,0)+IF(COUNTIF(E671:$W671,"&gt;"&amp;0)&lt;5,IF(AND(COUNTIF(D$1237:D1273,1)&gt;7,MOD(1+IFERROR(MATCH($C671,总览!$D$46:$D$345,1)+1,1),7)=0),$C$3,0),0)</f>
        <v>406.488455939217</v>
      </c>
      <c r="E671" s="131" cm="1">
        <f ca="1" t="array" ref="E671">IF(E1273=1,OFFSET($W$634,$B671,E$631-1)/SUMPRODUCT(--($D$631:$V$631=E$631),--($D1273:$V1273=1)),0)+SUM(E670)+IF(COUNTIF(E$1237:E1273,1)=1,5,0)+IF(COUNTIF(F671:$W671,"&gt;"&amp;0)&lt;5,IF(AND(COUNTIF(E$1237:E1273,1)&gt;7,MOD(1+IFERROR(MATCH($C671,总览!$D$46:$D$345,1)+1,1),7)=0),$C$3,0),0)</f>
        <v>406.488455939217</v>
      </c>
      <c r="F671" s="131" cm="1">
        <f ca="1" t="array" ref="F671">IF(F1273=1,OFFSET($W$634,$B671,F$631-1)/SUMPRODUCT(--($D$631:$V$631=F$631),--($D1273:$V1273=1)),0)+SUM(F670)+IF(COUNTIF(F$1237:F1273,1)=1,5,0)+IF(COUNTIF(G671:$W671,"&gt;"&amp;0)&lt;5,IF(AND(COUNTIF(F$1237:F1273,1)&gt;7,MOD(1+IFERROR(MATCH($C671,总览!$D$46:$D$345,1)+1,1),7)=0),$C$3,0),0)</f>
        <v>406.488455939217</v>
      </c>
      <c r="G671" s="131" cm="1">
        <f ca="1" t="array" ref="G671">IF(G1273=1,OFFSET($W$634,$B671,G$631-1)/SUMPRODUCT(--($D$631:$V$631=G$631),--($D1273:$V1273=1)),0)+SUM(G670)+IF(COUNTIF(G$1237:G1273,1)=1,5,0)+IF(COUNTIF(H671:$W671,"&gt;"&amp;0)&lt;5,IF(AND(COUNTIF(G$1237:G1273,1)&gt;7,MOD(1+IFERROR(MATCH($C671,总览!$D$46:$D$345,1)+1,1),7)=0),$C$3,0),0)</f>
        <v>89.5466666666667</v>
      </c>
      <c r="H671" s="131" cm="1">
        <f ca="1" t="array" ref="H671">IF(H1273=1,OFFSET($W$634,$B671,H$631-1)/SUMPRODUCT(--($D$631:$V$631=H$631),--($D1273:$V1273=1)),0)+SUM(H670)+IF(COUNTIF(H$1237:H1273,1)=1,5,0)+IF(COUNTIF(I671:$W671,"&gt;"&amp;0)&lt;5,IF(AND(COUNTIF(H$1237:H1273,1)&gt;7,MOD(1+IFERROR(MATCH($C671,总览!$D$46:$D$345,1)+1,1),7)=0),$C$3,0),0)</f>
        <v>89.5466666666667</v>
      </c>
      <c r="I671" s="131" cm="1">
        <f ca="1" t="array" ref="I671">IF(I1273=1,OFFSET($W$634,$B671,I$631-1)/SUMPRODUCT(--($D$631:$V$631=I$631),--($D1273:$V1273=1)),0)+SUM(I670)+IF(COUNTIF(I$1237:I1273,1)=1,5,0)+IF(COUNTIF(J671:$W671,"&gt;"&amp;0)&lt;5,IF(AND(COUNTIF(I$1237:I1273,1)&gt;7,MOD(1+IFERROR(MATCH($C671,总览!$D$46:$D$345,1)+1,1),7)=0),$C$3,0),0)</f>
        <v>89.5466666666667</v>
      </c>
      <c r="J671" s="131" cm="1">
        <f ca="1" t="array" ref="J671">IF(J1273=1,OFFSET($W$634,$B671,J$631-1)/SUMPRODUCT(--($D$631:$V$631=J$631),--($D1273:$V1273=1)),0)+SUM(J670)+IF(COUNTIF(J$1237:J1273,1)=1,5,0)+IF(COUNTIF(K671:$W671,"&gt;"&amp;0)&lt;5,IF(AND(COUNTIF(J$1237:J1273,1)&gt;7,MOD(1+IFERROR(MATCH($C671,总览!$D$46:$D$345,1)+1,1),7)=0),$C$3,0),0)</f>
        <v>86.2133333333334</v>
      </c>
      <c r="K671" s="131" cm="1">
        <f ca="1" t="array" ref="K671">IF(K1273=1,OFFSET($W$634,$B671,K$631-1)/SUMPRODUCT(--($D$631:$V$631=K$631),--($D1273:$V1273=1)),0)+SUM(K670)+IF(COUNTIF(K$1237:K1273,1)=1,5,0)+IF(COUNTIF(L671:$W671,"&gt;"&amp;0)&lt;5,IF(AND(COUNTIF(K$1237:K1273,1)&gt;7,MOD(1+IFERROR(MATCH($C671,总览!$D$46:$D$345,1)+1,1),7)=0),$C$3,0),0)</f>
        <v>83.7133333333334</v>
      </c>
      <c r="L671" s="131" cm="1">
        <f ca="1" t="array" ref="L671">IF(L1273=1,OFFSET($W$634,$B671,L$631-1)/SUMPRODUCT(--($D$631:$V$631=L$631),--($D1273:$V1273=1)),0)+SUM(L670)+IF(COUNTIF(L$1237:L1273,1)=1,5,0)+IF(COUNTIF(M671:$W671,"&gt;"&amp;0)&lt;5,IF(AND(COUNTIF(L$1237:L1273,1)&gt;7,MOD(1+IFERROR(MATCH($C671,总览!$D$46:$D$345,1)+1,1),7)=0),$C$3,0),0)</f>
        <v>83.7133333333334</v>
      </c>
      <c r="M671" s="131" cm="1">
        <f ca="1" t="array" ref="M671">IF(M1273=1,OFFSET($W$634,$B671,M$631-1)/SUMPRODUCT(--($D$631:$V$631=M$631),--($D1273:$V1273=1)),0)+SUM(M670)+IF(COUNTIF(M$1237:M1273,1)=1,5,0)+IF(COUNTIF(N671:$W671,"&gt;"&amp;0)&lt;5,IF(AND(COUNTIF(M$1237:M1273,1)&gt;7,MOD(1+IFERROR(MATCH($C671,总览!$D$46:$D$345,1)+1,1),7)=0),$C$3,0),0)</f>
        <v>33.5926785714286</v>
      </c>
      <c r="N671" s="131" cm="1">
        <f ca="1" t="array" ref="N671">IF(N1273=1,OFFSET($W$634,$B671,N$631-1)/SUMPRODUCT(--($D$631:$V$631=N$631),--($D1273:$V1273=1)),0)+SUM(N670)+IF(COUNTIF(N$1237:N1273,1)=1,5,0)+IF(COUNTIF(O671:$W671,"&gt;"&amp;0)&lt;5,IF(AND(COUNTIF(N$1237:N1273,1)&gt;7,MOD(1+IFERROR(MATCH($C671,总览!$D$46:$D$345,1)+1,1),7)=0),$C$3,0),0)</f>
        <v>34.8426785714286</v>
      </c>
      <c r="O671" s="131" cm="1">
        <f ca="1" t="array" ref="O671">IF(O1273=1,OFFSET($W$634,$B671,O$631-1)/SUMPRODUCT(--($D$631:$V$631=O$631),--($D1273:$V1273=1)),0)+SUM(O670)+IF(COUNTIF(O$1237:O1273,1)=1,5,0)+IF(COUNTIF(P671:$W671,"&gt;"&amp;0)&lt;5,IF(AND(COUNTIF(O$1237:O1273,1)&gt;7,MOD(1+IFERROR(MATCH($C671,总览!$D$46:$D$345,1)+1,1),7)=0),$C$3,0),0)</f>
        <v>39.8426785714286</v>
      </c>
      <c r="P671" s="131" cm="1">
        <f ca="1" t="array" ref="P671">IF(P1273=1,OFFSET($W$634,$B671,P$631-1)/SUMPRODUCT(--($D$631:$V$631=P$631),--($D1273:$V1273=1)),0)+SUM(P670)+IF(COUNTIF(P$1237:P1273,1)=1,5,0)+IF(COUNTIF(Q671:$W671,"&gt;"&amp;0)&lt;5,IF(AND(COUNTIF(P$1237:P1273,1)&gt;7,MOD(1+IFERROR(MATCH($C671,总览!$D$46:$D$345,1)+1,1),7)=0),$C$3,0),0)</f>
        <v>28.9614285714286</v>
      </c>
      <c r="Q671" s="131" cm="1">
        <f ca="1" t="array" ref="Q671">IF(Q1273=1,OFFSET($W$634,$B671,Q$631-1)/SUMPRODUCT(--($D$631:$V$631=Q$631),--($D1273:$V1273=1)),0)+SUM(Q670)+IF(COUNTIF(Q$1237:Q1273,1)=1,5,0)+IF(COUNTIF(R671:$W671,"&gt;"&amp;0)&lt;5,IF(AND(COUNTIF(Q$1237:Q1273,1)&gt;7,MOD(1+IFERROR(MATCH($C671,总览!$D$46:$D$345,1)+1,1),7)=0),$C$3,0),0)</f>
        <v>42.3426785714286</v>
      </c>
      <c r="R671" s="131" cm="1">
        <f ca="1" t="array" ref="R671">IF(R1273=1,OFFSET($W$634,$B671,R$631-1)/SUMPRODUCT(--($D$631:$V$631=R$631),--($D1273:$V1273=1)),0)+SUM(R670)+IF(COUNTIF(R$1237:R1273,1)=1,5,0)+IF(COUNTIF(S671:$W671,"&gt;"&amp;0)&lt;5,IF(AND(COUNTIF(R$1237:R1273,1)&gt;7,MOD(1+IFERROR(MATCH($C671,总览!$D$46:$D$345,1)+1,1),7)=0),$C$3,0),0)</f>
        <v>23.9614285714286</v>
      </c>
      <c r="S671" s="131" cm="1">
        <f ca="1" t="array" ref="S671">IF(S1273=1,OFFSET($W$634,$B671,S$631-1)/SUMPRODUCT(--($D$631:$V$631=S$631),--($D1273:$V1273=1)),0)+SUM(S670)+IF(COUNTIF(S$1237:S1273,1)=1,5,0)+IF(COUNTIF(T671:$W671,"&gt;"&amp;0)&lt;5,IF(AND(COUNTIF(S$1237:S1273,1)&gt;7,MOD(1+IFERROR(MATCH($C671,总览!$D$46:$D$345,1)+1,1),7)=0),$C$3,0),0)</f>
        <v>21.4614285714286</v>
      </c>
      <c r="T671" s="131" cm="1">
        <f ca="1" t="array" ref="T671">IF(T1273=1,OFFSET($W$634,$B671,T$631-1)/SUMPRODUCT(--($D$631:$V$631=T$631),--($D1273:$V1273=1)),0)+SUM(T670)+IF(COUNTIF(T$1237:T1273,1)=1,5,0)+IF(COUNTIF(U671:$W671,"&gt;"&amp;0)&lt;5,IF(AND(COUNTIF(T$1237:T1273,1)&gt;7,MOD(1+IFERROR(MATCH($C671,总览!$D$46:$D$345,1)+1,1),7)=0),$C$3,0),0)</f>
        <v>0</v>
      </c>
      <c r="U671" s="131" cm="1">
        <f ca="1" t="array" ref="U671">IF(U1273=1,OFFSET($W$634,$B671,U$631-1)/SUMPRODUCT(--($D$631:$V$631=U$631),--($D1273:$V1273=1)),0)+SUM(U670)+IF(COUNTIF(U$1237:U1273,1)=1,5,0)+IF(COUNTIF(V671:$W671,"&gt;"&amp;0)&lt;5,IF(AND(COUNTIF(U$1237:U1273,1)&gt;7,MOD(1+IFERROR(MATCH($C671,总览!$D$46:$D$345,1)+1,1),7)=0),$C$3,0),0)</f>
        <v>0</v>
      </c>
      <c r="V671" s="131" cm="1">
        <f ca="1" t="array" ref="V671">IF(V1273=1,OFFSET($W$634,$B671,V$631-1)/SUMPRODUCT(--($D$631:$V$631=V$631),--($D1273:$V1273=1)),0)+SUM(V670)+IF(COUNTIF(V$1237:V1273,1)=1,5,0)+IF(COUNTIF(W671:$W671,"&gt;"&amp;0)&lt;5,IF(AND(COUNTIF(V$1237:V1273,1)&gt;7,MOD(1+IFERROR(MATCH($C671,总览!$D$46:$D$345,1)+1,1),7)=0),$C$3,0),0)</f>
        <v>13.2496321823477</v>
      </c>
      <c r="W671" s="135" cm="1">
        <f ca="1" t="array" ref="W671">SUMPRODUCT(TRANSPOSE($AA671:$AG671),OFFSET($L$9:$L$15,0,W$631-1))</f>
        <v>26.4226324699144</v>
      </c>
      <c r="X671" s="135" cm="1">
        <f ca="1" t="array" ref="X671">SUMPRODUCT(TRANSPOSE($AA671:$AG671),OFFSET($L$9:$L$15,0,X$631-1))</f>
        <v>16</v>
      </c>
      <c r="Y671" s="135" cm="1">
        <f ca="1" t="array" ref="Y671">SUMPRODUCT(TRANSPOSE($AA671:$AG671),OFFSET($L$9:$L$15,0,Y$631-1))</f>
        <v>6</v>
      </c>
      <c r="Z671" s="135" cm="1">
        <f ca="1" t="array" ref="Z671">SUMPRODUCT(TRANSPOSE($AA671:$AG671),OFFSET($L$9:$L$15,0,Z$631-1))</f>
        <v>1.57736753008561</v>
      </c>
      <c r="AA671" s="136">
        <f ca="1" t="shared" ref="AA671:AG671" si="313">AH671-AH670</f>
        <v>0</v>
      </c>
      <c r="AB671" s="136">
        <f ca="1" t="shared" si="313"/>
        <v>0</v>
      </c>
      <c r="AC671" s="136">
        <f ca="1" t="shared" si="313"/>
        <v>0</v>
      </c>
      <c r="AD671" s="136">
        <f ca="1" t="shared" si="313"/>
        <v>100</v>
      </c>
      <c r="AE671" s="136">
        <f ca="1" t="shared" si="313"/>
        <v>0</v>
      </c>
      <c r="AF671" s="136">
        <f ca="1" t="shared" si="313"/>
        <v>0</v>
      </c>
      <c r="AG671" s="136">
        <f ca="1" t="shared" si="313"/>
        <v>0</v>
      </c>
      <c r="AH671" s="136">
        <f ca="1" t="shared" si="241"/>
        <v>450</v>
      </c>
      <c r="AI671" s="136">
        <f ca="1" t="shared" ref="AI671:AN671" si="314">IF($C671&gt;OFFSET($Q$8,MATCH(AI$634,$AH$634:$AN$634,0),0),OFFSET($P$8,MATCH(AI$634,$AH$634:$AN$634,0),0),MAX(0,$C671-OFFSET($Q$8,RIGHT(AI$634,1)-1,0)))</f>
        <v>909</v>
      </c>
      <c r="AJ671" s="136">
        <f ca="1" t="shared" si="314"/>
        <v>1818</v>
      </c>
      <c r="AK671" s="136">
        <f ca="1" t="shared" si="314"/>
        <v>523</v>
      </c>
      <c r="AL671" s="136">
        <f ca="1" t="shared" si="314"/>
        <v>0</v>
      </c>
      <c r="AM671" s="136">
        <f ca="1" t="shared" si="314"/>
        <v>0</v>
      </c>
      <c r="AN671" s="136">
        <f ca="1" t="shared" si="314"/>
        <v>0</v>
      </c>
      <c r="AP671" s="132">
        <v>37</v>
      </c>
      <c r="AQ671" s="132">
        <v>6590</v>
      </c>
      <c r="AR671" s="132">
        <v>6590</v>
      </c>
      <c r="AS671" s="132">
        <v>4370</v>
      </c>
      <c r="AT671" s="132">
        <v>2960</v>
      </c>
    </row>
    <row r="672" s="106" customFormat="1" ht="16.5" spans="2:46">
      <c r="B672" s="117">
        <v>38</v>
      </c>
      <c r="C672" s="130">
        <f t="shared" si="239"/>
        <v>3800</v>
      </c>
      <c r="D672" s="131" cm="1">
        <f ca="1" t="array" ref="D672">IF(D1274=1,OFFSET($W$634,$B672,D$631-1)/SUMPRODUCT(--($D$631:$V$631=D$631),--($D1274:$V1274=1)),0)+SUM(D671)+IF(COUNTIF(D$1237:D1274,1)=1,5,0)+IF(COUNTIF(E672:$W672,"&gt;"&amp;0)&lt;5,IF(AND(COUNTIF(D$1237:D1274,1)&gt;7,MOD(1+IFERROR(MATCH($C672,总览!$D$46:$D$345,1)+1,1),7)=0),$C$3,0),0)</f>
        <v>415.296000095855</v>
      </c>
      <c r="E672" s="131" cm="1">
        <f ca="1" t="array" ref="E672">IF(E1274=1,OFFSET($W$634,$B672,E$631-1)/SUMPRODUCT(--($D$631:$V$631=E$631),--($D1274:$V1274=1)),0)+SUM(E671)+IF(COUNTIF(E$1237:E1274,1)=1,5,0)+IF(COUNTIF(F672:$W672,"&gt;"&amp;0)&lt;5,IF(AND(COUNTIF(E$1237:E1274,1)&gt;7,MOD(1+IFERROR(MATCH($C672,总览!$D$46:$D$345,1)+1,1),7)=0),$C$3,0),0)</f>
        <v>415.296000095855</v>
      </c>
      <c r="F672" s="131" cm="1">
        <f ca="1" t="array" ref="F672">IF(F1274=1,OFFSET($W$634,$B672,F$631-1)/SUMPRODUCT(--($D$631:$V$631=F$631),--($D1274:$V1274=1)),0)+SUM(F671)+IF(COUNTIF(F$1237:F1274,1)=1,5,0)+IF(COUNTIF(G672:$W672,"&gt;"&amp;0)&lt;5,IF(AND(COUNTIF(F$1237:F1274,1)&gt;7,MOD(1+IFERROR(MATCH($C672,总览!$D$46:$D$345,1)+1,1),7)=0),$C$3,0),0)</f>
        <v>415.296000095855</v>
      </c>
      <c r="G672" s="131" cm="1">
        <f ca="1" t="array" ref="G672">IF(G1274=1,OFFSET($W$634,$B672,G$631-1)/SUMPRODUCT(--($D$631:$V$631=G$631),--($D1274:$V1274=1)),0)+SUM(G671)+IF(COUNTIF(G$1237:G1274,1)=1,5,0)+IF(COUNTIF(H672:$W672,"&gt;"&amp;0)&lt;5,IF(AND(COUNTIF(G$1237:G1274,1)&gt;7,MOD(1+IFERROR(MATCH($C672,总览!$D$46:$D$345,1)+1,1),7)=0),$C$3,0),0)</f>
        <v>92.2133333333334</v>
      </c>
      <c r="H672" s="131" cm="1">
        <f ca="1" t="array" ref="H672">IF(H1274=1,OFFSET($W$634,$B672,H$631-1)/SUMPRODUCT(--($D$631:$V$631=H$631),--($D1274:$V1274=1)),0)+SUM(H671)+IF(COUNTIF(H$1237:H1274,1)=1,5,0)+IF(COUNTIF(I672:$W672,"&gt;"&amp;0)&lt;5,IF(AND(COUNTIF(H$1237:H1274,1)&gt;7,MOD(1+IFERROR(MATCH($C672,总览!$D$46:$D$345,1)+1,1),7)=0),$C$3,0),0)</f>
        <v>92.2133333333334</v>
      </c>
      <c r="I672" s="131" cm="1">
        <f ca="1" t="array" ref="I672">IF(I1274=1,OFFSET($W$634,$B672,I$631-1)/SUMPRODUCT(--($D$631:$V$631=I$631),--($D1274:$V1274=1)),0)+SUM(I671)+IF(COUNTIF(I$1237:I1274,1)=1,5,0)+IF(COUNTIF(J672:$W672,"&gt;"&amp;0)&lt;5,IF(AND(COUNTIF(I$1237:I1274,1)&gt;7,MOD(1+IFERROR(MATCH($C672,总览!$D$46:$D$345,1)+1,1),7)=0),$C$3,0),0)</f>
        <v>92.2133333333334</v>
      </c>
      <c r="J672" s="131" cm="1">
        <f ca="1" t="array" ref="J672">IF(J1274=1,OFFSET($W$634,$B672,J$631-1)/SUMPRODUCT(--($D$631:$V$631=J$631),--($D1274:$V1274=1)),0)+SUM(J671)+IF(COUNTIF(J$1237:J1274,1)=1,5,0)+IF(COUNTIF(K672:$W672,"&gt;"&amp;0)&lt;5,IF(AND(COUNTIF(J$1237:J1274,1)&gt;7,MOD(1+IFERROR(MATCH($C672,总览!$D$46:$D$345,1)+1,1),7)=0),$C$3,0),0)</f>
        <v>88.88</v>
      </c>
      <c r="K672" s="131" cm="1">
        <f ca="1" t="array" ref="K672">IF(K1274=1,OFFSET($W$634,$B672,K$631-1)/SUMPRODUCT(--($D$631:$V$631=K$631),--($D1274:$V1274=1)),0)+SUM(K671)+IF(COUNTIF(K$1237:K1274,1)=1,5,0)+IF(COUNTIF(L672:$W672,"&gt;"&amp;0)&lt;5,IF(AND(COUNTIF(K$1237:K1274,1)&gt;7,MOD(1+IFERROR(MATCH($C672,总览!$D$46:$D$345,1)+1,1),7)=0),$C$3,0),0)</f>
        <v>86.3800000000001</v>
      </c>
      <c r="L672" s="131" cm="1">
        <f ca="1" t="array" ref="L672">IF(L1274=1,OFFSET($W$634,$B672,L$631-1)/SUMPRODUCT(--($D$631:$V$631=L$631),--($D1274:$V1274=1)),0)+SUM(L671)+IF(COUNTIF(L$1237:L1274,1)=1,5,0)+IF(COUNTIF(M672:$W672,"&gt;"&amp;0)&lt;5,IF(AND(COUNTIF(L$1237:L1274,1)&gt;7,MOD(1+IFERROR(MATCH($C672,总览!$D$46:$D$345,1)+1,1),7)=0),$C$3,0),0)</f>
        <v>86.3800000000001</v>
      </c>
      <c r="M672" s="131" cm="1">
        <f ca="1" t="array" ref="M672">IF(M1274=1,OFFSET($W$634,$B672,M$631-1)/SUMPRODUCT(--($D$631:$V$631=M$631),--($D1274:$V1274=1)),0)+SUM(M671)+IF(COUNTIF(M$1237:M1274,1)=1,5,0)+IF(COUNTIF(N672:$W672,"&gt;"&amp;0)&lt;5,IF(AND(COUNTIF(M$1237:M1274,1)&gt;7,MOD(1+IFERROR(MATCH($C672,总览!$D$46:$D$345,1)+1,1),7)=0),$C$3,0),0)</f>
        <v>34.4498214285714</v>
      </c>
      <c r="N672" s="131" cm="1">
        <f ca="1" t="array" ref="N672">IF(N1274=1,OFFSET($W$634,$B672,N$631-1)/SUMPRODUCT(--($D$631:$V$631=N$631),--($D1274:$V1274=1)),0)+SUM(N671)+IF(COUNTIF(N$1237:N1274,1)=1,5,0)+IF(COUNTIF(O672:$W672,"&gt;"&amp;0)&lt;5,IF(AND(COUNTIF(N$1237:N1274,1)&gt;7,MOD(1+IFERROR(MATCH($C672,总览!$D$46:$D$345,1)+1,1),7)=0),$C$3,0),0)</f>
        <v>35.6998214285714</v>
      </c>
      <c r="O672" s="131" cm="1">
        <f ca="1" t="array" ref="O672">IF(O1274=1,OFFSET($W$634,$B672,O$631-1)/SUMPRODUCT(--($D$631:$V$631=O$631),--($D1274:$V1274=1)),0)+SUM(O671)+IF(COUNTIF(O$1237:O1274,1)=1,5,0)+IF(COUNTIF(P672:$W672,"&gt;"&amp;0)&lt;5,IF(AND(COUNTIF(O$1237:O1274,1)&gt;7,MOD(1+IFERROR(MATCH($C672,总览!$D$46:$D$345,1)+1,1),7)=0),$C$3,0),0)</f>
        <v>40.6998214285714</v>
      </c>
      <c r="P672" s="131" cm="1">
        <f ca="1" t="array" ref="P672">IF(P1274=1,OFFSET($W$634,$B672,P$631-1)/SUMPRODUCT(--($D$631:$V$631=P$631),--($D1274:$V1274=1)),0)+SUM(P671)+IF(COUNTIF(P$1237:P1274,1)=1,5,0)+IF(COUNTIF(Q672:$W672,"&gt;"&amp;0)&lt;5,IF(AND(COUNTIF(P$1237:P1274,1)&gt;7,MOD(1+IFERROR(MATCH($C672,总览!$D$46:$D$345,1)+1,1),7)=0),$C$3,0),0)</f>
        <v>29.8185714285714</v>
      </c>
      <c r="Q672" s="131" cm="1">
        <f ca="1" t="array" ref="Q672">IF(Q1274=1,OFFSET($W$634,$B672,Q$631-1)/SUMPRODUCT(--($D$631:$V$631=Q$631),--($D1274:$V1274=1)),0)+SUM(Q671)+IF(COUNTIF(Q$1237:Q1274,1)=1,5,0)+IF(COUNTIF(R672:$W672,"&gt;"&amp;0)&lt;5,IF(AND(COUNTIF(Q$1237:Q1274,1)&gt;7,MOD(1+IFERROR(MATCH($C672,总览!$D$46:$D$345,1)+1,1),7)=0),$C$3,0),0)</f>
        <v>43.1998214285714</v>
      </c>
      <c r="R672" s="131" cm="1">
        <f ca="1" t="array" ref="R672">IF(R1274=1,OFFSET($W$634,$B672,R$631-1)/SUMPRODUCT(--($D$631:$V$631=R$631),--($D1274:$V1274=1)),0)+SUM(R671)+IF(COUNTIF(R$1237:R1274,1)=1,5,0)+IF(COUNTIF(S672:$W672,"&gt;"&amp;0)&lt;5,IF(AND(COUNTIF(R$1237:R1274,1)&gt;7,MOD(1+IFERROR(MATCH($C672,总览!$D$46:$D$345,1)+1,1),7)=0),$C$3,0),0)</f>
        <v>24.8185714285714</v>
      </c>
      <c r="S672" s="131" cm="1">
        <f ca="1" t="array" ref="S672">IF(S1274=1,OFFSET($W$634,$B672,S$631-1)/SUMPRODUCT(--($D$631:$V$631=S$631),--($D1274:$V1274=1)),0)+SUM(S671)+IF(COUNTIF(S$1237:S1274,1)=1,5,0)+IF(COUNTIF(T672:$W672,"&gt;"&amp;0)&lt;5,IF(AND(COUNTIF(S$1237:S1274,1)&gt;7,MOD(1+IFERROR(MATCH($C672,总览!$D$46:$D$345,1)+1,1),7)=0),$C$3,0),0)</f>
        <v>22.3185714285714</v>
      </c>
      <c r="T672" s="131" cm="1">
        <f ca="1" t="array" ref="T672">IF(T1274=1,OFFSET($W$634,$B672,T$631-1)/SUMPRODUCT(--($D$631:$V$631=T$631),--($D1274:$V1274=1)),0)+SUM(T671)+IF(COUNTIF(T$1237:T1274,1)=1,5,0)+IF(COUNTIF(U672:$W672,"&gt;"&amp;0)&lt;5,IF(AND(COUNTIF(T$1237:T1274,1)&gt;7,MOD(1+IFERROR(MATCH($C672,总览!$D$46:$D$345,1)+1,1),7)=0),$C$3,0),0)</f>
        <v>0</v>
      </c>
      <c r="U672" s="131" cm="1">
        <f ca="1" t="array" ref="U672">IF(U1274=1,OFFSET($W$634,$B672,U$631-1)/SUMPRODUCT(--($D$631:$V$631=U$631),--($D1274:$V1274=1)),0)+SUM(U671)+IF(COUNTIF(U$1237:U1274,1)=1,5,0)+IF(COUNTIF(V672:$W672,"&gt;"&amp;0)&lt;5,IF(AND(COUNTIF(U$1237:U1274,1)&gt;7,MOD(1+IFERROR(MATCH($C672,总览!$D$46:$D$345,1)+1,1),7)=0),$C$3,0),0)</f>
        <v>0</v>
      </c>
      <c r="V672" s="131" cm="1">
        <f ca="1" t="array" ref="V672">IF(V1274=1,OFFSET($W$634,$B672,V$631-1)/SUMPRODUCT(--($D$631:$V$631=V$631),--($D1274:$V1274=1)),0)+SUM(V671)+IF(COUNTIF(V$1237:V1274,1)=1,5,0)+IF(COUNTIF(W672:$W672,"&gt;"&amp;0)&lt;5,IF(AND(COUNTIF(V$1237:V1274,1)&gt;7,MOD(1+IFERROR(MATCH($C672,总览!$D$46:$D$345,1)+1,1),7)=0),$C$3,0),0)</f>
        <v>14.8269997124334</v>
      </c>
      <c r="W672" s="135" cm="1">
        <f ca="1" t="array" ref="W672">SUMPRODUCT(TRANSPOSE($AA672:$AG672),OFFSET($L$9:$L$15,0,W$631-1))</f>
        <v>26.4226324699144</v>
      </c>
      <c r="X672" s="135" cm="1">
        <f ca="1" t="array" ref="X672">SUMPRODUCT(TRANSPOSE($AA672:$AG672),OFFSET($L$9:$L$15,0,X$631-1))</f>
        <v>16</v>
      </c>
      <c r="Y672" s="135" cm="1">
        <f ca="1" t="array" ref="Y672">SUMPRODUCT(TRANSPOSE($AA672:$AG672),OFFSET($L$9:$L$15,0,Y$631-1))</f>
        <v>6</v>
      </c>
      <c r="Z672" s="135" cm="1">
        <f ca="1" t="array" ref="Z672">SUMPRODUCT(TRANSPOSE($AA672:$AG672),OFFSET($L$9:$L$15,0,Z$631-1))</f>
        <v>1.57736753008561</v>
      </c>
      <c r="AA672" s="136">
        <f ca="1" t="shared" ref="AA672:AG672" si="315">AH672-AH671</f>
        <v>0</v>
      </c>
      <c r="AB672" s="136">
        <f ca="1" t="shared" si="315"/>
        <v>0</v>
      </c>
      <c r="AC672" s="136">
        <f ca="1" t="shared" si="315"/>
        <v>0</v>
      </c>
      <c r="AD672" s="136">
        <f ca="1" t="shared" si="315"/>
        <v>100</v>
      </c>
      <c r="AE672" s="136">
        <f ca="1" t="shared" si="315"/>
        <v>0</v>
      </c>
      <c r="AF672" s="136">
        <f ca="1" t="shared" si="315"/>
        <v>0</v>
      </c>
      <c r="AG672" s="136">
        <f ca="1" t="shared" si="315"/>
        <v>0</v>
      </c>
      <c r="AH672" s="136">
        <f ca="1" t="shared" si="241"/>
        <v>450</v>
      </c>
      <c r="AI672" s="136">
        <f ca="1" t="shared" ref="AI672:AN672" si="316">IF($C672&gt;OFFSET($Q$8,MATCH(AI$634,$AH$634:$AN$634,0),0),OFFSET($P$8,MATCH(AI$634,$AH$634:$AN$634,0),0),MAX(0,$C672-OFFSET($Q$8,RIGHT(AI$634,1)-1,0)))</f>
        <v>909</v>
      </c>
      <c r="AJ672" s="136">
        <f ca="1" t="shared" si="316"/>
        <v>1818</v>
      </c>
      <c r="AK672" s="136">
        <f ca="1" t="shared" si="316"/>
        <v>623</v>
      </c>
      <c r="AL672" s="136">
        <f ca="1" t="shared" si="316"/>
        <v>0</v>
      </c>
      <c r="AM672" s="136">
        <f ca="1" t="shared" si="316"/>
        <v>0</v>
      </c>
      <c r="AN672" s="136">
        <f ca="1" t="shared" si="316"/>
        <v>0</v>
      </c>
      <c r="AP672" s="132">
        <v>38</v>
      </c>
      <c r="AQ672" s="132">
        <v>7310</v>
      </c>
      <c r="AR672" s="132">
        <v>7310</v>
      </c>
      <c r="AS672" s="132">
        <v>4730</v>
      </c>
      <c r="AT672" s="132">
        <v>3140</v>
      </c>
    </row>
    <row r="673" s="106" customFormat="1" ht="16.5" spans="2:46">
      <c r="B673" s="117">
        <v>39</v>
      </c>
      <c r="C673" s="130">
        <f t="shared" si="239"/>
        <v>3900</v>
      </c>
      <c r="D673" s="131" cm="1">
        <f ca="1" t="array" ref="D673">IF(D1275=1,OFFSET($W$634,$B673,D$631-1)/SUMPRODUCT(--($D$631:$V$631=D$631),--($D1275:$V1275=1)),0)+SUM(D672)+IF(COUNTIF(D$1237:D1275,1)=1,5,0)+IF(COUNTIF(E673:$W673,"&gt;"&amp;0)&lt;5,IF(AND(COUNTIF(D$1237:D1275,1)&gt;7,MOD(1+IFERROR(MATCH($C673,总览!$D$46:$D$345,1)+1,1),7)=0),$C$3,0),0)</f>
        <v>424.103544252494</v>
      </c>
      <c r="E673" s="131" cm="1">
        <f ca="1" t="array" ref="E673">IF(E1275=1,OFFSET($W$634,$B673,E$631-1)/SUMPRODUCT(--($D$631:$V$631=E$631),--($D1275:$V1275=1)),0)+SUM(E672)+IF(COUNTIF(E$1237:E1275,1)=1,5,0)+IF(COUNTIF(F673:$W673,"&gt;"&amp;0)&lt;5,IF(AND(COUNTIF(E$1237:E1275,1)&gt;7,MOD(1+IFERROR(MATCH($C673,总览!$D$46:$D$345,1)+1,1),7)=0),$C$3,0),0)</f>
        <v>424.103544252494</v>
      </c>
      <c r="F673" s="131" cm="1">
        <f ca="1" t="array" ref="F673">IF(F1275=1,OFFSET($W$634,$B673,F$631-1)/SUMPRODUCT(--($D$631:$V$631=F$631),--($D1275:$V1275=1)),0)+SUM(F672)+IF(COUNTIF(F$1237:F1275,1)=1,5,0)+IF(COUNTIF(G673:$W673,"&gt;"&amp;0)&lt;5,IF(AND(COUNTIF(F$1237:F1275,1)&gt;7,MOD(1+IFERROR(MATCH($C673,总览!$D$46:$D$345,1)+1,1),7)=0),$C$3,0),0)</f>
        <v>424.103544252494</v>
      </c>
      <c r="G673" s="131" cm="1">
        <f ca="1" t="array" ref="G673">IF(G1275=1,OFFSET($W$634,$B673,G$631-1)/SUMPRODUCT(--($D$631:$V$631=G$631),--($D1275:$V1275=1)),0)+SUM(G672)+IF(COUNTIF(G$1237:G1275,1)=1,5,0)+IF(COUNTIF(H673:$W673,"&gt;"&amp;0)&lt;5,IF(AND(COUNTIF(G$1237:G1275,1)&gt;7,MOD(1+IFERROR(MATCH($C673,总览!$D$46:$D$345,1)+1,1),7)=0),$C$3,0),0)</f>
        <v>94.88</v>
      </c>
      <c r="H673" s="131" cm="1">
        <f ca="1" t="array" ref="H673">IF(H1275=1,OFFSET($W$634,$B673,H$631-1)/SUMPRODUCT(--($D$631:$V$631=H$631),--($D1275:$V1275=1)),0)+SUM(H672)+IF(COUNTIF(H$1237:H1275,1)=1,5,0)+IF(COUNTIF(I673:$W673,"&gt;"&amp;0)&lt;5,IF(AND(COUNTIF(H$1237:H1275,1)&gt;7,MOD(1+IFERROR(MATCH($C673,总览!$D$46:$D$345,1)+1,1),7)=0),$C$3,0),0)</f>
        <v>94.88</v>
      </c>
      <c r="I673" s="131" cm="1">
        <f ca="1" t="array" ref="I673">IF(I1275=1,OFFSET($W$634,$B673,I$631-1)/SUMPRODUCT(--($D$631:$V$631=I$631),--($D1275:$V1275=1)),0)+SUM(I672)+IF(COUNTIF(I$1237:I1275,1)=1,5,0)+IF(COUNTIF(J673:$W673,"&gt;"&amp;0)&lt;5,IF(AND(COUNTIF(I$1237:I1275,1)&gt;7,MOD(1+IFERROR(MATCH($C673,总览!$D$46:$D$345,1)+1,1),7)=0),$C$3,0),0)</f>
        <v>94.88</v>
      </c>
      <c r="J673" s="131" cm="1">
        <f ca="1" t="array" ref="J673">IF(J1275=1,OFFSET($W$634,$B673,J$631-1)/SUMPRODUCT(--($D$631:$V$631=J$631),--($D1275:$V1275=1)),0)+SUM(J672)+IF(COUNTIF(J$1237:J1275,1)=1,5,0)+IF(COUNTIF(K673:$W673,"&gt;"&amp;0)&lt;5,IF(AND(COUNTIF(J$1237:J1275,1)&gt;7,MOD(1+IFERROR(MATCH($C673,总览!$D$46:$D$345,1)+1,1),7)=0),$C$3,0),0)</f>
        <v>91.5466666666667</v>
      </c>
      <c r="K673" s="131" cm="1">
        <f ca="1" t="array" ref="K673">IF(K1275=1,OFFSET($W$634,$B673,K$631-1)/SUMPRODUCT(--($D$631:$V$631=K$631),--($D1275:$V1275=1)),0)+SUM(K672)+IF(COUNTIF(K$1237:K1275,1)=1,5,0)+IF(COUNTIF(L673:$W673,"&gt;"&amp;0)&lt;5,IF(AND(COUNTIF(K$1237:K1275,1)&gt;7,MOD(1+IFERROR(MATCH($C673,总览!$D$46:$D$345,1)+1,1),7)=0),$C$3,0),0)</f>
        <v>89.0466666666667</v>
      </c>
      <c r="L673" s="131" cm="1">
        <f ca="1" t="array" ref="L673">IF(L1275=1,OFFSET($W$634,$B673,L$631-1)/SUMPRODUCT(--($D$631:$V$631=L$631),--($D1275:$V1275=1)),0)+SUM(L672)+IF(COUNTIF(L$1237:L1275,1)=1,5,0)+IF(COUNTIF(M673:$W673,"&gt;"&amp;0)&lt;5,IF(AND(COUNTIF(L$1237:L1275,1)&gt;7,MOD(1+IFERROR(MATCH($C673,总览!$D$46:$D$345,1)+1,1),7)=0),$C$3,0),0)</f>
        <v>89.0466666666667</v>
      </c>
      <c r="M673" s="131" cm="1">
        <f ca="1" t="array" ref="M673">IF(M1275=1,OFFSET($W$634,$B673,M$631-1)/SUMPRODUCT(--($D$631:$V$631=M$631),--($D1275:$V1275=1)),0)+SUM(M672)+IF(COUNTIF(M$1237:M1275,1)=1,5,0)+IF(COUNTIF(N673:$W673,"&gt;"&amp;0)&lt;5,IF(AND(COUNTIF(M$1237:M1275,1)&gt;7,MOD(1+IFERROR(MATCH($C673,总览!$D$46:$D$345,1)+1,1),7)=0),$C$3,0),0)</f>
        <v>35.3069642857143</v>
      </c>
      <c r="N673" s="131" cm="1">
        <f ca="1" t="array" ref="N673">IF(N1275=1,OFFSET($W$634,$B673,N$631-1)/SUMPRODUCT(--($D$631:$V$631=N$631),--($D1275:$V1275=1)),0)+SUM(N672)+IF(COUNTIF(N$1237:N1275,1)=1,5,0)+IF(COUNTIF(O673:$W673,"&gt;"&amp;0)&lt;5,IF(AND(COUNTIF(N$1237:N1275,1)&gt;7,MOD(1+IFERROR(MATCH($C673,总览!$D$46:$D$345,1)+1,1),7)=0),$C$3,0),0)</f>
        <v>36.5569642857143</v>
      </c>
      <c r="O673" s="131" cm="1">
        <f ca="1" t="array" ref="O673">IF(O1275=1,OFFSET($W$634,$B673,O$631-1)/SUMPRODUCT(--($D$631:$V$631=O$631),--($D1275:$V1275=1)),0)+SUM(O672)+IF(COUNTIF(O$1237:O1275,1)=1,5,0)+IF(COUNTIF(P673:$W673,"&gt;"&amp;0)&lt;5,IF(AND(COUNTIF(O$1237:O1275,1)&gt;7,MOD(1+IFERROR(MATCH($C673,总览!$D$46:$D$345,1)+1,1),7)=0),$C$3,0),0)</f>
        <v>41.5569642857143</v>
      </c>
      <c r="P673" s="131" cm="1">
        <f ca="1" t="array" ref="P673">IF(P1275=1,OFFSET($W$634,$B673,P$631-1)/SUMPRODUCT(--($D$631:$V$631=P$631),--($D1275:$V1275=1)),0)+SUM(P672)+IF(COUNTIF(P$1237:P1275,1)=1,5,0)+IF(COUNTIF(Q673:$W673,"&gt;"&amp;0)&lt;5,IF(AND(COUNTIF(P$1237:P1275,1)&gt;7,MOD(1+IFERROR(MATCH($C673,总览!$D$46:$D$345,1)+1,1),7)=0),$C$3,0),0)</f>
        <v>30.6757142857143</v>
      </c>
      <c r="Q673" s="131" cm="1">
        <f ca="1" t="array" ref="Q673">IF(Q1275=1,OFFSET($W$634,$B673,Q$631-1)/SUMPRODUCT(--($D$631:$V$631=Q$631),--($D1275:$V1275=1)),0)+SUM(Q672)+IF(COUNTIF(Q$1237:Q1275,1)=1,5,0)+IF(COUNTIF(R673:$W673,"&gt;"&amp;0)&lt;5,IF(AND(COUNTIF(Q$1237:Q1275,1)&gt;7,MOD(1+IFERROR(MATCH($C673,总览!$D$46:$D$345,1)+1,1),7)=0),$C$3,0),0)</f>
        <v>44.0569642857143</v>
      </c>
      <c r="R673" s="131" cm="1">
        <f ca="1" t="array" ref="R673">IF(R1275=1,OFFSET($W$634,$B673,R$631-1)/SUMPRODUCT(--($D$631:$V$631=R$631),--($D1275:$V1275=1)),0)+SUM(R672)+IF(COUNTIF(R$1237:R1275,1)=1,5,0)+IF(COUNTIF(S673:$W673,"&gt;"&amp;0)&lt;5,IF(AND(COUNTIF(R$1237:R1275,1)&gt;7,MOD(1+IFERROR(MATCH($C673,总览!$D$46:$D$345,1)+1,1),7)=0),$C$3,0),0)</f>
        <v>25.6757142857143</v>
      </c>
      <c r="S673" s="131" cm="1">
        <f ca="1" t="array" ref="S673">IF(S1275=1,OFFSET($W$634,$B673,S$631-1)/SUMPRODUCT(--($D$631:$V$631=S$631),--($D1275:$V1275=1)),0)+SUM(S672)+IF(COUNTIF(S$1237:S1275,1)=1,5,0)+IF(COUNTIF(T673:$W673,"&gt;"&amp;0)&lt;5,IF(AND(COUNTIF(S$1237:S1275,1)&gt;7,MOD(1+IFERROR(MATCH($C673,总览!$D$46:$D$345,1)+1,1),7)=0),$C$3,0),0)</f>
        <v>23.1757142857143</v>
      </c>
      <c r="T673" s="131" cm="1">
        <f ca="1" t="array" ref="T673">IF(T1275=1,OFFSET($W$634,$B673,T$631-1)/SUMPRODUCT(--($D$631:$V$631=T$631),--($D1275:$V1275=1)),0)+SUM(T672)+IF(COUNTIF(T$1237:T1275,1)=1,5,0)+IF(COUNTIF(U673:$W673,"&gt;"&amp;0)&lt;5,IF(AND(COUNTIF(T$1237:T1275,1)&gt;7,MOD(1+IFERROR(MATCH($C673,总览!$D$46:$D$345,1)+1,1),7)=0),$C$3,0),0)</f>
        <v>0</v>
      </c>
      <c r="U673" s="131" cm="1">
        <f ca="1" t="array" ref="U673">IF(U1275=1,OFFSET($W$634,$B673,U$631-1)/SUMPRODUCT(--($D$631:$V$631=U$631),--($D1275:$V1275=1)),0)+SUM(U672)+IF(COUNTIF(U$1237:U1275,1)=1,5,0)+IF(COUNTIF(V673:$W673,"&gt;"&amp;0)&lt;5,IF(AND(COUNTIF(U$1237:U1275,1)&gt;7,MOD(1+IFERROR(MATCH($C673,总览!$D$46:$D$345,1)+1,1),7)=0),$C$3,0),0)</f>
        <v>5.7886837650428</v>
      </c>
      <c r="V673" s="131" cm="1">
        <f ca="1" t="array" ref="V673">IF(V1275=1,OFFSET($W$634,$B673,V$631-1)/SUMPRODUCT(--($D$631:$V$631=V$631),--($D1275:$V1275=1)),0)+SUM(V672)+IF(COUNTIF(V$1237:V1275,1)=1,5,0)+IF(COUNTIF(W673:$W673,"&gt;"&amp;0)&lt;5,IF(AND(COUNTIF(V$1237:V1275,1)&gt;7,MOD(1+IFERROR(MATCH($C673,总览!$D$46:$D$345,1)+1,1),7)=0),$C$3,0),0)</f>
        <v>15.6156834774762</v>
      </c>
      <c r="W673" s="135" cm="1">
        <f ca="1" t="array" ref="W673">SUMPRODUCT(TRANSPOSE($AA673:$AG673),OFFSET($L$9:$L$15,0,W$631-1))</f>
        <v>26.4226324699144</v>
      </c>
      <c r="X673" s="135" cm="1">
        <f ca="1" t="array" ref="X673">SUMPRODUCT(TRANSPOSE($AA673:$AG673),OFFSET($L$9:$L$15,0,X$631-1))</f>
        <v>16</v>
      </c>
      <c r="Y673" s="135" cm="1">
        <f ca="1" t="array" ref="Y673">SUMPRODUCT(TRANSPOSE($AA673:$AG673),OFFSET($L$9:$L$15,0,Y$631-1))</f>
        <v>6</v>
      </c>
      <c r="Z673" s="135" cm="1">
        <f ca="1" t="array" ref="Z673">SUMPRODUCT(TRANSPOSE($AA673:$AG673),OFFSET($L$9:$L$15,0,Z$631-1))</f>
        <v>1.57736753008561</v>
      </c>
      <c r="AA673" s="136">
        <f ca="1" t="shared" ref="AA673:AG673" si="317">AH673-AH672</f>
        <v>0</v>
      </c>
      <c r="AB673" s="136">
        <f ca="1" t="shared" si="317"/>
        <v>0</v>
      </c>
      <c r="AC673" s="136">
        <f ca="1" t="shared" si="317"/>
        <v>0</v>
      </c>
      <c r="AD673" s="136">
        <f ca="1" t="shared" si="317"/>
        <v>100</v>
      </c>
      <c r="AE673" s="136">
        <f ca="1" t="shared" si="317"/>
        <v>0</v>
      </c>
      <c r="AF673" s="136">
        <f ca="1" t="shared" si="317"/>
        <v>0</v>
      </c>
      <c r="AG673" s="136">
        <f ca="1" t="shared" si="317"/>
        <v>0</v>
      </c>
      <c r="AH673" s="136">
        <f ca="1" t="shared" si="241"/>
        <v>450</v>
      </c>
      <c r="AI673" s="136">
        <f ca="1" t="shared" ref="AI673:AN673" si="318">IF($C673&gt;OFFSET($Q$8,MATCH(AI$634,$AH$634:$AN$634,0),0),OFFSET($P$8,MATCH(AI$634,$AH$634:$AN$634,0),0),MAX(0,$C673-OFFSET($Q$8,RIGHT(AI$634,1)-1,0)))</f>
        <v>909</v>
      </c>
      <c r="AJ673" s="136">
        <f ca="1" t="shared" si="318"/>
        <v>1818</v>
      </c>
      <c r="AK673" s="136">
        <f ca="1" t="shared" si="318"/>
        <v>723</v>
      </c>
      <c r="AL673" s="136">
        <f ca="1" t="shared" si="318"/>
        <v>0</v>
      </c>
      <c r="AM673" s="136">
        <f ca="1" t="shared" si="318"/>
        <v>0</v>
      </c>
      <c r="AN673" s="136">
        <f ca="1" t="shared" si="318"/>
        <v>0</v>
      </c>
      <c r="AP673" s="132">
        <v>39</v>
      </c>
      <c r="AQ673" s="132">
        <v>8030</v>
      </c>
      <c r="AR673" s="132">
        <v>8030</v>
      </c>
      <c r="AS673" s="132">
        <v>5090</v>
      </c>
      <c r="AT673" s="132">
        <v>3320</v>
      </c>
    </row>
    <row r="674" s="106" customFormat="1" ht="16.5" spans="2:46">
      <c r="B674" s="117">
        <v>40</v>
      </c>
      <c r="C674" s="130">
        <f t="shared" si="239"/>
        <v>4000</v>
      </c>
      <c r="D674" s="131" cm="1">
        <f ca="1" t="array" ref="D674">IF(D1276=1,OFFSET($W$634,$B674,D$631-1)/SUMPRODUCT(--($D$631:$V$631=D$631),--($D1276:$V1276=1)),0)+SUM(D673)+IF(COUNTIF(D$1237:D1276,1)=1,5,0)+IF(COUNTIF(E674:$W674,"&gt;"&amp;0)&lt;5,IF(AND(COUNTIF(D$1237:D1276,1)&gt;7,MOD(1+IFERROR(MATCH($C674,总览!$D$46:$D$345,1)+1,1),7)=0),$C$3,0),0)</f>
        <v>432.911088409132</v>
      </c>
      <c r="E674" s="131" cm="1">
        <f ca="1" t="array" ref="E674">IF(E1276=1,OFFSET($W$634,$B674,E$631-1)/SUMPRODUCT(--($D$631:$V$631=E$631),--($D1276:$V1276=1)),0)+SUM(E673)+IF(COUNTIF(E$1237:E1276,1)=1,5,0)+IF(COUNTIF(F674:$W674,"&gt;"&amp;0)&lt;5,IF(AND(COUNTIF(E$1237:E1276,1)&gt;7,MOD(1+IFERROR(MATCH($C674,总览!$D$46:$D$345,1)+1,1),7)=0),$C$3,0),0)</f>
        <v>432.911088409132</v>
      </c>
      <c r="F674" s="131" cm="1">
        <f ca="1" t="array" ref="F674">IF(F1276=1,OFFSET($W$634,$B674,F$631-1)/SUMPRODUCT(--($D$631:$V$631=F$631),--($D1276:$V1276=1)),0)+SUM(F673)+IF(COUNTIF(F$1237:F1276,1)=1,5,0)+IF(COUNTIF(G674:$W674,"&gt;"&amp;0)&lt;5,IF(AND(COUNTIF(F$1237:F1276,1)&gt;7,MOD(1+IFERROR(MATCH($C674,总览!$D$46:$D$345,1)+1,1),7)=0),$C$3,0),0)</f>
        <v>432.911088409132</v>
      </c>
      <c r="G674" s="131" cm="1">
        <f ca="1" t="array" ref="G674">IF(G1276=1,OFFSET($W$634,$B674,G$631-1)/SUMPRODUCT(--($D$631:$V$631=G$631),--($D1276:$V1276=1)),0)+SUM(G673)+IF(COUNTIF(G$1237:G1276,1)=1,5,0)+IF(COUNTIF(H674:$W674,"&gt;"&amp;0)&lt;5,IF(AND(COUNTIF(G$1237:G1276,1)&gt;7,MOD(1+IFERROR(MATCH($C674,总览!$D$46:$D$345,1)+1,1),7)=0),$C$3,0),0)</f>
        <v>97.5466666666667</v>
      </c>
      <c r="H674" s="131" cm="1">
        <f ca="1" t="array" ref="H674">IF(H1276=1,OFFSET($W$634,$B674,H$631-1)/SUMPRODUCT(--($D$631:$V$631=H$631),--($D1276:$V1276=1)),0)+SUM(H673)+IF(COUNTIF(H$1237:H1276,1)=1,5,0)+IF(COUNTIF(I674:$W674,"&gt;"&amp;0)&lt;5,IF(AND(COUNTIF(H$1237:H1276,1)&gt;7,MOD(1+IFERROR(MATCH($C674,总览!$D$46:$D$345,1)+1,1),7)=0),$C$3,0),0)</f>
        <v>97.5466666666667</v>
      </c>
      <c r="I674" s="131" cm="1">
        <f ca="1" t="array" ref="I674">IF(I1276=1,OFFSET($W$634,$B674,I$631-1)/SUMPRODUCT(--($D$631:$V$631=I$631),--($D1276:$V1276=1)),0)+SUM(I673)+IF(COUNTIF(I$1237:I1276,1)=1,5,0)+IF(COUNTIF(J674:$W674,"&gt;"&amp;0)&lt;5,IF(AND(COUNTIF(I$1237:I1276,1)&gt;7,MOD(1+IFERROR(MATCH($C674,总览!$D$46:$D$345,1)+1,1),7)=0),$C$3,0),0)</f>
        <v>97.5466666666667</v>
      </c>
      <c r="J674" s="131" cm="1">
        <f ca="1" t="array" ref="J674">IF(J1276=1,OFFSET($W$634,$B674,J$631-1)/SUMPRODUCT(--($D$631:$V$631=J$631),--($D1276:$V1276=1)),0)+SUM(J673)+IF(COUNTIF(J$1237:J1276,1)=1,5,0)+IF(COUNTIF(K674:$W674,"&gt;"&amp;0)&lt;5,IF(AND(COUNTIF(J$1237:J1276,1)&gt;7,MOD(1+IFERROR(MATCH($C674,总览!$D$46:$D$345,1)+1,1),7)=0),$C$3,0),0)</f>
        <v>94.2133333333334</v>
      </c>
      <c r="K674" s="131" cm="1">
        <f ca="1" t="array" ref="K674">IF(K1276=1,OFFSET($W$634,$B674,K$631-1)/SUMPRODUCT(--($D$631:$V$631=K$631),--($D1276:$V1276=1)),0)+SUM(K673)+IF(COUNTIF(K$1237:K1276,1)=1,5,0)+IF(COUNTIF(L674:$W674,"&gt;"&amp;0)&lt;5,IF(AND(COUNTIF(K$1237:K1276,1)&gt;7,MOD(1+IFERROR(MATCH($C674,总览!$D$46:$D$345,1)+1,1),7)=0),$C$3,0),0)</f>
        <v>91.7133333333334</v>
      </c>
      <c r="L674" s="131" cm="1">
        <f ca="1" t="array" ref="L674">IF(L1276=1,OFFSET($W$634,$B674,L$631-1)/SUMPRODUCT(--($D$631:$V$631=L$631),--($D1276:$V1276=1)),0)+SUM(L673)+IF(COUNTIF(L$1237:L1276,1)=1,5,0)+IF(COUNTIF(M674:$W674,"&gt;"&amp;0)&lt;5,IF(AND(COUNTIF(L$1237:L1276,1)&gt;7,MOD(1+IFERROR(MATCH($C674,总览!$D$46:$D$345,1)+1,1),7)=0),$C$3,0),0)</f>
        <v>91.7133333333334</v>
      </c>
      <c r="M674" s="131" cm="1">
        <f ca="1" t="array" ref="M674">IF(M1276=1,OFFSET($W$634,$B674,M$631-1)/SUMPRODUCT(--($D$631:$V$631=M$631),--($D1276:$V1276=1)),0)+SUM(M673)+IF(COUNTIF(M$1237:M1276,1)=1,5,0)+IF(COUNTIF(N674:$W674,"&gt;"&amp;0)&lt;5,IF(AND(COUNTIF(M$1237:M1276,1)&gt;7,MOD(1+IFERROR(MATCH($C674,总览!$D$46:$D$345,1)+1,1),7)=0),$C$3,0),0)</f>
        <v>36.1641071428571</v>
      </c>
      <c r="N674" s="131" cm="1">
        <f ca="1" t="array" ref="N674">IF(N1276=1,OFFSET($W$634,$B674,N$631-1)/SUMPRODUCT(--($D$631:$V$631=N$631),--($D1276:$V1276=1)),0)+SUM(N673)+IF(COUNTIF(N$1237:N1276,1)=1,5,0)+IF(COUNTIF(O674:$W674,"&gt;"&amp;0)&lt;5,IF(AND(COUNTIF(N$1237:N1276,1)&gt;7,MOD(1+IFERROR(MATCH($C674,总览!$D$46:$D$345,1)+1,1),7)=0),$C$3,0),0)</f>
        <v>37.4141071428571</v>
      </c>
      <c r="O674" s="131" cm="1">
        <f ca="1" t="array" ref="O674">IF(O1276=1,OFFSET($W$634,$B674,O$631-1)/SUMPRODUCT(--($D$631:$V$631=O$631),--($D1276:$V1276=1)),0)+SUM(O673)+IF(COUNTIF(O$1237:O1276,1)=1,5,0)+IF(COUNTIF(P674:$W674,"&gt;"&amp;0)&lt;5,IF(AND(COUNTIF(O$1237:O1276,1)&gt;7,MOD(1+IFERROR(MATCH($C674,总览!$D$46:$D$345,1)+1,1),7)=0),$C$3,0),0)</f>
        <v>42.4141071428571</v>
      </c>
      <c r="P674" s="131" cm="1">
        <f ca="1" t="array" ref="P674">IF(P1276=1,OFFSET($W$634,$B674,P$631-1)/SUMPRODUCT(--($D$631:$V$631=P$631),--($D1276:$V1276=1)),0)+SUM(P673)+IF(COUNTIF(P$1237:P1276,1)=1,5,0)+IF(COUNTIF(Q674:$W674,"&gt;"&amp;0)&lt;5,IF(AND(COUNTIF(P$1237:P1276,1)&gt;7,MOD(1+IFERROR(MATCH($C674,总览!$D$46:$D$345,1)+1,1),7)=0),$C$3,0),0)</f>
        <v>31.5328571428572</v>
      </c>
      <c r="Q674" s="131" cm="1">
        <f ca="1" t="array" ref="Q674">IF(Q1276=1,OFFSET($W$634,$B674,Q$631-1)/SUMPRODUCT(--($D$631:$V$631=Q$631),--($D1276:$V1276=1)),0)+SUM(Q673)+IF(COUNTIF(Q$1237:Q1276,1)=1,5,0)+IF(COUNTIF(R674:$W674,"&gt;"&amp;0)&lt;5,IF(AND(COUNTIF(Q$1237:Q1276,1)&gt;7,MOD(1+IFERROR(MATCH($C674,总览!$D$46:$D$345,1)+1,1),7)=0),$C$3,0),0)</f>
        <v>44.9141071428571</v>
      </c>
      <c r="R674" s="131" cm="1">
        <f ca="1" t="array" ref="R674">IF(R1276=1,OFFSET($W$634,$B674,R$631-1)/SUMPRODUCT(--($D$631:$V$631=R$631),--($D1276:$V1276=1)),0)+SUM(R673)+IF(COUNTIF(R$1237:R1276,1)=1,5,0)+IF(COUNTIF(S674:$W674,"&gt;"&amp;0)&lt;5,IF(AND(COUNTIF(R$1237:R1276,1)&gt;7,MOD(1+IFERROR(MATCH($C674,总览!$D$46:$D$345,1)+1,1),7)=0),$C$3,0),0)</f>
        <v>26.5328571428571</v>
      </c>
      <c r="S674" s="131" cm="1">
        <f ca="1" t="array" ref="S674">IF(S1276=1,OFFSET($W$634,$B674,S$631-1)/SUMPRODUCT(--($D$631:$V$631=S$631),--($D1276:$V1276=1)),0)+SUM(S673)+IF(COUNTIF(S$1237:S1276,1)=1,5,0)+IF(COUNTIF(T674:$W674,"&gt;"&amp;0)&lt;5,IF(AND(COUNTIF(S$1237:S1276,1)&gt;7,MOD(1+IFERROR(MATCH($C674,总览!$D$46:$D$345,1)+1,1),7)=0),$C$3,0),0)</f>
        <v>24.0328571428571</v>
      </c>
      <c r="T674" s="131" cm="1">
        <f ca="1" t="array" ref="T674">IF(T1276=1,OFFSET($W$634,$B674,T$631-1)/SUMPRODUCT(--($D$631:$V$631=T$631),--($D1276:$V1276=1)),0)+SUM(T673)+IF(COUNTIF(T$1237:T1276,1)=1,5,0)+IF(COUNTIF(U674:$W674,"&gt;"&amp;0)&lt;5,IF(AND(COUNTIF(T$1237:T1276,1)&gt;7,MOD(1+IFERROR(MATCH($C674,总览!$D$46:$D$345,1)+1,1),7)=0),$C$3,0),0)</f>
        <v>0</v>
      </c>
      <c r="U674" s="131" cm="1">
        <f ca="1" t="array" ref="U674">IF(U1276=1,OFFSET($W$634,$B674,U$631-1)/SUMPRODUCT(--($D$631:$V$631=U$631),--($D1276:$V1276=1)),0)+SUM(U673)+IF(COUNTIF(U$1237:U1276,1)=1,5,0)+IF(COUNTIF(V674:$W674,"&gt;"&amp;0)&lt;5,IF(AND(COUNTIF(U$1237:U1276,1)&gt;7,MOD(1+IFERROR(MATCH($C674,总览!$D$46:$D$345,1)+1,1),7)=0),$C$3,0),0)</f>
        <v>6.57736753008561</v>
      </c>
      <c r="V674" s="131" cm="1">
        <f ca="1" t="array" ref="V674">IF(V1276=1,OFFSET($W$634,$B674,V$631-1)/SUMPRODUCT(--($D$631:$V$631=V$631),--($D1276:$V1276=1)),0)+SUM(V673)+IF(COUNTIF(V$1237:V1276,1)=1,5,0)+IF(COUNTIF(W674:$W674,"&gt;"&amp;0)&lt;5,IF(AND(COUNTIF(V$1237:V1276,1)&gt;7,MOD(1+IFERROR(MATCH($C674,总览!$D$46:$D$345,1)+1,1),7)=0),$C$3,0),0)</f>
        <v>16.404367242519</v>
      </c>
      <c r="W674" s="135" cm="1">
        <f ca="1" t="array" ref="W674">SUMPRODUCT(TRANSPOSE($AA674:$AG674),OFFSET($L$9:$L$15,0,W$631-1))</f>
        <v>26.4226324699144</v>
      </c>
      <c r="X674" s="135" cm="1">
        <f ca="1" t="array" ref="X674">SUMPRODUCT(TRANSPOSE($AA674:$AG674),OFFSET($L$9:$L$15,0,X$631-1))</f>
        <v>16</v>
      </c>
      <c r="Y674" s="135" cm="1">
        <f ca="1" t="array" ref="Y674">SUMPRODUCT(TRANSPOSE($AA674:$AG674),OFFSET($L$9:$L$15,0,Y$631-1))</f>
        <v>6</v>
      </c>
      <c r="Z674" s="135" cm="1">
        <f ca="1" t="array" ref="Z674">SUMPRODUCT(TRANSPOSE($AA674:$AG674),OFFSET($L$9:$L$15,0,Z$631-1))</f>
        <v>1.57736753008561</v>
      </c>
      <c r="AA674" s="136">
        <f ca="1" t="shared" ref="AA674:AG674" si="319">AH674-AH673</f>
        <v>0</v>
      </c>
      <c r="AB674" s="136">
        <f ca="1" t="shared" si="319"/>
        <v>0</v>
      </c>
      <c r="AC674" s="136">
        <f ca="1" t="shared" si="319"/>
        <v>0</v>
      </c>
      <c r="AD674" s="136">
        <f ca="1" t="shared" si="319"/>
        <v>100</v>
      </c>
      <c r="AE674" s="136">
        <f ca="1" t="shared" si="319"/>
        <v>0</v>
      </c>
      <c r="AF674" s="136">
        <f ca="1" t="shared" si="319"/>
        <v>0</v>
      </c>
      <c r="AG674" s="136">
        <f ca="1" t="shared" si="319"/>
        <v>0</v>
      </c>
      <c r="AH674" s="136">
        <f ca="1" t="shared" si="241"/>
        <v>450</v>
      </c>
      <c r="AI674" s="136">
        <f ca="1" t="shared" ref="AI674:AN674" si="320">IF($C674&gt;OFFSET($Q$8,MATCH(AI$634,$AH$634:$AN$634,0),0),OFFSET($P$8,MATCH(AI$634,$AH$634:$AN$634,0),0),MAX(0,$C674-OFFSET($Q$8,RIGHT(AI$634,1)-1,0)))</f>
        <v>909</v>
      </c>
      <c r="AJ674" s="136">
        <f ca="1" t="shared" si="320"/>
        <v>1818</v>
      </c>
      <c r="AK674" s="136">
        <f ca="1" t="shared" si="320"/>
        <v>823</v>
      </c>
      <c r="AL674" s="136">
        <f ca="1" t="shared" si="320"/>
        <v>0</v>
      </c>
      <c r="AM674" s="136">
        <f ca="1" t="shared" si="320"/>
        <v>0</v>
      </c>
      <c r="AN674" s="136">
        <f ca="1" t="shared" si="320"/>
        <v>0</v>
      </c>
      <c r="AP674" s="132">
        <v>40</v>
      </c>
      <c r="AQ674" s="132">
        <v>8750</v>
      </c>
      <c r="AR674" s="132">
        <v>8750</v>
      </c>
      <c r="AS674" s="132">
        <v>5450</v>
      </c>
      <c r="AT674" s="132">
        <v>3500</v>
      </c>
    </row>
    <row r="675" s="106" customFormat="1" ht="16.5" spans="2:46">
      <c r="B675" s="117">
        <v>41</v>
      </c>
      <c r="C675" s="130">
        <f t="shared" si="239"/>
        <v>4100</v>
      </c>
      <c r="D675" s="131" cm="1">
        <f ca="1" t="array" ref="D675">IF(D1277=1,OFFSET($W$634,$B675,D$631-1)/SUMPRODUCT(--($D$631:$V$631=D$631),--($D1277:$V1277=1)),0)+SUM(D674)+IF(COUNTIF(D$1237:D1277,1)=1,5,0)+IF(COUNTIF(E675:$W675,"&gt;"&amp;0)&lt;5,IF(AND(COUNTIF(D$1237:D1277,1)&gt;7,MOD(1+IFERROR(MATCH($C675,总览!$D$46:$D$345,1)+1,1),7)=0),$C$3,0),0)</f>
        <v>441.71863256577</v>
      </c>
      <c r="E675" s="131" cm="1">
        <f ca="1" t="array" ref="E675">IF(E1277=1,OFFSET($W$634,$B675,E$631-1)/SUMPRODUCT(--($D$631:$V$631=E$631),--($D1277:$V1277=1)),0)+SUM(E674)+IF(COUNTIF(E$1237:E1277,1)=1,5,0)+IF(COUNTIF(F675:$W675,"&gt;"&amp;0)&lt;5,IF(AND(COUNTIF(E$1237:E1277,1)&gt;7,MOD(1+IFERROR(MATCH($C675,总览!$D$46:$D$345,1)+1,1),7)=0),$C$3,0),0)</f>
        <v>441.71863256577</v>
      </c>
      <c r="F675" s="131" cm="1">
        <f ca="1" t="array" ref="F675">IF(F1277=1,OFFSET($W$634,$B675,F$631-1)/SUMPRODUCT(--($D$631:$V$631=F$631),--($D1277:$V1277=1)),0)+SUM(F674)+IF(COUNTIF(F$1237:F1277,1)=1,5,0)+IF(COUNTIF(G675:$W675,"&gt;"&amp;0)&lt;5,IF(AND(COUNTIF(F$1237:F1277,1)&gt;7,MOD(1+IFERROR(MATCH($C675,总览!$D$46:$D$345,1)+1,1),7)=0),$C$3,0),0)</f>
        <v>441.71863256577</v>
      </c>
      <c r="G675" s="131" cm="1">
        <f ca="1" t="array" ref="G675">IF(G1277=1,OFFSET($W$634,$B675,G$631-1)/SUMPRODUCT(--($D$631:$V$631=G$631),--($D1277:$V1277=1)),0)+SUM(G674)+IF(COUNTIF(G$1237:G1277,1)=1,5,0)+IF(COUNTIF(H675:$W675,"&gt;"&amp;0)&lt;5,IF(AND(COUNTIF(G$1237:G1277,1)&gt;7,MOD(1+IFERROR(MATCH($C675,总览!$D$46:$D$345,1)+1,1),7)=0),$C$3,0),0)</f>
        <v>100.213333333333</v>
      </c>
      <c r="H675" s="131" cm="1">
        <f ca="1" t="array" ref="H675">IF(H1277=1,OFFSET($W$634,$B675,H$631-1)/SUMPRODUCT(--($D$631:$V$631=H$631),--($D1277:$V1277=1)),0)+SUM(H674)+IF(COUNTIF(H$1237:H1277,1)=1,5,0)+IF(COUNTIF(I675:$W675,"&gt;"&amp;0)&lt;5,IF(AND(COUNTIF(H$1237:H1277,1)&gt;7,MOD(1+IFERROR(MATCH($C675,总览!$D$46:$D$345,1)+1,1),7)=0),$C$3,0),0)</f>
        <v>100.213333333333</v>
      </c>
      <c r="I675" s="131" cm="1">
        <f ca="1" t="array" ref="I675">IF(I1277=1,OFFSET($W$634,$B675,I$631-1)/SUMPRODUCT(--($D$631:$V$631=I$631),--($D1277:$V1277=1)),0)+SUM(I674)+IF(COUNTIF(I$1237:I1277,1)=1,5,0)+IF(COUNTIF(J675:$W675,"&gt;"&amp;0)&lt;5,IF(AND(COUNTIF(I$1237:I1277,1)&gt;7,MOD(1+IFERROR(MATCH($C675,总览!$D$46:$D$345,1)+1,1),7)=0),$C$3,0),0)</f>
        <v>100.213333333333</v>
      </c>
      <c r="J675" s="131" cm="1">
        <f ca="1" t="array" ref="J675">IF(J1277=1,OFFSET($W$634,$B675,J$631-1)/SUMPRODUCT(--($D$631:$V$631=J$631),--($D1277:$V1277=1)),0)+SUM(J674)+IF(COUNTIF(J$1237:J1277,1)=1,5,0)+IF(COUNTIF(K675:$W675,"&gt;"&amp;0)&lt;5,IF(AND(COUNTIF(J$1237:J1277,1)&gt;7,MOD(1+IFERROR(MATCH($C675,总览!$D$46:$D$345,1)+1,1),7)=0),$C$3,0),0)</f>
        <v>96.8800000000001</v>
      </c>
      <c r="K675" s="131" cm="1">
        <f ca="1" t="array" ref="K675">IF(K1277=1,OFFSET($W$634,$B675,K$631-1)/SUMPRODUCT(--($D$631:$V$631=K$631),--($D1277:$V1277=1)),0)+SUM(K674)+IF(COUNTIF(K$1237:K1277,1)=1,5,0)+IF(COUNTIF(L675:$W675,"&gt;"&amp;0)&lt;5,IF(AND(COUNTIF(K$1237:K1277,1)&gt;7,MOD(1+IFERROR(MATCH($C675,总览!$D$46:$D$345,1)+1,1),7)=0),$C$3,0),0)</f>
        <v>94.3800000000001</v>
      </c>
      <c r="L675" s="131" cm="1">
        <f ca="1" t="array" ref="L675">IF(L1277=1,OFFSET($W$634,$B675,L$631-1)/SUMPRODUCT(--($D$631:$V$631=L$631),--($D1277:$V1277=1)),0)+SUM(L674)+IF(COUNTIF(L$1237:L1277,1)=1,5,0)+IF(COUNTIF(M675:$W675,"&gt;"&amp;0)&lt;5,IF(AND(COUNTIF(L$1237:L1277,1)&gt;7,MOD(1+IFERROR(MATCH($C675,总览!$D$46:$D$345,1)+1,1),7)=0),$C$3,0),0)</f>
        <v>94.3800000000001</v>
      </c>
      <c r="M675" s="131" cm="1">
        <f ca="1" t="array" ref="M675">IF(M1277=1,OFFSET($W$634,$B675,M$631-1)/SUMPRODUCT(--($D$631:$V$631=M$631),--($D1277:$V1277=1)),0)+SUM(M674)+IF(COUNTIF(M$1237:M1277,1)=1,5,0)+IF(COUNTIF(N675:$W675,"&gt;"&amp;0)&lt;5,IF(AND(COUNTIF(M$1237:M1277,1)&gt;7,MOD(1+IFERROR(MATCH($C675,总览!$D$46:$D$345,1)+1,1),7)=0),$C$3,0),0)</f>
        <v>37.02125</v>
      </c>
      <c r="N675" s="131" cm="1">
        <f ca="1" t="array" ref="N675">IF(N1277=1,OFFSET($W$634,$B675,N$631-1)/SUMPRODUCT(--($D$631:$V$631=N$631),--($D1277:$V1277=1)),0)+SUM(N674)+IF(COUNTIF(N$1237:N1277,1)=1,5,0)+IF(COUNTIF(O675:$W675,"&gt;"&amp;0)&lt;5,IF(AND(COUNTIF(N$1237:N1277,1)&gt;7,MOD(1+IFERROR(MATCH($C675,总览!$D$46:$D$345,1)+1,1),7)=0),$C$3,0),0)</f>
        <v>38.27125</v>
      </c>
      <c r="O675" s="131" cm="1">
        <f ca="1" t="array" ref="O675">IF(O1277=1,OFFSET($W$634,$B675,O$631-1)/SUMPRODUCT(--($D$631:$V$631=O$631),--($D1277:$V1277=1)),0)+SUM(O674)+IF(COUNTIF(O$1237:O1277,1)=1,5,0)+IF(COUNTIF(P675:$W675,"&gt;"&amp;0)&lt;5,IF(AND(COUNTIF(O$1237:O1277,1)&gt;7,MOD(1+IFERROR(MATCH($C675,总览!$D$46:$D$345,1)+1,1),7)=0),$C$3,0),0)</f>
        <v>43.27125</v>
      </c>
      <c r="P675" s="131" cm="1">
        <f ca="1" t="array" ref="P675">IF(P1277=1,OFFSET($W$634,$B675,P$631-1)/SUMPRODUCT(--($D$631:$V$631=P$631),--($D1277:$V1277=1)),0)+SUM(P674)+IF(COUNTIF(P$1237:P1277,1)=1,5,0)+IF(COUNTIF(Q675:$W675,"&gt;"&amp;0)&lt;5,IF(AND(COUNTIF(P$1237:P1277,1)&gt;7,MOD(1+IFERROR(MATCH($C675,总览!$D$46:$D$345,1)+1,1),7)=0),$C$3,0),0)</f>
        <v>32.39</v>
      </c>
      <c r="Q675" s="131" cm="1">
        <f ca="1" t="array" ref="Q675">IF(Q1277=1,OFFSET($W$634,$B675,Q$631-1)/SUMPRODUCT(--($D$631:$V$631=Q$631),--($D1277:$V1277=1)),0)+SUM(Q674)+IF(COUNTIF(Q$1237:Q1277,1)=1,5,0)+IF(COUNTIF(R675:$W675,"&gt;"&amp;0)&lt;5,IF(AND(COUNTIF(Q$1237:Q1277,1)&gt;7,MOD(1+IFERROR(MATCH($C675,总览!$D$46:$D$345,1)+1,1),7)=0),$C$3,0),0)</f>
        <v>45.77125</v>
      </c>
      <c r="R675" s="131" cm="1">
        <f ca="1" t="array" ref="R675">IF(R1277=1,OFFSET($W$634,$B675,R$631-1)/SUMPRODUCT(--($D$631:$V$631=R$631),--($D1277:$V1277=1)),0)+SUM(R674)+IF(COUNTIF(R$1237:R1277,1)=1,5,0)+IF(COUNTIF(S675:$W675,"&gt;"&amp;0)&lt;5,IF(AND(COUNTIF(R$1237:R1277,1)&gt;7,MOD(1+IFERROR(MATCH($C675,总览!$D$46:$D$345,1)+1,1),7)=0),$C$3,0),0)</f>
        <v>32.39</v>
      </c>
      <c r="S675" s="131" cm="1">
        <f ca="1" t="array" ref="S675">IF(S1277=1,OFFSET($W$634,$B675,S$631-1)/SUMPRODUCT(--($D$631:$V$631=S$631),--($D1277:$V1277=1)),0)+SUM(S674)+IF(COUNTIF(S$1237:S1277,1)=1,5,0)+IF(COUNTIF(T675:$W675,"&gt;"&amp;0)&lt;5,IF(AND(COUNTIF(S$1237:S1277,1)&gt;7,MOD(1+IFERROR(MATCH($C675,总览!$D$46:$D$345,1)+1,1),7)=0),$C$3,0),0)</f>
        <v>29.89</v>
      </c>
      <c r="T675" s="131" cm="1">
        <f ca="1" t="array" ref="T675">IF(T1277=1,OFFSET($W$634,$B675,T$631-1)/SUMPRODUCT(--($D$631:$V$631=T$631),--($D1277:$V1277=1)),0)+SUM(T674)+IF(COUNTIF(T$1237:T1277,1)=1,5,0)+IF(COUNTIF(U675:$W675,"&gt;"&amp;0)&lt;5,IF(AND(COUNTIF(T$1237:T1277,1)&gt;7,MOD(1+IFERROR(MATCH($C675,总览!$D$46:$D$345,1)+1,1),7)=0),$C$3,0),0)</f>
        <v>0</v>
      </c>
      <c r="U675" s="131" cm="1">
        <f ca="1" t="array" ref="U675">IF(U1277=1,OFFSET($W$634,$B675,U$631-1)/SUMPRODUCT(--($D$631:$V$631=U$631),--($D1277:$V1277=1)),0)+SUM(U674)+IF(COUNTIF(U$1237:U1277,1)=1,5,0)+IF(COUNTIF(V675:$W675,"&gt;"&amp;0)&lt;5,IF(AND(COUNTIF(U$1237:U1277,1)&gt;7,MOD(1+IFERROR(MATCH($C675,总览!$D$46:$D$345,1)+1,1),7)=0),$C$3,0),0)</f>
        <v>7.36605129512841</v>
      </c>
      <c r="V675" s="131" cm="1">
        <f ca="1" t="array" ref="V675">IF(V1277=1,OFFSET($W$634,$B675,V$631-1)/SUMPRODUCT(--($D$631:$V$631=V$631),--($D1277:$V1277=1)),0)+SUM(V674)+IF(COUNTIF(V$1237:V1277,1)=1,5,0)+IF(COUNTIF(W675:$W675,"&gt;"&amp;0)&lt;5,IF(AND(COUNTIF(V$1237:V1277,1)&gt;7,MOD(1+IFERROR(MATCH($C675,总览!$D$46:$D$345,1)+1,1),7)=0),$C$3,0),0)</f>
        <v>22.1930510075618</v>
      </c>
      <c r="W675" s="135" cm="1">
        <f ca="1" t="array" ref="W675">SUMPRODUCT(TRANSPOSE($AA675:$AG675),OFFSET($L$9:$L$15,0,W$631-1))</f>
        <v>26.4226324699144</v>
      </c>
      <c r="X675" s="135" cm="1">
        <f ca="1" t="array" ref="X675">SUMPRODUCT(TRANSPOSE($AA675:$AG675),OFFSET($L$9:$L$15,0,X$631-1))</f>
        <v>16</v>
      </c>
      <c r="Y675" s="135" cm="1">
        <f ca="1" t="array" ref="Y675">SUMPRODUCT(TRANSPOSE($AA675:$AG675),OFFSET($L$9:$L$15,0,Y$631-1))</f>
        <v>6</v>
      </c>
      <c r="Z675" s="135" cm="1">
        <f ca="1" t="array" ref="Z675">SUMPRODUCT(TRANSPOSE($AA675:$AG675),OFFSET($L$9:$L$15,0,Z$631-1))</f>
        <v>1.57736753008561</v>
      </c>
      <c r="AA675" s="136">
        <f ca="1" t="shared" ref="AA675:AG675" si="321">AH675-AH674</f>
        <v>0</v>
      </c>
      <c r="AB675" s="136">
        <f ca="1" t="shared" si="321"/>
        <v>0</v>
      </c>
      <c r="AC675" s="136">
        <f ca="1" t="shared" si="321"/>
        <v>0</v>
      </c>
      <c r="AD675" s="136">
        <f ca="1" t="shared" si="321"/>
        <v>100</v>
      </c>
      <c r="AE675" s="136">
        <f ca="1" t="shared" si="321"/>
        <v>0</v>
      </c>
      <c r="AF675" s="136">
        <f ca="1" t="shared" si="321"/>
        <v>0</v>
      </c>
      <c r="AG675" s="136">
        <f ca="1" t="shared" si="321"/>
        <v>0</v>
      </c>
      <c r="AH675" s="136">
        <f ca="1" t="shared" si="241"/>
        <v>450</v>
      </c>
      <c r="AI675" s="136">
        <f ca="1" t="shared" ref="AI675:AN675" si="322">IF($C675&gt;OFFSET($Q$8,MATCH(AI$634,$AH$634:$AN$634,0),0),OFFSET($P$8,MATCH(AI$634,$AH$634:$AN$634,0),0),MAX(0,$C675-OFFSET($Q$8,RIGHT(AI$634,1)-1,0)))</f>
        <v>909</v>
      </c>
      <c r="AJ675" s="136">
        <f ca="1" t="shared" si="322"/>
        <v>1818</v>
      </c>
      <c r="AK675" s="136">
        <f ca="1" t="shared" si="322"/>
        <v>923</v>
      </c>
      <c r="AL675" s="136">
        <f ca="1" t="shared" si="322"/>
        <v>0</v>
      </c>
      <c r="AM675" s="136">
        <f ca="1" t="shared" si="322"/>
        <v>0</v>
      </c>
      <c r="AN675" s="136">
        <f ca="1" t="shared" si="322"/>
        <v>0</v>
      </c>
      <c r="AP675" s="132">
        <v>41</v>
      </c>
      <c r="AQ675" s="132">
        <v>9830</v>
      </c>
      <c r="AR675" s="132">
        <v>9830</v>
      </c>
      <c r="AS675" s="132">
        <v>5930</v>
      </c>
      <c r="AT675" s="132">
        <v>3740</v>
      </c>
    </row>
    <row r="676" s="106" customFormat="1" ht="16.5" spans="2:46">
      <c r="B676" s="117">
        <v>42</v>
      </c>
      <c r="C676" s="130">
        <f t="shared" si="239"/>
        <v>4200</v>
      </c>
      <c r="D676" s="131" cm="1">
        <f ca="1" t="array" ref="D676">IF(D1278=1,OFFSET($W$634,$B676,D$631-1)/SUMPRODUCT(--($D$631:$V$631=D$631),--($D1278:$V1278=1)),0)+SUM(D675)+IF(COUNTIF(D$1237:D1278,1)=1,5,0)+IF(COUNTIF(E676:$W676,"&gt;"&amp;0)&lt;5,IF(AND(COUNTIF(D$1237:D1278,1)&gt;7,MOD(1+IFERROR(MATCH($C676,总览!$D$46:$D$345,1)+1,1),7)=0),$C$3,0),0)</f>
        <v>450.526176722408</v>
      </c>
      <c r="E676" s="131" cm="1">
        <f ca="1" t="array" ref="E676">IF(E1278=1,OFFSET($W$634,$B676,E$631-1)/SUMPRODUCT(--($D$631:$V$631=E$631),--($D1278:$V1278=1)),0)+SUM(E675)+IF(COUNTIF(E$1237:E1278,1)=1,5,0)+IF(COUNTIF(F676:$W676,"&gt;"&amp;0)&lt;5,IF(AND(COUNTIF(E$1237:E1278,1)&gt;7,MOD(1+IFERROR(MATCH($C676,总览!$D$46:$D$345,1)+1,1),7)=0),$C$3,0),0)</f>
        <v>450.526176722408</v>
      </c>
      <c r="F676" s="131" cm="1">
        <f ca="1" t="array" ref="F676">IF(F1278=1,OFFSET($W$634,$B676,F$631-1)/SUMPRODUCT(--($D$631:$V$631=F$631),--($D1278:$V1278=1)),0)+SUM(F675)+IF(COUNTIF(F$1237:F1278,1)=1,5,0)+IF(COUNTIF(G676:$W676,"&gt;"&amp;0)&lt;5,IF(AND(COUNTIF(F$1237:F1278,1)&gt;7,MOD(1+IFERROR(MATCH($C676,总览!$D$46:$D$345,1)+1,1),7)=0),$C$3,0),0)</f>
        <v>450.526176722408</v>
      </c>
      <c r="G676" s="131" cm="1">
        <f ca="1" t="array" ref="G676">IF(G1278=1,OFFSET($W$634,$B676,G$631-1)/SUMPRODUCT(--($D$631:$V$631=G$631),--($D1278:$V1278=1)),0)+SUM(G675)+IF(COUNTIF(G$1237:G1278,1)=1,5,0)+IF(COUNTIF(H676:$W676,"&gt;"&amp;0)&lt;5,IF(AND(COUNTIF(G$1237:G1278,1)&gt;7,MOD(1+IFERROR(MATCH($C676,总览!$D$46:$D$345,1)+1,1),7)=0),$C$3,0),0)</f>
        <v>102.88</v>
      </c>
      <c r="H676" s="131" cm="1">
        <f ca="1" t="array" ref="H676">IF(H1278=1,OFFSET($W$634,$B676,H$631-1)/SUMPRODUCT(--($D$631:$V$631=H$631),--($D1278:$V1278=1)),0)+SUM(H675)+IF(COUNTIF(H$1237:H1278,1)=1,5,0)+IF(COUNTIF(I676:$W676,"&gt;"&amp;0)&lt;5,IF(AND(COUNTIF(H$1237:H1278,1)&gt;7,MOD(1+IFERROR(MATCH($C676,总览!$D$46:$D$345,1)+1,1),7)=0),$C$3,0),0)</f>
        <v>102.88</v>
      </c>
      <c r="I676" s="131" cm="1">
        <f ca="1" t="array" ref="I676">IF(I1278=1,OFFSET($W$634,$B676,I$631-1)/SUMPRODUCT(--($D$631:$V$631=I$631),--($D1278:$V1278=1)),0)+SUM(I675)+IF(COUNTIF(I$1237:I1278,1)=1,5,0)+IF(COUNTIF(J676:$W676,"&gt;"&amp;0)&lt;5,IF(AND(COUNTIF(I$1237:I1278,1)&gt;7,MOD(1+IFERROR(MATCH($C676,总览!$D$46:$D$345,1)+1,1),7)=0),$C$3,0),0)</f>
        <v>102.88</v>
      </c>
      <c r="J676" s="131" cm="1">
        <f ca="1" t="array" ref="J676">IF(J1278=1,OFFSET($W$634,$B676,J$631-1)/SUMPRODUCT(--($D$631:$V$631=J$631),--($D1278:$V1278=1)),0)+SUM(J675)+IF(COUNTIF(J$1237:J1278,1)=1,5,0)+IF(COUNTIF(K676:$W676,"&gt;"&amp;0)&lt;5,IF(AND(COUNTIF(J$1237:J1278,1)&gt;7,MOD(1+IFERROR(MATCH($C676,总览!$D$46:$D$345,1)+1,1),7)=0),$C$3,0),0)</f>
        <v>99.5466666666667</v>
      </c>
      <c r="K676" s="131" cm="1">
        <f ca="1" t="array" ref="K676">IF(K1278=1,OFFSET($W$634,$B676,K$631-1)/SUMPRODUCT(--($D$631:$V$631=K$631),--($D1278:$V1278=1)),0)+SUM(K675)+IF(COUNTIF(K$1237:K1278,1)=1,5,0)+IF(COUNTIF(L676:$W676,"&gt;"&amp;0)&lt;5,IF(AND(COUNTIF(K$1237:K1278,1)&gt;7,MOD(1+IFERROR(MATCH($C676,总览!$D$46:$D$345,1)+1,1),7)=0),$C$3,0),0)</f>
        <v>97.0466666666667</v>
      </c>
      <c r="L676" s="131" cm="1">
        <f ca="1" t="array" ref="L676">IF(L1278=1,OFFSET($W$634,$B676,L$631-1)/SUMPRODUCT(--($D$631:$V$631=L$631),--($D1278:$V1278=1)),0)+SUM(L675)+IF(COUNTIF(L$1237:L1278,1)=1,5,0)+IF(COUNTIF(M676:$W676,"&gt;"&amp;0)&lt;5,IF(AND(COUNTIF(L$1237:L1278,1)&gt;7,MOD(1+IFERROR(MATCH($C676,总览!$D$46:$D$345,1)+1,1),7)=0),$C$3,0),0)</f>
        <v>97.0466666666667</v>
      </c>
      <c r="M676" s="131" cm="1">
        <f ca="1" t="array" ref="M676">IF(M1278=1,OFFSET($W$634,$B676,M$631-1)/SUMPRODUCT(--($D$631:$V$631=M$631),--($D1278:$V1278=1)),0)+SUM(M675)+IF(COUNTIF(M$1237:M1278,1)=1,5,0)+IF(COUNTIF(N676:$W676,"&gt;"&amp;0)&lt;5,IF(AND(COUNTIF(M$1237:M1278,1)&gt;7,MOD(1+IFERROR(MATCH($C676,总览!$D$46:$D$345,1)+1,1),7)=0),$C$3,0),0)</f>
        <v>37.8783928571428</v>
      </c>
      <c r="N676" s="131" cm="1">
        <f ca="1" t="array" ref="N676">IF(N1278=1,OFFSET($W$634,$B676,N$631-1)/SUMPRODUCT(--($D$631:$V$631=N$631),--($D1278:$V1278=1)),0)+SUM(N675)+IF(COUNTIF(N$1237:N1278,1)=1,5,0)+IF(COUNTIF(O676:$W676,"&gt;"&amp;0)&lt;5,IF(AND(COUNTIF(N$1237:N1278,1)&gt;7,MOD(1+IFERROR(MATCH($C676,总览!$D$46:$D$345,1)+1,1),7)=0),$C$3,0),0)</f>
        <v>39.1283928571428</v>
      </c>
      <c r="O676" s="131" cm="1">
        <f ca="1" t="array" ref="O676">IF(O1278=1,OFFSET($W$634,$B676,O$631-1)/SUMPRODUCT(--($D$631:$V$631=O$631),--($D1278:$V1278=1)),0)+SUM(O675)+IF(COUNTIF(O$1237:O1278,1)=1,5,0)+IF(COUNTIF(P676:$W676,"&gt;"&amp;0)&lt;5,IF(AND(COUNTIF(O$1237:O1278,1)&gt;7,MOD(1+IFERROR(MATCH($C676,总览!$D$46:$D$345,1)+1,1),7)=0),$C$3,0),0)</f>
        <v>44.1283928571428</v>
      </c>
      <c r="P676" s="131" cm="1">
        <f ca="1" t="array" ref="P676">IF(P1278=1,OFFSET($W$634,$B676,P$631-1)/SUMPRODUCT(--($D$631:$V$631=P$631),--($D1278:$V1278=1)),0)+SUM(P675)+IF(COUNTIF(P$1237:P1278,1)=1,5,0)+IF(COUNTIF(Q676:$W676,"&gt;"&amp;0)&lt;5,IF(AND(COUNTIF(P$1237:P1278,1)&gt;7,MOD(1+IFERROR(MATCH($C676,总览!$D$46:$D$345,1)+1,1),7)=0),$C$3,0),0)</f>
        <v>33.2471428571429</v>
      </c>
      <c r="Q676" s="131" cm="1">
        <f ca="1" t="array" ref="Q676">IF(Q1278=1,OFFSET($W$634,$B676,Q$631-1)/SUMPRODUCT(--($D$631:$V$631=Q$631),--($D1278:$V1278=1)),0)+SUM(Q675)+IF(COUNTIF(Q$1237:Q1278,1)=1,5,0)+IF(COUNTIF(R676:$W676,"&gt;"&amp;0)&lt;5,IF(AND(COUNTIF(Q$1237:Q1278,1)&gt;7,MOD(1+IFERROR(MATCH($C676,总览!$D$46:$D$345,1)+1,1),7)=0),$C$3,0),0)</f>
        <v>46.6283928571428</v>
      </c>
      <c r="R676" s="131" cm="1">
        <f ca="1" t="array" ref="R676">IF(R1278=1,OFFSET($W$634,$B676,R$631-1)/SUMPRODUCT(--($D$631:$V$631=R$631),--($D1278:$V1278=1)),0)+SUM(R675)+IF(COUNTIF(R$1237:R1278,1)=1,5,0)+IF(COUNTIF(S676:$W676,"&gt;"&amp;0)&lt;5,IF(AND(COUNTIF(R$1237:R1278,1)&gt;7,MOD(1+IFERROR(MATCH($C676,总览!$D$46:$D$345,1)+1,1),7)=0),$C$3,0),0)</f>
        <v>33.2471428571429</v>
      </c>
      <c r="S676" s="131" cm="1">
        <f ca="1" t="array" ref="S676">IF(S1278=1,OFFSET($W$634,$B676,S$631-1)/SUMPRODUCT(--($D$631:$V$631=S$631),--($D1278:$V1278=1)),0)+SUM(S675)+IF(COUNTIF(S$1237:S1278,1)=1,5,0)+IF(COUNTIF(T676:$W676,"&gt;"&amp;0)&lt;5,IF(AND(COUNTIF(S$1237:S1278,1)&gt;7,MOD(1+IFERROR(MATCH($C676,总览!$D$46:$D$345,1)+1,1),7)=0),$C$3,0),0)</f>
        <v>30.7471428571429</v>
      </c>
      <c r="T676" s="131" cm="1">
        <f ca="1" t="array" ref="T676">IF(T1278=1,OFFSET($W$634,$B676,T$631-1)/SUMPRODUCT(--($D$631:$V$631=T$631),--($D1278:$V1278=1)),0)+SUM(T675)+IF(COUNTIF(T$1237:T1278,1)=1,5,0)+IF(COUNTIF(U676:$W676,"&gt;"&amp;0)&lt;5,IF(AND(COUNTIF(T$1237:T1278,1)&gt;7,MOD(1+IFERROR(MATCH($C676,总览!$D$46:$D$345,1)+1,1),7)=0),$C$3,0),0)</f>
        <v>0</v>
      </c>
      <c r="U676" s="131" cm="1">
        <f ca="1" t="array" ref="U676">IF(U1278=1,OFFSET($W$634,$B676,U$631-1)/SUMPRODUCT(--($D$631:$V$631=U$631),--($D1278:$V1278=1)),0)+SUM(U675)+IF(COUNTIF(U$1237:U1278,1)=1,5,0)+IF(COUNTIF(V676:$W676,"&gt;"&amp;0)&lt;5,IF(AND(COUNTIF(U$1237:U1278,1)&gt;7,MOD(1+IFERROR(MATCH($C676,总览!$D$46:$D$345,1)+1,1),7)=0),$C$3,0),0)</f>
        <v>8.15473506017122</v>
      </c>
      <c r="V676" s="131" cm="1">
        <f ca="1" t="array" ref="V676">IF(V1278=1,OFFSET($W$634,$B676,V$631-1)/SUMPRODUCT(--($D$631:$V$631=V$631),--($D1278:$V1278=1)),0)+SUM(V675)+IF(COUNTIF(V$1237:V1278,1)=1,5,0)+IF(COUNTIF(W676:$W676,"&gt;"&amp;0)&lt;5,IF(AND(COUNTIF(V$1237:V1278,1)&gt;7,MOD(1+IFERROR(MATCH($C676,总览!$D$46:$D$345,1)+1,1),7)=0),$C$3,0),0)</f>
        <v>22.9817347726046</v>
      </c>
      <c r="W676" s="135" cm="1">
        <f ca="1" t="array" ref="W676">SUMPRODUCT(TRANSPOSE($AA676:$AG676),OFFSET($L$9:$L$15,0,W$631-1))</f>
        <v>26.4226324699144</v>
      </c>
      <c r="X676" s="135" cm="1">
        <f ca="1" t="array" ref="X676">SUMPRODUCT(TRANSPOSE($AA676:$AG676),OFFSET($L$9:$L$15,0,X$631-1))</f>
        <v>16</v>
      </c>
      <c r="Y676" s="135" cm="1">
        <f ca="1" t="array" ref="Y676">SUMPRODUCT(TRANSPOSE($AA676:$AG676),OFFSET($L$9:$L$15,0,Y$631-1))</f>
        <v>6</v>
      </c>
      <c r="Z676" s="135" cm="1">
        <f ca="1" t="array" ref="Z676">SUMPRODUCT(TRANSPOSE($AA676:$AG676),OFFSET($L$9:$L$15,0,Z$631-1))</f>
        <v>1.57736753008561</v>
      </c>
      <c r="AA676" s="136">
        <f ca="1" t="shared" ref="AA676:AG676" si="323">AH676-AH675</f>
        <v>0</v>
      </c>
      <c r="AB676" s="136">
        <f ca="1" t="shared" si="323"/>
        <v>0</v>
      </c>
      <c r="AC676" s="136">
        <f ca="1" t="shared" si="323"/>
        <v>0</v>
      </c>
      <c r="AD676" s="136">
        <f ca="1" t="shared" si="323"/>
        <v>100</v>
      </c>
      <c r="AE676" s="136">
        <f ca="1" t="shared" si="323"/>
        <v>0</v>
      </c>
      <c r="AF676" s="136">
        <f ca="1" t="shared" si="323"/>
        <v>0</v>
      </c>
      <c r="AG676" s="136">
        <f ca="1" t="shared" si="323"/>
        <v>0</v>
      </c>
      <c r="AH676" s="136">
        <f ca="1" t="shared" si="241"/>
        <v>450</v>
      </c>
      <c r="AI676" s="136">
        <f ca="1" t="shared" ref="AI676:AN676" si="324">IF($C676&gt;OFFSET($Q$8,MATCH(AI$634,$AH$634:$AN$634,0),0),OFFSET($P$8,MATCH(AI$634,$AH$634:$AN$634,0),0),MAX(0,$C676-OFFSET($Q$8,RIGHT(AI$634,1)-1,0)))</f>
        <v>909</v>
      </c>
      <c r="AJ676" s="136">
        <f ca="1" t="shared" si="324"/>
        <v>1818</v>
      </c>
      <c r="AK676" s="136">
        <f ca="1" t="shared" si="324"/>
        <v>1023</v>
      </c>
      <c r="AL676" s="136">
        <f ca="1" t="shared" si="324"/>
        <v>0</v>
      </c>
      <c r="AM676" s="136">
        <f ca="1" t="shared" si="324"/>
        <v>0</v>
      </c>
      <c r="AN676" s="136">
        <f ca="1" t="shared" si="324"/>
        <v>0</v>
      </c>
      <c r="AP676" s="132">
        <v>42</v>
      </c>
      <c r="AQ676" s="132">
        <v>10910</v>
      </c>
      <c r="AR676" s="132">
        <v>10910</v>
      </c>
      <c r="AS676" s="132">
        <v>6410</v>
      </c>
      <c r="AT676" s="132">
        <v>3980</v>
      </c>
    </row>
    <row r="677" s="106" customFormat="1" ht="16.5" spans="2:46">
      <c r="B677" s="117">
        <v>43</v>
      </c>
      <c r="C677" s="130">
        <f t="shared" si="239"/>
        <v>4300</v>
      </c>
      <c r="D677" s="131" cm="1">
        <f ca="1" t="array" ref="D677">IF(D1279=1,OFFSET($W$634,$B677,D$631-1)/SUMPRODUCT(--($D$631:$V$631=D$631),--($D1279:$V1279=1)),0)+SUM(D676)+IF(COUNTIF(D$1237:D1279,1)=1,5,0)+IF(COUNTIF(E677:$W677,"&gt;"&amp;0)&lt;5,IF(AND(COUNTIF(D$1237:D1279,1)&gt;7,MOD(1+IFERROR(MATCH($C677,总览!$D$46:$D$345,1)+1,1),7)=0),$C$3,0),0)</f>
        <v>459.333720879046</v>
      </c>
      <c r="E677" s="131" cm="1">
        <f ca="1" t="array" ref="E677">IF(E1279=1,OFFSET($W$634,$B677,E$631-1)/SUMPRODUCT(--($D$631:$V$631=E$631),--($D1279:$V1279=1)),0)+SUM(E676)+IF(COUNTIF(E$1237:E1279,1)=1,5,0)+IF(COUNTIF(F677:$W677,"&gt;"&amp;0)&lt;5,IF(AND(COUNTIF(E$1237:E1279,1)&gt;7,MOD(1+IFERROR(MATCH($C677,总览!$D$46:$D$345,1)+1,1),7)=0),$C$3,0),0)</f>
        <v>459.333720879046</v>
      </c>
      <c r="F677" s="131" cm="1">
        <f ca="1" t="array" ref="F677">IF(F1279=1,OFFSET($W$634,$B677,F$631-1)/SUMPRODUCT(--($D$631:$V$631=F$631),--($D1279:$V1279=1)),0)+SUM(F676)+IF(COUNTIF(F$1237:F1279,1)=1,5,0)+IF(COUNTIF(G677:$W677,"&gt;"&amp;0)&lt;5,IF(AND(COUNTIF(F$1237:F1279,1)&gt;7,MOD(1+IFERROR(MATCH($C677,总览!$D$46:$D$345,1)+1,1),7)=0),$C$3,0),0)</f>
        <v>459.333720879046</v>
      </c>
      <c r="G677" s="131" cm="1">
        <f ca="1" t="array" ref="G677">IF(G1279=1,OFFSET($W$634,$B677,G$631-1)/SUMPRODUCT(--($D$631:$V$631=G$631),--($D1279:$V1279=1)),0)+SUM(G676)+IF(COUNTIF(G$1237:G1279,1)=1,5,0)+IF(COUNTIF(H677:$W677,"&gt;"&amp;0)&lt;5,IF(AND(COUNTIF(G$1237:G1279,1)&gt;7,MOD(1+IFERROR(MATCH($C677,总览!$D$46:$D$345,1)+1,1),7)=0),$C$3,0),0)</f>
        <v>105.546666666667</v>
      </c>
      <c r="H677" s="131" cm="1">
        <f ca="1" t="array" ref="H677">IF(H1279=1,OFFSET($W$634,$B677,H$631-1)/SUMPRODUCT(--($D$631:$V$631=H$631),--($D1279:$V1279=1)),0)+SUM(H676)+IF(COUNTIF(H$1237:H1279,1)=1,5,0)+IF(COUNTIF(I677:$W677,"&gt;"&amp;0)&lt;5,IF(AND(COUNTIF(H$1237:H1279,1)&gt;7,MOD(1+IFERROR(MATCH($C677,总览!$D$46:$D$345,1)+1,1),7)=0),$C$3,0),0)</f>
        <v>105.546666666667</v>
      </c>
      <c r="I677" s="131" cm="1">
        <f ca="1" t="array" ref="I677">IF(I1279=1,OFFSET($W$634,$B677,I$631-1)/SUMPRODUCT(--($D$631:$V$631=I$631),--($D1279:$V1279=1)),0)+SUM(I676)+IF(COUNTIF(I$1237:I1279,1)=1,5,0)+IF(COUNTIF(J677:$W677,"&gt;"&amp;0)&lt;5,IF(AND(COUNTIF(I$1237:I1279,1)&gt;7,MOD(1+IFERROR(MATCH($C677,总览!$D$46:$D$345,1)+1,1),7)=0),$C$3,0),0)</f>
        <v>105.546666666667</v>
      </c>
      <c r="J677" s="131" cm="1">
        <f ca="1" t="array" ref="J677">IF(J1279=1,OFFSET($W$634,$B677,J$631-1)/SUMPRODUCT(--($D$631:$V$631=J$631),--($D1279:$V1279=1)),0)+SUM(J676)+IF(COUNTIF(J$1237:J1279,1)=1,5,0)+IF(COUNTIF(K677:$W677,"&gt;"&amp;0)&lt;5,IF(AND(COUNTIF(J$1237:J1279,1)&gt;7,MOD(1+IFERROR(MATCH($C677,总览!$D$46:$D$345,1)+1,1),7)=0),$C$3,0),0)</f>
        <v>102.213333333333</v>
      </c>
      <c r="K677" s="131" cm="1">
        <f ca="1" t="array" ref="K677">IF(K1279=1,OFFSET($W$634,$B677,K$631-1)/SUMPRODUCT(--($D$631:$V$631=K$631),--($D1279:$V1279=1)),0)+SUM(K676)+IF(COUNTIF(K$1237:K1279,1)=1,5,0)+IF(COUNTIF(L677:$W677,"&gt;"&amp;0)&lt;5,IF(AND(COUNTIF(K$1237:K1279,1)&gt;7,MOD(1+IFERROR(MATCH($C677,总览!$D$46:$D$345,1)+1,1),7)=0),$C$3,0),0)</f>
        <v>99.7133333333334</v>
      </c>
      <c r="L677" s="131" cm="1">
        <f ca="1" t="array" ref="L677">IF(L1279=1,OFFSET($W$634,$B677,L$631-1)/SUMPRODUCT(--($D$631:$V$631=L$631),--($D1279:$V1279=1)),0)+SUM(L676)+IF(COUNTIF(L$1237:L1279,1)=1,5,0)+IF(COUNTIF(M677:$W677,"&gt;"&amp;0)&lt;5,IF(AND(COUNTIF(L$1237:L1279,1)&gt;7,MOD(1+IFERROR(MATCH($C677,总览!$D$46:$D$345,1)+1,1),7)=0),$C$3,0),0)</f>
        <v>99.7133333333334</v>
      </c>
      <c r="M677" s="131" cm="1">
        <f ca="1" t="array" ref="M677">IF(M1279=1,OFFSET($W$634,$B677,M$631-1)/SUMPRODUCT(--($D$631:$V$631=M$631),--($D1279:$V1279=1)),0)+SUM(M676)+IF(COUNTIF(M$1237:M1279,1)=1,5,0)+IF(COUNTIF(N677:$W677,"&gt;"&amp;0)&lt;5,IF(AND(COUNTIF(M$1237:M1279,1)&gt;7,MOD(1+IFERROR(MATCH($C677,总览!$D$46:$D$345,1)+1,1),7)=0),$C$3,0),0)</f>
        <v>38.7355357142857</v>
      </c>
      <c r="N677" s="131" cm="1">
        <f ca="1" t="array" ref="N677">IF(N1279=1,OFFSET($W$634,$B677,N$631-1)/SUMPRODUCT(--($D$631:$V$631=N$631),--($D1279:$V1279=1)),0)+SUM(N676)+IF(COUNTIF(N$1237:N1279,1)=1,5,0)+IF(COUNTIF(O677:$W677,"&gt;"&amp;0)&lt;5,IF(AND(COUNTIF(N$1237:N1279,1)&gt;7,MOD(1+IFERROR(MATCH($C677,总览!$D$46:$D$345,1)+1,1),7)=0),$C$3,0),0)</f>
        <v>39.9855357142857</v>
      </c>
      <c r="O677" s="131" cm="1">
        <f ca="1" t="array" ref="O677">IF(O1279=1,OFFSET($W$634,$B677,O$631-1)/SUMPRODUCT(--($D$631:$V$631=O$631),--($D1279:$V1279=1)),0)+SUM(O676)+IF(COUNTIF(O$1237:O1279,1)=1,5,0)+IF(COUNTIF(P677:$W677,"&gt;"&amp;0)&lt;5,IF(AND(COUNTIF(O$1237:O1279,1)&gt;7,MOD(1+IFERROR(MATCH($C677,总览!$D$46:$D$345,1)+1,1),7)=0),$C$3,0),0)</f>
        <v>44.9855357142857</v>
      </c>
      <c r="P677" s="131" cm="1">
        <f ca="1" t="array" ref="P677">IF(P1279=1,OFFSET($W$634,$B677,P$631-1)/SUMPRODUCT(--($D$631:$V$631=P$631),--($D1279:$V1279=1)),0)+SUM(P676)+IF(COUNTIF(P$1237:P1279,1)=1,5,0)+IF(COUNTIF(Q677:$W677,"&gt;"&amp;0)&lt;5,IF(AND(COUNTIF(P$1237:P1279,1)&gt;7,MOD(1+IFERROR(MATCH($C677,总览!$D$46:$D$345,1)+1,1),7)=0),$C$3,0),0)</f>
        <v>34.1042857142857</v>
      </c>
      <c r="Q677" s="131" cm="1">
        <f ca="1" t="array" ref="Q677">IF(Q1279=1,OFFSET($W$634,$B677,Q$631-1)/SUMPRODUCT(--($D$631:$V$631=Q$631),--($D1279:$V1279=1)),0)+SUM(Q676)+IF(COUNTIF(Q$1237:Q1279,1)=1,5,0)+IF(COUNTIF(R677:$W677,"&gt;"&amp;0)&lt;5,IF(AND(COUNTIF(Q$1237:Q1279,1)&gt;7,MOD(1+IFERROR(MATCH($C677,总览!$D$46:$D$345,1)+1,1),7)=0),$C$3,0),0)</f>
        <v>47.4855357142857</v>
      </c>
      <c r="R677" s="131" cm="1">
        <f ca="1" t="array" ref="R677">IF(R1279=1,OFFSET($W$634,$B677,R$631-1)/SUMPRODUCT(--($D$631:$V$631=R$631),--($D1279:$V1279=1)),0)+SUM(R676)+IF(COUNTIF(R$1237:R1279,1)=1,5,0)+IF(COUNTIF(S677:$W677,"&gt;"&amp;0)&lt;5,IF(AND(COUNTIF(R$1237:R1279,1)&gt;7,MOD(1+IFERROR(MATCH($C677,总览!$D$46:$D$345,1)+1,1),7)=0),$C$3,0),0)</f>
        <v>34.1042857142857</v>
      </c>
      <c r="S677" s="131" cm="1">
        <f ca="1" t="array" ref="S677">IF(S1279=1,OFFSET($W$634,$B677,S$631-1)/SUMPRODUCT(--($D$631:$V$631=S$631),--($D1279:$V1279=1)),0)+SUM(S676)+IF(COUNTIF(S$1237:S1279,1)=1,5,0)+IF(COUNTIF(T677:$W677,"&gt;"&amp;0)&lt;5,IF(AND(COUNTIF(S$1237:S1279,1)&gt;7,MOD(1+IFERROR(MATCH($C677,总览!$D$46:$D$345,1)+1,1),7)=0),$C$3,0),0)</f>
        <v>31.6042857142857</v>
      </c>
      <c r="T677" s="131" cm="1">
        <f ca="1" t="array" ref="T677">IF(T1279=1,OFFSET($W$634,$B677,T$631-1)/SUMPRODUCT(--($D$631:$V$631=T$631),--($D1279:$V1279=1)),0)+SUM(T676)+IF(COUNTIF(T$1237:T1279,1)=1,5,0)+IF(COUNTIF(U677:$W677,"&gt;"&amp;0)&lt;5,IF(AND(COUNTIF(T$1237:T1279,1)&gt;7,MOD(1+IFERROR(MATCH($C677,总览!$D$46:$D$345,1)+1,1),7)=0),$C$3,0),0)</f>
        <v>0</v>
      </c>
      <c r="U677" s="131" cm="1">
        <f ca="1" t="array" ref="U677">IF(U1279=1,OFFSET($W$634,$B677,U$631-1)/SUMPRODUCT(--($D$631:$V$631=U$631),--($D1279:$V1279=1)),0)+SUM(U676)+IF(COUNTIF(U$1237:U1279,1)=1,5,0)+IF(COUNTIF(V677:$W677,"&gt;"&amp;0)&lt;5,IF(AND(COUNTIF(U$1237:U1279,1)&gt;7,MOD(1+IFERROR(MATCH($C677,总览!$D$46:$D$345,1)+1,1),7)=0),$C$3,0),0)</f>
        <v>8.94341882521402</v>
      </c>
      <c r="V677" s="131" cm="1">
        <f ca="1" t="array" ref="V677">IF(V1279=1,OFFSET($W$634,$B677,V$631-1)/SUMPRODUCT(--($D$631:$V$631=V$631),--($D1279:$V1279=1)),0)+SUM(V676)+IF(COUNTIF(V$1237:V1279,1)=1,5,0)+IF(COUNTIF(W677:$W677,"&gt;"&amp;0)&lt;5,IF(AND(COUNTIF(V$1237:V1279,1)&gt;7,MOD(1+IFERROR(MATCH($C677,总览!$D$46:$D$345,1)+1,1),7)=0),$C$3,0),0)</f>
        <v>23.7704185376474</v>
      </c>
      <c r="W677" s="135" cm="1">
        <f ca="1" t="array" ref="W677">SUMPRODUCT(TRANSPOSE($AA677:$AG677),OFFSET($L$9:$L$15,0,W$631-1))</f>
        <v>26.4226324699144</v>
      </c>
      <c r="X677" s="135" cm="1">
        <f ca="1" t="array" ref="X677">SUMPRODUCT(TRANSPOSE($AA677:$AG677),OFFSET($L$9:$L$15,0,X$631-1))</f>
        <v>16</v>
      </c>
      <c r="Y677" s="135" cm="1">
        <f ca="1" t="array" ref="Y677">SUMPRODUCT(TRANSPOSE($AA677:$AG677),OFFSET($L$9:$L$15,0,Y$631-1))</f>
        <v>6</v>
      </c>
      <c r="Z677" s="135" cm="1">
        <f ca="1" t="array" ref="Z677">SUMPRODUCT(TRANSPOSE($AA677:$AG677),OFFSET($L$9:$L$15,0,Z$631-1))</f>
        <v>1.57736753008561</v>
      </c>
      <c r="AA677" s="136">
        <f ca="1" t="shared" ref="AA677:AG677" si="325">AH677-AH676</f>
        <v>0</v>
      </c>
      <c r="AB677" s="136">
        <f ca="1" t="shared" si="325"/>
        <v>0</v>
      </c>
      <c r="AC677" s="136">
        <f ca="1" t="shared" si="325"/>
        <v>0</v>
      </c>
      <c r="AD677" s="136">
        <f ca="1" t="shared" si="325"/>
        <v>100</v>
      </c>
      <c r="AE677" s="136">
        <f ca="1" t="shared" si="325"/>
        <v>0</v>
      </c>
      <c r="AF677" s="136">
        <f ca="1" t="shared" si="325"/>
        <v>0</v>
      </c>
      <c r="AG677" s="136">
        <f ca="1" t="shared" si="325"/>
        <v>0</v>
      </c>
      <c r="AH677" s="136">
        <f ca="1" t="shared" si="241"/>
        <v>450</v>
      </c>
      <c r="AI677" s="136">
        <f ca="1" t="shared" ref="AI677:AN677" si="326">IF($C677&gt;OFFSET($Q$8,MATCH(AI$634,$AH$634:$AN$634,0),0),OFFSET($P$8,MATCH(AI$634,$AH$634:$AN$634,0),0),MAX(0,$C677-OFFSET($Q$8,RIGHT(AI$634,1)-1,0)))</f>
        <v>909</v>
      </c>
      <c r="AJ677" s="136">
        <f ca="1" t="shared" si="326"/>
        <v>1818</v>
      </c>
      <c r="AK677" s="136">
        <f ca="1" t="shared" si="326"/>
        <v>1123</v>
      </c>
      <c r="AL677" s="136">
        <f ca="1" t="shared" si="326"/>
        <v>0</v>
      </c>
      <c r="AM677" s="136">
        <f ca="1" t="shared" si="326"/>
        <v>0</v>
      </c>
      <c r="AN677" s="136">
        <f ca="1" t="shared" si="326"/>
        <v>0</v>
      </c>
      <c r="AP677" s="132">
        <v>43</v>
      </c>
      <c r="AQ677" s="132">
        <v>11990</v>
      </c>
      <c r="AR677" s="132">
        <v>11990</v>
      </c>
      <c r="AS677" s="132">
        <v>6890</v>
      </c>
      <c r="AT677" s="132">
        <v>4220</v>
      </c>
    </row>
    <row r="678" s="106" customFormat="1" ht="16.5" spans="2:46">
      <c r="B678" s="117">
        <v>44</v>
      </c>
      <c r="C678" s="130">
        <f t="shared" si="239"/>
        <v>4400</v>
      </c>
      <c r="D678" s="131" cm="1">
        <f ca="1" t="array" ref="D678">IF(D1280=1,OFFSET($W$634,$B678,D$631-1)/SUMPRODUCT(--($D$631:$V$631=D$631),--($D1280:$V1280=1)),0)+SUM(D677)+IF(COUNTIF(D$1237:D1280,1)=1,5,0)+IF(COUNTIF(E678:$W678,"&gt;"&amp;0)&lt;5,IF(AND(COUNTIF(D$1237:D1280,1)&gt;7,MOD(1+IFERROR(MATCH($C678,总览!$D$46:$D$345,1)+1,1),7)=0),$C$3,0),0)</f>
        <v>468.141265035684</v>
      </c>
      <c r="E678" s="131" cm="1">
        <f ca="1" t="array" ref="E678">IF(E1280=1,OFFSET($W$634,$B678,E$631-1)/SUMPRODUCT(--($D$631:$V$631=E$631),--($D1280:$V1280=1)),0)+SUM(E677)+IF(COUNTIF(E$1237:E1280,1)=1,5,0)+IF(COUNTIF(F678:$W678,"&gt;"&amp;0)&lt;5,IF(AND(COUNTIF(E$1237:E1280,1)&gt;7,MOD(1+IFERROR(MATCH($C678,总览!$D$46:$D$345,1)+1,1),7)=0),$C$3,0),0)</f>
        <v>468.141265035684</v>
      </c>
      <c r="F678" s="131" cm="1">
        <f ca="1" t="array" ref="F678">IF(F1280=1,OFFSET($W$634,$B678,F$631-1)/SUMPRODUCT(--($D$631:$V$631=F$631),--($D1280:$V1280=1)),0)+SUM(F677)+IF(COUNTIF(F$1237:F1280,1)=1,5,0)+IF(COUNTIF(G678:$W678,"&gt;"&amp;0)&lt;5,IF(AND(COUNTIF(F$1237:F1280,1)&gt;7,MOD(1+IFERROR(MATCH($C678,总览!$D$46:$D$345,1)+1,1),7)=0),$C$3,0),0)</f>
        <v>468.141265035684</v>
      </c>
      <c r="G678" s="131" cm="1">
        <f ca="1" t="array" ref="G678">IF(G1280=1,OFFSET($W$634,$B678,G$631-1)/SUMPRODUCT(--($D$631:$V$631=G$631),--($D1280:$V1280=1)),0)+SUM(G677)+IF(COUNTIF(G$1237:G1280,1)=1,5,0)+IF(COUNTIF(H678:$W678,"&gt;"&amp;0)&lt;5,IF(AND(COUNTIF(G$1237:G1280,1)&gt;7,MOD(1+IFERROR(MATCH($C678,总览!$D$46:$D$345,1)+1,1),7)=0),$C$3,0),0)</f>
        <v>108.213333333333</v>
      </c>
      <c r="H678" s="131" cm="1">
        <f ca="1" t="array" ref="H678">IF(H1280=1,OFFSET($W$634,$B678,H$631-1)/SUMPRODUCT(--($D$631:$V$631=H$631),--($D1280:$V1280=1)),0)+SUM(H677)+IF(COUNTIF(H$1237:H1280,1)=1,5,0)+IF(COUNTIF(I678:$W678,"&gt;"&amp;0)&lt;5,IF(AND(COUNTIF(H$1237:H1280,1)&gt;7,MOD(1+IFERROR(MATCH($C678,总览!$D$46:$D$345,1)+1,1),7)=0),$C$3,0),0)</f>
        <v>108.213333333333</v>
      </c>
      <c r="I678" s="131" cm="1">
        <f ca="1" t="array" ref="I678">IF(I1280=1,OFFSET($W$634,$B678,I$631-1)/SUMPRODUCT(--($D$631:$V$631=I$631),--($D1280:$V1280=1)),0)+SUM(I677)+IF(COUNTIF(I$1237:I1280,1)=1,5,0)+IF(COUNTIF(J678:$W678,"&gt;"&amp;0)&lt;5,IF(AND(COUNTIF(I$1237:I1280,1)&gt;7,MOD(1+IFERROR(MATCH($C678,总览!$D$46:$D$345,1)+1,1),7)=0),$C$3,0),0)</f>
        <v>108.213333333333</v>
      </c>
      <c r="J678" s="131" cm="1">
        <f ca="1" t="array" ref="J678">IF(J1280=1,OFFSET($W$634,$B678,J$631-1)/SUMPRODUCT(--($D$631:$V$631=J$631),--($D1280:$V1280=1)),0)+SUM(J677)+IF(COUNTIF(J$1237:J1280,1)=1,5,0)+IF(COUNTIF(K678:$W678,"&gt;"&amp;0)&lt;5,IF(AND(COUNTIF(J$1237:J1280,1)&gt;7,MOD(1+IFERROR(MATCH($C678,总览!$D$46:$D$345,1)+1,1),7)=0),$C$3,0),0)</f>
        <v>104.88</v>
      </c>
      <c r="K678" s="131" cm="1">
        <f ca="1" t="array" ref="K678">IF(K1280=1,OFFSET($W$634,$B678,K$631-1)/SUMPRODUCT(--($D$631:$V$631=K$631),--($D1280:$V1280=1)),0)+SUM(K677)+IF(COUNTIF(K$1237:K1280,1)=1,5,0)+IF(COUNTIF(L678:$W678,"&gt;"&amp;0)&lt;5,IF(AND(COUNTIF(K$1237:K1280,1)&gt;7,MOD(1+IFERROR(MATCH($C678,总览!$D$46:$D$345,1)+1,1),7)=0),$C$3,0),0)</f>
        <v>102.38</v>
      </c>
      <c r="L678" s="131" cm="1">
        <f ca="1" t="array" ref="L678">IF(L1280=1,OFFSET($W$634,$B678,L$631-1)/SUMPRODUCT(--($D$631:$V$631=L$631),--($D1280:$V1280=1)),0)+SUM(L677)+IF(COUNTIF(L$1237:L1280,1)=1,5,0)+IF(COUNTIF(M678:$W678,"&gt;"&amp;0)&lt;5,IF(AND(COUNTIF(L$1237:L1280,1)&gt;7,MOD(1+IFERROR(MATCH($C678,总览!$D$46:$D$345,1)+1,1),7)=0),$C$3,0),0)</f>
        <v>102.38</v>
      </c>
      <c r="M678" s="131" cm="1">
        <f ca="1" t="array" ref="M678">IF(M1280=1,OFFSET($W$634,$B678,M$631-1)/SUMPRODUCT(--($D$631:$V$631=M$631),--($D1280:$V1280=1)),0)+SUM(M677)+IF(COUNTIF(M$1237:M1280,1)=1,5,0)+IF(COUNTIF(N678:$W678,"&gt;"&amp;0)&lt;5,IF(AND(COUNTIF(M$1237:M1280,1)&gt;7,MOD(1+IFERROR(MATCH($C678,总览!$D$46:$D$345,1)+1,1),7)=0),$C$3,0),0)</f>
        <v>39.5926785714286</v>
      </c>
      <c r="N678" s="131" cm="1">
        <f ca="1" t="array" ref="N678">IF(N1280=1,OFFSET($W$634,$B678,N$631-1)/SUMPRODUCT(--($D$631:$V$631=N$631),--($D1280:$V1280=1)),0)+SUM(N677)+IF(COUNTIF(N$1237:N1280,1)=1,5,0)+IF(COUNTIF(O678:$W678,"&gt;"&amp;0)&lt;5,IF(AND(COUNTIF(N$1237:N1280,1)&gt;7,MOD(1+IFERROR(MATCH($C678,总览!$D$46:$D$345,1)+1,1),7)=0),$C$3,0),0)</f>
        <v>40.8426785714286</v>
      </c>
      <c r="O678" s="131" cm="1">
        <f ca="1" t="array" ref="O678">IF(O1280=1,OFFSET($W$634,$B678,O$631-1)/SUMPRODUCT(--($D$631:$V$631=O$631),--($D1280:$V1280=1)),0)+SUM(O677)+IF(COUNTIF(O$1237:O1280,1)=1,5,0)+IF(COUNTIF(P678:$W678,"&gt;"&amp;0)&lt;5,IF(AND(COUNTIF(O$1237:O1280,1)&gt;7,MOD(1+IFERROR(MATCH($C678,总览!$D$46:$D$345,1)+1,1),7)=0),$C$3,0),0)</f>
        <v>45.8426785714285</v>
      </c>
      <c r="P678" s="131" cm="1">
        <f ca="1" t="array" ref="P678">IF(P1280=1,OFFSET($W$634,$B678,P$631-1)/SUMPRODUCT(--($D$631:$V$631=P$631),--($D1280:$V1280=1)),0)+SUM(P677)+IF(COUNTIF(P$1237:P1280,1)=1,5,0)+IF(COUNTIF(Q678:$W678,"&gt;"&amp;0)&lt;5,IF(AND(COUNTIF(P$1237:P1280,1)&gt;7,MOD(1+IFERROR(MATCH($C678,总览!$D$46:$D$345,1)+1,1),7)=0),$C$3,0),0)</f>
        <v>34.9614285714286</v>
      </c>
      <c r="Q678" s="131" cm="1">
        <f ca="1" t="array" ref="Q678">IF(Q1280=1,OFFSET($W$634,$B678,Q$631-1)/SUMPRODUCT(--($D$631:$V$631=Q$631),--($D1280:$V1280=1)),0)+SUM(Q677)+IF(COUNTIF(Q$1237:Q1280,1)=1,5,0)+IF(COUNTIF(R678:$W678,"&gt;"&amp;0)&lt;5,IF(AND(COUNTIF(Q$1237:Q1280,1)&gt;7,MOD(1+IFERROR(MATCH($C678,总览!$D$46:$D$345,1)+1,1),7)=0),$C$3,0),0)</f>
        <v>48.3426785714285</v>
      </c>
      <c r="R678" s="131" cm="1">
        <f ca="1" t="array" ref="R678">IF(R1280=1,OFFSET($W$634,$B678,R$631-1)/SUMPRODUCT(--($D$631:$V$631=R$631),--($D1280:$V1280=1)),0)+SUM(R677)+IF(COUNTIF(R$1237:R1280,1)=1,5,0)+IF(COUNTIF(S678:$W678,"&gt;"&amp;0)&lt;5,IF(AND(COUNTIF(R$1237:R1280,1)&gt;7,MOD(1+IFERROR(MATCH($C678,总览!$D$46:$D$345,1)+1,1),7)=0),$C$3,0),0)</f>
        <v>34.9614285714286</v>
      </c>
      <c r="S678" s="131" cm="1">
        <f ca="1" t="array" ref="S678">IF(S1280=1,OFFSET($W$634,$B678,S$631-1)/SUMPRODUCT(--($D$631:$V$631=S$631),--($D1280:$V1280=1)),0)+SUM(S677)+IF(COUNTIF(S$1237:S1280,1)=1,5,0)+IF(COUNTIF(T678:$W678,"&gt;"&amp;0)&lt;5,IF(AND(COUNTIF(S$1237:S1280,1)&gt;7,MOD(1+IFERROR(MATCH($C678,总览!$D$46:$D$345,1)+1,1),7)=0),$C$3,0),0)</f>
        <v>32.4614285714286</v>
      </c>
      <c r="T678" s="131" cm="1">
        <f ca="1" t="array" ref="T678">IF(T1280=1,OFFSET($W$634,$B678,T$631-1)/SUMPRODUCT(--($D$631:$V$631=T$631),--($D1280:$V1280=1)),0)+SUM(T677)+IF(COUNTIF(T$1237:T1280,1)=1,5,0)+IF(COUNTIF(U678:$W678,"&gt;"&amp;0)&lt;5,IF(AND(COUNTIF(T$1237:T1280,1)&gt;7,MOD(1+IFERROR(MATCH($C678,总览!$D$46:$D$345,1)+1,1),7)=0),$C$3,0),0)</f>
        <v>0</v>
      </c>
      <c r="U678" s="131" cm="1">
        <f ca="1" t="array" ref="U678">IF(U1280=1,OFFSET($W$634,$B678,U$631-1)/SUMPRODUCT(--($D$631:$V$631=U$631),--($D1280:$V1280=1)),0)+SUM(U677)+IF(COUNTIF(U$1237:U1280,1)=1,5,0)+IF(COUNTIF(V678:$W678,"&gt;"&amp;0)&lt;5,IF(AND(COUNTIF(U$1237:U1280,1)&gt;7,MOD(1+IFERROR(MATCH($C678,总览!$D$46:$D$345,1)+1,1),7)=0),$C$3,0),0)</f>
        <v>9.73210259025683</v>
      </c>
      <c r="V678" s="131" cm="1">
        <f ca="1" t="array" ref="V678">IF(V1280=1,OFFSET($W$634,$B678,V$631-1)/SUMPRODUCT(--($D$631:$V$631=V$631),--($D1280:$V1280=1)),0)+SUM(V677)+IF(COUNTIF(V$1237:V1280,1)=1,5,0)+IF(COUNTIF(W678:$W678,"&gt;"&amp;0)&lt;5,IF(AND(COUNTIF(V$1237:V1280,1)&gt;7,MOD(1+IFERROR(MATCH($C678,总览!$D$46:$D$345,1)+1,1),7)=0),$C$3,0),0)</f>
        <v>24.5591023026902</v>
      </c>
      <c r="W678" s="135" cm="1">
        <f ca="1" t="array" ref="W678">SUMPRODUCT(TRANSPOSE($AA678:$AG678),OFFSET($L$9:$L$15,0,W$631-1))</f>
        <v>26.4226324699144</v>
      </c>
      <c r="X678" s="135" cm="1">
        <f ca="1" t="array" ref="X678">SUMPRODUCT(TRANSPOSE($AA678:$AG678),OFFSET($L$9:$L$15,0,X$631-1))</f>
        <v>16</v>
      </c>
      <c r="Y678" s="135" cm="1">
        <f ca="1" t="array" ref="Y678">SUMPRODUCT(TRANSPOSE($AA678:$AG678),OFFSET($L$9:$L$15,0,Y$631-1))</f>
        <v>6</v>
      </c>
      <c r="Z678" s="135" cm="1">
        <f ca="1" t="array" ref="Z678">SUMPRODUCT(TRANSPOSE($AA678:$AG678),OFFSET($L$9:$L$15,0,Z$631-1))</f>
        <v>1.57736753008561</v>
      </c>
      <c r="AA678" s="136">
        <f ca="1" t="shared" ref="AA678:AG678" si="327">AH678-AH677</f>
        <v>0</v>
      </c>
      <c r="AB678" s="136">
        <f ca="1" t="shared" si="327"/>
        <v>0</v>
      </c>
      <c r="AC678" s="136">
        <f ca="1" t="shared" si="327"/>
        <v>0</v>
      </c>
      <c r="AD678" s="136">
        <f ca="1" t="shared" si="327"/>
        <v>100</v>
      </c>
      <c r="AE678" s="136">
        <f ca="1" t="shared" si="327"/>
        <v>0</v>
      </c>
      <c r="AF678" s="136">
        <f ca="1" t="shared" si="327"/>
        <v>0</v>
      </c>
      <c r="AG678" s="136">
        <f ca="1" t="shared" si="327"/>
        <v>0</v>
      </c>
      <c r="AH678" s="136">
        <f ca="1" t="shared" si="241"/>
        <v>450</v>
      </c>
      <c r="AI678" s="136">
        <f ca="1" t="shared" ref="AI678:AN678" si="328">IF($C678&gt;OFFSET($Q$8,MATCH(AI$634,$AH$634:$AN$634,0),0),OFFSET($P$8,MATCH(AI$634,$AH$634:$AN$634,0),0),MAX(0,$C678-OFFSET($Q$8,RIGHT(AI$634,1)-1,0)))</f>
        <v>909</v>
      </c>
      <c r="AJ678" s="136">
        <f ca="1" t="shared" si="328"/>
        <v>1818</v>
      </c>
      <c r="AK678" s="136">
        <f ca="1" t="shared" si="328"/>
        <v>1223</v>
      </c>
      <c r="AL678" s="136">
        <f ca="1" t="shared" si="328"/>
        <v>0</v>
      </c>
      <c r="AM678" s="136">
        <f ca="1" t="shared" si="328"/>
        <v>0</v>
      </c>
      <c r="AN678" s="136">
        <f ca="1" t="shared" si="328"/>
        <v>0</v>
      </c>
      <c r="AP678" s="132">
        <v>44</v>
      </c>
      <c r="AQ678" s="132">
        <v>13070</v>
      </c>
      <c r="AR678" s="132">
        <v>13070</v>
      </c>
      <c r="AS678" s="132">
        <v>7370</v>
      </c>
      <c r="AT678" s="132">
        <v>4460</v>
      </c>
    </row>
    <row r="679" s="106" customFormat="1" ht="16.5" spans="2:46">
      <c r="B679" s="117">
        <v>45</v>
      </c>
      <c r="C679" s="130">
        <f t="shared" si="239"/>
        <v>4500</v>
      </c>
      <c r="D679" s="131" cm="1">
        <f ca="1" t="array" ref="D679">IF(D1281=1,OFFSET($W$634,$B679,D$631-1)/SUMPRODUCT(--($D$631:$V$631=D$631),--($D1281:$V1281=1)),0)+SUM(D678)+IF(COUNTIF(D$1237:D1281,1)=1,5,0)+IF(COUNTIF(E679:$W679,"&gt;"&amp;0)&lt;5,IF(AND(COUNTIF(D$1237:D1281,1)&gt;7,MOD(1+IFERROR(MATCH($C679,总览!$D$46:$D$345,1)+1,1),7)=0),$C$3,0),0)</f>
        <v>476.948809192322</v>
      </c>
      <c r="E679" s="131" cm="1">
        <f ca="1" t="array" ref="E679">IF(E1281=1,OFFSET($W$634,$B679,E$631-1)/SUMPRODUCT(--($D$631:$V$631=E$631),--($D1281:$V1281=1)),0)+SUM(E678)+IF(COUNTIF(E$1237:E1281,1)=1,5,0)+IF(COUNTIF(F679:$W679,"&gt;"&amp;0)&lt;5,IF(AND(COUNTIF(E$1237:E1281,1)&gt;7,MOD(1+IFERROR(MATCH($C679,总览!$D$46:$D$345,1)+1,1),7)=0),$C$3,0),0)</f>
        <v>476.948809192322</v>
      </c>
      <c r="F679" s="131" cm="1">
        <f ca="1" t="array" ref="F679">IF(F1281=1,OFFSET($W$634,$B679,F$631-1)/SUMPRODUCT(--($D$631:$V$631=F$631),--($D1281:$V1281=1)),0)+SUM(F678)+IF(COUNTIF(F$1237:F1281,1)=1,5,0)+IF(COUNTIF(G679:$W679,"&gt;"&amp;0)&lt;5,IF(AND(COUNTIF(F$1237:F1281,1)&gt;7,MOD(1+IFERROR(MATCH($C679,总览!$D$46:$D$345,1)+1,1),7)=0),$C$3,0),0)</f>
        <v>476.948809192322</v>
      </c>
      <c r="G679" s="131" cm="1">
        <f ca="1" t="array" ref="G679">IF(G1281=1,OFFSET($W$634,$B679,G$631-1)/SUMPRODUCT(--($D$631:$V$631=G$631),--($D1281:$V1281=1)),0)+SUM(G678)+IF(COUNTIF(G$1237:G1281,1)=1,5,0)+IF(COUNTIF(H679:$W679,"&gt;"&amp;0)&lt;5,IF(AND(COUNTIF(G$1237:G1281,1)&gt;7,MOD(1+IFERROR(MATCH($C679,总览!$D$46:$D$345,1)+1,1),7)=0),$C$3,0),0)</f>
        <v>110.88</v>
      </c>
      <c r="H679" s="131" cm="1">
        <f ca="1" t="array" ref="H679">IF(H1281=1,OFFSET($W$634,$B679,H$631-1)/SUMPRODUCT(--($D$631:$V$631=H$631),--($D1281:$V1281=1)),0)+SUM(H678)+IF(COUNTIF(H$1237:H1281,1)=1,5,0)+IF(COUNTIF(I679:$W679,"&gt;"&amp;0)&lt;5,IF(AND(COUNTIF(H$1237:H1281,1)&gt;7,MOD(1+IFERROR(MATCH($C679,总览!$D$46:$D$345,1)+1,1),7)=0),$C$3,0),0)</f>
        <v>110.88</v>
      </c>
      <c r="I679" s="131" cm="1">
        <f ca="1" t="array" ref="I679">IF(I1281=1,OFFSET($W$634,$B679,I$631-1)/SUMPRODUCT(--($D$631:$V$631=I$631),--($D1281:$V1281=1)),0)+SUM(I678)+IF(COUNTIF(I$1237:I1281,1)=1,5,0)+IF(COUNTIF(J679:$W679,"&gt;"&amp;0)&lt;5,IF(AND(COUNTIF(I$1237:I1281,1)&gt;7,MOD(1+IFERROR(MATCH($C679,总览!$D$46:$D$345,1)+1,1),7)=0),$C$3,0),0)</f>
        <v>110.88</v>
      </c>
      <c r="J679" s="131" cm="1">
        <f ca="1" t="array" ref="J679">IF(J1281=1,OFFSET($W$634,$B679,J$631-1)/SUMPRODUCT(--($D$631:$V$631=J$631),--($D1281:$V1281=1)),0)+SUM(J678)+IF(COUNTIF(J$1237:J1281,1)=1,5,0)+IF(COUNTIF(K679:$W679,"&gt;"&amp;0)&lt;5,IF(AND(COUNTIF(J$1237:J1281,1)&gt;7,MOD(1+IFERROR(MATCH($C679,总览!$D$46:$D$345,1)+1,1),7)=0),$C$3,0),0)</f>
        <v>107.546666666667</v>
      </c>
      <c r="K679" s="131" cm="1">
        <f ca="1" t="array" ref="K679">IF(K1281=1,OFFSET($W$634,$B679,K$631-1)/SUMPRODUCT(--($D$631:$V$631=K$631),--($D1281:$V1281=1)),0)+SUM(K678)+IF(COUNTIF(K$1237:K1281,1)=1,5,0)+IF(COUNTIF(L679:$W679,"&gt;"&amp;0)&lt;5,IF(AND(COUNTIF(K$1237:K1281,1)&gt;7,MOD(1+IFERROR(MATCH($C679,总览!$D$46:$D$345,1)+1,1),7)=0),$C$3,0),0)</f>
        <v>105.046666666667</v>
      </c>
      <c r="L679" s="131" cm="1">
        <f ca="1" t="array" ref="L679">IF(L1281=1,OFFSET($W$634,$B679,L$631-1)/SUMPRODUCT(--($D$631:$V$631=L$631),--($D1281:$V1281=1)),0)+SUM(L678)+IF(COUNTIF(L$1237:L1281,1)=1,5,0)+IF(COUNTIF(M679:$W679,"&gt;"&amp;0)&lt;5,IF(AND(COUNTIF(L$1237:L1281,1)&gt;7,MOD(1+IFERROR(MATCH($C679,总览!$D$46:$D$345,1)+1,1),7)=0),$C$3,0),0)</f>
        <v>105.046666666667</v>
      </c>
      <c r="M679" s="131" cm="1">
        <f ca="1" t="array" ref="M679">IF(M1281=1,OFFSET($W$634,$B679,M$631-1)/SUMPRODUCT(--($D$631:$V$631=M$631),--($D1281:$V1281=1)),0)+SUM(M678)+IF(COUNTIF(M$1237:M1281,1)=1,5,0)+IF(COUNTIF(N679:$W679,"&gt;"&amp;0)&lt;5,IF(AND(COUNTIF(M$1237:M1281,1)&gt;7,MOD(1+IFERROR(MATCH($C679,总览!$D$46:$D$345,1)+1,1),7)=0),$C$3,0),0)</f>
        <v>40.4498214285714</v>
      </c>
      <c r="N679" s="131" cm="1">
        <f ca="1" t="array" ref="N679">IF(N1281=1,OFFSET($W$634,$B679,N$631-1)/SUMPRODUCT(--($D$631:$V$631=N$631),--($D1281:$V1281=1)),0)+SUM(N678)+IF(COUNTIF(N$1237:N1281,1)=1,5,0)+IF(COUNTIF(O679:$W679,"&gt;"&amp;0)&lt;5,IF(AND(COUNTIF(N$1237:N1281,1)&gt;7,MOD(1+IFERROR(MATCH($C679,总览!$D$46:$D$345,1)+1,1),7)=0),$C$3,0),0)</f>
        <v>41.6998214285714</v>
      </c>
      <c r="O679" s="131" cm="1">
        <f ca="1" t="array" ref="O679">IF(O1281=1,OFFSET($W$634,$B679,O$631-1)/SUMPRODUCT(--($D$631:$V$631=O$631),--($D1281:$V1281=1)),0)+SUM(O678)+IF(COUNTIF(O$1237:O1281,1)=1,5,0)+IF(COUNTIF(P679:$W679,"&gt;"&amp;0)&lt;5,IF(AND(COUNTIF(O$1237:O1281,1)&gt;7,MOD(1+IFERROR(MATCH($C679,总览!$D$46:$D$345,1)+1,1),7)=0),$C$3,0),0)</f>
        <v>46.6998214285714</v>
      </c>
      <c r="P679" s="131" cm="1">
        <f ca="1" t="array" ref="P679">IF(P1281=1,OFFSET($W$634,$B679,P$631-1)/SUMPRODUCT(--($D$631:$V$631=P$631),--($D1281:$V1281=1)),0)+SUM(P678)+IF(COUNTIF(P$1237:P1281,1)=1,5,0)+IF(COUNTIF(Q679:$W679,"&gt;"&amp;0)&lt;5,IF(AND(COUNTIF(P$1237:P1281,1)&gt;7,MOD(1+IFERROR(MATCH($C679,总览!$D$46:$D$345,1)+1,1),7)=0),$C$3,0),0)</f>
        <v>35.8185714285714</v>
      </c>
      <c r="Q679" s="131" cm="1">
        <f ca="1" t="array" ref="Q679">IF(Q1281=1,OFFSET($W$634,$B679,Q$631-1)/SUMPRODUCT(--($D$631:$V$631=Q$631),--($D1281:$V1281=1)),0)+SUM(Q678)+IF(COUNTIF(Q$1237:Q1281,1)=1,5,0)+IF(COUNTIF(R679:$W679,"&gt;"&amp;0)&lt;5,IF(AND(COUNTIF(Q$1237:Q1281,1)&gt;7,MOD(1+IFERROR(MATCH($C679,总览!$D$46:$D$345,1)+1,1),7)=0),$C$3,0),0)</f>
        <v>49.1998214285714</v>
      </c>
      <c r="R679" s="131" cm="1">
        <f ca="1" t="array" ref="R679">IF(R1281=1,OFFSET($W$634,$B679,R$631-1)/SUMPRODUCT(--($D$631:$V$631=R$631),--($D1281:$V1281=1)),0)+SUM(R678)+IF(COUNTIF(R$1237:R1281,1)=1,5,0)+IF(COUNTIF(S679:$W679,"&gt;"&amp;0)&lt;5,IF(AND(COUNTIF(R$1237:R1281,1)&gt;7,MOD(1+IFERROR(MATCH($C679,总览!$D$46:$D$345,1)+1,1),7)=0),$C$3,0),0)</f>
        <v>40.8185714285714</v>
      </c>
      <c r="S679" s="131" cm="1">
        <f ca="1" t="array" ref="S679">IF(S1281=1,OFFSET($W$634,$B679,S$631-1)/SUMPRODUCT(--($D$631:$V$631=S$631),--($D1281:$V1281=1)),0)+SUM(S678)+IF(COUNTIF(S$1237:S1281,1)=1,5,0)+IF(COUNTIF(T679:$W679,"&gt;"&amp;0)&lt;5,IF(AND(COUNTIF(S$1237:S1281,1)&gt;7,MOD(1+IFERROR(MATCH($C679,总览!$D$46:$D$345,1)+1,1),7)=0),$C$3,0),0)</f>
        <v>38.3185714285714</v>
      </c>
      <c r="T679" s="131" cm="1">
        <f ca="1" t="array" ref="T679">IF(T1281=1,OFFSET($W$634,$B679,T$631-1)/SUMPRODUCT(--($D$631:$V$631=T$631),--($D1281:$V1281=1)),0)+SUM(T678)+IF(COUNTIF(T$1237:T1281,1)=1,5,0)+IF(COUNTIF(U679:$W679,"&gt;"&amp;0)&lt;5,IF(AND(COUNTIF(T$1237:T1281,1)&gt;7,MOD(1+IFERROR(MATCH($C679,总览!$D$46:$D$345,1)+1,1),7)=0),$C$3,0),0)</f>
        <v>0</v>
      </c>
      <c r="U679" s="131" cm="1">
        <f ca="1" t="array" ref="U679">IF(U1281=1,OFFSET($W$634,$B679,U$631-1)/SUMPRODUCT(--($D$631:$V$631=U$631),--($D1281:$V1281=1)),0)+SUM(U678)+IF(COUNTIF(U$1237:U1281,1)=1,5,0)+IF(COUNTIF(V679:$W679,"&gt;"&amp;0)&lt;5,IF(AND(COUNTIF(U$1237:U1281,1)&gt;7,MOD(1+IFERROR(MATCH($C679,总览!$D$46:$D$345,1)+1,1),7)=0),$C$3,0),0)</f>
        <v>10.5207863552996</v>
      </c>
      <c r="V679" s="131" cm="1">
        <f ca="1" t="array" ref="V679">IF(V1281=1,OFFSET($W$634,$B679,V$631-1)/SUMPRODUCT(--($D$631:$V$631=V$631),--($D1281:$V1281=1)),0)+SUM(V678)+IF(COUNTIF(V$1237:V1281,1)=1,5,0)+IF(COUNTIF(W679:$W679,"&gt;"&amp;0)&lt;5,IF(AND(COUNTIF(V$1237:V1281,1)&gt;7,MOD(1+IFERROR(MATCH($C679,总览!$D$46:$D$345,1)+1,1),7)=0),$C$3,0),0)</f>
        <v>30.347786067733</v>
      </c>
      <c r="W679" s="135" cm="1">
        <f ca="1" t="array" ref="W679">SUMPRODUCT(TRANSPOSE($AA679:$AG679),OFFSET($L$9:$L$15,0,W$631-1))</f>
        <v>26.4226324699144</v>
      </c>
      <c r="X679" s="135" cm="1">
        <f ca="1" t="array" ref="X679">SUMPRODUCT(TRANSPOSE($AA679:$AG679),OFFSET($L$9:$L$15,0,X$631-1))</f>
        <v>16</v>
      </c>
      <c r="Y679" s="135" cm="1">
        <f ca="1" t="array" ref="Y679">SUMPRODUCT(TRANSPOSE($AA679:$AG679),OFFSET($L$9:$L$15,0,Y$631-1))</f>
        <v>6</v>
      </c>
      <c r="Z679" s="135" cm="1">
        <f ca="1" t="array" ref="Z679">SUMPRODUCT(TRANSPOSE($AA679:$AG679),OFFSET($L$9:$L$15,0,Z$631-1))</f>
        <v>1.57736753008561</v>
      </c>
      <c r="AA679" s="136">
        <f ca="1" t="shared" ref="AA679:AG679" si="329">AH679-AH678</f>
        <v>0</v>
      </c>
      <c r="AB679" s="136">
        <f ca="1" t="shared" si="329"/>
        <v>0</v>
      </c>
      <c r="AC679" s="136">
        <f ca="1" t="shared" si="329"/>
        <v>0</v>
      </c>
      <c r="AD679" s="136">
        <f ca="1" t="shared" si="329"/>
        <v>100</v>
      </c>
      <c r="AE679" s="136">
        <f ca="1" t="shared" si="329"/>
        <v>0</v>
      </c>
      <c r="AF679" s="136">
        <f ca="1" t="shared" si="329"/>
        <v>0</v>
      </c>
      <c r="AG679" s="136">
        <f ca="1" t="shared" si="329"/>
        <v>0</v>
      </c>
      <c r="AH679" s="136">
        <f ca="1" t="shared" si="241"/>
        <v>450</v>
      </c>
      <c r="AI679" s="136">
        <f ca="1" t="shared" ref="AI679:AN679" si="330">IF($C679&gt;OFFSET($Q$8,MATCH(AI$634,$AH$634:$AN$634,0),0),OFFSET($P$8,MATCH(AI$634,$AH$634:$AN$634,0),0),MAX(0,$C679-OFFSET($Q$8,RIGHT(AI$634,1)-1,0)))</f>
        <v>909</v>
      </c>
      <c r="AJ679" s="136">
        <f ca="1" t="shared" si="330"/>
        <v>1818</v>
      </c>
      <c r="AK679" s="136">
        <f ca="1" t="shared" si="330"/>
        <v>1323</v>
      </c>
      <c r="AL679" s="136">
        <f ca="1" t="shared" si="330"/>
        <v>0</v>
      </c>
      <c r="AM679" s="136">
        <f ca="1" t="shared" si="330"/>
        <v>0</v>
      </c>
      <c r="AN679" s="136">
        <f ca="1" t="shared" si="330"/>
        <v>0</v>
      </c>
      <c r="AP679" s="132">
        <v>45</v>
      </c>
      <c r="AQ679" s="132">
        <v>14150</v>
      </c>
      <c r="AR679" s="132">
        <v>14150</v>
      </c>
      <c r="AS679" s="132">
        <v>7850</v>
      </c>
      <c r="AT679" s="132">
        <v>4700</v>
      </c>
    </row>
    <row r="680" s="106" customFormat="1" ht="16.5" spans="2:46">
      <c r="B680" s="117">
        <v>46</v>
      </c>
      <c r="C680" s="130">
        <f t="shared" si="239"/>
        <v>4600</v>
      </c>
      <c r="D680" s="131" cm="1">
        <f ca="1" t="array" ref="D680">IF(D1282=1,OFFSET($W$634,$B680,D$631-1)/SUMPRODUCT(--($D$631:$V$631=D$631),--($D1282:$V1282=1)),0)+SUM(D679)+IF(COUNTIF(D$1237:D1282,1)=1,5,0)+IF(COUNTIF(E680:$W680,"&gt;"&amp;0)&lt;5,IF(AND(COUNTIF(D$1237:D1282,1)&gt;7,MOD(1+IFERROR(MATCH($C680,总览!$D$46:$D$345,1)+1,1),7)=0),$C$3,0),0)</f>
        <v>485.75635334896</v>
      </c>
      <c r="E680" s="131" cm="1">
        <f ca="1" t="array" ref="E680">IF(E1282=1,OFFSET($W$634,$B680,E$631-1)/SUMPRODUCT(--($D$631:$V$631=E$631),--($D1282:$V1282=1)),0)+SUM(E679)+IF(COUNTIF(E$1237:E1282,1)=1,5,0)+IF(COUNTIF(F680:$W680,"&gt;"&amp;0)&lt;5,IF(AND(COUNTIF(E$1237:E1282,1)&gt;7,MOD(1+IFERROR(MATCH($C680,总览!$D$46:$D$345,1)+1,1),7)=0),$C$3,0),0)</f>
        <v>485.75635334896</v>
      </c>
      <c r="F680" s="131" cm="1">
        <f ca="1" t="array" ref="F680">IF(F1282=1,OFFSET($W$634,$B680,F$631-1)/SUMPRODUCT(--($D$631:$V$631=F$631),--($D1282:$V1282=1)),0)+SUM(F679)+IF(COUNTIF(F$1237:F1282,1)=1,5,0)+IF(COUNTIF(G680:$W680,"&gt;"&amp;0)&lt;5,IF(AND(COUNTIF(F$1237:F1282,1)&gt;7,MOD(1+IFERROR(MATCH($C680,总览!$D$46:$D$345,1)+1,1),7)=0),$C$3,0),0)</f>
        <v>485.75635334896</v>
      </c>
      <c r="G680" s="131" cm="1">
        <f ca="1" t="array" ref="G680">IF(G1282=1,OFFSET($W$634,$B680,G$631-1)/SUMPRODUCT(--($D$631:$V$631=G$631),--($D1282:$V1282=1)),0)+SUM(G679)+IF(COUNTIF(G$1237:G1282,1)=1,5,0)+IF(COUNTIF(H680:$W680,"&gt;"&amp;0)&lt;5,IF(AND(COUNTIF(G$1237:G1282,1)&gt;7,MOD(1+IFERROR(MATCH($C680,总览!$D$46:$D$345,1)+1,1),7)=0),$C$3,0),0)</f>
        <v>113.546666666667</v>
      </c>
      <c r="H680" s="131" cm="1">
        <f ca="1" t="array" ref="H680">IF(H1282=1,OFFSET($W$634,$B680,H$631-1)/SUMPRODUCT(--($D$631:$V$631=H$631),--($D1282:$V1282=1)),0)+SUM(H679)+IF(COUNTIF(H$1237:H1282,1)=1,5,0)+IF(COUNTIF(I680:$W680,"&gt;"&amp;0)&lt;5,IF(AND(COUNTIF(H$1237:H1282,1)&gt;7,MOD(1+IFERROR(MATCH($C680,总览!$D$46:$D$345,1)+1,1),7)=0),$C$3,0),0)</f>
        <v>113.546666666667</v>
      </c>
      <c r="I680" s="131" cm="1">
        <f ca="1" t="array" ref="I680">IF(I1282=1,OFFSET($W$634,$B680,I$631-1)/SUMPRODUCT(--($D$631:$V$631=I$631),--($D1282:$V1282=1)),0)+SUM(I679)+IF(COUNTIF(I$1237:I1282,1)=1,5,0)+IF(COUNTIF(J680:$W680,"&gt;"&amp;0)&lt;5,IF(AND(COUNTIF(I$1237:I1282,1)&gt;7,MOD(1+IFERROR(MATCH($C680,总览!$D$46:$D$345,1)+1,1),7)=0),$C$3,0),0)</f>
        <v>113.546666666667</v>
      </c>
      <c r="J680" s="131" cm="1">
        <f ca="1" t="array" ref="J680">IF(J1282=1,OFFSET($W$634,$B680,J$631-1)/SUMPRODUCT(--($D$631:$V$631=J$631),--($D1282:$V1282=1)),0)+SUM(J679)+IF(COUNTIF(J$1237:J1282,1)=1,5,0)+IF(COUNTIF(K680:$W680,"&gt;"&amp;0)&lt;5,IF(AND(COUNTIF(J$1237:J1282,1)&gt;7,MOD(1+IFERROR(MATCH($C680,总览!$D$46:$D$345,1)+1,1),7)=0),$C$3,0),0)</f>
        <v>110.213333333333</v>
      </c>
      <c r="K680" s="131" cm="1">
        <f ca="1" t="array" ref="K680">IF(K1282=1,OFFSET($W$634,$B680,K$631-1)/SUMPRODUCT(--($D$631:$V$631=K$631),--($D1282:$V1282=1)),0)+SUM(K679)+IF(COUNTIF(K$1237:K1282,1)=1,5,0)+IF(COUNTIF(L680:$W680,"&gt;"&amp;0)&lt;5,IF(AND(COUNTIF(K$1237:K1282,1)&gt;7,MOD(1+IFERROR(MATCH($C680,总览!$D$46:$D$345,1)+1,1),7)=0),$C$3,0),0)</f>
        <v>107.713333333333</v>
      </c>
      <c r="L680" s="131" cm="1">
        <f ca="1" t="array" ref="L680">IF(L1282=1,OFFSET($W$634,$B680,L$631-1)/SUMPRODUCT(--($D$631:$V$631=L$631),--($D1282:$V1282=1)),0)+SUM(L679)+IF(COUNTIF(L$1237:L1282,1)=1,5,0)+IF(COUNTIF(M680:$W680,"&gt;"&amp;0)&lt;5,IF(AND(COUNTIF(L$1237:L1282,1)&gt;7,MOD(1+IFERROR(MATCH($C680,总览!$D$46:$D$345,1)+1,1),7)=0),$C$3,0),0)</f>
        <v>107.713333333333</v>
      </c>
      <c r="M680" s="131" cm="1">
        <f ca="1" t="array" ref="M680">IF(M1282=1,OFFSET($W$634,$B680,M$631-1)/SUMPRODUCT(--($D$631:$V$631=M$631),--($D1282:$V1282=1)),0)+SUM(M679)+IF(COUNTIF(M$1237:M1282,1)=1,5,0)+IF(COUNTIF(N680:$W680,"&gt;"&amp;0)&lt;5,IF(AND(COUNTIF(M$1237:M1282,1)&gt;7,MOD(1+IFERROR(MATCH($C680,总览!$D$46:$D$345,1)+1,1),7)=0),$C$3,0),0)</f>
        <v>41.3069642857143</v>
      </c>
      <c r="N680" s="131" cm="1">
        <f ca="1" t="array" ref="N680">IF(N1282=1,OFFSET($W$634,$B680,N$631-1)/SUMPRODUCT(--($D$631:$V$631=N$631),--($D1282:$V1282=1)),0)+SUM(N679)+IF(COUNTIF(N$1237:N1282,1)=1,5,0)+IF(COUNTIF(O680:$W680,"&gt;"&amp;0)&lt;5,IF(AND(COUNTIF(N$1237:N1282,1)&gt;7,MOD(1+IFERROR(MATCH($C680,总览!$D$46:$D$345,1)+1,1),7)=0),$C$3,0),0)</f>
        <v>42.5569642857143</v>
      </c>
      <c r="O680" s="131" cm="1">
        <f ca="1" t="array" ref="O680">IF(O1282=1,OFFSET($W$634,$B680,O$631-1)/SUMPRODUCT(--($D$631:$V$631=O$631),--($D1282:$V1282=1)),0)+SUM(O679)+IF(COUNTIF(O$1237:O1282,1)=1,5,0)+IF(COUNTIF(P680:$W680,"&gt;"&amp;0)&lt;5,IF(AND(COUNTIF(O$1237:O1282,1)&gt;7,MOD(1+IFERROR(MATCH($C680,总览!$D$46:$D$345,1)+1,1),7)=0),$C$3,0),0)</f>
        <v>47.5569642857142</v>
      </c>
      <c r="P680" s="131" cm="1">
        <f ca="1" t="array" ref="P680">IF(P1282=1,OFFSET($W$634,$B680,P$631-1)/SUMPRODUCT(--($D$631:$V$631=P$631),--($D1282:$V1282=1)),0)+SUM(P679)+IF(COUNTIF(P$1237:P1282,1)=1,5,0)+IF(COUNTIF(Q680:$W680,"&gt;"&amp;0)&lt;5,IF(AND(COUNTIF(P$1237:P1282,1)&gt;7,MOD(1+IFERROR(MATCH($C680,总览!$D$46:$D$345,1)+1,1),7)=0),$C$3,0),0)</f>
        <v>36.6757142857143</v>
      </c>
      <c r="Q680" s="131" cm="1">
        <f ca="1" t="array" ref="Q680">IF(Q1282=1,OFFSET($W$634,$B680,Q$631-1)/SUMPRODUCT(--($D$631:$V$631=Q$631),--($D1282:$V1282=1)),0)+SUM(Q679)+IF(COUNTIF(Q$1237:Q1282,1)=1,5,0)+IF(COUNTIF(R680:$W680,"&gt;"&amp;0)&lt;5,IF(AND(COUNTIF(Q$1237:Q1282,1)&gt;7,MOD(1+IFERROR(MATCH($C680,总览!$D$46:$D$345,1)+1,1),7)=0),$C$3,0),0)</f>
        <v>50.0569642857142</v>
      </c>
      <c r="R680" s="131" cm="1">
        <f ca="1" t="array" ref="R680">IF(R1282=1,OFFSET($W$634,$B680,R$631-1)/SUMPRODUCT(--($D$631:$V$631=R$631),--($D1282:$V1282=1)),0)+SUM(R679)+IF(COUNTIF(R$1237:R1282,1)=1,5,0)+IF(COUNTIF(S680:$W680,"&gt;"&amp;0)&lt;5,IF(AND(COUNTIF(R$1237:R1282,1)&gt;7,MOD(1+IFERROR(MATCH($C680,总览!$D$46:$D$345,1)+1,1),7)=0),$C$3,0),0)</f>
        <v>41.6757142857143</v>
      </c>
      <c r="S680" s="131" cm="1">
        <f ca="1" t="array" ref="S680">IF(S1282=1,OFFSET($W$634,$B680,S$631-1)/SUMPRODUCT(--($D$631:$V$631=S$631),--($D1282:$V1282=1)),0)+SUM(S679)+IF(COUNTIF(S$1237:S1282,1)=1,5,0)+IF(COUNTIF(T680:$W680,"&gt;"&amp;0)&lt;5,IF(AND(COUNTIF(S$1237:S1282,1)&gt;7,MOD(1+IFERROR(MATCH($C680,总览!$D$46:$D$345,1)+1,1),7)=0),$C$3,0),0)</f>
        <v>39.1757142857143</v>
      </c>
      <c r="T680" s="131" cm="1">
        <f ca="1" t="array" ref="T680">IF(T1282=1,OFFSET($W$634,$B680,T$631-1)/SUMPRODUCT(--($D$631:$V$631=T$631),--($D1282:$V1282=1)),0)+SUM(T679)+IF(COUNTIF(T$1237:T1282,1)=1,5,0)+IF(COUNTIF(U680:$W680,"&gt;"&amp;0)&lt;5,IF(AND(COUNTIF(T$1237:T1282,1)&gt;7,MOD(1+IFERROR(MATCH($C680,总览!$D$46:$D$345,1)+1,1),7)=0),$C$3,0),0)</f>
        <v>5.5257891766952</v>
      </c>
      <c r="U680" s="131" cm="1">
        <f ca="1" t="array" ref="U680">IF(U1282=1,OFFSET($W$634,$B680,U$631-1)/SUMPRODUCT(--($D$631:$V$631=U$631),--($D1282:$V1282=1)),0)+SUM(U679)+IF(COUNTIF(U$1237:U1282,1)=1,5,0)+IF(COUNTIF(V680:$W680,"&gt;"&amp;0)&lt;5,IF(AND(COUNTIF(U$1237:U1282,1)&gt;7,MOD(1+IFERROR(MATCH($C680,总览!$D$46:$D$345,1)+1,1),7)=0),$C$3,0),0)</f>
        <v>11.0465755319948</v>
      </c>
      <c r="V680" s="131" cm="1">
        <f ca="1" t="array" ref="V680">IF(V1282=1,OFFSET($W$634,$B680,V$631-1)/SUMPRODUCT(--($D$631:$V$631=V$631),--($D1282:$V1282=1)),0)+SUM(V679)+IF(COUNTIF(V$1237:V1282,1)=1,5,0)+IF(COUNTIF(W680:$W680,"&gt;"&amp;0)&lt;5,IF(AND(COUNTIF(V$1237:V1282,1)&gt;7,MOD(1+IFERROR(MATCH($C680,总览!$D$46:$D$345,1)+1,1),7)=0),$C$3,0),0)</f>
        <v>30.8735752444282</v>
      </c>
      <c r="W680" s="135" cm="1">
        <f ca="1" t="array" ref="W680">SUMPRODUCT(TRANSPOSE($AA680:$AG680),OFFSET($L$9:$L$15,0,W$631-1))</f>
        <v>26.4226324699144</v>
      </c>
      <c r="X680" s="135" cm="1">
        <f ca="1" t="array" ref="X680">SUMPRODUCT(TRANSPOSE($AA680:$AG680),OFFSET($L$9:$L$15,0,X$631-1))</f>
        <v>16</v>
      </c>
      <c r="Y680" s="135" cm="1">
        <f ca="1" t="array" ref="Y680">SUMPRODUCT(TRANSPOSE($AA680:$AG680),OFFSET($L$9:$L$15,0,Y$631-1))</f>
        <v>6</v>
      </c>
      <c r="Z680" s="135" cm="1">
        <f ca="1" t="array" ref="Z680">SUMPRODUCT(TRANSPOSE($AA680:$AG680),OFFSET($L$9:$L$15,0,Z$631-1))</f>
        <v>1.57736753008561</v>
      </c>
      <c r="AA680" s="136">
        <f ca="1" t="shared" ref="AA680:AG680" si="331">AH680-AH679</f>
        <v>0</v>
      </c>
      <c r="AB680" s="136">
        <f ca="1" t="shared" si="331"/>
        <v>0</v>
      </c>
      <c r="AC680" s="136">
        <f ca="1" t="shared" si="331"/>
        <v>0</v>
      </c>
      <c r="AD680" s="136">
        <f ca="1" t="shared" si="331"/>
        <v>100</v>
      </c>
      <c r="AE680" s="136">
        <f ca="1" t="shared" si="331"/>
        <v>0</v>
      </c>
      <c r="AF680" s="136">
        <f ca="1" t="shared" si="331"/>
        <v>0</v>
      </c>
      <c r="AG680" s="136">
        <f ca="1" t="shared" si="331"/>
        <v>0</v>
      </c>
      <c r="AH680" s="136">
        <f ca="1" t="shared" si="241"/>
        <v>450</v>
      </c>
      <c r="AI680" s="136">
        <f ca="1" t="shared" ref="AI680:AN680" si="332">IF($C680&gt;OFFSET($Q$8,MATCH(AI$634,$AH$634:$AN$634,0),0),OFFSET($P$8,MATCH(AI$634,$AH$634:$AN$634,0),0),MAX(0,$C680-OFFSET($Q$8,RIGHT(AI$634,1)-1,0)))</f>
        <v>909</v>
      </c>
      <c r="AJ680" s="136">
        <f ca="1" t="shared" si="332"/>
        <v>1818</v>
      </c>
      <c r="AK680" s="136">
        <f ca="1" t="shared" si="332"/>
        <v>1423</v>
      </c>
      <c r="AL680" s="136">
        <f ca="1" t="shared" si="332"/>
        <v>0</v>
      </c>
      <c r="AM680" s="136">
        <f ca="1" t="shared" si="332"/>
        <v>0</v>
      </c>
      <c r="AN680" s="136">
        <f ca="1" t="shared" si="332"/>
        <v>0</v>
      </c>
      <c r="AP680" s="132">
        <v>46</v>
      </c>
      <c r="AQ680" s="132">
        <v>15590</v>
      </c>
      <c r="AR680" s="132">
        <v>15590</v>
      </c>
      <c r="AS680" s="132">
        <v>8570</v>
      </c>
      <c r="AT680" s="132">
        <v>5060</v>
      </c>
    </row>
    <row r="681" s="106" customFormat="1" ht="16.5" spans="2:46">
      <c r="B681" s="117">
        <v>47</v>
      </c>
      <c r="C681" s="130">
        <f t="shared" si="239"/>
        <v>4700</v>
      </c>
      <c r="D681" s="131" cm="1">
        <f ca="1" t="array" ref="D681">IF(D1283=1,OFFSET($W$634,$B681,D$631-1)/SUMPRODUCT(--($D$631:$V$631=D$631),--($D1283:$V1283=1)),0)+SUM(D680)+IF(COUNTIF(D$1237:D1283,1)=1,5,0)+IF(COUNTIF(E681:$W681,"&gt;"&amp;0)&lt;5,IF(AND(COUNTIF(D$1237:D1283,1)&gt;7,MOD(1+IFERROR(MATCH($C681,总览!$D$46:$D$345,1)+1,1),7)=0),$C$3,0),0)</f>
        <v>494.563897505599</v>
      </c>
      <c r="E681" s="131" cm="1">
        <f ca="1" t="array" ref="E681">IF(E1283=1,OFFSET($W$634,$B681,E$631-1)/SUMPRODUCT(--($D$631:$V$631=E$631),--($D1283:$V1283=1)),0)+SUM(E680)+IF(COUNTIF(E$1237:E1283,1)=1,5,0)+IF(COUNTIF(F681:$W681,"&gt;"&amp;0)&lt;5,IF(AND(COUNTIF(E$1237:E1283,1)&gt;7,MOD(1+IFERROR(MATCH($C681,总览!$D$46:$D$345,1)+1,1),7)=0),$C$3,0),0)</f>
        <v>494.563897505599</v>
      </c>
      <c r="F681" s="131" cm="1">
        <f ca="1" t="array" ref="F681">IF(F1283=1,OFFSET($W$634,$B681,F$631-1)/SUMPRODUCT(--($D$631:$V$631=F$631),--($D1283:$V1283=1)),0)+SUM(F680)+IF(COUNTIF(F$1237:F1283,1)=1,5,0)+IF(COUNTIF(G681:$W681,"&gt;"&amp;0)&lt;5,IF(AND(COUNTIF(F$1237:F1283,1)&gt;7,MOD(1+IFERROR(MATCH($C681,总览!$D$46:$D$345,1)+1,1),7)=0),$C$3,0),0)</f>
        <v>494.563897505599</v>
      </c>
      <c r="G681" s="131" cm="1">
        <f ca="1" t="array" ref="G681">IF(G1283=1,OFFSET($W$634,$B681,G$631-1)/SUMPRODUCT(--($D$631:$V$631=G$631),--($D1283:$V1283=1)),0)+SUM(G680)+IF(COUNTIF(G$1237:G1283,1)=1,5,0)+IF(COUNTIF(H681:$W681,"&gt;"&amp;0)&lt;5,IF(AND(COUNTIF(G$1237:G1283,1)&gt;7,MOD(1+IFERROR(MATCH($C681,总览!$D$46:$D$345,1)+1,1),7)=0),$C$3,0),0)</f>
        <v>116.213333333333</v>
      </c>
      <c r="H681" s="131" cm="1">
        <f ca="1" t="array" ref="H681">IF(H1283=1,OFFSET($W$634,$B681,H$631-1)/SUMPRODUCT(--($D$631:$V$631=H$631),--($D1283:$V1283=1)),0)+SUM(H680)+IF(COUNTIF(H$1237:H1283,1)=1,5,0)+IF(COUNTIF(I681:$W681,"&gt;"&amp;0)&lt;5,IF(AND(COUNTIF(H$1237:H1283,1)&gt;7,MOD(1+IFERROR(MATCH($C681,总览!$D$46:$D$345,1)+1,1),7)=0),$C$3,0),0)</f>
        <v>116.213333333333</v>
      </c>
      <c r="I681" s="131" cm="1">
        <f ca="1" t="array" ref="I681">IF(I1283=1,OFFSET($W$634,$B681,I$631-1)/SUMPRODUCT(--($D$631:$V$631=I$631),--($D1283:$V1283=1)),0)+SUM(I680)+IF(COUNTIF(I$1237:I1283,1)=1,5,0)+IF(COUNTIF(J681:$W681,"&gt;"&amp;0)&lt;5,IF(AND(COUNTIF(I$1237:I1283,1)&gt;7,MOD(1+IFERROR(MATCH($C681,总览!$D$46:$D$345,1)+1,1),7)=0),$C$3,0),0)</f>
        <v>116.213333333333</v>
      </c>
      <c r="J681" s="131" cm="1">
        <f ca="1" t="array" ref="J681">IF(J1283=1,OFFSET($W$634,$B681,J$631-1)/SUMPRODUCT(--($D$631:$V$631=J$631),--($D1283:$V1283=1)),0)+SUM(J680)+IF(COUNTIF(J$1237:J1283,1)=1,5,0)+IF(COUNTIF(K681:$W681,"&gt;"&amp;0)&lt;5,IF(AND(COUNTIF(J$1237:J1283,1)&gt;7,MOD(1+IFERROR(MATCH($C681,总览!$D$46:$D$345,1)+1,1),7)=0),$C$3,0),0)</f>
        <v>112.88</v>
      </c>
      <c r="K681" s="131" cm="1">
        <f ca="1" t="array" ref="K681">IF(K1283=1,OFFSET($W$634,$B681,K$631-1)/SUMPRODUCT(--($D$631:$V$631=K$631),--($D1283:$V1283=1)),0)+SUM(K680)+IF(COUNTIF(K$1237:K1283,1)=1,5,0)+IF(COUNTIF(L681:$W681,"&gt;"&amp;0)&lt;5,IF(AND(COUNTIF(K$1237:K1283,1)&gt;7,MOD(1+IFERROR(MATCH($C681,总览!$D$46:$D$345,1)+1,1),7)=0),$C$3,0),0)</f>
        <v>110.38</v>
      </c>
      <c r="L681" s="131" cm="1">
        <f ca="1" t="array" ref="L681">IF(L1283=1,OFFSET($W$634,$B681,L$631-1)/SUMPRODUCT(--($D$631:$V$631=L$631),--($D1283:$V1283=1)),0)+SUM(L680)+IF(COUNTIF(L$1237:L1283,1)=1,5,0)+IF(COUNTIF(M681:$W681,"&gt;"&amp;0)&lt;5,IF(AND(COUNTIF(L$1237:L1283,1)&gt;7,MOD(1+IFERROR(MATCH($C681,总览!$D$46:$D$345,1)+1,1),7)=0),$C$3,0),0)</f>
        <v>110.38</v>
      </c>
      <c r="M681" s="131" cm="1">
        <f ca="1" t="array" ref="M681">IF(M1283=1,OFFSET($W$634,$B681,M$631-1)/SUMPRODUCT(--($D$631:$V$631=M$631),--($D1283:$V1283=1)),0)+SUM(M680)+IF(COUNTIF(M$1237:M1283,1)=1,5,0)+IF(COUNTIF(N681:$W681,"&gt;"&amp;0)&lt;5,IF(AND(COUNTIF(M$1237:M1283,1)&gt;7,MOD(1+IFERROR(MATCH($C681,总览!$D$46:$D$345,1)+1,1),7)=0),$C$3,0),0)</f>
        <v>42.1641071428571</v>
      </c>
      <c r="N681" s="131" cm="1">
        <f ca="1" t="array" ref="N681">IF(N1283=1,OFFSET($W$634,$B681,N$631-1)/SUMPRODUCT(--($D$631:$V$631=N$631),--($D1283:$V1283=1)),0)+SUM(N680)+IF(COUNTIF(N$1237:N1283,1)=1,5,0)+IF(COUNTIF(O681:$W681,"&gt;"&amp;0)&lt;5,IF(AND(COUNTIF(N$1237:N1283,1)&gt;7,MOD(1+IFERROR(MATCH($C681,总览!$D$46:$D$345,1)+1,1),7)=0),$C$3,0),0)</f>
        <v>43.4141071428571</v>
      </c>
      <c r="O681" s="131" cm="1">
        <f ca="1" t="array" ref="O681">IF(O1283=1,OFFSET($W$634,$B681,O$631-1)/SUMPRODUCT(--($D$631:$V$631=O$631),--($D1283:$V1283=1)),0)+SUM(O680)+IF(COUNTIF(O$1237:O1283,1)=1,5,0)+IF(COUNTIF(P681:$W681,"&gt;"&amp;0)&lt;5,IF(AND(COUNTIF(O$1237:O1283,1)&gt;7,MOD(1+IFERROR(MATCH($C681,总览!$D$46:$D$345,1)+1,1),7)=0),$C$3,0),0)</f>
        <v>48.4141071428571</v>
      </c>
      <c r="P681" s="131" cm="1">
        <f ca="1" t="array" ref="P681">IF(P1283=1,OFFSET($W$634,$B681,P$631-1)/SUMPRODUCT(--($D$631:$V$631=P$631),--($D1283:$V1283=1)),0)+SUM(P680)+IF(COUNTIF(P$1237:P1283,1)=1,5,0)+IF(COUNTIF(Q681:$W681,"&gt;"&amp;0)&lt;5,IF(AND(COUNTIF(P$1237:P1283,1)&gt;7,MOD(1+IFERROR(MATCH($C681,总览!$D$46:$D$345,1)+1,1),7)=0),$C$3,0),0)</f>
        <v>37.5328571428571</v>
      </c>
      <c r="Q681" s="131" cm="1">
        <f ca="1" t="array" ref="Q681">IF(Q1283=1,OFFSET($W$634,$B681,Q$631-1)/SUMPRODUCT(--($D$631:$V$631=Q$631),--($D1283:$V1283=1)),0)+SUM(Q680)+IF(COUNTIF(Q$1237:Q1283,1)=1,5,0)+IF(COUNTIF(R681:$W681,"&gt;"&amp;0)&lt;5,IF(AND(COUNTIF(Q$1237:Q1283,1)&gt;7,MOD(1+IFERROR(MATCH($C681,总览!$D$46:$D$345,1)+1,1),7)=0),$C$3,0),0)</f>
        <v>50.9141071428571</v>
      </c>
      <c r="R681" s="131" cm="1">
        <f ca="1" t="array" ref="R681">IF(R1283=1,OFFSET($W$634,$B681,R$631-1)/SUMPRODUCT(--($D$631:$V$631=R$631),--($D1283:$V1283=1)),0)+SUM(R680)+IF(COUNTIF(R$1237:R1283,1)=1,5,0)+IF(COUNTIF(S681:$W681,"&gt;"&amp;0)&lt;5,IF(AND(COUNTIF(R$1237:R1283,1)&gt;7,MOD(1+IFERROR(MATCH($C681,总览!$D$46:$D$345,1)+1,1),7)=0),$C$3,0),0)</f>
        <v>42.5328571428571</v>
      </c>
      <c r="S681" s="131" cm="1">
        <f ca="1" t="array" ref="S681">IF(S1283=1,OFFSET($W$634,$B681,S$631-1)/SUMPRODUCT(--($D$631:$V$631=S$631),--($D1283:$V1283=1)),0)+SUM(S680)+IF(COUNTIF(S$1237:S1283,1)=1,5,0)+IF(COUNTIF(T681:$W681,"&gt;"&amp;0)&lt;5,IF(AND(COUNTIF(S$1237:S1283,1)&gt;7,MOD(1+IFERROR(MATCH($C681,总览!$D$46:$D$345,1)+1,1),7)=0),$C$3,0),0)</f>
        <v>40.0328571428571</v>
      </c>
      <c r="T681" s="131" cm="1">
        <f ca="1" t="array" ref="T681">IF(T1283=1,OFFSET($W$634,$B681,T$631-1)/SUMPRODUCT(--($D$631:$V$631=T$631),--($D1283:$V1283=1)),0)+SUM(T680)+IF(COUNTIF(T$1237:T1283,1)=1,5,0)+IF(COUNTIF(U681:$W681,"&gt;"&amp;0)&lt;5,IF(AND(COUNTIF(T$1237:T1283,1)&gt;7,MOD(1+IFERROR(MATCH($C681,总览!$D$46:$D$345,1)+1,1),7)=0),$C$3,0),0)</f>
        <v>6.05157835339041</v>
      </c>
      <c r="U681" s="131" cm="1">
        <f ca="1" t="array" ref="U681">IF(U1283=1,OFFSET($W$634,$B681,U$631-1)/SUMPRODUCT(--($D$631:$V$631=U$631),--($D1283:$V1283=1)),0)+SUM(U680)+IF(COUNTIF(U$1237:U1283,1)=1,5,0)+IF(COUNTIF(V681:$W681,"&gt;"&amp;0)&lt;5,IF(AND(COUNTIF(U$1237:U1283,1)&gt;7,MOD(1+IFERROR(MATCH($C681,总览!$D$46:$D$345,1)+1,1),7)=0),$C$3,0),0)</f>
        <v>11.57236470869</v>
      </c>
      <c r="V681" s="131" cm="1">
        <f ca="1" t="array" ref="V681">IF(V1283=1,OFFSET($W$634,$B681,V$631-1)/SUMPRODUCT(--($D$631:$V$631=V$631),--($D1283:$V1283=1)),0)+SUM(V680)+IF(COUNTIF(V$1237:V1283,1)=1,5,0)+IF(COUNTIF(W681:$W681,"&gt;"&amp;0)&lt;5,IF(AND(COUNTIF(V$1237:V1283,1)&gt;7,MOD(1+IFERROR(MATCH($C681,总览!$D$46:$D$345,1)+1,1),7)=0),$C$3,0),0)</f>
        <v>31.3993644211234</v>
      </c>
      <c r="W681" s="135" cm="1">
        <f ca="1" t="array" ref="W681">SUMPRODUCT(TRANSPOSE($AA681:$AG681),OFFSET($L$9:$L$15,0,W$631-1))</f>
        <v>26.4226324699144</v>
      </c>
      <c r="X681" s="135" cm="1">
        <f ca="1" t="array" ref="X681">SUMPRODUCT(TRANSPOSE($AA681:$AG681),OFFSET($L$9:$L$15,0,X$631-1))</f>
        <v>16</v>
      </c>
      <c r="Y681" s="135" cm="1">
        <f ca="1" t="array" ref="Y681">SUMPRODUCT(TRANSPOSE($AA681:$AG681),OFFSET($L$9:$L$15,0,Y$631-1))</f>
        <v>6</v>
      </c>
      <c r="Z681" s="135" cm="1">
        <f ca="1" t="array" ref="Z681">SUMPRODUCT(TRANSPOSE($AA681:$AG681),OFFSET($L$9:$L$15,0,Z$631-1))</f>
        <v>1.57736753008561</v>
      </c>
      <c r="AA681" s="136">
        <f ca="1" t="shared" ref="AA681:AG681" si="333">AH681-AH680</f>
        <v>0</v>
      </c>
      <c r="AB681" s="136">
        <f ca="1" t="shared" si="333"/>
        <v>0</v>
      </c>
      <c r="AC681" s="136">
        <f ca="1" t="shared" si="333"/>
        <v>0</v>
      </c>
      <c r="AD681" s="136">
        <f ca="1" t="shared" si="333"/>
        <v>100</v>
      </c>
      <c r="AE681" s="136">
        <f ca="1" t="shared" si="333"/>
        <v>0</v>
      </c>
      <c r="AF681" s="136">
        <f ca="1" t="shared" si="333"/>
        <v>0</v>
      </c>
      <c r="AG681" s="136">
        <f ca="1" t="shared" si="333"/>
        <v>0</v>
      </c>
      <c r="AH681" s="136">
        <f ca="1" t="shared" si="241"/>
        <v>450</v>
      </c>
      <c r="AI681" s="136">
        <f ca="1" t="shared" ref="AI681:AN681" si="334">IF($C681&gt;OFFSET($Q$8,MATCH(AI$634,$AH$634:$AN$634,0),0),OFFSET($P$8,MATCH(AI$634,$AH$634:$AN$634,0),0),MAX(0,$C681-OFFSET($Q$8,RIGHT(AI$634,1)-1,0)))</f>
        <v>909</v>
      </c>
      <c r="AJ681" s="136">
        <f ca="1" t="shared" si="334"/>
        <v>1818</v>
      </c>
      <c r="AK681" s="136">
        <f ca="1" t="shared" si="334"/>
        <v>1523</v>
      </c>
      <c r="AL681" s="136">
        <f ca="1" t="shared" si="334"/>
        <v>0</v>
      </c>
      <c r="AM681" s="136">
        <f ca="1" t="shared" si="334"/>
        <v>0</v>
      </c>
      <c r="AN681" s="136">
        <f ca="1" t="shared" si="334"/>
        <v>0</v>
      </c>
      <c r="AP681" s="132">
        <v>47</v>
      </c>
      <c r="AQ681" s="132">
        <v>17030</v>
      </c>
      <c r="AR681" s="132">
        <v>17030</v>
      </c>
      <c r="AS681" s="132">
        <v>9290</v>
      </c>
      <c r="AT681" s="132">
        <v>5420</v>
      </c>
    </row>
    <row r="682" s="106" customFormat="1" ht="16.5" spans="2:46">
      <c r="B682" s="117">
        <v>48</v>
      </c>
      <c r="C682" s="130">
        <f t="shared" si="239"/>
        <v>4800</v>
      </c>
      <c r="D682" s="131" cm="1">
        <f ca="1" t="array" ref="D682">IF(D1284=1,OFFSET($W$634,$B682,D$631-1)/SUMPRODUCT(--($D$631:$V$631=D$631),--($D1284:$V1284=1)),0)+SUM(D681)+IF(COUNTIF(D$1237:D1284,1)=1,5,0)+IF(COUNTIF(E682:$W682,"&gt;"&amp;0)&lt;5,IF(AND(COUNTIF(D$1237:D1284,1)&gt;7,MOD(1+IFERROR(MATCH($C682,总览!$D$46:$D$345,1)+1,1),7)=0),$C$3,0),0)</f>
        <v>503.371441662237</v>
      </c>
      <c r="E682" s="131" cm="1">
        <f ca="1" t="array" ref="E682">IF(E1284=1,OFFSET($W$634,$B682,E$631-1)/SUMPRODUCT(--($D$631:$V$631=E$631),--($D1284:$V1284=1)),0)+SUM(E681)+IF(COUNTIF(E$1237:E1284,1)=1,5,0)+IF(COUNTIF(F682:$W682,"&gt;"&amp;0)&lt;5,IF(AND(COUNTIF(E$1237:E1284,1)&gt;7,MOD(1+IFERROR(MATCH($C682,总览!$D$46:$D$345,1)+1,1),7)=0),$C$3,0),0)</f>
        <v>503.371441662237</v>
      </c>
      <c r="F682" s="131" cm="1">
        <f ca="1" t="array" ref="F682">IF(F1284=1,OFFSET($W$634,$B682,F$631-1)/SUMPRODUCT(--($D$631:$V$631=F$631),--($D1284:$V1284=1)),0)+SUM(F681)+IF(COUNTIF(F$1237:F1284,1)=1,5,0)+IF(COUNTIF(G682:$W682,"&gt;"&amp;0)&lt;5,IF(AND(COUNTIF(F$1237:F1284,1)&gt;7,MOD(1+IFERROR(MATCH($C682,总览!$D$46:$D$345,1)+1,1),7)=0),$C$3,0),0)</f>
        <v>503.371441662237</v>
      </c>
      <c r="G682" s="131" cm="1">
        <f ca="1" t="array" ref="G682">IF(G1284=1,OFFSET($W$634,$B682,G$631-1)/SUMPRODUCT(--($D$631:$V$631=G$631),--($D1284:$V1284=1)),0)+SUM(G681)+IF(COUNTIF(G$1237:G1284,1)=1,5,0)+IF(COUNTIF(H682:$W682,"&gt;"&amp;0)&lt;5,IF(AND(COUNTIF(G$1237:G1284,1)&gt;7,MOD(1+IFERROR(MATCH($C682,总览!$D$46:$D$345,1)+1,1),7)=0),$C$3,0),0)</f>
        <v>118.88</v>
      </c>
      <c r="H682" s="131" cm="1">
        <f ca="1" t="array" ref="H682">IF(H1284=1,OFFSET($W$634,$B682,H$631-1)/SUMPRODUCT(--($D$631:$V$631=H$631),--($D1284:$V1284=1)),0)+SUM(H681)+IF(COUNTIF(H$1237:H1284,1)=1,5,0)+IF(COUNTIF(I682:$W682,"&gt;"&amp;0)&lt;5,IF(AND(COUNTIF(H$1237:H1284,1)&gt;7,MOD(1+IFERROR(MATCH($C682,总览!$D$46:$D$345,1)+1,1),7)=0),$C$3,0),0)</f>
        <v>118.88</v>
      </c>
      <c r="I682" s="131" cm="1">
        <f ca="1" t="array" ref="I682">IF(I1284=1,OFFSET($W$634,$B682,I$631-1)/SUMPRODUCT(--($D$631:$V$631=I$631),--($D1284:$V1284=1)),0)+SUM(I681)+IF(COUNTIF(I$1237:I1284,1)=1,5,0)+IF(COUNTIF(J682:$W682,"&gt;"&amp;0)&lt;5,IF(AND(COUNTIF(I$1237:I1284,1)&gt;7,MOD(1+IFERROR(MATCH($C682,总览!$D$46:$D$345,1)+1,1),7)=0),$C$3,0),0)</f>
        <v>118.88</v>
      </c>
      <c r="J682" s="131" cm="1">
        <f ca="1" t="array" ref="J682">IF(J1284=1,OFFSET($W$634,$B682,J$631-1)/SUMPRODUCT(--($D$631:$V$631=J$631),--($D1284:$V1284=1)),0)+SUM(J681)+IF(COUNTIF(J$1237:J1284,1)=1,5,0)+IF(COUNTIF(K682:$W682,"&gt;"&amp;0)&lt;5,IF(AND(COUNTIF(J$1237:J1284,1)&gt;7,MOD(1+IFERROR(MATCH($C682,总览!$D$46:$D$345,1)+1,1),7)=0),$C$3,0),0)</f>
        <v>115.546666666667</v>
      </c>
      <c r="K682" s="131" cm="1">
        <f ca="1" t="array" ref="K682">IF(K1284=1,OFFSET($W$634,$B682,K$631-1)/SUMPRODUCT(--($D$631:$V$631=K$631),--($D1284:$V1284=1)),0)+SUM(K681)+IF(COUNTIF(K$1237:K1284,1)=1,5,0)+IF(COUNTIF(L682:$W682,"&gt;"&amp;0)&lt;5,IF(AND(COUNTIF(K$1237:K1284,1)&gt;7,MOD(1+IFERROR(MATCH($C682,总览!$D$46:$D$345,1)+1,1),7)=0),$C$3,0),0)</f>
        <v>113.046666666667</v>
      </c>
      <c r="L682" s="131" cm="1">
        <f ca="1" t="array" ref="L682">IF(L1284=1,OFFSET($W$634,$B682,L$631-1)/SUMPRODUCT(--($D$631:$V$631=L$631),--($D1284:$V1284=1)),0)+SUM(L681)+IF(COUNTIF(L$1237:L1284,1)=1,5,0)+IF(COUNTIF(M682:$W682,"&gt;"&amp;0)&lt;5,IF(AND(COUNTIF(L$1237:L1284,1)&gt;7,MOD(1+IFERROR(MATCH($C682,总览!$D$46:$D$345,1)+1,1),7)=0),$C$3,0),0)</f>
        <v>113.046666666667</v>
      </c>
      <c r="M682" s="131" cm="1">
        <f ca="1" t="array" ref="M682">IF(M1284=1,OFFSET($W$634,$B682,M$631-1)/SUMPRODUCT(--($D$631:$V$631=M$631),--($D1284:$V1284=1)),0)+SUM(M681)+IF(COUNTIF(M$1237:M1284,1)=1,5,0)+IF(COUNTIF(N682:$W682,"&gt;"&amp;0)&lt;5,IF(AND(COUNTIF(M$1237:M1284,1)&gt;7,MOD(1+IFERROR(MATCH($C682,总览!$D$46:$D$345,1)+1,1),7)=0),$C$3,0),0)</f>
        <v>43.02125</v>
      </c>
      <c r="N682" s="131" cm="1">
        <f ca="1" t="array" ref="N682">IF(N1284=1,OFFSET($W$634,$B682,N$631-1)/SUMPRODUCT(--($D$631:$V$631=N$631),--($D1284:$V1284=1)),0)+SUM(N681)+IF(COUNTIF(N$1237:N1284,1)=1,5,0)+IF(COUNTIF(O682:$W682,"&gt;"&amp;0)&lt;5,IF(AND(COUNTIF(N$1237:N1284,1)&gt;7,MOD(1+IFERROR(MATCH($C682,总览!$D$46:$D$345,1)+1,1),7)=0),$C$3,0),0)</f>
        <v>44.27125</v>
      </c>
      <c r="O682" s="131" cm="1">
        <f ca="1" t="array" ref="O682">IF(O1284=1,OFFSET($W$634,$B682,O$631-1)/SUMPRODUCT(--($D$631:$V$631=O$631),--($D1284:$V1284=1)),0)+SUM(O681)+IF(COUNTIF(O$1237:O1284,1)=1,5,0)+IF(COUNTIF(P682:$W682,"&gt;"&amp;0)&lt;5,IF(AND(COUNTIF(O$1237:O1284,1)&gt;7,MOD(1+IFERROR(MATCH($C682,总览!$D$46:$D$345,1)+1,1),7)=0),$C$3,0),0)</f>
        <v>49.27125</v>
      </c>
      <c r="P682" s="131" cm="1">
        <f ca="1" t="array" ref="P682">IF(P1284=1,OFFSET($W$634,$B682,P$631-1)/SUMPRODUCT(--($D$631:$V$631=P$631),--($D1284:$V1284=1)),0)+SUM(P681)+IF(COUNTIF(P$1237:P1284,1)=1,5,0)+IF(COUNTIF(Q682:$W682,"&gt;"&amp;0)&lt;5,IF(AND(COUNTIF(P$1237:P1284,1)&gt;7,MOD(1+IFERROR(MATCH($C682,总览!$D$46:$D$345,1)+1,1),7)=0),$C$3,0),0)</f>
        <v>38.39</v>
      </c>
      <c r="Q682" s="131" cm="1">
        <f ca="1" t="array" ref="Q682">IF(Q1284=1,OFFSET($W$634,$B682,Q$631-1)/SUMPRODUCT(--($D$631:$V$631=Q$631),--($D1284:$V1284=1)),0)+SUM(Q681)+IF(COUNTIF(Q$1237:Q1284,1)=1,5,0)+IF(COUNTIF(R682:$W682,"&gt;"&amp;0)&lt;5,IF(AND(COUNTIF(Q$1237:Q1284,1)&gt;7,MOD(1+IFERROR(MATCH($C682,总览!$D$46:$D$345,1)+1,1),7)=0),$C$3,0),0)</f>
        <v>51.77125</v>
      </c>
      <c r="R682" s="131" cm="1">
        <f ca="1" t="array" ref="R682">IF(R1284=1,OFFSET($W$634,$B682,R$631-1)/SUMPRODUCT(--($D$631:$V$631=R$631),--($D1284:$V1284=1)),0)+SUM(R681)+IF(COUNTIF(R$1237:R1284,1)=1,5,0)+IF(COUNTIF(S682:$W682,"&gt;"&amp;0)&lt;5,IF(AND(COUNTIF(R$1237:R1284,1)&gt;7,MOD(1+IFERROR(MATCH($C682,总览!$D$46:$D$345,1)+1,1),7)=0),$C$3,0),0)</f>
        <v>43.39</v>
      </c>
      <c r="S682" s="131" cm="1">
        <f ca="1" t="array" ref="S682">IF(S1284=1,OFFSET($W$634,$B682,S$631-1)/SUMPRODUCT(--($D$631:$V$631=S$631),--($D1284:$V1284=1)),0)+SUM(S681)+IF(COUNTIF(S$1237:S1284,1)=1,5,0)+IF(COUNTIF(T682:$W682,"&gt;"&amp;0)&lt;5,IF(AND(COUNTIF(S$1237:S1284,1)&gt;7,MOD(1+IFERROR(MATCH($C682,总览!$D$46:$D$345,1)+1,1),7)=0),$C$3,0),0)</f>
        <v>40.89</v>
      </c>
      <c r="T682" s="131" cm="1">
        <f ca="1" t="array" ref="T682">IF(T1284=1,OFFSET($W$634,$B682,T$631-1)/SUMPRODUCT(--($D$631:$V$631=T$631),--($D1284:$V1284=1)),0)+SUM(T681)+IF(COUNTIF(T$1237:T1284,1)=1,5,0)+IF(COUNTIF(U682:$W682,"&gt;"&amp;0)&lt;5,IF(AND(COUNTIF(T$1237:T1284,1)&gt;7,MOD(1+IFERROR(MATCH($C682,总览!$D$46:$D$345,1)+1,1),7)=0),$C$3,0),0)</f>
        <v>6.57736753008561</v>
      </c>
      <c r="U682" s="131" cm="1">
        <f ca="1" t="array" ref="U682">IF(U1284=1,OFFSET($W$634,$B682,U$631-1)/SUMPRODUCT(--($D$631:$V$631=U$631),--($D1284:$V1284=1)),0)+SUM(U681)+IF(COUNTIF(U$1237:U1284,1)=1,5,0)+IF(COUNTIF(V682:$W682,"&gt;"&amp;0)&lt;5,IF(AND(COUNTIF(U$1237:U1284,1)&gt;7,MOD(1+IFERROR(MATCH($C682,总览!$D$46:$D$345,1)+1,1),7)=0),$C$3,0),0)</f>
        <v>12.0981538853852</v>
      </c>
      <c r="V682" s="131" cm="1">
        <f ca="1" t="array" ref="V682">IF(V1284=1,OFFSET($W$634,$B682,V$631-1)/SUMPRODUCT(--($D$631:$V$631=V$631),--($D1284:$V1284=1)),0)+SUM(V681)+IF(COUNTIF(V$1237:V1284,1)=1,5,0)+IF(COUNTIF(W682:$W682,"&gt;"&amp;0)&lt;5,IF(AND(COUNTIF(V$1237:V1284,1)&gt;7,MOD(1+IFERROR(MATCH($C682,总览!$D$46:$D$345,1)+1,1),7)=0),$C$3,0),0)</f>
        <v>31.9251535978186</v>
      </c>
      <c r="W682" s="135" cm="1">
        <f ca="1" t="array" ref="W682">SUMPRODUCT(TRANSPOSE($AA682:$AG682),OFFSET($L$9:$L$15,0,W$631-1))</f>
        <v>26.4226324699144</v>
      </c>
      <c r="X682" s="135" cm="1">
        <f ca="1" t="array" ref="X682">SUMPRODUCT(TRANSPOSE($AA682:$AG682),OFFSET($L$9:$L$15,0,X$631-1))</f>
        <v>16</v>
      </c>
      <c r="Y682" s="135" cm="1">
        <f ca="1" t="array" ref="Y682">SUMPRODUCT(TRANSPOSE($AA682:$AG682),OFFSET($L$9:$L$15,0,Y$631-1))</f>
        <v>6</v>
      </c>
      <c r="Z682" s="135" cm="1">
        <f ca="1" t="array" ref="Z682">SUMPRODUCT(TRANSPOSE($AA682:$AG682),OFFSET($L$9:$L$15,0,Z$631-1))</f>
        <v>1.57736753008561</v>
      </c>
      <c r="AA682" s="136">
        <f ca="1" t="shared" ref="AA682:AG682" si="335">AH682-AH681</f>
        <v>0</v>
      </c>
      <c r="AB682" s="136">
        <f ca="1" t="shared" si="335"/>
        <v>0</v>
      </c>
      <c r="AC682" s="136">
        <f ca="1" t="shared" si="335"/>
        <v>0</v>
      </c>
      <c r="AD682" s="136">
        <f ca="1" t="shared" si="335"/>
        <v>100</v>
      </c>
      <c r="AE682" s="136">
        <f ca="1" t="shared" si="335"/>
        <v>0</v>
      </c>
      <c r="AF682" s="136">
        <f ca="1" t="shared" si="335"/>
        <v>0</v>
      </c>
      <c r="AG682" s="136">
        <f ca="1" t="shared" si="335"/>
        <v>0</v>
      </c>
      <c r="AH682" s="136">
        <f ca="1" t="shared" si="241"/>
        <v>450</v>
      </c>
      <c r="AI682" s="136">
        <f ca="1" t="shared" ref="AI682:AN682" si="336">IF($C682&gt;OFFSET($Q$8,MATCH(AI$634,$AH$634:$AN$634,0),0),OFFSET($P$8,MATCH(AI$634,$AH$634:$AN$634,0),0),MAX(0,$C682-OFFSET($Q$8,RIGHT(AI$634,1)-1,0)))</f>
        <v>909</v>
      </c>
      <c r="AJ682" s="136">
        <f ca="1" t="shared" si="336"/>
        <v>1818</v>
      </c>
      <c r="AK682" s="136">
        <f ca="1" t="shared" si="336"/>
        <v>1623</v>
      </c>
      <c r="AL682" s="136">
        <f ca="1" t="shared" si="336"/>
        <v>0</v>
      </c>
      <c r="AM682" s="136">
        <f ca="1" t="shared" si="336"/>
        <v>0</v>
      </c>
      <c r="AN682" s="136">
        <f ca="1" t="shared" si="336"/>
        <v>0</v>
      </c>
      <c r="AP682" s="132">
        <v>48</v>
      </c>
      <c r="AQ682" s="132">
        <v>18470</v>
      </c>
      <c r="AR682" s="132">
        <v>18470</v>
      </c>
      <c r="AS682" s="132">
        <v>10010</v>
      </c>
      <c r="AT682" s="132">
        <v>5780</v>
      </c>
    </row>
    <row r="683" s="106" customFormat="1" ht="16.5" spans="2:46">
      <c r="B683" s="117">
        <v>49</v>
      </c>
      <c r="C683" s="130">
        <f t="shared" si="239"/>
        <v>4900</v>
      </c>
      <c r="D683" s="131" cm="1">
        <f ca="1" t="array" ref="D683">IF(D1285=1,OFFSET($W$634,$B683,D$631-1)/SUMPRODUCT(--($D$631:$V$631=D$631),--($D1285:$V1285=1)),0)+SUM(D682)+IF(COUNTIF(D$1237:D1285,1)=1,5,0)+IF(COUNTIF(E683:$W683,"&gt;"&amp;0)&lt;5,IF(AND(COUNTIF(D$1237:D1285,1)&gt;7,MOD(1+IFERROR(MATCH($C683,总览!$D$46:$D$345,1)+1,1),7)=0),$C$3,0),0)</f>
        <v>512.178985818875</v>
      </c>
      <c r="E683" s="131" cm="1">
        <f ca="1" t="array" ref="E683">IF(E1285=1,OFFSET($W$634,$B683,E$631-1)/SUMPRODUCT(--($D$631:$V$631=E$631),--($D1285:$V1285=1)),0)+SUM(E682)+IF(COUNTIF(E$1237:E1285,1)=1,5,0)+IF(COUNTIF(F683:$W683,"&gt;"&amp;0)&lt;5,IF(AND(COUNTIF(E$1237:E1285,1)&gt;7,MOD(1+IFERROR(MATCH($C683,总览!$D$46:$D$345,1)+1,1),7)=0),$C$3,0),0)</f>
        <v>512.178985818875</v>
      </c>
      <c r="F683" s="131" cm="1">
        <f ca="1" t="array" ref="F683">IF(F1285=1,OFFSET($W$634,$B683,F$631-1)/SUMPRODUCT(--($D$631:$V$631=F$631),--($D1285:$V1285=1)),0)+SUM(F682)+IF(COUNTIF(F$1237:F1285,1)=1,5,0)+IF(COUNTIF(G683:$W683,"&gt;"&amp;0)&lt;5,IF(AND(COUNTIF(F$1237:F1285,1)&gt;7,MOD(1+IFERROR(MATCH($C683,总览!$D$46:$D$345,1)+1,1),7)=0),$C$3,0),0)</f>
        <v>512.178985818875</v>
      </c>
      <c r="G683" s="131" cm="1">
        <f ca="1" t="array" ref="G683">IF(G1285=1,OFFSET($W$634,$B683,G$631-1)/SUMPRODUCT(--($D$631:$V$631=G$631),--($D1285:$V1285=1)),0)+SUM(G682)+IF(COUNTIF(G$1237:G1285,1)=1,5,0)+IF(COUNTIF(H683:$W683,"&gt;"&amp;0)&lt;5,IF(AND(COUNTIF(G$1237:G1285,1)&gt;7,MOD(1+IFERROR(MATCH($C683,总览!$D$46:$D$345,1)+1,1),7)=0),$C$3,0),0)</f>
        <v>121.546666666667</v>
      </c>
      <c r="H683" s="131" cm="1">
        <f ca="1" t="array" ref="H683">IF(H1285=1,OFFSET($W$634,$B683,H$631-1)/SUMPRODUCT(--($D$631:$V$631=H$631),--($D1285:$V1285=1)),0)+SUM(H682)+IF(COUNTIF(H$1237:H1285,1)=1,5,0)+IF(COUNTIF(I683:$W683,"&gt;"&amp;0)&lt;5,IF(AND(COUNTIF(H$1237:H1285,1)&gt;7,MOD(1+IFERROR(MATCH($C683,总览!$D$46:$D$345,1)+1,1),7)=0),$C$3,0),0)</f>
        <v>121.546666666667</v>
      </c>
      <c r="I683" s="131" cm="1">
        <f ca="1" t="array" ref="I683">IF(I1285=1,OFFSET($W$634,$B683,I$631-1)/SUMPRODUCT(--($D$631:$V$631=I$631),--($D1285:$V1285=1)),0)+SUM(I682)+IF(COUNTIF(I$1237:I1285,1)=1,5,0)+IF(COUNTIF(J683:$W683,"&gt;"&amp;0)&lt;5,IF(AND(COUNTIF(I$1237:I1285,1)&gt;7,MOD(1+IFERROR(MATCH($C683,总览!$D$46:$D$345,1)+1,1),7)=0),$C$3,0),0)</f>
        <v>121.546666666667</v>
      </c>
      <c r="J683" s="131" cm="1">
        <f ca="1" t="array" ref="J683">IF(J1285=1,OFFSET($W$634,$B683,J$631-1)/SUMPRODUCT(--($D$631:$V$631=J$631),--($D1285:$V1285=1)),0)+SUM(J682)+IF(COUNTIF(J$1237:J1285,1)=1,5,0)+IF(COUNTIF(K683:$W683,"&gt;"&amp;0)&lt;5,IF(AND(COUNTIF(J$1237:J1285,1)&gt;7,MOD(1+IFERROR(MATCH($C683,总览!$D$46:$D$345,1)+1,1),7)=0),$C$3,0),0)</f>
        <v>118.213333333333</v>
      </c>
      <c r="K683" s="131" cm="1">
        <f ca="1" t="array" ref="K683">IF(K1285=1,OFFSET($W$634,$B683,K$631-1)/SUMPRODUCT(--($D$631:$V$631=K$631),--($D1285:$V1285=1)),0)+SUM(K682)+IF(COUNTIF(K$1237:K1285,1)=1,5,0)+IF(COUNTIF(L683:$W683,"&gt;"&amp;0)&lt;5,IF(AND(COUNTIF(K$1237:K1285,1)&gt;7,MOD(1+IFERROR(MATCH($C683,总览!$D$46:$D$345,1)+1,1),7)=0),$C$3,0),0)</f>
        <v>115.713333333333</v>
      </c>
      <c r="L683" s="131" cm="1">
        <f ca="1" t="array" ref="L683">IF(L1285=1,OFFSET($W$634,$B683,L$631-1)/SUMPRODUCT(--($D$631:$V$631=L$631),--($D1285:$V1285=1)),0)+SUM(L682)+IF(COUNTIF(L$1237:L1285,1)=1,5,0)+IF(COUNTIF(M683:$W683,"&gt;"&amp;0)&lt;5,IF(AND(COUNTIF(L$1237:L1285,1)&gt;7,MOD(1+IFERROR(MATCH($C683,总览!$D$46:$D$345,1)+1,1),7)=0),$C$3,0),0)</f>
        <v>115.713333333333</v>
      </c>
      <c r="M683" s="131" cm="1">
        <f ca="1" t="array" ref="M683">IF(M1285=1,OFFSET($W$634,$B683,M$631-1)/SUMPRODUCT(--($D$631:$V$631=M$631),--($D1285:$V1285=1)),0)+SUM(M682)+IF(COUNTIF(M$1237:M1285,1)=1,5,0)+IF(COUNTIF(N683:$W683,"&gt;"&amp;0)&lt;5,IF(AND(COUNTIF(M$1237:M1285,1)&gt;7,MOD(1+IFERROR(MATCH($C683,总览!$D$46:$D$345,1)+1,1),7)=0),$C$3,0),0)</f>
        <v>43.8783928571428</v>
      </c>
      <c r="N683" s="131" cm="1">
        <f ca="1" t="array" ref="N683">IF(N1285=1,OFFSET($W$634,$B683,N$631-1)/SUMPRODUCT(--($D$631:$V$631=N$631),--($D1285:$V1285=1)),0)+SUM(N682)+IF(COUNTIF(N$1237:N1285,1)=1,5,0)+IF(COUNTIF(O683:$W683,"&gt;"&amp;0)&lt;5,IF(AND(COUNTIF(N$1237:N1285,1)&gt;7,MOD(1+IFERROR(MATCH($C683,总览!$D$46:$D$345,1)+1,1),7)=0),$C$3,0),0)</f>
        <v>45.1283928571428</v>
      </c>
      <c r="O683" s="131" cm="1">
        <f ca="1" t="array" ref="O683">IF(O1285=1,OFFSET($W$634,$B683,O$631-1)/SUMPRODUCT(--($D$631:$V$631=O$631),--($D1285:$V1285=1)),0)+SUM(O682)+IF(COUNTIF(O$1237:O1285,1)=1,5,0)+IF(COUNTIF(P683:$W683,"&gt;"&amp;0)&lt;5,IF(AND(COUNTIF(O$1237:O1285,1)&gt;7,MOD(1+IFERROR(MATCH($C683,总览!$D$46:$D$345,1)+1,1),7)=0),$C$3,0),0)</f>
        <v>50.1283928571428</v>
      </c>
      <c r="P683" s="131" cm="1">
        <f ca="1" t="array" ref="P683">IF(P1285=1,OFFSET($W$634,$B683,P$631-1)/SUMPRODUCT(--($D$631:$V$631=P$631),--($D1285:$V1285=1)),0)+SUM(P682)+IF(COUNTIF(P$1237:P1285,1)=1,5,0)+IF(COUNTIF(Q683:$W683,"&gt;"&amp;0)&lt;5,IF(AND(COUNTIF(P$1237:P1285,1)&gt;7,MOD(1+IFERROR(MATCH($C683,总览!$D$46:$D$345,1)+1,1),7)=0),$C$3,0),0)</f>
        <v>39.2471428571428</v>
      </c>
      <c r="Q683" s="131" cm="1">
        <f ca="1" t="array" ref="Q683">IF(Q1285=1,OFFSET($W$634,$B683,Q$631-1)/SUMPRODUCT(--($D$631:$V$631=Q$631),--($D1285:$V1285=1)),0)+SUM(Q682)+IF(COUNTIF(Q$1237:Q1285,1)=1,5,0)+IF(COUNTIF(R683:$W683,"&gt;"&amp;0)&lt;5,IF(AND(COUNTIF(Q$1237:Q1285,1)&gt;7,MOD(1+IFERROR(MATCH($C683,总览!$D$46:$D$345,1)+1,1),7)=0),$C$3,0),0)</f>
        <v>52.6283928571428</v>
      </c>
      <c r="R683" s="131" cm="1">
        <f ca="1" t="array" ref="R683">IF(R1285=1,OFFSET($W$634,$B683,R$631-1)/SUMPRODUCT(--($D$631:$V$631=R$631),--($D1285:$V1285=1)),0)+SUM(R682)+IF(COUNTIF(R$1237:R1285,1)=1,5,0)+IF(COUNTIF(S683:$W683,"&gt;"&amp;0)&lt;5,IF(AND(COUNTIF(R$1237:R1285,1)&gt;7,MOD(1+IFERROR(MATCH($C683,总览!$D$46:$D$345,1)+1,1),7)=0),$C$3,0),0)</f>
        <v>44.2471428571428</v>
      </c>
      <c r="S683" s="131" cm="1">
        <f ca="1" t="array" ref="S683">IF(S1285=1,OFFSET($W$634,$B683,S$631-1)/SUMPRODUCT(--($D$631:$V$631=S$631),--($D1285:$V1285=1)),0)+SUM(S682)+IF(COUNTIF(S$1237:S1285,1)=1,5,0)+IF(COUNTIF(T683:$W683,"&gt;"&amp;0)&lt;5,IF(AND(COUNTIF(S$1237:S1285,1)&gt;7,MOD(1+IFERROR(MATCH($C683,总览!$D$46:$D$345,1)+1,1),7)=0),$C$3,0),0)</f>
        <v>41.7471428571428</v>
      </c>
      <c r="T683" s="131" cm="1">
        <f ca="1" t="array" ref="T683">IF(T1285=1,OFFSET($W$634,$B683,T$631-1)/SUMPRODUCT(--($D$631:$V$631=T$631),--($D1285:$V1285=1)),0)+SUM(T682)+IF(COUNTIF(T$1237:T1285,1)=1,5,0)+IF(COUNTIF(U683:$W683,"&gt;"&amp;0)&lt;5,IF(AND(COUNTIF(T$1237:T1285,1)&gt;7,MOD(1+IFERROR(MATCH($C683,总览!$D$46:$D$345,1)+1,1),7)=0),$C$3,0),0)</f>
        <v>7.10315670678081</v>
      </c>
      <c r="U683" s="131" cm="1">
        <f ca="1" t="array" ref="U683">IF(U1285=1,OFFSET($W$634,$B683,U$631-1)/SUMPRODUCT(--($D$631:$V$631=U$631),--($D1285:$V1285=1)),0)+SUM(U682)+IF(COUNTIF(U$1237:U1285,1)=1,5,0)+IF(COUNTIF(V683:$W683,"&gt;"&amp;0)&lt;5,IF(AND(COUNTIF(U$1237:U1285,1)&gt;7,MOD(1+IFERROR(MATCH($C683,总览!$D$46:$D$345,1)+1,1),7)=0),$C$3,0),0)</f>
        <v>12.6239430620804</v>
      </c>
      <c r="V683" s="131" cm="1">
        <f ca="1" t="array" ref="V683">IF(V1285=1,OFFSET($W$634,$B683,V$631-1)/SUMPRODUCT(--($D$631:$V$631=V$631),--($D1285:$V1285=1)),0)+SUM(V682)+IF(COUNTIF(V$1237:V1285,1)=1,5,0)+IF(COUNTIF(W683:$W683,"&gt;"&amp;0)&lt;5,IF(AND(COUNTIF(V$1237:V1285,1)&gt;7,MOD(1+IFERROR(MATCH($C683,总览!$D$46:$D$345,1)+1,1),7)=0),$C$3,0),0)</f>
        <v>32.4509427745138</v>
      </c>
      <c r="W683" s="135" cm="1">
        <f ca="1" t="array" ref="W683">SUMPRODUCT(TRANSPOSE($AA683:$AG683),OFFSET($L$9:$L$15,0,W$631-1))</f>
        <v>26.4226324699144</v>
      </c>
      <c r="X683" s="135" cm="1">
        <f ca="1" t="array" ref="X683">SUMPRODUCT(TRANSPOSE($AA683:$AG683),OFFSET($L$9:$L$15,0,X$631-1))</f>
        <v>16</v>
      </c>
      <c r="Y683" s="135" cm="1">
        <f ca="1" t="array" ref="Y683">SUMPRODUCT(TRANSPOSE($AA683:$AG683),OFFSET($L$9:$L$15,0,Y$631-1))</f>
        <v>6</v>
      </c>
      <c r="Z683" s="135" cm="1">
        <f ca="1" t="array" ref="Z683">SUMPRODUCT(TRANSPOSE($AA683:$AG683),OFFSET($L$9:$L$15,0,Z$631-1))</f>
        <v>1.57736753008561</v>
      </c>
      <c r="AA683" s="136">
        <f ca="1" t="shared" ref="AA683:AG683" si="337">AH683-AH682</f>
        <v>0</v>
      </c>
      <c r="AB683" s="136">
        <f ca="1" t="shared" si="337"/>
        <v>0</v>
      </c>
      <c r="AC683" s="136">
        <f ca="1" t="shared" si="337"/>
        <v>0</v>
      </c>
      <c r="AD683" s="136">
        <f ca="1" t="shared" si="337"/>
        <v>100</v>
      </c>
      <c r="AE683" s="136">
        <f ca="1" t="shared" si="337"/>
        <v>0</v>
      </c>
      <c r="AF683" s="136">
        <f ca="1" t="shared" si="337"/>
        <v>0</v>
      </c>
      <c r="AG683" s="136">
        <f ca="1" t="shared" si="337"/>
        <v>0</v>
      </c>
      <c r="AH683" s="136">
        <f ca="1" t="shared" si="241"/>
        <v>450</v>
      </c>
      <c r="AI683" s="136">
        <f ca="1" t="shared" ref="AI683:AN683" si="338">IF($C683&gt;OFFSET($Q$8,MATCH(AI$634,$AH$634:$AN$634,0),0),OFFSET($P$8,MATCH(AI$634,$AH$634:$AN$634,0),0),MAX(0,$C683-OFFSET($Q$8,RIGHT(AI$634,1)-1,0)))</f>
        <v>909</v>
      </c>
      <c r="AJ683" s="136">
        <f ca="1" t="shared" si="338"/>
        <v>1818</v>
      </c>
      <c r="AK683" s="136">
        <f ca="1" t="shared" si="338"/>
        <v>1723</v>
      </c>
      <c r="AL683" s="136">
        <f ca="1" t="shared" si="338"/>
        <v>0</v>
      </c>
      <c r="AM683" s="136">
        <f ca="1" t="shared" si="338"/>
        <v>0</v>
      </c>
      <c r="AN683" s="136">
        <f ca="1" t="shared" si="338"/>
        <v>0</v>
      </c>
      <c r="AP683" s="132">
        <v>49</v>
      </c>
      <c r="AQ683" s="132">
        <v>19910</v>
      </c>
      <c r="AR683" s="132">
        <v>19910</v>
      </c>
      <c r="AS683" s="132">
        <v>10730</v>
      </c>
      <c r="AT683" s="132">
        <v>6140</v>
      </c>
    </row>
    <row r="684" s="106" customFormat="1" ht="16.5" spans="2:46">
      <c r="B684" s="117">
        <v>50</v>
      </c>
      <c r="C684" s="130">
        <f t="shared" si="239"/>
        <v>5000</v>
      </c>
      <c r="D684" s="131" cm="1">
        <f ca="1" t="array" ref="D684">IF(D1286=1,OFFSET($W$634,$B684,D$631-1)/SUMPRODUCT(--($D$631:$V$631=D$631),--($D1286:$V1286=1)),0)+SUM(D683)+IF(COUNTIF(D$1237:D1286,1)=1,5,0)+IF(COUNTIF(E684:$W684,"&gt;"&amp;0)&lt;5,IF(AND(COUNTIF(D$1237:D1286,1)&gt;7,MOD(1+IFERROR(MATCH($C684,总览!$D$46:$D$345,1)+1,1),7)=0),$C$3,0),0)</f>
        <v>520.986529975513</v>
      </c>
      <c r="E684" s="131" cm="1">
        <f ca="1" t="array" ref="E684">IF(E1286=1,OFFSET($W$634,$B684,E$631-1)/SUMPRODUCT(--($D$631:$V$631=E$631),--($D1286:$V1286=1)),0)+SUM(E683)+IF(COUNTIF(E$1237:E1286,1)=1,5,0)+IF(COUNTIF(F684:$W684,"&gt;"&amp;0)&lt;5,IF(AND(COUNTIF(E$1237:E1286,1)&gt;7,MOD(1+IFERROR(MATCH($C684,总览!$D$46:$D$345,1)+1,1),7)=0),$C$3,0),0)</f>
        <v>520.986529975513</v>
      </c>
      <c r="F684" s="131" cm="1">
        <f ca="1" t="array" ref="F684">IF(F1286=1,OFFSET($W$634,$B684,F$631-1)/SUMPRODUCT(--($D$631:$V$631=F$631),--($D1286:$V1286=1)),0)+SUM(F683)+IF(COUNTIF(F$1237:F1286,1)=1,5,0)+IF(COUNTIF(G684:$W684,"&gt;"&amp;0)&lt;5,IF(AND(COUNTIF(F$1237:F1286,1)&gt;7,MOD(1+IFERROR(MATCH($C684,总览!$D$46:$D$345,1)+1,1),7)=0),$C$3,0),0)</f>
        <v>520.986529975513</v>
      </c>
      <c r="G684" s="131" cm="1">
        <f ca="1" t="array" ref="G684">IF(G1286=1,OFFSET($W$634,$B684,G$631-1)/SUMPRODUCT(--($D$631:$V$631=G$631),--($D1286:$V1286=1)),0)+SUM(G683)+IF(COUNTIF(G$1237:G1286,1)=1,5,0)+IF(COUNTIF(H684:$W684,"&gt;"&amp;0)&lt;5,IF(AND(COUNTIF(G$1237:G1286,1)&gt;7,MOD(1+IFERROR(MATCH($C684,总览!$D$46:$D$345,1)+1,1),7)=0),$C$3,0),0)</f>
        <v>124.213333333333</v>
      </c>
      <c r="H684" s="131" cm="1">
        <f ca="1" t="array" ref="H684">IF(H1286=1,OFFSET($W$634,$B684,H$631-1)/SUMPRODUCT(--($D$631:$V$631=H$631),--($D1286:$V1286=1)),0)+SUM(H683)+IF(COUNTIF(H$1237:H1286,1)=1,5,0)+IF(COUNTIF(I684:$W684,"&gt;"&amp;0)&lt;5,IF(AND(COUNTIF(H$1237:H1286,1)&gt;7,MOD(1+IFERROR(MATCH($C684,总览!$D$46:$D$345,1)+1,1),7)=0),$C$3,0),0)</f>
        <v>124.213333333333</v>
      </c>
      <c r="I684" s="131" cm="1">
        <f ca="1" t="array" ref="I684">IF(I1286=1,OFFSET($W$634,$B684,I$631-1)/SUMPRODUCT(--($D$631:$V$631=I$631),--($D1286:$V1286=1)),0)+SUM(I683)+IF(COUNTIF(I$1237:I1286,1)=1,5,0)+IF(COUNTIF(J684:$W684,"&gt;"&amp;0)&lt;5,IF(AND(COUNTIF(I$1237:I1286,1)&gt;7,MOD(1+IFERROR(MATCH($C684,总览!$D$46:$D$345,1)+1,1),7)=0),$C$3,0),0)</f>
        <v>124.213333333333</v>
      </c>
      <c r="J684" s="131" cm="1">
        <f ca="1" t="array" ref="J684">IF(J1286=1,OFFSET($W$634,$B684,J$631-1)/SUMPRODUCT(--($D$631:$V$631=J$631),--($D1286:$V1286=1)),0)+SUM(J683)+IF(COUNTIF(J$1237:J1286,1)=1,5,0)+IF(COUNTIF(K684:$W684,"&gt;"&amp;0)&lt;5,IF(AND(COUNTIF(J$1237:J1286,1)&gt;7,MOD(1+IFERROR(MATCH($C684,总览!$D$46:$D$345,1)+1,1),7)=0),$C$3,0),0)</f>
        <v>120.88</v>
      </c>
      <c r="K684" s="131" cm="1">
        <f ca="1" t="array" ref="K684">IF(K1286=1,OFFSET($W$634,$B684,K$631-1)/SUMPRODUCT(--($D$631:$V$631=K$631),--($D1286:$V1286=1)),0)+SUM(K683)+IF(COUNTIF(K$1237:K1286,1)=1,5,0)+IF(COUNTIF(L684:$W684,"&gt;"&amp;0)&lt;5,IF(AND(COUNTIF(K$1237:K1286,1)&gt;7,MOD(1+IFERROR(MATCH($C684,总览!$D$46:$D$345,1)+1,1),7)=0),$C$3,0),0)</f>
        <v>118.38</v>
      </c>
      <c r="L684" s="131" cm="1">
        <f ca="1" t="array" ref="L684">IF(L1286=1,OFFSET($W$634,$B684,L$631-1)/SUMPRODUCT(--($D$631:$V$631=L$631),--($D1286:$V1286=1)),0)+SUM(L683)+IF(COUNTIF(L$1237:L1286,1)=1,5,0)+IF(COUNTIF(M684:$W684,"&gt;"&amp;0)&lt;5,IF(AND(COUNTIF(L$1237:L1286,1)&gt;7,MOD(1+IFERROR(MATCH($C684,总览!$D$46:$D$345,1)+1,1),7)=0),$C$3,0),0)</f>
        <v>118.38</v>
      </c>
      <c r="M684" s="131" cm="1">
        <f ca="1" t="array" ref="M684">IF(M1286=1,OFFSET($W$634,$B684,M$631-1)/SUMPRODUCT(--($D$631:$V$631=M$631),--($D1286:$V1286=1)),0)+SUM(M683)+IF(COUNTIF(M$1237:M1286,1)=1,5,0)+IF(COUNTIF(N684:$W684,"&gt;"&amp;0)&lt;5,IF(AND(COUNTIF(M$1237:M1286,1)&gt;7,MOD(1+IFERROR(MATCH($C684,总览!$D$46:$D$345,1)+1,1),7)=0),$C$3,0),0)</f>
        <v>44.7355357142857</v>
      </c>
      <c r="N684" s="131" cm="1">
        <f ca="1" t="array" ref="N684">IF(N1286=1,OFFSET($W$634,$B684,N$631-1)/SUMPRODUCT(--($D$631:$V$631=N$631),--($D1286:$V1286=1)),0)+SUM(N683)+IF(COUNTIF(N$1237:N1286,1)=1,5,0)+IF(COUNTIF(O684:$W684,"&gt;"&amp;0)&lt;5,IF(AND(COUNTIF(N$1237:N1286,1)&gt;7,MOD(1+IFERROR(MATCH($C684,总览!$D$46:$D$345,1)+1,1),7)=0),$C$3,0),0)</f>
        <v>45.9855357142857</v>
      </c>
      <c r="O684" s="131" cm="1">
        <f ca="1" t="array" ref="O684">IF(O1286=1,OFFSET($W$634,$B684,O$631-1)/SUMPRODUCT(--($D$631:$V$631=O$631),--($D1286:$V1286=1)),0)+SUM(O683)+IF(COUNTIF(O$1237:O1286,1)=1,5,0)+IF(COUNTIF(P684:$W684,"&gt;"&amp;0)&lt;5,IF(AND(COUNTIF(O$1237:O1286,1)&gt;7,MOD(1+IFERROR(MATCH($C684,总览!$D$46:$D$345,1)+1,1),7)=0),$C$3,0),0)</f>
        <v>50.9855357142857</v>
      </c>
      <c r="P684" s="131" cm="1">
        <f ca="1" t="array" ref="P684">IF(P1286=1,OFFSET($W$634,$B684,P$631-1)/SUMPRODUCT(--($D$631:$V$631=P$631),--($D1286:$V1286=1)),0)+SUM(P683)+IF(COUNTIF(P$1237:P1286,1)=1,5,0)+IF(COUNTIF(Q684:$W684,"&gt;"&amp;0)&lt;5,IF(AND(COUNTIF(P$1237:P1286,1)&gt;7,MOD(1+IFERROR(MATCH($C684,总览!$D$46:$D$345,1)+1,1),7)=0),$C$3,0),0)</f>
        <v>40.1042857142857</v>
      </c>
      <c r="Q684" s="131" cm="1">
        <f ca="1" t="array" ref="Q684">IF(Q1286=1,OFFSET($W$634,$B684,Q$631-1)/SUMPRODUCT(--($D$631:$V$631=Q$631),--($D1286:$V1286=1)),0)+SUM(Q683)+IF(COUNTIF(Q$1237:Q1286,1)=1,5,0)+IF(COUNTIF(R684:$W684,"&gt;"&amp;0)&lt;5,IF(AND(COUNTIF(Q$1237:Q1286,1)&gt;7,MOD(1+IFERROR(MATCH($C684,总览!$D$46:$D$345,1)+1,1),7)=0),$C$3,0),0)</f>
        <v>53.4855357142857</v>
      </c>
      <c r="R684" s="131" cm="1">
        <f ca="1" t="array" ref="R684">IF(R1286=1,OFFSET($W$634,$B684,R$631-1)/SUMPRODUCT(--($D$631:$V$631=R$631),--($D1286:$V1286=1)),0)+SUM(R683)+IF(COUNTIF(R$1237:R1286,1)=1,5,0)+IF(COUNTIF(S684:$W684,"&gt;"&amp;0)&lt;5,IF(AND(COUNTIF(R$1237:R1286,1)&gt;7,MOD(1+IFERROR(MATCH($C684,总览!$D$46:$D$345,1)+1,1),7)=0),$C$3,0),0)</f>
        <v>45.1042857142857</v>
      </c>
      <c r="S684" s="131" cm="1">
        <f ca="1" t="array" ref="S684">IF(S1286=1,OFFSET($W$634,$B684,S$631-1)/SUMPRODUCT(--($D$631:$V$631=S$631),--($D1286:$V1286=1)),0)+SUM(S683)+IF(COUNTIF(S$1237:S1286,1)=1,5,0)+IF(COUNTIF(T684:$W684,"&gt;"&amp;0)&lt;5,IF(AND(COUNTIF(S$1237:S1286,1)&gt;7,MOD(1+IFERROR(MATCH($C684,总览!$D$46:$D$345,1)+1,1),7)=0),$C$3,0),0)</f>
        <v>42.6042857142857</v>
      </c>
      <c r="T684" s="131" cm="1">
        <f ca="1" t="array" ref="T684">IF(T1286=1,OFFSET($W$634,$B684,T$631-1)/SUMPRODUCT(--($D$631:$V$631=T$631),--($D1286:$V1286=1)),0)+SUM(T683)+IF(COUNTIF(T$1237:T1286,1)=1,5,0)+IF(COUNTIF(U684:$W684,"&gt;"&amp;0)&lt;5,IF(AND(COUNTIF(T$1237:T1286,1)&gt;7,MOD(1+IFERROR(MATCH($C684,总览!$D$46:$D$345,1)+1,1),7)=0),$C$3,0),0)</f>
        <v>7.62894588347601</v>
      </c>
      <c r="U684" s="131" cm="1">
        <f ca="1" t="array" ref="U684">IF(U1286=1,OFFSET($W$634,$B684,U$631-1)/SUMPRODUCT(--($D$631:$V$631=U$631),--($D1286:$V1286=1)),0)+SUM(U683)+IF(COUNTIF(U$1237:U1286,1)=1,5,0)+IF(COUNTIF(V684:$W684,"&gt;"&amp;0)&lt;5,IF(AND(COUNTIF(U$1237:U1286,1)&gt;7,MOD(1+IFERROR(MATCH($C684,总览!$D$46:$D$345,1)+1,1),7)=0),$C$3,0),0)</f>
        <v>13.1497322387757</v>
      </c>
      <c r="V684" s="131" cm="1">
        <f ca="1" t="array" ref="V684">IF(V1286=1,OFFSET($W$634,$B684,V$631-1)/SUMPRODUCT(--($D$631:$V$631=V$631),--($D1286:$V1286=1)),0)+SUM(V683)+IF(COUNTIF(V$1237:V1286,1)=1,5,0)+IF(COUNTIF(W684:$W684,"&gt;"&amp;0)&lt;5,IF(AND(COUNTIF(V$1237:V1286,1)&gt;7,MOD(1+IFERROR(MATCH($C684,总览!$D$46:$D$345,1)+1,1),7)=0),$C$3,0),0)</f>
        <v>32.976731951209</v>
      </c>
      <c r="W684" s="135" cm="1">
        <f ca="1" t="array" ref="W684">SUMPRODUCT(TRANSPOSE($AA684:$AG684),OFFSET($L$9:$L$15,0,W$631-1))</f>
        <v>26.4226324699144</v>
      </c>
      <c r="X684" s="135" cm="1">
        <f ca="1" t="array" ref="X684">SUMPRODUCT(TRANSPOSE($AA684:$AG684),OFFSET($L$9:$L$15,0,X$631-1))</f>
        <v>16</v>
      </c>
      <c r="Y684" s="135" cm="1">
        <f ca="1" t="array" ref="Y684">SUMPRODUCT(TRANSPOSE($AA684:$AG684),OFFSET($L$9:$L$15,0,Y$631-1))</f>
        <v>6</v>
      </c>
      <c r="Z684" s="135" cm="1">
        <f ca="1" t="array" ref="Z684">SUMPRODUCT(TRANSPOSE($AA684:$AG684),OFFSET($L$9:$L$15,0,Z$631-1))</f>
        <v>1.57736753008561</v>
      </c>
      <c r="AA684" s="136">
        <f ca="1" t="shared" ref="AA684:AG684" si="339">AH684-AH683</f>
        <v>0</v>
      </c>
      <c r="AB684" s="136">
        <f ca="1" t="shared" si="339"/>
        <v>0</v>
      </c>
      <c r="AC684" s="136">
        <f ca="1" t="shared" si="339"/>
        <v>0</v>
      </c>
      <c r="AD684" s="136">
        <f ca="1" t="shared" si="339"/>
        <v>100</v>
      </c>
      <c r="AE684" s="136">
        <f ca="1" t="shared" si="339"/>
        <v>0</v>
      </c>
      <c r="AF684" s="136">
        <f ca="1" t="shared" si="339"/>
        <v>0</v>
      </c>
      <c r="AG684" s="136">
        <f ca="1" t="shared" si="339"/>
        <v>0</v>
      </c>
      <c r="AH684" s="136">
        <f ca="1" t="shared" si="241"/>
        <v>450</v>
      </c>
      <c r="AI684" s="136">
        <f ca="1" t="shared" ref="AI684:AN684" si="340">IF($C684&gt;OFFSET($Q$8,MATCH(AI$634,$AH$634:$AN$634,0),0),OFFSET($P$8,MATCH(AI$634,$AH$634:$AN$634,0),0),MAX(0,$C684-OFFSET($Q$8,RIGHT(AI$634,1)-1,0)))</f>
        <v>909</v>
      </c>
      <c r="AJ684" s="136">
        <f ca="1" t="shared" si="340"/>
        <v>1818</v>
      </c>
      <c r="AK684" s="136">
        <f ca="1" t="shared" si="340"/>
        <v>1823</v>
      </c>
      <c r="AL684" s="136">
        <f ca="1" t="shared" si="340"/>
        <v>0</v>
      </c>
      <c r="AM684" s="136">
        <f ca="1" t="shared" si="340"/>
        <v>0</v>
      </c>
      <c r="AN684" s="136">
        <f ca="1" t="shared" si="340"/>
        <v>0</v>
      </c>
      <c r="AP684" s="132">
        <v>50</v>
      </c>
      <c r="AQ684" s="132">
        <v>21350</v>
      </c>
      <c r="AR684" s="132">
        <v>21350</v>
      </c>
      <c r="AS684" s="132">
        <v>11450</v>
      </c>
      <c r="AT684" s="132">
        <v>6500</v>
      </c>
    </row>
    <row r="685" s="106" customFormat="1" ht="16.5" spans="2:46">
      <c r="B685" s="117">
        <v>51</v>
      </c>
      <c r="C685" s="130">
        <f t="shared" si="239"/>
        <v>5100</v>
      </c>
      <c r="D685" s="131" cm="1">
        <f ca="1" t="array" ref="D685">IF(D1287=1,OFFSET($W$634,$B685,D$631-1)/SUMPRODUCT(--($D$631:$V$631=D$631),--($D1287:$V1287=1)),0)+SUM(D684)+IF(COUNTIF(D$1237:D1287,1)=1,5,0)+IF(COUNTIF(E685:$W685,"&gt;"&amp;0)&lt;5,IF(AND(COUNTIF(D$1237:D1287,1)&gt;7,MOD(1+IFERROR(MATCH($C685,总览!$D$46:$D$345,1)+1,1),7)=0),$C$3,0),0)</f>
        <v>529.794074132151</v>
      </c>
      <c r="E685" s="131" cm="1">
        <f ca="1" t="array" ref="E685">IF(E1287=1,OFFSET($W$634,$B685,E$631-1)/SUMPRODUCT(--($D$631:$V$631=E$631),--($D1287:$V1287=1)),0)+SUM(E684)+IF(COUNTIF(E$1237:E1287,1)=1,5,0)+IF(COUNTIF(F685:$W685,"&gt;"&amp;0)&lt;5,IF(AND(COUNTIF(E$1237:E1287,1)&gt;7,MOD(1+IFERROR(MATCH($C685,总览!$D$46:$D$345,1)+1,1),7)=0),$C$3,0),0)</f>
        <v>529.794074132151</v>
      </c>
      <c r="F685" s="131" cm="1">
        <f ca="1" t="array" ref="F685">IF(F1287=1,OFFSET($W$634,$B685,F$631-1)/SUMPRODUCT(--($D$631:$V$631=F$631),--($D1287:$V1287=1)),0)+SUM(F684)+IF(COUNTIF(F$1237:F1287,1)=1,5,0)+IF(COUNTIF(G685:$W685,"&gt;"&amp;0)&lt;5,IF(AND(COUNTIF(F$1237:F1287,1)&gt;7,MOD(1+IFERROR(MATCH($C685,总览!$D$46:$D$345,1)+1,1),7)=0),$C$3,0),0)</f>
        <v>529.794074132151</v>
      </c>
      <c r="G685" s="131" cm="1">
        <f ca="1" t="array" ref="G685">IF(G1287=1,OFFSET($W$634,$B685,G$631-1)/SUMPRODUCT(--($D$631:$V$631=G$631),--($D1287:$V1287=1)),0)+SUM(G684)+IF(COUNTIF(G$1237:G1287,1)=1,5,0)+IF(COUNTIF(H685:$W685,"&gt;"&amp;0)&lt;5,IF(AND(COUNTIF(G$1237:G1287,1)&gt;7,MOD(1+IFERROR(MATCH($C685,总览!$D$46:$D$345,1)+1,1),7)=0),$C$3,0),0)</f>
        <v>126.88</v>
      </c>
      <c r="H685" s="131" cm="1">
        <f ca="1" t="array" ref="H685">IF(H1287=1,OFFSET($W$634,$B685,H$631-1)/SUMPRODUCT(--($D$631:$V$631=H$631),--($D1287:$V1287=1)),0)+SUM(H684)+IF(COUNTIF(H$1237:H1287,1)=1,5,0)+IF(COUNTIF(I685:$W685,"&gt;"&amp;0)&lt;5,IF(AND(COUNTIF(H$1237:H1287,1)&gt;7,MOD(1+IFERROR(MATCH($C685,总览!$D$46:$D$345,1)+1,1),7)=0),$C$3,0),0)</f>
        <v>126.88</v>
      </c>
      <c r="I685" s="131" cm="1">
        <f ca="1" t="array" ref="I685">IF(I1287=1,OFFSET($W$634,$B685,I$631-1)/SUMPRODUCT(--($D$631:$V$631=I$631),--($D1287:$V1287=1)),0)+SUM(I684)+IF(COUNTIF(I$1237:I1287,1)=1,5,0)+IF(COUNTIF(J685:$W685,"&gt;"&amp;0)&lt;5,IF(AND(COUNTIF(I$1237:I1287,1)&gt;7,MOD(1+IFERROR(MATCH($C685,总览!$D$46:$D$345,1)+1,1),7)=0),$C$3,0),0)</f>
        <v>126.88</v>
      </c>
      <c r="J685" s="131" cm="1">
        <f ca="1" t="array" ref="J685">IF(J1287=1,OFFSET($W$634,$B685,J$631-1)/SUMPRODUCT(--($D$631:$V$631=J$631),--($D1287:$V1287=1)),0)+SUM(J684)+IF(COUNTIF(J$1237:J1287,1)=1,5,0)+IF(COUNTIF(K685:$W685,"&gt;"&amp;0)&lt;5,IF(AND(COUNTIF(J$1237:J1287,1)&gt;7,MOD(1+IFERROR(MATCH($C685,总览!$D$46:$D$345,1)+1,1),7)=0),$C$3,0),0)</f>
        <v>123.546666666667</v>
      </c>
      <c r="K685" s="131" cm="1">
        <f ca="1" t="array" ref="K685">IF(K1287=1,OFFSET($W$634,$B685,K$631-1)/SUMPRODUCT(--($D$631:$V$631=K$631),--($D1287:$V1287=1)),0)+SUM(K684)+IF(COUNTIF(K$1237:K1287,1)=1,5,0)+IF(COUNTIF(L685:$W685,"&gt;"&amp;0)&lt;5,IF(AND(COUNTIF(K$1237:K1287,1)&gt;7,MOD(1+IFERROR(MATCH($C685,总览!$D$46:$D$345,1)+1,1),7)=0),$C$3,0),0)</f>
        <v>121.046666666667</v>
      </c>
      <c r="L685" s="131" cm="1">
        <f ca="1" t="array" ref="L685">IF(L1287=1,OFFSET($W$634,$B685,L$631-1)/SUMPRODUCT(--($D$631:$V$631=L$631),--($D1287:$V1287=1)),0)+SUM(L684)+IF(COUNTIF(L$1237:L1287,1)=1,5,0)+IF(COUNTIF(M685:$W685,"&gt;"&amp;0)&lt;5,IF(AND(COUNTIF(L$1237:L1287,1)&gt;7,MOD(1+IFERROR(MATCH($C685,总览!$D$46:$D$345,1)+1,1),7)=0),$C$3,0),0)</f>
        <v>121.046666666667</v>
      </c>
      <c r="M685" s="131" cm="1">
        <f ca="1" t="array" ref="M685">IF(M1287=1,OFFSET($W$634,$B685,M$631-1)/SUMPRODUCT(--($D$631:$V$631=M$631),--($D1287:$V1287=1)),0)+SUM(M684)+IF(COUNTIF(M$1237:M1287,1)=1,5,0)+IF(COUNTIF(N685:$W685,"&gt;"&amp;0)&lt;5,IF(AND(COUNTIF(M$1237:M1287,1)&gt;7,MOD(1+IFERROR(MATCH($C685,总览!$D$46:$D$345,1)+1,1),7)=0),$C$3,0),0)</f>
        <v>45.5926785714285</v>
      </c>
      <c r="N685" s="131" cm="1">
        <f ca="1" t="array" ref="N685">IF(N1287=1,OFFSET($W$634,$B685,N$631-1)/SUMPRODUCT(--($D$631:$V$631=N$631),--($D1287:$V1287=1)),0)+SUM(N684)+IF(COUNTIF(N$1237:N1287,1)=1,5,0)+IF(COUNTIF(O685:$W685,"&gt;"&amp;0)&lt;5,IF(AND(COUNTIF(N$1237:N1287,1)&gt;7,MOD(1+IFERROR(MATCH($C685,总览!$D$46:$D$345,1)+1,1),7)=0),$C$3,0),0)</f>
        <v>46.8426785714285</v>
      </c>
      <c r="O685" s="131" cm="1">
        <f ca="1" t="array" ref="O685">IF(O1287=1,OFFSET($W$634,$B685,O$631-1)/SUMPRODUCT(--($D$631:$V$631=O$631),--($D1287:$V1287=1)),0)+SUM(O684)+IF(COUNTIF(O$1237:O1287,1)=1,5,0)+IF(COUNTIF(P685:$W685,"&gt;"&amp;0)&lt;5,IF(AND(COUNTIF(O$1237:O1287,1)&gt;7,MOD(1+IFERROR(MATCH($C685,总览!$D$46:$D$345,1)+1,1),7)=0),$C$3,0),0)</f>
        <v>51.8426785714285</v>
      </c>
      <c r="P685" s="131" cm="1">
        <f ca="1" t="array" ref="P685">IF(P1287=1,OFFSET($W$634,$B685,P$631-1)/SUMPRODUCT(--($D$631:$V$631=P$631),--($D1287:$V1287=1)),0)+SUM(P684)+IF(COUNTIF(P$1237:P1287,1)=1,5,0)+IF(COUNTIF(Q685:$W685,"&gt;"&amp;0)&lt;5,IF(AND(COUNTIF(P$1237:P1287,1)&gt;7,MOD(1+IFERROR(MATCH($C685,总览!$D$46:$D$345,1)+1,1),7)=0),$C$3,0),0)</f>
        <v>40.9614285714286</v>
      </c>
      <c r="Q685" s="131" cm="1">
        <f ca="1" t="array" ref="Q685">IF(Q1287=1,OFFSET($W$634,$B685,Q$631-1)/SUMPRODUCT(--($D$631:$V$631=Q$631),--($D1287:$V1287=1)),0)+SUM(Q684)+IF(COUNTIF(Q$1237:Q1287,1)=1,5,0)+IF(COUNTIF(R685:$W685,"&gt;"&amp;0)&lt;5,IF(AND(COUNTIF(Q$1237:Q1287,1)&gt;7,MOD(1+IFERROR(MATCH($C685,总览!$D$46:$D$345,1)+1,1),7)=0),$C$3,0),0)</f>
        <v>54.3426785714285</v>
      </c>
      <c r="R685" s="131" cm="1">
        <f ca="1" t="array" ref="R685">IF(R1287=1,OFFSET($W$634,$B685,R$631-1)/SUMPRODUCT(--($D$631:$V$631=R$631),--($D1287:$V1287=1)),0)+SUM(R684)+IF(COUNTIF(R$1237:R1287,1)=1,5,0)+IF(COUNTIF(S685:$W685,"&gt;"&amp;0)&lt;5,IF(AND(COUNTIF(R$1237:R1287,1)&gt;7,MOD(1+IFERROR(MATCH($C685,总览!$D$46:$D$345,1)+1,1),7)=0),$C$3,0),0)</f>
        <v>45.9614285714285</v>
      </c>
      <c r="S685" s="131" cm="1">
        <f ca="1" t="array" ref="S685">IF(S1287=1,OFFSET($W$634,$B685,S$631-1)/SUMPRODUCT(--($D$631:$V$631=S$631),--($D1287:$V1287=1)),0)+SUM(S684)+IF(COUNTIF(S$1237:S1287,1)=1,5,0)+IF(COUNTIF(T685:$W685,"&gt;"&amp;0)&lt;5,IF(AND(COUNTIF(S$1237:S1287,1)&gt;7,MOD(1+IFERROR(MATCH($C685,总览!$D$46:$D$345,1)+1,1),7)=0),$C$3,0),0)</f>
        <v>43.4614285714285</v>
      </c>
      <c r="T685" s="131" cm="1">
        <f ca="1" t="array" ref="T685">IF(T1287=1,OFFSET($W$634,$B685,T$631-1)/SUMPRODUCT(--($D$631:$V$631=T$631),--($D1287:$V1287=1)),0)+SUM(T684)+IF(COUNTIF(T$1237:T1287,1)=1,5,0)+IF(COUNTIF(U685:$W685,"&gt;"&amp;0)&lt;5,IF(AND(COUNTIF(T$1237:T1287,1)&gt;7,MOD(1+IFERROR(MATCH($C685,总览!$D$46:$D$345,1)+1,1),7)=0),$C$3,0),0)</f>
        <v>8.15473506017122</v>
      </c>
      <c r="U685" s="131" cm="1">
        <f ca="1" t="array" ref="U685">IF(U1287=1,OFFSET($W$634,$B685,U$631-1)/SUMPRODUCT(--($D$631:$V$631=U$631),--($D1287:$V1287=1)),0)+SUM(U684)+IF(COUNTIF(U$1237:U1287,1)=1,5,0)+IF(COUNTIF(V685:$W685,"&gt;"&amp;0)&lt;5,IF(AND(COUNTIF(U$1237:U1287,1)&gt;7,MOD(1+IFERROR(MATCH($C685,总览!$D$46:$D$345,1)+1,1),7)=0),$C$3,0),0)</f>
        <v>13.6755214154709</v>
      </c>
      <c r="V685" s="131" cm="1">
        <f ca="1" t="array" ref="V685">IF(V1287=1,OFFSET($W$634,$B685,V$631-1)/SUMPRODUCT(--($D$631:$V$631=V$631),--($D1287:$V1287=1)),0)+SUM(V684)+IF(COUNTIF(V$1237:V1287,1)=1,5,0)+IF(COUNTIF(W685:$W685,"&gt;"&amp;0)&lt;5,IF(AND(COUNTIF(V$1237:V1287,1)&gt;7,MOD(1+IFERROR(MATCH($C685,总览!$D$46:$D$345,1)+1,1),7)=0),$C$3,0),0)</f>
        <v>33.5025211279042</v>
      </c>
      <c r="W685" s="135" cm="1">
        <f ca="1" t="array" ref="W685">SUMPRODUCT(TRANSPOSE($AA685:$AG685),OFFSET($L$9:$L$15,0,W$631-1))</f>
        <v>26.4226324699144</v>
      </c>
      <c r="X685" s="135" cm="1">
        <f ca="1" t="array" ref="X685">SUMPRODUCT(TRANSPOSE($AA685:$AG685),OFFSET($L$9:$L$15,0,X$631-1))</f>
        <v>16</v>
      </c>
      <c r="Y685" s="135" cm="1">
        <f ca="1" t="array" ref="Y685">SUMPRODUCT(TRANSPOSE($AA685:$AG685),OFFSET($L$9:$L$15,0,Y$631-1))</f>
        <v>6</v>
      </c>
      <c r="Z685" s="135" cm="1">
        <f ca="1" t="array" ref="Z685">SUMPRODUCT(TRANSPOSE($AA685:$AG685),OFFSET($L$9:$L$15,0,Z$631-1))</f>
        <v>1.57736753008561</v>
      </c>
      <c r="AA685" s="136">
        <f ca="1" t="shared" ref="AA685:AG685" si="341">AH685-AH684</f>
        <v>0</v>
      </c>
      <c r="AB685" s="136">
        <f ca="1" t="shared" si="341"/>
        <v>0</v>
      </c>
      <c r="AC685" s="136">
        <f ca="1" t="shared" si="341"/>
        <v>0</v>
      </c>
      <c r="AD685" s="136">
        <f ca="1" t="shared" si="341"/>
        <v>100</v>
      </c>
      <c r="AE685" s="136">
        <f ca="1" t="shared" si="341"/>
        <v>0</v>
      </c>
      <c r="AF685" s="136">
        <f ca="1" t="shared" si="341"/>
        <v>0</v>
      </c>
      <c r="AG685" s="136">
        <f ca="1" t="shared" si="341"/>
        <v>0</v>
      </c>
      <c r="AH685" s="136">
        <f ca="1" t="shared" si="241"/>
        <v>450</v>
      </c>
      <c r="AI685" s="136">
        <f ca="1" t="shared" ref="AI685:AN685" si="342">IF($C685&gt;OFFSET($Q$8,MATCH(AI$634,$AH$634:$AN$634,0),0),OFFSET($P$8,MATCH(AI$634,$AH$634:$AN$634,0),0),MAX(0,$C685-OFFSET($Q$8,RIGHT(AI$634,1)-1,0)))</f>
        <v>909</v>
      </c>
      <c r="AJ685" s="136">
        <f ca="1" t="shared" si="342"/>
        <v>1818</v>
      </c>
      <c r="AK685" s="136">
        <f ca="1" t="shared" si="342"/>
        <v>1923</v>
      </c>
      <c r="AL685" s="136">
        <f ca="1" t="shared" si="342"/>
        <v>0</v>
      </c>
      <c r="AM685" s="136">
        <f ca="1" t="shared" si="342"/>
        <v>0</v>
      </c>
      <c r="AN685" s="136">
        <f ca="1" t="shared" si="342"/>
        <v>0</v>
      </c>
      <c r="AP685" s="132">
        <v>51</v>
      </c>
      <c r="AQ685" s="132">
        <v>23150</v>
      </c>
      <c r="AR685" s="132">
        <v>23150</v>
      </c>
      <c r="AS685" s="132">
        <v>12410</v>
      </c>
      <c r="AT685" s="132">
        <v>6980</v>
      </c>
    </row>
    <row r="686" s="106" customFormat="1" ht="16.5" spans="2:46">
      <c r="B686" s="117">
        <v>52</v>
      </c>
      <c r="C686" s="130">
        <f t="shared" si="239"/>
        <v>5200</v>
      </c>
      <c r="D686" s="131" cm="1">
        <f ca="1" t="array" ref="D686">IF(D1288=1,OFFSET($W$634,$B686,D$631-1)/SUMPRODUCT(--($D$631:$V$631=D$631),--($D1288:$V1288=1)),0)+SUM(D685)+IF(COUNTIF(D$1237:D1288,1)=1,5,0)+IF(COUNTIF(E686:$W686,"&gt;"&amp;0)&lt;5,IF(AND(COUNTIF(D$1237:D1288,1)&gt;7,MOD(1+IFERROR(MATCH($C686,总览!$D$46:$D$345,1)+1,1),7)=0),$C$3,0),0)</f>
        <v>538.601618288789</v>
      </c>
      <c r="E686" s="131" cm="1">
        <f ca="1" t="array" ref="E686">IF(E1288=1,OFFSET($W$634,$B686,E$631-1)/SUMPRODUCT(--($D$631:$V$631=E$631),--($D1288:$V1288=1)),0)+SUM(E685)+IF(COUNTIF(E$1237:E1288,1)=1,5,0)+IF(COUNTIF(F686:$W686,"&gt;"&amp;0)&lt;5,IF(AND(COUNTIF(E$1237:E1288,1)&gt;7,MOD(1+IFERROR(MATCH($C686,总览!$D$46:$D$345,1)+1,1),7)=0),$C$3,0),0)</f>
        <v>538.601618288789</v>
      </c>
      <c r="F686" s="131" cm="1">
        <f ca="1" t="array" ref="F686">IF(F1288=1,OFFSET($W$634,$B686,F$631-1)/SUMPRODUCT(--($D$631:$V$631=F$631),--($D1288:$V1288=1)),0)+SUM(F685)+IF(COUNTIF(F$1237:F1288,1)=1,5,0)+IF(COUNTIF(G686:$W686,"&gt;"&amp;0)&lt;5,IF(AND(COUNTIF(F$1237:F1288,1)&gt;7,MOD(1+IFERROR(MATCH($C686,总览!$D$46:$D$345,1)+1,1),7)=0),$C$3,0),0)</f>
        <v>538.601618288789</v>
      </c>
      <c r="G686" s="131" cm="1">
        <f ca="1" t="array" ref="G686">IF(G1288=1,OFFSET($W$634,$B686,G$631-1)/SUMPRODUCT(--($D$631:$V$631=G$631),--($D1288:$V1288=1)),0)+SUM(G685)+IF(COUNTIF(G$1237:G1288,1)=1,5,0)+IF(COUNTIF(H686:$W686,"&gt;"&amp;0)&lt;5,IF(AND(COUNTIF(G$1237:G1288,1)&gt;7,MOD(1+IFERROR(MATCH($C686,总览!$D$46:$D$345,1)+1,1),7)=0),$C$3,0),0)</f>
        <v>129.546666666667</v>
      </c>
      <c r="H686" s="131" cm="1">
        <f ca="1" t="array" ref="H686">IF(H1288=1,OFFSET($W$634,$B686,H$631-1)/SUMPRODUCT(--($D$631:$V$631=H$631),--($D1288:$V1288=1)),0)+SUM(H685)+IF(COUNTIF(H$1237:H1288,1)=1,5,0)+IF(COUNTIF(I686:$W686,"&gt;"&amp;0)&lt;5,IF(AND(COUNTIF(H$1237:H1288,1)&gt;7,MOD(1+IFERROR(MATCH($C686,总览!$D$46:$D$345,1)+1,1),7)=0),$C$3,0),0)</f>
        <v>129.546666666667</v>
      </c>
      <c r="I686" s="131" cm="1">
        <f ca="1" t="array" ref="I686">IF(I1288=1,OFFSET($W$634,$B686,I$631-1)/SUMPRODUCT(--($D$631:$V$631=I$631),--($D1288:$V1288=1)),0)+SUM(I685)+IF(COUNTIF(I$1237:I1288,1)=1,5,0)+IF(COUNTIF(J686:$W686,"&gt;"&amp;0)&lt;5,IF(AND(COUNTIF(I$1237:I1288,1)&gt;7,MOD(1+IFERROR(MATCH($C686,总览!$D$46:$D$345,1)+1,1),7)=0),$C$3,0),0)</f>
        <v>129.546666666667</v>
      </c>
      <c r="J686" s="131" cm="1">
        <f ca="1" t="array" ref="J686">IF(J1288=1,OFFSET($W$634,$B686,J$631-1)/SUMPRODUCT(--($D$631:$V$631=J$631),--($D1288:$V1288=1)),0)+SUM(J685)+IF(COUNTIF(J$1237:J1288,1)=1,5,0)+IF(COUNTIF(K686:$W686,"&gt;"&amp;0)&lt;5,IF(AND(COUNTIF(J$1237:J1288,1)&gt;7,MOD(1+IFERROR(MATCH($C686,总览!$D$46:$D$345,1)+1,1),7)=0),$C$3,0),0)</f>
        <v>126.213333333333</v>
      </c>
      <c r="K686" s="131" cm="1">
        <f ca="1" t="array" ref="K686">IF(K1288=1,OFFSET($W$634,$B686,K$631-1)/SUMPRODUCT(--($D$631:$V$631=K$631),--($D1288:$V1288=1)),0)+SUM(K685)+IF(COUNTIF(K$1237:K1288,1)=1,5,0)+IF(COUNTIF(L686:$W686,"&gt;"&amp;0)&lt;5,IF(AND(COUNTIF(K$1237:K1288,1)&gt;7,MOD(1+IFERROR(MATCH($C686,总览!$D$46:$D$345,1)+1,1),7)=0),$C$3,0),0)</f>
        <v>123.713333333333</v>
      </c>
      <c r="L686" s="131" cm="1">
        <f ca="1" t="array" ref="L686">IF(L1288=1,OFFSET($W$634,$B686,L$631-1)/SUMPRODUCT(--($D$631:$V$631=L$631),--($D1288:$V1288=1)),0)+SUM(L685)+IF(COUNTIF(L$1237:L1288,1)=1,5,0)+IF(COUNTIF(M686:$W686,"&gt;"&amp;0)&lt;5,IF(AND(COUNTIF(L$1237:L1288,1)&gt;7,MOD(1+IFERROR(MATCH($C686,总览!$D$46:$D$345,1)+1,1),7)=0),$C$3,0),0)</f>
        <v>123.713333333333</v>
      </c>
      <c r="M686" s="131" cm="1">
        <f ca="1" t="array" ref="M686">IF(M1288=1,OFFSET($W$634,$B686,M$631-1)/SUMPRODUCT(--($D$631:$V$631=M$631),--($D1288:$V1288=1)),0)+SUM(M685)+IF(COUNTIF(M$1237:M1288,1)=1,5,0)+IF(COUNTIF(N686:$W686,"&gt;"&amp;0)&lt;5,IF(AND(COUNTIF(M$1237:M1288,1)&gt;7,MOD(1+IFERROR(MATCH($C686,总览!$D$46:$D$345,1)+1,1),7)=0),$C$3,0),0)</f>
        <v>46.4498214285714</v>
      </c>
      <c r="N686" s="131" cm="1">
        <f ca="1" t="array" ref="N686">IF(N1288=1,OFFSET($W$634,$B686,N$631-1)/SUMPRODUCT(--($D$631:$V$631=N$631),--($D1288:$V1288=1)),0)+SUM(N685)+IF(COUNTIF(N$1237:N1288,1)=1,5,0)+IF(COUNTIF(O686:$W686,"&gt;"&amp;0)&lt;5,IF(AND(COUNTIF(N$1237:N1288,1)&gt;7,MOD(1+IFERROR(MATCH($C686,总览!$D$46:$D$345,1)+1,1),7)=0),$C$3,0),0)</f>
        <v>47.6998214285714</v>
      </c>
      <c r="O686" s="131" cm="1">
        <f ca="1" t="array" ref="O686">IF(O1288=1,OFFSET($W$634,$B686,O$631-1)/SUMPRODUCT(--($D$631:$V$631=O$631),--($D1288:$V1288=1)),0)+SUM(O685)+IF(COUNTIF(O$1237:O1288,1)=1,5,0)+IF(COUNTIF(P686:$W686,"&gt;"&amp;0)&lt;5,IF(AND(COUNTIF(O$1237:O1288,1)&gt;7,MOD(1+IFERROR(MATCH($C686,总览!$D$46:$D$345,1)+1,1),7)=0),$C$3,0),0)</f>
        <v>52.6998214285714</v>
      </c>
      <c r="P686" s="131" cm="1">
        <f ca="1" t="array" ref="P686">IF(P1288=1,OFFSET($W$634,$B686,P$631-1)/SUMPRODUCT(--($D$631:$V$631=P$631),--($D1288:$V1288=1)),0)+SUM(P685)+IF(COUNTIF(P$1237:P1288,1)=1,5,0)+IF(COUNTIF(Q686:$W686,"&gt;"&amp;0)&lt;5,IF(AND(COUNTIF(P$1237:P1288,1)&gt;7,MOD(1+IFERROR(MATCH($C686,总览!$D$46:$D$345,1)+1,1),7)=0),$C$3,0),0)</f>
        <v>41.8185714285714</v>
      </c>
      <c r="Q686" s="131" cm="1">
        <f ca="1" t="array" ref="Q686">IF(Q1288=1,OFFSET($W$634,$B686,Q$631-1)/SUMPRODUCT(--($D$631:$V$631=Q$631),--($D1288:$V1288=1)),0)+SUM(Q685)+IF(COUNTIF(Q$1237:Q1288,1)=1,5,0)+IF(COUNTIF(R686:$W686,"&gt;"&amp;0)&lt;5,IF(AND(COUNTIF(Q$1237:Q1288,1)&gt;7,MOD(1+IFERROR(MATCH($C686,总览!$D$46:$D$345,1)+1,1),7)=0),$C$3,0),0)</f>
        <v>55.1998214285714</v>
      </c>
      <c r="R686" s="131" cm="1">
        <f ca="1" t="array" ref="R686">IF(R1288=1,OFFSET($W$634,$B686,R$631-1)/SUMPRODUCT(--($D$631:$V$631=R$631),--($D1288:$V1288=1)),0)+SUM(R685)+IF(COUNTIF(R$1237:R1288,1)=1,5,0)+IF(COUNTIF(S686:$W686,"&gt;"&amp;0)&lt;5,IF(AND(COUNTIF(R$1237:R1288,1)&gt;7,MOD(1+IFERROR(MATCH($C686,总览!$D$46:$D$345,1)+1,1),7)=0),$C$3,0),0)</f>
        <v>46.8185714285714</v>
      </c>
      <c r="S686" s="131" cm="1">
        <f ca="1" t="array" ref="S686">IF(S1288=1,OFFSET($W$634,$B686,S$631-1)/SUMPRODUCT(--($D$631:$V$631=S$631),--($D1288:$V1288=1)),0)+SUM(S685)+IF(COUNTIF(S$1237:S1288,1)=1,5,0)+IF(COUNTIF(T686:$W686,"&gt;"&amp;0)&lt;5,IF(AND(COUNTIF(S$1237:S1288,1)&gt;7,MOD(1+IFERROR(MATCH($C686,总览!$D$46:$D$345,1)+1,1),7)=0),$C$3,0),0)</f>
        <v>44.3185714285714</v>
      </c>
      <c r="T686" s="131" cm="1">
        <f ca="1" t="array" ref="T686">IF(T1288=1,OFFSET($W$634,$B686,T$631-1)/SUMPRODUCT(--($D$631:$V$631=T$631),--($D1288:$V1288=1)),0)+SUM(T685)+IF(COUNTIF(T$1237:T1288,1)=1,5,0)+IF(COUNTIF(U686:$W686,"&gt;"&amp;0)&lt;5,IF(AND(COUNTIF(T$1237:T1288,1)&gt;7,MOD(1+IFERROR(MATCH($C686,总览!$D$46:$D$345,1)+1,1),7)=0),$C$3,0),0)</f>
        <v>8.68052423686642</v>
      </c>
      <c r="U686" s="131" cm="1">
        <f ca="1" t="array" ref="U686">IF(U1288=1,OFFSET($W$634,$B686,U$631-1)/SUMPRODUCT(--($D$631:$V$631=U$631),--($D1288:$V1288=1)),0)+SUM(U685)+IF(COUNTIF(U$1237:U1288,1)=1,5,0)+IF(COUNTIF(V686:$W686,"&gt;"&amp;0)&lt;5,IF(AND(COUNTIF(U$1237:U1288,1)&gt;7,MOD(1+IFERROR(MATCH($C686,总览!$D$46:$D$345,1)+1,1),7)=0),$C$3,0),0)</f>
        <v>14.2013105921661</v>
      </c>
      <c r="V686" s="131" cm="1">
        <f ca="1" t="array" ref="V686">IF(V1288=1,OFFSET($W$634,$B686,V$631-1)/SUMPRODUCT(--($D$631:$V$631=V$631),--($D1288:$V1288=1)),0)+SUM(V685)+IF(COUNTIF(V$1237:V1288,1)=1,5,0)+IF(COUNTIF(W686:$W686,"&gt;"&amp;0)&lt;5,IF(AND(COUNTIF(V$1237:V1288,1)&gt;7,MOD(1+IFERROR(MATCH($C686,总览!$D$46:$D$345,1)+1,1),7)=0),$C$3,0),0)</f>
        <v>34.0283103045994</v>
      </c>
      <c r="W686" s="135" cm="1">
        <f ca="1" t="array" ref="W686">SUMPRODUCT(TRANSPOSE($AA686:$AG686),OFFSET($L$9:$L$15,0,W$631-1))</f>
        <v>26.4226324699144</v>
      </c>
      <c r="X686" s="135" cm="1">
        <f ca="1" t="array" ref="X686">SUMPRODUCT(TRANSPOSE($AA686:$AG686),OFFSET($L$9:$L$15,0,X$631-1))</f>
        <v>16</v>
      </c>
      <c r="Y686" s="135" cm="1">
        <f ca="1" t="array" ref="Y686">SUMPRODUCT(TRANSPOSE($AA686:$AG686),OFFSET($L$9:$L$15,0,Y$631-1))</f>
        <v>6</v>
      </c>
      <c r="Z686" s="135" cm="1">
        <f ca="1" t="array" ref="Z686">SUMPRODUCT(TRANSPOSE($AA686:$AG686),OFFSET($L$9:$L$15,0,Z$631-1))</f>
        <v>1.57736753008561</v>
      </c>
      <c r="AA686" s="136">
        <f ca="1" t="shared" ref="AA686:AG686" si="343">AH686-AH685</f>
        <v>0</v>
      </c>
      <c r="AB686" s="136">
        <f ca="1" t="shared" si="343"/>
        <v>0</v>
      </c>
      <c r="AC686" s="136">
        <f ca="1" t="shared" si="343"/>
        <v>0</v>
      </c>
      <c r="AD686" s="136">
        <f ca="1" t="shared" si="343"/>
        <v>100</v>
      </c>
      <c r="AE686" s="136">
        <f ca="1" t="shared" si="343"/>
        <v>0</v>
      </c>
      <c r="AF686" s="136">
        <f ca="1" t="shared" si="343"/>
        <v>0</v>
      </c>
      <c r="AG686" s="136">
        <f ca="1" t="shared" si="343"/>
        <v>0</v>
      </c>
      <c r="AH686" s="136">
        <f ca="1" t="shared" si="241"/>
        <v>450</v>
      </c>
      <c r="AI686" s="136">
        <f ca="1" t="shared" ref="AI686:AN686" si="344">IF($C686&gt;OFFSET($Q$8,MATCH(AI$634,$AH$634:$AN$634,0),0),OFFSET($P$8,MATCH(AI$634,$AH$634:$AN$634,0),0),MAX(0,$C686-OFFSET($Q$8,RIGHT(AI$634,1)-1,0)))</f>
        <v>909</v>
      </c>
      <c r="AJ686" s="136">
        <f ca="1" t="shared" si="344"/>
        <v>1818</v>
      </c>
      <c r="AK686" s="136">
        <f ca="1" t="shared" si="344"/>
        <v>2023</v>
      </c>
      <c r="AL686" s="136">
        <f ca="1" t="shared" si="344"/>
        <v>0</v>
      </c>
      <c r="AM686" s="136">
        <f ca="1" t="shared" si="344"/>
        <v>0</v>
      </c>
      <c r="AN686" s="136">
        <f ca="1" t="shared" si="344"/>
        <v>0</v>
      </c>
      <c r="AP686" s="132">
        <v>52</v>
      </c>
      <c r="AQ686" s="132">
        <v>24950</v>
      </c>
      <c r="AR686" s="132">
        <v>24950</v>
      </c>
      <c r="AS686" s="132">
        <v>13370</v>
      </c>
      <c r="AT686" s="132">
        <v>7460</v>
      </c>
    </row>
    <row r="687" s="106" customFormat="1" ht="16.5" spans="2:46">
      <c r="B687" s="117">
        <v>53</v>
      </c>
      <c r="C687" s="130">
        <f t="shared" si="239"/>
        <v>5300</v>
      </c>
      <c r="D687" s="131" cm="1">
        <f ca="1" t="array" ref="D687">IF(D1289=1,OFFSET($W$634,$B687,D$631-1)/SUMPRODUCT(--($D$631:$V$631=D$631),--($D1289:$V1289=1)),0)+SUM(D686)+IF(COUNTIF(D$1237:D1289,1)=1,5,0)+IF(COUNTIF(E687:$W687,"&gt;"&amp;0)&lt;5,IF(AND(COUNTIF(D$1237:D1289,1)&gt;7,MOD(1+IFERROR(MATCH($C687,总览!$D$46:$D$345,1)+1,1),7)=0),$C$3,0),0)</f>
        <v>547.409162445428</v>
      </c>
      <c r="E687" s="131" cm="1">
        <f ca="1" t="array" ref="E687">IF(E1289=1,OFFSET($W$634,$B687,E$631-1)/SUMPRODUCT(--($D$631:$V$631=E$631),--($D1289:$V1289=1)),0)+SUM(E686)+IF(COUNTIF(E$1237:E1289,1)=1,5,0)+IF(COUNTIF(F687:$W687,"&gt;"&amp;0)&lt;5,IF(AND(COUNTIF(E$1237:E1289,1)&gt;7,MOD(1+IFERROR(MATCH($C687,总览!$D$46:$D$345,1)+1,1),7)=0),$C$3,0),0)</f>
        <v>547.409162445428</v>
      </c>
      <c r="F687" s="131" cm="1">
        <f ca="1" t="array" ref="F687">IF(F1289=1,OFFSET($W$634,$B687,F$631-1)/SUMPRODUCT(--($D$631:$V$631=F$631),--($D1289:$V1289=1)),0)+SUM(F686)+IF(COUNTIF(F$1237:F1289,1)=1,5,0)+IF(COUNTIF(G687:$W687,"&gt;"&amp;0)&lt;5,IF(AND(COUNTIF(F$1237:F1289,1)&gt;7,MOD(1+IFERROR(MATCH($C687,总览!$D$46:$D$345,1)+1,1),7)=0),$C$3,0),0)</f>
        <v>547.409162445428</v>
      </c>
      <c r="G687" s="131" cm="1">
        <f ca="1" t="array" ref="G687">IF(G1289=1,OFFSET($W$634,$B687,G$631-1)/SUMPRODUCT(--($D$631:$V$631=G$631),--($D1289:$V1289=1)),0)+SUM(G686)+IF(COUNTIF(G$1237:G1289,1)=1,5,0)+IF(COUNTIF(H687:$W687,"&gt;"&amp;0)&lt;5,IF(AND(COUNTIF(G$1237:G1289,1)&gt;7,MOD(1+IFERROR(MATCH($C687,总览!$D$46:$D$345,1)+1,1),7)=0),$C$3,0),0)</f>
        <v>132.213333333333</v>
      </c>
      <c r="H687" s="131" cm="1">
        <f ca="1" t="array" ref="H687">IF(H1289=1,OFFSET($W$634,$B687,H$631-1)/SUMPRODUCT(--($D$631:$V$631=H$631),--($D1289:$V1289=1)),0)+SUM(H686)+IF(COUNTIF(H$1237:H1289,1)=1,5,0)+IF(COUNTIF(I687:$W687,"&gt;"&amp;0)&lt;5,IF(AND(COUNTIF(H$1237:H1289,1)&gt;7,MOD(1+IFERROR(MATCH($C687,总览!$D$46:$D$345,1)+1,1),7)=0),$C$3,0),0)</f>
        <v>132.213333333333</v>
      </c>
      <c r="I687" s="131" cm="1">
        <f ca="1" t="array" ref="I687">IF(I1289=1,OFFSET($W$634,$B687,I$631-1)/SUMPRODUCT(--($D$631:$V$631=I$631),--($D1289:$V1289=1)),0)+SUM(I686)+IF(COUNTIF(I$1237:I1289,1)=1,5,0)+IF(COUNTIF(J687:$W687,"&gt;"&amp;0)&lt;5,IF(AND(COUNTIF(I$1237:I1289,1)&gt;7,MOD(1+IFERROR(MATCH($C687,总览!$D$46:$D$345,1)+1,1),7)=0),$C$3,0),0)</f>
        <v>132.213333333333</v>
      </c>
      <c r="J687" s="131" cm="1">
        <f ca="1" t="array" ref="J687">IF(J1289=1,OFFSET($W$634,$B687,J$631-1)/SUMPRODUCT(--($D$631:$V$631=J$631),--($D1289:$V1289=1)),0)+SUM(J686)+IF(COUNTIF(J$1237:J1289,1)=1,5,0)+IF(COUNTIF(K687:$W687,"&gt;"&amp;0)&lt;5,IF(AND(COUNTIF(J$1237:J1289,1)&gt;7,MOD(1+IFERROR(MATCH($C687,总览!$D$46:$D$345,1)+1,1),7)=0),$C$3,0),0)</f>
        <v>128.88</v>
      </c>
      <c r="K687" s="131" cm="1">
        <f ca="1" t="array" ref="K687">IF(K1289=1,OFFSET($W$634,$B687,K$631-1)/SUMPRODUCT(--($D$631:$V$631=K$631),--($D1289:$V1289=1)),0)+SUM(K686)+IF(COUNTIF(K$1237:K1289,1)=1,5,0)+IF(COUNTIF(L687:$W687,"&gt;"&amp;0)&lt;5,IF(AND(COUNTIF(K$1237:K1289,1)&gt;7,MOD(1+IFERROR(MATCH($C687,总览!$D$46:$D$345,1)+1,1),7)=0),$C$3,0),0)</f>
        <v>126.38</v>
      </c>
      <c r="L687" s="131" cm="1">
        <f ca="1" t="array" ref="L687">IF(L1289=1,OFFSET($W$634,$B687,L$631-1)/SUMPRODUCT(--($D$631:$V$631=L$631),--($D1289:$V1289=1)),0)+SUM(L686)+IF(COUNTIF(L$1237:L1289,1)=1,5,0)+IF(COUNTIF(M687:$W687,"&gt;"&amp;0)&lt;5,IF(AND(COUNTIF(L$1237:L1289,1)&gt;7,MOD(1+IFERROR(MATCH($C687,总览!$D$46:$D$345,1)+1,1),7)=0),$C$3,0),0)</f>
        <v>126.38</v>
      </c>
      <c r="M687" s="131" cm="1">
        <f ca="1" t="array" ref="M687">IF(M1289=1,OFFSET($W$634,$B687,M$631-1)/SUMPRODUCT(--($D$631:$V$631=M$631),--($D1289:$V1289=1)),0)+SUM(M686)+IF(COUNTIF(M$1237:M1289,1)=1,5,0)+IF(COUNTIF(N687:$W687,"&gt;"&amp;0)&lt;5,IF(AND(COUNTIF(M$1237:M1289,1)&gt;7,MOD(1+IFERROR(MATCH($C687,总览!$D$46:$D$345,1)+1,1),7)=0),$C$3,0),0)</f>
        <v>47.3069642857142</v>
      </c>
      <c r="N687" s="131" cm="1">
        <f ca="1" t="array" ref="N687">IF(N1289=1,OFFSET($W$634,$B687,N$631-1)/SUMPRODUCT(--($D$631:$V$631=N$631),--($D1289:$V1289=1)),0)+SUM(N686)+IF(COUNTIF(N$1237:N1289,1)=1,5,0)+IF(COUNTIF(O687:$W687,"&gt;"&amp;0)&lt;5,IF(AND(COUNTIF(N$1237:N1289,1)&gt;7,MOD(1+IFERROR(MATCH($C687,总览!$D$46:$D$345,1)+1,1),7)=0),$C$3,0),0)</f>
        <v>48.5569642857142</v>
      </c>
      <c r="O687" s="131" cm="1">
        <f ca="1" t="array" ref="O687">IF(O1289=1,OFFSET($W$634,$B687,O$631-1)/SUMPRODUCT(--($D$631:$V$631=O$631),--($D1289:$V1289=1)),0)+SUM(O686)+IF(COUNTIF(O$1237:O1289,1)=1,5,0)+IF(COUNTIF(P687:$W687,"&gt;"&amp;0)&lt;5,IF(AND(COUNTIF(O$1237:O1289,1)&gt;7,MOD(1+IFERROR(MATCH($C687,总览!$D$46:$D$345,1)+1,1),7)=0),$C$3,0),0)</f>
        <v>53.5569642857142</v>
      </c>
      <c r="P687" s="131" cm="1">
        <f ca="1" t="array" ref="P687">IF(P1289=1,OFFSET($W$634,$B687,P$631-1)/SUMPRODUCT(--($D$631:$V$631=P$631),--($D1289:$V1289=1)),0)+SUM(P686)+IF(COUNTIF(P$1237:P1289,1)=1,5,0)+IF(COUNTIF(Q687:$W687,"&gt;"&amp;0)&lt;5,IF(AND(COUNTIF(P$1237:P1289,1)&gt;7,MOD(1+IFERROR(MATCH($C687,总览!$D$46:$D$345,1)+1,1),7)=0),$C$3,0),0)</f>
        <v>42.6757142857143</v>
      </c>
      <c r="Q687" s="131" cm="1">
        <f ca="1" t="array" ref="Q687">IF(Q1289=1,OFFSET($W$634,$B687,Q$631-1)/SUMPRODUCT(--($D$631:$V$631=Q$631),--($D1289:$V1289=1)),0)+SUM(Q686)+IF(COUNTIF(Q$1237:Q1289,1)=1,5,0)+IF(COUNTIF(R687:$W687,"&gt;"&amp;0)&lt;5,IF(AND(COUNTIF(Q$1237:Q1289,1)&gt;7,MOD(1+IFERROR(MATCH($C687,总览!$D$46:$D$345,1)+1,1),7)=0),$C$3,0),0)</f>
        <v>56.0569642857142</v>
      </c>
      <c r="R687" s="131" cm="1">
        <f ca="1" t="array" ref="R687">IF(R1289=1,OFFSET($W$634,$B687,R$631-1)/SUMPRODUCT(--($D$631:$V$631=R$631),--($D1289:$V1289=1)),0)+SUM(R686)+IF(COUNTIF(R$1237:R1289,1)=1,5,0)+IF(COUNTIF(S687:$W687,"&gt;"&amp;0)&lt;5,IF(AND(COUNTIF(R$1237:R1289,1)&gt;7,MOD(1+IFERROR(MATCH($C687,总览!$D$46:$D$345,1)+1,1),7)=0),$C$3,0),0)</f>
        <v>47.6757142857142</v>
      </c>
      <c r="S687" s="131" cm="1">
        <f ca="1" t="array" ref="S687">IF(S1289=1,OFFSET($W$634,$B687,S$631-1)/SUMPRODUCT(--($D$631:$V$631=S$631),--($D1289:$V1289=1)),0)+SUM(S686)+IF(COUNTIF(S$1237:S1289,1)=1,5,0)+IF(COUNTIF(T687:$W687,"&gt;"&amp;0)&lt;5,IF(AND(COUNTIF(S$1237:S1289,1)&gt;7,MOD(1+IFERROR(MATCH($C687,总览!$D$46:$D$345,1)+1,1),7)=0),$C$3,0),0)</f>
        <v>45.1757142857143</v>
      </c>
      <c r="T687" s="131" cm="1">
        <f ca="1" t="array" ref="T687">IF(T1289=1,OFFSET($W$634,$B687,T$631-1)/SUMPRODUCT(--($D$631:$V$631=T$631),--($D1289:$V1289=1)),0)+SUM(T686)+IF(COUNTIF(T$1237:T1289,1)=1,5,0)+IF(COUNTIF(U687:$W687,"&gt;"&amp;0)&lt;5,IF(AND(COUNTIF(T$1237:T1289,1)&gt;7,MOD(1+IFERROR(MATCH($C687,总览!$D$46:$D$345,1)+1,1),7)=0),$C$3,0),0)</f>
        <v>9.20631341356163</v>
      </c>
      <c r="U687" s="131" cm="1">
        <f ca="1" t="array" ref="U687">IF(U1289=1,OFFSET($W$634,$B687,U$631-1)/SUMPRODUCT(--($D$631:$V$631=U$631),--($D1289:$V1289=1)),0)+SUM(U686)+IF(COUNTIF(U$1237:U1289,1)=1,5,0)+IF(COUNTIF(V687:$W687,"&gt;"&amp;0)&lt;5,IF(AND(COUNTIF(U$1237:U1289,1)&gt;7,MOD(1+IFERROR(MATCH($C687,总览!$D$46:$D$345,1)+1,1),7)=0),$C$3,0),0)</f>
        <v>14.7270997688613</v>
      </c>
      <c r="V687" s="131" cm="1">
        <f ca="1" t="array" ref="V687">IF(V1289=1,OFFSET($W$634,$B687,V$631-1)/SUMPRODUCT(--($D$631:$V$631=V$631),--($D1289:$V1289=1)),0)+SUM(V686)+IF(COUNTIF(V$1237:V1289,1)=1,5,0)+IF(COUNTIF(W687:$W687,"&gt;"&amp;0)&lt;5,IF(AND(COUNTIF(V$1237:V1289,1)&gt;7,MOD(1+IFERROR(MATCH($C687,总览!$D$46:$D$345,1)+1,1),7)=0),$C$3,0),0)</f>
        <v>34.5540994812946</v>
      </c>
      <c r="W687" s="135" cm="1">
        <f ca="1" t="array" ref="W687">SUMPRODUCT(TRANSPOSE($AA687:$AG687),OFFSET($L$9:$L$15,0,W$631-1))</f>
        <v>26.4226324699144</v>
      </c>
      <c r="X687" s="135" cm="1">
        <f ca="1" t="array" ref="X687">SUMPRODUCT(TRANSPOSE($AA687:$AG687),OFFSET($L$9:$L$15,0,X$631-1))</f>
        <v>16</v>
      </c>
      <c r="Y687" s="135" cm="1">
        <f ca="1" t="array" ref="Y687">SUMPRODUCT(TRANSPOSE($AA687:$AG687),OFFSET($L$9:$L$15,0,Y$631-1))</f>
        <v>6</v>
      </c>
      <c r="Z687" s="135" cm="1">
        <f ca="1" t="array" ref="Z687">SUMPRODUCT(TRANSPOSE($AA687:$AG687),OFFSET($L$9:$L$15,0,Z$631-1))</f>
        <v>1.57736753008561</v>
      </c>
      <c r="AA687" s="136">
        <f ca="1" t="shared" ref="AA687:AG687" si="345">AH687-AH686</f>
        <v>0</v>
      </c>
      <c r="AB687" s="136">
        <f ca="1" t="shared" si="345"/>
        <v>0</v>
      </c>
      <c r="AC687" s="136">
        <f ca="1" t="shared" si="345"/>
        <v>0</v>
      </c>
      <c r="AD687" s="136">
        <f ca="1" t="shared" si="345"/>
        <v>100</v>
      </c>
      <c r="AE687" s="136">
        <f ca="1" t="shared" si="345"/>
        <v>0</v>
      </c>
      <c r="AF687" s="136">
        <f ca="1" t="shared" si="345"/>
        <v>0</v>
      </c>
      <c r="AG687" s="136">
        <f ca="1" t="shared" si="345"/>
        <v>0</v>
      </c>
      <c r="AH687" s="136">
        <f ca="1" t="shared" si="241"/>
        <v>450</v>
      </c>
      <c r="AI687" s="136">
        <f ca="1" t="shared" ref="AI687:AN687" si="346">IF($C687&gt;OFFSET($Q$8,MATCH(AI$634,$AH$634:$AN$634,0),0),OFFSET($P$8,MATCH(AI$634,$AH$634:$AN$634,0),0),MAX(0,$C687-OFFSET($Q$8,RIGHT(AI$634,1)-1,0)))</f>
        <v>909</v>
      </c>
      <c r="AJ687" s="136">
        <f ca="1" t="shared" si="346"/>
        <v>1818</v>
      </c>
      <c r="AK687" s="136">
        <f ca="1" t="shared" si="346"/>
        <v>2123</v>
      </c>
      <c r="AL687" s="136">
        <f ca="1" t="shared" si="346"/>
        <v>0</v>
      </c>
      <c r="AM687" s="136">
        <f ca="1" t="shared" si="346"/>
        <v>0</v>
      </c>
      <c r="AN687" s="136">
        <f ca="1" t="shared" si="346"/>
        <v>0</v>
      </c>
      <c r="AP687" s="132">
        <v>53</v>
      </c>
      <c r="AQ687" s="132">
        <v>26750</v>
      </c>
      <c r="AR687" s="132">
        <v>26750</v>
      </c>
      <c r="AS687" s="132">
        <v>14330</v>
      </c>
      <c r="AT687" s="132">
        <v>7940</v>
      </c>
    </row>
    <row r="688" s="106" customFormat="1" ht="16.5" spans="2:46">
      <c r="B688" s="117">
        <v>54</v>
      </c>
      <c r="C688" s="130">
        <f t="shared" si="239"/>
        <v>5400</v>
      </c>
      <c r="D688" s="131" cm="1">
        <f ca="1" t="array" ref="D688">IF(D1290=1,OFFSET($W$634,$B688,D$631-1)/SUMPRODUCT(--($D$631:$V$631=D$631),--($D1290:$V1290=1)),0)+SUM(D687)+IF(COUNTIF(D$1237:D1290,1)=1,5,0)+IF(COUNTIF(E688:$W688,"&gt;"&amp;0)&lt;5,IF(AND(COUNTIF(D$1237:D1290,1)&gt;7,MOD(1+IFERROR(MATCH($C688,总览!$D$46:$D$345,1)+1,1),7)=0),$C$3,0),0)</f>
        <v>556.216706602066</v>
      </c>
      <c r="E688" s="131" cm="1">
        <f ca="1" t="array" ref="E688">IF(E1290=1,OFFSET($W$634,$B688,E$631-1)/SUMPRODUCT(--($D$631:$V$631=E$631),--($D1290:$V1290=1)),0)+SUM(E687)+IF(COUNTIF(E$1237:E1290,1)=1,5,0)+IF(COUNTIF(F688:$W688,"&gt;"&amp;0)&lt;5,IF(AND(COUNTIF(E$1237:E1290,1)&gt;7,MOD(1+IFERROR(MATCH($C688,总览!$D$46:$D$345,1)+1,1),7)=0),$C$3,0),0)</f>
        <v>556.216706602066</v>
      </c>
      <c r="F688" s="131" cm="1">
        <f ca="1" t="array" ref="F688">IF(F1290=1,OFFSET($W$634,$B688,F$631-1)/SUMPRODUCT(--($D$631:$V$631=F$631),--($D1290:$V1290=1)),0)+SUM(F687)+IF(COUNTIF(F$1237:F1290,1)=1,5,0)+IF(COUNTIF(G688:$W688,"&gt;"&amp;0)&lt;5,IF(AND(COUNTIF(F$1237:F1290,1)&gt;7,MOD(1+IFERROR(MATCH($C688,总览!$D$46:$D$345,1)+1,1),7)=0),$C$3,0),0)</f>
        <v>556.216706602066</v>
      </c>
      <c r="G688" s="131" cm="1">
        <f ca="1" t="array" ref="G688">IF(G1290=1,OFFSET($W$634,$B688,G$631-1)/SUMPRODUCT(--($D$631:$V$631=G$631),--($D1290:$V1290=1)),0)+SUM(G687)+IF(COUNTIF(G$1237:G1290,1)=1,5,0)+IF(COUNTIF(H688:$W688,"&gt;"&amp;0)&lt;5,IF(AND(COUNTIF(G$1237:G1290,1)&gt;7,MOD(1+IFERROR(MATCH($C688,总览!$D$46:$D$345,1)+1,1),7)=0),$C$3,0),0)</f>
        <v>134.88</v>
      </c>
      <c r="H688" s="131" cm="1">
        <f ca="1" t="array" ref="H688">IF(H1290=1,OFFSET($W$634,$B688,H$631-1)/SUMPRODUCT(--($D$631:$V$631=H$631),--($D1290:$V1290=1)),0)+SUM(H687)+IF(COUNTIF(H$1237:H1290,1)=1,5,0)+IF(COUNTIF(I688:$W688,"&gt;"&amp;0)&lt;5,IF(AND(COUNTIF(H$1237:H1290,1)&gt;7,MOD(1+IFERROR(MATCH($C688,总览!$D$46:$D$345,1)+1,1),7)=0),$C$3,0),0)</f>
        <v>134.88</v>
      </c>
      <c r="I688" s="131" cm="1">
        <f ca="1" t="array" ref="I688">IF(I1290=1,OFFSET($W$634,$B688,I$631-1)/SUMPRODUCT(--($D$631:$V$631=I$631),--($D1290:$V1290=1)),0)+SUM(I687)+IF(COUNTIF(I$1237:I1290,1)=1,5,0)+IF(COUNTIF(J688:$W688,"&gt;"&amp;0)&lt;5,IF(AND(COUNTIF(I$1237:I1290,1)&gt;7,MOD(1+IFERROR(MATCH($C688,总览!$D$46:$D$345,1)+1,1),7)=0),$C$3,0),0)</f>
        <v>134.88</v>
      </c>
      <c r="J688" s="131" cm="1">
        <f ca="1" t="array" ref="J688">IF(J1290=1,OFFSET($W$634,$B688,J$631-1)/SUMPRODUCT(--($D$631:$V$631=J$631),--($D1290:$V1290=1)),0)+SUM(J687)+IF(COUNTIF(J$1237:J1290,1)=1,5,0)+IF(COUNTIF(K688:$W688,"&gt;"&amp;0)&lt;5,IF(AND(COUNTIF(J$1237:J1290,1)&gt;7,MOD(1+IFERROR(MATCH($C688,总览!$D$46:$D$345,1)+1,1),7)=0),$C$3,0),0)</f>
        <v>131.546666666667</v>
      </c>
      <c r="K688" s="131" cm="1">
        <f ca="1" t="array" ref="K688">IF(K1290=1,OFFSET($W$634,$B688,K$631-1)/SUMPRODUCT(--($D$631:$V$631=K$631),--($D1290:$V1290=1)),0)+SUM(K687)+IF(COUNTIF(K$1237:K1290,1)=1,5,0)+IF(COUNTIF(L688:$W688,"&gt;"&amp;0)&lt;5,IF(AND(COUNTIF(K$1237:K1290,1)&gt;7,MOD(1+IFERROR(MATCH($C688,总览!$D$46:$D$345,1)+1,1),7)=0),$C$3,0),0)</f>
        <v>129.046666666667</v>
      </c>
      <c r="L688" s="131" cm="1">
        <f ca="1" t="array" ref="L688">IF(L1290=1,OFFSET($W$634,$B688,L$631-1)/SUMPRODUCT(--($D$631:$V$631=L$631),--($D1290:$V1290=1)),0)+SUM(L687)+IF(COUNTIF(L$1237:L1290,1)=1,5,0)+IF(COUNTIF(M688:$W688,"&gt;"&amp;0)&lt;5,IF(AND(COUNTIF(L$1237:L1290,1)&gt;7,MOD(1+IFERROR(MATCH($C688,总览!$D$46:$D$345,1)+1,1),7)=0),$C$3,0),0)</f>
        <v>129.046666666667</v>
      </c>
      <c r="M688" s="131" cm="1">
        <f ca="1" t="array" ref="M688">IF(M1290=1,OFFSET($W$634,$B688,M$631-1)/SUMPRODUCT(--($D$631:$V$631=M$631),--($D1290:$V1290=1)),0)+SUM(M687)+IF(COUNTIF(M$1237:M1290,1)=1,5,0)+IF(COUNTIF(N688:$W688,"&gt;"&amp;0)&lt;5,IF(AND(COUNTIF(M$1237:M1290,1)&gt;7,MOD(1+IFERROR(MATCH($C688,总览!$D$46:$D$345,1)+1,1),7)=0),$C$3,0),0)</f>
        <v>48.1641071428571</v>
      </c>
      <c r="N688" s="131" cm="1">
        <f ca="1" t="array" ref="N688">IF(N1290=1,OFFSET($W$634,$B688,N$631-1)/SUMPRODUCT(--($D$631:$V$631=N$631),--($D1290:$V1290=1)),0)+SUM(N687)+IF(COUNTIF(N$1237:N1290,1)=1,5,0)+IF(COUNTIF(O688:$W688,"&gt;"&amp;0)&lt;5,IF(AND(COUNTIF(N$1237:N1290,1)&gt;7,MOD(1+IFERROR(MATCH($C688,总览!$D$46:$D$345,1)+1,1),7)=0),$C$3,0),0)</f>
        <v>49.4141071428571</v>
      </c>
      <c r="O688" s="131" cm="1">
        <f ca="1" t="array" ref="O688">IF(O1290=1,OFFSET($W$634,$B688,O$631-1)/SUMPRODUCT(--($D$631:$V$631=O$631),--($D1290:$V1290=1)),0)+SUM(O687)+IF(COUNTIF(O$1237:O1290,1)=1,5,0)+IF(COUNTIF(P688:$W688,"&gt;"&amp;0)&lt;5,IF(AND(COUNTIF(O$1237:O1290,1)&gt;7,MOD(1+IFERROR(MATCH($C688,总览!$D$46:$D$345,1)+1,1),7)=0),$C$3,0),0)</f>
        <v>54.4141071428571</v>
      </c>
      <c r="P688" s="131" cm="1">
        <f ca="1" t="array" ref="P688">IF(P1290=1,OFFSET($W$634,$B688,P$631-1)/SUMPRODUCT(--($D$631:$V$631=P$631),--($D1290:$V1290=1)),0)+SUM(P687)+IF(COUNTIF(P$1237:P1290,1)=1,5,0)+IF(COUNTIF(Q688:$W688,"&gt;"&amp;0)&lt;5,IF(AND(COUNTIF(P$1237:P1290,1)&gt;7,MOD(1+IFERROR(MATCH($C688,总览!$D$46:$D$345,1)+1,1),7)=0),$C$3,0),0)</f>
        <v>43.5328571428571</v>
      </c>
      <c r="Q688" s="131" cm="1">
        <f ca="1" t="array" ref="Q688">IF(Q1290=1,OFFSET($W$634,$B688,Q$631-1)/SUMPRODUCT(--($D$631:$V$631=Q$631),--($D1290:$V1290=1)),0)+SUM(Q687)+IF(COUNTIF(Q$1237:Q1290,1)=1,5,0)+IF(COUNTIF(R688:$W688,"&gt;"&amp;0)&lt;5,IF(AND(COUNTIF(Q$1237:Q1290,1)&gt;7,MOD(1+IFERROR(MATCH($C688,总览!$D$46:$D$345,1)+1,1),7)=0),$C$3,0),0)</f>
        <v>56.9141071428571</v>
      </c>
      <c r="R688" s="131" cm="1">
        <f ca="1" t="array" ref="R688">IF(R1290=1,OFFSET($W$634,$B688,R$631-1)/SUMPRODUCT(--($D$631:$V$631=R$631),--($D1290:$V1290=1)),0)+SUM(R687)+IF(COUNTIF(R$1237:R1290,1)=1,5,0)+IF(COUNTIF(S688:$W688,"&gt;"&amp;0)&lt;5,IF(AND(COUNTIF(R$1237:R1290,1)&gt;7,MOD(1+IFERROR(MATCH($C688,总览!$D$46:$D$345,1)+1,1),7)=0),$C$3,0),0)</f>
        <v>48.5328571428571</v>
      </c>
      <c r="S688" s="131" cm="1">
        <f ca="1" t="array" ref="S688">IF(S1290=1,OFFSET($W$634,$B688,S$631-1)/SUMPRODUCT(--($D$631:$V$631=S$631),--($D1290:$V1290=1)),0)+SUM(S687)+IF(COUNTIF(S$1237:S1290,1)=1,5,0)+IF(COUNTIF(T688:$W688,"&gt;"&amp;0)&lt;5,IF(AND(COUNTIF(S$1237:S1290,1)&gt;7,MOD(1+IFERROR(MATCH($C688,总览!$D$46:$D$345,1)+1,1),7)=0),$C$3,0),0)</f>
        <v>46.0328571428571</v>
      </c>
      <c r="T688" s="131" cm="1">
        <f ca="1" t="array" ref="T688">IF(T1290=1,OFFSET($W$634,$B688,T$631-1)/SUMPRODUCT(--($D$631:$V$631=T$631),--($D1290:$V1290=1)),0)+SUM(T687)+IF(COUNTIF(T$1237:T1290,1)=1,5,0)+IF(COUNTIF(U688:$W688,"&gt;"&amp;0)&lt;5,IF(AND(COUNTIF(T$1237:T1290,1)&gt;7,MOD(1+IFERROR(MATCH($C688,总览!$D$46:$D$345,1)+1,1),7)=0),$C$3,0),0)</f>
        <v>9.73210259025683</v>
      </c>
      <c r="U688" s="131" cm="1">
        <f ca="1" t="array" ref="U688">IF(U1290=1,OFFSET($W$634,$B688,U$631-1)/SUMPRODUCT(--($D$631:$V$631=U$631),--($D1290:$V1290=1)),0)+SUM(U687)+IF(COUNTIF(U$1237:U1290,1)=1,5,0)+IF(COUNTIF(V688:$W688,"&gt;"&amp;0)&lt;5,IF(AND(COUNTIF(U$1237:U1290,1)&gt;7,MOD(1+IFERROR(MATCH($C688,总览!$D$46:$D$345,1)+1,1),7)=0),$C$3,0),0)</f>
        <v>15.2528889455565</v>
      </c>
      <c r="V688" s="131" cm="1">
        <f ca="1" t="array" ref="V688">IF(V1290=1,OFFSET($W$634,$B688,V$631-1)/SUMPRODUCT(--($D$631:$V$631=V$631),--($D1290:$V1290=1)),0)+SUM(V687)+IF(COUNTIF(V$1237:V1290,1)=1,5,0)+IF(COUNTIF(W688:$W688,"&gt;"&amp;0)&lt;5,IF(AND(COUNTIF(V$1237:V1290,1)&gt;7,MOD(1+IFERROR(MATCH($C688,总览!$D$46:$D$345,1)+1,1),7)=0),$C$3,0),0)</f>
        <v>35.0798886579898</v>
      </c>
      <c r="W688" s="135" cm="1">
        <f ca="1" t="array" ref="W688">SUMPRODUCT(TRANSPOSE($AA688:$AG688),OFFSET($L$9:$L$15,0,W$631-1))</f>
        <v>26.4226324699144</v>
      </c>
      <c r="X688" s="135" cm="1">
        <f ca="1" t="array" ref="X688">SUMPRODUCT(TRANSPOSE($AA688:$AG688),OFFSET($L$9:$L$15,0,X$631-1))</f>
        <v>16</v>
      </c>
      <c r="Y688" s="135" cm="1">
        <f ca="1" t="array" ref="Y688">SUMPRODUCT(TRANSPOSE($AA688:$AG688),OFFSET($L$9:$L$15,0,Y$631-1))</f>
        <v>6</v>
      </c>
      <c r="Z688" s="135" cm="1">
        <f ca="1" t="array" ref="Z688">SUMPRODUCT(TRANSPOSE($AA688:$AG688),OFFSET($L$9:$L$15,0,Z$631-1))</f>
        <v>1.57736753008561</v>
      </c>
      <c r="AA688" s="136">
        <f ca="1" t="shared" ref="AA688:AG688" si="347">AH688-AH687</f>
        <v>0</v>
      </c>
      <c r="AB688" s="136">
        <f ca="1" t="shared" si="347"/>
        <v>0</v>
      </c>
      <c r="AC688" s="136">
        <f ca="1" t="shared" si="347"/>
        <v>0</v>
      </c>
      <c r="AD688" s="136">
        <f ca="1" t="shared" si="347"/>
        <v>100</v>
      </c>
      <c r="AE688" s="136">
        <f ca="1" t="shared" si="347"/>
        <v>0</v>
      </c>
      <c r="AF688" s="136">
        <f ca="1" t="shared" si="347"/>
        <v>0</v>
      </c>
      <c r="AG688" s="136">
        <f ca="1" t="shared" si="347"/>
        <v>0</v>
      </c>
      <c r="AH688" s="136">
        <f ca="1" t="shared" si="241"/>
        <v>450</v>
      </c>
      <c r="AI688" s="136">
        <f ca="1" t="shared" ref="AI688:AN688" si="348">IF($C688&gt;OFFSET($Q$8,MATCH(AI$634,$AH$634:$AN$634,0),0),OFFSET($P$8,MATCH(AI$634,$AH$634:$AN$634,0),0),MAX(0,$C688-OFFSET($Q$8,RIGHT(AI$634,1)-1,0)))</f>
        <v>909</v>
      </c>
      <c r="AJ688" s="136">
        <f ca="1" t="shared" si="348"/>
        <v>1818</v>
      </c>
      <c r="AK688" s="136">
        <f ca="1" t="shared" si="348"/>
        <v>2223</v>
      </c>
      <c r="AL688" s="136">
        <f ca="1" t="shared" si="348"/>
        <v>0</v>
      </c>
      <c r="AM688" s="136">
        <f ca="1" t="shared" si="348"/>
        <v>0</v>
      </c>
      <c r="AN688" s="136">
        <f ca="1" t="shared" si="348"/>
        <v>0</v>
      </c>
      <c r="AP688" s="132">
        <v>54</v>
      </c>
      <c r="AQ688" s="132">
        <v>28550</v>
      </c>
      <c r="AR688" s="132">
        <v>28550</v>
      </c>
      <c r="AS688" s="132">
        <v>15290</v>
      </c>
      <c r="AT688" s="132">
        <v>8420</v>
      </c>
    </row>
    <row r="689" s="106" customFormat="1" ht="16.5" spans="2:46">
      <c r="B689" s="117">
        <v>55</v>
      </c>
      <c r="C689" s="130">
        <f t="shared" si="239"/>
        <v>5500</v>
      </c>
      <c r="D689" s="131" cm="1">
        <f ca="1" t="array" ref="D689">IF(D1291=1,OFFSET($W$634,$B689,D$631-1)/SUMPRODUCT(--($D$631:$V$631=D$631),--($D1291:$V1291=1)),0)+SUM(D688)+IF(COUNTIF(D$1237:D1291,1)=1,5,0)+IF(COUNTIF(E689:$W689,"&gt;"&amp;0)&lt;5,IF(AND(COUNTIF(D$1237:D1291,1)&gt;7,MOD(1+IFERROR(MATCH($C689,总览!$D$46:$D$345,1)+1,1),7)=0),$C$3,0),0)</f>
        <v>565.024250758704</v>
      </c>
      <c r="E689" s="131" cm="1">
        <f ca="1" t="array" ref="E689">IF(E1291=1,OFFSET($W$634,$B689,E$631-1)/SUMPRODUCT(--($D$631:$V$631=E$631),--($D1291:$V1291=1)),0)+SUM(E688)+IF(COUNTIF(E$1237:E1291,1)=1,5,0)+IF(COUNTIF(F689:$W689,"&gt;"&amp;0)&lt;5,IF(AND(COUNTIF(E$1237:E1291,1)&gt;7,MOD(1+IFERROR(MATCH($C689,总览!$D$46:$D$345,1)+1,1),7)=0),$C$3,0),0)</f>
        <v>565.024250758704</v>
      </c>
      <c r="F689" s="131" cm="1">
        <f ca="1" t="array" ref="F689">IF(F1291=1,OFFSET($W$634,$B689,F$631-1)/SUMPRODUCT(--($D$631:$V$631=F$631),--($D1291:$V1291=1)),0)+SUM(F688)+IF(COUNTIF(F$1237:F1291,1)=1,5,0)+IF(COUNTIF(G689:$W689,"&gt;"&amp;0)&lt;5,IF(AND(COUNTIF(F$1237:F1291,1)&gt;7,MOD(1+IFERROR(MATCH($C689,总览!$D$46:$D$345,1)+1,1),7)=0),$C$3,0),0)</f>
        <v>565.024250758704</v>
      </c>
      <c r="G689" s="131" cm="1">
        <f ca="1" t="array" ref="G689">IF(G1291=1,OFFSET($W$634,$B689,G$631-1)/SUMPRODUCT(--($D$631:$V$631=G$631),--($D1291:$V1291=1)),0)+SUM(G688)+IF(COUNTIF(G$1237:G1291,1)=1,5,0)+IF(COUNTIF(H689:$W689,"&gt;"&amp;0)&lt;5,IF(AND(COUNTIF(G$1237:G1291,1)&gt;7,MOD(1+IFERROR(MATCH($C689,总览!$D$46:$D$345,1)+1,1),7)=0),$C$3,0),0)</f>
        <v>137.546666666667</v>
      </c>
      <c r="H689" s="131" cm="1">
        <f ca="1" t="array" ref="H689">IF(H1291=1,OFFSET($W$634,$B689,H$631-1)/SUMPRODUCT(--($D$631:$V$631=H$631),--($D1291:$V1291=1)),0)+SUM(H688)+IF(COUNTIF(H$1237:H1291,1)=1,5,0)+IF(COUNTIF(I689:$W689,"&gt;"&amp;0)&lt;5,IF(AND(COUNTIF(H$1237:H1291,1)&gt;7,MOD(1+IFERROR(MATCH($C689,总览!$D$46:$D$345,1)+1,1),7)=0),$C$3,0),0)</f>
        <v>137.546666666667</v>
      </c>
      <c r="I689" s="131" cm="1">
        <f ca="1" t="array" ref="I689">IF(I1291=1,OFFSET($W$634,$B689,I$631-1)/SUMPRODUCT(--($D$631:$V$631=I$631),--($D1291:$V1291=1)),0)+SUM(I688)+IF(COUNTIF(I$1237:I1291,1)=1,5,0)+IF(COUNTIF(J689:$W689,"&gt;"&amp;0)&lt;5,IF(AND(COUNTIF(I$1237:I1291,1)&gt;7,MOD(1+IFERROR(MATCH($C689,总览!$D$46:$D$345,1)+1,1),7)=0),$C$3,0),0)</f>
        <v>137.546666666667</v>
      </c>
      <c r="J689" s="131" cm="1">
        <f ca="1" t="array" ref="J689">IF(J1291=1,OFFSET($W$634,$B689,J$631-1)/SUMPRODUCT(--($D$631:$V$631=J$631),--($D1291:$V1291=1)),0)+SUM(J688)+IF(COUNTIF(J$1237:J1291,1)=1,5,0)+IF(COUNTIF(K689:$W689,"&gt;"&amp;0)&lt;5,IF(AND(COUNTIF(J$1237:J1291,1)&gt;7,MOD(1+IFERROR(MATCH($C689,总览!$D$46:$D$345,1)+1,1),7)=0),$C$3,0),0)</f>
        <v>134.213333333333</v>
      </c>
      <c r="K689" s="131" cm="1">
        <f ca="1" t="array" ref="K689">IF(K1291=1,OFFSET($W$634,$B689,K$631-1)/SUMPRODUCT(--($D$631:$V$631=K$631),--($D1291:$V1291=1)),0)+SUM(K688)+IF(COUNTIF(K$1237:K1291,1)=1,5,0)+IF(COUNTIF(L689:$W689,"&gt;"&amp;0)&lt;5,IF(AND(COUNTIF(K$1237:K1291,1)&gt;7,MOD(1+IFERROR(MATCH($C689,总览!$D$46:$D$345,1)+1,1),7)=0),$C$3,0),0)</f>
        <v>131.713333333333</v>
      </c>
      <c r="L689" s="131" cm="1">
        <f ca="1" t="array" ref="L689">IF(L1291=1,OFFSET($W$634,$B689,L$631-1)/SUMPRODUCT(--($D$631:$V$631=L$631),--($D1291:$V1291=1)),0)+SUM(L688)+IF(COUNTIF(L$1237:L1291,1)=1,5,0)+IF(COUNTIF(M689:$W689,"&gt;"&amp;0)&lt;5,IF(AND(COUNTIF(L$1237:L1291,1)&gt;7,MOD(1+IFERROR(MATCH($C689,总览!$D$46:$D$345,1)+1,1),7)=0),$C$3,0),0)</f>
        <v>131.713333333333</v>
      </c>
      <c r="M689" s="131" cm="1">
        <f ca="1" t="array" ref="M689">IF(M1291=1,OFFSET($W$634,$B689,M$631-1)/SUMPRODUCT(--($D$631:$V$631=M$631),--($D1291:$V1291=1)),0)+SUM(M688)+IF(COUNTIF(M$1237:M1291,1)=1,5,0)+IF(COUNTIF(N689:$W689,"&gt;"&amp;0)&lt;5,IF(AND(COUNTIF(M$1237:M1291,1)&gt;7,MOD(1+IFERROR(MATCH($C689,总览!$D$46:$D$345,1)+1,1),7)=0),$C$3,0),0)</f>
        <v>49.02125</v>
      </c>
      <c r="N689" s="131" cm="1">
        <f ca="1" t="array" ref="N689">IF(N1291=1,OFFSET($W$634,$B689,N$631-1)/SUMPRODUCT(--($D$631:$V$631=N$631),--($D1291:$V1291=1)),0)+SUM(N688)+IF(COUNTIF(N$1237:N1291,1)=1,5,0)+IF(COUNTIF(O689:$W689,"&gt;"&amp;0)&lt;5,IF(AND(COUNTIF(N$1237:N1291,1)&gt;7,MOD(1+IFERROR(MATCH($C689,总览!$D$46:$D$345,1)+1,1),7)=0),$C$3,0),0)</f>
        <v>50.2712499999999</v>
      </c>
      <c r="O689" s="131" cm="1">
        <f ca="1" t="array" ref="O689">IF(O1291=1,OFFSET($W$634,$B689,O$631-1)/SUMPRODUCT(--($D$631:$V$631=O$631),--($D1291:$V1291=1)),0)+SUM(O688)+IF(COUNTIF(O$1237:O1291,1)=1,5,0)+IF(COUNTIF(P689:$W689,"&gt;"&amp;0)&lt;5,IF(AND(COUNTIF(O$1237:O1291,1)&gt;7,MOD(1+IFERROR(MATCH($C689,总览!$D$46:$D$345,1)+1,1),7)=0),$C$3,0),0)</f>
        <v>55.2712499999999</v>
      </c>
      <c r="P689" s="131" cm="1">
        <f ca="1" t="array" ref="P689">IF(P1291=1,OFFSET($W$634,$B689,P$631-1)/SUMPRODUCT(--($D$631:$V$631=P$631),--($D1291:$V1291=1)),0)+SUM(P688)+IF(COUNTIF(P$1237:P1291,1)=1,5,0)+IF(COUNTIF(Q689:$W689,"&gt;"&amp;0)&lt;5,IF(AND(COUNTIF(P$1237:P1291,1)&gt;7,MOD(1+IFERROR(MATCH($C689,总览!$D$46:$D$345,1)+1,1),7)=0),$C$3,0),0)</f>
        <v>44.39</v>
      </c>
      <c r="Q689" s="131" cm="1">
        <f ca="1" t="array" ref="Q689">IF(Q1291=1,OFFSET($W$634,$B689,Q$631-1)/SUMPRODUCT(--($D$631:$V$631=Q$631),--($D1291:$V1291=1)),0)+SUM(Q688)+IF(COUNTIF(Q$1237:Q1291,1)=1,5,0)+IF(COUNTIF(R689:$W689,"&gt;"&amp;0)&lt;5,IF(AND(COUNTIF(Q$1237:Q1291,1)&gt;7,MOD(1+IFERROR(MATCH($C689,总览!$D$46:$D$345,1)+1,1),7)=0),$C$3,0),0)</f>
        <v>57.7712499999999</v>
      </c>
      <c r="R689" s="131" cm="1">
        <f ca="1" t="array" ref="R689">IF(R1291=1,OFFSET($W$634,$B689,R$631-1)/SUMPRODUCT(--($D$631:$V$631=R$631),--($D1291:$V1291=1)),0)+SUM(R688)+IF(COUNTIF(R$1237:R1291,1)=1,5,0)+IF(COUNTIF(S689:$W689,"&gt;"&amp;0)&lt;5,IF(AND(COUNTIF(R$1237:R1291,1)&gt;7,MOD(1+IFERROR(MATCH($C689,总览!$D$46:$D$345,1)+1,1),7)=0),$C$3,0),0)</f>
        <v>49.39</v>
      </c>
      <c r="S689" s="131" cm="1">
        <f ca="1" t="array" ref="S689">IF(S1291=1,OFFSET($W$634,$B689,S$631-1)/SUMPRODUCT(--($D$631:$V$631=S$631),--($D1291:$V1291=1)),0)+SUM(S688)+IF(COUNTIF(S$1237:S1291,1)=1,5,0)+IF(COUNTIF(T689:$W689,"&gt;"&amp;0)&lt;5,IF(AND(COUNTIF(S$1237:S1291,1)&gt;7,MOD(1+IFERROR(MATCH($C689,总览!$D$46:$D$345,1)+1,1),7)=0),$C$3,0),0)</f>
        <v>46.89</v>
      </c>
      <c r="T689" s="131" cm="1">
        <f ca="1" t="array" ref="T689">IF(T1291=1,OFFSET($W$634,$B689,T$631-1)/SUMPRODUCT(--($D$631:$V$631=T$631),--($D1291:$V1291=1)),0)+SUM(T688)+IF(COUNTIF(T$1237:T1291,1)=1,5,0)+IF(COUNTIF(U689:$W689,"&gt;"&amp;0)&lt;5,IF(AND(COUNTIF(T$1237:T1291,1)&gt;7,MOD(1+IFERROR(MATCH($C689,总览!$D$46:$D$345,1)+1,1),7)=0),$C$3,0),0)</f>
        <v>10.257891766952</v>
      </c>
      <c r="U689" s="131" cm="1">
        <f ca="1" t="array" ref="U689">IF(U1291=1,OFFSET($W$634,$B689,U$631-1)/SUMPRODUCT(--($D$631:$V$631=U$631),--($D1291:$V1291=1)),0)+SUM(U688)+IF(COUNTIF(U$1237:U1291,1)=1,5,0)+IF(COUNTIF(V689:$W689,"&gt;"&amp;0)&lt;5,IF(AND(COUNTIF(U$1237:U1291,1)&gt;7,MOD(1+IFERROR(MATCH($C689,总览!$D$46:$D$345,1)+1,1),7)=0),$C$3,0),0)</f>
        <v>15.7786781222517</v>
      </c>
      <c r="V689" s="131" cm="1">
        <f ca="1" t="array" ref="V689">IF(V1291=1,OFFSET($W$634,$B689,V$631-1)/SUMPRODUCT(--($D$631:$V$631=V$631),--($D1291:$V1291=1)),0)+SUM(V688)+IF(COUNTIF(V$1237:V1291,1)=1,5,0)+IF(COUNTIF(W689:$W689,"&gt;"&amp;0)&lt;5,IF(AND(COUNTIF(V$1237:V1291,1)&gt;7,MOD(1+IFERROR(MATCH($C689,总览!$D$46:$D$345,1)+1,1),7)=0),$C$3,0),0)</f>
        <v>35.605677834685</v>
      </c>
      <c r="W689" s="135" cm="1">
        <f ca="1" t="array" ref="W689">SUMPRODUCT(TRANSPOSE($AA689:$AG689),OFFSET($L$9:$L$15,0,W$631-1))</f>
        <v>26.4226324699144</v>
      </c>
      <c r="X689" s="135" cm="1">
        <f ca="1" t="array" ref="X689">SUMPRODUCT(TRANSPOSE($AA689:$AG689),OFFSET($L$9:$L$15,0,X$631-1))</f>
        <v>16</v>
      </c>
      <c r="Y689" s="135" cm="1">
        <f ca="1" t="array" ref="Y689">SUMPRODUCT(TRANSPOSE($AA689:$AG689),OFFSET($L$9:$L$15,0,Y$631-1))</f>
        <v>6</v>
      </c>
      <c r="Z689" s="135" cm="1">
        <f ca="1" t="array" ref="Z689">SUMPRODUCT(TRANSPOSE($AA689:$AG689),OFFSET($L$9:$L$15,0,Z$631-1))</f>
        <v>1.57736753008561</v>
      </c>
      <c r="AA689" s="136">
        <f ca="1" t="shared" ref="AA689:AG689" si="349">AH689-AH688</f>
        <v>0</v>
      </c>
      <c r="AB689" s="136">
        <f ca="1" t="shared" si="349"/>
        <v>0</v>
      </c>
      <c r="AC689" s="136">
        <f ca="1" t="shared" si="349"/>
        <v>0</v>
      </c>
      <c r="AD689" s="136">
        <f ca="1" t="shared" si="349"/>
        <v>100</v>
      </c>
      <c r="AE689" s="136">
        <f ca="1" t="shared" si="349"/>
        <v>0</v>
      </c>
      <c r="AF689" s="136">
        <f ca="1" t="shared" si="349"/>
        <v>0</v>
      </c>
      <c r="AG689" s="136">
        <f ca="1" t="shared" si="349"/>
        <v>0</v>
      </c>
      <c r="AH689" s="136">
        <f ca="1" t="shared" si="241"/>
        <v>450</v>
      </c>
      <c r="AI689" s="136">
        <f ca="1" t="shared" ref="AI689:AN689" si="350">IF($C689&gt;OFFSET($Q$8,MATCH(AI$634,$AH$634:$AN$634,0),0),OFFSET($P$8,MATCH(AI$634,$AH$634:$AN$634,0),0),MAX(0,$C689-OFFSET($Q$8,RIGHT(AI$634,1)-1,0)))</f>
        <v>909</v>
      </c>
      <c r="AJ689" s="136">
        <f ca="1" t="shared" si="350"/>
        <v>1818</v>
      </c>
      <c r="AK689" s="136">
        <f ca="1" t="shared" si="350"/>
        <v>2323</v>
      </c>
      <c r="AL689" s="136">
        <f ca="1" t="shared" si="350"/>
        <v>0</v>
      </c>
      <c r="AM689" s="136">
        <f ca="1" t="shared" si="350"/>
        <v>0</v>
      </c>
      <c r="AN689" s="136">
        <f ca="1" t="shared" si="350"/>
        <v>0</v>
      </c>
      <c r="AP689" s="132">
        <v>55</v>
      </c>
      <c r="AQ689" s="132">
        <v>30350</v>
      </c>
      <c r="AR689" s="132">
        <v>30350</v>
      </c>
      <c r="AS689" s="132">
        <v>16250</v>
      </c>
      <c r="AT689" s="132">
        <v>8900</v>
      </c>
    </row>
    <row r="690" s="106" customFormat="1" ht="16.5" spans="2:46">
      <c r="B690" s="117">
        <v>56</v>
      </c>
      <c r="C690" s="130">
        <f t="shared" si="239"/>
        <v>5600</v>
      </c>
      <c r="D690" s="131" cm="1">
        <f ca="1" t="array" ref="D690">IF(D1292=1,OFFSET($W$634,$B690,D$631-1)/SUMPRODUCT(--($D$631:$V$631=D$631),--($D1292:$V1292=1)),0)+SUM(D689)+IF(COUNTIF(D$1237:D1292,1)=1,5,0)+IF(COUNTIF(E690:$W690,"&gt;"&amp;0)&lt;5,IF(AND(COUNTIF(D$1237:D1292,1)&gt;7,MOD(1+IFERROR(MATCH($C690,总览!$D$46:$D$345,1)+1,1),7)=0),$C$3,0),0)</f>
        <v>573.831794915342</v>
      </c>
      <c r="E690" s="131" cm="1">
        <f ca="1" t="array" ref="E690">IF(E1292=1,OFFSET($W$634,$B690,E$631-1)/SUMPRODUCT(--($D$631:$V$631=E$631),--($D1292:$V1292=1)),0)+SUM(E689)+IF(COUNTIF(E$1237:E1292,1)=1,5,0)+IF(COUNTIF(F690:$W690,"&gt;"&amp;0)&lt;5,IF(AND(COUNTIF(E$1237:E1292,1)&gt;7,MOD(1+IFERROR(MATCH($C690,总览!$D$46:$D$345,1)+1,1),7)=0),$C$3,0),0)</f>
        <v>573.831794915342</v>
      </c>
      <c r="F690" s="131" cm="1">
        <f ca="1" t="array" ref="F690">IF(F1292=1,OFFSET($W$634,$B690,F$631-1)/SUMPRODUCT(--($D$631:$V$631=F$631),--($D1292:$V1292=1)),0)+SUM(F689)+IF(COUNTIF(F$1237:F1292,1)=1,5,0)+IF(COUNTIF(G690:$W690,"&gt;"&amp;0)&lt;5,IF(AND(COUNTIF(F$1237:F1292,1)&gt;7,MOD(1+IFERROR(MATCH($C690,总览!$D$46:$D$345,1)+1,1),7)=0),$C$3,0),0)</f>
        <v>573.831794915342</v>
      </c>
      <c r="G690" s="131" cm="1">
        <f ca="1" t="array" ref="G690">IF(G1292=1,OFFSET($W$634,$B690,G$631-1)/SUMPRODUCT(--($D$631:$V$631=G$631),--($D1292:$V1292=1)),0)+SUM(G689)+IF(COUNTIF(G$1237:G1292,1)=1,5,0)+IF(COUNTIF(H690:$W690,"&gt;"&amp;0)&lt;5,IF(AND(COUNTIF(G$1237:G1292,1)&gt;7,MOD(1+IFERROR(MATCH($C690,总览!$D$46:$D$345,1)+1,1),7)=0),$C$3,0),0)</f>
        <v>140.213333333333</v>
      </c>
      <c r="H690" s="131" cm="1">
        <f ca="1" t="array" ref="H690">IF(H1292=1,OFFSET($W$634,$B690,H$631-1)/SUMPRODUCT(--($D$631:$V$631=H$631),--($D1292:$V1292=1)),0)+SUM(H689)+IF(COUNTIF(H$1237:H1292,1)=1,5,0)+IF(COUNTIF(I690:$W690,"&gt;"&amp;0)&lt;5,IF(AND(COUNTIF(H$1237:H1292,1)&gt;7,MOD(1+IFERROR(MATCH($C690,总览!$D$46:$D$345,1)+1,1),7)=0),$C$3,0),0)</f>
        <v>140.213333333333</v>
      </c>
      <c r="I690" s="131" cm="1">
        <f ca="1" t="array" ref="I690">IF(I1292=1,OFFSET($W$634,$B690,I$631-1)/SUMPRODUCT(--($D$631:$V$631=I$631),--($D1292:$V1292=1)),0)+SUM(I689)+IF(COUNTIF(I$1237:I1292,1)=1,5,0)+IF(COUNTIF(J690:$W690,"&gt;"&amp;0)&lt;5,IF(AND(COUNTIF(I$1237:I1292,1)&gt;7,MOD(1+IFERROR(MATCH($C690,总览!$D$46:$D$345,1)+1,1),7)=0),$C$3,0),0)</f>
        <v>140.213333333333</v>
      </c>
      <c r="J690" s="131" cm="1">
        <f ca="1" t="array" ref="J690">IF(J1292=1,OFFSET($W$634,$B690,J$631-1)/SUMPRODUCT(--($D$631:$V$631=J$631),--($D1292:$V1292=1)),0)+SUM(J689)+IF(COUNTIF(J$1237:J1292,1)=1,5,0)+IF(COUNTIF(K690:$W690,"&gt;"&amp;0)&lt;5,IF(AND(COUNTIF(J$1237:J1292,1)&gt;7,MOD(1+IFERROR(MATCH($C690,总览!$D$46:$D$345,1)+1,1),7)=0),$C$3,0),0)</f>
        <v>136.88</v>
      </c>
      <c r="K690" s="131" cm="1">
        <f ca="1" t="array" ref="K690">IF(K1292=1,OFFSET($W$634,$B690,K$631-1)/SUMPRODUCT(--($D$631:$V$631=K$631),--($D1292:$V1292=1)),0)+SUM(K689)+IF(COUNTIF(K$1237:K1292,1)=1,5,0)+IF(COUNTIF(L690:$W690,"&gt;"&amp;0)&lt;5,IF(AND(COUNTIF(K$1237:K1292,1)&gt;7,MOD(1+IFERROR(MATCH($C690,总览!$D$46:$D$345,1)+1,1),7)=0),$C$3,0),0)</f>
        <v>134.38</v>
      </c>
      <c r="L690" s="131" cm="1">
        <f ca="1" t="array" ref="L690">IF(L1292=1,OFFSET($W$634,$B690,L$631-1)/SUMPRODUCT(--($D$631:$V$631=L$631),--($D1292:$V1292=1)),0)+SUM(L689)+IF(COUNTIF(L$1237:L1292,1)=1,5,0)+IF(COUNTIF(M690:$W690,"&gt;"&amp;0)&lt;5,IF(AND(COUNTIF(L$1237:L1292,1)&gt;7,MOD(1+IFERROR(MATCH($C690,总览!$D$46:$D$345,1)+1,1),7)=0),$C$3,0),0)</f>
        <v>134.38</v>
      </c>
      <c r="M690" s="131" cm="1">
        <f ca="1" t="array" ref="M690">IF(M1292=1,OFFSET($W$634,$B690,M$631-1)/SUMPRODUCT(--($D$631:$V$631=M$631),--($D1292:$V1292=1)),0)+SUM(M689)+IF(COUNTIF(M$1237:M1292,1)=1,5,0)+IF(COUNTIF(N690:$W690,"&gt;"&amp;0)&lt;5,IF(AND(COUNTIF(M$1237:M1292,1)&gt;7,MOD(1+IFERROR(MATCH($C690,总览!$D$46:$D$345,1)+1,1),7)=0),$C$3,0),0)</f>
        <v>49.8783928571428</v>
      </c>
      <c r="N690" s="131" cm="1">
        <f ca="1" t="array" ref="N690">IF(N1292=1,OFFSET($W$634,$B690,N$631-1)/SUMPRODUCT(--($D$631:$V$631=N$631),--($D1292:$V1292=1)),0)+SUM(N689)+IF(COUNTIF(N$1237:N1292,1)=1,5,0)+IF(COUNTIF(O690:$W690,"&gt;"&amp;0)&lt;5,IF(AND(COUNTIF(N$1237:N1292,1)&gt;7,MOD(1+IFERROR(MATCH($C690,总览!$D$46:$D$345,1)+1,1),7)=0),$C$3,0),0)</f>
        <v>51.1283928571428</v>
      </c>
      <c r="O690" s="131" cm="1">
        <f ca="1" t="array" ref="O690">IF(O1292=1,OFFSET($W$634,$B690,O$631-1)/SUMPRODUCT(--($D$631:$V$631=O$631),--($D1292:$V1292=1)),0)+SUM(O689)+IF(COUNTIF(O$1237:O1292,1)=1,5,0)+IF(COUNTIF(P690:$W690,"&gt;"&amp;0)&lt;5,IF(AND(COUNTIF(O$1237:O1292,1)&gt;7,MOD(1+IFERROR(MATCH($C690,总览!$D$46:$D$345,1)+1,1),7)=0),$C$3,0),0)</f>
        <v>56.1283928571428</v>
      </c>
      <c r="P690" s="131" cm="1">
        <f ca="1" t="array" ref="P690">IF(P1292=1,OFFSET($W$634,$B690,P$631-1)/SUMPRODUCT(--($D$631:$V$631=P$631),--($D1292:$V1292=1)),0)+SUM(P689)+IF(COUNTIF(P$1237:P1292,1)=1,5,0)+IF(COUNTIF(Q690:$W690,"&gt;"&amp;0)&lt;5,IF(AND(COUNTIF(P$1237:P1292,1)&gt;7,MOD(1+IFERROR(MATCH($C690,总览!$D$46:$D$345,1)+1,1),7)=0),$C$3,0),0)</f>
        <v>45.2471428571428</v>
      </c>
      <c r="Q690" s="131" cm="1">
        <f ca="1" t="array" ref="Q690">IF(Q1292=1,OFFSET($W$634,$B690,Q$631-1)/SUMPRODUCT(--($D$631:$V$631=Q$631),--($D1292:$V1292=1)),0)+SUM(Q689)+IF(COUNTIF(Q$1237:Q1292,1)=1,5,0)+IF(COUNTIF(R690:$W690,"&gt;"&amp;0)&lt;5,IF(AND(COUNTIF(Q$1237:Q1292,1)&gt;7,MOD(1+IFERROR(MATCH($C690,总览!$D$46:$D$345,1)+1,1),7)=0),$C$3,0),0)</f>
        <v>58.6283928571428</v>
      </c>
      <c r="R690" s="131" cm="1">
        <f ca="1" t="array" ref="R690">IF(R1292=1,OFFSET($W$634,$B690,R$631-1)/SUMPRODUCT(--($D$631:$V$631=R$631),--($D1292:$V1292=1)),0)+SUM(R689)+IF(COUNTIF(R$1237:R1292,1)=1,5,0)+IF(COUNTIF(S690:$W690,"&gt;"&amp;0)&lt;5,IF(AND(COUNTIF(R$1237:R1292,1)&gt;7,MOD(1+IFERROR(MATCH($C690,总览!$D$46:$D$345,1)+1,1),7)=0),$C$3,0),0)</f>
        <v>50.2471428571428</v>
      </c>
      <c r="S690" s="131" cm="1">
        <f ca="1" t="array" ref="S690">IF(S1292=1,OFFSET($W$634,$B690,S$631-1)/SUMPRODUCT(--($D$631:$V$631=S$631),--($D1292:$V1292=1)),0)+SUM(S689)+IF(COUNTIF(S$1237:S1292,1)=1,5,0)+IF(COUNTIF(T690:$W690,"&gt;"&amp;0)&lt;5,IF(AND(COUNTIF(S$1237:S1292,1)&gt;7,MOD(1+IFERROR(MATCH($C690,总览!$D$46:$D$345,1)+1,1),7)=0),$C$3,0),0)</f>
        <v>47.7471428571428</v>
      </c>
      <c r="T690" s="131" cm="1">
        <f ca="1" t="array" ref="T690">IF(T1292=1,OFFSET($W$634,$B690,T$631-1)/SUMPRODUCT(--($D$631:$V$631=T$631),--($D1292:$V1292=1)),0)+SUM(T689)+IF(COUNTIF(T$1237:T1292,1)=1,5,0)+IF(COUNTIF(U690:$W690,"&gt;"&amp;0)&lt;5,IF(AND(COUNTIF(T$1237:T1292,1)&gt;7,MOD(1+IFERROR(MATCH($C690,总览!$D$46:$D$345,1)+1,1),7)=0),$C$3,0),0)</f>
        <v>10.7836809436472</v>
      </c>
      <c r="U690" s="131" cm="1">
        <f ca="1" t="array" ref="U690">IF(U1292=1,OFFSET($W$634,$B690,U$631-1)/SUMPRODUCT(--($D$631:$V$631=U$631),--($D1292:$V1292=1)),0)+SUM(U689)+IF(COUNTIF(U$1237:U1292,1)=1,5,0)+IF(COUNTIF(V690:$W690,"&gt;"&amp;0)&lt;5,IF(AND(COUNTIF(U$1237:U1292,1)&gt;7,MOD(1+IFERROR(MATCH($C690,总览!$D$46:$D$345,1)+1,1),7)=0),$C$3,0),0)</f>
        <v>16.3044672989469</v>
      </c>
      <c r="V690" s="131" cm="1">
        <f ca="1" t="array" ref="V690">IF(V1292=1,OFFSET($W$634,$B690,V$631-1)/SUMPRODUCT(--($D$631:$V$631=V$631),--($D1292:$V1292=1)),0)+SUM(V689)+IF(COUNTIF(V$1237:V1292,1)=1,5,0)+IF(COUNTIF(W690:$W690,"&gt;"&amp;0)&lt;5,IF(AND(COUNTIF(V$1237:V1292,1)&gt;7,MOD(1+IFERROR(MATCH($C690,总览!$D$46:$D$345,1)+1,1),7)=0),$C$3,0),0)</f>
        <v>36.1314670113802</v>
      </c>
      <c r="W690" s="135" cm="1">
        <f ca="1" t="array" ref="W690">SUMPRODUCT(TRANSPOSE($AA690:$AG690),OFFSET($L$9:$L$15,0,W$631-1))</f>
        <v>26.4226324699144</v>
      </c>
      <c r="X690" s="135" cm="1">
        <f ca="1" t="array" ref="X690">SUMPRODUCT(TRANSPOSE($AA690:$AG690),OFFSET($L$9:$L$15,0,X$631-1))</f>
        <v>16</v>
      </c>
      <c r="Y690" s="135" cm="1">
        <f ca="1" t="array" ref="Y690">SUMPRODUCT(TRANSPOSE($AA690:$AG690),OFFSET($L$9:$L$15,0,Y$631-1))</f>
        <v>6</v>
      </c>
      <c r="Z690" s="135" cm="1">
        <f ca="1" t="array" ref="Z690">SUMPRODUCT(TRANSPOSE($AA690:$AG690),OFFSET($L$9:$L$15,0,Z$631-1))</f>
        <v>1.57736753008561</v>
      </c>
      <c r="AA690" s="136">
        <f ca="1" t="shared" ref="AA690:AG690" si="351">AH690-AH689</f>
        <v>0</v>
      </c>
      <c r="AB690" s="136">
        <f ca="1" t="shared" si="351"/>
        <v>0</v>
      </c>
      <c r="AC690" s="136">
        <f ca="1" t="shared" si="351"/>
        <v>0</v>
      </c>
      <c r="AD690" s="136">
        <f ca="1" t="shared" si="351"/>
        <v>100</v>
      </c>
      <c r="AE690" s="136">
        <f ca="1" t="shared" si="351"/>
        <v>0</v>
      </c>
      <c r="AF690" s="136">
        <f ca="1" t="shared" si="351"/>
        <v>0</v>
      </c>
      <c r="AG690" s="136">
        <f ca="1" t="shared" si="351"/>
        <v>0</v>
      </c>
      <c r="AH690" s="136">
        <f ca="1" t="shared" si="241"/>
        <v>450</v>
      </c>
      <c r="AI690" s="136">
        <f ca="1" t="shared" ref="AI690:AN690" si="352">IF($C690&gt;OFFSET($Q$8,MATCH(AI$634,$AH$634:$AN$634,0),0),OFFSET($P$8,MATCH(AI$634,$AH$634:$AN$634,0),0),MAX(0,$C690-OFFSET($Q$8,RIGHT(AI$634,1)-1,0)))</f>
        <v>909</v>
      </c>
      <c r="AJ690" s="136">
        <f ca="1" t="shared" si="352"/>
        <v>1818</v>
      </c>
      <c r="AK690" s="136">
        <f ca="1" t="shared" si="352"/>
        <v>2423</v>
      </c>
      <c r="AL690" s="136">
        <f ca="1" t="shared" si="352"/>
        <v>0</v>
      </c>
      <c r="AM690" s="136">
        <f ca="1" t="shared" si="352"/>
        <v>0</v>
      </c>
      <c r="AN690" s="136">
        <f ca="1" t="shared" si="352"/>
        <v>0</v>
      </c>
      <c r="AP690" s="132">
        <v>56</v>
      </c>
      <c r="AQ690" s="132">
        <v>32510</v>
      </c>
      <c r="AR690" s="132">
        <v>32510</v>
      </c>
      <c r="AS690" s="132">
        <v>17450</v>
      </c>
      <c r="AT690" s="132">
        <v>9500</v>
      </c>
    </row>
    <row r="691" s="106" customFormat="1" ht="16.5" spans="2:46">
      <c r="B691" s="117">
        <v>57</v>
      </c>
      <c r="C691" s="130">
        <f t="shared" si="239"/>
        <v>5700</v>
      </c>
      <c r="D691" s="131" cm="1">
        <f ca="1" t="array" ref="D691">IF(D1293=1,OFFSET($W$634,$B691,D$631-1)/SUMPRODUCT(--($D$631:$V$631=D$631),--($D1293:$V1293=1)),0)+SUM(D690)+IF(COUNTIF(D$1237:D1293,1)=1,5,0)+IF(COUNTIF(E691:$W691,"&gt;"&amp;0)&lt;5,IF(AND(COUNTIF(D$1237:D1293,1)&gt;7,MOD(1+IFERROR(MATCH($C691,总览!$D$46:$D$345,1)+1,1),7)=0),$C$3,0),0)</f>
        <v>582.63933907198</v>
      </c>
      <c r="E691" s="131" cm="1">
        <f ca="1" t="array" ref="E691">IF(E1293=1,OFFSET($W$634,$B691,E$631-1)/SUMPRODUCT(--($D$631:$V$631=E$631),--($D1293:$V1293=1)),0)+SUM(E690)+IF(COUNTIF(E$1237:E1293,1)=1,5,0)+IF(COUNTIF(F691:$W691,"&gt;"&amp;0)&lt;5,IF(AND(COUNTIF(E$1237:E1293,1)&gt;7,MOD(1+IFERROR(MATCH($C691,总览!$D$46:$D$345,1)+1,1),7)=0),$C$3,0),0)</f>
        <v>582.63933907198</v>
      </c>
      <c r="F691" s="131" cm="1">
        <f ca="1" t="array" ref="F691">IF(F1293=1,OFFSET($W$634,$B691,F$631-1)/SUMPRODUCT(--($D$631:$V$631=F$631),--($D1293:$V1293=1)),0)+SUM(F690)+IF(COUNTIF(F$1237:F1293,1)=1,5,0)+IF(COUNTIF(G691:$W691,"&gt;"&amp;0)&lt;5,IF(AND(COUNTIF(F$1237:F1293,1)&gt;7,MOD(1+IFERROR(MATCH($C691,总览!$D$46:$D$345,1)+1,1),7)=0),$C$3,0),0)</f>
        <v>582.63933907198</v>
      </c>
      <c r="G691" s="131" cm="1">
        <f ca="1" t="array" ref="G691">IF(G1293=1,OFFSET($W$634,$B691,G$631-1)/SUMPRODUCT(--($D$631:$V$631=G$631),--($D1293:$V1293=1)),0)+SUM(G690)+IF(COUNTIF(G$1237:G1293,1)=1,5,0)+IF(COUNTIF(H691:$W691,"&gt;"&amp;0)&lt;5,IF(AND(COUNTIF(G$1237:G1293,1)&gt;7,MOD(1+IFERROR(MATCH($C691,总览!$D$46:$D$345,1)+1,1),7)=0),$C$3,0),0)</f>
        <v>142.88</v>
      </c>
      <c r="H691" s="131" cm="1">
        <f ca="1" t="array" ref="H691">IF(H1293=1,OFFSET($W$634,$B691,H$631-1)/SUMPRODUCT(--($D$631:$V$631=H$631),--($D1293:$V1293=1)),0)+SUM(H690)+IF(COUNTIF(H$1237:H1293,1)=1,5,0)+IF(COUNTIF(I691:$W691,"&gt;"&amp;0)&lt;5,IF(AND(COUNTIF(H$1237:H1293,1)&gt;7,MOD(1+IFERROR(MATCH($C691,总览!$D$46:$D$345,1)+1,1),7)=0),$C$3,0),0)</f>
        <v>142.88</v>
      </c>
      <c r="I691" s="131" cm="1">
        <f ca="1" t="array" ref="I691">IF(I1293=1,OFFSET($W$634,$B691,I$631-1)/SUMPRODUCT(--($D$631:$V$631=I$631),--($D1293:$V1293=1)),0)+SUM(I690)+IF(COUNTIF(I$1237:I1293,1)=1,5,0)+IF(COUNTIF(J691:$W691,"&gt;"&amp;0)&lt;5,IF(AND(COUNTIF(I$1237:I1293,1)&gt;7,MOD(1+IFERROR(MATCH($C691,总览!$D$46:$D$345,1)+1,1),7)=0),$C$3,0),0)</f>
        <v>142.88</v>
      </c>
      <c r="J691" s="131" cm="1">
        <f ca="1" t="array" ref="J691">IF(J1293=1,OFFSET($W$634,$B691,J$631-1)/SUMPRODUCT(--($D$631:$V$631=J$631),--($D1293:$V1293=1)),0)+SUM(J690)+IF(COUNTIF(J$1237:J1293,1)=1,5,0)+IF(COUNTIF(K691:$W691,"&gt;"&amp;0)&lt;5,IF(AND(COUNTIF(J$1237:J1293,1)&gt;7,MOD(1+IFERROR(MATCH($C691,总览!$D$46:$D$345,1)+1,1),7)=0),$C$3,0),0)</f>
        <v>139.546666666667</v>
      </c>
      <c r="K691" s="131" cm="1">
        <f ca="1" t="array" ref="K691">IF(K1293=1,OFFSET($W$634,$B691,K$631-1)/SUMPRODUCT(--($D$631:$V$631=K$631),--($D1293:$V1293=1)),0)+SUM(K690)+IF(COUNTIF(K$1237:K1293,1)=1,5,0)+IF(COUNTIF(L691:$W691,"&gt;"&amp;0)&lt;5,IF(AND(COUNTIF(K$1237:K1293,1)&gt;7,MOD(1+IFERROR(MATCH($C691,总览!$D$46:$D$345,1)+1,1),7)=0),$C$3,0),0)</f>
        <v>137.046666666667</v>
      </c>
      <c r="L691" s="131" cm="1">
        <f ca="1" t="array" ref="L691">IF(L1293=1,OFFSET($W$634,$B691,L$631-1)/SUMPRODUCT(--($D$631:$V$631=L$631),--($D1293:$V1293=1)),0)+SUM(L690)+IF(COUNTIF(L$1237:L1293,1)=1,5,0)+IF(COUNTIF(M691:$W691,"&gt;"&amp;0)&lt;5,IF(AND(COUNTIF(L$1237:L1293,1)&gt;7,MOD(1+IFERROR(MATCH($C691,总览!$D$46:$D$345,1)+1,1),7)=0),$C$3,0),0)</f>
        <v>137.046666666667</v>
      </c>
      <c r="M691" s="131" cm="1">
        <f ca="1" t="array" ref="M691">IF(M1293=1,OFFSET($W$634,$B691,M$631-1)/SUMPRODUCT(--($D$631:$V$631=M$631),--($D1293:$V1293=1)),0)+SUM(M690)+IF(COUNTIF(M$1237:M1293,1)=1,5,0)+IF(COUNTIF(N691:$W691,"&gt;"&amp;0)&lt;5,IF(AND(COUNTIF(M$1237:M1293,1)&gt;7,MOD(1+IFERROR(MATCH($C691,总览!$D$46:$D$345,1)+1,1),7)=0),$C$3,0),0)</f>
        <v>50.7355357142857</v>
      </c>
      <c r="N691" s="131" cm="1">
        <f ca="1" t="array" ref="N691">IF(N1293=1,OFFSET($W$634,$B691,N$631-1)/SUMPRODUCT(--($D$631:$V$631=N$631),--($D1293:$V1293=1)),0)+SUM(N690)+IF(COUNTIF(N$1237:N1293,1)=1,5,0)+IF(COUNTIF(O691:$W691,"&gt;"&amp;0)&lt;5,IF(AND(COUNTIF(N$1237:N1293,1)&gt;7,MOD(1+IFERROR(MATCH($C691,总览!$D$46:$D$345,1)+1,1),7)=0),$C$3,0),0)</f>
        <v>51.9855357142857</v>
      </c>
      <c r="O691" s="131" cm="1">
        <f ca="1" t="array" ref="O691">IF(O1293=1,OFFSET($W$634,$B691,O$631-1)/SUMPRODUCT(--($D$631:$V$631=O$631),--($D1293:$V1293=1)),0)+SUM(O690)+IF(COUNTIF(O$1237:O1293,1)=1,5,0)+IF(COUNTIF(P691:$W691,"&gt;"&amp;0)&lt;5,IF(AND(COUNTIF(O$1237:O1293,1)&gt;7,MOD(1+IFERROR(MATCH($C691,总览!$D$46:$D$345,1)+1,1),7)=0),$C$3,0),0)</f>
        <v>56.9855357142856</v>
      </c>
      <c r="P691" s="131" cm="1">
        <f ca="1" t="array" ref="P691">IF(P1293=1,OFFSET($W$634,$B691,P$631-1)/SUMPRODUCT(--($D$631:$V$631=P$631),--($D1293:$V1293=1)),0)+SUM(P690)+IF(COUNTIF(P$1237:P1293,1)=1,5,0)+IF(COUNTIF(Q691:$W691,"&gt;"&amp;0)&lt;5,IF(AND(COUNTIF(P$1237:P1293,1)&gt;7,MOD(1+IFERROR(MATCH($C691,总览!$D$46:$D$345,1)+1,1),7)=0),$C$3,0),0)</f>
        <v>46.1042857142857</v>
      </c>
      <c r="Q691" s="131" cm="1">
        <f ca="1" t="array" ref="Q691">IF(Q1293=1,OFFSET($W$634,$B691,Q$631-1)/SUMPRODUCT(--($D$631:$V$631=Q$631),--($D1293:$V1293=1)),0)+SUM(Q690)+IF(COUNTIF(Q$1237:Q1293,1)=1,5,0)+IF(COUNTIF(R691:$W691,"&gt;"&amp;0)&lt;5,IF(AND(COUNTIF(Q$1237:Q1293,1)&gt;7,MOD(1+IFERROR(MATCH($C691,总览!$D$46:$D$345,1)+1,1),7)=0),$C$3,0),0)</f>
        <v>59.4855357142856</v>
      </c>
      <c r="R691" s="131" cm="1">
        <f ca="1" t="array" ref="R691">IF(R1293=1,OFFSET($W$634,$B691,R$631-1)/SUMPRODUCT(--($D$631:$V$631=R$631),--($D1293:$V1293=1)),0)+SUM(R690)+IF(COUNTIF(R$1237:R1293,1)=1,5,0)+IF(COUNTIF(S691:$W691,"&gt;"&amp;0)&lt;5,IF(AND(COUNTIF(R$1237:R1293,1)&gt;7,MOD(1+IFERROR(MATCH($C691,总览!$D$46:$D$345,1)+1,1),7)=0),$C$3,0),0)</f>
        <v>51.1042857142857</v>
      </c>
      <c r="S691" s="131" cm="1">
        <f ca="1" t="array" ref="S691">IF(S1293=1,OFFSET($W$634,$B691,S$631-1)/SUMPRODUCT(--($D$631:$V$631=S$631),--($D1293:$V1293=1)),0)+SUM(S690)+IF(COUNTIF(S$1237:S1293,1)=1,5,0)+IF(COUNTIF(T691:$W691,"&gt;"&amp;0)&lt;5,IF(AND(COUNTIF(S$1237:S1293,1)&gt;7,MOD(1+IFERROR(MATCH($C691,总览!$D$46:$D$345,1)+1,1),7)=0),$C$3,0),0)</f>
        <v>48.6042857142857</v>
      </c>
      <c r="T691" s="131" cm="1">
        <f ca="1" t="array" ref="T691">IF(T1293=1,OFFSET($W$634,$B691,T$631-1)/SUMPRODUCT(--($D$631:$V$631=T$631),--($D1293:$V1293=1)),0)+SUM(T690)+IF(COUNTIF(T$1237:T1293,1)=1,5,0)+IF(COUNTIF(U691:$W691,"&gt;"&amp;0)&lt;5,IF(AND(COUNTIF(T$1237:T1293,1)&gt;7,MOD(1+IFERROR(MATCH($C691,总览!$D$46:$D$345,1)+1,1),7)=0),$C$3,0),0)</f>
        <v>11.3094701203424</v>
      </c>
      <c r="U691" s="131" cm="1">
        <f ca="1" t="array" ref="U691">IF(U1293=1,OFFSET($W$634,$B691,U$631-1)/SUMPRODUCT(--($D$631:$V$631=U$631),--($D1293:$V1293=1)),0)+SUM(U690)+IF(COUNTIF(U$1237:U1293,1)=1,5,0)+IF(COUNTIF(V691:$W691,"&gt;"&amp;0)&lt;5,IF(AND(COUNTIF(U$1237:U1293,1)&gt;7,MOD(1+IFERROR(MATCH($C691,总览!$D$46:$D$345,1)+1,1),7)=0),$C$3,0),0)</f>
        <v>16.8302564756421</v>
      </c>
      <c r="V691" s="131" cm="1">
        <f ca="1" t="array" ref="V691">IF(V1293=1,OFFSET($W$634,$B691,V$631-1)/SUMPRODUCT(--($D$631:$V$631=V$631),--($D1293:$V1293=1)),0)+SUM(V690)+IF(COUNTIF(V$1237:V1293,1)=1,5,0)+IF(COUNTIF(W691:$W691,"&gt;"&amp;0)&lt;5,IF(AND(COUNTIF(V$1237:V1293,1)&gt;7,MOD(1+IFERROR(MATCH($C691,总览!$D$46:$D$345,1)+1,1),7)=0),$C$3,0),0)</f>
        <v>36.6572561880754</v>
      </c>
      <c r="W691" s="135" cm="1">
        <f ca="1" t="array" ref="W691">SUMPRODUCT(TRANSPOSE($AA691:$AG691),OFFSET($L$9:$L$15,0,W$631-1))</f>
        <v>26.4226324699144</v>
      </c>
      <c r="X691" s="135" cm="1">
        <f ca="1" t="array" ref="X691">SUMPRODUCT(TRANSPOSE($AA691:$AG691),OFFSET($L$9:$L$15,0,X$631-1))</f>
        <v>16</v>
      </c>
      <c r="Y691" s="135" cm="1">
        <f ca="1" t="array" ref="Y691">SUMPRODUCT(TRANSPOSE($AA691:$AG691),OFFSET($L$9:$L$15,0,Y$631-1))</f>
        <v>6</v>
      </c>
      <c r="Z691" s="135" cm="1">
        <f ca="1" t="array" ref="Z691">SUMPRODUCT(TRANSPOSE($AA691:$AG691),OFFSET($L$9:$L$15,0,Z$631-1))</f>
        <v>1.57736753008561</v>
      </c>
      <c r="AA691" s="136">
        <f ca="1" t="shared" ref="AA691:AG691" si="353">AH691-AH690</f>
        <v>0</v>
      </c>
      <c r="AB691" s="136">
        <f ca="1" t="shared" si="353"/>
        <v>0</v>
      </c>
      <c r="AC691" s="136">
        <f ca="1" t="shared" si="353"/>
        <v>0</v>
      </c>
      <c r="AD691" s="136">
        <f ca="1" t="shared" si="353"/>
        <v>100</v>
      </c>
      <c r="AE691" s="136">
        <f ca="1" t="shared" si="353"/>
        <v>0</v>
      </c>
      <c r="AF691" s="136">
        <f ca="1" t="shared" si="353"/>
        <v>0</v>
      </c>
      <c r="AG691" s="136">
        <f ca="1" t="shared" si="353"/>
        <v>0</v>
      </c>
      <c r="AH691" s="136">
        <f ca="1" t="shared" si="241"/>
        <v>450</v>
      </c>
      <c r="AI691" s="136">
        <f ca="1" t="shared" ref="AI691:AN691" si="354">IF($C691&gt;OFFSET($Q$8,MATCH(AI$634,$AH$634:$AN$634,0),0),OFFSET($P$8,MATCH(AI$634,$AH$634:$AN$634,0),0),MAX(0,$C691-OFFSET($Q$8,RIGHT(AI$634,1)-1,0)))</f>
        <v>909</v>
      </c>
      <c r="AJ691" s="136">
        <f ca="1" t="shared" si="354"/>
        <v>1818</v>
      </c>
      <c r="AK691" s="136">
        <f ca="1" t="shared" si="354"/>
        <v>2523</v>
      </c>
      <c r="AL691" s="136">
        <f ca="1" t="shared" si="354"/>
        <v>0</v>
      </c>
      <c r="AM691" s="136">
        <f ca="1" t="shared" si="354"/>
        <v>0</v>
      </c>
      <c r="AN691" s="136">
        <f ca="1" t="shared" si="354"/>
        <v>0</v>
      </c>
      <c r="AP691" s="132">
        <v>57</v>
      </c>
      <c r="AQ691" s="132">
        <v>34670</v>
      </c>
      <c r="AR691" s="132">
        <v>34670</v>
      </c>
      <c r="AS691" s="132">
        <v>18650</v>
      </c>
      <c r="AT691" s="132">
        <v>10100</v>
      </c>
    </row>
    <row r="692" s="106" customFormat="1" ht="16.5" spans="2:46">
      <c r="B692" s="117">
        <v>58</v>
      </c>
      <c r="C692" s="130">
        <f t="shared" si="239"/>
        <v>5800</v>
      </c>
      <c r="D692" s="131" cm="1">
        <f ca="1" t="array" ref="D692">IF(D1294=1,OFFSET($W$634,$B692,D$631-1)/SUMPRODUCT(--($D$631:$V$631=D$631),--($D1294:$V1294=1)),0)+SUM(D691)+IF(COUNTIF(D$1237:D1294,1)=1,5,0)+IF(COUNTIF(E692:$W692,"&gt;"&amp;0)&lt;5,IF(AND(COUNTIF(D$1237:D1294,1)&gt;7,MOD(1+IFERROR(MATCH($C692,总览!$D$46:$D$345,1)+1,1),7)=0),$C$3,0),0)</f>
        <v>591.446883228619</v>
      </c>
      <c r="E692" s="131" cm="1">
        <f ca="1" t="array" ref="E692">IF(E1294=1,OFFSET($W$634,$B692,E$631-1)/SUMPRODUCT(--($D$631:$V$631=E$631),--($D1294:$V1294=1)),0)+SUM(E691)+IF(COUNTIF(E$1237:E1294,1)=1,5,0)+IF(COUNTIF(F692:$W692,"&gt;"&amp;0)&lt;5,IF(AND(COUNTIF(E$1237:E1294,1)&gt;7,MOD(1+IFERROR(MATCH($C692,总览!$D$46:$D$345,1)+1,1),7)=0),$C$3,0),0)</f>
        <v>591.446883228619</v>
      </c>
      <c r="F692" s="131" cm="1">
        <f ca="1" t="array" ref="F692">IF(F1294=1,OFFSET($W$634,$B692,F$631-1)/SUMPRODUCT(--($D$631:$V$631=F$631),--($D1294:$V1294=1)),0)+SUM(F691)+IF(COUNTIF(F$1237:F1294,1)=1,5,0)+IF(COUNTIF(G692:$W692,"&gt;"&amp;0)&lt;5,IF(AND(COUNTIF(F$1237:F1294,1)&gt;7,MOD(1+IFERROR(MATCH($C692,总览!$D$46:$D$345,1)+1,1),7)=0),$C$3,0),0)</f>
        <v>591.446883228619</v>
      </c>
      <c r="G692" s="131" cm="1">
        <f ca="1" t="array" ref="G692">IF(G1294=1,OFFSET($W$634,$B692,G$631-1)/SUMPRODUCT(--($D$631:$V$631=G$631),--($D1294:$V1294=1)),0)+SUM(G691)+IF(COUNTIF(G$1237:G1294,1)=1,5,0)+IF(COUNTIF(H692:$W692,"&gt;"&amp;0)&lt;5,IF(AND(COUNTIF(G$1237:G1294,1)&gt;7,MOD(1+IFERROR(MATCH($C692,总览!$D$46:$D$345,1)+1,1),7)=0),$C$3,0),0)</f>
        <v>145.546666666667</v>
      </c>
      <c r="H692" s="131" cm="1">
        <f ca="1" t="array" ref="H692">IF(H1294=1,OFFSET($W$634,$B692,H$631-1)/SUMPRODUCT(--($D$631:$V$631=H$631),--($D1294:$V1294=1)),0)+SUM(H691)+IF(COUNTIF(H$1237:H1294,1)=1,5,0)+IF(COUNTIF(I692:$W692,"&gt;"&amp;0)&lt;5,IF(AND(COUNTIF(H$1237:H1294,1)&gt;7,MOD(1+IFERROR(MATCH($C692,总览!$D$46:$D$345,1)+1,1),7)=0),$C$3,0),0)</f>
        <v>145.546666666667</v>
      </c>
      <c r="I692" s="131" cm="1">
        <f ca="1" t="array" ref="I692">IF(I1294=1,OFFSET($W$634,$B692,I$631-1)/SUMPRODUCT(--($D$631:$V$631=I$631),--($D1294:$V1294=1)),0)+SUM(I691)+IF(COUNTIF(I$1237:I1294,1)=1,5,0)+IF(COUNTIF(J692:$W692,"&gt;"&amp;0)&lt;5,IF(AND(COUNTIF(I$1237:I1294,1)&gt;7,MOD(1+IFERROR(MATCH($C692,总览!$D$46:$D$345,1)+1,1),7)=0),$C$3,0),0)</f>
        <v>145.546666666667</v>
      </c>
      <c r="J692" s="131" cm="1">
        <f ca="1" t="array" ref="J692">IF(J1294=1,OFFSET($W$634,$B692,J$631-1)/SUMPRODUCT(--($D$631:$V$631=J$631),--($D1294:$V1294=1)),0)+SUM(J691)+IF(COUNTIF(J$1237:J1294,1)=1,5,0)+IF(COUNTIF(K692:$W692,"&gt;"&amp;0)&lt;5,IF(AND(COUNTIF(J$1237:J1294,1)&gt;7,MOD(1+IFERROR(MATCH($C692,总览!$D$46:$D$345,1)+1,1),7)=0),$C$3,0),0)</f>
        <v>142.213333333333</v>
      </c>
      <c r="K692" s="131" cm="1">
        <f ca="1" t="array" ref="K692">IF(K1294=1,OFFSET($W$634,$B692,K$631-1)/SUMPRODUCT(--($D$631:$V$631=K$631),--($D1294:$V1294=1)),0)+SUM(K691)+IF(COUNTIF(K$1237:K1294,1)=1,5,0)+IF(COUNTIF(L692:$W692,"&gt;"&amp;0)&lt;5,IF(AND(COUNTIF(K$1237:K1294,1)&gt;7,MOD(1+IFERROR(MATCH($C692,总览!$D$46:$D$345,1)+1,1),7)=0),$C$3,0),0)</f>
        <v>139.713333333333</v>
      </c>
      <c r="L692" s="131" cm="1">
        <f ca="1" t="array" ref="L692">IF(L1294=1,OFFSET($W$634,$B692,L$631-1)/SUMPRODUCT(--($D$631:$V$631=L$631),--($D1294:$V1294=1)),0)+SUM(L691)+IF(COUNTIF(L$1237:L1294,1)=1,5,0)+IF(COUNTIF(M692:$W692,"&gt;"&amp;0)&lt;5,IF(AND(COUNTIF(L$1237:L1294,1)&gt;7,MOD(1+IFERROR(MATCH($C692,总览!$D$46:$D$345,1)+1,1),7)=0),$C$3,0),0)</f>
        <v>139.713333333333</v>
      </c>
      <c r="M692" s="131" cm="1">
        <f ca="1" t="array" ref="M692">IF(M1294=1,OFFSET($W$634,$B692,M$631-1)/SUMPRODUCT(--($D$631:$V$631=M$631),--($D1294:$V1294=1)),0)+SUM(M691)+IF(COUNTIF(M$1237:M1294,1)=1,5,0)+IF(COUNTIF(N692:$W692,"&gt;"&amp;0)&lt;5,IF(AND(COUNTIF(M$1237:M1294,1)&gt;7,MOD(1+IFERROR(MATCH($C692,总览!$D$46:$D$345,1)+1,1),7)=0),$C$3,0),0)</f>
        <v>51.5926785714285</v>
      </c>
      <c r="N692" s="131" cm="1">
        <f ca="1" t="array" ref="N692">IF(N1294=1,OFFSET($W$634,$B692,N$631-1)/SUMPRODUCT(--($D$631:$V$631=N$631),--($D1294:$V1294=1)),0)+SUM(N691)+IF(COUNTIF(N$1237:N1294,1)=1,5,0)+IF(COUNTIF(O692:$W692,"&gt;"&amp;0)&lt;5,IF(AND(COUNTIF(N$1237:N1294,1)&gt;7,MOD(1+IFERROR(MATCH($C692,总览!$D$46:$D$345,1)+1,1),7)=0),$C$3,0),0)</f>
        <v>52.8426785714285</v>
      </c>
      <c r="O692" s="131" cm="1">
        <f ca="1" t="array" ref="O692">IF(O1294=1,OFFSET($W$634,$B692,O$631-1)/SUMPRODUCT(--($D$631:$V$631=O$631),--($D1294:$V1294=1)),0)+SUM(O691)+IF(COUNTIF(O$1237:O1294,1)=1,5,0)+IF(COUNTIF(P692:$W692,"&gt;"&amp;0)&lt;5,IF(AND(COUNTIF(O$1237:O1294,1)&gt;7,MOD(1+IFERROR(MATCH($C692,总览!$D$46:$D$345,1)+1,1),7)=0),$C$3,0),0)</f>
        <v>57.8426785714285</v>
      </c>
      <c r="P692" s="131" cm="1">
        <f ca="1" t="array" ref="P692">IF(P1294=1,OFFSET($W$634,$B692,P$631-1)/SUMPRODUCT(--($D$631:$V$631=P$631),--($D1294:$V1294=1)),0)+SUM(P691)+IF(COUNTIF(P$1237:P1294,1)=1,5,0)+IF(COUNTIF(Q692:$W692,"&gt;"&amp;0)&lt;5,IF(AND(COUNTIF(P$1237:P1294,1)&gt;7,MOD(1+IFERROR(MATCH($C692,总览!$D$46:$D$345,1)+1,1),7)=0),$C$3,0),0)</f>
        <v>46.9614285714285</v>
      </c>
      <c r="Q692" s="131" cm="1">
        <f ca="1" t="array" ref="Q692">IF(Q1294=1,OFFSET($W$634,$B692,Q$631-1)/SUMPRODUCT(--($D$631:$V$631=Q$631),--($D1294:$V1294=1)),0)+SUM(Q691)+IF(COUNTIF(Q$1237:Q1294,1)=1,5,0)+IF(COUNTIF(R692:$W692,"&gt;"&amp;0)&lt;5,IF(AND(COUNTIF(Q$1237:Q1294,1)&gt;7,MOD(1+IFERROR(MATCH($C692,总览!$D$46:$D$345,1)+1,1),7)=0),$C$3,0),0)</f>
        <v>60.3426785714285</v>
      </c>
      <c r="R692" s="131" cm="1">
        <f ca="1" t="array" ref="R692">IF(R1294=1,OFFSET($W$634,$B692,R$631-1)/SUMPRODUCT(--($D$631:$V$631=R$631),--($D1294:$V1294=1)),0)+SUM(R691)+IF(COUNTIF(R$1237:R1294,1)=1,5,0)+IF(COUNTIF(S692:$W692,"&gt;"&amp;0)&lt;5,IF(AND(COUNTIF(R$1237:R1294,1)&gt;7,MOD(1+IFERROR(MATCH($C692,总览!$D$46:$D$345,1)+1,1),7)=0),$C$3,0),0)</f>
        <v>51.9614285714285</v>
      </c>
      <c r="S692" s="131" cm="1">
        <f ca="1" t="array" ref="S692">IF(S1294=1,OFFSET($W$634,$B692,S$631-1)/SUMPRODUCT(--($D$631:$V$631=S$631),--($D1294:$V1294=1)),0)+SUM(S691)+IF(COUNTIF(S$1237:S1294,1)=1,5,0)+IF(COUNTIF(T692:$W692,"&gt;"&amp;0)&lt;5,IF(AND(COUNTIF(S$1237:S1294,1)&gt;7,MOD(1+IFERROR(MATCH($C692,总览!$D$46:$D$345,1)+1,1),7)=0),$C$3,0),0)</f>
        <v>54.4614285714285</v>
      </c>
      <c r="T692" s="131" cm="1">
        <f ca="1" t="array" ref="T692">IF(T1294=1,OFFSET($W$634,$B692,T$631-1)/SUMPRODUCT(--($D$631:$V$631=T$631),--($D1294:$V1294=1)),0)+SUM(T691)+IF(COUNTIF(T$1237:T1294,1)=1,5,0)+IF(COUNTIF(U692:$W692,"&gt;"&amp;0)&lt;5,IF(AND(COUNTIF(T$1237:T1294,1)&gt;7,MOD(1+IFERROR(MATCH($C692,总览!$D$46:$D$345,1)+1,1),7)=0),$C$3,0),0)</f>
        <v>16.8352592970376</v>
      </c>
      <c r="U692" s="131" cm="1">
        <f ca="1" t="array" ref="U692">IF(U1294=1,OFFSET($W$634,$B692,U$631-1)/SUMPRODUCT(--($D$631:$V$631=U$631),--($D1294:$V1294=1)),0)+SUM(U691)+IF(COUNTIF(U$1237:U1294,1)=1,5,0)+IF(COUNTIF(V692:$W692,"&gt;"&amp;0)&lt;5,IF(AND(COUNTIF(U$1237:U1294,1)&gt;7,MOD(1+IFERROR(MATCH($C692,总览!$D$46:$D$345,1)+1,1),7)=0),$C$3,0),0)</f>
        <v>22.3560456523373</v>
      </c>
      <c r="V692" s="131" cm="1">
        <f ca="1" t="array" ref="V692">IF(V1294=1,OFFSET($W$634,$B692,V$631-1)/SUMPRODUCT(--($D$631:$V$631=V$631),--($D1294:$V1294=1)),0)+SUM(V691)+IF(COUNTIF(V$1237:V1294,1)=1,5,0)+IF(COUNTIF(W692:$W692,"&gt;"&amp;0)&lt;5,IF(AND(COUNTIF(V$1237:V1294,1)&gt;7,MOD(1+IFERROR(MATCH($C692,总览!$D$46:$D$345,1)+1,1),7)=0),$C$3,0),0)</f>
        <v>42.1830453647706</v>
      </c>
      <c r="W692" s="135" cm="1">
        <f ca="1" t="array" ref="W692">SUMPRODUCT(TRANSPOSE($AA692:$AG692),OFFSET($L$9:$L$15,0,W$631-1))</f>
        <v>26.4226324699144</v>
      </c>
      <c r="X692" s="135" cm="1">
        <f ca="1" t="array" ref="X692">SUMPRODUCT(TRANSPOSE($AA692:$AG692),OFFSET($L$9:$L$15,0,X$631-1))</f>
        <v>16</v>
      </c>
      <c r="Y692" s="135" cm="1">
        <f ca="1" t="array" ref="Y692">SUMPRODUCT(TRANSPOSE($AA692:$AG692),OFFSET($L$9:$L$15,0,Y$631-1))</f>
        <v>6</v>
      </c>
      <c r="Z692" s="135" cm="1">
        <f ca="1" t="array" ref="Z692">SUMPRODUCT(TRANSPOSE($AA692:$AG692),OFFSET($L$9:$L$15,0,Z$631-1))</f>
        <v>1.57736753008561</v>
      </c>
      <c r="AA692" s="136">
        <f ca="1" t="shared" ref="AA692:AG692" si="355">AH692-AH691</f>
        <v>0</v>
      </c>
      <c r="AB692" s="136">
        <f ca="1" t="shared" si="355"/>
        <v>0</v>
      </c>
      <c r="AC692" s="136">
        <f ca="1" t="shared" si="355"/>
        <v>0</v>
      </c>
      <c r="AD692" s="136">
        <f ca="1" t="shared" si="355"/>
        <v>100</v>
      </c>
      <c r="AE692" s="136">
        <f ca="1" t="shared" si="355"/>
        <v>0</v>
      </c>
      <c r="AF692" s="136">
        <f ca="1" t="shared" si="355"/>
        <v>0</v>
      </c>
      <c r="AG692" s="136">
        <f ca="1" t="shared" si="355"/>
        <v>0</v>
      </c>
      <c r="AH692" s="136">
        <f ca="1" t="shared" si="241"/>
        <v>450</v>
      </c>
      <c r="AI692" s="136">
        <f ca="1" t="shared" ref="AI692:AN692" si="356">IF($C692&gt;OFFSET($Q$8,MATCH(AI$634,$AH$634:$AN$634,0),0),OFFSET($P$8,MATCH(AI$634,$AH$634:$AN$634,0),0),MAX(0,$C692-OFFSET($Q$8,RIGHT(AI$634,1)-1,0)))</f>
        <v>909</v>
      </c>
      <c r="AJ692" s="136">
        <f ca="1" t="shared" si="356"/>
        <v>1818</v>
      </c>
      <c r="AK692" s="136">
        <f ca="1" t="shared" si="356"/>
        <v>2623</v>
      </c>
      <c r="AL692" s="136">
        <f ca="1" t="shared" si="356"/>
        <v>0</v>
      </c>
      <c r="AM692" s="136">
        <f ca="1" t="shared" si="356"/>
        <v>0</v>
      </c>
      <c r="AN692" s="136">
        <f ca="1" t="shared" si="356"/>
        <v>0</v>
      </c>
      <c r="AP692" s="132">
        <v>58</v>
      </c>
      <c r="AQ692" s="132">
        <v>36830</v>
      </c>
      <c r="AR692" s="132">
        <v>36830</v>
      </c>
      <c r="AS692" s="132">
        <v>19850</v>
      </c>
      <c r="AT692" s="132">
        <v>10700</v>
      </c>
    </row>
    <row r="693" s="106" customFormat="1" ht="16.5" spans="2:46">
      <c r="B693" s="117">
        <v>59</v>
      </c>
      <c r="C693" s="130">
        <f t="shared" si="239"/>
        <v>5900</v>
      </c>
      <c r="D693" s="131" cm="1">
        <f ca="1" t="array" ref="D693">IF(D1295=1,OFFSET($W$634,$B693,D$631-1)/SUMPRODUCT(--($D$631:$V$631=D$631),--($D1295:$V1295=1)),0)+SUM(D692)+IF(COUNTIF(D$1237:D1295,1)=1,5,0)+IF(COUNTIF(E693:$W693,"&gt;"&amp;0)&lt;5,IF(AND(COUNTIF(D$1237:D1295,1)&gt;7,MOD(1+IFERROR(MATCH($C693,总览!$D$46:$D$345,1)+1,1),7)=0),$C$3,0),0)</f>
        <v>600.254427385257</v>
      </c>
      <c r="E693" s="131" cm="1">
        <f ca="1" t="array" ref="E693">IF(E1295=1,OFFSET($W$634,$B693,E$631-1)/SUMPRODUCT(--($D$631:$V$631=E$631),--($D1295:$V1295=1)),0)+SUM(E692)+IF(COUNTIF(E$1237:E1295,1)=1,5,0)+IF(COUNTIF(F693:$W693,"&gt;"&amp;0)&lt;5,IF(AND(COUNTIF(E$1237:E1295,1)&gt;7,MOD(1+IFERROR(MATCH($C693,总览!$D$46:$D$345,1)+1,1),7)=0),$C$3,0),0)</f>
        <v>600.254427385257</v>
      </c>
      <c r="F693" s="131" cm="1">
        <f ca="1" t="array" ref="F693">IF(F1295=1,OFFSET($W$634,$B693,F$631-1)/SUMPRODUCT(--($D$631:$V$631=F$631),--($D1295:$V1295=1)),0)+SUM(F692)+IF(COUNTIF(F$1237:F1295,1)=1,5,0)+IF(COUNTIF(G693:$W693,"&gt;"&amp;0)&lt;5,IF(AND(COUNTIF(F$1237:F1295,1)&gt;7,MOD(1+IFERROR(MATCH($C693,总览!$D$46:$D$345,1)+1,1),7)=0),$C$3,0),0)</f>
        <v>600.254427385257</v>
      </c>
      <c r="G693" s="131" cm="1">
        <f ca="1" t="array" ref="G693">IF(G1295=1,OFFSET($W$634,$B693,G$631-1)/SUMPRODUCT(--($D$631:$V$631=G$631),--($D1295:$V1295=1)),0)+SUM(G692)+IF(COUNTIF(G$1237:G1295,1)=1,5,0)+IF(COUNTIF(H693:$W693,"&gt;"&amp;0)&lt;5,IF(AND(COUNTIF(G$1237:G1295,1)&gt;7,MOD(1+IFERROR(MATCH($C693,总览!$D$46:$D$345,1)+1,1),7)=0),$C$3,0),0)</f>
        <v>148.213333333333</v>
      </c>
      <c r="H693" s="131" cm="1">
        <f ca="1" t="array" ref="H693">IF(H1295=1,OFFSET($W$634,$B693,H$631-1)/SUMPRODUCT(--($D$631:$V$631=H$631),--($D1295:$V1295=1)),0)+SUM(H692)+IF(COUNTIF(H$1237:H1295,1)=1,5,0)+IF(COUNTIF(I693:$W693,"&gt;"&amp;0)&lt;5,IF(AND(COUNTIF(H$1237:H1295,1)&gt;7,MOD(1+IFERROR(MATCH($C693,总览!$D$46:$D$345,1)+1,1),7)=0),$C$3,0),0)</f>
        <v>148.213333333333</v>
      </c>
      <c r="I693" s="131" cm="1">
        <f ca="1" t="array" ref="I693">IF(I1295=1,OFFSET($W$634,$B693,I$631-1)/SUMPRODUCT(--($D$631:$V$631=I$631),--($D1295:$V1295=1)),0)+SUM(I692)+IF(COUNTIF(I$1237:I1295,1)=1,5,0)+IF(COUNTIF(J693:$W693,"&gt;"&amp;0)&lt;5,IF(AND(COUNTIF(I$1237:I1295,1)&gt;7,MOD(1+IFERROR(MATCH($C693,总览!$D$46:$D$345,1)+1,1),7)=0),$C$3,0),0)</f>
        <v>148.213333333333</v>
      </c>
      <c r="J693" s="131" cm="1">
        <f ca="1" t="array" ref="J693">IF(J1295=1,OFFSET($W$634,$B693,J$631-1)/SUMPRODUCT(--($D$631:$V$631=J$631),--($D1295:$V1295=1)),0)+SUM(J692)+IF(COUNTIF(J$1237:J1295,1)=1,5,0)+IF(COUNTIF(K693:$W693,"&gt;"&amp;0)&lt;5,IF(AND(COUNTIF(J$1237:J1295,1)&gt;7,MOD(1+IFERROR(MATCH($C693,总览!$D$46:$D$345,1)+1,1),7)=0),$C$3,0),0)</f>
        <v>144.88</v>
      </c>
      <c r="K693" s="131" cm="1">
        <f ca="1" t="array" ref="K693">IF(K1295=1,OFFSET($W$634,$B693,K$631-1)/SUMPRODUCT(--($D$631:$V$631=K$631),--($D1295:$V1295=1)),0)+SUM(K692)+IF(COUNTIF(K$1237:K1295,1)=1,5,0)+IF(COUNTIF(L693:$W693,"&gt;"&amp;0)&lt;5,IF(AND(COUNTIF(K$1237:K1295,1)&gt;7,MOD(1+IFERROR(MATCH($C693,总览!$D$46:$D$345,1)+1,1),7)=0),$C$3,0),0)</f>
        <v>142.38</v>
      </c>
      <c r="L693" s="131" cm="1">
        <f ca="1" t="array" ref="L693">IF(L1295=1,OFFSET($W$634,$B693,L$631-1)/SUMPRODUCT(--($D$631:$V$631=L$631),--($D1295:$V1295=1)),0)+SUM(L692)+IF(COUNTIF(L$1237:L1295,1)=1,5,0)+IF(COUNTIF(M693:$W693,"&gt;"&amp;0)&lt;5,IF(AND(COUNTIF(L$1237:L1295,1)&gt;7,MOD(1+IFERROR(MATCH($C693,总览!$D$46:$D$345,1)+1,1),7)=0),$C$3,0),0)</f>
        <v>142.38</v>
      </c>
      <c r="M693" s="131" cm="1">
        <f ca="1" t="array" ref="M693">IF(M1295=1,OFFSET($W$634,$B693,M$631-1)/SUMPRODUCT(--($D$631:$V$631=M$631),--($D1295:$V1295=1)),0)+SUM(M692)+IF(COUNTIF(M$1237:M1295,1)=1,5,0)+IF(COUNTIF(N693:$W693,"&gt;"&amp;0)&lt;5,IF(AND(COUNTIF(M$1237:M1295,1)&gt;7,MOD(1+IFERROR(MATCH($C693,总览!$D$46:$D$345,1)+1,1),7)=0),$C$3,0),0)</f>
        <v>52.4498214285714</v>
      </c>
      <c r="N693" s="131" cm="1">
        <f ca="1" t="array" ref="N693">IF(N1295=1,OFFSET($W$634,$B693,N$631-1)/SUMPRODUCT(--($D$631:$V$631=N$631),--($D1295:$V1295=1)),0)+SUM(N692)+IF(COUNTIF(N$1237:N1295,1)=1,5,0)+IF(COUNTIF(O693:$W693,"&gt;"&amp;0)&lt;5,IF(AND(COUNTIF(N$1237:N1295,1)&gt;7,MOD(1+IFERROR(MATCH($C693,总览!$D$46:$D$345,1)+1,1),7)=0),$C$3,0),0)</f>
        <v>53.6998214285714</v>
      </c>
      <c r="O693" s="131" cm="1">
        <f ca="1" t="array" ref="O693">IF(O1295=1,OFFSET($W$634,$B693,O$631-1)/SUMPRODUCT(--($D$631:$V$631=O$631),--($D1295:$V1295=1)),0)+SUM(O692)+IF(COUNTIF(O$1237:O1295,1)=1,5,0)+IF(COUNTIF(P693:$W693,"&gt;"&amp;0)&lt;5,IF(AND(COUNTIF(O$1237:O1295,1)&gt;7,MOD(1+IFERROR(MATCH($C693,总览!$D$46:$D$345,1)+1,1),7)=0),$C$3,0),0)</f>
        <v>58.6998214285713</v>
      </c>
      <c r="P693" s="131" cm="1">
        <f ca="1" t="array" ref="P693">IF(P1295=1,OFFSET($W$634,$B693,P$631-1)/SUMPRODUCT(--($D$631:$V$631=P$631),--($D1295:$V1295=1)),0)+SUM(P692)+IF(COUNTIF(P$1237:P1295,1)=1,5,0)+IF(COUNTIF(Q693:$W693,"&gt;"&amp;0)&lt;5,IF(AND(COUNTIF(P$1237:P1295,1)&gt;7,MOD(1+IFERROR(MATCH($C693,总览!$D$46:$D$345,1)+1,1),7)=0),$C$3,0),0)</f>
        <v>47.8185714285714</v>
      </c>
      <c r="Q693" s="131" cm="1">
        <f ca="1" t="array" ref="Q693">IF(Q1295=1,OFFSET($W$634,$B693,Q$631-1)/SUMPRODUCT(--($D$631:$V$631=Q$631),--($D1295:$V1295=1)),0)+SUM(Q692)+IF(COUNTIF(Q$1237:Q1295,1)=1,5,0)+IF(COUNTIF(R693:$W693,"&gt;"&amp;0)&lt;5,IF(AND(COUNTIF(Q$1237:Q1295,1)&gt;7,MOD(1+IFERROR(MATCH($C693,总览!$D$46:$D$345,1)+1,1),7)=0),$C$3,0),0)</f>
        <v>61.1998214285713</v>
      </c>
      <c r="R693" s="131" cm="1">
        <f ca="1" t="array" ref="R693">IF(R1295=1,OFFSET($W$634,$B693,R$631-1)/SUMPRODUCT(--($D$631:$V$631=R$631),--($D1295:$V1295=1)),0)+SUM(R692)+IF(COUNTIF(R$1237:R1295,1)=1,5,0)+IF(COUNTIF(S693:$W693,"&gt;"&amp;0)&lt;5,IF(AND(COUNTIF(R$1237:R1295,1)&gt;7,MOD(1+IFERROR(MATCH($C693,总览!$D$46:$D$345,1)+1,1),7)=0),$C$3,0),0)</f>
        <v>52.8185714285714</v>
      </c>
      <c r="S693" s="131" cm="1">
        <f ca="1" t="array" ref="S693">IF(S1295=1,OFFSET($W$634,$B693,S$631-1)/SUMPRODUCT(--($D$631:$V$631=S$631),--($D1295:$V1295=1)),0)+SUM(S692)+IF(COUNTIF(S$1237:S1295,1)=1,5,0)+IF(COUNTIF(T693:$W693,"&gt;"&amp;0)&lt;5,IF(AND(COUNTIF(S$1237:S1295,1)&gt;7,MOD(1+IFERROR(MATCH($C693,总览!$D$46:$D$345,1)+1,1),7)=0),$C$3,0),0)</f>
        <v>55.3185714285714</v>
      </c>
      <c r="T693" s="131" cm="1">
        <f ca="1" t="array" ref="T693">IF(T1295=1,OFFSET($W$634,$B693,T$631-1)/SUMPRODUCT(--($D$631:$V$631=T$631),--($D1295:$V1295=1)),0)+SUM(T692)+IF(COUNTIF(T$1237:T1295,1)=1,5,0)+IF(COUNTIF(U693:$W693,"&gt;"&amp;0)&lt;5,IF(AND(COUNTIF(T$1237:T1295,1)&gt;7,MOD(1+IFERROR(MATCH($C693,总览!$D$46:$D$345,1)+1,1),7)=0),$C$3,0),0)</f>
        <v>17.3610484737328</v>
      </c>
      <c r="U693" s="131" cm="1">
        <f ca="1" t="array" ref="U693">IF(U1295=1,OFFSET($W$634,$B693,U$631-1)/SUMPRODUCT(--($D$631:$V$631=U$631),--($D1295:$V1295=1)),0)+SUM(U692)+IF(COUNTIF(U$1237:U1295,1)=1,5,0)+IF(COUNTIF(V693:$W693,"&gt;"&amp;0)&lt;5,IF(AND(COUNTIF(U$1237:U1295,1)&gt;7,MOD(1+IFERROR(MATCH($C693,总览!$D$46:$D$345,1)+1,1),7)=0),$C$3,0),0)</f>
        <v>22.8818348290325</v>
      </c>
      <c r="V693" s="131" cm="1">
        <f ca="1" t="array" ref="V693">IF(V1295=1,OFFSET($W$634,$B693,V$631-1)/SUMPRODUCT(--($D$631:$V$631=V$631),--($D1295:$V1295=1)),0)+SUM(V692)+IF(COUNTIF(V$1237:V1295,1)=1,5,0)+IF(COUNTIF(W693:$W693,"&gt;"&amp;0)&lt;5,IF(AND(COUNTIF(V$1237:V1295,1)&gt;7,MOD(1+IFERROR(MATCH($C693,总览!$D$46:$D$345,1)+1,1),7)=0),$C$3,0),0)</f>
        <v>42.7088345414659</v>
      </c>
      <c r="W693" s="135" cm="1">
        <f ca="1" t="array" ref="W693">SUMPRODUCT(TRANSPOSE($AA693:$AG693),OFFSET($L$9:$L$15,0,W$631-1))</f>
        <v>26.4226324699144</v>
      </c>
      <c r="X693" s="135" cm="1">
        <f ca="1" t="array" ref="X693">SUMPRODUCT(TRANSPOSE($AA693:$AG693),OFFSET($L$9:$L$15,0,X$631-1))</f>
        <v>16</v>
      </c>
      <c r="Y693" s="135" cm="1">
        <f ca="1" t="array" ref="Y693">SUMPRODUCT(TRANSPOSE($AA693:$AG693),OFFSET($L$9:$L$15,0,Y$631-1))</f>
        <v>6</v>
      </c>
      <c r="Z693" s="135" cm="1">
        <f ca="1" t="array" ref="Z693">SUMPRODUCT(TRANSPOSE($AA693:$AG693),OFFSET($L$9:$L$15,0,Z$631-1))</f>
        <v>1.57736753008561</v>
      </c>
      <c r="AA693" s="136">
        <f ca="1" t="shared" ref="AA693:AG693" si="357">AH693-AH692</f>
        <v>0</v>
      </c>
      <c r="AB693" s="136">
        <f ca="1" t="shared" si="357"/>
        <v>0</v>
      </c>
      <c r="AC693" s="136">
        <f ca="1" t="shared" si="357"/>
        <v>0</v>
      </c>
      <c r="AD693" s="136">
        <f ca="1" t="shared" si="357"/>
        <v>100</v>
      </c>
      <c r="AE693" s="136">
        <f ca="1" t="shared" si="357"/>
        <v>0</v>
      </c>
      <c r="AF693" s="136">
        <f ca="1" t="shared" si="357"/>
        <v>0</v>
      </c>
      <c r="AG693" s="136">
        <f ca="1" t="shared" si="357"/>
        <v>0</v>
      </c>
      <c r="AH693" s="136">
        <f ca="1" t="shared" si="241"/>
        <v>450</v>
      </c>
      <c r="AI693" s="136">
        <f ca="1" t="shared" ref="AI693:AN693" si="358">IF($C693&gt;OFFSET($Q$8,MATCH(AI$634,$AH$634:$AN$634,0),0),OFFSET($P$8,MATCH(AI$634,$AH$634:$AN$634,0),0),MAX(0,$C693-OFFSET($Q$8,RIGHT(AI$634,1)-1,0)))</f>
        <v>909</v>
      </c>
      <c r="AJ693" s="136">
        <f ca="1" t="shared" si="358"/>
        <v>1818</v>
      </c>
      <c r="AK693" s="136">
        <f ca="1" t="shared" si="358"/>
        <v>2723</v>
      </c>
      <c r="AL693" s="136">
        <f ca="1" t="shared" si="358"/>
        <v>0</v>
      </c>
      <c r="AM693" s="136">
        <f ca="1" t="shared" si="358"/>
        <v>0</v>
      </c>
      <c r="AN693" s="136">
        <f ca="1" t="shared" si="358"/>
        <v>0</v>
      </c>
      <c r="AP693" s="132">
        <v>59</v>
      </c>
      <c r="AQ693" s="132">
        <v>38990</v>
      </c>
      <c r="AR693" s="132">
        <v>38990</v>
      </c>
      <c r="AS693" s="132">
        <v>21050</v>
      </c>
      <c r="AT693" s="132">
        <v>11300</v>
      </c>
    </row>
    <row r="694" s="106" customFormat="1" ht="16.5" spans="2:46">
      <c r="B694" s="117">
        <v>60</v>
      </c>
      <c r="C694" s="130">
        <f t="shared" si="239"/>
        <v>6000</v>
      </c>
      <c r="D694" s="131" cm="1">
        <f ca="1" t="array" ref="D694">IF(D1296=1,OFFSET($W$634,$B694,D$631-1)/SUMPRODUCT(--($D$631:$V$631=D$631),--($D1296:$V1296=1)),0)+SUM(D693)+IF(COUNTIF(D$1237:D1296,1)=1,5,0)+IF(COUNTIF(E694:$W694,"&gt;"&amp;0)&lt;5,IF(AND(COUNTIF(D$1237:D1296,1)&gt;7,MOD(1+IFERROR(MATCH($C694,总览!$D$46:$D$345,1)+1,1),7)=0),$C$3,0),0)</f>
        <v>607.548875301635</v>
      </c>
      <c r="E694" s="131" cm="1">
        <f ca="1" t="array" ref="E694">IF(E1296=1,OFFSET($W$634,$B694,E$631-1)/SUMPRODUCT(--($D$631:$V$631=E$631),--($D1296:$V1296=1)),0)+SUM(E693)+IF(COUNTIF(E$1237:E1296,1)=1,5,0)+IF(COUNTIF(F694:$W694,"&gt;"&amp;0)&lt;5,IF(AND(COUNTIF(E$1237:E1296,1)&gt;7,MOD(1+IFERROR(MATCH($C694,总览!$D$46:$D$345,1)+1,1),7)=0),$C$3,0),0)</f>
        <v>607.548875301635</v>
      </c>
      <c r="F694" s="131" cm="1">
        <f ca="1" t="array" ref="F694">IF(F1296=1,OFFSET($W$634,$B694,F$631-1)/SUMPRODUCT(--($D$631:$V$631=F$631),--($D1296:$V1296=1)),0)+SUM(F693)+IF(COUNTIF(F$1237:F1296,1)=1,5,0)+IF(COUNTIF(G694:$W694,"&gt;"&amp;0)&lt;5,IF(AND(COUNTIF(F$1237:F1296,1)&gt;7,MOD(1+IFERROR(MATCH($C694,总览!$D$46:$D$345,1)+1,1),7)=0),$C$3,0),0)</f>
        <v>607.548875301635</v>
      </c>
      <c r="G694" s="131" cm="1">
        <f ca="1" t="array" ref="G694">IF(G1296=1,OFFSET($W$634,$B694,G$631-1)/SUMPRODUCT(--($D$631:$V$631=G$631),--($D1296:$V1296=1)),0)+SUM(G693)+IF(COUNTIF(G$1237:G1296,1)=1,5,0)+IF(COUNTIF(H694:$W694,"&gt;"&amp;0)&lt;5,IF(AND(COUNTIF(G$1237:G1296,1)&gt;7,MOD(1+IFERROR(MATCH($C694,总览!$D$46:$D$345,1)+1,1),7)=0),$C$3,0),0)</f>
        <v>151.2</v>
      </c>
      <c r="H694" s="131" cm="1">
        <f ca="1" t="array" ref="H694">IF(H1296=1,OFFSET($W$634,$B694,H$631-1)/SUMPRODUCT(--($D$631:$V$631=H$631),--($D1296:$V1296=1)),0)+SUM(H693)+IF(COUNTIF(H$1237:H1296,1)=1,5,0)+IF(COUNTIF(I694:$W694,"&gt;"&amp;0)&lt;5,IF(AND(COUNTIF(H$1237:H1296,1)&gt;7,MOD(1+IFERROR(MATCH($C694,总览!$D$46:$D$345,1)+1,1),7)=0),$C$3,0),0)</f>
        <v>151.2</v>
      </c>
      <c r="I694" s="131" cm="1">
        <f ca="1" t="array" ref="I694">IF(I1296=1,OFFSET($W$634,$B694,I$631-1)/SUMPRODUCT(--($D$631:$V$631=I$631),--($D1296:$V1296=1)),0)+SUM(I693)+IF(COUNTIF(I$1237:I1296,1)=1,5,0)+IF(COUNTIF(J694:$W694,"&gt;"&amp;0)&lt;5,IF(AND(COUNTIF(I$1237:I1296,1)&gt;7,MOD(1+IFERROR(MATCH($C694,总览!$D$46:$D$345,1)+1,1),7)=0),$C$3,0),0)</f>
        <v>151.2</v>
      </c>
      <c r="J694" s="131" cm="1">
        <f ca="1" t="array" ref="J694">IF(J1296=1,OFFSET($W$634,$B694,J$631-1)/SUMPRODUCT(--($D$631:$V$631=J$631),--($D1296:$V1296=1)),0)+SUM(J693)+IF(COUNTIF(J$1237:J1296,1)=1,5,0)+IF(COUNTIF(K694:$W694,"&gt;"&amp;0)&lt;5,IF(AND(COUNTIF(J$1237:J1296,1)&gt;7,MOD(1+IFERROR(MATCH($C694,总览!$D$46:$D$345,1)+1,1),7)=0),$C$3,0),0)</f>
        <v>147.866666666667</v>
      </c>
      <c r="K694" s="131" cm="1">
        <f ca="1" t="array" ref="K694">IF(K1296=1,OFFSET($W$634,$B694,K$631-1)/SUMPRODUCT(--($D$631:$V$631=K$631),--($D1296:$V1296=1)),0)+SUM(K693)+IF(COUNTIF(K$1237:K1296,1)=1,5,0)+IF(COUNTIF(L694:$W694,"&gt;"&amp;0)&lt;5,IF(AND(COUNTIF(K$1237:K1296,1)&gt;7,MOD(1+IFERROR(MATCH($C694,总览!$D$46:$D$345,1)+1,1),7)=0),$C$3,0),0)</f>
        <v>145.366666666667</v>
      </c>
      <c r="L694" s="131" cm="1">
        <f ca="1" t="array" ref="L694">IF(L1296=1,OFFSET($W$634,$B694,L$631-1)/SUMPRODUCT(--($D$631:$V$631=L$631),--($D1296:$V1296=1)),0)+SUM(L693)+IF(COUNTIF(L$1237:L1296,1)=1,5,0)+IF(COUNTIF(M694:$W694,"&gt;"&amp;0)&lt;5,IF(AND(COUNTIF(L$1237:L1296,1)&gt;7,MOD(1+IFERROR(MATCH($C694,总览!$D$46:$D$345,1)+1,1),7)=0),$C$3,0),0)</f>
        <v>145.366666666667</v>
      </c>
      <c r="M694" s="131" cm="1">
        <f ca="1" t="array" ref="M694">IF(M1296=1,OFFSET($W$634,$B694,M$631-1)/SUMPRODUCT(--($D$631:$V$631=M$631),--($D1296:$V1296=1)),0)+SUM(M693)+IF(COUNTIF(M$1237:M1296,1)=1,5,0)+IF(COUNTIF(N694:$W694,"&gt;"&amp;0)&lt;5,IF(AND(COUNTIF(M$1237:M1296,1)&gt;7,MOD(1+IFERROR(MATCH($C694,总览!$D$46:$D$345,1)+1,1),7)=0),$C$3,0),0)</f>
        <v>53.5812499999999</v>
      </c>
      <c r="N694" s="131" cm="1">
        <f ca="1" t="array" ref="N694">IF(N1296=1,OFFSET($W$634,$B694,N$631-1)/SUMPRODUCT(--($D$631:$V$631=N$631),--($D1296:$V1296=1)),0)+SUM(N693)+IF(COUNTIF(N$1237:N1296,1)=1,5,0)+IF(COUNTIF(O694:$W694,"&gt;"&amp;0)&lt;5,IF(AND(COUNTIF(N$1237:N1296,1)&gt;7,MOD(1+IFERROR(MATCH($C694,总览!$D$46:$D$345,1)+1,1),7)=0),$C$3,0),0)</f>
        <v>54.8312499999999</v>
      </c>
      <c r="O694" s="131" cm="1">
        <f ca="1" t="array" ref="O694">IF(O1296=1,OFFSET($W$634,$B694,O$631-1)/SUMPRODUCT(--($D$631:$V$631=O$631),--($D1296:$V1296=1)),0)+SUM(O693)+IF(COUNTIF(O$1237:O1296,1)=1,5,0)+IF(COUNTIF(P694:$W694,"&gt;"&amp;0)&lt;5,IF(AND(COUNTIF(O$1237:O1296,1)&gt;7,MOD(1+IFERROR(MATCH($C694,总览!$D$46:$D$345,1)+1,1),7)=0),$C$3,0),0)</f>
        <v>59.8312499999999</v>
      </c>
      <c r="P694" s="131" cm="1">
        <f ca="1" t="array" ref="P694">IF(P1296=1,OFFSET($W$634,$B694,P$631-1)/SUMPRODUCT(--($D$631:$V$631=P$631),--($D1296:$V1296=1)),0)+SUM(P693)+IF(COUNTIF(P$1237:P1296,1)=1,5,0)+IF(COUNTIF(Q694:$W694,"&gt;"&amp;0)&lt;5,IF(AND(COUNTIF(P$1237:P1296,1)&gt;7,MOD(1+IFERROR(MATCH($C694,总览!$D$46:$D$345,1)+1,1),7)=0),$C$3,0),0)</f>
        <v>48.95</v>
      </c>
      <c r="Q694" s="131" cm="1">
        <f ca="1" t="array" ref="Q694">IF(Q1296=1,OFFSET($W$634,$B694,Q$631-1)/SUMPRODUCT(--($D$631:$V$631=Q$631),--($D1296:$V1296=1)),0)+SUM(Q693)+IF(COUNTIF(Q$1237:Q1296,1)=1,5,0)+IF(COUNTIF(R694:$W694,"&gt;"&amp;0)&lt;5,IF(AND(COUNTIF(Q$1237:Q1296,1)&gt;7,MOD(1+IFERROR(MATCH($C694,总览!$D$46:$D$345,1)+1,1),7)=0),$C$3,0),0)</f>
        <v>62.3312499999999</v>
      </c>
      <c r="R694" s="131" cm="1">
        <f ca="1" t="array" ref="R694">IF(R1296=1,OFFSET($W$634,$B694,R$631-1)/SUMPRODUCT(--($D$631:$V$631=R$631),--($D1296:$V1296=1)),0)+SUM(R693)+IF(COUNTIF(R$1237:R1296,1)=1,5,0)+IF(COUNTIF(S694:$W694,"&gt;"&amp;0)&lt;5,IF(AND(COUNTIF(R$1237:R1296,1)&gt;7,MOD(1+IFERROR(MATCH($C694,总览!$D$46:$D$345,1)+1,1),7)=0),$C$3,0),0)</f>
        <v>53.9499999999999</v>
      </c>
      <c r="S694" s="131" cm="1">
        <f ca="1" t="array" ref="S694">IF(S1296=1,OFFSET($W$634,$B694,S$631-1)/SUMPRODUCT(--($D$631:$V$631=S$631),--($D1296:$V1296=1)),0)+SUM(S693)+IF(COUNTIF(S$1237:S1296,1)=1,5,0)+IF(COUNTIF(T694:$W694,"&gt;"&amp;0)&lt;5,IF(AND(COUNTIF(S$1237:S1296,1)&gt;7,MOD(1+IFERROR(MATCH($C694,总览!$D$46:$D$345,1)+1,1),7)=0),$C$3,0),0)</f>
        <v>56.45</v>
      </c>
      <c r="T694" s="131" cm="1">
        <f ca="1" t="array" ref="T694">IF(T1296=1,OFFSET($W$634,$B694,T$631-1)/SUMPRODUCT(--($D$631:$V$631=T$631),--($D1296:$V1296=1)),0)+SUM(T693)+IF(COUNTIF(T$1237:T1296,1)=1,5,0)+IF(COUNTIF(U694:$W694,"&gt;"&amp;0)&lt;5,IF(AND(COUNTIF(T$1237:T1296,1)&gt;7,MOD(1+IFERROR(MATCH($C694,总览!$D$46:$D$345,1)+1,1),7)=0),$C$3,0),0)</f>
        <v>18.1199338906879</v>
      </c>
      <c r="U694" s="131" cm="1">
        <f ca="1" t="array" ref="U694">IF(U1296=1,OFFSET($W$634,$B694,U$631-1)/SUMPRODUCT(--($D$631:$V$631=U$631),--($D1296:$V1296=1)),0)+SUM(U693)+IF(COUNTIF(U$1237:U1296,1)=1,5,0)+IF(COUNTIF(V694:$W694,"&gt;"&amp;0)&lt;5,IF(AND(COUNTIF(U$1237:U1296,1)&gt;7,MOD(1+IFERROR(MATCH($C694,总览!$D$46:$D$345,1)+1,1),7)=0),$C$3,0),0)</f>
        <v>23.6407202459876</v>
      </c>
      <c r="V694" s="131" cm="1">
        <f ca="1" t="array" ref="V694">IF(V1296=1,OFFSET($W$634,$B694,V$631-1)/SUMPRODUCT(--($D$631:$V$631=V$631),--($D1296:$V1296=1)),0)+SUM(V693)+IF(COUNTIF(V$1237:V1296,1)=1,5,0)+IF(COUNTIF(W694:$W694,"&gt;"&amp;0)&lt;5,IF(AND(COUNTIF(V$1237:V1296,1)&gt;7,MOD(1+IFERROR(MATCH($C694,总览!$D$46:$D$345,1)+1,1),7)=0),$C$3,0),0)</f>
        <v>43.467719958421</v>
      </c>
      <c r="W694" s="135" cm="1">
        <f ca="1" t="array" ref="W694">SUMPRODUCT(TRANSPOSE($AA694:$AG694),OFFSET($L$9:$L$15,0,W$631-1))</f>
        <v>21.8833437491347</v>
      </c>
      <c r="X694" s="135" cm="1">
        <f ca="1" t="array" ref="X694">SUMPRODUCT(TRANSPOSE($AA694:$AG694),OFFSET($L$9:$L$15,0,X$631-1))</f>
        <v>17.92</v>
      </c>
      <c r="Y694" s="135" cm="1">
        <f ca="1" t="array" ref="Y694">SUMPRODUCT(TRANSPOSE($AA694:$AG694),OFFSET($L$9:$L$15,0,Y$631-1))</f>
        <v>7.92</v>
      </c>
      <c r="Z694" s="135" cm="1">
        <f ca="1" t="array" ref="Z694">SUMPRODUCT(TRANSPOSE($AA694:$AG694),OFFSET($L$9:$L$15,0,Z$631-1))</f>
        <v>2.27665625086528</v>
      </c>
      <c r="AA694" s="136">
        <f ca="1" t="shared" ref="AA694:AG694" si="359">AH694-AH693</f>
        <v>0</v>
      </c>
      <c r="AB694" s="136">
        <f ca="1" t="shared" si="359"/>
        <v>0</v>
      </c>
      <c r="AC694" s="136">
        <f ca="1" t="shared" si="359"/>
        <v>0</v>
      </c>
      <c r="AD694" s="136">
        <f ca="1" t="shared" si="359"/>
        <v>4</v>
      </c>
      <c r="AE694" s="136">
        <f ca="1" t="shared" si="359"/>
        <v>96</v>
      </c>
      <c r="AF694" s="136">
        <f ca="1" t="shared" si="359"/>
        <v>0</v>
      </c>
      <c r="AG694" s="136">
        <f ca="1" t="shared" si="359"/>
        <v>0</v>
      </c>
      <c r="AH694" s="136">
        <f ca="1" t="shared" si="241"/>
        <v>450</v>
      </c>
      <c r="AI694" s="136">
        <f ca="1" t="shared" ref="AI694:AN694" si="360">IF($C694&gt;OFFSET($Q$8,MATCH(AI$634,$AH$634:$AN$634,0),0),OFFSET($P$8,MATCH(AI$634,$AH$634:$AN$634,0),0),MAX(0,$C694-OFFSET($Q$8,RIGHT(AI$634,1)-1,0)))</f>
        <v>909</v>
      </c>
      <c r="AJ694" s="136">
        <f ca="1" t="shared" si="360"/>
        <v>1818</v>
      </c>
      <c r="AK694" s="136">
        <f ca="1" t="shared" si="360"/>
        <v>2727</v>
      </c>
      <c r="AL694" s="136">
        <f ca="1" t="shared" si="360"/>
        <v>96</v>
      </c>
      <c r="AM694" s="136">
        <f ca="1" t="shared" si="360"/>
        <v>0</v>
      </c>
      <c r="AN694" s="136">
        <f ca="1" t="shared" si="360"/>
        <v>0</v>
      </c>
      <c r="AP694" s="132">
        <v>60</v>
      </c>
      <c r="AQ694" s="132">
        <v>41150</v>
      </c>
      <c r="AR694" s="132">
        <v>41150</v>
      </c>
      <c r="AS694" s="132">
        <v>22250</v>
      </c>
      <c r="AT694" s="132">
        <v>11900</v>
      </c>
    </row>
    <row r="695" s="106" customFormat="1" ht="16.5" spans="2:46">
      <c r="B695" s="117">
        <v>61</v>
      </c>
      <c r="C695" s="130">
        <f t="shared" si="239"/>
        <v>6100</v>
      </c>
      <c r="D695" s="131" cm="1">
        <f ca="1" t="array" ref="D695">IF(D1297=1,OFFSET($W$634,$B695,D$631-1)/SUMPRODUCT(--($D$631:$V$631=D$631),--($D1297:$V1297=1)),0)+SUM(D694)+IF(COUNTIF(D$1237:D1297,1)=1,5,0)+IF(COUNTIF(E695:$W695,"&gt;"&amp;0)&lt;5,IF(AND(COUNTIF(D$1237:D1297,1)&gt;7,MOD(1+IFERROR(MATCH($C695,总览!$D$46:$D$345,1)+1,1),7)=0),$C$3,0),0)</f>
        <v>614.780277541336</v>
      </c>
      <c r="E695" s="131" cm="1">
        <f ca="1" t="array" ref="E695">IF(E1297=1,OFFSET($W$634,$B695,E$631-1)/SUMPRODUCT(--($D$631:$V$631=E$631),--($D1297:$V1297=1)),0)+SUM(E694)+IF(COUNTIF(E$1237:E1297,1)=1,5,0)+IF(COUNTIF(F695:$W695,"&gt;"&amp;0)&lt;5,IF(AND(COUNTIF(E$1237:E1297,1)&gt;7,MOD(1+IFERROR(MATCH($C695,总览!$D$46:$D$345,1)+1,1),7)=0),$C$3,0),0)</f>
        <v>614.780277541336</v>
      </c>
      <c r="F695" s="131" cm="1">
        <f ca="1" t="array" ref="F695">IF(F1297=1,OFFSET($W$634,$B695,F$631-1)/SUMPRODUCT(--($D$631:$V$631=F$631),--($D1297:$V1297=1)),0)+SUM(F694)+IF(COUNTIF(F$1237:F1297,1)=1,5,0)+IF(COUNTIF(G695:$W695,"&gt;"&amp;0)&lt;5,IF(AND(COUNTIF(F$1237:F1297,1)&gt;7,MOD(1+IFERROR(MATCH($C695,总览!$D$46:$D$345,1)+1,1),7)=0),$C$3,0),0)</f>
        <v>614.780277541336</v>
      </c>
      <c r="G695" s="131" cm="1">
        <f ca="1" t="array" ref="G695">IF(G1297=1,OFFSET($W$634,$B695,G$631-1)/SUMPRODUCT(--($D$631:$V$631=G$631),--($D1297:$V1297=1)),0)+SUM(G694)+IF(COUNTIF(G$1237:G1297,1)=1,5,0)+IF(COUNTIF(H695:$W695,"&gt;"&amp;0)&lt;5,IF(AND(COUNTIF(G$1237:G1297,1)&gt;7,MOD(1+IFERROR(MATCH($C695,总览!$D$46:$D$345,1)+1,1),7)=0),$C$3,0),0)</f>
        <v>154.2</v>
      </c>
      <c r="H695" s="131" cm="1">
        <f ca="1" t="array" ref="H695">IF(H1297=1,OFFSET($W$634,$B695,H$631-1)/SUMPRODUCT(--($D$631:$V$631=H$631),--($D1297:$V1297=1)),0)+SUM(H694)+IF(COUNTIF(H$1237:H1297,1)=1,5,0)+IF(COUNTIF(I695:$W695,"&gt;"&amp;0)&lt;5,IF(AND(COUNTIF(H$1237:H1297,1)&gt;7,MOD(1+IFERROR(MATCH($C695,总览!$D$46:$D$345,1)+1,1),7)=0),$C$3,0),0)</f>
        <v>154.2</v>
      </c>
      <c r="I695" s="131" cm="1">
        <f ca="1" t="array" ref="I695">IF(I1297=1,OFFSET($W$634,$B695,I$631-1)/SUMPRODUCT(--($D$631:$V$631=I$631),--($D1297:$V1297=1)),0)+SUM(I694)+IF(COUNTIF(I$1237:I1297,1)=1,5,0)+IF(COUNTIF(J695:$W695,"&gt;"&amp;0)&lt;5,IF(AND(COUNTIF(I$1237:I1297,1)&gt;7,MOD(1+IFERROR(MATCH($C695,总览!$D$46:$D$345,1)+1,1),7)=0),$C$3,0),0)</f>
        <v>154.2</v>
      </c>
      <c r="J695" s="131" cm="1">
        <f ca="1" t="array" ref="J695">IF(J1297=1,OFFSET($W$634,$B695,J$631-1)/SUMPRODUCT(--($D$631:$V$631=J$631),--($D1297:$V1297=1)),0)+SUM(J694)+IF(COUNTIF(J$1237:J1297,1)=1,5,0)+IF(COUNTIF(K695:$W695,"&gt;"&amp;0)&lt;5,IF(AND(COUNTIF(J$1237:J1297,1)&gt;7,MOD(1+IFERROR(MATCH($C695,总览!$D$46:$D$345,1)+1,1),7)=0),$C$3,0),0)</f>
        <v>150.866666666667</v>
      </c>
      <c r="K695" s="131" cm="1">
        <f ca="1" t="array" ref="K695">IF(K1297=1,OFFSET($W$634,$B695,K$631-1)/SUMPRODUCT(--($D$631:$V$631=K$631),--($D1297:$V1297=1)),0)+SUM(K694)+IF(COUNTIF(K$1237:K1297,1)=1,5,0)+IF(COUNTIF(L695:$W695,"&gt;"&amp;0)&lt;5,IF(AND(COUNTIF(K$1237:K1297,1)&gt;7,MOD(1+IFERROR(MATCH($C695,总览!$D$46:$D$345,1)+1,1),7)=0),$C$3,0),0)</f>
        <v>148.366666666667</v>
      </c>
      <c r="L695" s="131" cm="1">
        <f ca="1" t="array" ref="L695">IF(L1297=1,OFFSET($W$634,$B695,L$631-1)/SUMPRODUCT(--($D$631:$V$631=L$631),--($D1297:$V1297=1)),0)+SUM(L694)+IF(COUNTIF(L$1237:L1297,1)=1,5,0)+IF(COUNTIF(M695:$W695,"&gt;"&amp;0)&lt;5,IF(AND(COUNTIF(L$1237:L1297,1)&gt;7,MOD(1+IFERROR(MATCH($C695,总览!$D$46:$D$345,1)+1,1),7)=0),$C$3,0),0)</f>
        <v>148.366666666667</v>
      </c>
      <c r="M695" s="131" cm="1">
        <f ca="1" t="array" ref="M695">IF(M1297=1,OFFSET($W$634,$B695,M$631-1)/SUMPRODUCT(--($D$631:$V$631=M$631),--($D1297:$V1297=1)),0)+SUM(M694)+IF(COUNTIF(M$1237:M1297,1)=1,5,0)+IF(COUNTIF(N695:$W695,"&gt;"&amp;0)&lt;5,IF(AND(COUNTIF(M$1237:M1297,1)&gt;7,MOD(1+IFERROR(MATCH($C695,总览!$D$46:$D$345,1)+1,1),7)=0),$C$3,0),0)</f>
        <v>54.7241071428571</v>
      </c>
      <c r="N695" s="131" cm="1">
        <f ca="1" t="array" ref="N695">IF(N1297=1,OFFSET($W$634,$B695,N$631-1)/SUMPRODUCT(--($D$631:$V$631=N$631),--($D1297:$V1297=1)),0)+SUM(N694)+IF(COUNTIF(N$1237:N1297,1)=1,5,0)+IF(COUNTIF(O695:$W695,"&gt;"&amp;0)&lt;5,IF(AND(COUNTIF(N$1237:N1297,1)&gt;7,MOD(1+IFERROR(MATCH($C695,总览!$D$46:$D$345,1)+1,1),7)=0),$C$3,0),0)</f>
        <v>55.9741071428571</v>
      </c>
      <c r="O695" s="131" cm="1">
        <f ca="1" t="array" ref="O695">IF(O1297=1,OFFSET($W$634,$B695,O$631-1)/SUMPRODUCT(--($D$631:$V$631=O$631),--($D1297:$V1297=1)),0)+SUM(O694)+IF(COUNTIF(O$1237:O1297,1)=1,5,0)+IF(COUNTIF(P695:$W695,"&gt;"&amp;0)&lt;5,IF(AND(COUNTIF(O$1237:O1297,1)&gt;7,MOD(1+IFERROR(MATCH($C695,总览!$D$46:$D$345,1)+1,1),7)=0),$C$3,0),0)</f>
        <v>60.9741071428571</v>
      </c>
      <c r="P695" s="131" cm="1">
        <f ca="1" t="array" ref="P695">IF(P1297=1,OFFSET($W$634,$B695,P$631-1)/SUMPRODUCT(--($D$631:$V$631=P$631),--($D1297:$V1297=1)),0)+SUM(P694)+IF(COUNTIF(P$1237:P1297,1)=1,5,0)+IF(COUNTIF(Q695:$W695,"&gt;"&amp;0)&lt;5,IF(AND(COUNTIF(P$1237:P1297,1)&gt;7,MOD(1+IFERROR(MATCH($C695,总览!$D$46:$D$345,1)+1,1),7)=0),$C$3,0),0)</f>
        <v>50.0928571428571</v>
      </c>
      <c r="Q695" s="131" cm="1">
        <f ca="1" t="array" ref="Q695">IF(Q1297=1,OFFSET($W$634,$B695,Q$631-1)/SUMPRODUCT(--($D$631:$V$631=Q$631),--($D1297:$V1297=1)),0)+SUM(Q694)+IF(COUNTIF(Q$1237:Q1297,1)=1,5,0)+IF(COUNTIF(R695:$W695,"&gt;"&amp;0)&lt;5,IF(AND(COUNTIF(Q$1237:Q1297,1)&gt;7,MOD(1+IFERROR(MATCH($C695,总览!$D$46:$D$345,1)+1,1),7)=0),$C$3,0),0)</f>
        <v>63.4741071428571</v>
      </c>
      <c r="R695" s="131" cm="1">
        <f ca="1" t="array" ref="R695">IF(R1297=1,OFFSET($W$634,$B695,R$631-1)/SUMPRODUCT(--($D$631:$V$631=R$631),--($D1297:$V1297=1)),0)+SUM(R694)+IF(COUNTIF(R$1237:R1297,1)=1,5,0)+IF(COUNTIF(S695:$W695,"&gt;"&amp;0)&lt;5,IF(AND(COUNTIF(R$1237:R1297,1)&gt;7,MOD(1+IFERROR(MATCH($C695,总览!$D$46:$D$345,1)+1,1),7)=0),$C$3,0),0)</f>
        <v>55.0928571428571</v>
      </c>
      <c r="S695" s="131" cm="1">
        <f ca="1" t="array" ref="S695">IF(S1297=1,OFFSET($W$634,$B695,S$631-1)/SUMPRODUCT(--($D$631:$V$631=S$631),--($D1297:$V1297=1)),0)+SUM(S694)+IF(COUNTIF(S$1237:S1297,1)=1,5,0)+IF(COUNTIF(T695:$W695,"&gt;"&amp;0)&lt;5,IF(AND(COUNTIF(S$1237:S1297,1)&gt;7,MOD(1+IFERROR(MATCH($C695,总览!$D$46:$D$345,1)+1,1),7)=0),$C$3,0),0)</f>
        <v>57.5928571428571</v>
      </c>
      <c r="T695" s="131" cm="1">
        <f ca="1" t="array" ref="T695">IF(T1297=1,OFFSET($W$634,$B695,T$631-1)/SUMPRODUCT(--($D$631:$V$631=T$631),--($D1297:$V1297=1)),0)+SUM(T694)+IF(COUNTIF(T$1237:T1297,1)=1,5,0)+IF(COUNTIF(U695:$W695,"&gt;"&amp;0)&lt;5,IF(AND(COUNTIF(T$1237:T1297,1)&gt;7,MOD(1+IFERROR(MATCH($C695,总览!$D$46:$D$345,1)+1,1),7)=0),$C$3,0),0)</f>
        <v>18.8885316509872</v>
      </c>
      <c r="U695" s="131" cm="1">
        <f ca="1" t="array" ref="U695">IF(U1297=1,OFFSET($W$634,$B695,U$631-1)/SUMPRODUCT(--($D$631:$V$631=U$631),--($D1297:$V1297=1)),0)+SUM(U694)+IF(COUNTIF(U$1237:U1297,1)=1,5,0)+IF(COUNTIF(V695:$W695,"&gt;"&amp;0)&lt;5,IF(AND(COUNTIF(U$1237:U1297,1)&gt;7,MOD(1+IFERROR(MATCH($C695,总览!$D$46:$D$345,1)+1,1),7)=0),$C$3,0),0)</f>
        <v>24.4093180062868</v>
      </c>
      <c r="V695" s="131" cm="1">
        <f ca="1" t="array" ref="V695">IF(V1297=1,OFFSET($W$634,$B695,V$631-1)/SUMPRODUCT(--($D$631:$V$631=V$631),--($D1297:$V1297=1)),0)+SUM(V694)+IF(COUNTIF(V$1237:V1297,1)=1,5,0)+IF(COUNTIF(W695:$W695,"&gt;"&amp;0)&lt;5,IF(AND(COUNTIF(V$1237:V1297,1)&gt;7,MOD(1+IFERROR(MATCH($C695,总览!$D$46:$D$345,1)+1,1),7)=0),$C$3,0),0)</f>
        <v>44.2363177187202</v>
      </c>
      <c r="W695" s="135" cm="1">
        <f ca="1" t="array" ref="W695">SUMPRODUCT(TRANSPOSE($AA695:$AG695),OFFSET($L$9:$L$15,0,W$631-1))</f>
        <v>21.6942067191022</v>
      </c>
      <c r="X695" s="135" cm="1">
        <f ca="1" t="array" ref="X695">SUMPRODUCT(TRANSPOSE($AA695:$AG695),OFFSET($L$9:$L$15,0,X$631-1))</f>
        <v>18</v>
      </c>
      <c r="Y695" s="135" cm="1">
        <f ca="1" t="array" ref="Y695">SUMPRODUCT(TRANSPOSE($AA695:$AG695),OFFSET($L$9:$L$15,0,Y$631-1))</f>
        <v>8</v>
      </c>
      <c r="Z695" s="135" cm="1">
        <f ca="1" t="array" ref="Z695">SUMPRODUCT(TRANSPOSE($AA695:$AG695),OFFSET($L$9:$L$15,0,Z$631-1))</f>
        <v>2.30579328089777</v>
      </c>
      <c r="AA695" s="136">
        <f ca="1" t="shared" ref="AA695:AG695" si="361">AH695-AH694</f>
        <v>0</v>
      </c>
      <c r="AB695" s="136">
        <f ca="1" t="shared" si="361"/>
        <v>0</v>
      </c>
      <c r="AC695" s="136">
        <f ca="1" t="shared" si="361"/>
        <v>0</v>
      </c>
      <c r="AD695" s="136">
        <f ca="1" t="shared" si="361"/>
        <v>0</v>
      </c>
      <c r="AE695" s="136">
        <f ca="1" t="shared" si="361"/>
        <v>100</v>
      </c>
      <c r="AF695" s="136">
        <f ca="1" t="shared" si="361"/>
        <v>0</v>
      </c>
      <c r="AG695" s="136">
        <f ca="1" t="shared" si="361"/>
        <v>0</v>
      </c>
      <c r="AH695" s="136">
        <f ca="1" t="shared" si="241"/>
        <v>450</v>
      </c>
      <c r="AI695" s="136">
        <f ca="1" t="shared" ref="AI695:AN695" si="362">IF($C695&gt;OFFSET($Q$8,MATCH(AI$634,$AH$634:$AN$634,0),0),OFFSET($P$8,MATCH(AI$634,$AH$634:$AN$634,0),0),MAX(0,$C695-OFFSET($Q$8,RIGHT(AI$634,1)-1,0)))</f>
        <v>909</v>
      </c>
      <c r="AJ695" s="136">
        <f ca="1" t="shared" si="362"/>
        <v>1818</v>
      </c>
      <c r="AK695" s="136">
        <f ca="1" t="shared" si="362"/>
        <v>2727</v>
      </c>
      <c r="AL695" s="136">
        <f ca="1" t="shared" si="362"/>
        <v>196</v>
      </c>
      <c r="AM695" s="136">
        <f ca="1" t="shared" si="362"/>
        <v>0</v>
      </c>
      <c r="AN695" s="136">
        <f ca="1" t="shared" si="362"/>
        <v>0</v>
      </c>
      <c r="AP695" s="132">
        <v>61</v>
      </c>
      <c r="AQ695" s="132">
        <v>43670</v>
      </c>
      <c r="AR695" s="132">
        <v>43670</v>
      </c>
      <c r="AS695" s="132">
        <v>23690</v>
      </c>
      <c r="AT695" s="132">
        <v>12620</v>
      </c>
    </row>
    <row r="696" s="106" customFormat="1" ht="16.5" spans="2:46">
      <c r="B696" s="117">
        <v>62</v>
      </c>
      <c r="C696" s="130">
        <f t="shared" si="239"/>
        <v>6200</v>
      </c>
      <c r="D696" s="131" cm="1">
        <f ca="1" t="array" ref="D696">IF(D1298=1,OFFSET($W$634,$B696,D$631-1)/SUMPRODUCT(--($D$631:$V$631=D$631),--($D1298:$V1298=1)),0)+SUM(D695)+IF(COUNTIF(D$1237:D1298,1)=1,5,0)+IF(COUNTIF(E696:$W696,"&gt;"&amp;0)&lt;5,IF(AND(COUNTIF(D$1237:D1298,1)&gt;7,MOD(1+IFERROR(MATCH($C696,总览!$D$46:$D$345,1)+1,1),7)=0),$C$3,0),0)</f>
        <v>622.011679781036</v>
      </c>
      <c r="E696" s="131" cm="1">
        <f ca="1" t="array" ref="E696">IF(E1298=1,OFFSET($W$634,$B696,E$631-1)/SUMPRODUCT(--($D$631:$V$631=E$631),--($D1298:$V1298=1)),0)+SUM(E695)+IF(COUNTIF(E$1237:E1298,1)=1,5,0)+IF(COUNTIF(F696:$W696,"&gt;"&amp;0)&lt;5,IF(AND(COUNTIF(E$1237:E1298,1)&gt;7,MOD(1+IFERROR(MATCH($C696,总览!$D$46:$D$345,1)+1,1),7)=0),$C$3,0),0)</f>
        <v>622.011679781036</v>
      </c>
      <c r="F696" s="131" cm="1">
        <f ca="1" t="array" ref="F696">IF(F1298=1,OFFSET($W$634,$B696,F$631-1)/SUMPRODUCT(--($D$631:$V$631=F$631),--($D1298:$V1298=1)),0)+SUM(F695)+IF(COUNTIF(F$1237:F1298,1)=1,5,0)+IF(COUNTIF(G696:$W696,"&gt;"&amp;0)&lt;5,IF(AND(COUNTIF(F$1237:F1298,1)&gt;7,MOD(1+IFERROR(MATCH($C696,总览!$D$46:$D$345,1)+1,1),7)=0),$C$3,0),0)</f>
        <v>622.011679781036</v>
      </c>
      <c r="G696" s="131" cm="1">
        <f ca="1" t="array" ref="G696">IF(G1298=1,OFFSET($W$634,$B696,G$631-1)/SUMPRODUCT(--($D$631:$V$631=G$631),--($D1298:$V1298=1)),0)+SUM(G695)+IF(COUNTIF(G$1237:G1298,1)=1,5,0)+IF(COUNTIF(H696:$W696,"&gt;"&amp;0)&lt;5,IF(AND(COUNTIF(G$1237:G1298,1)&gt;7,MOD(1+IFERROR(MATCH($C696,总览!$D$46:$D$345,1)+1,1),7)=0),$C$3,0),0)</f>
        <v>157.2</v>
      </c>
      <c r="H696" s="131" cm="1">
        <f ca="1" t="array" ref="H696">IF(H1298=1,OFFSET($W$634,$B696,H$631-1)/SUMPRODUCT(--($D$631:$V$631=H$631),--($D1298:$V1298=1)),0)+SUM(H695)+IF(COUNTIF(H$1237:H1298,1)=1,5,0)+IF(COUNTIF(I696:$W696,"&gt;"&amp;0)&lt;5,IF(AND(COUNTIF(H$1237:H1298,1)&gt;7,MOD(1+IFERROR(MATCH($C696,总览!$D$46:$D$345,1)+1,1),7)=0),$C$3,0),0)</f>
        <v>157.2</v>
      </c>
      <c r="I696" s="131" cm="1">
        <f ca="1" t="array" ref="I696">IF(I1298=1,OFFSET($W$634,$B696,I$631-1)/SUMPRODUCT(--($D$631:$V$631=I$631),--($D1298:$V1298=1)),0)+SUM(I695)+IF(COUNTIF(I$1237:I1298,1)=1,5,0)+IF(COUNTIF(J696:$W696,"&gt;"&amp;0)&lt;5,IF(AND(COUNTIF(I$1237:I1298,1)&gt;7,MOD(1+IFERROR(MATCH($C696,总览!$D$46:$D$345,1)+1,1),7)=0),$C$3,0),0)</f>
        <v>157.2</v>
      </c>
      <c r="J696" s="131" cm="1">
        <f ca="1" t="array" ref="J696">IF(J1298=1,OFFSET($W$634,$B696,J$631-1)/SUMPRODUCT(--($D$631:$V$631=J$631),--($D1298:$V1298=1)),0)+SUM(J695)+IF(COUNTIF(J$1237:J1298,1)=1,5,0)+IF(COUNTIF(K696:$W696,"&gt;"&amp;0)&lt;5,IF(AND(COUNTIF(J$1237:J1298,1)&gt;7,MOD(1+IFERROR(MATCH($C696,总览!$D$46:$D$345,1)+1,1),7)=0),$C$3,0),0)</f>
        <v>153.866666666667</v>
      </c>
      <c r="K696" s="131" cm="1">
        <f ca="1" t="array" ref="K696">IF(K1298=1,OFFSET($W$634,$B696,K$631-1)/SUMPRODUCT(--($D$631:$V$631=K$631),--($D1298:$V1298=1)),0)+SUM(K695)+IF(COUNTIF(K$1237:K1298,1)=1,5,0)+IF(COUNTIF(L696:$W696,"&gt;"&amp;0)&lt;5,IF(AND(COUNTIF(K$1237:K1298,1)&gt;7,MOD(1+IFERROR(MATCH($C696,总览!$D$46:$D$345,1)+1,1),7)=0),$C$3,0),0)</f>
        <v>151.366666666667</v>
      </c>
      <c r="L696" s="131" cm="1">
        <f ca="1" t="array" ref="L696">IF(L1298=1,OFFSET($W$634,$B696,L$631-1)/SUMPRODUCT(--($D$631:$V$631=L$631),--($D1298:$V1298=1)),0)+SUM(L695)+IF(COUNTIF(L$1237:L1298,1)=1,5,0)+IF(COUNTIF(M696:$W696,"&gt;"&amp;0)&lt;5,IF(AND(COUNTIF(L$1237:L1298,1)&gt;7,MOD(1+IFERROR(MATCH($C696,总览!$D$46:$D$345,1)+1,1),7)=0),$C$3,0),0)</f>
        <v>151.366666666667</v>
      </c>
      <c r="M696" s="131" cm="1">
        <f ca="1" t="array" ref="M696">IF(M1298=1,OFFSET($W$634,$B696,M$631-1)/SUMPRODUCT(--($D$631:$V$631=M$631),--($D1298:$V1298=1)),0)+SUM(M695)+IF(COUNTIF(M$1237:M1298,1)=1,5,0)+IF(COUNTIF(N696:$W696,"&gt;"&amp;0)&lt;5,IF(AND(COUNTIF(M$1237:M1298,1)&gt;7,MOD(1+IFERROR(MATCH($C696,总览!$D$46:$D$345,1)+1,1),7)=0),$C$3,0),0)</f>
        <v>55.8669642857142</v>
      </c>
      <c r="N696" s="131" cm="1">
        <f ca="1" t="array" ref="N696">IF(N1298=1,OFFSET($W$634,$B696,N$631-1)/SUMPRODUCT(--($D$631:$V$631=N$631),--($D1298:$V1298=1)),0)+SUM(N695)+IF(COUNTIF(N$1237:N1298,1)=1,5,0)+IF(COUNTIF(O696:$W696,"&gt;"&amp;0)&lt;5,IF(AND(COUNTIF(N$1237:N1298,1)&gt;7,MOD(1+IFERROR(MATCH($C696,总览!$D$46:$D$345,1)+1,1),7)=0),$C$3,0),0)</f>
        <v>57.1169642857142</v>
      </c>
      <c r="O696" s="131" cm="1">
        <f ca="1" t="array" ref="O696">IF(O1298=1,OFFSET($W$634,$B696,O$631-1)/SUMPRODUCT(--($D$631:$V$631=O$631),--($D1298:$V1298=1)),0)+SUM(O695)+IF(COUNTIF(O$1237:O1298,1)=1,5,0)+IF(COUNTIF(P696:$W696,"&gt;"&amp;0)&lt;5,IF(AND(COUNTIF(O$1237:O1298,1)&gt;7,MOD(1+IFERROR(MATCH($C696,总览!$D$46:$D$345,1)+1,1),7)=0),$C$3,0),0)</f>
        <v>62.1169642857142</v>
      </c>
      <c r="P696" s="131" cm="1">
        <f ca="1" t="array" ref="P696">IF(P1298=1,OFFSET($W$634,$B696,P$631-1)/SUMPRODUCT(--($D$631:$V$631=P$631),--($D1298:$V1298=1)),0)+SUM(P695)+IF(COUNTIF(P$1237:P1298,1)=1,5,0)+IF(COUNTIF(Q696:$W696,"&gt;"&amp;0)&lt;5,IF(AND(COUNTIF(P$1237:P1298,1)&gt;7,MOD(1+IFERROR(MATCH($C696,总览!$D$46:$D$345,1)+1,1),7)=0),$C$3,0),0)</f>
        <v>51.2357142857143</v>
      </c>
      <c r="Q696" s="131" cm="1">
        <f ca="1" t="array" ref="Q696">IF(Q1298=1,OFFSET($W$634,$B696,Q$631-1)/SUMPRODUCT(--($D$631:$V$631=Q$631),--($D1298:$V1298=1)),0)+SUM(Q695)+IF(COUNTIF(Q$1237:Q1298,1)=1,5,0)+IF(COUNTIF(R696:$W696,"&gt;"&amp;0)&lt;5,IF(AND(COUNTIF(Q$1237:Q1298,1)&gt;7,MOD(1+IFERROR(MATCH($C696,总览!$D$46:$D$345,1)+1,1),7)=0),$C$3,0),0)</f>
        <v>64.6169642857142</v>
      </c>
      <c r="R696" s="131" cm="1">
        <f ca="1" t="array" ref="R696">IF(R1298=1,OFFSET($W$634,$B696,R$631-1)/SUMPRODUCT(--($D$631:$V$631=R$631),--($D1298:$V1298=1)),0)+SUM(R695)+IF(COUNTIF(R$1237:R1298,1)=1,5,0)+IF(COUNTIF(S696:$W696,"&gt;"&amp;0)&lt;5,IF(AND(COUNTIF(R$1237:R1298,1)&gt;7,MOD(1+IFERROR(MATCH($C696,总览!$D$46:$D$345,1)+1,1),7)=0),$C$3,0),0)</f>
        <v>56.2357142857142</v>
      </c>
      <c r="S696" s="131" cm="1">
        <f ca="1" t="array" ref="S696">IF(S1298=1,OFFSET($W$634,$B696,S$631-1)/SUMPRODUCT(--($D$631:$V$631=S$631),--($D1298:$V1298=1)),0)+SUM(S695)+IF(COUNTIF(S$1237:S1298,1)=1,5,0)+IF(COUNTIF(T696:$W696,"&gt;"&amp;0)&lt;5,IF(AND(COUNTIF(S$1237:S1298,1)&gt;7,MOD(1+IFERROR(MATCH($C696,总览!$D$46:$D$345,1)+1,1),7)=0),$C$3,0),0)</f>
        <v>63.7357142857142</v>
      </c>
      <c r="T696" s="131" cm="1">
        <f ca="1" t="array" ref="T696">IF(T1298=1,OFFSET($W$634,$B696,T$631-1)/SUMPRODUCT(--($D$631:$V$631=T$631),--($D1298:$V1298=1)),0)+SUM(T695)+IF(COUNTIF(T$1237:T1298,1)=1,5,0)+IF(COUNTIF(U696:$W696,"&gt;"&amp;0)&lt;5,IF(AND(COUNTIF(T$1237:T1298,1)&gt;7,MOD(1+IFERROR(MATCH($C696,总览!$D$46:$D$345,1)+1,1),7)=0),$C$3,0),0)</f>
        <v>24.6571294112865</v>
      </c>
      <c r="U696" s="131" cm="1">
        <f ca="1" t="array" ref="U696">IF(U1298=1,OFFSET($W$634,$B696,U$631-1)/SUMPRODUCT(--($D$631:$V$631=U$631),--($D1298:$V1298=1)),0)+SUM(U695)+IF(COUNTIF(U$1237:U1298,1)=1,5,0)+IF(COUNTIF(V696:$W696,"&gt;"&amp;0)&lt;5,IF(AND(COUNTIF(U$1237:U1298,1)&gt;7,MOD(1+IFERROR(MATCH($C696,总览!$D$46:$D$345,1)+1,1),7)=0),$C$3,0),0)</f>
        <v>30.1779157665861</v>
      </c>
      <c r="V696" s="131" cm="1">
        <f ca="1" t="array" ref="V696">IF(V1298=1,OFFSET($W$634,$B696,V$631-1)/SUMPRODUCT(--($D$631:$V$631=V$631),--($D1298:$V1298=1)),0)+SUM(V695)+IF(COUNTIF(V$1237:V1298,1)=1,5,0)+IF(COUNTIF(W696:$W696,"&gt;"&amp;0)&lt;5,IF(AND(COUNTIF(V$1237:V1298,1)&gt;7,MOD(1+IFERROR(MATCH($C696,总览!$D$46:$D$345,1)+1,1),7)=0),$C$3,0),0)</f>
        <v>50.0049154790195</v>
      </c>
      <c r="W696" s="135" cm="1">
        <f ca="1" t="array" ref="W696">SUMPRODUCT(TRANSPOSE($AA696:$AG696),OFFSET($L$9:$L$15,0,W$631-1))</f>
        <v>21.6942067191022</v>
      </c>
      <c r="X696" s="135" cm="1">
        <f ca="1" t="array" ref="X696">SUMPRODUCT(TRANSPOSE($AA696:$AG696),OFFSET($L$9:$L$15,0,X$631-1))</f>
        <v>18</v>
      </c>
      <c r="Y696" s="135" cm="1">
        <f ca="1" t="array" ref="Y696">SUMPRODUCT(TRANSPOSE($AA696:$AG696),OFFSET($L$9:$L$15,0,Y$631-1))</f>
        <v>8</v>
      </c>
      <c r="Z696" s="135" cm="1">
        <f ca="1" t="array" ref="Z696">SUMPRODUCT(TRANSPOSE($AA696:$AG696),OFFSET($L$9:$L$15,0,Z$631-1))</f>
        <v>2.30579328089777</v>
      </c>
      <c r="AA696" s="136">
        <f ca="1" t="shared" ref="AA696:AG696" si="363">AH696-AH695</f>
        <v>0</v>
      </c>
      <c r="AB696" s="136">
        <f ca="1" t="shared" si="363"/>
        <v>0</v>
      </c>
      <c r="AC696" s="136">
        <f ca="1" t="shared" si="363"/>
        <v>0</v>
      </c>
      <c r="AD696" s="136">
        <f ca="1" t="shared" si="363"/>
        <v>0</v>
      </c>
      <c r="AE696" s="136">
        <f ca="1" t="shared" si="363"/>
        <v>100</v>
      </c>
      <c r="AF696" s="136">
        <f ca="1" t="shared" si="363"/>
        <v>0</v>
      </c>
      <c r="AG696" s="136">
        <f ca="1" t="shared" si="363"/>
        <v>0</v>
      </c>
      <c r="AH696" s="136">
        <f ca="1" t="shared" si="241"/>
        <v>450</v>
      </c>
      <c r="AI696" s="136">
        <f ca="1" t="shared" ref="AI696:AN696" si="364">IF($C696&gt;OFFSET($Q$8,MATCH(AI$634,$AH$634:$AN$634,0),0),OFFSET($P$8,MATCH(AI$634,$AH$634:$AN$634,0),0),MAX(0,$C696-OFFSET($Q$8,RIGHT(AI$634,1)-1,0)))</f>
        <v>909</v>
      </c>
      <c r="AJ696" s="136">
        <f ca="1" t="shared" si="364"/>
        <v>1818</v>
      </c>
      <c r="AK696" s="136">
        <f ca="1" t="shared" si="364"/>
        <v>2727</v>
      </c>
      <c r="AL696" s="136">
        <f ca="1" t="shared" si="364"/>
        <v>296</v>
      </c>
      <c r="AM696" s="136">
        <f ca="1" t="shared" si="364"/>
        <v>0</v>
      </c>
      <c r="AN696" s="136">
        <f ca="1" t="shared" si="364"/>
        <v>0</v>
      </c>
      <c r="AP696" s="132">
        <v>62</v>
      </c>
      <c r="AQ696" s="132">
        <v>46190</v>
      </c>
      <c r="AR696" s="132">
        <v>46190</v>
      </c>
      <c r="AS696" s="132">
        <v>25130</v>
      </c>
      <c r="AT696" s="132">
        <v>13340</v>
      </c>
    </row>
    <row r="697" s="106" customFormat="1" ht="16.5" spans="2:46">
      <c r="B697" s="117">
        <v>63</v>
      </c>
      <c r="C697" s="130">
        <f t="shared" si="239"/>
        <v>6300</v>
      </c>
      <c r="D697" s="131" cm="1">
        <f ca="1" t="array" ref="D697">IF(D1299=1,OFFSET($W$634,$B697,D$631-1)/SUMPRODUCT(--($D$631:$V$631=D$631),--($D1299:$V1299=1)),0)+SUM(D696)+IF(COUNTIF(D$1237:D1299,1)=1,5,0)+IF(COUNTIF(E697:$W697,"&gt;"&amp;0)&lt;5,IF(AND(COUNTIF(D$1237:D1299,1)&gt;7,MOD(1+IFERROR(MATCH($C697,总览!$D$46:$D$345,1)+1,1),7)=0),$C$3,0),0)</f>
        <v>629.243082020737</v>
      </c>
      <c r="E697" s="131" cm="1">
        <f ca="1" t="array" ref="E697">IF(E1299=1,OFFSET($W$634,$B697,E$631-1)/SUMPRODUCT(--($D$631:$V$631=E$631),--($D1299:$V1299=1)),0)+SUM(E696)+IF(COUNTIF(E$1237:E1299,1)=1,5,0)+IF(COUNTIF(F697:$W697,"&gt;"&amp;0)&lt;5,IF(AND(COUNTIF(E$1237:E1299,1)&gt;7,MOD(1+IFERROR(MATCH($C697,总览!$D$46:$D$345,1)+1,1),7)=0),$C$3,0),0)</f>
        <v>629.243082020737</v>
      </c>
      <c r="F697" s="131" cm="1">
        <f ca="1" t="array" ref="F697">IF(F1299=1,OFFSET($W$634,$B697,F$631-1)/SUMPRODUCT(--($D$631:$V$631=F$631),--($D1299:$V1299=1)),0)+SUM(F696)+IF(COUNTIF(F$1237:F1299,1)=1,5,0)+IF(COUNTIF(G697:$W697,"&gt;"&amp;0)&lt;5,IF(AND(COUNTIF(F$1237:F1299,1)&gt;7,MOD(1+IFERROR(MATCH($C697,总览!$D$46:$D$345,1)+1,1),7)=0),$C$3,0),0)</f>
        <v>629.243082020737</v>
      </c>
      <c r="G697" s="131" cm="1">
        <f ca="1" t="array" ref="G697">IF(G1299=1,OFFSET($W$634,$B697,G$631-1)/SUMPRODUCT(--($D$631:$V$631=G$631),--($D1299:$V1299=1)),0)+SUM(G696)+IF(COUNTIF(G$1237:G1299,1)=1,5,0)+IF(COUNTIF(H697:$W697,"&gt;"&amp;0)&lt;5,IF(AND(COUNTIF(G$1237:G1299,1)&gt;7,MOD(1+IFERROR(MATCH($C697,总览!$D$46:$D$345,1)+1,1),7)=0),$C$3,0),0)</f>
        <v>160.2</v>
      </c>
      <c r="H697" s="131" cm="1">
        <f ca="1" t="array" ref="H697">IF(H1299=1,OFFSET($W$634,$B697,H$631-1)/SUMPRODUCT(--($D$631:$V$631=H$631),--($D1299:$V1299=1)),0)+SUM(H696)+IF(COUNTIF(H$1237:H1299,1)=1,5,0)+IF(COUNTIF(I697:$W697,"&gt;"&amp;0)&lt;5,IF(AND(COUNTIF(H$1237:H1299,1)&gt;7,MOD(1+IFERROR(MATCH($C697,总览!$D$46:$D$345,1)+1,1),7)=0),$C$3,0),0)</f>
        <v>160.2</v>
      </c>
      <c r="I697" s="131" cm="1">
        <f ca="1" t="array" ref="I697">IF(I1299=1,OFFSET($W$634,$B697,I$631-1)/SUMPRODUCT(--($D$631:$V$631=I$631),--($D1299:$V1299=1)),0)+SUM(I696)+IF(COUNTIF(I$1237:I1299,1)=1,5,0)+IF(COUNTIF(J697:$W697,"&gt;"&amp;0)&lt;5,IF(AND(COUNTIF(I$1237:I1299,1)&gt;7,MOD(1+IFERROR(MATCH($C697,总览!$D$46:$D$345,1)+1,1),7)=0),$C$3,0),0)</f>
        <v>160.2</v>
      </c>
      <c r="J697" s="131" cm="1">
        <f ca="1" t="array" ref="J697">IF(J1299=1,OFFSET($W$634,$B697,J$631-1)/SUMPRODUCT(--($D$631:$V$631=J$631),--($D1299:$V1299=1)),0)+SUM(J696)+IF(COUNTIF(J$1237:J1299,1)=1,5,0)+IF(COUNTIF(K697:$W697,"&gt;"&amp;0)&lt;5,IF(AND(COUNTIF(J$1237:J1299,1)&gt;7,MOD(1+IFERROR(MATCH($C697,总览!$D$46:$D$345,1)+1,1),7)=0),$C$3,0),0)</f>
        <v>156.866666666667</v>
      </c>
      <c r="K697" s="131" cm="1">
        <f ca="1" t="array" ref="K697">IF(K1299=1,OFFSET($W$634,$B697,K$631-1)/SUMPRODUCT(--($D$631:$V$631=K$631),--($D1299:$V1299=1)),0)+SUM(K696)+IF(COUNTIF(K$1237:K1299,1)=1,5,0)+IF(COUNTIF(L697:$W697,"&gt;"&amp;0)&lt;5,IF(AND(COUNTIF(K$1237:K1299,1)&gt;7,MOD(1+IFERROR(MATCH($C697,总览!$D$46:$D$345,1)+1,1),7)=0),$C$3,0),0)</f>
        <v>154.366666666667</v>
      </c>
      <c r="L697" s="131" cm="1">
        <f ca="1" t="array" ref="L697">IF(L1299=1,OFFSET($W$634,$B697,L$631-1)/SUMPRODUCT(--($D$631:$V$631=L$631),--($D1299:$V1299=1)),0)+SUM(L696)+IF(COUNTIF(L$1237:L1299,1)=1,5,0)+IF(COUNTIF(M697:$W697,"&gt;"&amp;0)&lt;5,IF(AND(COUNTIF(L$1237:L1299,1)&gt;7,MOD(1+IFERROR(MATCH($C697,总览!$D$46:$D$345,1)+1,1),7)=0),$C$3,0),0)</f>
        <v>154.366666666667</v>
      </c>
      <c r="M697" s="131" cm="1">
        <f ca="1" t="array" ref="M697">IF(M1299=1,OFFSET($W$634,$B697,M$631-1)/SUMPRODUCT(--($D$631:$V$631=M$631),--($D1299:$V1299=1)),0)+SUM(M696)+IF(COUNTIF(M$1237:M1299,1)=1,5,0)+IF(COUNTIF(N697:$W697,"&gt;"&amp;0)&lt;5,IF(AND(COUNTIF(M$1237:M1299,1)&gt;7,MOD(1+IFERROR(MATCH($C697,总览!$D$46:$D$345,1)+1,1),7)=0),$C$3,0),0)</f>
        <v>57.0098214285714</v>
      </c>
      <c r="N697" s="131" cm="1">
        <f ca="1" t="array" ref="N697">IF(N1299=1,OFFSET($W$634,$B697,N$631-1)/SUMPRODUCT(--($D$631:$V$631=N$631),--($D1299:$V1299=1)),0)+SUM(N696)+IF(COUNTIF(N$1237:N1299,1)=1,5,0)+IF(COUNTIF(O697:$W697,"&gt;"&amp;0)&lt;5,IF(AND(COUNTIF(N$1237:N1299,1)&gt;7,MOD(1+IFERROR(MATCH($C697,总览!$D$46:$D$345,1)+1,1),7)=0),$C$3,0),0)</f>
        <v>58.2598214285714</v>
      </c>
      <c r="O697" s="131" cm="1">
        <f ca="1" t="array" ref="O697">IF(O1299=1,OFFSET($W$634,$B697,O$631-1)/SUMPRODUCT(--($D$631:$V$631=O$631),--($D1299:$V1299=1)),0)+SUM(O696)+IF(COUNTIF(O$1237:O1299,1)=1,5,0)+IF(COUNTIF(P697:$W697,"&gt;"&amp;0)&lt;5,IF(AND(COUNTIF(O$1237:O1299,1)&gt;7,MOD(1+IFERROR(MATCH($C697,总览!$D$46:$D$345,1)+1,1),7)=0),$C$3,0),0)</f>
        <v>63.2598214285714</v>
      </c>
      <c r="P697" s="131" cm="1">
        <f ca="1" t="array" ref="P697">IF(P1299=1,OFFSET($W$634,$B697,P$631-1)/SUMPRODUCT(--($D$631:$V$631=P$631),--($D1299:$V1299=1)),0)+SUM(P696)+IF(COUNTIF(P$1237:P1299,1)=1,5,0)+IF(COUNTIF(Q697:$W697,"&gt;"&amp;0)&lt;5,IF(AND(COUNTIF(P$1237:P1299,1)&gt;7,MOD(1+IFERROR(MATCH($C697,总览!$D$46:$D$345,1)+1,1),7)=0),$C$3,0),0)</f>
        <v>52.3785714285714</v>
      </c>
      <c r="Q697" s="131" cm="1">
        <f ca="1" t="array" ref="Q697">IF(Q1299=1,OFFSET($W$634,$B697,Q$631-1)/SUMPRODUCT(--($D$631:$V$631=Q$631),--($D1299:$V1299=1)),0)+SUM(Q696)+IF(COUNTIF(Q$1237:Q1299,1)=1,5,0)+IF(COUNTIF(R697:$W697,"&gt;"&amp;0)&lt;5,IF(AND(COUNTIF(Q$1237:Q1299,1)&gt;7,MOD(1+IFERROR(MATCH($C697,总览!$D$46:$D$345,1)+1,1),7)=0),$C$3,0),0)</f>
        <v>65.7598214285713</v>
      </c>
      <c r="R697" s="131" cm="1">
        <f ca="1" t="array" ref="R697">IF(R1299=1,OFFSET($W$634,$B697,R$631-1)/SUMPRODUCT(--($D$631:$V$631=R$631),--($D1299:$V1299=1)),0)+SUM(R696)+IF(COUNTIF(R$1237:R1299,1)=1,5,0)+IF(COUNTIF(S697:$W697,"&gt;"&amp;0)&lt;5,IF(AND(COUNTIF(R$1237:R1299,1)&gt;7,MOD(1+IFERROR(MATCH($C697,总览!$D$46:$D$345,1)+1,1),7)=0),$C$3,0),0)</f>
        <v>57.3785714285714</v>
      </c>
      <c r="S697" s="131" cm="1">
        <f ca="1" t="array" ref="S697">IF(S1299=1,OFFSET($W$634,$B697,S$631-1)/SUMPRODUCT(--($D$631:$V$631=S$631),--($D1299:$V1299=1)),0)+SUM(S696)+IF(COUNTIF(S$1237:S1299,1)=1,5,0)+IF(COUNTIF(T697:$W697,"&gt;"&amp;0)&lt;5,IF(AND(COUNTIF(S$1237:S1299,1)&gt;7,MOD(1+IFERROR(MATCH($C697,总览!$D$46:$D$345,1)+1,1),7)=0),$C$3,0),0)</f>
        <v>64.8785714285714</v>
      </c>
      <c r="T697" s="131" cm="1">
        <f ca="1" t="array" ref="T697">IF(T1299=1,OFFSET($W$634,$B697,T$631-1)/SUMPRODUCT(--($D$631:$V$631=T$631),--($D1299:$V1299=1)),0)+SUM(T696)+IF(COUNTIF(T$1237:T1299,1)=1,5,0)+IF(COUNTIF(U697:$W697,"&gt;"&amp;0)&lt;5,IF(AND(COUNTIF(T$1237:T1299,1)&gt;7,MOD(1+IFERROR(MATCH($C697,总览!$D$46:$D$345,1)+1,1),7)=0),$C$3,0),0)</f>
        <v>25.4257271715857</v>
      </c>
      <c r="U697" s="131" cm="1">
        <f ca="1" t="array" ref="U697">IF(U1299=1,OFFSET($W$634,$B697,U$631-1)/SUMPRODUCT(--($D$631:$V$631=U$631),--($D1299:$V1299=1)),0)+SUM(U696)+IF(COUNTIF(U$1237:U1299,1)=1,5,0)+IF(COUNTIF(V697:$W697,"&gt;"&amp;0)&lt;5,IF(AND(COUNTIF(U$1237:U1299,1)&gt;7,MOD(1+IFERROR(MATCH($C697,总览!$D$46:$D$345,1)+1,1),7)=0),$C$3,0),0)</f>
        <v>30.9465135268854</v>
      </c>
      <c r="V697" s="131" cm="1">
        <f ca="1" t="array" ref="V697">IF(V1299=1,OFFSET($W$634,$B697,V$631-1)/SUMPRODUCT(--($D$631:$V$631=V$631),--($D1299:$V1299=1)),0)+SUM(V696)+IF(COUNTIF(V$1237:V1299,1)=1,5,0)+IF(COUNTIF(W697:$W697,"&gt;"&amp;0)&lt;5,IF(AND(COUNTIF(V$1237:V1299,1)&gt;7,MOD(1+IFERROR(MATCH($C697,总览!$D$46:$D$345,1)+1,1),7)=0),$C$3,0),0)</f>
        <v>50.7735132393187</v>
      </c>
      <c r="W697" s="135" cm="1">
        <f ca="1" t="array" ref="W697">SUMPRODUCT(TRANSPOSE($AA697:$AG697),OFFSET($L$9:$L$15,0,W$631-1))</f>
        <v>21.6942067191022</v>
      </c>
      <c r="X697" s="135" cm="1">
        <f ca="1" t="array" ref="X697">SUMPRODUCT(TRANSPOSE($AA697:$AG697),OFFSET($L$9:$L$15,0,X$631-1))</f>
        <v>18</v>
      </c>
      <c r="Y697" s="135" cm="1">
        <f ca="1" t="array" ref="Y697">SUMPRODUCT(TRANSPOSE($AA697:$AG697),OFFSET($L$9:$L$15,0,Y$631-1))</f>
        <v>8</v>
      </c>
      <c r="Z697" s="135" cm="1">
        <f ca="1" t="array" ref="Z697">SUMPRODUCT(TRANSPOSE($AA697:$AG697),OFFSET($L$9:$L$15,0,Z$631-1))</f>
        <v>2.30579328089777</v>
      </c>
      <c r="AA697" s="136">
        <f ca="1" t="shared" ref="AA697:AG697" si="365">AH697-AH696</f>
        <v>0</v>
      </c>
      <c r="AB697" s="136">
        <f ca="1" t="shared" si="365"/>
        <v>0</v>
      </c>
      <c r="AC697" s="136">
        <f ca="1" t="shared" si="365"/>
        <v>0</v>
      </c>
      <c r="AD697" s="136">
        <f ca="1" t="shared" si="365"/>
        <v>0</v>
      </c>
      <c r="AE697" s="136">
        <f ca="1" t="shared" si="365"/>
        <v>100</v>
      </c>
      <c r="AF697" s="136">
        <f ca="1" t="shared" si="365"/>
        <v>0</v>
      </c>
      <c r="AG697" s="136">
        <f ca="1" t="shared" si="365"/>
        <v>0</v>
      </c>
      <c r="AH697" s="136">
        <f ca="1" t="shared" si="241"/>
        <v>450</v>
      </c>
      <c r="AI697" s="136">
        <f ca="1" t="shared" ref="AI697:AN697" si="366">IF($C697&gt;OFFSET($Q$8,MATCH(AI$634,$AH$634:$AN$634,0),0),OFFSET($P$8,MATCH(AI$634,$AH$634:$AN$634,0),0),MAX(0,$C697-OFFSET($Q$8,RIGHT(AI$634,1)-1,0)))</f>
        <v>909</v>
      </c>
      <c r="AJ697" s="136">
        <f ca="1" t="shared" si="366"/>
        <v>1818</v>
      </c>
      <c r="AK697" s="136">
        <f ca="1" t="shared" si="366"/>
        <v>2727</v>
      </c>
      <c r="AL697" s="136">
        <f ca="1" t="shared" si="366"/>
        <v>396</v>
      </c>
      <c r="AM697" s="136">
        <f ca="1" t="shared" si="366"/>
        <v>0</v>
      </c>
      <c r="AN697" s="136">
        <f ca="1" t="shared" si="366"/>
        <v>0</v>
      </c>
      <c r="AP697" s="132">
        <v>63</v>
      </c>
      <c r="AQ697" s="132">
        <v>48710</v>
      </c>
      <c r="AR697" s="132">
        <v>48710</v>
      </c>
      <c r="AS697" s="132">
        <v>26570</v>
      </c>
      <c r="AT697" s="132">
        <v>14060</v>
      </c>
    </row>
    <row r="698" s="106" customFormat="1" ht="16.5" spans="2:46">
      <c r="B698" s="117">
        <v>64</v>
      </c>
      <c r="C698" s="130">
        <f t="shared" si="239"/>
        <v>6400</v>
      </c>
      <c r="D698" s="131" cm="1">
        <f ca="1" t="array" ref="D698">IF(D1300=1,OFFSET($W$634,$B698,D$631-1)/SUMPRODUCT(--($D$631:$V$631=D$631),--($D1300:$V1300=1)),0)+SUM(D697)+IF(COUNTIF(D$1237:D1300,1)=1,5,0)+IF(COUNTIF(E698:$W698,"&gt;"&amp;0)&lt;5,IF(AND(COUNTIF(D$1237:D1300,1)&gt;7,MOD(1+IFERROR(MATCH($C698,总览!$D$46:$D$345,1)+1,1),7)=0),$C$3,0),0)</f>
        <v>636.474484260438</v>
      </c>
      <c r="E698" s="131" cm="1">
        <f ca="1" t="array" ref="E698">IF(E1300=1,OFFSET($W$634,$B698,E$631-1)/SUMPRODUCT(--($D$631:$V$631=E$631),--($D1300:$V1300=1)),0)+SUM(E697)+IF(COUNTIF(E$1237:E1300,1)=1,5,0)+IF(COUNTIF(F698:$W698,"&gt;"&amp;0)&lt;5,IF(AND(COUNTIF(E$1237:E1300,1)&gt;7,MOD(1+IFERROR(MATCH($C698,总览!$D$46:$D$345,1)+1,1),7)=0),$C$3,0),0)</f>
        <v>636.474484260438</v>
      </c>
      <c r="F698" s="131" cm="1">
        <f ca="1" t="array" ref="F698">IF(F1300=1,OFFSET($W$634,$B698,F$631-1)/SUMPRODUCT(--($D$631:$V$631=F$631),--($D1300:$V1300=1)),0)+SUM(F697)+IF(COUNTIF(F$1237:F1300,1)=1,5,0)+IF(COUNTIF(G698:$W698,"&gt;"&amp;0)&lt;5,IF(AND(COUNTIF(F$1237:F1300,1)&gt;7,MOD(1+IFERROR(MATCH($C698,总览!$D$46:$D$345,1)+1,1),7)=0),$C$3,0),0)</f>
        <v>636.474484260438</v>
      </c>
      <c r="G698" s="131" cm="1">
        <f ca="1" t="array" ref="G698">IF(G1300=1,OFFSET($W$634,$B698,G$631-1)/SUMPRODUCT(--($D$631:$V$631=G$631),--($D1300:$V1300=1)),0)+SUM(G697)+IF(COUNTIF(G$1237:G1300,1)=1,5,0)+IF(COUNTIF(H698:$W698,"&gt;"&amp;0)&lt;5,IF(AND(COUNTIF(G$1237:G1300,1)&gt;7,MOD(1+IFERROR(MATCH($C698,总览!$D$46:$D$345,1)+1,1),7)=0),$C$3,0),0)</f>
        <v>163.2</v>
      </c>
      <c r="H698" s="131" cm="1">
        <f ca="1" t="array" ref="H698">IF(H1300=1,OFFSET($W$634,$B698,H$631-1)/SUMPRODUCT(--($D$631:$V$631=H$631),--($D1300:$V1300=1)),0)+SUM(H697)+IF(COUNTIF(H$1237:H1300,1)=1,5,0)+IF(COUNTIF(I698:$W698,"&gt;"&amp;0)&lt;5,IF(AND(COUNTIF(H$1237:H1300,1)&gt;7,MOD(1+IFERROR(MATCH($C698,总览!$D$46:$D$345,1)+1,1),7)=0),$C$3,0),0)</f>
        <v>163.2</v>
      </c>
      <c r="I698" s="131" cm="1">
        <f ca="1" t="array" ref="I698">IF(I1300=1,OFFSET($W$634,$B698,I$631-1)/SUMPRODUCT(--($D$631:$V$631=I$631),--($D1300:$V1300=1)),0)+SUM(I697)+IF(COUNTIF(I$1237:I1300,1)=1,5,0)+IF(COUNTIF(J698:$W698,"&gt;"&amp;0)&lt;5,IF(AND(COUNTIF(I$1237:I1300,1)&gt;7,MOD(1+IFERROR(MATCH($C698,总览!$D$46:$D$345,1)+1,1),7)=0),$C$3,0),0)</f>
        <v>163.2</v>
      </c>
      <c r="J698" s="131" cm="1">
        <f ca="1" t="array" ref="J698">IF(J1300=1,OFFSET($W$634,$B698,J$631-1)/SUMPRODUCT(--($D$631:$V$631=J$631),--($D1300:$V1300=1)),0)+SUM(J697)+IF(COUNTIF(J$1237:J1300,1)=1,5,0)+IF(COUNTIF(K698:$W698,"&gt;"&amp;0)&lt;5,IF(AND(COUNTIF(J$1237:J1300,1)&gt;7,MOD(1+IFERROR(MATCH($C698,总览!$D$46:$D$345,1)+1,1),7)=0),$C$3,0),0)</f>
        <v>159.866666666667</v>
      </c>
      <c r="K698" s="131" cm="1">
        <f ca="1" t="array" ref="K698">IF(K1300=1,OFFSET($W$634,$B698,K$631-1)/SUMPRODUCT(--($D$631:$V$631=K$631),--($D1300:$V1300=1)),0)+SUM(K697)+IF(COUNTIF(K$1237:K1300,1)=1,5,0)+IF(COUNTIF(L698:$W698,"&gt;"&amp;0)&lt;5,IF(AND(COUNTIF(K$1237:K1300,1)&gt;7,MOD(1+IFERROR(MATCH($C698,总览!$D$46:$D$345,1)+1,1),7)=0),$C$3,0),0)</f>
        <v>157.366666666667</v>
      </c>
      <c r="L698" s="131" cm="1">
        <f ca="1" t="array" ref="L698">IF(L1300=1,OFFSET($W$634,$B698,L$631-1)/SUMPRODUCT(--($D$631:$V$631=L$631),--($D1300:$V1300=1)),0)+SUM(L697)+IF(COUNTIF(L$1237:L1300,1)=1,5,0)+IF(COUNTIF(M698:$W698,"&gt;"&amp;0)&lt;5,IF(AND(COUNTIF(L$1237:L1300,1)&gt;7,MOD(1+IFERROR(MATCH($C698,总览!$D$46:$D$345,1)+1,1),7)=0),$C$3,0),0)</f>
        <v>157.366666666667</v>
      </c>
      <c r="M698" s="131" cm="1">
        <f ca="1" t="array" ref="M698">IF(M1300=1,OFFSET($W$634,$B698,M$631-1)/SUMPRODUCT(--($D$631:$V$631=M$631),--($D1300:$V1300=1)),0)+SUM(M697)+IF(COUNTIF(M$1237:M1300,1)=1,5,0)+IF(COUNTIF(N698:$W698,"&gt;"&amp;0)&lt;5,IF(AND(COUNTIF(M$1237:M1300,1)&gt;7,MOD(1+IFERROR(MATCH($C698,总览!$D$46:$D$345,1)+1,1),7)=0),$C$3,0),0)</f>
        <v>58.1526785714285</v>
      </c>
      <c r="N698" s="131" cm="1">
        <f ca="1" t="array" ref="N698">IF(N1300=1,OFFSET($W$634,$B698,N$631-1)/SUMPRODUCT(--($D$631:$V$631=N$631),--($D1300:$V1300=1)),0)+SUM(N697)+IF(COUNTIF(N$1237:N1300,1)=1,5,0)+IF(COUNTIF(O698:$W698,"&gt;"&amp;0)&lt;5,IF(AND(COUNTIF(N$1237:N1300,1)&gt;7,MOD(1+IFERROR(MATCH($C698,总览!$D$46:$D$345,1)+1,1),7)=0),$C$3,0),0)</f>
        <v>59.4026785714285</v>
      </c>
      <c r="O698" s="131" cm="1">
        <f ca="1" t="array" ref="O698">IF(O1300=1,OFFSET($W$634,$B698,O$631-1)/SUMPRODUCT(--($D$631:$V$631=O$631),--($D1300:$V1300=1)),0)+SUM(O697)+IF(COUNTIF(O$1237:O1300,1)=1,5,0)+IF(COUNTIF(P698:$W698,"&gt;"&amp;0)&lt;5,IF(AND(COUNTIF(O$1237:O1300,1)&gt;7,MOD(1+IFERROR(MATCH($C698,总览!$D$46:$D$345,1)+1,1),7)=0),$C$3,0),0)</f>
        <v>64.4026785714285</v>
      </c>
      <c r="P698" s="131" cm="1">
        <f ca="1" t="array" ref="P698">IF(P1300=1,OFFSET($W$634,$B698,P$631-1)/SUMPRODUCT(--($D$631:$V$631=P$631),--($D1300:$V1300=1)),0)+SUM(P697)+IF(COUNTIF(P$1237:P1300,1)=1,5,0)+IF(COUNTIF(Q698:$W698,"&gt;"&amp;0)&lt;5,IF(AND(COUNTIF(P$1237:P1300,1)&gt;7,MOD(1+IFERROR(MATCH($C698,总览!$D$46:$D$345,1)+1,1),7)=0),$C$3,0),0)</f>
        <v>53.5214285714285</v>
      </c>
      <c r="Q698" s="131" cm="1">
        <f ca="1" t="array" ref="Q698">IF(Q1300=1,OFFSET($W$634,$B698,Q$631-1)/SUMPRODUCT(--($D$631:$V$631=Q$631),--($D1300:$V1300=1)),0)+SUM(Q697)+IF(COUNTIF(Q$1237:Q1300,1)=1,5,0)+IF(COUNTIF(R698:$W698,"&gt;"&amp;0)&lt;5,IF(AND(COUNTIF(Q$1237:Q1300,1)&gt;7,MOD(1+IFERROR(MATCH($C698,总览!$D$46:$D$345,1)+1,1),7)=0),$C$3,0),0)</f>
        <v>66.9026785714285</v>
      </c>
      <c r="R698" s="131" cm="1">
        <f ca="1" t="array" ref="R698">IF(R1300=1,OFFSET($W$634,$B698,R$631-1)/SUMPRODUCT(--($D$631:$V$631=R$631),--($D1300:$V1300=1)),0)+SUM(R697)+IF(COUNTIF(R$1237:R1300,1)=1,5,0)+IF(COUNTIF(S698:$W698,"&gt;"&amp;0)&lt;5,IF(AND(COUNTIF(R$1237:R1300,1)&gt;7,MOD(1+IFERROR(MATCH($C698,总览!$D$46:$D$345,1)+1,1),7)=0),$C$3,0),0)</f>
        <v>58.5214285714285</v>
      </c>
      <c r="S698" s="131" cm="1">
        <f ca="1" t="array" ref="S698">IF(S1300=1,OFFSET($W$634,$B698,S$631-1)/SUMPRODUCT(--($D$631:$V$631=S$631),--($D1300:$V1300=1)),0)+SUM(S697)+IF(COUNTIF(S$1237:S1300,1)=1,5,0)+IF(COUNTIF(T698:$W698,"&gt;"&amp;0)&lt;5,IF(AND(COUNTIF(S$1237:S1300,1)&gt;7,MOD(1+IFERROR(MATCH($C698,总览!$D$46:$D$345,1)+1,1),7)=0),$C$3,0),0)</f>
        <v>66.0214285714285</v>
      </c>
      <c r="T698" s="131" cm="1">
        <f ca="1" t="array" ref="T698">IF(T1300=1,OFFSET($W$634,$B698,T$631-1)/SUMPRODUCT(--($D$631:$V$631=T$631),--($D1300:$V1300=1)),0)+SUM(T697)+IF(COUNTIF(T$1237:T1300,1)=1,5,0)+IF(COUNTIF(U698:$W698,"&gt;"&amp;0)&lt;5,IF(AND(COUNTIF(T$1237:T1300,1)&gt;7,MOD(1+IFERROR(MATCH($C698,总览!$D$46:$D$345,1)+1,1),7)=0),$C$3,0),0)</f>
        <v>26.194324931885</v>
      </c>
      <c r="U698" s="131" cm="1">
        <f ca="1" t="array" ref="U698">IF(U1300=1,OFFSET($W$634,$B698,U$631-1)/SUMPRODUCT(--($D$631:$V$631=U$631),--($D1300:$V1300=1)),0)+SUM(U697)+IF(COUNTIF(U$1237:U1300,1)=1,5,0)+IF(COUNTIF(V698:$W698,"&gt;"&amp;0)&lt;5,IF(AND(COUNTIF(U$1237:U1300,1)&gt;7,MOD(1+IFERROR(MATCH($C698,总览!$D$46:$D$345,1)+1,1),7)=0),$C$3,0),0)</f>
        <v>31.7151112871846</v>
      </c>
      <c r="V698" s="131" cm="1">
        <f ca="1" t="array" ref="V698">IF(V1300=1,OFFSET($W$634,$B698,V$631-1)/SUMPRODUCT(--($D$631:$V$631=V$631),--($D1300:$V1300=1)),0)+SUM(V697)+IF(COUNTIF(V$1237:V1300,1)=1,5,0)+IF(COUNTIF(W698:$W698,"&gt;"&amp;0)&lt;5,IF(AND(COUNTIF(V$1237:V1300,1)&gt;7,MOD(1+IFERROR(MATCH($C698,总览!$D$46:$D$345,1)+1,1),7)=0),$C$3,0),0)</f>
        <v>51.542110999618</v>
      </c>
      <c r="W698" s="135" cm="1">
        <f ca="1" t="array" ref="W698">SUMPRODUCT(TRANSPOSE($AA698:$AG698),OFFSET($L$9:$L$15,0,W$631-1))</f>
        <v>21.6942067191022</v>
      </c>
      <c r="X698" s="135" cm="1">
        <f ca="1" t="array" ref="X698">SUMPRODUCT(TRANSPOSE($AA698:$AG698),OFFSET($L$9:$L$15,0,X$631-1))</f>
        <v>18</v>
      </c>
      <c r="Y698" s="135" cm="1">
        <f ca="1" t="array" ref="Y698">SUMPRODUCT(TRANSPOSE($AA698:$AG698),OFFSET($L$9:$L$15,0,Y$631-1))</f>
        <v>8</v>
      </c>
      <c r="Z698" s="135" cm="1">
        <f ca="1" t="array" ref="Z698">SUMPRODUCT(TRANSPOSE($AA698:$AG698),OFFSET($L$9:$L$15,0,Z$631-1))</f>
        <v>2.30579328089777</v>
      </c>
      <c r="AA698" s="136">
        <f ca="1" t="shared" ref="AA698:AG698" si="367">AH698-AH697</f>
        <v>0</v>
      </c>
      <c r="AB698" s="136">
        <f ca="1" t="shared" si="367"/>
        <v>0</v>
      </c>
      <c r="AC698" s="136">
        <f ca="1" t="shared" si="367"/>
        <v>0</v>
      </c>
      <c r="AD698" s="136">
        <f ca="1" t="shared" si="367"/>
        <v>0</v>
      </c>
      <c r="AE698" s="136">
        <f ca="1" t="shared" si="367"/>
        <v>100</v>
      </c>
      <c r="AF698" s="136">
        <f ca="1" t="shared" si="367"/>
        <v>0</v>
      </c>
      <c r="AG698" s="136">
        <f ca="1" t="shared" si="367"/>
        <v>0</v>
      </c>
      <c r="AH698" s="136">
        <f ca="1" t="shared" si="241"/>
        <v>450</v>
      </c>
      <c r="AI698" s="136">
        <f ca="1" t="shared" ref="AI698:AN698" si="368">IF($C698&gt;OFFSET($Q$8,MATCH(AI$634,$AH$634:$AN$634,0),0),OFFSET($P$8,MATCH(AI$634,$AH$634:$AN$634,0),0),MAX(0,$C698-OFFSET($Q$8,RIGHT(AI$634,1)-1,0)))</f>
        <v>909</v>
      </c>
      <c r="AJ698" s="136">
        <f ca="1" t="shared" si="368"/>
        <v>1818</v>
      </c>
      <c r="AK698" s="136">
        <f ca="1" t="shared" si="368"/>
        <v>2727</v>
      </c>
      <c r="AL698" s="136">
        <f ca="1" t="shared" si="368"/>
        <v>496</v>
      </c>
      <c r="AM698" s="136">
        <f ca="1" t="shared" si="368"/>
        <v>0</v>
      </c>
      <c r="AN698" s="136">
        <f ca="1" t="shared" si="368"/>
        <v>0</v>
      </c>
      <c r="AP698" s="132">
        <v>64</v>
      </c>
      <c r="AQ698" s="132">
        <v>51230</v>
      </c>
      <c r="AR698" s="132">
        <v>51230</v>
      </c>
      <c r="AS698" s="132">
        <v>28010</v>
      </c>
      <c r="AT698" s="132">
        <v>14780</v>
      </c>
    </row>
    <row r="699" s="106" customFormat="1" ht="16.5" spans="2:46">
      <c r="B699" s="117">
        <v>65</v>
      </c>
      <c r="C699" s="130">
        <f t="shared" ref="C699:C762" si="369">C94</f>
        <v>6500</v>
      </c>
      <c r="D699" s="131" cm="1">
        <f ca="1" t="array" ref="D699">IF(D1301=1,OFFSET($W$634,$B699,D$631-1)/SUMPRODUCT(--($D$631:$V$631=D$631),--($D1301:$V1301=1)),0)+SUM(D698)+IF(COUNTIF(D$1237:D1301,1)=1,5,0)+IF(COUNTIF(E699:$W699,"&gt;"&amp;0)&lt;5,IF(AND(COUNTIF(D$1237:D1301,1)&gt;7,MOD(1+IFERROR(MATCH($C699,总览!$D$46:$D$345,1)+1,1),7)=0),$C$3,0),0)</f>
        <v>643.705886500139</v>
      </c>
      <c r="E699" s="131" cm="1">
        <f ca="1" t="array" ref="E699">IF(E1301=1,OFFSET($W$634,$B699,E$631-1)/SUMPRODUCT(--($D$631:$V$631=E$631),--($D1301:$V1301=1)),0)+SUM(E698)+IF(COUNTIF(E$1237:E1301,1)=1,5,0)+IF(COUNTIF(F699:$W699,"&gt;"&amp;0)&lt;5,IF(AND(COUNTIF(E$1237:E1301,1)&gt;7,MOD(1+IFERROR(MATCH($C699,总览!$D$46:$D$345,1)+1,1),7)=0),$C$3,0),0)</f>
        <v>643.705886500139</v>
      </c>
      <c r="F699" s="131" cm="1">
        <f ca="1" t="array" ref="F699">IF(F1301=1,OFFSET($W$634,$B699,F$631-1)/SUMPRODUCT(--($D$631:$V$631=F$631),--($D1301:$V1301=1)),0)+SUM(F698)+IF(COUNTIF(F$1237:F1301,1)=1,5,0)+IF(COUNTIF(G699:$W699,"&gt;"&amp;0)&lt;5,IF(AND(COUNTIF(F$1237:F1301,1)&gt;7,MOD(1+IFERROR(MATCH($C699,总览!$D$46:$D$345,1)+1,1),7)=0),$C$3,0),0)</f>
        <v>643.705886500139</v>
      </c>
      <c r="G699" s="131" cm="1">
        <f ca="1" t="array" ref="G699">IF(G1301=1,OFFSET($W$634,$B699,G$631-1)/SUMPRODUCT(--($D$631:$V$631=G$631),--($D1301:$V1301=1)),0)+SUM(G698)+IF(COUNTIF(G$1237:G1301,1)=1,5,0)+IF(COUNTIF(H699:$W699,"&gt;"&amp;0)&lt;5,IF(AND(COUNTIF(G$1237:G1301,1)&gt;7,MOD(1+IFERROR(MATCH($C699,总览!$D$46:$D$345,1)+1,1),7)=0),$C$3,0),0)</f>
        <v>166.2</v>
      </c>
      <c r="H699" s="131" cm="1">
        <f ca="1" t="array" ref="H699">IF(H1301=1,OFFSET($W$634,$B699,H$631-1)/SUMPRODUCT(--($D$631:$V$631=H$631),--($D1301:$V1301=1)),0)+SUM(H698)+IF(COUNTIF(H$1237:H1301,1)=1,5,0)+IF(COUNTIF(I699:$W699,"&gt;"&amp;0)&lt;5,IF(AND(COUNTIF(H$1237:H1301,1)&gt;7,MOD(1+IFERROR(MATCH($C699,总览!$D$46:$D$345,1)+1,1),7)=0),$C$3,0),0)</f>
        <v>166.2</v>
      </c>
      <c r="I699" s="131" cm="1">
        <f ca="1" t="array" ref="I699">IF(I1301=1,OFFSET($W$634,$B699,I$631-1)/SUMPRODUCT(--($D$631:$V$631=I$631),--($D1301:$V1301=1)),0)+SUM(I698)+IF(COUNTIF(I$1237:I1301,1)=1,5,0)+IF(COUNTIF(J699:$W699,"&gt;"&amp;0)&lt;5,IF(AND(COUNTIF(I$1237:I1301,1)&gt;7,MOD(1+IFERROR(MATCH($C699,总览!$D$46:$D$345,1)+1,1),7)=0),$C$3,0),0)</f>
        <v>166.2</v>
      </c>
      <c r="J699" s="131" cm="1">
        <f ca="1" t="array" ref="J699">IF(J1301=1,OFFSET($W$634,$B699,J$631-1)/SUMPRODUCT(--($D$631:$V$631=J$631),--($D1301:$V1301=1)),0)+SUM(J698)+IF(COUNTIF(J$1237:J1301,1)=1,5,0)+IF(COUNTIF(K699:$W699,"&gt;"&amp;0)&lt;5,IF(AND(COUNTIF(J$1237:J1301,1)&gt;7,MOD(1+IFERROR(MATCH($C699,总览!$D$46:$D$345,1)+1,1),7)=0),$C$3,0),0)</f>
        <v>162.866666666667</v>
      </c>
      <c r="K699" s="131" cm="1">
        <f ca="1" t="array" ref="K699">IF(K1301=1,OFFSET($W$634,$B699,K$631-1)/SUMPRODUCT(--($D$631:$V$631=K$631),--($D1301:$V1301=1)),0)+SUM(K698)+IF(COUNTIF(K$1237:K1301,1)=1,5,0)+IF(COUNTIF(L699:$W699,"&gt;"&amp;0)&lt;5,IF(AND(COUNTIF(K$1237:K1301,1)&gt;7,MOD(1+IFERROR(MATCH($C699,总览!$D$46:$D$345,1)+1,1),7)=0),$C$3,0),0)</f>
        <v>160.366666666667</v>
      </c>
      <c r="L699" s="131" cm="1">
        <f ca="1" t="array" ref="L699">IF(L1301=1,OFFSET($W$634,$B699,L$631-1)/SUMPRODUCT(--($D$631:$V$631=L$631),--($D1301:$V1301=1)),0)+SUM(L698)+IF(COUNTIF(L$1237:L1301,1)=1,5,0)+IF(COUNTIF(M699:$W699,"&gt;"&amp;0)&lt;5,IF(AND(COUNTIF(L$1237:L1301,1)&gt;7,MOD(1+IFERROR(MATCH($C699,总览!$D$46:$D$345,1)+1,1),7)=0),$C$3,0),0)</f>
        <v>160.366666666667</v>
      </c>
      <c r="M699" s="131" cm="1">
        <f ca="1" t="array" ref="M699">IF(M1301=1,OFFSET($W$634,$B699,M$631-1)/SUMPRODUCT(--($D$631:$V$631=M$631),--($D1301:$V1301=1)),0)+SUM(M698)+IF(COUNTIF(M$1237:M1301,1)=1,5,0)+IF(COUNTIF(N699:$W699,"&gt;"&amp;0)&lt;5,IF(AND(COUNTIF(M$1237:M1301,1)&gt;7,MOD(1+IFERROR(MATCH($C699,总览!$D$46:$D$345,1)+1,1),7)=0),$C$3,0),0)</f>
        <v>59.2955357142857</v>
      </c>
      <c r="N699" s="131" cm="1">
        <f ca="1" t="array" ref="N699">IF(N1301=1,OFFSET($W$634,$B699,N$631-1)/SUMPRODUCT(--($D$631:$V$631=N$631),--($D1301:$V1301=1)),0)+SUM(N698)+IF(COUNTIF(N$1237:N1301,1)=1,5,0)+IF(COUNTIF(O699:$W699,"&gt;"&amp;0)&lt;5,IF(AND(COUNTIF(N$1237:N1301,1)&gt;7,MOD(1+IFERROR(MATCH($C699,总览!$D$46:$D$345,1)+1,1),7)=0),$C$3,0),0)</f>
        <v>60.5455357142857</v>
      </c>
      <c r="O699" s="131" cm="1">
        <f ca="1" t="array" ref="O699">IF(O1301=1,OFFSET($W$634,$B699,O$631-1)/SUMPRODUCT(--($D$631:$V$631=O$631),--($D1301:$V1301=1)),0)+SUM(O698)+IF(COUNTIF(O$1237:O1301,1)=1,5,0)+IF(COUNTIF(P699:$W699,"&gt;"&amp;0)&lt;5,IF(AND(COUNTIF(O$1237:O1301,1)&gt;7,MOD(1+IFERROR(MATCH($C699,总览!$D$46:$D$345,1)+1,1),7)=0),$C$3,0),0)</f>
        <v>65.5455357142856</v>
      </c>
      <c r="P699" s="131" cm="1">
        <f ca="1" t="array" ref="P699">IF(P1301=1,OFFSET($W$634,$B699,P$631-1)/SUMPRODUCT(--($D$631:$V$631=P$631),--($D1301:$V1301=1)),0)+SUM(P698)+IF(COUNTIF(P$1237:P1301,1)=1,5,0)+IF(COUNTIF(Q699:$W699,"&gt;"&amp;0)&lt;5,IF(AND(COUNTIF(P$1237:P1301,1)&gt;7,MOD(1+IFERROR(MATCH($C699,总览!$D$46:$D$345,1)+1,1),7)=0),$C$3,0),0)</f>
        <v>54.6642857142857</v>
      </c>
      <c r="Q699" s="131" cm="1">
        <f ca="1" t="array" ref="Q699">IF(Q1301=1,OFFSET($W$634,$B699,Q$631-1)/SUMPRODUCT(--($D$631:$V$631=Q$631),--($D1301:$V1301=1)),0)+SUM(Q698)+IF(COUNTIF(Q$1237:Q1301,1)=1,5,0)+IF(COUNTIF(R699:$W699,"&gt;"&amp;0)&lt;5,IF(AND(COUNTIF(Q$1237:Q1301,1)&gt;7,MOD(1+IFERROR(MATCH($C699,总览!$D$46:$D$345,1)+1,1),7)=0),$C$3,0),0)</f>
        <v>68.0455357142856</v>
      </c>
      <c r="R699" s="131" cm="1">
        <f ca="1" t="array" ref="R699">IF(R1301=1,OFFSET($W$634,$B699,R$631-1)/SUMPRODUCT(--($D$631:$V$631=R$631),--($D1301:$V1301=1)),0)+SUM(R698)+IF(COUNTIF(R$1237:R1301,1)=1,5,0)+IF(COUNTIF(S699:$W699,"&gt;"&amp;0)&lt;5,IF(AND(COUNTIF(R$1237:R1301,1)&gt;7,MOD(1+IFERROR(MATCH($C699,总览!$D$46:$D$345,1)+1,1),7)=0),$C$3,0),0)</f>
        <v>59.6642857142857</v>
      </c>
      <c r="S699" s="131" cm="1">
        <f ca="1" t="array" ref="S699">IF(S1301=1,OFFSET($W$634,$B699,S$631-1)/SUMPRODUCT(--($D$631:$V$631=S$631),--($D1301:$V1301=1)),0)+SUM(S698)+IF(COUNTIF(S$1237:S1301,1)=1,5,0)+IF(COUNTIF(T699:$W699,"&gt;"&amp;0)&lt;5,IF(AND(COUNTIF(S$1237:S1301,1)&gt;7,MOD(1+IFERROR(MATCH($C699,总览!$D$46:$D$345,1)+1,1),7)=0),$C$3,0),0)</f>
        <v>67.1642857142857</v>
      </c>
      <c r="T699" s="131" cm="1">
        <f ca="1" t="array" ref="T699">IF(T1301=1,OFFSET($W$634,$B699,T$631-1)/SUMPRODUCT(--($D$631:$V$631=T$631),--($D1301:$V1301=1)),0)+SUM(T698)+IF(COUNTIF(T$1237:T1301,1)=1,5,0)+IF(COUNTIF(U699:$W699,"&gt;"&amp;0)&lt;5,IF(AND(COUNTIF(T$1237:T1301,1)&gt;7,MOD(1+IFERROR(MATCH($C699,总览!$D$46:$D$345,1)+1,1),7)=0),$C$3,0),0)</f>
        <v>26.9629226921842</v>
      </c>
      <c r="U699" s="131" cm="1">
        <f ca="1" t="array" ref="U699">IF(U1301=1,OFFSET($W$634,$B699,U$631-1)/SUMPRODUCT(--($D$631:$V$631=U$631),--($D1301:$V1301=1)),0)+SUM(U698)+IF(COUNTIF(U$1237:U1301,1)=1,5,0)+IF(COUNTIF(V699:$W699,"&gt;"&amp;0)&lt;5,IF(AND(COUNTIF(U$1237:U1301,1)&gt;7,MOD(1+IFERROR(MATCH($C699,总览!$D$46:$D$345,1)+1,1),7)=0),$C$3,0),0)</f>
        <v>32.4837090474839</v>
      </c>
      <c r="V699" s="131" cm="1">
        <f ca="1" t="array" ref="V699">IF(V1301=1,OFFSET($W$634,$B699,V$631-1)/SUMPRODUCT(--($D$631:$V$631=V$631),--($D1301:$V1301=1)),0)+SUM(V698)+IF(COUNTIF(V$1237:V1301,1)=1,5,0)+IF(COUNTIF(W699:$W699,"&gt;"&amp;0)&lt;5,IF(AND(COUNTIF(V$1237:V1301,1)&gt;7,MOD(1+IFERROR(MATCH($C699,总览!$D$46:$D$345,1)+1,1),7)=0),$C$3,0),0)</f>
        <v>52.3107087599172</v>
      </c>
      <c r="W699" s="135" cm="1">
        <f ca="1" t="array" ref="W699">SUMPRODUCT(TRANSPOSE($AA699:$AG699),OFFSET($L$9:$L$15,0,W$631-1))</f>
        <v>21.6942067191022</v>
      </c>
      <c r="X699" s="135" cm="1">
        <f ca="1" t="array" ref="X699">SUMPRODUCT(TRANSPOSE($AA699:$AG699),OFFSET($L$9:$L$15,0,X$631-1))</f>
        <v>18</v>
      </c>
      <c r="Y699" s="135" cm="1">
        <f ca="1" t="array" ref="Y699">SUMPRODUCT(TRANSPOSE($AA699:$AG699),OFFSET($L$9:$L$15,0,Y$631-1))</f>
        <v>8</v>
      </c>
      <c r="Z699" s="135" cm="1">
        <f ca="1" t="array" ref="Z699">SUMPRODUCT(TRANSPOSE($AA699:$AG699),OFFSET($L$9:$L$15,0,Z$631-1))</f>
        <v>2.30579328089777</v>
      </c>
      <c r="AA699" s="136">
        <f ca="1" t="shared" ref="AA699:AG699" si="370">AH699-AH698</f>
        <v>0</v>
      </c>
      <c r="AB699" s="136">
        <f ca="1" t="shared" si="370"/>
        <v>0</v>
      </c>
      <c r="AC699" s="136">
        <f ca="1" t="shared" si="370"/>
        <v>0</v>
      </c>
      <c r="AD699" s="136">
        <f ca="1" t="shared" si="370"/>
        <v>0</v>
      </c>
      <c r="AE699" s="136">
        <f ca="1" t="shared" si="370"/>
        <v>100</v>
      </c>
      <c r="AF699" s="136">
        <f ca="1" t="shared" si="370"/>
        <v>0</v>
      </c>
      <c r="AG699" s="136">
        <f ca="1" t="shared" si="370"/>
        <v>0</v>
      </c>
      <c r="AH699" s="136">
        <f ca="1" t="shared" ref="AH699:AH762" si="371">IF($C699&gt;OFFSET($Q$8,MATCH(AH$634,$AH$634:$AN$634,0),0),OFFSET($P$8,MATCH(AH$634,$AH$634:$AN$634,0),0),$C699)</f>
        <v>450</v>
      </c>
      <c r="AI699" s="136">
        <f ca="1" t="shared" ref="AI699:AN699" si="372">IF($C699&gt;OFFSET($Q$8,MATCH(AI$634,$AH$634:$AN$634,0),0),OFFSET($P$8,MATCH(AI$634,$AH$634:$AN$634,0),0),MAX(0,$C699-OFFSET($Q$8,RIGHT(AI$634,1)-1,0)))</f>
        <v>909</v>
      </c>
      <c r="AJ699" s="136">
        <f ca="1" t="shared" si="372"/>
        <v>1818</v>
      </c>
      <c r="AK699" s="136">
        <f ca="1" t="shared" si="372"/>
        <v>2727</v>
      </c>
      <c r="AL699" s="136">
        <f ca="1" t="shared" si="372"/>
        <v>596</v>
      </c>
      <c r="AM699" s="136">
        <f ca="1" t="shared" si="372"/>
        <v>0</v>
      </c>
      <c r="AN699" s="136">
        <f ca="1" t="shared" si="372"/>
        <v>0</v>
      </c>
      <c r="AP699" s="132">
        <v>65</v>
      </c>
      <c r="AQ699" s="132">
        <v>53750</v>
      </c>
      <c r="AR699" s="132">
        <v>53750</v>
      </c>
      <c r="AS699" s="132">
        <v>29450</v>
      </c>
      <c r="AT699" s="132">
        <v>15500</v>
      </c>
    </row>
    <row r="700" s="106" customFormat="1" ht="16.5" spans="2:46">
      <c r="B700" s="117">
        <v>66</v>
      </c>
      <c r="C700" s="130">
        <f t="shared" si="369"/>
        <v>6600</v>
      </c>
      <c r="D700" s="131" cm="1">
        <f ca="1" t="array" ref="D700">IF(D1302=1,OFFSET($W$634,$B700,D$631-1)/SUMPRODUCT(--($D$631:$V$631=D$631),--($D1302:$V1302=1)),0)+SUM(D699)+IF(COUNTIF(D$1237:D1302,1)=1,5,0)+IF(COUNTIF(E700:$W700,"&gt;"&amp;0)&lt;5,IF(AND(COUNTIF(D$1237:D1302,1)&gt;7,MOD(1+IFERROR(MATCH($C700,总览!$D$46:$D$345,1)+1,1),7)=0),$C$3,0),0)</f>
        <v>650.937288739839</v>
      </c>
      <c r="E700" s="131" cm="1">
        <f ca="1" t="array" ref="E700">IF(E1302=1,OFFSET($W$634,$B700,E$631-1)/SUMPRODUCT(--($D$631:$V$631=E$631),--($D1302:$V1302=1)),0)+SUM(E699)+IF(COUNTIF(E$1237:E1302,1)=1,5,0)+IF(COUNTIF(F700:$W700,"&gt;"&amp;0)&lt;5,IF(AND(COUNTIF(E$1237:E1302,1)&gt;7,MOD(1+IFERROR(MATCH($C700,总览!$D$46:$D$345,1)+1,1),7)=0),$C$3,0),0)</f>
        <v>650.937288739839</v>
      </c>
      <c r="F700" s="131" cm="1">
        <f ca="1" t="array" ref="F700">IF(F1302=1,OFFSET($W$634,$B700,F$631-1)/SUMPRODUCT(--($D$631:$V$631=F$631),--($D1302:$V1302=1)),0)+SUM(F699)+IF(COUNTIF(F$1237:F1302,1)=1,5,0)+IF(COUNTIF(G700:$W700,"&gt;"&amp;0)&lt;5,IF(AND(COUNTIF(F$1237:F1302,1)&gt;7,MOD(1+IFERROR(MATCH($C700,总览!$D$46:$D$345,1)+1,1),7)=0),$C$3,0),0)</f>
        <v>650.937288739839</v>
      </c>
      <c r="G700" s="131" cm="1">
        <f ca="1" t="array" ref="G700">IF(G1302=1,OFFSET($W$634,$B700,G$631-1)/SUMPRODUCT(--($D$631:$V$631=G$631),--($D1302:$V1302=1)),0)+SUM(G699)+IF(COUNTIF(G$1237:G1302,1)=1,5,0)+IF(COUNTIF(H700:$W700,"&gt;"&amp;0)&lt;5,IF(AND(COUNTIF(G$1237:G1302,1)&gt;7,MOD(1+IFERROR(MATCH($C700,总览!$D$46:$D$345,1)+1,1),7)=0),$C$3,0),0)</f>
        <v>169.2</v>
      </c>
      <c r="H700" s="131" cm="1">
        <f ca="1" t="array" ref="H700">IF(H1302=1,OFFSET($W$634,$B700,H$631-1)/SUMPRODUCT(--($D$631:$V$631=H$631),--($D1302:$V1302=1)),0)+SUM(H699)+IF(COUNTIF(H$1237:H1302,1)=1,5,0)+IF(COUNTIF(I700:$W700,"&gt;"&amp;0)&lt;5,IF(AND(COUNTIF(H$1237:H1302,1)&gt;7,MOD(1+IFERROR(MATCH($C700,总览!$D$46:$D$345,1)+1,1),7)=0),$C$3,0),0)</f>
        <v>169.2</v>
      </c>
      <c r="I700" s="131" cm="1">
        <f ca="1" t="array" ref="I700">IF(I1302=1,OFFSET($W$634,$B700,I$631-1)/SUMPRODUCT(--($D$631:$V$631=I$631),--($D1302:$V1302=1)),0)+SUM(I699)+IF(COUNTIF(I$1237:I1302,1)=1,5,0)+IF(COUNTIF(J700:$W700,"&gt;"&amp;0)&lt;5,IF(AND(COUNTIF(I$1237:I1302,1)&gt;7,MOD(1+IFERROR(MATCH($C700,总览!$D$46:$D$345,1)+1,1),7)=0),$C$3,0),0)</f>
        <v>169.2</v>
      </c>
      <c r="J700" s="131" cm="1">
        <f ca="1" t="array" ref="J700">IF(J1302=1,OFFSET($W$634,$B700,J$631-1)/SUMPRODUCT(--($D$631:$V$631=J$631),--($D1302:$V1302=1)),0)+SUM(J699)+IF(COUNTIF(J$1237:J1302,1)=1,5,0)+IF(COUNTIF(K700:$W700,"&gt;"&amp;0)&lt;5,IF(AND(COUNTIF(J$1237:J1302,1)&gt;7,MOD(1+IFERROR(MATCH($C700,总览!$D$46:$D$345,1)+1,1),7)=0),$C$3,0),0)</f>
        <v>165.866666666667</v>
      </c>
      <c r="K700" s="131" cm="1">
        <f ca="1" t="array" ref="K700">IF(K1302=1,OFFSET($W$634,$B700,K$631-1)/SUMPRODUCT(--($D$631:$V$631=K$631),--($D1302:$V1302=1)),0)+SUM(K699)+IF(COUNTIF(K$1237:K1302,1)=1,5,0)+IF(COUNTIF(L700:$W700,"&gt;"&amp;0)&lt;5,IF(AND(COUNTIF(K$1237:K1302,1)&gt;7,MOD(1+IFERROR(MATCH($C700,总览!$D$46:$D$345,1)+1,1),7)=0),$C$3,0),0)</f>
        <v>163.366666666667</v>
      </c>
      <c r="L700" s="131" cm="1">
        <f ca="1" t="array" ref="L700">IF(L1302=1,OFFSET($W$634,$B700,L$631-1)/SUMPRODUCT(--($D$631:$V$631=L$631),--($D1302:$V1302=1)),0)+SUM(L699)+IF(COUNTIF(L$1237:L1302,1)=1,5,0)+IF(COUNTIF(M700:$W700,"&gt;"&amp;0)&lt;5,IF(AND(COUNTIF(L$1237:L1302,1)&gt;7,MOD(1+IFERROR(MATCH($C700,总览!$D$46:$D$345,1)+1,1),7)=0),$C$3,0),0)</f>
        <v>163.366666666667</v>
      </c>
      <c r="M700" s="131" cm="1">
        <f ca="1" t="array" ref="M700">IF(M1302=1,OFFSET($W$634,$B700,M$631-1)/SUMPRODUCT(--($D$631:$V$631=M$631),--($D1302:$V1302=1)),0)+SUM(M699)+IF(COUNTIF(M$1237:M1302,1)=1,5,0)+IF(COUNTIF(N700:$W700,"&gt;"&amp;0)&lt;5,IF(AND(COUNTIF(M$1237:M1302,1)&gt;7,MOD(1+IFERROR(MATCH($C700,总览!$D$46:$D$345,1)+1,1),7)=0),$C$3,0),0)</f>
        <v>60.4383928571428</v>
      </c>
      <c r="N700" s="131" cm="1">
        <f ca="1" t="array" ref="N700">IF(N1302=1,OFFSET($W$634,$B700,N$631-1)/SUMPRODUCT(--($D$631:$V$631=N$631),--($D1302:$V1302=1)),0)+SUM(N699)+IF(COUNTIF(N$1237:N1302,1)=1,5,0)+IF(COUNTIF(O700:$W700,"&gt;"&amp;0)&lt;5,IF(AND(COUNTIF(N$1237:N1302,1)&gt;7,MOD(1+IFERROR(MATCH($C700,总览!$D$46:$D$345,1)+1,1),7)=0),$C$3,0),0)</f>
        <v>61.6883928571428</v>
      </c>
      <c r="O700" s="131" cm="1">
        <f ca="1" t="array" ref="O700">IF(O1302=1,OFFSET($W$634,$B700,O$631-1)/SUMPRODUCT(--($D$631:$V$631=O$631),--($D1302:$V1302=1)),0)+SUM(O699)+IF(COUNTIF(O$1237:O1302,1)=1,5,0)+IF(COUNTIF(P700:$W700,"&gt;"&amp;0)&lt;5,IF(AND(COUNTIF(O$1237:O1302,1)&gt;7,MOD(1+IFERROR(MATCH($C700,总览!$D$46:$D$345,1)+1,1),7)=0),$C$3,0),0)</f>
        <v>66.6883928571428</v>
      </c>
      <c r="P700" s="131" cm="1">
        <f ca="1" t="array" ref="P700">IF(P1302=1,OFFSET($W$634,$B700,P$631-1)/SUMPRODUCT(--($D$631:$V$631=P$631),--($D1302:$V1302=1)),0)+SUM(P699)+IF(COUNTIF(P$1237:P1302,1)=1,5,0)+IF(COUNTIF(Q700:$W700,"&gt;"&amp;0)&lt;5,IF(AND(COUNTIF(P$1237:P1302,1)&gt;7,MOD(1+IFERROR(MATCH($C700,总览!$D$46:$D$345,1)+1,1),7)=0),$C$3,0),0)</f>
        <v>55.8071428571428</v>
      </c>
      <c r="Q700" s="131" cm="1">
        <f ca="1" t="array" ref="Q700">IF(Q1302=1,OFFSET($W$634,$B700,Q$631-1)/SUMPRODUCT(--($D$631:$V$631=Q$631),--($D1302:$V1302=1)),0)+SUM(Q699)+IF(COUNTIF(Q$1237:Q1302,1)=1,5,0)+IF(COUNTIF(R700:$W700,"&gt;"&amp;0)&lt;5,IF(AND(COUNTIF(Q$1237:Q1302,1)&gt;7,MOD(1+IFERROR(MATCH($C700,总览!$D$46:$D$345,1)+1,1),7)=0),$C$3,0),0)</f>
        <v>69.1883928571428</v>
      </c>
      <c r="R700" s="131" cm="1">
        <f ca="1" t="array" ref="R700">IF(R1302=1,OFFSET($W$634,$B700,R$631-1)/SUMPRODUCT(--($D$631:$V$631=R$631),--($D1302:$V1302=1)),0)+SUM(R699)+IF(COUNTIF(R$1237:R1302,1)=1,5,0)+IF(COUNTIF(S700:$W700,"&gt;"&amp;0)&lt;5,IF(AND(COUNTIF(R$1237:R1302,1)&gt;7,MOD(1+IFERROR(MATCH($C700,总览!$D$46:$D$345,1)+1,1),7)=0),$C$3,0),0)</f>
        <v>60.8071428571428</v>
      </c>
      <c r="S700" s="131" cm="1">
        <f ca="1" t="array" ref="S700">IF(S1302=1,OFFSET($W$634,$B700,S$631-1)/SUMPRODUCT(--($D$631:$V$631=S$631),--($D1302:$V1302=1)),0)+SUM(S699)+IF(COUNTIF(S$1237:S1302,1)=1,5,0)+IF(COUNTIF(T700:$W700,"&gt;"&amp;0)&lt;5,IF(AND(COUNTIF(S$1237:S1302,1)&gt;7,MOD(1+IFERROR(MATCH($C700,总览!$D$46:$D$345,1)+1,1),7)=0),$C$3,0),0)</f>
        <v>73.3071428571428</v>
      </c>
      <c r="T700" s="131" cm="1">
        <f ca="1" t="array" ref="T700">IF(T1302=1,OFFSET($W$634,$B700,T$631-1)/SUMPRODUCT(--($D$631:$V$631=T$631),--($D1302:$V1302=1)),0)+SUM(T699)+IF(COUNTIF(T$1237:T1302,1)=1,5,0)+IF(COUNTIF(U700:$W700,"&gt;"&amp;0)&lt;5,IF(AND(COUNTIF(T$1237:T1302,1)&gt;7,MOD(1+IFERROR(MATCH($C700,总览!$D$46:$D$345,1)+1,1),7)=0),$C$3,0),0)</f>
        <v>32.7315204524835</v>
      </c>
      <c r="U700" s="131" cm="1">
        <f ca="1" t="array" ref="U700">IF(U1302=1,OFFSET($W$634,$B700,U$631-1)/SUMPRODUCT(--($D$631:$V$631=U$631),--($D1302:$V1302=1)),0)+SUM(U699)+IF(COUNTIF(U$1237:U1302,1)=1,5,0)+IF(COUNTIF(V700:$W700,"&gt;"&amp;0)&lt;5,IF(AND(COUNTIF(U$1237:U1302,1)&gt;7,MOD(1+IFERROR(MATCH($C700,总览!$D$46:$D$345,1)+1,1),7)=0),$C$3,0),0)</f>
        <v>38.2523068077831</v>
      </c>
      <c r="V700" s="131" cm="1">
        <f ca="1" t="array" ref="V700">IF(V1302=1,OFFSET($W$634,$B700,V$631-1)/SUMPRODUCT(--($D$631:$V$631=V$631),--($D1302:$V1302=1)),0)+SUM(V699)+IF(COUNTIF(V$1237:V1302,1)=1,5,0)+IF(COUNTIF(W700:$W700,"&gt;"&amp;0)&lt;5,IF(AND(COUNTIF(V$1237:V1302,1)&gt;7,MOD(1+IFERROR(MATCH($C700,总览!$D$46:$D$345,1)+1,1),7)=0),$C$3,0),0)</f>
        <v>58.0793065202165</v>
      </c>
      <c r="W700" s="135" cm="1">
        <f ca="1" t="array" ref="W700">SUMPRODUCT(TRANSPOSE($AA700:$AG700),OFFSET($L$9:$L$15,0,W$631-1))</f>
        <v>21.6942067191022</v>
      </c>
      <c r="X700" s="135" cm="1">
        <f ca="1" t="array" ref="X700">SUMPRODUCT(TRANSPOSE($AA700:$AG700),OFFSET($L$9:$L$15,0,X$631-1))</f>
        <v>18</v>
      </c>
      <c r="Y700" s="135" cm="1">
        <f ca="1" t="array" ref="Y700">SUMPRODUCT(TRANSPOSE($AA700:$AG700),OFFSET($L$9:$L$15,0,Y$631-1))</f>
        <v>8</v>
      </c>
      <c r="Z700" s="135" cm="1">
        <f ca="1" t="array" ref="Z700">SUMPRODUCT(TRANSPOSE($AA700:$AG700),OFFSET($L$9:$L$15,0,Z$631-1))</f>
        <v>2.30579328089777</v>
      </c>
      <c r="AA700" s="136">
        <f ca="1" t="shared" ref="AA700:AG700" si="373">AH700-AH699</f>
        <v>0</v>
      </c>
      <c r="AB700" s="136">
        <f ca="1" t="shared" si="373"/>
        <v>0</v>
      </c>
      <c r="AC700" s="136">
        <f ca="1" t="shared" si="373"/>
        <v>0</v>
      </c>
      <c r="AD700" s="136">
        <f ca="1" t="shared" si="373"/>
        <v>0</v>
      </c>
      <c r="AE700" s="136">
        <f ca="1" t="shared" si="373"/>
        <v>100</v>
      </c>
      <c r="AF700" s="136">
        <f ca="1" t="shared" si="373"/>
        <v>0</v>
      </c>
      <c r="AG700" s="136">
        <f ca="1" t="shared" si="373"/>
        <v>0</v>
      </c>
      <c r="AH700" s="136">
        <f ca="1" t="shared" si="371"/>
        <v>450</v>
      </c>
      <c r="AI700" s="136">
        <f ca="1" t="shared" ref="AI700:AN700" si="374">IF($C700&gt;OFFSET($Q$8,MATCH(AI$634,$AH$634:$AN$634,0),0),OFFSET($P$8,MATCH(AI$634,$AH$634:$AN$634,0),0),MAX(0,$C700-OFFSET($Q$8,RIGHT(AI$634,1)-1,0)))</f>
        <v>909</v>
      </c>
      <c r="AJ700" s="136">
        <f ca="1" t="shared" si="374"/>
        <v>1818</v>
      </c>
      <c r="AK700" s="136">
        <f ca="1" t="shared" si="374"/>
        <v>2727</v>
      </c>
      <c r="AL700" s="136">
        <f ca="1" t="shared" si="374"/>
        <v>696</v>
      </c>
      <c r="AM700" s="136">
        <f ca="1" t="shared" si="374"/>
        <v>0</v>
      </c>
      <c r="AN700" s="136">
        <f ca="1" t="shared" si="374"/>
        <v>0</v>
      </c>
      <c r="AP700" s="132">
        <v>66</v>
      </c>
      <c r="AQ700" s="132">
        <v>56630</v>
      </c>
      <c r="AR700" s="132">
        <v>56630</v>
      </c>
      <c r="AS700" s="132">
        <v>31130</v>
      </c>
      <c r="AT700" s="132">
        <v>16340</v>
      </c>
    </row>
    <row r="701" s="106" customFormat="1" ht="16.5" spans="2:46">
      <c r="B701" s="117">
        <v>67</v>
      </c>
      <c r="C701" s="130">
        <f t="shared" si="369"/>
        <v>6700</v>
      </c>
      <c r="D701" s="131" cm="1">
        <f ca="1" t="array" ref="D701">IF(D1303=1,OFFSET($W$634,$B701,D$631-1)/SUMPRODUCT(--($D$631:$V$631=D$631),--($D1303:$V1303=1)),0)+SUM(D700)+IF(COUNTIF(D$1237:D1303,1)=1,5,0)+IF(COUNTIF(E701:$W701,"&gt;"&amp;0)&lt;5,IF(AND(COUNTIF(D$1237:D1303,1)&gt;7,MOD(1+IFERROR(MATCH($C701,总览!$D$46:$D$345,1)+1,1),7)=0),$C$3,0),0)</f>
        <v>658.16869097954</v>
      </c>
      <c r="E701" s="131" cm="1">
        <f ca="1" t="array" ref="E701">IF(E1303=1,OFFSET($W$634,$B701,E$631-1)/SUMPRODUCT(--($D$631:$V$631=E$631),--($D1303:$V1303=1)),0)+SUM(E700)+IF(COUNTIF(E$1237:E1303,1)=1,5,0)+IF(COUNTIF(F701:$W701,"&gt;"&amp;0)&lt;5,IF(AND(COUNTIF(E$1237:E1303,1)&gt;7,MOD(1+IFERROR(MATCH($C701,总览!$D$46:$D$345,1)+1,1),7)=0),$C$3,0),0)</f>
        <v>658.16869097954</v>
      </c>
      <c r="F701" s="131" cm="1">
        <f ca="1" t="array" ref="F701">IF(F1303=1,OFFSET($W$634,$B701,F$631-1)/SUMPRODUCT(--($D$631:$V$631=F$631),--($D1303:$V1303=1)),0)+SUM(F700)+IF(COUNTIF(F$1237:F1303,1)=1,5,0)+IF(COUNTIF(G701:$W701,"&gt;"&amp;0)&lt;5,IF(AND(COUNTIF(F$1237:F1303,1)&gt;7,MOD(1+IFERROR(MATCH($C701,总览!$D$46:$D$345,1)+1,1),7)=0),$C$3,0),0)</f>
        <v>658.16869097954</v>
      </c>
      <c r="G701" s="131" cm="1">
        <f ca="1" t="array" ref="G701">IF(G1303=1,OFFSET($W$634,$B701,G$631-1)/SUMPRODUCT(--($D$631:$V$631=G$631),--($D1303:$V1303=1)),0)+SUM(G700)+IF(COUNTIF(G$1237:G1303,1)=1,5,0)+IF(COUNTIF(H701:$W701,"&gt;"&amp;0)&lt;5,IF(AND(COUNTIF(G$1237:G1303,1)&gt;7,MOD(1+IFERROR(MATCH($C701,总览!$D$46:$D$345,1)+1,1),7)=0),$C$3,0),0)</f>
        <v>172.2</v>
      </c>
      <c r="H701" s="131" cm="1">
        <f ca="1" t="array" ref="H701">IF(H1303=1,OFFSET($W$634,$B701,H$631-1)/SUMPRODUCT(--($D$631:$V$631=H$631),--($D1303:$V1303=1)),0)+SUM(H700)+IF(COUNTIF(H$1237:H1303,1)=1,5,0)+IF(COUNTIF(I701:$W701,"&gt;"&amp;0)&lt;5,IF(AND(COUNTIF(H$1237:H1303,1)&gt;7,MOD(1+IFERROR(MATCH($C701,总览!$D$46:$D$345,1)+1,1),7)=0),$C$3,0),0)</f>
        <v>172.2</v>
      </c>
      <c r="I701" s="131" cm="1">
        <f ca="1" t="array" ref="I701">IF(I1303=1,OFFSET($W$634,$B701,I$631-1)/SUMPRODUCT(--($D$631:$V$631=I$631),--($D1303:$V1303=1)),0)+SUM(I700)+IF(COUNTIF(I$1237:I1303,1)=1,5,0)+IF(COUNTIF(J701:$W701,"&gt;"&amp;0)&lt;5,IF(AND(COUNTIF(I$1237:I1303,1)&gt;7,MOD(1+IFERROR(MATCH($C701,总览!$D$46:$D$345,1)+1,1),7)=0),$C$3,0),0)</f>
        <v>172.2</v>
      </c>
      <c r="J701" s="131" cm="1">
        <f ca="1" t="array" ref="J701">IF(J1303=1,OFFSET($W$634,$B701,J$631-1)/SUMPRODUCT(--($D$631:$V$631=J$631),--($D1303:$V1303=1)),0)+SUM(J700)+IF(COUNTIF(J$1237:J1303,1)=1,5,0)+IF(COUNTIF(K701:$W701,"&gt;"&amp;0)&lt;5,IF(AND(COUNTIF(J$1237:J1303,1)&gt;7,MOD(1+IFERROR(MATCH($C701,总览!$D$46:$D$345,1)+1,1),7)=0),$C$3,0),0)</f>
        <v>168.866666666667</v>
      </c>
      <c r="K701" s="131" cm="1">
        <f ca="1" t="array" ref="K701">IF(K1303=1,OFFSET($W$634,$B701,K$631-1)/SUMPRODUCT(--($D$631:$V$631=K$631),--($D1303:$V1303=1)),0)+SUM(K700)+IF(COUNTIF(K$1237:K1303,1)=1,5,0)+IF(COUNTIF(L701:$W701,"&gt;"&amp;0)&lt;5,IF(AND(COUNTIF(K$1237:K1303,1)&gt;7,MOD(1+IFERROR(MATCH($C701,总览!$D$46:$D$345,1)+1,1),7)=0),$C$3,0),0)</f>
        <v>166.366666666667</v>
      </c>
      <c r="L701" s="131" cm="1">
        <f ca="1" t="array" ref="L701">IF(L1303=1,OFFSET($W$634,$B701,L$631-1)/SUMPRODUCT(--($D$631:$V$631=L$631),--($D1303:$V1303=1)),0)+SUM(L700)+IF(COUNTIF(L$1237:L1303,1)=1,5,0)+IF(COUNTIF(M701:$W701,"&gt;"&amp;0)&lt;5,IF(AND(COUNTIF(L$1237:L1303,1)&gt;7,MOD(1+IFERROR(MATCH($C701,总览!$D$46:$D$345,1)+1,1),7)=0),$C$3,0),0)</f>
        <v>166.366666666667</v>
      </c>
      <c r="M701" s="131" cm="1">
        <f ca="1" t="array" ref="M701">IF(M1303=1,OFFSET($W$634,$B701,M$631-1)/SUMPRODUCT(--($D$631:$V$631=M$631),--($D1303:$V1303=1)),0)+SUM(M700)+IF(COUNTIF(M$1237:M1303,1)=1,5,0)+IF(COUNTIF(N701:$W701,"&gt;"&amp;0)&lt;5,IF(AND(COUNTIF(M$1237:M1303,1)&gt;7,MOD(1+IFERROR(MATCH($C701,总览!$D$46:$D$345,1)+1,1),7)=0),$C$3,0),0)</f>
        <v>61.58125</v>
      </c>
      <c r="N701" s="131" cm="1">
        <f ca="1" t="array" ref="N701">IF(N1303=1,OFFSET($W$634,$B701,N$631-1)/SUMPRODUCT(--($D$631:$V$631=N$631),--($D1303:$V1303=1)),0)+SUM(N700)+IF(COUNTIF(N$1237:N1303,1)=1,5,0)+IF(COUNTIF(O701:$W701,"&gt;"&amp;0)&lt;5,IF(AND(COUNTIF(N$1237:N1303,1)&gt;7,MOD(1+IFERROR(MATCH($C701,总览!$D$46:$D$345,1)+1,1),7)=0),$C$3,0),0)</f>
        <v>62.83125</v>
      </c>
      <c r="O701" s="131" cm="1">
        <f ca="1" t="array" ref="O701">IF(O1303=1,OFFSET($W$634,$B701,O$631-1)/SUMPRODUCT(--($D$631:$V$631=O$631),--($D1303:$V1303=1)),0)+SUM(O700)+IF(COUNTIF(O$1237:O1303,1)=1,5,0)+IF(COUNTIF(P701:$W701,"&gt;"&amp;0)&lt;5,IF(AND(COUNTIF(O$1237:O1303,1)&gt;7,MOD(1+IFERROR(MATCH($C701,总览!$D$46:$D$345,1)+1,1),7)=0),$C$3,0),0)</f>
        <v>67.8312499999999</v>
      </c>
      <c r="P701" s="131" cm="1">
        <f ca="1" t="array" ref="P701">IF(P1303=1,OFFSET($W$634,$B701,P$631-1)/SUMPRODUCT(--($D$631:$V$631=P$631),--($D1303:$V1303=1)),0)+SUM(P700)+IF(COUNTIF(P$1237:P1303,1)=1,5,0)+IF(COUNTIF(Q701:$W701,"&gt;"&amp;0)&lt;5,IF(AND(COUNTIF(P$1237:P1303,1)&gt;7,MOD(1+IFERROR(MATCH($C701,总览!$D$46:$D$345,1)+1,1),7)=0),$C$3,0),0)</f>
        <v>56.95</v>
      </c>
      <c r="Q701" s="131" cm="1">
        <f ca="1" t="array" ref="Q701">IF(Q1303=1,OFFSET($W$634,$B701,Q$631-1)/SUMPRODUCT(--($D$631:$V$631=Q$631),--($D1303:$V1303=1)),0)+SUM(Q700)+IF(COUNTIF(Q$1237:Q1303,1)=1,5,0)+IF(COUNTIF(R701:$W701,"&gt;"&amp;0)&lt;5,IF(AND(COUNTIF(Q$1237:Q1303,1)&gt;7,MOD(1+IFERROR(MATCH($C701,总览!$D$46:$D$345,1)+1,1),7)=0),$C$3,0),0)</f>
        <v>70.3312499999999</v>
      </c>
      <c r="R701" s="131" cm="1">
        <f ca="1" t="array" ref="R701">IF(R1303=1,OFFSET($W$634,$B701,R$631-1)/SUMPRODUCT(--($D$631:$V$631=R$631),--($D1303:$V1303=1)),0)+SUM(R700)+IF(COUNTIF(R$1237:R1303,1)=1,5,0)+IF(COUNTIF(S701:$W701,"&gt;"&amp;0)&lt;5,IF(AND(COUNTIF(R$1237:R1303,1)&gt;7,MOD(1+IFERROR(MATCH($C701,总览!$D$46:$D$345,1)+1,1),7)=0),$C$3,0),0)</f>
        <v>61.95</v>
      </c>
      <c r="S701" s="131" cm="1">
        <f ca="1" t="array" ref="S701">IF(S1303=1,OFFSET($W$634,$B701,S$631-1)/SUMPRODUCT(--($D$631:$V$631=S$631),--($D1303:$V1303=1)),0)+SUM(S700)+IF(COUNTIF(S$1237:S1303,1)=1,5,0)+IF(COUNTIF(T701:$W701,"&gt;"&amp;0)&lt;5,IF(AND(COUNTIF(S$1237:S1303,1)&gt;7,MOD(1+IFERROR(MATCH($C701,总览!$D$46:$D$345,1)+1,1),7)=0),$C$3,0),0)</f>
        <v>74.4499999999999</v>
      </c>
      <c r="T701" s="131" cm="1">
        <f ca="1" t="array" ref="T701">IF(T1303=1,OFFSET($W$634,$B701,T$631-1)/SUMPRODUCT(--($D$631:$V$631=T$631),--($D1303:$V1303=1)),0)+SUM(T700)+IF(COUNTIF(T$1237:T1303,1)=1,5,0)+IF(COUNTIF(U701:$W701,"&gt;"&amp;0)&lt;5,IF(AND(COUNTIF(T$1237:T1303,1)&gt;7,MOD(1+IFERROR(MATCH($C701,总览!$D$46:$D$345,1)+1,1),7)=0),$C$3,0),0)</f>
        <v>33.5001182127828</v>
      </c>
      <c r="U701" s="131" cm="1">
        <f ca="1" t="array" ref="U701">IF(U1303=1,OFFSET($W$634,$B701,U$631-1)/SUMPRODUCT(--($D$631:$V$631=U$631),--($D1303:$V1303=1)),0)+SUM(U700)+IF(COUNTIF(U$1237:U1303,1)=1,5,0)+IF(COUNTIF(V701:$W701,"&gt;"&amp;0)&lt;5,IF(AND(COUNTIF(U$1237:U1303,1)&gt;7,MOD(1+IFERROR(MATCH($C701,总览!$D$46:$D$345,1)+1,1),7)=0),$C$3,0),0)</f>
        <v>39.0209045680824</v>
      </c>
      <c r="V701" s="131" cm="1">
        <f ca="1" t="array" ref="V701">IF(V1303=1,OFFSET($W$634,$B701,V$631-1)/SUMPRODUCT(--($D$631:$V$631=V$631),--($D1303:$V1303=1)),0)+SUM(V700)+IF(COUNTIF(V$1237:V1303,1)=1,5,0)+IF(COUNTIF(W701:$W701,"&gt;"&amp;0)&lt;5,IF(AND(COUNTIF(V$1237:V1303,1)&gt;7,MOD(1+IFERROR(MATCH($C701,总览!$D$46:$D$345,1)+1,1),7)=0),$C$3,0),0)</f>
        <v>58.8479042805158</v>
      </c>
      <c r="W701" s="135" cm="1">
        <f ca="1" t="array" ref="W701">SUMPRODUCT(TRANSPOSE($AA701:$AG701),OFFSET($L$9:$L$15,0,W$631-1))</f>
        <v>21.6942067191022</v>
      </c>
      <c r="X701" s="135" cm="1">
        <f ca="1" t="array" ref="X701">SUMPRODUCT(TRANSPOSE($AA701:$AG701),OFFSET($L$9:$L$15,0,X$631-1))</f>
        <v>18</v>
      </c>
      <c r="Y701" s="135" cm="1">
        <f ca="1" t="array" ref="Y701">SUMPRODUCT(TRANSPOSE($AA701:$AG701),OFFSET($L$9:$L$15,0,Y$631-1))</f>
        <v>8</v>
      </c>
      <c r="Z701" s="135" cm="1">
        <f ca="1" t="array" ref="Z701">SUMPRODUCT(TRANSPOSE($AA701:$AG701),OFFSET($L$9:$L$15,0,Z$631-1))</f>
        <v>2.30579328089777</v>
      </c>
      <c r="AA701" s="136">
        <f ca="1" t="shared" ref="AA701:AG701" si="375">AH701-AH700</f>
        <v>0</v>
      </c>
      <c r="AB701" s="136">
        <f ca="1" t="shared" si="375"/>
        <v>0</v>
      </c>
      <c r="AC701" s="136">
        <f ca="1" t="shared" si="375"/>
        <v>0</v>
      </c>
      <c r="AD701" s="136">
        <f ca="1" t="shared" si="375"/>
        <v>0</v>
      </c>
      <c r="AE701" s="136">
        <f ca="1" t="shared" si="375"/>
        <v>100</v>
      </c>
      <c r="AF701" s="136">
        <f ca="1" t="shared" si="375"/>
        <v>0</v>
      </c>
      <c r="AG701" s="136">
        <f ca="1" t="shared" si="375"/>
        <v>0</v>
      </c>
      <c r="AH701" s="136">
        <f ca="1" t="shared" si="371"/>
        <v>450</v>
      </c>
      <c r="AI701" s="136">
        <f ca="1" t="shared" ref="AI701:AN701" si="376">IF($C701&gt;OFFSET($Q$8,MATCH(AI$634,$AH$634:$AN$634,0),0),OFFSET($P$8,MATCH(AI$634,$AH$634:$AN$634,0),0),MAX(0,$C701-OFFSET($Q$8,RIGHT(AI$634,1)-1,0)))</f>
        <v>909</v>
      </c>
      <c r="AJ701" s="136">
        <f ca="1" t="shared" si="376"/>
        <v>1818</v>
      </c>
      <c r="AK701" s="136">
        <f ca="1" t="shared" si="376"/>
        <v>2727</v>
      </c>
      <c r="AL701" s="136">
        <f ca="1" t="shared" si="376"/>
        <v>796</v>
      </c>
      <c r="AM701" s="136">
        <f ca="1" t="shared" si="376"/>
        <v>0</v>
      </c>
      <c r="AN701" s="136">
        <f ca="1" t="shared" si="376"/>
        <v>0</v>
      </c>
      <c r="AP701" s="132">
        <v>67</v>
      </c>
      <c r="AQ701" s="132">
        <v>59510</v>
      </c>
      <c r="AR701" s="132">
        <v>59510</v>
      </c>
      <c r="AS701" s="132">
        <v>32810</v>
      </c>
      <c r="AT701" s="132">
        <v>17180</v>
      </c>
    </row>
    <row r="702" s="106" customFormat="1" ht="16.5" spans="2:46">
      <c r="B702" s="117">
        <v>68</v>
      </c>
      <c r="C702" s="130">
        <f t="shared" si="369"/>
        <v>6800</v>
      </c>
      <c r="D702" s="131" cm="1">
        <f ca="1" t="array" ref="D702">IF(D1304=1,OFFSET($W$634,$B702,D$631-1)/SUMPRODUCT(--($D$631:$V$631=D$631),--($D1304:$V1304=1)),0)+SUM(D701)+IF(COUNTIF(D$1237:D1304,1)=1,5,0)+IF(COUNTIF(E702:$W702,"&gt;"&amp;0)&lt;5,IF(AND(COUNTIF(D$1237:D1304,1)&gt;7,MOD(1+IFERROR(MATCH($C702,总览!$D$46:$D$345,1)+1,1),7)=0),$C$3,0),0)</f>
        <v>665.400093219241</v>
      </c>
      <c r="E702" s="131" cm="1">
        <f ca="1" t="array" ref="E702">IF(E1304=1,OFFSET($W$634,$B702,E$631-1)/SUMPRODUCT(--($D$631:$V$631=E$631),--($D1304:$V1304=1)),0)+SUM(E701)+IF(COUNTIF(E$1237:E1304,1)=1,5,0)+IF(COUNTIF(F702:$W702,"&gt;"&amp;0)&lt;5,IF(AND(COUNTIF(E$1237:E1304,1)&gt;7,MOD(1+IFERROR(MATCH($C702,总览!$D$46:$D$345,1)+1,1),7)=0),$C$3,0),0)</f>
        <v>665.400093219241</v>
      </c>
      <c r="F702" s="131" cm="1">
        <f ca="1" t="array" ref="F702">IF(F1304=1,OFFSET($W$634,$B702,F$631-1)/SUMPRODUCT(--($D$631:$V$631=F$631),--($D1304:$V1304=1)),0)+SUM(F701)+IF(COUNTIF(F$1237:F1304,1)=1,5,0)+IF(COUNTIF(G702:$W702,"&gt;"&amp;0)&lt;5,IF(AND(COUNTIF(F$1237:F1304,1)&gt;7,MOD(1+IFERROR(MATCH($C702,总览!$D$46:$D$345,1)+1,1),7)=0),$C$3,0),0)</f>
        <v>665.400093219241</v>
      </c>
      <c r="G702" s="131" cm="1">
        <f ca="1" t="array" ref="G702">IF(G1304=1,OFFSET($W$634,$B702,G$631-1)/SUMPRODUCT(--($D$631:$V$631=G$631),--($D1304:$V1304=1)),0)+SUM(G701)+IF(COUNTIF(G$1237:G1304,1)=1,5,0)+IF(COUNTIF(H702:$W702,"&gt;"&amp;0)&lt;5,IF(AND(COUNTIF(G$1237:G1304,1)&gt;7,MOD(1+IFERROR(MATCH($C702,总览!$D$46:$D$345,1)+1,1),7)=0),$C$3,0),0)</f>
        <v>175.2</v>
      </c>
      <c r="H702" s="131" cm="1">
        <f ca="1" t="array" ref="H702">IF(H1304=1,OFFSET($W$634,$B702,H$631-1)/SUMPRODUCT(--($D$631:$V$631=H$631),--($D1304:$V1304=1)),0)+SUM(H701)+IF(COUNTIF(H$1237:H1304,1)=1,5,0)+IF(COUNTIF(I702:$W702,"&gt;"&amp;0)&lt;5,IF(AND(COUNTIF(H$1237:H1304,1)&gt;7,MOD(1+IFERROR(MATCH($C702,总览!$D$46:$D$345,1)+1,1),7)=0),$C$3,0),0)</f>
        <v>175.2</v>
      </c>
      <c r="I702" s="131" cm="1">
        <f ca="1" t="array" ref="I702">IF(I1304=1,OFFSET($W$634,$B702,I$631-1)/SUMPRODUCT(--($D$631:$V$631=I$631),--($D1304:$V1304=1)),0)+SUM(I701)+IF(COUNTIF(I$1237:I1304,1)=1,5,0)+IF(COUNTIF(J702:$W702,"&gt;"&amp;0)&lt;5,IF(AND(COUNTIF(I$1237:I1304,1)&gt;7,MOD(1+IFERROR(MATCH($C702,总览!$D$46:$D$345,1)+1,1),7)=0),$C$3,0),0)</f>
        <v>175.2</v>
      </c>
      <c r="J702" s="131" cm="1">
        <f ca="1" t="array" ref="J702">IF(J1304=1,OFFSET($W$634,$B702,J$631-1)/SUMPRODUCT(--($D$631:$V$631=J$631),--($D1304:$V1304=1)),0)+SUM(J701)+IF(COUNTIF(J$1237:J1304,1)=1,5,0)+IF(COUNTIF(K702:$W702,"&gt;"&amp;0)&lt;5,IF(AND(COUNTIF(J$1237:J1304,1)&gt;7,MOD(1+IFERROR(MATCH($C702,总览!$D$46:$D$345,1)+1,1),7)=0),$C$3,0),0)</f>
        <v>171.866666666667</v>
      </c>
      <c r="K702" s="131" cm="1">
        <f ca="1" t="array" ref="K702">IF(K1304=1,OFFSET($W$634,$B702,K$631-1)/SUMPRODUCT(--($D$631:$V$631=K$631),--($D1304:$V1304=1)),0)+SUM(K701)+IF(COUNTIF(K$1237:K1304,1)=1,5,0)+IF(COUNTIF(L702:$W702,"&gt;"&amp;0)&lt;5,IF(AND(COUNTIF(K$1237:K1304,1)&gt;7,MOD(1+IFERROR(MATCH($C702,总览!$D$46:$D$345,1)+1,1),7)=0),$C$3,0),0)</f>
        <v>169.366666666667</v>
      </c>
      <c r="L702" s="131" cm="1">
        <f ca="1" t="array" ref="L702">IF(L1304=1,OFFSET($W$634,$B702,L$631-1)/SUMPRODUCT(--($D$631:$V$631=L$631),--($D1304:$V1304=1)),0)+SUM(L701)+IF(COUNTIF(L$1237:L1304,1)=1,5,0)+IF(COUNTIF(M702:$W702,"&gt;"&amp;0)&lt;5,IF(AND(COUNTIF(L$1237:L1304,1)&gt;7,MOD(1+IFERROR(MATCH($C702,总览!$D$46:$D$345,1)+1,1),7)=0),$C$3,0),0)</f>
        <v>169.366666666667</v>
      </c>
      <c r="M702" s="131" cm="1">
        <f ca="1" t="array" ref="M702">IF(M1304=1,OFFSET($W$634,$B702,M$631-1)/SUMPRODUCT(--($D$631:$V$631=M$631),--($D1304:$V1304=1)),0)+SUM(M701)+IF(COUNTIF(M$1237:M1304,1)=1,5,0)+IF(COUNTIF(N702:$W702,"&gt;"&amp;0)&lt;5,IF(AND(COUNTIF(M$1237:M1304,1)&gt;7,MOD(1+IFERROR(MATCH($C702,总览!$D$46:$D$345,1)+1,1),7)=0),$C$3,0),0)</f>
        <v>62.7241071428571</v>
      </c>
      <c r="N702" s="131" cm="1">
        <f ca="1" t="array" ref="N702">IF(N1304=1,OFFSET($W$634,$B702,N$631-1)/SUMPRODUCT(--($D$631:$V$631=N$631),--($D1304:$V1304=1)),0)+SUM(N701)+IF(COUNTIF(N$1237:N1304,1)=1,5,0)+IF(COUNTIF(O702:$W702,"&gt;"&amp;0)&lt;5,IF(AND(COUNTIF(N$1237:N1304,1)&gt;7,MOD(1+IFERROR(MATCH($C702,总览!$D$46:$D$345,1)+1,1),7)=0),$C$3,0),0)</f>
        <v>63.9741071428571</v>
      </c>
      <c r="O702" s="131" cm="1">
        <f ca="1" t="array" ref="O702">IF(O1304=1,OFFSET($W$634,$B702,O$631-1)/SUMPRODUCT(--($D$631:$V$631=O$631),--($D1304:$V1304=1)),0)+SUM(O701)+IF(COUNTIF(O$1237:O1304,1)=1,5,0)+IF(COUNTIF(P702:$W702,"&gt;"&amp;0)&lt;5,IF(AND(COUNTIF(O$1237:O1304,1)&gt;7,MOD(1+IFERROR(MATCH($C702,总览!$D$46:$D$345,1)+1,1),7)=0),$C$3,0),0)</f>
        <v>68.9741071428571</v>
      </c>
      <c r="P702" s="131" cm="1">
        <f ca="1" t="array" ref="P702">IF(P1304=1,OFFSET($W$634,$B702,P$631-1)/SUMPRODUCT(--($D$631:$V$631=P$631),--($D1304:$V1304=1)),0)+SUM(P701)+IF(COUNTIF(P$1237:P1304,1)=1,5,0)+IF(COUNTIF(Q702:$W702,"&gt;"&amp;0)&lt;5,IF(AND(COUNTIF(P$1237:P1304,1)&gt;7,MOD(1+IFERROR(MATCH($C702,总览!$D$46:$D$345,1)+1,1),7)=0),$C$3,0),0)</f>
        <v>58.0928571428571</v>
      </c>
      <c r="Q702" s="131" cm="1">
        <f ca="1" t="array" ref="Q702">IF(Q1304=1,OFFSET($W$634,$B702,Q$631-1)/SUMPRODUCT(--($D$631:$V$631=Q$631),--($D1304:$V1304=1)),0)+SUM(Q701)+IF(COUNTIF(Q$1237:Q1304,1)=1,5,0)+IF(COUNTIF(R702:$W702,"&gt;"&amp;0)&lt;5,IF(AND(COUNTIF(Q$1237:Q1304,1)&gt;7,MOD(1+IFERROR(MATCH($C702,总览!$D$46:$D$345,1)+1,1),7)=0),$C$3,0),0)</f>
        <v>71.474107142857</v>
      </c>
      <c r="R702" s="131" cm="1">
        <f ca="1" t="array" ref="R702">IF(R1304=1,OFFSET($W$634,$B702,R$631-1)/SUMPRODUCT(--($D$631:$V$631=R$631),--($D1304:$V1304=1)),0)+SUM(R701)+IF(COUNTIF(R$1237:R1304,1)=1,5,0)+IF(COUNTIF(S702:$W702,"&gt;"&amp;0)&lt;5,IF(AND(COUNTIF(R$1237:R1304,1)&gt;7,MOD(1+IFERROR(MATCH($C702,总览!$D$46:$D$345,1)+1,1),7)=0),$C$3,0),0)</f>
        <v>63.0928571428571</v>
      </c>
      <c r="S702" s="131" cm="1">
        <f ca="1" t="array" ref="S702">IF(S1304=1,OFFSET($W$634,$B702,S$631-1)/SUMPRODUCT(--($D$631:$V$631=S$631),--($D1304:$V1304=1)),0)+SUM(S701)+IF(COUNTIF(S$1237:S1304,1)=1,5,0)+IF(COUNTIF(T702:$W702,"&gt;"&amp;0)&lt;5,IF(AND(COUNTIF(S$1237:S1304,1)&gt;7,MOD(1+IFERROR(MATCH($C702,总览!$D$46:$D$345,1)+1,1),7)=0),$C$3,0),0)</f>
        <v>75.5928571428571</v>
      </c>
      <c r="T702" s="131" cm="1">
        <f ca="1" t="array" ref="T702">IF(T1304=1,OFFSET($W$634,$B702,T$631-1)/SUMPRODUCT(--($D$631:$V$631=T$631),--($D1304:$V1304=1)),0)+SUM(T701)+IF(COUNTIF(T$1237:T1304,1)=1,5,0)+IF(COUNTIF(U702:$W702,"&gt;"&amp;0)&lt;5,IF(AND(COUNTIF(T$1237:T1304,1)&gt;7,MOD(1+IFERROR(MATCH($C702,总览!$D$46:$D$345,1)+1,1),7)=0),$C$3,0),0)</f>
        <v>34.268715973082</v>
      </c>
      <c r="U702" s="131" cm="1">
        <f ca="1" t="array" ref="U702">IF(U1304=1,OFFSET($W$634,$B702,U$631-1)/SUMPRODUCT(--($D$631:$V$631=U$631),--($D1304:$V1304=1)),0)+SUM(U701)+IF(COUNTIF(U$1237:U1304,1)=1,5,0)+IF(COUNTIF(V702:$W702,"&gt;"&amp;0)&lt;5,IF(AND(COUNTIF(U$1237:U1304,1)&gt;7,MOD(1+IFERROR(MATCH($C702,总览!$D$46:$D$345,1)+1,1),7)=0),$C$3,0),0)</f>
        <v>39.7895023283816</v>
      </c>
      <c r="V702" s="131" cm="1">
        <f ca="1" t="array" ref="V702">IF(V1304=1,OFFSET($W$634,$B702,V$631-1)/SUMPRODUCT(--($D$631:$V$631=V$631),--($D1304:$V1304=1)),0)+SUM(V701)+IF(COUNTIF(V$1237:V1304,1)=1,5,0)+IF(COUNTIF(W702:$W702,"&gt;"&amp;0)&lt;5,IF(AND(COUNTIF(V$1237:V1304,1)&gt;7,MOD(1+IFERROR(MATCH($C702,总览!$D$46:$D$345,1)+1,1),7)=0),$C$3,0),0)</f>
        <v>59.616502040815</v>
      </c>
      <c r="W702" s="135" cm="1">
        <f ca="1" t="array" ref="W702">SUMPRODUCT(TRANSPOSE($AA702:$AG702),OFFSET($L$9:$L$15,0,W$631-1))</f>
        <v>21.6942067191022</v>
      </c>
      <c r="X702" s="135" cm="1">
        <f ca="1" t="array" ref="X702">SUMPRODUCT(TRANSPOSE($AA702:$AG702),OFFSET($L$9:$L$15,0,X$631-1))</f>
        <v>18</v>
      </c>
      <c r="Y702" s="135" cm="1">
        <f ca="1" t="array" ref="Y702">SUMPRODUCT(TRANSPOSE($AA702:$AG702),OFFSET($L$9:$L$15,0,Y$631-1))</f>
        <v>8</v>
      </c>
      <c r="Z702" s="135" cm="1">
        <f ca="1" t="array" ref="Z702">SUMPRODUCT(TRANSPOSE($AA702:$AG702),OFFSET($L$9:$L$15,0,Z$631-1))</f>
        <v>2.30579328089777</v>
      </c>
      <c r="AA702" s="136">
        <f ca="1" t="shared" ref="AA702:AG702" si="377">AH702-AH701</f>
        <v>0</v>
      </c>
      <c r="AB702" s="136">
        <f ca="1" t="shared" si="377"/>
        <v>0</v>
      </c>
      <c r="AC702" s="136">
        <f ca="1" t="shared" si="377"/>
        <v>0</v>
      </c>
      <c r="AD702" s="136">
        <f ca="1" t="shared" si="377"/>
        <v>0</v>
      </c>
      <c r="AE702" s="136">
        <f ca="1" t="shared" si="377"/>
        <v>100</v>
      </c>
      <c r="AF702" s="136">
        <f ca="1" t="shared" si="377"/>
        <v>0</v>
      </c>
      <c r="AG702" s="136">
        <f ca="1" t="shared" si="377"/>
        <v>0</v>
      </c>
      <c r="AH702" s="136">
        <f ca="1" t="shared" si="371"/>
        <v>450</v>
      </c>
      <c r="AI702" s="136">
        <f ca="1" t="shared" ref="AI702:AN702" si="378">IF($C702&gt;OFFSET($Q$8,MATCH(AI$634,$AH$634:$AN$634,0),0),OFFSET($P$8,MATCH(AI$634,$AH$634:$AN$634,0),0),MAX(0,$C702-OFFSET($Q$8,RIGHT(AI$634,1)-1,0)))</f>
        <v>909</v>
      </c>
      <c r="AJ702" s="136">
        <f ca="1" t="shared" si="378"/>
        <v>1818</v>
      </c>
      <c r="AK702" s="136">
        <f ca="1" t="shared" si="378"/>
        <v>2727</v>
      </c>
      <c r="AL702" s="136">
        <f ca="1" t="shared" si="378"/>
        <v>896</v>
      </c>
      <c r="AM702" s="136">
        <f ca="1" t="shared" si="378"/>
        <v>0</v>
      </c>
      <c r="AN702" s="136">
        <f ca="1" t="shared" si="378"/>
        <v>0</v>
      </c>
      <c r="AP702" s="132">
        <v>68</v>
      </c>
      <c r="AQ702" s="132">
        <v>62390</v>
      </c>
      <c r="AR702" s="132">
        <v>62390</v>
      </c>
      <c r="AS702" s="132">
        <v>34490</v>
      </c>
      <c r="AT702" s="132">
        <v>18020</v>
      </c>
    </row>
    <row r="703" s="106" customFormat="1" ht="16.5" spans="2:46">
      <c r="B703" s="117">
        <v>69</v>
      </c>
      <c r="C703" s="130">
        <f t="shared" si="369"/>
        <v>6900</v>
      </c>
      <c r="D703" s="131" cm="1">
        <f ca="1" t="array" ref="D703">IF(D1305=1,OFFSET($W$634,$B703,D$631-1)/SUMPRODUCT(--($D$631:$V$631=D$631),--($D1305:$V1305=1)),0)+SUM(D702)+IF(COUNTIF(D$1237:D1305,1)=1,5,0)+IF(COUNTIF(E703:$W703,"&gt;"&amp;0)&lt;5,IF(AND(COUNTIF(D$1237:D1305,1)&gt;7,MOD(1+IFERROR(MATCH($C703,总览!$D$46:$D$345,1)+1,1),7)=0),$C$3,0),0)</f>
        <v>672.631495458942</v>
      </c>
      <c r="E703" s="131" cm="1">
        <f ca="1" t="array" ref="E703">IF(E1305=1,OFFSET($W$634,$B703,E$631-1)/SUMPRODUCT(--($D$631:$V$631=E$631),--($D1305:$V1305=1)),0)+SUM(E702)+IF(COUNTIF(E$1237:E1305,1)=1,5,0)+IF(COUNTIF(F703:$W703,"&gt;"&amp;0)&lt;5,IF(AND(COUNTIF(E$1237:E1305,1)&gt;7,MOD(1+IFERROR(MATCH($C703,总览!$D$46:$D$345,1)+1,1),7)=0),$C$3,0),0)</f>
        <v>672.631495458942</v>
      </c>
      <c r="F703" s="131" cm="1">
        <f ca="1" t="array" ref="F703">IF(F1305=1,OFFSET($W$634,$B703,F$631-1)/SUMPRODUCT(--($D$631:$V$631=F$631),--($D1305:$V1305=1)),0)+SUM(F702)+IF(COUNTIF(F$1237:F1305,1)=1,5,0)+IF(COUNTIF(G703:$W703,"&gt;"&amp;0)&lt;5,IF(AND(COUNTIF(F$1237:F1305,1)&gt;7,MOD(1+IFERROR(MATCH($C703,总览!$D$46:$D$345,1)+1,1),7)=0),$C$3,0),0)</f>
        <v>672.631495458942</v>
      </c>
      <c r="G703" s="131" cm="1">
        <f ca="1" t="array" ref="G703">IF(G1305=1,OFFSET($W$634,$B703,G$631-1)/SUMPRODUCT(--($D$631:$V$631=G$631),--($D1305:$V1305=1)),0)+SUM(G702)+IF(COUNTIF(G$1237:G1305,1)=1,5,0)+IF(COUNTIF(H703:$W703,"&gt;"&amp;0)&lt;5,IF(AND(COUNTIF(G$1237:G1305,1)&gt;7,MOD(1+IFERROR(MATCH($C703,总览!$D$46:$D$345,1)+1,1),7)=0),$C$3,0),0)</f>
        <v>178.2</v>
      </c>
      <c r="H703" s="131" cm="1">
        <f ca="1" t="array" ref="H703">IF(H1305=1,OFFSET($W$634,$B703,H$631-1)/SUMPRODUCT(--($D$631:$V$631=H$631),--($D1305:$V1305=1)),0)+SUM(H702)+IF(COUNTIF(H$1237:H1305,1)=1,5,0)+IF(COUNTIF(I703:$W703,"&gt;"&amp;0)&lt;5,IF(AND(COUNTIF(H$1237:H1305,1)&gt;7,MOD(1+IFERROR(MATCH($C703,总览!$D$46:$D$345,1)+1,1),7)=0),$C$3,0),0)</f>
        <v>178.2</v>
      </c>
      <c r="I703" s="131" cm="1">
        <f ca="1" t="array" ref="I703">IF(I1305=1,OFFSET($W$634,$B703,I$631-1)/SUMPRODUCT(--($D$631:$V$631=I$631),--($D1305:$V1305=1)),0)+SUM(I702)+IF(COUNTIF(I$1237:I1305,1)=1,5,0)+IF(COUNTIF(J703:$W703,"&gt;"&amp;0)&lt;5,IF(AND(COUNTIF(I$1237:I1305,1)&gt;7,MOD(1+IFERROR(MATCH($C703,总览!$D$46:$D$345,1)+1,1),7)=0),$C$3,0),0)</f>
        <v>178.2</v>
      </c>
      <c r="J703" s="131" cm="1">
        <f ca="1" t="array" ref="J703">IF(J1305=1,OFFSET($W$634,$B703,J$631-1)/SUMPRODUCT(--($D$631:$V$631=J$631),--($D1305:$V1305=1)),0)+SUM(J702)+IF(COUNTIF(J$1237:J1305,1)=1,5,0)+IF(COUNTIF(K703:$W703,"&gt;"&amp;0)&lt;5,IF(AND(COUNTIF(J$1237:J1305,1)&gt;7,MOD(1+IFERROR(MATCH($C703,总览!$D$46:$D$345,1)+1,1),7)=0),$C$3,0),0)</f>
        <v>174.866666666667</v>
      </c>
      <c r="K703" s="131" cm="1">
        <f ca="1" t="array" ref="K703">IF(K1305=1,OFFSET($W$634,$B703,K$631-1)/SUMPRODUCT(--($D$631:$V$631=K$631),--($D1305:$V1305=1)),0)+SUM(K702)+IF(COUNTIF(K$1237:K1305,1)=1,5,0)+IF(COUNTIF(L703:$W703,"&gt;"&amp;0)&lt;5,IF(AND(COUNTIF(K$1237:K1305,1)&gt;7,MOD(1+IFERROR(MATCH($C703,总览!$D$46:$D$345,1)+1,1),7)=0),$C$3,0),0)</f>
        <v>172.366666666667</v>
      </c>
      <c r="L703" s="131" cm="1">
        <f ca="1" t="array" ref="L703">IF(L1305=1,OFFSET($W$634,$B703,L$631-1)/SUMPRODUCT(--($D$631:$V$631=L$631),--($D1305:$V1305=1)),0)+SUM(L702)+IF(COUNTIF(L$1237:L1305,1)=1,5,0)+IF(COUNTIF(M703:$W703,"&gt;"&amp;0)&lt;5,IF(AND(COUNTIF(L$1237:L1305,1)&gt;7,MOD(1+IFERROR(MATCH($C703,总览!$D$46:$D$345,1)+1,1),7)=0),$C$3,0),0)</f>
        <v>172.366666666667</v>
      </c>
      <c r="M703" s="131" cm="1">
        <f ca="1" t="array" ref="M703">IF(M1305=1,OFFSET($W$634,$B703,M$631-1)/SUMPRODUCT(--($D$631:$V$631=M$631),--($D1305:$V1305=1)),0)+SUM(M702)+IF(COUNTIF(M$1237:M1305,1)=1,5,0)+IF(COUNTIF(N703:$W703,"&gt;"&amp;0)&lt;5,IF(AND(COUNTIF(M$1237:M1305,1)&gt;7,MOD(1+IFERROR(MATCH($C703,总览!$D$46:$D$345,1)+1,1),7)=0),$C$3,0),0)</f>
        <v>63.8669642857143</v>
      </c>
      <c r="N703" s="131" cm="1">
        <f ca="1" t="array" ref="N703">IF(N1305=1,OFFSET($W$634,$B703,N$631-1)/SUMPRODUCT(--($D$631:$V$631=N$631),--($D1305:$V1305=1)),0)+SUM(N702)+IF(COUNTIF(N$1237:N1305,1)=1,5,0)+IF(COUNTIF(O703:$W703,"&gt;"&amp;0)&lt;5,IF(AND(COUNTIF(N$1237:N1305,1)&gt;7,MOD(1+IFERROR(MATCH($C703,总览!$D$46:$D$345,1)+1,1),7)=0),$C$3,0),0)</f>
        <v>65.1169642857142</v>
      </c>
      <c r="O703" s="131" cm="1">
        <f ca="1" t="array" ref="O703">IF(O1305=1,OFFSET($W$634,$B703,O$631-1)/SUMPRODUCT(--($D$631:$V$631=O$631),--($D1305:$V1305=1)),0)+SUM(O702)+IF(COUNTIF(O$1237:O1305,1)=1,5,0)+IF(COUNTIF(P703:$W703,"&gt;"&amp;0)&lt;5,IF(AND(COUNTIF(O$1237:O1305,1)&gt;7,MOD(1+IFERROR(MATCH($C703,总览!$D$46:$D$345,1)+1,1),7)=0),$C$3,0),0)</f>
        <v>70.1169642857142</v>
      </c>
      <c r="P703" s="131" cm="1">
        <f ca="1" t="array" ref="P703">IF(P1305=1,OFFSET($W$634,$B703,P$631-1)/SUMPRODUCT(--($D$631:$V$631=P$631),--($D1305:$V1305=1)),0)+SUM(P702)+IF(COUNTIF(P$1237:P1305,1)=1,5,0)+IF(COUNTIF(Q703:$W703,"&gt;"&amp;0)&lt;5,IF(AND(COUNTIF(P$1237:P1305,1)&gt;7,MOD(1+IFERROR(MATCH($C703,总览!$D$46:$D$345,1)+1,1),7)=0),$C$3,0),0)</f>
        <v>59.2357142857143</v>
      </c>
      <c r="Q703" s="131" cm="1">
        <f ca="1" t="array" ref="Q703">IF(Q1305=1,OFFSET($W$634,$B703,Q$631-1)/SUMPRODUCT(--($D$631:$V$631=Q$631),--($D1305:$V1305=1)),0)+SUM(Q702)+IF(COUNTIF(Q$1237:Q1305,1)=1,5,0)+IF(COUNTIF(R703:$W703,"&gt;"&amp;0)&lt;5,IF(AND(COUNTIF(Q$1237:Q1305,1)&gt;7,MOD(1+IFERROR(MATCH($C703,总览!$D$46:$D$345,1)+1,1),7)=0),$C$3,0),0)</f>
        <v>72.6169642857142</v>
      </c>
      <c r="R703" s="131" cm="1">
        <f ca="1" t="array" ref="R703">IF(R1305=1,OFFSET($W$634,$B703,R$631-1)/SUMPRODUCT(--($D$631:$V$631=R$631),--($D1305:$V1305=1)),0)+SUM(R702)+IF(COUNTIF(R$1237:R1305,1)=1,5,0)+IF(COUNTIF(S703:$W703,"&gt;"&amp;0)&lt;5,IF(AND(COUNTIF(R$1237:R1305,1)&gt;7,MOD(1+IFERROR(MATCH($C703,总览!$D$46:$D$345,1)+1,1),7)=0),$C$3,0),0)</f>
        <v>64.2357142857143</v>
      </c>
      <c r="S703" s="131" cm="1">
        <f ca="1" t="array" ref="S703">IF(S1305=1,OFFSET($W$634,$B703,S$631-1)/SUMPRODUCT(--($D$631:$V$631=S$631),--($D1305:$V1305=1)),0)+SUM(S702)+IF(COUNTIF(S$1237:S1305,1)=1,5,0)+IF(COUNTIF(T703:$W703,"&gt;"&amp;0)&lt;5,IF(AND(COUNTIF(S$1237:S1305,1)&gt;7,MOD(1+IFERROR(MATCH($C703,总览!$D$46:$D$345,1)+1,1),7)=0),$C$3,0),0)</f>
        <v>76.7357142857142</v>
      </c>
      <c r="T703" s="131" cm="1">
        <f ca="1" t="array" ref="T703">IF(T1305=1,OFFSET($W$634,$B703,T$631-1)/SUMPRODUCT(--($D$631:$V$631=T$631),--($D1305:$V1305=1)),0)+SUM(T702)+IF(COUNTIF(T$1237:T1305,1)=1,5,0)+IF(COUNTIF(U703:$W703,"&gt;"&amp;0)&lt;5,IF(AND(COUNTIF(T$1237:T1305,1)&gt;7,MOD(1+IFERROR(MATCH($C703,总览!$D$46:$D$345,1)+1,1),7)=0),$C$3,0),0)</f>
        <v>35.0373137333813</v>
      </c>
      <c r="U703" s="131" cm="1">
        <f ca="1" t="array" ref="U703">IF(U1305=1,OFFSET($W$634,$B703,U$631-1)/SUMPRODUCT(--($D$631:$V$631=U$631),--($D1305:$V1305=1)),0)+SUM(U702)+IF(COUNTIF(U$1237:U1305,1)=1,5,0)+IF(COUNTIF(V703:$W703,"&gt;"&amp;0)&lt;5,IF(AND(COUNTIF(U$1237:U1305,1)&gt;7,MOD(1+IFERROR(MATCH($C703,总览!$D$46:$D$345,1)+1,1),7)=0),$C$3,0),0)</f>
        <v>40.5581000886809</v>
      </c>
      <c r="V703" s="131" cm="1">
        <f ca="1" t="array" ref="V703">IF(V1305=1,OFFSET($W$634,$B703,V$631-1)/SUMPRODUCT(--($D$631:$V$631=V$631),--($D1305:$V1305=1)),0)+SUM(V702)+IF(COUNTIF(V$1237:V1305,1)=1,5,0)+IF(COUNTIF(W703:$W703,"&gt;"&amp;0)&lt;5,IF(AND(COUNTIF(V$1237:V1305,1)&gt;7,MOD(1+IFERROR(MATCH($C703,总览!$D$46:$D$345,1)+1,1),7)=0),$C$3,0),0)</f>
        <v>60.3850998011143</v>
      </c>
      <c r="W703" s="135" cm="1">
        <f ca="1" t="array" ref="W703">SUMPRODUCT(TRANSPOSE($AA703:$AG703),OFFSET($L$9:$L$15,0,W$631-1))</f>
        <v>21.6942067191022</v>
      </c>
      <c r="X703" s="135" cm="1">
        <f ca="1" t="array" ref="X703">SUMPRODUCT(TRANSPOSE($AA703:$AG703),OFFSET($L$9:$L$15,0,X$631-1))</f>
        <v>18</v>
      </c>
      <c r="Y703" s="135" cm="1">
        <f ca="1" t="array" ref="Y703">SUMPRODUCT(TRANSPOSE($AA703:$AG703),OFFSET($L$9:$L$15,0,Y$631-1))</f>
        <v>8</v>
      </c>
      <c r="Z703" s="135" cm="1">
        <f ca="1" t="array" ref="Z703">SUMPRODUCT(TRANSPOSE($AA703:$AG703),OFFSET($L$9:$L$15,0,Z$631-1))</f>
        <v>2.30579328089777</v>
      </c>
      <c r="AA703" s="136">
        <f ca="1" t="shared" ref="AA703:AG703" si="379">AH703-AH702</f>
        <v>0</v>
      </c>
      <c r="AB703" s="136">
        <f ca="1" t="shared" si="379"/>
        <v>0</v>
      </c>
      <c r="AC703" s="136">
        <f ca="1" t="shared" si="379"/>
        <v>0</v>
      </c>
      <c r="AD703" s="136">
        <f ca="1" t="shared" si="379"/>
        <v>0</v>
      </c>
      <c r="AE703" s="136">
        <f ca="1" t="shared" si="379"/>
        <v>100</v>
      </c>
      <c r="AF703" s="136">
        <f ca="1" t="shared" si="379"/>
        <v>0</v>
      </c>
      <c r="AG703" s="136">
        <f ca="1" t="shared" si="379"/>
        <v>0</v>
      </c>
      <c r="AH703" s="136">
        <f ca="1" t="shared" si="371"/>
        <v>450</v>
      </c>
      <c r="AI703" s="136">
        <f ca="1" t="shared" ref="AI703:AN703" si="380">IF($C703&gt;OFFSET($Q$8,MATCH(AI$634,$AH$634:$AN$634,0),0),OFFSET($P$8,MATCH(AI$634,$AH$634:$AN$634,0),0),MAX(0,$C703-OFFSET($Q$8,RIGHT(AI$634,1)-1,0)))</f>
        <v>909</v>
      </c>
      <c r="AJ703" s="136">
        <f ca="1" t="shared" si="380"/>
        <v>1818</v>
      </c>
      <c r="AK703" s="136">
        <f ca="1" t="shared" si="380"/>
        <v>2727</v>
      </c>
      <c r="AL703" s="136">
        <f ca="1" t="shared" si="380"/>
        <v>996</v>
      </c>
      <c r="AM703" s="136">
        <f ca="1" t="shared" si="380"/>
        <v>0</v>
      </c>
      <c r="AN703" s="136">
        <f ca="1" t="shared" si="380"/>
        <v>0</v>
      </c>
      <c r="AP703" s="132">
        <v>69</v>
      </c>
      <c r="AQ703" s="132">
        <v>65270</v>
      </c>
      <c r="AR703" s="132">
        <v>65270</v>
      </c>
      <c r="AS703" s="132">
        <v>36170</v>
      </c>
      <c r="AT703" s="132">
        <v>18860</v>
      </c>
    </row>
    <row r="704" s="106" customFormat="1" ht="16.5" spans="2:46">
      <c r="B704" s="117">
        <v>70</v>
      </c>
      <c r="C704" s="130">
        <f t="shared" si="369"/>
        <v>7000</v>
      </c>
      <c r="D704" s="131" cm="1">
        <f ca="1" t="array" ref="D704">IF(D1306=1,OFFSET($W$634,$B704,D$631-1)/SUMPRODUCT(--($D$631:$V$631=D$631),--($D1306:$V1306=1)),0)+SUM(D703)+IF(COUNTIF(D$1237:D1306,1)=1,5,0)+IF(COUNTIF(E704:$W704,"&gt;"&amp;0)&lt;5,IF(AND(COUNTIF(D$1237:D1306,1)&gt;7,MOD(1+IFERROR(MATCH($C704,总览!$D$46:$D$345,1)+1,1),7)=0),$C$3,0),0)</f>
        <v>679.862897698642</v>
      </c>
      <c r="E704" s="131" cm="1">
        <f ca="1" t="array" ref="E704">IF(E1306=1,OFFSET($W$634,$B704,E$631-1)/SUMPRODUCT(--($D$631:$V$631=E$631),--($D1306:$V1306=1)),0)+SUM(E703)+IF(COUNTIF(E$1237:E1306,1)=1,5,0)+IF(COUNTIF(F704:$W704,"&gt;"&amp;0)&lt;5,IF(AND(COUNTIF(E$1237:E1306,1)&gt;7,MOD(1+IFERROR(MATCH($C704,总览!$D$46:$D$345,1)+1,1),7)=0),$C$3,0),0)</f>
        <v>679.862897698642</v>
      </c>
      <c r="F704" s="131" cm="1">
        <f ca="1" t="array" ref="F704">IF(F1306=1,OFFSET($W$634,$B704,F$631-1)/SUMPRODUCT(--($D$631:$V$631=F$631),--($D1306:$V1306=1)),0)+SUM(F703)+IF(COUNTIF(F$1237:F1306,1)=1,5,0)+IF(COUNTIF(G704:$W704,"&gt;"&amp;0)&lt;5,IF(AND(COUNTIF(F$1237:F1306,1)&gt;7,MOD(1+IFERROR(MATCH($C704,总览!$D$46:$D$345,1)+1,1),7)=0),$C$3,0),0)</f>
        <v>679.862897698642</v>
      </c>
      <c r="G704" s="131" cm="1">
        <f ca="1" t="array" ref="G704">IF(G1306=1,OFFSET($W$634,$B704,G$631-1)/SUMPRODUCT(--($D$631:$V$631=G$631),--($D1306:$V1306=1)),0)+SUM(G703)+IF(COUNTIF(G$1237:G1306,1)=1,5,0)+IF(COUNTIF(H704:$W704,"&gt;"&amp;0)&lt;5,IF(AND(COUNTIF(G$1237:G1306,1)&gt;7,MOD(1+IFERROR(MATCH($C704,总览!$D$46:$D$345,1)+1,1),7)=0),$C$3,0),0)</f>
        <v>181.2</v>
      </c>
      <c r="H704" s="131" cm="1">
        <f ca="1" t="array" ref="H704">IF(H1306=1,OFFSET($W$634,$B704,H$631-1)/SUMPRODUCT(--($D$631:$V$631=H$631),--($D1306:$V1306=1)),0)+SUM(H703)+IF(COUNTIF(H$1237:H1306,1)=1,5,0)+IF(COUNTIF(I704:$W704,"&gt;"&amp;0)&lt;5,IF(AND(COUNTIF(H$1237:H1306,1)&gt;7,MOD(1+IFERROR(MATCH($C704,总览!$D$46:$D$345,1)+1,1),7)=0),$C$3,0),0)</f>
        <v>181.2</v>
      </c>
      <c r="I704" s="131" cm="1">
        <f ca="1" t="array" ref="I704">IF(I1306=1,OFFSET($W$634,$B704,I$631-1)/SUMPRODUCT(--($D$631:$V$631=I$631),--($D1306:$V1306=1)),0)+SUM(I703)+IF(COUNTIF(I$1237:I1306,1)=1,5,0)+IF(COUNTIF(J704:$W704,"&gt;"&amp;0)&lt;5,IF(AND(COUNTIF(I$1237:I1306,1)&gt;7,MOD(1+IFERROR(MATCH($C704,总览!$D$46:$D$345,1)+1,1),7)=0),$C$3,0),0)</f>
        <v>181.2</v>
      </c>
      <c r="J704" s="131" cm="1">
        <f ca="1" t="array" ref="J704">IF(J1306=1,OFFSET($W$634,$B704,J$631-1)/SUMPRODUCT(--($D$631:$V$631=J$631),--($D1306:$V1306=1)),0)+SUM(J703)+IF(COUNTIF(J$1237:J1306,1)=1,5,0)+IF(COUNTIF(K704:$W704,"&gt;"&amp;0)&lt;5,IF(AND(COUNTIF(J$1237:J1306,1)&gt;7,MOD(1+IFERROR(MATCH($C704,总览!$D$46:$D$345,1)+1,1),7)=0),$C$3,0),0)</f>
        <v>177.866666666667</v>
      </c>
      <c r="K704" s="131" cm="1">
        <f ca="1" t="array" ref="K704">IF(K1306=1,OFFSET($W$634,$B704,K$631-1)/SUMPRODUCT(--($D$631:$V$631=K$631),--($D1306:$V1306=1)),0)+SUM(K703)+IF(COUNTIF(K$1237:K1306,1)=1,5,0)+IF(COUNTIF(L704:$W704,"&gt;"&amp;0)&lt;5,IF(AND(COUNTIF(K$1237:K1306,1)&gt;7,MOD(1+IFERROR(MATCH($C704,总览!$D$46:$D$345,1)+1,1),7)=0),$C$3,0),0)</f>
        <v>175.366666666667</v>
      </c>
      <c r="L704" s="131" cm="1">
        <f ca="1" t="array" ref="L704">IF(L1306=1,OFFSET($W$634,$B704,L$631-1)/SUMPRODUCT(--($D$631:$V$631=L$631),--($D1306:$V1306=1)),0)+SUM(L703)+IF(COUNTIF(L$1237:L1306,1)=1,5,0)+IF(COUNTIF(M704:$W704,"&gt;"&amp;0)&lt;5,IF(AND(COUNTIF(L$1237:L1306,1)&gt;7,MOD(1+IFERROR(MATCH($C704,总览!$D$46:$D$345,1)+1,1),7)=0),$C$3,0),0)</f>
        <v>175.366666666667</v>
      </c>
      <c r="M704" s="131" cm="1">
        <f ca="1" t="array" ref="M704">IF(M1306=1,OFFSET($W$634,$B704,M$631-1)/SUMPRODUCT(--($D$631:$V$631=M$631),--($D1306:$V1306=1)),0)+SUM(M703)+IF(COUNTIF(M$1237:M1306,1)=1,5,0)+IF(COUNTIF(N704:$W704,"&gt;"&amp;0)&lt;5,IF(AND(COUNTIF(M$1237:M1306,1)&gt;7,MOD(1+IFERROR(MATCH($C704,总览!$D$46:$D$345,1)+1,1),7)=0),$C$3,0),0)</f>
        <v>65.0098214285714</v>
      </c>
      <c r="N704" s="131" cm="1">
        <f ca="1" t="array" ref="N704">IF(N1306=1,OFFSET($W$634,$B704,N$631-1)/SUMPRODUCT(--($D$631:$V$631=N$631),--($D1306:$V1306=1)),0)+SUM(N703)+IF(COUNTIF(N$1237:N1306,1)=1,5,0)+IF(COUNTIF(O704:$W704,"&gt;"&amp;0)&lt;5,IF(AND(COUNTIF(N$1237:N1306,1)&gt;7,MOD(1+IFERROR(MATCH($C704,总览!$D$46:$D$345,1)+1,1),7)=0),$C$3,0),0)</f>
        <v>66.2598214285714</v>
      </c>
      <c r="O704" s="131" cm="1">
        <f ca="1" t="array" ref="O704">IF(O1306=1,OFFSET($W$634,$B704,O$631-1)/SUMPRODUCT(--($D$631:$V$631=O$631),--($D1306:$V1306=1)),0)+SUM(O703)+IF(COUNTIF(O$1237:O1306,1)=1,5,0)+IF(COUNTIF(P704:$W704,"&gt;"&amp;0)&lt;5,IF(AND(COUNTIF(O$1237:O1306,1)&gt;7,MOD(1+IFERROR(MATCH($C704,总览!$D$46:$D$345,1)+1,1),7)=0),$C$3,0),0)</f>
        <v>71.2598214285713</v>
      </c>
      <c r="P704" s="131" cm="1">
        <f ca="1" t="array" ref="P704">IF(P1306=1,OFFSET($W$634,$B704,P$631-1)/SUMPRODUCT(--($D$631:$V$631=P$631),--($D1306:$V1306=1)),0)+SUM(P703)+IF(COUNTIF(P$1237:P1306,1)=1,5,0)+IF(COUNTIF(Q704:$W704,"&gt;"&amp;0)&lt;5,IF(AND(COUNTIF(P$1237:P1306,1)&gt;7,MOD(1+IFERROR(MATCH($C704,总览!$D$46:$D$345,1)+1,1),7)=0),$C$3,0),0)</f>
        <v>60.3785714285714</v>
      </c>
      <c r="Q704" s="131" cm="1">
        <f ca="1" t="array" ref="Q704">IF(Q1306=1,OFFSET($W$634,$B704,Q$631-1)/SUMPRODUCT(--($D$631:$V$631=Q$631),--($D1306:$V1306=1)),0)+SUM(Q703)+IF(COUNTIF(Q$1237:Q1306,1)=1,5,0)+IF(COUNTIF(R704:$W704,"&gt;"&amp;0)&lt;5,IF(AND(COUNTIF(Q$1237:Q1306,1)&gt;7,MOD(1+IFERROR(MATCH($C704,总览!$D$46:$D$345,1)+1,1),7)=0),$C$3,0),0)</f>
        <v>73.7598214285713</v>
      </c>
      <c r="R704" s="131" cm="1">
        <f ca="1" t="array" ref="R704">IF(R1306=1,OFFSET($W$634,$B704,R$631-1)/SUMPRODUCT(--($D$631:$V$631=R$631),--($D1306:$V1306=1)),0)+SUM(R703)+IF(COUNTIF(R$1237:R1306,1)=1,5,0)+IF(COUNTIF(S704:$W704,"&gt;"&amp;0)&lt;5,IF(AND(COUNTIF(R$1237:R1306,1)&gt;7,MOD(1+IFERROR(MATCH($C704,总览!$D$46:$D$345,1)+1,1),7)=0),$C$3,0),0)</f>
        <v>65.3785714285714</v>
      </c>
      <c r="S704" s="131" cm="1">
        <f ca="1" t="array" ref="S704">IF(S1306=1,OFFSET($W$634,$B704,S$631-1)/SUMPRODUCT(--($D$631:$V$631=S$631),--($D1306:$V1306=1)),0)+SUM(S703)+IF(COUNTIF(S$1237:S1306,1)=1,5,0)+IF(COUNTIF(T704:$W704,"&gt;"&amp;0)&lt;5,IF(AND(COUNTIF(S$1237:S1306,1)&gt;7,MOD(1+IFERROR(MATCH($C704,总览!$D$46:$D$345,1)+1,1),7)=0),$C$3,0),0)</f>
        <v>77.8785714285714</v>
      </c>
      <c r="T704" s="131" cm="1">
        <f ca="1" t="array" ref="T704">IF(T1306=1,OFFSET($W$634,$B704,T$631-1)/SUMPRODUCT(--($D$631:$V$631=T$631),--($D1306:$V1306=1)),0)+SUM(T703)+IF(COUNTIF(T$1237:T1306,1)=1,5,0)+IF(COUNTIF(U704:$W704,"&gt;"&amp;0)&lt;5,IF(AND(COUNTIF(T$1237:T1306,1)&gt;7,MOD(1+IFERROR(MATCH($C704,总览!$D$46:$D$345,1)+1,1),7)=0),$C$3,0),0)</f>
        <v>35.8059114936805</v>
      </c>
      <c r="U704" s="131" cm="1">
        <f ca="1" t="array" ref="U704">IF(U1306=1,OFFSET($W$634,$B704,U$631-1)/SUMPRODUCT(--($D$631:$V$631=U$631),--($D1306:$V1306=1)),0)+SUM(U703)+IF(COUNTIF(U$1237:U1306,1)=1,5,0)+IF(COUNTIF(V704:$W704,"&gt;"&amp;0)&lt;5,IF(AND(COUNTIF(U$1237:U1306,1)&gt;7,MOD(1+IFERROR(MATCH($C704,总览!$D$46:$D$345,1)+1,1),7)=0),$C$3,0),0)</f>
        <v>41.3266978489802</v>
      </c>
      <c r="V704" s="131" cm="1">
        <f ca="1" t="array" ref="V704">IF(V1306=1,OFFSET($W$634,$B704,V$631-1)/SUMPRODUCT(--($D$631:$V$631=V$631),--($D1306:$V1306=1)),0)+SUM(V703)+IF(COUNTIF(V$1237:V1306,1)=1,5,0)+IF(COUNTIF(W704:$W704,"&gt;"&amp;0)&lt;5,IF(AND(COUNTIF(V$1237:V1306,1)&gt;7,MOD(1+IFERROR(MATCH($C704,总览!$D$46:$D$345,1)+1,1),7)=0),$C$3,0),0)</f>
        <v>61.1536975614135</v>
      </c>
      <c r="W704" s="135" cm="1">
        <f ca="1" t="array" ref="W704">SUMPRODUCT(TRANSPOSE($AA704:$AG704),OFFSET($L$9:$L$15,0,W$631-1))</f>
        <v>21.6942067191022</v>
      </c>
      <c r="X704" s="135" cm="1">
        <f ca="1" t="array" ref="X704">SUMPRODUCT(TRANSPOSE($AA704:$AG704),OFFSET($L$9:$L$15,0,X$631-1))</f>
        <v>18</v>
      </c>
      <c r="Y704" s="135" cm="1">
        <f ca="1" t="array" ref="Y704">SUMPRODUCT(TRANSPOSE($AA704:$AG704),OFFSET($L$9:$L$15,0,Y$631-1))</f>
        <v>8</v>
      </c>
      <c r="Z704" s="135" cm="1">
        <f ca="1" t="array" ref="Z704">SUMPRODUCT(TRANSPOSE($AA704:$AG704),OFFSET($L$9:$L$15,0,Z$631-1))</f>
        <v>2.30579328089777</v>
      </c>
      <c r="AA704" s="136">
        <f ca="1" t="shared" ref="AA704:AG704" si="381">AH704-AH703</f>
        <v>0</v>
      </c>
      <c r="AB704" s="136">
        <f ca="1" t="shared" si="381"/>
        <v>0</v>
      </c>
      <c r="AC704" s="136">
        <f ca="1" t="shared" si="381"/>
        <v>0</v>
      </c>
      <c r="AD704" s="136">
        <f ca="1" t="shared" si="381"/>
        <v>0</v>
      </c>
      <c r="AE704" s="136">
        <f ca="1" t="shared" si="381"/>
        <v>100</v>
      </c>
      <c r="AF704" s="136">
        <f ca="1" t="shared" si="381"/>
        <v>0</v>
      </c>
      <c r="AG704" s="136">
        <f ca="1" t="shared" si="381"/>
        <v>0</v>
      </c>
      <c r="AH704" s="136">
        <f ca="1" t="shared" si="371"/>
        <v>450</v>
      </c>
      <c r="AI704" s="136">
        <f ca="1" t="shared" ref="AI704:AN704" si="382">IF($C704&gt;OFFSET($Q$8,MATCH(AI$634,$AH$634:$AN$634,0),0),OFFSET($P$8,MATCH(AI$634,$AH$634:$AN$634,0),0),MAX(0,$C704-OFFSET($Q$8,RIGHT(AI$634,1)-1,0)))</f>
        <v>909</v>
      </c>
      <c r="AJ704" s="136">
        <f ca="1" t="shared" si="382"/>
        <v>1818</v>
      </c>
      <c r="AK704" s="136">
        <f ca="1" t="shared" si="382"/>
        <v>2727</v>
      </c>
      <c r="AL704" s="136">
        <f ca="1" t="shared" si="382"/>
        <v>1096</v>
      </c>
      <c r="AM704" s="136">
        <f ca="1" t="shared" si="382"/>
        <v>0</v>
      </c>
      <c r="AN704" s="136">
        <f ca="1" t="shared" si="382"/>
        <v>0</v>
      </c>
      <c r="AP704" s="132">
        <v>70</v>
      </c>
      <c r="AQ704" s="132">
        <v>68150</v>
      </c>
      <c r="AR704" s="132">
        <v>68150</v>
      </c>
      <c r="AS704" s="132">
        <v>37850</v>
      </c>
      <c r="AT704" s="132">
        <v>19700</v>
      </c>
    </row>
    <row r="705" s="106" customFormat="1" ht="16.5" spans="2:46">
      <c r="B705" s="117">
        <v>71</v>
      </c>
      <c r="C705" s="130">
        <f t="shared" si="369"/>
        <v>7100</v>
      </c>
      <c r="D705" s="131" cm="1">
        <f ca="1" t="array" ref="D705">IF(D1307=1,OFFSET($W$634,$B705,D$631-1)/SUMPRODUCT(--($D$631:$V$631=D$631),--($D1307:$V1307=1)),0)+SUM(D704)+IF(COUNTIF(D$1237:D1307,1)=1,5,0)+IF(COUNTIF(E705:$W705,"&gt;"&amp;0)&lt;5,IF(AND(COUNTIF(D$1237:D1307,1)&gt;7,MOD(1+IFERROR(MATCH($C705,总览!$D$46:$D$345,1)+1,1),7)=0),$C$3,0),0)</f>
        <v>687.094299938343</v>
      </c>
      <c r="E705" s="131" cm="1">
        <f ca="1" t="array" ref="E705">IF(E1307=1,OFFSET($W$634,$B705,E$631-1)/SUMPRODUCT(--($D$631:$V$631=E$631),--($D1307:$V1307=1)),0)+SUM(E704)+IF(COUNTIF(E$1237:E1307,1)=1,5,0)+IF(COUNTIF(F705:$W705,"&gt;"&amp;0)&lt;5,IF(AND(COUNTIF(E$1237:E1307,1)&gt;7,MOD(1+IFERROR(MATCH($C705,总览!$D$46:$D$345,1)+1,1),7)=0),$C$3,0),0)</f>
        <v>687.094299938343</v>
      </c>
      <c r="F705" s="131" cm="1">
        <f ca="1" t="array" ref="F705">IF(F1307=1,OFFSET($W$634,$B705,F$631-1)/SUMPRODUCT(--($D$631:$V$631=F$631),--($D1307:$V1307=1)),0)+SUM(F704)+IF(COUNTIF(F$1237:F1307,1)=1,5,0)+IF(COUNTIF(G705:$W705,"&gt;"&amp;0)&lt;5,IF(AND(COUNTIF(F$1237:F1307,1)&gt;7,MOD(1+IFERROR(MATCH($C705,总览!$D$46:$D$345,1)+1,1),7)=0),$C$3,0),0)</f>
        <v>687.094299938343</v>
      </c>
      <c r="G705" s="131" cm="1">
        <f ca="1" t="array" ref="G705">IF(G1307=1,OFFSET($W$634,$B705,G$631-1)/SUMPRODUCT(--($D$631:$V$631=G$631),--($D1307:$V1307=1)),0)+SUM(G704)+IF(COUNTIF(G$1237:G1307,1)=1,5,0)+IF(COUNTIF(H705:$W705,"&gt;"&amp;0)&lt;5,IF(AND(COUNTIF(G$1237:G1307,1)&gt;7,MOD(1+IFERROR(MATCH($C705,总览!$D$46:$D$345,1)+1,1),7)=0),$C$3,0),0)</f>
        <v>184.2</v>
      </c>
      <c r="H705" s="131" cm="1">
        <f ca="1" t="array" ref="H705">IF(H1307=1,OFFSET($W$634,$B705,H$631-1)/SUMPRODUCT(--($D$631:$V$631=H$631),--($D1307:$V1307=1)),0)+SUM(H704)+IF(COUNTIF(H$1237:H1307,1)=1,5,0)+IF(COUNTIF(I705:$W705,"&gt;"&amp;0)&lt;5,IF(AND(COUNTIF(H$1237:H1307,1)&gt;7,MOD(1+IFERROR(MATCH($C705,总览!$D$46:$D$345,1)+1,1),7)=0),$C$3,0),0)</f>
        <v>184.2</v>
      </c>
      <c r="I705" s="131" cm="1">
        <f ca="1" t="array" ref="I705">IF(I1307=1,OFFSET($W$634,$B705,I$631-1)/SUMPRODUCT(--($D$631:$V$631=I$631),--($D1307:$V1307=1)),0)+SUM(I704)+IF(COUNTIF(I$1237:I1307,1)=1,5,0)+IF(COUNTIF(J705:$W705,"&gt;"&amp;0)&lt;5,IF(AND(COUNTIF(I$1237:I1307,1)&gt;7,MOD(1+IFERROR(MATCH($C705,总览!$D$46:$D$345,1)+1,1),7)=0),$C$3,0),0)</f>
        <v>184.2</v>
      </c>
      <c r="J705" s="131" cm="1">
        <f ca="1" t="array" ref="J705">IF(J1307=1,OFFSET($W$634,$B705,J$631-1)/SUMPRODUCT(--($D$631:$V$631=J$631),--($D1307:$V1307=1)),0)+SUM(J704)+IF(COUNTIF(J$1237:J1307,1)=1,5,0)+IF(COUNTIF(K705:$W705,"&gt;"&amp;0)&lt;5,IF(AND(COUNTIF(J$1237:J1307,1)&gt;7,MOD(1+IFERROR(MATCH($C705,总览!$D$46:$D$345,1)+1,1),7)=0),$C$3,0),0)</f>
        <v>180.866666666667</v>
      </c>
      <c r="K705" s="131" cm="1">
        <f ca="1" t="array" ref="K705">IF(K1307=1,OFFSET($W$634,$B705,K$631-1)/SUMPRODUCT(--($D$631:$V$631=K$631),--($D1307:$V1307=1)),0)+SUM(K704)+IF(COUNTIF(K$1237:K1307,1)=1,5,0)+IF(COUNTIF(L705:$W705,"&gt;"&amp;0)&lt;5,IF(AND(COUNTIF(K$1237:K1307,1)&gt;7,MOD(1+IFERROR(MATCH($C705,总览!$D$46:$D$345,1)+1,1),7)=0),$C$3,0),0)</f>
        <v>178.366666666667</v>
      </c>
      <c r="L705" s="131" cm="1">
        <f ca="1" t="array" ref="L705">IF(L1307=1,OFFSET($W$634,$B705,L$631-1)/SUMPRODUCT(--($D$631:$V$631=L$631),--($D1307:$V1307=1)),0)+SUM(L704)+IF(COUNTIF(L$1237:L1307,1)=1,5,0)+IF(COUNTIF(M705:$W705,"&gt;"&amp;0)&lt;5,IF(AND(COUNTIF(L$1237:L1307,1)&gt;7,MOD(1+IFERROR(MATCH($C705,总览!$D$46:$D$345,1)+1,1),7)=0),$C$3,0),0)</f>
        <v>178.366666666667</v>
      </c>
      <c r="M705" s="131" cm="1">
        <f ca="1" t="array" ref="M705">IF(M1307=1,OFFSET($W$634,$B705,M$631-1)/SUMPRODUCT(--($D$631:$V$631=M$631),--($D1307:$V1307=1)),0)+SUM(M704)+IF(COUNTIF(M$1237:M1307,1)=1,5,0)+IF(COUNTIF(N705:$W705,"&gt;"&amp;0)&lt;5,IF(AND(COUNTIF(M$1237:M1307,1)&gt;7,MOD(1+IFERROR(MATCH($C705,总览!$D$46:$D$345,1)+1,1),7)=0),$C$3,0),0)</f>
        <v>66.1526785714285</v>
      </c>
      <c r="N705" s="131" cm="1">
        <f ca="1" t="array" ref="N705">IF(N1307=1,OFFSET($W$634,$B705,N$631-1)/SUMPRODUCT(--($D$631:$V$631=N$631),--($D1307:$V1307=1)),0)+SUM(N704)+IF(COUNTIF(N$1237:N1307,1)=1,5,0)+IF(COUNTIF(O705:$W705,"&gt;"&amp;0)&lt;5,IF(AND(COUNTIF(N$1237:N1307,1)&gt;7,MOD(1+IFERROR(MATCH($C705,总览!$D$46:$D$345,1)+1,1),7)=0),$C$3,0),0)</f>
        <v>67.4026785714285</v>
      </c>
      <c r="O705" s="131" cm="1">
        <f ca="1" t="array" ref="O705">IF(O1307=1,OFFSET($W$634,$B705,O$631-1)/SUMPRODUCT(--($D$631:$V$631=O$631),--($D1307:$V1307=1)),0)+SUM(O704)+IF(COUNTIF(O$1237:O1307,1)=1,5,0)+IF(COUNTIF(P705:$W705,"&gt;"&amp;0)&lt;5,IF(AND(COUNTIF(O$1237:O1307,1)&gt;7,MOD(1+IFERROR(MATCH($C705,总览!$D$46:$D$345,1)+1,1),7)=0),$C$3,0),0)</f>
        <v>72.4026785714285</v>
      </c>
      <c r="P705" s="131" cm="1">
        <f ca="1" t="array" ref="P705">IF(P1307=1,OFFSET($W$634,$B705,P$631-1)/SUMPRODUCT(--($D$631:$V$631=P$631),--($D1307:$V1307=1)),0)+SUM(P704)+IF(COUNTIF(P$1237:P1307,1)=1,5,0)+IF(COUNTIF(Q705:$W705,"&gt;"&amp;0)&lt;5,IF(AND(COUNTIF(P$1237:P1307,1)&gt;7,MOD(1+IFERROR(MATCH($C705,总览!$D$46:$D$345,1)+1,1),7)=0),$C$3,0),0)</f>
        <v>61.5214285714286</v>
      </c>
      <c r="Q705" s="131" cm="1">
        <f ca="1" t="array" ref="Q705">IF(Q1307=1,OFFSET($W$634,$B705,Q$631-1)/SUMPRODUCT(--($D$631:$V$631=Q$631),--($D1307:$V1307=1)),0)+SUM(Q704)+IF(COUNTIF(Q$1237:Q1307,1)=1,5,0)+IF(COUNTIF(R705:$W705,"&gt;"&amp;0)&lt;5,IF(AND(COUNTIF(Q$1237:Q1307,1)&gt;7,MOD(1+IFERROR(MATCH($C705,总览!$D$46:$D$345,1)+1,1),7)=0),$C$3,0),0)</f>
        <v>74.9026785714285</v>
      </c>
      <c r="R705" s="131" cm="1">
        <f ca="1" t="array" ref="R705">IF(R1307=1,OFFSET($W$634,$B705,R$631-1)/SUMPRODUCT(--($D$631:$V$631=R$631),--($D1307:$V1307=1)),0)+SUM(R704)+IF(COUNTIF(R$1237:R1307,1)=1,5,0)+IF(COUNTIF(S705:$W705,"&gt;"&amp;0)&lt;5,IF(AND(COUNTIF(R$1237:R1307,1)&gt;7,MOD(1+IFERROR(MATCH($C705,总览!$D$46:$D$345,1)+1,1),7)=0),$C$3,0),0)</f>
        <v>66.5214285714285</v>
      </c>
      <c r="S705" s="131" cm="1">
        <f ca="1" t="array" ref="S705">IF(S1307=1,OFFSET($W$634,$B705,S$631-1)/SUMPRODUCT(--($D$631:$V$631=S$631),--($D1307:$V1307=1)),0)+SUM(S704)+IF(COUNTIF(S$1237:S1307,1)=1,5,0)+IF(COUNTIF(T705:$W705,"&gt;"&amp;0)&lt;5,IF(AND(COUNTIF(S$1237:S1307,1)&gt;7,MOD(1+IFERROR(MATCH($C705,总览!$D$46:$D$345,1)+1,1),7)=0),$C$3,0),0)</f>
        <v>79.0214285714285</v>
      </c>
      <c r="T705" s="131" cm="1">
        <f ca="1" t="array" ref="T705">IF(T1307=1,OFFSET($W$634,$B705,T$631-1)/SUMPRODUCT(--($D$631:$V$631=T$631),--($D1307:$V1307=1)),0)+SUM(T704)+IF(COUNTIF(T$1237:T1307,1)=1,5,0)+IF(COUNTIF(U705:$W705,"&gt;"&amp;0)&lt;5,IF(AND(COUNTIF(T$1237:T1307,1)&gt;7,MOD(1+IFERROR(MATCH($C705,总览!$D$46:$D$345,1)+1,1),7)=0),$C$3,0),0)</f>
        <v>36.5745092539798</v>
      </c>
      <c r="U705" s="131" cm="1">
        <f ca="1" t="array" ref="U705">IF(U1307=1,OFFSET($W$634,$B705,U$631-1)/SUMPRODUCT(--($D$631:$V$631=U$631),--($D1307:$V1307=1)),0)+SUM(U704)+IF(COUNTIF(U$1237:U1307,1)=1,5,0)+IF(COUNTIF(V705:$W705,"&gt;"&amp;0)&lt;5,IF(AND(COUNTIF(U$1237:U1307,1)&gt;7,MOD(1+IFERROR(MATCH($C705,总览!$D$46:$D$345,1)+1,1),7)=0),$C$3,0),0)</f>
        <v>42.0952956092794</v>
      </c>
      <c r="V705" s="131" cm="1">
        <f ca="1" t="array" ref="V705">IF(V1307=1,OFFSET($W$634,$B705,V$631-1)/SUMPRODUCT(--($D$631:$V$631=V$631),--($D1307:$V1307=1)),0)+SUM(V704)+IF(COUNTIF(V$1237:V1307,1)=1,5,0)+IF(COUNTIF(W705:$W705,"&gt;"&amp;0)&lt;5,IF(AND(COUNTIF(V$1237:V1307,1)&gt;7,MOD(1+IFERROR(MATCH($C705,总览!$D$46:$D$345,1)+1,1),7)=0),$C$3,0),0)</f>
        <v>61.9222953217128</v>
      </c>
      <c r="W705" s="135" cm="1">
        <f ca="1" t="array" ref="W705">SUMPRODUCT(TRANSPOSE($AA705:$AG705),OFFSET($L$9:$L$15,0,W$631-1))</f>
        <v>21.6942067191022</v>
      </c>
      <c r="X705" s="135" cm="1">
        <f ca="1" t="array" ref="X705">SUMPRODUCT(TRANSPOSE($AA705:$AG705),OFFSET($L$9:$L$15,0,X$631-1))</f>
        <v>18</v>
      </c>
      <c r="Y705" s="135" cm="1">
        <f ca="1" t="array" ref="Y705">SUMPRODUCT(TRANSPOSE($AA705:$AG705),OFFSET($L$9:$L$15,0,Y$631-1))</f>
        <v>8</v>
      </c>
      <c r="Z705" s="135" cm="1">
        <f ca="1" t="array" ref="Z705">SUMPRODUCT(TRANSPOSE($AA705:$AG705),OFFSET($L$9:$L$15,0,Z$631-1))</f>
        <v>2.30579328089777</v>
      </c>
      <c r="AA705" s="136">
        <f ca="1" t="shared" ref="AA705:AG705" si="383">AH705-AH704</f>
        <v>0</v>
      </c>
      <c r="AB705" s="136">
        <f ca="1" t="shared" si="383"/>
        <v>0</v>
      </c>
      <c r="AC705" s="136">
        <f ca="1" t="shared" si="383"/>
        <v>0</v>
      </c>
      <c r="AD705" s="136">
        <f ca="1" t="shared" si="383"/>
        <v>0</v>
      </c>
      <c r="AE705" s="136">
        <f ca="1" t="shared" si="383"/>
        <v>100</v>
      </c>
      <c r="AF705" s="136">
        <f ca="1" t="shared" si="383"/>
        <v>0</v>
      </c>
      <c r="AG705" s="136">
        <f ca="1" t="shared" si="383"/>
        <v>0</v>
      </c>
      <c r="AH705" s="136">
        <f ca="1" t="shared" si="371"/>
        <v>450</v>
      </c>
      <c r="AI705" s="136">
        <f ca="1" t="shared" ref="AI705:AN705" si="384">IF($C705&gt;OFFSET($Q$8,MATCH(AI$634,$AH$634:$AN$634,0),0),OFFSET($P$8,MATCH(AI$634,$AH$634:$AN$634,0),0),MAX(0,$C705-OFFSET($Q$8,RIGHT(AI$634,1)-1,0)))</f>
        <v>909</v>
      </c>
      <c r="AJ705" s="136">
        <f ca="1" t="shared" si="384"/>
        <v>1818</v>
      </c>
      <c r="AK705" s="136">
        <f ca="1" t="shared" si="384"/>
        <v>2727</v>
      </c>
      <c r="AL705" s="136">
        <f ca="1" t="shared" si="384"/>
        <v>1196</v>
      </c>
      <c r="AM705" s="136">
        <f ca="1" t="shared" si="384"/>
        <v>0</v>
      </c>
      <c r="AN705" s="136">
        <f ca="1" t="shared" si="384"/>
        <v>0</v>
      </c>
      <c r="AP705" s="132">
        <v>71</v>
      </c>
      <c r="AQ705" s="132">
        <v>71390</v>
      </c>
      <c r="AR705" s="132">
        <v>71390</v>
      </c>
      <c r="AS705" s="132">
        <v>39770</v>
      </c>
      <c r="AT705" s="132">
        <v>20660</v>
      </c>
    </row>
    <row r="706" s="106" customFormat="1" ht="16.5" spans="2:46">
      <c r="B706" s="117">
        <v>72</v>
      </c>
      <c r="C706" s="130">
        <f t="shared" si="369"/>
        <v>7200</v>
      </c>
      <c r="D706" s="131" cm="1">
        <f ca="1" t="array" ref="D706">IF(D1308=1,OFFSET($W$634,$B706,D$631-1)/SUMPRODUCT(--($D$631:$V$631=D$631),--($D1308:$V1308=1)),0)+SUM(D705)+IF(COUNTIF(D$1237:D1308,1)=1,5,0)+IF(COUNTIF(E706:$W706,"&gt;"&amp;0)&lt;5,IF(AND(COUNTIF(D$1237:D1308,1)&gt;7,MOD(1+IFERROR(MATCH($C706,总览!$D$46:$D$345,1)+1,1),7)=0),$C$3,0),0)</f>
        <v>694.325702178044</v>
      </c>
      <c r="E706" s="131" cm="1">
        <f ca="1" t="array" ref="E706">IF(E1308=1,OFFSET($W$634,$B706,E$631-1)/SUMPRODUCT(--($D$631:$V$631=E$631),--($D1308:$V1308=1)),0)+SUM(E705)+IF(COUNTIF(E$1237:E1308,1)=1,5,0)+IF(COUNTIF(F706:$W706,"&gt;"&amp;0)&lt;5,IF(AND(COUNTIF(E$1237:E1308,1)&gt;7,MOD(1+IFERROR(MATCH($C706,总览!$D$46:$D$345,1)+1,1),7)=0),$C$3,0),0)</f>
        <v>694.325702178044</v>
      </c>
      <c r="F706" s="131" cm="1">
        <f ca="1" t="array" ref="F706">IF(F1308=1,OFFSET($W$634,$B706,F$631-1)/SUMPRODUCT(--($D$631:$V$631=F$631),--($D1308:$V1308=1)),0)+SUM(F705)+IF(COUNTIF(F$1237:F1308,1)=1,5,0)+IF(COUNTIF(G706:$W706,"&gt;"&amp;0)&lt;5,IF(AND(COUNTIF(F$1237:F1308,1)&gt;7,MOD(1+IFERROR(MATCH($C706,总览!$D$46:$D$345,1)+1,1),7)=0),$C$3,0),0)</f>
        <v>694.325702178044</v>
      </c>
      <c r="G706" s="131" cm="1">
        <f ca="1" t="array" ref="G706">IF(G1308=1,OFFSET($W$634,$B706,G$631-1)/SUMPRODUCT(--($D$631:$V$631=G$631),--($D1308:$V1308=1)),0)+SUM(G705)+IF(COUNTIF(G$1237:G1308,1)=1,5,0)+IF(COUNTIF(H706:$W706,"&gt;"&amp;0)&lt;5,IF(AND(COUNTIF(G$1237:G1308,1)&gt;7,MOD(1+IFERROR(MATCH($C706,总览!$D$46:$D$345,1)+1,1),7)=0),$C$3,0),0)</f>
        <v>187.2</v>
      </c>
      <c r="H706" s="131" cm="1">
        <f ca="1" t="array" ref="H706">IF(H1308=1,OFFSET($W$634,$B706,H$631-1)/SUMPRODUCT(--($D$631:$V$631=H$631),--($D1308:$V1308=1)),0)+SUM(H705)+IF(COUNTIF(H$1237:H1308,1)=1,5,0)+IF(COUNTIF(I706:$W706,"&gt;"&amp;0)&lt;5,IF(AND(COUNTIF(H$1237:H1308,1)&gt;7,MOD(1+IFERROR(MATCH($C706,总览!$D$46:$D$345,1)+1,1),7)=0),$C$3,0),0)</f>
        <v>187.2</v>
      </c>
      <c r="I706" s="131" cm="1">
        <f ca="1" t="array" ref="I706">IF(I1308=1,OFFSET($W$634,$B706,I$631-1)/SUMPRODUCT(--($D$631:$V$631=I$631),--($D1308:$V1308=1)),0)+SUM(I705)+IF(COUNTIF(I$1237:I1308,1)=1,5,0)+IF(COUNTIF(J706:$W706,"&gt;"&amp;0)&lt;5,IF(AND(COUNTIF(I$1237:I1308,1)&gt;7,MOD(1+IFERROR(MATCH($C706,总览!$D$46:$D$345,1)+1,1),7)=0),$C$3,0),0)</f>
        <v>187.2</v>
      </c>
      <c r="J706" s="131" cm="1">
        <f ca="1" t="array" ref="J706">IF(J1308=1,OFFSET($W$634,$B706,J$631-1)/SUMPRODUCT(--($D$631:$V$631=J$631),--($D1308:$V1308=1)),0)+SUM(J705)+IF(COUNTIF(J$1237:J1308,1)=1,5,0)+IF(COUNTIF(K706:$W706,"&gt;"&amp;0)&lt;5,IF(AND(COUNTIF(J$1237:J1308,1)&gt;7,MOD(1+IFERROR(MATCH($C706,总览!$D$46:$D$345,1)+1,1),7)=0),$C$3,0),0)</f>
        <v>183.866666666667</v>
      </c>
      <c r="K706" s="131" cm="1">
        <f ca="1" t="array" ref="K706">IF(K1308=1,OFFSET($W$634,$B706,K$631-1)/SUMPRODUCT(--($D$631:$V$631=K$631),--($D1308:$V1308=1)),0)+SUM(K705)+IF(COUNTIF(K$1237:K1308,1)=1,5,0)+IF(COUNTIF(L706:$W706,"&gt;"&amp;0)&lt;5,IF(AND(COUNTIF(K$1237:K1308,1)&gt;7,MOD(1+IFERROR(MATCH($C706,总览!$D$46:$D$345,1)+1,1),7)=0),$C$3,0),0)</f>
        <v>181.366666666667</v>
      </c>
      <c r="L706" s="131" cm="1">
        <f ca="1" t="array" ref="L706">IF(L1308=1,OFFSET($W$634,$B706,L$631-1)/SUMPRODUCT(--($D$631:$V$631=L$631),--($D1308:$V1308=1)),0)+SUM(L705)+IF(COUNTIF(L$1237:L1308,1)=1,5,0)+IF(COUNTIF(M706:$W706,"&gt;"&amp;0)&lt;5,IF(AND(COUNTIF(L$1237:L1308,1)&gt;7,MOD(1+IFERROR(MATCH($C706,总览!$D$46:$D$345,1)+1,1),7)=0),$C$3,0),0)</f>
        <v>181.366666666667</v>
      </c>
      <c r="M706" s="131" cm="1">
        <f ca="1" t="array" ref="M706">IF(M1308=1,OFFSET($W$634,$B706,M$631-1)/SUMPRODUCT(--($D$631:$V$631=M$631),--($D1308:$V1308=1)),0)+SUM(M705)+IF(COUNTIF(M$1237:M1308,1)=1,5,0)+IF(COUNTIF(N706:$W706,"&gt;"&amp;0)&lt;5,IF(AND(COUNTIF(M$1237:M1308,1)&gt;7,MOD(1+IFERROR(MATCH($C706,总览!$D$46:$D$345,1)+1,1),7)=0),$C$3,0),0)</f>
        <v>67.2955357142857</v>
      </c>
      <c r="N706" s="131" cm="1">
        <f ca="1" t="array" ref="N706">IF(N1308=1,OFFSET($W$634,$B706,N$631-1)/SUMPRODUCT(--($D$631:$V$631=N$631),--($D1308:$V1308=1)),0)+SUM(N705)+IF(COUNTIF(N$1237:N1308,1)=1,5,0)+IF(COUNTIF(O706:$W706,"&gt;"&amp;0)&lt;5,IF(AND(COUNTIF(N$1237:N1308,1)&gt;7,MOD(1+IFERROR(MATCH($C706,总览!$D$46:$D$345,1)+1,1),7)=0),$C$3,0),0)</f>
        <v>68.5455357142857</v>
      </c>
      <c r="O706" s="131" cm="1">
        <f ca="1" t="array" ref="O706">IF(O1308=1,OFFSET($W$634,$B706,O$631-1)/SUMPRODUCT(--($D$631:$V$631=O$631),--($D1308:$V1308=1)),0)+SUM(O705)+IF(COUNTIF(O$1237:O1308,1)=1,5,0)+IF(COUNTIF(P706:$W706,"&gt;"&amp;0)&lt;5,IF(AND(COUNTIF(O$1237:O1308,1)&gt;7,MOD(1+IFERROR(MATCH($C706,总览!$D$46:$D$345,1)+1,1),7)=0),$C$3,0),0)</f>
        <v>73.5455357142856</v>
      </c>
      <c r="P706" s="131" cm="1">
        <f ca="1" t="array" ref="P706">IF(P1308=1,OFFSET($W$634,$B706,P$631-1)/SUMPRODUCT(--($D$631:$V$631=P$631),--($D1308:$V1308=1)),0)+SUM(P705)+IF(COUNTIF(P$1237:P1308,1)=1,5,0)+IF(COUNTIF(Q706:$W706,"&gt;"&amp;0)&lt;5,IF(AND(COUNTIF(P$1237:P1308,1)&gt;7,MOD(1+IFERROR(MATCH($C706,总览!$D$46:$D$345,1)+1,1),7)=0),$C$3,0),0)</f>
        <v>62.6642857142857</v>
      </c>
      <c r="Q706" s="131" cm="1">
        <f ca="1" t="array" ref="Q706">IF(Q1308=1,OFFSET($W$634,$B706,Q$631-1)/SUMPRODUCT(--($D$631:$V$631=Q$631),--($D1308:$V1308=1)),0)+SUM(Q705)+IF(COUNTIF(Q$1237:Q1308,1)=1,5,0)+IF(COUNTIF(R706:$W706,"&gt;"&amp;0)&lt;5,IF(AND(COUNTIF(Q$1237:Q1308,1)&gt;7,MOD(1+IFERROR(MATCH($C706,总览!$D$46:$D$345,1)+1,1),7)=0),$C$3,0),0)</f>
        <v>76.0455357142856</v>
      </c>
      <c r="R706" s="131" cm="1">
        <f ca="1" t="array" ref="R706">IF(R1308=1,OFFSET($W$634,$B706,R$631-1)/SUMPRODUCT(--($D$631:$V$631=R$631),--($D1308:$V1308=1)),0)+SUM(R705)+IF(COUNTIF(R$1237:R1308,1)=1,5,0)+IF(COUNTIF(S706:$W706,"&gt;"&amp;0)&lt;5,IF(AND(COUNTIF(R$1237:R1308,1)&gt;7,MOD(1+IFERROR(MATCH($C706,总览!$D$46:$D$345,1)+1,1),7)=0),$C$3,0),0)</f>
        <v>67.6642857142857</v>
      </c>
      <c r="S706" s="131" cm="1">
        <f ca="1" t="array" ref="S706">IF(S1308=1,OFFSET($W$634,$B706,S$631-1)/SUMPRODUCT(--($D$631:$V$631=S$631),--($D1308:$V1308=1)),0)+SUM(S705)+IF(COUNTIF(S$1237:S1308,1)=1,5,0)+IF(COUNTIF(T706:$W706,"&gt;"&amp;0)&lt;5,IF(AND(COUNTIF(S$1237:S1308,1)&gt;7,MOD(1+IFERROR(MATCH($C706,总览!$D$46:$D$345,1)+1,1),7)=0),$C$3,0),0)</f>
        <v>80.1642857142856</v>
      </c>
      <c r="T706" s="131" cm="1">
        <f ca="1" t="array" ref="T706">IF(T1308=1,OFFSET($W$634,$B706,T$631-1)/SUMPRODUCT(--($D$631:$V$631=T$631),--($D1308:$V1308=1)),0)+SUM(T705)+IF(COUNTIF(T$1237:T1308,1)=1,5,0)+IF(COUNTIF(U706:$W706,"&gt;"&amp;0)&lt;5,IF(AND(COUNTIF(T$1237:T1308,1)&gt;7,MOD(1+IFERROR(MATCH($C706,总览!$D$46:$D$345,1)+1,1),7)=0),$C$3,0),0)</f>
        <v>37.343107014279</v>
      </c>
      <c r="U706" s="131" cm="1">
        <f ca="1" t="array" ref="U706">IF(U1308=1,OFFSET($W$634,$B706,U$631-1)/SUMPRODUCT(--($D$631:$V$631=U$631),--($D1308:$V1308=1)),0)+SUM(U705)+IF(COUNTIF(U$1237:U1308,1)=1,5,0)+IF(COUNTIF(V706:$W706,"&gt;"&amp;0)&lt;5,IF(AND(COUNTIF(U$1237:U1308,1)&gt;7,MOD(1+IFERROR(MATCH($C706,总览!$D$46:$D$345,1)+1,1),7)=0),$C$3,0),0)</f>
        <v>42.8638933695787</v>
      </c>
      <c r="V706" s="131" cm="1">
        <f ca="1" t="array" ref="V706">IF(V1308=1,OFFSET($W$634,$B706,V$631-1)/SUMPRODUCT(--($D$631:$V$631=V$631),--($D1308:$V1308=1)),0)+SUM(V705)+IF(COUNTIF(V$1237:V1308,1)=1,5,0)+IF(COUNTIF(W706:$W706,"&gt;"&amp;0)&lt;5,IF(AND(COUNTIF(V$1237:V1308,1)&gt;7,MOD(1+IFERROR(MATCH($C706,总览!$D$46:$D$345,1)+1,1),7)=0),$C$3,0),0)</f>
        <v>62.690893082012</v>
      </c>
      <c r="W706" s="135" cm="1">
        <f ca="1" t="array" ref="W706">SUMPRODUCT(TRANSPOSE($AA706:$AG706),OFFSET($L$9:$L$15,0,W$631-1))</f>
        <v>21.6942067191022</v>
      </c>
      <c r="X706" s="135" cm="1">
        <f ca="1" t="array" ref="X706">SUMPRODUCT(TRANSPOSE($AA706:$AG706),OFFSET($L$9:$L$15,0,X$631-1))</f>
        <v>18</v>
      </c>
      <c r="Y706" s="135" cm="1">
        <f ca="1" t="array" ref="Y706">SUMPRODUCT(TRANSPOSE($AA706:$AG706),OFFSET($L$9:$L$15,0,Y$631-1))</f>
        <v>8</v>
      </c>
      <c r="Z706" s="135" cm="1">
        <f ca="1" t="array" ref="Z706">SUMPRODUCT(TRANSPOSE($AA706:$AG706),OFFSET($L$9:$L$15,0,Z$631-1))</f>
        <v>2.30579328089777</v>
      </c>
      <c r="AA706" s="136">
        <f ca="1" t="shared" ref="AA706:AG706" si="385">AH706-AH705</f>
        <v>0</v>
      </c>
      <c r="AB706" s="136">
        <f ca="1" t="shared" si="385"/>
        <v>0</v>
      </c>
      <c r="AC706" s="136">
        <f ca="1" t="shared" si="385"/>
        <v>0</v>
      </c>
      <c r="AD706" s="136">
        <f ca="1" t="shared" si="385"/>
        <v>0</v>
      </c>
      <c r="AE706" s="136">
        <f ca="1" t="shared" si="385"/>
        <v>100</v>
      </c>
      <c r="AF706" s="136">
        <f ca="1" t="shared" si="385"/>
        <v>0</v>
      </c>
      <c r="AG706" s="136">
        <f ca="1" t="shared" si="385"/>
        <v>0</v>
      </c>
      <c r="AH706" s="136">
        <f ca="1" t="shared" si="371"/>
        <v>450</v>
      </c>
      <c r="AI706" s="136">
        <f ca="1" t="shared" ref="AI706:AN706" si="386">IF($C706&gt;OFFSET($Q$8,MATCH(AI$634,$AH$634:$AN$634,0),0),OFFSET($P$8,MATCH(AI$634,$AH$634:$AN$634,0),0),MAX(0,$C706-OFFSET($Q$8,RIGHT(AI$634,1)-1,0)))</f>
        <v>909</v>
      </c>
      <c r="AJ706" s="136">
        <f ca="1" t="shared" si="386"/>
        <v>1818</v>
      </c>
      <c r="AK706" s="136">
        <f ca="1" t="shared" si="386"/>
        <v>2727</v>
      </c>
      <c r="AL706" s="136">
        <f ca="1" t="shared" si="386"/>
        <v>1296</v>
      </c>
      <c r="AM706" s="136">
        <f ca="1" t="shared" si="386"/>
        <v>0</v>
      </c>
      <c r="AN706" s="136">
        <f ca="1" t="shared" si="386"/>
        <v>0</v>
      </c>
      <c r="AP706" s="132">
        <v>72</v>
      </c>
      <c r="AQ706" s="132">
        <v>74630</v>
      </c>
      <c r="AR706" s="132">
        <v>74630</v>
      </c>
      <c r="AS706" s="132">
        <v>41690</v>
      </c>
      <c r="AT706" s="132">
        <v>21620</v>
      </c>
    </row>
    <row r="707" s="106" customFormat="1" ht="16.5" spans="2:46">
      <c r="B707" s="117">
        <v>73</v>
      </c>
      <c r="C707" s="130">
        <f t="shared" si="369"/>
        <v>7300</v>
      </c>
      <c r="D707" s="131" cm="1">
        <f ca="1" t="array" ref="D707">IF(D1309=1,OFFSET($W$634,$B707,D$631-1)/SUMPRODUCT(--($D$631:$V$631=D$631),--($D1309:$V1309=1)),0)+SUM(D706)+IF(COUNTIF(D$1237:D1309,1)=1,5,0)+IF(COUNTIF(E707:$W707,"&gt;"&amp;0)&lt;5,IF(AND(COUNTIF(D$1237:D1309,1)&gt;7,MOD(1+IFERROR(MATCH($C707,总览!$D$46:$D$345,1)+1,1),7)=0),$C$3,0),0)</f>
        <v>701.557104417745</v>
      </c>
      <c r="E707" s="131" cm="1">
        <f ca="1" t="array" ref="E707">IF(E1309=1,OFFSET($W$634,$B707,E$631-1)/SUMPRODUCT(--($D$631:$V$631=E$631),--($D1309:$V1309=1)),0)+SUM(E706)+IF(COUNTIF(E$1237:E1309,1)=1,5,0)+IF(COUNTIF(F707:$W707,"&gt;"&amp;0)&lt;5,IF(AND(COUNTIF(E$1237:E1309,1)&gt;7,MOD(1+IFERROR(MATCH($C707,总览!$D$46:$D$345,1)+1,1),7)=0),$C$3,0),0)</f>
        <v>701.557104417745</v>
      </c>
      <c r="F707" s="131" cm="1">
        <f ca="1" t="array" ref="F707">IF(F1309=1,OFFSET($W$634,$B707,F$631-1)/SUMPRODUCT(--($D$631:$V$631=F$631),--($D1309:$V1309=1)),0)+SUM(F706)+IF(COUNTIF(F$1237:F1309,1)=1,5,0)+IF(COUNTIF(G707:$W707,"&gt;"&amp;0)&lt;5,IF(AND(COUNTIF(F$1237:F1309,1)&gt;7,MOD(1+IFERROR(MATCH($C707,总览!$D$46:$D$345,1)+1,1),7)=0),$C$3,0),0)</f>
        <v>701.557104417745</v>
      </c>
      <c r="G707" s="131" cm="1">
        <f ca="1" t="array" ref="G707">IF(G1309=1,OFFSET($W$634,$B707,G$631-1)/SUMPRODUCT(--($D$631:$V$631=G$631),--($D1309:$V1309=1)),0)+SUM(G706)+IF(COUNTIF(G$1237:G1309,1)=1,5,0)+IF(COUNTIF(H707:$W707,"&gt;"&amp;0)&lt;5,IF(AND(COUNTIF(G$1237:G1309,1)&gt;7,MOD(1+IFERROR(MATCH($C707,总览!$D$46:$D$345,1)+1,1),7)=0),$C$3,0),0)</f>
        <v>190.2</v>
      </c>
      <c r="H707" s="131" cm="1">
        <f ca="1" t="array" ref="H707">IF(H1309=1,OFFSET($W$634,$B707,H$631-1)/SUMPRODUCT(--($D$631:$V$631=H$631),--($D1309:$V1309=1)),0)+SUM(H706)+IF(COUNTIF(H$1237:H1309,1)=1,5,0)+IF(COUNTIF(I707:$W707,"&gt;"&amp;0)&lt;5,IF(AND(COUNTIF(H$1237:H1309,1)&gt;7,MOD(1+IFERROR(MATCH($C707,总览!$D$46:$D$345,1)+1,1),7)=0),$C$3,0),0)</f>
        <v>190.2</v>
      </c>
      <c r="I707" s="131" cm="1">
        <f ca="1" t="array" ref="I707">IF(I1309=1,OFFSET($W$634,$B707,I$631-1)/SUMPRODUCT(--($D$631:$V$631=I$631),--($D1309:$V1309=1)),0)+SUM(I706)+IF(COUNTIF(I$1237:I1309,1)=1,5,0)+IF(COUNTIF(J707:$W707,"&gt;"&amp;0)&lt;5,IF(AND(COUNTIF(I$1237:I1309,1)&gt;7,MOD(1+IFERROR(MATCH($C707,总览!$D$46:$D$345,1)+1,1),7)=0),$C$3,0),0)</f>
        <v>190.2</v>
      </c>
      <c r="J707" s="131" cm="1">
        <f ca="1" t="array" ref="J707">IF(J1309=1,OFFSET($W$634,$B707,J$631-1)/SUMPRODUCT(--($D$631:$V$631=J$631),--($D1309:$V1309=1)),0)+SUM(J706)+IF(COUNTIF(J$1237:J1309,1)=1,5,0)+IF(COUNTIF(K707:$W707,"&gt;"&amp;0)&lt;5,IF(AND(COUNTIF(J$1237:J1309,1)&gt;7,MOD(1+IFERROR(MATCH($C707,总览!$D$46:$D$345,1)+1,1),7)=0),$C$3,0),0)</f>
        <v>186.866666666667</v>
      </c>
      <c r="K707" s="131" cm="1">
        <f ca="1" t="array" ref="K707">IF(K1309=1,OFFSET($W$634,$B707,K$631-1)/SUMPRODUCT(--($D$631:$V$631=K$631),--($D1309:$V1309=1)),0)+SUM(K706)+IF(COUNTIF(K$1237:K1309,1)=1,5,0)+IF(COUNTIF(L707:$W707,"&gt;"&amp;0)&lt;5,IF(AND(COUNTIF(K$1237:K1309,1)&gt;7,MOD(1+IFERROR(MATCH($C707,总览!$D$46:$D$345,1)+1,1),7)=0),$C$3,0),0)</f>
        <v>184.366666666667</v>
      </c>
      <c r="L707" s="131" cm="1">
        <f ca="1" t="array" ref="L707">IF(L1309=1,OFFSET($W$634,$B707,L$631-1)/SUMPRODUCT(--($D$631:$V$631=L$631),--($D1309:$V1309=1)),0)+SUM(L706)+IF(COUNTIF(L$1237:L1309,1)=1,5,0)+IF(COUNTIF(M707:$W707,"&gt;"&amp;0)&lt;5,IF(AND(COUNTIF(L$1237:L1309,1)&gt;7,MOD(1+IFERROR(MATCH($C707,总览!$D$46:$D$345,1)+1,1),7)=0),$C$3,0),0)</f>
        <v>184.366666666667</v>
      </c>
      <c r="M707" s="131" cm="1">
        <f ca="1" t="array" ref="M707">IF(M1309=1,OFFSET($W$634,$B707,M$631-1)/SUMPRODUCT(--($D$631:$V$631=M$631),--($D1309:$V1309=1)),0)+SUM(M706)+IF(COUNTIF(M$1237:M1309,1)=1,5,0)+IF(COUNTIF(N707:$W707,"&gt;"&amp;0)&lt;5,IF(AND(COUNTIF(M$1237:M1309,1)&gt;7,MOD(1+IFERROR(MATCH($C707,总览!$D$46:$D$345,1)+1,1),7)=0),$C$3,0),0)</f>
        <v>68.4383928571428</v>
      </c>
      <c r="N707" s="131" cm="1">
        <f ca="1" t="array" ref="N707">IF(N1309=1,OFFSET($W$634,$B707,N$631-1)/SUMPRODUCT(--($D$631:$V$631=N$631),--($D1309:$V1309=1)),0)+SUM(N706)+IF(COUNTIF(N$1237:N1309,1)=1,5,0)+IF(COUNTIF(O707:$W707,"&gt;"&amp;0)&lt;5,IF(AND(COUNTIF(N$1237:N1309,1)&gt;7,MOD(1+IFERROR(MATCH($C707,总览!$D$46:$D$345,1)+1,1),7)=0),$C$3,0),0)</f>
        <v>69.6883928571428</v>
      </c>
      <c r="O707" s="131" cm="1">
        <f ca="1" t="array" ref="O707">IF(O1309=1,OFFSET($W$634,$B707,O$631-1)/SUMPRODUCT(--($D$631:$V$631=O$631),--($D1309:$V1309=1)),0)+SUM(O706)+IF(COUNTIF(O$1237:O1309,1)=1,5,0)+IF(COUNTIF(P707:$W707,"&gt;"&amp;0)&lt;5,IF(AND(COUNTIF(O$1237:O1309,1)&gt;7,MOD(1+IFERROR(MATCH($C707,总览!$D$46:$D$345,1)+1,1),7)=0),$C$3,0),0)</f>
        <v>74.6883928571427</v>
      </c>
      <c r="P707" s="131" cm="1">
        <f ca="1" t="array" ref="P707">IF(P1309=1,OFFSET($W$634,$B707,P$631-1)/SUMPRODUCT(--($D$631:$V$631=P$631),--($D1309:$V1309=1)),0)+SUM(P706)+IF(COUNTIF(P$1237:P1309,1)=1,5,0)+IF(COUNTIF(Q707:$W707,"&gt;"&amp;0)&lt;5,IF(AND(COUNTIF(P$1237:P1309,1)&gt;7,MOD(1+IFERROR(MATCH($C707,总览!$D$46:$D$345,1)+1,1),7)=0),$C$3,0),0)</f>
        <v>63.8071428571429</v>
      </c>
      <c r="Q707" s="131" cm="1">
        <f ca="1" t="array" ref="Q707">IF(Q1309=1,OFFSET($W$634,$B707,Q$631-1)/SUMPRODUCT(--($D$631:$V$631=Q$631),--($D1309:$V1309=1)),0)+SUM(Q706)+IF(COUNTIF(Q$1237:Q1309,1)=1,5,0)+IF(COUNTIF(R707:$W707,"&gt;"&amp;0)&lt;5,IF(AND(COUNTIF(Q$1237:Q1309,1)&gt;7,MOD(1+IFERROR(MATCH($C707,总览!$D$46:$D$345,1)+1,1),7)=0),$C$3,0),0)</f>
        <v>77.1883928571427</v>
      </c>
      <c r="R707" s="131" cm="1">
        <f ca="1" t="array" ref="R707">IF(R1309=1,OFFSET($W$634,$B707,R$631-1)/SUMPRODUCT(--($D$631:$V$631=R$631),--($D1309:$V1309=1)),0)+SUM(R706)+IF(COUNTIF(R$1237:R1309,1)=1,5,0)+IF(COUNTIF(S707:$W707,"&gt;"&amp;0)&lt;5,IF(AND(COUNTIF(R$1237:R1309,1)&gt;7,MOD(1+IFERROR(MATCH($C707,总览!$D$46:$D$345,1)+1,1),7)=0),$C$3,0),0)</f>
        <v>68.8071428571428</v>
      </c>
      <c r="S707" s="131" cm="1">
        <f ca="1" t="array" ref="S707">IF(S1309=1,OFFSET($W$634,$B707,S$631-1)/SUMPRODUCT(--($D$631:$V$631=S$631),--($D1309:$V1309=1)),0)+SUM(S706)+IF(COUNTIF(S$1237:S1309,1)=1,5,0)+IF(COUNTIF(T707:$W707,"&gt;"&amp;0)&lt;5,IF(AND(COUNTIF(S$1237:S1309,1)&gt;7,MOD(1+IFERROR(MATCH($C707,总览!$D$46:$D$345,1)+1,1),7)=0),$C$3,0),0)</f>
        <v>81.3071428571428</v>
      </c>
      <c r="T707" s="131" cm="1">
        <f ca="1" t="array" ref="T707">IF(T1309=1,OFFSET($W$634,$B707,T$631-1)/SUMPRODUCT(--($D$631:$V$631=T$631),--($D1309:$V1309=1)),0)+SUM(T706)+IF(COUNTIF(T$1237:T1309,1)=1,5,0)+IF(COUNTIF(U707:$W707,"&gt;"&amp;0)&lt;5,IF(AND(COUNTIF(T$1237:T1309,1)&gt;7,MOD(1+IFERROR(MATCH($C707,总览!$D$46:$D$345,1)+1,1),7)=0),$C$3,0),0)</f>
        <v>38.1117047745783</v>
      </c>
      <c r="U707" s="131" cm="1">
        <f ca="1" t="array" ref="U707">IF(U1309=1,OFFSET($W$634,$B707,U$631-1)/SUMPRODUCT(--($D$631:$V$631=U$631),--($D1309:$V1309=1)),0)+SUM(U706)+IF(COUNTIF(U$1237:U1309,1)=1,5,0)+IF(COUNTIF(V707:$W707,"&gt;"&amp;0)&lt;5,IF(AND(COUNTIF(U$1237:U1309,1)&gt;7,MOD(1+IFERROR(MATCH($C707,总览!$D$46:$D$345,1)+1,1),7)=0),$C$3,0),0)</f>
        <v>43.6324911298779</v>
      </c>
      <c r="V707" s="131" cm="1">
        <f ca="1" t="array" ref="V707">IF(V1309=1,OFFSET($W$634,$B707,V$631-1)/SUMPRODUCT(--($D$631:$V$631=V$631),--($D1309:$V1309=1)),0)+SUM(V706)+IF(COUNTIF(V$1237:V1309,1)=1,5,0)+IF(COUNTIF(W707:$W707,"&gt;"&amp;0)&lt;5,IF(AND(COUNTIF(V$1237:V1309,1)&gt;7,MOD(1+IFERROR(MATCH($C707,总览!$D$46:$D$345,1)+1,1),7)=0),$C$3,0),0)</f>
        <v>63.4594908423113</v>
      </c>
      <c r="W707" s="135" cm="1">
        <f ca="1" t="array" ref="W707">SUMPRODUCT(TRANSPOSE($AA707:$AG707),OFFSET($L$9:$L$15,0,W$631-1))</f>
        <v>21.6942067191022</v>
      </c>
      <c r="X707" s="135" cm="1">
        <f ca="1" t="array" ref="X707">SUMPRODUCT(TRANSPOSE($AA707:$AG707),OFFSET($L$9:$L$15,0,X$631-1))</f>
        <v>18</v>
      </c>
      <c r="Y707" s="135" cm="1">
        <f ca="1" t="array" ref="Y707">SUMPRODUCT(TRANSPOSE($AA707:$AG707),OFFSET($L$9:$L$15,0,Y$631-1))</f>
        <v>8</v>
      </c>
      <c r="Z707" s="135" cm="1">
        <f ca="1" t="array" ref="Z707">SUMPRODUCT(TRANSPOSE($AA707:$AG707),OFFSET($L$9:$L$15,0,Z$631-1))</f>
        <v>2.30579328089777</v>
      </c>
      <c r="AA707" s="136">
        <f ca="1" t="shared" ref="AA707:AG707" si="387">AH707-AH706</f>
        <v>0</v>
      </c>
      <c r="AB707" s="136">
        <f ca="1" t="shared" si="387"/>
        <v>0</v>
      </c>
      <c r="AC707" s="136">
        <f ca="1" t="shared" si="387"/>
        <v>0</v>
      </c>
      <c r="AD707" s="136">
        <f ca="1" t="shared" si="387"/>
        <v>0</v>
      </c>
      <c r="AE707" s="136">
        <f ca="1" t="shared" si="387"/>
        <v>100</v>
      </c>
      <c r="AF707" s="136">
        <f ca="1" t="shared" si="387"/>
        <v>0</v>
      </c>
      <c r="AG707" s="136">
        <f ca="1" t="shared" si="387"/>
        <v>0</v>
      </c>
      <c r="AH707" s="136">
        <f ca="1" t="shared" si="371"/>
        <v>450</v>
      </c>
      <c r="AI707" s="136">
        <f ca="1" t="shared" ref="AI707:AN707" si="388">IF($C707&gt;OFFSET($Q$8,MATCH(AI$634,$AH$634:$AN$634,0),0),OFFSET($P$8,MATCH(AI$634,$AH$634:$AN$634,0),0),MAX(0,$C707-OFFSET($Q$8,RIGHT(AI$634,1)-1,0)))</f>
        <v>909</v>
      </c>
      <c r="AJ707" s="136">
        <f ca="1" t="shared" si="388"/>
        <v>1818</v>
      </c>
      <c r="AK707" s="136">
        <f ca="1" t="shared" si="388"/>
        <v>2727</v>
      </c>
      <c r="AL707" s="136">
        <f ca="1" t="shared" si="388"/>
        <v>1396</v>
      </c>
      <c r="AM707" s="136">
        <f ca="1" t="shared" si="388"/>
        <v>0</v>
      </c>
      <c r="AN707" s="136">
        <f ca="1" t="shared" si="388"/>
        <v>0</v>
      </c>
      <c r="AP707" s="132">
        <v>73</v>
      </c>
      <c r="AQ707" s="132">
        <v>77870</v>
      </c>
      <c r="AR707" s="132">
        <v>77870</v>
      </c>
      <c r="AS707" s="132">
        <v>43610</v>
      </c>
      <c r="AT707" s="132">
        <v>22580</v>
      </c>
    </row>
    <row r="708" s="106" customFormat="1" ht="16.5" spans="2:46">
      <c r="B708" s="117">
        <v>74</v>
      </c>
      <c r="C708" s="130">
        <f t="shared" si="369"/>
        <v>7400</v>
      </c>
      <c r="D708" s="131" cm="1">
        <f ca="1" t="array" ref="D708">IF(D1310=1,OFFSET($W$634,$B708,D$631-1)/SUMPRODUCT(--($D$631:$V$631=D$631),--($D1310:$V1310=1)),0)+SUM(D707)+IF(COUNTIF(D$1237:D1310,1)=1,5,0)+IF(COUNTIF(E708:$W708,"&gt;"&amp;0)&lt;5,IF(AND(COUNTIF(D$1237:D1310,1)&gt;7,MOD(1+IFERROR(MATCH($C708,总览!$D$46:$D$345,1)+1,1),7)=0),$C$3,0),0)</f>
        <v>708.788506657445</v>
      </c>
      <c r="E708" s="131" cm="1">
        <f ca="1" t="array" ref="E708">IF(E1310=1,OFFSET($W$634,$B708,E$631-1)/SUMPRODUCT(--($D$631:$V$631=E$631),--($D1310:$V1310=1)),0)+SUM(E707)+IF(COUNTIF(E$1237:E1310,1)=1,5,0)+IF(COUNTIF(F708:$W708,"&gt;"&amp;0)&lt;5,IF(AND(COUNTIF(E$1237:E1310,1)&gt;7,MOD(1+IFERROR(MATCH($C708,总览!$D$46:$D$345,1)+1,1),7)=0),$C$3,0),0)</f>
        <v>708.788506657445</v>
      </c>
      <c r="F708" s="131" cm="1">
        <f ca="1" t="array" ref="F708">IF(F1310=1,OFFSET($W$634,$B708,F$631-1)/SUMPRODUCT(--($D$631:$V$631=F$631),--($D1310:$V1310=1)),0)+SUM(F707)+IF(COUNTIF(F$1237:F1310,1)=1,5,0)+IF(COUNTIF(G708:$W708,"&gt;"&amp;0)&lt;5,IF(AND(COUNTIF(F$1237:F1310,1)&gt;7,MOD(1+IFERROR(MATCH($C708,总览!$D$46:$D$345,1)+1,1),7)=0),$C$3,0),0)</f>
        <v>708.788506657445</v>
      </c>
      <c r="G708" s="131" cm="1">
        <f ca="1" t="array" ref="G708">IF(G1310=1,OFFSET($W$634,$B708,G$631-1)/SUMPRODUCT(--($D$631:$V$631=G$631),--($D1310:$V1310=1)),0)+SUM(G707)+IF(COUNTIF(G$1237:G1310,1)=1,5,0)+IF(COUNTIF(H708:$W708,"&gt;"&amp;0)&lt;5,IF(AND(COUNTIF(G$1237:G1310,1)&gt;7,MOD(1+IFERROR(MATCH($C708,总览!$D$46:$D$345,1)+1,1),7)=0),$C$3,0),0)</f>
        <v>193.2</v>
      </c>
      <c r="H708" s="131" cm="1">
        <f ca="1" t="array" ref="H708">IF(H1310=1,OFFSET($W$634,$B708,H$631-1)/SUMPRODUCT(--($D$631:$V$631=H$631),--($D1310:$V1310=1)),0)+SUM(H707)+IF(COUNTIF(H$1237:H1310,1)=1,5,0)+IF(COUNTIF(I708:$W708,"&gt;"&amp;0)&lt;5,IF(AND(COUNTIF(H$1237:H1310,1)&gt;7,MOD(1+IFERROR(MATCH($C708,总览!$D$46:$D$345,1)+1,1),7)=0),$C$3,0),0)</f>
        <v>193.2</v>
      </c>
      <c r="I708" s="131" cm="1">
        <f ca="1" t="array" ref="I708">IF(I1310=1,OFFSET($W$634,$B708,I$631-1)/SUMPRODUCT(--($D$631:$V$631=I$631),--($D1310:$V1310=1)),0)+SUM(I707)+IF(COUNTIF(I$1237:I1310,1)=1,5,0)+IF(COUNTIF(J708:$W708,"&gt;"&amp;0)&lt;5,IF(AND(COUNTIF(I$1237:I1310,1)&gt;7,MOD(1+IFERROR(MATCH($C708,总览!$D$46:$D$345,1)+1,1),7)=0),$C$3,0),0)</f>
        <v>193.2</v>
      </c>
      <c r="J708" s="131" cm="1">
        <f ca="1" t="array" ref="J708">IF(J1310=1,OFFSET($W$634,$B708,J$631-1)/SUMPRODUCT(--($D$631:$V$631=J$631),--($D1310:$V1310=1)),0)+SUM(J707)+IF(COUNTIF(J$1237:J1310,1)=1,5,0)+IF(COUNTIF(K708:$W708,"&gt;"&amp;0)&lt;5,IF(AND(COUNTIF(J$1237:J1310,1)&gt;7,MOD(1+IFERROR(MATCH($C708,总览!$D$46:$D$345,1)+1,1),7)=0),$C$3,0),0)</f>
        <v>189.866666666667</v>
      </c>
      <c r="K708" s="131" cm="1">
        <f ca="1" t="array" ref="K708">IF(K1310=1,OFFSET($W$634,$B708,K$631-1)/SUMPRODUCT(--($D$631:$V$631=K$631),--($D1310:$V1310=1)),0)+SUM(K707)+IF(COUNTIF(K$1237:K1310,1)=1,5,0)+IF(COUNTIF(L708:$W708,"&gt;"&amp;0)&lt;5,IF(AND(COUNTIF(K$1237:K1310,1)&gt;7,MOD(1+IFERROR(MATCH($C708,总览!$D$46:$D$345,1)+1,1),7)=0),$C$3,0),0)</f>
        <v>187.366666666667</v>
      </c>
      <c r="L708" s="131" cm="1">
        <f ca="1" t="array" ref="L708">IF(L1310=1,OFFSET($W$634,$B708,L$631-1)/SUMPRODUCT(--($D$631:$V$631=L$631),--($D1310:$V1310=1)),0)+SUM(L707)+IF(COUNTIF(L$1237:L1310,1)=1,5,0)+IF(COUNTIF(M708:$W708,"&gt;"&amp;0)&lt;5,IF(AND(COUNTIF(L$1237:L1310,1)&gt;7,MOD(1+IFERROR(MATCH($C708,总览!$D$46:$D$345,1)+1,1),7)=0),$C$3,0),0)</f>
        <v>187.366666666667</v>
      </c>
      <c r="M708" s="131" cm="1">
        <f ca="1" t="array" ref="M708">IF(M1310=1,OFFSET($W$634,$B708,M$631-1)/SUMPRODUCT(--($D$631:$V$631=M$631),--($D1310:$V1310=1)),0)+SUM(M707)+IF(COUNTIF(M$1237:M1310,1)=1,5,0)+IF(COUNTIF(N708:$W708,"&gt;"&amp;0)&lt;5,IF(AND(COUNTIF(M$1237:M1310,1)&gt;7,MOD(1+IFERROR(MATCH($C708,总览!$D$46:$D$345,1)+1,1),7)=0),$C$3,0),0)</f>
        <v>69.58125</v>
      </c>
      <c r="N708" s="131" cm="1">
        <f ca="1" t="array" ref="N708">IF(N1310=1,OFFSET($W$634,$B708,N$631-1)/SUMPRODUCT(--($D$631:$V$631=N$631),--($D1310:$V1310=1)),0)+SUM(N707)+IF(COUNTIF(N$1237:N1310,1)=1,5,0)+IF(COUNTIF(O708:$W708,"&gt;"&amp;0)&lt;5,IF(AND(COUNTIF(N$1237:N1310,1)&gt;7,MOD(1+IFERROR(MATCH($C708,总览!$D$46:$D$345,1)+1,1),7)=0),$C$3,0),0)</f>
        <v>70.8312499999999</v>
      </c>
      <c r="O708" s="131" cm="1">
        <f ca="1" t="array" ref="O708">IF(O1310=1,OFFSET($W$634,$B708,O$631-1)/SUMPRODUCT(--($D$631:$V$631=O$631),--($D1310:$V1310=1)),0)+SUM(O707)+IF(COUNTIF(O$1237:O1310,1)=1,5,0)+IF(COUNTIF(P708:$W708,"&gt;"&amp;0)&lt;5,IF(AND(COUNTIF(O$1237:O1310,1)&gt;7,MOD(1+IFERROR(MATCH($C708,总览!$D$46:$D$345,1)+1,1),7)=0),$C$3,0),0)</f>
        <v>75.8312499999999</v>
      </c>
      <c r="P708" s="131" cm="1">
        <f ca="1" t="array" ref="P708">IF(P1310=1,OFFSET($W$634,$B708,P$631-1)/SUMPRODUCT(--($D$631:$V$631=P$631),--($D1310:$V1310=1)),0)+SUM(P707)+IF(COUNTIF(P$1237:P1310,1)=1,5,0)+IF(COUNTIF(Q708:$W708,"&gt;"&amp;0)&lt;5,IF(AND(COUNTIF(P$1237:P1310,1)&gt;7,MOD(1+IFERROR(MATCH($C708,总览!$D$46:$D$345,1)+1,1),7)=0),$C$3,0),0)</f>
        <v>64.95</v>
      </c>
      <c r="Q708" s="131" cm="1">
        <f ca="1" t="array" ref="Q708">IF(Q1310=1,OFFSET($W$634,$B708,Q$631-1)/SUMPRODUCT(--($D$631:$V$631=Q$631),--($D1310:$V1310=1)),0)+SUM(Q707)+IF(COUNTIF(Q$1237:Q1310,1)=1,5,0)+IF(COUNTIF(R708:$W708,"&gt;"&amp;0)&lt;5,IF(AND(COUNTIF(Q$1237:Q1310,1)&gt;7,MOD(1+IFERROR(MATCH($C708,总览!$D$46:$D$345,1)+1,1),7)=0),$C$3,0),0)</f>
        <v>78.3312499999999</v>
      </c>
      <c r="R708" s="131" cm="1">
        <f ca="1" t="array" ref="R708">IF(R1310=1,OFFSET($W$634,$B708,R$631-1)/SUMPRODUCT(--($D$631:$V$631=R$631),--($D1310:$V1310=1)),0)+SUM(R707)+IF(COUNTIF(R$1237:R1310,1)=1,5,0)+IF(COUNTIF(S708:$W708,"&gt;"&amp;0)&lt;5,IF(AND(COUNTIF(R$1237:R1310,1)&gt;7,MOD(1+IFERROR(MATCH($C708,总览!$D$46:$D$345,1)+1,1),7)=0),$C$3,0),0)</f>
        <v>69.9499999999999</v>
      </c>
      <c r="S708" s="131" cm="1">
        <f ca="1" t="array" ref="S708">IF(S1310=1,OFFSET($W$634,$B708,S$631-1)/SUMPRODUCT(--($D$631:$V$631=S$631),--($D1310:$V1310=1)),0)+SUM(S707)+IF(COUNTIF(S$1237:S1310,1)=1,5,0)+IF(COUNTIF(T708:$W708,"&gt;"&amp;0)&lt;5,IF(AND(COUNTIF(S$1237:S1310,1)&gt;7,MOD(1+IFERROR(MATCH($C708,总览!$D$46:$D$345,1)+1,1),7)=0),$C$3,0),0)</f>
        <v>82.4499999999999</v>
      </c>
      <c r="T708" s="131" cm="1">
        <f ca="1" t="array" ref="T708">IF(T1310=1,OFFSET($W$634,$B708,T$631-1)/SUMPRODUCT(--($D$631:$V$631=T$631),--($D1310:$V1310=1)),0)+SUM(T707)+IF(COUNTIF(T$1237:T1310,1)=1,5,0)+IF(COUNTIF(U708:$W708,"&gt;"&amp;0)&lt;5,IF(AND(COUNTIF(T$1237:T1310,1)&gt;7,MOD(1+IFERROR(MATCH($C708,总览!$D$46:$D$345,1)+1,1),7)=0),$C$3,0),0)</f>
        <v>38.8803025348776</v>
      </c>
      <c r="U708" s="131" cm="1">
        <f ca="1" t="array" ref="U708">IF(U1310=1,OFFSET($W$634,$B708,U$631-1)/SUMPRODUCT(--($D$631:$V$631=U$631),--($D1310:$V1310=1)),0)+SUM(U707)+IF(COUNTIF(U$1237:U1310,1)=1,5,0)+IF(COUNTIF(V708:$W708,"&gt;"&amp;0)&lt;5,IF(AND(COUNTIF(U$1237:U1310,1)&gt;7,MOD(1+IFERROR(MATCH($C708,总览!$D$46:$D$345,1)+1,1),7)=0),$C$3,0),0)</f>
        <v>44.4010888901772</v>
      </c>
      <c r="V708" s="131" cm="1">
        <f ca="1" t="array" ref="V708">IF(V1310=1,OFFSET($W$634,$B708,V$631-1)/SUMPRODUCT(--($D$631:$V$631=V$631),--($D1310:$V1310=1)),0)+SUM(V707)+IF(COUNTIF(V$1237:V1310,1)=1,5,0)+IF(COUNTIF(W708:$W708,"&gt;"&amp;0)&lt;5,IF(AND(COUNTIF(V$1237:V1310,1)&gt;7,MOD(1+IFERROR(MATCH($C708,总览!$D$46:$D$345,1)+1,1),7)=0),$C$3,0),0)</f>
        <v>64.2280886026106</v>
      </c>
      <c r="W708" s="135" cm="1">
        <f ca="1" t="array" ref="W708">SUMPRODUCT(TRANSPOSE($AA708:$AG708),OFFSET($L$9:$L$15,0,W$631-1))</f>
        <v>21.6942067191022</v>
      </c>
      <c r="X708" s="135" cm="1">
        <f ca="1" t="array" ref="X708">SUMPRODUCT(TRANSPOSE($AA708:$AG708),OFFSET($L$9:$L$15,0,X$631-1))</f>
        <v>18</v>
      </c>
      <c r="Y708" s="135" cm="1">
        <f ca="1" t="array" ref="Y708">SUMPRODUCT(TRANSPOSE($AA708:$AG708),OFFSET($L$9:$L$15,0,Y$631-1))</f>
        <v>8</v>
      </c>
      <c r="Z708" s="135" cm="1">
        <f ca="1" t="array" ref="Z708">SUMPRODUCT(TRANSPOSE($AA708:$AG708),OFFSET($L$9:$L$15,0,Z$631-1))</f>
        <v>2.30579328089777</v>
      </c>
      <c r="AA708" s="136">
        <f ca="1" t="shared" ref="AA708:AG708" si="389">AH708-AH707</f>
        <v>0</v>
      </c>
      <c r="AB708" s="136">
        <f ca="1" t="shared" si="389"/>
        <v>0</v>
      </c>
      <c r="AC708" s="136">
        <f ca="1" t="shared" si="389"/>
        <v>0</v>
      </c>
      <c r="AD708" s="136">
        <f ca="1" t="shared" si="389"/>
        <v>0</v>
      </c>
      <c r="AE708" s="136">
        <f ca="1" t="shared" si="389"/>
        <v>100</v>
      </c>
      <c r="AF708" s="136">
        <f ca="1" t="shared" si="389"/>
        <v>0</v>
      </c>
      <c r="AG708" s="136">
        <f ca="1" t="shared" si="389"/>
        <v>0</v>
      </c>
      <c r="AH708" s="136">
        <f ca="1" t="shared" si="371"/>
        <v>450</v>
      </c>
      <c r="AI708" s="136">
        <f ca="1" t="shared" ref="AI708:AN708" si="390">IF($C708&gt;OFFSET($Q$8,MATCH(AI$634,$AH$634:$AN$634,0),0),OFFSET($P$8,MATCH(AI$634,$AH$634:$AN$634,0),0),MAX(0,$C708-OFFSET($Q$8,RIGHT(AI$634,1)-1,0)))</f>
        <v>909</v>
      </c>
      <c r="AJ708" s="136">
        <f ca="1" t="shared" si="390"/>
        <v>1818</v>
      </c>
      <c r="AK708" s="136">
        <f ca="1" t="shared" si="390"/>
        <v>2727</v>
      </c>
      <c r="AL708" s="136">
        <f ca="1" t="shared" si="390"/>
        <v>1496</v>
      </c>
      <c r="AM708" s="136">
        <f ca="1" t="shared" si="390"/>
        <v>0</v>
      </c>
      <c r="AN708" s="136">
        <f ca="1" t="shared" si="390"/>
        <v>0</v>
      </c>
      <c r="AP708" s="132">
        <v>74</v>
      </c>
      <c r="AQ708" s="132">
        <v>81110</v>
      </c>
      <c r="AR708" s="132">
        <v>81110</v>
      </c>
      <c r="AS708" s="132">
        <v>45530</v>
      </c>
      <c r="AT708" s="132">
        <v>23540</v>
      </c>
    </row>
    <row r="709" s="106" customFormat="1" ht="16.5" spans="2:46">
      <c r="B709" s="117">
        <v>75</v>
      </c>
      <c r="C709" s="130">
        <f t="shared" si="369"/>
        <v>7500</v>
      </c>
      <c r="D709" s="131" cm="1">
        <f ca="1" t="array" ref="D709">IF(D1311=1,OFFSET($W$634,$B709,D$631-1)/SUMPRODUCT(--($D$631:$V$631=D$631),--($D1311:$V1311=1)),0)+SUM(D708)+IF(COUNTIF(D$1237:D1311,1)=1,5,0)+IF(COUNTIF(E709:$W709,"&gt;"&amp;0)&lt;5,IF(AND(COUNTIF(D$1237:D1311,1)&gt;7,MOD(1+IFERROR(MATCH($C709,总览!$D$46:$D$345,1)+1,1),7)=0),$C$3,0),0)</f>
        <v>716.019908897146</v>
      </c>
      <c r="E709" s="131" cm="1">
        <f ca="1" t="array" ref="E709">IF(E1311=1,OFFSET($W$634,$B709,E$631-1)/SUMPRODUCT(--($D$631:$V$631=E$631),--($D1311:$V1311=1)),0)+SUM(E708)+IF(COUNTIF(E$1237:E1311,1)=1,5,0)+IF(COUNTIF(F709:$W709,"&gt;"&amp;0)&lt;5,IF(AND(COUNTIF(E$1237:E1311,1)&gt;7,MOD(1+IFERROR(MATCH($C709,总览!$D$46:$D$345,1)+1,1),7)=0),$C$3,0),0)</f>
        <v>716.019908897146</v>
      </c>
      <c r="F709" s="131" cm="1">
        <f ca="1" t="array" ref="F709">IF(F1311=1,OFFSET($W$634,$B709,F$631-1)/SUMPRODUCT(--($D$631:$V$631=F$631),--($D1311:$V1311=1)),0)+SUM(F708)+IF(COUNTIF(F$1237:F1311,1)=1,5,0)+IF(COUNTIF(G709:$W709,"&gt;"&amp;0)&lt;5,IF(AND(COUNTIF(F$1237:F1311,1)&gt;7,MOD(1+IFERROR(MATCH($C709,总览!$D$46:$D$345,1)+1,1),7)=0),$C$3,0),0)</f>
        <v>716.019908897146</v>
      </c>
      <c r="G709" s="131" cm="1">
        <f ca="1" t="array" ref="G709">IF(G1311=1,OFFSET($W$634,$B709,G$631-1)/SUMPRODUCT(--($D$631:$V$631=G$631),--($D1311:$V1311=1)),0)+SUM(G708)+IF(COUNTIF(G$1237:G1311,1)=1,5,0)+IF(COUNTIF(H709:$W709,"&gt;"&amp;0)&lt;5,IF(AND(COUNTIF(G$1237:G1311,1)&gt;7,MOD(1+IFERROR(MATCH($C709,总览!$D$46:$D$345,1)+1,1),7)=0),$C$3,0),0)</f>
        <v>196.2</v>
      </c>
      <c r="H709" s="131" cm="1">
        <f ca="1" t="array" ref="H709">IF(H1311=1,OFFSET($W$634,$B709,H$631-1)/SUMPRODUCT(--($D$631:$V$631=H$631),--($D1311:$V1311=1)),0)+SUM(H708)+IF(COUNTIF(H$1237:H1311,1)=1,5,0)+IF(COUNTIF(I709:$W709,"&gt;"&amp;0)&lt;5,IF(AND(COUNTIF(H$1237:H1311,1)&gt;7,MOD(1+IFERROR(MATCH($C709,总览!$D$46:$D$345,1)+1,1),7)=0),$C$3,0),0)</f>
        <v>196.2</v>
      </c>
      <c r="I709" s="131" cm="1">
        <f ca="1" t="array" ref="I709">IF(I1311=1,OFFSET($W$634,$B709,I$631-1)/SUMPRODUCT(--($D$631:$V$631=I$631),--($D1311:$V1311=1)),0)+SUM(I708)+IF(COUNTIF(I$1237:I1311,1)=1,5,0)+IF(COUNTIF(J709:$W709,"&gt;"&amp;0)&lt;5,IF(AND(COUNTIF(I$1237:I1311,1)&gt;7,MOD(1+IFERROR(MATCH($C709,总览!$D$46:$D$345,1)+1,1),7)=0),$C$3,0),0)</f>
        <v>196.2</v>
      </c>
      <c r="J709" s="131" cm="1">
        <f ca="1" t="array" ref="J709">IF(J1311=1,OFFSET($W$634,$B709,J$631-1)/SUMPRODUCT(--($D$631:$V$631=J$631),--($D1311:$V1311=1)),0)+SUM(J708)+IF(COUNTIF(J$1237:J1311,1)=1,5,0)+IF(COUNTIF(K709:$W709,"&gt;"&amp;0)&lt;5,IF(AND(COUNTIF(J$1237:J1311,1)&gt;7,MOD(1+IFERROR(MATCH($C709,总览!$D$46:$D$345,1)+1,1),7)=0),$C$3,0),0)</f>
        <v>192.866666666667</v>
      </c>
      <c r="K709" s="131" cm="1">
        <f ca="1" t="array" ref="K709">IF(K1311=1,OFFSET($W$634,$B709,K$631-1)/SUMPRODUCT(--($D$631:$V$631=K$631),--($D1311:$V1311=1)),0)+SUM(K708)+IF(COUNTIF(K$1237:K1311,1)=1,5,0)+IF(COUNTIF(L709:$W709,"&gt;"&amp;0)&lt;5,IF(AND(COUNTIF(K$1237:K1311,1)&gt;7,MOD(1+IFERROR(MATCH($C709,总览!$D$46:$D$345,1)+1,1),7)=0),$C$3,0),0)</f>
        <v>190.366666666667</v>
      </c>
      <c r="L709" s="131" cm="1">
        <f ca="1" t="array" ref="L709">IF(L1311=1,OFFSET($W$634,$B709,L$631-1)/SUMPRODUCT(--($D$631:$V$631=L$631),--($D1311:$V1311=1)),0)+SUM(L708)+IF(COUNTIF(L$1237:L1311,1)=1,5,0)+IF(COUNTIF(M709:$W709,"&gt;"&amp;0)&lt;5,IF(AND(COUNTIF(L$1237:L1311,1)&gt;7,MOD(1+IFERROR(MATCH($C709,总览!$D$46:$D$345,1)+1,1),7)=0),$C$3,0),0)</f>
        <v>190.366666666667</v>
      </c>
      <c r="M709" s="131" cm="1">
        <f ca="1" t="array" ref="M709">IF(M1311=1,OFFSET($W$634,$B709,M$631-1)/SUMPRODUCT(--($D$631:$V$631=M$631),--($D1311:$V1311=1)),0)+SUM(M708)+IF(COUNTIF(M$1237:M1311,1)=1,5,0)+IF(COUNTIF(N709:$W709,"&gt;"&amp;0)&lt;5,IF(AND(COUNTIF(M$1237:M1311,1)&gt;7,MOD(1+IFERROR(MATCH($C709,总览!$D$46:$D$345,1)+1,1),7)=0),$C$3,0),0)</f>
        <v>70.7241071428571</v>
      </c>
      <c r="N709" s="131" cm="1">
        <f ca="1" t="array" ref="N709">IF(N1311=1,OFFSET($W$634,$B709,N$631-1)/SUMPRODUCT(--($D$631:$V$631=N$631),--($D1311:$V1311=1)),0)+SUM(N708)+IF(COUNTIF(N$1237:N1311,1)=1,5,0)+IF(COUNTIF(O709:$W709,"&gt;"&amp;0)&lt;5,IF(AND(COUNTIF(N$1237:N1311,1)&gt;7,MOD(1+IFERROR(MATCH($C709,总览!$D$46:$D$345,1)+1,1),7)=0),$C$3,0),0)</f>
        <v>71.9741071428571</v>
      </c>
      <c r="O709" s="131" cm="1">
        <f ca="1" t="array" ref="O709">IF(O1311=1,OFFSET($W$634,$B709,O$631-1)/SUMPRODUCT(--($D$631:$V$631=O$631),--($D1311:$V1311=1)),0)+SUM(O708)+IF(COUNTIF(O$1237:O1311,1)=1,5,0)+IF(COUNTIF(P709:$W709,"&gt;"&amp;0)&lt;5,IF(AND(COUNTIF(O$1237:O1311,1)&gt;7,MOD(1+IFERROR(MATCH($C709,总览!$D$46:$D$345,1)+1,1),7)=0),$C$3,0),0)</f>
        <v>76.974107142857</v>
      </c>
      <c r="P709" s="131" cm="1">
        <f ca="1" t="array" ref="P709">IF(P1311=1,OFFSET($W$634,$B709,P$631-1)/SUMPRODUCT(--($D$631:$V$631=P$631),--($D1311:$V1311=1)),0)+SUM(P708)+IF(COUNTIF(P$1237:P1311,1)=1,5,0)+IF(COUNTIF(Q709:$W709,"&gt;"&amp;0)&lt;5,IF(AND(COUNTIF(P$1237:P1311,1)&gt;7,MOD(1+IFERROR(MATCH($C709,总览!$D$46:$D$345,1)+1,1),7)=0),$C$3,0),0)</f>
        <v>66.0928571428571</v>
      </c>
      <c r="Q709" s="131" cm="1">
        <f ca="1" t="array" ref="Q709">IF(Q1311=1,OFFSET($W$634,$B709,Q$631-1)/SUMPRODUCT(--($D$631:$V$631=Q$631),--($D1311:$V1311=1)),0)+SUM(Q708)+IF(COUNTIF(Q$1237:Q1311,1)=1,5,0)+IF(COUNTIF(R709:$W709,"&gt;"&amp;0)&lt;5,IF(AND(COUNTIF(Q$1237:Q1311,1)&gt;7,MOD(1+IFERROR(MATCH($C709,总览!$D$46:$D$345,1)+1,1),7)=0),$C$3,0),0)</f>
        <v>79.474107142857</v>
      </c>
      <c r="R709" s="131" cm="1">
        <f ca="1" t="array" ref="R709">IF(R1311=1,OFFSET($W$634,$B709,R$631-1)/SUMPRODUCT(--($D$631:$V$631=R$631),--($D1311:$V1311=1)),0)+SUM(R708)+IF(COUNTIF(R$1237:R1311,1)=1,5,0)+IF(COUNTIF(S709:$W709,"&gt;"&amp;0)&lt;5,IF(AND(COUNTIF(R$1237:R1311,1)&gt;7,MOD(1+IFERROR(MATCH($C709,总览!$D$46:$D$345,1)+1,1),7)=0),$C$3,0),0)</f>
        <v>71.0928571428571</v>
      </c>
      <c r="S709" s="131" cm="1">
        <f ca="1" t="array" ref="S709">IF(S1311=1,OFFSET($W$634,$B709,S$631-1)/SUMPRODUCT(--($D$631:$V$631=S$631),--($D1311:$V1311=1)),0)+SUM(S708)+IF(COUNTIF(S$1237:S1311,1)=1,5,0)+IF(COUNTIF(T709:$W709,"&gt;"&amp;0)&lt;5,IF(AND(COUNTIF(S$1237:S1311,1)&gt;7,MOD(1+IFERROR(MATCH($C709,总览!$D$46:$D$345,1)+1,1),7)=0),$C$3,0),0)</f>
        <v>83.5928571428571</v>
      </c>
      <c r="T709" s="131" cm="1">
        <f ca="1" t="array" ref="T709">IF(T1311=1,OFFSET($W$634,$B709,T$631-1)/SUMPRODUCT(--($D$631:$V$631=T$631),--($D1311:$V1311=1)),0)+SUM(T708)+IF(COUNTIF(T$1237:T1311,1)=1,5,0)+IF(COUNTIF(U709:$W709,"&gt;"&amp;0)&lt;5,IF(AND(COUNTIF(T$1237:T1311,1)&gt;7,MOD(1+IFERROR(MATCH($C709,总览!$D$46:$D$345,1)+1,1),7)=0),$C$3,0),0)</f>
        <v>39.6489002951768</v>
      </c>
      <c r="U709" s="131" cm="1">
        <f ca="1" t="array" ref="U709">IF(U1311=1,OFFSET($W$634,$B709,U$631-1)/SUMPRODUCT(--($D$631:$V$631=U$631),--($D1311:$V1311=1)),0)+SUM(U708)+IF(COUNTIF(U$1237:U1311,1)=1,5,0)+IF(COUNTIF(V709:$W709,"&gt;"&amp;0)&lt;5,IF(AND(COUNTIF(U$1237:U1311,1)&gt;7,MOD(1+IFERROR(MATCH($C709,总览!$D$46:$D$345,1)+1,1),7)=0),$C$3,0),0)</f>
        <v>45.1696866504764</v>
      </c>
      <c r="V709" s="131" cm="1">
        <f ca="1" t="array" ref="V709">IF(V1311=1,OFFSET($W$634,$B709,V$631-1)/SUMPRODUCT(--($D$631:$V$631=V$631),--($D1311:$V1311=1)),0)+SUM(V708)+IF(COUNTIF(V$1237:V1311,1)=1,5,0)+IF(COUNTIF(W709:$W709,"&gt;"&amp;0)&lt;5,IF(AND(COUNTIF(V$1237:V1311,1)&gt;7,MOD(1+IFERROR(MATCH($C709,总览!$D$46:$D$345,1)+1,1),7)=0),$C$3,0),0)</f>
        <v>64.9966863629098</v>
      </c>
      <c r="W709" s="135" cm="1">
        <f ca="1" t="array" ref="W709">SUMPRODUCT(TRANSPOSE($AA709:$AG709),OFFSET($L$9:$L$15,0,W$631-1))</f>
        <v>21.6942067191022</v>
      </c>
      <c r="X709" s="135" cm="1">
        <f ca="1" t="array" ref="X709">SUMPRODUCT(TRANSPOSE($AA709:$AG709),OFFSET($L$9:$L$15,0,X$631-1))</f>
        <v>18</v>
      </c>
      <c r="Y709" s="135" cm="1">
        <f ca="1" t="array" ref="Y709">SUMPRODUCT(TRANSPOSE($AA709:$AG709),OFFSET($L$9:$L$15,0,Y$631-1))</f>
        <v>8</v>
      </c>
      <c r="Z709" s="135" cm="1">
        <f ca="1" t="array" ref="Z709">SUMPRODUCT(TRANSPOSE($AA709:$AG709),OFFSET($L$9:$L$15,0,Z$631-1))</f>
        <v>2.30579328089777</v>
      </c>
      <c r="AA709" s="136">
        <f ca="1" t="shared" ref="AA709:AG709" si="391">AH709-AH708</f>
        <v>0</v>
      </c>
      <c r="AB709" s="136">
        <f ca="1" t="shared" si="391"/>
        <v>0</v>
      </c>
      <c r="AC709" s="136">
        <f ca="1" t="shared" si="391"/>
        <v>0</v>
      </c>
      <c r="AD709" s="136">
        <f ca="1" t="shared" si="391"/>
        <v>0</v>
      </c>
      <c r="AE709" s="136">
        <f ca="1" t="shared" si="391"/>
        <v>100</v>
      </c>
      <c r="AF709" s="136">
        <f ca="1" t="shared" si="391"/>
        <v>0</v>
      </c>
      <c r="AG709" s="136">
        <f ca="1" t="shared" si="391"/>
        <v>0</v>
      </c>
      <c r="AH709" s="136">
        <f ca="1" t="shared" si="371"/>
        <v>450</v>
      </c>
      <c r="AI709" s="136">
        <f ca="1" t="shared" ref="AI709:AN709" si="392">IF($C709&gt;OFFSET($Q$8,MATCH(AI$634,$AH$634:$AN$634,0),0),OFFSET($P$8,MATCH(AI$634,$AH$634:$AN$634,0),0),MAX(0,$C709-OFFSET($Q$8,RIGHT(AI$634,1)-1,0)))</f>
        <v>909</v>
      </c>
      <c r="AJ709" s="136">
        <f ca="1" t="shared" si="392"/>
        <v>1818</v>
      </c>
      <c r="AK709" s="136">
        <f ca="1" t="shared" si="392"/>
        <v>2727</v>
      </c>
      <c r="AL709" s="136">
        <f ca="1" t="shared" si="392"/>
        <v>1596</v>
      </c>
      <c r="AM709" s="136">
        <f ca="1" t="shared" si="392"/>
        <v>0</v>
      </c>
      <c r="AN709" s="136">
        <f ca="1" t="shared" si="392"/>
        <v>0</v>
      </c>
      <c r="AP709" s="132">
        <v>75</v>
      </c>
      <c r="AQ709" s="132">
        <v>84350</v>
      </c>
      <c r="AR709" s="132">
        <v>84350</v>
      </c>
      <c r="AS709" s="132">
        <v>47450</v>
      </c>
      <c r="AT709" s="132">
        <v>24500</v>
      </c>
    </row>
    <row r="710" s="106" customFormat="1" ht="16.5" spans="2:46">
      <c r="B710" s="117">
        <v>76</v>
      </c>
      <c r="C710" s="130">
        <f t="shared" si="369"/>
        <v>7600</v>
      </c>
      <c r="D710" s="131" cm="1">
        <f ca="1" t="array" ref="D710">IF(D1312=1,OFFSET($W$634,$B710,D$631-1)/SUMPRODUCT(--($D$631:$V$631=D$631),--($D1312:$V1312=1)),0)+SUM(D709)+IF(COUNTIF(D$1237:D1312,1)=1,5,0)+IF(COUNTIF(E710:$W710,"&gt;"&amp;0)&lt;5,IF(AND(COUNTIF(D$1237:D1312,1)&gt;7,MOD(1+IFERROR(MATCH($C710,总览!$D$46:$D$345,1)+1,1),7)=0),$C$3,0),0)</f>
        <v>723.251311136847</v>
      </c>
      <c r="E710" s="131" cm="1">
        <f ca="1" t="array" ref="E710">IF(E1312=1,OFFSET($W$634,$B710,E$631-1)/SUMPRODUCT(--($D$631:$V$631=E$631),--($D1312:$V1312=1)),0)+SUM(E709)+IF(COUNTIF(E$1237:E1312,1)=1,5,0)+IF(COUNTIF(F710:$W710,"&gt;"&amp;0)&lt;5,IF(AND(COUNTIF(E$1237:E1312,1)&gt;7,MOD(1+IFERROR(MATCH($C710,总览!$D$46:$D$345,1)+1,1),7)=0),$C$3,0),0)</f>
        <v>723.251311136847</v>
      </c>
      <c r="F710" s="131" cm="1">
        <f ca="1" t="array" ref="F710">IF(F1312=1,OFFSET($W$634,$B710,F$631-1)/SUMPRODUCT(--($D$631:$V$631=F$631),--($D1312:$V1312=1)),0)+SUM(F709)+IF(COUNTIF(F$1237:F1312,1)=1,5,0)+IF(COUNTIF(G710:$W710,"&gt;"&amp;0)&lt;5,IF(AND(COUNTIF(F$1237:F1312,1)&gt;7,MOD(1+IFERROR(MATCH($C710,总览!$D$46:$D$345,1)+1,1),7)=0),$C$3,0),0)</f>
        <v>723.251311136847</v>
      </c>
      <c r="G710" s="131" cm="1">
        <f ca="1" t="array" ref="G710">IF(G1312=1,OFFSET($W$634,$B710,G$631-1)/SUMPRODUCT(--($D$631:$V$631=G$631),--($D1312:$V1312=1)),0)+SUM(G709)+IF(COUNTIF(G$1237:G1312,1)=1,5,0)+IF(COUNTIF(H710:$W710,"&gt;"&amp;0)&lt;5,IF(AND(COUNTIF(G$1237:G1312,1)&gt;7,MOD(1+IFERROR(MATCH($C710,总览!$D$46:$D$345,1)+1,1),7)=0),$C$3,0),0)</f>
        <v>199.2</v>
      </c>
      <c r="H710" s="131" cm="1">
        <f ca="1" t="array" ref="H710">IF(H1312=1,OFFSET($W$634,$B710,H$631-1)/SUMPRODUCT(--($D$631:$V$631=H$631),--($D1312:$V1312=1)),0)+SUM(H709)+IF(COUNTIF(H$1237:H1312,1)=1,5,0)+IF(COUNTIF(I710:$W710,"&gt;"&amp;0)&lt;5,IF(AND(COUNTIF(H$1237:H1312,1)&gt;7,MOD(1+IFERROR(MATCH($C710,总览!$D$46:$D$345,1)+1,1),7)=0),$C$3,0),0)</f>
        <v>199.2</v>
      </c>
      <c r="I710" s="131" cm="1">
        <f ca="1" t="array" ref="I710">IF(I1312=1,OFFSET($W$634,$B710,I$631-1)/SUMPRODUCT(--($D$631:$V$631=I$631),--($D1312:$V1312=1)),0)+SUM(I709)+IF(COUNTIF(I$1237:I1312,1)=1,5,0)+IF(COUNTIF(J710:$W710,"&gt;"&amp;0)&lt;5,IF(AND(COUNTIF(I$1237:I1312,1)&gt;7,MOD(1+IFERROR(MATCH($C710,总览!$D$46:$D$345,1)+1,1),7)=0),$C$3,0),0)</f>
        <v>199.2</v>
      </c>
      <c r="J710" s="131" cm="1">
        <f ca="1" t="array" ref="J710">IF(J1312=1,OFFSET($W$634,$B710,J$631-1)/SUMPRODUCT(--($D$631:$V$631=J$631),--($D1312:$V1312=1)),0)+SUM(J709)+IF(COUNTIF(J$1237:J1312,1)=1,5,0)+IF(COUNTIF(K710:$W710,"&gt;"&amp;0)&lt;5,IF(AND(COUNTIF(J$1237:J1312,1)&gt;7,MOD(1+IFERROR(MATCH($C710,总览!$D$46:$D$345,1)+1,1),7)=0),$C$3,0),0)</f>
        <v>195.866666666667</v>
      </c>
      <c r="K710" s="131" cm="1">
        <f ca="1" t="array" ref="K710">IF(K1312=1,OFFSET($W$634,$B710,K$631-1)/SUMPRODUCT(--($D$631:$V$631=K$631),--($D1312:$V1312=1)),0)+SUM(K709)+IF(COUNTIF(K$1237:K1312,1)=1,5,0)+IF(COUNTIF(L710:$W710,"&gt;"&amp;0)&lt;5,IF(AND(COUNTIF(K$1237:K1312,1)&gt;7,MOD(1+IFERROR(MATCH($C710,总览!$D$46:$D$345,1)+1,1),7)=0),$C$3,0),0)</f>
        <v>193.366666666667</v>
      </c>
      <c r="L710" s="131" cm="1">
        <f ca="1" t="array" ref="L710">IF(L1312=1,OFFSET($W$634,$B710,L$631-1)/SUMPRODUCT(--($D$631:$V$631=L$631),--($D1312:$V1312=1)),0)+SUM(L709)+IF(COUNTIF(L$1237:L1312,1)=1,5,0)+IF(COUNTIF(M710:$W710,"&gt;"&amp;0)&lt;5,IF(AND(COUNTIF(L$1237:L1312,1)&gt;7,MOD(1+IFERROR(MATCH($C710,总览!$D$46:$D$345,1)+1,1),7)=0),$C$3,0),0)</f>
        <v>193.366666666667</v>
      </c>
      <c r="M710" s="131" cm="1">
        <f ca="1" t="array" ref="M710">IF(M1312=1,OFFSET($W$634,$B710,M$631-1)/SUMPRODUCT(--($D$631:$V$631=M$631),--($D1312:$V1312=1)),0)+SUM(M709)+IF(COUNTIF(M$1237:M1312,1)=1,5,0)+IF(COUNTIF(N710:$W710,"&gt;"&amp;0)&lt;5,IF(AND(COUNTIF(M$1237:M1312,1)&gt;7,MOD(1+IFERROR(MATCH($C710,总览!$D$46:$D$345,1)+1,1),7)=0),$C$3,0),0)</f>
        <v>71.8669642857142</v>
      </c>
      <c r="N710" s="131" cm="1">
        <f ca="1" t="array" ref="N710">IF(N1312=1,OFFSET($W$634,$B710,N$631-1)/SUMPRODUCT(--($D$631:$V$631=N$631),--($D1312:$V1312=1)),0)+SUM(N709)+IF(COUNTIF(N$1237:N1312,1)=1,5,0)+IF(COUNTIF(O710:$W710,"&gt;"&amp;0)&lt;5,IF(AND(COUNTIF(N$1237:N1312,1)&gt;7,MOD(1+IFERROR(MATCH($C710,总览!$D$46:$D$345,1)+1,1),7)=0),$C$3,0),0)</f>
        <v>73.1169642857142</v>
      </c>
      <c r="O710" s="131" cm="1">
        <f ca="1" t="array" ref="O710">IF(O1312=1,OFFSET($W$634,$B710,O$631-1)/SUMPRODUCT(--($D$631:$V$631=O$631),--($D1312:$V1312=1)),0)+SUM(O709)+IF(COUNTIF(O$1237:O1312,1)=1,5,0)+IF(COUNTIF(P710:$W710,"&gt;"&amp;0)&lt;5,IF(AND(COUNTIF(O$1237:O1312,1)&gt;7,MOD(1+IFERROR(MATCH($C710,总览!$D$46:$D$345,1)+1,1),7)=0),$C$3,0),0)</f>
        <v>78.1169642857142</v>
      </c>
      <c r="P710" s="131" cm="1">
        <f ca="1" t="array" ref="P710">IF(P1312=1,OFFSET($W$634,$B710,P$631-1)/SUMPRODUCT(--($D$631:$V$631=P$631),--($D1312:$V1312=1)),0)+SUM(P709)+IF(COUNTIF(P$1237:P1312,1)=1,5,0)+IF(COUNTIF(Q710:$W710,"&gt;"&amp;0)&lt;5,IF(AND(COUNTIF(P$1237:P1312,1)&gt;7,MOD(1+IFERROR(MATCH($C710,总览!$D$46:$D$345,1)+1,1),7)=0),$C$3,0),0)</f>
        <v>67.2357142857143</v>
      </c>
      <c r="Q710" s="131" cm="1">
        <f ca="1" t="array" ref="Q710">IF(Q1312=1,OFFSET($W$634,$B710,Q$631-1)/SUMPRODUCT(--($D$631:$V$631=Q$631),--($D1312:$V1312=1)),0)+SUM(Q709)+IF(COUNTIF(Q$1237:Q1312,1)=1,5,0)+IF(COUNTIF(R710:$W710,"&gt;"&amp;0)&lt;5,IF(AND(COUNTIF(Q$1237:Q1312,1)&gt;7,MOD(1+IFERROR(MATCH($C710,总览!$D$46:$D$345,1)+1,1),7)=0),$C$3,0),0)</f>
        <v>80.6169642857141</v>
      </c>
      <c r="R710" s="131" cm="1">
        <f ca="1" t="array" ref="R710">IF(R1312=1,OFFSET($W$634,$B710,R$631-1)/SUMPRODUCT(--($D$631:$V$631=R$631),--($D1312:$V1312=1)),0)+SUM(R709)+IF(COUNTIF(R$1237:R1312,1)=1,5,0)+IF(COUNTIF(S710:$W710,"&gt;"&amp;0)&lt;5,IF(AND(COUNTIF(R$1237:R1312,1)&gt;7,MOD(1+IFERROR(MATCH($C710,总览!$D$46:$D$345,1)+1,1),7)=0),$C$3,0),0)</f>
        <v>72.2357142857142</v>
      </c>
      <c r="S710" s="131" cm="1">
        <f ca="1" t="array" ref="S710">IF(S1312=1,OFFSET($W$634,$B710,S$631-1)/SUMPRODUCT(--($D$631:$V$631=S$631),--($D1312:$V1312=1)),0)+SUM(S709)+IF(COUNTIF(S$1237:S1312,1)=1,5,0)+IF(COUNTIF(T710:$W710,"&gt;"&amp;0)&lt;5,IF(AND(COUNTIF(S$1237:S1312,1)&gt;7,MOD(1+IFERROR(MATCH($C710,总览!$D$46:$D$345,1)+1,1),7)=0),$C$3,0),0)</f>
        <v>84.7357142857142</v>
      </c>
      <c r="T710" s="131" cm="1">
        <f ca="1" t="array" ref="T710">IF(T1312=1,OFFSET($W$634,$B710,T$631-1)/SUMPRODUCT(--($D$631:$V$631=T$631),--($D1312:$V1312=1)),0)+SUM(T709)+IF(COUNTIF(T$1237:T1312,1)=1,5,0)+IF(COUNTIF(U710:$W710,"&gt;"&amp;0)&lt;5,IF(AND(COUNTIF(T$1237:T1312,1)&gt;7,MOD(1+IFERROR(MATCH($C710,总览!$D$46:$D$345,1)+1,1),7)=0),$C$3,0),0)</f>
        <v>40.4174980554761</v>
      </c>
      <c r="U710" s="131" cm="1">
        <f ca="1" t="array" ref="U710">IF(U1312=1,OFFSET($W$634,$B710,U$631-1)/SUMPRODUCT(--($D$631:$V$631=U$631),--($D1312:$V1312=1)),0)+SUM(U709)+IF(COUNTIF(U$1237:U1312,1)=1,5,0)+IF(COUNTIF(V710:$W710,"&gt;"&amp;0)&lt;5,IF(AND(COUNTIF(U$1237:U1312,1)&gt;7,MOD(1+IFERROR(MATCH($C710,总览!$D$46:$D$345,1)+1,1),7)=0),$C$3,0),0)</f>
        <v>45.9382844107757</v>
      </c>
      <c r="V710" s="131" cm="1">
        <f ca="1" t="array" ref="V710">IF(V1312=1,OFFSET($W$634,$B710,V$631-1)/SUMPRODUCT(--($D$631:$V$631=V$631),--($D1312:$V1312=1)),0)+SUM(V709)+IF(COUNTIF(V$1237:V1312,1)=1,5,0)+IF(COUNTIF(W710:$W710,"&gt;"&amp;0)&lt;5,IF(AND(COUNTIF(V$1237:V1312,1)&gt;7,MOD(1+IFERROR(MATCH($C710,总览!$D$46:$D$345,1)+1,1),7)=0),$C$3,0),0)</f>
        <v>65.7652841232091</v>
      </c>
      <c r="W710" s="135" cm="1">
        <f ca="1" t="array" ref="W710">SUMPRODUCT(TRANSPOSE($AA710:$AG710),OFFSET($L$9:$L$15,0,W$631-1))</f>
        <v>21.6942067191022</v>
      </c>
      <c r="X710" s="135" cm="1">
        <f ca="1" t="array" ref="X710">SUMPRODUCT(TRANSPOSE($AA710:$AG710),OFFSET($L$9:$L$15,0,X$631-1))</f>
        <v>18</v>
      </c>
      <c r="Y710" s="135" cm="1">
        <f ca="1" t="array" ref="Y710">SUMPRODUCT(TRANSPOSE($AA710:$AG710),OFFSET($L$9:$L$15,0,Y$631-1))</f>
        <v>8</v>
      </c>
      <c r="Z710" s="135" cm="1">
        <f ca="1" t="array" ref="Z710">SUMPRODUCT(TRANSPOSE($AA710:$AG710),OFFSET($L$9:$L$15,0,Z$631-1))</f>
        <v>2.30579328089777</v>
      </c>
      <c r="AA710" s="136">
        <f ca="1" t="shared" ref="AA710:AG710" si="393">AH710-AH709</f>
        <v>0</v>
      </c>
      <c r="AB710" s="136">
        <f ca="1" t="shared" si="393"/>
        <v>0</v>
      </c>
      <c r="AC710" s="136">
        <f ca="1" t="shared" si="393"/>
        <v>0</v>
      </c>
      <c r="AD710" s="136">
        <f ca="1" t="shared" si="393"/>
        <v>0</v>
      </c>
      <c r="AE710" s="136">
        <f ca="1" t="shared" si="393"/>
        <v>100</v>
      </c>
      <c r="AF710" s="136">
        <f ca="1" t="shared" si="393"/>
        <v>0</v>
      </c>
      <c r="AG710" s="136">
        <f ca="1" t="shared" si="393"/>
        <v>0</v>
      </c>
      <c r="AH710" s="136">
        <f ca="1" t="shared" si="371"/>
        <v>450</v>
      </c>
      <c r="AI710" s="136">
        <f ca="1" t="shared" ref="AI710:AN710" si="394">IF($C710&gt;OFFSET($Q$8,MATCH(AI$634,$AH$634:$AN$634,0),0),OFFSET($P$8,MATCH(AI$634,$AH$634:$AN$634,0),0),MAX(0,$C710-OFFSET($Q$8,RIGHT(AI$634,1)-1,0)))</f>
        <v>909</v>
      </c>
      <c r="AJ710" s="136">
        <f ca="1" t="shared" si="394"/>
        <v>1818</v>
      </c>
      <c r="AK710" s="136">
        <f ca="1" t="shared" si="394"/>
        <v>2727</v>
      </c>
      <c r="AL710" s="136">
        <f ca="1" t="shared" si="394"/>
        <v>1696</v>
      </c>
      <c r="AM710" s="136">
        <f ca="1" t="shared" si="394"/>
        <v>0</v>
      </c>
      <c r="AN710" s="136">
        <f ca="1" t="shared" si="394"/>
        <v>0</v>
      </c>
      <c r="AP710" s="132">
        <v>76</v>
      </c>
      <c r="AQ710" s="132">
        <v>87950</v>
      </c>
      <c r="AR710" s="132">
        <v>87950</v>
      </c>
      <c r="AS710" s="132">
        <v>49610</v>
      </c>
      <c r="AT710" s="132">
        <v>25580</v>
      </c>
    </row>
    <row r="711" s="106" customFormat="1" ht="16.5" spans="2:46">
      <c r="B711" s="117">
        <v>77</v>
      </c>
      <c r="C711" s="130">
        <f t="shared" si="369"/>
        <v>7700</v>
      </c>
      <c r="D711" s="131" cm="1">
        <f ca="1" t="array" ref="D711">IF(D1313=1,OFFSET($W$634,$B711,D$631-1)/SUMPRODUCT(--($D$631:$V$631=D$631),--($D1313:$V1313=1)),0)+SUM(D710)+IF(COUNTIF(D$1237:D1313,1)=1,5,0)+IF(COUNTIF(E711:$W711,"&gt;"&amp;0)&lt;5,IF(AND(COUNTIF(D$1237:D1313,1)&gt;7,MOD(1+IFERROR(MATCH($C711,总览!$D$46:$D$345,1)+1,1),7)=0),$C$3,0),0)</f>
        <v>730.482713376548</v>
      </c>
      <c r="E711" s="131" cm="1">
        <f ca="1" t="array" ref="E711">IF(E1313=1,OFFSET($W$634,$B711,E$631-1)/SUMPRODUCT(--($D$631:$V$631=E$631),--($D1313:$V1313=1)),0)+SUM(E710)+IF(COUNTIF(E$1237:E1313,1)=1,5,0)+IF(COUNTIF(F711:$W711,"&gt;"&amp;0)&lt;5,IF(AND(COUNTIF(E$1237:E1313,1)&gt;7,MOD(1+IFERROR(MATCH($C711,总览!$D$46:$D$345,1)+1,1),7)=0),$C$3,0),0)</f>
        <v>730.482713376548</v>
      </c>
      <c r="F711" s="131" cm="1">
        <f ca="1" t="array" ref="F711">IF(F1313=1,OFFSET($W$634,$B711,F$631-1)/SUMPRODUCT(--($D$631:$V$631=F$631),--($D1313:$V1313=1)),0)+SUM(F710)+IF(COUNTIF(F$1237:F1313,1)=1,5,0)+IF(COUNTIF(G711:$W711,"&gt;"&amp;0)&lt;5,IF(AND(COUNTIF(F$1237:F1313,1)&gt;7,MOD(1+IFERROR(MATCH($C711,总览!$D$46:$D$345,1)+1,1),7)=0),$C$3,0),0)</f>
        <v>730.482713376548</v>
      </c>
      <c r="G711" s="131" cm="1">
        <f ca="1" t="array" ref="G711">IF(G1313=1,OFFSET($W$634,$B711,G$631-1)/SUMPRODUCT(--($D$631:$V$631=G$631),--($D1313:$V1313=1)),0)+SUM(G710)+IF(COUNTIF(G$1237:G1313,1)=1,5,0)+IF(COUNTIF(H711:$W711,"&gt;"&amp;0)&lt;5,IF(AND(COUNTIF(G$1237:G1313,1)&gt;7,MOD(1+IFERROR(MATCH($C711,总览!$D$46:$D$345,1)+1,1),7)=0),$C$3,0),0)</f>
        <v>202.2</v>
      </c>
      <c r="H711" s="131" cm="1">
        <f ca="1" t="array" ref="H711">IF(H1313=1,OFFSET($W$634,$B711,H$631-1)/SUMPRODUCT(--($D$631:$V$631=H$631),--($D1313:$V1313=1)),0)+SUM(H710)+IF(COUNTIF(H$1237:H1313,1)=1,5,0)+IF(COUNTIF(I711:$W711,"&gt;"&amp;0)&lt;5,IF(AND(COUNTIF(H$1237:H1313,1)&gt;7,MOD(1+IFERROR(MATCH($C711,总览!$D$46:$D$345,1)+1,1),7)=0),$C$3,0),0)</f>
        <v>202.2</v>
      </c>
      <c r="I711" s="131" cm="1">
        <f ca="1" t="array" ref="I711">IF(I1313=1,OFFSET($W$634,$B711,I$631-1)/SUMPRODUCT(--($D$631:$V$631=I$631),--($D1313:$V1313=1)),0)+SUM(I710)+IF(COUNTIF(I$1237:I1313,1)=1,5,0)+IF(COUNTIF(J711:$W711,"&gt;"&amp;0)&lt;5,IF(AND(COUNTIF(I$1237:I1313,1)&gt;7,MOD(1+IFERROR(MATCH($C711,总览!$D$46:$D$345,1)+1,1),7)=0),$C$3,0),0)</f>
        <v>202.2</v>
      </c>
      <c r="J711" s="131" cm="1">
        <f ca="1" t="array" ref="J711">IF(J1313=1,OFFSET($W$634,$B711,J$631-1)/SUMPRODUCT(--($D$631:$V$631=J$631),--($D1313:$V1313=1)),0)+SUM(J710)+IF(COUNTIF(J$1237:J1313,1)=1,5,0)+IF(COUNTIF(K711:$W711,"&gt;"&amp;0)&lt;5,IF(AND(COUNTIF(J$1237:J1313,1)&gt;7,MOD(1+IFERROR(MATCH($C711,总览!$D$46:$D$345,1)+1,1),7)=0),$C$3,0),0)</f>
        <v>198.866666666667</v>
      </c>
      <c r="K711" s="131" cm="1">
        <f ca="1" t="array" ref="K711">IF(K1313=1,OFFSET($W$634,$B711,K$631-1)/SUMPRODUCT(--($D$631:$V$631=K$631),--($D1313:$V1313=1)),0)+SUM(K710)+IF(COUNTIF(K$1237:K1313,1)=1,5,0)+IF(COUNTIF(L711:$W711,"&gt;"&amp;0)&lt;5,IF(AND(COUNTIF(K$1237:K1313,1)&gt;7,MOD(1+IFERROR(MATCH($C711,总览!$D$46:$D$345,1)+1,1),7)=0),$C$3,0),0)</f>
        <v>196.366666666667</v>
      </c>
      <c r="L711" s="131" cm="1">
        <f ca="1" t="array" ref="L711">IF(L1313=1,OFFSET($W$634,$B711,L$631-1)/SUMPRODUCT(--($D$631:$V$631=L$631),--($D1313:$V1313=1)),0)+SUM(L710)+IF(COUNTIF(L$1237:L1313,1)=1,5,0)+IF(COUNTIF(M711:$W711,"&gt;"&amp;0)&lt;5,IF(AND(COUNTIF(L$1237:L1313,1)&gt;7,MOD(1+IFERROR(MATCH($C711,总览!$D$46:$D$345,1)+1,1),7)=0),$C$3,0),0)</f>
        <v>196.366666666667</v>
      </c>
      <c r="M711" s="131" cm="1">
        <f ca="1" t="array" ref="M711">IF(M1313=1,OFFSET($W$634,$B711,M$631-1)/SUMPRODUCT(--($D$631:$V$631=M$631),--($D1313:$V1313=1)),0)+SUM(M710)+IF(COUNTIF(M$1237:M1313,1)=1,5,0)+IF(COUNTIF(N711:$W711,"&gt;"&amp;0)&lt;5,IF(AND(COUNTIF(M$1237:M1313,1)&gt;7,MOD(1+IFERROR(MATCH($C711,总览!$D$46:$D$345,1)+1,1),7)=0),$C$3,0),0)</f>
        <v>73.0098214285714</v>
      </c>
      <c r="N711" s="131" cm="1">
        <f ca="1" t="array" ref="N711">IF(N1313=1,OFFSET($W$634,$B711,N$631-1)/SUMPRODUCT(--($D$631:$V$631=N$631),--($D1313:$V1313=1)),0)+SUM(N710)+IF(COUNTIF(N$1237:N1313,1)=1,5,0)+IF(COUNTIF(O711:$W711,"&gt;"&amp;0)&lt;5,IF(AND(COUNTIF(N$1237:N1313,1)&gt;7,MOD(1+IFERROR(MATCH($C711,总览!$D$46:$D$345,1)+1,1),7)=0),$C$3,0),0)</f>
        <v>74.2598214285714</v>
      </c>
      <c r="O711" s="131" cm="1">
        <f ca="1" t="array" ref="O711">IF(O1313=1,OFFSET($W$634,$B711,O$631-1)/SUMPRODUCT(--($D$631:$V$631=O$631),--($D1313:$V1313=1)),0)+SUM(O710)+IF(COUNTIF(O$1237:O1313,1)=1,5,0)+IF(COUNTIF(P711:$W711,"&gt;"&amp;0)&lt;5,IF(AND(COUNTIF(O$1237:O1313,1)&gt;7,MOD(1+IFERROR(MATCH($C711,总览!$D$46:$D$345,1)+1,1),7)=0),$C$3,0),0)</f>
        <v>79.2598214285713</v>
      </c>
      <c r="P711" s="131" cm="1">
        <f ca="1" t="array" ref="P711">IF(P1313=1,OFFSET($W$634,$B711,P$631-1)/SUMPRODUCT(--($D$631:$V$631=P$631),--($D1313:$V1313=1)),0)+SUM(P710)+IF(COUNTIF(P$1237:P1313,1)=1,5,0)+IF(COUNTIF(Q711:$W711,"&gt;"&amp;0)&lt;5,IF(AND(COUNTIF(P$1237:P1313,1)&gt;7,MOD(1+IFERROR(MATCH($C711,总览!$D$46:$D$345,1)+1,1),7)=0),$C$3,0),0)</f>
        <v>68.3785714285714</v>
      </c>
      <c r="Q711" s="131" cm="1">
        <f ca="1" t="array" ref="Q711">IF(Q1313=1,OFFSET($W$634,$B711,Q$631-1)/SUMPRODUCT(--($D$631:$V$631=Q$631),--($D1313:$V1313=1)),0)+SUM(Q710)+IF(COUNTIF(Q$1237:Q1313,1)=1,5,0)+IF(COUNTIF(R711:$W711,"&gt;"&amp;0)&lt;5,IF(AND(COUNTIF(Q$1237:Q1313,1)&gt;7,MOD(1+IFERROR(MATCH($C711,总览!$D$46:$D$345,1)+1,1),7)=0),$C$3,0),0)</f>
        <v>81.7598214285713</v>
      </c>
      <c r="R711" s="131" cm="1">
        <f ca="1" t="array" ref="R711">IF(R1313=1,OFFSET($W$634,$B711,R$631-1)/SUMPRODUCT(--($D$631:$V$631=R$631),--($D1313:$V1313=1)),0)+SUM(R710)+IF(COUNTIF(R$1237:R1313,1)=1,5,0)+IF(COUNTIF(S711:$W711,"&gt;"&amp;0)&lt;5,IF(AND(COUNTIF(R$1237:R1313,1)&gt;7,MOD(1+IFERROR(MATCH($C711,总览!$D$46:$D$345,1)+1,1),7)=0),$C$3,0),0)</f>
        <v>73.3785714285714</v>
      </c>
      <c r="S711" s="131" cm="1">
        <f ca="1" t="array" ref="S711">IF(S1313=1,OFFSET($W$634,$B711,S$631-1)/SUMPRODUCT(--($D$631:$V$631=S$631),--($D1313:$V1313=1)),0)+SUM(S710)+IF(COUNTIF(S$1237:S1313,1)=1,5,0)+IF(COUNTIF(T711:$W711,"&gt;"&amp;0)&lt;5,IF(AND(COUNTIF(S$1237:S1313,1)&gt;7,MOD(1+IFERROR(MATCH($C711,总览!$D$46:$D$345,1)+1,1),7)=0),$C$3,0),0)</f>
        <v>85.8785714285713</v>
      </c>
      <c r="T711" s="131" cm="1">
        <f ca="1" t="array" ref="T711">IF(T1313=1,OFFSET($W$634,$B711,T$631-1)/SUMPRODUCT(--($D$631:$V$631=T$631),--($D1313:$V1313=1)),0)+SUM(T710)+IF(COUNTIF(T$1237:T1313,1)=1,5,0)+IF(COUNTIF(U711:$W711,"&gt;"&amp;0)&lt;5,IF(AND(COUNTIF(T$1237:T1313,1)&gt;7,MOD(1+IFERROR(MATCH($C711,总览!$D$46:$D$345,1)+1,1),7)=0),$C$3,0),0)</f>
        <v>41.1860958157753</v>
      </c>
      <c r="U711" s="131" cm="1">
        <f ca="1" t="array" ref="U711">IF(U1313=1,OFFSET($W$634,$B711,U$631-1)/SUMPRODUCT(--($D$631:$V$631=U$631),--($D1313:$V1313=1)),0)+SUM(U710)+IF(COUNTIF(U$1237:U1313,1)=1,5,0)+IF(COUNTIF(V711:$W711,"&gt;"&amp;0)&lt;5,IF(AND(COUNTIF(U$1237:U1313,1)&gt;7,MOD(1+IFERROR(MATCH($C711,总览!$D$46:$D$345,1)+1,1),7)=0),$C$3,0),0)</f>
        <v>46.706882171075</v>
      </c>
      <c r="V711" s="131" cm="1">
        <f ca="1" t="array" ref="V711">IF(V1313=1,OFFSET($W$634,$B711,V$631-1)/SUMPRODUCT(--($D$631:$V$631=V$631),--($D1313:$V1313=1)),0)+SUM(V710)+IF(COUNTIF(V$1237:V1313,1)=1,5,0)+IF(COUNTIF(W711:$W711,"&gt;"&amp;0)&lt;5,IF(AND(COUNTIF(V$1237:V1313,1)&gt;7,MOD(1+IFERROR(MATCH($C711,总览!$D$46:$D$345,1)+1,1),7)=0),$C$3,0),0)</f>
        <v>66.5338818835083</v>
      </c>
      <c r="W711" s="135" cm="1">
        <f ca="1" t="array" ref="W711">SUMPRODUCT(TRANSPOSE($AA711:$AG711),OFFSET($L$9:$L$15,0,W$631-1))</f>
        <v>21.6942067191022</v>
      </c>
      <c r="X711" s="135" cm="1">
        <f ca="1" t="array" ref="X711">SUMPRODUCT(TRANSPOSE($AA711:$AG711),OFFSET($L$9:$L$15,0,X$631-1))</f>
        <v>18</v>
      </c>
      <c r="Y711" s="135" cm="1">
        <f ca="1" t="array" ref="Y711">SUMPRODUCT(TRANSPOSE($AA711:$AG711),OFFSET($L$9:$L$15,0,Y$631-1))</f>
        <v>8</v>
      </c>
      <c r="Z711" s="135" cm="1">
        <f ca="1" t="array" ref="Z711">SUMPRODUCT(TRANSPOSE($AA711:$AG711),OFFSET($L$9:$L$15,0,Z$631-1))</f>
        <v>2.30579328089777</v>
      </c>
      <c r="AA711" s="136">
        <f ca="1" t="shared" ref="AA711:AG711" si="395">AH711-AH710</f>
        <v>0</v>
      </c>
      <c r="AB711" s="136">
        <f ca="1" t="shared" si="395"/>
        <v>0</v>
      </c>
      <c r="AC711" s="136">
        <f ca="1" t="shared" si="395"/>
        <v>0</v>
      </c>
      <c r="AD711" s="136">
        <f ca="1" t="shared" si="395"/>
        <v>0</v>
      </c>
      <c r="AE711" s="136">
        <f ca="1" t="shared" si="395"/>
        <v>100</v>
      </c>
      <c r="AF711" s="136">
        <f ca="1" t="shared" si="395"/>
        <v>0</v>
      </c>
      <c r="AG711" s="136">
        <f ca="1" t="shared" si="395"/>
        <v>0</v>
      </c>
      <c r="AH711" s="136">
        <f ca="1" t="shared" si="371"/>
        <v>450</v>
      </c>
      <c r="AI711" s="136">
        <f ca="1" t="shared" ref="AI711:AN711" si="396">IF($C711&gt;OFFSET($Q$8,MATCH(AI$634,$AH$634:$AN$634,0),0),OFFSET($P$8,MATCH(AI$634,$AH$634:$AN$634,0),0),MAX(0,$C711-OFFSET($Q$8,RIGHT(AI$634,1)-1,0)))</f>
        <v>909</v>
      </c>
      <c r="AJ711" s="136">
        <f ca="1" t="shared" si="396"/>
        <v>1818</v>
      </c>
      <c r="AK711" s="136">
        <f ca="1" t="shared" si="396"/>
        <v>2727</v>
      </c>
      <c r="AL711" s="136">
        <f ca="1" t="shared" si="396"/>
        <v>1796</v>
      </c>
      <c r="AM711" s="136">
        <f ca="1" t="shared" si="396"/>
        <v>0</v>
      </c>
      <c r="AN711" s="136">
        <f ca="1" t="shared" si="396"/>
        <v>0</v>
      </c>
      <c r="AP711" s="132">
        <v>77</v>
      </c>
      <c r="AQ711" s="132">
        <v>91550</v>
      </c>
      <c r="AR711" s="132">
        <v>91550</v>
      </c>
      <c r="AS711" s="132">
        <v>51770</v>
      </c>
      <c r="AT711" s="132">
        <v>26660</v>
      </c>
    </row>
    <row r="712" s="106" customFormat="1" ht="16.5" spans="2:46">
      <c r="B712" s="117">
        <v>78</v>
      </c>
      <c r="C712" s="130">
        <f t="shared" si="369"/>
        <v>7800</v>
      </c>
      <c r="D712" s="131" cm="1">
        <f ca="1" t="array" ref="D712">IF(D1314=1,OFFSET($W$634,$B712,D$631-1)/SUMPRODUCT(--($D$631:$V$631=D$631),--($D1314:$V1314=1)),0)+SUM(D711)+IF(COUNTIF(D$1237:D1314,1)=1,5,0)+IF(COUNTIF(E712:$W712,"&gt;"&amp;0)&lt;5,IF(AND(COUNTIF(D$1237:D1314,1)&gt;7,MOD(1+IFERROR(MATCH($C712,总览!$D$46:$D$345,1)+1,1),7)=0),$C$3,0),0)</f>
        <v>737.714115616248</v>
      </c>
      <c r="E712" s="131" cm="1">
        <f ca="1" t="array" ref="E712">IF(E1314=1,OFFSET($W$634,$B712,E$631-1)/SUMPRODUCT(--($D$631:$V$631=E$631),--($D1314:$V1314=1)),0)+SUM(E711)+IF(COUNTIF(E$1237:E1314,1)=1,5,0)+IF(COUNTIF(F712:$W712,"&gt;"&amp;0)&lt;5,IF(AND(COUNTIF(E$1237:E1314,1)&gt;7,MOD(1+IFERROR(MATCH($C712,总览!$D$46:$D$345,1)+1,1),7)=0),$C$3,0),0)</f>
        <v>737.714115616248</v>
      </c>
      <c r="F712" s="131" cm="1">
        <f ca="1" t="array" ref="F712">IF(F1314=1,OFFSET($W$634,$B712,F$631-1)/SUMPRODUCT(--($D$631:$V$631=F$631),--($D1314:$V1314=1)),0)+SUM(F711)+IF(COUNTIF(F$1237:F1314,1)=1,5,0)+IF(COUNTIF(G712:$W712,"&gt;"&amp;0)&lt;5,IF(AND(COUNTIF(F$1237:F1314,1)&gt;7,MOD(1+IFERROR(MATCH($C712,总览!$D$46:$D$345,1)+1,1),7)=0),$C$3,0),0)</f>
        <v>737.714115616248</v>
      </c>
      <c r="G712" s="131" cm="1">
        <f ca="1" t="array" ref="G712">IF(G1314=1,OFFSET($W$634,$B712,G$631-1)/SUMPRODUCT(--($D$631:$V$631=G$631),--($D1314:$V1314=1)),0)+SUM(G711)+IF(COUNTIF(G$1237:G1314,1)=1,5,0)+IF(COUNTIF(H712:$W712,"&gt;"&amp;0)&lt;5,IF(AND(COUNTIF(G$1237:G1314,1)&gt;7,MOD(1+IFERROR(MATCH($C712,总览!$D$46:$D$345,1)+1,1),7)=0),$C$3,0),0)</f>
        <v>205.2</v>
      </c>
      <c r="H712" s="131" cm="1">
        <f ca="1" t="array" ref="H712">IF(H1314=1,OFFSET($W$634,$B712,H$631-1)/SUMPRODUCT(--($D$631:$V$631=H$631),--($D1314:$V1314=1)),0)+SUM(H711)+IF(COUNTIF(H$1237:H1314,1)=1,5,0)+IF(COUNTIF(I712:$W712,"&gt;"&amp;0)&lt;5,IF(AND(COUNTIF(H$1237:H1314,1)&gt;7,MOD(1+IFERROR(MATCH($C712,总览!$D$46:$D$345,1)+1,1),7)=0),$C$3,0),0)</f>
        <v>205.2</v>
      </c>
      <c r="I712" s="131" cm="1">
        <f ca="1" t="array" ref="I712">IF(I1314=1,OFFSET($W$634,$B712,I$631-1)/SUMPRODUCT(--($D$631:$V$631=I$631),--($D1314:$V1314=1)),0)+SUM(I711)+IF(COUNTIF(I$1237:I1314,1)=1,5,0)+IF(COUNTIF(J712:$W712,"&gt;"&amp;0)&lt;5,IF(AND(COUNTIF(I$1237:I1314,1)&gt;7,MOD(1+IFERROR(MATCH($C712,总览!$D$46:$D$345,1)+1,1),7)=0),$C$3,0),0)</f>
        <v>205.2</v>
      </c>
      <c r="J712" s="131" cm="1">
        <f ca="1" t="array" ref="J712">IF(J1314=1,OFFSET($W$634,$B712,J$631-1)/SUMPRODUCT(--($D$631:$V$631=J$631),--($D1314:$V1314=1)),0)+SUM(J711)+IF(COUNTIF(J$1237:J1314,1)=1,5,0)+IF(COUNTIF(K712:$W712,"&gt;"&amp;0)&lt;5,IF(AND(COUNTIF(J$1237:J1314,1)&gt;7,MOD(1+IFERROR(MATCH($C712,总览!$D$46:$D$345,1)+1,1),7)=0),$C$3,0),0)</f>
        <v>201.866666666667</v>
      </c>
      <c r="K712" s="131" cm="1">
        <f ca="1" t="array" ref="K712">IF(K1314=1,OFFSET($W$634,$B712,K$631-1)/SUMPRODUCT(--($D$631:$V$631=K$631),--($D1314:$V1314=1)),0)+SUM(K711)+IF(COUNTIF(K$1237:K1314,1)=1,5,0)+IF(COUNTIF(L712:$W712,"&gt;"&amp;0)&lt;5,IF(AND(COUNTIF(K$1237:K1314,1)&gt;7,MOD(1+IFERROR(MATCH($C712,总览!$D$46:$D$345,1)+1,1),7)=0),$C$3,0),0)</f>
        <v>199.366666666667</v>
      </c>
      <c r="L712" s="131" cm="1">
        <f ca="1" t="array" ref="L712">IF(L1314=1,OFFSET($W$634,$B712,L$631-1)/SUMPRODUCT(--($D$631:$V$631=L$631),--($D1314:$V1314=1)),0)+SUM(L711)+IF(COUNTIF(L$1237:L1314,1)=1,5,0)+IF(COUNTIF(M712:$W712,"&gt;"&amp;0)&lt;5,IF(AND(COUNTIF(L$1237:L1314,1)&gt;7,MOD(1+IFERROR(MATCH($C712,总览!$D$46:$D$345,1)+1,1),7)=0),$C$3,0),0)</f>
        <v>199.366666666667</v>
      </c>
      <c r="M712" s="131" cm="1">
        <f ca="1" t="array" ref="M712">IF(M1314=1,OFFSET($W$634,$B712,M$631-1)/SUMPRODUCT(--($D$631:$V$631=M$631),--($D1314:$V1314=1)),0)+SUM(M711)+IF(COUNTIF(M$1237:M1314,1)=1,5,0)+IF(COUNTIF(N712:$W712,"&gt;"&amp;0)&lt;5,IF(AND(COUNTIF(M$1237:M1314,1)&gt;7,MOD(1+IFERROR(MATCH($C712,总览!$D$46:$D$345,1)+1,1),7)=0),$C$3,0),0)</f>
        <v>74.1526785714285</v>
      </c>
      <c r="N712" s="131" cm="1">
        <f ca="1" t="array" ref="N712">IF(N1314=1,OFFSET($W$634,$B712,N$631-1)/SUMPRODUCT(--($D$631:$V$631=N$631),--($D1314:$V1314=1)),0)+SUM(N711)+IF(COUNTIF(N$1237:N1314,1)=1,5,0)+IF(COUNTIF(O712:$W712,"&gt;"&amp;0)&lt;5,IF(AND(COUNTIF(N$1237:N1314,1)&gt;7,MOD(1+IFERROR(MATCH($C712,总览!$D$46:$D$345,1)+1,1),7)=0),$C$3,0),0)</f>
        <v>75.4026785714285</v>
      </c>
      <c r="O712" s="131" cm="1">
        <f ca="1" t="array" ref="O712">IF(O1314=1,OFFSET($W$634,$B712,O$631-1)/SUMPRODUCT(--($D$631:$V$631=O$631),--($D1314:$V1314=1)),0)+SUM(O711)+IF(COUNTIF(O$1237:O1314,1)=1,5,0)+IF(COUNTIF(P712:$W712,"&gt;"&amp;0)&lt;5,IF(AND(COUNTIF(O$1237:O1314,1)&gt;7,MOD(1+IFERROR(MATCH($C712,总览!$D$46:$D$345,1)+1,1),7)=0),$C$3,0),0)</f>
        <v>80.4026785714284</v>
      </c>
      <c r="P712" s="131" cm="1">
        <f ca="1" t="array" ref="P712">IF(P1314=1,OFFSET($W$634,$B712,P$631-1)/SUMPRODUCT(--($D$631:$V$631=P$631),--($D1314:$V1314=1)),0)+SUM(P711)+IF(COUNTIF(P$1237:P1314,1)=1,5,0)+IF(COUNTIF(Q712:$W712,"&gt;"&amp;0)&lt;5,IF(AND(COUNTIF(P$1237:P1314,1)&gt;7,MOD(1+IFERROR(MATCH($C712,总览!$D$46:$D$345,1)+1,1),7)=0),$C$3,0),0)</f>
        <v>69.5214285714286</v>
      </c>
      <c r="Q712" s="131" cm="1">
        <f ca="1" t="array" ref="Q712">IF(Q1314=1,OFFSET($W$634,$B712,Q$631-1)/SUMPRODUCT(--($D$631:$V$631=Q$631),--($D1314:$V1314=1)),0)+SUM(Q711)+IF(COUNTIF(Q$1237:Q1314,1)=1,5,0)+IF(COUNTIF(R712:$W712,"&gt;"&amp;0)&lt;5,IF(AND(COUNTIF(Q$1237:Q1314,1)&gt;7,MOD(1+IFERROR(MATCH($C712,总览!$D$46:$D$345,1)+1,1),7)=0),$C$3,0),0)</f>
        <v>82.9026785714284</v>
      </c>
      <c r="R712" s="131" cm="1">
        <f ca="1" t="array" ref="R712">IF(R1314=1,OFFSET($W$634,$B712,R$631-1)/SUMPRODUCT(--($D$631:$V$631=R$631),--($D1314:$V1314=1)),0)+SUM(R711)+IF(COUNTIF(R$1237:R1314,1)=1,5,0)+IF(COUNTIF(S712:$W712,"&gt;"&amp;0)&lt;5,IF(AND(COUNTIF(R$1237:R1314,1)&gt;7,MOD(1+IFERROR(MATCH($C712,总览!$D$46:$D$345,1)+1,1),7)=0),$C$3,0),0)</f>
        <v>74.5214285714285</v>
      </c>
      <c r="S712" s="131" cm="1">
        <f ca="1" t="array" ref="S712">IF(S1314=1,OFFSET($W$634,$B712,S$631-1)/SUMPRODUCT(--($D$631:$V$631=S$631),--($D1314:$V1314=1)),0)+SUM(S711)+IF(COUNTIF(S$1237:S1314,1)=1,5,0)+IF(COUNTIF(T712:$W712,"&gt;"&amp;0)&lt;5,IF(AND(COUNTIF(S$1237:S1314,1)&gt;7,MOD(1+IFERROR(MATCH($C712,总览!$D$46:$D$345,1)+1,1),7)=0),$C$3,0),0)</f>
        <v>87.0214285714285</v>
      </c>
      <c r="T712" s="131" cm="1">
        <f ca="1" t="array" ref="T712">IF(T1314=1,OFFSET($W$634,$B712,T$631-1)/SUMPRODUCT(--($D$631:$V$631=T$631),--($D1314:$V1314=1)),0)+SUM(T711)+IF(COUNTIF(T$1237:T1314,1)=1,5,0)+IF(COUNTIF(U712:$W712,"&gt;"&amp;0)&lt;5,IF(AND(COUNTIF(T$1237:T1314,1)&gt;7,MOD(1+IFERROR(MATCH($C712,总览!$D$46:$D$345,1)+1,1),7)=0),$C$3,0),0)</f>
        <v>41.9546935760746</v>
      </c>
      <c r="U712" s="131" cm="1">
        <f ca="1" t="array" ref="U712">IF(U1314=1,OFFSET($W$634,$B712,U$631-1)/SUMPRODUCT(--($D$631:$V$631=U$631),--($D1314:$V1314=1)),0)+SUM(U711)+IF(COUNTIF(U$1237:U1314,1)=1,5,0)+IF(COUNTIF(V712:$W712,"&gt;"&amp;0)&lt;5,IF(AND(COUNTIF(U$1237:U1314,1)&gt;7,MOD(1+IFERROR(MATCH($C712,总览!$D$46:$D$345,1)+1,1),7)=0),$C$3,0),0)</f>
        <v>47.4754799313742</v>
      </c>
      <c r="V712" s="131" cm="1">
        <f ca="1" t="array" ref="V712">IF(V1314=1,OFFSET($W$634,$B712,V$631-1)/SUMPRODUCT(--($D$631:$V$631=V$631),--($D1314:$V1314=1)),0)+SUM(V711)+IF(COUNTIF(V$1237:V1314,1)=1,5,0)+IF(COUNTIF(W712:$W712,"&gt;"&amp;0)&lt;5,IF(AND(COUNTIF(V$1237:V1314,1)&gt;7,MOD(1+IFERROR(MATCH($C712,总览!$D$46:$D$345,1)+1,1),7)=0),$C$3,0),0)</f>
        <v>67.3024796438076</v>
      </c>
      <c r="W712" s="135" cm="1">
        <f ca="1" t="array" ref="W712">SUMPRODUCT(TRANSPOSE($AA712:$AG712),OFFSET($L$9:$L$15,0,W$631-1))</f>
        <v>21.6942067191022</v>
      </c>
      <c r="X712" s="135" cm="1">
        <f ca="1" t="array" ref="X712">SUMPRODUCT(TRANSPOSE($AA712:$AG712),OFFSET($L$9:$L$15,0,X$631-1))</f>
        <v>18</v>
      </c>
      <c r="Y712" s="135" cm="1">
        <f ca="1" t="array" ref="Y712">SUMPRODUCT(TRANSPOSE($AA712:$AG712),OFFSET($L$9:$L$15,0,Y$631-1))</f>
        <v>8</v>
      </c>
      <c r="Z712" s="135" cm="1">
        <f ca="1" t="array" ref="Z712">SUMPRODUCT(TRANSPOSE($AA712:$AG712),OFFSET($L$9:$L$15,0,Z$631-1))</f>
        <v>2.30579328089777</v>
      </c>
      <c r="AA712" s="136">
        <f ca="1" t="shared" ref="AA712:AG712" si="397">AH712-AH711</f>
        <v>0</v>
      </c>
      <c r="AB712" s="136">
        <f ca="1" t="shared" si="397"/>
        <v>0</v>
      </c>
      <c r="AC712" s="136">
        <f ca="1" t="shared" si="397"/>
        <v>0</v>
      </c>
      <c r="AD712" s="136">
        <f ca="1" t="shared" si="397"/>
        <v>0</v>
      </c>
      <c r="AE712" s="136">
        <f ca="1" t="shared" si="397"/>
        <v>100</v>
      </c>
      <c r="AF712" s="136">
        <f ca="1" t="shared" si="397"/>
        <v>0</v>
      </c>
      <c r="AG712" s="136">
        <f ca="1" t="shared" si="397"/>
        <v>0</v>
      </c>
      <c r="AH712" s="136">
        <f ca="1" t="shared" si="371"/>
        <v>450</v>
      </c>
      <c r="AI712" s="136">
        <f ca="1" t="shared" ref="AI712:AN712" si="398">IF($C712&gt;OFFSET($Q$8,MATCH(AI$634,$AH$634:$AN$634,0),0),OFFSET($P$8,MATCH(AI$634,$AH$634:$AN$634,0),0),MAX(0,$C712-OFFSET($Q$8,RIGHT(AI$634,1)-1,0)))</f>
        <v>909</v>
      </c>
      <c r="AJ712" s="136">
        <f ca="1" t="shared" si="398"/>
        <v>1818</v>
      </c>
      <c r="AK712" s="136">
        <f ca="1" t="shared" si="398"/>
        <v>2727</v>
      </c>
      <c r="AL712" s="136">
        <f ca="1" t="shared" si="398"/>
        <v>1896</v>
      </c>
      <c r="AM712" s="136">
        <f ca="1" t="shared" si="398"/>
        <v>0</v>
      </c>
      <c r="AN712" s="136">
        <f ca="1" t="shared" si="398"/>
        <v>0</v>
      </c>
      <c r="AP712" s="132">
        <v>78</v>
      </c>
      <c r="AQ712" s="132">
        <v>95150</v>
      </c>
      <c r="AR712" s="132">
        <v>95150</v>
      </c>
      <c r="AS712" s="132">
        <v>53930</v>
      </c>
      <c r="AT712" s="132">
        <v>27740</v>
      </c>
    </row>
    <row r="713" s="106" customFormat="1" ht="16.5" spans="2:46">
      <c r="B713" s="117">
        <v>79</v>
      </c>
      <c r="C713" s="130">
        <f t="shared" si="369"/>
        <v>7900</v>
      </c>
      <c r="D713" s="131" cm="1">
        <f ca="1" t="array" ref="D713">IF(D1315=1,OFFSET($W$634,$B713,D$631-1)/SUMPRODUCT(--($D$631:$V$631=D$631),--($D1315:$V1315=1)),0)+SUM(D712)+IF(COUNTIF(D$1237:D1315,1)=1,5,0)+IF(COUNTIF(E713:$W713,"&gt;"&amp;0)&lt;5,IF(AND(COUNTIF(D$1237:D1315,1)&gt;7,MOD(1+IFERROR(MATCH($C713,总览!$D$46:$D$345,1)+1,1),7)=0),$C$3,0),0)</f>
        <v>744.945517855949</v>
      </c>
      <c r="E713" s="131" cm="1">
        <f ca="1" t="array" ref="E713">IF(E1315=1,OFFSET($W$634,$B713,E$631-1)/SUMPRODUCT(--($D$631:$V$631=E$631),--($D1315:$V1315=1)),0)+SUM(E712)+IF(COUNTIF(E$1237:E1315,1)=1,5,0)+IF(COUNTIF(F713:$W713,"&gt;"&amp;0)&lt;5,IF(AND(COUNTIF(E$1237:E1315,1)&gt;7,MOD(1+IFERROR(MATCH($C713,总览!$D$46:$D$345,1)+1,1),7)=0),$C$3,0),0)</f>
        <v>744.945517855949</v>
      </c>
      <c r="F713" s="131" cm="1">
        <f ca="1" t="array" ref="F713">IF(F1315=1,OFFSET($W$634,$B713,F$631-1)/SUMPRODUCT(--($D$631:$V$631=F$631),--($D1315:$V1315=1)),0)+SUM(F712)+IF(COUNTIF(F$1237:F1315,1)=1,5,0)+IF(COUNTIF(G713:$W713,"&gt;"&amp;0)&lt;5,IF(AND(COUNTIF(F$1237:F1315,1)&gt;7,MOD(1+IFERROR(MATCH($C713,总览!$D$46:$D$345,1)+1,1),7)=0),$C$3,0),0)</f>
        <v>744.945517855949</v>
      </c>
      <c r="G713" s="131" cm="1">
        <f ca="1" t="array" ref="G713">IF(G1315=1,OFFSET($W$634,$B713,G$631-1)/SUMPRODUCT(--($D$631:$V$631=G$631),--($D1315:$V1315=1)),0)+SUM(G712)+IF(COUNTIF(G$1237:G1315,1)=1,5,0)+IF(COUNTIF(H713:$W713,"&gt;"&amp;0)&lt;5,IF(AND(COUNTIF(G$1237:G1315,1)&gt;7,MOD(1+IFERROR(MATCH($C713,总览!$D$46:$D$345,1)+1,1),7)=0),$C$3,0),0)</f>
        <v>208.2</v>
      </c>
      <c r="H713" s="131" cm="1">
        <f ca="1" t="array" ref="H713">IF(H1315=1,OFFSET($W$634,$B713,H$631-1)/SUMPRODUCT(--($D$631:$V$631=H$631),--($D1315:$V1315=1)),0)+SUM(H712)+IF(COUNTIF(H$1237:H1315,1)=1,5,0)+IF(COUNTIF(I713:$W713,"&gt;"&amp;0)&lt;5,IF(AND(COUNTIF(H$1237:H1315,1)&gt;7,MOD(1+IFERROR(MATCH($C713,总览!$D$46:$D$345,1)+1,1),7)=0),$C$3,0),0)</f>
        <v>208.2</v>
      </c>
      <c r="I713" s="131" cm="1">
        <f ca="1" t="array" ref="I713">IF(I1315=1,OFFSET($W$634,$B713,I$631-1)/SUMPRODUCT(--($D$631:$V$631=I$631),--($D1315:$V1315=1)),0)+SUM(I712)+IF(COUNTIF(I$1237:I1315,1)=1,5,0)+IF(COUNTIF(J713:$W713,"&gt;"&amp;0)&lt;5,IF(AND(COUNTIF(I$1237:I1315,1)&gt;7,MOD(1+IFERROR(MATCH($C713,总览!$D$46:$D$345,1)+1,1),7)=0),$C$3,0),0)</f>
        <v>208.2</v>
      </c>
      <c r="J713" s="131" cm="1">
        <f ca="1" t="array" ref="J713">IF(J1315=1,OFFSET($W$634,$B713,J$631-1)/SUMPRODUCT(--($D$631:$V$631=J$631),--($D1315:$V1315=1)),0)+SUM(J712)+IF(COUNTIF(J$1237:J1315,1)=1,5,0)+IF(COUNTIF(K713:$W713,"&gt;"&amp;0)&lt;5,IF(AND(COUNTIF(J$1237:J1315,1)&gt;7,MOD(1+IFERROR(MATCH($C713,总览!$D$46:$D$345,1)+1,1),7)=0),$C$3,0),0)</f>
        <v>204.866666666667</v>
      </c>
      <c r="K713" s="131" cm="1">
        <f ca="1" t="array" ref="K713">IF(K1315=1,OFFSET($W$634,$B713,K$631-1)/SUMPRODUCT(--($D$631:$V$631=K$631),--($D1315:$V1315=1)),0)+SUM(K712)+IF(COUNTIF(K$1237:K1315,1)=1,5,0)+IF(COUNTIF(L713:$W713,"&gt;"&amp;0)&lt;5,IF(AND(COUNTIF(K$1237:K1315,1)&gt;7,MOD(1+IFERROR(MATCH($C713,总览!$D$46:$D$345,1)+1,1),7)=0),$C$3,0),0)</f>
        <v>202.366666666667</v>
      </c>
      <c r="L713" s="131" cm="1">
        <f ca="1" t="array" ref="L713">IF(L1315=1,OFFSET($W$634,$B713,L$631-1)/SUMPRODUCT(--($D$631:$V$631=L$631),--($D1315:$V1315=1)),0)+SUM(L712)+IF(COUNTIF(L$1237:L1315,1)=1,5,0)+IF(COUNTIF(M713:$W713,"&gt;"&amp;0)&lt;5,IF(AND(COUNTIF(L$1237:L1315,1)&gt;7,MOD(1+IFERROR(MATCH($C713,总览!$D$46:$D$345,1)+1,1),7)=0),$C$3,0),0)</f>
        <v>202.366666666667</v>
      </c>
      <c r="M713" s="131" cm="1">
        <f ca="1" t="array" ref="M713">IF(M1315=1,OFFSET($W$634,$B713,M$631-1)/SUMPRODUCT(--($D$631:$V$631=M$631),--($D1315:$V1315=1)),0)+SUM(M712)+IF(COUNTIF(M$1237:M1315,1)=1,5,0)+IF(COUNTIF(N713:$W713,"&gt;"&amp;0)&lt;5,IF(AND(COUNTIF(M$1237:M1315,1)&gt;7,MOD(1+IFERROR(MATCH($C713,总览!$D$46:$D$345,1)+1,1),7)=0),$C$3,0),0)</f>
        <v>75.2955357142856</v>
      </c>
      <c r="N713" s="131" cm="1">
        <f ca="1" t="array" ref="N713">IF(N1315=1,OFFSET($W$634,$B713,N$631-1)/SUMPRODUCT(--($D$631:$V$631=N$631),--($D1315:$V1315=1)),0)+SUM(N712)+IF(COUNTIF(N$1237:N1315,1)=1,5,0)+IF(COUNTIF(O713:$W713,"&gt;"&amp;0)&lt;5,IF(AND(COUNTIF(N$1237:N1315,1)&gt;7,MOD(1+IFERROR(MATCH($C713,总览!$D$46:$D$345,1)+1,1),7)=0),$C$3,0),0)</f>
        <v>76.5455357142856</v>
      </c>
      <c r="O713" s="131" cm="1">
        <f ca="1" t="array" ref="O713">IF(O1315=1,OFFSET($W$634,$B713,O$631-1)/SUMPRODUCT(--($D$631:$V$631=O$631),--($D1315:$V1315=1)),0)+SUM(O712)+IF(COUNTIF(O$1237:O1315,1)=1,5,0)+IF(COUNTIF(P713:$W713,"&gt;"&amp;0)&lt;5,IF(AND(COUNTIF(O$1237:O1315,1)&gt;7,MOD(1+IFERROR(MATCH($C713,总览!$D$46:$D$345,1)+1,1),7)=0),$C$3,0),0)</f>
        <v>81.5455357142856</v>
      </c>
      <c r="P713" s="131" cm="1">
        <f ca="1" t="array" ref="P713">IF(P1315=1,OFFSET($W$634,$B713,P$631-1)/SUMPRODUCT(--($D$631:$V$631=P$631),--($D1315:$V1315=1)),0)+SUM(P712)+IF(COUNTIF(P$1237:P1315,1)=1,5,0)+IF(COUNTIF(Q713:$W713,"&gt;"&amp;0)&lt;5,IF(AND(COUNTIF(P$1237:P1315,1)&gt;7,MOD(1+IFERROR(MATCH($C713,总览!$D$46:$D$345,1)+1,1),7)=0),$C$3,0),0)</f>
        <v>70.6642857142857</v>
      </c>
      <c r="Q713" s="131" cm="1">
        <f ca="1" t="array" ref="Q713">IF(Q1315=1,OFFSET($W$634,$B713,Q$631-1)/SUMPRODUCT(--($D$631:$V$631=Q$631),--($D1315:$V1315=1)),0)+SUM(Q712)+IF(COUNTIF(Q$1237:Q1315,1)=1,5,0)+IF(COUNTIF(R713:$W713,"&gt;"&amp;0)&lt;5,IF(AND(COUNTIF(Q$1237:Q1315,1)&gt;7,MOD(1+IFERROR(MATCH($C713,总览!$D$46:$D$345,1)+1,1),7)=0),$C$3,0),0)</f>
        <v>84.0455357142856</v>
      </c>
      <c r="R713" s="131" cm="1">
        <f ca="1" t="array" ref="R713">IF(R1315=1,OFFSET($W$634,$B713,R$631-1)/SUMPRODUCT(--($D$631:$V$631=R$631),--($D1315:$V1315=1)),0)+SUM(R712)+IF(COUNTIF(R$1237:R1315,1)=1,5,0)+IF(COUNTIF(S713:$W713,"&gt;"&amp;0)&lt;5,IF(AND(COUNTIF(R$1237:R1315,1)&gt;7,MOD(1+IFERROR(MATCH($C713,总览!$D$46:$D$345,1)+1,1),7)=0),$C$3,0),0)</f>
        <v>75.6642857142856</v>
      </c>
      <c r="S713" s="131" cm="1">
        <f ca="1" t="array" ref="S713">IF(S1315=1,OFFSET($W$634,$B713,S$631-1)/SUMPRODUCT(--($D$631:$V$631=S$631),--($D1315:$V1315=1)),0)+SUM(S712)+IF(COUNTIF(S$1237:S1315,1)=1,5,0)+IF(COUNTIF(T713:$W713,"&gt;"&amp;0)&lt;5,IF(AND(COUNTIF(S$1237:S1315,1)&gt;7,MOD(1+IFERROR(MATCH($C713,总览!$D$46:$D$345,1)+1,1),7)=0),$C$3,0),0)</f>
        <v>93.1642857142856</v>
      </c>
      <c r="T713" s="131" cm="1">
        <f ca="1" t="array" ref="T713">IF(T1315=1,OFFSET($W$634,$B713,T$631-1)/SUMPRODUCT(--($D$631:$V$631=T$631),--($D1315:$V1315=1)),0)+SUM(T712)+IF(COUNTIF(T$1237:T1315,1)=1,5,0)+IF(COUNTIF(U713:$W713,"&gt;"&amp;0)&lt;5,IF(AND(COUNTIF(T$1237:T1315,1)&gt;7,MOD(1+IFERROR(MATCH($C713,总览!$D$46:$D$345,1)+1,1),7)=0),$C$3,0),0)</f>
        <v>47.7232913363738</v>
      </c>
      <c r="U713" s="131" cm="1">
        <f ca="1" t="array" ref="U713">IF(U1315=1,OFFSET($W$634,$B713,U$631-1)/SUMPRODUCT(--($D$631:$V$631=U$631),--($D1315:$V1315=1)),0)+SUM(U712)+IF(COUNTIF(U$1237:U1315,1)=1,5,0)+IF(COUNTIF(V713:$W713,"&gt;"&amp;0)&lt;5,IF(AND(COUNTIF(U$1237:U1315,1)&gt;7,MOD(1+IFERROR(MATCH($C713,总览!$D$46:$D$345,1)+1,1),7)=0),$C$3,0),0)</f>
        <v>53.2440776916735</v>
      </c>
      <c r="V713" s="131" cm="1">
        <f ca="1" t="array" ref="V713">IF(V1315=1,OFFSET($W$634,$B713,V$631-1)/SUMPRODUCT(--($D$631:$V$631=V$631),--($D1315:$V1315=1)),0)+SUM(V712)+IF(COUNTIF(V$1237:V1315,1)=1,5,0)+IF(COUNTIF(W713:$W713,"&gt;"&amp;0)&lt;5,IF(AND(COUNTIF(V$1237:V1315,1)&gt;7,MOD(1+IFERROR(MATCH($C713,总览!$D$46:$D$345,1)+1,1),7)=0),$C$3,0),0)</f>
        <v>73.0710774041068</v>
      </c>
      <c r="W713" s="135" cm="1">
        <f ca="1" t="array" ref="W713">SUMPRODUCT(TRANSPOSE($AA713:$AG713),OFFSET($L$9:$L$15,0,W$631-1))</f>
        <v>21.6942067191022</v>
      </c>
      <c r="X713" s="135" cm="1">
        <f ca="1" t="array" ref="X713">SUMPRODUCT(TRANSPOSE($AA713:$AG713),OFFSET($L$9:$L$15,0,X$631-1))</f>
        <v>18</v>
      </c>
      <c r="Y713" s="135" cm="1">
        <f ca="1" t="array" ref="Y713">SUMPRODUCT(TRANSPOSE($AA713:$AG713),OFFSET($L$9:$L$15,0,Y$631-1))</f>
        <v>8</v>
      </c>
      <c r="Z713" s="135" cm="1">
        <f ca="1" t="array" ref="Z713">SUMPRODUCT(TRANSPOSE($AA713:$AG713),OFFSET($L$9:$L$15,0,Z$631-1))</f>
        <v>2.30579328089777</v>
      </c>
      <c r="AA713" s="136">
        <f ca="1" t="shared" ref="AA713:AG713" si="399">AH713-AH712</f>
        <v>0</v>
      </c>
      <c r="AB713" s="136">
        <f ca="1" t="shared" si="399"/>
        <v>0</v>
      </c>
      <c r="AC713" s="136">
        <f ca="1" t="shared" si="399"/>
        <v>0</v>
      </c>
      <c r="AD713" s="136">
        <f ca="1" t="shared" si="399"/>
        <v>0</v>
      </c>
      <c r="AE713" s="136">
        <f ca="1" t="shared" si="399"/>
        <v>100</v>
      </c>
      <c r="AF713" s="136">
        <f ca="1" t="shared" si="399"/>
        <v>0</v>
      </c>
      <c r="AG713" s="136">
        <f ca="1" t="shared" si="399"/>
        <v>0</v>
      </c>
      <c r="AH713" s="136">
        <f ca="1" t="shared" si="371"/>
        <v>450</v>
      </c>
      <c r="AI713" s="136">
        <f ca="1" t="shared" ref="AI713:AN713" si="400">IF($C713&gt;OFFSET($Q$8,MATCH(AI$634,$AH$634:$AN$634,0),0),OFFSET($P$8,MATCH(AI$634,$AH$634:$AN$634,0),0),MAX(0,$C713-OFFSET($Q$8,RIGHT(AI$634,1)-1,0)))</f>
        <v>909</v>
      </c>
      <c r="AJ713" s="136">
        <f ca="1" t="shared" si="400"/>
        <v>1818</v>
      </c>
      <c r="AK713" s="136">
        <f ca="1" t="shared" si="400"/>
        <v>2727</v>
      </c>
      <c r="AL713" s="136">
        <f ca="1" t="shared" si="400"/>
        <v>1996</v>
      </c>
      <c r="AM713" s="136">
        <f ca="1" t="shared" si="400"/>
        <v>0</v>
      </c>
      <c r="AN713" s="136">
        <f ca="1" t="shared" si="400"/>
        <v>0</v>
      </c>
      <c r="AP713" s="132">
        <v>79</v>
      </c>
      <c r="AQ713" s="132">
        <v>98750</v>
      </c>
      <c r="AR713" s="132">
        <v>98750</v>
      </c>
      <c r="AS713" s="132">
        <v>56090</v>
      </c>
      <c r="AT713" s="132">
        <v>28820</v>
      </c>
    </row>
    <row r="714" s="106" customFormat="1" ht="16.5" spans="2:46">
      <c r="B714" s="117">
        <v>80</v>
      </c>
      <c r="C714" s="130">
        <f t="shared" si="369"/>
        <v>8000</v>
      </c>
      <c r="D714" s="131" cm="1">
        <f ca="1" t="array" ref="D714">IF(D1316=1,OFFSET($W$634,$B714,D$631-1)/SUMPRODUCT(--($D$631:$V$631=D$631),--($D1316:$V1316=1)),0)+SUM(D713)+IF(COUNTIF(D$1237:D1316,1)=1,5,0)+IF(COUNTIF(E714:$W714,"&gt;"&amp;0)&lt;5,IF(AND(COUNTIF(D$1237:D1316,1)&gt;7,MOD(1+IFERROR(MATCH($C714,总览!$D$46:$D$345,1)+1,1),7)=0),$C$3,0),0)</f>
        <v>752.17692009565</v>
      </c>
      <c r="E714" s="131" cm="1">
        <f ca="1" t="array" ref="E714">IF(E1316=1,OFFSET($W$634,$B714,E$631-1)/SUMPRODUCT(--($D$631:$V$631=E$631),--($D1316:$V1316=1)),0)+SUM(E713)+IF(COUNTIF(E$1237:E1316,1)=1,5,0)+IF(COUNTIF(F714:$W714,"&gt;"&amp;0)&lt;5,IF(AND(COUNTIF(E$1237:E1316,1)&gt;7,MOD(1+IFERROR(MATCH($C714,总览!$D$46:$D$345,1)+1,1),7)=0),$C$3,0),0)</f>
        <v>752.17692009565</v>
      </c>
      <c r="F714" s="131" cm="1">
        <f ca="1" t="array" ref="F714">IF(F1316=1,OFFSET($W$634,$B714,F$631-1)/SUMPRODUCT(--($D$631:$V$631=F$631),--($D1316:$V1316=1)),0)+SUM(F713)+IF(COUNTIF(F$1237:F1316,1)=1,5,0)+IF(COUNTIF(G714:$W714,"&gt;"&amp;0)&lt;5,IF(AND(COUNTIF(F$1237:F1316,1)&gt;7,MOD(1+IFERROR(MATCH($C714,总览!$D$46:$D$345,1)+1,1),7)=0),$C$3,0),0)</f>
        <v>752.17692009565</v>
      </c>
      <c r="G714" s="131" cm="1">
        <f ca="1" t="array" ref="G714">IF(G1316=1,OFFSET($W$634,$B714,G$631-1)/SUMPRODUCT(--($D$631:$V$631=G$631),--($D1316:$V1316=1)),0)+SUM(G713)+IF(COUNTIF(G$1237:G1316,1)=1,5,0)+IF(COUNTIF(H714:$W714,"&gt;"&amp;0)&lt;5,IF(AND(COUNTIF(G$1237:G1316,1)&gt;7,MOD(1+IFERROR(MATCH($C714,总览!$D$46:$D$345,1)+1,1),7)=0),$C$3,0),0)</f>
        <v>211.2</v>
      </c>
      <c r="H714" s="131" cm="1">
        <f ca="1" t="array" ref="H714">IF(H1316=1,OFFSET($W$634,$B714,H$631-1)/SUMPRODUCT(--($D$631:$V$631=H$631),--($D1316:$V1316=1)),0)+SUM(H713)+IF(COUNTIF(H$1237:H1316,1)=1,5,0)+IF(COUNTIF(I714:$W714,"&gt;"&amp;0)&lt;5,IF(AND(COUNTIF(H$1237:H1316,1)&gt;7,MOD(1+IFERROR(MATCH($C714,总览!$D$46:$D$345,1)+1,1),7)=0),$C$3,0),0)</f>
        <v>211.2</v>
      </c>
      <c r="I714" s="131" cm="1">
        <f ca="1" t="array" ref="I714">IF(I1316=1,OFFSET($W$634,$B714,I$631-1)/SUMPRODUCT(--($D$631:$V$631=I$631),--($D1316:$V1316=1)),0)+SUM(I713)+IF(COUNTIF(I$1237:I1316,1)=1,5,0)+IF(COUNTIF(J714:$W714,"&gt;"&amp;0)&lt;5,IF(AND(COUNTIF(I$1237:I1316,1)&gt;7,MOD(1+IFERROR(MATCH($C714,总览!$D$46:$D$345,1)+1,1),7)=0),$C$3,0),0)</f>
        <v>211.2</v>
      </c>
      <c r="J714" s="131" cm="1">
        <f ca="1" t="array" ref="J714">IF(J1316=1,OFFSET($W$634,$B714,J$631-1)/SUMPRODUCT(--($D$631:$V$631=J$631),--($D1316:$V1316=1)),0)+SUM(J713)+IF(COUNTIF(J$1237:J1316,1)=1,5,0)+IF(COUNTIF(K714:$W714,"&gt;"&amp;0)&lt;5,IF(AND(COUNTIF(J$1237:J1316,1)&gt;7,MOD(1+IFERROR(MATCH($C714,总览!$D$46:$D$345,1)+1,1),7)=0),$C$3,0),0)</f>
        <v>207.866666666667</v>
      </c>
      <c r="K714" s="131" cm="1">
        <f ca="1" t="array" ref="K714">IF(K1316=1,OFFSET($W$634,$B714,K$631-1)/SUMPRODUCT(--($D$631:$V$631=K$631),--($D1316:$V1316=1)),0)+SUM(K713)+IF(COUNTIF(K$1237:K1316,1)=1,5,0)+IF(COUNTIF(L714:$W714,"&gt;"&amp;0)&lt;5,IF(AND(COUNTIF(K$1237:K1316,1)&gt;7,MOD(1+IFERROR(MATCH($C714,总览!$D$46:$D$345,1)+1,1),7)=0),$C$3,0),0)</f>
        <v>205.366666666667</v>
      </c>
      <c r="L714" s="131" cm="1">
        <f ca="1" t="array" ref="L714">IF(L1316=1,OFFSET($W$634,$B714,L$631-1)/SUMPRODUCT(--($D$631:$V$631=L$631),--($D1316:$V1316=1)),0)+SUM(L713)+IF(COUNTIF(L$1237:L1316,1)=1,5,0)+IF(COUNTIF(M714:$W714,"&gt;"&amp;0)&lt;5,IF(AND(COUNTIF(L$1237:L1316,1)&gt;7,MOD(1+IFERROR(MATCH($C714,总览!$D$46:$D$345,1)+1,1),7)=0),$C$3,0),0)</f>
        <v>205.366666666667</v>
      </c>
      <c r="M714" s="131" cm="1">
        <f ca="1" t="array" ref="M714">IF(M1316=1,OFFSET($W$634,$B714,M$631-1)/SUMPRODUCT(--($D$631:$V$631=M$631),--($D1316:$V1316=1)),0)+SUM(M713)+IF(COUNTIF(M$1237:M1316,1)=1,5,0)+IF(COUNTIF(N714:$W714,"&gt;"&amp;0)&lt;5,IF(AND(COUNTIF(M$1237:M1316,1)&gt;7,MOD(1+IFERROR(MATCH($C714,总览!$D$46:$D$345,1)+1,1),7)=0),$C$3,0),0)</f>
        <v>76.4383928571428</v>
      </c>
      <c r="N714" s="131" cm="1">
        <f ca="1" t="array" ref="N714">IF(N1316=1,OFFSET($W$634,$B714,N$631-1)/SUMPRODUCT(--($D$631:$V$631=N$631),--($D1316:$V1316=1)),0)+SUM(N713)+IF(COUNTIF(N$1237:N1316,1)=1,5,0)+IF(COUNTIF(O714:$W714,"&gt;"&amp;0)&lt;5,IF(AND(COUNTIF(N$1237:N1316,1)&gt;7,MOD(1+IFERROR(MATCH($C714,总览!$D$46:$D$345,1)+1,1),7)=0),$C$3,0),0)</f>
        <v>77.6883928571428</v>
      </c>
      <c r="O714" s="131" cm="1">
        <f ca="1" t="array" ref="O714">IF(O1316=1,OFFSET($W$634,$B714,O$631-1)/SUMPRODUCT(--($D$631:$V$631=O$631),--($D1316:$V1316=1)),0)+SUM(O713)+IF(COUNTIF(O$1237:O1316,1)=1,5,0)+IF(COUNTIF(P714:$W714,"&gt;"&amp;0)&lt;5,IF(AND(COUNTIF(O$1237:O1316,1)&gt;7,MOD(1+IFERROR(MATCH($C714,总览!$D$46:$D$345,1)+1,1),7)=0),$C$3,0),0)</f>
        <v>82.6883928571427</v>
      </c>
      <c r="P714" s="131" cm="1">
        <f ca="1" t="array" ref="P714">IF(P1316=1,OFFSET($W$634,$B714,P$631-1)/SUMPRODUCT(--($D$631:$V$631=P$631),--($D1316:$V1316=1)),0)+SUM(P713)+IF(COUNTIF(P$1237:P1316,1)=1,5,0)+IF(COUNTIF(Q714:$W714,"&gt;"&amp;0)&lt;5,IF(AND(COUNTIF(P$1237:P1316,1)&gt;7,MOD(1+IFERROR(MATCH($C714,总览!$D$46:$D$345,1)+1,1),7)=0),$C$3,0),0)</f>
        <v>71.8071428571428</v>
      </c>
      <c r="Q714" s="131" cm="1">
        <f ca="1" t="array" ref="Q714">IF(Q1316=1,OFFSET($W$634,$B714,Q$631-1)/SUMPRODUCT(--($D$631:$V$631=Q$631),--($D1316:$V1316=1)),0)+SUM(Q713)+IF(COUNTIF(Q$1237:Q1316,1)=1,5,0)+IF(COUNTIF(R714:$W714,"&gt;"&amp;0)&lt;5,IF(AND(COUNTIF(Q$1237:Q1316,1)&gt;7,MOD(1+IFERROR(MATCH($C714,总览!$D$46:$D$345,1)+1,1),7)=0),$C$3,0),0)</f>
        <v>85.1883928571427</v>
      </c>
      <c r="R714" s="131" cm="1">
        <f ca="1" t="array" ref="R714">IF(R1316=1,OFFSET($W$634,$B714,R$631-1)/SUMPRODUCT(--($D$631:$V$631=R$631),--($D1316:$V1316=1)),0)+SUM(R713)+IF(COUNTIF(R$1237:R1316,1)=1,5,0)+IF(COUNTIF(S714:$W714,"&gt;"&amp;0)&lt;5,IF(AND(COUNTIF(R$1237:R1316,1)&gt;7,MOD(1+IFERROR(MATCH($C714,总览!$D$46:$D$345,1)+1,1),7)=0),$C$3,0),0)</f>
        <v>76.8071428571428</v>
      </c>
      <c r="S714" s="131" cm="1">
        <f ca="1" t="array" ref="S714">IF(S1316=1,OFFSET($W$634,$B714,S$631-1)/SUMPRODUCT(--($D$631:$V$631=S$631),--($D1316:$V1316=1)),0)+SUM(S713)+IF(COUNTIF(S$1237:S1316,1)=1,5,0)+IF(COUNTIF(T714:$W714,"&gt;"&amp;0)&lt;5,IF(AND(COUNTIF(S$1237:S1316,1)&gt;7,MOD(1+IFERROR(MATCH($C714,总览!$D$46:$D$345,1)+1,1),7)=0),$C$3,0),0)</f>
        <v>94.3071428571428</v>
      </c>
      <c r="T714" s="131" cm="1">
        <f ca="1" t="array" ref="T714">IF(T1316=1,OFFSET($W$634,$B714,T$631-1)/SUMPRODUCT(--($D$631:$V$631=T$631),--($D1316:$V1316=1)),0)+SUM(T713)+IF(COUNTIF(T$1237:T1316,1)=1,5,0)+IF(COUNTIF(U714:$W714,"&gt;"&amp;0)&lt;5,IF(AND(COUNTIF(T$1237:T1316,1)&gt;7,MOD(1+IFERROR(MATCH($C714,总览!$D$46:$D$345,1)+1,1),7)=0),$C$3,0),0)</f>
        <v>48.4918890966731</v>
      </c>
      <c r="U714" s="131" cm="1">
        <f ca="1" t="array" ref="U714">IF(U1316=1,OFFSET($W$634,$B714,U$631-1)/SUMPRODUCT(--($D$631:$V$631=U$631),--($D1316:$V1316=1)),0)+SUM(U713)+IF(COUNTIF(U$1237:U1316,1)=1,5,0)+IF(COUNTIF(V714:$W714,"&gt;"&amp;0)&lt;5,IF(AND(COUNTIF(U$1237:U1316,1)&gt;7,MOD(1+IFERROR(MATCH($C714,总览!$D$46:$D$345,1)+1,1),7)=0),$C$3,0),0)</f>
        <v>54.0126754519727</v>
      </c>
      <c r="V714" s="131" cm="1">
        <f ca="1" t="array" ref="V714">IF(V1316=1,OFFSET($W$634,$B714,V$631-1)/SUMPRODUCT(--($D$631:$V$631=V$631),--($D1316:$V1316=1)),0)+SUM(V713)+IF(COUNTIF(V$1237:V1316,1)=1,5,0)+IF(COUNTIF(W714:$W714,"&gt;"&amp;0)&lt;5,IF(AND(COUNTIF(V$1237:V1316,1)&gt;7,MOD(1+IFERROR(MATCH($C714,总览!$D$46:$D$345,1)+1,1),7)=0),$C$3,0),0)</f>
        <v>73.8396751644061</v>
      </c>
      <c r="W714" s="135" cm="1">
        <f ca="1" t="array" ref="W714">SUMPRODUCT(TRANSPOSE($AA714:$AG714),OFFSET($L$9:$L$15,0,W$631-1))</f>
        <v>21.6942067191022</v>
      </c>
      <c r="X714" s="135" cm="1">
        <f ca="1" t="array" ref="X714">SUMPRODUCT(TRANSPOSE($AA714:$AG714),OFFSET($L$9:$L$15,0,X$631-1))</f>
        <v>18</v>
      </c>
      <c r="Y714" s="135" cm="1">
        <f ca="1" t="array" ref="Y714">SUMPRODUCT(TRANSPOSE($AA714:$AG714),OFFSET($L$9:$L$15,0,Y$631-1))</f>
        <v>8</v>
      </c>
      <c r="Z714" s="135" cm="1">
        <f ca="1" t="array" ref="Z714">SUMPRODUCT(TRANSPOSE($AA714:$AG714),OFFSET($L$9:$L$15,0,Z$631-1))</f>
        <v>2.30579328089777</v>
      </c>
      <c r="AA714" s="136">
        <f ca="1" t="shared" ref="AA714:AG714" si="401">AH714-AH713</f>
        <v>0</v>
      </c>
      <c r="AB714" s="136">
        <f ca="1" t="shared" si="401"/>
        <v>0</v>
      </c>
      <c r="AC714" s="136">
        <f ca="1" t="shared" si="401"/>
        <v>0</v>
      </c>
      <c r="AD714" s="136">
        <f ca="1" t="shared" si="401"/>
        <v>0</v>
      </c>
      <c r="AE714" s="136">
        <f ca="1" t="shared" si="401"/>
        <v>100</v>
      </c>
      <c r="AF714" s="136">
        <f ca="1" t="shared" si="401"/>
        <v>0</v>
      </c>
      <c r="AG714" s="136">
        <f ca="1" t="shared" si="401"/>
        <v>0</v>
      </c>
      <c r="AH714" s="136">
        <f ca="1" t="shared" si="371"/>
        <v>450</v>
      </c>
      <c r="AI714" s="136">
        <f ca="1" t="shared" ref="AI714:AN714" si="402">IF($C714&gt;OFFSET($Q$8,MATCH(AI$634,$AH$634:$AN$634,0),0),OFFSET($P$8,MATCH(AI$634,$AH$634:$AN$634,0),0),MAX(0,$C714-OFFSET($Q$8,RIGHT(AI$634,1)-1,0)))</f>
        <v>909</v>
      </c>
      <c r="AJ714" s="136">
        <f ca="1" t="shared" si="402"/>
        <v>1818</v>
      </c>
      <c r="AK714" s="136">
        <f ca="1" t="shared" si="402"/>
        <v>2727</v>
      </c>
      <c r="AL714" s="136">
        <f ca="1" t="shared" si="402"/>
        <v>2096</v>
      </c>
      <c r="AM714" s="136">
        <f ca="1" t="shared" si="402"/>
        <v>0</v>
      </c>
      <c r="AN714" s="136">
        <f ca="1" t="shared" si="402"/>
        <v>0</v>
      </c>
      <c r="AP714" s="132">
        <v>80</v>
      </c>
      <c r="AQ714" s="132">
        <v>102350</v>
      </c>
      <c r="AR714" s="132">
        <v>102350</v>
      </c>
      <c r="AS714" s="132">
        <v>58250</v>
      </c>
      <c r="AT714" s="132">
        <v>29900</v>
      </c>
    </row>
    <row r="715" s="106" customFormat="1" ht="16.5" spans="2:46">
      <c r="B715" s="117">
        <v>81</v>
      </c>
      <c r="C715" s="130">
        <f t="shared" si="369"/>
        <v>8100</v>
      </c>
      <c r="D715" s="131" cm="1">
        <f ca="1" t="array" ref="D715">IF(D1317=1,OFFSET($W$634,$B715,D$631-1)/SUMPRODUCT(--($D$631:$V$631=D$631),--($D1317:$V1317=1)),0)+SUM(D714)+IF(COUNTIF(D$1237:D1317,1)=1,5,0)+IF(COUNTIF(E715:$W715,"&gt;"&amp;0)&lt;5,IF(AND(COUNTIF(D$1237:D1317,1)&gt;7,MOD(1+IFERROR(MATCH($C715,总览!$D$46:$D$345,1)+1,1),7)=0),$C$3,0),0)</f>
        <v>759.408322335351</v>
      </c>
      <c r="E715" s="131" cm="1">
        <f ca="1" t="array" ref="E715">IF(E1317=1,OFFSET($W$634,$B715,E$631-1)/SUMPRODUCT(--($D$631:$V$631=E$631),--($D1317:$V1317=1)),0)+SUM(E714)+IF(COUNTIF(E$1237:E1317,1)=1,5,0)+IF(COUNTIF(F715:$W715,"&gt;"&amp;0)&lt;5,IF(AND(COUNTIF(E$1237:E1317,1)&gt;7,MOD(1+IFERROR(MATCH($C715,总览!$D$46:$D$345,1)+1,1),7)=0),$C$3,0),0)</f>
        <v>759.408322335351</v>
      </c>
      <c r="F715" s="131" cm="1">
        <f ca="1" t="array" ref="F715">IF(F1317=1,OFFSET($W$634,$B715,F$631-1)/SUMPRODUCT(--($D$631:$V$631=F$631),--($D1317:$V1317=1)),0)+SUM(F714)+IF(COUNTIF(F$1237:F1317,1)=1,5,0)+IF(COUNTIF(G715:$W715,"&gt;"&amp;0)&lt;5,IF(AND(COUNTIF(F$1237:F1317,1)&gt;7,MOD(1+IFERROR(MATCH($C715,总览!$D$46:$D$345,1)+1,1),7)=0),$C$3,0),0)</f>
        <v>759.408322335351</v>
      </c>
      <c r="G715" s="131" cm="1">
        <f ca="1" t="array" ref="G715">IF(G1317=1,OFFSET($W$634,$B715,G$631-1)/SUMPRODUCT(--($D$631:$V$631=G$631),--($D1317:$V1317=1)),0)+SUM(G714)+IF(COUNTIF(G$1237:G1317,1)=1,5,0)+IF(COUNTIF(H715:$W715,"&gt;"&amp;0)&lt;5,IF(AND(COUNTIF(G$1237:G1317,1)&gt;7,MOD(1+IFERROR(MATCH($C715,总览!$D$46:$D$345,1)+1,1),7)=0),$C$3,0),0)</f>
        <v>214.2</v>
      </c>
      <c r="H715" s="131" cm="1">
        <f ca="1" t="array" ref="H715">IF(H1317=1,OFFSET($W$634,$B715,H$631-1)/SUMPRODUCT(--($D$631:$V$631=H$631),--($D1317:$V1317=1)),0)+SUM(H714)+IF(COUNTIF(H$1237:H1317,1)=1,5,0)+IF(COUNTIF(I715:$W715,"&gt;"&amp;0)&lt;5,IF(AND(COUNTIF(H$1237:H1317,1)&gt;7,MOD(1+IFERROR(MATCH($C715,总览!$D$46:$D$345,1)+1,1),7)=0),$C$3,0),0)</f>
        <v>214.2</v>
      </c>
      <c r="I715" s="131" cm="1">
        <f ca="1" t="array" ref="I715">IF(I1317=1,OFFSET($W$634,$B715,I$631-1)/SUMPRODUCT(--($D$631:$V$631=I$631),--($D1317:$V1317=1)),0)+SUM(I714)+IF(COUNTIF(I$1237:I1317,1)=1,5,0)+IF(COUNTIF(J715:$W715,"&gt;"&amp;0)&lt;5,IF(AND(COUNTIF(I$1237:I1317,1)&gt;7,MOD(1+IFERROR(MATCH($C715,总览!$D$46:$D$345,1)+1,1),7)=0),$C$3,0),0)</f>
        <v>214.2</v>
      </c>
      <c r="J715" s="131" cm="1">
        <f ca="1" t="array" ref="J715">IF(J1317=1,OFFSET($W$634,$B715,J$631-1)/SUMPRODUCT(--($D$631:$V$631=J$631),--($D1317:$V1317=1)),0)+SUM(J714)+IF(COUNTIF(J$1237:J1317,1)=1,5,0)+IF(COUNTIF(K715:$W715,"&gt;"&amp;0)&lt;5,IF(AND(COUNTIF(J$1237:J1317,1)&gt;7,MOD(1+IFERROR(MATCH($C715,总览!$D$46:$D$345,1)+1,1),7)=0),$C$3,0),0)</f>
        <v>210.866666666667</v>
      </c>
      <c r="K715" s="131" cm="1">
        <f ca="1" t="array" ref="K715">IF(K1317=1,OFFSET($W$634,$B715,K$631-1)/SUMPRODUCT(--($D$631:$V$631=K$631),--($D1317:$V1317=1)),0)+SUM(K714)+IF(COUNTIF(K$1237:K1317,1)=1,5,0)+IF(COUNTIF(L715:$W715,"&gt;"&amp;0)&lt;5,IF(AND(COUNTIF(K$1237:K1317,1)&gt;7,MOD(1+IFERROR(MATCH($C715,总览!$D$46:$D$345,1)+1,1),7)=0),$C$3,0),0)</f>
        <v>208.366666666667</v>
      </c>
      <c r="L715" s="131" cm="1">
        <f ca="1" t="array" ref="L715">IF(L1317=1,OFFSET($W$634,$B715,L$631-1)/SUMPRODUCT(--($D$631:$V$631=L$631),--($D1317:$V1317=1)),0)+SUM(L714)+IF(COUNTIF(L$1237:L1317,1)=1,5,0)+IF(COUNTIF(M715:$W715,"&gt;"&amp;0)&lt;5,IF(AND(COUNTIF(L$1237:L1317,1)&gt;7,MOD(1+IFERROR(MATCH($C715,总览!$D$46:$D$345,1)+1,1),7)=0),$C$3,0),0)</f>
        <v>208.366666666667</v>
      </c>
      <c r="M715" s="131" cm="1">
        <f ca="1" t="array" ref="M715">IF(M1317=1,OFFSET($W$634,$B715,M$631-1)/SUMPRODUCT(--($D$631:$V$631=M$631),--($D1317:$V1317=1)),0)+SUM(M714)+IF(COUNTIF(M$1237:M1317,1)=1,5,0)+IF(COUNTIF(N715:$W715,"&gt;"&amp;0)&lt;5,IF(AND(COUNTIF(M$1237:M1317,1)&gt;7,MOD(1+IFERROR(MATCH($C715,总览!$D$46:$D$345,1)+1,1),7)=0),$C$3,0),0)</f>
        <v>77.5812499999999</v>
      </c>
      <c r="N715" s="131" cm="1">
        <f ca="1" t="array" ref="N715">IF(N1317=1,OFFSET($W$634,$B715,N$631-1)/SUMPRODUCT(--($D$631:$V$631=N$631),--($D1317:$V1317=1)),0)+SUM(N714)+IF(COUNTIF(N$1237:N1317,1)=1,5,0)+IF(COUNTIF(O715:$W715,"&gt;"&amp;0)&lt;5,IF(AND(COUNTIF(N$1237:N1317,1)&gt;7,MOD(1+IFERROR(MATCH($C715,总览!$D$46:$D$345,1)+1,1),7)=0),$C$3,0),0)</f>
        <v>78.8312499999999</v>
      </c>
      <c r="O715" s="131" cm="1">
        <f ca="1" t="array" ref="O715">IF(O1317=1,OFFSET($W$634,$B715,O$631-1)/SUMPRODUCT(--($D$631:$V$631=O$631),--($D1317:$V1317=1)),0)+SUM(O714)+IF(COUNTIF(O$1237:O1317,1)=1,5,0)+IF(COUNTIF(P715:$W715,"&gt;"&amp;0)&lt;5,IF(AND(COUNTIF(O$1237:O1317,1)&gt;7,MOD(1+IFERROR(MATCH($C715,总览!$D$46:$D$345,1)+1,1),7)=0),$C$3,0),0)</f>
        <v>83.8312499999999</v>
      </c>
      <c r="P715" s="131" cm="1">
        <f ca="1" t="array" ref="P715">IF(P1317=1,OFFSET($W$634,$B715,P$631-1)/SUMPRODUCT(--($D$631:$V$631=P$631),--($D1317:$V1317=1)),0)+SUM(P714)+IF(COUNTIF(P$1237:P1317,1)=1,5,0)+IF(COUNTIF(Q715:$W715,"&gt;"&amp;0)&lt;5,IF(AND(COUNTIF(P$1237:P1317,1)&gt;7,MOD(1+IFERROR(MATCH($C715,总览!$D$46:$D$345,1)+1,1),7)=0),$C$3,0),0)</f>
        <v>72.95</v>
      </c>
      <c r="Q715" s="131" cm="1">
        <f ca="1" t="array" ref="Q715">IF(Q1317=1,OFFSET($W$634,$B715,Q$631-1)/SUMPRODUCT(--($D$631:$V$631=Q$631),--($D1317:$V1317=1)),0)+SUM(Q714)+IF(COUNTIF(Q$1237:Q1317,1)=1,5,0)+IF(COUNTIF(R715:$W715,"&gt;"&amp;0)&lt;5,IF(AND(COUNTIF(Q$1237:Q1317,1)&gt;7,MOD(1+IFERROR(MATCH($C715,总览!$D$46:$D$345,1)+1,1),7)=0),$C$3,0),0)</f>
        <v>86.3312499999998</v>
      </c>
      <c r="R715" s="131" cm="1">
        <f ca="1" t="array" ref="R715">IF(R1317=1,OFFSET($W$634,$B715,R$631-1)/SUMPRODUCT(--($D$631:$V$631=R$631),--($D1317:$V1317=1)),0)+SUM(R714)+IF(COUNTIF(R$1237:R1317,1)=1,5,0)+IF(COUNTIF(S715:$W715,"&gt;"&amp;0)&lt;5,IF(AND(COUNTIF(R$1237:R1317,1)&gt;7,MOD(1+IFERROR(MATCH($C715,总览!$D$46:$D$345,1)+1,1),7)=0),$C$3,0),0)</f>
        <v>77.9499999999999</v>
      </c>
      <c r="S715" s="131" cm="1">
        <f ca="1" t="array" ref="S715">IF(S1317=1,OFFSET($W$634,$B715,S$631-1)/SUMPRODUCT(--($D$631:$V$631=S$631),--($D1317:$V1317=1)),0)+SUM(S714)+IF(COUNTIF(S$1237:S1317,1)=1,5,0)+IF(COUNTIF(T715:$W715,"&gt;"&amp;0)&lt;5,IF(AND(COUNTIF(S$1237:S1317,1)&gt;7,MOD(1+IFERROR(MATCH($C715,总览!$D$46:$D$345,1)+1,1),7)=0),$C$3,0),0)</f>
        <v>95.4499999999999</v>
      </c>
      <c r="T715" s="131" cm="1">
        <f ca="1" t="array" ref="T715">IF(T1317=1,OFFSET($W$634,$B715,T$631-1)/SUMPRODUCT(--($D$631:$V$631=T$631),--($D1317:$V1317=1)),0)+SUM(T714)+IF(COUNTIF(T$1237:T1317,1)=1,5,0)+IF(COUNTIF(U715:$W715,"&gt;"&amp;0)&lt;5,IF(AND(COUNTIF(T$1237:T1317,1)&gt;7,MOD(1+IFERROR(MATCH($C715,总览!$D$46:$D$345,1)+1,1),7)=0),$C$3,0),0)</f>
        <v>49.2604868569724</v>
      </c>
      <c r="U715" s="131" cm="1">
        <f ca="1" t="array" ref="U715">IF(U1317=1,OFFSET($W$634,$B715,U$631-1)/SUMPRODUCT(--($D$631:$V$631=U$631),--($D1317:$V1317=1)),0)+SUM(U714)+IF(COUNTIF(U$1237:U1317,1)=1,5,0)+IF(COUNTIF(V715:$W715,"&gt;"&amp;0)&lt;5,IF(AND(COUNTIF(U$1237:U1317,1)&gt;7,MOD(1+IFERROR(MATCH($C715,总览!$D$46:$D$345,1)+1,1),7)=0),$C$3,0),0)</f>
        <v>54.781273212272</v>
      </c>
      <c r="V715" s="131" cm="1">
        <f ca="1" t="array" ref="V715">IF(V1317=1,OFFSET($W$634,$B715,V$631-1)/SUMPRODUCT(--($D$631:$V$631=V$631),--($D1317:$V1317=1)),0)+SUM(V714)+IF(COUNTIF(V$1237:V1317,1)=1,5,0)+IF(COUNTIF(W715:$W715,"&gt;"&amp;0)&lt;5,IF(AND(COUNTIF(V$1237:V1317,1)&gt;7,MOD(1+IFERROR(MATCH($C715,总览!$D$46:$D$345,1)+1,1),7)=0),$C$3,0),0)</f>
        <v>74.6082729247054</v>
      </c>
      <c r="W715" s="135" cm="1">
        <f ca="1" t="array" ref="W715">SUMPRODUCT(TRANSPOSE($AA715:$AG715),OFFSET($L$9:$L$15,0,W$631-1))</f>
        <v>21.6942067191022</v>
      </c>
      <c r="X715" s="135" cm="1">
        <f ca="1" t="array" ref="X715">SUMPRODUCT(TRANSPOSE($AA715:$AG715),OFFSET($L$9:$L$15,0,X$631-1))</f>
        <v>18</v>
      </c>
      <c r="Y715" s="135" cm="1">
        <f ca="1" t="array" ref="Y715">SUMPRODUCT(TRANSPOSE($AA715:$AG715),OFFSET($L$9:$L$15,0,Y$631-1))</f>
        <v>8</v>
      </c>
      <c r="Z715" s="135" cm="1">
        <f ca="1" t="array" ref="Z715">SUMPRODUCT(TRANSPOSE($AA715:$AG715),OFFSET($L$9:$L$15,0,Z$631-1))</f>
        <v>2.30579328089777</v>
      </c>
      <c r="AA715" s="136">
        <f ca="1" t="shared" ref="AA715:AG715" si="403">AH715-AH714</f>
        <v>0</v>
      </c>
      <c r="AB715" s="136">
        <f ca="1" t="shared" si="403"/>
        <v>0</v>
      </c>
      <c r="AC715" s="136">
        <f ca="1" t="shared" si="403"/>
        <v>0</v>
      </c>
      <c r="AD715" s="136">
        <f ca="1" t="shared" si="403"/>
        <v>0</v>
      </c>
      <c r="AE715" s="136">
        <f ca="1" t="shared" si="403"/>
        <v>100</v>
      </c>
      <c r="AF715" s="136">
        <f ca="1" t="shared" si="403"/>
        <v>0</v>
      </c>
      <c r="AG715" s="136">
        <f ca="1" t="shared" si="403"/>
        <v>0</v>
      </c>
      <c r="AH715" s="136">
        <f ca="1" t="shared" si="371"/>
        <v>450</v>
      </c>
      <c r="AI715" s="136">
        <f ca="1" t="shared" ref="AI715:AN715" si="404">IF($C715&gt;OFFSET($Q$8,MATCH(AI$634,$AH$634:$AN$634,0),0),OFFSET($P$8,MATCH(AI$634,$AH$634:$AN$634,0),0),MAX(0,$C715-OFFSET($Q$8,RIGHT(AI$634,1)-1,0)))</f>
        <v>909</v>
      </c>
      <c r="AJ715" s="136">
        <f ca="1" t="shared" si="404"/>
        <v>1818</v>
      </c>
      <c r="AK715" s="136">
        <f ca="1" t="shared" si="404"/>
        <v>2727</v>
      </c>
      <c r="AL715" s="136">
        <f ca="1" t="shared" si="404"/>
        <v>2196</v>
      </c>
      <c r="AM715" s="136">
        <f ca="1" t="shared" si="404"/>
        <v>0</v>
      </c>
      <c r="AN715" s="136">
        <f ca="1" t="shared" si="404"/>
        <v>0</v>
      </c>
      <c r="AP715" s="132">
        <v>81</v>
      </c>
      <c r="AQ715" s="132">
        <v>106310</v>
      </c>
      <c r="AR715" s="132">
        <v>106310</v>
      </c>
      <c r="AS715" s="132">
        <v>60650</v>
      </c>
      <c r="AT715" s="132">
        <v>31100</v>
      </c>
    </row>
    <row r="716" s="106" customFormat="1" ht="16.5" spans="2:46">
      <c r="B716" s="117">
        <v>82</v>
      </c>
      <c r="C716" s="130">
        <f t="shared" si="369"/>
        <v>8200</v>
      </c>
      <c r="D716" s="131" cm="1">
        <f ca="1" t="array" ref="D716">IF(D1318=1,OFFSET($W$634,$B716,D$631-1)/SUMPRODUCT(--($D$631:$V$631=D$631),--($D1318:$V1318=1)),0)+SUM(D715)+IF(COUNTIF(D$1237:D1318,1)=1,5,0)+IF(COUNTIF(E716:$W716,"&gt;"&amp;0)&lt;5,IF(AND(COUNTIF(D$1237:D1318,1)&gt;7,MOD(1+IFERROR(MATCH($C716,总览!$D$46:$D$345,1)+1,1),7)=0),$C$3,0),0)</f>
        <v>766.639724575051</v>
      </c>
      <c r="E716" s="131" cm="1">
        <f ca="1" t="array" ref="E716">IF(E1318=1,OFFSET($W$634,$B716,E$631-1)/SUMPRODUCT(--($D$631:$V$631=E$631),--($D1318:$V1318=1)),0)+SUM(E715)+IF(COUNTIF(E$1237:E1318,1)=1,5,0)+IF(COUNTIF(F716:$W716,"&gt;"&amp;0)&lt;5,IF(AND(COUNTIF(E$1237:E1318,1)&gt;7,MOD(1+IFERROR(MATCH($C716,总览!$D$46:$D$345,1)+1,1),7)=0),$C$3,0),0)</f>
        <v>766.639724575051</v>
      </c>
      <c r="F716" s="131" cm="1">
        <f ca="1" t="array" ref="F716">IF(F1318=1,OFFSET($W$634,$B716,F$631-1)/SUMPRODUCT(--($D$631:$V$631=F$631),--($D1318:$V1318=1)),0)+SUM(F715)+IF(COUNTIF(F$1237:F1318,1)=1,5,0)+IF(COUNTIF(G716:$W716,"&gt;"&amp;0)&lt;5,IF(AND(COUNTIF(F$1237:F1318,1)&gt;7,MOD(1+IFERROR(MATCH($C716,总览!$D$46:$D$345,1)+1,1),7)=0),$C$3,0),0)</f>
        <v>766.639724575051</v>
      </c>
      <c r="G716" s="131" cm="1">
        <f ca="1" t="array" ref="G716">IF(G1318=1,OFFSET($W$634,$B716,G$631-1)/SUMPRODUCT(--($D$631:$V$631=G$631),--($D1318:$V1318=1)),0)+SUM(G715)+IF(COUNTIF(G$1237:G1318,1)=1,5,0)+IF(COUNTIF(H716:$W716,"&gt;"&amp;0)&lt;5,IF(AND(COUNTIF(G$1237:G1318,1)&gt;7,MOD(1+IFERROR(MATCH($C716,总览!$D$46:$D$345,1)+1,1),7)=0),$C$3,0),0)</f>
        <v>217.2</v>
      </c>
      <c r="H716" s="131" cm="1">
        <f ca="1" t="array" ref="H716">IF(H1318=1,OFFSET($W$634,$B716,H$631-1)/SUMPRODUCT(--($D$631:$V$631=H$631),--($D1318:$V1318=1)),0)+SUM(H715)+IF(COUNTIF(H$1237:H1318,1)=1,5,0)+IF(COUNTIF(I716:$W716,"&gt;"&amp;0)&lt;5,IF(AND(COUNTIF(H$1237:H1318,1)&gt;7,MOD(1+IFERROR(MATCH($C716,总览!$D$46:$D$345,1)+1,1),7)=0),$C$3,0),0)</f>
        <v>217.2</v>
      </c>
      <c r="I716" s="131" cm="1">
        <f ca="1" t="array" ref="I716">IF(I1318=1,OFFSET($W$634,$B716,I$631-1)/SUMPRODUCT(--($D$631:$V$631=I$631),--($D1318:$V1318=1)),0)+SUM(I715)+IF(COUNTIF(I$1237:I1318,1)=1,5,0)+IF(COUNTIF(J716:$W716,"&gt;"&amp;0)&lt;5,IF(AND(COUNTIF(I$1237:I1318,1)&gt;7,MOD(1+IFERROR(MATCH($C716,总览!$D$46:$D$345,1)+1,1),7)=0),$C$3,0),0)</f>
        <v>217.2</v>
      </c>
      <c r="J716" s="131" cm="1">
        <f ca="1" t="array" ref="J716">IF(J1318=1,OFFSET($W$634,$B716,J$631-1)/SUMPRODUCT(--($D$631:$V$631=J$631),--($D1318:$V1318=1)),0)+SUM(J715)+IF(COUNTIF(J$1237:J1318,1)=1,5,0)+IF(COUNTIF(K716:$W716,"&gt;"&amp;0)&lt;5,IF(AND(COUNTIF(J$1237:J1318,1)&gt;7,MOD(1+IFERROR(MATCH($C716,总览!$D$46:$D$345,1)+1,1),7)=0),$C$3,0),0)</f>
        <v>213.866666666667</v>
      </c>
      <c r="K716" s="131" cm="1">
        <f ca="1" t="array" ref="K716">IF(K1318=1,OFFSET($W$634,$B716,K$631-1)/SUMPRODUCT(--($D$631:$V$631=K$631),--($D1318:$V1318=1)),0)+SUM(K715)+IF(COUNTIF(K$1237:K1318,1)=1,5,0)+IF(COUNTIF(L716:$W716,"&gt;"&amp;0)&lt;5,IF(AND(COUNTIF(K$1237:K1318,1)&gt;7,MOD(1+IFERROR(MATCH($C716,总览!$D$46:$D$345,1)+1,1),7)=0),$C$3,0),0)</f>
        <v>211.366666666667</v>
      </c>
      <c r="L716" s="131" cm="1">
        <f ca="1" t="array" ref="L716">IF(L1318=1,OFFSET($W$634,$B716,L$631-1)/SUMPRODUCT(--($D$631:$V$631=L$631),--($D1318:$V1318=1)),0)+SUM(L715)+IF(COUNTIF(L$1237:L1318,1)=1,5,0)+IF(COUNTIF(M716:$W716,"&gt;"&amp;0)&lt;5,IF(AND(COUNTIF(L$1237:L1318,1)&gt;7,MOD(1+IFERROR(MATCH($C716,总览!$D$46:$D$345,1)+1,1),7)=0),$C$3,0),0)</f>
        <v>211.366666666667</v>
      </c>
      <c r="M716" s="131" cm="1">
        <f ca="1" t="array" ref="M716">IF(M1318=1,OFFSET($W$634,$B716,M$631-1)/SUMPRODUCT(--($D$631:$V$631=M$631),--($D1318:$V1318=1)),0)+SUM(M715)+IF(COUNTIF(M$1237:M1318,1)=1,5,0)+IF(COUNTIF(N716:$W716,"&gt;"&amp;0)&lt;5,IF(AND(COUNTIF(M$1237:M1318,1)&gt;7,MOD(1+IFERROR(MATCH($C716,总览!$D$46:$D$345,1)+1,1),7)=0),$C$3,0),0)</f>
        <v>78.7241071428571</v>
      </c>
      <c r="N716" s="131" cm="1">
        <f ca="1" t="array" ref="N716">IF(N1318=1,OFFSET($W$634,$B716,N$631-1)/SUMPRODUCT(--($D$631:$V$631=N$631),--($D1318:$V1318=1)),0)+SUM(N715)+IF(COUNTIF(N$1237:N1318,1)=1,5,0)+IF(COUNTIF(O716:$W716,"&gt;"&amp;0)&lt;5,IF(AND(COUNTIF(N$1237:N1318,1)&gt;7,MOD(1+IFERROR(MATCH($C716,总览!$D$46:$D$345,1)+1,1),7)=0),$C$3,0),0)</f>
        <v>79.9741071428571</v>
      </c>
      <c r="O716" s="131" cm="1">
        <f ca="1" t="array" ref="O716">IF(O1318=1,OFFSET($W$634,$B716,O$631-1)/SUMPRODUCT(--($D$631:$V$631=O$631),--($D1318:$V1318=1)),0)+SUM(O715)+IF(COUNTIF(O$1237:O1318,1)=1,5,0)+IF(COUNTIF(P716:$W716,"&gt;"&amp;0)&lt;5,IF(AND(COUNTIF(O$1237:O1318,1)&gt;7,MOD(1+IFERROR(MATCH($C716,总览!$D$46:$D$345,1)+1,1),7)=0),$C$3,0),0)</f>
        <v>84.974107142857</v>
      </c>
      <c r="P716" s="131" cm="1">
        <f ca="1" t="array" ref="P716">IF(P1318=1,OFFSET($W$634,$B716,P$631-1)/SUMPRODUCT(--($D$631:$V$631=P$631),--($D1318:$V1318=1)),0)+SUM(P715)+IF(COUNTIF(P$1237:P1318,1)=1,5,0)+IF(COUNTIF(Q716:$W716,"&gt;"&amp;0)&lt;5,IF(AND(COUNTIF(P$1237:P1318,1)&gt;7,MOD(1+IFERROR(MATCH($C716,总览!$D$46:$D$345,1)+1,1),7)=0),$C$3,0),0)</f>
        <v>74.0928571428571</v>
      </c>
      <c r="Q716" s="131" cm="1">
        <f ca="1" t="array" ref="Q716">IF(Q1318=1,OFFSET($W$634,$B716,Q$631-1)/SUMPRODUCT(--($D$631:$V$631=Q$631),--($D1318:$V1318=1)),0)+SUM(Q715)+IF(COUNTIF(Q$1237:Q1318,1)=1,5,0)+IF(COUNTIF(R716:$W716,"&gt;"&amp;0)&lt;5,IF(AND(COUNTIF(Q$1237:Q1318,1)&gt;7,MOD(1+IFERROR(MATCH($C716,总览!$D$46:$D$345,1)+1,1),7)=0),$C$3,0),0)</f>
        <v>87.474107142857</v>
      </c>
      <c r="R716" s="131" cm="1">
        <f ca="1" t="array" ref="R716">IF(R1318=1,OFFSET($W$634,$B716,R$631-1)/SUMPRODUCT(--($D$631:$V$631=R$631),--($D1318:$V1318=1)),0)+SUM(R715)+IF(COUNTIF(R$1237:R1318,1)=1,5,0)+IF(COUNTIF(S716:$W716,"&gt;"&amp;0)&lt;5,IF(AND(COUNTIF(R$1237:R1318,1)&gt;7,MOD(1+IFERROR(MATCH($C716,总览!$D$46:$D$345,1)+1,1),7)=0),$C$3,0),0)</f>
        <v>79.0928571428571</v>
      </c>
      <c r="S716" s="131" cm="1">
        <f ca="1" t="array" ref="S716">IF(S1318=1,OFFSET($W$634,$B716,S$631-1)/SUMPRODUCT(--($D$631:$V$631=S$631),--($D1318:$V1318=1)),0)+SUM(S715)+IF(COUNTIF(S$1237:S1318,1)=1,5,0)+IF(COUNTIF(T716:$W716,"&gt;"&amp;0)&lt;5,IF(AND(COUNTIF(S$1237:S1318,1)&gt;7,MOD(1+IFERROR(MATCH($C716,总览!$D$46:$D$345,1)+1,1),7)=0),$C$3,0),0)</f>
        <v>96.592857142857</v>
      </c>
      <c r="T716" s="131" cm="1">
        <f ca="1" t="array" ref="T716">IF(T1318=1,OFFSET($W$634,$B716,T$631-1)/SUMPRODUCT(--($D$631:$V$631=T$631),--($D1318:$V1318=1)),0)+SUM(T715)+IF(COUNTIF(T$1237:T1318,1)=1,5,0)+IF(COUNTIF(U716:$W716,"&gt;"&amp;0)&lt;5,IF(AND(COUNTIF(T$1237:T1318,1)&gt;7,MOD(1+IFERROR(MATCH($C716,总览!$D$46:$D$345,1)+1,1),7)=0),$C$3,0),0)</f>
        <v>50.0290846172716</v>
      </c>
      <c r="U716" s="131" cm="1">
        <f ca="1" t="array" ref="U716">IF(U1318=1,OFFSET($W$634,$B716,U$631-1)/SUMPRODUCT(--($D$631:$V$631=U$631),--($D1318:$V1318=1)),0)+SUM(U715)+IF(COUNTIF(U$1237:U1318,1)=1,5,0)+IF(COUNTIF(V716:$W716,"&gt;"&amp;0)&lt;5,IF(AND(COUNTIF(U$1237:U1318,1)&gt;7,MOD(1+IFERROR(MATCH($C716,总览!$D$46:$D$345,1)+1,1),7)=0),$C$3,0),0)</f>
        <v>55.5498709725712</v>
      </c>
      <c r="V716" s="131" cm="1">
        <f ca="1" t="array" ref="V716">IF(V1318=1,OFFSET($W$634,$B716,V$631-1)/SUMPRODUCT(--($D$631:$V$631=V$631),--($D1318:$V1318=1)),0)+SUM(V715)+IF(COUNTIF(V$1237:V1318,1)=1,5,0)+IF(COUNTIF(W716:$W716,"&gt;"&amp;0)&lt;5,IF(AND(COUNTIF(V$1237:V1318,1)&gt;7,MOD(1+IFERROR(MATCH($C716,总览!$D$46:$D$345,1)+1,1),7)=0),$C$3,0),0)</f>
        <v>75.3768706850046</v>
      </c>
      <c r="W716" s="135" cm="1">
        <f ca="1" t="array" ref="W716">SUMPRODUCT(TRANSPOSE($AA716:$AG716),OFFSET($L$9:$L$15,0,W$631-1))</f>
        <v>21.6942067191022</v>
      </c>
      <c r="X716" s="135" cm="1">
        <f ca="1" t="array" ref="X716">SUMPRODUCT(TRANSPOSE($AA716:$AG716),OFFSET($L$9:$L$15,0,X$631-1))</f>
        <v>18</v>
      </c>
      <c r="Y716" s="135" cm="1">
        <f ca="1" t="array" ref="Y716">SUMPRODUCT(TRANSPOSE($AA716:$AG716),OFFSET($L$9:$L$15,0,Y$631-1))</f>
        <v>8</v>
      </c>
      <c r="Z716" s="135" cm="1">
        <f ca="1" t="array" ref="Z716">SUMPRODUCT(TRANSPOSE($AA716:$AG716),OFFSET($L$9:$L$15,0,Z$631-1))</f>
        <v>2.30579328089777</v>
      </c>
      <c r="AA716" s="136">
        <f ca="1" t="shared" ref="AA716:AG716" si="405">AH716-AH715</f>
        <v>0</v>
      </c>
      <c r="AB716" s="136">
        <f ca="1" t="shared" si="405"/>
        <v>0</v>
      </c>
      <c r="AC716" s="136">
        <f ca="1" t="shared" si="405"/>
        <v>0</v>
      </c>
      <c r="AD716" s="136">
        <f ca="1" t="shared" si="405"/>
        <v>0</v>
      </c>
      <c r="AE716" s="136">
        <f ca="1" t="shared" si="405"/>
        <v>100</v>
      </c>
      <c r="AF716" s="136">
        <f ca="1" t="shared" si="405"/>
        <v>0</v>
      </c>
      <c r="AG716" s="136">
        <f ca="1" t="shared" si="405"/>
        <v>0</v>
      </c>
      <c r="AH716" s="136">
        <f ca="1" t="shared" si="371"/>
        <v>450</v>
      </c>
      <c r="AI716" s="136">
        <f ca="1" t="shared" ref="AI716:AN716" si="406">IF($C716&gt;OFFSET($Q$8,MATCH(AI$634,$AH$634:$AN$634,0),0),OFFSET($P$8,MATCH(AI$634,$AH$634:$AN$634,0),0),MAX(0,$C716-OFFSET($Q$8,RIGHT(AI$634,1)-1,0)))</f>
        <v>909</v>
      </c>
      <c r="AJ716" s="136">
        <f ca="1" t="shared" si="406"/>
        <v>1818</v>
      </c>
      <c r="AK716" s="136">
        <f ca="1" t="shared" si="406"/>
        <v>2727</v>
      </c>
      <c r="AL716" s="136">
        <f ca="1" t="shared" si="406"/>
        <v>2296</v>
      </c>
      <c r="AM716" s="136">
        <f ca="1" t="shared" si="406"/>
        <v>0</v>
      </c>
      <c r="AN716" s="136">
        <f ca="1" t="shared" si="406"/>
        <v>0</v>
      </c>
      <c r="AP716" s="132">
        <v>82</v>
      </c>
      <c r="AQ716" s="132">
        <v>110270</v>
      </c>
      <c r="AR716" s="132">
        <v>110270</v>
      </c>
      <c r="AS716" s="132">
        <v>63050</v>
      </c>
      <c r="AT716" s="132">
        <v>32300</v>
      </c>
    </row>
    <row r="717" s="106" customFormat="1" ht="16.5" spans="2:46">
      <c r="B717" s="117">
        <v>83</v>
      </c>
      <c r="C717" s="130">
        <f t="shared" si="369"/>
        <v>8300</v>
      </c>
      <c r="D717" s="131" cm="1">
        <f ca="1" t="array" ref="D717">IF(D1319=1,OFFSET($W$634,$B717,D$631-1)/SUMPRODUCT(--($D$631:$V$631=D$631),--($D1319:$V1319=1)),0)+SUM(D716)+IF(COUNTIF(D$1237:D1319,1)=1,5,0)+IF(COUNTIF(E717:$W717,"&gt;"&amp;0)&lt;5,IF(AND(COUNTIF(D$1237:D1319,1)&gt;7,MOD(1+IFERROR(MATCH($C717,总览!$D$46:$D$345,1)+1,1),7)=0),$C$3,0),0)</f>
        <v>773.871126814752</v>
      </c>
      <c r="E717" s="131" cm="1">
        <f ca="1" t="array" ref="E717">IF(E1319=1,OFFSET($W$634,$B717,E$631-1)/SUMPRODUCT(--($D$631:$V$631=E$631),--($D1319:$V1319=1)),0)+SUM(E716)+IF(COUNTIF(E$1237:E1319,1)=1,5,0)+IF(COUNTIF(F717:$W717,"&gt;"&amp;0)&lt;5,IF(AND(COUNTIF(E$1237:E1319,1)&gt;7,MOD(1+IFERROR(MATCH($C717,总览!$D$46:$D$345,1)+1,1),7)=0),$C$3,0),0)</f>
        <v>773.871126814752</v>
      </c>
      <c r="F717" s="131" cm="1">
        <f ca="1" t="array" ref="F717">IF(F1319=1,OFFSET($W$634,$B717,F$631-1)/SUMPRODUCT(--($D$631:$V$631=F$631),--($D1319:$V1319=1)),0)+SUM(F716)+IF(COUNTIF(F$1237:F1319,1)=1,5,0)+IF(COUNTIF(G717:$W717,"&gt;"&amp;0)&lt;5,IF(AND(COUNTIF(F$1237:F1319,1)&gt;7,MOD(1+IFERROR(MATCH($C717,总览!$D$46:$D$345,1)+1,1),7)=0),$C$3,0),0)</f>
        <v>773.871126814752</v>
      </c>
      <c r="G717" s="131" cm="1">
        <f ca="1" t="array" ref="G717">IF(G1319=1,OFFSET($W$634,$B717,G$631-1)/SUMPRODUCT(--($D$631:$V$631=G$631),--($D1319:$V1319=1)),0)+SUM(G716)+IF(COUNTIF(G$1237:G1319,1)=1,5,0)+IF(COUNTIF(H717:$W717,"&gt;"&amp;0)&lt;5,IF(AND(COUNTIF(G$1237:G1319,1)&gt;7,MOD(1+IFERROR(MATCH($C717,总览!$D$46:$D$345,1)+1,1),7)=0),$C$3,0),0)</f>
        <v>220.2</v>
      </c>
      <c r="H717" s="131" cm="1">
        <f ca="1" t="array" ref="H717">IF(H1319=1,OFFSET($W$634,$B717,H$631-1)/SUMPRODUCT(--($D$631:$V$631=H$631),--($D1319:$V1319=1)),0)+SUM(H716)+IF(COUNTIF(H$1237:H1319,1)=1,5,0)+IF(COUNTIF(I717:$W717,"&gt;"&amp;0)&lt;5,IF(AND(COUNTIF(H$1237:H1319,1)&gt;7,MOD(1+IFERROR(MATCH($C717,总览!$D$46:$D$345,1)+1,1),7)=0),$C$3,0),0)</f>
        <v>220.2</v>
      </c>
      <c r="I717" s="131" cm="1">
        <f ca="1" t="array" ref="I717">IF(I1319=1,OFFSET($W$634,$B717,I$631-1)/SUMPRODUCT(--($D$631:$V$631=I$631),--($D1319:$V1319=1)),0)+SUM(I716)+IF(COUNTIF(I$1237:I1319,1)=1,5,0)+IF(COUNTIF(J717:$W717,"&gt;"&amp;0)&lt;5,IF(AND(COUNTIF(I$1237:I1319,1)&gt;7,MOD(1+IFERROR(MATCH($C717,总览!$D$46:$D$345,1)+1,1),7)=0),$C$3,0),0)</f>
        <v>220.2</v>
      </c>
      <c r="J717" s="131" cm="1">
        <f ca="1" t="array" ref="J717">IF(J1319=1,OFFSET($W$634,$B717,J$631-1)/SUMPRODUCT(--($D$631:$V$631=J$631),--($D1319:$V1319=1)),0)+SUM(J716)+IF(COUNTIF(J$1237:J1319,1)=1,5,0)+IF(COUNTIF(K717:$W717,"&gt;"&amp;0)&lt;5,IF(AND(COUNTIF(J$1237:J1319,1)&gt;7,MOD(1+IFERROR(MATCH($C717,总览!$D$46:$D$345,1)+1,1),7)=0),$C$3,0),0)</f>
        <v>216.866666666667</v>
      </c>
      <c r="K717" s="131" cm="1">
        <f ca="1" t="array" ref="K717">IF(K1319=1,OFFSET($W$634,$B717,K$631-1)/SUMPRODUCT(--($D$631:$V$631=K$631),--($D1319:$V1319=1)),0)+SUM(K716)+IF(COUNTIF(K$1237:K1319,1)=1,5,0)+IF(COUNTIF(L717:$W717,"&gt;"&amp;0)&lt;5,IF(AND(COUNTIF(K$1237:K1319,1)&gt;7,MOD(1+IFERROR(MATCH($C717,总览!$D$46:$D$345,1)+1,1),7)=0),$C$3,0),0)</f>
        <v>214.366666666667</v>
      </c>
      <c r="L717" s="131" cm="1">
        <f ca="1" t="array" ref="L717">IF(L1319=1,OFFSET($W$634,$B717,L$631-1)/SUMPRODUCT(--($D$631:$V$631=L$631),--($D1319:$V1319=1)),0)+SUM(L716)+IF(COUNTIF(L$1237:L1319,1)=1,5,0)+IF(COUNTIF(M717:$W717,"&gt;"&amp;0)&lt;5,IF(AND(COUNTIF(L$1237:L1319,1)&gt;7,MOD(1+IFERROR(MATCH($C717,总览!$D$46:$D$345,1)+1,1),7)=0),$C$3,0),0)</f>
        <v>214.366666666667</v>
      </c>
      <c r="M717" s="131" cm="1">
        <f ca="1" t="array" ref="M717">IF(M1319=1,OFFSET($W$634,$B717,M$631-1)/SUMPRODUCT(--($D$631:$V$631=M$631),--($D1319:$V1319=1)),0)+SUM(M716)+IF(COUNTIF(M$1237:M1319,1)=1,5,0)+IF(COUNTIF(N717:$W717,"&gt;"&amp;0)&lt;5,IF(AND(COUNTIF(M$1237:M1319,1)&gt;7,MOD(1+IFERROR(MATCH($C717,总览!$D$46:$D$345,1)+1,1),7)=0),$C$3,0),0)</f>
        <v>79.8669642857142</v>
      </c>
      <c r="N717" s="131" cm="1">
        <f ca="1" t="array" ref="N717">IF(N1319=1,OFFSET($W$634,$B717,N$631-1)/SUMPRODUCT(--($D$631:$V$631=N$631),--($D1319:$V1319=1)),0)+SUM(N716)+IF(COUNTIF(N$1237:N1319,1)=1,5,0)+IF(COUNTIF(O717:$W717,"&gt;"&amp;0)&lt;5,IF(AND(COUNTIF(N$1237:N1319,1)&gt;7,MOD(1+IFERROR(MATCH($C717,总览!$D$46:$D$345,1)+1,1),7)=0),$C$3,0),0)</f>
        <v>81.1169642857142</v>
      </c>
      <c r="O717" s="131" cm="1">
        <f ca="1" t="array" ref="O717">IF(O1319=1,OFFSET($W$634,$B717,O$631-1)/SUMPRODUCT(--($D$631:$V$631=O$631),--($D1319:$V1319=1)),0)+SUM(O716)+IF(COUNTIF(O$1237:O1319,1)=1,5,0)+IF(COUNTIF(P717:$W717,"&gt;"&amp;0)&lt;5,IF(AND(COUNTIF(O$1237:O1319,1)&gt;7,MOD(1+IFERROR(MATCH($C717,总览!$D$46:$D$345,1)+1,1),7)=0),$C$3,0),0)</f>
        <v>86.1169642857141</v>
      </c>
      <c r="P717" s="131" cm="1">
        <f ca="1" t="array" ref="P717">IF(P1319=1,OFFSET($W$634,$B717,P$631-1)/SUMPRODUCT(--($D$631:$V$631=P$631),--($D1319:$V1319=1)),0)+SUM(P716)+IF(COUNTIF(P$1237:P1319,1)=1,5,0)+IF(COUNTIF(Q717:$W717,"&gt;"&amp;0)&lt;5,IF(AND(COUNTIF(P$1237:P1319,1)&gt;7,MOD(1+IFERROR(MATCH($C717,总览!$D$46:$D$345,1)+1,1),7)=0),$C$3,0),0)</f>
        <v>75.2357142857143</v>
      </c>
      <c r="Q717" s="131" cm="1">
        <f ca="1" t="array" ref="Q717">IF(Q1319=1,OFFSET($W$634,$B717,Q$631-1)/SUMPRODUCT(--($D$631:$V$631=Q$631),--($D1319:$V1319=1)),0)+SUM(Q716)+IF(COUNTIF(Q$1237:Q1319,1)=1,5,0)+IF(COUNTIF(R717:$W717,"&gt;"&amp;0)&lt;5,IF(AND(COUNTIF(Q$1237:Q1319,1)&gt;7,MOD(1+IFERROR(MATCH($C717,总览!$D$46:$D$345,1)+1,1),7)=0),$C$3,0),0)</f>
        <v>88.6169642857141</v>
      </c>
      <c r="R717" s="131" cm="1">
        <f ca="1" t="array" ref="R717">IF(R1319=1,OFFSET($W$634,$B717,R$631-1)/SUMPRODUCT(--($D$631:$V$631=R$631),--($D1319:$V1319=1)),0)+SUM(R716)+IF(COUNTIF(R$1237:R1319,1)=1,5,0)+IF(COUNTIF(S717:$W717,"&gt;"&amp;0)&lt;5,IF(AND(COUNTIF(R$1237:R1319,1)&gt;7,MOD(1+IFERROR(MATCH($C717,总览!$D$46:$D$345,1)+1,1),7)=0),$C$3,0),0)</f>
        <v>80.2357142857142</v>
      </c>
      <c r="S717" s="131" cm="1">
        <f ca="1" t="array" ref="S717">IF(S1319=1,OFFSET($W$634,$B717,S$631-1)/SUMPRODUCT(--($D$631:$V$631=S$631),--($D1319:$V1319=1)),0)+SUM(S716)+IF(COUNTIF(S$1237:S1319,1)=1,5,0)+IF(COUNTIF(T717:$W717,"&gt;"&amp;0)&lt;5,IF(AND(COUNTIF(S$1237:S1319,1)&gt;7,MOD(1+IFERROR(MATCH($C717,总览!$D$46:$D$345,1)+1,1),7)=0),$C$3,0),0)</f>
        <v>102.735714285714</v>
      </c>
      <c r="T717" s="131" cm="1">
        <f ca="1" t="array" ref="T717">IF(T1319=1,OFFSET($W$634,$B717,T$631-1)/SUMPRODUCT(--($D$631:$V$631=T$631),--($D1319:$V1319=1)),0)+SUM(T716)+IF(COUNTIF(T$1237:T1319,1)=1,5,0)+IF(COUNTIF(U717:$W717,"&gt;"&amp;0)&lt;5,IF(AND(COUNTIF(T$1237:T1319,1)&gt;7,MOD(1+IFERROR(MATCH($C717,总览!$D$46:$D$345,1)+1,1),7)=0),$C$3,0),0)</f>
        <v>55.7976823775709</v>
      </c>
      <c r="U717" s="131" cm="1">
        <f ca="1" t="array" ref="U717">IF(U1319=1,OFFSET($W$634,$B717,U$631-1)/SUMPRODUCT(--($D$631:$V$631=U$631),--($D1319:$V1319=1)),0)+SUM(U716)+IF(COUNTIF(U$1237:U1319,1)=1,5,0)+IF(COUNTIF(V717:$W717,"&gt;"&amp;0)&lt;5,IF(AND(COUNTIF(U$1237:U1319,1)&gt;7,MOD(1+IFERROR(MATCH($C717,总览!$D$46:$D$345,1)+1,1),7)=0),$C$3,0),0)</f>
        <v>61.3184687328705</v>
      </c>
      <c r="V717" s="131" cm="1">
        <f ca="1" t="array" ref="V717">IF(V1319=1,OFFSET($W$634,$B717,V$631-1)/SUMPRODUCT(--($D$631:$V$631=V$631),--($D1319:$V1319=1)),0)+SUM(V716)+IF(COUNTIF(V$1237:V1319,1)=1,5,0)+IF(COUNTIF(W717:$W717,"&gt;"&amp;0)&lt;5,IF(AND(COUNTIF(V$1237:V1319,1)&gt;7,MOD(1+IFERROR(MATCH($C717,总览!$D$46:$D$345,1)+1,1),7)=0),$C$3,0),0)</f>
        <v>81.1454684453039</v>
      </c>
      <c r="W717" s="135" cm="1">
        <f ca="1" t="array" ref="W717">SUMPRODUCT(TRANSPOSE($AA717:$AG717),OFFSET($L$9:$L$15,0,W$631-1))</f>
        <v>21.6942067191022</v>
      </c>
      <c r="X717" s="135" cm="1">
        <f ca="1" t="array" ref="X717">SUMPRODUCT(TRANSPOSE($AA717:$AG717),OFFSET($L$9:$L$15,0,X$631-1))</f>
        <v>18</v>
      </c>
      <c r="Y717" s="135" cm="1">
        <f ca="1" t="array" ref="Y717">SUMPRODUCT(TRANSPOSE($AA717:$AG717),OFFSET($L$9:$L$15,0,Y$631-1))</f>
        <v>8</v>
      </c>
      <c r="Z717" s="135" cm="1">
        <f ca="1" t="array" ref="Z717">SUMPRODUCT(TRANSPOSE($AA717:$AG717),OFFSET($L$9:$L$15,0,Z$631-1))</f>
        <v>2.30579328089777</v>
      </c>
      <c r="AA717" s="136">
        <f ca="1" t="shared" ref="AA717:AG717" si="407">AH717-AH716</f>
        <v>0</v>
      </c>
      <c r="AB717" s="136">
        <f ca="1" t="shared" si="407"/>
        <v>0</v>
      </c>
      <c r="AC717" s="136">
        <f ca="1" t="shared" si="407"/>
        <v>0</v>
      </c>
      <c r="AD717" s="136">
        <f ca="1" t="shared" si="407"/>
        <v>0</v>
      </c>
      <c r="AE717" s="136">
        <f ca="1" t="shared" si="407"/>
        <v>100</v>
      </c>
      <c r="AF717" s="136">
        <f ca="1" t="shared" si="407"/>
        <v>0</v>
      </c>
      <c r="AG717" s="136">
        <f ca="1" t="shared" si="407"/>
        <v>0</v>
      </c>
      <c r="AH717" s="136">
        <f ca="1" t="shared" si="371"/>
        <v>450</v>
      </c>
      <c r="AI717" s="136">
        <f ca="1" t="shared" ref="AI717:AN717" si="408">IF($C717&gt;OFFSET($Q$8,MATCH(AI$634,$AH$634:$AN$634,0),0),OFFSET($P$8,MATCH(AI$634,$AH$634:$AN$634,0),0),MAX(0,$C717-OFFSET($Q$8,RIGHT(AI$634,1)-1,0)))</f>
        <v>909</v>
      </c>
      <c r="AJ717" s="136">
        <f ca="1" t="shared" si="408"/>
        <v>1818</v>
      </c>
      <c r="AK717" s="136">
        <f ca="1" t="shared" si="408"/>
        <v>2727</v>
      </c>
      <c r="AL717" s="136">
        <f ca="1" t="shared" si="408"/>
        <v>2396</v>
      </c>
      <c r="AM717" s="136">
        <f ca="1" t="shared" si="408"/>
        <v>0</v>
      </c>
      <c r="AN717" s="136">
        <f ca="1" t="shared" si="408"/>
        <v>0</v>
      </c>
      <c r="AP717" s="132">
        <v>83</v>
      </c>
      <c r="AQ717" s="132">
        <v>114230</v>
      </c>
      <c r="AR717" s="132">
        <v>114230</v>
      </c>
      <c r="AS717" s="132">
        <v>65450</v>
      </c>
      <c r="AT717" s="132">
        <v>33500</v>
      </c>
    </row>
    <row r="718" s="106" customFormat="1" ht="16.5" spans="2:46">
      <c r="B718" s="117">
        <v>84</v>
      </c>
      <c r="C718" s="130">
        <f t="shared" si="369"/>
        <v>8400</v>
      </c>
      <c r="D718" s="131" cm="1">
        <f ca="1" t="array" ref="D718">IF(D1320=1,OFFSET($W$634,$B718,D$631-1)/SUMPRODUCT(--($D$631:$V$631=D$631),--($D1320:$V1320=1)),0)+SUM(D717)+IF(COUNTIF(D$1237:D1320,1)=1,5,0)+IF(COUNTIF(E718:$W718,"&gt;"&amp;0)&lt;5,IF(AND(COUNTIF(D$1237:D1320,1)&gt;7,MOD(1+IFERROR(MATCH($C718,总览!$D$46:$D$345,1)+1,1),7)=0),$C$3,0),0)</f>
        <v>781.102529054453</v>
      </c>
      <c r="E718" s="131" cm="1">
        <f ca="1" t="array" ref="E718">IF(E1320=1,OFFSET($W$634,$B718,E$631-1)/SUMPRODUCT(--($D$631:$V$631=E$631),--($D1320:$V1320=1)),0)+SUM(E717)+IF(COUNTIF(E$1237:E1320,1)=1,5,0)+IF(COUNTIF(F718:$W718,"&gt;"&amp;0)&lt;5,IF(AND(COUNTIF(E$1237:E1320,1)&gt;7,MOD(1+IFERROR(MATCH($C718,总览!$D$46:$D$345,1)+1,1),7)=0),$C$3,0),0)</f>
        <v>781.102529054453</v>
      </c>
      <c r="F718" s="131" cm="1">
        <f ca="1" t="array" ref="F718">IF(F1320=1,OFFSET($W$634,$B718,F$631-1)/SUMPRODUCT(--($D$631:$V$631=F$631),--($D1320:$V1320=1)),0)+SUM(F717)+IF(COUNTIF(F$1237:F1320,1)=1,5,0)+IF(COUNTIF(G718:$W718,"&gt;"&amp;0)&lt;5,IF(AND(COUNTIF(F$1237:F1320,1)&gt;7,MOD(1+IFERROR(MATCH($C718,总览!$D$46:$D$345,1)+1,1),7)=0),$C$3,0),0)</f>
        <v>781.102529054453</v>
      </c>
      <c r="G718" s="131" cm="1">
        <f ca="1" t="array" ref="G718">IF(G1320=1,OFFSET($W$634,$B718,G$631-1)/SUMPRODUCT(--($D$631:$V$631=G$631),--($D1320:$V1320=1)),0)+SUM(G717)+IF(COUNTIF(G$1237:G1320,1)=1,5,0)+IF(COUNTIF(H718:$W718,"&gt;"&amp;0)&lt;5,IF(AND(COUNTIF(G$1237:G1320,1)&gt;7,MOD(1+IFERROR(MATCH($C718,总览!$D$46:$D$345,1)+1,1),7)=0),$C$3,0),0)</f>
        <v>223.2</v>
      </c>
      <c r="H718" s="131" cm="1">
        <f ca="1" t="array" ref="H718">IF(H1320=1,OFFSET($W$634,$B718,H$631-1)/SUMPRODUCT(--($D$631:$V$631=H$631),--($D1320:$V1320=1)),0)+SUM(H717)+IF(COUNTIF(H$1237:H1320,1)=1,5,0)+IF(COUNTIF(I718:$W718,"&gt;"&amp;0)&lt;5,IF(AND(COUNTIF(H$1237:H1320,1)&gt;7,MOD(1+IFERROR(MATCH($C718,总览!$D$46:$D$345,1)+1,1),7)=0),$C$3,0),0)</f>
        <v>223.2</v>
      </c>
      <c r="I718" s="131" cm="1">
        <f ca="1" t="array" ref="I718">IF(I1320=1,OFFSET($W$634,$B718,I$631-1)/SUMPRODUCT(--($D$631:$V$631=I$631),--($D1320:$V1320=1)),0)+SUM(I717)+IF(COUNTIF(I$1237:I1320,1)=1,5,0)+IF(COUNTIF(J718:$W718,"&gt;"&amp;0)&lt;5,IF(AND(COUNTIF(I$1237:I1320,1)&gt;7,MOD(1+IFERROR(MATCH($C718,总览!$D$46:$D$345,1)+1,1),7)=0),$C$3,0),0)</f>
        <v>223.2</v>
      </c>
      <c r="J718" s="131" cm="1">
        <f ca="1" t="array" ref="J718">IF(J1320=1,OFFSET($W$634,$B718,J$631-1)/SUMPRODUCT(--($D$631:$V$631=J$631),--($D1320:$V1320=1)),0)+SUM(J717)+IF(COUNTIF(J$1237:J1320,1)=1,5,0)+IF(COUNTIF(K718:$W718,"&gt;"&amp;0)&lt;5,IF(AND(COUNTIF(J$1237:J1320,1)&gt;7,MOD(1+IFERROR(MATCH($C718,总览!$D$46:$D$345,1)+1,1),7)=0),$C$3,0),0)</f>
        <v>219.866666666667</v>
      </c>
      <c r="K718" s="131" cm="1">
        <f ca="1" t="array" ref="K718">IF(K1320=1,OFFSET($W$634,$B718,K$631-1)/SUMPRODUCT(--($D$631:$V$631=K$631),--($D1320:$V1320=1)),0)+SUM(K717)+IF(COUNTIF(K$1237:K1320,1)=1,5,0)+IF(COUNTIF(L718:$W718,"&gt;"&amp;0)&lt;5,IF(AND(COUNTIF(K$1237:K1320,1)&gt;7,MOD(1+IFERROR(MATCH($C718,总览!$D$46:$D$345,1)+1,1),7)=0),$C$3,0),0)</f>
        <v>217.366666666667</v>
      </c>
      <c r="L718" s="131" cm="1">
        <f ca="1" t="array" ref="L718">IF(L1320=1,OFFSET($W$634,$B718,L$631-1)/SUMPRODUCT(--($D$631:$V$631=L$631),--($D1320:$V1320=1)),0)+SUM(L717)+IF(COUNTIF(L$1237:L1320,1)=1,5,0)+IF(COUNTIF(M718:$W718,"&gt;"&amp;0)&lt;5,IF(AND(COUNTIF(L$1237:L1320,1)&gt;7,MOD(1+IFERROR(MATCH($C718,总览!$D$46:$D$345,1)+1,1),7)=0),$C$3,0),0)</f>
        <v>217.366666666667</v>
      </c>
      <c r="M718" s="131" cm="1">
        <f ca="1" t="array" ref="M718">IF(M1320=1,OFFSET($W$634,$B718,M$631-1)/SUMPRODUCT(--($D$631:$V$631=M$631),--($D1320:$V1320=1)),0)+SUM(M717)+IF(COUNTIF(M$1237:M1320,1)=1,5,0)+IF(COUNTIF(N718:$W718,"&gt;"&amp;0)&lt;5,IF(AND(COUNTIF(M$1237:M1320,1)&gt;7,MOD(1+IFERROR(MATCH($C718,总览!$D$46:$D$345,1)+1,1),7)=0),$C$3,0),0)</f>
        <v>81.0098214285713</v>
      </c>
      <c r="N718" s="131" cm="1">
        <f ca="1" t="array" ref="N718">IF(N1320=1,OFFSET($W$634,$B718,N$631-1)/SUMPRODUCT(--($D$631:$V$631=N$631),--($D1320:$V1320=1)),0)+SUM(N717)+IF(COUNTIF(N$1237:N1320,1)=1,5,0)+IF(COUNTIF(O718:$W718,"&gt;"&amp;0)&lt;5,IF(AND(COUNTIF(N$1237:N1320,1)&gt;7,MOD(1+IFERROR(MATCH($C718,总览!$D$46:$D$345,1)+1,1),7)=0),$C$3,0),0)</f>
        <v>82.2598214285713</v>
      </c>
      <c r="O718" s="131" cm="1">
        <f ca="1" t="array" ref="O718">IF(O1320=1,OFFSET($W$634,$B718,O$631-1)/SUMPRODUCT(--($D$631:$V$631=O$631),--($D1320:$V1320=1)),0)+SUM(O717)+IF(COUNTIF(O$1237:O1320,1)=1,5,0)+IF(COUNTIF(P718:$W718,"&gt;"&amp;0)&lt;5,IF(AND(COUNTIF(O$1237:O1320,1)&gt;7,MOD(1+IFERROR(MATCH($C718,总览!$D$46:$D$345,1)+1,1),7)=0),$C$3,0),0)</f>
        <v>87.2598214285713</v>
      </c>
      <c r="P718" s="131" cm="1">
        <f ca="1" t="array" ref="P718">IF(P1320=1,OFFSET($W$634,$B718,P$631-1)/SUMPRODUCT(--($D$631:$V$631=P$631),--($D1320:$V1320=1)),0)+SUM(P717)+IF(COUNTIF(P$1237:P1320,1)=1,5,0)+IF(COUNTIF(Q718:$W718,"&gt;"&amp;0)&lt;5,IF(AND(COUNTIF(P$1237:P1320,1)&gt;7,MOD(1+IFERROR(MATCH($C718,总览!$D$46:$D$345,1)+1,1),7)=0),$C$3,0),0)</f>
        <v>76.3785714285714</v>
      </c>
      <c r="Q718" s="131" cm="1">
        <f ca="1" t="array" ref="Q718">IF(Q1320=1,OFFSET($W$634,$B718,Q$631-1)/SUMPRODUCT(--($D$631:$V$631=Q$631),--($D1320:$V1320=1)),0)+SUM(Q717)+IF(COUNTIF(Q$1237:Q1320,1)=1,5,0)+IF(COUNTIF(R718:$W718,"&gt;"&amp;0)&lt;5,IF(AND(COUNTIF(Q$1237:Q1320,1)&gt;7,MOD(1+IFERROR(MATCH($C718,总览!$D$46:$D$345,1)+1,1),7)=0),$C$3,0),0)</f>
        <v>89.7598214285713</v>
      </c>
      <c r="R718" s="131" cm="1">
        <f ca="1" t="array" ref="R718">IF(R1320=1,OFFSET($W$634,$B718,R$631-1)/SUMPRODUCT(--($D$631:$V$631=R$631),--($D1320:$V1320=1)),0)+SUM(R717)+IF(COUNTIF(R$1237:R1320,1)=1,5,0)+IF(COUNTIF(S718:$W718,"&gt;"&amp;0)&lt;5,IF(AND(COUNTIF(R$1237:R1320,1)&gt;7,MOD(1+IFERROR(MATCH($C718,总览!$D$46:$D$345,1)+1,1),7)=0),$C$3,0),0)</f>
        <v>81.3785714285713</v>
      </c>
      <c r="S718" s="131" cm="1">
        <f ca="1" t="array" ref="S718">IF(S1320=1,OFFSET($W$634,$B718,S$631-1)/SUMPRODUCT(--($D$631:$V$631=S$631),--($D1320:$V1320=1)),0)+SUM(S717)+IF(COUNTIF(S$1237:S1320,1)=1,5,0)+IF(COUNTIF(T718:$W718,"&gt;"&amp;0)&lt;5,IF(AND(COUNTIF(S$1237:S1320,1)&gt;7,MOD(1+IFERROR(MATCH($C718,总览!$D$46:$D$345,1)+1,1),7)=0),$C$3,0),0)</f>
        <v>103.878571428571</v>
      </c>
      <c r="T718" s="131" cm="1">
        <f ca="1" t="array" ref="T718">IF(T1320=1,OFFSET($W$634,$B718,T$631-1)/SUMPRODUCT(--($D$631:$V$631=T$631),--($D1320:$V1320=1)),0)+SUM(T717)+IF(COUNTIF(T$1237:T1320,1)=1,5,0)+IF(COUNTIF(U718:$W718,"&gt;"&amp;0)&lt;5,IF(AND(COUNTIF(T$1237:T1320,1)&gt;7,MOD(1+IFERROR(MATCH($C718,总览!$D$46:$D$345,1)+1,1),7)=0),$C$3,0),0)</f>
        <v>56.5662801378701</v>
      </c>
      <c r="U718" s="131" cm="1">
        <f ca="1" t="array" ref="U718">IF(U1320=1,OFFSET($W$634,$B718,U$631-1)/SUMPRODUCT(--($D$631:$V$631=U$631),--($D1320:$V1320=1)),0)+SUM(U717)+IF(COUNTIF(U$1237:U1320,1)=1,5,0)+IF(COUNTIF(V718:$W718,"&gt;"&amp;0)&lt;5,IF(AND(COUNTIF(U$1237:U1320,1)&gt;7,MOD(1+IFERROR(MATCH($C718,总览!$D$46:$D$345,1)+1,1),7)=0),$C$3,0),0)</f>
        <v>62.0870664931698</v>
      </c>
      <c r="V718" s="131" cm="1">
        <f ca="1" t="array" ref="V718">IF(V1320=1,OFFSET($W$634,$B718,V$631-1)/SUMPRODUCT(--($D$631:$V$631=V$631),--($D1320:$V1320=1)),0)+SUM(V717)+IF(COUNTIF(V$1237:V1320,1)=1,5,0)+IF(COUNTIF(W718:$W718,"&gt;"&amp;0)&lt;5,IF(AND(COUNTIF(V$1237:V1320,1)&gt;7,MOD(1+IFERROR(MATCH($C718,总览!$D$46:$D$345,1)+1,1),7)=0),$C$3,0),0)</f>
        <v>81.9140662056031</v>
      </c>
      <c r="W718" s="135" cm="1">
        <f ca="1" t="array" ref="W718">SUMPRODUCT(TRANSPOSE($AA718:$AG718),OFFSET($L$9:$L$15,0,W$631-1))</f>
        <v>21.6942067191022</v>
      </c>
      <c r="X718" s="135" cm="1">
        <f ca="1" t="array" ref="X718">SUMPRODUCT(TRANSPOSE($AA718:$AG718),OFFSET($L$9:$L$15,0,X$631-1))</f>
        <v>18</v>
      </c>
      <c r="Y718" s="135" cm="1">
        <f ca="1" t="array" ref="Y718">SUMPRODUCT(TRANSPOSE($AA718:$AG718),OFFSET($L$9:$L$15,0,Y$631-1))</f>
        <v>8</v>
      </c>
      <c r="Z718" s="135" cm="1">
        <f ca="1" t="array" ref="Z718">SUMPRODUCT(TRANSPOSE($AA718:$AG718),OFFSET($L$9:$L$15,0,Z$631-1))</f>
        <v>2.30579328089777</v>
      </c>
      <c r="AA718" s="136">
        <f ca="1" t="shared" ref="AA718:AG718" si="409">AH718-AH717</f>
        <v>0</v>
      </c>
      <c r="AB718" s="136">
        <f ca="1" t="shared" si="409"/>
        <v>0</v>
      </c>
      <c r="AC718" s="136">
        <f ca="1" t="shared" si="409"/>
        <v>0</v>
      </c>
      <c r="AD718" s="136">
        <f ca="1" t="shared" si="409"/>
        <v>0</v>
      </c>
      <c r="AE718" s="136">
        <f ca="1" t="shared" si="409"/>
        <v>100</v>
      </c>
      <c r="AF718" s="136">
        <f ca="1" t="shared" si="409"/>
        <v>0</v>
      </c>
      <c r="AG718" s="136">
        <f ca="1" t="shared" si="409"/>
        <v>0</v>
      </c>
      <c r="AH718" s="136">
        <f ca="1" t="shared" si="371"/>
        <v>450</v>
      </c>
      <c r="AI718" s="136">
        <f ca="1" t="shared" ref="AI718:AN718" si="410">IF($C718&gt;OFFSET($Q$8,MATCH(AI$634,$AH$634:$AN$634,0),0),OFFSET($P$8,MATCH(AI$634,$AH$634:$AN$634,0),0),MAX(0,$C718-OFFSET($Q$8,RIGHT(AI$634,1)-1,0)))</f>
        <v>909</v>
      </c>
      <c r="AJ718" s="136">
        <f ca="1" t="shared" si="410"/>
        <v>1818</v>
      </c>
      <c r="AK718" s="136">
        <f ca="1" t="shared" si="410"/>
        <v>2727</v>
      </c>
      <c r="AL718" s="136">
        <f ca="1" t="shared" si="410"/>
        <v>2496</v>
      </c>
      <c r="AM718" s="136">
        <f ca="1" t="shared" si="410"/>
        <v>0</v>
      </c>
      <c r="AN718" s="136">
        <f ca="1" t="shared" si="410"/>
        <v>0</v>
      </c>
      <c r="AP718" s="132">
        <v>84</v>
      </c>
      <c r="AQ718" s="132">
        <v>118190</v>
      </c>
      <c r="AR718" s="132">
        <v>118190</v>
      </c>
      <c r="AS718" s="132">
        <v>67850</v>
      </c>
      <c r="AT718" s="132">
        <v>34700</v>
      </c>
    </row>
    <row r="719" s="106" customFormat="1" ht="16.5" spans="2:46">
      <c r="B719" s="117">
        <v>85</v>
      </c>
      <c r="C719" s="130">
        <f t="shared" si="369"/>
        <v>8500</v>
      </c>
      <c r="D719" s="131" cm="1">
        <f ca="1" t="array" ref="D719">IF(D1321=1,OFFSET($W$634,$B719,D$631-1)/SUMPRODUCT(--($D$631:$V$631=D$631),--($D1321:$V1321=1)),0)+SUM(D718)+IF(COUNTIF(D$1237:D1321,1)=1,5,0)+IF(COUNTIF(E719:$W719,"&gt;"&amp;0)&lt;5,IF(AND(COUNTIF(D$1237:D1321,1)&gt;7,MOD(1+IFERROR(MATCH($C719,总览!$D$46:$D$345,1)+1,1),7)=0),$C$3,0),0)</f>
        <v>788.333931294154</v>
      </c>
      <c r="E719" s="131" cm="1">
        <f ca="1" t="array" ref="E719">IF(E1321=1,OFFSET($W$634,$B719,E$631-1)/SUMPRODUCT(--($D$631:$V$631=E$631),--($D1321:$V1321=1)),0)+SUM(E718)+IF(COUNTIF(E$1237:E1321,1)=1,5,0)+IF(COUNTIF(F719:$W719,"&gt;"&amp;0)&lt;5,IF(AND(COUNTIF(E$1237:E1321,1)&gt;7,MOD(1+IFERROR(MATCH($C719,总览!$D$46:$D$345,1)+1,1),7)=0),$C$3,0),0)</f>
        <v>788.333931294154</v>
      </c>
      <c r="F719" s="131" cm="1">
        <f ca="1" t="array" ref="F719">IF(F1321=1,OFFSET($W$634,$B719,F$631-1)/SUMPRODUCT(--($D$631:$V$631=F$631),--($D1321:$V1321=1)),0)+SUM(F718)+IF(COUNTIF(F$1237:F1321,1)=1,5,0)+IF(COUNTIF(G719:$W719,"&gt;"&amp;0)&lt;5,IF(AND(COUNTIF(F$1237:F1321,1)&gt;7,MOD(1+IFERROR(MATCH($C719,总览!$D$46:$D$345,1)+1,1),7)=0),$C$3,0),0)</f>
        <v>788.333931294154</v>
      </c>
      <c r="G719" s="131" cm="1">
        <f ca="1" t="array" ref="G719">IF(G1321=1,OFFSET($W$634,$B719,G$631-1)/SUMPRODUCT(--($D$631:$V$631=G$631),--($D1321:$V1321=1)),0)+SUM(G718)+IF(COUNTIF(G$1237:G1321,1)=1,5,0)+IF(COUNTIF(H719:$W719,"&gt;"&amp;0)&lt;5,IF(AND(COUNTIF(G$1237:G1321,1)&gt;7,MOD(1+IFERROR(MATCH($C719,总览!$D$46:$D$345,1)+1,1),7)=0),$C$3,0),0)</f>
        <v>226.2</v>
      </c>
      <c r="H719" s="131" cm="1">
        <f ca="1" t="array" ref="H719">IF(H1321=1,OFFSET($W$634,$B719,H$631-1)/SUMPRODUCT(--($D$631:$V$631=H$631),--($D1321:$V1321=1)),0)+SUM(H718)+IF(COUNTIF(H$1237:H1321,1)=1,5,0)+IF(COUNTIF(I719:$W719,"&gt;"&amp;0)&lt;5,IF(AND(COUNTIF(H$1237:H1321,1)&gt;7,MOD(1+IFERROR(MATCH($C719,总览!$D$46:$D$345,1)+1,1),7)=0),$C$3,0),0)</f>
        <v>226.2</v>
      </c>
      <c r="I719" s="131" cm="1">
        <f ca="1" t="array" ref="I719">IF(I1321=1,OFFSET($W$634,$B719,I$631-1)/SUMPRODUCT(--($D$631:$V$631=I$631),--($D1321:$V1321=1)),0)+SUM(I718)+IF(COUNTIF(I$1237:I1321,1)=1,5,0)+IF(COUNTIF(J719:$W719,"&gt;"&amp;0)&lt;5,IF(AND(COUNTIF(I$1237:I1321,1)&gt;7,MOD(1+IFERROR(MATCH($C719,总览!$D$46:$D$345,1)+1,1),7)=0),$C$3,0),0)</f>
        <v>226.2</v>
      </c>
      <c r="J719" s="131" cm="1">
        <f ca="1" t="array" ref="J719">IF(J1321=1,OFFSET($W$634,$B719,J$631-1)/SUMPRODUCT(--($D$631:$V$631=J$631),--($D1321:$V1321=1)),0)+SUM(J718)+IF(COUNTIF(J$1237:J1321,1)=1,5,0)+IF(COUNTIF(K719:$W719,"&gt;"&amp;0)&lt;5,IF(AND(COUNTIF(J$1237:J1321,1)&gt;7,MOD(1+IFERROR(MATCH($C719,总览!$D$46:$D$345,1)+1,1),7)=0),$C$3,0),0)</f>
        <v>222.866666666667</v>
      </c>
      <c r="K719" s="131" cm="1">
        <f ca="1" t="array" ref="K719">IF(K1321=1,OFFSET($W$634,$B719,K$631-1)/SUMPRODUCT(--($D$631:$V$631=K$631),--($D1321:$V1321=1)),0)+SUM(K718)+IF(COUNTIF(K$1237:K1321,1)=1,5,0)+IF(COUNTIF(L719:$W719,"&gt;"&amp;0)&lt;5,IF(AND(COUNTIF(K$1237:K1321,1)&gt;7,MOD(1+IFERROR(MATCH($C719,总览!$D$46:$D$345,1)+1,1),7)=0),$C$3,0),0)</f>
        <v>220.366666666667</v>
      </c>
      <c r="L719" s="131" cm="1">
        <f ca="1" t="array" ref="L719">IF(L1321=1,OFFSET($W$634,$B719,L$631-1)/SUMPRODUCT(--($D$631:$V$631=L$631),--($D1321:$V1321=1)),0)+SUM(L718)+IF(COUNTIF(L$1237:L1321,1)=1,5,0)+IF(COUNTIF(M719:$W719,"&gt;"&amp;0)&lt;5,IF(AND(COUNTIF(L$1237:L1321,1)&gt;7,MOD(1+IFERROR(MATCH($C719,总览!$D$46:$D$345,1)+1,1),7)=0),$C$3,0),0)</f>
        <v>220.366666666667</v>
      </c>
      <c r="M719" s="131" cm="1">
        <f ca="1" t="array" ref="M719">IF(M1321=1,OFFSET($W$634,$B719,M$631-1)/SUMPRODUCT(--($D$631:$V$631=M$631),--($D1321:$V1321=1)),0)+SUM(M718)+IF(COUNTIF(M$1237:M1321,1)=1,5,0)+IF(COUNTIF(N719:$W719,"&gt;"&amp;0)&lt;5,IF(AND(COUNTIF(M$1237:M1321,1)&gt;7,MOD(1+IFERROR(MATCH($C719,总览!$D$46:$D$345,1)+1,1),7)=0),$C$3,0),0)</f>
        <v>82.1526785714285</v>
      </c>
      <c r="N719" s="131" cm="1">
        <f ca="1" t="array" ref="N719">IF(N1321=1,OFFSET($W$634,$B719,N$631-1)/SUMPRODUCT(--($D$631:$V$631=N$631),--($D1321:$V1321=1)),0)+SUM(N718)+IF(COUNTIF(N$1237:N1321,1)=1,5,0)+IF(COUNTIF(O719:$W719,"&gt;"&amp;0)&lt;5,IF(AND(COUNTIF(N$1237:N1321,1)&gt;7,MOD(1+IFERROR(MATCH($C719,总览!$D$46:$D$345,1)+1,1),7)=0),$C$3,0),0)</f>
        <v>83.4026785714285</v>
      </c>
      <c r="O719" s="131" cm="1">
        <f ca="1" t="array" ref="O719">IF(O1321=1,OFFSET($W$634,$B719,O$631-1)/SUMPRODUCT(--($D$631:$V$631=O$631),--($D1321:$V1321=1)),0)+SUM(O718)+IF(COUNTIF(O$1237:O1321,1)=1,5,0)+IF(COUNTIF(P719:$W719,"&gt;"&amp;0)&lt;5,IF(AND(COUNTIF(O$1237:O1321,1)&gt;7,MOD(1+IFERROR(MATCH($C719,总览!$D$46:$D$345,1)+1,1),7)=0),$C$3,0),0)</f>
        <v>88.4026785714284</v>
      </c>
      <c r="P719" s="131" cm="1">
        <f ca="1" t="array" ref="P719">IF(P1321=1,OFFSET($W$634,$B719,P$631-1)/SUMPRODUCT(--($D$631:$V$631=P$631),--($D1321:$V1321=1)),0)+SUM(P718)+IF(COUNTIF(P$1237:P1321,1)=1,5,0)+IF(COUNTIF(Q719:$W719,"&gt;"&amp;0)&lt;5,IF(AND(COUNTIF(P$1237:P1321,1)&gt;7,MOD(1+IFERROR(MATCH($C719,总览!$D$46:$D$345,1)+1,1),7)=0),$C$3,0),0)</f>
        <v>77.5214285714285</v>
      </c>
      <c r="Q719" s="131" cm="1">
        <f ca="1" t="array" ref="Q719">IF(Q1321=1,OFFSET($W$634,$B719,Q$631-1)/SUMPRODUCT(--($D$631:$V$631=Q$631),--($D1321:$V1321=1)),0)+SUM(Q718)+IF(COUNTIF(Q$1237:Q1321,1)=1,5,0)+IF(COUNTIF(R719:$W719,"&gt;"&amp;0)&lt;5,IF(AND(COUNTIF(Q$1237:Q1321,1)&gt;7,MOD(1+IFERROR(MATCH($C719,总览!$D$46:$D$345,1)+1,1),7)=0),$C$3,0),0)</f>
        <v>90.9026785714284</v>
      </c>
      <c r="R719" s="131" cm="1">
        <f ca="1" t="array" ref="R719">IF(R1321=1,OFFSET($W$634,$B719,R$631-1)/SUMPRODUCT(--($D$631:$V$631=R$631),--($D1321:$V1321=1)),0)+SUM(R718)+IF(COUNTIF(R$1237:R1321,1)=1,5,0)+IF(COUNTIF(S719:$W719,"&gt;"&amp;0)&lt;5,IF(AND(COUNTIF(R$1237:R1321,1)&gt;7,MOD(1+IFERROR(MATCH($C719,总览!$D$46:$D$345,1)+1,1),7)=0),$C$3,0),0)</f>
        <v>82.5214285714285</v>
      </c>
      <c r="S719" s="131" cm="1">
        <f ca="1" t="array" ref="S719">IF(S1321=1,OFFSET($W$634,$B719,S$631-1)/SUMPRODUCT(--($D$631:$V$631=S$631),--($D1321:$V1321=1)),0)+SUM(S718)+IF(COUNTIF(S$1237:S1321,1)=1,5,0)+IF(COUNTIF(T719:$W719,"&gt;"&amp;0)&lt;5,IF(AND(COUNTIF(S$1237:S1321,1)&gt;7,MOD(1+IFERROR(MATCH($C719,总览!$D$46:$D$345,1)+1,1),7)=0),$C$3,0),0)</f>
        <v>105.021428571428</v>
      </c>
      <c r="T719" s="131" cm="1">
        <f ca="1" t="array" ref="T719">IF(T1321=1,OFFSET($W$634,$B719,T$631-1)/SUMPRODUCT(--($D$631:$V$631=T$631),--($D1321:$V1321=1)),0)+SUM(T718)+IF(COUNTIF(T$1237:T1321,1)=1,5,0)+IF(COUNTIF(U719:$W719,"&gt;"&amp;0)&lt;5,IF(AND(COUNTIF(T$1237:T1321,1)&gt;7,MOD(1+IFERROR(MATCH($C719,总览!$D$46:$D$345,1)+1,1),7)=0),$C$3,0),0)</f>
        <v>57.3348778981694</v>
      </c>
      <c r="U719" s="131" cm="1">
        <f ca="1" t="array" ref="U719">IF(U1321=1,OFFSET($W$634,$B719,U$631-1)/SUMPRODUCT(--($D$631:$V$631=U$631),--($D1321:$V1321=1)),0)+SUM(U718)+IF(COUNTIF(U$1237:U1321,1)=1,5,0)+IF(COUNTIF(V719:$W719,"&gt;"&amp;0)&lt;5,IF(AND(COUNTIF(U$1237:U1321,1)&gt;7,MOD(1+IFERROR(MATCH($C719,总览!$D$46:$D$345,1)+1,1),7)=0),$C$3,0),0)</f>
        <v>62.855664253469</v>
      </c>
      <c r="V719" s="131" cm="1">
        <f ca="1" t="array" ref="V719">IF(V1321=1,OFFSET($W$634,$B719,V$631-1)/SUMPRODUCT(--($D$631:$V$631=V$631),--($D1321:$V1321=1)),0)+SUM(V718)+IF(COUNTIF(V$1237:V1321,1)=1,5,0)+IF(COUNTIF(W719:$W719,"&gt;"&amp;0)&lt;5,IF(AND(COUNTIF(V$1237:V1321,1)&gt;7,MOD(1+IFERROR(MATCH($C719,总览!$D$46:$D$345,1)+1,1),7)=0),$C$3,0),0)</f>
        <v>82.6826639659024</v>
      </c>
      <c r="W719" s="135" cm="1">
        <f ca="1" t="array" ref="W719">SUMPRODUCT(TRANSPOSE($AA719:$AG719),OFFSET($L$9:$L$15,0,W$631-1))</f>
        <v>21.6942067191022</v>
      </c>
      <c r="X719" s="135" cm="1">
        <f ca="1" t="array" ref="X719">SUMPRODUCT(TRANSPOSE($AA719:$AG719),OFFSET($L$9:$L$15,0,X$631-1))</f>
        <v>18</v>
      </c>
      <c r="Y719" s="135" cm="1">
        <f ca="1" t="array" ref="Y719">SUMPRODUCT(TRANSPOSE($AA719:$AG719),OFFSET($L$9:$L$15,0,Y$631-1))</f>
        <v>8</v>
      </c>
      <c r="Z719" s="135" cm="1">
        <f ca="1" t="array" ref="Z719">SUMPRODUCT(TRANSPOSE($AA719:$AG719),OFFSET($L$9:$L$15,0,Z$631-1))</f>
        <v>2.30579328089777</v>
      </c>
      <c r="AA719" s="136">
        <f ca="1" t="shared" ref="AA719:AG719" si="411">AH719-AH718</f>
        <v>0</v>
      </c>
      <c r="AB719" s="136">
        <f ca="1" t="shared" si="411"/>
        <v>0</v>
      </c>
      <c r="AC719" s="136">
        <f ca="1" t="shared" si="411"/>
        <v>0</v>
      </c>
      <c r="AD719" s="136">
        <f ca="1" t="shared" si="411"/>
        <v>0</v>
      </c>
      <c r="AE719" s="136">
        <f ca="1" t="shared" si="411"/>
        <v>100</v>
      </c>
      <c r="AF719" s="136">
        <f ca="1" t="shared" si="411"/>
        <v>0</v>
      </c>
      <c r="AG719" s="136">
        <f ca="1" t="shared" si="411"/>
        <v>0</v>
      </c>
      <c r="AH719" s="136">
        <f ca="1" t="shared" si="371"/>
        <v>450</v>
      </c>
      <c r="AI719" s="136">
        <f ca="1" t="shared" ref="AI719:AN719" si="412">IF($C719&gt;OFFSET($Q$8,MATCH(AI$634,$AH$634:$AN$634,0),0),OFFSET($P$8,MATCH(AI$634,$AH$634:$AN$634,0),0),MAX(0,$C719-OFFSET($Q$8,RIGHT(AI$634,1)-1,0)))</f>
        <v>909</v>
      </c>
      <c r="AJ719" s="136">
        <f ca="1" t="shared" si="412"/>
        <v>1818</v>
      </c>
      <c r="AK719" s="136">
        <f ca="1" t="shared" si="412"/>
        <v>2727</v>
      </c>
      <c r="AL719" s="136">
        <f ca="1" t="shared" si="412"/>
        <v>2596</v>
      </c>
      <c r="AM719" s="136">
        <f ca="1" t="shared" si="412"/>
        <v>0</v>
      </c>
      <c r="AN719" s="136">
        <f ca="1" t="shared" si="412"/>
        <v>0</v>
      </c>
      <c r="AP719" s="132">
        <v>85</v>
      </c>
      <c r="AQ719" s="132">
        <v>122150</v>
      </c>
      <c r="AR719" s="132">
        <v>122150</v>
      </c>
      <c r="AS719" s="132">
        <v>70250</v>
      </c>
      <c r="AT719" s="132">
        <v>35900</v>
      </c>
    </row>
    <row r="720" s="106" customFormat="1" ht="16.5" spans="2:46">
      <c r="B720" s="117">
        <v>86</v>
      </c>
      <c r="C720" s="130">
        <f t="shared" si="369"/>
        <v>8600</v>
      </c>
      <c r="D720" s="131" cm="1">
        <f ca="1" t="array" ref="D720">IF(D1322=1,OFFSET($W$634,$B720,D$631-1)/SUMPRODUCT(--($D$631:$V$631=D$631),--($D1322:$V1322=1)),0)+SUM(D719)+IF(COUNTIF(D$1237:D1322,1)=1,5,0)+IF(COUNTIF(E720:$W720,"&gt;"&amp;0)&lt;5,IF(AND(COUNTIF(D$1237:D1322,1)&gt;7,MOD(1+IFERROR(MATCH($C720,总览!$D$46:$D$345,1)+1,1),7)=0),$C$3,0),0)</f>
        <v>795.565333533854</v>
      </c>
      <c r="E720" s="131" cm="1">
        <f ca="1" t="array" ref="E720">IF(E1322=1,OFFSET($W$634,$B720,E$631-1)/SUMPRODUCT(--($D$631:$V$631=E$631),--($D1322:$V1322=1)),0)+SUM(E719)+IF(COUNTIF(E$1237:E1322,1)=1,5,0)+IF(COUNTIF(F720:$W720,"&gt;"&amp;0)&lt;5,IF(AND(COUNTIF(E$1237:E1322,1)&gt;7,MOD(1+IFERROR(MATCH($C720,总览!$D$46:$D$345,1)+1,1),7)=0),$C$3,0),0)</f>
        <v>795.565333533854</v>
      </c>
      <c r="F720" s="131" cm="1">
        <f ca="1" t="array" ref="F720">IF(F1322=1,OFFSET($W$634,$B720,F$631-1)/SUMPRODUCT(--($D$631:$V$631=F$631),--($D1322:$V1322=1)),0)+SUM(F719)+IF(COUNTIF(F$1237:F1322,1)=1,5,0)+IF(COUNTIF(G720:$W720,"&gt;"&amp;0)&lt;5,IF(AND(COUNTIF(F$1237:F1322,1)&gt;7,MOD(1+IFERROR(MATCH($C720,总览!$D$46:$D$345,1)+1,1),7)=0),$C$3,0),0)</f>
        <v>795.565333533854</v>
      </c>
      <c r="G720" s="131" cm="1">
        <f ca="1" t="array" ref="G720">IF(G1322=1,OFFSET($W$634,$B720,G$631-1)/SUMPRODUCT(--($D$631:$V$631=G$631),--($D1322:$V1322=1)),0)+SUM(G719)+IF(COUNTIF(G$1237:G1322,1)=1,5,0)+IF(COUNTIF(H720:$W720,"&gt;"&amp;0)&lt;5,IF(AND(COUNTIF(G$1237:G1322,1)&gt;7,MOD(1+IFERROR(MATCH($C720,总览!$D$46:$D$345,1)+1,1),7)=0),$C$3,0),0)</f>
        <v>229.2</v>
      </c>
      <c r="H720" s="131" cm="1">
        <f ca="1" t="array" ref="H720">IF(H1322=1,OFFSET($W$634,$B720,H$631-1)/SUMPRODUCT(--($D$631:$V$631=H$631),--($D1322:$V1322=1)),0)+SUM(H719)+IF(COUNTIF(H$1237:H1322,1)=1,5,0)+IF(COUNTIF(I720:$W720,"&gt;"&amp;0)&lt;5,IF(AND(COUNTIF(H$1237:H1322,1)&gt;7,MOD(1+IFERROR(MATCH($C720,总览!$D$46:$D$345,1)+1,1),7)=0),$C$3,0),0)</f>
        <v>229.2</v>
      </c>
      <c r="I720" s="131" cm="1">
        <f ca="1" t="array" ref="I720">IF(I1322=1,OFFSET($W$634,$B720,I$631-1)/SUMPRODUCT(--($D$631:$V$631=I$631),--($D1322:$V1322=1)),0)+SUM(I719)+IF(COUNTIF(I$1237:I1322,1)=1,5,0)+IF(COUNTIF(J720:$W720,"&gt;"&amp;0)&lt;5,IF(AND(COUNTIF(I$1237:I1322,1)&gt;7,MOD(1+IFERROR(MATCH($C720,总览!$D$46:$D$345,1)+1,1),7)=0),$C$3,0),0)</f>
        <v>229.2</v>
      </c>
      <c r="J720" s="131" cm="1">
        <f ca="1" t="array" ref="J720">IF(J1322=1,OFFSET($W$634,$B720,J$631-1)/SUMPRODUCT(--($D$631:$V$631=J$631),--($D1322:$V1322=1)),0)+SUM(J719)+IF(COUNTIF(J$1237:J1322,1)=1,5,0)+IF(COUNTIF(K720:$W720,"&gt;"&amp;0)&lt;5,IF(AND(COUNTIF(J$1237:J1322,1)&gt;7,MOD(1+IFERROR(MATCH($C720,总览!$D$46:$D$345,1)+1,1),7)=0),$C$3,0),0)</f>
        <v>225.866666666667</v>
      </c>
      <c r="K720" s="131" cm="1">
        <f ca="1" t="array" ref="K720">IF(K1322=1,OFFSET($W$634,$B720,K$631-1)/SUMPRODUCT(--($D$631:$V$631=K$631),--($D1322:$V1322=1)),0)+SUM(K719)+IF(COUNTIF(K$1237:K1322,1)=1,5,0)+IF(COUNTIF(L720:$W720,"&gt;"&amp;0)&lt;5,IF(AND(COUNTIF(K$1237:K1322,1)&gt;7,MOD(1+IFERROR(MATCH($C720,总览!$D$46:$D$345,1)+1,1),7)=0),$C$3,0),0)</f>
        <v>223.366666666667</v>
      </c>
      <c r="L720" s="131" cm="1">
        <f ca="1" t="array" ref="L720">IF(L1322=1,OFFSET($W$634,$B720,L$631-1)/SUMPRODUCT(--($D$631:$V$631=L$631),--($D1322:$V1322=1)),0)+SUM(L719)+IF(COUNTIF(L$1237:L1322,1)=1,5,0)+IF(COUNTIF(M720:$W720,"&gt;"&amp;0)&lt;5,IF(AND(COUNTIF(L$1237:L1322,1)&gt;7,MOD(1+IFERROR(MATCH($C720,总览!$D$46:$D$345,1)+1,1),7)=0),$C$3,0),0)</f>
        <v>223.366666666667</v>
      </c>
      <c r="M720" s="131" cm="1">
        <f ca="1" t="array" ref="M720">IF(M1322=1,OFFSET($W$634,$B720,M$631-1)/SUMPRODUCT(--($D$631:$V$631=M$631),--($D1322:$V1322=1)),0)+SUM(M719)+IF(COUNTIF(M$1237:M1322,1)=1,5,0)+IF(COUNTIF(N720:$W720,"&gt;"&amp;0)&lt;5,IF(AND(COUNTIF(M$1237:M1322,1)&gt;7,MOD(1+IFERROR(MATCH($C720,总览!$D$46:$D$345,1)+1,1),7)=0),$C$3,0),0)</f>
        <v>83.2955357142856</v>
      </c>
      <c r="N720" s="131" cm="1">
        <f ca="1" t="array" ref="N720">IF(N1322=1,OFFSET($W$634,$B720,N$631-1)/SUMPRODUCT(--($D$631:$V$631=N$631),--($D1322:$V1322=1)),0)+SUM(N719)+IF(COUNTIF(N$1237:N1322,1)=1,5,0)+IF(COUNTIF(O720:$W720,"&gt;"&amp;0)&lt;5,IF(AND(COUNTIF(N$1237:N1322,1)&gt;7,MOD(1+IFERROR(MATCH($C720,总览!$D$46:$D$345,1)+1,1),7)=0),$C$3,0),0)</f>
        <v>84.5455357142856</v>
      </c>
      <c r="O720" s="131" cm="1">
        <f ca="1" t="array" ref="O720">IF(O1322=1,OFFSET($W$634,$B720,O$631-1)/SUMPRODUCT(--($D$631:$V$631=O$631),--($D1322:$V1322=1)),0)+SUM(O719)+IF(COUNTIF(O$1237:O1322,1)=1,5,0)+IF(COUNTIF(P720:$W720,"&gt;"&amp;0)&lt;5,IF(AND(COUNTIF(O$1237:O1322,1)&gt;7,MOD(1+IFERROR(MATCH($C720,总览!$D$46:$D$345,1)+1,1),7)=0),$C$3,0),0)</f>
        <v>89.5455357142855</v>
      </c>
      <c r="P720" s="131" cm="1">
        <f ca="1" t="array" ref="P720">IF(P1322=1,OFFSET($W$634,$B720,P$631-1)/SUMPRODUCT(--($D$631:$V$631=P$631),--($D1322:$V1322=1)),0)+SUM(P719)+IF(COUNTIF(P$1237:P1322,1)=1,5,0)+IF(COUNTIF(Q720:$W720,"&gt;"&amp;0)&lt;5,IF(AND(COUNTIF(P$1237:P1322,1)&gt;7,MOD(1+IFERROR(MATCH($C720,总览!$D$46:$D$345,1)+1,1),7)=0),$C$3,0),0)</f>
        <v>78.6642857142857</v>
      </c>
      <c r="Q720" s="131" cm="1">
        <f ca="1" t="array" ref="Q720">IF(Q1322=1,OFFSET($W$634,$B720,Q$631-1)/SUMPRODUCT(--($D$631:$V$631=Q$631),--($D1322:$V1322=1)),0)+SUM(Q719)+IF(COUNTIF(Q$1237:Q1322,1)=1,5,0)+IF(COUNTIF(R720:$W720,"&gt;"&amp;0)&lt;5,IF(AND(COUNTIF(Q$1237:Q1322,1)&gt;7,MOD(1+IFERROR(MATCH($C720,总览!$D$46:$D$345,1)+1,1),7)=0),$C$3,0),0)</f>
        <v>92.0455357142855</v>
      </c>
      <c r="R720" s="131" cm="1">
        <f ca="1" t="array" ref="R720">IF(R1322=1,OFFSET($W$634,$B720,R$631-1)/SUMPRODUCT(--($D$631:$V$631=R$631),--($D1322:$V1322=1)),0)+SUM(R719)+IF(COUNTIF(R$1237:R1322,1)=1,5,0)+IF(COUNTIF(S720:$W720,"&gt;"&amp;0)&lt;5,IF(AND(COUNTIF(R$1237:R1322,1)&gt;7,MOD(1+IFERROR(MATCH($C720,总览!$D$46:$D$345,1)+1,1),7)=0),$C$3,0),0)</f>
        <v>83.6642857142856</v>
      </c>
      <c r="S720" s="131" cm="1">
        <f ca="1" t="array" ref="S720">IF(S1322=1,OFFSET($W$634,$B720,S$631-1)/SUMPRODUCT(--($D$631:$V$631=S$631),--($D1322:$V1322=1)),0)+SUM(S719)+IF(COUNTIF(S$1237:S1322,1)=1,5,0)+IF(COUNTIF(T720:$W720,"&gt;"&amp;0)&lt;5,IF(AND(COUNTIF(S$1237:S1322,1)&gt;7,MOD(1+IFERROR(MATCH($C720,总览!$D$46:$D$345,1)+1,1),7)=0),$C$3,0),0)</f>
        <v>106.164285714286</v>
      </c>
      <c r="T720" s="131" cm="1">
        <f ca="1" t="array" ref="T720">IF(T1322=1,OFFSET($W$634,$B720,T$631-1)/SUMPRODUCT(--($D$631:$V$631=T$631),--($D1322:$V1322=1)),0)+SUM(T719)+IF(COUNTIF(T$1237:T1322,1)=1,5,0)+IF(COUNTIF(U720:$W720,"&gt;"&amp;0)&lt;5,IF(AND(COUNTIF(T$1237:T1322,1)&gt;7,MOD(1+IFERROR(MATCH($C720,总览!$D$46:$D$345,1)+1,1),7)=0),$C$3,0),0)</f>
        <v>58.1034756584687</v>
      </c>
      <c r="U720" s="131" cm="1">
        <f ca="1" t="array" ref="U720">IF(U1322=1,OFFSET($W$634,$B720,U$631-1)/SUMPRODUCT(--($D$631:$V$631=U$631),--($D1322:$V1322=1)),0)+SUM(U719)+IF(COUNTIF(U$1237:U1322,1)=1,5,0)+IF(COUNTIF(V720:$W720,"&gt;"&amp;0)&lt;5,IF(AND(COUNTIF(U$1237:U1322,1)&gt;7,MOD(1+IFERROR(MATCH($C720,总览!$D$46:$D$345,1)+1,1),7)=0),$C$3,0),0)</f>
        <v>63.6242620137683</v>
      </c>
      <c r="V720" s="131" cm="1">
        <f ca="1" t="array" ref="V720">IF(V1322=1,OFFSET($W$634,$B720,V$631-1)/SUMPRODUCT(--($D$631:$V$631=V$631),--($D1322:$V1322=1)),0)+SUM(V719)+IF(COUNTIF(V$1237:V1322,1)=1,5,0)+IF(COUNTIF(W720:$W720,"&gt;"&amp;0)&lt;5,IF(AND(COUNTIF(V$1237:V1322,1)&gt;7,MOD(1+IFERROR(MATCH($C720,总览!$D$46:$D$345,1)+1,1),7)=0),$C$3,0),0)</f>
        <v>83.4512617262017</v>
      </c>
      <c r="W720" s="135" cm="1">
        <f ca="1" t="array" ref="W720">SUMPRODUCT(TRANSPOSE($AA720:$AG720),OFFSET($L$9:$L$15,0,W$631-1))</f>
        <v>21.6942067191022</v>
      </c>
      <c r="X720" s="135" cm="1">
        <f ca="1" t="array" ref="X720">SUMPRODUCT(TRANSPOSE($AA720:$AG720),OFFSET($L$9:$L$15,0,X$631-1))</f>
        <v>18</v>
      </c>
      <c r="Y720" s="135" cm="1">
        <f ca="1" t="array" ref="Y720">SUMPRODUCT(TRANSPOSE($AA720:$AG720),OFFSET($L$9:$L$15,0,Y$631-1))</f>
        <v>8</v>
      </c>
      <c r="Z720" s="135" cm="1">
        <f ca="1" t="array" ref="Z720">SUMPRODUCT(TRANSPOSE($AA720:$AG720),OFFSET($L$9:$L$15,0,Z$631-1))</f>
        <v>2.30579328089777</v>
      </c>
      <c r="AA720" s="136">
        <f ca="1" t="shared" ref="AA720:AG720" si="413">AH720-AH719</f>
        <v>0</v>
      </c>
      <c r="AB720" s="136">
        <f ca="1" t="shared" si="413"/>
        <v>0</v>
      </c>
      <c r="AC720" s="136">
        <f ca="1" t="shared" si="413"/>
        <v>0</v>
      </c>
      <c r="AD720" s="136">
        <f ca="1" t="shared" si="413"/>
        <v>0</v>
      </c>
      <c r="AE720" s="136">
        <f ca="1" t="shared" si="413"/>
        <v>100</v>
      </c>
      <c r="AF720" s="136">
        <f ca="1" t="shared" si="413"/>
        <v>0</v>
      </c>
      <c r="AG720" s="136">
        <f ca="1" t="shared" si="413"/>
        <v>0</v>
      </c>
      <c r="AH720" s="136">
        <f ca="1" t="shared" si="371"/>
        <v>450</v>
      </c>
      <c r="AI720" s="136">
        <f ca="1" t="shared" ref="AI720:AN720" si="414">IF($C720&gt;OFFSET($Q$8,MATCH(AI$634,$AH$634:$AN$634,0),0),OFFSET($P$8,MATCH(AI$634,$AH$634:$AN$634,0),0),MAX(0,$C720-OFFSET($Q$8,RIGHT(AI$634,1)-1,0)))</f>
        <v>909</v>
      </c>
      <c r="AJ720" s="136">
        <f ca="1" t="shared" si="414"/>
        <v>1818</v>
      </c>
      <c r="AK720" s="136">
        <f ca="1" t="shared" si="414"/>
        <v>2727</v>
      </c>
      <c r="AL720" s="136">
        <f ca="1" t="shared" si="414"/>
        <v>2696</v>
      </c>
      <c r="AM720" s="136">
        <f ca="1" t="shared" si="414"/>
        <v>0</v>
      </c>
      <c r="AN720" s="136">
        <f ca="1" t="shared" si="414"/>
        <v>0</v>
      </c>
      <c r="AP720" s="132">
        <v>86</v>
      </c>
      <c r="AQ720" s="132">
        <v>126470</v>
      </c>
      <c r="AR720" s="132">
        <v>126470</v>
      </c>
      <c r="AS720" s="132">
        <v>72890</v>
      </c>
      <c r="AT720" s="132">
        <v>37220</v>
      </c>
    </row>
    <row r="721" s="106" customFormat="1" ht="16.5" spans="2:46">
      <c r="B721" s="117">
        <v>87</v>
      </c>
      <c r="C721" s="130">
        <f t="shared" si="369"/>
        <v>8700</v>
      </c>
      <c r="D721" s="131" cm="1">
        <f ca="1" t="array" ref="D721">IF(D1323=1,OFFSET($W$634,$B721,D$631-1)/SUMPRODUCT(--($D$631:$V$631=D$631),--($D1323:$V1323=1)),0)+SUM(D720)+IF(COUNTIF(D$1237:D1323,1)=1,5,0)+IF(COUNTIF(E721:$W721,"&gt;"&amp;0)&lt;5,IF(AND(COUNTIF(D$1237:D1323,1)&gt;7,MOD(1+IFERROR(MATCH($C721,总览!$D$46:$D$345,1)+1,1),7)=0),$C$3,0),0)</f>
        <v>802.796735773555</v>
      </c>
      <c r="E721" s="131" cm="1">
        <f ca="1" t="array" ref="E721">IF(E1323=1,OFFSET($W$634,$B721,E$631-1)/SUMPRODUCT(--($D$631:$V$631=E$631),--($D1323:$V1323=1)),0)+SUM(E720)+IF(COUNTIF(E$1237:E1323,1)=1,5,0)+IF(COUNTIF(F721:$W721,"&gt;"&amp;0)&lt;5,IF(AND(COUNTIF(E$1237:E1323,1)&gt;7,MOD(1+IFERROR(MATCH($C721,总览!$D$46:$D$345,1)+1,1),7)=0),$C$3,0),0)</f>
        <v>802.796735773555</v>
      </c>
      <c r="F721" s="131" cm="1">
        <f ca="1" t="array" ref="F721">IF(F1323=1,OFFSET($W$634,$B721,F$631-1)/SUMPRODUCT(--($D$631:$V$631=F$631),--($D1323:$V1323=1)),0)+SUM(F720)+IF(COUNTIF(F$1237:F1323,1)=1,5,0)+IF(COUNTIF(G721:$W721,"&gt;"&amp;0)&lt;5,IF(AND(COUNTIF(F$1237:F1323,1)&gt;7,MOD(1+IFERROR(MATCH($C721,总览!$D$46:$D$345,1)+1,1),7)=0),$C$3,0),0)</f>
        <v>802.796735773555</v>
      </c>
      <c r="G721" s="131" cm="1">
        <f ca="1" t="array" ref="G721">IF(G1323=1,OFFSET($W$634,$B721,G$631-1)/SUMPRODUCT(--($D$631:$V$631=G$631),--($D1323:$V1323=1)),0)+SUM(G720)+IF(COUNTIF(G$1237:G1323,1)=1,5,0)+IF(COUNTIF(H721:$W721,"&gt;"&amp;0)&lt;5,IF(AND(COUNTIF(G$1237:G1323,1)&gt;7,MOD(1+IFERROR(MATCH($C721,总览!$D$46:$D$345,1)+1,1),7)=0),$C$3,0),0)</f>
        <v>232.2</v>
      </c>
      <c r="H721" s="131" cm="1">
        <f ca="1" t="array" ref="H721">IF(H1323=1,OFFSET($W$634,$B721,H$631-1)/SUMPRODUCT(--($D$631:$V$631=H$631),--($D1323:$V1323=1)),0)+SUM(H720)+IF(COUNTIF(H$1237:H1323,1)=1,5,0)+IF(COUNTIF(I721:$W721,"&gt;"&amp;0)&lt;5,IF(AND(COUNTIF(H$1237:H1323,1)&gt;7,MOD(1+IFERROR(MATCH($C721,总览!$D$46:$D$345,1)+1,1),7)=0),$C$3,0),0)</f>
        <v>232.2</v>
      </c>
      <c r="I721" s="131" cm="1">
        <f ca="1" t="array" ref="I721">IF(I1323=1,OFFSET($W$634,$B721,I$631-1)/SUMPRODUCT(--($D$631:$V$631=I$631),--($D1323:$V1323=1)),0)+SUM(I720)+IF(COUNTIF(I$1237:I1323,1)=1,5,0)+IF(COUNTIF(J721:$W721,"&gt;"&amp;0)&lt;5,IF(AND(COUNTIF(I$1237:I1323,1)&gt;7,MOD(1+IFERROR(MATCH($C721,总览!$D$46:$D$345,1)+1,1),7)=0),$C$3,0),0)</f>
        <v>232.2</v>
      </c>
      <c r="J721" s="131" cm="1">
        <f ca="1" t="array" ref="J721">IF(J1323=1,OFFSET($W$634,$B721,J$631-1)/SUMPRODUCT(--($D$631:$V$631=J$631),--($D1323:$V1323=1)),0)+SUM(J720)+IF(COUNTIF(J$1237:J1323,1)=1,5,0)+IF(COUNTIF(K721:$W721,"&gt;"&amp;0)&lt;5,IF(AND(COUNTIF(J$1237:J1323,1)&gt;7,MOD(1+IFERROR(MATCH($C721,总览!$D$46:$D$345,1)+1,1),7)=0),$C$3,0),0)</f>
        <v>228.866666666667</v>
      </c>
      <c r="K721" s="131" cm="1">
        <f ca="1" t="array" ref="K721">IF(K1323=1,OFFSET($W$634,$B721,K$631-1)/SUMPRODUCT(--($D$631:$V$631=K$631),--($D1323:$V1323=1)),0)+SUM(K720)+IF(COUNTIF(K$1237:K1323,1)=1,5,0)+IF(COUNTIF(L721:$W721,"&gt;"&amp;0)&lt;5,IF(AND(COUNTIF(K$1237:K1323,1)&gt;7,MOD(1+IFERROR(MATCH($C721,总览!$D$46:$D$345,1)+1,1),7)=0),$C$3,0),0)</f>
        <v>226.366666666667</v>
      </c>
      <c r="L721" s="131" cm="1">
        <f ca="1" t="array" ref="L721">IF(L1323=1,OFFSET($W$634,$B721,L$631-1)/SUMPRODUCT(--($D$631:$V$631=L$631),--($D1323:$V1323=1)),0)+SUM(L720)+IF(COUNTIF(L$1237:L1323,1)=1,5,0)+IF(COUNTIF(M721:$W721,"&gt;"&amp;0)&lt;5,IF(AND(COUNTIF(L$1237:L1323,1)&gt;7,MOD(1+IFERROR(MATCH($C721,总览!$D$46:$D$345,1)+1,1),7)=0),$C$3,0),0)</f>
        <v>226.366666666667</v>
      </c>
      <c r="M721" s="131" cm="1">
        <f ca="1" t="array" ref="M721">IF(M1323=1,OFFSET($W$634,$B721,M$631-1)/SUMPRODUCT(--($D$631:$V$631=M$631),--($D1323:$V1323=1)),0)+SUM(M720)+IF(COUNTIF(M$1237:M1323,1)=1,5,0)+IF(COUNTIF(N721:$W721,"&gt;"&amp;0)&lt;5,IF(AND(COUNTIF(M$1237:M1323,1)&gt;7,MOD(1+IFERROR(MATCH($C721,总览!$D$46:$D$345,1)+1,1),7)=0),$C$3,0),0)</f>
        <v>84.4383928571428</v>
      </c>
      <c r="N721" s="131" cm="1">
        <f ca="1" t="array" ref="N721">IF(N1323=1,OFFSET($W$634,$B721,N$631-1)/SUMPRODUCT(--($D$631:$V$631=N$631),--($D1323:$V1323=1)),0)+SUM(N720)+IF(COUNTIF(N$1237:N1323,1)=1,5,0)+IF(COUNTIF(O721:$W721,"&gt;"&amp;0)&lt;5,IF(AND(COUNTIF(N$1237:N1323,1)&gt;7,MOD(1+IFERROR(MATCH($C721,总览!$D$46:$D$345,1)+1,1),7)=0),$C$3,0),0)</f>
        <v>85.6883928571427</v>
      </c>
      <c r="O721" s="131" cm="1">
        <f ca="1" t="array" ref="O721">IF(O1323=1,OFFSET($W$634,$B721,O$631-1)/SUMPRODUCT(--($D$631:$V$631=O$631),--($D1323:$V1323=1)),0)+SUM(O720)+IF(COUNTIF(O$1237:O1323,1)=1,5,0)+IF(COUNTIF(P721:$W721,"&gt;"&amp;0)&lt;5,IF(AND(COUNTIF(O$1237:O1323,1)&gt;7,MOD(1+IFERROR(MATCH($C721,总览!$D$46:$D$345,1)+1,1),7)=0),$C$3,0),0)</f>
        <v>90.6883928571427</v>
      </c>
      <c r="P721" s="131" cm="1">
        <f ca="1" t="array" ref="P721">IF(P1323=1,OFFSET($W$634,$B721,P$631-1)/SUMPRODUCT(--($D$631:$V$631=P$631),--($D1323:$V1323=1)),0)+SUM(P720)+IF(COUNTIF(P$1237:P1323,1)=1,5,0)+IF(COUNTIF(Q721:$W721,"&gt;"&amp;0)&lt;5,IF(AND(COUNTIF(P$1237:P1323,1)&gt;7,MOD(1+IFERROR(MATCH($C721,总览!$D$46:$D$345,1)+1,1),7)=0),$C$3,0),0)</f>
        <v>79.8071428571428</v>
      </c>
      <c r="Q721" s="131" cm="1">
        <f ca="1" t="array" ref="Q721">IF(Q1323=1,OFFSET($W$634,$B721,Q$631-1)/SUMPRODUCT(--($D$631:$V$631=Q$631),--($D1323:$V1323=1)),0)+SUM(Q720)+IF(COUNTIF(Q$1237:Q1323,1)=1,5,0)+IF(COUNTIF(R721:$W721,"&gt;"&amp;0)&lt;5,IF(AND(COUNTIF(Q$1237:Q1323,1)&gt;7,MOD(1+IFERROR(MATCH($C721,总览!$D$46:$D$345,1)+1,1),7)=0),$C$3,0),0)</f>
        <v>93.1883928571427</v>
      </c>
      <c r="R721" s="131" cm="1">
        <f ca="1" t="array" ref="R721">IF(R1323=1,OFFSET($W$634,$B721,R$631-1)/SUMPRODUCT(--($D$631:$V$631=R$631),--($D1323:$V1323=1)),0)+SUM(R720)+IF(COUNTIF(R$1237:R1323,1)=1,5,0)+IF(COUNTIF(S721:$W721,"&gt;"&amp;0)&lt;5,IF(AND(COUNTIF(R$1237:R1323,1)&gt;7,MOD(1+IFERROR(MATCH($C721,总览!$D$46:$D$345,1)+1,1),7)=0),$C$3,0),0)</f>
        <v>84.8071428571428</v>
      </c>
      <c r="S721" s="131" cm="1">
        <f ca="1" t="array" ref="S721">IF(S1323=1,OFFSET($W$634,$B721,S$631-1)/SUMPRODUCT(--($D$631:$V$631=S$631),--($D1323:$V1323=1)),0)+SUM(S720)+IF(COUNTIF(S$1237:S1323,1)=1,5,0)+IF(COUNTIF(T721:$W721,"&gt;"&amp;0)&lt;5,IF(AND(COUNTIF(S$1237:S1323,1)&gt;7,MOD(1+IFERROR(MATCH($C721,总览!$D$46:$D$345,1)+1,1),7)=0),$C$3,0),0)</f>
        <v>112.307142857143</v>
      </c>
      <c r="T721" s="131" cm="1">
        <f ca="1" t="array" ref="T721">IF(T1323=1,OFFSET($W$634,$B721,T$631-1)/SUMPRODUCT(--($D$631:$V$631=T$631),--($D1323:$V1323=1)),0)+SUM(T720)+IF(COUNTIF(T$1237:T1323,1)=1,5,0)+IF(COUNTIF(U721:$W721,"&gt;"&amp;0)&lt;5,IF(AND(COUNTIF(T$1237:T1323,1)&gt;7,MOD(1+IFERROR(MATCH($C721,总览!$D$46:$D$345,1)+1,1),7)=0),$C$3,0),0)</f>
        <v>63.8720734187679</v>
      </c>
      <c r="U721" s="131" cm="1">
        <f ca="1" t="array" ref="U721">IF(U1323=1,OFFSET($W$634,$B721,U$631-1)/SUMPRODUCT(--($D$631:$V$631=U$631),--($D1323:$V1323=1)),0)+SUM(U720)+IF(COUNTIF(U$1237:U1323,1)=1,5,0)+IF(COUNTIF(V721:$W721,"&gt;"&amp;0)&lt;5,IF(AND(COUNTIF(U$1237:U1323,1)&gt;7,MOD(1+IFERROR(MATCH($C721,总览!$D$46:$D$345,1)+1,1),7)=0),$C$3,0),0)</f>
        <v>69.3928597740675</v>
      </c>
      <c r="V721" s="131" cm="1">
        <f ca="1" t="array" ref="V721">IF(V1323=1,OFFSET($W$634,$B721,V$631-1)/SUMPRODUCT(--($D$631:$V$631=V$631),--($D1323:$V1323=1)),0)+SUM(V720)+IF(COUNTIF(V$1237:V1323,1)=1,5,0)+IF(COUNTIF(W721:$W721,"&gt;"&amp;0)&lt;5,IF(AND(COUNTIF(V$1237:V1323,1)&gt;7,MOD(1+IFERROR(MATCH($C721,总览!$D$46:$D$345,1)+1,1),7)=0),$C$3,0),0)</f>
        <v>89.2198594865009</v>
      </c>
      <c r="W721" s="135" cm="1">
        <f ca="1" t="array" ref="W721">SUMPRODUCT(TRANSPOSE($AA721:$AG721),OFFSET($L$9:$L$15,0,W$631-1))</f>
        <v>21.6942067191022</v>
      </c>
      <c r="X721" s="135" cm="1">
        <f ca="1" t="array" ref="X721">SUMPRODUCT(TRANSPOSE($AA721:$AG721),OFFSET($L$9:$L$15,0,X$631-1))</f>
        <v>18</v>
      </c>
      <c r="Y721" s="135" cm="1">
        <f ca="1" t="array" ref="Y721">SUMPRODUCT(TRANSPOSE($AA721:$AG721),OFFSET($L$9:$L$15,0,Y$631-1))</f>
        <v>8</v>
      </c>
      <c r="Z721" s="135" cm="1">
        <f ca="1" t="array" ref="Z721">SUMPRODUCT(TRANSPOSE($AA721:$AG721),OFFSET($L$9:$L$15,0,Z$631-1))</f>
        <v>2.30579328089777</v>
      </c>
      <c r="AA721" s="136">
        <f ca="1" t="shared" ref="AA721:AG721" si="415">AH721-AH720</f>
        <v>0</v>
      </c>
      <c r="AB721" s="136">
        <f ca="1" t="shared" si="415"/>
        <v>0</v>
      </c>
      <c r="AC721" s="136">
        <f ca="1" t="shared" si="415"/>
        <v>0</v>
      </c>
      <c r="AD721" s="136">
        <f ca="1" t="shared" si="415"/>
        <v>0</v>
      </c>
      <c r="AE721" s="136">
        <f ca="1" t="shared" si="415"/>
        <v>100</v>
      </c>
      <c r="AF721" s="136">
        <f ca="1" t="shared" si="415"/>
        <v>0</v>
      </c>
      <c r="AG721" s="136">
        <f ca="1" t="shared" si="415"/>
        <v>0</v>
      </c>
      <c r="AH721" s="136">
        <f ca="1" t="shared" si="371"/>
        <v>450</v>
      </c>
      <c r="AI721" s="136">
        <f ca="1" t="shared" ref="AI721:AN721" si="416">IF($C721&gt;OFFSET($Q$8,MATCH(AI$634,$AH$634:$AN$634,0),0),OFFSET($P$8,MATCH(AI$634,$AH$634:$AN$634,0),0),MAX(0,$C721-OFFSET($Q$8,RIGHT(AI$634,1)-1,0)))</f>
        <v>909</v>
      </c>
      <c r="AJ721" s="136">
        <f ca="1" t="shared" si="416"/>
        <v>1818</v>
      </c>
      <c r="AK721" s="136">
        <f ca="1" t="shared" si="416"/>
        <v>2727</v>
      </c>
      <c r="AL721" s="136">
        <f ca="1" t="shared" si="416"/>
        <v>2796</v>
      </c>
      <c r="AM721" s="136">
        <f ca="1" t="shared" si="416"/>
        <v>0</v>
      </c>
      <c r="AN721" s="136">
        <f ca="1" t="shared" si="416"/>
        <v>0</v>
      </c>
      <c r="AP721" s="132">
        <v>87</v>
      </c>
      <c r="AQ721" s="132">
        <v>130790</v>
      </c>
      <c r="AR721" s="132">
        <v>130790</v>
      </c>
      <c r="AS721" s="132">
        <v>75530</v>
      </c>
      <c r="AT721" s="132">
        <v>38540</v>
      </c>
    </row>
    <row r="722" s="106" customFormat="1" ht="16.5" spans="2:46">
      <c r="B722" s="117">
        <v>88</v>
      </c>
      <c r="C722" s="130">
        <f t="shared" si="369"/>
        <v>8800</v>
      </c>
      <c r="D722" s="131" cm="1">
        <f ca="1" t="array" ref="D722">IF(D1324=1,OFFSET($W$634,$B722,D$631-1)/SUMPRODUCT(--($D$631:$V$631=D$631),--($D1324:$V1324=1)),0)+SUM(D721)+IF(COUNTIF(D$1237:D1324,1)=1,5,0)+IF(COUNTIF(E722:$W722,"&gt;"&amp;0)&lt;5,IF(AND(COUNTIF(D$1237:D1324,1)&gt;7,MOD(1+IFERROR(MATCH($C722,总览!$D$46:$D$345,1)+1,1),7)=0),$C$3,0),0)</f>
        <v>810.028138013256</v>
      </c>
      <c r="E722" s="131" cm="1">
        <f ca="1" t="array" ref="E722">IF(E1324=1,OFFSET($W$634,$B722,E$631-1)/SUMPRODUCT(--($D$631:$V$631=E$631),--($D1324:$V1324=1)),0)+SUM(E721)+IF(COUNTIF(E$1237:E1324,1)=1,5,0)+IF(COUNTIF(F722:$W722,"&gt;"&amp;0)&lt;5,IF(AND(COUNTIF(E$1237:E1324,1)&gt;7,MOD(1+IFERROR(MATCH($C722,总览!$D$46:$D$345,1)+1,1),7)=0),$C$3,0),0)</f>
        <v>810.028138013256</v>
      </c>
      <c r="F722" s="131" cm="1">
        <f ca="1" t="array" ref="F722">IF(F1324=1,OFFSET($W$634,$B722,F$631-1)/SUMPRODUCT(--($D$631:$V$631=F$631),--($D1324:$V1324=1)),0)+SUM(F721)+IF(COUNTIF(F$1237:F1324,1)=1,5,0)+IF(COUNTIF(G722:$W722,"&gt;"&amp;0)&lt;5,IF(AND(COUNTIF(F$1237:F1324,1)&gt;7,MOD(1+IFERROR(MATCH($C722,总览!$D$46:$D$345,1)+1,1),7)=0),$C$3,0),0)</f>
        <v>810.028138013256</v>
      </c>
      <c r="G722" s="131" cm="1">
        <f ca="1" t="array" ref="G722">IF(G1324=1,OFFSET($W$634,$B722,G$631-1)/SUMPRODUCT(--($D$631:$V$631=G$631),--($D1324:$V1324=1)),0)+SUM(G721)+IF(COUNTIF(G$1237:G1324,1)=1,5,0)+IF(COUNTIF(H722:$W722,"&gt;"&amp;0)&lt;5,IF(AND(COUNTIF(G$1237:G1324,1)&gt;7,MOD(1+IFERROR(MATCH($C722,总览!$D$46:$D$345,1)+1,1),7)=0),$C$3,0),0)</f>
        <v>235.2</v>
      </c>
      <c r="H722" s="131" cm="1">
        <f ca="1" t="array" ref="H722">IF(H1324=1,OFFSET($W$634,$B722,H$631-1)/SUMPRODUCT(--($D$631:$V$631=H$631),--($D1324:$V1324=1)),0)+SUM(H721)+IF(COUNTIF(H$1237:H1324,1)=1,5,0)+IF(COUNTIF(I722:$W722,"&gt;"&amp;0)&lt;5,IF(AND(COUNTIF(H$1237:H1324,1)&gt;7,MOD(1+IFERROR(MATCH($C722,总览!$D$46:$D$345,1)+1,1),7)=0),$C$3,0),0)</f>
        <v>235.2</v>
      </c>
      <c r="I722" s="131" cm="1">
        <f ca="1" t="array" ref="I722">IF(I1324=1,OFFSET($W$634,$B722,I$631-1)/SUMPRODUCT(--($D$631:$V$631=I$631),--($D1324:$V1324=1)),0)+SUM(I721)+IF(COUNTIF(I$1237:I1324,1)=1,5,0)+IF(COUNTIF(J722:$W722,"&gt;"&amp;0)&lt;5,IF(AND(COUNTIF(I$1237:I1324,1)&gt;7,MOD(1+IFERROR(MATCH($C722,总览!$D$46:$D$345,1)+1,1),7)=0),$C$3,0),0)</f>
        <v>235.2</v>
      </c>
      <c r="J722" s="131" cm="1">
        <f ca="1" t="array" ref="J722">IF(J1324=1,OFFSET($W$634,$B722,J$631-1)/SUMPRODUCT(--($D$631:$V$631=J$631),--($D1324:$V1324=1)),0)+SUM(J721)+IF(COUNTIF(J$1237:J1324,1)=1,5,0)+IF(COUNTIF(K722:$W722,"&gt;"&amp;0)&lt;5,IF(AND(COUNTIF(J$1237:J1324,1)&gt;7,MOD(1+IFERROR(MATCH($C722,总览!$D$46:$D$345,1)+1,1),7)=0),$C$3,0),0)</f>
        <v>231.866666666667</v>
      </c>
      <c r="K722" s="131" cm="1">
        <f ca="1" t="array" ref="K722">IF(K1324=1,OFFSET($W$634,$B722,K$631-1)/SUMPRODUCT(--($D$631:$V$631=K$631),--($D1324:$V1324=1)),0)+SUM(K721)+IF(COUNTIF(K$1237:K1324,1)=1,5,0)+IF(COUNTIF(L722:$W722,"&gt;"&amp;0)&lt;5,IF(AND(COUNTIF(K$1237:K1324,1)&gt;7,MOD(1+IFERROR(MATCH($C722,总览!$D$46:$D$345,1)+1,1),7)=0),$C$3,0),0)</f>
        <v>229.366666666667</v>
      </c>
      <c r="L722" s="131" cm="1">
        <f ca="1" t="array" ref="L722">IF(L1324=1,OFFSET($W$634,$B722,L$631-1)/SUMPRODUCT(--($D$631:$V$631=L$631),--($D1324:$V1324=1)),0)+SUM(L721)+IF(COUNTIF(L$1237:L1324,1)=1,5,0)+IF(COUNTIF(M722:$W722,"&gt;"&amp;0)&lt;5,IF(AND(COUNTIF(L$1237:L1324,1)&gt;7,MOD(1+IFERROR(MATCH($C722,总览!$D$46:$D$345,1)+1,1),7)=0),$C$3,0),0)</f>
        <v>229.366666666667</v>
      </c>
      <c r="M722" s="131" cm="1">
        <f ca="1" t="array" ref="M722">IF(M1324=1,OFFSET($W$634,$B722,M$631-1)/SUMPRODUCT(--($D$631:$V$631=M$631),--($D1324:$V1324=1)),0)+SUM(M721)+IF(COUNTIF(M$1237:M1324,1)=1,5,0)+IF(COUNTIF(N722:$W722,"&gt;"&amp;0)&lt;5,IF(AND(COUNTIF(M$1237:M1324,1)&gt;7,MOD(1+IFERROR(MATCH($C722,总览!$D$46:$D$345,1)+1,1),7)=0),$C$3,0),0)</f>
        <v>85.5812499999999</v>
      </c>
      <c r="N722" s="131" cm="1">
        <f ca="1" t="array" ref="N722">IF(N1324=1,OFFSET($W$634,$B722,N$631-1)/SUMPRODUCT(--($D$631:$V$631=N$631),--($D1324:$V1324=1)),0)+SUM(N721)+IF(COUNTIF(N$1237:N1324,1)=1,5,0)+IF(COUNTIF(O722:$W722,"&gt;"&amp;0)&lt;5,IF(AND(COUNTIF(N$1237:N1324,1)&gt;7,MOD(1+IFERROR(MATCH($C722,总览!$D$46:$D$345,1)+1,1),7)=0),$C$3,0),0)</f>
        <v>86.8312499999999</v>
      </c>
      <c r="O722" s="131" cm="1">
        <f ca="1" t="array" ref="O722">IF(O1324=1,OFFSET($W$634,$B722,O$631-1)/SUMPRODUCT(--($D$631:$V$631=O$631),--($D1324:$V1324=1)),0)+SUM(O721)+IF(COUNTIF(O$1237:O1324,1)=1,5,0)+IF(COUNTIF(P722:$W722,"&gt;"&amp;0)&lt;5,IF(AND(COUNTIF(O$1237:O1324,1)&gt;7,MOD(1+IFERROR(MATCH($C722,总览!$D$46:$D$345,1)+1,1),7)=0),$C$3,0),0)</f>
        <v>91.8312499999998</v>
      </c>
      <c r="P722" s="131" cm="1">
        <f ca="1" t="array" ref="P722">IF(P1324=1,OFFSET($W$634,$B722,P$631-1)/SUMPRODUCT(--($D$631:$V$631=P$631),--($D1324:$V1324=1)),0)+SUM(P721)+IF(COUNTIF(P$1237:P1324,1)=1,5,0)+IF(COUNTIF(Q722:$W722,"&gt;"&amp;0)&lt;5,IF(AND(COUNTIF(P$1237:P1324,1)&gt;7,MOD(1+IFERROR(MATCH($C722,总览!$D$46:$D$345,1)+1,1),7)=0),$C$3,0),0)</f>
        <v>80.9499999999999</v>
      </c>
      <c r="Q722" s="131" cm="1">
        <f ca="1" t="array" ref="Q722">IF(Q1324=1,OFFSET($W$634,$B722,Q$631-1)/SUMPRODUCT(--($D$631:$V$631=Q$631),--($D1324:$V1324=1)),0)+SUM(Q721)+IF(COUNTIF(Q$1237:Q1324,1)=1,5,0)+IF(COUNTIF(R722:$W722,"&gt;"&amp;0)&lt;5,IF(AND(COUNTIF(Q$1237:Q1324,1)&gt;7,MOD(1+IFERROR(MATCH($C722,总览!$D$46:$D$345,1)+1,1),7)=0),$C$3,0),0)</f>
        <v>94.3312499999998</v>
      </c>
      <c r="R722" s="131" cm="1">
        <f ca="1" t="array" ref="R722">IF(R1324=1,OFFSET($W$634,$B722,R$631-1)/SUMPRODUCT(--($D$631:$V$631=R$631),--($D1324:$V1324=1)),0)+SUM(R721)+IF(COUNTIF(R$1237:R1324,1)=1,5,0)+IF(COUNTIF(S722:$W722,"&gt;"&amp;0)&lt;5,IF(AND(COUNTIF(R$1237:R1324,1)&gt;7,MOD(1+IFERROR(MATCH($C722,总览!$D$46:$D$345,1)+1,1),7)=0),$C$3,0),0)</f>
        <v>85.9499999999999</v>
      </c>
      <c r="S722" s="131" cm="1">
        <f ca="1" t="array" ref="S722">IF(S1324=1,OFFSET($W$634,$B722,S$631-1)/SUMPRODUCT(--($D$631:$V$631=S$631),--($D1324:$V1324=1)),0)+SUM(S721)+IF(COUNTIF(S$1237:S1324,1)=1,5,0)+IF(COUNTIF(T722:$W722,"&gt;"&amp;0)&lt;5,IF(AND(COUNTIF(S$1237:S1324,1)&gt;7,MOD(1+IFERROR(MATCH($C722,总览!$D$46:$D$345,1)+1,1),7)=0),$C$3,0),0)</f>
        <v>113.45</v>
      </c>
      <c r="T722" s="131" cm="1">
        <f ca="1" t="array" ref="T722">IF(T1324=1,OFFSET($W$634,$B722,T$631-1)/SUMPRODUCT(--($D$631:$V$631=T$631),--($D1324:$V1324=1)),0)+SUM(T721)+IF(COUNTIF(T$1237:T1324,1)=1,5,0)+IF(COUNTIF(U722:$W722,"&gt;"&amp;0)&lt;5,IF(AND(COUNTIF(T$1237:T1324,1)&gt;7,MOD(1+IFERROR(MATCH($C722,总览!$D$46:$D$345,1)+1,1),7)=0),$C$3,0),0)</f>
        <v>64.6406711790672</v>
      </c>
      <c r="U722" s="131" cm="1">
        <f ca="1" t="array" ref="U722">IF(U1324=1,OFFSET($W$634,$B722,U$631-1)/SUMPRODUCT(--($D$631:$V$631=U$631),--($D1324:$V1324=1)),0)+SUM(U721)+IF(COUNTIF(U$1237:U1324,1)=1,5,0)+IF(COUNTIF(V722:$W722,"&gt;"&amp;0)&lt;5,IF(AND(COUNTIF(U$1237:U1324,1)&gt;7,MOD(1+IFERROR(MATCH($C722,总览!$D$46:$D$345,1)+1,1),7)=0),$C$3,0),0)</f>
        <v>70.1614575343668</v>
      </c>
      <c r="V722" s="131" cm="1">
        <f ca="1" t="array" ref="V722">IF(V1324=1,OFFSET($W$634,$B722,V$631-1)/SUMPRODUCT(--($D$631:$V$631=V$631),--($D1324:$V1324=1)),0)+SUM(V721)+IF(COUNTIF(V$1237:V1324,1)=1,5,0)+IF(COUNTIF(W722:$W722,"&gt;"&amp;0)&lt;5,IF(AND(COUNTIF(V$1237:V1324,1)&gt;7,MOD(1+IFERROR(MATCH($C722,总览!$D$46:$D$345,1)+1,1),7)=0),$C$3,0),0)</f>
        <v>89.9884572468002</v>
      </c>
      <c r="W722" s="135" cm="1">
        <f ca="1" t="array" ref="W722">SUMPRODUCT(TRANSPOSE($AA722:$AG722),OFFSET($L$9:$L$15,0,W$631-1))</f>
        <v>21.6942067191022</v>
      </c>
      <c r="X722" s="135" cm="1">
        <f ca="1" t="array" ref="X722">SUMPRODUCT(TRANSPOSE($AA722:$AG722),OFFSET($L$9:$L$15,0,X$631-1))</f>
        <v>18</v>
      </c>
      <c r="Y722" s="135" cm="1">
        <f ca="1" t="array" ref="Y722">SUMPRODUCT(TRANSPOSE($AA722:$AG722),OFFSET($L$9:$L$15,0,Y$631-1))</f>
        <v>8</v>
      </c>
      <c r="Z722" s="135" cm="1">
        <f ca="1" t="array" ref="Z722">SUMPRODUCT(TRANSPOSE($AA722:$AG722),OFFSET($L$9:$L$15,0,Z$631-1))</f>
        <v>2.30579328089777</v>
      </c>
      <c r="AA722" s="136">
        <f ca="1" t="shared" ref="AA722:AG722" si="417">AH722-AH721</f>
        <v>0</v>
      </c>
      <c r="AB722" s="136">
        <f ca="1" t="shared" si="417"/>
        <v>0</v>
      </c>
      <c r="AC722" s="136">
        <f ca="1" t="shared" si="417"/>
        <v>0</v>
      </c>
      <c r="AD722" s="136">
        <f ca="1" t="shared" si="417"/>
        <v>0</v>
      </c>
      <c r="AE722" s="136">
        <f ca="1" t="shared" si="417"/>
        <v>100</v>
      </c>
      <c r="AF722" s="136">
        <f ca="1" t="shared" si="417"/>
        <v>0</v>
      </c>
      <c r="AG722" s="136">
        <f ca="1" t="shared" si="417"/>
        <v>0</v>
      </c>
      <c r="AH722" s="136">
        <f ca="1" t="shared" si="371"/>
        <v>450</v>
      </c>
      <c r="AI722" s="136">
        <f ca="1" t="shared" ref="AI722:AN722" si="418">IF($C722&gt;OFFSET($Q$8,MATCH(AI$634,$AH$634:$AN$634,0),0),OFFSET($P$8,MATCH(AI$634,$AH$634:$AN$634,0),0),MAX(0,$C722-OFFSET($Q$8,RIGHT(AI$634,1)-1,0)))</f>
        <v>909</v>
      </c>
      <c r="AJ722" s="136">
        <f ca="1" t="shared" si="418"/>
        <v>1818</v>
      </c>
      <c r="AK722" s="136">
        <f ca="1" t="shared" si="418"/>
        <v>2727</v>
      </c>
      <c r="AL722" s="136">
        <f ca="1" t="shared" si="418"/>
        <v>2896</v>
      </c>
      <c r="AM722" s="136">
        <f ca="1" t="shared" si="418"/>
        <v>0</v>
      </c>
      <c r="AN722" s="136">
        <f ca="1" t="shared" si="418"/>
        <v>0</v>
      </c>
      <c r="AP722" s="132">
        <v>88</v>
      </c>
      <c r="AQ722" s="132">
        <v>135110</v>
      </c>
      <c r="AR722" s="132">
        <v>135110</v>
      </c>
      <c r="AS722" s="132">
        <v>78170</v>
      </c>
      <c r="AT722" s="132">
        <v>39860</v>
      </c>
    </row>
    <row r="723" s="106" customFormat="1" ht="16.5" spans="2:46">
      <c r="B723" s="117">
        <v>89</v>
      </c>
      <c r="C723" s="130">
        <f t="shared" si="369"/>
        <v>8900</v>
      </c>
      <c r="D723" s="131" cm="1">
        <f ca="1" t="array" ref="D723">IF(D1325=1,OFFSET($W$634,$B723,D$631-1)/SUMPRODUCT(--($D$631:$V$631=D$631),--($D1325:$V1325=1)),0)+SUM(D722)+IF(COUNTIF(D$1237:D1325,1)=1,5,0)+IF(COUNTIF(E723:$W723,"&gt;"&amp;0)&lt;5,IF(AND(COUNTIF(D$1237:D1325,1)&gt;7,MOD(1+IFERROR(MATCH($C723,总览!$D$46:$D$345,1)+1,1),7)=0),$C$3,0),0)</f>
        <v>817.259540252957</v>
      </c>
      <c r="E723" s="131" cm="1">
        <f ca="1" t="array" ref="E723">IF(E1325=1,OFFSET($W$634,$B723,E$631-1)/SUMPRODUCT(--($D$631:$V$631=E$631),--($D1325:$V1325=1)),0)+SUM(E722)+IF(COUNTIF(E$1237:E1325,1)=1,5,0)+IF(COUNTIF(F723:$W723,"&gt;"&amp;0)&lt;5,IF(AND(COUNTIF(E$1237:E1325,1)&gt;7,MOD(1+IFERROR(MATCH($C723,总览!$D$46:$D$345,1)+1,1),7)=0),$C$3,0),0)</f>
        <v>817.259540252957</v>
      </c>
      <c r="F723" s="131" cm="1">
        <f ca="1" t="array" ref="F723">IF(F1325=1,OFFSET($W$634,$B723,F$631-1)/SUMPRODUCT(--($D$631:$V$631=F$631),--($D1325:$V1325=1)),0)+SUM(F722)+IF(COUNTIF(F$1237:F1325,1)=1,5,0)+IF(COUNTIF(G723:$W723,"&gt;"&amp;0)&lt;5,IF(AND(COUNTIF(F$1237:F1325,1)&gt;7,MOD(1+IFERROR(MATCH($C723,总览!$D$46:$D$345,1)+1,1),7)=0),$C$3,0),0)</f>
        <v>817.259540252957</v>
      </c>
      <c r="G723" s="131" cm="1">
        <f ca="1" t="array" ref="G723">IF(G1325=1,OFFSET($W$634,$B723,G$631-1)/SUMPRODUCT(--($D$631:$V$631=G$631),--($D1325:$V1325=1)),0)+SUM(G722)+IF(COUNTIF(G$1237:G1325,1)=1,5,0)+IF(COUNTIF(H723:$W723,"&gt;"&amp;0)&lt;5,IF(AND(COUNTIF(G$1237:G1325,1)&gt;7,MOD(1+IFERROR(MATCH($C723,总览!$D$46:$D$345,1)+1,1),7)=0),$C$3,0),0)</f>
        <v>238.2</v>
      </c>
      <c r="H723" s="131" cm="1">
        <f ca="1" t="array" ref="H723">IF(H1325=1,OFFSET($W$634,$B723,H$631-1)/SUMPRODUCT(--($D$631:$V$631=H$631),--($D1325:$V1325=1)),0)+SUM(H722)+IF(COUNTIF(H$1237:H1325,1)=1,5,0)+IF(COUNTIF(I723:$W723,"&gt;"&amp;0)&lt;5,IF(AND(COUNTIF(H$1237:H1325,1)&gt;7,MOD(1+IFERROR(MATCH($C723,总览!$D$46:$D$345,1)+1,1),7)=0),$C$3,0),0)</f>
        <v>238.2</v>
      </c>
      <c r="I723" s="131" cm="1">
        <f ca="1" t="array" ref="I723">IF(I1325=1,OFFSET($W$634,$B723,I$631-1)/SUMPRODUCT(--($D$631:$V$631=I$631),--($D1325:$V1325=1)),0)+SUM(I722)+IF(COUNTIF(I$1237:I1325,1)=1,5,0)+IF(COUNTIF(J723:$W723,"&gt;"&amp;0)&lt;5,IF(AND(COUNTIF(I$1237:I1325,1)&gt;7,MOD(1+IFERROR(MATCH($C723,总览!$D$46:$D$345,1)+1,1),7)=0),$C$3,0),0)</f>
        <v>238.2</v>
      </c>
      <c r="J723" s="131" cm="1">
        <f ca="1" t="array" ref="J723">IF(J1325=1,OFFSET($W$634,$B723,J$631-1)/SUMPRODUCT(--($D$631:$V$631=J$631),--($D1325:$V1325=1)),0)+SUM(J722)+IF(COUNTIF(J$1237:J1325,1)=1,5,0)+IF(COUNTIF(K723:$W723,"&gt;"&amp;0)&lt;5,IF(AND(COUNTIF(J$1237:J1325,1)&gt;7,MOD(1+IFERROR(MATCH($C723,总览!$D$46:$D$345,1)+1,1),7)=0),$C$3,0),0)</f>
        <v>234.866666666667</v>
      </c>
      <c r="K723" s="131" cm="1">
        <f ca="1" t="array" ref="K723">IF(K1325=1,OFFSET($W$634,$B723,K$631-1)/SUMPRODUCT(--($D$631:$V$631=K$631),--($D1325:$V1325=1)),0)+SUM(K722)+IF(COUNTIF(K$1237:K1325,1)=1,5,0)+IF(COUNTIF(L723:$W723,"&gt;"&amp;0)&lt;5,IF(AND(COUNTIF(K$1237:K1325,1)&gt;7,MOD(1+IFERROR(MATCH($C723,总览!$D$46:$D$345,1)+1,1),7)=0),$C$3,0),0)</f>
        <v>232.366666666667</v>
      </c>
      <c r="L723" s="131" cm="1">
        <f ca="1" t="array" ref="L723">IF(L1325=1,OFFSET($W$634,$B723,L$631-1)/SUMPRODUCT(--($D$631:$V$631=L$631),--($D1325:$V1325=1)),0)+SUM(L722)+IF(COUNTIF(L$1237:L1325,1)=1,5,0)+IF(COUNTIF(M723:$W723,"&gt;"&amp;0)&lt;5,IF(AND(COUNTIF(L$1237:L1325,1)&gt;7,MOD(1+IFERROR(MATCH($C723,总览!$D$46:$D$345,1)+1,1),7)=0),$C$3,0),0)</f>
        <v>232.366666666667</v>
      </c>
      <c r="M723" s="131" cm="1">
        <f ca="1" t="array" ref="M723">IF(M1325=1,OFFSET($W$634,$B723,M$631-1)/SUMPRODUCT(--($D$631:$V$631=M$631),--($D1325:$V1325=1)),0)+SUM(M722)+IF(COUNTIF(M$1237:M1325,1)=1,5,0)+IF(COUNTIF(N723:$W723,"&gt;"&amp;0)&lt;5,IF(AND(COUNTIF(M$1237:M1325,1)&gt;7,MOD(1+IFERROR(MATCH($C723,总览!$D$46:$D$345,1)+1,1),7)=0),$C$3,0),0)</f>
        <v>86.724107142857</v>
      </c>
      <c r="N723" s="131" cm="1">
        <f ca="1" t="array" ref="N723">IF(N1325=1,OFFSET($W$634,$B723,N$631-1)/SUMPRODUCT(--($D$631:$V$631=N$631),--($D1325:$V1325=1)),0)+SUM(N722)+IF(COUNTIF(N$1237:N1325,1)=1,5,0)+IF(COUNTIF(O723:$W723,"&gt;"&amp;0)&lt;5,IF(AND(COUNTIF(N$1237:N1325,1)&gt;7,MOD(1+IFERROR(MATCH($C723,总览!$D$46:$D$345,1)+1,1),7)=0),$C$3,0),0)</f>
        <v>87.974107142857</v>
      </c>
      <c r="O723" s="131" cm="1">
        <f ca="1" t="array" ref="O723">IF(O1325=1,OFFSET($W$634,$B723,O$631-1)/SUMPRODUCT(--($D$631:$V$631=O$631),--($D1325:$V1325=1)),0)+SUM(O722)+IF(COUNTIF(O$1237:O1325,1)=1,5,0)+IF(COUNTIF(P723:$W723,"&gt;"&amp;0)&lt;5,IF(AND(COUNTIF(O$1237:O1325,1)&gt;7,MOD(1+IFERROR(MATCH($C723,总览!$D$46:$D$345,1)+1,1),7)=0),$C$3,0),0)</f>
        <v>92.974107142857</v>
      </c>
      <c r="P723" s="131" cm="1">
        <f ca="1" t="array" ref="P723">IF(P1325=1,OFFSET($W$634,$B723,P$631-1)/SUMPRODUCT(--($D$631:$V$631=P$631),--($D1325:$V1325=1)),0)+SUM(P722)+IF(COUNTIF(P$1237:P1325,1)=1,5,0)+IF(COUNTIF(Q723:$W723,"&gt;"&amp;0)&lt;5,IF(AND(COUNTIF(P$1237:P1325,1)&gt;7,MOD(1+IFERROR(MATCH($C723,总览!$D$46:$D$345,1)+1,1),7)=0),$C$3,0),0)</f>
        <v>82.0928571428571</v>
      </c>
      <c r="Q723" s="131" cm="1">
        <f ca="1" t="array" ref="Q723">IF(Q1325=1,OFFSET($W$634,$B723,Q$631-1)/SUMPRODUCT(--($D$631:$V$631=Q$631),--($D1325:$V1325=1)),0)+SUM(Q722)+IF(COUNTIF(Q$1237:Q1325,1)=1,5,0)+IF(COUNTIF(R723:$W723,"&gt;"&amp;0)&lt;5,IF(AND(COUNTIF(Q$1237:Q1325,1)&gt;7,MOD(1+IFERROR(MATCH($C723,总览!$D$46:$D$345,1)+1,1),7)=0),$C$3,0),0)</f>
        <v>95.474107142857</v>
      </c>
      <c r="R723" s="131" cm="1">
        <f ca="1" t="array" ref="R723">IF(R1325=1,OFFSET($W$634,$B723,R$631-1)/SUMPRODUCT(--($D$631:$V$631=R$631),--($D1325:$V1325=1)),0)+SUM(R722)+IF(COUNTIF(R$1237:R1325,1)=1,5,0)+IF(COUNTIF(S723:$W723,"&gt;"&amp;0)&lt;5,IF(AND(COUNTIF(R$1237:R1325,1)&gt;7,MOD(1+IFERROR(MATCH($C723,总览!$D$46:$D$345,1)+1,1),7)=0),$C$3,0),0)</f>
        <v>87.092857142857</v>
      </c>
      <c r="S723" s="131" cm="1">
        <f ca="1" t="array" ref="S723">IF(S1325=1,OFFSET($W$634,$B723,S$631-1)/SUMPRODUCT(--($D$631:$V$631=S$631),--($D1325:$V1325=1)),0)+SUM(S722)+IF(COUNTIF(S$1237:S1325,1)=1,5,0)+IF(COUNTIF(T723:$W723,"&gt;"&amp;0)&lt;5,IF(AND(COUNTIF(S$1237:S1325,1)&gt;7,MOD(1+IFERROR(MATCH($C723,总览!$D$46:$D$345,1)+1,1),7)=0),$C$3,0),0)</f>
        <v>114.592857142857</v>
      </c>
      <c r="T723" s="131" cm="1">
        <f ca="1" t="array" ref="T723">IF(T1325=1,OFFSET($W$634,$B723,T$631-1)/SUMPRODUCT(--($D$631:$V$631=T$631),--($D1325:$V1325=1)),0)+SUM(T722)+IF(COUNTIF(T$1237:T1325,1)=1,5,0)+IF(COUNTIF(U723:$W723,"&gt;"&amp;0)&lt;5,IF(AND(COUNTIF(T$1237:T1325,1)&gt;7,MOD(1+IFERROR(MATCH($C723,总览!$D$46:$D$345,1)+1,1),7)=0),$C$3,0),0)</f>
        <v>65.4092689393664</v>
      </c>
      <c r="U723" s="131" cm="1">
        <f ca="1" t="array" ref="U723">IF(U1325=1,OFFSET($W$634,$B723,U$631-1)/SUMPRODUCT(--($D$631:$V$631=U$631),--($D1325:$V1325=1)),0)+SUM(U722)+IF(COUNTIF(U$1237:U1325,1)=1,5,0)+IF(COUNTIF(V723:$W723,"&gt;"&amp;0)&lt;5,IF(AND(COUNTIF(U$1237:U1325,1)&gt;7,MOD(1+IFERROR(MATCH($C723,总览!$D$46:$D$345,1)+1,1),7)=0),$C$3,0),0)</f>
        <v>70.930055294666</v>
      </c>
      <c r="V723" s="131" cm="1">
        <f ca="1" t="array" ref="V723">IF(V1325=1,OFFSET($W$634,$B723,V$631-1)/SUMPRODUCT(--($D$631:$V$631=V$631),--($D1325:$V1325=1)),0)+SUM(V722)+IF(COUNTIF(V$1237:V1325,1)=1,5,0)+IF(COUNTIF(W723:$W723,"&gt;"&amp;0)&lt;5,IF(AND(COUNTIF(V$1237:V1325,1)&gt;7,MOD(1+IFERROR(MATCH($C723,总览!$D$46:$D$345,1)+1,1),7)=0),$C$3,0),0)</f>
        <v>90.7570550070994</v>
      </c>
      <c r="W723" s="135" cm="1">
        <f ca="1" t="array" ref="W723">SUMPRODUCT(TRANSPOSE($AA723:$AG723),OFFSET($L$9:$L$15,0,W$631-1))</f>
        <v>21.6942067191022</v>
      </c>
      <c r="X723" s="135" cm="1">
        <f ca="1" t="array" ref="X723">SUMPRODUCT(TRANSPOSE($AA723:$AG723),OFFSET($L$9:$L$15,0,X$631-1))</f>
        <v>18</v>
      </c>
      <c r="Y723" s="135" cm="1">
        <f ca="1" t="array" ref="Y723">SUMPRODUCT(TRANSPOSE($AA723:$AG723),OFFSET($L$9:$L$15,0,Y$631-1))</f>
        <v>8</v>
      </c>
      <c r="Z723" s="135" cm="1">
        <f ca="1" t="array" ref="Z723">SUMPRODUCT(TRANSPOSE($AA723:$AG723),OFFSET($L$9:$L$15,0,Z$631-1))</f>
        <v>2.30579328089777</v>
      </c>
      <c r="AA723" s="136">
        <f ca="1" t="shared" ref="AA723:AG723" si="419">AH723-AH722</f>
        <v>0</v>
      </c>
      <c r="AB723" s="136">
        <f ca="1" t="shared" si="419"/>
        <v>0</v>
      </c>
      <c r="AC723" s="136">
        <f ca="1" t="shared" si="419"/>
        <v>0</v>
      </c>
      <c r="AD723" s="136">
        <f ca="1" t="shared" si="419"/>
        <v>0</v>
      </c>
      <c r="AE723" s="136">
        <f ca="1" t="shared" si="419"/>
        <v>100</v>
      </c>
      <c r="AF723" s="136">
        <f ca="1" t="shared" si="419"/>
        <v>0</v>
      </c>
      <c r="AG723" s="136">
        <f ca="1" t="shared" si="419"/>
        <v>0</v>
      </c>
      <c r="AH723" s="136">
        <f ca="1" t="shared" si="371"/>
        <v>450</v>
      </c>
      <c r="AI723" s="136">
        <f ca="1" t="shared" ref="AI723:AN723" si="420">IF($C723&gt;OFFSET($Q$8,MATCH(AI$634,$AH$634:$AN$634,0),0),OFFSET($P$8,MATCH(AI$634,$AH$634:$AN$634,0),0),MAX(0,$C723-OFFSET($Q$8,RIGHT(AI$634,1)-1,0)))</f>
        <v>909</v>
      </c>
      <c r="AJ723" s="136">
        <f ca="1" t="shared" si="420"/>
        <v>1818</v>
      </c>
      <c r="AK723" s="136">
        <f ca="1" t="shared" si="420"/>
        <v>2727</v>
      </c>
      <c r="AL723" s="136">
        <f ca="1" t="shared" si="420"/>
        <v>2996</v>
      </c>
      <c r="AM723" s="136">
        <f ca="1" t="shared" si="420"/>
        <v>0</v>
      </c>
      <c r="AN723" s="136">
        <f ca="1" t="shared" si="420"/>
        <v>0</v>
      </c>
      <c r="AP723" s="132">
        <v>89</v>
      </c>
      <c r="AQ723" s="132">
        <v>139430</v>
      </c>
      <c r="AR723" s="132">
        <v>139430</v>
      </c>
      <c r="AS723" s="132">
        <v>80810</v>
      </c>
      <c r="AT723" s="132">
        <v>41180</v>
      </c>
    </row>
    <row r="724" s="106" customFormat="1" ht="16.5" spans="2:46">
      <c r="B724" s="117">
        <v>90</v>
      </c>
      <c r="C724" s="130">
        <f t="shared" si="369"/>
        <v>9000</v>
      </c>
      <c r="D724" s="131" cm="1">
        <f ca="1" t="array" ref="D724">IF(D1326=1,OFFSET($W$634,$B724,D$631-1)/SUMPRODUCT(--($D$631:$V$631=D$631),--($D1326:$V1326=1)),0)+SUM(D723)+IF(COUNTIF(D$1237:D1326,1)=1,5,0)+IF(COUNTIF(E724:$W724,"&gt;"&amp;0)&lt;5,IF(AND(COUNTIF(D$1237:D1326,1)&gt;7,MOD(1+IFERROR(MATCH($C724,总览!$D$46:$D$345,1)+1,1),7)=0),$C$3,0),0)</f>
        <v>824.490942492657</v>
      </c>
      <c r="E724" s="131" cm="1">
        <f ca="1" t="array" ref="E724">IF(E1326=1,OFFSET($W$634,$B724,E$631-1)/SUMPRODUCT(--($D$631:$V$631=E$631),--($D1326:$V1326=1)),0)+SUM(E723)+IF(COUNTIF(E$1237:E1326,1)=1,5,0)+IF(COUNTIF(F724:$W724,"&gt;"&amp;0)&lt;5,IF(AND(COUNTIF(E$1237:E1326,1)&gt;7,MOD(1+IFERROR(MATCH($C724,总览!$D$46:$D$345,1)+1,1),7)=0),$C$3,0),0)</f>
        <v>824.490942492657</v>
      </c>
      <c r="F724" s="131" cm="1">
        <f ca="1" t="array" ref="F724">IF(F1326=1,OFFSET($W$634,$B724,F$631-1)/SUMPRODUCT(--($D$631:$V$631=F$631),--($D1326:$V1326=1)),0)+SUM(F723)+IF(COUNTIF(F$1237:F1326,1)=1,5,0)+IF(COUNTIF(G724:$W724,"&gt;"&amp;0)&lt;5,IF(AND(COUNTIF(F$1237:F1326,1)&gt;7,MOD(1+IFERROR(MATCH($C724,总览!$D$46:$D$345,1)+1,1),7)=0),$C$3,0),0)</f>
        <v>824.490942492657</v>
      </c>
      <c r="G724" s="131" cm="1">
        <f ca="1" t="array" ref="G724">IF(G1326=1,OFFSET($W$634,$B724,G$631-1)/SUMPRODUCT(--($D$631:$V$631=G$631),--($D1326:$V1326=1)),0)+SUM(G723)+IF(COUNTIF(G$1237:G1326,1)=1,5,0)+IF(COUNTIF(H724:$W724,"&gt;"&amp;0)&lt;5,IF(AND(COUNTIF(G$1237:G1326,1)&gt;7,MOD(1+IFERROR(MATCH($C724,总览!$D$46:$D$345,1)+1,1),7)=0),$C$3,0),0)</f>
        <v>241.2</v>
      </c>
      <c r="H724" s="131" cm="1">
        <f ca="1" t="array" ref="H724">IF(H1326=1,OFFSET($W$634,$B724,H$631-1)/SUMPRODUCT(--($D$631:$V$631=H$631),--($D1326:$V1326=1)),0)+SUM(H723)+IF(COUNTIF(H$1237:H1326,1)=1,5,0)+IF(COUNTIF(I724:$W724,"&gt;"&amp;0)&lt;5,IF(AND(COUNTIF(H$1237:H1326,1)&gt;7,MOD(1+IFERROR(MATCH($C724,总览!$D$46:$D$345,1)+1,1),7)=0),$C$3,0),0)</f>
        <v>241.2</v>
      </c>
      <c r="I724" s="131" cm="1">
        <f ca="1" t="array" ref="I724">IF(I1326=1,OFFSET($W$634,$B724,I$631-1)/SUMPRODUCT(--($D$631:$V$631=I$631),--($D1326:$V1326=1)),0)+SUM(I723)+IF(COUNTIF(I$1237:I1326,1)=1,5,0)+IF(COUNTIF(J724:$W724,"&gt;"&amp;0)&lt;5,IF(AND(COUNTIF(I$1237:I1326,1)&gt;7,MOD(1+IFERROR(MATCH($C724,总览!$D$46:$D$345,1)+1,1),7)=0),$C$3,0),0)</f>
        <v>241.2</v>
      </c>
      <c r="J724" s="131" cm="1">
        <f ca="1" t="array" ref="J724">IF(J1326=1,OFFSET($W$634,$B724,J$631-1)/SUMPRODUCT(--($D$631:$V$631=J$631),--($D1326:$V1326=1)),0)+SUM(J723)+IF(COUNTIF(J$1237:J1326,1)=1,5,0)+IF(COUNTIF(K724:$W724,"&gt;"&amp;0)&lt;5,IF(AND(COUNTIF(J$1237:J1326,1)&gt;7,MOD(1+IFERROR(MATCH($C724,总览!$D$46:$D$345,1)+1,1),7)=0),$C$3,0),0)</f>
        <v>237.866666666667</v>
      </c>
      <c r="K724" s="131" cm="1">
        <f ca="1" t="array" ref="K724">IF(K1326=1,OFFSET($W$634,$B724,K$631-1)/SUMPRODUCT(--($D$631:$V$631=K$631),--($D1326:$V1326=1)),0)+SUM(K723)+IF(COUNTIF(K$1237:K1326,1)=1,5,0)+IF(COUNTIF(L724:$W724,"&gt;"&amp;0)&lt;5,IF(AND(COUNTIF(K$1237:K1326,1)&gt;7,MOD(1+IFERROR(MATCH($C724,总览!$D$46:$D$345,1)+1,1),7)=0),$C$3,0),0)</f>
        <v>235.366666666667</v>
      </c>
      <c r="L724" s="131" cm="1">
        <f ca="1" t="array" ref="L724">IF(L1326=1,OFFSET($W$634,$B724,L$631-1)/SUMPRODUCT(--($D$631:$V$631=L$631),--($D1326:$V1326=1)),0)+SUM(L723)+IF(COUNTIF(L$1237:L1326,1)=1,5,0)+IF(COUNTIF(M724:$W724,"&gt;"&amp;0)&lt;5,IF(AND(COUNTIF(L$1237:L1326,1)&gt;7,MOD(1+IFERROR(MATCH($C724,总览!$D$46:$D$345,1)+1,1),7)=0),$C$3,0),0)</f>
        <v>235.366666666667</v>
      </c>
      <c r="M724" s="131" cm="1">
        <f ca="1" t="array" ref="M724">IF(M1326=1,OFFSET($W$634,$B724,M$631-1)/SUMPRODUCT(--($D$631:$V$631=M$631),--($D1326:$V1326=1)),0)+SUM(M723)+IF(COUNTIF(M$1237:M1326,1)=1,5,0)+IF(COUNTIF(N724:$W724,"&gt;"&amp;0)&lt;5,IF(AND(COUNTIF(M$1237:M1326,1)&gt;7,MOD(1+IFERROR(MATCH($C724,总览!$D$46:$D$345,1)+1,1),7)=0),$C$3,0),0)</f>
        <v>87.8669642857142</v>
      </c>
      <c r="N724" s="131" cm="1">
        <f ca="1" t="array" ref="N724">IF(N1326=1,OFFSET($W$634,$B724,N$631-1)/SUMPRODUCT(--($D$631:$V$631=N$631),--($D1326:$V1326=1)),0)+SUM(N723)+IF(COUNTIF(N$1237:N1326,1)=1,5,0)+IF(COUNTIF(O724:$W724,"&gt;"&amp;0)&lt;5,IF(AND(COUNTIF(N$1237:N1326,1)&gt;7,MOD(1+IFERROR(MATCH($C724,总览!$D$46:$D$345,1)+1,1),7)=0),$C$3,0),0)</f>
        <v>89.1169642857142</v>
      </c>
      <c r="O724" s="131" cm="1">
        <f ca="1" t="array" ref="O724">IF(O1326=1,OFFSET($W$634,$B724,O$631-1)/SUMPRODUCT(--($D$631:$V$631=O$631),--($D1326:$V1326=1)),0)+SUM(O723)+IF(COUNTIF(O$1237:O1326,1)=1,5,0)+IF(COUNTIF(P724:$W724,"&gt;"&amp;0)&lt;5,IF(AND(COUNTIF(O$1237:O1326,1)&gt;7,MOD(1+IFERROR(MATCH($C724,总览!$D$46:$D$345,1)+1,1),7)=0),$C$3,0),0)</f>
        <v>94.1169642857141</v>
      </c>
      <c r="P724" s="131" cm="1">
        <f ca="1" t="array" ref="P724">IF(P1326=1,OFFSET($W$634,$B724,P$631-1)/SUMPRODUCT(--($D$631:$V$631=P$631),--($D1326:$V1326=1)),0)+SUM(P723)+IF(COUNTIF(P$1237:P1326,1)=1,5,0)+IF(COUNTIF(Q724:$W724,"&gt;"&amp;0)&lt;5,IF(AND(COUNTIF(P$1237:P1326,1)&gt;7,MOD(1+IFERROR(MATCH($C724,总览!$D$46:$D$345,1)+1,1),7)=0),$C$3,0),0)</f>
        <v>83.2357142857142</v>
      </c>
      <c r="Q724" s="131" cm="1">
        <f ca="1" t="array" ref="Q724">IF(Q1326=1,OFFSET($W$634,$B724,Q$631-1)/SUMPRODUCT(--($D$631:$V$631=Q$631),--($D1326:$V1326=1)),0)+SUM(Q723)+IF(COUNTIF(Q$1237:Q1326,1)=1,5,0)+IF(COUNTIF(R724:$W724,"&gt;"&amp;0)&lt;5,IF(AND(COUNTIF(Q$1237:Q1326,1)&gt;7,MOD(1+IFERROR(MATCH($C724,总览!$D$46:$D$345,1)+1,1),7)=0),$C$3,0),0)</f>
        <v>96.6169642857141</v>
      </c>
      <c r="R724" s="131" cm="1">
        <f ca="1" t="array" ref="R724">IF(R1326=1,OFFSET($W$634,$B724,R$631-1)/SUMPRODUCT(--($D$631:$V$631=R$631),--($D1326:$V1326=1)),0)+SUM(R723)+IF(COUNTIF(R$1237:R1326,1)=1,5,0)+IF(COUNTIF(S724:$W724,"&gt;"&amp;0)&lt;5,IF(AND(COUNTIF(R$1237:R1326,1)&gt;7,MOD(1+IFERROR(MATCH($C724,总览!$D$46:$D$345,1)+1,1),7)=0),$C$3,0),0)</f>
        <v>88.2357142857142</v>
      </c>
      <c r="S724" s="131" cm="1">
        <f ca="1" t="array" ref="S724">IF(S1326=1,OFFSET($W$634,$B724,S$631-1)/SUMPRODUCT(--($D$631:$V$631=S$631),--($D1326:$V1326=1)),0)+SUM(S723)+IF(COUNTIF(S$1237:S1326,1)=1,5,0)+IF(COUNTIF(T724:$W724,"&gt;"&amp;0)&lt;5,IF(AND(COUNTIF(S$1237:S1326,1)&gt;7,MOD(1+IFERROR(MATCH($C724,总览!$D$46:$D$345,1)+1,1),7)=0),$C$3,0),0)</f>
        <v>115.735714285714</v>
      </c>
      <c r="T724" s="131" cm="1">
        <f ca="1" t="array" ref="T724">IF(T1326=1,OFFSET($W$634,$B724,T$631-1)/SUMPRODUCT(--($D$631:$V$631=T$631),--($D1326:$V1326=1)),0)+SUM(T723)+IF(COUNTIF(T$1237:T1326,1)=1,5,0)+IF(COUNTIF(U724:$W724,"&gt;"&amp;0)&lt;5,IF(AND(COUNTIF(T$1237:T1326,1)&gt;7,MOD(1+IFERROR(MATCH($C724,总览!$D$46:$D$345,1)+1,1),7)=0),$C$3,0),0)</f>
        <v>66.1778666996657</v>
      </c>
      <c r="U724" s="131" cm="1">
        <f ca="1" t="array" ref="U724">IF(U1326=1,OFFSET($W$634,$B724,U$631-1)/SUMPRODUCT(--($D$631:$V$631=U$631),--($D1326:$V1326=1)),0)+SUM(U723)+IF(COUNTIF(U$1237:U1326,1)=1,5,0)+IF(COUNTIF(V724:$W724,"&gt;"&amp;0)&lt;5,IF(AND(COUNTIF(U$1237:U1326,1)&gt;7,MOD(1+IFERROR(MATCH($C724,总览!$D$46:$D$345,1)+1,1),7)=0),$C$3,0),0)</f>
        <v>71.6986530549653</v>
      </c>
      <c r="V724" s="131" cm="1">
        <f ca="1" t="array" ref="V724">IF(V1326=1,OFFSET($W$634,$B724,V$631-1)/SUMPRODUCT(--($D$631:$V$631=V$631),--($D1326:$V1326=1)),0)+SUM(V723)+IF(COUNTIF(V$1237:V1326,1)=1,5,0)+IF(COUNTIF(W724:$W724,"&gt;"&amp;0)&lt;5,IF(AND(COUNTIF(V$1237:V1326,1)&gt;7,MOD(1+IFERROR(MATCH($C724,总览!$D$46:$D$345,1)+1,1),7)=0),$C$3,0),0)</f>
        <v>91.5256527673987</v>
      </c>
      <c r="W724" s="135" cm="1">
        <f ca="1" t="array" ref="W724">SUMPRODUCT(TRANSPOSE($AA724:$AG724),OFFSET($L$9:$L$15,0,W$631-1))</f>
        <v>21.6942067191022</v>
      </c>
      <c r="X724" s="135" cm="1">
        <f ca="1" t="array" ref="X724">SUMPRODUCT(TRANSPOSE($AA724:$AG724),OFFSET($L$9:$L$15,0,X$631-1))</f>
        <v>18</v>
      </c>
      <c r="Y724" s="135" cm="1">
        <f ca="1" t="array" ref="Y724">SUMPRODUCT(TRANSPOSE($AA724:$AG724),OFFSET($L$9:$L$15,0,Y$631-1))</f>
        <v>8</v>
      </c>
      <c r="Z724" s="135" cm="1">
        <f ca="1" t="array" ref="Z724">SUMPRODUCT(TRANSPOSE($AA724:$AG724),OFFSET($L$9:$L$15,0,Z$631-1))</f>
        <v>2.30579328089777</v>
      </c>
      <c r="AA724" s="136">
        <f ca="1" t="shared" ref="AA724:AG724" si="421">AH724-AH723</f>
        <v>0</v>
      </c>
      <c r="AB724" s="136">
        <f ca="1" t="shared" si="421"/>
        <v>0</v>
      </c>
      <c r="AC724" s="136">
        <f ca="1" t="shared" si="421"/>
        <v>0</v>
      </c>
      <c r="AD724" s="136">
        <f ca="1" t="shared" si="421"/>
        <v>0</v>
      </c>
      <c r="AE724" s="136">
        <f ca="1" t="shared" si="421"/>
        <v>100</v>
      </c>
      <c r="AF724" s="136">
        <f ca="1" t="shared" si="421"/>
        <v>0</v>
      </c>
      <c r="AG724" s="136">
        <f ca="1" t="shared" si="421"/>
        <v>0</v>
      </c>
      <c r="AH724" s="136">
        <f ca="1" t="shared" si="371"/>
        <v>450</v>
      </c>
      <c r="AI724" s="136">
        <f ca="1" t="shared" ref="AI724:AN724" si="422">IF($C724&gt;OFFSET($Q$8,MATCH(AI$634,$AH$634:$AN$634,0),0),OFFSET($P$8,MATCH(AI$634,$AH$634:$AN$634,0),0),MAX(0,$C724-OFFSET($Q$8,RIGHT(AI$634,1)-1,0)))</f>
        <v>909</v>
      </c>
      <c r="AJ724" s="136">
        <f ca="1" t="shared" si="422"/>
        <v>1818</v>
      </c>
      <c r="AK724" s="136">
        <f ca="1" t="shared" si="422"/>
        <v>2727</v>
      </c>
      <c r="AL724" s="136">
        <f ca="1" t="shared" si="422"/>
        <v>3096</v>
      </c>
      <c r="AM724" s="136">
        <f ca="1" t="shared" si="422"/>
        <v>0</v>
      </c>
      <c r="AN724" s="136">
        <f ca="1" t="shared" si="422"/>
        <v>0</v>
      </c>
      <c r="AP724" s="132">
        <v>90</v>
      </c>
      <c r="AQ724" s="132">
        <v>143750</v>
      </c>
      <c r="AR724" s="132">
        <v>143750</v>
      </c>
      <c r="AS724" s="132">
        <v>83450</v>
      </c>
      <c r="AT724" s="132">
        <v>42500</v>
      </c>
    </row>
    <row r="725" s="106" customFormat="1" ht="16.5" spans="2:46">
      <c r="B725" s="117">
        <v>91</v>
      </c>
      <c r="C725" s="130">
        <f t="shared" si="369"/>
        <v>9100</v>
      </c>
      <c r="D725" s="131" cm="1">
        <f ca="1" t="array" ref="D725">IF(D1327=1,OFFSET($W$634,$B725,D$631-1)/SUMPRODUCT(--($D$631:$V$631=D$631),--($D1327:$V1327=1)),0)+SUM(D724)+IF(COUNTIF(D$1237:D1327,1)=1,5,0)+IF(COUNTIF(E725:$W725,"&gt;"&amp;0)&lt;5,IF(AND(COUNTIF(D$1237:D1327,1)&gt;7,MOD(1+IFERROR(MATCH($C725,总览!$D$46:$D$345,1)+1,1),7)=0),$C$3,0),0)</f>
        <v>831.722344732358</v>
      </c>
      <c r="E725" s="131" cm="1">
        <f ca="1" t="array" ref="E725">IF(E1327=1,OFFSET($W$634,$B725,E$631-1)/SUMPRODUCT(--($D$631:$V$631=E$631),--($D1327:$V1327=1)),0)+SUM(E724)+IF(COUNTIF(E$1237:E1327,1)=1,5,0)+IF(COUNTIF(F725:$W725,"&gt;"&amp;0)&lt;5,IF(AND(COUNTIF(E$1237:E1327,1)&gt;7,MOD(1+IFERROR(MATCH($C725,总览!$D$46:$D$345,1)+1,1),7)=0),$C$3,0),0)</f>
        <v>831.722344732358</v>
      </c>
      <c r="F725" s="131" cm="1">
        <f ca="1" t="array" ref="F725">IF(F1327=1,OFFSET($W$634,$B725,F$631-1)/SUMPRODUCT(--($D$631:$V$631=F$631),--($D1327:$V1327=1)),0)+SUM(F724)+IF(COUNTIF(F$1237:F1327,1)=1,5,0)+IF(COUNTIF(G725:$W725,"&gt;"&amp;0)&lt;5,IF(AND(COUNTIF(F$1237:F1327,1)&gt;7,MOD(1+IFERROR(MATCH($C725,总览!$D$46:$D$345,1)+1,1),7)=0),$C$3,0),0)</f>
        <v>831.722344732358</v>
      </c>
      <c r="G725" s="131" cm="1">
        <f ca="1" t="array" ref="G725">IF(G1327=1,OFFSET($W$634,$B725,G$631-1)/SUMPRODUCT(--($D$631:$V$631=G$631),--($D1327:$V1327=1)),0)+SUM(G724)+IF(COUNTIF(G$1237:G1327,1)=1,5,0)+IF(COUNTIF(H725:$W725,"&gt;"&amp;0)&lt;5,IF(AND(COUNTIF(G$1237:G1327,1)&gt;7,MOD(1+IFERROR(MATCH($C725,总览!$D$46:$D$345,1)+1,1),7)=0),$C$3,0),0)</f>
        <v>244.2</v>
      </c>
      <c r="H725" s="131" cm="1">
        <f ca="1" t="array" ref="H725">IF(H1327=1,OFFSET($W$634,$B725,H$631-1)/SUMPRODUCT(--($D$631:$V$631=H$631),--($D1327:$V1327=1)),0)+SUM(H724)+IF(COUNTIF(H$1237:H1327,1)=1,5,0)+IF(COUNTIF(I725:$W725,"&gt;"&amp;0)&lt;5,IF(AND(COUNTIF(H$1237:H1327,1)&gt;7,MOD(1+IFERROR(MATCH($C725,总览!$D$46:$D$345,1)+1,1),7)=0),$C$3,0),0)</f>
        <v>244.2</v>
      </c>
      <c r="I725" s="131" cm="1">
        <f ca="1" t="array" ref="I725">IF(I1327=1,OFFSET($W$634,$B725,I$631-1)/SUMPRODUCT(--($D$631:$V$631=I$631),--($D1327:$V1327=1)),0)+SUM(I724)+IF(COUNTIF(I$1237:I1327,1)=1,5,0)+IF(COUNTIF(J725:$W725,"&gt;"&amp;0)&lt;5,IF(AND(COUNTIF(I$1237:I1327,1)&gt;7,MOD(1+IFERROR(MATCH($C725,总览!$D$46:$D$345,1)+1,1),7)=0),$C$3,0),0)</f>
        <v>244.2</v>
      </c>
      <c r="J725" s="131" cm="1">
        <f ca="1" t="array" ref="J725">IF(J1327=1,OFFSET($W$634,$B725,J$631-1)/SUMPRODUCT(--($D$631:$V$631=J$631),--($D1327:$V1327=1)),0)+SUM(J724)+IF(COUNTIF(J$1237:J1327,1)=1,5,0)+IF(COUNTIF(K725:$W725,"&gt;"&amp;0)&lt;5,IF(AND(COUNTIF(J$1237:J1327,1)&gt;7,MOD(1+IFERROR(MATCH($C725,总览!$D$46:$D$345,1)+1,1),7)=0),$C$3,0),0)</f>
        <v>240.866666666667</v>
      </c>
      <c r="K725" s="131" cm="1">
        <f ca="1" t="array" ref="K725">IF(K1327=1,OFFSET($W$634,$B725,K$631-1)/SUMPRODUCT(--($D$631:$V$631=K$631),--($D1327:$V1327=1)),0)+SUM(K724)+IF(COUNTIF(K$1237:K1327,1)=1,5,0)+IF(COUNTIF(L725:$W725,"&gt;"&amp;0)&lt;5,IF(AND(COUNTIF(K$1237:K1327,1)&gt;7,MOD(1+IFERROR(MATCH($C725,总览!$D$46:$D$345,1)+1,1),7)=0),$C$3,0),0)</f>
        <v>238.366666666667</v>
      </c>
      <c r="L725" s="131" cm="1">
        <f ca="1" t="array" ref="L725">IF(L1327=1,OFFSET($W$634,$B725,L$631-1)/SUMPRODUCT(--($D$631:$V$631=L$631),--($D1327:$V1327=1)),0)+SUM(L724)+IF(COUNTIF(L$1237:L1327,1)=1,5,0)+IF(COUNTIF(M725:$W725,"&gt;"&amp;0)&lt;5,IF(AND(COUNTIF(L$1237:L1327,1)&gt;7,MOD(1+IFERROR(MATCH($C725,总览!$D$46:$D$345,1)+1,1),7)=0),$C$3,0),0)</f>
        <v>238.366666666667</v>
      </c>
      <c r="M725" s="131" cm="1">
        <f ca="1" t="array" ref="M725">IF(M1327=1,OFFSET($W$634,$B725,M$631-1)/SUMPRODUCT(--($D$631:$V$631=M$631),--($D1327:$V1327=1)),0)+SUM(M724)+IF(COUNTIF(M$1237:M1327,1)=1,5,0)+IF(COUNTIF(N725:$W725,"&gt;"&amp;0)&lt;5,IF(AND(COUNTIF(M$1237:M1327,1)&gt;7,MOD(1+IFERROR(MATCH($C725,总览!$D$46:$D$345,1)+1,1),7)=0),$C$3,0),0)</f>
        <v>89.0098214285713</v>
      </c>
      <c r="N725" s="131" cm="1">
        <f ca="1" t="array" ref="N725">IF(N1327=1,OFFSET($W$634,$B725,N$631-1)/SUMPRODUCT(--($D$631:$V$631=N$631),--($D1327:$V1327=1)),0)+SUM(N724)+IF(COUNTIF(N$1237:N1327,1)=1,5,0)+IF(COUNTIF(O725:$W725,"&gt;"&amp;0)&lt;5,IF(AND(COUNTIF(N$1237:N1327,1)&gt;7,MOD(1+IFERROR(MATCH($C725,总览!$D$46:$D$345,1)+1,1),7)=0),$C$3,0),0)</f>
        <v>90.2598214285713</v>
      </c>
      <c r="O725" s="131" cm="1">
        <f ca="1" t="array" ref="O725">IF(O1327=1,OFFSET($W$634,$B725,O$631-1)/SUMPRODUCT(--($D$631:$V$631=O$631),--($D1327:$V1327=1)),0)+SUM(O724)+IF(COUNTIF(O$1237:O1327,1)=1,5,0)+IF(COUNTIF(P725:$W725,"&gt;"&amp;0)&lt;5,IF(AND(COUNTIF(O$1237:O1327,1)&gt;7,MOD(1+IFERROR(MATCH($C725,总览!$D$46:$D$345,1)+1,1),7)=0),$C$3,0),0)</f>
        <v>95.2598214285712</v>
      </c>
      <c r="P725" s="131" cm="1">
        <f ca="1" t="array" ref="P725">IF(P1327=1,OFFSET($W$634,$B725,P$631-1)/SUMPRODUCT(--($D$631:$V$631=P$631),--($D1327:$V1327=1)),0)+SUM(P724)+IF(COUNTIF(P$1237:P1327,1)=1,5,0)+IF(COUNTIF(Q725:$W725,"&gt;"&amp;0)&lt;5,IF(AND(COUNTIF(P$1237:P1327,1)&gt;7,MOD(1+IFERROR(MATCH($C725,总览!$D$46:$D$345,1)+1,1),7)=0),$C$3,0),0)</f>
        <v>84.3785714285714</v>
      </c>
      <c r="Q725" s="131" cm="1">
        <f ca="1" t="array" ref="Q725">IF(Q1327=1,OFFSET($W$634,$B725,Q$631-1)/SUMPRODUCT(--($D$631:$V$631=Q$631),--($D1327:$V1327=1)),0)+SUM(Q724)+IF(COUNTIF(Q$1237:Q1327,1)=1,5,0)+IF(COUNTIF(R725:$W725,"&gt;"&amp;0)&lt;5,IF(AND(COUNTIF(Q$1237:Q1327,1)&gt;7,MOD(1+IFERROR(MATCH($C725,总览!$D$46:$D$345,1)+1,1),7)=0),$C$3,0),0)</f>
        <v>97.7598214285712</v>
      </c>
      <c r="R725" s="131" cm="1">
        <f ca="1" t="array" ref="R725">IF(R1327=1,OFFSET($W$634,$B725,R$631-1)/SUMPRODUCT(--($D$631:$V$631=R$631),--($D1327:$V1327=1)),0)+SUM(R724)+IF(COUNTIF(R$1237:R1327,1)=1,5,0)+IF(COUNTIF(S725:$W725,"&gt;"&amp;0)&lt;5,IF(AND(COUNTIF(R$1237:R1327,1)&gt;7,MOD(1+IFERROR(MATCH($C725,总览!$D$46:$D$345,1)+1,1),7)=0),$C$3,0),0)</f>
        <v>89.3785714285713</v>
      </c>
      <c r="S725" s="131" cm="1">
        <f ca="1" t="array" ref="S725">IF(S1327=1,OFFSET($W$634,$B725,S$631-1)/SUMPRODUCT(--($D$631:$V$631=S$631),--($D1327:$V1327=1)),0)+SUM(S724)+IF(COUNTIF(S$1237:S1327,1)=1,5,0)+IF(COUNTIF(T725:$W725,"&gt;"&amp;0)&lt;5,IF(AND(COUNTIF(S$1237:S1327,1)&gt;7,MOD(1+IFERROR(MATCH($C725,总览!$D$46:$D$345,1)+1,1),7)=0),$C$3,0),0)</f>
        <v>116.878571428571</v>
      </c>
      <c r="T725" s="131" cm="1">
        <f ca="1" t="array" ref="T725">IF(T1327=1,OFFSET($W$634,$B725,T$631-1)/SUMPRODUCT(--($D$631:$V$631=T$631),--($D1327:$V1327=1)),0)+SUM(T724)+IF(COUNTIF(T$1237:T1327,1)=1,5,0)+IF(COUNTIF(U725:$W725,"&gt;"&amp;0)&lt;5,IF(AND(COUNTIF(T$1237:T1327,1)&gt;7,MOD(1+IFERROR(MATCH($C725,总览!$D$46:$D$345,1)+1,1),7)=0),$C$3,0),0)</f>
        <v>66.9464644599649</v>
      </c>
      <c r="U725" s="131" cm="1">
        <f ca="1" t="array" ref="U725">IF(U1327=1,OFFSET($W$634,$B725,U$631-1)/SUMPRODUCT(--($D$631:$V$631=U$631),--($D1327:$V1327=1)),0)+SUM(U724)+IF(COUNTIF(U$1237:U1327,1)=1,5,0)+IF(COUNTIF(V725:$W725,"&gt;"&amp;0)&lt;5,IF(AND(COUNTIF(U$1237:U1327,1)&gt;7,MOD(1+IFERROR(MATCH($C725,总览!$D$46:$D$345,1)+1,1),7)=0),$C$3,0),0)</f>
        <v>72.4672508152646</v>
      </c>
      <c r="V725" s="131" cm="1">
        <f ca="1" t="array" ref="V725">IF(V1327=1,OFFSET($W$634,$B725,V$631-1)/SUMPRODUCT(--($D$631:$V$631=V$631),--($D1327:$V1327=1)),0)+SUM(V724)+IF(COUNTIF(V$1237:V1327,1)=1,5,0)+IF(COUNTIF(W725:$W725,"&gt;"&amp;0)&lt;5,IF(AND(COUNTIF(V$1237:V1327,1)&gt;7,MOD(1+IFERROR(MATCH($C725,总览!$D$46:$D$345,1)+1,1),7)=0),$C$3,0),0)</f>
        <v>92.2942505276979</v>
      </c>
      <c r="W725" s="135" cm="1">
        <f ca="1" t="array" ref="W725">SUMPRODUCT(TRANSPOSE($AA725:$AG725),OFFSET($L$9:$L$15,0,W$631-1))</f>
        <v>21.6942067191022</v>
      </c>
      <c r="X725" s="135" cm="1">
        <f ca="1" t="array" ref="X725">SUMPRODUCT(TRANSPOSE($AA725:$AG725),OFFSET($L$9:$L$15,0,X$631-1))</f>
        <v>18</v>
      </c>
      <c r="Y725" s="135" cm="1">
        <f ca="1" t="array" ref="Y725">SUMPRODUCT(TRANSPOSE($AA725:$AG725),OFFSET($L$9:$L$15,0,Y$631-1))</f>
        <v>8</v>
      </c>
      <c r="Z725" s="135" cm="1">
        <f ca="1" t="array" ref="Z725">SUMPRODUCT(TRANSPOSE($AA725:$AG725),OFFSET($L$9:$L$15,0,Z$631-1))</f>
        <v>2.30579328089777</v>
      </c>
      <c r="AA725" s="136">
        <f ca="1" t="shared" ref="AA725:AG725" si="423">AH725-AH724</f>
        <v>0</v>
      </c>
      <c r="AB725" s="136">
        <f ca="1" t="shared" si="423"/>
        <v>0</v>
      </c>
      <c r="AC725" s="136">
        <f ca="1" t="shared" si="423"/>
        <v>0</v>
      </c>
      <c r="AD725" s="136">
        <f ca="1" t="shared" si="423"/>
        <v>0</v>
      </c>
      <c r="AE725" s="136">
        <f ca="1" t="shared" si="423"/>
        <v>100</v>
      </c>
      <c r="AF725" s="136">
        <f ca="1" t="shared" si="423"/>
        <v>0</v>
      </c>
      <c r="AG725" s="136">
        <f ca="1" t="shared" si="423"/>
        <v>0</v>
      </c>
      <c r="AH725" s="136">
        <f ca="1" t="shared" si="371"/>
        <v>450</v>
      </c>
      <c r="AI725" s="136">
        <f ca="1" t="shared" ref="AI725:AN725" si="424">IF($C725&gt;OFFSET($Q$8,MATCH(AI$634,$AH$634:$AN$634,0),0),OFFSET($P$8,MATCH(AI$634,$AH$634:$AN$634,0),0),MAX(0,$C725-OFFSET($Q$8,RIGHT(AI$634,1)-1,0)))</f>
        <v>909</v>
      </c>
      <c r="AJ725" s="136">
        <f ca="1" t="shared" si="424"/>
        <v>1818</v>
      </c>
      <c r="AK725" s="136">
        <f ca="1" t="shared" si="424"/>
        <v>2727</v>
      </c>
      <c r="AL725" s="136">
        <f ca="1" t="shared" si="424"/>
        <v>3196</v>
      </c>
      <c r="AM725" s="136">
        <f ca="1" t="shared" si="424"/>
        <v>0</v>
      </c>
      <c r="AN725" s="136">
        <f ca="1" t="shared" si="424"/>
        <v>0</v>
      </c>
      <c r="AP725" s="132">
        <v>91</v>
      </c>
      <c r="AQ725" s="132">
        <v>148430</v>
      </c>
      <c r="AR725" s="132">
        <v>148430</v>
      </c>
      <c r="AS725" s="132">
        <v>86330</v>
      </c>
      <c r="AT725" s="132">
        <v>43940</v>
      </c>
    </row>
    <row r="726" s="106" customFormat="1" ht="16.5" spans="2:46">
      <c r="B726" s="117">
        <v>92</v>
      </c>
      <c r="C726" s="130">
        <f t="shared" si="369"/>
        <v>9200</v>
      </c>
      <c r="D726" s="131" cm="1">
        <f ca="1" t="array" ref="D726">IF(D1328=1,OFFSET($W$634,$B726,D$631-1)/SUMPRODUCT(--($D$631:$V$631=D$631),--($D1328:$V1328=1)),0)+SUM(D725)+IF(COUNTIF(D$1237:D1328,1)=1,5,0)+IF(COUNTIF(E726:$W726,"&gt;"&amp;0)&lt;5,IF(AND(COUNTIF(D$1237:D1328,1)&gt;7,MOD(1+IFERROR(MATCH($C726,总览!$D$46:$D$345,1)+1,1),7)=0),$C$3,0),0)</f>
        <v>838.953746972059</v>
      </c>
      <c r="E726" s="131" cm="1">
        <f ca="1" t="array" ref="E726">IF(E1328=1,OFFSET($W$634,$B726,E$631-1)/SUMPRODUCT(--($D$631:$V$631=E$631),--($D1328:$V1328=1)),0)+SUM(E725)+IF(COUNTIF(E$1237:E1328,1)=1,5,0)+IF(COUNTIF(F726:$W726,"&gt;"&amp;0)&lt;5,IF(AND(COUNTIF(E$1237:E1328,1)&gt;7,MOD(1+IFERROR(MATCH($C726,总览!$D$46:$D$345,1)+1,1),7)=0),$C$3,0),0)</f>
        <v>838.953746972059</v>
      </c>
      <c r="F726" s="131" cm="1">
        <f ca="1" t="array" ref="F726">IF(F1328=1,OFFSET($W$634,$B726,F$631-1)/SUMPRODUCT(--($D$631:$V$631=F$631),--($D1328:$V1328=1)),0)+SUM(F725)+IF(COUNTIF(F$1237:F1328,1)=1,5,0)+IF(COUNTIF(G726:$W726,"&gt;"&amp;0)&lt;5,IF(AND(COUNTIF(F$1237:F1328,1)&gt;7,MOD(1+IFERROR(MATCH($C726,总览!$D$46:$D$345,1)+1,1),7)=0),$C$3,0),0)</f>
        <v>838.953746972059</v>
      </c>
      <c r="G726" s="131" cm="1">
        <f ca="1" t="array" ref="G726">IF(G1328=1,OFFSET($W$634,$B726,G$631-1)/SUMPRODUCT(--($D$631:$V$631=G$631),--($D1328:$V1328=1)),0)+SUM(G725)+IF(COUNTIF(G$1237:G1328,1)=1,5,0)+IF(COUNTIF(H726:$W726,"&gt;"&amp;0)&lt;5,IF(AND(COUNTIF(G$1237:G1328,1)&gt;7,MOD(1+IFERROR(MATCH($C726,总览!$D$46:$D$345,1)+1,1),7)=0),$C$3,0),0)</f>
        <v>247.2</v>
      </c>
      <c r="H726" s="131" cm="1">
        <f ca="1" t="array" ref="H726">IF(H1328=1,OFFSET($W$634,$B726,H$631-1)/SUMPRODUCT(--($D$631:$V$631=H$631),--($D1328:$V1328=1)),0)+SUM(H725)+IF(COUNTIF(H$1237:H1328,1)=1,5,0)+IF(COUNTIF(I726:$W726,"&gt;"&amp;0)&lt;5,IF(AND(COUNTIF(H$1237:H1328,1)&gt;7,MOD(1+IFERROR(MATCH($C726,总览!$D$46:$D$345,1)+1,1),7)=0),$C$3,0),0)</f>
        <v>247.2</v>
      </c>
      <c r="I726" s="131" cm="1">
        <f ca="1" t="array" ref="I726">IF(I1328=1,OFFSET($W$634,$B726,I$631-1)/SUMPRODUCT(--($D$631:$V$631=I$631),--($D1328:$V1328=1)),0)+SUM(I725)+IF(COUNTIF(I$1237:I1328,1)=1,5,0)+IF(COUNTIF(J726:$W726,"&gt;"&amp;0)&lt;5,IF(AND(COUNTIF(I$1237:I1328,1)&gt;7,MOD(1+IFERROR(MATCH($C726,总览!$D$46:$D$345,1)+1,1),7)=0),$C$3,0),0)</f>
        <v>247.2</v>
      </c>
      <c r="J726" s="131" cm="1">
        <f ca="1" t="array" ref="J726">IF(J1328=1,OFFSET($W$634,$B726,J$631-1)/SUMPRODUCT(--($D$631:$V$631=J$631),--($D1328:$V1328=1)),0)+SUM(J725)+IF(COUNTIF(J$1237:J1328,1)=1,5,0)+IF(COUNTIF(K726:$W726,"&gt;"&amp;0)&lt;5,IF(AND(COUNTIF(J$1237:J1328,1)&gt;7,MOD(1+IFERROR(MATCH($C726,总览!$D$46:$D$345,1)+1,1),7)=0),$C$3,0),0)</f>
        <v>243.866666666667</v>
      </c>
      <c r="K726" s="131" cm="1">
        <f ca="1" t="array" ref="K726">IF(K1328=1,OFFSET($W$634,$B726,K$631-1)/SUMPRODUCT(--($D$631:$V$631=K$631),--($D1328:$V1328=1)),0)+SUM(K725)+IF(COUNTIF(K$1237:K1328,1)=1,5,0)+IF(COUNTIF(L726:$W726,"&gt;"&amp;0)&lt;5,IF(AND(COUNTIF(K$1237:K1328,1)&gt;7,MOD(1+IFERROR(MATCH($C726,总览!$D$46:$D$345,1)+1,1),7)=0),$C$3,0),0)</f>
        <v>241.366666666667</v>
      </c>
      <c r="L726" s="131" cm="1">
        <f ca="1" t="array" ref="L726">IF(L1328=1,OFFSET($W$634,$B726,L$631-1)/SUMPRODUCT(--($D$631:$V$631=L$631),--($D1328:$V1328=1)),0)+SUM(L725)+IF(COUNTIF(L$1237:L1328,1)=1,5,0)+IF(COUNTIF(M726:$W726,"&gt;"&amp;0)&lt;5,IF(AND(COUNTIF(L$1237:L1328,1)&gt;7,MOD(1+IFERROR(MATCH($C726,总览!$D$46:$D$345,1)+1,1),7)=0),$C$3,0),0)</f>
        <v>241.366666666667</v>
      </c>
      <c r="M726" s="131" cm="1">
        <f ca="1" t="array" ref="M726">IF(M1328=1,OFFSET($W$634,$B726,M$631-1)/SUMPRODUCT(--($D$631:$V$631=M$631),--($D1328:$V1328=1)),0)+SUM(M725)+IF(COUNTIF(M$1237:M1328,1)=1,5,0)+IF(COUNTIF(N726:$W726,"&gt;"&amp;0)&lt;5,IF(AND(COUNTIF(M$1237:M1328,1)&gt;7,MOD(1+IFERROR(MATCH($C726,总览!$D$46:$D$345,1)+1,1),7)=0),$C$3,0),0)</f>
        <v>90.1526785714285</v>
      </c>
      <c r="N726" s="131" cm="1">
        <f ca="1" t="array" ref="N726">IF(N1328=1,OFFSET($W$634,$B726,N$631-1)/SUMPRODUCT(--($D$631:$V$631=N$631),--($D1328:$V1328=1)),0)+SUM(N725)+IF(COUNTIF(N$1237:N1328,1)=1,5,0)+IF(COUNTIF(O726:$W726,"&gt;"&amp;0)&lt;5,IF(AND(COUNTIF(N$1237:N1328,1)&gt;7,MOD(1+IFERROR(MATCH($C726,总览!$D$46:$D$345,1)+1,1),7)=0),$C$3,0),0)</f>
        <v>91.4026785714284</v>
      </c>
      <c r="O726" s="131" cm="1">
        <f ca="1" t="array" ref="O726">IF(O1328=1,OFFSET($W$634,$B726,O$631-1)/SUMPRODUCT(--($D$631:$V$631=O$631),--($D1328:$V1328=1)),0)+SUM(O725)+IF(COUNTIF(O$1237:O1328,1)=1,5,0)+IF(COUNTIF(P726:$W726,"&gt;"&amp;0)&lt;5,IF(AND(COUNTIF(O$1237:O1328,1)&gt;7,MOD(1+IFERROR(MATCH($C726,总览!$D$46:$D$345,1)+1,1),7)=0),$C$3,0),0)</f>
        <v>96.4026785714284</v>
      </c>
      <c r="P726" s="131" cm="1">
        <f ca="1" t="array" ref="P726">IF(P1328=1,OFFSET($W$634,$B726,P$631-1)/SUMPRODUCT(--($D$631:$V$631=P$631),--($D1328:$V1328=1)),0)+SUM(P725)+IF(COUNTIF(P$1237:P1328,1)=1,5,0)+IF(COUNTIF(Q726:$W726,"&gt;"&amp;0)&lt;5,IF(AND(COUNTIF(P$1237:P1328,1)&gt;7,MOD(1+IFERROR(MATCH($C726,总览!$D$46:$D$345,1)+1,1),7)=0),$C$3,0),0)</f>
        <v>85.5214285714285</v>
      </c>
      <c r="Q726" s="131" cm="1">
        <f ca="1" t="array" ref="Q726">IF(Q1328=1,OFFSET($W$634,$B726,Q$631-1)/SUMPRODUCT(--($D$631:$V$631=Q$631),--($D1328:$V1328=1)),0)+SUM(Q725)+IF(COUNTIF(Q$1237:Q1328,1)=1,5,0)+IF(COUNTIF(R726:$W726,"&gt;"&amp;0)&lt;5,IF(AND(COUNTIF(Q$1237:Q1328,1)&gt;7,MOD(1+IFERROR(MATCH($C726,总览!$D$46:$D$345,1)+1,1),7)=0),$C$3,0),0)</f>
        <v>98.9026785714284</v>
      </c>
      <c r="R726" s="131" cm="1">
        <f ca="1" t="array" ref="R726">IF(R1328=1,OFFSET($W$634,$B726,R$631-1)/SUMPRODUCT(--($D$631:$V$631=R$631),--($D1328:$V1328=1)),0)+SUM(R725)+IF(COUNTIF(R$1237:R1328,1)=1,5,0)+IF(COUNTIF(S726:$W726,"&gt;"&amp;0)&lt;5,IF(AND(COUNTIF(R$1237:R1328,1)&gt;7,MOD(1+IFERROR(MATCH($C726,总览!$D$46:$D$345,1)+1,1),7)=0),$C$3,0),0)</f>
        <v>90.5214285714284</v>
      </c>
      <c r="S726" s="131" cm="1">
        <f ca="1" t="array" ref="S726">IF(S1328=1,OFFSET($W$634,$B726,S$631-1)/SUMPRODUCT(--($D$631:$V$631=S$631),--($D1328:$V1328=1)),0)+SUM(S725)+IF(COUNTIF(S$1237:S1328,1)=1,5,0)+IF(COUNTIF(T726:$W726,"&gt;"&amp;0)&lt;5,IF(AND(COUNTIF(S$1237:S1328,1)&gt;7,MOD(1+IFERROR(MATCH($C726,总览!$D$46:$D$345,1)+1,1),7)=0),$C$3,0),0)</f>
        <v>118.021428571428</v>
      </c>
      <c r="T726" s="131" cm="1">
        <f ca="1" t="array" ref="T726">IF(T1328=1,OFFSET($W$634,$B726,T$631-1)/SUMPRODUCT(--($D$631:$V$631=T$631),--($D1328:$V1328=1)),0)+SUM(T725)+IF(COUNTIF(T$1237:T1328,1)=1,5,0)+IF(COUNTIF(U726:$W726,"&gt;"&amp;0)&lt;5,IF(AND(COUNTIF(T$1237:T1328,1)&gt;7,MOD(1+IFERROR(MATCH($C726,总览!$D$46:$D$345,1)+1,1),7)=0),$C$3,0),0)</f>
        <v>67.7150622202642</v>
      </c>
      <c r="U726" s="131" cm="1">
        <f ca="1" t="array" ref="U726">IF(U1328=1,OFFSET($W$634,$B726,U$631-1)/SUMPRODUCT(--($D$631:$V$631=U$631),--($D1328:$V1328=1)),0)+SUM(U725)+IF(COUNTIF(U$1237:U1328,1)=1,5,0)+IF(COUNTIF(V726:$W726,"&gt;"&amp;0)&lt;5,IF(AND(COUNTIF(U$1237:U1328,1)&gt;7,MOD(1+IFERROR(MATCH($C726,总览!$D$46:$D$345,1)+1,1),7)=0),$C$3,0),0)</f>
        <v>73.2358485755638</v>
      </c>
      <c r="V726" s="131" cm="1">
        <f ca="1" t="array" ref="V726">IF(V1328=1,OFFSET($W$634,$B726,V$631-1)/SUMPRODUCT(--($D$631:$V$631=V$631),--($D1328:$V1328=1)),0)+SUM(V725)+IF(COUNTIF(V$1237:V1328,1)=1,5,0)+IF(COUNTIF(W726:$W726,"&gt;"&amp;0)&lt;5,IF(AND(COUNTIF(V$1237:V1328,1)&gt;7,MOD(1+IFERROR(MATCH($C726,总览!$D$46:$D$345,1)+1,1),7)=0),$C$3,0),0)</f>
        <v>93.0628482879972</v>
      </c>
      <c r="W726" s="135" cm="1">
        <f ca="1" t="array" ref="W726">SUMPRODUCT(TRANSPOSE($AA726:$AG726),OFFSET($L$9:$L$15,0,W$631-1))</f>
        <v>21.6942067191022</v>
      </c>
      <c r="X726" s="135" cm="1">
        <f ca="1" t="array" ref="X726">SUMPRODUCT(TRANSPOSE($AA726:$AG726),OFFSET($L$9:$L$15,0,X$631-1))</f>
        <v>18</v>
      </c>
      <c r="Y726" s="135" cm="1">
        <f ca="1" t="array" ref="Y726">SUMPRODUCT(TRANSPOSE($AA726:$AG726),OFFSET($L$9:$L$15,0,Y$631-1))</f>
        <v>8</v>
      </c>
      <c r="Z726" s="135" cm="1">
        <f ca="1" t="array" ref="Z726">SUMPRODUCT(TRANSPOSE($AA726:$AG726),OFFSET($L$9:$L$15,0,Z$631-1))</f>
        <v>2.30579328089777</v>
      </c>
      <c r="AA726" s="136">
        <f ca="1" t="shared" ref="AA726:AG726" si="425">AH726-AH725</f>
        <v>0</v>
      </c>
      <c r="AB726" s="136">
        <f ca="1" t="shared" si="425"/>
        <v>0</v>
      </c>
      <c r="AC726" s="136">
        <f ca="1" t="shared" si="425"/>
        <v>0</v>
      </c>
      <c r="AD726" s="136">
        <f ca="1" t="shared" si="425"/>
        <v>0</v>
      </c>
      <c r="AE726" s="136">
        <f ca="1" t="shared" si="425"/>
        <v>100</v>
      </c>
      <c r="AF726" s="136">
        <f ca="1" t="shared" si="425"/>
        <v>0</v>
      </c>
      <c r="AG726" s="136">
        <f ca="1" t="shared" si="425"/>
        <v>0</v>
      </c>
      <c r="AH726" s="136">
        <f ca="1" t="shared" si="371"/>
        <v>450</v>
      </c>
      <c r="AI726" s="136">
        <f ca="1" t="shared" ref="AI726:AN726" si="426">IF($C726&gt;OFFSET($Q$8,MATCH(AI$634,$AH$634:$AN$634,0),0),OFFSET($P$8,MATCH(AI$634,$AH$634:$AN$634,0),0),MAX(0,$C726-OFFSET($Q$8,RIGHT(AI$634,1)-1,0)))</f>
        <v>909</v>
      </c>
      <c r="AJ726" s="136">
        <f ca="1" t="shared" si="426"/>
        <v>1818</v>
      </c>
      <c r="AK726" s="136">
        <f ca="1" t="shared" si="426"/>
        <v>2727</v>
      </c>
      <c r="AL726" s="136">
        <f ca="1" t="shared" si="426"/>
        <v>3296</v>
      </c>
      <c r="AM726" s="136">
        <f ca="1" t="shared" si="426"/>
        <v>0</v>
      </c>
      <c r="AN726" s="136">
        <f ca="1" t="shared" si="426"/>
        <v>0</v>
      </c>
      <c r="AP726" s="132">
        <v>92</v>
      </c>
      <c r="AQ726" s="132">
        <v>153110</v>
      </c>
      <c r="AR726" s="132">
        <v>153110</v>
      </c>
      <c r="AS726" s="132">
        <v>89210</v>
      </c>
      <c r="AT726" s="132">
        <v>45380</v>
      </c>
    </row>
    <row r="727" s="106" customFormat="1" ht="16.5" spans="2:46">
      <c r="B727" s="117">
        <v>93</v>
      </c>
      <c r="C727" s="130">
        <f t="shared" si="369"/>
        <v>9300</v>
      </c>
      <c r="D727" s="131" cm="1">
        <f ca="1" t="array" ref="D727">IF(D1329=1,OFFSET($W$634,$B727,D$631-1)/SUMPRODUCT(--($D$631:$V$631=D$631),--($D1329:$V1329=1)),0)+SUM(D726)+IF(COUNTIF(D$1237:D1329,1)=1,5,0)+IF(COUNTIF(E727:$W727,"&gt;"&amp;0)&lt;5,IF(AND(COUNTIF(D$1237:D1329,1)&gt;7,MOD(1+IFERROR(MATCH($C727,总览!$D$46:$D$345,1)+1,1),7)=0),$C$3,0),0)</f>
        <v>846.185149211759</v>
      </c>
      <c r="E727" s="131" cm="1">
        <f ca="1" t="array" ref="E727">IF(E1329=1,OFFSET($W$634,$B727,E$631-1)/SUMPRODUCT(--($D$631:$V$631=E$631),--($D1329:$V1329=1)),0)+SUM(E726)+IF(COUNTIF(E$1237:E1329,1)=1,5,0)+IF(COUNTIF(F727:$W727,"&gt;"&amp;0)&lt;5,IF(AND(COUNTIF(E$1237:E1329,1)&gt;7,MOD(1+IFERROR(MATCH($C727,总览!$D$46:$D$345,1)+1,1),7)=0),$C$3,0),0)</f>
        <v>846.185149211759</v>
      </c>
      <c r="F727" s="131" cm="1">
        <f ca="1" t="array" ref="F727">IF(F1329=1,OFFSET($W$634,$B727,F$631-1)/SUMPRODUCT(--($D$631:$V$631=F$631),--($D1329:$V1329=1)),0)+SUM(F726)+IF(COUNTIF(F$1237:F1329,1)=1,5,0)+IF(COUNTIF(G727:$W727,"&gt;"&amp;0)&lt;5,IF(AND(COUNTIF(F$1237:F1329,1)&gt;7,MOD(1+IFERROR(MATCH($C727,总览!$D$46:$D$345,1)+1,1),7)=0),$C$3,0),0)</f>
        <v>846.185149211759</v>
      </c>
      <c r="G727" s="131" cm="1">
        <f ca="1" t="array" ref="G727">IF(G1329=1,OFFSET($W$634,$B727,G$631-1)/SUMPRODUCT(--($D$631:$V$631=G$631),--($D1329:$V1329=1)),0)+SUM(G726)+IF(COUNTIF(G$1237:G1329,1)=1,5,0)+IF(COUNTIF(H727:$W727,"&gt;"&amp;0)&lt;5,IF(AND(COUNTIF(G$1237:G1329,1)&gt;7,MOD(1+IFERROR(MATCH($C727,总览!$D$46:$D$345,1)+1,1),7)=0),$C$3,0),0)</f>
        <v>250.2</v>
      </c>
      <c r="H727" s="131" cm="1">
        <f ca="1" t="array" ref="H727">IF(H1329=1,OFFSET($W$634,$B727,H$631-1)/SUMPRODUCT(--($D$631:$V$631=H$631),--($D1329:$V1329=1)),0)+SUM(H726)+IF(COUNTIF(H$1237:H1329,1)=1,5,0)+IF(COUNTIF(I727:$W727,"&gt;"&amp;0)&lt;5,IF(AND(COUNTIF(H$1237:H1329,1)&gt;7,MOD(1+IFERROR(MATCH($C727,总览!$D$46:$D$345,1)+1,1),7)=0),$C$3,0),0)</f>
        <v>250.2</v>
      </c>
      <c r="I727" s="131" cm="1">
        <f ca="1" t="array" ref="I727">IF(I1329=1,OFFSET($W$634,$B727,I$631-1)/SUMPRODUCT(--($D$631:$V$631=I$631),--($D1329:$V1329=1)),0)+SUM(I726)+IF(COUNTIF(I$1237:I1329,1)=1,5,0)+IF(COUNTIF(J727:$W727,"&gt;"&amp;0)&lt;5,IF(AND(COUNTIF(I$1237:I1329,1)&gt;7,MOD(1+IFERROR(MATCH($C727,总览!$D$46:$D$345,1)+1,1),7)=0),$C$3,0),0)</f>
        <v>250.2</v>
      </c>
      <c r="J727" s="131" cm="1">
        <f ca="1" t="array" ref="J727">IF(J1329=1,OFFSET($W$634,$B727,J$631-1)/SUMPRODUCT(--($D$631:$V$631=J$631),--($D1329:$V1329=1)),0)+SUM(J726)+IF(COUNTIF(J$1237:J1329,1)=1,5,0)+IF(COUNTIF(K727:$W727,"&gt;"&amp;0)&lt;5,IF(AND(COUNTIF(J$1237:J1329,1)&gt;7,MOD(1+IFERROR(MATCH($C727,总览!$D$46:$D$345,1)+1,1),7)=0),$C$3,0),0)</f>
        <v>246.866666666667</v>
      </c>
      <c r="K727" s="131" cm="1">
        <f ca="1" t="array" ref="K727">IF(K1329=1,OFFSET($W$634,$B727,K$631-1)/SUMPRODUCT(--($D$631:$V$631=K$631),--($D1329:$V1329=1)),0)+SUM(K726)+IF(COUNTIF(K$1237:K1329,1)=1,5,0)+IF(COUNTIF(L727:$W727,"&gt;"&amp;0)&lt;5,IF(AND(COUNTIF(K$1237:K1329,1)&gt;7,MOD(1+IFERROR(MATCH($C727,总览!$D$46:$D$345,1)+1,1),7)=0),$C$3,0),0)</f>
        <v>244.366666666667</v>
      </c>
      <c r="L727" s="131" cm="1">
        <f ca="1" t="array" ref="L727">IF(L1329=1,OFFSET($W$634,$B727,L$631-1)/SUMPRODUCT(--($D$631:$V$631=L$631),--($D1329:$V1329=1)),0)+SUM(L726)+IF(COUNTIF(L$1237:L1329,1)=1,5,0)+IF(COUNTIF(M727:$W727,"&gt;"&amp;0)&lt;5,IF(AND(COUNTIF(L$1237:L1329,1)&gt;7,MOD(1+IFERROR(MATCH($C727,总览!$D$46:$D$345,1)+1,1),7)=0),$C$3,0),0)</f>
        <v>244.366666666667</v>
      </c>
      <c r="M727" s="131" cm="1">
        <f ca="1" t="array" ref="M727">IF(M1329=1,OFFSET($W$634,$B727,M$631-1)/SUMPRODUCT(--($D$631:$V$631=M$631),--($D1329:$V1329=1)),0)+SUM(M726)+IF(COUNTIF(M$1237:M1329,1)=1,5,0)+IF(COUNTIF(N727:$W727,"&gt;"&amp;0)&lt;5,IF(AND(COUNTIF(M$1237:M1329,1)&gt;7,MOD(1+IFERROR(MATCH($C727,总览!$D$46:$D$345,1)+1,1),7)=0),$C$3,0),0)</f>
        <v>91.2955357142856</v>
      </c>
      <c r="N727" s="131" cm="1">
        <f ca="1" t="array" ref="N727">IF(N1329=1,OFFSET($W$634,$B727,N$631-1)/SUMPRODUCT(--($D$631:$V$631=N$631),--($D1329:$V1329=1)),0)+SUM(N726)+IF(COUNTIF(N$1237:N1329,1)=1,5,0)+IF(COUNTIF(O727:$W727,"&gt;"&amp;0)&lt;5,IF(AND(COUNTIF(N$1237:N1329,1)&gt;7,MOD(1+IFERROR(MATCH($C727,总览!$D$46:$D$345,1)+1,1),7)=0),$C$3,0),0)</f>
        <v>92.5455357142856</v>
      </c>
      <c r="O727" s="131" cm="1">
        <f ca="1" t="array" ref="O727">IF(O1329=1,OFFSET($W$634,$B727,O$631-1)/SUMPRODUCT(--($D$631:$V$631=O$631),--($D1329:$V1329=1)),0)+SUM(O726)+IF(COUNTIF(O$1237:O1329,1)=1,5,0)+IF(COUNTIF(P727:$W727,"&gt;"&amp;0)&lt;5,IF(AND(COUNTIF(O$1237:O1329,1)&gt;7,MOD(1+IFERROR(MATCH($C727,总览!$D$46:$D$345,1)+1,1),7)=0),$C$3,0),0)</f>
        <v>97.5455357142855</v>
      </c>
      <c r="P727" s="131" cm="1">
        <f ca="1" t="array" ref="P727">IF(P1329=1,OFFSET($W$634,$B727,P$631-1)/SUMPRODUCT(--($D$631:$V$631=P$631),--($D1329:$V1329=1)),0)+SUM(P726)+IF(COUNTIF(P$1237:P1329,1)=1,5,0)+IF(COUNTIF(Q727:$W727,"&gt;"&amp;0)&lt;5,IF(AND(COUNTIF(P$1237:P1329,1)&gt;7,MOD(1+IFERROR(MATCH($C727,总览!$D$46:$D$345,1)+1,1),7)=0),$C$3,0),0)</f>
        <v>86.6642857142856</v>
      </c>
      <c r="Q727" s="131" cm="1">
        <f ca="1" t="array" ref="Q727">IF(Q1329=1,OFFSET($W$634,$B727,Q$631-1)/SUMPRODUCT(--($D$631:$V$631=Q$631),--($D1329:$V1329=1)),0)+SUM(Q726)+IF(COUNTIF(Q$1237:Q1329,1)=1,5,0)+IF(COUNTIF(R727:$W727,"&gt;"&amp;0)&lt;5,IF(AND(COUNTIF(Q$1237:Q1329,1)&gt;7,MOD(1+IFERROR(MATCH($C727,总览!$D$46:$D$345,1)+1,1),7)=0),$C$3,0),0)</f>
        <v>100.045535714286</v>
      </c>
      <c r="R727" s="131" cm="1">
        <f ca="1" t="array" ref="R727">IF(R1329=1,OFFSET($W$634,$B727,R$631-1)/SUMPRODUCT(--($D$631:$V$631=R$631),--($D1329:$V1329=1)),0)+SUM(R726)+IF(COUNTIF(R$1237:R1329,1)=1,5,0)+IF(COUNTIF(S727:$W727,"&gt;"&amp;0)&lt;5,IF(AND(COUNTIF(R$1237:R1329,1)&gt;7,MOD(1+IFERROR(MATCH($C727,总览!$D$46:$D$345,1)+1,1),7)=0),$C$3,0),0)</f>
        <v>91.6642857142856</v>
      </c>
      <c r="S727" s="131" cm="1">
        <f ca="1" t="array" ref="S727">IF(S1329=1,OFFSET($W$634,$B727,S$631-1)/SUMPRODUCT(--($D$631:$V$631=S$631),--($D1329:$V1329=1)),0)+SUM(S726)+IF(COUNTIF(S$1237:S1329,1)=1,5,0)+IF(COUNTIF(T727:$W727,"&gt;"&amp;0)&lt;5,IF(AND(COUNTIF(S$1237:S1329,1)&gt;7,MOD(1+IFERROR(MATCH($C727,总览!$D$46:$D$345,1)+1,1),7)=0),$C$3,0),0)</f>
        <v>119.164285714286</v>
      </c>
      <c r="T727" s="131" cm="1">
        <f ca="1" t="array" ref="T727">IF(T1329=1,OFFSET($W$634,$B727,T$631-1)/SUMPRODUCT(--($D$631:$V$631=T$631),--($D1329:$V1329=1)),0)+SUM(T726)+IF(COUNTIF(T$1237:T1329,1)=1,5,0)+IF(COUNTIF(U727:$W727,"&gt;"&amp;0)&lt;5,IF(AND(COUNTIF(T$1237:T1329,1)&gt;7,MOD(1+IFERROR(MATCH($C727,总览!$D$46:$D$345,1)+1,1),7)=0),$C$3,0),0)</f>
        <v>68.4836599805635</v>
      </c>
      <c r="U727" s="131" cm="1">
        <f ca="1" t="array" ref="U727">IF(U1329=1,OFFSET($W$634,$B727,U$631-1)/SUMPRODUCT(--($D$631:$V$631=U$631),--($D1329:$V1329=1)),0)+SUM(U726)+IF(COUNTIF(U$1237:U1329,1)=1,5,0)+IF(COUNTIF(V727:$W727,"&gt;"&amp;0)&lt;5,IF(AND(COUNTIF(U$1237:U1329,1)&gt;7,MOD(1+IFERROR(MATCH($C727,总览!$D$46:$D$345,1)+1,1),7)=0),$C$3,0),0)</f>
        <v>74.0044463358631</v>
      </c>
      <c r="V727" s="131" cm="1">
        <f ca="1" t="array" ref="V727">IF(V1329=1,OFFSET($W$634,$B727,V$631-1)/SUMPRODUCT(--($D$631:$V$631=V$631),--($D1329:$V1329=1)),0)+SUM(V726)+IF(COUNTIF(V$1237:V1329,1)=1,5,0)+IF(COUNTIF(W727:$W727,"&gt;"&amp;0)&lt;5,IF(AND(COUNTIF(V$1237:V1329,1)&gt;7,MOD(1+IFERROR(MATCH($C727,总览!$D$46:$D$345,1)+1,1),7)=0),$C$3,0),0)</f>
        <v>93.8314460482965</v>
      </c>
      <c r="W727" s="135" cm="1">
        <f ca="1" t="array" ref="W727">SUMPRODUCT(TRANSPOSE($AA727:$AG727),OFFSET($L$9:$L$15,0,W$631-1))</f>
        <v>21.6942067191022</v>
      </c>
      <c r="X727" s="135" cm="1">
        <f ca="1" t="array" ref="X727">SUMPRODUCT(TRANSPOSE($AA727:$AG727),OFFSET($L$9:$L$15,0,X$631-1))</f>
        <v>18</v>
      </c>
      <c r="Y727" s="135" cm="1">
        <f ca="1" t="array" ref="Y727">SUMPRODUCT(TRANSPOSE($AA727:$AG727),OFFSET($L$9:$L$15,0,Y$631-1))</f>
        <v>8</v>
      </c>
      <c r="Z727" s="135" cm="1">
        <f ca="1" t="array" ref="Z727">SUMPRODUCT(TRANSPOSE($AA727:$AG727),OFFSET($L$9:$L$15,0,Z$631-1))</f>
        <v>2.30579328089777</v>
      </c>
      <c r="AA727" s="136">
        <f ca="1" t="shared" ref="AA727:AG727" si="427">AH727-AH726</f>
        <v>0</v>
      </c>
      <c r="AB727" s="136">
        <f ca="1" t="shared" si="427"/>
        <v>0</v>
      </c>
      <c r="AC727" s="136">
        <f ca="1" t="shared" si="427"/>
        <v>0</v>
      </c>
      <c r="AD727" s="136">
        <f ca="1" t="shared" si="427"/>
        <v>0</v>
      </c>
      <c r="AE727" s="136">
        <f ca="1" t="shared" si="427"/>
        <v>100</v>
      </c>
      <c r="AF727" s="136">
        <f ca="1" t="shared" si="427"/>
        <v>0</v>
      </c>
      <c r="AG727" s="136">
        <f ca="1" t="shared" si="427"/>
        <v>0</v>
      </c>
      <c r="AH727" s="136">
        <f ca="1" t="shared" si="371"/>
        <v>450</v>
      </c>
      <c r="AI727" s="136">
        <f ca="1" t="shared" ref="AI727:AN727" si="428">IF($C727&gt;OFFSET($Q$8,MATCH(AI$634,$AH$634:$AN$634,0),0),OFFSET($P$8,MATCH(AI$634,$AH$634:$AN$634,0),0),MAX(0,$C727-OFFSET($Q$8,RIGHT(AI$634,1)-1,0)))</f>
        <v>909</v>
      </c>
      <c r="AJ727" s="136">
        <f ca="1" t="shared" si="428"/>
        <v>1818</v>
      </c>
      <c r="AK727" s="136">
        <f ca="1" t="shared" si="428"/>
        <v>2727</v>
      </c>
      <c r="AL727" s="136">
        <f ca="1" t="shared" si="428"/>
        <v>3396</v>
      </c>
      <c r="AM727" s="136">
        <f ca="1" t="shared" si="428"/>
        <v>0</v>
      </c>
      <c r="AN727" s="136">
        <f ca="1" t="shared" si="428"/>
        <v>0</v>
      </c>
      <c r="AP727" s="132">
        <v>93</v>
      </c>
      <c r="AQ727" s="132">
        <v>157790</v>
      </c>
      <c r="AR727" s="132">
        <v>157790</v>
      </c>
      <c r="AS727" s="132">
        <v>92090</v>
      </c>
      <c r="AT727" s="132">
        <v>46820</v>
      </c>
    </row>
    <row r="728" s="106" customFormat="1" ht="16.5" spans="2:46">
      <c r="B728" s="117">
        <v>94</v>
      </c>
      <c r="C728" s="130">
        <f t="shared" si="369"/>
        <v>9400</v>
      </c>
      <c r="D728" s="131" cm="1">
        <f ca="1" t="array" ref="D728">IF(D1330=1,OFFSET($W$634,$B728,D$631-1)/SUMPRODUCT(--($D$631:$V$631=D$631),--($D1330:$V1330=1)),0)+SUM(D727)+IF(COUNTIF(D$1237:D1330,1)=1,5,0)+IF(COUNTIF(E728:$W728,"&gt;"&amp;0)&lt;5,IF(AND(COUNTIF(D$1237:D1330,1)&gt;7,MOD(1+IFERROR(MATCH($C728,总览!$D$46:$D$345,1)+1,1),7)=0),$C$3,0),0)</f>
        <v>853.41655145146</v>
      </c>
      <c r="E728" s="131" cm="1">
        <f ca="1" t="array" ref="E728">IF(E1330=1,OFFSET($W$634,$B728,E$631-1)/SUMPRODUCT(--($D$631:$V$631=E$631),--($D1330:$V1330=1)),0)+SUM(E727)+IF(COUNTIF(E$1237:E1330,1)=1,5,0)+IF(COUNTIF(F728:$W728,"&gt;"&amp;0)&lt;5,IF(AND(COUNTIF(E$1237:E1330,1)&gt;7,MOD(1+IFERROR(MATCH($C728,总览!$D$46:$D$345,1)+1,1),7)=0),$C$3,0),0)</f>
        <v>853.41655145146</v>
      </c>
      <c r="F728" s="131" cm="1">
        <f ca="1" t="array" ref="F728">IF(F1330=1,OFFSET($W$634,$B728,F$631-1)/SUMPRODUCT(--($D$631:$V$631=F$631),--($D1330:$V1330=1)),0)+SUM(F727)+IF(COUNTIF(F$1237:F1330,1)=1,5,0)+IF(COUNTIF(G728:$W728,"&gt;"&amp;0)&lt;5,IF(AND(COUNTIF(F$1237:F1330,1)&gt;7,MOD(1+IFERROR(MATCH($C728,总览!$D$46:$D$345,1)+1,1),7)=0),$C$3,0),0)</f>
        <v>853.41655145146</v>
      </c>
      <c r="G728" s="131" cm="1">
        <f ca="1" t="array" ref="G728">IF(G1330=1,OFFSET($W$634,$B728,G$631-1)/SUMPRODUCT(--($D$631:$V$631=G$631),--($D1330:$V1330=1)),0)+SUM(G727)+IF(COUNTIF(G$1237:G1330,1)=1,5,0)+IF(COUNTIF(H728:$W728,"&gt;"&amp;0)&lt;5,IF(AND(COUNTIF(G$1237:G1330,1)&gt;7,MOD(1+IFERROR(MATCH($C728,总览!$D$46:$D$345,1)+1,1),7)=0),$C$3,0),0)</f>
        <v>253.2</v>
      </c>
      <c r="H728" s="131" cm="1">
        <f ca="1" t="array" ref="H728">IF(H1330=1,OFFSET($W$634,$B728,H$631-1)/SUMPRODUCT(--($D$631:$V$631=H$631),--($D1330:$V1330=1)),0)+SUM(H727)+IF(COUNTIF(H$1237:H1330,1)=1,5,0)+IF(COUNTIF(I728:$W728,"&gt;"&amp;0)&lt;5,IF(AND(COUNTIF(H$1237:H1330,1)&gt;7,MOD(1+IFERROR(MATCH($C728,总览!$D$46:$D$345,1)+1,1),7)=0),$C$3,0),0)</f>
        <v>253.2</v>
      </c>
      <c r="I728" s="131" cm="1">
        <f ca="1" t="array" ref="I728">IF(I1330=1,OFFSET($W$634,$B728,I$631-1)/SUMPRODUCT(--($D$631:$V$631=I$631),--($D1330:$V1330=1)),0)+SUM(I727)+IF(COUNTIF(I$1237:I1330,1)=1,5,0)+IF(COUNTIF(J728:$W728,"&gt;"&amp;0)&lt;5,IF(AND(COUNTIF(I$1237:I1330,1)&gt;7,MOD(1+IFERROR(MATCH($C728,总览!$D$46:$D$345,1)+1,1),7)=0),$C$3,0),0)</f>
        <v>253.2</v>
      </c>
      <c r="J728" s="131" cm="1">
        <f ca="1" t="array" ref="J728">IF(J1330=1,OFFSET($W$634,$B728,J$631-1)/SUMPRODUCT(--($D$631:$V$631=J$631),--($D1330:$V1330=1)),0)+SUM(J727)+IF(COUNTIF(J$1237:J1330,1)=1,5,0)+IF(COUNTIF(K728:$W728,"&gt;"&amp;0)&lt;5,IF(AND(COUNTIF(J$1237:J1330,1)&gt;7,MOD(1+IFERROR(MATCH($C728,总览!$D$46:$D$345,1)+1,1),7)=0),$C$3,0),0)</f>
        <v>249.866666666667</v>
      </c>
      <c r="K728" s="131" cm="1">
        <f ca="1" t="array" ref="K728">IF(K1330=1,OFFSET($W$634,$B728,K$631-1)/SUMPRODUCT(--($D$631:$V$631=K$631),--($D1330:$V1330=1)),0)+SUM(K727)+IF(COUNTIF(K$1237:K1330,1)=1,5,0)+IF(COUNTIF(L728:$W728,"&gt;"&amp;0)&lt;5,IF(AND(COUNTIF(K$1237:K1330,1)&gt;7,MOD(1+IFERROR(MATCH($C728,总览!$D$46:$D$345,1)+1,1),7)=0),$C$3,0),0)</f>
        <v>247.366666666667</v>
      </c>
      <c r="L728" s="131" cm="1">
        <f ca="1" t="array" ref="L728">IF(L1330=1,OFFSET($W$634,$B728,L$631-1)/SUMPRODUCT(--($D$631:$V$631=L$631),--($D1330:$V1330=1)),0)+SUM(L727)+IF(COUNTIF(L$1237:L1330,1)=1,5,0)+IF(COUNTIF(M728:$W728,"&gt;"&amp;0)&lt;5,IF(AND(COUNTIF(L$1237:L1330,1)&gt;7,MOD(1+IFERROR(MATCH($C728,总览!$D$46:$D$345,1)+1,1),7)=0),$C$3,0),0)</f>
        <v>247.366666666667</v>
      </c>
      <c r="M728" s="131" cm="1">
        <f ca="1" t="array" ref="M728">IF(M1330=1,OFFSET($W$634,$B728,M$631-1)/SUMPRODUCT(--($D$631:$V$631=M$631),--($D1330:$V1330=1)),0)+SUM(M727)+IF(COUNTIF(M$1237:M1330,1)=1,5,0)+IF(COUNTIF(N728:$W728,"&gt;"&amp;0)&lt;5,IF(AND(COUNTIF(M$1237:M1330,1)&gt;7,MOD(1+IFERROR(MATCH($C728,总览!$D$46:$D$345,1)+1,1),7)=0),$C$3,0),0)</f>
        <v>92.4383928571427</v>
      </c>
      <c r="N728" s="131" cm="1">
        <f ca="1" t="array" ref="N728">IF(N1330=1,OFFSET($W$634,$B728,N$631-1)/SUMPRODUCT(--($D$631:$V$631=N$631),--($D1330:$V1330=1)),0)+SUM(N727)+IF(COUNTIF(N$1237:N1330,1)=1,5,0)+IF(COUNTIF(O728:$W728,"&gt;"&amp;0)&lt;5,IF(AND(COUNTIF(N$1237:N1330,1)&gt;7,MOD(1+IFERROR(MATCH($C728,总览!$D$46:$D$345,1)+1,1),7)=0),$C$3,0),0)</f>
        <v>93.6883928571427</v>
      </c>
      <c r="O728" s="131" cm="1">
        <f ca="1" t="array" ref="O728">IF(O1330=1,OFFSET($W$634,$B728,O$631-1)/SUMPRODUCT(--($D$631:$V$631=O$631),--($D1330:$V1330=1)),0)+SUM(O727)+IF(COUNTIF(O$1237:O1330,1)=1,5,0)+IF(COUNTIF(P728:$W728,"&gt;"&amp;0)&lt;5,IF(AND(COUNTIF(O$1237:O1330,1)&gt;7,MOD(1+IFERROR(MATCH($C728,总览!$D$46:$D$345,1)+1,1),7)=0),$C$3,0),0)</f>
        <v>98.6883928571427</v>
      </c>
      <c r="P728" s="131" cm="1">
        <f ca="1" t="array" ref="P728">IF(P1330=1,OFFSET($W$634,$B728,P$631-1)/SUMPRODUCT(--($D$631:$V$631=P$631),--($D1330:$V1330=1)),0)+SUM(P727)+IF(COUNTIF(P$1237:P1330,1)=1,5,0)+IF(COUNTIF(Q728:$W728,"&gt;"&amp;0)&lt;5,IF(AND(COUNTIF(P$1237:P1330,1)&gt;7,MOD(1+IFERROR(MATCH($C728,总览!$D$46:$D$345,1)+1,1),7)=0),$C$3,0),0)</f>
        <v>87.8071428571428</v>
      </c>
      <c r="Q728" s="131" cm="1">
        <f ca="1" t="array" ref="Q728">IF(Q1330=1,OFFSET($W$634,$B728,Q$631-1)/SUMPRODUCT(--($D$631:$V$631=Q$631),--($D1330:$V1330=1)),0)+SUM(Q727)+IF(COUNTIF(Q$1237:Q1330,1)=1,5,0)+IF(COUNTIF(R728:$W728,"&gt;"&amp;0)&lt;5,IF(AND(COUNTIF(Q$1237:Q1330,1)&gt;7,MOD(1+IFERROR(MATCH($C728,总览!$D$46:$D$345,1)+1,1),7)=0),$C$3,0),0)</f>
        <v>101.188392857143</v>
      </c>
      <c r="R728" s="131" cm="1">
        <f ca="1" t="array" ref="R728">IF(R1330=1,OFFSET($W$634,$B728,R$631-1)/SUMPRODUCT(--($D$631:$V$631=R$631),--($D1330:$V1330=1)),0)+SUM(R727)+IF(COUNTIF(R$1237:R1330,1)=1,5,0)+IF(COUNTIF(S728:$W728,"&gt;"&amp;0)&lt;5,IF(AND(COUNTIF(R$1237:R1330,1)&gt;7,MOD(1+IFERROR(MATCH($C728,总览!$D$46:$D$345,1)+1,1),7)=0),$C$3,0),0)</f>
        <v>92.8071428571427</v>
      </c>
      <c r="S728" s="131" cm="1">
        <f ca="1" t="array" ref="S728">IF(S1330=1,OFFSET($W$634,$B728,S$631-1)/SUMPRODUCT(--($D$631:$V$631=S$631),--($D1330:$V1330=1)),0)+SUM(S727)+IF(COUNTIF(S$1237:S1330,1)=1,5,0)+IF(COUNTIF(T728:$W728,"&gt;"&amp;0)&lt;5,IF(AND(COUNTIF(S$1237:S1330,1)&gt;7,MOD(1+IFERROR(MATCH($C728,总览!$D$46:$D$345,1)+1,1),7)=0),$C$3,0),0)</f>
        <v>120.307142857143</v>
      </c>
      <c r="T728" s="131" cm="1">
        <f ca="1" t="array" ref="T728">IF(T1330=1,OFFSET($W$634,$B728,T$631-1)/SUMPRODUCT(--($D$631:$V$631=T$631),--($D1330:$V1330=1)),0)+SUM(T727)+IF(COUNTIF(T$1237:T1330,1)=1,5,0)+IF(COUNTIF(U728:$W728,"&gt;"&amp;0)&lt;5,IF(AND(COUNTIF(T$1237:T1330,1)&gt;7,MOD(1+IFERROR(MATCH($C728,总览!$D$46:$D$345,1)+1,1),7)=0),$C$3,0),0)</f>
        <v>69.2522577408627</v>
      </c>
      <c r="U728" s="131" cm="1">
        <f ca="1" t="array" ref="U728">IF(U1330=1,OFFSET($W$634,$B728,U$631-1)/SUMPRODUCT(--($D$631:$V$631=U$631),--($D1330:$V1330=1)),0)+SUM(U727)+IF(COUNTIF(U$1237:U1330,1)=1,5,0)+IF(COUNTIF(V728:$W728,"&gt;"&amp;0)&lt;5,IF(AND(COUNTIF(U$1237:U1330,1)&gt;7,MOD(1+IFERROR(MATCH($C728,总览!$D$46:$D$345,1)+1,1),7)=0),$C$3,0),0)</f>
        <v>74.7730440961623</v>
      </c>
      <c r="V728" s="131" cm="1">
        <f ca="1" t="array" ref="V728">IF(V1330=1,OFFSET($W$634,$B728,V$631-1)/SUMPRODUCT(--($D$631:$V$631=V$631),--($D1330:$V1330=1)),0)+SUM(V727)+IF(COUNTIF(V$1237:V1330,1)=1,5,0)+IF(COUNTIF(W728:$W728,"&gt;"&amp;0)&lt;5,IF(AND(COUNTIF(V$1237:V1330,1)&gt;7,MOD(1+IFERROR(MATCH($C728,总览!$D$46:$D$345,1)+1,1),7)=0),$C$3,0),0)</f>
        <v>94.6000438085957</v>
      </c>
      <c r="W728" s="135" cm="1">
        <f ca="1" t="array" ref="W728">SUMPRODUCT(TRANSPOSE($AA728:$AG728),OFFSET($L$9:$L$15,0,W$631-1))</f>
        <v>21.6942067191022</v>
      </c>
      <c r="X728" s="135" cm="1">
        <f ca="1" t="array" ref="X728">SUMPRODUCT(TRANSPOSE($AA728:$AG728),OFFSET($L$9:$L$15,0,X$631-1))</f>
        <v>18</v>
      </c>
      <c r="Y728" s="135" cm="1">
        <f ca="1" t="array" ref="Y728">SUMPRODUCT(TRANSPOSE($AA728:$AG728),OFFSET($L$9:$L$15,0,Y$631-1))</f>
        <v>8</v>
      </c>
      <c r="Z728" s="135" cm="1">
        <f ca="1" t="array" ref="Z728">SUMPRODUCT(TRANSPOSE($AA728:$AG728),OFFSET($L$9:$L$15,0,Z$631-1))</f>
        <v>2.30579328089777</v>
      </c>
      <c r="AA728" s="136">
        <f ca="1" t="shared" ref="AA728:AG728" si="429">AH728-AH727</f>
        <v>0</v>
      </c>
      <c r="AB728" s="136">
        <f ca="1" t="shared" si="429"/>
        <v>0</v>
      </c>
      <c r="AC728" s="136">
        <f ca="1" t="shared" si="429"/>
        <v>0</v>
      </c>
      <c r="AD728" s="136">
        <f ca="1" t="shared" si="429"/>
        <v>0</v>
      </c>
      <c r="AE728" s="136">
        <f ca="1" t="shared" si="429"/>
        <v>100</v>
      </c>
      <c r="AF728" s="136">
        <f ca="1" t="shared" si="429"/>
        <v>0</v>
      </c>
      <c r="AG728" s="136">
        <f ca="1" t="shared" si="429"/>
        <v>0</v>
      </c>
      <c r="AH728" s="136">
        <f ca="1" t="shared" si="371"/>
        <v>450</v>
      </c>
      <c r="AI728" s="136">
        <f ca="1" t="shared" ref="AI728:AN728" si="430">IF($C728&gt;OFFSET($Q$8,MATCH(AI$634,$AH$634:$AN$634,0),0),OFFSET($P$8,MATCH(AI$634,$AH$634:$AN$634,0),0),MAX(0,$C728-OFFSET($Q$8,RIGHT(AI$634,1)-1,0)))</f>
        <v>909</v>
      </c>
      <c r="AJ728" s="136">
        <f ca="1" t="shared" si="430"/>
        <v>1818</v>
      </c>
      <c r="AK728" s="136">
        <f ca="1" t="shared" si="430"/>
        <v>2727</v>
      </c>
      <c r="AL728" s="136">
        <f ca="1" t="shared" si="430"/>
        <v>3496</v>
      </c>
      <c r="AM728" s="136">
        <f ca="1" t="shared" si="430"/>
        <v>0</v>
      </c>
      <c r="AN728" s="136">
        <f ca="1" t="shared" si="430"/>
        <v>0</v>
      </c>
      <c r="AP728" s="132">
        <v>94</v>
      </c>
      <c r="AQ728" s="132">
        <v>162470</v>
      </c>
      <c r="AR728" s="132">
        <v>162470</v>
      </c>
      <c r="AS728" s="132">
        <v>94970</v>
      </c>
      <c r="AT728" s="132">
        <v>48260</v>
      </c>
    </row>
    <row r="729" s="106" customFormat="1" ht="16.5" spans="2:46">
      <c r="B729" s="117">
        <v>95</v>
      </c>
      <c r="C729" s="130">
        <f t="shared" si="369"/>
        <v>9500</v>
      </c>
      <c r="D729" s="131" cm="1">
        <f ca="1" t="array" ref="D729">IF(D1331=1,OFFSET($W$634,$B729,D$631-1)/SUMPRODUCT(--($D$631:$V$631=D$631),--($D1331:$V1331=1)),0)+SUM(D728)+IF(COUNTIF(D$1237:D1331,1)=1,5,0)+IF(COUNTIF(E729:$W729,"&gt;"&amp;0)&lt;5,IF(AND(COUNTIF(D$1237:D1331,1)&gt;7,MOD(1+IFERROR(MATCH($C729,总览!$D$46:$D$345,1)+1,1),7)=0),$C$3,0),0)</f>
        <v>860.647953691161</v>
      </c>
      <c r="E729" s="131" cm="1">
        <f ca="1" t="array" ref="E729">IF(E1331=1,OFFSET($W$634,$B729,E$631-1)/SUMPRODUCT(--($D$631:$V$631=E$631),--($D1331:$V1331=1)),0)+SUM(E728)+IF(COUNTIF(E$1237:E1331,1)=1,5,0)+IF(COUNTIF(F729:$W729,"&gt;"&amp;0)&lt;5,IF(AND(COUNTIF(E$1237:E1331,1)&gt;7,MOD(1+IFERROR(MATCH($C729,总览!$D$46:$D$345,1)+1,1),7)=0),$C$3,0),0)</f>
        <v>860.647953691161</v>
      </c>
      <c r="F729" s="131" cm="1">
        <f ca="1" t="array" ref="F729">IF(F1331=1,OFFSET($W$634,$B729,F$631-1)/SUMPRODUCT(--($D$631:$V$631=F$631),--($D1331:$V1331=1)),0)+SUM(F728)+IF(COUNTIF(F$1237:F1331,1)=1,5,0)+IF(COUNTIF(G729:$W729,"&gt;"&amp;0)&lt;5,IF(AND(COUNTIF(F$1237:F1331,1)&gt;7,MOD(1+IFERROR(MATCH($C729,总览!$D$46:$D$345,1)+1,1),7)=0),$C$3,0),0)</f>
        <v>860.647953691161</v>
      </c>
      <c r="G729" s="131" cm="1">
        <f ca="1" t="array" ref="G729">IF(G1331=1,OFFSET($W$634,$B729,G$631-1)/SUMPRODUCT(--($D$631:$V$631=G$631),--($D1331:$V1331=1)),0)+SUM(G728)+IF(COUNTIF(G$1237:G1331,1)=1,5,0)+IF(COUNTIF(H729:$W729,"&gt;"&amp;0)&lt;5,IF(AND(COUNTIF(G$1237:G1331,1)&gt;7,MOD(1+IFERROR(MATCH($C729,总览!$D$46:$D$345,1)+1,1),7)=0),$C$3,0),0)</f>
        <v>256.2</v>
      </c>
      <c r="H729" s="131" cm="1">
        <f ca="1" t="array" ref="H729">IF(H1331=1,OFFSET($W$634,$B729,H$631-1)/SUMPRODUCT(--($D$631:$V$631=H$631),--($D1331:$V1331=1)),0)+SUM(H728)+IF(COUNTIF(H$1237:H1331,1)=1,5,0)+IF(COUNTIF(I729:$W729,"&gt;"&amp;0)&lt;5,IF(AND(COUNTIF(H$1237:H1331,1)&gt;7,MOD(1+IFERROR(MATCH($C729,总览!$D$46:$D$345,1)+1,1),7)=0),$C$3,0),0)</f>
        <v>256.2</v>
      </c>
      <c r="I729" s="131" cm="1">
        <f ca="1" t="array" ref="I729">IF(I1331=1,OFFSET($W$634,$B729,I$631-1)/SUMPRODUCT(--($D$631:$V$631=I$631),--($D1331:$V1331=1)),0)+SUM(I728)+IF(COUNTIF(I$1237:I1331,1)=1,5,0)+IF(COUNTIF(J729:$W729,"&gt;"&amp;0)&lt;5,IF(AND(COUNTIF(I$1237:I1331,1)&gt;7,MOD(1+IFERROR(MATCH($C729,总览!$D$46:$D$345,1)+1,1),7)=0),$C$3,0),0)</f>
        <v>256.2</v>
      </c>
      <c r="J729" s="131" cm="1">
        <f ca="1" t="array" ref="J729">IF(J1331=1,OFFSET($W$634,$B729,J$631-1)/SUMPRODUCT(--($D$631:$V$631=J$631),--($D1331:$V1331=1)),0)+SUM(J728)+IF(COUNTIF(J$1237:J1331,1)=1,5,0)+IF(COUNTIF(K729:$W729,"&gt;"&amp;0)&lt;5,IF(AND(COUNTIF(J$1237:J1331,1)&gt;7,MOD(1+IFERROR(MATCH($C729,总览!$D$46:$D$345,1)+1,1),7)=0),$C$3,0),0)</f>
        <v>252.866666666667</v>
      </c>
      <c r="K729" s="131" cm="1">
        <f ca="1" t="array" ref="K729">IF(K1331=1,OFFSET($W$634,$B729,K$631-1)/SUMPRODUCT(--($D$631:$V$631=K$631),--($D1331:$V1331=1)),0)+SUM(K728)+IF(COUNTIF(K$1237:K1331,1)=1,5,0)+IF(COUNTIF(L729:$W729,"&gt;"&amp;0)&lt;5,IF(AND(COUNTIF(K$1237:K1331,1)&gt;7,MOD(1+IFERROR(MATCH($C729,总览!$D$46:$D$345,1)+1,1),7)=0),$C$3,0),0)</f>
        <v>250.366666666667</v>
      </c>
      <c r="L729" s="131" cm="1">
        <f ca="1" t="array" ref="L729">IF(L1331=1,OFFSET($W$634,$B729,L$631-1)/SUMPRODUCT(--($D$631:$V$631=L$631),--($D1331:$V1331=1)),0)+SUM(L728)+IF(COUNTIF(L$1237:L1331,1)=1,5,0)+IF(COUNTIF(M729:$W729,"&gt;"&amp;0)&lt;5,IF(AND(COUNTIF(L$1237:L1331,1)&gt;7,MOD(1+IFERROR(MATCH($C729,总览!$D$46:$D$345,1)+1,1),7)=0),$C$3,0),0)</f>
        <v>250.366666666667</v>
      </c>
      <c r="M729" s="131" cm="1">
        <f ca="1" t="array" ref="M729">IF(M1331=1,OFFSET($W$634,$B729,M$631-1)/SUMPRODUCT(--($D$631:$V$631=M$631),--($D1331:$V1331=1)),0)+SUM(M728)+IF(COUNTIF(M$1237:M1331,1)=1,5,0)+IF(COUNTIF(N729:$W729,"&gt;"&amp;0)&lt;5,IF(AND(COUNTIF(M$1237:M1331,1)&gt;7,MOD(1+IFERROR(MATCH($C729,总览!$D$46:$D$345,1)+1,1),7)=0),$C$3,0),0)</f>
        <v>93.5812499999999</v>
      </c>
      <c r="N729" s="131" cm="1">
        <f ca="1" t="array" ref="N729">IF(N1331=1,OFFSET($W$634,$B729,N$631-1)/SUMPRODUCT(--($D$631:$V$631=N$631),--($D1331:$V1331=1)),0)+SUM(N728)+IF(COUNTIF(N$1237:N1331,1)=1,5,0)+IF(COUNTIF(O729:$W729,"&gt;"&amp;0)&lt;5,IF(AND(COUNTIF(N$1237:N1331,1)&gt;7,MOD(1+IFERROR(MATCH($C729,总览!$D$46:$D$345,1)+1,1),7)=0),$C$3,0),0)</f>
        <v>94.8312499999999</v>
      </c>
      <c r="O729" s="131" cm="1">
        <f ca="1" t="array" ref="O729">IF(O1331=1,OFFSET($W$634,$B729,O$631-1)/SUMPRODUCT(--($D$631:$V$631=O$631),--($D1331:$V1331=1)),0)+SUM(O728)+IF(COUNTIF(O$1237:O1331,1)=1,5,0)+IF(COUNTIF(P729:$W729,"&gt;"&amp;0)&lt;5,IF(AND(COUNTIF(O$1237:O1331,1)&gt;7,MOD(1+IFERROR(MATCH($C729,总览!$D$46:$D$345,1)+1,1),7)=0),$C$3,0),0)</f>
        <v>99.8312499999998</v>
      </c>
      <c r="P729" s="131" cm="1">
        <f ca="1" t="array" ref="P729">IF(P1331=1,OFFSET($W$634,$B729,P$631-1)/SUMPRODUCT(--($D$631:$V$631=P$631),--($D1331:$V1331=1)),0)+SUM(P728)+IF(COUNTIF(P$1237:P1331,1)=1,5,0)+IF(COUNTIF(Q729:$W729,"&gt;"&amp;0)&lt;5,IF(AND(COUNTIF(P$1237:P1331,1)&gt;7,MOD(1+IFERROR(MATCH($C729,总览!$D$46:$D$345,1)+1,1),7)=0),$C$3,0),0)</f>
        <v>88.9499999999999</v>
      </c>
      <c r="Q729" s="131" cm="1">
        <f ca="1" t="array" ref="Q729">IF(Q1331=1,OFFSET($W$634,$B729,Q$631-1)/SUMPRODUCT(--($D$631:$V$631=Q$631),--($D1331:$V1331=1)),0)+SUM(Q728)+IF(COUNTIF(Q$1237:Q1331,1)=1,5,0)+IF(COUNTIF(R729:$W729,"&gt;"&amp;0)&lt;5,IF(AND(COUNTIF(Q$1237:Q1331,1)&gt;7,MOD(1+IFERROR(MATCH($C729,总览!$D$46:$D$345,1)+1,1),7)=0),$C$3,0),0)</f>
        <v>102.33125</v>
      </c>
      <c r="R729" s="131" cm="1">
        <f ca="1" t="array" ref="R729">IF(R1331=1,OFFSET($W$634,$B729,R$631-1)/SUMPRODUCT(--($D$631:$V$631=R$631),--($D1331:$V1331=1)),0)+SUM(R728)+IF(COUNTIF(R$1237:R1331,1)=1,5,0)+IF(COUNTIF(S729:$W729,"&gt;"&amp;0)&lt;5,IF(AND(COUNTIF(R$1237:R1331,1)&gt;7,MOD(1+IFERROR(MATCH($C729,总览!$D$46:$D$345,1)+1,1),7)=0),$C$3,0),0)</f>
        <v>93.9499999999999</v>
      </c>
      <c r="S729" s="131" cm="1">
        <f ca="1" t="array" ref="S729">IF(S1331=1,OFFSET($W$634,$B729,S$631-1)/SUMPRODUCT(--($D$631:$V$631=S$631),--($D1331:$V1331=1)),0)+SUM(S728)+IF(COUNTIF(S$1237:S1331,1)=1,5,0)+IF(COUNTIF(T729:$W729,"&gt;"&amp;0)&lt;5,IF(AND(COUNTIF(S$1237:S1331,1)&gt;7,MOD(1+IFERROR(MATCH($C729,总览!$D$46:$D$345,1)+1,1),7)=0),$C$3,0),0)</f>
        <v>121.45</v>
      </c>
      <c r="T729" s="131" cm="1">
        <f ca="1" t="array" ref="T729">IF(T1331=1,OFFSET($W$634,$B729,T$631-1)/SUMPRODUCT(--($D$631:$V$631=T$631),--($D1331:$V1331=1)),0)+SUM(T728)+IF(COUNTIF(T$1237:T1331,1)=1,5,0)+IF(COUNTIF(U729:$W729,"&gt;"&amp;0)&lt;5,IF(AND(COUNTIF(T$1237:T1331,1)&gt;7,MOD(1+IFERROR(MATCH($C729,总览!$D$46:$D$345,1)+1,1),7)=0),$C$3,0),0)</f>
        <v>70.020855501162</v>
      </c>
      <c r="U729" s="131" cm="1">
        <f ca="1" t="array" ref="U729">IF(U1331=1,OFFSET($W$634,$B729,U$631-1)/SUMPRODUCT(--($D$631:$V$631=U$631),--($D1331:$V1331=1)),0)+SUM(U728)+IF(COUNTIF(U$1237:U1331,1)=1,5,0)+IF(COUNTIF(V729:$W729,"&gt;"&amp;0)&lt;5,IF(AND(COUNTIF(U$1237:U1331,1)&gt;7,MOD(1+IFERROR(MATCH($C729,总览!$D$46:$D$345,1)+1,1),7)=0),$C$3,0),0)</f>
        <v>75.5416418564616</v>
      </c>
      <c r="V729" s="131" cm="1">
        <f ca="1" t="array" ref="V729">IF(V1331=1,OFFSET($W$634,$B729,V$631-1)/SUMPRODUCT(--($D$631:$V$631=V$631),--($D1331:$V1331=1)),0)+SUM(V728)+IF(COUNTIF(V$1237:V1331,1)=1,5,0)+IF(COUNTIF(W729:$W729,"&gt;"&amp;0)&lt;5,IF(AND(COUNTIF(V$1237:V1331,1)&gt;7,MOD(1+IFERROR(MATCH($C729,总览!$D$46:$D$345,1)+1,1),7)=0),$C$3,0),0)</f>
        <v>95.368641568895</v>
      </c>
      <c r="W729" s="135" cm="1">
        <f ca="1" t="array" ref="W729">SUMPRODUCT(TRANSPOSE($AA729:$AG729),OFFSET($L$9:$L$15,0,W$631-1))</f>
        <v>21.6942067191022</v>
      </c>
      <c r="X729" s="135" cm="1">
        <f ca="1" t="array" ref="X729">SUMPRODUCT(TRANSPOSE($AA729:$AG729),OFFSET($L$9:$L$15,0,X$631-1))</f>
        <v>18</v>
      </c>
      <c r="Y729" s="135" cm="1">
        <f ca="1" t="array" ref="Y729">SUMPRODUCT(TRANSPOSE($AA729:$AG729),OFFSET($L$9:$L$15,0,Y$631-1))</f>
        <v>8</v>
      </c>
      <c r="Z729" s="135" cm="1">
        <f ca="1" t="array" ref="Z729">SUMPRODUCT(TRANSPOSE($AA729:$AG729),OFFSET($L$9:$L$15,0,Z$631-1))</f>
        <v>2.30579328089777</v>
      </c>
      <c r="AA729" s="136">
        <f ca="1" t="shared" ref="AA729:AG729" si="431">AH729-AH728</f>
        <v>0</v>
      </c>
      <c r="AB729" s="136">
        <f ca="1" t="shared" si="431"/>
        <v>0</v>
      </c>
      <c r="AC729" s="136">
        <f ca="1" t="shared" si="431"/>
        <v>0</v>
      </c>
      <c r="AD729" s="136">
        <f ca="1" t="shared" si="431"/>
        <v>0</v>
      </c>
      <c r="AE729" s="136">
        <f ca="1" t="shared" si="431"/>
        <v>100</v>
      </c>
      <c r="AF729" s="136">
        <f ca="1" t="shared" si="431"/>
        <v>0</v>
      </c>
      <c r="AG729" s="136">
        <f ca="1" t="shared" si="431"/>
        <v>0</v>
      </c>
      <c r="AH729" s="136">
        <f ca="1" t="shared" si="371"/>
        <v>450</v>
      </c>
      <c r="AI729" s="136">
        <f ca="1" t="shared" ref="AI729:AN729" si="432">IF($C729&gt;OFFSET($Q$8,MATCH(AI$634,$AH$634:$AN$634,0),0),OFFSET($P$8,MATCH(AI$634,$AH$634:$AN$634,0),0),MAX(0,$C729-OFFSET($Q$8,RIGHT(AI$634,1)-1,0)))</f>
        <v>909</v>
      </c>
      <c r="AJ729" s="136">
        <f ca="1" t="shared" si="432"/>
        <v>1818</v>
      </c>
      <c r="AK729" s="136">
        <f ca="1" t="shared" si="432"/>
        <v>2727</v>
      </c>
      <c r="AL729" s="136">
        <f ca="1" t="shared" si="432"/>
        <v>3596</v>
      </c>
      <c r="AM729" s="136">
        <f ca="1" t="shared" si="432"/>
        <v>0</v>
      </c>
      <c r="AN729" s="136">
        <f ca="1" t="shared" si="432"/>
        <v>0</v>
      </c>
      <c r="AP729" s="132">
        <v>95</v>
      </c>
      <c r="AQ729" s="132">
        <v>167150</v>
      </c>
      <c r="AR729" s="132">
        <v>167150</v>
      </c>
      <c r="AS729" s="132">
        <v>97850</v>
      </c>
      <c r="AT729" s="132">
        <v>49700</v>
      </c>
    </row>
    <row r="730" s="106" customFormat="1" ht="16.5" spans="2:46">
      <c r="B730" s="117">
        <v>96</v>
      </c>
      <c r="C730" s="130">
        <f t="shared" si="369"/>
        <v>9600</v>
      </c>
      <c r="D730" s="131" cm="1">
        <f ca="1" t="array" ref="D730">IF(D1332=1,OFFSET($W$634,$B730,D$631-1)/SUMPRODUCT(--($D$631:$V$631=D$631),--($D1332:$V1332=1)),0)+SUM(D729)+IF(COUNTIF(D$1237:D1332,1)=1,5,0)+IF(COUNTIF(E730:$W730,"&gt;"&amp;0)&lt;5,IF(AND(COUNTIF(D$1237:D1332,1)&gt;7,MOD(1+IFERROR(MATCH($C730,总览!$D$46:$D$345,1)+1,1),7)=0),$C$3,0),0)</f>
        <v>866.910558599974</v>
      </c>
      <c r="E730" s="131" cm="1">
        <f ca="1" t="array" ref="E730">IF(E1332=1,OFFSET($W$634,$B730,E$631-1)/SUMPRODUCT(--($D$631:$V$631=E$631),--($D1332:$V1332=1)),0)+SUM(E729)+IF(COUNTIF(E$1237:E1332,1)=1,5,0)+IF(COUNTIF(F730:$W730,"&gt;"&amp;0)&lt;5,IF(AND(COUNTIF(E$1237:E1332,1)&gt;7,MOD(1+IFERROR(MATCH($C730,总览!$D$46:$D$345,1)+1,1),7)=0),$C$3,0),0)</f>
        <v>866.910558599974</v>
      </c>
      <c r="F730" s="131" cm="1">
        <f ca="1" t="array" ref="F730">IF(F1332=1,OFFSET($W$634,$B730,F$631-1)/SUMPRODUCT(--($D$631:$V$631=F$631),--($D1332:$V1332=1)),0)+SUM(F729)+IF(COUNTIF(F$1237:F1332,1)=1,5,0)+IF(COUNTIF(G730:$W730,"&gt;"&amp;0)&lt;5,IF(AND(COUNTIF(F$1237:F1332,1)&gt;7,MOD(1+IFERROR(MATCH($C730,总览!$D$46:$D$345,1)+1,1),7)=0),$C$3,0),0)</f>
        <v>866.910558599974</v>
      </c>
      <c r="G730" s="131" cm="1">
        <f ca="1" t="array" ref="G730">IF(G1332=1,OFFSET($W$634,$B730,G$631-1)/SUMPRODUCT(--($D$631:$V$631=G$631),--($D1332:$V1332=1)),0)+SUM(G729)+IF(COUNTIF(G$1237:G1332,1)=1,5,0)+IF(COUNTIF(H730:$W730,"&gt;"&amp;0)&lt;5,IF(AND(COUNTIF(G$1237:G1332,1)&gt;7,MOD(1+IFERROR(MATCH($C730,总览!$D$46:$D$345,1)+1,1),7)=0),$C$3,0),0)</f>
        <v>259.4</v>
      </c>
      <c r="H730" s="131" cm="1">
        <f ca="1" t="array" ref="H730">IF(H1332=1,OFFSET($W$634,$B730,H$631-1)/SUMPRODUCT(--($D$631:$V$631=H$631),--($D1332:$V1332=1)),0)+SUM(H729)+IF(COUNTIF(H$1237:H1332,1)=1,5,0)+IF(COUNTIF(I730:$W730,"&gt;"&amp;0)&lt;5,IF(AND(COUNTIF(H$1237:H1332,1)&gt;7,MOD(1+IFERROR(MATCH($C730,总览!$D$46:$D$345,1)+1,1),7)=0),$C$3,0),0)</f>
        <v>259.4</v>
      </c>
      <c r="I730" s="131" cm="1">
        <f ca="1" t="array" ref="I730">IF(I1332=1,OFFSET($W$634,$B730,I$631-1)/SUMPRODUCT(--($D$631:$V$631=I$631),--($D1332:$V1332=1)),0)+SUM(I729)+IF(COUNTIF(I$1237:I1332,1)=1,5,0)+IF(COUNTIF(J730:$W730,"&gt;"&amp;0)&lt;5,IF(AND(COUNTIF(I$1237:I1332,1)&gt;7,MOD(1+IFERROR(MATCH($C730,总览!$D$46:$D$345,1)+1,1),7)=0),$C$3,0),0)</f>
        <v>259.4</v>
      </c>
      <c r="J730" s="131" cm="1">
        <f ca="1" t="array" ref="J730">IF(J1332=1,OFFSET($W$634,$B730,J$631-1)/SUMPRODUCT(--($D$631:$V$631=J$631),--($D1332:$V1332=1)),0)+SUM(J729)+IF(COUNTIF(J$1237:J1332,1)=1,5,0)+IF(COUNTIF(K730:$W730,"&gt;"&amp;0)&lt;5,IF(AND(COUNTIF(J$1237:J1332,1)&gt;7,MOD(1+IFERROR(MATCH($C730,总览!$D$46:$D$345,1)+1,1),7)=0),$C$3,0),0)</f>
        <v>256.066666666667</v>
      </c>
      <c r="K730" s="131" cm="1">
        <f ca="1" t="array" ref="K730">IF(K1332=1,OFFSET($W$634,$B730,K$631-1)/SUMPRODUCT(--($D$631:$V$631=K$631),--($D1332:$V1332=1)),0)+SUM(K729)+IF(COUNTIF(K$1237:K1332,1)=1,5,0)+IF(COUNTIF(L730:$W730,"&gt;"&amp;0)&lt;5,IF(AND(COUNTIF(K$1237:K1332,1)&gt;7,MOD(1+IFERROR(MATCH($C730,总览!$D$46:$D$345,1)+1,1),7)=0),$C$3,0),0)</f>
        <v>253.566666666667</v>
      </c>
      <c r="L730" s="131" cm="1">
        <f ca="1" t="array" ref="L730">IF(L1332=1,OFFSET($W$634,$B730,L$631-1)/SUMPRODUCT(--($D$631:$V$631=L$631),--($D1332:$V1332=1)),0)+SUM(L729)+IF(COUNTIF(L$1237:L1332,1)=1,5,0)+IF(COUNTIF(M730:$W730,"&gt;"&amp;0)&lt;5,IF(AND(COUNTIF(L$1237:L1332,1)&gt;7,MOD(1+IFERROR(MATCH($C730,总览!$D$46:$D$345,1)+1,1),7)=0),$C$3,0),0)</f>
        <v>253.566666666667</v>
      </c>
      <c r="M730" s="131" cm="1">
        <f ca="1" t="array" ref="M730">IF(M1332=1,OFFSET($W$634,$B730,M$631-1)/SUMPRODUCT(--($D$631:$V$631=M$631),--($D1332:$V1332=1)),0)+SUM(M729)+IF(COUNTIF(M$1237:M1332,1)=1,5,0)+IF(COUNTIF(N730:$W730,"&gt;"&amp;0)&lt;5,IF(AND(COUNTIF(M$1237:M1332,1)&gt;7,MOD(1+IFERROR(MATCH($C730,总览!$D$46:$D$345,1)+1,1),7)=0),$C$3,0),0)</f>
        <v>94.8955357142856</v>
      </c>
      <c r="N730" s="131" cm="1">
        <f ca="1" t="array" ref="N730">IF(N1332=1,OFFSET($W$634,$B730,N$631-1)/SUMPRODUCT(--($D$631:$V$631=N$631),--($D1332:$V1332=1)),0)+SUM(N729)+IF(COUNTIF(N$1237:N1332,1)=1,5,0)+IF(COUNTIF(O730:$W730,"&gt;"&amp;0)&lt;5,IF(AND(COUNTIF(N$1237:N1332,1)&gt;7,MOD(1+IFERROR(MATCH($C730,总览!$D$46:$D$345,1)+1,1),7)=0),$C$3,0),0)</f>
        <v>96.1455357142856</v>
      </c>
      <c r="O730" s="131" cm="1">
        <f ca="1" t="array" ref="O730">IF(O1332=1,OFFSET($W$634,$B730,O$631-1)/SUMPRODUCT(--($D$631:$V$631=O$631),--($D1332:$V1332=1)),0)+SUM(O729)+IF(COUNTIF(O$1237:O1332,1)=1,5,0)+IF(COUNTIF(P730:$W730,"&gt;"&amp;0)&lt;5,IF(AND(COUNTIF(O$1237:O1332,1)&gt;7,MOD(1+IFERROR(MATCH($C730,总览!$D$46:$D$345,1)+1,1),7)=0),$C$3,0),0)</f>
        <v>101.145535714286</v>
      </c>
      <c r="P730" s="131" cm="1">
        <f ca="1" t="array" ref="P730">IF(P1332=1,OFFSET($W$634,$B730,P$631-1)/SUMPRODUCT(--($D$631:$V$631=P$631),--($D1332:$V1332=1)),0)+SUM(P729)+IF(COUNTIF(P$1237:P1332,1)=1,5,0)+IF(COUNTIF(Q730:$W730,"&gt;"&amp;0)&lt;5,IF(AND(COUNTIF(P$1237:P1332,1)&gt;7,MOD(1+IFERROR(MATCH($C730,总览!$D$46:$D$345,1)+1,1),7)=0),$C$3,0),0)</f>
        <v>90.2642857142856</v>
      </c>
      <c r="Q730" s="131" cm="1">
        <f ca="1" t="array" ref="Q730">IF(Q1332=1,OFFSET($W$634,$B730,Q$631-1)/SUMPRODUCT(--($D$631:$V$631=Q$631),--($D1332:$V1332=1)),0)+SUM(Q729)+IF(COUNTIF(Q$1237:Q1332,1)=1,5,0)+IF(COUNTIF(R730:$W730,"&gt;"&amp;0)&lt;5,IF(AND(COUNTIF(Q$1237:Q1332,1)&gt;7,MOD(1+IFERROR(MATCH($C730,总览!$D$46:$D$345,1)+1,1),7)=0),$C$3,0),0)</f>
        <v>103.645535714286</v>
      </c>
      <c r="R730" s="131" cm="1">
        <f ca="1" t="array" ref="R730">IF(R1332=1,OFFSET($W$634,$B730,R$631-1)/SUMPRODUCT(--($D$631:$V$631=R$631),--($D1332:$V1332=1)),0)+SUM(R729)+IF(COUNTIF(R$1237:R1332,1)=1,5,0)+IF(COUNTIF(S730:$W730,"&gt;"&amp;0)&lt;5,IF(AND(COUNTIF(R$1237:R1332,1)&gt;7,MOD(1+IFERROR(MATCH($C730,总览!$D$46:$D$345,1)+1,1),7)=0),$C$3,0),0)</f>
        <v>95.2642857142856</v>
      </c>
      <c r="S730" s="131" cm="1">
        <f ca="1" t="array" ref="S730">IF(S1332=1,OFFSET($W$634,$B730,S$631-1)/SUMPRODUCT(--($D$631:$V$631=S$631),--($D1332:$V1332=1)),0)+SUM(S729)+IF(COUNTIF(S$1237:S1332,1)=1,5,0)+IF(COUNTIF(T730:$W730,"&gt;"&amp;0)&lt;5,IF(AND(COUNTIF(S$1237:S1332,1)&gt;7,MOD(1+IFERROR(MATCH($C730,总览!$D$46:$D$345,1)+1,1),7)=0),$C$3,0),0)</f>
        <v>122.764285714286</v>
      </c>
      <c r="T730" s="131" cm="1">
        <f ca="1" t="array" ref="T730">IF(T1332=1,OFFSET($W$634,$B730,T$631-1)/SUMPRODUCT(--($D$631:$V$631=T$631),--($D1332:$V1332=1)),0)+SUM(T729)+IF(COUNTIF(T$1237:T1332,1)=1,5,0)+IF(COUNTIF(U730:$W730,"&gt;"&amp;0)&lt;5,IF(AND(COUNTIF(T$1237:T1332,1)&gt;7,MOD(1+IFERROR(MATCH($C730,总览!$D$46:$D$345,1)+1,1),7)=0),$C$3,0),0)</f>
        <v>70.9582505923494</v>
      </c>
      <c r="U730" s="131" cm="1">
        <f ca="1" t="array" ref="U730">IF(U1332=1,OFFSET($W$634,$B730,U$631-1)/SUMPRODUCT(--($D$631:$V$631=U$631),--($D1332:$V1332=1)),0)+SUM(U729)+IF(COUNTIF(U$1237:U1332,1)=1,5,0)+IF(COUNTIF(V730:$W730,"&gt;"&amp;0)&lt;5,IF(AND(COUNTIF(U$1237:U1332,1)&gt;7,MOD(1+IFERROR(MATCH($C730,总览!$D$46:$D$345,1)+1,1),7)=0),$C$3,0),0)</f>
        <v>76.479036947649</v>
      </c>
      <c r="V730" s="131" cm="1">
        <f ca="1" t="array" ref="V730">IF(V1332=1,OFFSET($W$634,$B730,V$631-1)/SUMPRODUCT(--($D$631:$V$631=V$631),--($D1332:$V1332=1)),0)+SUM(V729)+IF(COUNTIF(V$1237:V1332,1)=1,5,0)+IF(COUNTIF(W730:$W730,"&gt;"&amp;0)&lt;5,IF(AND(COUNTIF(V$1237:V1332,1)&gt;7,MOD(1+IFERROR(MATCH($C730,总览!$D$46:$D$345,1)+1,1),7)=0),$C$3,0),0)</f>
        <v>96.3060366600824</v>
      </c>
      <c r="W730" s="135" cm="1">
        <f ca="1" t="array" ref="W730">SUMPRODUCT(TRANSPOSE($AA730:$AG730),OFFSET($L$9:$L$15,0,W$631-1))</f>
        <v>18.7878147264378</v>
      </c>
      <c r="X730" s="135" cm="1">
        <f ca="1" t="array" ref="X730">SUMPRODUCT(TRANSPOSE($AA730:$AG730),OFFSET($L$9:$L$15,0,X$631-1))</f>
        <v>19.2</v>
      </c>
      <c r="Y730" s="135" cm="1">
        <f ca="1" t="array" ref="Y730">SUMPRODUCT(TRANSPOSE($AA730:$AG730),OFFSET($L$9:$L$15,0,Y$631-1))</f>
        <v>9.2</v>
      </c>
      <c r="Z730" s="135" cm="1">
        <f ca="1" t="array" ref="Z730">SUMPRODUCT(TRANSPOSE($AA730:$AG730),OFFSET($L$9:$L$15,0,Z$631-1))</f>
        <v>2.81218527356219</v>
      </c>
      <c r="AA730" s="136">
        <f ca="1" t="shared" ref="AA730:AG730" si="433">AH730-AH729</f>
        <v>0</v>
      </c>
      <c r="AB730" s="136">
        <f ca="1" t="shared" si="433"/>
        <v>0</v>
      </c>
      <c r="AC730" s="136">
        <f ca="1" t="shared" si="433"/>
        <v>0</v>
      </c>
      <c r="AD730" s="136">
        <f ca="1" t="shared" si="433"/>
        <v>0</v>
      </c>
      <c r="AE730" s="136">
        <f ca="1" t="shared" si="433"/>
        <v>40</v>
      </c>
      <c r="AF730" s="136">
        <f ca="1" t="shared" si="433"/>
        <v>60</v>
      </c>
      <c r="AG730" s="136">
        <f ca="1" t="shared" si="433"/>
        <v>0</v>
      </c>
      <c r="AH730" s="136">
        <f ca="1" t="shared" si="371"/>
        <v>450</v>
      </c>
      <c r="AI730" s="136">
        <f ca="1" t="shared" ref="AI730:AN730" si="434">IF($C730&gt;OFFSET($Q$8,MATCH(AI$634,$AH$634:$AN$634,0),0),OFFSET($P$8,MATCH(AI$634,$AH$634:$AN$634,0),0),MAX(0,$C730-OFFSET($Q$8,RIGHT(AI$634,1)-1,0)))</f>
        <v>909</v>
      </c>
      <c r="AJ730" s="136">
        <f ca="1" t="shared" si="434"/>
        <v>1818</v>
      </c>
      <c r="AK730" s="136">
        <f ca="1" t="shared" si="434"/>
        <v>2727</v>
      </c>
      <c r="AL730" s="136">
        <f ca="1" t="shared" si="434"/>
        <v>3636</v>
      </c>
      <c r="AM730" s="136">
        <f ca="1" t="shared" si="434"/>
        <v>60</v>
      </c>
      <c r="AN730" s="136">
        <f ca="1" t="shared" si="434"/>
        <v>0</v>
      </c>
      <c r="AP730" s="132">
        <v>96</v>
      </c>
      <c r="AQ730" s="132">
        <v>172190</v>
      </c>
      <c r="AR730" s="132">
        <v>172190</v>
      </c>
      <c r="AS730" s="132">
        <v>100970</v>
      </c>
      <c r="AT730" s="132">
        <v>51260</v>
      </c>
    </row>
    <row r="731" s="106" customFormat="1" ht="16.5" spans="2:46">
      <c r="B731" s="117">
        <v>97</v>
      </c>
      <c r="C731" s="130">
        <f t="shared" si="369"/>
        <v>9700</v>
      </c>
      <c r="D731" s="131" cm="1">
        <f ca="1" t="array" ref="D731">IF(D1333=1,OFFSET($W$634,$B731,D$631-1)/SUMPRODUCT(--($D$631:$V$631=D$631),--($D1333:$V1333=1)),0)+SUM(D730)+IF(COUNTIF(D$1237:D1333,1)=1,5,0)+IF(COUNTIF(E731:$W731,"&gt;"&amp;0)&lt;5,IF(AND(COUNTIF(D$1237:D1333,1)&gt;7,MOD(1+IFERROR(MATCH($C731,总览!$D$46:$D$345,1)+1,1),7)=0),$C$3,0),0)</f>
        <v>872.527298621527</v>
      </c>
      <c r="E731" s="131" cm="1">
        <f ca="1" t="array" ref="E731">IF(E1333=1,OFFSET($W$634,$B731,E$631-1)/SUMPRODUCT(--($D$631:$V$631=E$631),--($D1333:$V1333=1)),0)+SUM(E730)+IF(COUNTIF(E$1237:E1333,1)=1,5,0)+IF(COUNTIF(F731:$W731,"&gt;"&amp;0)&lt;5,IF(AND(COUNTIF(E$1237:E1333,1)&gt;7,MOD(1+IFERROR(MATCH($C731,总览!$D$46:$D$345,1)+1,1),7)=0),$C$3,0),0)</f>
        <v>872.527298621527</v>
      </c>
      <c r="F731" s="131" cm="1">
        <f ca="1" t="array" ref="F731">IF(F1333=1,OFFSET($W$634,$B731,F$631-1)/SUMPRODUCT(--($D$631:$V$631=F$631),--($D1333:$V1333=1)),0)+SUM(F730)+IF(COUNTIF(F$1237:F1333,1)=1,5,0)+IF(COUNTIF(G731:$W731,"&gt;"&amp;0)&lt;5,IF(AND(COUNTIF(F$1237:F1333,1)&gt;7,MOD(1+IFERROR(MATCH($C731,总览!$D$46:$D$345,1)+1,1),7)=0),$C$3,0),0)</f>
        <v>872.527298621527</v>
      </c>
      <c r="G731" s="131" cm="1">
        <f ca="1" t="array" ref="G731">IF(G1333=1,OFFSET($W$634,$B731,G$631-1)/SUMPRODUCT(--($D$631:$V$631=G$631),--($D1333:$V1333=1)),0)+SUM(G730)+IF(COUNTIF(G$1237:G1333,1)=1,5,0)+IF(COUNTIF(H731:$W731,"&gt;"&amp;0)&lt;5,IF(AND(COUNTIF(G$1237:G1333,1)&gt;7,MOD(1+IFERROR(MATCH($C731,总览!$D$46:$D$345,1)+1,1),7)=0),$C$3,0),0)</f>
        <v>262.733333333333</v>
      </c>
      <c r="H731" s="131" cm="1">
        <f ca="1" t="array" ref="H731">IF(H1333=1,OFFSET($W$634,$B731,H$631-1)/SUMPRODUCT(--($D$631:$V$631=H$631),--($D1333:$V1333=1)),0)+SUM(H730)+IF(COUNTIF(H$1237:H1333,1)=1,5,0)+IF(COUNTIF(I731:$W731,"&gt;"&amp;0)&lt;5,IF(AND(COUNTIF(H$1237:H1333,1)&gt;7,MOD(1+IFERROR(MATCH($C731,总览!$D$46:$D$345,1)+1,1),7)=0),$C$3,0),0)</f>
        <v>262.733333333333</v>
      </c>
      <c r="I731" s="131" cm="1">
        <f ca="1" t="array" ref="I731">IF(I1333=1,OFFSET($W$634,$B731,I$631-1)/SUMPRODUCT(--($D$631:$V$631=I$631),--($D1333:$V1333=1)),0)+SUM(I730)+IF(COUNTIF(I$1237:I1333,1)=1,5,0)+IF(COUNTIF(J731:$W731,"&gt;"&amp;0)&lt;5,IF(AND(COUNTIF(I$1237:I1333,1)&gt;7,MOD(1+IFERROR(MATCH($C731,总览!$D$46:$D$345,1)+1,1),7)=0),$C$3,0),0)</f>
        <v>262.733333333333</v>
      </c>
      <c r="J731" s="131" cm="1">
        <f ca="1" t="array" ref="J731">IF(J1333=1,OFFSET($W$634,$B731,J$631-1)/SUMPRODUCT(--($D$631:$V$631=J$631),--($D1333:$V1333=1)),0)+SUM(J730)+IF(COUNTIF(J$1237:J1333,1)=1,5,0)+IF(COUNTIF(K731:$W731,"&gt;"&amp;0)&lt;5,IF(AND(COUNTIF(J$1237:J1333,1)&gt;7,MOD(1+IFERROR(MATCH($C731,总览!$D$46:$D$345,1)+1,1),7)=0),$C$3,0),0)</f>
        <v>259.4</v>
      </c>
      <c r="K731" s="131" cm="1">
        <f ca="1" t="array" ref="K731">IF(K1333=1,OFFSET($W$634,$B731,K$631-1)/SUMPRODUCT(--($D$631:$V$631=K$631),--($D1333:$V1333=1)),0)+SUM(K730)+IF(COUNTIF(K$1237:K1333,1)=1,5,0)+IF(COUNTIF(L731:$W731,"&gt;"&amp;0)&lt;5,IF(AND(COUNTIF(K$1237:K1333,1)&gt;7,MOD(1+IFERROR(MATCH($C731,总览!$D$46:$D$345,1)+1,1),7)=0),$C$3,0),0)</f>
        <v>256.9</v>
      </c>
      <c r="L731" s="131" cm="1">
        <f ca="1" t="array" ref="L731">IF(L1333=1,OFFSET($W$634,$B731,L$631-1)/SUMPRODUCT(--($D$631:$V$631=L$631),--($D1333:$V1333=1)),0)+SUM(L730)+IF(COUNTIF(L$1237:L1333,1)=1,5,0)+IF(COUNTIF(M731:$W731,"&gt;"&amp;0)&lt;5,IF(AND(COUNTIF(L$1237:L1333,1)&gt;7,MOD(1+IFERROR(MATCH($C731,总览!$D$46:$D$345,1)+1,1),7)=0),$C$3,0),0)</f>
        <v>256.9</v>
      </c>
      <c r="M731" s="131" cm="1">
        <f ca="1" t="array" ref="M731">IF(M1333=1,OFFSET($W$634,$B731,M$631-1)/SUMPRODUCT(--($D$631:$V$631=M$631),--($D1333:$V1333=1)),0)+SUM(M730)+IF(COUNTIF(M$1237:M1333,1)=1,5,0)+IF(COUNTIF(N731:$W731,"&gt;"&amp;0)&lt;5,IF(AND(COUNTIF(M$1237:M1333,1)&gt;7,MOD(1+IFERROR(MATCH($C731,总览!$D$46:$D$345,1)+1,1),7)=0),$C$3,0),0)</f>
        <v>96.324107142857</v>
      </c>
      <c r="N731" s="131" cm="1">
        <f ca="1" t="array" ref="N731">IF(N1333=1,OFFSET($W$634,$B731,N$631-1)/SUMPRODUCT(--($D$631:$V$631=N$631),--($D1333:$V1333=1)),0)+SUM(N730)+IF(COUNTIF(N$1237:N1333,1)=1,5,0)+IF(COUNTIF(O731:$W731,"&gt;"&amp;0)&lt;5,IF(AND(COUNTIF(N$1237:N1333,1)&gt;7,MOD(1+IFERROR(MATCH($C731,总览!$D$46:$D$345,1)+1,1),7)=0),$C$3,0),0)</f>
        <v>97.574107142857</v>
      </c>
      <c r="O731" s="131" cm="1">
        <f ca="1" t="array" ref="O731">IF(O1333=1,OFFSET($W$634,$B731,O$631-1)/SUMPRODUCT(--($D$631:$V$631=O$631),--($D1333:$V1333=1)),0)+SUM(O730)+IF(COUNTIF(O$1237:O1333,1)=1,5,0)+IF(COUNTIF(P731:$W731,"&gt;"&amp;0)&lt;5,IF(AND(COUNTIF(O$1237:O1333,1)&gt;7,MOD(1+IFERROR(MATCH($C731,总览!$D$46:$D$345,1)+1,1),7)=0),$C$3,0),0)</f>
        <v>102.574107142857</v>
      </c>
      <c r="P731" s="131" cm="1">
        <f ca="1" t="array" ref="P731">IF(P1333=1,OFFSET($W$634,$B731,P$631-1)/SUMPRODUCT(--($D$631:$V$631=P$631),--($D1333:$V1333=1)),0)+SUM(P730)+IF(COUNTIF(P$1237:P1333,1)=1,5,0)+IF(COUNTIF(Q731:$W731,"&gt;"&amp;0)&lt;5,IF(AND(COUNTIF(P$1237:P1333,1)&gt;7,MOD(1+IFERROR(MATCH($C731,总览!$D$46:$D$345,1)+1,1),7)=0),$C$3,0),0)</f>
        <v>91.6928571428571</v>
      </c>
      <c r="Q731" s="131" cm="1">
        <f ca="1" t="array" ref="Q731">IF(Q1333=1,OFFSET($W$634,$B731,Q$631-1)/SUMPRODUCT(--($D$631:$V$631=Q$631),--($D1333:$V1333=1)),0)+SUM(Q730)+IF(COUNTIF(Q$1237:Q1333,1)=1,5,0)+IF(COUNTIF(R731:$W731,"&gt;"&amp;0)&lt;5,IF(AND(COUNTIF(Q$1237:Q1333,1)&gt;7,MOD(1+IFERROR(MATCH($C731,总览!$D$46:$D$345,1)+1,1),7)=0),$C$3,0),0)</f>
        <v>105.074107142857</v>
      </c>
      <c r="R731" s="131" cm="1">
        <f ca="1" t="array" ref="R731">IF(R1333=1,OFFSET($W$634,$B731,R$631-1)/SUMPRODUCT(--($D$631:$V$631=R$631),--($D1333:$V1333=1)),0)+SUM(R730)+IF(COUNTIF(R$1237:R1333,1)=1,5,0)+IF(COUNTIF(S731:$W731,"&gt;"&amp;0)&lt;5,IF(AND(COUNTIF(R$1237:R1333,1)&gt;7,MOD(1+IFERROR(MATCH($C731,总览!$D$46:$D$345,1)+1,1),7)=0),$C$3,0),0)</f>
        <v>96.692857142857</v>
      </c>
      <c r="S731" s="131" cm="1">
        <f ca="1" t="array" ref="S731">IF(S1333=1,OFFSET($W$634,$B731,S$631-1)/SUMPRODUCT(--($D$631:$V$631=S$631),--($D1333:$V1333=1)),0)+SUM(S730)+IF(COUNTIF(S$1237:S1333,1)=1,5,0)+IF(COUNTIF(T731:$W731,"&gt;"&amp;0)&lt;5,IF(AND(COUNTIF(S$1237:S1333,1)&gt;7,MOD(1+IFERROR(MATCH($C731,总览!$D$46:$D$345,1)+1,1),7)=0),$C$3,0),0)</f>
        <v>124.192857142857</v>
      </c>
      <c r="T731" s="131" cm="1">
        <f ca="1" t="array" ref="T731">IF(T1333=1,OFFSET($W$634,$B731,T$631-1)/SUMPRODUCT(--($D$631:$V$631=T$631),--($D1333:$V1333=1)),0)+SUM(T730)+IF(COUNTIF(T$1237:T1333,1)=1,5,0)+IF(COUNTIF(U731:$W731,"&gt;"&amp;0)&lt;5,IF(AND(COUNTIF(T$1237:T1333,1)&gt;7,MOD(1+IFERROR(MATCH($C731,总览!$D$46:$D$345,1)+1,1),7)=0),$C$3,0),0)</f>
        <v>72.0081772374622</v>
      </c>
      <c r="U731" s="131" cm="1">
        <f ca="1" t="array" ref="U731">IF(U1333=1,OFFSET($W$634,$B731,U$631-1)/SUMPRODUCT(--($D$631:$V$631=U$631),--($D1333:$V1333=1)),0)+SUM(U730)+IF(COUNTIF(U$1237:U1333,1)=1,5,0)+IF(COUNTIF(V731:$W731,"&gt;"&amp;0)&lt;5,IF(AND(COUNTIF(U$1237:U1333,1)&gt;7,MOD(1+IFERROR(MATCH($C731,总览!$D$46:$D$345,1)+1,1),7)=0),$C$3,0),0)</f>
        <v>77.5289635927618</v>
      </c>
      <c r="V731" s="131" cm="1">
        <f ca="1" t="array" ref="V731">IF(V1333=1,OFFSET($W$634,$B731,V$631-1)/SUMPRODUCT(--($D$631:$V$631=V$631),--($D1333:$V1333=1)),0)+SUM(V730)+IF(COUNTIF(V$1237:V1333,1)=1,5,0)+IF(COUNTIF(W731:$W731,"&gt;"&amp;0)&lt;5,IF(AND(COUNTIF(V$1237:V1333,1)&gt;7,MOD(1+IFERROR(MATCH($C731,总览!$D$46:$D$345,1)+1,1),7)=0),$C$3,0),0)</f>
        <v>97.3559633051952</v>
      </c>
      <c r="W731" s="135" cm="1">
        <f ca="1" t="array" ref="W731">SUMPRODUCT(TRANSPOSE($AA731:$AG731),OFFSET($L$9:$L$15,0,W$631-1))</f>
        <v>16.8502200646615</v>
      </c>
      <c r="X731" s="135" cm="1">
        <f ca="1" t="array" ref="X731">SUMPRODUCT(TRANSPOSE($AA731:$AG731),OFFSET($L$9:$L$15,0,X$631-1))</f>
        <v>20</v>
      </c>
      <c r="Y731" s="135" cm="1">
        <f ca="1" t="array" ref="Y731">SUMPRODUCT(TRANSPOSE($AA731:$AG731),OFFSET($L$9:$L$15,0,Y$631-1))</f>
        <v>10</v>
      </c>
      <c r="Z731" s="135" cm="1">
        <f ca="1" t="array" ref="Z731">SUMPRODUCT(TRANSPOSE($AA731:$AG731),OFFSET($L$9:$L$15,0,Z$631-1))</f>
        <v>3.14977993533847</v>
      </c>
      <c r="AA731" s="136">
        <f ca="1" t="shared" ref="AA731:AG731" si="435">AH731-AH730</f>
        <v>0</v>
      </c>
      <c r="AB731" s="136">
        <f ca="1" t="shared" si="435"/>
        <v>0</v>
      </c>
      <c r="AC731" s="136">
        <f ca="1" t="shared" si="435"/>
        <v>0</v>
      </c>
      <c r="AD731" s="136">
        <f ca="1" t="shared" si="435"/>
        <v>0</v>
      </c>
      <c r="AE731" s="136">
        <f ca="1" t="shared" si="435"/>
        <v>0</v>
      </c>
      <c r="AF731" s="136">
        <f ca="1" t="shared" si="435"/>
        <v>100</v>
      </c>
      <c r="AG731" s="136">
        <f ca="1" t="shared" si="435"/>
        <v>0</v>
      </c>
      <c r="AH731" s="136">
        <f ca="1" t="shared" si="371"/>
        <v>450</v>
      </c>
      <c r="AI731" s="136">
        <f ca="1" t="shared" ref="AI731:AN731" si="436">IF($C731&gt;OFFSET($Q$8,MATCH(AI$634,$AH$634:$AN$634,0),0),OFFSET($P$8,MATCH(AI$634,$AH$634:$AN$634,0),0),MAX(0,$C731-OFFSET($Q$8,RIGHT(AI$634,1)-1,0)))</f>
        <v>909</v>
      </c>
      <c r="AJ731" s="136">
        <f ca="1" t="shared" si="436"/>
        <v>1818</v>
      </c>
      <c r="AK731" s="136">
        <f ca="1" t="shared" si="436"/>
        <v>2727</v>
      </c>
      <c r="AL731" s="136">
        <f ca="1" t="shared" si="436"/>
        <v>3636</v>
      </c>
      <c r="AM731" s="136">
        <f ca="1" t="shared" si="436"/>
        <v>160</v>
      </c>
      <c r="AN731" s="136">
        <f ca="1" t="shared" si="436"/>
        <v>0</v>
      </c>
      <c r="AP731" s="132">
        <v>97</v>
      </c>
      <c r="AQ731" s="132">
        <v>177230</v>
      </c>
      <c r="AR731" s="132">
        <v>177230</v>
      </c>
      <c r="AS731" s="132">
        <v>104090</v>
      </c>
      <c r="AT731" s="132">
        <v>52820</v>
      </c>
    </row>
    <row r="732" s="106" customFormat="1" ht="16.5" spans="2:46">
      <c r="B732" s="117">
        <v>98</v>
      </c>
      <c r="C732" s="130">
        <f t="shared" si="369"/>
        <v>9800</v>
      </c>
      <c r="D732" s="131" cm="1">
        <f ca="1" t="array" ref="D732">IF(D1334=1,OFFSET($W$634,$B732,D$631-1)/SUMPRODUCT(--($D$631:$V$631=D$631),--($D1334:$V1334=1)),0)+SUM(D731)+IF(COUNTIF(D$1237:D1334,1)=1,5,0)+IF(COUNTIF(E732:$W732,"&gt;"&amp;0)&lt;5,IF(AND(COUNTIF(D$1237:D1334,1)&gt;7,MOD(1+IFERROR(MATCH($C732,总览!$D$46:$D$345,1)+1,1),7)=0),$C$3,0),0)</f>
        <v>878.144038643081</v>
      </c>
      <c r="E732" s="131" cm="1">
        <f ca="1" t="array" ref="E732">IF(E1334=1,OFFSET($W$634,$B732,E$631-1)/SUMPRODUCT(--($D$631:$V$631=E$631),--($D1334:$V1334=1)),0)+SUM(E731)+IF(COUNTIF(E$1237:E1334,1)=1,5,0)+IF(COUNTIF(F732:$W732,"&gt;"&amp;0)&lt;5,IF(AND(COUNTIF(E$1237:E1334,1)&gt;7,MOD(1+IFERROR(MATCH($C732,总览!$D$46:$D$345,1)+1,1),7)=0),$C$3,0),0)</f>
        <v>878.144038643081</v>
      </c>
      <c r="F732" s="131" cm="1">
        <f ca="1" t="array" ref="F732">IF(F1334=1,OFFSET($W$634,$B732,F$631-1)/SUMPRODUCT(--($D$631:$V$631=F$631),--($D1334:$V1334=1)),0)+SUM(F731)+IF(COUNTIF(F$1237:F1334,1)=1,5,0)+IF(COUNTIF(G732:$W732,"&gt;"&amp;0)&lt;5,IF(AND(COUNTIF(F$1237:F1334,1)&gt;7,MOD(1+IFERROR(MATCH($C732,总览!$D$46:$D$345,1)+1,1),7)=0),$C$3,0),0)</f>
        <v>878.144038643081</v>
      </c>
      <c r="G732" s="131" cm="1">
        <f ca="1" t="array" ref="G732">IF(G1334=1,OFFSET($W$634,$B732,G$631-1)/SUMPRODUCT(--($D$631:$V$631=G$631),--($D1334:$V1334=1)),0)+SUM(G731)+IF(COUNTIF(G$1237:G1334,1)=1,5,0)+IF(COUNTIF(H732:$W732,"&gt;"&amp;0)&lt;5,IF(AND(COUNTIF(G$1237:G1334,1)&gt;7,MOD(1+IFERROR(MATCH($C732,总览!$D$46:$D$345,1)+1,1),7)=0),$C$3,0),0)</f>
        <v>266.066666666667</v>
      </c>
      <c r="H732" s="131" cm="1">
        <f ca="1" t="array" ref="H732">IF(H1334=1,OFFSET($W$634,$B732,H$631-1)/SUMPRODUCT(--($D$631:$V$631=H$631),--($D1334:$V1334=1)),0)+SUM(H731)+IF(COUNTIF(H$1237:H1334,1)=1,5,0)+IF(COUNTIF(I732:$W732,"&gt;"&amp;0)&lt;5,IF(AND(COUNTIF(H$1237:H1334,1)&gt;7,MOD(1+IFERROR(MATCH($C732,总览!$D$46:$D$345,1)+1,1),7)=0),$C$3,0),0)</f>
        <v>266.066666666667</v>
      </c>
      <c r="I732" s="131" cm="1">
        <f ca="1" t="array" ref="I732">IF(I1334=1,OFFSET($W$634,$B732,I$631-1)/SUMPRODUCT(--($D$631:$V$631=I$631),--($D1334:$V1334=1)),0)+SUM(I731)+IF(COUNTIF(I$1237:I1334,1)=1,5,0)+IF(COUNTIF(J732:$W732,"&gt;"&amp;0)&lt;5,IF(AND(COUNTIF(I$1237:I1334,1)&gt;7,MOD(1+IFERROR(MATCH($C732,总览!$D$46:$D$345,1)+1,1),7)=0),$C$3,0),0)</f>
        <v>266.066666666667</v>
      </c>
      <c r="J732" s="131" cm="1">
        <f ca="1" t="array" ref="J732">IF(J1334=1,OFFSET($W$634,$B732,J$631-1)/SUMPRODUCT(--($D$631:$V$631=J$631),--($D1334:$V1334=1)),0)+SUM(J731)+IF(COUNTIF(J$1237:J1334,1)=1,5,0)+IF(COUNTIF(K732:$W732,"&gt;"&amp;0)&lt;5,IF(AND(COUNTIF(J$1237:J1334,1)&gt;7,MOD(1+IFERROR(MATCH($C732,总览!$D$46:$D$345,1)+1,1),7)=0),$C$3,0),0)</f>
        <v>262.733333333333</v>
      </c>
      <c r="K732" s="131" cm="1">
        <f ca="1" t="array" ref="K732">IF(K1334=1,OFFSET($W$634,$B732,K$631-1)/SUMPRODUCT(--($D$631:$V$631=K$631),--($D1334:$V1334=1)),0)+SUM(K731)+IF(COUNTIF(K$1237:K1334,1)=1,5,0)+IF(COUNTIF(L732:$W732,"&gt;"&amp;0)&lt;5,IF(AND(COUNTIF(K$1237:K1334,1)&gt;7,MOD(1+IFERROR(MATCH($C732,总览!$D$46:$D$345,1)+1,1),7)=0),$C$3,0),0)</f>
        <v>260.233333333333</v>
      </c>
      <c r="L732" s="131" cm="1">
        <f ca="1" t="array" ref="L732">IF(L1334=1,OFFSET($W$634,$B732,L$631-1)/SUMPRODUCT(--($D$631:$V$631=L$631),--($D1334:$V1334=1)),0)+SUM(L731)+IF(COUNTIF(L$1237:L1334,1)=1,5,0)+IF(COUNTIF(M732:$W732,"&gt;"&amp;0)&lt;5,IF(AND(COUNTIF(L$1237:L1334,1)&gt;7,MOD(1+IFERROR(MATCH($C732,总览!$D$46:$D$345,1)+1,1),7)=0),$C$3,0),0)</f>
        <v>260.233333333333</v>
      </c>
      <c r="M732" s="131" cm="1">
        <f ca="1" t="array" ref="M732">IF(M1334=1,OFFSET($W$634,$B732,M$631-1)/SUMPRODUCT(--($D$631:$V$631=M$631),--($D1334:$V1334=1)),0)+SUM(M731)+IF(COUNTIF(M$1237:M1334,1)=1,5,0)+IF(COUNTIF(N732:$W732,"&gt;"&amp;0)&lt;5,IF(AND(COUNTIF(M$1237:M1334,1)&gt;7,MOD(1+IFERROR(MATCH($C732,总览!$D$46:$D$345,1)+1,1),7)=0),$C$3,0),0)</f>
        <v>97.7526785714284</v>
      </c>
      <c r="N732" s="131" cm="1">
        <f ca="1" t="array" ref="N732">IF(N1334=1,OFFSET($W$634,$B732,N$631-1)/SUMPRODUCT(--($D$631:$V$631=N$631),--($D1334:$V1334=1)),0)+SUM(N731)+IF(COUNTIF(N$1237:N1334,1)=1,5,0)+IF(COUNTIF(O732:$W732,"&gt;"&amp;0)&lt;5,IF(AND(COUNTIF(N$1237:N1334,1)&gt;7,MOD(1+IFERROR(MATCH($C732,总览!$D$46:$D$345,1)+1,1),7)=0),$C$3,0),0)</f>
        <v>99.0026785714284</v>
      </c>
      <c r="O732" s="131" cm="1">
        <f ca="1" t="array" ref="O732">IF(O1334=1,OFFSET($W$634,$B732,O$631-1)/SUMPRODUCT(--($D$631:$V$631=O$631),--($D1334:$V1334=1)),0)+SUM(O731)+IF(COUNTIF(O$1237:O1334,1)=1,5,0)+IF(COUNTIF(P732:$W732,"&gt;"&amp;0)&lt;5,IF(AND(COUNTIF(O$1237:O1334,1)&gt;7,MOD(1+IFERROR(MATCH($C732,总览!$D$46:$D$345,1)+1,1),7)=0),$C$3,0),0)</f>
        <v>104.002678571428</v>
      </c>
      <c r="P732" s="131" cm="1">
        <f ca="1" t="array" ref="P732">IF(P1334=1,OFFSET($W$634,$B732,P$631-1)/SUMPRODUCT(--($D$631:$V$631=P$631),--($D1334:$V1334=1)),0)+SUM(P731)+IF(COUNTIF(P$1237:P1334,1)=1,5,0)+IF(COUNTIF(Q732:$W732,"&gt;"&amp;0)&lt;5,IF(AND(COUNTIF(P$1237:P1334,1)&gt;7,MOD(1+IFERROR(MATCH($C732,总览!$D$46:$D$345,1)+1,1),7)=0),$C$3,0),0)</f>
        <v>93.1214285714285</v>
      </c>
      <c r="Q732" s="131" cm="1">
        <f ca="1" t="array" ref="Q732">IF(Q1334=1,OFFSET($W$634,$B732,Q$631-1)/SUMPRODUCT(--($D$631:$V$631=Q$631),--($D1334:$V1334=1)),0)+SUM(Q731)+IF(COUNTIF(Q$1237:Q1334,1)=1,5,0)+IF(COUNTIF(R732:$W732,"&gt;"&amp;0)&lt;5,IF(AND(COUNTIF(Q$1237:Q1334,1)&gt;7,MOD(1+IFERROR(MATCH($C732,总览!$D$46:$D$345,1)+1,1),7)=0),$C$3,0),0)</f>
        <v>106.502678571428</v>
      </c>
      <c r="R732" s="131" cm="1">
        <f ca="1" t="array" ref="R732">IF(R1334=1,OFFSET($W$634,$B732,R$631-1)/SUMPRODUCT(--($D$631:$V$631=R$631),--($D1334:$V1334=1)),0)+SUM(R731)+IF(COUNTIF(R$1237:R1334,1)=1,5,0)+IF(COUNTIF(S732:$W732,"&gt;"&amp;0)&lt;5,IF(AND(COUNTIF(R$1237:R1334,1)&gt;7,MOD(1+IFERROR(MATCH($C732,总览!$D$46:$D$345,1)+1,1),7)=0),$C$3,0),0)</f>
        <v>98.1214285714284</v>
      </c>
      <c r="S732" s="131" cm="1">
        <f ca="1" t="array" ref="S732">IF(S1334=1,OFFSET($W$634,$B732,S$631-1)/SUMPRODUCT(--($D$631:$V$631=S$631),--($D1334:$V1334=1)),0)+SUM(S731)+IF(COUNTIF(S$1237:S1334,1)=1,5,0)+IF(COUNTIF(T732:$W732,"&gt;"&amp;0)&lt;5,IF(AND(COUNTIF(S$1237:S1334,1)&gt;7,MOD(1+IFERROR(MATCH($C732,总览!$D$46:$D$345,1)+1,1),7)=0),$C$3,0),0)</f>
        <v>125.621428571428</v>
      </c>
      <c r="T732" s="131" cm="1">
        <f ca="1" t="array" ref="T732">IF(T1334=1,OFFSET($W$634,$B732,T$631-1)/SUMPRODUCT(--($D$631:$V$631=T$631),--($D1334:$V1334=1)),0)+SUM(T731)+IF(COUNTIF(T$1237:T1334,1)=1,5,0)+IF(COUNTIF(U732:$W732,"&gt;"&amp;0)&lt;5,IF(AND(COUNTIF(T$1237:T1334,1)&gt;7,MOD(1+IFERROR(MATCH($C732,总览!$D$46:$D$345,1)+1,1),7)=0),$C$3,0),0)</f>
        <v>73.058103882575</v>
      </c>
      <c r="U732" s="131" cm="1">
        <f ca="1" t="array" ref="U732">IF(U1334=1,OFFSET($W$634,$B732,U$631-1)/SUMPRODUCT(--($D$631:$V$631=U$631),--($D1334:$V1334=1)),0)+SUM(U731)+IF(COUNTIF(U$1237:U1334,1)=1,5,0)+IF(COUNTIF(V732:$W732,"&gt;"&amp;0)&lt;5,IF(AND(COUNTIF(U$1237:U1334,1)&gt;7,MOD(1+IFERROR(MATCH($C732,总览!$D$46:$D$345,1)+1,1),7)=0),$C$3,0),0)</f>
        <v>78.5788902378746</v>
      </c>
      <c r="V732" s="131" cm="1">
        <f ca="1" t="array" ref="V732">IF(V1334=1,OFFSET($W$634,$B732,V$631-1)/SUMPRODUCT(--($D$631:$V$631=V$631),--($D1334:$V1334=1)),0)+SUM(V731)+IF(COUNTIF(V$1237:V1334,1)=1,5,0)+IF(COUNTIF(W732:$W732,"&gt;"&amp;0)&lt;5,IF(AND(COUNTIF(V$1237:V1334,1)&gt;7,MOD(1+IFERROR(MATCH($C732,总览!$D$46:$D$345,1)+1,1),7)=0),$C$3,0),0)</f>
        <v>98.405889950308</v>
      </c>
      <c r="W732" s="135" cm="1">
        <f ca="1" t="array" ref="W732">SUMPRODUCT(TRANSPOSE($AA732:$AG732),OFFSET($L$9:$L$15,0,W$631-1))</f>
        <v>16.8502200646615</v>
      </c>
      <c r="X732" s="135" cm="1">
        <f ca="1" t="array" ref="X732">SUMPRODUCT(TRANSPOSE($AA732:$AG732),OFFSET($L$9:$L$15,0,X$631-1))</f>
        <v>20</v>
      </c>
      <c r="Y732" s="135" cm="1">
        <f ca="1" t="array" ref="Y732">SUMPRODUCT(TRANSPOSE($AA732:$AG732),OFFSET($L$9:$L$15,0,Y$631-1))</f>
        <v>10</v>
      </c>
      <c r="Z732" s="135" cm="1">
        <f ca="1" t="array" ref="Z732">SUMPRODUCT(TRANSPOSE($AA732:$AG732),OFFSET($L$9:$L$15,0,Z$631-1))</f>
        <v>3.14977993533847</v>
      </c>
      <c r="AA732" s="136">
        <f ca="1" t="shared" ref="AA732:AG732" si="437">AH732-AH731</f>
        <v>0</v>
      </c>
      <c r="AB732" s="136">
        <f ca="1" t="shared" si="437"/>
        <v>0</v>
      </c>
      <c r="AC732" s="136">
        <f ca="1" t="shared" si="437"/>
        <v>0</v>
      </c>
      <c r="AD732" s="136">
        <f ca="1" t="shared" si="437"/>
        <v>0</v>
      </c>
      <c r="AE732" s="136">
        <f ca="1" t="shared" si="437"/>
        <v>0</v>
      </c>
      <c r="AF732" s="136">
        <f ca="1" t="shared" si="437"/>
        <v>100</v>
      </c>
      <c r="AG732" s="136">
        <f ca="1" t="shared" si="437"/>
        <v>0</v>
      </c>
      <c r="AH732" s="136">
        <f ca="1" t="shared" si="371"/>
        <v>450</v>
      </c>
      <c r="AI732" s="136">
        <f ca="1" t="shared" ref="AI732:AN732" si="438">IF($C732&gt;OFFSET($Q$8,MATCH(AI$634,$AH$634:$AN$634,0),0),OFFSET($P$8,MATCH(AI$634,$AH$634:$AN$634,0),0),MAX(0,$C732-OFFSET($Q$8,RIGHT(AI$634,1)-1,0)))</f>
        <v>909</v>
      </c>
      <c r="AJ732" s="136">
        <f ca="1" t="shared" si="438"/>
        <v>1818</v>
      </c>
      <c r="AK732" s="136">
        <f ca="1" t="shared" si="438"/>
        <v>2727</v>
      </c>
      <c r="AL732" s="136">
        <f ca="1" t="shared" si="438"/>
        <v>3636</v>
      </c>
      <c r="AM732" s="136">
        <f ca="1" t="shared" si="438"/>
        <v>260</v>
      </c>
      <c r="AN732" s="136">
        <f ca="1" t="shared" si="438"/>
        <v>0</v>
      </c>
      <c r="AP732" s="132">
        <v>98</v>
      </c>
      <c r="AQ732" s="132">
        <v>182270</v>
      </c>
      <c r="AR732" s="132">
        <v>182270</v>
      </c>
      <c r="AS732" s="132">
        <v>107210</v>
      </c>
      <c r="AT732" s="132">
        <v>54380</v>
      </c>
    </row>
    <row r="733" s="106" customFormat="1" ht="16.5" spans="2:46">
      <c r="B733" s="117">
        <v>99</v>
      </c>
      <c r="C733" s="130">
        <f t="shared" si="369"/>
        <v>9900</v>
      </c>
      <c r="D733" s="131" cm="1">
        <f ca="1" t="array" ref="D733">IF(D1335=1,OFFSET($W$634,$B733,D$631-1)/SUMPRODUCT(--($D$631:$V$631=D$631),--($D1335:$V1335=1)),0)+SUM(D732)+IF(COUNTIF(D$1237:D1335,1)=1,5,0)+IF(COUNTIF(E733:$W733,"&gt;"&amp;0)&lt;5,IF(AND(COUNTIF(D$1237:D1335,1)&gt;7,MOD(1+IFERROR(MATCH($C733,总览!$D$46:$D$345,1)+1,1),7)=0),$C$3,0),0)</f>
        <v>883.760778664635</v>
      </c>
      <c r="E733" s="131" cm="1">
        <f ca="1" t="array" ref="E733">IF(E1335=1,OFFSET($W$634,$B733,E$631-1)/SUMPRODUCT(--($D$631:$V$631=E$631),--($D1335:$V1335=1)),0)+SUM(E732)+IF(COUNTIF(E$1237:E1335,1)=1,5,0)+IF(COUNTIF(F733:$W733,"&gt;"&amp;0)&lt;5,IF(AND(COUNTIF(E$1237:E1335,1)&gt;7,MOD(1+IFERROR(MATCH($C733,总览!$D$46:$D$345,1)+1,1),7)=0),$C$3,0),0)</f>
        <v>883.760778664635</v>
      </c>
      <c r="F733" s="131" cm="1">
        <f ca="1" t="array" ref="F733">IF(F1335=1,OFFSET($W$634,$B733,F$631-1)/SUMPRODUCT(--($D$631:$V$631=F$631),--($D1335:$V1335=1)),0)+SUM(F732)+IF(COUNTIF(F$1237:F1335,1)=1,5,0)+IF(COUNTIF(G733:$W733,"&gt;"&amp;0)&lt;5,IF(AND(COUNTIF(F$1237:F1335,1)&gt;7,MOD(1+IFERROR(MATCH($C733,总览!$D$46:$D$345,1)+1,1),7)=0),$C$3,0),0)</f>
        <v>883.760778664635</v>
      </c>
      <c r="G733" s="131" cm="1">
        <f ca="1" t="array" ref="G733">IF(G1335=1,OFFSET($W$634,$B733,G$631-1)/SUMPRODUCT(--($D$631:$V$631=G$631),--($D1335:$V1335=1)),0)+SUM(G732)+IF(COUNTIF(G$1237:G1335,1)=1,5,0)+IF(COUNTIF(H733:$W733,"&gt;"&amp;0)&lt;5,IF(AND(COUNTIF(G$1237:G1335,1)&gt;7,MOD(1+IFERROR(MATCH($C733,总览!$D$46:$D$345,1)+1,1),7)=0),$C$3,0),0)</f>
        <v>269.4</v>
      </c>
      <c r="H733" s="131" cm="1">
        <f ca="1" t="array" ref="H733">IF(H1335=1,OFFSET($W$634,$B733,H$631-1)/SUMPRODUCT(--($D$631:$V$631=H$631),--($D1335:$V1335=1)),0)+SUM(H732)+IF(COUNTIF(H$1237:H1335,1)=1,5,0)+IF(COUNTIF(I733:$W733,"&gt;"&amp;0)&lt;5,IF(AND(COUNTIF(H$1237:H1335,1)&gt;7,MOD(1+IFERROR(MATCH($C733,总览!$D$46:$D$345,1)+1,1),7)=0),$C$3,0),0)</f>
        <v>269.4</v>
      </c>
      <c r="I733" s="131" cm="1">
        <f ca="1" t="array" ref="I733">IF(I1335=1,OFFSET($W$634,$B733,I$631-1)/SUMPRODUCT(--($D$631:$V$631=I$631),--($D1335:$V1335=1)),0)+SUM(I732)+IF(COUNTIF(I$1237:I1335,1)=1,5,0)+IF(COUNTIF(J733:$W733,"&gt;"&amp;0)&lt;5,IF(AND(COUNTIF(I$1237:I1335,1)&gt;7,MOD(1+IFERROR(MATCH($C733,总览!$D$46:$D$345,1)+1,1),7)=0),$C$3,0),0)</f>
        <v>269.4</v>
      </c>
      <c r="J733" s="131" cm="1">
        <f ca="1" t="array" ref="J733">IF(J1335=1,OFFSET($W$634,$B733,J$631-1)/SUMPRODUCT(--($D$631:$V$631=J$631),--($D1335:$V1335=1)),0)+SUM(J732)+IF(COUNTIF(J$1237:J1335,1)=1,5,0)+IF(COUNTIF(K733:$W733,"&gt;"&amp;0)&lt;5,IF(AND(COUNTIF(J$1237:J1335,1)&gt;7,MOD(1+IFERROR(MATCH($C733,总览!$D$46:$D$345,1)+1,1),7)=0),$C$3,0),0)</f>
        <v>266.066666666667</v>
      </c>
      <c r="K733" s="131" cm="1">
        <f ca="1" t="array" ref="K733">IF(K1335=1,OFFSET($W$634,$B733,K$631-1)/SUMPRODUCT(--($D$631:$V$631=K$631),--($D1335:$V1335=1)),0)+SUM(K732)+IF(COUNTIF(K$1237:K1335,1)=1,5,0)+IF(COUNTIF(L733:$W733,"&gt;"&amp;0)&lt;5,IF(AND(COUNTIF(K$1237:K1335,1)&gt;7,MOD(1+IFERROR(MATCH($C733,总览!$D$46:$D$345,1)+1,1),7)=0),$C$3,0),0)</f>
        <v>263.566666666667</v>
      </c>
      <c r="L733" s="131" cm="1">
        <f ca="1" t="array" ref="L733">IF(L1335=1,OFFSET($W$634,$B733,L$631-1)/SUMPRODUCT(--($D$631:$V$631=L$631),--($D1335:$V1335=1)),0)+SUM(L732)+IF(COUNTIF(L$1237:L1335,1)=1,5,0)+IF(COUNTIF(M733:$W733,"&gt;"&amp;0)&lt;5,IF(AND(COUNTIF(L$1237:L1335,1)&gt;7,MOD(1+IFERROR(MATCH($C733,总览!$D$46:$D$345,1)+1,1),7)=0),$C$3,0),0)</f>
        <v>263.566666666667</v>
      </c>
      <c r="M733" s="131" cm="1">
        <f ca="1" t="array" ref="M733">IF(M1335=1,OFFSET($W$634,$B733,M$631-1)/SUMPRODUCT(--($D$631:$V$631=M$631),--($D1335:$V1335=1)),0)+SUM(M732)+IF(COUNTIF(M$1237:M1335,1)=1,5,0)+IF(COUNTIF(N733:$W733,"&gt;"&amp;0)&lt;5,IF(AND(COUNTIF(M$1237:M1335,1)&gt;7,MOD(1+IFERROR(MATCH($C733,总览!$D$46:$D$345,1)+1,1),7)=0),$C$3,0),0)</f>
        <v>99.1812499999999</v>
      </c>
      <c r="N733" s="131" cm="1">
        <f ca="1" t="array" ref="N733">IF(N1335=1,OFFSET($W$634,$B733,N$631-1)/SUMPRODUCT(--($D$631:$V$631=N$631),--($D1335:$V1335=1)),0)+SUM(N732)+IF(COUNTIF(N$1237:N1335,1)=1,5,0)+IF(COUNTIF(O733:$W733,"&gt;"&amp;0)&lt;5,IF(AND(COUNTIF(N$1237:N1335,1)&gt;7,MOD(1+IFERROR(MATCH($C733,总览!$D$46:$D$345,1)+1,1),7)=0),$C$3,0),0)</f>
        <v>100.43125</v>
      </c>
      <c r="O733" s="131" cm="1">
        <f ca="1" t="array" ref="O733">IF(O1335=1,OFFSET($W$634,$B733,O$631-1)/SUMPRODUCT(--($D$631:$V$631=O$631),--($D1335:$V1335=1)),0)+SUM(O732)+IF(COUNTIF(O$1237:O1335,1)=1,5,0)+IF(COUNTIF(P733:$W733,"&gt;"&amp;0)&lt;5,IF(AND(COUNTIF(O$1237:O1335,1)&gt;7,MOD(1+IFERROR(MATCH($C733,总览!$D$46:$D$345,1)+1,1),7)=0),$C$3,0),0)</f>
        <v>105.43125</v>
      </c>
      <c r="P733" s="131" cm="1">
        <f ca="1" t="array" ref="P733">IF(P1335=1,OFFSET($W$634,$B733,P$631-1)/SUMPRODUCT(--($D$631:$V$631=P$631),--($D1335:$V1335=1)),0)+SUM(P732)+IF(COUNTIF(P$1237:P1335,1)=1,5,0)+IF(COUNTIF(Q733:$W733,"&gt;"&amp;0)&lt;5,IF(AND(COUNTIF(P$1237:P1335,1)&gt;7,MOD(1+IFERROR(MATCH($C733,总览!$D$46:$D$345,1)+1,1),7)=0),$C$3,0),0)</f>
        <v>94.5499999999999</v>
      </c>
      <c r="Q733" s="131" cm="1">
        <f ca="1" t="array" ref="Q733">IF(Q1335=1,OFFSET($W$634,$B733,Q$631-1)/SUMPRODUCT(--($D$631:$V$631=Q$631),--($D1335:$V1335=1)),0)+SUM(Q732)+IF(COUNTIF(Q$1237:Q1335,1)=1,5,0)+IF(COUNTIF(R733:$W733,"&gt;"&amp;0)&lt;5,IF(AND(COUNTIF(Q$1237:Q1335,1)&gt;7,MOD(1+IFERROR(MATCH($C733,总览!$D$46:$D$345,1)+1,1),7)=0),$C$3,0),0)</f>
        <v>107.93125</v>
      </c>
      <c r="R733" s="131" cm="1">
        <f ca="1" t="array" ref="R733">IF(R1335=1,OFFSET($W$634,$B733,R$631-1)/SUMPRODUCT(--($D$631:$V$631=R$631),--($D1335:$V1335=1)),0)+SUM(R732)+IF(COUNTIF(R$1237:R1335,1)=1,5,0)+IF(COUNTIF(S733:$W733,"&gt;"&amp;0)&lt;5,IF(AND(COUNTIF(R$1237:R1335,1)&gt;7,MOD(1+IFERROR(MATCH($C733,总览!$D$46:$D$345,1)+1,1),7)=0),$C$3,0),0)</f>
        <v>99.5499999999999</v>
      </c>
      <c r="S733" s="131" cm="1">
        <f ca="1" t="array" ref="S733">IF(S1335=1,OFFSET($W$634,$B733,S$631-1)/SUMPRODUCT(--($D$631:$V$631=S$631),--($D1335:$V1335=1)),0)+SUM(S732)+IF(COUNTIF(S$1237:S1335,1)=1,5,0)+IF(COUNTIF(T733:$W733,"&gt;"&amp;0)&lt;5,IF(AND(COUNTIF(S$1237:S1335,1)&gt;7,MOD(1+IFERROR(MATCH($C733,总览!$D$46:$D$345,1)+1,1),7)=0),$C$3,0),0)</f>
        <v>127.05</v>
      </c>
      <c r="T733" s="131" cm="1">
        <f ca="1" t="array" ref="T733">IF(T1335=1,OFFSET($W$634,$B733,T$631-1)/SUMPRODUCT(--($D$631:$V$631=T$631),--($D1335:$V1335=1)),0)+SUM(T732)+IF(COUNTIF(T$1237:T1335,1)=1,5,0)+IF(COUNTIF(U733:$W733,"&gt;"&amp;0)&lt;5,IF(AND(COUNTIF(T$1237:T1335,1)&gt;7,MOD(1+IFERROR(MATCH($C733,总览!$D$46:$D$345,1)+1,1),7)=0),$C$3,0),0)</f>
        <v>74.1080305276878</v>
      </c>
      <c r="U733" s="131" cm="1">
        <f ca="1" t="array" ref="U733">IF(U1335=1,OFFSET($W$634,$B733,U$631-1)/SUMPRODUCT(--($D$631:$V$631=U$631),--($D1335:$V1335=1)),0)+SUM(U732)+IF(COUNTIF(U$1237:U1335,1)=1,5,0)+IF(COUNTIF(V733:$W733,"&gt;"&amp;0)&lt;5,IF(AND(COUNTIF(U$1237:U1335,1)&gt;7,MOD(1+IFERROR(MATCH($C733,总览!$D$46:$D$345,1)+1,1),7)=0),$C$3,0),0)</f>
        <v>79.6288168829875</v>
      </c>
      <c r="V733" s="131" cm="1">
        <f ca="1" t="array" ref="V733">IF(V1335=1,OFFSET($W$634,$B733,V$631-1)/SUMPRODUCT(--($D$631:$V$631=V$631),--($D1335:$V1335=1)),0)+SUM(V732)+IF(COUNTIF(V$1237:V1335,1)=1,5,0)+IF(COUNTIF(W733:$W733,"&gt;"&amp;0)&lt;5,IF(AND(COUNTIF(V$1237:V1335,1)&gt;7,MOD(1+IFERROR(MATCH($C733,总览!$D$46:$D$345,1)+1,1),7)=0),$C$3,0),0)</f>
        <v>99.4558165954208</v>
      </c>
      <c r="W733" s="135" cm="1">
        <f ca="1" t="array" ref="W733">SUMPRODUCT(TRANSPOSE($AA733:$AG733),OFFSET($L$9:$L$15,0,W$631-1))</f>
        <v>16.8502200646615</v>
      </c>
      <c r="X733" s="135" cm="1">
        <f ca="1" t="array" ref="X733">SUMPRODUCT(TRANSPOSE($AA733:$AG733),OFFSET($L$9:$L$15,0,X$631-1))</f>
        <v>20</v>
      </c>
      <c r="Y733" s="135" cm="1">
        <f ca="1" t="array" ref="Y733">SUMPRODUCT(TRANSPOSE($AA733:$AG733),OFFSET($L$9:$L$15,0,Y$631-1))</f>
        <v>10</v>
      </c>
      <c r="Z733" s="135" cm="1">
        <f ca="1" t="array" ref="Z733">SUMPRODUCT(TRANSPOSE($AA733:$AG733),OFFSET($L$9:$L$15,0,Z$631-1))</f>
        <v>3.14977993533847</v>
      </c>
      <c r="AA733" s="136">
        <f ca="1" t="shared" ref="AA733:AG733" si="439">AH733-AH732</f>
        <v>0</v>
      </c>
      <c r="AB733" s="136">
        <f ca="1" t="shared" si="439"/>
        <v>0</v>
      </c>
      <c r="AC733" s="136">
        <f ca="1" t="shared" si="439"/>
        <v>0</v>
      </c>
      <c r="AD733" s="136">
        <f ca="1" t="shared" si="439"/>
        <v>0</v>
      </c>
      <c r="AE733" s="136">
        <f ca="1" t="shared" si="439"/>
        <v>0</v>
      </c>
      <c r="AF733" s="136">
        <f ca="1" t="shared" si="439"/>
        <v>100</v>
      </c>
      <c r="AG733" s="136">
        <f ca="1" t="shared" si="439"/>
        <v>0</v>
      </c>
      <c r="AH733" s="136">
        <f ca="1" t="shared" si="371"/>
        <v>450</v>
      </c>
      <c r="AI733" s="136">
        <f ca="1" t="shared" ref="AI733:AN733" si="440">IF($C733&gt;OFFSET($Q$8,MATCH(AI$634,$AH$634:$AN$634,0),0),OFFSET($P$8,MATCH(AI$634,$AH$634:$AN$634,0),0),MAX(0,$C733-OFFSET($Q$8,RIGHT(AI$634,1)-1,0)))</f>
        <v>909</v>
      </c>
      <c r="AJ733" s="136">
        <f ca="1" t="shared" si="440"/>
        <v>1818</v>
      </c>
      <c r="AK733" s="136">
        <f ca="1" t="shared" si="440"/>
        <v>2727</v>
      </c>
      <c r="AL733" s="136">
        <f ca="1" t="shared" si="440"/>
        <v>3636</v>
      </c>
      <c r="AM733" s="136">
        <f ca="1" t="shared" si="440"/>
        <v>360</v>
      </c>
      <c r="AN733" s="136">
        <f ca="1" t="shared" si="440"/>
        <v>0</v>
      </c>
      <c r="AP733" s="132">
        <v>99</v>
      </c>
      <c r="AQ733" s="132">
        <v>187310</v>
      </c>
      <c r="AR733" s="132">
        <v>187310</v>
      </c>
      <c r="AS733" s="132">
        <v>110330</v>
      </c>
      <c r="AT733" s="132">
        <v>55940</v>
      </c>
    </row>
    <row r="734" s="106" customFormat="1" ht="16.5" spans="2:46">
      <c r="B734" s="117">
        <v>100</v>
      </c>
      <c r="C734" s="130">
        <f t="shared" si="369"/>
        <v>10000</v>
      </c>
      <c r="D734" s="131" cm="1">
        <f ca="1" t="array" ref="D734">IF(D1336=1,OFFSET($W$634,$B734,D$631-1)/SUMPRODUCT(--($D$631:$V$631=D$631),--($D1336:$V1336=1)),0)+SUM(D733)+IF(COUNTIF(D$1237:D1336,1)=1,5,0)+IF(COUNTIF(E734:$W734,"&gt;"&amp;0)&lt;5,IF(AND(COUNTIF(D$1237:D1336,1)&gt;7,MOD(1+IFERROR(MATCH($C734,总览!$D$46:$D$345,1)+1,1),7)=0),$C$3,0),0)</f>
        <v>889.377518686189</v>
      </c>
      <c r="E734" s="131" cm="1">
        <f ca="1" t="array" ref="E734">IF(E1336=1,OFFSET($W$634,$B734,E$631-1)/SUMPRODUCT(--($D$631:$V$631=E$631),--($D1336:$V1336=1)),0)+SUM(E733)+IF(COUNTIF(E$1237:E1336,1)=1,5,0)+IF(COUNTIF(F734:$W734,"&gt;"&amp;0)&lt;5,IF(AND(COUNTIF(E$1237:E1336,1)&gt;7,MOD(1+IFERROR(MATCH($C734,总览!$D$46:$D$345,1)+1,1),7)=0),$C$3,0),0)</f>
        <v>889.377518686189</v>
      </c>
      <c r="F734" s="131" cm="1">
        <f ca="1" t="array" ref="F734">IF(F1336=1,OFFSET($W$634,$B734,F$631-1)/SUMPRODUCT(--($D$631:$V$631=F$631),--($D1336:$V1336=1)),0)+SUM(F733)+IF(COUNTIF(F$1237:F1336,1)=1,5,0)+IF(COUNTIF(G734:$W734,"&gt;"&amp;0)&lt;5,IF(AND(COUNTIF(F$1237:F1336,1)&gt;7,MOD(1+IFERROR(MATCH($C734,总览!$D$46:$D$345,1)+1,1),7)=0),$C$3,0),0)</f>
        <v>889.377518686189</v>
      </c>
      <c r="G734" s="131" cm="1">
        <f ca="1" t="array" ref="G734">IF(G1336=1,OFFSET($W$634,$B734,G$631-1)/SUMPRODUCT(--($D$631:$V$631=G$631),--($D1336:$V1336=1)),0)+SUM(G733)+IF(COUNTIF(G$1237:G1336,1)=1,5,0)+IF(COUNTIF(H734:$W734,"&gt;"&amp;0)&lt;5,IF(AND(COUNTIF(G$1237:G1336,1)&gt;7,MOD(1+IFERROR(MATCH($C734,总览!$D$46:$D$345,1)+1,1),7)=0),$C$3,0),0)</f>
        <v>272.733333333333</v>
      </c>
      <c r="H734" s="131" cm="1">
        <f ca="1" t="array" ref="H734">IF(H1336=1,OFFSET($W$634,$B734,H$631-1)/SUMPRODUCT(--($D$631:$V$631=H$631),--($D1336:$V1336=1)),0)+SUM(H733)+IF(COUNTIF(H$1237:H1336,1)=1,5,0)+IF(COUNTIF(I734:$W734,"&gt;"&amp;0)&lt;5,IF(AND(COUNTIF(H$1237:H1336,1)&gt;7,MOD(1+IFERROR(MATCH($C734,总览!$D$46:$D$345,1)+1,1),7)=0),$C$3,0),0)</f>
        <v>272.733333333333</v>
      </c>
      <c r="I734" s="131" cm="1">
        <f ca="1" t="array" ref="I734">IF(I1336=1,OFFSET($W$634,$B734,I$631-1)/SUMPRODUCT(--($D$631:$V$631=I$631),--($D1336:$V1336=1)),0)+SUM(I733)+IF(COUNTIF(I$1237:I1336,1)=1,5,0)+IF(COUNTIF(J734:$W734,"&gt;"&amp;0)&lt;5,IF(AND(COUNTIF(I$1237:I1336,1)&gt;7,MOD(1+IFERROR(MATCH($C734,总览!$D$46:$D$345,1)+1,1),7)=0),$C$3,0),0)</f>
        <v>272.733333333333</v>
      </c>
      <c r="J734" s="131" cm="1">
        <f ca="1" t="array" ref="J734">IF(J1336=1,OFFSET($W$634,$B734,J$631-1)/SUMPRODUCT(--($D$631:$V$631=J$631),--($D1336:$V1336=1)),0)+SUM(J733)+IF(COUNTIF(J$1237:J1336,1)=1,5,0)+IF(COUNTIF(K734:$W734,"&gt;"&amp;0)&lt;5,IF(AND(COUNTIF(J$1237:J1336,1)&gt;7,MOD(1+IFERROR(MATCH($C734,总览!$D$46:$D$345,1)+1,1),7)=0),$C$3,0),0)</f>
        <v>269.4</v>
      </c>
      <c r="K734" s="131" cm="1">
        <f ca="1" t="array" ref="K734">IF(K1336=1,OFFSET($W$634,$B734,K$631-1)/SUMPRODUCT(--($D$631:$V$631=K$631),--($D1336:$V1336=1)),0)+SUM(K733)+IF(COUNTIF(K$1237:K1336,1)=1,5,0)+IF(COUNTIF(L734:$W734,"&gt;"&amp;0)&lt;5,IF(AND(COUNTIF(K$1237:K1336,1)&gt;7,MOD(1+IFERROR(MATCH($C734,总览!$D$46:$D$345,1)+1,1),7)=0),$C$3,0),0)</f>
        <v>266.9</v>
      </c>
      <c r="L734" s="131" cm="1">
        <f ca="1" t="array" ref="L734">IF(L1336=1,OFFSET($W$634,$B734,L$631-1)/SUMPRODUCT(--($D$631:$V$631=L$631),--($D1336:$V1336=1)),0)+SUM(L733)+IF(COUNTIF(L$1237:L1336,1)=1,5,0)+IF(COUNTIF(M734:$W734,"&gt;"&amp;0)&lt;5,IF(AND(COUNTIF(L$1237:L1336,1)&gt;7,MOD(1+IFERROR(MATCH($C734,总览!$D$46:$D$345,1)+1,1),7)=0),$C$3,0),0)</f>
        <v>266.9</v>
      </c>
      <c r="M734" s="131" cm="1">
        <f ca="1" t="array" ref="M734">IF(M1336=1,OFFSET($W$634,$B734,M$631-1)/SUMPRODUCT(--($D$631:$V$631=M$631),--($D1336:$V1336=1)),0)+SUM(M733)+IF(COUNTIF(M$1237:M1336,1)=1,5,0)+IF(COUNTIF(N734:$W734,"&gt;"&amp;0)&lt;5,IF(AND(COUNTIF(M$1237:M1336,1)&gt;7,MOD(1+IFERROR(MATCH($C734,总览!$D$46:$D$345,1)+1,1),7)=0),$C$3,0),0)</f>
        <v>100.609821428571</v>
      </c>
      <c r="N734" s="131" cm="1">
        <f ca="1" t="array" ref="N734">IF(N1336=1,OFFSET($W$634,$B734,N$631-1)/SUMPRODUCT(--($D$631:$V$631=N$631),--($D1336:$V1336=1)),0)+SUM(N733)+IF(COUNTIF(N$1237:N1336,1)=1,5,0)+IF(COUNTIF(O734:$W734,"&gt;"&amp;0)&lt;5,IF(AND(COUNTIF(N$1237:N1336,1)&gt;7,MOD(1+IFERROR(MATCH($C734,总览!$D$46:$D$345,1)+1,1),7)=0),$C$3,0),0)</f>
        <v>101.859821428571</v>
      </c>
      <c r="O734" s="131" cm="1">
        <f ca="1" t="array" ref="O734">IF(O1336=1,OFFSET($W$634,$B734,O$631-1)/SUMPRODUCT(--($D$631:$V$631=O$631),--($D1336:$V1336=1)),0)+SUM(O733)+IF(COUNTIF(O$1237:O1336,1)=1,5,0)+IF(COUNTIF(P734:$W734,"&gt;"&amp;0)&lt;5,IF(AND(COUNTIF(O$1237:O1336,1)&gt;7,MOD(1+IFERROR(MATCH($C734,总览!$D$46:$D$345,1)+1,1),7)=0),$C$3,0),0)</f>
        <v>106.859821428571</v>
      </c>
      <c r="P734" s="131" cm="1">
        <f ca="1" t="array" ref="P734">IF(P1336=1,OFFSET($W$634,$B734,P$631-1)/SUMPRODUCT(--($D$631:$V$631=P$631),--($D1336:$V1336=1)),0)+SUM(P733)+IF(COUNTIF(P$1237:P1336,1)=1,5,0)+IF(COUNTIF(Q734:$W734,"&gt;"&amp;0)&lt;5,IF(AND(COUNTIF(P$1237:P1336,1)&gt;7,MOD(1+IFERROR(MATCH($C734,总览!$D$46:$D$345,1)+1,1),7)=0),$C$3,0),0)</f>
        <v>95.9785714285714</v>
      </c>
      <c r="Q734" s="131" cm="1">
        <f ca="1" t="array" ref="Q734">IF(Q1336=1,OFFSET($W$634,$B734,Q$631-1)/SUMPRODUCT(--($D$631:$V$631=Q$631),--($D1336:$V1336=1)),0)+SUM(Q733)+IF(COUNTIF(Q$1237:Q1336,1)=1,5,0)+IF(COUNTIF(R734:$W734,"&gt;"&amp;0)&lt;5,IF(AND(COUNTIF(Q$1237:Q1336,1)&gt;7,MOD(1+IFERROR(MATCH($C734,总览!$D$46:$D$345,1)+1,1),7)=0),$C$3,0),0)</f>
        <v>109.359821428571</v>
      </c>
      <c r="R734" s="131" cm="1">
        <f ca="1" t="array" ref="R734">IF(R1336=1,OFFSET($W$634,$B734,R$631-1)/SUMPRODUCT(--($D$631:$V$631=R$631),--($D1336:$V1336=1)),0)+SUM(R733)+IF(COUNTIF(R$1237:R1336,1)=1,5,0)+IF(COUNTIF(S734:$W734,"&gt;"&amp;0)&lt;5,IF(AND(COUNTIF(R$1237:R1336,1)&gt;7,MOD(1+IFERROR(MATCH($C734,总览!$D$46:$D$345,1)+1,1),7)=0),$C$3,0),0)</f>
        <v>100.978571428571</v>
      </c>
      <c r="S734" s="131" cm="1">
        <f ca="1" t="array" ref="S734">IF(S1336=1,OFFSET($W$634,$B734,S$631-1)/SUMPRODUCT(--($D$631:$V$631=S$631),--($D1336:$V1336=1)),0)+SUM(S733)+IF(COUNTIF(S$1237:S1336,1)=1,5,0)+IF(COUNTIF(T734:$W734,"&gt;"&amp;0)&lt;5,IF(AND(COUNTIF(S$1237:S1336,1)&gt;7,MOD(1+IFERROR(MATCH($C734,总览!$D$46:$D$345,1)+1,1),7)=0),$C$3,0),0)</f>
        <v>133.478571428571</v>
      </c>
      <c r="T734" s="131" cm="1">
        <f ca="1" t="array" ref="T734">IF(T1336=1,OFFSET($W$634,$B734,T$631-1)/SUMPRODUCT(--($D$631:$V$631=T$631),--($D1336:$V1336=1)),0)+SUM(T733)+IF(COUNTIF(T$1237:T1336,1)=1,5,0)+IF(COUNTIF(U734:$W734,"&gt;"&amp;0)&lt;5,IF(AND(COUNTIF(T$1237:T1336,1)&gt;7,MOD(1+IFERROR(MATCH($C734,总览!$D$46:$D$345,1)+1,1),7)=0),$C$3,0),0)</f>
        <v>80.1579571728006</v>
      </c>
      <c r="U734" s="131" cm="1">
        <f ca="1" t="array" ref="U734">IF(U1336=1,OFFSET($W$634,$B734,U$631-1)/SUMPRODUCT(--($D$631:$V$631=U$631),--($D1336:$V1336=1)),0)+SUM(U733)+IF(COUNTIF(U$1237:U1336,1)=1,5,0)+IF(COUNTIF(V734:$W734,"&gt;"&amp;0)&lt;5,IF(AND(COUNTIF(U$1237:U1336,1)&gt;7,MOD(1+IFERROR(MATCH($C734,总览!$D$46:$D$345,1)+1,1),7)=0),$C$3,0),0)</f>
        <v>85.6787435281003</v>
      </c>
      <c r="V734" s="131" cm="1">
        <f ca="1" t="array" ref="V734">IF(V1336=1,OFFSET($W$634,$B734,V$631-1)/SUMPRODUCT(--($D$631:$V$631=V$631),--($D1336:$V1336=1)),0)+SUM(V733)+IF(COUNTIF(V$1237:V1336,1)=1,5,0)+IF(COUNTIF(W734:$W734,"&gt;"&amp;0)&lt;5,IF(AND(COUNTIF(V$1237:V1336,1)&gt;7,MOD(1+IFERROR(MATCH($C734,总览!$D$46:$D$345,1)+1,1),7)=0),$C$3,0),0)</f>
        <v>105.505743240534</v>
      </c>
      <c r="W734" s="135" cm="1">
        <f ca="1" t="array" ref="W734">SUMPRODUCT(TRANSPOSE($AA734:$AG734),OFFSET($L$9:$L$15,0,W$631-1))</f>
        <v>16.8502200646615</v>
      </c>
      <c r="X734" s="135" cm="1">
        <f ca="1" t="array" ref="X734">SUMPRODUCT(TRANSPOSE($AA734:$AG734),OFFSET($L$9:$L$15,0,X$631-1))</f>
        <v>20</v>
      </c>
      <c r="Y734" s="135" cm="1">
        <f ca="1" t="array" ref="Y734">SUMPRODUCT(TRANSPOSE($AA734:$AG734),OFFSET($L$9:$L$15,0,Y$631-1))</f>
        <v>10</v>
      </c>
      <c r="Z734" s="135" cm="1">
        <f ca="1" t="array" ref="Z734">SUMPRODUCT(TRANSPOSE($AA734:$AG734),OFFSET($L$9:$L$15,0,Z$631-1))</f>
        <v>3.14977993533847</v>
      </c>
      <c r="AA734" s="136">
        <f ca="1" t="shared" ref="AA734:AG734" si="441">AH734-AH733</f>
        <v>0</v>
      </c>
      <c r="AB734" s="136">
        <f ca="1" t="shared" si="441"/>
        <v>0</v>
      </c>
      <c r="AC734" s="136">
        <f ca="1" t="shared" si="441"/>
        <v>0</v>
      </c>
      <c r="AD734" s="136">
        <f ca="1" t="shared" si="441"/>
        <v>0</v>
      </c>
      <c r="AE734" s="136">
        <f ca="1" t="shared" si="441"/>
        <v>0</v>
      </c>
      <c r="AF734" s="136">
        <f ca="1" t="shared" si="441"/>
        <v>100</v>
      </c>
      <c r="AG734" s="136">
        <f ca="1" t="shared" si="441"/>
        <v>0</v>
      </c>
      <c r="AH734" s="136">
        <f ca="1" t="shared" si="371"/>
        <v>450</v>
      </c>
      <c r="AI734" s="136">
        <f ca="1" t="shared" ref="AI734:AN734" si="442">IF($C734&gt;OFFSET($Q$8,MATCH(AI$634,$AH$634:$AN$634,0),0),OFFSET($P$8,MATCH(AI$634,$AH$634:$AN$634,0),0),MAX(0,$C734-OFFSET($Q$8,RIGHT(AI$634,1)-1,0)))</f>
        <v>909</v>
      </c>
      <c r="AJ734" s="136">
        <f ca="1" t="shared" si="442"/>
        <v>1818</v>
      </c>
      <c r="AK734" s="136">
        <f ca="1" t="shared" si="442"/>
        <v>2727</v>
      </c>
      <c r="AL734" s="136">
        <f ca="1" t="shared" si="442"/>
        <v>3636</v>
      </c>
      <c r="AM734" s="136">
        <f ca="1" t="shared" si="442"/>
        <v>460</v>
      </c>
      <c r="AN734" s="136">
        <f ca="1" t="shared" si="442"/>
        <v>0</v>
      </c>
      <c r="AP734" s="132">
        <v>100</v>
      </c>
      <c r="AQ734" s="132">
        <v>192350</v>
      </c>
      <c r="AR734" s="132">
        <v>192350</v>
      </c>
      <c r="AS734" s="132">
        <v>113450</v>
      </c>
      <c r="AT734" s="132">
        <v>57500</v>
      </c>
    </row>
    <row r="735" s="106" customFormat="1" ht="16.5" spans="2:46">
      <c r="B735" s="117">
        <v>101</v>
      </c>
      <c r="C735" s="130">
        <f t="shared" si="369"/>
        <v>10100</v>
      </c>
      <c r="D735" s="131" cm="1">
        <f ca="1" t="array" ref="D735">IF(D1337=1,OFFSET($W$634,$B735,D$631-1)/SUMPRODUCT(--($D$631:$V$631=D$631),--($D1337:$V1337=1)),0)+SUM(D734)+IF(COUNTIF(D$1237:D1337,1)=1,5,0)+IF(COUNTIF(E735:$W735,"&gt;"&amp;0)&lt;5,IF(AND(COUNTIF(D$1237:D1337,1)&gt;7,MOD(1+IFERROR(MATCH($C735,总览!$D$46:$D$345,1)+1,1),7)=0),$C$3,0),0)</f>
        <v>894.994258707743</v>
      </c>
      <c r="E735" s="131" cm="1">
        <f ca="1" t="array" ref="E735">IF(E1337=1,OFFSET($W$634,$B735,E$631-1)/SUMPRODUCT(--($D$631:$V$631=E$631),--($D1337:$V1337=1)),0)+SUM(E734)+IF(COUNTIF(E$1237:E1337,1)=1,5,0)+IF(COUNTIF(F735:$W735,"&gt;"&amp;0)&lt;5,IF(AND(COUNTIF(E$1237:E1337,1)&gt;7,MOD(1+IFERROR(MATCH($C735,总览!$D$46:$D$345,1)+1,1),7)=0),$C$3,0),0)</f>
        <v>894.994258707743</v>
      </c>
      <c r="F735" s="131" cm="1">
        <f ca="1" t="array" ref="F735">IF(F1337=1,OFFSET($W$634,$B735,F$631-1)/SUMPRODUCT(--($D$631:$V$631=F$631),--($D1337:$V1337=1)),0)+SUM(F734)+IF(COUNTIF(F$1237:F1337,1)=1,5,0)+IF(COUNTIF(G735:$W735,"&gt;"&amp;0)&lt;5,IF(AND(COUNTIF(F$1237:F1337,1)&gt;7,MOD(1+IFERROR(MATCH($C735,总览!$D$46:$D$345,1)+1,1),7)=0),$C$3,0),0)</f>
        <v>894.994258707743</v>
      </c>
      <c r="G735" s="131" cm="1">
        <f ca="1" t="array" ref="G735">IF(G1337=1,OFFSET($W$634,$B735,G$631-1)/SUMPRODUCT(--($D$631:$V$631=G$631),--($D1337:$V1337=1)),0)+SUM(G734)+IF(COUNTIF(G$1237:G1337,1)=1,5,0)+IF(COUNTIF(H735:$W735,"&gt;"&amp;0)&lt;5,IF(AND(COUNTIF(G$1237:G1337,1)&gt;7,MOD(1+IFERROR(MATCH($C735,总览!$D$46:$D$345,1)+1,1),7)=0),$C$3,0),0)</f>
        <v>276.066666666667</v>
      </c>
      <c r="H735" s="131" cm="1">
        <f ca="1" t="array" ref="H735">IF(H1337=1,OFFSET($W$634,$B735,H$631-1)/SUMPRODUCT(--($D$631:$V$631=H$631),--($D1337:$V1337=1)),0)+SUM(H734)+IF(COUNTIF(H$1237:H1337,1)=1,5,0)+IF(COUNTIF(I735:$W735,"&gt;"&amp;0)&lt;5,IF(AND(COUNTIF(H$1237:H1337,1)&gt;7,MOD(1+IFERROR(MATCH($C735,总览!$D$46:$D$345,1)+1,1),7)=0),$C$3,0),0)</f>
        <v>276.066666666667</v>
      </c>
      <c r="I735" s="131" cm="1">
        <f ca="1" t="array" ref="I735">IF(I1337=1,OFFSET($W$634,$B735,I$631-1)/SUMPRODUCT(--($D$631:$V$631=I$631),--($D1337:$V1337=1)),0)+SUM(I734)+IF(COUNTIF(I$1237:I1337,1)=1,5,0)+IF(COUNTIF(J735:$W735,"&gt;"&amp;0)&lt;5,IF(AND(COUNTIF(I$1237:I1337,1)&gt;7,MOD(1+IFERROR(MATCH($C735,总览!$D$46:$D$345,1)+1,1),7)=0),$C$3,0),0)</f>
        <v>276.066666666667</v>
      </c>
      <c r="J735" s="131" cm="1">
        <f ca="1" t="array" ref="J735">IF(J1337=1,OFFSET($W$634,$B735,J$631-1)/SUMPRODUCT(--($D$631:$V$631=J$631),--($D1337:$V1337=1)),0)+SUM(J734)+IF(COUNTIF(J$1237:J1337,1)=1,5,0)+IF(COUNTIF(K735:$W735,"&gt;"&amp;0)&lt;5,IF(AND(COUNTIF(J$1237:J1337,1)&gt;7,MOD(1+IFERROR(MATCH($C735,总览!$D$46:$D$345,1)+1,1),7)=0),$C$3,0),0)</f>
        <v>272.733333333333</v>
      </c>
      <c r="K735" s="131" cm="1">
        <f ca="1" t="array" ref="K735">IF(K1337=1,OFFSET($W$634,$B735,K$631-1)/SUMPRODUCT(--($D$631:$V$631=K$631),--($D1337:$V1337=1)),0)+SUM(K734)+IF(COUNTIF(K$1237:K1337,1)=1,5,0)+IF(COUNTIF(L735:$W735,"&gt;"&amp;0)&lt;5,IF(AND(COUNTIF(K$1237:K1337,1)&gt;7,MOD(1+IFERROR(MATCH($C735,总览!$D$46:$D$345,1)+1,1),7)=0),$C$3,0),0)</f>
        <v>270.233333333333</v>
      </c>
      <c r="L735" s="131" cm="1">
        <f ca="1" t="array" ref="L735">IF(L1337=1,OFFSET($W$634,$B735,L$631-1)/SUMPRODUCT(--($D$631:$V$631=L$631),--($D1337:$V1337=1)),0)+SUM(L734)+IF(COUNTIF(L$1237:L1337,1)=1,5,0)+IF(COUNTIF(M735:$W735,"&gt;"&amp;0)&lt;5,IF(AND(COUNTIF(L$1237:L1337,1)&gt;7,MOD(1+IFERROR(MATCH($C735,总览!$D$46:$D$345,1)+1,1),7)=0),$C$3,0),0)</f>
        <v>270.233333333333</v>
      </c>
      <c r="M735" s="131" cm="1">
        <f ca="1" t="array" ref="M735">IF(M1337=1,OFFSET($W$634,$B735,M$631-1)/SUMPRODUCT(--($D$631:$V$631=M$631),--($D1337:$V1337=1)),0)+SUM(M734)+IF(COUNTIF(M$1237:M1337,1)=1,5,0)+IF(COUNTIF(N735:$W735,"&gt;"&amp;0)&lt;5,IF(AND(COUNTIF(M$1237:M1337,1)&gt;7,MOD(1+IFERROR(MATCH($C735,总览!$D$46:$D$345,1)+1,1),7)=0),$C$3,0),0)</f>
        <v>102.038392857143</v>
      </c>
      <c r="N735" s="131" cm="1">
        <f ca="1" t="array" ref="N735">IF(N1337=1,OFFSET($W$634,$B735,N$631-1)/SUMPRODUCT(--($D$631:$V$631=N$631),--($D1337:$V1337=1)),0)+SUM(N734)+IF(COUNTIF(N$1237:N1337,1)=1,5,0)+IF(COUNTIF(O735:$W735,"&gt;"&amp;0)&lt;5,IF(AND(COUNTIF(N$1237:N1337,1)&gt;7,MOD(1+IFERROR(MATCH($C735,总览!$D$46:$D$345,1)+1,1),7)=0),$C$3,0),0)</f>
        <v>103.288392857143</v>
      </c>
      <c r="O735" s="131" cm="1">
        <f ca="1" t="array" ref="O735">IF(O1337=1,OFFSET($W$634,$B735,O$631-1)/SUMPRODUCT(--($D$631:$V$631=O$631),--($D1337:$V1337=1)),0)+SUM(O734)+IF(COUNTIF(O$1237:O1337,1)=1,5,0)+IF(COUNTIF(P735:$W735,"&gt;"&amp;0)&lt;5,IF(AND(COUNTIF(O$1237:O1337,1)&gt;7,MOD(1+IFERROR(MATCH($C735,总览!$D$46:$D$345,1)+1,1),7)=0),$C$3,0),0)</f>
        <v>108.288392857143</v>
      </c>
      <c r="P735" s="131" cm="1">
        <f ca="1" t="array" ref="P735">IF(P1337=1,OFFSET($W$634,$B735,P$631-1)/SUMPRODUCT(--($D$631:$V$631=P$631),--($D1337:$V1337=1)),0)+SUM(P734)+IF(COUNTIF(P$1237:P1337,1)=1,5,0)+IF(COUNTIF(Q735:$W735,"&gt;"&amp;0)&lt;5,IF(AND(COUNTIF(P$1237:P1337,1)&gt;7,MOD(1+IFERROR(MATCH($C735,总览!$D$46:$D$345,1)+1,1),7)=0),$C$3,0),0)</f>
        <v>97.4071428571428</v>
      </c>
      <c r="Q735" s="131" cm="1">
        <f ca="1" t="array" ref="Q735">IF(Q1337=1,OFFSET($W$634,$B735,Q$631-1)/SUMPRODUCT(--($D$631:$V$631=Q$631),--($D1337:$V1337=1)),0)+SUM(Q734)+IF(COUNTIF(Q$1237:Q1337,1)=1,5,0)+IF(COUNTIF(R735:$W735,"&gt;"&amp;0)&lt;5,IF(AND(COUNTIF(Q$1237:Q1337,1)&gt;7,MOD(1+IFERROR(MATCH($C735,总览!$D$46:$D$345,1)+1,1),7)=0),$C$3,0),0)</f>
        <v>110.788392857143</v>
      </c>
      <c r="R735" s="131" cm="1">
        <f ca="1" t="array" ref="R735">IF(R1337=1,OFFSET($W$634,$B735,R$631-1)/SUMPRODUCT(--($D$631:$V$631=R$631),--($D1337:$V1337=1)),0)+SUM(R734)+IF(COUNTIF(R$1237:R1337,1)=1,5,0)+IF(COUNTIF(S735:$W735,"&gt;"&amp;0)&lt;5,IF(AND(COUNTIF(R$1237:R1337,1)&gt;7,MOD(1+IFERROR(MATCH($C735,总览!$D$46:$D$345,1)+1,1),7)=0),$C$3,0),0)</f>
        <v>102.407142857143</v>
      </c>
      <c r="S735" s="131" cm="1">
        <f ca="1" t="array" ref="S735">IF(S1337=1,OFFSET($W$634,$B735,S$631-1)/SUMPRODUCT(--($D$631:$V$631=S$631),--($D1337:$V1337=1)),0)+SUM(S734)+IF(COUNTIF(S$1237:S1337,1)=1,5,0)+IF(COUNTIF(T735:$W735,"&gt;"&amp;0)&lt;5,IF(AND(COUNTIF(S$1237:S1337,1)&gt;7,MOD(1+IFERROR(MATCH($C735,总览!$D$46:$D$345,1)+1,1),7)=0),$C$3,0),0)</f>
        <v>134.907142857143</v>
      </c>
      <c r="T735" s="131" cm="1">
        <f ca="1" t="array" ref="T735">IF(T1337=1,OFFSET($W$634,$B735,T$631-1)/SUMPRODUCT(--($D$631:$V$631=T$631),--($D1337:$V1337=1)),0)+SUM(T734)+IF(COUNTIF(T$1237:T1337,1)=1,5,0)+IF(COUNTIF(U735:$W735,"&gt;"&amp;0)&lt;5,IF(AND(COUNTIF(T$1237:T1337,1)&gt;7,MOD(1+IFERROR(MATCH($C735,总览!$D$46:$D$345,1)+1,1),7)=0),$C$3,0),0)</f>
        <v>81.2078838179135</v>
      </c>
      <c r="U735" s="131" cm="1">
        <f ca="1" t="array" ref="U735">IF(U1337=1,OFFSET($W$634,$B735,U$631-1)/SUMPRODUCT(--($D$631:$V$631=U$631),--($D1337:$V1337=1)),0)+SUM(U734)+IF(COUNTIF(U$1237:U1337,1)=1,5,0)+IF(COUNTIF(V735:$W735,"&gt;"&amp;0)&lt;5,IF(AND(COUNTIF(U$1237:U1337,1)&gt;7,MOD(1+IFERROR(MATCH($C735,总览!$D$46:$D$345,1)+1,1),7)=0),$C$3,0),0)</f>
        <v>86.7286701732131</v>
      </c>
      <c r="V735" s="131" cm="1">
        <f ca="1" t="array" ref="V735">IF(V1337=1,OFFSET($W$634,$B735,V$631-1)/SUMPRODUCT(--($D$631:$V$631=V$631),--($D1337:$V1337=1)),0)+SUM(V734)+IF(COUNTIF(V$1237:V1337,1)=1,5,0)+IF(COUNTIF(W735:$W735,"&gt;"&amp;0)&lt;5,IF(AND(COUNTIF(V$1237:V1337,1)&gt;7,MOD(1+IFERROR(MATCH($C735,总览!$D$46:$D$345,1)+1,1),7)=0),$C$3,0),0)</f>
        <v>106.555669885646</v>
      </c>
      <c r="W735" s="135" cm="1">
        <f ca="1" t="array" ref="W735">SUMPRODUCT(TRANSPOSE($AA735:$AG735),OFFSET($L$9:$L$15,0,W$631-1))</f>
        <v>16.8502200646615</v>
      </c>
      <c r="X735" s="135" cm="1">
        <f ca="1" t="array" ref="X735">SUMPRODUCT(TRANSPOSE($AA735:$AG735),OFFSET($L$9:$L$15,0,X$631-1))</f>
        <v>20</v>
      </c>
      <c r="Y735" s="135" cm="1">
        <f ca="1" t="array" ref="Y735">SUMPRODUCT(TRANSPOSE($AA735:$AG735),OFFSET($L$9:$L$15,0,Y$631-1))</f>
        <v>10</v>
      </c>
      <c r="Z735" s="135" cm="1">
        <f ca="1" t="array" ref="Z735">SUMPRODUCT(TRANSPOSE($AA735:$AG735),OFFSET($L$9:$L$15,0,Z$631-1))</f>
        <v>3.14977993533847</v>
      </c>
      <c r="AA735" s="136">
        <f ca="1" t="shared" ref="AA735:AG735" si="443">AH735-AH734</f>
        <v>0</v>
      </c>
      <c r="AB735" s="136">
        <f ca="1" t="shared" si="443"/>
        <v>0</v>
      </c>
      <c r="AC735" s="136">
        <f ca="1" t="shared" si="443"/>
        <v>0</v>
      </c>
      <c r="AD735" s="136">
        <f ca="1" t="shared" si="443"/>
        <v>0</v>
      </c>
      <c r="AE735" s="136">
        <f ca="1" t="shared" si="443"/>
        <v>0</v>
      </c>
      <c r="AF735" s="136">
        <f ca="1" t="shared" si="443"/>
        <v>100</v>
      </c>
      <c r="AG735" s="136">
        <f ca="1" t="shared" si="443"/>
        <v>0</v>
      </c>
      <c r="AH735" s="136">
        <f ca="1" t="shared" si="371"/>
        <v>450</v>
      </c>
      <c r="AI735" s="136">
        <f ca="1" t="shared" ref="AI735:AN735" si="444">IF($C735&gt;OFFSET($Q$8,MATCH(AI$634,$AH$634:$AN$634,0),0),OFFSET($P$8,MATCH(AI$634,$AH$634:$AN$634,0),0),MAX(0,$C735-OFFSET($Q$8,RIGHT(AI$634,1)-1,0)))</f>
        <v>909</v>
      </c>
      <c r="AJ735" s="136">
        <f ca="1" t="shared" si="444"/>
        <v>1818</v>
      </c>
      <c r="AK735" s="136">
        <f ca="1" t="shared" si="444"/>
        <v>2727</v>
      </c>
      <c r="AL735" s="136">
        <f ca="1" t="shared" si="444"/>
        <v>3636</v>
      </c>
      <c r="AM735" s="136">
        <f ca="1" t="shared" si="444"/>
        <v>560</v>
      </c>
      <c r="AN735" s="136">
        <f ca="1" t="shared" si="444"/>
        <v>0</v>
      </c>
    </row>
    <row r="736" s="106" customFormat="1" ht="16.5" spans="2:46">
      <c r="B736" s="117">
        <v>102</v>
      </c>
      <c r="C736" s="130">
        <f t="shared" si="369"/>
        <v>10200</v>
      </c>
      <c r="D736" s="131" cm="1">
        <f ca="1" t="array" ref="D736">IF(D1338=1,OFFSET($W$634,$B736,D$631-1)/SUMPRODUCT(--($D$631:$V$631=D$631),--($D1338:$V1338=1)),0)+SUM(D735)+IF(COUNTIF(D$1237:D1338,1)=1,5,0)+IF(COUNTIF(E736:$W736,"&gt;"&amp;0)&lt;5,IF(AND(COUNTIF(D$1237:D1338,1)&gt;7,MOD(1+IFERROR(MATCH($C736,总览!$D$46:$D$345,1)+1,1),7)=0),$C$3,0),0)</f>
        <v>900.610998729297</v>
      </c>
      <c r="E736" s="131" cm="1">
        <f ca="1" t="array" ref="E736">IF(E1338=1,OFFSET($W$634,$B736,E$631-1)/SUMPRODUCT(--($D$631:$V$631=E$631),--($D1338:$V1338=1)),0)+SUM(E735)+IF(COUNTIF(E$1237:E1338,1)=1,5,0)+IF(COUNTIF(F736:$W736,"&gt;"&amp;0)&lt;5,IF(AND(COUNTIF(E$1237:E1338,1)&gt;7,MOD(1+IFERROR(MATCH($C736,总览!$D$46:$D$345,1)+1,1),7)=0),$C$3,0),0)</f>
        <v>900.610998729297</v>
      </c>
      <c r="F736" s="131" cm="1">
        <f ca="1" t="array" ref="F736">IF(F1338=1,OFFSET($W$634,$B736,F$631-1)/SUMPRODUCT(--($D$631:$V$631=F$631),--($D1338:$V1338=1)),0)+SUM(F735)+IF(COUNTIF(F$1237:F1338,1)=1,5,0)+IF(COUNTIF(G736:$W736,"&gt;"&amp;0)&lt;5,IF(AND(COUNTIF(F$1237:F1338,1)&gt;7,MOD(1+IFERROR(MATCH($C736,总览!$D$46:$D$345,1)+1,1),7)=0),$C$3,0),0)</f>
        <v>900.610998729297</v>
      </c>
      <c r="G736" s="131" cm="1">
        <f ca="1" t="array" ref="G736">IF(G1338=1,OFFSET($W$634,$B736,G$631-1)/SUMPRODUCT(--($D$631:$V$631=G$631),--($D1338:$V1338=1)),0)+SUM(G735)+IF(COUNTIF(G$1237:G1338,1)=1,5,0)+IF(COUNTIF(H736:$W736,"&gt;"&amp;0)&lt;5,IF(AND(COUNTIF(G$1237:G1338,1)&gt;7,MOD(1+IFERROR(MATCH($C736,总览!$D$46:$D$345,1)+1,1),7)=0),$C$3,0),0)</f>
        <v>279.4</v>
      </c>
      <c r="H736" s="131" cm="1">
        <f ca="1" t="array" ref="H736">IF(H1338=1,OFFSET($W$634,$B736,H$631-1)/SUMPRODUCT(--($D$631:$V$631=H$631),--($D1338:$V1338=1)),0)+SUM(H735)+IF(COUNTIF(H$1237:H1338,1)=1,5,0)+IF(COUNTIF(I736:$W736,"&gt;"&amp;0)&lt;5,IF(AND(COUNTIF(H$1237:H1338,1)&gt;7,MOD(1+IFERROR(MATCH($C736,总览!$D$46:$D$345,1)+1,1),7)=0),$C$3,0),0)</f>
        <v>279.4</v>
      </c>
      <c r="I736" s="131" cm="1">
        <f ca="1" t="array" ref="I736">IF(I1338=1,OFFSET($W$634,$B736,I$631-1)/SUMPRODUCT(--($D$631:$V$631=I$631),--($D1338:$V1338=1)),0)+SUM(I735)+IF(COUNTIF(I$1237:I1338,1)=1,5,0)+IF(COUNTIF(J736:$W736,"&gt;"&amp;0)&lt;5,IF(AND(COUNTIF(I$1237:I1338,1)&gt;7,MOD(1+IFERROR(MATCH($C736,总览!$D$46:$D$345,1)+1,1),7)=0),$C$3,0),0)</f>
        <v>279.4</v>
      </c>
      <c r="J736" s="131" cm="1">
        <f ca="1" t="array" ref="J736">IF(J1338=1,OFFSET($W$634,$B736,J$631-1)/SUMPRODUCT(--($D$631:$V$631=J$631),--($D1338:$V1338=1)),0)+SUM(J735)+IF(COUNTIF(J$1237:J1338,1)=1,5,0)+IF(COUNTIF(K736:$W736,"&gt;"&amp;0)&lt;5,IF(AND(COUNTIF(J$1237:J1338,1)&gt;7,MOD(1+IFERROR(MATCH($C736,总览!$D$46:$D$345,1)+1,1),7)=0),$C$3,0),0)</f>
        <v>276.066666666667</v>
      </c>
      <c r="K736" s="131" cm="1">
        <f ca="1" t="array" ref="K736">IF(K1338=1,OFFSET($W$634,$B736,K$631-1)/SUMPRODUCT(--($D$631:$V$631=K$631),--($D1338:$V1338=1)),0)+SUM(K735)+IF(COUNTIF(K$1237:K1338,1)=1,5,0)+IF(COUNTIF(L736:$W736,"&gt;"&amp;0)&lt;5,IF(AND(COUNTIF(K$1237:K1338,1)&gt;7,MOD(1+IFERROR(MATCH($C736,总览!$D$46:$D$345,1)+1,1),7)=0),$C$3,0),0)</f>
        <v>273.566666666667</v>
      </c>
      <c r="L736" s="131" cm="1">
        <f ca="1" t="array" ref="L736">IF(L1338=1,OFFSET($W$634,$B736,L$631-1)/SUMPRODUCT(--($D$631:$V$631=L$631),--($D1338:$V1338=1)),0)+SUM(L735)+IF(COUNTIF(L$1237:L1338,1)=1,5,0)+IF(COUNTIF(M736:$W736,"&gt;"&amp;0)&lt;5,IF(AND(COUNTIF(L$1237:L1338,1)&gt;7,MOD(1+IFERROR(MATCH($C736,总览!$D$46:$D$345,1)+1,1),7)=0),$C$3,0),0)</f>
        <v>273.566666666667</v>
      </c>
      <c r="M736" s="131" cm="1">
        <f ca="1" t="array" ref="M736">IF(M1338=1,OFFSET($W$634,$B736,M$631-1)/SUMPRODUCT(--($D$631:$V$631=M$631),--($D1338:$V1338=1)),0)+SUM(M735)+IF(COUNTIF(M$1237:M1338,1)=1,5,0)+IF(COUNTIF(N736:$W736,"&gt;"&amp;0)&lt;5,IF(AND(COUNTIF(M$1237:M1338,1)&gt;7,MOD(1+IFERROR(MATCH($C736,总览!$D$46:$D$345,1)+1,1),7)=0),$C$3,0),0)</f>
        <v>103.466964285714</v>
      </c>
      <c r="N736" s="131" cm="1">
        <f ca="1" t="array" ref="N736">IF(N1338=1,OFFSET($W$634,$B736,N$631-1)/SUMPRODUCT(--($D$631:$V$631=N$631),--($D1338:$V1338=1)),0)+SUM(N735)+IF(COUNTIF(N$1237:N1338,1)=1,5,0)+IF(COUNTIF(O736:$W736,"&gt;"&amp;0)&lt;5,IF(AND(COUNTIF(N$1237:N1338,1)&gt;7,MOD(1+IFERROR(MATCH($C736,总览!$D$46:$D$345,1)+1,1),7)=0),$C$3,0),0)</f>
        <v>104.716964285714</v>
      </c>
      <c r="O736" s="131" cm="1">
        <f ca="1" t="array" ref="O736">IF(O1338=1,OFFSET($W$634,$B736,O$631-1)/SUMPRODUCT(--($D$631:$V$631=O$631),--($D1338:$V1338=1)),0)+SUM(O735)+IF(COUNTIF(O$1237:O1338,1)=1,5,0)+IF(COUNTIF(P736:$W736,"&gt;"&amp;0)&lt;5,IF(AND(COUNTIF(O$1237:O1338,1)&gt;7,MOD(1+IFERROR(MATCH($C736,总览!$D$46:$D$345,1)+1,1),7)=0),$C$3,0),0)</f>
        <v>109.716964285714</v>
      </c>
      <c r="P736" s="131" cm="1">
        <f ca="1" t="array" ref="P736">IF(P1338=1,OFFSET($W$634,$B736,P$631-1)/SUMPRODUCT(--($D$631:$V$631=P$631),--($D1338:$V1338=1)),0)+SUM(P735)+IF(COUNTIF(P$1237:P1338,1)=1,5,0)+IF(COUNTIF(Q736:$W736,"&gt;"&amp;0)&lt;5,IF(AND(COUNTIF(P$1237:P1338,1)&gt;7,MOD(1+IFERROR(MATCH($C736,总览!$D$46:$D$345,1)+1,1),7)=0),$C$3,0),0)</f>
        <v>98.8357142857142</v>
      </c>
      <c r="Q736" s="131" cm="1">
        <f ca="1" t="array" ref="Q736">IF(Q1338=1,OFFSET($W$634,$B736,Q$631-1)/SUMPRODUCT(--($D$631:$V$631=Q$631),--($D1338:$V1338=1)),0)+SUM(Q735)+IF(COUNTIF(Q$1237:Q1338,1)=1,5,0)+IF(COUNTIF(R736:$W736,"&gt;"&amp;0)&lt;5,IF(AND(COUNTIF(Q$1237:Q1338,1)&gt;7,MOD(1+IFERROR(MATCH($C736,总览!$D$46:$D$345,1)+1,1),7)=0),$C$3,0),0)</f>
        <v>112.216964285714</v>
      </c>
      <c r="R736" s="131" cm="1">
        <f ca="1" t="array" ref="R736">IF(R1338=1,OFFSET($W$634,$B736,R$631-1)/SUMPRODUCT(--($D$631:$V$631=R$631),--($D1338:$V1338=1)),0)+SUM(R735)+IF(COUNTIF(R$1237:R1338,1)=1,5,0)+IF(COUNTIF(S736:$W736,"&gt;"&amp;0)&lt;5,IF(AND(COUNTIF(R$1237:R1338,1)&gt;7,MOD(1+IFERROR(MATCH($C736,总览!$D$46:$D$345,1)+1,1),7)=0),$C$3,0),0)</f>
        <v>103.835714285714</v>
      </c>
      <c r="S736" s="131" cm="1">
        <f ca="1" t="array" ref="S736">IF(S1338=1,OFFSET($W$634,$B736,S$631-1)/SUMPRODUCT(--($D$631:$V$631=S$631),--($D1338:$V1338=1)),0)+SUM(S735)+IF(COUNTIF(S$1237:S1338,1)=1,5,0)+IF(COUNTIF(T736:$W736,"&gt;"&amp;0)&lt;5,IF(AND(COUNTIF(S$1237:S1338,1)&gt;7,MOD(1+IFERROR(MATCH($C736,总览!$D$46:$D$345,1)+1,1),7)=0),$C$3,0),0)</f>
        <v>136.335714285714</v>
      </c>
      <c r="T736" s="131" cm="1">
        <f ca="1" t="array" ref="T736">IF(T1338=1,OFFSET($W$634,$B736,T$631-1)/SUMPRODUCT(--($D$631:$V$631=T$631),--($D1338:$V1338=1)),0)+SUM(T735)+IF(COUNTIF(T$1237:T1338,1)=1,5,0)+IF(COUNTIF(U736:$W736,"&gt;"&amp;0)&lt;5,IF(AND(COUNTIF(T$1237:T1338,1)&gt;7,MOD(1+IFERROR(MATCH($C736,总览!$D$46:$D$345,1)+1,1),7)=0),$C$3,0),0)</f>
        <v>82.2578104630263</v>
      </c>
      <c r="U736" s="131" cm="1">
        <f ca="1" t="array" ref="U736">IF(U1338=1,OFFSET($W$634,$B736,U$631-1)/SUMPRODUCT(--($D$631:$V$631=U$631),--($D1338:$V1338=1)),0)+SUM(U735)+IF(COUNTIF(U$1237:U1338,1)=1,5,0)+IF(COUNTIF(V736:$W736,"&gt;"&amp;0)&lt;5,IF(AND(COUNTIF(U$1237:U1338,1)&gt;7,MOD(1+IFERROR(MATCH($C736,总览!$D$46:$D$345,1)+1,1),7)=0),$C$3,0),0)</f>
        <v>87.7785968183259</v>
      </c>
      <c r="V736" s="131" cm="1">
        <f ca="1" t="array" ref="V736">IF(V1338=1,OFFSET($W$634,$B736,V$631-1)/SUMPRODUCT(--($D$631:$V$631=V$631),--($D1338:$V1338=1)),0)+SUM(V735)+IF(COUNTIF(V$1237:V1338,1)=1,5,0)+IF(COUNTIF(W736:$W736,"&gt;"&amp;0)&lt;5,IF(AND(COUNTIF(V$1237:V1338,1)&gt;7,MOD(1+IFERROR(MATCH($C736,总览!$D$46:$D$345,1)+1,1),7)=0),$C$3,0),0)</f>
        <v>107.605596530759</v>
      </c>
      <c r="W736" s="135" cm="1">
        <f ca="1" t="array" ref="W736">SUMPRODUCT(TRANSPOSE($AA736:$AG736),OFFSET($L$9:$L$15,0,W$631-1))</f>
        <v>16.8502200646615</v>
      </c>
      <c r="X736" s="135" cm="1">
        <f ca="1" t="array" ref="X736">SUMPRODUCT(TRANSPOSE($AA736:$AG736),OFFSET($L$9:$L$15,0,X$631-1))</f>
        <v>20</v>
      </c>
      <c r="Y736" s="135" cm="1">
        <f ca="1" t="array" ref="Y736">SUMPRODUCT(TRANSPOSE($AA736:$AG736),OFFSET($L$9:$L$15,0,Y$631-1))</f>
        <v>10</v>
      </c>
      <c r="Z736" s="135" cm="1">
        <f ca="1" t="array" ref="Z736">SUMPRODUCT(TRANSPOSE($AA736:$AG736),OFFSET($L$9:$L$15,0,Z$631-1))</f>
        <v>3.14977993533847</v>
      </c>
      <c r="AA736" s="136">
        <f ca="1" t="shared" ref="AA736:AG736" si="445">AH736-AH735</f>
        <v>0</v>
      </c>
      <c r="AB736" s="136">
        <f ca="1" t="shared" si="445"/>
        <v>0</v>
      </c>
      <c r="AC736" s="136">
        <f ca="1" t="shared" si="445"/>
        <v>0</v>
      </c>
      <c r="AD736" s="136">
        <f ca="1" t="shared" si="445"/>
        <v>0</v>
      </c>
      <c r="AE736" s="136">
        <f ca="1" t="shared" si="445"/>
        <v>0</v>
      </c>
      <c r="AF736" s="136">
        <f ca="1" t="shared" si="445"/>
        <v>100</v>
      </c>
      <c r="AG736" s="136">
        <f ca="1" t="shared" si="445"/>
        <v>0</v>
      </c>
      <c r="AH736" s="136">
        <f ca="1" t="shared" si="371"/>
        <v>450</v>
      </c>
      <c r="AI736" s="136">
        <f ca="1" t="shared" ref="AI736:AN736" si="446">IF($C736&gt;OFFSET($Q$8,MATCH(AI$634,$AH$634:$AN$634,0),0),OFFSET($P$8,MATCH(AI$634,$AH$634:$AN$634,0),0),MAX(0,$C736-OFFSET($Q$8,RIGHT(AI$634,1)-1,0)))</f>
        <v>909</v>
      </c>
      <c r="AJ736" s="136">
        <f ca="1" t="shared" si="446"/>
        <v>1818</v>
      </c>
      <c r="AK736" s="136">
        <f ca="1" t="shared" si="446"/>
        <v>2727</v>
      </c>
      <c r="AL736" s="136">
        <f ca="1" t="shared" si="446"/>
        <v>3636</v>
      </c>
      <c r="AM736" s="136">
        <f ca="1" t="shared" si="446"/>
        <v>660</v>
      </c>
      <c r="AN736" s="136">
        <f ca="1" t="shared" si="446"/>
        <v>0</v>
      </c>
    </row>
    <row r="737" s="106" customFormat="1" ht="16.5" spans="2:40">
      <c r="B737" s="117">
        <v>103</v>
      </c>
      <c r="C737" s="130">
        <f t="shared" si="369"/>
        <v>10300</v>
      </c>
      <c r="D737" s="131" cm="1">
        <f ca="1" t="array" ref="D737">IF(D1339=1,OFFSET($W$634,$B737,D$631-1)/SUMPRODUCT(--($D$631:$V$631=D$631),--($D1339:$V1339=1)),0)+SUM(D736)+IF(COUNTIF(D$1237:D1339,1)=1,5,0)+IF(COUNTIF(E737:$W737,"&gt;"&amp;0)&lt;5,IF(AND(COUNTIF(D$1237:D1339,1)&gt;7,MOD(1+IFERROR(MATCH($C737,总览!$D$46:$D$345,1)+1,1),7)=0),$C$3,0),0)</f>
        <v>906.22773875085</v>
      </c>
      <c r="E737" s="131" cm="1">
        <f ca="1" t="array" ref="E737">IF(E1339=1,OFFSET($W$634,$B737,E$631-1)/SUMPRODUCT(--($D$631:$V$631=E$631),--($D1339:$V1339=1)),0)+SUM(E736)+IF(COUNTIF(E$1237:E1339,1)=1,5,0)+IF(COUNTIF(F737:$W737,"&gt;"&amp;0)&lt;5,IF(AND(COUNTIF(E$1237:E1339,1)&gt;7,MOD(1+IFERROR(MATCH($C737,总览!$D$46:$D$345,1)+1,1),7)=0),$C$3,0),0)</f>
        <v>906.22773875085</v>
      </c>
      <c r="F737" s="131" cm="1">
        <f ca="1" t="array" ref="F737">IF(F1339=1,OFFSET($W$634,$B737,F$631-1)/SUMPRODUCT(--($D$631:$V$631=F$631),--($D1339:$V1339=1)),0)+SUM(F736)+IF(COUNTIF(F$1237:F1339,1)=1,5,0)+IF(COUNTIF(G737:$W737,"&gt;"&amp;0)&lt;5,IF(AND(COUNTIF(F$1237:F1339,1)&gt;7,MOD(1+IFERROR(MATCH($C737,总览!$D$46:$D$345,1)+1,1),7)=0),$C$3,0),0)</f>
        <v>906.22773875085</v>
      </c>
      <c r="G737" s="131" cm="1">
        <f ca="1" t="array" ref="G737">IF(G1339=1,OFFSET($W$634,$B737,G$631-1)/SUMPRODUCT(--($D$631:$V$631=G$631),--($D1339:$V1339=1)),0)+SUM(G736)+IF(COUNTIF(G$1237:G1339,1)=1,5,0)+IF(COUNTIF(H737:$W737,"&gt;"&amp;0)&lt;5,IF(AND(COUNTIF(G$1237:G1339,1)&gt;7,MOD(1+IFERROR(MATCH($C737,总览!$D$46:$D$345,1)+1,1),7)=0),$C$3,0),0)</f>
        <v>282.733333333333</v>
      </c>
      <c r="H737" s="131" cm="1">
        <f ca="1" t="array" ref="H737">IF(H1339=1,OFFSET($W$634,$B737,H$631-1)/SUMPRODUCT(--($D$631:$V$631=H$631),--($D1339:$V1339=1)),0)+SUM(H736)+IF(COUNTIF(H$1237:H1339,1)=1,5,0)+IF(COUNTIF(I737:$W737,"&gt;"&amp;0)&lt;5,IF(AND(COUNTIF(H$1237:H1339,1)&gt;7,MOD(1+IFERROR(MATCH($C737,总览!$D$46:$D$345,1)+1,1),7)=0),$C$3,0),0)</f>
        <v>282.733333333333</v>
      </c>
      <c r="I737" s="131" cm="1">
        <f ca="1" t="array" ref="I737">IF(I1339=1,OFFSET($W$634,$B737,I$631-1)/SUMPRODUCT(--($D$631:$V$631=I$631),--($D1339:$V1339=1)),0)+SUM(I736)+IF(COUNTIF(I$1237:I1339,1)=1,5,0)+IF(COUNTIF(J737:$W737,"&gt;"&amp;0)&lt;5,IF(AND(COUNTIF(I$1237:I1339,1)&gt;7,MOD(1+IFERROR(MATCH($C737,总览!$D$46:$D$345,1)+1,1),7)=0),$C$3,0),0)</f>
        <v>282.733333333333</v>
      </c>
      <c r="J737" s="131" cm="1">
        <f ca="1" t="array" ref="J737">IF(J1339=1,OFFSET($W$634,$B737,J$631-1)/SUMPRODUCT(--($D$631:$V$631=J$631),--($D1339:$V1339=1)),0)+SUM(J736)+IF(COUNTIF(J$1237:J1339,1)=1,5,0)+IF(COUNTIF(K737:$W737,"&gt;"&amp;0)&lt;5,IF(AND(COUNTIF(J$1237:J1339,1)&gt;7,MOD(1+IFERROR(MATCH($C737,总览!$D$46:$D$345,1)+1,1),7)=0),$C$3,0),0)</f>
        <v>279.4</v>
      </c>
      <c r="K737" s="131" cm="1">
        <f ca="1" t="array" ref="K737">IF(K1339=1,OFFSET($W$634,$B737,K$631-1)/SUMPRODUCT(--($D$631:$V$631=K$631),--($D1339:$V1339=1)),0)+SUM(K736)+IF(COUNTIF(K$1237:K1339,1)=1,5,0)+IF(COUNTIF(L737:$W737,"&gt;"&amp;0)&lt;5,IF(AND(COUNTIF(K$1237:K1339,1)&gt;7,MOD(1+IFERROR(MATCH($C737,总览!$D$46:$D$345,1)+1,1),7)=0),$C$3,0),0)</f>
        <v>276.9</v>
      </c>
      <c r="L737" s="131" cm="1">
        <f ca="1" t="array" ref="L737">IF(L1339=1,OFFSET($W$634,$B737,L$631-1)/SUMPRODUCT(--($D$631:$V$631=L$631),--($D1339:$V1339=1)),0)+SUM(L736)+IF(COUNTIF(L$1237:L1339,1)=1,5,0)+IF(COUNTIF(M737:$W737,"&gt;"&amp;0)&lt;5,IF(AND(COUNTIF(L$1237:L1339,1)&gt;7,MOD(1+IFERROR(MATCH($C737,总览!$D$46:$D$345,1)+1,1),7)=0),$C$3,0),0)</f>
        <v>276.9</v>
      </c>
      <c r="M737" s="131" cm="1">
        <f ca="1" t="array" ref="M737">IF(M1339=1,OFFSET($W$634,$B737,M$631-1)/SUMPRODUCT(--($D$631:$V$631=M$631),--($D1339:$V1339=1)),0)+SUM(M736)+IF(COUNTIF(M$1237:M1339,1)=1,5,0)+IF(COUNTIF(N737:$W737,"&gt;"&amp;0)&lt;5,IF(AND(COUNTIF(M$1237:M1339,1)&gt;7,MOD(1+IFERROR(MATCH($C737,总览!$D$46:$D$345,1)+1,1),7)=0),$C$3,0),0)</f>
        <v>104.895535714286</v>
      </c>
      <c r="N737" s="131" cm="1">
        <f ca="1" t="array" ref="N737">IF(N1339=1,OFFSET($W$634,$B737,N$631-1)/SUMPRODUCT(--($D$631:$V$631=N$631),--($D1339:$V1339=1)),0)+SUM(N736)+IF(COUNTIF(N$1237:N1339,1)=1,5,0)+IF(COUNTIF(O737:$W737,"&gt;"&amp;0)&lt;5,IF(AND(COUNTIF(N$1237:N1339,1)&gt;7,MOD(1+IFERROR(MATCH($C737,总览!$D$46:$D$345,1)+1,1),7)=0),$C$3,0),0)</f>
        <v>106.145535714286</v>
      </c>
      <c r="O737" s="131" cm="1">
        <f ca="1" t="array" ref="O737">IF(O1339=1,OFFSET($W$634,$B737,O$631-1)/SUMPRODUCT(--($D$631:$V$631=O$631),--($D1339:$V1339=1)),0)+SUM(O736)+IF(COUNTIF(O$1237:O1339,1)=1,5,0)+IF(COUNTIF(P737:$W737,"&gt;"&amp;0)&lt;5,IF(AND(COUNTIF(O$1237:O1339,1)&gt;7,MOD(1+IFERROR(MATCH($C737,总览!$D$46:$D$345,1)+1,1),7)=0),$C$3,0),0)</f>
        <v>111.145535714286</v>
      </c>
      <c r="P737" s="131" cm="1">
        <f ca="1" t="array" ref="P737">IF(P1339=1,OFFSET($W$634,$B737,P$631-1)/SUMPRODUCT(--($D$631:$V$631=P$631),--($D1339:$V1339=1)),0)+SUM(P736)+IF(COUNTIF(P$1237:P1339,1)=1,5,0)+IF(COUNTIF(Q737:$W737,"&gt;"&amp;0)&lt;5,IF(AND(COUNTIF(P$1237:P1339,1)&gt;7,MOD(1+IFERROR(MATCH($C737,总览!$D$46:$D$345,1)+1,1),7)=0),$C$3,0),0)</f>
        <v>100.264285714286</v>
      </c>
      <c r="Q737" s="131" cm="1">
        <f ca="1" t="array" ref="Q737">IF(Q1339=1,OFFSET($W$634,$B737,Q$631-1)/SUMPRODUCT(--($D$631:$V$631=Q$631),--($D1339:$V1339=1)),0)+SUM(Q736)+IF(COUNTIF(Q$1237:Q1339,1)=1,5,0)+IF(COUNTIF(R737:$W737,"&gt;"&amp;0)&lt;5,IF(AND(COUNTIF(Q$1237:Q1339,1)&gt;7,MOD(1+IFERROR(MATCH($C737,总览!$D$46:$D$345,1)+1,1),7)=0),$C$3,0),0)</f>
        <v>113.645535714286</v>
      </c>
      <c r="R737" s="131" cm="1">
        <f ca="1" t="array" ref="R737">IF(R1339=1,OFFSET($W$634,$B737,R$631-1)/SUMPRODUCT(--($D$631:$V$631=R$631),--($D1339:$V1339=1)),0)+SUM(R736)+IF(COUNTIF(R$1237:R1339,1)=1,5,0)+IF(COUNTIF(S737:$W737,"&gt;"&amp;0)&lt;5,IF(AND(COUNTIF(R$1237:R1339,1)&gt;7,MOD(1+IFERROR(MATCH($C737,总览!$D$46:$D$345,1)+1,1),7)=0),$C$3,0),0)</f>
        <v>105.264285714286</v>
      </c>
      <c r="S737" s="131" cm="1">
        <f ca="1" t="array" ref="S737">IF(S1339=1,OFFSET($W$634,$B737,S$631-1)/SUMPRODUCT(--($D$631:$V$631=S$631),--($D1339:$V1339=1)),0)+SUM(S736)+IF(COUNTIF(S$1237:S1339,1)=1,5,0)+IF(COUNTIF(T737:$W737,"&gt;"&amp;0)&lt;5,IF(AND(COUNTIF(S$1237:S1339,1)&gt;7,MOD(1+IFERROR(MATCH($C737,总览!$D$46:$D$345,1)+1,1),7)=0),$C$3,0),0)</f>
        <v>137.764285714286</v>
      </c>
      <c r="T737" s="131" cm="1">
        <f ca="1" t="array" ref="T737">IF(T1339=1,OFFSET($W$634,$B737,T$631-1)/SUMPRODUCT(--($D$631:$V$631=T$631),--($D1339:$V1339=1)),0)+SUM(T736)+IF(COUNTIF(T$1237:T1339,1)=1,5,0)+IF(COUNTIF(U737:$W737,"&gt;"&amp;0)&lt;5,IF(AND(COUNTIF(T$1237:T1339,1)&gt;7,MOD(1+IFERROR(MATCH($C737,总览!$D$46:$D$345,1)+1,1),7)=0),$C$3,0),0)</f>
        <v>83.3077371081391</v>
      </c>
      <c r="U737" s="131" cm="1">
        <f ca="1" t="array" ref="U737">IF(U1339=1,OFFSET($W$634,$B737,U$631-1)/SUMPRODUCT(--($D$631:$V$631=U$631),--($D1339:$V1339=1)),0)+SUM(U736)+IF(COUNTIF(U$1237:U1339,1)=1,5,0)+IF(COUNTIF(V737:$W737,"&gt;"&amp;0)&lt;5,IF(AND(COUNTIF(U$1237:U1339,1)&gt;7,MOD(1+IFERROR(MATCH($C737,总览!$D$46:$D$345,1)+1,1),7)=0),$C$3,0),0)</f>
        <v>88.8285234634387</v>
      </c>
      <c r="V737" s="131" cm="1">
        <f ca="1" t="array" ref="V737">IF(V1339=1,OFFSET($W$634,$B737,V$631-1)/SUMPRODUCT(--($D$631:$V$631=V$631),--($D1339:$V1339=1)),0)+SUM(V736)+IF(COUNTIF(V$1237:V1339,1)=1,5,0)+IF(COUNTIF(W737:$W737,"&gt;"&amp;0)&lt;5,IF(AND(COUNTIF(V$1237:V1339,1)&gt;7,MOD(1+IFERROR(MATCH($C737,总览!$D$46:$D$345,1)+1,1),7)=0),$C$3,0),0)</f>
        <v>108.655523175872</v>
      </c>
      <c r="W737" s="135" cm="1">
        <f ca="1" t="array" ref="W737">SUMPRODUCT(TRANSPOSE($AA737:$AG737),OFFSET($L$9:$L$15,0,W$631-1))</f>
        <v>16.8502200646615</v>
      </c>
      <c r="X737" s="135" cm="1">
        <f ca="1" t="array" ref="X737">SUMPRODUCT(TRANSPOSE($AA737:$AG737),OFFSET($L$9:$L$15,0,X$631-1))</f>
        <v>20</v>
      </c>
      <c r="Y737" s="135" cm="1">
        <f ca="1" t="array" ref="Y737">SUMPRODUCT(TRANSPOSE($AA737:$AG737),OFFSET($L$9:$L$15,0,Y$631-1))</f>
        <v>10</v>
      </c>
      <c r="Z737" s="135" cm="1">
        <f ca="1" t="array" ref="Z737">SUMPRODUCT(TRANSPOSE($AA737:$AG737),OFFSET($L$9:$L$15,0,Z$631-1))</f>
        <v>3.14977993533847</v>
      </c>
      <c r="AA737" s="136">
        <f ca="1" t="shared" ref="AA737:AG737" si="447">AH737-AH736</f>
        <v>0</v>
      </c>
      <c r="AB737" s="136">
        <f ca="1" t="shared" si="447"/>
        <v>0</v>
      </c>
      <c r="AC737" s="136">
        <f ca="1" t="shared" si="447"/>
        <v>0</v>
      </c>
      <c r="AD737" s="136">
        <f ca="1" t="shared" si="447"/>
        <v>0</v>
      </c>
      <c r="AE737" s="136">
        <f ca="1" t="shared" si="447"/>
        <v>0</v>
      </c>
      <c r="AF737" s="136">
        <f ca="1" t="shared" si="447"/>
        <v>100</v>
      </c>
      <c r="AG737" s="136">
        <f ca="1" t="shared" si="447"/>
        <v>0</v>
      </c>
      <c r="AH737" s="136">
        <f ca="1" t="shared" si="371"/>
        <v>450</v>
      </c>
      <c r="AI737" s="136">
        <f ca="1" t="shared" ref="AI737:AN737" si="448">IF($C737&gt;OFFSET($Q$8,MATCH(AI$634,$AH$634:$AN$634,0),0),OFFSET($P$8,MATCH(AI$634,$AH$634:$AN$634,0),0),MAX(0,$C737-OFFSET($Q$8,RIGHT(AI$634,1)-1,0)))</f>
        <v>909</v>
      </c>
      <c r="AJ737" s="136">
        <f ca="1" t="shared" si="448"/>
        <v>1818</v>
      </c>
      <c r="AK737" s="136">
        <f ca="1" t="shared" si="448"/>
        <v>2727</v>
      </c>
      <c r="AL737" s="136">
        <f ca="1" t="shared" si="448"/>
        <v>3636</v>
      </c>
      <c r="AM737" s="136">
        <f ca="1" t="shared" si="448"/>
        <v>760</v>
      </c>
      <c r="AN737" s="136">
        <f ca="1" t="shared" si="448"/>
        <v>0</v>
      </c>
    </row>
    <row r="738" s="106" customFormat="1" ht="16.5" spans="2:40">
      <c r="B738" s="117">
        <v>104</v>
      </c>
      <c r="C738" s="130">
        <f t="shared" si="369"/>
        <v>10400</v>
      </c>
      <c r="D738" s="131" cm="1">
        <f ca="1" t="array" ref="D738">IF(D1340=1,OFFSET($W$634,$B738,D$631-1)/SUMPRODUCT(--($D$631:$V$631=D$631),--($D1340:$V1340=1)),0)+SUM(D737)+IF(COUNTIF(D$1237:D1340,1)=1,5,0)+IF(COUNTIF(E738:$W738,"&gt;"&amp;0)&lt;5,IF(AND(COUNTIF(D$1237:D1340,1)&gt;7,MOD(1+IFERROR(MATCH($C738,总览!$D$46:$D$345,1)+1,1),7)=0),$C$3,0),0)</f>
        <v>911.844478772404</v>
      </c>
      <c r="E738" s="131" cm="1">
        <f ca="1" t="array" ref="E738">IF(E1340=1,OFFSET($W$634,$B738,E$631-1)/SUMPRODUCT(--($D$631:$V$631=E$631),--($D1340:$V1340=1)),0)+SUM(E737)+IF(COUNTIF(E$1237:E1340,1)=1,5,0)+IF(COUNTIF(F738:$W738,"&gt;"&amp;0)&lt;5,IF(AND(COUNTIF(E$1237:E1340,1)&gt;7,MOD(1+IFERROR(MATCH($C738,总览!$D$46:$D$345,1)+1,1),7)=0),$C$3,0),0)</f>
        <v>911.844478772404</v>
      </c>
      <c r="F738" s="131" cm="1">
        <f ca="1" t="array" ref="F738">IF(F1340=1,OFFSET($W$634,$B738,F$631-1)/SUMPRODUCT(--($D$631:$V$631=F$631),--($D1340:$V1340=1)),0)+SUM(F737)+IF(COUNTIF(F$1237:F1340,1)=1,5,0)+IF(COUNTIF(G738:$W738,"&gt;"&amp;0)&lt;5,IF(AND(COUNTIF(F$1237:F1340,1)&gt;7,MOD(1+IFERROR(MATCH($C738,总览!$D$46:$D$345,1)+1,1),7)=0),$C$3,0),0)</f>
        <v>911.844478772404</v>
      </c>
      <c r="G738" s="131" cm="1">
        <f ca="1" t="array" ref="G738">IF(G1340=1,OFFSET($W$634,$B738,G$631-1)/SUMPRODUCT(--($D$631:$V$631=G$631),--($D1340:$V1340=1)),0)+SUM(G737)+IF(COUNTIF(G$1237:G1340,1)=1,5,0)+IF(COUNTIF(H738:$W738,"&gt;"&amp;0)&lt;5,IF(AND(COUNTIF(G$1237:G1340,1)&gt;7,MOD(1+IFERROR(MATCH($C738,总览!$D$46:$D$345,1)+1,1),7)=0),$C$3,0),0)</f>
        <v>286.066666666667</v>
      </c>
      <c r="H738" s="131" cm="1">
        <f ca="1" t="array" ref="H738">IF(H1340=1,OFFSET($W$634,$B738,H$631-1)/SUMPRODUCT(--($D$631:$V$631=H$631),--($D1340:$V1340=1)),0)+SUM(H737)+IF(COUNTIF(H$1237:H1340,1)=1,5,0)+IF(COUNTIF(I738:$W738,"&gt;"&amp;0)&lt;5,IF(AND(COUNTIF(H$1237:H1340,1)&gt;7,MOD(1+IFERROR(MATCH($C738,总览!$D$46:$D$345,1)+1,1),7)=0),$C$3,0),0)</f>
        <v>286.066666666667</v>
      </c>
      <c r="I738" s="131" cm="1">
        <f ca="1" t="array" ref="I738">IF(I1340=1,OFFSET($W$634,$B738,I$631-1)/SUMPRODUCT(--($D$631:$V$631=I$631),--($D1340:$V1340=1)),0)+SUM(I737)+IF(COUNTIF(I$1237:I1340,1)=1,5,0)+IF(COUNTIF(J738:$W738,"&gt;"&amp;0)&lt;5,IF(AND(COUNTIF(I$1237:I1340,1)&gt;7,MOD(1+IFERROR(MATCH($C738,总览!$D$46:$D$345,1)+1,1),7)=0),$C$3,0),0)</f>
        <v>286.066666666667</v>
      </c>
      <c r="J738" s="131" cm="1">
        <f ca="1" t="array" ref="J738">IF(J1340=1,OFFSET($W$634,$B738,J$631-1)/SUMPRODUCT(--($D$631:$V$631=J$631),--($D1340:$V1340=1)),0)+SUM(J737)+IF(COUNTIF(J$1237:J1340,1)=1,5,0)+IF(COUNTIF(K738:$W738,"&gt;"&amp;0)&lt;5,IF(AND(COUNTIF(J$1237:J1340,1)&gt;7,MOD(1+IFERROR(MATCH($C738,总览!$D$46:$D$345,1)+1,1),7)=0),$C$3,0),0)</f>
        <v>282.733333333333</v>
      </c>
      <c r="K738" s="131" cm="1">
        <f ca="1" t="array" ref="K738">IF(K1340=1,OFFSET($W$634,$B738,K$631-1)/SUMPRODUCT(--($D$631:$V$631=K$631),--($D1340:$V1340=1)),0)+SUM(K737)+IF(COUNTIF(K$1237:K1340,1)=1,5,0)+IF(COUNTIF(L738:$W738,"&gt;"&amp;0)&lt;5,IF(AND(COUNTIF(K$1237:K1340,1)&gt;7,MOD(1+IFERROR(MATCH($C738,总览!$D$46:$D$345,1)+1,1),7)=0),$C$3,0),0)</f>
        <v>280.233333333333</v>
      </c>
      <c r="L738" s="131" cm="1">
        <f ca="1" t="array" ref="L738">IF(L1340=1,OFFSET($W$634,$B738,L$631-1)/SUMPRODUCT(--($D$631:$V$631=L$631),--($D1340:$V1340=1)),0)+SUM(L737)+IF(COUNTIF(L$1237:L1340,1)=1,5,0)+IF(COUNTIF(M738:$W738,"&gt;"&amp;0)&lt;5,IF(AND(COUNTIF(L$1237:L1340,1)&gt;7,MOD(1+IFERROR(MATCH($C738,总览!$D$46:$D$345,1)+1,1),7)=0),$C$3,0),0)</f>
        <v>280.233333333333</v>
      </c>
      <c r="M738" s="131" cm="1">
        <f ca="1" t="array" ref="M738">IF(M1340=1,OFFSET($W$634,$B738,M$631-1)/SUMPRODUCT(--($D$631:$V$631=M$631),--($D1340:$V1340=1)),0)+SUM(M737)+IF(COUNTIF(M$1237:M1340,1)=1,5,0)+IF(COUNTIF(N738:$W738,"&gt;"&amp;0)&lt;5,IF(AND(COUNTIF(M$1237:M1340,1)&gt;7,MOD(1+IFERROR(MATCH($C738,总览!$D$46:$D$345,1)+1,1),7)=0),$C$3,0),0)</f>
        <v>106.324107142857</v>
      </c>
      <c r="N738" s="131" cm="1">
        <f ca="1" t="array" ref="N738">IF(N1340=1,OFFSET($W$634,$B738,N$631-1)/SUMPRODUCT(--($D$631:$V$631=N$631),--($D1340:$V1340=1)),0)+SUM(N737)+IF(COUNTIF(N$1237:N1340,1)=1,5,0)+IF(COUNTIF(O738:$W738,"&gt;"&amp;0)&lt;5,IF(AND(COUNTIF(N$1237:N1340,1)&gt;7,MOD(1+IFERROR(MATCH($C738,总览!$D$46:$D$345,1)+1,1),7)=0),$C$3,0),0)</f>
        <v>107.574107142857</v>
      </c>
      <c r="O738" s="131" cm="1">
        <f ca="1" t="array" ref="O738">IF(O1340=1,OFFSET($W$634,$B738,O$631-1)/SUMPRODUCT(--($D$631:$V$631=O$631),--($D1340:$V1340=1)),0)+SUM(O737)+IF(COUNTIF(O$1237:O1340,1)=1,5,0)+IF(COUNTIF(P738:$W738,"&gt;"&amp;0)&lt;5,IF(AND(COUNTIF(O$1237:O1340,1)&gt;7,MOD(1+IFERROR(MATCH($C738,总览!$D$46:$D$345,1)+1,1),7)=0),$C$3,0),0)</f>
        <v>112.574107142857</v>
      </c>
      <c r="P738" s="131" cm="1">
        <f ca="1" t="array" ref="P738">IF(P1340=1,OFFSET($W$634,$B738,P$631-1)/SUMPRODUCT(--($D$631:$V$631=P$631),--($D1340:$V1340=1)),0)+SUM(P737)+IF(COUNTIF(P$1237:P1340,1)=1,5,0)+IF(COUNTIF(Q738:$W738,"&gt;"&amp;0)&lt;5,IF(AND(COUNTIF(P$1237:P1340,1)&gt;7,MOD(1+IFERROR(MATCH($C738,总览!$D$46:$D$345,1)+1,1),7)=0),$C$3,0),0)</f>
        <v>101.692857142857</v>
      </c>
      <c r="Q738" s="131" cm="1">
        <f ca="1" t="array" ref="Q738">IF(Q1340=1,OFFSET($W$634,$B738,Q$631-1)/SUMPRODUCT(--($D$631:$V$631=Q$631),--($D1340:$V1340=1)),0)+SUM(Q737)+IF(COUNTIF(Q$1237:Q1340,1)=1,5,0)+IF(COUNTIF(R738:$W738,"&gt;"&amp;0)&lt;5,IF(AND(COUNTIF(Q$1237:Q1340,1)&gt;7,MOD(1+IFERROR(MATCH($C738,总览!$D$46:$D$345,1)+1,1),7)=0),$C$3,0),0)</f>
        <v>115.074107142857</v>
      </c>
      <c r="R738" s="131" cm="1">
        <f ca="1" t="array" ref="R738">IF(R1340=1,OFFSET($W$634,$B738,R$631-1)/SUMPRODUCT(--($D$631:$V$631=R$631),--($D1340:$V1340=1)),0)+SUM(R737)+IF(COUNTIF(R$1237:R1340,1)=1,5,0)+IF(COUNTIF(S738:$W738,"&gt;"&amp;0)&lt;5,IF(AND(COUNTIF(R$1237:R1340,1)&gt;7,MOD(1+IFERROR(MATCH($C738,总览!$D$46:$D$345,1)+1,1),7)=0),$C$3,0),0)</f>
        <v>106.692857142857</v>
      </c>
      <c r="S738" s="131" cm="1">
        <f ca="1" t="array" ref="S738">IF(S1340=1,OFFSET($W$634,$B738,S$631-1)/SUMPRODUCT(--($D$631:$V$631=S$631),--($D1340:$V1340=1)),0)+SUM(S737)+IF(COUNTIF(S$1237:S1340,1)=1,5,0)+IF(COUNTIF(T738:$W738,"&gt;"&amp;0)&lt;5,IF(AND(COUNTIF(S$1237:S1340,1)&gt;7,MOD(1+IFERROR(MATCH($C738,总览!$D$46:$D$345,1)+1,1),7)=0),$C$3,0),0)</f>
        <v>144.192857142857</v>
      </c>
      <c r="T738" s="131" cm="1">
        <f ca="1" t="array" ref="T738">IF(T1340=1,OFFSET($W$634,$B738,T$631-1)/SUMPRODUCT(--($D$631:$V$631=T$631),--($D1340:$V1340=1)),0)+SUM(T737)+IF(COUNTIF(T$1237:T1340,1)=1,5,0)+IF(COUNTIF(U738:$W738,"&gt;"&amp;0)&lt;5,IF(AND(COUNTIF(T$1237:T1340,1)&gt;7,MOD(1+IFERROR(MATCH($C738,总览!$D$46:$D$345,1)+1,1),7)=0),$C$3,0),0)</f>
        <v>89.3576637532519</v>
      </c>
      <c r="U738" s="131" cm="1">
        <f ca="1" t="array" ref="U738">IF(U1340=1,OFFSET($W$634,$B738,U$631-1)/SUMPRODUCT(--($D$631:$V$631=U$631),--($D1340:$V1340=1)),0)+SUM(U737)+IF(COUNTIF(U$1237:U1340,1)=1,5,0)+IF(COUNTIF(V738:$W738,"&gt;"&amp;0)&lt;5,IF(AND(COUNTIF(U$1237:U1340,1)&gt;7,MOD(1+IFERROR(MATCH($C738,总览!$D$46:$D$345,1)+1,1),7)=0),$C$3,0),0)</f>
        <v>94.8784501085515</v>
      </c>
      <c r="V738" s="131" cm="1">
        <f ca="1" t="array" ref="V738">IF(V1340=1,OFFSET($W$634,$B738,V$631-1)/SUMPRODUCT(--($D$631:$V$631=V$631),--($D1340:$V1340=1)),0)+SUM(V737)+IF(COUNTIF(V$1237:V1340,1)=1,5,0)+IF(COUNTIF(W738:$W738,"&gt;"&amp;0)&lt;5,IF(AND(COUNTIF(V$1237:V1340,1)&gt;7,MOD(1+IFERROR(MATCH($C738,总览!$D$46:$D$345,1)+1,1),7)=0),$C$3,0),0)</f>
        <v>114.705449820985</v>
      </c>
      <c r="W738" s="135" cm="1">
        <f ca="1" t="array" ref="W738">SUMPRODUCT(TRANSPOSE($AA738:$AG738),OFFSET($L$9:$L$15,0,W$631-1))</f>
        <v>16.8502200646615</v>
      </c>
      <c r="X738" s="135" cm="1">
        <f ca="1" t="array" ref="X738">SUMPRODUCT(TRANSPOSE($AA738:$AG738),OFFSET($L$9:$L$15,0,X$631-1))</f>
        <v>20</v>
      </c>
      <c r="Y738" s="135" cm="1">
        <f ca="1" t="array" ref="Y738">SUMPRODUCT(TRANSPOSE($AA738:$AG738),OFFSET($L$9:$L$15,0,Y$631-1))</f>
        <v>10</v>
      </c>
      <c r="Z738" s="135" cm="1">
        <f ca="1" t="array" ref="Z738">SUMPRODUCT(TRANSPOSE($AA738:$AG738),OFFSET($L$9:$L$15,0,Z$631-1))</f>
        <v>3.14977993533847</v>
      </c>
      <c r="AA738" s="136">
        <f ca="1" t="shared" ref="AA738:AG738" si="449">AH738-AH737</f>
        <v>0</v>
      </c>
      <c r="AB738" s="136">
        <f ca="1" t="shared" si="449"/>
        <v>0</v>
      </c>
      <c r="AC738" s="136">
        <f ca="1" t="shared" si="449"/>
        <v>0</v>
      </c>
      <c r="AD738" s="136">
        <f ca="1" t="shared" si="449"/>
        <v>0</v>
      </c>
      <c r="AE738" s="136">
        <f ca="1" t="shared" si="449"/>
        <v>0</v>
      </c>
      <c r="AF738" s="136">
        <f ca="1" t="shared" si="449"/>
        <v>100</v>
      </c>
      <c r="AG738" s="136">
        <f ca="1" t="shared" si="449"/>
        <v>0</v>
      </c>
      <c r="AH738" s="136">
        <f ca="1" t="shared" si="371"/>
        <v>450</v>
      </c>
      <c r="AI738" s="136">
        <f ca="1" t="shared" ref="AI738:AN738" si="450">IF($C738&gt;OFFSET($Q$8,MATCH(AI$634,$AH$634:$AN$634,0),0),OFFSET($P$8,MATCH(AI$634,$AH$634:$AN$634,0),0),MAX(0,$C738-OFFSET($Q$8,RIGHT(AI$634,1)-1,0)))</f>
        <v>909</v>
      </c>
      <c r="AJ738" s="136">
        <f ca="1" t="shared" si="450"/>
        <v>1818</v>
      </c>
      <c r="AK738" s="136">
        <f ca="1" t="shared" si="450"/>
        <v>2727</v>
      </c>
      <c r="AL738" s="136">
        <f ca="1" t="shared" si="450"/>
        <v>3636</v>
      </c>
      <c r="AM738" s="136">
        <f ca="1" t="shared" si="450"/>
        <v>860</v>
      </c>
      <c r="AN738" s="136">
        <f ca="1" t="shared" si="450"/>
        <v>0</v>
      </c>
    </row>
    <row r="739" s="106" customFormat="1" ht="16.5" spans="2:40">
      <c r="B739" s="117">
        <v>105</v>
      </c>
      <c r="C739" s="130">
        <f t="shared" si="369"/>
        <v>10500</v>
      </c>
      <c r="D739" s="131" cm="1">
        <f ca="1" t="array" ref="D739">IF(D1341=1,OFFSET($W$634,$B739,D$631-1)/SUMPRODUCT(--($D$631:$V$631=D$631),--($D1341:$V1341=1)),0)+SUM(D738)+IF(COUNTIF(D$1237:D1341,1)=1,5,0)+IF(COUNTIF(E739:$W739,"&gt;"&amp;0)&lt;5,IF(AND(COUNTIF(D$1237:D1341,1)&gt;7,MOD(1+IFERROR(MATCH($C739,总览!$D$46:$D$345,1)+1,1),7)=0),$C$3,0),0)</f>
        <v>917.461218793958</v>
      </c>
      <c r="E739" s="131" cm="1">
        <f ca="1" t="array" ref="E739">IF(E1341=1,OFFSET($W$634,$B739,E$631-1)/SUMPRODUCT(--($D$631:$V$631=E$631),--($D1341:$V1341=1)),0)+SUM(E738)+IF(COUNTIF(E$1237:E1341,1)=1,5,0)+IF(COUNTIF(F739:$W739,"&gt;"&amp;0)&lt;5,IF(AND(COUNTIF(E$1237:E1341,1)&gt;7,MOD(1+IFERROR(MATCH($C739,总览!$D$46:$D$345,1)+1,1),7)=0),$C$3,0),0)</f>
        <v>917.461218793958</v>
      </c>
      <c r="F739" s="131" cm="1">
        <f ca="1" t="array" ref="F739">IF(F1341=1,OFFSET($W$634,$B739,F$631-1)/SUMPRODUCT(--($D$631:$V$631=F$631),--($D1341:$V1341=1)),0)+SUM(F738)+IF(COUNTIF(F$1237:F1341,1)=1,5,0)+IF(COUNTIF(G739:$W739,"&gt;"&amp;0)&lt;5,IF(AND(COUNTIF(F$1237:F1341,1)&gt;7,MOD(1+IFERROR(MATCH($C739,总览!$D$46:$D$345,1)+1,1),7)=0),$C$3,0),0)</f>
        <v>917.461218793958</v>
      </c>
      <c r="G739" s="131" cm="1">
        <f ca="1" t="array" ref="G739">IF(G1341=1,OFFSET($W$634,$B739,G$631-1)/SUMPRODUCT(--($D$631:$V$631=G$631),--($D1341:$V1341=1)),0)+SUM(G738)+IF(COUNTIF(G$1237:G1341,1)=1,5,0)+IF(COUNTIF(H739:$W739,"&gt;"&amp;0)&lt;5,IF(AND(COUNTIF(G$1237:G1341,1)&gt;7,MOD(1+IFERROR(MATCH($C739,总览!$D$46:$D$345,1)+1,1),7)=0),$C$3,0),0)</f>
        <v>289.4</v>
      </c>
      <c r="H739" s="131" cm="1">
        <f ca="1" t="array" ref="H739">IF(H1341=1,OFFSET($W$634,$B739,H$631-1)/SUMPRODUCT(--($D$631:$V$631=H$631),--($D1341:$V1341=1)),0)+SUM(H738)+IF(COUNTIF(H$1237:H1341,1)=1,5,0)+IF(COUNTIF(I739:$W739,"&gt;"&amp;0)&lt;5,IF(AND(COUNTIF(H$1237:H1341,1)&gt;7,MOD(1+IFERROR(MATCH($C739,总览!$D$46:$D$345,1)+1,1),7)=0),$C$3,0),0)</f>
        <v>289.4</v>
      </c>
      <c r="I739" s="131" cm="1">
        <f ca="1" t="array" ref="I739">IF(I1341=1,OFFSET($W$634,$B739,I$631-1)/SUMPRODUCT(--($D$631:$V$631=I$631),--($D1341:$V1341=1)),0)+SUM(I738)+IF(COUNTIF(I$1237:I1341,1)=1,5,0)+IF(COUNTIF(J739:$W739,"&gt;"&amp;0)&lt;5,IF(AND(COUNTIF(I$1237:I1341,1)&gt;7,MOD(1+IFERROR(MATCH($C739,总览!$D$46:$D$345,1)+1,1),7)=0),$C$3,0),0)</f>
        <v>289.4</v>
      </c>
      <c r="J739" s="131" cm="1">
        <f ca="1" t="array" ref="J739">IF(J1341=1,OFFSET($W$634,$B739,J$631-1)/SUMPRODUCT(--($D$631:$V$631=J$631),--($D1341:$V1341=1)),0)+SUM(J738)+IF(COUNTIF(J$1237:J1341,1)=1,5,0)+IF(COUNTIF(K739:$W739,"&gt;"&amp;0)&lt;5,IF(AND(COUNTIF(J$1237:J1341,1)&gt;7,MOD(1+IFERROR(MATCH($C739,总览!$D$46:$D$345,1)+1,1),7)=0),$C$3,0),0)</f>
        <v>286.066666666667</v>
      </c>
      <c r="K739" s="131" cm="1">
        <f ca="1" t="array" ref="K739">IF(K1341=1,OFFSET($W$634,$B739,K$631-1)/SUMPRODUCT(--($D$631:$V$631=K$631),--($D1341:$V1341=1)),0)+SUM(K738)+IF(COUNTIF(K$1237:K1341,1)=1,5,0)+IF(COUNTIF(L739:$W739,"&gt;"&amp;0)&lt;5,IF(AND(COUNTIF(K$1237:K1341,1)&gt;7,MOD(1+IFERROR(MATCH($C739,总览!$D$46:$D$345,1)+1,1),7)=0),$C$3,0),0)</f>
        <v>283.566666666667</v>
      </c>
      <c r="L739" s="131" cm="1">
        <f ca="1" t="array" ref="L739">IF(L1341=1,OFFSET($W$634,$B739,L$631-1)/SUMPRODUCT(--($D$631:$V$631=L$631),--($D1341:$V1341=1)),0)+SUM(L738)+IF(COUNTIF(L$1237:L1341,1)=1,5,0)+IF(COUNTIF(M739:$W739,"&gt;"&amp;0)&lt;5,IF(AND(COUNTIF(L$1237:L1341,1)&gt;7,MOD(1+IFERROR(MATCH($C739,总览!$D$46:$D$345,1)+1,1),7)=0),$C$3,0),0)</f>
        <v>283.566666666667</v>
      </c>
      <c r="M739" s="131" cm="1">
        <f ca="1" t="array" ref="M739">IF(M1341=1,OFFSET($W$634,$B739,M$631-1)/SUMPRODUCT(--($D$631:$V$631=M$631),--($D1341:$V1341=1)),0)+SUM(M738)+IF(COUNTIF(M$1237:M1341,1)=1,5,0)+IF(COUNTIF(N739:$W739,"&gt;"&amp;0)&lt;5,IF(AND(COUNTIF(M$1237:M1341,1)&gt;7,MOD(1+IFERROR(MATCH($C739,总览!$D$46:$D$345,1)+1,1),7)=0),$C$3,0),0)</f>
        <v>107.752678571428</v>
      </c>
      <c r="N739" s="131" cm="1">
        <f ca="1" t="array" ref="N739">IF(N1341=1,OFFSET($W$634,$B739,N$631-1)/SUMPRODUCT(--($D$631:$V$631=N$631),--($D1341:$V1341=1)),0)+SUM(N738)+IF(COUNTIF(N$1237:N1341,1)=1,5,0)+IF(COUNTIF(O739:$W739,"&gt;"&amp;0)&lt;5,IF(AND(COUNTIF(N$1237:N1341,1)&gt;7,MOD(1+IFERROR(MATCH($C739,总览!$D$46:$D$345,1)+1,1),7)=0),$C$3,0),0)</f>
        <v>109.002678571428</v>
      </c>
      <c r="O739" s="131" cm="1">
        <f ca="1" t="array" ref="O739">IF(O1341=1,OFFSET($W$634,$B739,O$631-1)/SUMPRODUCT(--($D$631:$V$631=O$631),--($D1341:$V1341=1)),0)+SUM(O738)+IF(COUNTIF(O$1237:O1341,1)=1,5,0)+IF(COUNTIF(P739:$W739,"&gt;"&amp;0)&lt;5,IF(AND(COUNTIF(O$1237:O1341,1)&gt;7,MOD(1+IFERROR(MATCH($C739,总览!$D$46:$D$345,1)+1,1),7)=0),$C$3,0),0)</f>
        <v>114.002678571428</v>
      </c>
      <c r="P739" s="131" cm="1">
        <f ca="1" t="array" ref="P739">IF(P1341=1,OFFSET($W$634,$B739,P$631-1)/SUMPRODUCT(--($D$631:$V$631=P$631),--($D1341:$V1341=1)),0)+SUM(P738)+IF(COUNTIF(P$1237:P1341,1)=1,5,0)+IF(COUNTIF(Q739:$W739,"&gt;"&amp;0)&lt;5,IF(AND(COUNTIF(P$1237:P1341,1)&gt;7,MOD(1+IFERROR(MATCH($C739,总览!$D$46:$D$345,1)+1,1),7)=0),$C$3,0),0)</f>
        <v>103.121428571429</v>
      </c>
      <c r="Q739" s="131" cm="1">
        <f ca="1" t="array" ref="Q739">IF(Q1341=1,OFFSET($W$634,$B739,Q$631-1)/SUMPRODUCT(--($D$631:$V$631=Q$631),--($D1341:$V1341=1)),0)+SUM(Q738)+IF(COUNTIF(Q$1237:Q1341,1)=1,5,0)+IF(COUNTIF(R739:$W739,"&gt;"&amp;0)&lt;5,IF(AND(COUNTIF(Q$1237:Q1341,1)&gt;7,MOD(1+IFERROR(MATCH($C739,总览!$D$46:$D$345,1)+1,1),7)=0),$C$3,0),0)</f>
        <v>116.502678571428</v>
      </c>
      <c r="R739" s="131" cm="1">
        <f ca="1" t="array" ref="R739">IF(R1341=1,OFFSET($W$634,$B739,R$631-1)/SUMPRODUCT(--($D$631:$V$631=R$631),--($D1341:$V1341=1)),0)+SUM(R738)+IF(COUNTIF(R$1237:R1341,1)=1,5,0)+IF(COUNTIF(S739:$W739,"&gt;"&amp;0)&lt;5,IF(AND(COUNTIF(R$1237:R1341,1)&gt;7,MOD(1+IFERROR(MATCH($C739,总览!$D$46:$D$345,1)+1,1),7)=0),$C$3,0),0)</f>
        <v>108.121428571428</v>
      </c>
      <c r="S739" s="131" cm="1">
        <f ca="1" t="array" ref="S739">IF(S1341=1,OFFSET($W$634,$B739,S$631-1)/SUMPRODUCT(--($D$631:$V$631=S$631),--($D1341:$V1341=1)),0)+SUM(S738)+IF(COUNTIF(S$1237:S1341,1)=1,5,0)+IF(COUNTIF(T739:$W739,"&gt;"&amp;0)&lt;5,IF(AND(COUNTIF(S$1237:S1341,1)&gt;7,MOD(1+IFERROR(MATCH($C739,总览!$D$46:$D$345,1)+1,1),7)=0),$C$3,0),0)</f>
        <v>145.621428571428</v>
      </c>
      <c r="T739" s="131" cm="1">
        <f ca="1" t="array" ref="T739">IF(T1341=1,OFFSET($W$634,$B739,T$631-1)/SUMPRODUCT(--($D$631:$V$631=T$631),--($D1341:$V1341=1)),0)+SUM(T738)+IF(COUNTIF(T$1237:T1341,1)=1,5,0)+IF(COUNTIF(U739:$W739,"&gt;"&amp;0)&lt;5,IF(AND(COUNTIF(T$1237:T1341,1)&gt;7,MOD(1+IFERROR(MATCH($C739,总览!$D$46:$D$345,1)+1,1),7)=0),$C$3,0),0)</f>
        <v>90.4075903983647</v>
      </c>
      <c r="U739" s="131" cm="1">
        <f ca="1" t="array" ref="U739">IF(U1341=1,OFFSET($W$634,$B739,U$631-1)/SUMPRODUCT(--($D$631:$V$631=U$631),--($D1341:$V1341=1)),0)+SUM(U738)+IF(COUNTIF(U$1237:U1341,1)=1,5,0)+IF(COUNTIF(V739:$W739,"&gt;"&amp;0)&lt;5,IF(AND(COUNTIF(U$1237:U1341,1)&gt;7,MOD(1+IFERROR(MATCH($C739,总览!$D$46:$D$345,1)+1,1),7)=0),$C$3,0),0)</f>
        <v>95.9283767536644</v>
      </c>
      <c r="V739" s="131" cm="1">
        <f ca="1" t="array" ref="V739">IF(V1341=1,OFFSET($W$634,$B739,V$631-1)/SUMPRODUCT(--($D$631:$V$631=V$631),--($D1341:$V1341=1)),0)+SUM(V738)+IF(COUNTIF(V$1237:V1341,1)=1,5,0)+IF(COUNTIF(W739:$W739,"&gt;"&amp;0)&lt;5,IF(AND(COUNTIF(V$1237:V1341,1)&gt;7,MOD(1+IFERROR(MATCH($C739,总览!$D$46:$D$345,1)+1,1),7)=0),$C$3,0),0)</f>
        <v>115.755376466098</v>
      </c>
      <c r="W739" s="135" cm="1">
        <f ca="1" t="array" ref="W739">SUMPRODUCT(TRANSPOSE($AA739:$AG739),OFFSET($L$9:$L$15,0,W$631-1))</f>
        <v>16.8502200646615</v>
      </c>
      <c r="X739" s="135" cm="1">
        <f ca="1" t="array" ref="X739">SUMPRODUCT(TRANSPOSE($AA739:$AG739),OFFSET($L$9:$L$15,0,X$631-1))</f>
        <v>20</v>
      </c>
      <c r="Y739" s="135" cm="1">
        <f ca="1" t="array" ref="Y739">SUMPRODUCT(TRANSPOSE($AA739:$AG739),OFFSET($L$9:$L$15,0,Y$631-1))</f>
        <v>10</v>
      </c>
      <c r="Z739" s="135" cm="1">
        <f ca="1" t="array" ref="Z739">SUMPRODUCT(TRANSPOSE($AA739:$AG739),OFFSET($L$9:$L$15,0,Z$631-1))</f>
        <v>3.14977993533847</v>
      </c>
      <c r="AA739" s="136">
        <f ca="1" t="shared" ref="AA739:AG739" si="451">AH739-AH738</f>
        <v>0</v>
      </c>
      <c r="AB739" s="136">
        <f ca="1" t="shared" si="451"/>
        <v>0</v>
      </c>
      <c r="AC739" s="136">
        <f ca="1" t="shared" si="451"/>
        <v>0</v>
      </c>
      <c r="AD739" s="136">
        <f ca="1" t="shared" si="451"/>
        <v>0</v>
      </c>
      <c r="AE739" s="136">
        <f ca="1" t="shared" si="451"/>
        <v>0</v>
      </c>
      <c r="AF739" s="136">
        <f ca="1" t="shared" si="451"/>
        <v>100</v>
      </c>
      <c r="AG739" s="136">
        <f ca="1" t="shared" si="451"/>
        <v>0</v>
      </c>
      <c r="AH739" s="136">
        <f ca="1" t="shared" si="371"/>
        <v>450</v>
      </c>
      <c r="AI739" s="136">
        <f ca="1" t="shared" ref="AI739:AN739" si="452">IF($C739&gt;OFFSET($Q$8,MATCH(AI$634,$AH$634:$AN$634,0),0),OFFSET($P$8,MATCH(AI$634,$AH$634:$AN$634,0),0),MAX(0,$C739-OFFSET($Q$8,RIGHT(AI$634,1)-1,0)))</f>
        <v>909</v>
      </c>
      <c r="AJ739" s="136">
        <f ca="1" t="shared" si="452"/>
        <v>1818</v>
      </c>
      <c r="AK739" s="136">
        <f ca="1" t="shared" si="452"/>
        <v>2727</v>
      </c>
      <c r="AL739" s="136">
        <f ca="1" t="shared" si="452"/>
        <v>3636</v>
      </c>
      <c r="AM739" s="136">
        <f ca="1" t="shared" si="452"/>
        <v>960</v>
      </c>
      <c r="AN739" s="136">
        <f ca="1" t="shared" si="452"/>
        <v>0</v>
      </c>
    </row>
    <row r="740" s="106" customFormat="1" ht="16.5" spans="2:40">
      <c r="B740" s="117">
        <v>106</v>
      </c>
      <c r="C740" s="130">
        <f t="shared" si="369"/>
        <v>10600</v>
      </c>
      <c r="D740" s="131" cm="1">
        <f ca="1" t="array" ref="D740">IF(D1342=1,OFFSET($W$634,$B740,D$631-1)/SUMPRODUCT(--($D$631:$V$631=D$631),--($D1342:$V1342=1)),0)+SUM(D739)+IF(COUNTIF(D$1237:D1342,1)=1,5,0)+IF(COUNTIF(E740:$W740,"&gt;"&amp;0)&lt;5,IF(AND(COUNTIF(D$1237:D1342,1)&gt;7,MOD(1+IFERROR(MATCH($C740,总览!$D$46:$D$345,1)+1,1),7)=0),$C$3,0),0)</f>
        <v>923.077958815512</v>
      </c>
      <c r="E740" s="131" cm="1">
        <f ca="1" t="array" ref="E740">IF(E1342=1,OFFSET($W$634,$B740,E$631-1)/SUMPRODUCT(--($D$631:$V$631=E$631),--($D1342:$V1342=1)),0)+SUM(E739)+IF(COUNTIF(E$1237:E1342,1)=1,5,0)+IF(COUNTIF(F740:$W740,"&gt;"&amp;0)&lt;5,IF(AND(COUNTIF(E$1237:E1342,1)&gt;7,MOD(1+IFERROR(MATCH($C740,总览!$D$46:$D$345,1)+1,1),7)=0),$C$3,0),0)</f>
        <v>923.077958815512</v>
      </c>
      <c r="F740" s="131" cm="1">
        <f ca="1" t="array" ref="F740">IF(F1342=1,OFFSET($W$634,$B740,F$631-1)/SUMPRODUCT(--($D$631:$V$631=F$631),--($D1342:$V1342=1)),0)+SUM(F739)+IF(COUNTIF(F$1237:F1342,1)=1,5,0)+IF(COUNTIF(G740:$W740,"&gt;"&amp;0)&lt;5,IF(AND(COUNTIF(F$1237:F1342,1)&gt;7,MOD(1+IFERROR(MATCH($C740,总览!$D$46:$D$345,1)+1,1),7)=0),$C$3,0),0)</f>
        <v>923.077958815512</v>
      </c>
      <c r="G740" s="131" cm="1">
        <f ca="1" t="array" ref="G740">IF(G1342=1,OFFSET($W$634,$B740,G$631-1)/SUMPRODUCT(--($D$631:$V$631=G$631),--($D1342:$V1342=1)),0)+SUM(G739)+IF(COUNTIF(G$1237:G1342,1)=1,5,0)+IF(COUNTIF(H740:$W740,"&gt;"&amp;0)&lt;5,IF(AND(COUNTIF(G$1237:G1342,1)&gt;7,MOD(1+IFERROR(MATCH($C740,总览!$D$46:$D$345,1)+1,1),7)=0),$C$3,0),0)</f>
        <v>292.733333333333</v>
      </c>
      <c r="H740" s="131" cm="1">
        <f ca="1" t="array" ref="H740">IF(H1342=1,OFFSET($W$634,$B740,H$631-1)/SUMPRODUCT(--($D$631:$V$631=H$631),--($D1342:$V1342=1)),0)+SUM(H739)+IF(COUNTIF(H$1237:H1342,1)=1,5,0)+IF(COUNTIF(I740:$W740,"&gt;"&amp;0)&lt;5,IF(AND(COUNTIF(H$1237:H1342,1)&gt;7,MOD(1+IFERROR(MATCH($C740,总览!$D$46:$D$345,1)+1,1),7)=0),$C$3,0),0)</f>
        <v>292.733333333333</v>
      </c>
      <c r="I740" s="131" cm="1">
        <f ca="1" t="array" ref="I740">IF(I1342=1,OFFSET($W$634,$B740,I$631-1)/SUMPRODUCT(--($D$631:$V$631=I$631),--($D1342:$V1342=1)),0)+SUM(I739)+IF(COUNTIF(I$1237:I1342,1)=1,5,0)+IF(COUNTIF(J740:$W740,"&gt;"&amp;0)&lt;5,IF(AND(COUNTIF(I$1237:I1342,1)&gt;7,MOD(1+IFERROR(MATCH($C740,总览!$D$46:$D$345,1)+1,1),7)=0),$C$3,0),0)</f>
        <v>292.733333333333</v>
      </c>
      <c r="J740" s="131" cm="1">
        <f ca="1" t="array" ref="J740">IF(J1342=1,OFFSET($W$634,$B740,J$631-1)/SUMPRODUCT(--($D$631:$V$631=J$631),--($D1342:$V1342=1)),0)+SUM(J739)+IF(COUNTIF(J$1237:J1342,1)=1,5,0)+IF(COUNTIF(K740:$W740,"&gt;"&amp;0)&lt;5,IF(AND(COUNTIF(J$1237:J1342,1)&gt;7,MOD(1+IFERROR(MATCH($C740,总览!$D$46:$D$345,1)+1,1),7)=0),$C$3,0),0)</f>
        <v>289.4</v>
      </c>
      <c r="K740" s="131" cm="1">
        <f ca="1" t="array" ref="K740">IF(K1342=1,OFFSET($W$634,$B740,K$631-1)/SUMPRODUCT(--($D$631:$V$631=K$631),--($D1342:$V1342=1)),0)+SUM(K739)+IF(COUNTIF(K$1237:K1342,1)=1,5,0)+IF(COUNTIF(L740:$W740,"&gt;"&amp;0)&lt;5,IF(AND(COUNTIF(K$1237:K1342,1)&gt;7,MOD(1+IFERROR(MATCH($C740,总览!$D$46:$D$345,1)+1,1),7)=0),$C$3,0),0)</f>
        <v>286.9</v>
      </c>
      <c r="L740" s="131" cm="1">
        <f ca="1" t="array" ref="L740">IF(L1342=1,OFFSET($W$634,$B740,L$631-1)/SUMPRODUCT(--($D$631:$V$631=L$631),--($D1342:$V1342=1)),0)+SUM(L739)+IF(COUNTIF(L$1237:L1342,1)=1,5,0)+IF(COUNTIF(M740:$W740,"&gt;"&amp;0)&lt;5,IF(AND(COUNTIF(L$1237:L1342,1)&gt;7,MOD(1+IFERROR(MATCH($C740,总览!$D$46:$D$345,1)+1,1),7)=0),$C$3,0),0)</f>
        <v>286.9</v>
      </c>
      <c r="M740" s="131" cm="1">
        <f ca="1" t="array" ref="M740">IF(M1342=1,OFFSET($W$634,$B740,M$631-1)/SUMPRODUCT(--($D$631:$V$631=M$631),--($D1342:$V1342=1)),0)+SUM(M739)+IF(COUNTIF(M$1237:M1342,1)=1,5,0)+IF(COUNTIF(N740:$W740,"&gt;"&amp;0)&lt;5,IF(AND(COUNTIF(M$1237:M1342,1)&gt;7,MOD(1+IFERROR(MATCH($C740,总览!$D$46:$D$345,1)+1,1),7)=0),$C$3,0),0)</f>
        <v>109.18125</v>
      </c>
      <c r="N740" s="131" cm="1">
        <f ca="1" t="array" ref="N740">IF(N1342=1,OFFSET($W$634,$B740,N$631-1)/SUMPRODUCT(--($D$631:$V$631=N$631),--($D1342:$V1342=1)),0)+SUM(N739)+IF(COUNTIF(N$1237:N1342,1)=1,5,0)+IF(COUNTIF(O740:$W740,"&gt;"&amp;0)&lt;5,IF(AND(COUNTIF(N$1237:N1342,1)&gt;7,MOD(1+IFERROR(MATCH($C740,总览!$D$46:$D$345,1)+1,1),7)=0),$C$3,0),0)</f>
        <v>110.43125</v>
      </c>
      <c r="O740" s="131" cm="1">
        <f ca="1" t="array" ref="O740">IF(O1342=1,OFFSET($W$634,$B740,O$631-1)/SUMPRODUCT(--($D$631:$V$631=O$631),--($D1342:$V1342=1)),0)+SUM(O739)+IF(COUNTIF(O$1237:O1342,1)=1,5,0)+IF(COUNTIF(P740:$W740,"&gt;"&amp;0)&lt;5,IF(AND(COUNTIF(O$1237:O1342,1)&gt;7,MOD(1+IFERROR(MATCH($C740,总览!$D$46:$D$345,1)+1,1),7)=0),$C$3,0),0)</f>
        <v>115.43125</v>
      </c>
      <c r="P740" s="131" cm="1">
        <f ca="1" t="array" ref="P740">IF(P1342=1,OFFSET($W$634,$B740,P$631-1)/SUMPRODUCT(--($D$631:$V$631=P$631),--($D1342:$V1342=1)),0)+SUM(P739)+IF(COUNTIF(P$1237:P1342,1)=1,5,0)+IF(COUNTIF(Q740:$W740,"&gt;"&amp;0)&lt;5,IF(AND(COUNTIF(P$1237:P1342,1)&gt;7,MOD(1+IFERROR(MATCH($C740,总览!$D$46:$D$345,1)+1,1),7)=0),$C$3,0),0)</f>
        <v>104.55</v>
      </c>
      <c r="Q740" s="131" cm="1">
        <f ca="1" t="array" ref="Q740">IF(Q1342=1,OFFSET($W$634,$B740,Q$631-1)/SUMPRODUCT(--($D$631:$V$631=Q$631),--($D1342:$V1342=1)),0)+SUM(Q739)+IF(COUNTIF(Q$1237:Q1342,1)=1,5,0)+IF(COUNTIF(R740:$W740,"&gt;"&amp;0)&lt;5,IF(AND(COUNTIF(Q$1237:Q1342,1)&gt;7,MOD(1+IFERROR(MATCH($C740,总览!$D$46:$D$345,1)+1,1),7)=0),$C$3,0),0)</f>
        <v>117.93125</v>
      </c>
      <c r="R740" s="131" cm="1">
        <f ca="1" t="array" ref="R740">IF(R1342=1,OFFSET($W$634,$B740,R$631-1)/SUMPRODUCT(--($D$631:$V$631=R$631),--($D1342:$V1342=1)),0)+SUM(R739)+IF(COUNTIF(R$1237:R1342,1)=1,5,0)+IF(COUNTIF(S740:$W740,"&gt;"&amp;0)&lt;5,IF(AND(COUNTIF(R$1237:R1342,1)&gt;7,MOD(1+IFERROR(MATCH($C740,总览!$D$46:$D$345,1)+1,1),7)=0),$C$3,0),0)</f>
        <v>109.55</v>
      </c>
      <c r="S740" s="131" cm="1">
        <f ca="1" t="array" ref="S740">IF(S1342=1,OFFSET($W$634,$B740,S$631-1)/SUMPRODUCT(--($D$631:$V$631=S$631),--($D1342:$V1342=1)),0)+SUM(S739)+IF(COUNTIF(S$1237:S1342,1)=1,5,0)+IF(COUNTIF(T740:$W740,"&gt;"&amp;0)&lt;5,IF(AND(COUNTIF(S$1237:S1342,1)&gt;7,MOD(1+IFERROR(MATCH($C740,总览!$D$46:$D$345,1)+1,1),7)=0),$C$3,0),0)</f>
        <v>147.05</v>
      </c>
      <c r="T740" s="131" cm="1">
        <f ca="1" t="array" ref="T740">IF(T1342=1,OFFSET($W$634,$B740,T$631-1)/SUMPRODUCT(--($D$631:$V$631=T$631),--($D1342:$V1342=1)),0)+SUM(T739)+IF(COUNTIF(T$1237:T1342,1)=1,5,0)+IF(COUNTIF(U740:$W740,"&gt;"&amp;0)&lt;5,IF(AND(COUNTIF(T$1237:T1342,1)&gt;7,MOD(1+IFERROR(MATCH($C740,总览!$D$46:$D$345,1)+1,1),7)=0),$C$3,0),0)</f>
        <v>91.4575170434776</v>
      </c>
      <c r="U740" s="131" cm="1">
        <f ca="1" t="array" ref="U740">IF(U1342=1,OFFSET($W$634,$B740,U$631-1)/SUMPRODUCT(--($D$631:$V$631=U$631),--($D1342:$V1342=1)),0)+SUM(U739)+IF(COUNTIF(U$1237:U1342,1)=1,5,0)+IF(COUNTIF(V740:$W740,"&gt;"&amp;0)&lt;5,IF(AND(COUNTIF(U$1237:U1342,1)&gt;7,MOD(1+IFERROR(MATCH($C740,总览!$D$46:$D$345,1)+1,1),7)=0),$C$3,0),0)</f>
        <v>96.9783033987772</v>
      </c>
      <c r="V740" s="131" cm="1">
        <f ca="1" t="array" ref="V740">IF(V1342=1,OFFSET($W$634,$B740,V$631-1)/SUMPRODUCT(--($D$631:$V$631=V$631),--($D1342:$V1342=1)),0)+SUM(V739)+IF(COUNTIF(V$1237:V1342,1)=1,5,0)+IF(COUNTIF(W740:$W740,"&gt;"&amp;0)&lt;5,IF(AND(COUNTIF(V$1237:V1342,1)&gt;7,MOD(1+IFERROR(MATCH($C740,总览!$D$46:$D$345,1)+1,1),7)=0),$C$3,0),0)</f>
        <v>116.805303111211</v>
      </c>
      <c r="W740" s="135" cm="1">
        <f ca="1" t="array" ref="W740">SUMPRODUCT(TRANSPOSE($AA740:$AG740),OFFSET($L$9:$L$15,0,W$631-1))</f>
        <v>16.8502200646615</v>
      </c>
      <c r="X740" s="135" cm="1">
        <f ca="1" t="array" ref="X740">SUMPRODUCT(TRANSPOSE($AA740:$AG740),OFFSET($L$9:$L$15,0,X$631-1))</f>
        <v>20</v>
      </c>
      <c r="Y740" s="135" cm="1">
        <f ca="1" t="array" ref="Y740">SUMPRODUCT(TRANSPOSE($AA740:$AG740),OFFSET($L$9:$L$15,0,Y$631-1))</f>
        <v>10</v>
      </c>
      <c r="Z740" s="135" cm="1">
        <f ca="1" t="array" ref="Z740">SUMPRODUCT(TRANSPOSE($AA740:$AG740),OFFSET($L$9:$L$15,0,Z$631-1))</f>
        <v>3.14977993533847</v>
      </c>
      <c r="AA740" s="136">
        <f ca="1" t="shared" ref="AA740:AG740" si="453">AH740-AH739</f>
        <v>0</v>
      </c>
      <c r="AB740" s="136">
        <f ca="1" t="shared" si="453"/>
        <v>0</v>
      </c>
      <c r="AC740" s="136">
        <f ca="1" t="shared" si="453"/>
        <v>0</v>
      </c>
      <c r="AD740" s="136">
        <f ca="1" t="shared" si="453"/>
        <v>0</v>
      </c>
      <c r="AE740" s="136">
        <f ca="1" t="shared" si="453"/>
        <v>0</v>
      </c>
      <c r="AF740" s="136">
        <f ca="1" t="shared" si="453"/>
        <v>100</v>
      </c>
      <c r="AG740" s="136">
        <f ca="1" t="shared" si="453"/>
        <v>0</v>
      </c>
      <c r="AH740" s="136">
        <f ca="1" t="shared" si="371"/>
        <v>450</v>
      </c>
      <c r="AI740" s="136">
        <f ca="1" t="shared" ref="AI740:AN740" si="454">IF($C740&gt;OFFSET($Q$8,MATCH(AI$634,$AH$634:$AN$634,0),0),OFFSET($P$8,MATCH(AI$634,$AH$634:$AN$634,0),0),MAX(0,$C740-OFFSET($Q$8,RIGHT(AI$634,1)-1,0)))</f>
        <v>909</v>
      </c>
      <c r="AJ740" s="136">
        <f ca="1" t="shared" si="454"/>
        <v>1818</v>
      </c>
      <c r="AK740" s="136">
        <f ca="1" t="shared" si="454"/>
        <v>2727</v>
      </c>
      <c r="AL740" s="136">
        <f ca="1" t="shared" si="454"/>
        <v>3636</v>
      </c>
      <c r="AM740" s="136">
        <f ca="1" t="shared" si="454"/>
        <v>1060</v>
      </c>
      <c r="AN740" s="136">
        <f ca="1" t="shared" si="454"/>
        <v>0</v>
      </c>
    </row>
    <row r="741" s="106" customFormat="1" ht="16.5" spans="2:40">
      <c r="B741" s="117">
        <v>107</v>
      </c>
      <c r="C741" s="130">
        <f t="shared" si="369"/>
        <v>10700</v>
      </c>
      <c r="D741" s="131" cm="1">
        <f ca="1" t="array" ref="D741">IF(D1343=1,OFFSET($W$634,$B741,D$631-1)/SUMPRODUCT(--($D$631:$V$631=D$631),--($D1343:$V1343=1)),0)+SUM(D740)+IF(COUNTIF(D$1237:D1343,1)=1,5,0)+IF(COUNTIF(E741:$W741,"&gt;"&amp;0)&lt;5,IF(AND(COUNTIF(D$1237:D1343,1)&gt;7,MOD(1+IFERROR(MATCH($C741,总览!$D$46:$D$345,1)+1,1),7)=0),$C$3,0),0)</f>
        <v>928.694698837066</v>
      </c>
      <c r="E741" s="131" cm="1">
        <f ca="1" t="array" ref="E741">IF(E1343=1,OFFSET($W$634,$B741,E$631-1)/SUMPRODUCT(--($D$631:$V$631=E$631),--($D1343:$V1343=1)),0)+SUM(E740)+IF(COUNTIF(E$1237:E1343,1)=1,5,0)+IF(COUNTIF(F741:$W741,"&gt;"&amp;0)&lt;5,IF(AND(COUNTIF(E$1237:E1343,1)&gt;7,MOD(1+IFERROR(MATCH($C741,总览!$D$46:$D$345,1)+1,1),7)=0),$C$3,0),0)</f>
        <v>928.694698837066</v>
      </c>
      <c r="F741" s="131" cm="1">
        <f ca="1" t="array" ref="F741">IF(F1343=1,OFFSET($W$634,$B741,F$631-1)/SUMPRODUCT(--($D$631:$V$631=F$631),--($D1343:$V1343=1)),0)+SUM(F740)+IF(COUNTIF(F$1237:F1343,1)=1,5,0)+IF(COUNTIF(G741:$W741,"&gt;"&amp;0)&lt;5,IF(AND(COUNTIF(F$1237:F1343,1)&gt;7,MOD(1+IFERROR(MATCH($C741,总览!$D$46:$D$345,1)+1,1),7)=0),$C$3,0),0)</f>
        <v>928.694698837066</v>
      </c>
      <c r="G741" s="131" cm="1">
        <f ca="1" t="array" ref="G741">IF(G1343=1,OFFSET($W$634,$B741,G$631-1)/SUMPRODUCT(--($D$631:$V$631=G$631),--($D1343:$V1343=1)),0)+SUM(G740)+IF(COUNTIF(G$1237:G1343,1)=1,5,0)+IF(COUNTIF(H741:$W741,"&gt;"&amp;0)&lt;5,IF(AND(COUNTIF(G$1237:G1343,1)&gt;7,MOD(1+IFERROR(MATCH($C741,总览!$D$46:$D$345,1)+1,1),7)=0),$C$3,0),0)</f>
        <v>296.066666666666</v>
      </c>
      <c r="H741" s="131" cm="1">
        <f ca="1" t="array" ref="H741">IF(H1343=1,OFFSET($W$634,$B741,H$631-1)/SUMPRODUCT(--($D$631:$V$631=H$631),--($D1343:$V1343=1)),0)+SUM(H740)+IF(COUNTIF(H$1237:H1343,1)=1,5,0)+IF(COUNTIF(I741:$W741,"&gt;"&amp;0)&lt;5,IF(AND(COUNTIF(H$1237:H1343,1)&gt;7,MOD(1+IFERROR(MATCH($C741,总览!$D$46:$D$345,1)+1,1),7)=0),$C$3,0),0)</f>
        <v>296.066666666666</v>
      </c>
      <c r="I741" s="131" cm="1">
        <f ca="1" t="array" ref="I741">IF(I1343=1,OFFSET($W$634,$B741,I$631-1)/SUMPRODUCT(--($D$631:$V$631=I$631),--($D1343:$V1343=1)),0)+SUM(I740)+IF(COUNTIF(I$1237:I1343,1)=1,5,0)+IF(COUNTIF(J741:$W741,"&gt;"&amp;0)&lt;5,IF(AND(COUNTIF(I$1237:I1343,1)&gt;7,MOD(1+IFERROR(MATCH($C741,总览!$D$46:$D$345,1)+1,1),7)=0),$C$3,0),0)</f>
        <v>296.066666666666</v>
      </c>
      <c r="J741" s="131" cm="1">
        <f ca="1" t="array" ref="J741">IF(J1343=1,OFFSET($W$634,$B741,J$631-1)/SUMPRODUCT(--($D$631:$V$631=J$631),--($D1343:$V1343=1)),0)+SUM(J740)+IF(COUNTIF(J$1237:J1343,1)=1,5,0)+IF(COUNTIF(K741:$W741,"&gt;"&amp;0)&lt;5,IF(AND(COUNTIF(J$1237:J1343,1)&gt;7,MOD(1+IFERROR(MATCH($C741,总览!$D$46:$D$345,1)+1,1),7)=0),$C$3,0),0)</f>
        <v>292.733333333333</v>
      </c>
      <c r="K741" s="131" cm="1">
        <f ca="1" t="array" ref="K741">IF(K1343=1,OFFSET($W$634,$B741,K$631-1)/SUMPRODUCT(--($D$631:$V$631=K$631),--($D1343:$V1343=1)),0)+SUM(K740)+IF(COUNTIF(K$1237:K1343,1)=1,5,0)+IF(COUNTIF(L741:$W741,"&gt;"&amp;0)&lt;5,IF(AND(COUNTIF(K$1237:K1343,1)&gt;7,MOD(1+IFERROR(MATCH($C741,总览!$D$46:$D$345,1)+1,1),7)=0),$C$3,0),0)</f>
        <v>290.233333333333</v>
      </c>
      <c r="L741" s="131" cm="1">
        <f ca="1" t="array" ref="L741">IF(L1343=1,OFFSET($W$634,$B741,L$631-1)/SUMPRODUCT(--($D$631:$V$631=L$631),--($D1343:$V1343=1)),0)+SUM(L740)+IF(COUNTIF(L$1237:L1343,1)=1,5,0)+IF(COUNTIF(M741:$W741,"&gt;"&amp;0)&lt;5,IF(AND(COUNTIF(L$1237:L1343,1)&gt;7,MOD(1+IFERROR(MATCH($C741,总览!$D$46:$D$345,1)+1,1),7)=0),$C$3,0),0)</f>
        <v>290.233333333333</v>
      </c>
      <c r="M741" s="131" cm="1">
        <f ca="1" t="array" ref="M741">IF(M1343=1,OFFSET($W$634,$B741,M$631-1)/SUMPRODUCT(--($D$631:$V$631=M$631),--($D1343:$V1343=1)),0)+SUM(M740)+IF(COUNTIF(M$1237:M1343,1)=1,5,0)+IF(COUNTIF(N741:$W741,"&gt;"&amp;0)&lt;5,IF(AND(COUNTIF(M$1237:M1343,1)&gt;7,MOD(1+IFERROR(MATCH($C741,总览!$D$46:$D$345,1)+1,1),7)=0),$C$3,0),0)</f>
        <v>110.609821428571</v>
      </c>
      <c r="N741" s="131" cm="1">
        <f ca="1" t="array" ref="N741">IF(N1343=1,OFFSET($W$634,$B741,N$631-1)/SUMPRODUCT(--($D$631:$V$631=N$631),--($D1343:$V1343=1)),0)+SUM(N740)+IF(COUNTIF(N$1237:N1343,1)=1,5,0)+IF(COUNTIF(O741:$W741,"&gt;"&amp;0)&lt;5,IF(AND(COUNTIF(N$1237:N1343,1)&gt;7,MOD(1+IFERROR(MATCH($C741,总览!$D$46:$D$345,1)+1,1),7)=0),$C$3,0),0)</f>
        <v>111.859821428571</v>
      </c>
      <c r="O741" s="131" cm="1">
        <f ca="1" t="array" ref="O741">IF(O1343=1,OFFSET($W$634,$B741,O$631-1)/SUMPRODUCT(--($D$631:$V$631=O$631),--($D1343:$V1343=1)),0)+SUM(O740)+IF(COUNTIF(O$1237:O1343,1)=1,5,0)+IF(COUNTIF(P741:$W741,"&gt;"&amp;0)&lt;5,IF(AND(COUNTIF(O$1237:O1343,1)&gt;7,MOD(1+IFERROR(MATCH($C741,总览!$D$46:$D$345,1)+1,1),7)=0),$C$3,0),0)</f>
        <v>116.859821428571</v>
      </c>
      <c r="P741" s="131" cm="1">
        <f ca="1" t="array" ref="P741">IF(P1343=1,OFFSET($W$634,$B741,P$631-1)/SUMPRODUCT(--($D$631:$V$631=P$631),--($D1343:$V1343=1)),0)+SUM(P740)+IF(COUNTIF(P$1237:P1343,1)=1,5,0)+IF(COUNTIF(Q741:$W741,"&gt;"&amp;0)&lt;5,IF(AND(COUNTIF(P$1237:P1343,1)&gt;7,MOD(1+IFERROR(MATCH($C741,总览!$D$46:$D$345,1)+1,1),7)=0),$C$3,0),0)</f>
        <v>105.978571428571</v>
      </c>
      <c r="Q741" s="131" cm="1">
        <f ca="1" t="array" ref="Q741">IF(Q1343=1,OFFSET($W$634,$B741,Q$631-1)/SUMPRODUCT(--($D$631:$V$631=Q$631),--($D1343:$V1343=1)),0)+SUM(Q740)+IF(COUNTIF(Q$1237:Q1343,1)=1,5,0)+IF(COUNTIF(R741:$W741,"&gt;"&amp;0)&lt;5,IF(AND(COUNTIF(Q$1237:Q1343,1)&gt;7,MOD(1+IFERROR(MATCH($C741,总览!$D$46:$D$345,1)+1,1),7)=0),$C$3,0),0)</f>
        <v>119.359821428571</v>
      </c>
      <c r="R741" s="131" cm="1">
        <f ca="1" t="array" ref="R741">IF(R1343=1,OFFSET($W$634,$B741,R$631-1)/SUMPRODUCT(--($D$631:$V$631=R$631),--($D1343:$V1343=1)),0)+SUM(R740)+IF(COUNTIF(R$1237:R1343,1)=1,5,0)+IF(COUNTIF(S741:$W741,"&gt;"&amp;0)&lt;5,IF(AND(COUNTIF(R$1237:R1343,1)&gt;7,MOD(1+IFERROR(MATCH($C741,总览!$D$46:$D$345,1)+1,1),7)=0),$C$3,0),0)</f>
        <v>110.978571428571</v>
      </c>
      <c r="S741" s="131" cm="1">
        <f ca="1" t="array" ref="S741">IF(S1343=1,OFFSET($W$634,$B741,S$631-1)/SUMPRODUCT(--($D$631:$V$631=S$631),--($D1343:$V1343=1)),0)+SUM(S740)+IF(COUNTIF(S$1237:S1343,1)=1,5,0)+IF(COUNTIF(T741:$W741,"&gt;"&amp;0)&lt;5,IF(AND(COUNTIF(S$1237:S1343,1)&gt;7,MOD(1+IFERROR(MATCH($C741,总览!$D$46:$D$345,1)+1,1),7)=0),$C$3,0),0)</f>
        <v>148.478571428571</v>
      </c>
      <c r="T741" s="131" cm="1">
        <f ca="1" t="array" ref="T741">IF(T1343=1,OFFSET($W$634,$B741,T$631-1)/SUMPRODUCT(--($D$631:$V$631=T$631),--($D1343:$V1343=1)),0)+SUM(T740)+IF(COUNTIF(T$1237:T1343,1)=1,5,0)+IF(COUNTIF(U741:$W741,"&gt;"&amp;0)&lt;5,IF(AND(COUNTIF(T$1237:T1343,1)&gt;7,MOD(1+IFERROR(MATCH($C741,总览!$D$46:$D$345,1)+1,1),7)=0),$C$3,0),0)</f>
        <v>92.5074436885904</v>
      </c>
      <c r="U741" s="131" cm="1">
        <f ca="1" t="array" ref="U741">IF(U1343=1,OFFSET($W$634,$B741,U$631-1)/SUMPRODUCT(--($D$631:$V$631=U$631),--($D1343:$V1343=1)),0)+SUM(U740)+IF(COUNTIF(U$1237:U1343,1)=1,5,0)+IF(COUNTIF(V741:$W741,"&gt;"&amp;0)&lt;5,IF(AND(COUNTIF(U$1237:U1343,1)&gt;7,MOD(1+IFERROR(MATCH($C741,总览!$D$46:$D$345,1)+1,1),7)=0),$C$3,0),0)</f>
        <v>98.02823004389</v>
      </c>
      <c r="V741" s="131" cm="1">
        <f ca="1" t="array" ref="V741">IF(V1343=1,OFFSET($W$634,$B741,V$631-1)/SUMPRODUCT(--($D$631:$V$631=V$631),--($D1343:$V1343=1)),0)+SUM(V740)+IF(COUNTIF(V$1237:V1343,1)=1,5,0)+IF(COUNTIF(W741:$W741,"&gt;"&amp;0)&lt;5,IF(AND(COUNTIF(V$1237:V1343,1)&gt;7,MOD(1+IFERROR(MATCH($C741,总览!$D$46:$D$345,1)+1,1),7)=0),$C$3,0),0)</f>
        <v>117.855229756323</v>
      </c>
      <c r="W741" s="135" cm="1">
        <f ca="1" t="array" ref="W741">SUMPRODUCT(TRANSPOSE($AA741:$AG741),OFFSET($L$9:$L$15,0,W$631-1))</f>
        <v>16.8502200646615</v>
      </c>
      <c r="X741" s="135" cm="1">
        <f ca="1" t="array" ref="X741">SUMPRODUCT(TRANSPOSE($AA741:$AG741),OFFSET($L$9:$L$15,0,X$631-1))</f>
        <v>20</v>
      </c>
      <c r="Y741" s="135" cm="1">
        <f ca="1" t="array" ref="Y741">SUMPRODUCT(TRANSPOSE($AA741:$AG741),OFFSET($L$9:$L$15,0,Y$631-1))</f>
        <v>10</v>
      </c>
      <c r="Z741" s="135" cm="1">
        <f ca="1" t="array" ref="Z741">SUMPRODUCT(TRANSPOSE($AA741:$AG741),OFFSET($L$9:$L$15,0,Z$631-1))</f>
        <v>3.14977993533847</v>
      </c>
      <c r="AA741" s="136">
        <f ca="1" t="shared" ref="AA741:AG741" si="455">AH741-AH740</f>
        <v>0</v>
      </c>
      <c r="AB741" s="136">
        <f ca="1" t="shared" si="455"/>
        <v>0</v>
      </c>
      <c r="AC741" s="136">
        <f ca="1" t="shared" si="455"/>
        <v>0</v>
      </c>
      <c r="AD741" s="136">
        <f ca="1" t="shared" si="455"/>
        <v>0</v>
      </c>
      <c r="AE741" s="136">
        <f ca="1" t="shared" si="455"/>
        <v>0</v>
      </c>
      <c r="AF741" s="136">
        <f ca="1" t="shared" si="455"/>
        <v>100</v>
      </c>
      <c r="AG741" s="136">
        <f ca="1" t="shared" si="455"/>
        <v>0</v>
      </c>
      <c r="AH741" s="136">
        <f ca="1" t="shared" si="371"/>
        <v>450</v>
      </c>
      <c r="AI741" s="136">
        <f ca="1" t="shared" ref="AI741:AN741" si="456">IF($C741&gt;OFFSET($Q$8,MATCH(AI$634,$AH$634:$AN$634,0),0),OFFSET($P$8,MATCH(AI$634,$AH$634:$AN$634,0),0),MAX(0,$C741-OFFSET($Q$8,RIGHT(AI$634,1)-1,0)))</f>
        <v>909</v>
      </c>
      <c r="AJ741" s="136">
        <f ca="1" t="shared" si="456"/>
        <v>1818</v>
      </c>
      <c r="AK741" s="136">
        <f ca="1" t="shared" si="456"/>
        <v>2727</v>
      </c>
      <c r="AL741" s="136">
        <f ca="1" t="shared" si="456"/>
        <v>3636</v>
      </c>
      <c r="AM741" s="136">
        <f ca="1" t="shared" si="456"/>
        <v>1160</v>
      </c>
      <c r="AN741" s="136">
        <f ca="1" t="shared" si="456"/>
        <v>0</v>
      </c>
    </row>
    <row r="742" s="106" customFormat="1" ht="16.5" spans="2:40">
      <c r="B742" s="117">
        <v>108</v>
      </c>
      <c r="C742" s="130">
        <f t="shared" si="369"/>
        <v>10800</v>
      </c>
      <c r="D742" s="131" cm="1">
        <f ca="1" t="array" ref="D742">IF(D1344=1,OFFSET($W$634,$B742,D$631-1)/SUMPRODUCT(--($D$631:$V$631=D$631),--($D1344:$V1344=1)),0)+SUM(D741)+IF(COUNTIF(D$1237:D1344,1)=1,5,0)+IF(COUNTIF(E742:$W742,"&gt;"&amp;0)&lt;5,IF(AND(COUNTIF(D$1237:D1344,1)&gt;7,MOD(1+IFERROR(MATCH($C742,总览!$D$46:$D$345,1)+1,1),7)=0),$C$3,0),0)</f>
        <v>934.311438858619</v>
      </c>
      <c r="E742" s="131" cm="1">
        <f ca="1" t="array" ref="E742">IF(E1344=1,OFFSET($W$634,$B742,E$631-1)/SUMPRODUCT(--($D$631:$V$631=E$631),--($D1344:$V1344=1)),0)+SUM(E741)+IF(COUNTIF(E$1237:E1344,1)=1,5,0)+IF(COUNTIF(F742:$W742,"&gt;"&amp;0)&lt;5,IF(AND(COUNTIF(E$1237:E1344,1)&gt;7,MOD(1+IFERROR(MATCH($C742,总览!$D$46:$D$345,1)+1,1),7)=0),$C$3,0),0)</f>
        <v>934.311438858619</v>
      </c>
      <c r="F742" s="131" cm="1">
        <f ca="1" t="array" ref="F742">IF(F1344=1,OFFSET($W$634,$B742,F$631-1)/SUMPRODUCT(--($D$631:$V$631=F$631),--($D1344:$V1344=1)),0)+SUM(F741)+IF(COUNTIF(F$1237:F1344,1)=1,5,0)+IF(COUNTIF(G742:$W742,"&gt;"&amp;0)&lt;5,IF(AND(COUNTIF(F$1237:F1344,1)&gt;7,MOD(1+IFERROR(MATCH($C742,总览!$D$46:$D$345,1)+1,1),7)=0),$C$3,0),0)</f>
        <v>934.311438858619</v>
      </c>
      <c r="G742" s="131" cm="1">
        <f ca="1" t="array" ref="G742">IF(G1344=1,OFFSET($W$634,$B742,G$631-1)/SUMPRODUCT(--($D$631:$V$631=G$631),--($D1344:$V1344=1)),0)+SUM(G741)+IF(COUNTIF(G$1237:G1344,1)=1,5,0)+IF(COUNTIF(H742:$W742,"&gt;"&amp;0)&lt;5,IF(AND(COUNTIF(G$1237:G1344,1)&gt;7,MOD(1+IFERROR(MATCH($C742,总览!$D$46:$D$345,1)+1,1),7)=0),$C$3,0),0)</f>
        <v>299.4</v>
      </c>
      <c r="H742" s="131" cm="1">
        <f ca="1" t="array" ref="H742">IF(H1344=1,OFFSET($W$634,$B742,H$631-1)/SUMPRODUCT(--($D$631:$V$631=H$631),--($D1344:$V1344=1)),0)+SUM(H741)+IF(COUNTIF(H$1237:H1344,1)=1,5,0)+IF(COUNTIF(I742:$W742,"&gt;"&amp;0)&lt;5,IF(AND(COUNTIF(H$1237:H1344,1)&gt;7,MOD(1+IFERROR(MATCH($C742,总览!$D$46:$D$345,1)+1,1),7)=0),$C$3,0),0)</f>
        <v>299.4</v>
      </c>
      <c r="I742" s="131" cm="1">
        <f ca="1" t="array" ref="I742">IF(I1344=1,OFFSET($W$634,$B742,I$631-1)/SUMPRODUCT(--($D$631:$V$631=I$631),--($D1344:$V1344=1)),0)+SUM(I741)+IF(COUNTIF(I$1237:I1344,1)=1,5,0)+IF(COUNTIF(J742:$W742,"&gt;"&amp;0)&lt;5,IF(AND(COUNTIF(I$1237:I1344,1)&gt;7,MOD(1+IFERROR(MATCH($C742,总览!$D$46:$D$345,1)+1,1),7)=0),$C$3,0),0)</f>
        <v>299.4</v>
      </c>
      <c r="J742" s="131" cm="1">
        <f ca="1" t="array" ref="J742">IF(J1344=1,OFFSET($W$634,$B742,J$631-1)/SUMPRODUCT(--($D$631:$V$631=J$631),--($D1344:$V1344=1)),0)+SUM(J741)+IF(COUNTIF(J$1237:J1344,1)=1,5,0)+IF(COUNTIF(K742:$W742,"&gt;"&amp;0)&lt;5,IF(AND(COUNTIF(J$1237:J1344,1)&gt;7,MOD(1+IFERROR(MATCH($C742,总览!$D$46:$D$345,1)+1,1),7)=0),$C$3,0),0)</f>
        <v>296.066666666666</v>
      </c>
      <c r="K742" s="131" cm="1">
        <f ca="1" t="array" ref="K742">IF(K1344=1,OFFSET($W$634,$B742,K$631-1)/SUMPRODUCT(--($D$631:$V$631=K$631),--($D1344:$V1344=1)),0)+SUM(K741)+IF(COUNTIF(K$1237:K1344,1)=1,5,0)+IF(COUNTIF(L742:$W742,"&gt;"&amp;0)&lt;5,IF(AND(COUNTIF(K$1237:K1344,1)&gt;7,MOD(1+IFERROR(MATCH($C742,总览!$D$46:$D$345,1)+1,1),7)=0),$C$3,0),0)</f>
        <v>293.566666666667</v>
      </c>
      <c r="L742" s="131" cm="1">
        <f ca="1" t="array" ref="L742">IF(L1344=1,OFFSET($W$634,$B742,L$631-1)/SUMPRODUCT(--($D$631:$V$631=L$631),--($D1344:$V1344=1)),0)+SUM(L741)+IF(COUNTIF(L$1237:L1344,1)=1,5,0)+IF(COUNTIF(M742:$W742,"&gt;"&amp;0)&lt;5,IF(AND(COUNTIF(L$1237:L1344,1)&gt;7,MOD(1+IFERROR(MATCH($C742,总览!$D$46:$D$345,1)+1,1),7)=0),$C$3,0),0)</f>
        <v>293.566666666667</v>
      </c>
      <c r="M742" s="131" cm="1">
        <f ca="1" t="array" ref="M742">IF(M1344=1,OFFSET($W$634,$B742,M$631-1)/SUMPRODUCT(--($D$631:$V$631=M$631),--($D1344:$V1344=1)),0)+SUM(M741)+IF(COUNTIF(M$1237:M1344,1)=1,5,0)+IF(COUNTIF(N742:$W742,"&gt;"&amp;0)&lt;5,IF(AND(COUNTIF(M$1237:M1344,1)&gt;7,MOD(1+IFERROR(MATCH($C742,总览!$D$46:$D$345,1)+1,1),7)=0),$C$3,0),0)</f>
        <v>112.038392857143</v>
      </c>
      <c r="N742" s="131" cm="1">
        <f ca="1" t="array" ref="N742">IF(N1344=1,OFFSET($W$634,$B742,N$631-1)/SUMPRODUCT(--($D$631:$V$631=N$631),--($D1344:$V1344=1)),0)+SUM(N741)+IF(COUNTIF(N$1237:N1344,1)=1,5,0)+IF(COUNTIF(O742:$W742,"&gt;"&amp;0)&lt;5,IF(AND(COUNTIF(N$1237:N1344,1)&gt;7,MOD(1+IFERROR(MATCH($C742,总览!$D$46:$D$345,1)+1,1),7)=0),$C$3,0),0)</f>
        <v>113.288392857143</v>
      </c>
      <c r="O742" s="131" cm="1">
        <f ca="1" t="array" ref="O742">IF(O1344=1,OFFSET($W$634,$B742,O$631-1)/SUMPRODUCT(--($D$631:$V$631=O$631),--($D1344:$V1344=1)),0)+SUM(O741)+IF(COUNTIF(O$1237:O1344,1)=1,5,0)+IF(COUNTIF(P742:$W742,"&gt;"&amp;0)&lt;5,IF(AND(COUNTIF(O$1237:O1344,1)&gt;7,MOD(1+IFERROR(MATCH($C742,总览!$D$46:$D$345,1)+1,1),7)=0),$C$3,0),0)</f>
        <v>118.288392857143</v>
      </c>
      <c r="P742" s="131" cm="1">
        <f ca="1" t="array" ref="P742">IF(P1344=1,OFFSET($W$634,$B742,P$631-1)/SUMPRODUCT(--($D$631:$V$631=P$631),--($D1344:$V1344=1)),0)+SUM(P741)+IF(COUNTIF(P$1237:P1344,1)=1,5,0)+IF(COUNTIF(Q742:$W742,"&gt;"&amp;0)&lt;5,IF(AND(COUNTIF(P$1237:P1344,1)&gt;7,MOD(1+IFERROR(MATCH($C742,总览!$D$46:$D$345,1)+1,1),7)=0),$C$3,0),0)</f>
        <v>107.407142857143</v>
      </c>
      <c r="Q742" s="131" cm="1">
        <f ca="1" t="array" ref="Q742">IF(Q1344=1,OFFSET($W$634,$B742,Q$631-1)/SUMPRODUCT(--($D$631:$V$631=Q$631),--($D1344:$V1344=1)),0)+SUM(Q741)+IF(COUNTIF(Q$1237:Q1344,1)=1,5,0)+IF(COUNTIF(R742:$W742,"&gt;"&amp;0)&lt;5,IF(AND(COUNTIF(Q$1237:Q1344,1)&gt;7,MOD(1+IFERROR(MATCH($C742,总览!$D$46:$D$345,1)+1,1),7)=0),$C$3,0),0)</f>
        <v>120.788392857143</v>
      </c>
      <c r="R742" s="131" cm="1">
        <f ca="1" t="array" ref="R742">IF(R1344=1,OFFSET($W$634,$B742,R$631-1)/SUMPRODUCT(--($D$631:$V$631=R$631),--($D1344:$V1344=1)),0)+SUM(R741)+IF(COUNTIF(R$1237:R1344,1)=1,5,0)+IF(COUNTIF(S742:$W742,"&gt;"&amp;0)&lt;5,IF(AND(COUNTIF(R$1237:R1344,1)&gt;7,MOD(1+IFERROR(MATCH($C742,总览!$D$46:$D$345,1)+1,1),7)=0),$C$3,0),0)</f>
        <v>112.407142857143</v>
      </c>
      <c r="S742" s="131" cm="1">
        <f ca="1" t="array" ref="S742">IF(S1344=1,OFFSET($W$634,$B742,S$631-1)/SUMPRODUCT(--($D$631:$V$631=S$631),--($D1344:$V1344=1)),0)+SUM(S741)+IF(COUNTIF(S$1237:S1344,1)=1,5,0)+IF(COUNTIF(T742:$W742,"&gt;"&amp;0)&lt;5,IF(AND(COUNTIF(S$1237:S1344,1)&gt;7,MOD(1+IFERROR(MATCH($C742,总览!$D$46:$D$345,1)+1,1),7)=0),$C$3,0),0)</f>
        <v>154.907142857143</v>
      </c>
      <c r="T742" s="131" cm="1">
        <f ca="1" t="array" ref="T742">IF(T1344=1,OFFSET($W$634,$B742,T$631-1)/SUMPRODUCT(--($D$631:$V$631=T$631),--($D1344:$V1344=1)),0)+SUM(T741)+IF(COUNTIF(T$1237:T1344,1)=1,5,0)+IF(COUNTIF(U742:$W742,"&gt;"&amp;0)&lt;5,IF(AND(COUNTIF(T$1237:T1344,1)&gt;7,MOD(1+IFERROR(MATCH($C742,总览!$D$46:$D$345,1)+1,1),7)=0),$C$3,0),0)</f>
        <v>98.5573703337032</v>
      </c>
      <c r="U742" s="131" cm="1">
        <f ca="1" t="array" ref="U742">IF(U1344=1,OFFSET($W$634,$B742,U$631-1)/SUMPRODUCT(--($D$631:$V$631=U$631),--($D1344:$V1344=1)),0)+SUM(U741)+IF(COUNTIF(U$1237:U1344,1)=1,5,0)+IF(COUNTIF(V742:$W742,"&gt;"&amp;0)&lt;5,IF(AND(COUNTIF(U$1237:U1344,1)&gt;7,MOD(1+IFERROR(MATCH($C742,总览!$D$46:$D$345,1)+1,1),7)=0),$C$3,0),0)</f>
        <v>104.078156689003</v>
      </c>
      <c r="V742" s="131" cm="1">
        <f ca="1" t="array" ref="V742">IF(V1344=1,OFFSET($W$634,$B742,V$631-1)/SUMPRODUCT(--($D$631:$V$631=V$631),--($D1344:$V1344=1)),0)+SUM(V741)+IF(COUNTIF(V$1237:V1344,1)=1,5,0)+IF(COUNTIF(W742:$W742,"&gt;"&amp;0)&lt;5,IF(AND(COUNTIF(V$1237:V1344,1)&gt;7,MOD(1+IFERROR(MATCH($C742,总览!$D$46:$D$345,1)+1,1),7)=0),$C$3,0),0)</f>
        <v>123.905156401436</v>
      </c>
      <c r="W742" s="135" cm="1">
        <f ca="1" t="array" ref="W742">SUMPRODUCT(TRANSPOSE($AA742:$AG742),OFFSET($L$9:$L$15,0,W$631-1))</f>
        <v>16.8502200646615</v>
      </c>
      <c r="X742" s="135" cm="1">
        <f ca="1" t="array" ref="X742">SUMPRODUCT(TRANSPOSE($AA742:$AG742),OFFSET($L$9:$L$15,0,X$631-1))</f>
        <v>20</v>
      </c>
      <c r="Y742" s="135" cm="1">
        <f ca="1" t="array" ref="Y742">SUMPRODUCT(TRANSPOSE($AA742:$AG742),OFFSET($L$9:$L$15,0,Y$631-1))</f>
        <v>10</v>
      </c>
      <c r="Z742" s="135" cm="1">
        <f ca="1" t="array" ref="Z742">SUMPRODUCT(TRANSPOSE($AA742:$AG742),OFFSET($L$9:$L$15,0,Z$631-1))</f>
        <v>3.14977993533847</v>
      </c>
      <c r="AA742" s="136">
        <f ca="1" t="shared" ref="AA742:AG742" si="457">AH742-AH741</f>
        <v>0</v>
      </c>
      <c r="AB742" s="136">
        <f ca="1" t="shared" si="457"/>
        <v>0</v>
      </c>
      <c r="AC742" s="136">
        <f ca="1" t="shared" si="457"/>
        <v>0</v>
      </c>
      <c r="AD742" s="136">
        <f ca="1" t="shared" si="457"/>
        <v>0</v>
      </c>
      <c r="AE742" s="136">
        <f ca="1" t="shared" si="457"/>
        <v>0</v>
      </c>
      <c r="AF742" s="136">
        <f ca="1" t="shared" si="457"/>
        <v>100</v>
      </c>
      <c r="AG742" s="136">
        <f ca="1" t="shared" si="457"/>
        <v>0</v>
      </c>
      <c r="AH742" s="136">
        <f ca="1" t="shared" si="371"/>
        <v>450</v>
      </c>
      <c r="AI742" s="136">
        <f ca="1" t="shared" ref="AI742:AN742" si="458">IF($C742&gt;OFFSET($Q$8,MATCH(AI$634,$AH$634:$AN$634,0),0),OFFSET($P$8,MATCH(AI$634,$AH$634:$AN$634,0),0),MAX(0,$C742-OFFSET($Q$8,RIGHT(AI$634,1)-1,0)))</f>
        <v>909</v>
      </c>
      <c r="AJ742" s="136">
        <f ca="1" t="shared" si="458"/>
        <v>1818</v>
      </c>
      <c r="AK742" s="136">
        <f ca="1" t="shared" si="458"/>
        <v>2727</v>
      </c>
      <c r="AL742" s="136">
        <f ca="1" t="shared" si="458"/>
        <v>3636</v>
      </c>
      <c r="AM742" s="136">
        <f ca="1" t="shared" si="458"/>
        <v>1260</v>
      </c>
      <c r="AN742" s="136">
        <f ca="1" t="shared" si="458"/>
        <v>0</v>
      </c>
    </row>
    <row r="743" s="106" customFormat="1" ht="16.5" spans="2:40">
      <c r="B743" s="117">
        <v>109</v>
      </c>
      <c r="C743" s="130">
        <f t="shared" si="369"/>
        <v>10900</v>
      </c>
      <c r="D743" s="131" cm="1">
        <f ca="1" t="array" ref="D743">IF(D1345=1,OFFSET($W$634,$B743,D$631-1)/SUMPRODUCT(--($D$631:$V$631=D$631),--($D1345:$V1345=1)),0)+SUM(D742)+IF(COUNTIF(D$1237:D1345,1)=1,5,0)+IF(COUNTIF(E743:$W743,"&gt;"&amp;0)&lt;5,IF(AND(COUNTIF(D$1237:D1345,1)&gt;7,MOD(1+IFERROR(MATCH($C743,总览!$D$46:$D$345,1)+1,1),7)=0),$C$3,0),0)</f>
        <v>939.928178880173</v>
      </c>
      <c r="E743" s="131" cm="1">
        <f ca="1" t="array" ref="E743">IF(E1345=1,OFFSET($W$634,$B743,E$631-1)/SUMPRODUCT(--($D$631:$V$631=E$631),--($D1345:$V1345=1)),0)+SUM(E742)+IF(COUNTIF(E$1237:E1345,1)=1,5,0)+IF(COUNTIF(F743:$W743,"&gt;"&amp;0)&lt;5,IF(AND(COUNTIF(E$1237:E1345,1)&gt;7,MOD(1+IFERROR(MATCH($C743,总览!$D$46:$D$345,1)+1,1),7)=0),$C$3,0),0)</f>
        <v>939.928178880173</v>
      </c>
      <c r="F743" s="131" cm="1">
        <f ca="1" t="array" ref="F743">IF(F1345=1,OFFSET($W$634,$B743,F$631-1)/SUMPRODUCT(--($D$631:$V$631=F$631),--($D1345:$V1345=1)),0)+SUM(F742)+IF(COUNTIF(F$1237:F1345,1)=1,5,0)+IF(COUNTIF(G743:$W743,"&gt;"&amp;0)&lt;5,IF(AND(COUNTIF(F$1237:F1345,1)&gt;7,MOD(1+IFERROR(MATCH($C743,总览!$D$46:$D$345,1)+1,1),7)=0),$C$3,0),0)</f>
        <v>939.928178880173</v>
      </c>
      <c r="G743" s="131" cm="1">
        <f ca="1" t="array" ref="G743">IF(G1345=1,OFFSET($W$634,$B743,G$631-1)/SUMPRODUCT(--($D$631:$V$631=G$631),--($D1345:$V1345=1)),0)+SUM(G742)+IF(COUNTIF(G$1237:G1345,1)=1,5,0)+IF(COUNTIF(H743:$W743,"&gt;"&amp;0)&lt;5,IF(AND(COUNTIF(G$1237:G1345,1)&gt;7,MOD(1+IFERROR(MATCH($C743,总览!$D$46:$D$345,1)+1,1),7)=0),$C$3,0),0)</f>
        <v>302.733333333333</v>
      </c>
      <c r="H743" s="131" cm="1">
        <f ca="1" t="array" ref="H743">IF(H1345=1,OFFSET($W$634,$B743,H$631-1)/SUMPRODUCT(--($D$631:$V$631=H$631),--($D1345:$V1345=1)),0)+SUM(H742)+IF(COUNTIF(H$1237:H1345,1)=1,5,0)+IF(COUNTIF(I743:$W743,"&gt;"&amp;0)&lt;5,IF(AND(COUNTIF(H$1237:H1345,1)&gt;7,MOD(1+IFERROR(MATCH($C743,总览!$D$46:$D$345,1)+1,1),7)=0),$C$3,0),0)</f>
        <v>302.733333333333</v>
      </c>
      <c r="I743" s="131" cm="1">
        <f ca="1" t="array" ref="I743">IF(I1345=1,OFFSET($W$634,$B743,I$631-1)/SUMPRODUCT(--($D$631:$V$631=I$631),--($D1345:$V1345=1)),0)+SUM(I742)+IF(COUNTIF(I$1237:I1345,1)=1,5,0)+IF(COUNTIF(J743:$W743,"&gt;"&amp;0)&lt;5,IF(AND(COUNTIF(I$1237:I1345,1)&gt;7,MOD(1+IFERROR(MATCH($C743,总览!$D$46:$D$345,1)+1,1),7)=0),$C$3,0),0)</f>
        <v>302.733333333333</v>
      </c>
      <c r="J743" s="131" cm="1">
        <f ca="1" t="array" ref="J743">IF(J1345=1,OFFSET($W$634,$B743,J$631-1)/SUMPRODUCT(--($D$631:$V$631=J$631),--($D1345:$V1345=1)),0)+SUM(J742)+IF(COUNTIF(J$1237:J1345,1)=1,5,0)+IF(COUNTIF(K743:$W743,"&gt;"&amp;0)&lt;5,IF(AND(COUNTIF(J$1237:J1345,1)&gt;7,MOD(1+IFERROR(MATCH($C743,总览!$D$46:$D$345,1)+1,1),7)=0),$C$3,0),0)</f>
        <v>299.4</v>
      </c>
      <c r="K743" s="131" cm="1">
        <f ca="1" t="array" ref="K743">IF(K1345=1,OFFSET($W$634,$B743,K$631-1)/SUMPRODUCT(--($D$631:$V$631=K$631),--($D1345:$V1345=1)),0)+SUM(K742)+IF(COUNTIF(K$1237:K1345,1)=1,5,0)+IF(COUNTIF(L743:$W743,"&gt;"&amp;0)&lt;5,IF(AND(COUNTIF(K$1237:K1345,1)&gt;7,MOD(1+IFERROR(MATCH($C743,总览!$D$46:$D$345,1)+1,1),7)=0),$C$3,0),0)</f>
        <v>296.9</v>
      </c>
      <c r="L743" s="131" cm="1">
        <f ca="1" t="array" ref="L743">IF(L1345=1,OFFSET($W$634,$B743,L$631-1)/SUMPRODUCT(--($D$631:$V$631=L$631),--($D1345:$V1345=1)),0)+SUM(L742)+IF(COUNTIF(L$1237:L1345,1)=1,5,0)+IF(COUNTIF(M743:$W743,"&gt;"&amp;0)&lt;5,IF(AND(COUNTIF(L$1237:L1345,1)&gt;7,MOD(1+IFERROR(MATCH($C743,总览!$D$46:$D$345,1)+1,1),7)=0),$C$3,0),0)</f>
        <v>296.9</v>
      </c>
      <c r="M743" s="131" cm="1">
        <f ca="1" t="array" ref="M743">IF(M1345=1,OFFSET($W$634,$B743,M$631-1)/SUMPRODUCT(--($D$631:$V$631=M$631),--($D1345:$V1345=1)),0)+SUM(M742)+IF(COUNTIF(M$1237:M1345,1)=1,5,0)+IF(COUNTIF(N743:$W743,"&gt;"&amp;0)&lt;5,IF(AND(COUNTIF(M$1237:M1345,1)&gt;7,MOD(1+IFERROR(MATCH($C743,总览!$D$46:$D$345,1)+1,1),7)=0),$C$3,0),0)</f>
        <v>113.466964285714</v>
      </c>
      <c r="N743" s="131" cm="1">
        <f ca="1" t="array" ref="N743">IF(N1345=1,OFFSET($W$634,$B743,N$631-1)/SUMPRODUCT(--($D$631:$V$631=N$631),--($D1345:$V1345=1)),0)+SUM(N742)+IF(COUNTIF(N$1237:N1345,1)=1,5,0)+IF(COUNTIF(O743:$W743,"&gt;"&amp;0)&lt;5,IF(AND(COUNTIF(N$1237:N1345,1)&gt;7,MOD(1+IFERROR(MATCH($C743,总览!$D$46:$D$345,1)+1,1),7)=0),$C$3,0),0)</f>
        <v>114.716964285714</v>
      </c>
      <c r="O743" s="131" cm="1">
        <f ca="1" t="array" ref="O743">IF(O1345=1,OFFSET($W$634,$B743,O$631-1)/SUMPRODUCT(--($D$631:$V$631=O$631),--($D1345:$V1345=1)),0)+SUM(O742)+IF(COUNTIF(O$1237:O1345,1)=1,5,0)+IF(COUNTIF(P743:$W743,"&gt;"&amp;0)&lt;5,IF(AND(COUNTIF(O$1237:O1345,1)&gt;7,MOD(1+IFERROR(MATCH($C743,总览!$D$46:$D$345,1)+1,1),7)=0),$C$3,0),0)</f>
        <v>119.716964285714</v>
      </c>
      <c r="P743" s="131" cm="1">
        <f ca="1" t="array" ref="P743">IF(P1345=1,OFFSET($W$634,$B743,P$631-1)/SUMPRODUCT(--($D$631:$V$631=P$631),--($D1345:$V1345=1)),0)+SUM(P742)+IF(COUNTIF(P$1237:P1345,1)=1,5,0)+IF(COUNTIF(Q743:$W743,"&gt;"&amp;0)&lt;5,IF(AND(COUNTIF(P$1237:P1345,1)&gt;7,MOD(1+IFERROR(MATCH($C743,总览!$D$46:$D$345,1)+1,1),7)=0),$C$3,0),0)</f>
        <v>108.835714285714</v>
      </c>
      <c r="Q743" s="131" cm="1">
        <f ca="1" t="array" ref="Q743">IF(Q1345=1,OFFSET($W$634,$B743,Q$631-1)/SUMPRODUCT(--($D$631:$V$631=Q$631),--($D1345:$V1345=1)),0)+SUM(Q742)+IF(COUNTIF(Q$1237:Q1345,1)=1,5,0)+IF(COUNTIF(R743:$W743,"&gt;"&amp;0)&lt;5,IF(AND(COUNTIF(Q$1237:Q1345,1)&gt;7,MOD(1+IFERROR(MATCH($C743,总览!$D$46:$D$345,1)+1,1),7)=0),$C$3,0),0)</f>
        <v>122.216964285714</v>
      </c>
      <c r="R743" s="131" cm="1">
        <f ca="1" t="array" ref="R743">IF(R1345=1,OFFSET($W$634,$B743,R$631-1)/SUMPRODUCT(--($D$631:$V$631=R$631),--($D1345:$V1345=1)),0)+SUM(R742)+IF(COUNTIF(R$1237:R1345,1)=1,5,0)+IF(COUNTIF(S743:$W743,"&gt;"&amp;0)&lt;5,IF(AND(COUNTIF(R$1237:R1345,1)&gt;7,MOD(1+IFERROR(MATCH($C743,总览!$D$46:$D$345,1)+1,1),7)=0),$C$3,0),0)</f>
        <v>113.835714285714</v>
      </c>
      <c r="S743" s="131" cm="1">
        <f ca="1" t="array" ref="S743">IF(S1345=1,OFFSET($W$634,$B743,S$631-1)/SUMPRODUCT(--($D$631:$V$631=S$631),--($D1345:$V1345=1)),0)+SUM(S742)+IF(COUNTIF(S$1237:S1345,1)=1,5,0)+IF(COUNTIF(T743:$W743,"&gt;"&amp;0)&lt;5,IF(AND(COUNTIF(S$1237:S1345,1)&gt;7,MOD(1+IFERROR(MATCH($C743,总览!$D$46:$D$345,1)+1,1),7)=0),$C$3,0),0)</f>
        <v>156.335714285714</v>
      </c>
      <c r="T743" s="131" cm="1">
        <f ca="1" t="array" ref="T743">IF(T1345=1,OFFSET($W$634,$B743,T$631-1)/SUMPRODUCT(--($D$631:$V$631=T$631),--($D1345:$V1345=1)),0)+SUM(T742)+IF(COUNTIF(T$1237:T1345,1)=1,5,0)+IF(COUNTIF(U743:$W743,"&gt;"&amp;0)&lt;5,IF(AND(COUNTIF(T$1237:T1345,1)&gt;7,MOD(1+IFERROR(MATCH($C743,总览!$D$46:$D$345,1)+1,1),7)=0),$C$3,0),0)</f>
        <v>99.607296978816</v>
      </c>
      <c r="U743" s="131" cm="1">
        <f ca="1" t="array" ref="U743">IF(U1345=1,OFFSET($W$634,$B743,U$631-1)/SUMPRODUCT(--($D$631:$V$631=U$631),--($D1345:$V1345=1)),0)+SUM(U742)+IF(COUNTIF(U$1237:U1345,1)=1,5,0)+IF(COUNTIF(V743:$W743,"&gt;"&amp;0)&lt;5,IF(AND(COUNTIF(U$1237:U1345,1)&gt;7,MOD(1+IFERROR(MATCH($C743,总览!$D$46:$D$345,1)+1,1),7)=0),$C$3,0),0)</f>
        <v>105.128083334116</v>
      </c>
      <c r="V743" s="131" cm="1">
        <f ca="1" t="array" ref="V743">IF(V1345=1,OFFSET($W$634,$B743,V$631-1)/SUMPRODUCT(--($D$631:$V$631=V$631),--($D1345:$V1345=1)),0)+SUM(V742)+IF(COUNTIF(V$1237:V1345,1)=1,5,0)+IF(COUNTIF(W743:$W743,"&gt;"&amp;0)&lt;5,IF(AND(COUNTIF(V$1237:V1345,1)&gt;7,MOD(1+IFERROR(MATCH($C743,总览!$D$46:$D$345,1)+1,1),7)=0),$C$3,0),0)</f>
        <v>124.955083046549</v>
      </c>
      <c r="W743" s="135" cm="1">
        <f ca="1" t="array" ref="W743">SUMPRODUCT(TRANSPOSE($AA743:$AG743),OFFSET($L$9:$L$15,0,W$631-1))</f>
        <v>16.8502200646615</v>
      </c>
      <c r="X743" s="135" cm="1">
        <f ca="1" t="array" ref="X743">SUMPRODUCT(TRANSPOSE($AA743:$AG743),OFFSET($L$9:$L$15,0,X$631-1))</f>
        <v>20</v>
      </c>
      <c r="Y743" s="135" cm="1">
        <f ca="1" t="array" ref="Y743">SUMPRODUCT(TRANSPOSE($AA743:$AG743),OFFSET($L$9:$L$15,0,Y$631-1))</f>
        <v>10</v>
      </c>
      <c r="Z743" s="135" cm="1">
        <f ca="1" t="array" ref="Z743">SUMPRODUCT(TRANSPOSE($AA743:$AG743),OFFSET($L$9:$L$15,0,Z$631-1))</f>
        <v>3.14977993533847</v>
      </c>
      <c r="AA743" s="136">
        <f ca="1" t="shared" ref="AA743:AG743" si="459">AH743-AH742</f>
        <v>0</v>
      </c>
      <c r="AB743" s="136">
        <f ca="1" t="shared" si="459"/>
        <v>0</v>
      </c>
      <c r="AC743" s="136">
        <f ca="1" t="shared" si="459"/>
        <v>0</v>
      </c>
      <c r="AD743" s="136">
        <f ca="1" t="shared" si="459"/>
        <v>0</v>
      </c>
      <c r="AE743" s="136">
        <f ca="1" t="shared" si="459"/>
        <v>0</v>
      </c>
      <c r="AF743" s="136">
        <f ca="1" t="shared" si="459"/>
        <v>100</v>
      </c>
      <c r="AG743" s="136">
        <f ca="1" t="shared" si="459"/>
        <v>0</v>
      </c>
      <c r="AH743" s="136">
        <f ca="1" t="shared" si="371"/>
        <v>450</v>
      </c>
      <c r="AI743" s="136">
        <f ca="1" t="shared" ref="AI743:AN743" si="460">IF($C743&gt;OFFSET($Q$8,MATCH(AI$634,$AH$634:$AN$634,0),0),OFFSET($P$8,MATCH(AI$634,$AH$634:$AN$634,0),0),MAX(0,$C743-OFFSET($Q$8,RIGHT(AI$634,1)-1,0)))</f>
        <v>909</v>
      </c>
      <c r="AJ743" s="136">
        <f ca="1" t="shared" si="460"/>
        <v>1818</v>
      </c>
      <c r="AK743" s="136">
        <f ca="1" t="shared" si="460"/>
        <v>2727</v>
      </c>
      <c r="AL743" s="136">
        <f ca="1" t="shared" si="460"/>
        <v>3636</v>
      </c>
      <c r="AM743" s="136">
        <f ca="1" t="shared" si="460"/>
        <v>1360</v>
      </c>
      <c r="AN743" s="136">
        <f ca="1" t="shared" si="460"/>
        <v>0</v>
      </c>
    </row>
    <row r="744" s="106" customFormat="1" ht="16.5" spans="2:40">
      <c r="B744" s="117">
        <v>110</v>
      </c>
      <c r="C744" s="130">
        <f t="shared" si="369"/>
        <v>11000</v>
      </c>
      <c r="D744" s="131" cm="1">
        <f ca="1" t="array" ref="D744">IF(D1346=1,OFFSET($W$634,$B744,D$631-1)/SUMPRODUCT(--($D$631:$V$631=D$631),--($D1346:$V1346=1)),0)+SUM(D743)+IF(COUNTIF(D$1237:D1346,1)=1,5,0)+IF(COUNTIF(E744:$W744,"&gt;"&amp;0)&lt;5,IF(AND(COUNTIF(D$1237:D1346,1)&gt;7,MOD(1+IFERROR(MATCH($C744,总览!$D$46:$D$345,1)+1,1),7)=0),$C$3,0),0)</f>
        <v>945.544918901727</v>
      </c>
      <c r="E744" s="131" cm="1">
        <f ca="1" t="array" ref="E744">IF(E1346=1,OFFSET($W$634,$B744,E$631-1)/SUMPRODUCT(--($D$631:$V$631=E$631),--($D1346:$V1346=1)),0)+SUM(E743)+IF(COUNTIF(E$1237:E1346,1)=1,5,0)+IF(COUNTIF(F744:$W744,"&gt;"&amp;0)&lt;5,IF(AND(COUNTIF(E$1237:E1346,1)&gt;7,MOD(1+IFERROR(MATCH($C744,总览!$D$46:$D$345,1)+1,1),7)=0),$C$3,0),0)</f>
        <v>945.544918901727</v>
      </c>
      <c r="F744" s="131" cm="1">
        <f ca="1" t="array" ref="F744">IF(F1346=1,OFFSET($W$634,$B744,F$631-1)/SUMPRODUCT(--($D$631:$V$631=F$631),--($D1346:$V1346=1)),0)+SUM(F743)+IF(COUNTIF(F$1237:F1346,1)=1,5,0)+IF(COUNTIF(G744:$W744,"&gt;"&amp;0)&lt;5,IF(AND(COUNTIF(F$1237:F1346,1)&gt;7,MOD(1+IFERROR(MATCH($C744,总览!$D$46:$D$345,1)+1,1),7)=0),$C$3,0),0)</f>
        <v>945.544918901727</v>
      </c>
      <c r="G744" s="131" cm="1">
        <f ca="1" t="array" ref="G744">IF(G1346=1,OFFSET($W$634,$B744,G$631-1)/SUMPRODUCT(--($D$631:$V$631=G$631),--($D1346:$V1346=1)),0)+SUM(G743)+IF(COUNTIF(G$1237:G1346,1)=1,5,0)+IF(COUNTIF(H744:$W744,"&gt;"&amp;0)&lt;5,IF(AND(COUNTIF(G$1237:G1346,1)&gt;7,MOD(1+IFERROR(MATCH($C744,总览!$D$46:$D$345,1)+1,1),7)=0),$C$3,0),0)</f>
        <v>306.066666666666</v>
      </c>
      <c r="H744" s="131" cm="1">
        <f ca="1" t="array" ref="H744">IF(H1346=1,OFFSET($W$634,$B744,H$631-1)/SUMPRODUCT(--($D$631:$V$631=H$631),--($D1346:$V1346=1)),0)+SUM(H743)+IF(COUNTIF(H$1237:H1346,1)=1,5,0)+IF(COUNTIF(I744:$W744,"&gt;"&amp;0)&lt;5,IF(AND(COUNTIF(H$1237:H1346,1)&gt;7,MOD(1+IFERROR(MATCH($C744,总览!$D$46:$D$345,1)+1,1),7)=0),$C$3,0),0)</f>
        <v>306.066666666666</v>
      </c>
      <c r="I744" s="131" cm="1">
        <f ca="1" t="array" ref="I744">IF(I1346=1,OFFSET($W$634,$B744,I$631-1)/SUMPRODUCT(--($D$631:$V$631=I$631),--($D1346:$V1346=1)),0)+SUM(I743)+IF(COUNTIF(I$1237:I1346,1)=1,5,0)+IF(COUNTIF(J744:$W744,"&gt;"&amp;0)&lt;5,IF(AND(COUNTIF(I$1237:I1346,1)&gt;7,MOD(1+IFERROR(MATCH($C744,总览!$D$46:$D$345,1)+1,1),7)=0),$C$3,0),0)</f>
        <v>306.066666666666</v>
      </c>
      <c r="J744" s="131" cm="1">
        <f ca="1" t="array" ref="J744">IF(J1346=1,OFFSET($W$634,$B744,J$631-1)/SUMPRODUCT(--($D$631:$V$631=J$631),--($D1346:$V1346=1)),0)+SUM(J743)+IF(COUNTIF(J$1237:J1346,1)=1,5,0)+IF(COUNTIF(K744:$W744,"&gt;"&amp;0)&lt;5,IF(AND(COUNTIF(J$1237:J1346,1)&gt;7,MOD(1+IFERROR(MATCH($C744,总览!$D$46:$D$345,1)+1,1),7)=0),$C$3,0),0)</f>
        <v>302.733333333333</v>
      </c>
      <c r="K744" s="131" cm="1">
        <f ca="1" t="array" ref="K744">IF(K1346=1,OFFSET($W$634,$B744,K$631-1)/SUMPRODUCT(--($D$631:$V$631=K$631),--($D1346:$V1346=1)),0)+SUM(K743)+IF(COUNTIF(K$1237:K1346,1)=1,5,0)+IF(COUNTIF(L744:$W744,"&gt;"&amp;0)&lt;5,IF(AND(COUNTIF(K$1237:K1346,1)&gt;7,MOD(1+IFERROR(MATCH($C744,总览!$D$46:$D$345,1)+1,1),7)=0),$C$3,0),0)</f>
        <v>300.233333333333</v>
      </c>
      <c r="L744" s="131" cm="1">
        <f ca="1" t="array" ref="L744">IF(L1346=1,OFFSET($W$634,$B744,L$631-1)/SUMPRODUCT(--($D$631:$V$631=L$631),--($D1346:$V1346=1)),0)+SUM(L743)+IF(COUNTIF(L$1237:L1346,1)=1,5,0)+IF(COUNTIF(M744:$W744,"&gt;"&amp;0)&lt;5,IF(AND(COUNTIF(L$1237:L1346,1)&gt;7,MOD(1+IFERROR(MATCH($C744,总览!$D$46:$D$345,1)+1,1),7)=0),$C$3,0),0)</f>
        <v>300.233333333333</v>
      </c>
      <c r="M744" s="131" cm="1">
        <f ca="1" t="array" ref="M744">IF(M1346=1,OFFSET($W$634,$B744,M$631-1)/SUMPRODUCT(--($D$631:$V$631=M$631),--($D1346:$V1346=1)),0)+SUM(M743)+IF(COUNTIF(M$1237:M1346,1)=1,5,0)+IF(COUNTIF(N744:$W744,"&gt;"&amp;0)&lt;5,IF(AND(COUNTIF(M$1237:M1346,1)&gt;7,MOD(1+IFERROR(MATCH($C744,总览!$D$46:$D$345,1)+1,1),7)=0),$C$3,0),0)</f>
        <v>114.895535714286</v>
      </c>
      <c r="N744" s="131" cm="1">
        <f ca="1" t="array" ref="N744">IF(N1346=1,OFFSET($W$634,$B744,N$631-1)/SUMPRODUCT(--($D$631:$V$631=N$631),--($D1346:$V1346=1)),0)+SUM(N743)+IF(COUNTIF(N$1237:N1346,1)=1,5,0)+IF(COUNTIF(O744:$W744,"&gt;"&amp;0)&lt;5,IF(AND(COUNTIF(N$1237:N1346,1)&gt;7,MOD(1+IFERROR(MATCH($C744,总览!$D$46:$D$345,1)+1,1),7)=0),$C$3,0),0)</f>
        <v>116.145535714286</v>
      </c>
      <c r="O744" s="131" cm="1">
        <f ca="1" t="array" ref="O744">IF(O1346=1,OFFSET($W$634,$B744,O$631-1)/SUMPRODUCT(--($D$631:$V$631=O$631),--($D1346:$V1346=1)),0)+SUM(O743)+IF(COUNTIF(O$1237:O1346,1)=1,5,0)+IF(COUNTIF(P744:$W744,"&gt;"&amp;0)&lt;5,IF(AND(COUNTIF(O$1237:O1346,1)&gt;7,MOD(1+IFERROR(MATCH($C744,总览!$D$46:$D$345,1)+1,1),7)=0),$C$3,0),0)</f>
        <v>121.145535714286</v>
      </c>
      <c r="P744" s="131" cm="1">
        <f ca="1" t="array" ref="P744">IF(P1346=1,OFFSET($W$634,$B744,P$631-1)/SUMPRODUCT(--($D$631:$V$631=P$631),--($D1346:$V1346=1)),0)+SUM(P743)+IF(COUNTIF(P$1237:P1346,1)=1,5,0)+IF(COUNTIF(Q744:$W744,"&gt;"&amp;0)&lt;5,IF(AND(COUNTIF(P$1237:P1346,1)&gt;7,MOD(1+IFERROR(MATCH($C744,总览!$D$46:$D$345,1)+1,1),7)=0),$C$3,0),0)</f>
        <v>110.264285714286</v>
      </c>
      <c r="Q744" s="131" cm="1">
        <f ca="1" t="array" ref="Q744">IF(Q1346=1,OFFSET($W$634,$B744,Q$631-1)/SUMPRODUCT(--($D$631:$V$631=Q$631),--($D1346:$V1346=1)),0)+SUM(Q743)+IF(COUNTIF(Q$1237:Q1346,1)=1,5,0)+IF(COUNTIF(R744:$W744,"&gt;"&amp;0)&lt;5,IF(AND(COUNTIF(Q$1237:Q1346,1)&gt;7,MOD(1+IFERROR(MATCH($C744,总览!$D$46:$D$345,1)+1,1),7)=0),$C$3,0),0)</f>
        <v>123.645535714286</v>
      </c>
      <c r="R744" s="131" cm="1">
        <f ca="1" t="array" ref="R744">IF(R1346=1,OFFSET($W$634,$B744,R$631-1)/SUMPRODUCT(--($D$631:$V$631=R$631),--($D1346:$V1346=1)),0)+SUM(R743)+IF(COUNTIF(R$1237:R1346,1)=1,5,0)+IF(COUNTIF(S744:$W744,"&gt;"&amp;0)&lt;5,IF(AND(COUNTIF(R$1237:R1346,1)&gt;7,MOD(1+IFERROR(MATCH($C744,总览!$D$46:$D$345,1)+1,1),7)=0),$C$3,0),0)</f>
        <v>115.264285714286</v>
      </c>
      <c r="S744" s="131" cm="1">
        <f ca="1" t="array" ref="S744">IF(S1346=1,OFFSET($W$634,$B744,S$631-1)/SUMPRODUCT(--($D$631:$V$631=S$631),--($D1346:$V1346=1)),0)+SUM(S743)+IF(COUNTIF(S$1237:S1346,1)=1,5,0)+IF(COUNTIF(T744:$W744,"&gt;"&amp;0)&lt;5,IF(AND(COUNTIF(S$1237:S1346,1)&gt;7,MOD(1+IFERROR(MATCH($C744,总览!$D$46:$D$345,1)+1,1),7)=0),$C$3,0),0)</f>
        <v>157.764285714285</v>
      </c>
      <c r="T744" s="131" cm="1">
        <f ca="1" t="array" ref="T744">IF(T1346=1,OFFSET($W$634,$B744,T$631-1)/SUMPRODUCT(--($D$631:$V$631=T$631),--($D1346:$V1346=1)),0)+SUM(T743)+IF(COUNTIF(T$1237:T1346,1)=1,5,0)+IF(COUNTIF(U744:$W744,"&gt;"&amp;0)&lt;5,IF(AND(COUNTIF(T$1237:T1346,1)&gt;7,MOD(1+IFERROR(MATCH($C744,总览!$D$46:$D$345,1)+1,1),7)=0),$C$3,0),0)</f>
        <v>100.657223623929</v>
      </c>
      <c r="U744" s="131" cm="1">
        <f ca="1" t="array" ref="U744">IF(U1346=1,OFFSET($W$634,$B744,U$631-1)/SUMPRODUCT(--($D$631:$V$631=U$631),--($D1346:$V1346=1)),0)+SUM(U743)+IF(COUNTIF(U$1237:U1346,1)=1,5,0)+IF(COUNTIF(V744:$W744,"&gt;"&amp;0)&lt;5,IF(AND(COUNTIF(U$1237:U1346,1)&gt;7,MOD(1+IFERROR(MATCH($C744,总览!$D$46:$D$345,1)+1,1),7)=0),$C$3,0),0)</f>
        <v>106.178009979228</v>
      </c>
      <c r="V744" s="131" cm="1">
        <f ca="1" t="array" ref="V744">IF(V1346=1,OFFSET($W$634,$B744,V$631-1)/SUMPRODUCT(--($D$631:$V$631=V$631),--($D1346:$V1346=1)),0)+SUM(V743)+IF(COUNTIF(V$1237:V1346,1)=1,5,0)+IF(COUNTIF(W744:$W744,"&gt;"&amp;0)&lt;5,IF(AND(COUNTIF(V$1237:V1346,1)&gt;7,MOD(1+IFERROR(MATCH($C744,总览!$D$46:$D$345,1)+1,1),7)=0),$C$3,0),0)</f>
        <v>126.005009691662</v>
      </c>
      <c r="W744" s="135" cm="1">
        <f ca="1" t="array" ref="W744">SUMPRODUCT(TRANSPOSE($AA744:$AG744),OFFSET($L$9:$L$15,0,W$631-1))</f>
        <v>16.8502200646615</v>
      </c>
      <c r="X744" s="135" cm="1">
        <f ca="1" t="array" ref="X744">SUMPRODUCT(TRANSPOSE($AA744:$AG744),OFFSET($L$9:$L$15,0,X$631-1))</f>
        <v>20</v>
      </c>
      <c r="Y744" s="135" cm="1">
        <f ca="1" t="array" ref="Y744">SUMPRODUCT(TRANSPOSE($AA744:$AG744),OFFSET($L$9:$L$15,0,Y$631-1))</f>
        <v>10</v>
      </c>
      <c r="Z744" s="135" cm="1">
        <f ca="1" t="array" ref="Z744">SUMPRODUCT(TRANSPOSE($AA744:$AG744),OFFSET($L$9:$L$15,0,Z$631-1))</f>
        <v>3.14977993533847</v>
      </c>
      <c r="AA744" s="136">
        <f ca="1" t="shared" ref="AA744:AG744" si="461">AH744-AH743</f>
        <v>0</v>
      </c>
      <c r="AB744" s="136">
        <f ca="1" t="shared" si="461"/>
        <v>0</v>
      </c>
      <c r="AC744" s="136">
        <f ca="1" t="shared" si="461"/>
        <v>0</v>
      </c>
      <c r="AD744" s="136">
        <f ca="1" t="shared" si="461"/>
        <v>0</v>
      </c>
      <c r="AE744" s="136">
        <f ca="1" t="shared" si="461"/>
        <v>0</v>
      </c>
      <c r="AF744" s="136">
        <f ca="1" t="shared" si="461"/>
        <v>100</v>
      </c>
      <c r="AG744" s="136">
        <f ca="1" t="shared" si="461"/>
        <v>0</v>
      </c>
      <c r="AH744" s="136">
        <f ca="1" t="shared" si="371"/>
        <v>450</v>
      </c>
      <c r="AI744" s="136">
        <f ca="1" t="shared" ref="AI744:AN744" si="462">IF($C744&gt;OFFSET($Q$8,MATCH(AI$634,$AH$634:$AN$634,0),0),OFFSET($P$8,MATCH(AI$634,$AH$634:$AN$634,0),0),MAX(0,$C744-OFFSET($Q$8,RIGHT(AI$634,1)-1,0)))</f>
        <v>909</v>
      </c>
      <c r="AJ744" s="136">
        <f ca="1" t="shared" si="462"/>
        <v>1818</v>
      </c>
      <c r="AK744" s="136">
        <f ca="1" t="shared" si="462"/>
        <v>2727</v>
      </c>
      <c r="AL744" s="136">
        <f ca="1" t="shared" si="462"/>
        <v>3636</v>
      </c>
      <c r="AM744" s="136">
        <f ca="1" t="shared" si="462"/>
        <v>1460</v>
      </c>
      <c r="AN744" s="136">
        <f ca="1" t="shared" si="462"/>
        <v>0</v>
      </c>
    </row>
    <row r="745" s="106" customFormat="1" ht="16.5" spans="2:40">
      <c r="B745" s="117">
        <v>111</v>
      </c>
      <c r="C745" s="130">
        <f t="shared" si="369"/>
        <v>11100</v>
      </c>
      <c r="D745" s="131" cm="1">
        <f ca="1" t="array" ref="D745">IF(D1347=1,OFFSET($W$634,$B745,D$631-1)/SUMPRODUCT(--($D$631:$V$631=D$631),--($D1347:$V1347=1)),0)+SUM(D744)+IF(COUNTIF(D$1237:D1347,1)=1,5,0)+IF(COUNTIF(E745:$W745,"&gt;"&amp;0)&lt;5,IF(AND(COUNTIF(D$1237:D1347,1)&gt;7,MOD(1+IFERROR(MATCH($C745,总览!$D$46:$D$345,1)+1,1),7)=0),$C$3,0),0)</f>
        <v>951.161658923281</v>
      </c>
      <c r="E745" s="131" cm="1">
        <f ca="1" t="array" ref="E745">IF(E1347=1,OFFSET($W$634,$B745,E$631-1)/SUMPRODUCT(--($D$631:$V$631=E$631),--($D1347:$V1347=1)),0)+SUM(E744)+IF(COUNTIF(E$1237:E1347,1)=1,5,0)+IF(COUNTIF(F745:$W745,"&gt;"&amp;0)&lt;5,IF(AND(COUNTIF(E$1237:E1347,1)&gt;7,MOD(1+IFERROR(MATCH($C745,总览!$D$46:$D$345,1)+1,1),7)=0),$C$3,0),0)</f>
        <v>951.161658923281</v>
      </c>
      <c r="F745" s="131" cm="1">
        <f ca="1" t="array" ref="F745">IF(F1347=1,OFFSET($W$634,$B745,F$631-1)/SUMPRODUCT(--($D$631:$V$631=F$631),--($D1347:$V1347=1)),0)+SUM(F744)+IF(COUNTIF(F$1237:F1347,1)=1,5,0)+IF(COUNTIF(G745:$W745,"&gt;"&amp;0)&lt;5,IF(AND(COUNTIF(F$1237:F1347,1)&gt;7,MOD(1+IFERROR(MATCH($C745,总览!$D$46:$D$345,1)+1,1),7)=0),$C$3,0),0)</f>
        <v>951.161658923281</v>
      </c>
      <c r="G745" s="131" cm="1">
        <f ca="1" t="array" ref="G745">IF(G1347=1,OFFSET($W$634,$B745,G$631-1)/SUMPRODUCT(--($D$631:$V$631=G$631),--($D1347:$V1347=1)),0)+SUM(G744)+IF(COUNTIF(G$1237:G1347,1)=1,5,0)+IF(COUNTIF(H745:$W745,"&gt;"&amp;0)&lt;5,IF(AND(COUNTIF(G$1237:G1347,1)&gt;7,MOD(1+IFERROR(MATCH($C745,总览!$D$46:$D$345,1)+1,1),7)=0),$C$3,0),0)</f>
        <v>309.4</v>
      </c>
      <c r="H745" s="131" cm="1">
        <f ca="1" t="array" ref="H745">IF(H1347=1,OFFSET($W$634,$B745,H$631-1)/SUMPRODUCT(--($D$631:$V$631=H$631),--($D1347:$V1347=1)),0)+SUM(H744)+IF(COUNTIF(H$1237:H1347,1)=1,5,0)+IF(COUNTIF(I745:$W745,"&gt;"&amp;0)&lt;5,IF(AND(COUNTIF(H$1237:H1347,1)&gt;7,MOD(1+IFERROR(MATCH($C745,总览!$D$46:$D$345,1)+1,1),7)=0),$C$3,0),0)</f>
        <v>309.4</v>
      </c>
      <c r="I745" s="131" cm="1">
        <f ca="1" t="array" ref="I745">IF(I1347=1,OFFSET($W$634,$B745,I$631-1)/SUMPRODUCT(--($D$631:$V$631=I$631),--($D1347:$V1347=1)),0)+SUM(I744)+IF(COUNTIF(I$1237:I1347,1)=1,5,0)+IF(COUNTIF(J745:$W745,"&gt;"&amp;0)&lt;5,IF(AND(COUNTIF(I$1237:I1347,1)&gt;7,MOD(1+IFERROR(MATCH($C745,总览!$D$46:$D$345,1)+1,1),7)=0),$C$3,0),0)</f>
        <v>309.4</v>
      </c>
      <c r="J745" s="131" cm="1">
        <f ca="1" t="array" ref="J745">IF(J1347=1,OFFSET($W$634,$B745,J$631-1)/SUMPRODUCT(--($D$631:$V$631=J$631),--($D1347:$V1347=1)),0)+SUM(J744)+IF(COUNTIF(J$1237:J1347,1)=1,5,0)+IF(COUNTIF(K745:$W745,"&gt;"&amp;0)&lt;5,IF(AND(COUNTIF(J$1237:J1347,1)&gt;7,MOD(1+IFERROR(MATCH($C745,总览!$D$46:$D$345,1)+1,1),7)=0),$C$3,0),0)</f>
        <v>306.066666666666</v>
      </c>
      <c r="K745" s="131" cm="1">
        <f ca="1" t="array" ref="K745">IF(K1347=1,OFFSET($W$634,$B745,K$631-1)/SUMPRODUCT(--($D$631:$V$631=K$631),--($D1347:$V1347=1)),0)+SUM(K744)+IF(COUNTIF(K$1237:K1347,1)=1,5,0)+IF(COUNTIF(L745:$W745,"&gt;"&amp;0)&lt;5,IF(AND(COUNTIF(K$1237:K1347,1)&gt;7,MOD(1+IFERROR(MATCH($C745,总览!$D$46:$D$345,1)+1,1),7)=0),$C$3,0),0)</f>
        <v>303.566666666666</v>
      </c>
      <c r="L745" s="131" cm="1">
        <f ca="1" t="array" ref="L745">IF(L1347=1,OFFSET($W$634,$B745,L$631-1)/SUMPRODUCT(--($D$631:$V$631=L$631),--($D1347:$V1347=1)),0)+SUM(L744)+IF(COUNTIF(L$1237:L1347,1)=1,5,0)+IF(COUNTIF(M745:$W745,"&gt;"&amp;0)&lt;5,IF(AND(COUNTIF(L$1237:L1347,1)&gt;7,MOD(1+IFERROR(MATCH($C745,总览!$D$46:$D$345,1)+1,1),7)=0),$C$3,0),0)</f>
        <v>303.566666666666</v>
      </c>
      <c r="M745" s="131" cm="1">
        <f ca="1" t="array" ref="M745">IF(M1347=1,OFFSET($W$634,$B745,M$631-1)/SUMPRODUCT(--($D$631:$V$631=M$631),--($D1347:$V1347=1)),0)+SUM(M744)+IF(COUNTIF(M$1237:M1347,1)=1,5,0)+IF(COUNTIF(N745:$W745,"&gt;"&amp;0)&lt;5,IF(AND(COUNTIF(M$1237:M1347,1)&gt;7,MOD(1+IFERROR(MATCH($C745,总览!$D$46:$D$345,1)+1,1),7)=0),$C$3,0),0)</f>
        <v>116.324107142857</v>
      </c>
      <c r="N745" s="131" cm="1">
        <f ca="1" t="array" ref="N745">IF(N1347=1,OFFSET($W$634,$B745,N$631-1)/SUMPRODUCT(--($D$631:$V$631=N$631),--($D1347:$V1347=1)),0)+SUM(N744)+IF(COUNTIF(N$1237:N1347,1)=1,5,0)+IF(COUNTIF(O745:$W745,"&gt;"&amp;0)&lt;5,IF(AND(COUNTIF(N$1237:N1347,1)&gt;7,MOD(1+IFERROR(MATCH($C745,总览!$D$46:$D$345,1)+1,1),7)=0),$C$3,0),0)</f>
        <v>117.574107142857</v>
      </c>
      <c r="O745" s="131" cm="1">
        <f ca="1" t="array" ref="O745">IF(O1347=1,OFFSET($W$634,$B745,O$631-1)/SUMPRODUCT(--($D$631:$V$631=O$631),--($D1347:$V1347=1)),0)+SUM(O744)+IF(COUNTIF(O$1237:O1347,1)=1,5,0)+IF(COUNTIF(P745:$W745,"&gt;"&amp;0)&lt;5,IF(AND(COUNTIF(O$1237:O1347,1)&gt;7,MOD(1+IFERROR(MATCH($C745,总览!$D$46:$D$345,1)+1,1),7)=0),$C$3,0),0)</f>
        <v>122.574107142857</v>
      </c>
      <c r="P745" s="131" cm="1">
        <f ca="1" t="array" ref="P745">IF(P1347=1,OFFSET($W$634,$B745,P$631-1)/SUMPRODUCT(--($D$631:$V$631=P$631),--($D1347:$V1347=1)),0)+SUM(P744)+IF(COUNTIF(P$1237:P1347,1)=1,5,0)+IF(COUNTIF(Q745:$W745,"&gt;"&amp;0)&lt;5,IF(AND(COUNTIF(P$1237:P1347,1)&gt;7,MOD(1+IFERROR(MATCH($C745,总览!$D$46:$D$345,1)+1,1),7)=0),$C$3,0),0)</f>
        <v>111.692857142857</v>
      </c>
      <c r="Q745" s="131" cm="1">
        <f ca="1" t="array" ref="Q745">IF(Q1347=1,OFFSET($W$634,$B745,Q$631-1)/SUMPRODUCT(--($D$631:$V$631=Q$631),--($D1347:$V1347=1)),0)+SUM(Q744)+IF(COUNTIF(Q$1237:Q1347,1)=1,5,0)+IF(COUNTIF(R745:$W745,"&gt;"&amp;0)&lt;5,IF(AND(COUNTIF(Q$1237:Q1347,1)&gt;7,MOD(1+IFERROR(MATCH($C745,总览!$D$46:$D$345,1)+1,1),7)=0),$C$3,0),0)</f>
        <v>125.074107142857</v>
      </c>
      <c r="R745" s="131" cm="1">
        <f ca="1" t="array" ref="R745">IF(R1347=1,OFFSET($W$634,$B745,R$631-1)/SUMPRODUCT(--($D$631:$V$631=R$631),--($D1347:$V1347=1)),0)+SUM(R744)+IF(COUNTIF(R$1237:R1347,1)=1,5,0)+IF(COUNTIF(S745:$W745,"&gt;"&amp;0)&lt;5,IF(AND(COUNTIF(R$1237:R1347,1)&gt;7,MOD(1+IFERROR(MATCH($C745,总览!$D$46:$D$345,1)+1,1),7)=0),$C$3,0),0)</f>
        <v>116.692857142857</v>
      </c>
      <c r="S745" s="131" cm="1">
        <f ca="1" t="array" ref="S745">IF(S1347=1,OFFSET($W$634,$B745,S$631-1)/SUMPRODUCT(--($D$631:$V$631=S$631),--($D1347:$V1347=1)),0)+SUM(S744)+IF(COUNTIF(S$1237:S1347,1)=1,5,0)+IF(COUNTIF(T745:$W745,"&gt;"&amp;0)&lt;5,IF(AND(COUNTIF(S$1237:S1347,1)&gt;7,MOD(1+IFERROR(MATCH($C745,总览!$D$46:$D$345,1)+1,1),7)=0),$C$3,0),0)</f>
        <v>159.192857142857</v>
      </c>
      <c r="T745" s="131" cm="1">
        <f ca="1" t="array" ref="T745">IF(T1347=1,OFFSET($W$634,$B745,T$631-1)/SUMPRODUCT(--($D$631:$V$631=T$631),--($D1347:$V1347=1)),0)+SUM(T744)+IF(COUNTIF(T$1237:T1347,1)=1,5,0)+IF(COUNTIF(U745:$W745,"&gt;"&amp;0)&lt;5,IF(AND(COUNTIF(T$1237:T1347,1)&gt;7,MOD(1+IFERROR(MATCH($C745,总览!$D$46:$D$345,1)+1,1),7)=0),$C$3,0),0)</f>
        <v>101.707150269042</v>
      </c>
      <c r="U745" s="131" cm="1">
        <f ca="1" t="array" ref="U745">IF(U1347=1,OFFSET($W$634,$B745,U$631-1)/SUMPRODUCT(--($D$631:$V$631=U$631),--($D1347:$V1347=1)),0)+SUM(U744)+IF(COUNTIF(U$1237:U1347,1)=1,5,0)+IF(COUNTIF(V745:$W745,"&gt;"&amp;0)&lt;5,IF(AND(COUNTIF(U$1237:U1347,1)&gt;7,MOD(1+IFERROR(MATCH($C745,总览!$D$46:$D$345,1)+1,1),7)=0),$C$3,0),0)</f>
        <v>107.227936624341</v>
      </c>
      <c r="V745" s="131" cm="1">
        <f ca="1" t="array" ref="V745">IF(V1347=1,OFFSET($W$634,$B745,V$631-1)/SUMPRODUCT(--($D$631:$V$631=V$631),--($D1347:$V1347=1)),0)+SUM(V744)+IF(COUNTIF(V$1237:V1347,1)=1,5,0)+IF(COUNTIF(W745:$W745,"&gt;"&amp;0)&lt;5,IF(AND(COUNTIF(V$1237:V1347,1)&gt;7,MOD(1+IFERROR(MATCH($C745,总览!$D$46:$D$345,1)+1,1),7)=0),$C$3,0),0)</f>
        <v>127.054936336775</v>
      </c>
      <c r="W745" s="135" cm="1">
        <f ca="1" t="array" ref="W745">SUMPRODUCT(TRANSPOSE($AA745:$AG745),OFFSET($L$9:$L$15,0,W$631-1))</f>
        <v>16.8502200646615</v>
      </c>
      <c r="X745" s="135" cm="1">
        <f ca="1" t="array" ref="X745">SUMPRODUCT(TRANSPOSE($AA745:$AG745),OFFSET($L$9:$L$15,0,X$631-1))</f>
        <v>20</v>
      </c>
      <c r="Y745" s="135" cm="1">
        <f ca="1" t="array" ref="Y745">SUMPRODUCT(TRANSPOSE($AA745:$AG745),OFFSET($L$9:$L$15,0,Y$631-1))</f>
        <v>10</v>
      </c>
      <c r="Z745" s="135" cm="1">
        <f ca="1" t="array" ref="Z745">SUMPRODUCT(TRANSPOSE($AA745:$AG745),OFFSET($L$9:$L$15,0,Z$631-1))</f>
        <v>3.14977993533847</v>
      </c>
      <c r="AA745" s="136">
        <f ca="1" t="shared" ref="AA745:AG745" si="463">AH745-AH744</f>
        <v>0</v>
      </c>
      <c r="AB745" s="136">
        <f ca="1" t="shared" si="463"/>
        <v>0</v>
      </c>
      <c r="AC745" s="136">
        <f ca="1" t="shared" si="463"/>
        <v>0</v>
      </c>
      <c r="AD745" s="136">
        <f ca="1" t="shared" si="463"/>
        <v>0</v>
      </c>
      <c r="AE745" s="136">
        <f ca="1" t="shared" si="463"/>
        <v>0</v>
      </c>
      <c r="AF745" s="136">
        <f ca="1" t="shared" si="463"/>
        <v>100</v>
      </c>
      <c r="AG745" s="136">
        <f ca="1" t="shared" si="463"/>
        <v>0</v>
      </c>
      <c r="AH745" s="136">
        <f ca="1" t="shared" si="371"/>
        <v>450</v>
      </c>
      <c r="AI745" s="136">
        <f ca="1" t="shared" ref="AI745:AN745" si="464">IF($C745&gt;OFFSET($Q$8,MATCH(AI$634,$AH$634:$AN$634,0),0),OFFSET($P$8,MATCH(AI$634,$AH$634:$AN$634,0),0),MAX(0,$C745-OFFSET($Q$8,RIGHT(AI$634,1)-1,0)))</f>
        <v>909</v>
      </c>
      <c r="AJ745" s="136">
        <f ca="1" t="shared" si="464"/>
        <v>1818</v>
      </c>
      <c r="AK745" s="136">
        <f ca="1" t="shared" si="464"/>
        <v>2727</v>
      </c>
      <c r="AL745" s="136">
        <f ca="1" t="shared" si="464"/>
        <v>3636</v>
      </c>
      <c r="AM745" s="136">
        <f ca="1" t="shared" si="464"/>
        <v>1560</v>
      </c>
      <c r="AN745" s="136">
        <f ca="1" t="shared" si="464"/>
        <v>0</v>
      </c>
    </row>
    <row r="746" s="106" customFormat="1" ht="16.5" spans="2:40">
      <c r="B746" s="117">
        <v>112</v>
      </c>
      <c r="C746" s="130">
        <f t="shared" si="369"/>
        <v>11200</v>
      </c>
      <c r="D746" s="131" cm="1">
        <f ca="1" t="array" ref="D746">IF(D1348=1,OFFSET($W$634,$B746,D$631-1)/SUMPRODUCT(--($D$631:$V$631=D$631),--($D1348:$V1348=1)),0)+SUM(D745)+IF(COUNTIF(D$1237:D1348,1)=1,5,0)+IF(COUNTIF(E746:$W746,"&gt;"&amp;0)&lt;5,IF(AND(COUNTIF(D$1237:D1348,1)&gt;7,MOD(1+IFERROR(MATCH($C746,总览!$D$46:$D$345,1)+1,1),7)=0),$C$3,0),0)</f>
        <v>956.778398944835</v>
      </c>
      <c r="E746" s="131" cm="1">
        <f ca="1" t="array" ref="E746">IF(E1348=1,OFFSET($W$634,$B746,E$631-1)/SUMPRODUCT(--($D$631:$V$631=E$631),--($D1348:$V1348=1)),0)+SUM(E745)+IF(COUNTIF(E$1237:E1348,1)=1,5,0)+IF(COUNTIF(F746:$W746,"&gt;"&amp;0)&lt;5,IF(AND(COUNTIF(E$1237:E1348,1)&gt;7,MOD(1+IFERROR(MATCH($C746,总览!$D$46:$D$345,1)+1,1),7)=0),$C$3,0),0)</f>
        <v>956.778398944835</v>
      </c>
      <c r="F746" s="131" cm="1">
        <f ca="1" t="array" ref="F746">IF(F1348=1,OFFSET($W$634,$B746,F$631-1)/SUMPRODUCT(--($D$631:$V$631=F$631),--($D1348:$V1348=1)),0)+SUM(F745)+IF(COUNTIF(F$1237:F1348,1)=1,5,0)+IF(COUNTIF(G746:$W746,"&gt;"&amp;0)&lt;5,IF(AND(COUNTIF(F$1237:F1348,1)&gt;7,MOD(1+IFERROR(MATCH($C746,总览!$D$46:$D$345,1)+1,1),7)=0),$C$3,0),0)</f>
        <v>956.778398944835</v>
      </c>
      <c r="G746" s="131" cm="1">
        <f ca="1" t="array" ref="G746">IF(G1348=1,OFFSET($W$634,$B746,G$631-1)/SUMPRODUCT(--($D$631:$V$631=G$631),--($D1348:$V1348=1)),0)+SUM(G745)+IF(COUNTIF(G$1237:G1348,1)=1,5,0)+IF(COUNTIF(H746:$W746,"&gt;"&amp;0)&lt;5,IF(AND(COUNTIF(G$1237:G1348,1)&gt;7,MOD(1+IFERROR(MATCH($C746,总览!$D$46:$D$345,1)+1,1),7)=0),$C$3,0),0)</f>
        <v>312.733333333333</v>
      </c>
      <c r="H746" s="131" cm="1">
        <f ca="1" t="array" ref="H746">IF(H1348=1,OFFSET($W$634,$B746,H$631-1)/SUMPRODUCT(--($D$631:$V$631=H$631),--($D1348:$V1348=1)),0)+SUM(H745)+IF(COUNTIF(H$1237:H1348,1)=1,5,0)+IF(COUNTIF(I746:$W746,"&gt;"&amp;0)&lt;5,IF(AND(COUNTIF(H$1237:H1348,1)&gt;7,MOD(1+IFERROR(MATCH($C746,总览!$D$46:$D$345,1)+1,1),7)=0),$C$3,0),0)</f>
        <v>312.733333333333</v>
      </c>
      <c r="I746" s="131" cm="1">
        <f ca="1" t="array" ref="I746">IF(I1348=1,OFFSET($W$634,$B746,I$631-1)/SUMPRODUCT(--($D$631:$V$631=I$631),--($D1348:$V1348=1)),0)+SUM(I745)+IF(COUNTIF(I$1237:I1348,1)=1,5,0)+IF(COUNTIF(J746:$W746,"&gt;"&amp;0)&lt;5,IF(AND(COUNTIF(I$1237:I1348,1)&gt;7,MOD(1+IFERROR(MATCH($C746,总览!$D$46:$D$345,1)+1,1),7)=0),$C$3,0),0)</f>
        <v>312.733333333333</v>
      </c>
      <c r="J746" s="131" cm="1">
        <f ca="1" t="array" ref="J746">IF(J1348=1,OFFSET($W$634,$B746,J$631-1)/SUMPRODUCT(--($D$631:$V$631=J$631),--($D1348:$V1348=1)),0)+SUM(J745)+IF(COUNTIF(J$1237:J1348,1)=1,5,0)+IF(COUNTIF(K746:$W746,"&gt;"&amp;0)&lt;5,IF(AND(COUNTIF(J$1237:J1348,1)&gt;7,MOD(1+IFERROR(MATCH($C746,总览!$D$46:$D$345,1)+1,1),7)=0),$C$3,0),0)</f>
        <v>309.4</v>
      </c>
      <c r="K746" s="131" cm="1">
        <f ca="1" t="array" ref="K746">IF(K1348=1,OFFSET($W$634,$B746,K$631-1)/SUMPRODUCT(--($D$631:$V$631=K$631),--($D1348:$V1348=1)),0)+SUM(K745)+IF(COUNTIF(K$1237:K1348,1)=1,5,0)+IF(COUNTIF(L746:$W746,"&gt;"&amp;0)&lt;5,IF(AND(COUNTIF(K$1237:K1348,1)&gt;7,MOD(1+IFERROR(MATCH($C746,总览!$D$46:$D$345,1)+1,1),7)=0),$C$3,0),0)</f>
        <v>306.9</v>
      </c>
      <c r="L746" s="131" cm="1">
        <f ca="1" t="array" ref="L746">IF(L1348=1,OFFSET($W$634,$B746,L$631-1)/SUMPRODUCT(--($D$631:$V$631=L$631),--($D1348:$V1348=1)),0)+SUM(L745)+IF(COUNTIF(L$1237:L1348,1)=1,5,0)+IF(COUNTIF(M746:$W746,"&gt;"&amp;0)&lt;5,IF(AND(COUNTIF(L$1237:L1348,1)&gt;7,MOD(1+IFERROR(MATCH($C746,总览!$D$46:$D$345,1)+1,1),7)=0),$C$3,0),0)</f>
        <v>306.9</v>
      </c>
      <c r="M746" s="131" cm="1">
        <f ca="1" t="array" ref="M746">IF(M1348=1,OFFSET($W$634,$B746,M$631-1)/SUMPRODUCT(--($D$631:$V$631=M$631),--($D1348:$V1348=1)),0)+SUM(M745)+IF(COUNTIF(M$1237:M1348,1)=1,5,0)+IF(COUNTIF(N746:$W746,"&gt;"&amp;0)&lt;5,IF(AND(COUNTIF(M$1237:M1348,1)&gt;7,MOD(1+IFERROR(MATCH($C746,总览!$D$46:$D$345,1)+1,1),7)=0),$C$3,0),0)</f>
        <v>117.752678571428</v>
      </c>
      <c r="N746" s="131" cm="1">
        <f ca="1" t="array" ref="N746">IF(N1348=1,OFFSET($W$634,$B746,N$631-1)/SUMPRODUCT(--($D$631:$V$631=N$631),--($D1348:$V1348=1)),0)+SUM(N745)+IF(COUNTIF(N$1237:N1348,1)=1,5,0)+IF(COUNTIF(O746:$W746,"&gt;"&amp;0)&lt;5,IF(AND(COUNTIF(N$1237:N1348,1)&gt;7,MOD(1+IFERROR(MATCH($C746,总览!$D$46:$D$345,1)+1,1),7)=0),$C$3,0),0)</f>
        <v>119.002678571428</v>
      </c>
      <c r="O746" s="131" cm="1">
        <f ca="1" t="array" ref="O746">IF(O1348=1,OFFSET($W$634,$B746,O$631-1)/SUMPRODUCT(--($D$631:$V$631=O$631),--($D1348:$V1348=1)),0)+SUM(O745)+IF(COUNTIF(O$1237:O1348,1)=1,5,0)+IF(COUNTIF(P746:$W746,"&gt;"&amp;0)&lt;5,IF(AND(COUNTIF(O$1237:O1348,1)&gt;7,MOD(1+IFERROR(MATCH($C746,总览!$D$46:$D$345,1)+1,1),7)=0),$C$3,0),0)</f>
        <v>124.002678571428</v>
      </c>
      <c r="P746" s="131" cm="1">
        <f ca="1" t="array" ref="P746">IF(P1348=1,OFFSET($W$634,$B746,P$631-1)/SUMPRODUCT(--($D$631:$V$631=P$631),--($D1348:$V1348=1)),0)+SUM(P745)+IF(COUNTIF(P$1237:P1348,1)=1,5,0)+IF(COUNTIF(Q746:$W746,"&gt;"&amp;0)&lt;5,IF(AND(COUNTIF(P$1237:P1348,1)&gt;7,MOD(1+IFERROR(MATCH($C746,总览!$D$46:$D$345,1)+1,1),7)=0),$C$3,0),0)</f>
        <v>113.121428571429</v>
      </c>
      <c r="Q746" s="131" cm="1">
        <f ca="1" t="array" ref="Q746">IF(Q1348=1,OFFSET($W$634,$B746,Q$631-1)/SUMPRODUCT(--($D$631:$V$631=Q$631),--($D1348:$V1348=1)),0)+SUM(Q745)+IF(COUNTIF(Q$1237:Q1348,1)=1,5,0)+IF(COUNTIF(R746:$W746,"&gt;"&amp;0)&lt;5,IF(AND(COUNTIF(Q$1237:Q1348,1)&gt;7,MOD(1+IFERROR(MATCH($C746,总览!$D$46:$D$345,1)+1,1),7)=0),$C$3,0),0)</f>
        <v>126.502678571428</v>
      </c>
      <c r="R746" s="131" cm="1">
        <f ca="1" t="array" ref="R746">IF(R1348=1,OFFSET($W$634,$B746,R$631-1)/SUMPRODUCT(--($D$631:$V$631=R$631),--($D1348:$V1348=1)),0)+SUM(R745)+IF(COUNTIF(R$1237:R1348,1)=1,5,0)+IF(COUNTIF(S746:$W746,"&gt;"&amp;0)&lt;5,IF(AND(COUNTIF(R$1237:R1348,1)&gt;7,MOD(1+IFERROR(MATCH($C746,总览!$D$46:$D$345,1)+1,1),7)=0),$C$3,0),0)</f>
        <v>118.121428571428</v>
      </c>
      <c r="S746" s="131" cm="1">
        <f ca="1" t="array" ref="S746">IF(S1348=1,OFFSET($W$634,$B746,S$631-1)/SUMPRODUCT(--($D$631:$V$631=S$631),--($D1348:$V1348=1)),0)+SUM(S745)+IF(COUNTIF(S$1237:S1348,1)=1,5,0)+IF(COUNTIF(T746:$W746,"&gt;"&amp;0)&lt;5,IF(AND(COUNTIF(S$1237:S1348,1)&gt;7,MOD(1+IFERROR(MATCH($C746,总览!$D$46:$D$345,1)+1,1),7)=0),$C$3,0),0)</f>
        <v>160.621428571428</v>
      </c>
      <c r="T746" s="131" cm="1">
        <f ca="1" t="array" ref="T746">IF(T1348=1,OFFSET($W$634,$B746,T$631-1)/SUMPRODUCT(--($D$631:$V$631=T$631),--($D1348:$V1348=1)),0)+SUM(T745)+IF(COUNTIF(T$1237:T1348,1)=1,5,0)+IF(COUNTIF(U746:$W746,"&gt;"&amp;0)&lt;5,IF(AND(COUNTIF(T$1237:T1348,1)&gt;7,MOD(1+IFERROR(MATCH($C746,总览!$D$46:$D$345,1)+1,1),7)=0),$C$3,0),0)</f>
        <v>102.757076914154</v>
      </c>
      <c r="U746" s="131" cm="1">
        <f ca="1" t="array" ref="U746">IF(U1348=1,OFFSET($W$634,$B746,U$631-1)/SUMPRODUCT(--($D$631:$V$631=U$631),--($D1348:$V1348=1)),0)+SUM(U745)+IF(COUNTIF(U$1237:U1348,1)=1,5,0)+IF(COUNTIF(V746:$W746,"&gt;"&amp;0)&lt;5,IF(AND(COUNTIF(U$1237:U1348,1)&gt;7,MOD(1+IFERROR(MATCH($C746,总览!$D$46:$D$345,1)+1,1),7)=0),$C$3,0),0)</f>
        <v>108.277863269454</v>
      </c>
      <c r="V746" s="131" cm="1">
        <f ca="1" t="array" ref="V746">IF(V1348=1,OFFSET($W$634,$B746,V$631-1)/SUMPRODUCT(--($D$631:$V$631=V$631),--($D1348:$V1348=1)),0)+SUM(V745)+IF(COUNTIF(V$1237:V1348,1)=1,5,0)+IF(COUNTIF(W746:$W746,"&gt;"&amp;0)&lt;5,IF(AND(COUNTIF(V$1237:V1348,1)&gt;7,MOD(1+IFERROR(MATCH($C746,总览!$D$46:$D$345,1)+1,1),7)=0),$C$3,0),0)</f>
        <v>128.104862981887</v>
      </c>
      <c r="W746" s="135" cm="1">
        <f ca="1" t="array" ref="W746">SUMPRODUCT(TRANSPOSE($AA746:$AG746),OFFSET($L$9:$L$15,0,W$631-1))</f>
        <v>16.8502200646615</v>
      </c>
      <c r="X746" s="135" cm="1">
        <f ca="1" t="array" ref="X746">SUMPRODUCT(TRANSPOSE($AA746:$AG746),OFFSET($L$9:$L$15,0,X$631-1))</f>
        <v>20</v>
      </c>
      <c r="Y746" s="135" cm="1">
        <f ca="1" t="array" ref="Y746">SUMPRODUCT(TRANSPOSE($AA746:$AG746),OFFSET($L$9:$L$15,0,Y$631-1))</f>
        <v>10</v>
      </c>
      <c r="Z746" s="135" cm="1">
        <f ca="1" t="array" ref="Z746">SUMPRODUCT(TRANSPOSE($AA746:$AG746),OFFSET($L$9:$L$15,0,Z$631-1))</f>
        <v>3.14977993533847</v>
      </c>
      <c r="AA746" s="136">
        <f ca="1" t="shared" ref="AA746:AG746" si="465">AH746-AH745</f>
        <v>0</v>
      </c>
      <c r="AB746" s="136">
        <f ca="1" t="shared" si="465"/>
        <v>0</v>
      </c>
      <c r="AC746" s="136">
        <f ca="1" t="shared" si="465"/>
        <v>0</v>
      </c>
      <c r="AD746" s="136">
        <f ca="1" t="shared" si="465"/>
        <v>0</v>
      </c>
      <c r="AE746" s="136">
        <f ca="1" t="shared" si="465"/>
        <v>0</v>
      </c>
      <c r="AF746" s="136">
        <f ca="1" t="shared" si="465"/>
        <v>100</v>
      </c>
      <c r="AG746" s="136">
        <f ca="1" t="shared" si="465"/>
        <v>0</v>
      </c>
      <c r="AH746" s="136">
        <f ca="1" t="shared" si="371"/>
        <v>450</v>
      </c>
      <c r="AI746" s="136">
        <f ca="1" t="shared" ref="AI746:AN746" si="466">IF($C746&gt;OFFSET($Q$8,MATCH(AI$634,$AH$634:$AN$634,0),0),OFFSET($P$8,MATCH(AI$634,$AH$634:$AN$634,0),0),MAX(0,$C746-OFFSET($Q$8,RIGHT(AI$634,1)-1,0)))</f>
        <v>909</v>
      </c>
      <c r="AJ746" s="136">
        <f ca="1" t="shared" si="466"/>
        <v>1818</v>
      </c>
      <c r="AK746" s="136">
        <f ca="1" t="shared" si="466"/>
        <v>2727</v>
      </c>
      <c r="AL746" s="136">
        <f ca="1" t="shared" si="466"/>
        <v>3636</v>
      </c>
      <c r="AM746" s="136">
        <f ca="1" t="shared" si="466"/>
        <v>1660</v>
      </c>
      <c r="AN746" s="136">
        <f ca="1" t="shared" si="466"/>
        <v>0</v>
      </c>
    </row>
    <row r="747" s="106" customFormat="1" ht="16.5" spans="2:40">
      <c r="B747" s="117">
        <v>113</v>
      </c>
      <c r="C747" s="130">
        <f t="shared" si="369"/>
        <v>11300</v>
      </c>
      <c r="D747" s="131" cm="1">
        <f ca="1" t="array" ref="D747">IF(D1349=1,OFFSET($W$634,$B747,D$631-1)/SUMPRODUCT(--($D$631:$V$631=D$631),--($D1349:$V1349=1)),0)+SUM(D746)+IF(COUNTIF(D$1237:D1349,1)=1,5,0)+IF(COUNTIF(E747:$W747,"&gt;"&amp;0)&lt;5,IF(AND(COUNTIF(D$1237:D1349,1)&gt;7,MOD(1+IFERROR(MATCH($C747,总览!$D$46:$D$345,1)+1,1),7)=0),$C$3,0),0)</f>
        <v>962.395138966389</v>
      </c>
      <c r="E747" s="131" cm="1">
        <f ca="1" t="array" ref="E747">IF(E1349=1,OFFSET($W$634,$B747,E$631-1)/SUMPRODUCT(--($D$631:$V$631=E$631),--($D1349:$V1349=1)),0)+SUM(E746)+IF(COUNTIF(E$1237:E1349,1)=1,5,0)+IF(COUNTIF(F747:$W747,"&gt;"&amp;0)&lt;5,IF(AND(COUNTIF(E$1237:E1349,1)&gt;7,MOD(1+IFERROR(MATCH($C747,总览!$D$46:$D$345,1)+1,1),7)=0),$C$3,0),0)</f>
        <v>962.395138966389</v>
      </c>
      <c r="F747" s="131" cm="1">
        <f ca="1" t="array" ref="F747">IF(F1349=1,OFFSET($W$634,$B747,F$631-1)/SUMPRODUCT(--($D$631:$V$631=F$631),--($D1349:$V1349=1)),0)+SUM(F746)+IF(COUNTIF(F$1237:F1349,1)=1,5,0)+IF(COUNTIF(G747:$W747,"&gt;"&amp;0)&lt;5,IF(AND(COUNTIF(F$1237:F1349,1)&gt;7,MOD(1+IFERROR(MATCH($C747,总览!$D$46:$D$345,1)+1,1),7)=0),$C$3,0),0)</f>
        <v>962.395138966389</v>
      </c>
      <c r="G747" s="131" cm="1">
        <f ca="1" t="array" ref="G747">IF(G1349=1,OFFSET($W$634,$B747,G$631-1)/SUMPRODUCT(--($D$631:$V$631=G$631),--($D1349:$V1349=1)),0)+SUM(G746)+IF(COUNTIF(G$1237:G1349,1)=1,5,0)+IF(COUNTIF(H747:$W747,"&gt;"&amp;0)&lt;5,IF(AND(COUNTIF(G$1237:G1349,1)&gt;7,MOD(1+IFERROR(MATCH($C747,总览!$D$46:$D$345,1)+1,1),7)=0),$C$3,0),0)</f>
        <v>316.066666666666</v>
      </c>
      <c r="H747" s="131" cm="1">
        <f ca="1" t="array" ref="H747">IF(H1349=1,OFFSET($W$634,$B747,H$631-1)/SUMPRODUCT(--($D$631:$V$631=H$631),--($D1349:$V1349=1)),0)+SUM(H746)+IF(COUNTIF(H$1237:H1349,1)=1,5,0)+IF(COUNTIF(I747:$W747,"&gt;"&amp;0)&lt;5,IF(AND(COUNTIF(H$1237:H1349,1)&gt;7,MOD(1+IFERROR(MATCH($C747,总览!$D$46:$D$345,1)+1,1),7)=0),$C$3,0),0)</f>
        <v>316.066666666666</v>
      </c>
      <c r="I747" s="131" cm="1">
        <f ca="1" t="array" ref="I747">IF(I1349=1,OFFSET($W$634,$B747,I$631-1)/SUMPRODUCT(--($D$631:$V$631=I$631),--($D1349:$V1349=1)),0)+SUM(I746)+IF(COUNTIF(I$1237:I1349,1)=1,5,0)+IF(COUNTIF(J747:$W747,"&gt;"&amp;0)&lt;5,IF(AND(COUNTIF(I$1237:I1349,1)&gt;7,MOD(1+IFERROR(MATCH($C747,总览!$D$46:$D$345,1)+1,1),7)=0),$C$3,0),0)</f>
        <v>316.066666666666</v>
      </c>
      <c r="J747" s="131" cm="1">
        <f ca="1" t="array" ref="J747">IF(J1349=1,OFFSET($W$634,$B747,J$631-1)/SUMPRODUCT(--($D$631:$V$631=J$631),--($D1349:$V1349=1)),0)+SUM(J746)+IF(COUNTIF(J$1237:J1349,1)=1,5,0)+IF(COUNTIF(K747:$W747,"&gt;"&amp;0)&lt;5,IF(AND(COUNTIF(J$1237:J1349,1)&gt;7,MOD(1+IFERROR(MATCH($C747,总览!$D$46:$D$345,1)+1,1),7)=0),$C$3,0),0)</f>
        <v>312.733333333333</v>
      </c>
      <c r="K747" s="131" cm="1">
        <f ca="1" t="array" ref="K747">IF(K1349=1,OFFSET($W$634,$B747,K$631-1)/SUMPRODUCT(--($D$631:$V$631=K$631),--($D1349:$V1349=1)),0)+SUM(K746)+IF(COUNTIF(K$1237:K1349,1)=1,5,0)+IF(COUNTIF(L747:$W747,"&gt;"&amp;0)&lt;5,IF(AND(COUNTIF(K$1237:K1349,1)&gt;7,MOD(1+IFERROR(MATCH($C747,总览!$D$46:$D$345,1)+1,1),7)=0),$C$3,0),0)</f>
        <v>310.233333333333</v>
      </c>
      <c r="L747" s="131" cm="1">
        <f ca="1" t="array" ref="L747">IF(L1349=1,OFFSET($W$634,$B747,L$631-1)/SUMPRODUCT(--($D$631:$V$631=L$631),--($D1349:$V1349=1)),0)+SUM(L746)+IF(COUNTIF(L$1237:L1349,1)=1,5,0)+IF(COUNTIF(M747:$W747,"&gt;"&amp;0)&lt;5,IF(AND(COUNTIF(L$1237:L1349,1)&gt;7,MOD(1+IFERROR(MATCH($C747,总览!$D$46:$D$345,1)+1,1),7)=0),$C$3,0),0)</f>
        <v>310.233333333333</v>
      </c>
      <c r="M747" s="131" cm="1">
        <f ca="1" t="array" ref="M747">IF(M1349=1,OFFSET($W$634,$B747,M$631-1)/SUMPRODUCT(--($D$631:$V$631=M$631),--($D1349:$V1349=1)),0)+SUM(M746)+IF(COUNTIF(M$1237:M1349,1)=1,5,0)+IF(COUNTIF(N747:$W747,"&gt;"&amp;0)&lt;5,IF(AND(COUNTIF(M$1237:M1349,1)&gt;7,MOD(1+IFERROR(MATCH($C747,总览!$D$46:$D$345,1)+1,1),7)=0),$C$3,0),0)</f>
        <v>119.18125</v>
      </c>
      <c r="N747" s="131" cm="1">
        <f ca="1" t="array" ref="N747">IF(N1349=1,OFFSET($W$634,$B747,N$631-1)/SUMPRODUCT(--($D$631:$V$631=N$631),--($D1349:$V1349=1)),0)+SUM(N746)+IF(COUNTIF(N$1237:N1349,1)=1,5,0)+IF(COUNTIF(O747:$W747,"&gt;"&amp;0)&lt;5,IF(AND(COUNTIF(N$1237:N1349,1)&gt;7,MOD(1+IFERROR(MATCH($C747,总览!$D$46:$D$345,1)+1,1),7)=0),$C$3,0),0)</f>
        <v>120.43125</v>
      </c>
      <c r="O747" s="131" cm="1">
        <f ca="1" t="array" ref="O747">IF(O1349=1,OFFSET($W$634,$B747,O$631-1)/SUMPRODUCT(--($D$631:$V$631=O$631),--($D1349:$V1349=1)),0)+SUM(O746)+IF(COUNTIF(O$1237:O1349,1)=1,5,0)+IF(COUNTIF(P747:$W747,"&gt;"&amp;0)&lt;5,IF(AND(COUNTIF(O$1237:O1349,1)&gt;7,MOD(1+IFERROR(MATCH($C747,总览!$D$46:$D$345,1)+1,1),7)=0),$C$3,0),0)</f>
        <v>125.43125</v>
      </c>
      <c r="P747" s="131" cm="1">
        <f ca="1" t="array" ref="P747">IF(P1349=1,OFFSET($W$634,$B747,P$631-1)/SUMPRODUCT(--($D$631:$V$631=P$631),--($D1349:$V1349=1)),0)+SUM(P746)+IF(COUNTIF(P$1237:P1349,1)=1,5,0)+IF(COUNTIF(Q747:$W747,"&gt;"&amp;0)&lt;5,IF(AND(COUNTIF(P$1237:P1349,1)&gt;7,MOD(1+IFERROR(MATCH($C747,总览!$D$46:$D$345,1)+1,1),7)=0),$C$3,0),0)</f>
        <v>114.55</v>
      </c>
      <c r="Q747" s="131" cm="1">
        <f ca="1" t="array" ref="Q747">IF(Q1349=1,OFFSET($W$634,$B747,Q$631-1)/SUMPRODUCT(--($D$631:$V$631=Q$631),--($D1349:$V1349=1)),0)+SUM(Q746)+IF(COUNTIF(Q$1237:Q1349,1)=1,5,0)+IF(COUNTIF(R747:$W747,"&gt;"&amp;0)&lt;5,IF(AND(COUNTIF(Q$1237:Q1349,1)&gt;7,MOD(1+IFERROR(MATCH($C747,总览!$D$46:$D$345,1)+1,1),7)=0),$C$3,0),0)</f>
        <v>127.93125</v>
      </c>
      <c r="R747" s="131" cm="1">
        <f ca="1" t="array" ref="R747">IF(R1349=1,OFFSET($W$634,$B747,R$631-1)/SUMPRODUCT(--($D$631:$V$631=R$631),--($D1349:$V1349=1)),0)+SUM(R746)+IF(COUNTIF(R$1237:R1349,1)=1,5,0)+IF(COUNTIF(S747:$W747,"&gt;"&amp;0)&lt;5,IF(AND(COUNTIF(R$1237:R1349,1)&gt;7,MOD(1+IFERROR(MATCH($C747,总览!$D$46:$D$345,1)+1,1),7)=0),$C$3,0),0)</f>
        <v>119.55</v>
      </c>
      <c r="S747" s="131" cm="1">
        <f ca="1" t="array" ref="S747">IF(S1349=1,OFFSET($W$634,$B747,S$631-1)/SUMPRODUCT(--($D$631:$V$631=S$631),--($D1349:$V1349=1)),0)+SUM(S746)+IF(COUNTIF(S$1237:S1349,1)=1,5,0)+IF(COUNTIF(T747:$W747,"&gt;"&amp;0)&lt;5,IF(AND(COUNTIF(S$1237:S1349,1)&gt;7,MOD(1+IFERROR(MATCH($C747,总览!$D$46:$D$345,1)+1,1),7)=0),$C$3,0),0)</f>
        <v>162.05</v>
      </c>
      <c r="T747" s="131" cm="1">
        <f ca="1" t="array" ref="T747">IF(T1349=1,OFFSET($W$634,$B747,T$631-1)/SUMPRODUCT(--($D$631:$V$631=T$631),--($D1349:$V1349=1)),0)+SUM(T746)+IF(COUNTIF(T$1237:T1349,1)=1,5,0)+IF(COUNTIF(U747:$W747,"&gt;"&amp;0)&lt;5,IF(AND(COUNTIF(T$1237:T1349,1)&gt;7,MOD(1+IFERROR(MATCH($C747,总览!$D$46:$D$345,1)+1,1),7)=0),$C$3,0),0)</f>
        <v>103.807003559267</v>
      </c>
      <c r="U747" s="131" cm="1">
        <f ca="1" t="array" ref="U747">IF(U1349=1,OFFSET($W$634,$B747,U$631-1)/SUMPRODUCT(--($D$631:$V$631=U$631),--($D1349:$V1349=1)),0)+SUM(U746)+IF(COUNTIF(U$1237:U1349,1)=1,5,0)+IF(COUNTIF(V747:$W747,"&gt;"&amp;0)&lt;5,IF(AND(COUNTIF(U$1237:U1349,1)&gt;7,MOD(1+IFERROR(MATCH($C747,总览!$D$46:$D$345,1)+1,1),7)=0),$C$3,0),0)</f>
        <v>109.327789914567</v>
      </c>
      <c r="V747" s="131" cm="1">
        <f ca="1" t="array" ref="V747">IF(V1349=1,OFFSET($W$634,$B747,V$631-1)/SUMPRODUCT(--($D$631:$V$631=V$631),--($D1349:$V1349=1)),0)+SUM(V746)+IF(COUNTIF(V$1237:V1349,1)=1,5,0)+IF(COUNTIF(W747:$W747,"&gt;"&amp;0)&lt;5,IF(AND(COUNTIF(V$1237:V1349,1)&gt;7,MOD(1+IFERROR(MATCH($C747,总览!$D$46:$D$345,1)+1,1),7)=0),$C$3,0),0)</f>
        <v>129.154789627</v>
      </c>
      <c r="W747" s="135" cm="1">
        <f ca="1" t="array" ref="W747">SUMPRODUCT(TRANSPOSE($AA747:$AG747),OFFSET($L$9:$L$15,0,W$631-1))</f>
        <v>16.8502200646615</v>
      </c>
      <c r="X747" s="135" cm="1">
        <f ca="1" t="array" ref="X747">SUMPRODUCT(TRANSPOSE($AA747:$AG747),OFFSET($L$9:$L$15,0,X$631-1))</f>
        <v>20</v>
      </c>
      <c r="Y747" s="135" cm="1">
        <f ca="1" t="array" ref="Y747">SUMPRODUCT(TRANSPOSE($AA747:$AG747),OFFSET($L$9:$L$15,0,Y$631-1))</f>
        <v>10</v>
      </c>
      <c r="Z747" s="135" cm="1">
        <f ca="1" t="array" ref="Z747">SUMPRODUCT(TRANSPOSE($AA747:$AG747),OFFSET($L$9:$L$15,0,Z$631-1))</f>
        <v>3.14977993533847</v>
      </c>
      <c r="AA747" s="136">
        <f ca="1" t="shared" ref="AA747:AG747" si="467">AH747-AH746</f>
        <v>0</v>
      </c>
      <c r="AB747" s="136">
        <f ca="1" t="shared" si="467"/>
        <v>0</v>
      </c>
      <c r="AC747" s="136">
        <f ca="1" t="shared" si="467"/>
        <v>0</v>
      </c>
      <c r="AD747" s="136">
        <f ca="1" t="shared" si="467"/>
        <v>0</v>
      </c>
      <c r="AE747" s="136">
        <f ca="1" t="shared" si="467"/>
        <v>0</v>
      </c>
      <c r="AF747" s="136">
        <f ca="1" t="shared" si="467"/>
        <v>100</v>
      </c>
      <c r="AG747" s="136">
        <f ca="1" t="shared" si="467"/>
        <v>0</v>
      </c>
      <c r="AH747" s="136">
        <f ca="1" t="shared" si="371"/>
        <v>450</v>
      </c>
      <c r="AI747" s="136">
        <f ca="1" t="shared" ref="AI747:AN747" si="468">IF($C747&gt;OFFSET($Q$8,MATCH(AI$634,$AH$634:$AN$634,0),0),OFFSET($P$8,MATCH(AI$634,$AH$634:$AN$634,0),0),MAX(0,$C747-OFFSET($Q$8,RIGHT(AI$634,1)-1,0)))</f>
        <v>909</v>
      </c>
      <c r="AJ747" s="136">
        <f ca="1" t="shared" si="468"/>
        <v>1818</v>
      </c>
      <c r="AK747" s="136">
        <f ca="1" t="shared" si="468"/>
        <v>2727</v>
      </c>
      <c r="AL747" s="136">
        <f ca="1" t="shared" si="468"/>
        <v>3636</v>
      </c>
      <c r="AM747" s="136">
        <f ca="1" t="shared" si="468"/>
        <v>1760</v>
      </c>
      <c r="AN747" s="136">
        <f ca="1" t="shared" si="468"/>
        <v>0</v>
      </c>
    </row>
    <row r="748" s="106" customFormat="1" ht="16.5" spans="2:40">
      <c r="B748" s="117">
        <v>114</v>
      </c>
      <c r="C748" s="130">
        <f t="shared" si="369"/>
        <v>11400</v>
      </c>
      <c r="D748" s="131" cm="1">
        <f ca="1" t="array" ref="D748">IF(D1350=1,OFFSET($W$634,$B748,D$631-1)/SUMPRODUCT(--($D$631:$V$631=D$631),--($D1350:$V1350=1)),0)+SUM(D747)+IF(COUNTIF(D$1237:D1350,1)=1,5,0)+IF(COUNTIF(E748:$W748,"&gt;"&amp;0)&lt;5,IF(AND(COUNTIF(D$1237:D1350,1)&gt;7,MOD(1+IFERROR(MATCH($C748,总览!$D$46:$D$345,1)+1,1),7)=0),$C$3,0),0)</f>
        <v>968.011878987942</v>
      </c>
      <c r="E748" s="131" cm="1">
        <f ca="1" t="array" ref="E748">IF(E1350=1,OFFSET($W$634,$B748,E$631-1)/SUMPRODUCT(--($D$631:$V$631=E$631),--($D1350:$V1350=1)),0)+SUM(E747)+IF(COUNTIF(E$1237:E1350,1)=1,5,0)+IF(COUNTIF(F748:$W748,"&gt;"&amp;0)&lt;5,IF(AND(COUNTIF(E$1237:E1350,1)&gt;7,MOD(1+IFERROR(MATCH($C748,总览!$D$46:$D$345,1)+1,1),7)=0),$C$3,0),0)</f>
        <v>968.011878987942</v>
      </c>
      <c r="F748" s="131" cm="1">
        <f ca="1" t="array" ref="F748">IF(F1350=1,OFFSET($W$634,$B748,F$631-1)/SUMPRODUCT(--($D$631:$V$631=F$631),--($D1350:$V1350=1)),0)+SUM(F747)+IF(COUNTIF(F$1237:F1350,1)=1,5,0)+IF(COUNTIF(G748:$W748,"&gt;"&amp;0)&lt;5,IF(AND(COUNTIF(F$1237:F1350,1)&gt;7,MOD(1+IFERROR(MATCH($C748,总览!$D$46:$D$345,1)+1,1),7)=0),$C$3,0),0)</f>
        <v>968.011878987942</v>
      </c>
      <c r="G748" s="131" cm="1">
        <f ca="1" t="array" ref="G748">IF(G1350=1,OFFSET($W$634,$B748,G$631-1)/SUMPRODUCT(--($D$631:$V$631=G$631),--($D1350:$V1350=1)),0)+SUM(G747)+IF(COUNTIF(G$1237:G1350,1)=1,5,0)+IF(COUNTIF(H748:$W748,"&gt;"&amp;0)&lt;5,IF(AND(COUNTIF(G$1237:G1350,1)&gt;7,MOD(1+IFERROR(MATCH($C748,总览!$D$46:$D$345,1)+1,1),7)=0),$C$3,0),0)</f>
        <v>319.4</v>
      </c>
      <c r="H748" s="131" cm="1">
        <f ca="1" t="array" ref="H748">IF(H1350=1,OFFSET($W$634,$B748,H$631-1)/SUMPRODUCT(--($D$631:$V$631=H$631),--($D1350:$V1350=1)),0)+SUM(H747)+IF(COUNTIF(H$1237:H1350,1)=1,5,0)+IF(COUNTIF(I748:$W748,"&gt;"&amp;0)&lt;5,IF(AND(COUNTIF(H$1237:H1350,1)&gt;7,MOD(1+IFERROR(MATCH($C748,总览!$D$46:$D$345,1)+1,1),7)=0),$C$3,0),0)</f>
        <v>319.4</v>
      </c>
      <c r="I748" s="131" cm="1">
        <f ca="1" t="array" ref="I748">IF(I1350=1,OFFSET($W$634,$B748,I$631-1)/SUMPRODUCT(--($D$631:$V$631=I$631),--($D1350:$V1350=1)),0)+SUM(I747)+IF(COUNTIF(I$1237:I1350,1)=1,5,0)+IF(COUNTIF(J748:$W748,"&gt;"&amp;0)&lt;5,IF(AND(COUNTIF(I$1237:I1350,1)&gt;7,MOD(1+IFERROR(MATCH($C748,总览!$D$46:$D$345,1)+1,1),7)=0),$C$3,0),0)</f>
        <v>319.4</v>
      </c>
      <c r="J748" s="131" cm="1">
        <f ca="1" t="array" ref="J748">IF(J1350=1,OFFSET($W$634,$B748,J$631-1)/SUMPRODUCT(--($D$631:$V$631=J$631),--($D1350:$V1350=1)),0)+SUM(J747)+IF(COUNTIF(J$1237:J1350,1)=1,5,0)+IF(COUNTIF(K748:$W748,"&gt;"&amp;0)&lt;5,IF(AND(COUNTIF(J$1237:J1350,1)&gt;7,MOD(1+IFERROR(MATCH($C748,总览!$D$46:$D$345,1)+1,1),7)=0),$C$3,0),0)</f>
        <v>316.066666666666</v>
      </c>
      <c r="K748" s="131" cm="1">
        <f ca="1" t="array" ref="K748">IF(K1350=1,OFFSET($W$634,$B748,K$631-1)/SUMPRODUCT(--($D$631:$V$631=K$631),--($D1350:$V1350=1)),0)+SUM(K747)+IF(COUNTIF(K$1237:K1350,1)=1,5,0)+IF(COUNTIF(L748:$W748,"&gt;"&amp;0)&lt;5,IF(AND(COUNTIF(K$1237:K1350,1)&gt;7,MOD(1+IFERROR(MATCH($C748,总览!$D$46:$D$345,1)+1,1),7)=0),$C$3,0),0)</f>
        <v>313.566666666666</v>
      </c>
      <c r="L748" s="131" cm="1">
        <f ca="1" t="array" ref="L748">IF(L1350=1,OFFSET($W$634,$B748,L$631-1)/SUMPRODUCT(--($D$631:$V$631=L$631),--($D1350:$V1350=1)),0)+SUM(L747)+IF(COUNTIF(L$1237:L1350,1)=1,5,0)+IF(COUNTIF(M748:$W748,"&gt;"&amp;0)&lt;5,IF(AND(COUNTIF(L$1237:L1350,1)&gt;7,MOD(1+IFERROR(MATCH($C748,总览!$D$46:$D$345,1)+1,1),7)=0),$C$3,0),0)</f>
        <v>313.566666666666</v>
      </c>
      <c r="M748" s="131" cm="1">
        <f ca="1" t="array" ref="M748">IF(M1350=1,OFFSET($W$634,$B748,M$631-1)/SUMPRODUCT(--($D$631:$V$631=M$631),--($D1350:$V1350=1)),0)+SUM(M747)+IF(COUNTIF(M$1237:M1350,1)=1,5,0)+IF(COUNTIF(N748:$W748,"&gt;"&amp;0)&lt;5,IF(AND(COUNTIF(M$1237:M1350,1)&gt;7,MOD(1+IFERROR(MATCH($C748,总览!$D$46:$D$345,1)+1,1),7)=0),$C$3,0),0)</f>
        <v>120.609821428571</v>
      </c>
      <c r="N748" s="131" cm="1">
        <f ca="1" t="array" ref="N748">IF(N1350=1,OFFSET($W$634,$B748,N$631-1)/SUMPRODUCT(--($D$631:$V$631=N$631),--($D1350:$V1350=1)),0)+SUM(N747)+IF(COUNTIF(N$1237:N1350,1)=1,5,0)+IF(COUNTIF(O748:$W748,"&gt;"&amp;0)&lt;5,IF(AND(COUNTIF(N$1237:N1350,1)&gt;7,MOD(1+IFERROR(MATCH($C748,总览!$D$46:$D$345,1)+1,1),7)=0),$C$3,0),0)</f>
        <v>121.859821428571</v>
      </c>
      <c r="O748" s="131" cm="1">
        <f ca="1" t="array" ref="O748">IF(O1350=1,OFFSET($W$634,$B748,O$631-1)/SUMPRODUCT(--($D$631:$V$631=O$631),--($D1350:$V1350=1)),0)+SUM(O747)+IF(COUNTIF(O$1237:O1350,1)=1,5,0)+IF(COUNTIF(P748:$W748,"&gt;"&amp;0)&lt;5,IF(AND(COUNTIF(O$1237:O1350,1)&gt;7,MOD(1+IFERROR(MATCH($C748,总览!$D$46:$D$345,1)+1,1),7)=0),$C$3,0),0)</f>
        <v>126.859821428571</v>
      </c>
      <c r="P748" s="131" cm="1">
        <f ca="1" t="array" ref="P748">IF(P1350=1,OFFSET($W$634,$B748,P$631-1)/SUMPRODUCT(--($D$631:$V$631=P$631),--($D1350:$V1350=1)),0)+SUM(P747)+IF(COUNTIF(P$1237:P1350,1)=1,5,0)+IF(COUNTIF(Q748:$W748,"&gt;"&amp;0)&lt;5,IF(AND(COUNTIF(P$1237:P1350,1)&gt;7,MOD(1+IFERROR(MATCH($C748,总览!$D$46:$D$345,1)+1,1),7)=0),$C$3,0),0)</f>
        <v>115.978571428571</v>
      </c>
      <c r="Q748" s="131" cm="1">
        <f ca="1" t="array" ref="Q748">IF(Q1350=1,OFFSET($W$634,$B748,Q$631-1)/SUMPRODUCT(--($D$631:$V$631=Q$631),--($D1350:$V1350=1)),0)+SUM(Q747)+IF(COUNTIF(Q$1237:Q1350,1)=1,5,0)+IF(COUNTIF(R748:$W748,"&gt;"&amp;0)&lt;5,IF(AND(COUNTIF(Q$1237:Q1350,1)&gt;7,MOD(1+IFERROR(MATCH($C748,总览!$D$46:$D$345,1)+1,1),7)=0),$C$3,0),0)</f>
        <v>129.359821428571</v>
      </c>
      <c r="R748" s="131" cm="1">
        <f ca="1" t="array" ref="R748">IF(R1350=1,OFFSET($W$634,$B748,R$631-1)/SUMPRODUCT(--($D$631:$V$631=R$631),--($D1350:$V1350=1)),0)+SUM(R747)+IF(COUNTIF(R$1237:R1350,1)=1,5,0)+IF(COUNTIF(S748:$W748,"&gt;"&amp;0)&lt;5,IF(AND(COUNTIF(R$1237:R1350,1)&gt;7,MOD(1+IFERROR(MATCH($C748,总览!$D$46:$D$345,1)+1,1),7)=0),$C$3,0),0)</f>
        <v>120.978571428571</v>
      </c>
      <c r="S748" s="131" cm="1">
        <f ca="1" t="array" ref="S748">IF(S1350=1,OFFSET($W$634,$B748,S$631-1)/SUMPRODUCT(--($D$631:$V$631=S$631),--($D1350:$V1350=1)),0)+SUM(S747)+IF(COUNTIF(S$1237:S1350,1)=1,5,0)+IF(COUNTIF(T748:$W748,"&gt;"&amp;0)&lt;5,IF(AND(COUNTIF(S$1237:S1350,1)&gt;7,MOD(1+IFERROR(MATCH($C748,总览!$D$46:$D$345,1)+1,1),7)=0),$C$3,0),0)</f>
        <v>163.478571428571</v>
      </c>
      <c r="T748" s="131" cm="1">
        <f ca="1" t="array" ref="T748">IF(T1350=1,OFFSET($W$634,$B748,T$631-1)/SUMPRODUCT(--($D$631:$V$631=T$631),--($D1350:$V1350=1)),0)+SUM(T747)+IF(COUNTIF(T$1237:T1350,1)=1,5,0)+IF(COUNTIF(U748:$W748,"&gt;"&amp;0)&lt;5,IF(AND(COUNTIF(T$1237:T1350,1)&gt;7,MOD(1+IFERROR(MATCH($C748,总览!$D$46:$D$345,1)+1,1),7)=0),$C$3,0),0)</f>
        <v>104.85693020438</v>
      </c>
      <c r="U748" s="131" cm="1">
        <f ca="1" t="array" ref="U748">IF(U1350=1,OFFSET($W$634,$B748,U$631-1)/SUMPRODUCT(--($D$631:$V$631=U$631),--($D1350:$V1350=1)),0)+SUM(U747)+IF(COUNTIF(U$1237:U1350,1)=1,5,0)+IF(COUNTIF(V748:$W748,"&gt;"&amp;0)&lt;5,IF(AND(COUNTIF(U$1237:U1350,1)&gt;7,MOD(1+IFERROR(MATCH($C748,总览!$D$46:$D$345,1)+1,1),7)=0),$C$3,0),0)</f>
        <v>110.37771655968</v>
      </c>
      <c r="V748" s="131" cm="1">
        <f ca="1" t="array" ref="V748">IF(V1350=1,OFFSET($W$634,$B748,V$631-1)/SUMPRODUCT(--($D$631:$V$631=V$631),--($D1350:$V1350=1)),0)+SUM(V747)+IF(COUNTIF(V$1237:V1350,1)=1,5,0)+IF(COUNTIF(W748:$W748,"&gt;"&amp;0)&lt;5,IF(AND(COUNTIF(V$1237:V1350,1)&gt;7,MOD(1+IFERROR(MATCH($C748,总览!$D$46:$D$345,1)+1,1),7)=0),$C$3,0),0)</f>
        <v>130.204716272113</v>
      </c>
      <c r="W748" s="135" cm="1">
        <f ca="1" t="array" ref="W748">SUMPRODUCT(TRANSPOSE($AA748:$AG748),OFFSET($L$9:$L$15,0,W$631-1))</f>
        <v>16.8502200646615</v>
      </c>
      <c r="X748" s="135" cm="1">
        <f ca="1" t="array" ref="X748">SUMPRODUCT(TRANSPOSE($AA748:$AG748),OFFSET($L$9:$L$15,0,X$631-1))</f>
        <v>20</v>
      </c>
      <c r="Y748" s="135" cm="1">
        <f ca="1" t="array" ref="Y748">SUMPRODUCT(TRANSPOSE($AA748:$AG748),OFFSET($L$9:$L$15,0,Y$631-1))</f>
        <v>10</v>
      </c>
      <c r="Z748" s="135" cm="1">
        <f ca="1" t="array" ref="Z748">SUMPRODUCT(TRANSPOSE($AA748:$AG748),OFFSET($L$9:$L$15,0,Z$631-1))</f>
        <v>3.14977993533847</v>
      </c>
      <c r="AA748" s="136">
        <f ca="1" t="shared" ref="AA748:AG748" si="469">AH748-AH747</f>
        <v>0</v>
      </c>
      <c r="AB748" s="136">
        <f ca="1" t="shared" si="469"/>
        <v>0</v>
      </c>
      <c r="AC748" s="136">
        <f ca="1" t="shared" si="469"/>
        <v>0</v>
      </c>
      <c r="AD748" s="136">
        <f ca="1" t="shared" si="469"/>
        <v>0</v>
      </c>
      <c r="AE748" s="136">
        <f ca="1" t="shared" si="469"/>
        <v>0</v>
      </c>
      <c r="AF748" s="136">
        <f ca="1" t="shared" si="469"/>
        <v>100</v>
      </c>
      <c r="AG748" s="136">
        <f ca="1" t="shared" si="469"/>
        <v>0</v>
      </c>
      <c r="AH748" s="136">
        <f ca="1" t="shared" si="371"/>
        <v>450</v>
      </c>
      <c r="AI748" s="136">
        <f ca="1" t="shared" ref="AI748:AN748" si="470">IF($C748&gt;OFFSET($Q$8,MATCH(AI$634,$AH$634:$AN$634,0),0),OFFSET($P$8,MATCH(AI$634,$AH$634:$AN$634,0),0),MAX(0,$C748-OFFSET($Q$8,RIGHT(AI$634,1)-1,0)))</f>
        <v>909</v>
      </c>
      <c r="AJ748" s="136">
        <f ca="1" t="shared" si="470"/>
        <v>1818</v>
      </c>
      <c r="AK748" s="136">
        <f ca="1" t="shared" si="470"/>
        <v>2727</v>
      </c>
      <c r="AL748" s="136">
        <f ca="1" t="shared" si="470"/>
        <v>3636</v>
      </c>
      <c r="AM748" s="136">
        <f ca="1" t="shared" si="470"/>
        <v>1860</v>
      </c>
      <c r="AN748" s="136">
        <f ca="1" t="shared" si="470"/>
        <v>0</v>
      </c>
    </row>
    <row r="749" s="106" customFormat="1" ht="16.5" spans="2:40">
      <c r="B749" s="117">
        <v>115</v>
      </c>
      <c r="C749" s="130">
        <f t="shared" si="369"/>
        <v>11500</v>
      </c>
      <c r="D749" s="131" cm="1">
        <f ca="1" t="array" ref="D749">IF(D1351=1,OFFSET($W$634,$B749,D$631-1)/SUMPRODUCT(--($D$631:$V$631=D$631),--($D1351:$V1351=1)),0)+SUM(D748)+IF(COUNTIF(D$1237:D1351,1)=1,5,0)+IF(COUNTIF(E749:$W749,"&gt;"&amp;0)&lt;5,IF(AND(COUNTIF(D$1237:D1351,1)&gt;7,MOD(1+IFERROR(MATCH($C749,总览!$D$46:$D$345,1)+1,1),7)=0),$C$3,0),0)</f>
        <v>973.628619009496</v>
      </c>
      <c r="E749" s="131" cm="1">
        <f ca="1" t="array" ref="E749">IF(E1351=1,OFFSET($W$634,$B749,E$631-1)/SUMPRODUCT(--($D$631:$V$631=E$631),--($D1351:$V1351=1)),0)+SUM(E748)+IF(COUNTIF(E$1237:E1351,1)=1,5,0)+IF(COUNTIF(F749:$W749,"&gt;"&amp;0)&lt;5,IF(AND(COUNTIF(E$1237:E1351,1)&gt;7,MOD(1+IFERROR(MATCH($C749,总览!$D$46:$D$345,1)+1,1),7)=0),$C$3,0),0)</f>
        <v>973.628619009496</v>
      </c>
      <c r="F749" s="131" cm="1">
        <f ca="1" t="array" ref="F749">IF(F1351=1,OFFSET($W$634,$B749,F$631-1)/SUMPRODUCT(--($D$631:$V$631=F$631),--($D1351:$V1351=1)),0)+SUM(F748)+IF(COUNTIF(F$1237:F1351,1)=1,5,0)+IF(COUNTIF(G749:$W749,"&gt;"&amp;0)&lt;5,IF(AND(COUNTIF(F$1237:F1351,1)&gt;7,MOD(1+IFERROR(MATCH($C749,总览!$D$46:$D$345,1)+1,1),7)=0),$C$3,0),0)</f>
        <v>973.628619009496</v>
      </c>
      <c r="G749" s="131" cm="1">
        <f ca="1" t="array" ref="G749">IF(G1351=1,OFFSET($W$634,$B749,G$631-1)/SUMPRODUCT(--($D$631:$V$631=G$631),--($D1351:$V1351=1)),0)+SUM(G748)+IF(COUNTIF(G$1237:G1351,1)=1,5,0)+IF(COUNTIF(H749:$W749,"&gt;"&amp;0)&lt;5,IF(AND(COUNTIF(G$1237:G1351,1)&gt;7,MOD(1+IFERROR(MATCH($C749,总览!$D$46:$D$345,1)+1,1),7)=0),$C$3,0),0)</f>
        <v>322.733333333333</v>
      </c>
      <c r="H749" s="131" cm="1">
        <f ca="1" t="array" ref="H749">IF(H1351=1,OFFSET($W$634,$B749,H$631-1)/SUMPRODUCT(--($D$631:$V$631=H$631),--($D1351:$V1351=1)),0)+SUM(H748)+IF(COUNTIF(H$1237:H1351,1)=1,5,0)+IF(COUNTIF(I749:$W749,"&gt;"&amp;0)&lt;5,IF(AND(COUNTIF(H$1237:H1351,1)&gt;7,MOD(1+IFERROR(MATCH($C749,总览!$D$46:$D$345,1)+1,1),7)=0),$C$3,0),0)</f>
        <v>322.733333333333</v>
      </c>
      <c r="I749" s="131" cm="1">
        <f ca="1" t="array" ref="I749">IF(I1351=1,OFFSET($W$634,$B749,I$631-1)/SUMPRODUCT(--($D$631:$V$631=I$631),--($D1351:$V1351=1)),0)+SUM(I748)+IF(COUNTIF(I$1237:I1351,1)=1,5,0)+IF(COUNTIF(J749:$W749,"&gt;"&amp;0)&lt;5,IF(AND(COUNTIF(I$1237:I1351,1)&gt;7,MOD(1+IFERROR(MATCH($C749,总览!$D$46:$D$345,1)+1,1),7)=0),$C$3,0),0)</f>
        <v>322.733333333333</v>
      </c>
      <c r="J749" s="131" cm="1">
        <f ca="1" t="array" ref="J749">IF(J1351=1,OFFSET($W$634,$B749,J$631-1)/SUMPRODUCT(--($D$631:$V$631=J$631),--($D1351:$V1351=1)),0)+SUM(J748)+IF(COUNTIF(J$1237:J1351,1)=1,5,0)+IF(COUNTIF(K749:$W749,"&gt;"&amp;0)&lt;5,IF(AND(COUNTIF(J$1237:J1351,1)&gt;7,MOD(1+IFERROR(MATCH($C749,总览!$D$46:$D$345,1)+1,1),7)=0),$C$3,0),0)</f>
        <v>319.4</v>
      </c>
      <c r="K749" s="131" cm="1">
        <f ca="1" t="array" ref="K749">IF(K1351=1,OFFSET($W$634,$B749,K$631-1)/SUMPRODUCT(--($D$631:$V$631=K$631),--($D1351:$V1351=1)),0)+SUM(K748)+IF(COUNTIF(K$1237:K1351,1)=1,5,0)+IF(COUNTIF(L749:$W749,"&gt;"&amp;0)&lt;5,IF(AND(COUNTIF(K$1237:K1351,1)&gt;7,MOD(1+IFERROR(MATCH($C749,总览!$D$46:$D$345,1)+1,1),7)=0),$C$3,0),0)</f>
        <v>316.9</v>
      </c>
      <c r="L749" s="131" cm="1">
        <f ca="1" t="array" ref="L749">IF(L1351=1,OFFSET($W$634,$B749,L$631-1)/SUMPRODUCT(--($D$631:$V$631=L$631),--($D1351:$V1351=1)),0)+SUM(L748)+IF(COUNTIF(L$1237:L1351,1)=1,5,0)+IF(COUNTIF(M749:$W749,"&gt;"&amp;0)&lt;5,IF(AND(COUNTIF(L$1237:L1351,1)&gt;7,MOD(1+IFERROR(MATCH($C749,总览!$D$46:$D$345,1)+1,1),7)=0),$C$3,0),0)</f>
        <v>316.9</v>
      </c>
      <c r="M749" s="131" cm="1">
        <f ca="1" t="array" ref="M749">IF(M1351=1,OFFSET($W$634,$B749,M$631-1)/SUMPRODUCT(--($D$631:$V$631=M$631),--($D1351:$V1351=1)),0)+SUM(M748)+IF(COUNTIF(M$1237:M1351,1)=1,5,0)+IF(COUNTIF(N749:$W749,"&gt;"&amp;0)&lt;5,IF(AND(COUNTIF(M$1237:M1351,1)&gt;7,MOD(1+IFERROR(MATCH($C749,总览!$D$46:$D$345,1)+1,1),7)=0),$C$3,0),0)</f>
        <v>122.038392857143</v>
      </c>
      <c r="N749" s="131" cm="1">
        <f ca="1" t="array" ref="N749">IF(N1351=1,OFFSET($W$634,$B749,N$631-1)/SUMPRODUCT(--($D$631:$V$631=N$631),--($D1351:$V1351=1)),0)+SUM(N748)+IF(COUNTIF(N$1237:N1351,1)=1,5,0)+IF(COUNTIF(O749:$W749,"&gt;"&amp;0)&lt;5,IF(AND(COUNTIF(N$1237:N1351,1)&gt;7,MOD(1+IFERROR(MATCH($C749,总览!$D$46:$D$345,1)+1,1),7)=0),$C$3,0),0)</f>
        <v>123.288392857143</v>
      </c>
      <c r="O749" s="131" cm="1">
        <f ca="1" t="array" ref="O749">IF(O1351=1,OFFSET($W$634,$B749,O$631-1)/SUMPRODUCT(--($D$631:$V$631=O$631),--($D1351:$V1351=1)),0)+SUM(O748)+IF(COUNTIF(O$1237:O1351,1)=1,5,0)+IF(COUNTIF(P749:$W749,"&gt;"&amp;0)&lt;5,IF(AND(COUNTIF(O$1237:O1351,1)&gt;7,MOD(1+IFERROR(MATCH($C749,总览!$D$46:$D$345,1)+1,1),7)=0),$C$3,0),0)</f>
        <v>128.288392857143</v>
      </c>
      <c r="P749" s="131" cm="1">
        <f ca="1" t="array" ref="P749">IF(P1351=1,OFFSET($W$634,$B749,P$631-1)/SUMPRODUCT(--($D$631:$V$631=P$631),--($D1351:$V1351=1)),0)+SUM(P748)+IF(COUNTIF(P$1237:P1351,1)=1,5,0)+IF(COUNTIF(Q749:$W749,"&gt;"&amp;0)&lt;5,IF(AND(COUNTIF(P$1237:P1351,1)&gt;7,MOD(1+IFERROR(MATCH($C749,总览!$D$46:$D$345,1)+1,1),7)=0),$C$3,0),0)</f>
        <v>117.407142857143</v>
      </c>
      <c r="Q749" s="131" cm="1">
        <f ca="1" t="array" ref="Q749">IF(Q1351=1,OFFSET($W$634,$B749,Q$631-1)/SUMPRODUCT(--($D$631:$V$631=Q$631),--($D1351:$V1351=1)),0)+SUM(Q748)+IF(COUNTIF(Q$1237:Q1351,1)=1,5,0)+IF(COUNTIF(R749:$W749,"&gt;"&amp;0)&lt;5,IF(AND(COUNTIF(Q$1237:Q1351,1)&gt;7,MOD(1+IFERROR(MATCH($C749,总览!$D$46:$D$345,1)+1,1),7)=0),$C$3,0),0)</f>
        <v>130.788392857143</v>
      </c>
      <c r="R749" s="131" cm="1">
        <f ca="1" t="array" ref="R749">IF(R1351=1,OFFSET($W$634,$B749,R$631-1)/SUMPRODUCT(--($D$631:$V$631=R$631),--($D1351:$V1351=1)),0)+SUM(R748)+IF(COUNTIF(R$1237:R1351,1)=1,5,0)+IF(COUNTIF(S749:$W749,"&gt;"&amp;0)&lt;5,IF(AND(COUNTIF(R$1237:R1351,1)&gt;7,MOD(1+IFERROR(MATCH($C749,总览!$D$46:$D$345,1)+1,1),7)=0),$C$3,0),0)</f>
        <v>122.407142857143</v>
      </c>
      <c r="S749" s="131" cm="1">
        <f ca="1" t="array" ref="S749">IF(S1351=1,OFFSET($W$634,$B749,S$631-1)/SUMPRODUCT(--($D$631:$V$631=S$631),--($D1351:$V1351=1)),0)+SUM(S748)+IF(COUNTIF(S$1237:S1351,1)=1,5,0)+IF(COUNTIF(T749:$W749,"&gt;"&amp;0)&lt;5,IF(AND(COUNTIF(S$1237:S1351,1)&gt;7,MOD(1+IFERROR(MATCH($C749,总览!$D$46:$D$345,1)+1,1),7)=0),$C$3,0),0)</f>
        <v>164.907142857143</v>
      </c>
      <c r="T749" s="131" cm="1">
        <f ca="1" t="array" ref="T749">IF(T1351=1,OFFSET($W$634,$B749,T$631-1)/SUMPRODUCT(--($D$631:$V$631=T$631),--($D1351:$V1351=1)),0)+SUM(T748)+IF(COUNTIF(T$1237:T1351,1)=1,5,0)+IF(COUNTIF(U749:$W749,"&gt;"&amp;0)&lt;5,IF(AND(COUNTIF(T$1237:T1351,1)&gt;7,MOD(1+IFERROR(MATCH($C749,总览!$D$46:$D$345,1)+1,1),7)=0),$C$3,0),0)</f>
        <v>105.906856849493</v>
      </c>
      <c r="U749" s="131" cm="1">
        <f ca="1" t="array" ref="U749">IF(U1351=1,OFFSET($W$634,$B749,U$631-1)/SUMPRODUCT(--($D$631:$V$631=U$631),--($D1351:$V1351=1)),0)+SUM(U748)+IF(COUNTIF(U$1237:U1351,1)=1,5,0)+IF(COUNTIF(V749:$W749,"&gt;"&amp;0)&lt;5,IF(AND(COUNTIF(U$1237:U1351,1)&gt;7,MOD(1+IFERROR(MATCH($C749,总览!$D$46:$D$345,1)+1,1),7)=0),$C$3,0),0)</f>
        <v>111.427643204793</v>
      </c>
      <c r="V749" s="131" cm="1">
        <f ca="1" t="array" ref="V749">IF(V1351=1,OFFSET($W$634,$B749,V$631-1)/SUMPRODUCT(--($D$631:$V$631=V$631),--($D1351:$V1351=1)),0)+SUM(V748)+IF(COUNTIF(V$1237:V1351,1)=1,5,0)+IF(COUNTIF(W749:$W749,"&gt;"&amp;0)&lt;5,IF(AND(COUNTIF(V$1237:V1351,1)&gt;7,MOD(1+IFERROR(MATCH($C749,总览!$D$46:$D$345,1)+1,1),7)=0),$C$3,0),0)</f>
        <v>131.254642917226</v>
      </c>
      <c r="W749" s="135" cm="1">
        <f ca="1" t="array" ref="W749">SUMPRODUCT(TRANSPOSE($AA749:$AG749),OFFSET($L$9:$L$15,0,W$631-1))</f>
        <v>16.8502200646615</v>
      </c>
      <c r="X749" s="135" cm="1">
        <f ca="1" t="array" ref="X749">SUMPRODUCT(TRANSPOSE($AA749:$AG749),OFFSET($L$9:$L$15,0,X$631-1))</f>
        <v>20</v>
      </c>
      <c r="Y749" s="135" cm="1">
        <f ca="1" t="array" ref="Y749">SUMPRODUCT(TRANSPOSE($AA749:$AG749),OFFSET($L$9:$L$15,0,Y$631-1))</f>
        <v>10</v>
      </c>
      <c r="Z749" s="135" cm="1">
        <f ca="1" t="array" ref="Z749">SUMPRODUCT(TRANSPOSE($AA749:$AG749),OFFSET($L$9:$L$15,0,Z$631-1))</f>
        <v>3.14977993533847</v>
      </c>
      <c r="AA749" s="136">
        <f ca="1" t="shared" ref="AA749:AG749" si="471">AH749-AH748</f>
        <v>0</v>
      </c>
      <c r="AB749" s="136">
        <f ca="1" t="shared" si="471"/>
        <v>0</v>
      </c>
      <c r="AC749" s="136">
        <f ca="1" t="shared" si="471"/>
        <v>0</v>
      </c>
      <c r="AD749" s="136">
        <f ca="1" t="shared" si="471"/>
        <v>0</v>
      </c>
      <c r="AE749" s="136">
        <f ca="1" t="shared" si="471"/>
        <v>0</v>
      </c>
      <c r="AF749" s="136">
        <f ca="1" t="shared" si="471"/>
        <v>100</v>
      </c>
      <c r="AG749" s="136">
        <f ca="1" t="shared" si="471"/>
        <v>0</v>
      </c>
      <c r="AH749" s="136">
        <f ca="1" t="shared" si="371"/>
        <v>450</v>
      </c>
      <c r="AI749" s="136">
        <f ca="1" t="shared" ref="AI749:AN749" si="472">IF($C749&gt;OFFSET($Q$8,MATCH(AI$634,$AH$634:$AN$634,0),0),OFFSET($P$8,MATCH(AI$634,$AH$634:$AN$634,0),0),MAX(0,$C749-OFFSET($Q$8,RIGHT(AI$634,1)-1,0)))</f>
        <v>909</v>
      </c>
      <c r="AJ749" s="136">
        <f ca="1" t="shared" si="472"/>
        <v>1818</v>
      </c>
      <c r="AK749" s="136">
        <f ca="1" t="shared" si="472"/>
        <v>2727</v>
      </c>
      <c r="AL749" s="136">
        <f ca="1" t="shared" si="472"/>
        <v>3636</v>
      </c>
      <c r="AM749" s="136">
        <f ca="1" t="shared" si="472"/>
        <v>1960</v>
      </c>
      <c r="AN749" s="136">
        <f ca="1" t="shared" si="472"/>
        <v>0</v>
      </c>
    </row>
    <row r="750" s="106" customFormat="1" ht="16.5" spans="2:40">
      <c r="B750" s="117">
        <v>116</v>
      </c>
      <c r="C750" s="130">
        <f t="shared" si="369"/>
        <v>11600</v>
      </c>
      <c r="D750" s="131" cm="1">
        <f ca="1" t="array" ref="D750">IF(D1352=1,OFFSET($W$634,$B750,D$631-1)/SUMPRODUCT(--($D$631:$V$631=D$631),--($D1352:$V1352=1)),0)+SUM(D749)+IF(COUNTIF(D$1237:D1352,1)=1,5,0)+IF(COUNTIF(E750:$W750,"&gt;"&amp;0)&lt;5,IF(AND(COUNTIF(D$1237:D1352,1)&gt;7,MOD(1+IFERROR(MATCH($C750,总览!$D$46:$D$345,1)+1,1),7)=0),$C$3,0),0)</f>
        <v>979.24535903105</v>
      </c>
      <c r="E750" s="131" cm="1">
        <f ca="1" t="array" ref="E750">IF(E1352=1,OFFSET($W$634,$B750,E$631-1)/SUMPRODUCT(--($D$631:$V$631=E$631),--($D1352:$V1352=1)),0)+SUM(E749)+IF(COUNTIF(E$1237:E1352,1)=1,5,0)+IF(COUNTIF(F750:$W750,"&gt;"&amp;0)&lt;5,IF(AND(COUNTIF(E$1237:E1352,1)&gt;7,MOD(1+IFERROR(MATCH($C750,总览!$D$46:$D$345,1)+1,1),7)=0),$C$3,0),0)</f>
        <v>979.24535903105</v>
      </c>
      <c r="F750" s="131" cm="1">
        <f ca="1" t="array" ref="F750">IF(F1352=1,OFFSET($W$634,$B750,F$631-1)/SUMPRODUCT(--($D$631:$V$631=F$631),--($D1352:$V1352=1)),0)+SUM(F749)+IF(COUNTIF(F$1237:F1352,1)=1,5,0)+IF(COUNTIF(G750:$W750,"&gt;"&amp;0)&lt;5,IF(AND(COUNTIF(F$1237:F1352,1)&gt;7,MOD(1+IFERROR(MATCH($C750,总览!$D$46:$D$345,1)+1,1),7)=0),$C$3,0),0)</f>
        <v>979.24535903105</v>
      </c>
      <c r="G750" s="131" cm="1">
        <f ca="1" t="array" ref="G750">IF(G1352=1,OFFSET($W$634,$B750,G$631-1)/SUMPRODUCT(--($D$631:$V$631=G$631),--($D1352:$V1352=1)),0)+SUM(G749)+IF(COUNTIF(G$1237:G1352,1)=1,5,0)+IF(COUNTIF(H750:$W750,"&gt;"&amp;0)&lt;5,IF(AND(COUNTIF(G$1237:G1352,1)&gt;7,MOD(1+IFERROR(MATCH($C750,总览!$D$46:$D$345,1)+1,1),7)=0),$C$3,0),0)</f>
        <v>326.066666666666</v>
      </c>
      <c r="H750" s="131" cm="1">
        <f ca="1" t="array" ref="H750">IF(H1352=1,OFFSET($W$634,$B750,H$631-1)/SUMPRODUCT(--($D$631:$V$631=H$631),--($D1352:$V1352=1)),0)+SUM(H749)+IF(COUNTIF(H$1237:H1352,1)=1,5,0)+IF(COUNTIF(I750:$W750,"&gt;"&amp;0)&lt;5,IF(AND(COUNTIF(H$1237:H1352,1)&gt;7,MOD(1+IFERROR(MATCH($C750,总览!$D$46:$D$345,1)+1,1),7)=0),$C$3,0),0)</f>
        <v>326.066666666666</v>
      </c>
      <c r="I750" s="131" cm="1">
        <f ca="1" t="array" ref="I750">IF(I1352=1,OFFSET($W$634,$B750,I$631-1)/SUMPRODUCT(--($D$631:$V$631=I$631),--($D1352:$V1352=1)),0)+SUM(I749)+IF(COUNTIF(I$1237:I1352,1)=1,5,0)+IF(COUNTIF(J750:$W750,"&gt;"&amp;0)&lt;5,IF(AND(COUNTIF(I$1237:I1352,1)&gt;7,MOD(1+IFERROR(MATCH($C750,总览!$D$46:$D$345,1)+1,1),7)=0),$C$3,0),0)</f>
        <v>326.066666666666</v>
      </c>
      <c r="J750" s="131" cm="1">
        <f ca="1" t="array" ref="J750">IF(J1352=1,OFFSET($W$634,$B750,J$631-1)/SUMPRODUCT(--($D$631:$V$631=J$631),--($D1352:$V1352=1)),0)+SUM(J749)+IF(COUNTIF(J$1237:J1352,1)=1,5,0)+IF(COUNTIF(K750:$W750,"&gt;"&amp;0)&lt;5,IF(AND(COUNTIF(J$1237:J1352,1)&gt;7,MOD(1+IFERROR(MATCH($C750,总览!$D$46:$D$345,1)+1,1),7)=0),$C$3,0),0)</f>
        <v>322.733333333333</v>
      </c>
      <c r="K750" s="131" cm="1">
        <f ca="1" t="array" ref="K750">IF(K1352=1,OFFSET($W$634,$B750,K$631-1)/SUMPRODUCT(--($D$631:$V$631=K$631),--($D1352:$V1352=1)),0)+SUM(K749)+IF(COUNTIF(K$1237:K1352,1)=1,5,0)+IF(COUNTIF(L750:$W750,"&gt;"&amp;0)&lt;5,IF(AND(COUNTIF(K$1237:K1352,1)&gt;7,MOD(1+IFERROR(MATCH($C750,总览!$D$46:$D$345,1)+1,1),7)=0),$C$3,0),0)</f>
        <v>320.233333333333</v>
      </c>
      <c r="L750" s="131" cm="1">
        <f ca="1" t="array" ref="L750">IF(L1352=1,OFFSET($W$634,$B750,L$631-1)/SUMPRODUCT(--($D$631:$V$631=L$631),--($D1352:$V1352=1)),0)+SUM(L749)+IF(COUNTIF(L$1237:L1352,1)=1,5,0)+IF(COUNTIF(M750:$W750,"&gt;"&amp;0)&lt;5,IF(AND(COUNTIF(L$1237:L1352,1)&gt;7,MOD(1+IFERROR(MATCH($C750,总览!$D$46:$D$345,1)+1,1),7)=0),$C$3,0),0)</f>
        <v>320.233333333333</v>
      </c>
      <c r="M750" s="131" cm="1">
        <f ca="1" t="array" ref="M750">IF(M1352=1,OFFSET($W$634,$B750,M$631-1)/SUMPRODUCT(--($D$631:$V$631=M$631),--($D1352:$V1352=1)),0)+SUM(M749)+IF(COUNTIF(M$1237:M1352,1)=1,5,0)+IF(COUNTIF(N750:$W750,"&gt;"&amp;0)&lt;5,IF(AND(COUNTIF(M$1237:M1352,1)&gt;7,MOD(1+IFERROR(MATCH($C750,总览!$D$46:$D$345,1)+1,1),7)=0),$C$3,0),0)</f>
        <v>123.466964285714</v>
      </c>
      <c r="N750" s="131" cm="1">
        <f ca="1" t="array" ref="N750">IF(N1352=1,OFFSET($W$634,$B750,N$631-1)/SUMPRODUCT(--($D$631:$V$631=N$631),--($D1352:$V1352=1)),0)+SUM(N749)+IF(COUNTIF(N$1237:N1352,1)=1,5,0)+IF(COUNTIF(O750:$W750,"&gt;"&amp;0)&lt;5,IF(AND(COUNTIF(N$1237:N1352,1)&gt;7,MOD(1+IFERROR(MATCH($C750,总览!$D$46:$D$345,1)+1,1),7)=0),$C$3,0),0)</f>
        <v>124.716964285714</v>
      </c>
      <c r="O750" s="131" cm="1">
        <f ca="1" t="array" ref="O750">IF(O1352=1,OFFSET($W$634,$B750,O$631-1)/SUMPRODUCT(--($D$631:$V$631=O$631),--($D1352:$V1352=1)),0)+SUM(O749)+IF(COUNTIF(O$1237:O1352,1)=1,5,0)+IF(COUNTIF(P750:$W750,"&gt;"&amp;0)&lt;5,IF(AND(COUNTIF(O$1237:O1352,1)&gt;7,MOD(1+IFERROR(MATCH($C750,总览!$D$46:$D$345,1)+1,1),7)=0),$C$3,0),0)</f>
        <v>129.716964285714</v>
      </c>
      <c r="P750" s="131" cm="1">
        <f ca="1" t="array" ref="P750">IF(P1352=1,OFFSET($W$634,$B750,P$631-1)/SUMPRODUCT(--($D$631:$V$631=P$631),--($D1352:$V1352=1)),0)+SUM(P749)+IF(COUNTIF(P$1237:P1352,1)=1,5,0)+IF(COUNTIF(Q750:$W750,"&gt;"&amp;0)&lt;5,IF(AND(COUNTIF(P$1237:P1352,1)&gt;7,MOD(1+IFERROR(MATCH($C750,总览!$D$46:$D$345,1)+1,1),7)=0),$C$3,0),0)</f>
        <v>118.835714285714</v>
      </c>
      <c r="Q750" s="131" cm="1">
        <f ca="1" t="array" ref="Q750">IF(Q1352=1,OFFSET($W$634,$B750,Q$631-1)/SUMPRODUCT(--($D$631:$V$631=Q$631),--($D1352:$V1352=1)),0)+SUM(Q749)+IF(COUNTIF(Q$1237:Q1352,1)=1,5,0)+IF(COUNTIF(R750:$W750,"&gt;"&amp;0)&lt;5,IF(AND(COUNTIF(Q$1237:Q1352,1)&gt;7,MOD(1+IFERROR(MATCH($C750,总览!$D$46:$D$345,1)+1,1),7)=0),$C$3,0),0)</f>
        <v>132.216964285714</v>
      </c>
      <c r="R750" s="131" cm="1">
        <f ca="1" t="array" ref="R750">IF(R1352=1,OFFSET($W$634,$B750,R$631-1)/SUMPRODUCT(--($D$631:$V$631=R$631),--($D1352:$V1352=1)),0)+SUM(R749)+IF(COUNTIF(R$1237:R1352,1)=1,5,0)+IF(COUNTIF(S750:$W750,"&gt;"&amp;0)&lt;5,IF(AND(COUNTIF(R$1237:R1352,1)&gt;7,MOD(1+IFERROR(MATCH($C750,总览!$D$46:$D$345,1)+1,1),7)=0),$C$3,0),0)</f>
        <v>123.835714285714</v>
      </c>
      <c r="S750" s="131" cm="1">
        <f ca="1" t="array" ref="S750">IF(S1352=1,OFFSET($W$634,$B750,S$631-1)/SUMPRODUCT(--($D$631:$V$631=S$631),--($D1352:$V1352=1)),0)+SUM(S749)+IF(COUNTIF(S$1237:S1352,1)=1,5,0)+IF(COUNTIF(T750:$W750,"&gt;"&amp;0)&lt;5,IF(AND(COUNTIF(S$1237:S1352,1)&gt;7,MOD(1+IFERROR(MATCH($C750,总览!$D$46:$D$345,1)+1,1),7)=0),$C$3,0),0)</f>
        <v>166.335714285714</v>
      </c>
      <c r="T750" s="131" cm="1">
        <f ca="1" t="array" ref="T750">IF(T1352=1,OFFSET($W$634,$B750,T$631-1)/SUMPRODUCT(--($D$631:$V$631=T$631),--($D1352:$V1352=1)),0)+SUM(T749)+IF(COUNTIF(T$1237:T1352,1)=1,5,0)+IF(COUNTIF(U750:$W750,"&gt;"&amp;0)&lt;5,IF(AND(COUNTIF(T$1237:T1352,1)&gt;7,MOD(1+IFERROR(MATCH($C750,总览!$D$46:$D$345,1)+1,1),7)=0),$C$3,0),0)</f>
        <v>106.956783494606</v>
      </c>
      <c r="U750" s="131" cm="1">
        <f ca="1" t="array" ref="U750">IF(U1352=1,OFFSET($W$634,$B750,U$631-1)/SUMPRODUCT(--($D$631:$V$631=U$631),--($D1352:$V1352=1)),0)+SUM(U749)+IF(COUNTIF(U$1237:U1352,1)=1,5,0)+IF(COUNTIF(V750:$W750,"&gt;"&amp;0)&lt;5,IF(AND(COUNTIF(U$1237:U1352,1)&gt;7,MOD(1+IFERROR(MATCH($C750,总览!$D$46:$D$345,1)+1,1),7)=0),$C$3,0),0)</f>
        <v>112.477569849905</v>
      </c>
      <c r="V750" s="131" cm="1">
        <f ca="1" t="array" ref="V750">IF(V1352=1,OFFSET($W$634,$B750,V$631-1)/SUMPRODUCT(--($D$631:$V$631=V$631),--($D1352:$V1352=1)),0)+SUM(V749)+IF(COUNTIF(V$1237:V1352,1)=1,5,0)+IF(COUNTIF(W750:$W750,"&gt;"&amp;0)&lt;5,IF(AND(COUNTIF(V$1237:V1352,1)&gt;7,MOD(1+IFERROR(MATCH($C750,总览!$D$46:$D$345,1)+1,1),7)=0),$C$3,0),0)</f>
        <v>132.304569562339</v>
      </c>
      <c r="W750" s="135" cm="1">
        <f ca="1" t="array" ref="W750">SUMPRODUCT(TRANSPOSE($AA750:$AG750),OFFSET($L$9:$L$15,0,W$631-1))</f>
        <v>16.8502200646615</v>
      </c>
      <c r="X750" s="135" cm="1">
        <f ca="1" t="array" ref="X750">SUMPRODUCT(TRANSPOSE($AA750:$AG750),OFFSET($L$9:$L$15,0,X$631-1))</f>
        <v>20</v>
      </c>
      <c r="Y750" s="135" cm="1">
        <f ca="1" t="array" ref="Y750">SUMPRODUCT(TRANSPOSE($AA750:$AG750),OFFSET($L$9:$L$15,0,Y$631-1))</f>
        <v>10</v>
      </c>
      <c r="Z750" s="135" cm="1">
        <f ca="1" t="array" ref="Z750">SUMPRODUCT(TRANSPOSE($AA750:$AG750),OFFSET($L$9:$L$15,0,Z$631-1))</f>
        <v>3.14977993533847</v>
      </c>
      <c r="AA750" s="136">
        <f ca="1" t="shared" ref="AA750:AG750" si="473">AH750-AH749</f>
        <v>0</v>
      </c>
      <c r="AB750" s="136">
        <f ca="1" t="shared" si="473"/>
        <v>0</v>
      </c>
      <c r="AC750" s="136">
        <f ca="1" t="shared" si="473"/>
        <v>0</v>
      </c>
      <c r="AD750" s="136">
        <f ca="1" t="shared" si="473"/>
        <v>0</v>
      </c>
      <c r="AE750" s="136">
        <f ca="1" t="shared" si="473"/>
        <v>0</v>
      </c>
      <c r="AF750" s="136">
        <f ca="1" t="shared" si="473"/>
        <v>100</v>
      </c>
      <c r="AG750" s="136">
        <f ca="1" t="shared" si="473"/>
        <v>0</v>
      </c>
      <c r="AH750" s="136">
        <f ca="1" t="shared" si="371"/>
        <v>450</v>
      </c>
      <c r="AI750" s="136">
        <f ca="1" t="shared" ref="AI750:AN750" si="474">IF($C750&gt;OFFSET($Q$8,MATCH(AI$634,$AH$634:$AN$634,0),0),OFFSET($P$8,MATCH(AI$634,$AH$634:$AN$634,0),0),MAX(0,$C750-OFFSET($Q$8,RIGHT(AI$634,1)-1,0)))</f>
        <v>909</v>
      </c>
      <c r="AJ750" s="136">
        <f ca="1" t="shared" si="474"/>
        <v>1818</v>
      </c>
      <c r="AK750" s="136">
        <f ca="1" t="shared" si="474"/>
        <v>2727</v>
      </c>
      <c r="AL750" s="136">
        <f ca="1" t="shared" si="474"/>
        <v>3636</v>
      </c>
      <c r="AM750" s="136">
        <f ca="1" t="shared" si="474"/>
        <v>2060</v>
      </c>
      <c r="AN750" s="136">
        <f ca="1" t="shared" si="474"/>
        <v>0</v>
      </c>
    </row>
    <row r="751" s="106" customFormat="1" ht="16.5" spans="2:40">
      <c r="B751" s="117">
        <v>117</v>
      </c>
      <c r="C751" s="130">
        <f t="shared" si="369"/>
        <v>11700</v>
      </c>
      <c r="D751" s="131" cm="1">
        <f ca="1" t="array" ref="D751">IF(D1353=1,OFFSET($W$634,$B751,D$631-1)/SUMPRODUCT(--($D$631:$V$631=D$631),--($D1353:$V1353=1)),0)+SUM(D750)+IF(COUNTIF(D$1237:D1353,1)=1,5,0)+IF(COUNTIF(E751:$W751,"&gt;"&amp;0)&lt;5,IF(AND(COUNTIF(D$1237:D1353,1)&gt;7,MOD(1+IFERROR(MATCH($C751,总览!$D$46:$D$345,1)+1,1),7)=0),$C$3,0),0)</f>
        <v>984.862099052604</v>
      </c>
      <c r="E751" s="131" cm="1">
        <f ca="1" t="array" ref="E751">IF(E1353=1,OFFSET($W$634,$B751,E$631-1)/SUMPRODUCT(--($D$631:$V$631=E$631),--($D1353:$V1353=1)),0)+SUM(E750)+IF(COUNTIF(E$1237:E1353,1)=1,5,0)+IF(COUNTIF(F751:$W751,"&gt;"&amp;0)&lt;5,IF(AND(COUNTIF(E$1237:E1353,1)&gt;7,MOD(1+IFERROR(MATCH($C751,总览!$D$46:$D$345,1)+1,1),7)=0),$C$3,0),0)</f>
        <v>984.862099052604</v>
      </c>
      <c r="F751" s="131" cm="1">
        <f ca="1" t="array" ref="F751">IF(F1353=1,OFFSET($W$634,$B751,F$631-1)/SUMPRODUCT(--($D$631:$V$631=F$631),--($D1353:$V1353=1)),0)+SUM(F750)+IF(COUNTIF(F$1237:F1353,1)=1,5,0)+IF(COUNTIF(G751:$W751,"&gt;"&amp;0)&lt;5,IF(AND(COUNTIF(F$1237:F1353,1)&gt;7,MOD(1+IFERROR(MATCH($C751,总览!$D$46:$D$345,1)+1,1),7)=0),$C$3,0),0)</f>
        <v>984.862099052604</v>
      </c>
      <c r="G751" s="131" cm="1">
        <f ca="1" t="array" ref="G751">IF(G1353=1,OFFSET($W$634,$B751,G$631-1)/SUMPRODUCT(--($D$631:$V$631=G$631),--($D1353:$V1353=1)),0)+SUM(G750)+IF(COUNTIF(G$1237:G1353,1)=1,5,0)+IF(COUNTIF(H751:$W751,"&gt;"&amp;0)&lt;5,IF(AND(COUNTIF(G$1237:G1353,1)&gt;7,MOD(1+IFERROR(MATCH($C751,总览!$D$46:$D$345,1)+1,1),7)=0),$C$3,0),0)</f>
        <v>329.4</v>
      </c>
      <c r="H751" s="131" cm="1">
        <f ca="1" t="array" ref="H751">IF(H1353=1,OFFSET($W$634,$B751,H$631-1)/SUMPRODUCT(--($D$631:$V$631=H$631),--($D1353:$V1353=1)),0)+SUM(H750)+IF(COUNTIF(H$1237:H1353,1)=1,5,0)+IF(COUNTIF(I751:$W751,"&gt;"&amp;0)&lt;5,IF(AND(COUNTIF(H$1237:H1353,1)&gt;7,MOD(1+IFERROR(MATCH($C751,总览!$D$46:$D$345,1)+1,1),7)=0),$C$3,0),0)</f>
        <v>329.4</v>
      </c>
      <c r="I751" s="131" cm="1">
        <f ca="1" t="array" ref="I751">IF(I1353=1,OFFSET($W$634,$B751,I$631-1)/SUMPRODUCT(--($D$631:$V$631=I$631),--($D1353:$V1353=1)),0)+SUM(I750)+IF(COUNTIF(I$1237:I1353,1)=1,5,0)+IF(COUNTIF(J751:$W751,"&gt;"&amp;0)&lt;5,IF(AND(COUNTIF(I$1237:I1353,1)&gt;7,MOD(1+IFERROR(MATCH($C751,总览!$D$46:$D$345,1)+1,1),7)=0),$C$3,0),0)</f>
        <v>329.4</v>
      </c>
      <c r="J751" s="131" cm="1">
        <f ca="1" t="array" ref="J751">IF(J1353=1,OFFSET($W$634,$B751,J$631-1)/SUMPRODUCT(--($D$631:$V$631=J$631),--($D1353:$V1353=1)),0)+SUM(J750)+IF(COUNTIF(J$1237:J1353,1)=1,5,0)+IF(COUNTIF(K751:$W751,"&gt;"&amp;0)&lt;5,IF(AND(COUNTIF(J$1237:J1353,1)&gt;7,MOD(1+IFERROR(MATCH($C751,总览!$D$46:$D$345,1)+1,1),7)=0),$C$3,0),0)</f>
        <v>326.066666666666</v>
      </c>
      <c r="K751" s="131" cm="1">
        <f ca="1" t="array" ref="K751">IF(K1353=1,OFFSET($W$634,$B751,K$631-1)/SUMPRODUCT(--($D$631:$V$631=K$631),--($D1353:$V1353=1)),0)+SUM(K750)+IF(COUNTIF(K$1237:K1353,1)=1,5,0)+IF(COUNTIF(L751:$W751,"&gt;"&amp;0)&lt;5,IF(AND(COUNTIF(K$1237:K1353,1)&gt;7,MOD(1+IFERROR(MATCH($C751,总览!$D$46:$D$345,1)+1,1),7)=0),$C$3,0),0)</f>
        <v>323.566666666666</v>
      </c>
      <c r="L751" s="131" cm="1">
        <f ca="1" t="array" ref="L751">IF(L1353=1,OFFSET($W$634,$B751,L$631-1)/SUMPRODUCT(--($D$631:$V$631=L$631),--($D1353:$V1353=1)),0)+SUM(L750)+IF(COUNTIF(L$1237:L1353,1)=1,5,0)+IF(COUNTIF(M751:$W751,"&gt;"&amp;0)&lt;5,IF(AND(COUNTIF(L$1237:L1353,1)&gt;7,MOD(1+IFERROR(MATCH($C751,总览!$D$46:$D$345,1)+1,1),7)=0),$C$3,0),0)</f>
        <v>323.566666666666</v>
      </c>
      <c r="M751" s="131" cm="1">
        <f ca="1" t="array" ref="M751">IF(M1353=1,OFFSET($W$634,$B751,M$631-1)/SUMPRODUCT(--($D$631:$V$631=M$631),--($D1353:$V1353=1)),0)+SUM(M750)+IF(COUNTIF(M$1237:M1353,1)=1,5,0)+IF(COUNTIF(N751:$W751,"&gt;"&amp;0)&lt;5,IF(AND(COUNTIF(M$1237:M1353,1)&gt;7,MOD(1+IFERROR(MATCH($C751,总览!$D$46:$D$345,1)+1,1),7)=0),$C$3,0),0)</f>
        <v>124.895535714286</v>
      </c>
      <c r="N751" s="131" cm="1">
        <f ca="1" t="array" ref="N751">IF(N1353=1,OFFSET($W$634,$B751,N$631-1)/SUMPRODUCT(--($D$631:$V$631=N$631),--($D1353:$V1353=1)),0)+SUM(N750)+IF(COUNTIF(N$1237:N1353,1)=1,5,0)+IF(COUNTIF(O751:$W751,"&gt;"&amp;0)&lt;5,IF(AND(COUNTIF(N$1237:N1353,1)&gt;7,MOD(1+IFERROR(MATCH($C751,总览!$D$46:$D$345,1)+1,1),7)=0),$C$3,0),0)</f>
        <v>126.145535714286</v>
      </c>
      <c r="O751" s="131" cm="1">
        <f ca="1" t="array" ref="O751">IF(O1353=1,OFFSET($W$634,$B751,O$631-1)/SUMPRODUCT(--($D$631:$V$631=O$631),--($D1353:$V1353=1)),0)+SUM(O750)+IF(COUNTIF(O$1237:O1353,1)=1,5,0)+IF(COUNTIF(P751:$W751,"&gt;"&amp;0)&lt;5,IF(AND(COUNTIF(O$1237:O1353,1)&gt;7,MOD(1+IFERROR(MATCH($C751,总览!$D$46:$D$345,1)+1,1),7)=0),$C$3,0),0)</f>
        <v>131.145535714286</v>
      </c>
      <c r="P751" s="131" cm="1">
        <f ca="1" t="array" ref="P751">IF(P1353=1,OFFSET($W$634,$B751,P$631-1)/SUMPRODUCT(--($D$631:$V$631=P$631),--($D1353:$V1353=1)),0)+SUM(P750)+IF(COUNTIF(P$1237:P1353,1)=1,5,0)+IF(COUNTIF(Q751:$W751,"&gt;"&amp;0)&lt;5,IF(AND(COUNTIF(P$1237:P1353,1)&gt;7,MOD(1+IFERROR(MATCH($C751,总览!$D$46:$D$345,1)+1,1),7)=0),$C$3,0),0)</f>
        <v>120.264285714286</v>
      </c>
      <c r="Q751" s="131" cm="1">
        <f ca="1" t="array" ref="Q751">IF(Q1353=1,OFFSET($W$634,$B751,Q$631-1)/SUMPRODUCT(--($D$631:$V$631=Q$631),--($D1353:$V1353=1)),0)+SUM(Q750)+IF(COUNTIF(Q$1237:Q1353,1)=1,5,0)+IF(COUNTIF(R751:$W751,"&gt;"&amp;0)&lt;5,IF(AND(COUNTIF(Q$1237:Q1353,1)&gt;7,MOD(1+IFERROR(MATCH($C751,总览!$D$46:$D$345,1)+1,1),7)=0),$C$3,0),0)</f>
        <v>133.645535714286</v>
      </c>
      <c r="R751" s="131" cm="1">
        <f ca="1" t="array" ref="R751">IF(R1353=1,OFFSET($W$634,$B751,R$631-1)/SUMPRODUCT(--($D$631:$V$631=R$631),--($D1353:$V1353=1)),0)+SUM(R750)+IF(COUNTIF(R$1237:R1353,1)=1,5,0)+IF(COUNTIF(S751:$W751,"&gt;"&amp;0)&lt;5,IF(AND(COUNTIF(R$1237:R1353,1)&gt;7,MOD(1+IFERROR(MATCH($C751,总览!$D$46:$D$345,1)+1,1),7)=0),$C$3,0),0)</f>
        <v>125.264285714286</v>
      </c>
      <c r="S751" s="131" cm="1">
        <f ca="1" t="array" ref="S751">IF(S1353=1,OFFSET($W$634,$B751,S$631-1)/SUMPRODUCT(--($D$631:$V$631=S$631),--($D1353:$V1353=1)),0)+SUM(S750)+IF(COUNTIF(S$1237:S1353,1)=1,5,0)+IF(COUNTIF(T751:$W751,"&gt;"&amp;0)&lt;5,IF(AND(COUNTIF(S$1237:S1353,1)&gt;7,MOD(1+IFERROR(MATCH($C751,总览!$D$46:$D$345,1)+1,1),7)=0),$C$3,0),0)</f>
        <v>167.764285714285</v>
      </c>
      <c r="T751" s="131" cm="1">
        <f ca="1" t="array" ref="T751">IF(T1353=1,OFFSET($W$634,$B751,T$631-1)/SUMPRODUCT(--($D$631:$V$631=T$631),--($D1353:$V1353=1)),0)+SUM(T750)+IF(COUNTIF(T$1237:T1353,1)=1,5,0)+IF(COUNTIF(U751:$W751,"&gt;"&amp;0)&lt;5,IF(AND(COUNTIF(T$1237:T1353,1)&gt;7,MOD(1+IFERROR(MATCH($C751,总览!$D$46:$D$345,1)+1,1),7)=0),$C$3,0),0)</f>
        <v>108.006710139719</v>
      </c>
      <c r="U751" s="131" cm="1">
        <f ca="1" t="array" ref="U751">IF(U1353=1,OFFSET($W$634,$B751,U$631-1)/SUMPRODUCT(--($D$631:$V$631=U$631),--($D1353:$V1353=1)),0)+SUM(U750)+IF(COUNTIF(U$1237:U1353,1)=1,5,0)+IF(COUNTIF(V751:$W751,"&gt;"&amp;0)&lt;5,IF(AND(COUNTIF(U$1237:U1353,1)&gt;7,MOD(1+IFERROR(MATCH($C751,总览!$D$46:$D$345,1)+1,1),7)=0),$C$3,0),0)</f>
        <v>113.527496495018</v>
      </c>
      <c r="V751" s="131" cm="1">
        <f ca="1" t="array" ref="V751">IF(V1353=1,OFFSET($W$634,$B751,V$631-1)/SUMPRODUCT(--($D$631:$V$631=V$631),--($D1353:$V1353=1)),0)+SUM(V750)+IF(COUNTIF(V$1237:V1353,1)=1,5,0)+IF(COUNTIF(W751:$W751,"&gt;"&amp;0)&lt;5,IF(AND(COUNTIF(V$1237:V1353,1)&gt;7,MOD(1+IFERROR(MATCH($C751,总览!$D$46:$D$345,1)+1,1),7)=0),$C$3,0),0)</f>
        <v>133.354496207452</v>
      </c>
      <c r="W751" s="135" cm="1">
        <f ca="1" t="array" ref="W751">SUMPRODUCT(TRANSPOSE($AA751:$AG751),OFFSET($L$9:$L$15,0,W$631-1))</f>
        <v>16.8502200646615</v>
      </c>
      <c r="X751" s="135" cm="1">
        <f ca="1" t="array" ref="X751">SUMPRODUCT(TRANSPOSE($AA751:$AG751),OFFSET($L$9:$L$15,0,X$631-1))</f>
        <v>20</v>
      </c>
      <c r="Y751" s="135" cm="1">
        <f ca="1" t="array" ref="Y751">SUMPRODUCT(TRANSPOSE($AA751:$AG751),OFFSET($L$9:$L$15,0,Y$631-1))</f>
        <v>10</v>
      </c>
      <c r="Z751" s="135" cm="1">
        <f ca="1" t="array" ref="Z751">SUMPRODUCT(TRANSPOSE($AA751:$AG751),OFFSET($L$9:$L$15,0,Z$631-1))</f>
        <v>3.14977993533847</v>
      </c>
      <c r="AA751" s="136">
        <f ca="1" t="shared" ref="AA751:AG751" si="475">AH751-AH750</f>
        <v>0</v>
      </c>
      <c r="AB751" s="136">
        <f ca="1" t="shared" si="475"/>
        <v>0</v>
      </c>
      <c r="AC751" s="136">
        <f ca="1" t="shared" si="475"/>
        <v>0</v>
      </c>
      <c r="AD751" s="136">
        <f ca="1" t="shared" si="475"/>
        <v>0</v>
      </c>
      <c r="AE751" s="136">
        <f ca="1" t="shared" si="475"/>
        <v>0</v>
      </c>
      <c r="AF751" s="136">
        <f ca="1" t="shared" si="475"/>
        <v>100</v>
      </c>
      <c r="AG751" s="136">
        <f ca="1" t="shared" si="475"/>
        <v>0</v>
      </c>
      <c r="AH751" s="136">
        <f ca="1" t="shared" si="371"/>
        <v>450</v>
      </c>
      <c r="AI751" s="136">
        <f ca="1" t="shared" ref="AI751:AN751" si="476">IF($C751&gt;OFFSET($Q$8,MATCH(AI$634,$AH$634:$AN$634,0),0),OFFSET($P$8,MATCH(AI$634,$AH$634:$AN$634,0),0),MAX(0,$C751-OFFSET($Q$8,RIGHT(AI$634,1)-1,0)))</f>
        <v>909</v>
      </c>
      <c r="AJ751" s="136">
        <f ca="1" t="shared" si="476"/>
        <v>1818</v>
      </c>
      <c r="AK751" s="136">
        <f ca="1" t="shared" si="476"/>
        <v>2727</v>
      </c>
      <c r="AL751" s="136">
        <f ca="1" t="shared" si="476"/>
        <v>3636</v>
      </c>
      <c r="AM751" s="136">
        <f ca="1" t="shared" si="476"/>
        <v>2160</v>
      </c>
      <c r="AN751" s="136">
        <f ca="1" t="shared" si="476"/>
        <v>0</v>
      </c>
    </row>
    <row r="752" s="106" customFormat="1" ht="16.5" spans="2:40">
      <c r="B752" s="117">
        <v>118</v>
      </c>
      <c r="C752" s="130">
        <f t="shared" si="369"/>
        <v>11800</v>
      </c>
      <c r="D752" s="131" cm="1">
        <f ca="1" t="array" ref="D752">IF(D1354=1,OFFSET($W$634,$B752,D$631-1)/SUMPRODUCT(--($D$631:$V$631=D$631),--($D1354:$V1354=1)),0)+SUM(D751)+IF(COUNTIF(D$1237:D1354,1)=1,5,0)+IF(COUNTIF(E752:$W752,"&gt;"&amp;0)&lt;5,IF(AND(COUNTIF(D$1237:D1354,1)&gt;7,MOD(1+IFERROR(MATCH($C752,总览!$D$46:$D$345,1)+1,1),7)=0),$C$3,0),0)</f>
        <v>990.478839074158</v>
      </c>
      <c r="E752" s="131" cm="1">
        <f ca="1" t="array" ref="E752">IF(E1354=1,OFFSET($W$634,$B752,E$631-1)/SUMPRODUCT(--($D$631:$V$631=E$631),--($D1354:$V1354=1)),0)+SUM(E751)+IF(COUNTIF(E$1237:E1354,1)=1,5,0)+IF(COUNTIF(F752:$W752,"&gt;"&amp;0)&lt;5,IF(AND(COUNTIF(E$1237:E1354,1)&gt;7,MOD(1+IFERROR(MATCH($C752,总览!$D$46:$D$345,1)+1,1),7)=0),$C$3,0),0)</f>
        <v>990.478839074158</v>
      </c>
      <c r="F752" s="131" cm="1">
        <f ca="1" t="array" ref="F752">IF(F1354=1,OFFSET($W$634,$B752,F$631-1)/SUMPRODUCT(--($D$631:$V$631=F$631),--($D1354:$V1354=1)),0)+SUM(F751)+IF(COUNTIF(F$1237:F1354,1)=1,5,0)+IF(COUNTIF(G752:$W752,"&gt;"&amp;0)&lt;5,IF(AND(COUNTIF(F$1237:F1354,1)&gt;7,MOD(1+IFERROR(MATCH($C752,总览!$D$46:$D$345,1)+1,1),7)=0),$C$3,0),0)</f>
        <v>990.478839074158</v>
      </c>
      <c r="G752" s="131" cm="1">
        <f ca="1" t="array" ref="G752">IF(G1354=1,OFFSET($W$634,$B752,G$631-1)/SUMPRODUCT(--($D$631:$V$631=G$631),--($D1354:$V1354=1)),0)+SUM(G751)+IF(COUNTIF(G$1237:G1354,1)=1,5,0)+IF(COUNTIF(H752:$W752,"&gt;"&amp;0)&lt;5,IF(AND(COUNTIF(G$1237:G1354,1)&gt;7,MOD(1+IFERROR(MATCH($C752,总览!$D$46:$D$345,1)+1,1),7)=0),$C$3,0),0)</f>
        <v>332.733333333333</v>
      </c>
      <c r="H752" s="131" cm="1">
        <f ca="1" t="array" ref="H752">IF(H1354=1,OFFSET($W$634,$B752,H$631-1)/SUMPRODUCT(--($D$631:$V$631=H$631),--($D1354:$V1354=1)),0)+SUM(H751)+IF(COUNTIF(H$1237:H1354,1)=1,5,0)+IF(COUNTIF(I752:$W752,"&gt;"&amp;0)&lt;5,IF(AND(COUNTIF(H$1237:H1354,1)&gt;7,MOD(1+IFERROR(MATCH($C752,总览!$D$46:$D$345,1)+1,1),7)=0),$C$3,0),0)</f>
        <v>332.733333333333</v>
      </c>
      <c r="I752" s="131" cm="1">
        <f ca="1" t="array" ref="I752">IF(I1354=1,OFFSET($W$634,$B752,I$631-1)/SUMPRODUCT(--($D$631:$V$631=I$631),--($D1354:$V1354=1)),0)+SUM(I751)+IF(COUNTIF(I$1237:I1354,1)=1,5,0)+IF(COUNTIF(J752:$W752,"&gt;"&amp;0)&lt;5,IF(AND(COUNTIF(I$1237:I1354,1)&gt;7,MOD(1+IFERROR(MATCH($C752,总览!$D$46:$D$345,1)+1,1),7)=0),$C$3,0),0)</f>
        <v>332.733333333333</v>
      </c>
      <c r="J752" s="131" cm="1">
        <f ca="1" t="array" ref="J752">IF(J1354=1,OFFSET($W$634,$B752,J$631-1)/SUMPRODUCT(--($D$631:$V$631=J$631),--($D1354:$V1354=1)),0)+SUM(J751)+IF(COUNTIF(J$1237:J1354,1)=1,5,0)+IF(COUNTIF(K752:$W752,"&gt;"&amp;0)&lt;5,IF(AND(COUNTIF(J$1237:J1354,1)&gt;7,MOD(1+IFERROR(MATCH($C752,总览!$D$46:$D$345,1)+1,1),7)=0),$C$3,0),0)</f>
        <v>329.4</v>
      </c>
      <c r="K752" s="131" cm="1">
        <f ca="1" t="array" ref="K752">IF(K1354=1,OFFSET($W$634,$B752,K$631-1)/SUMPRODUCT(--($D$631:$V$631=K$631),--($D1354:$V1354=1)),0)+SUM(K751)+IF(COUNTIF(K$1237:K1354,1)=1,5,0)+IF(COUNTIF(L752:$W752,"&gt;"&amp;0)&lt;5,IF(AND(COUNTIF(K$1237:K1354,1)&gt;7,MOD(1+IFERROR(MATCH($C752,总览!$D$46:$D$345,1)+1,1),7)=0),$C$3,0),0)</f>
        <v>326.9</v>
      </c>
      <c r="L752" s="131" cm="1">
        <f ca="1" t="array" ref="L752">IF(L1354=1,OFFSET($W$634,$B752,L$631-1)/SUMPRODUCT(--($D$631:$V$631=L$631),--($D1354:$V1354=1)),0)+SUM(L751)+IF(COUNTIF(L$1237:L1354,1)=1,5,0)+IF(COUNTIF(M752:$W752,"&gt;"&amp;0)&lt;5,IF(AND(COUNTIF(L$1237:L1354,1)&gt;7,MOD(1+IFERROR(MATCH($C752,总览!$D$46:$D$345,1)+1,1),7)=0),$C$3,0),0)</f>
        <v>326.9</v>
      </c>
      <c r="M752" s="131" cm="1">
        <f ca="1" t="array" ref="M752">IF(M1354=1,OFFSET($W$634,$B752,M$631-1)/SUMPRODUCT(--($D$631:$V$631=M$631),--($D1354:$V1354=1)),0)+SUM(M751)+IF(COUNTIF(M$1237:M1354,1)=1,5,0)+IF(COUNTIF(N752:$W752,"&gt;"&amp;0)&lt;5,IF(AND(COUNTIF(M$1237:M1354,1)&gt;7,MOD(1+IFERROR(MATCH($C752,总览!$D$46:$D$345,1)+1,1),7)=0),$C$3,0),0)</f>
        <v>126.324107142857</v>
      </c>
      <c r="N752" s="131" cm="1">
        <f ca="1" t="array" ref="N752">IF(N1354=1,OFFSET($W$634,$B752,N$631-1)/SUMPRODUCT(--($D$631:$V$631=N$631),--($D1354:$V1354=1)),0)+SUM(N751)+IF(COUNTIF(N$1237:N1354,1)=1,5,0)+IF(COUNTIF(O752:$W752,"&gt;"&amp;0)&lt;5,IF(AND(COUNTIF(N$1237:N1354,1)&gt;7,MOD(1+IFERROR(MATCH($C752,总览!$D$46:$D$345,1)+1,1),7)=0),$C$3,0),0)</f>
        <v>127.574107142857</v>
      </c>
      <c r="O752" s="131" cm="1">
        <f ca="1" t="array" ref="O752">IF(O1354=1,OFFSET($W$634,$B752,O$631-1)/SUMPRODUCT(--($D$631:$V$631=O$631),--($D1354:$V1354=1)),0)+SUM(O751)+IF(COUNTIF(O$1237:O1354,1)=1,5,0)+IF(COUNTIF(P752:$W752,"&gt;"&amp;0)&lt;5,IF(AND(COUNTIF(O$1237:O1354,1)&gt;7,MOD(1+IFERROR(MATCH($C752,总览!$D$46:$D$345,1)+1,1),7)=0),$C$3,0),0)</f>
        <v>132.574107142857</v>
      </c>
      <c r="P752" s="131" cm="1">
        <f ca="1" t="array" ref="P752">IF(P1354=1,OFFSET($W$634,$B752,P$631-1)/SUMPRODUCT(--($D$631:$V$631=P$631),--($D1354:$V1354=1)),0)+SUM(P751)+IF(COUNTIF(P$1237:P1354,1)=1,5,0)+IF(COUNTIF(Q752:$W752,"&gt;"&amp;0)&lt;5,IF(AND(COUNTIF(P$1237:P1354,1)&gt;7,MOD(1+IFERROR(MATCH($C752,总览!$D$46:$D$345,1)+1,1),7)=0),$C$3,0),0)</f>
        <v>121.692857142857</v>
      </c>
      <c r="Q752" s="131" cm="1">
        <f ca="1" t="array" ref="Q752">IF(Q1354=1,OFFSET($W$634,$B752,Q$631-1)/SUMPRODUCT(--($D$631:$V$631=Q$631),--($D1354:$V1354=1)),0)+SUM(Q751)+IF(COUNTIF(Q$1237:Q1354,1)=1,5,0)+IF(COUNTIF(R752:$W752,"&gt;"&amp;0)&lt;5,IF(AND(COUNTIF(Q$1237:Q1354,1)&gt;7,MOD(1+IFERROR(MATCH($C752,总览!$D$46:$D$345,1)+1,1),7)=0),$C$3,0),0)</f>
        <v>135.074107142857</v>
      </c>
      <c r="R752" s="131" cm="1">
        <f ca="1" t="array" ref="R752">IF(R1354=1,OFFSET($W$634,$B752,R$631-1)/SUMPRODUCT(--($D$631:$V$631=R$631),--($D1354:$V1354=1)),0)+SUM(R751)+IF(COUNTIF(R$1237:R1354,1)=1,5,0)+IF(COUNTIF(S752:$W752,"&gt;"&amp;0)&lt;5,IF(AND(COUNTIF(R$1237:R1354,1)&gt;7,MOD(1+IFERROR(MATCH($C752,总览!$D$46:$D$345,1)+1,1),7)=0),$C$3,0),0)</f>
        <v>126.692857142857</v>
      </c>
      <c r="S752" s="131" cm="1">
        <f ca="1" t="array" ref="S752">IF(S1354=1,OFFSET($W$634,$B752,S$631-1)/SUMPRODUCT(--($D$631:$V$631=S$631),--($D1354:$V1354=1)),0)+SUM(S751)+IF(COUNTIF(S$1237:S1354,1)=1,5,0)+IF(COUNTIF(T752:$W752,"&gt;"&amp;0)&lt;5,IF(AND(COUNTIF(S$1237:S1354,1)&gt;7,MOD(1+IFERROR(MATCH($C752,总览!$D$46:$D$345,1)+1,1),7)=0),$C$3,0),0)</f>
        <v>169.192857142857</v>
      </c>
      <c r="T752" s="131" cm="1">
        <f ca="1" t="array" ref="T752">IF(T1354=1,OFFSET($W$634,$B752,T$631-1)/SUMPRODUCT(--($D$631:$V$631=T$631),--($D1354:$V1354=1)),0)+SUM(T751)+IF(COUNTIF(T$1237:T1354,1)=1,5,0)+IF(COUNTIF(U752:$W752,"&gt;"&amp;0)&lt;5,IF(AND(COUNTIF(T$1237:T1354,1)&gt;7,MOD(1+IFERROR(MATCH($C752,总览!$D$46:$D$345,1)+1,1),7)=0),$C$3,0),0)</f>
        <v>109.056636784831</v>
      </c>
      <c r="U752" s="131" cm="1">
        <f ca="1" t="array" ref="U752">IF(U1354=1,OFFSET($W$634,$B752,U$631-1)/SUMPRODUCT(--($D$631:$V$631=U$631),--($D1354:$V1354=1)),0)+SUM(U751)+IF(COUNTIF(U$1237:U1354,1)=1,5,0)+IF(COUNTIF(V752:$W752,"&gt;"&amp;0)&lt;5,IF(AND(COUNTIF(U$1237:U1354,1)&gt;7,MOD(1+IFERROR(MATCH($C752,总览!$D$46:$D$345,1)+1,1),7)=0),$C$3,0),0)</f>
        <v>114.577423140131</v>
      </c>
      <c r="V752" s="131" cm="1">
        <f ca="1" t="array" ref="V752">IF(V1354=1,OFFSET($W$634,$B752,V$631-1)/SUMPRODUCT(--($D$631:$V$631=V$631),--($D1354:$V1354=1)),0)+SUM(V751)+IF(COUNTIF(V$1237:V1354,1)=1,5,0)+IF(COUNTIF(W752:$W752,"&gt;"&amp;0)&lt;5,IF(AND(COUNTIF(V$1237:V1354,1)&gt;7,MOD(1+IFERROR(MATCH($C752,总览!$D$46:$D$345,1)+1,1),7)=0),$C$3,0),0)</f>
        <v>134.404422852564</v>
      </c>
      <c r="W752" s="135" cm="1">
        <f ca="1" t="array" ref="W752">SUMPRODUCT(TRANSPOSE($AA752:$AG752),OFFSET($L$9:$L$15,0,W$631-1))</f>
        <v>16.8502200646615</v>
      </c>
      <c r="X752" s="135" cm="1">
        <f ca="1" t="array" ref="X752">SUMPRODUCT(TRANSPOSE($AA752:$AG752),OFFSET($L$9:$L$15,0,X$631-1))</f>
        <v>20</v>
      </c>
      <c r="Y752" s="135" cm="1">
        <f ca="1" t="array" ref="Y752">SUMPRODUCT(TRANSPOSE($AA752:$AG752),OFFSET($L$9:$L$15,0,Y$631-1))</f>
        <v>10</v>
      </c>
      <c r="Z752" s="135" cm="1">
        <f ca="1" t="array" ref="Z752">SUMPRODUCT(TRANSPOSE($AA752:$AG752),OFFSET($L$9:$L$15,0,Z$631-1))</f>
        <v>3.14977993533847</v>
      </c>
      <c r="AA752" s="136">
        <f ca="1" t="shared" ref="AA752:AG752" si="477">AH752-AH751</f>
        <v>0</v>
      </c>
      <c r="AB752" s="136">
        <f ca="1" t="shared" si="477"/>
        <v>0</v>
      </c>
      <c r="AC752" s="136">
        <f ca="1" t="shared" si="477"/>
        <v>0</v>
      </c>
      <c r="AD752" s="136">
        <f ca="1" t="shared" si="477"/>
        <v>0</v>
      </c>
      <c r="AE752" s="136">
        <f ca="1" t="shared" si="477"/>
        <v>0</v>
      </c>
      <c r="AF752" s="136">
        <f ca="1" t="shared" si="477"/>
        <v>100</v>
      </c>
      <c r="AG752" s="136">
        <f ca="1" t="shared" si="477"/>
        <v>0</v>
      </c>
      <c r="AH752" s="136">
        <f ca="1" t="shared" si="371"/>
        <v>450</v>
      </c>
      <c r="AI752" s="136">
        <f ca="1" t="shared" ref="AI752:AN752" si="478">IF($C752&gt;OFFSET($Q$8,MATCH(AI$634,$AH$634:$AN$634,0),0),OFFSET($P$8,MATCH(AI$634,$AH$634:$AN$634,0),0),MAX(0,$C752-OFFSET($Q$8,RIGHT(AI$634,1)-1,0)))</f>
        <v>909</v>
      </c>
      <c r="AJ752" s="136">
        <f ca="1" t="shared" si="478"/>
        <v>1818</v>
      </c>
      <c r="AK752" s="136">
        <f ca="1" t="shared" si="478"/>
        <v>2727</v>
      </c>
      <c r="AL752" s="136">
        <f ca="1" t="shared" si="478"/>
        <v>3636</v>
      </c>
      <c r="AM752" s="136">
        <f ca="1" t="shared" si="478"/>
        <v>2260</v>
      </c>
      <c r="AN752" s="136">
        <f ca="1" t="shared" si="478"/>
        <v>0</v>
      </c>
    </row>
    <row r="753" s="106" customFormat="1" ht="16.5" spans="2:40">
      <c r="B753" s="117">
        <v>119</v>
      </c>
      <c r="C753" s="130">
        <f t="shared" si="369"/>
        <v>11900</v>
      </c>
      <c r="D753" s="131" cm="1">
        <f ca="1" t="array" ref="D753">IF(D1355=1,OFFSET($W$634,$B753,D$631-1)/SUMPRODUCT(--($D$631:$V$631=D$631),--($D1355:$V1355=1)),0)+SUM(D752)+IF(COUNTIF(D$1237:D1355,1)=1,5,0)+IF(COUNTIF(E753:$W753,"&gt;"&amp;0)&lt;5,IF(AND(COUNTIF(D$1237:D1355,1)&gt;7,MOD(1+IFERROR(MATCH($C753,总览!$D$46:$D$345,1)+1,1),7)=0),$C$3,0),0)</f>
        <v>996.095579095712</v>
      </c>
      <c r="E753" s="131" cm="1">
        <f ca="1" t="array" ref="E753">IF(E1355=1,OFFSET($W$634,$B753,E$631-1)/SUMPRODUCT(--($D$631:$V$631=E$631),--($D1355:$V1355=1)),0)+SUM(E752)+IF(COUNTIF(E$1237:E1355,1)=1,5,0)+IF(COUNTIF(F753:$W753,"&gt;"&amp;0)&lt;5,IF(AND(COUNTIF(E$1237:E1355,1)&gt;7,MOD(1+IFERROR(MATCH($C753,总览!$D$46:$D$345,1)+1,1),7)=0),$C$3,0),0)</f>
        <v>996.095579095712</v>
      </c>
      <c r="F753" s="131" cm="1">
        <f ca="1" t="array" ref="F753">IF(F1355=1,OFFSET($W$634,$B753,F$631-1)/SUMPRODUCT(--($D$631:$V$631=F$631),--($D1355:$V1355=1)),0)+SUM(F752)+IF(COUNTIF(F$1237:F1355,1)=1,5,0)+IF(COUNTIF(G753:$W753,"&gt;"&amp;0)&lt;5,IF(AND(COUNTIF(F$1237:F1355,1)&gt;7,MOD(1+IFERROR(MATCH($C753,总览!$D$46:$D$345,1)+1,1),7)=0),$C$3,0),0)</f>
        <v>996.095579095712</v>
      </c>
      <c r="G753" s="131" cm="1">
        <f ca="1" t="array" ref="G753">IF(G1355=1,OFFSET($W$634,$B753,G$631-1)/SUMPRODUCT(--($D$631:$V$631=G$631),--($D1355:$V1355=1)),0)+SUM(G752)+IF(COUNTIF(G$1237:G1355,1)=1,5,0)+IF(COUNTIF(H753:$W753,"&gt;"&amp;0)&lt;5,IF(AND(COUNTIF(G$1237:G1355,1)&gt;7,MOD(1+IFERROR(MATCH($C753,总览!$D$46:$D$345,1)+1,1),7)=0),$C$3,0),0)</f>
        <v>336.066666666666</v>
      </c>
      <c r="H753" s="131" cm="1">
        <f ca="1" t="array" ref="H753">IF(H1355=1,OFFSET($W$634,$B753,H$631-1)/SUMPRODUCT(--($D$631:$V$631=H$631),--($D1355:$V1355=1)),0)+SUM(H752)+IF(COUNTIF(H$1237:H1355,1)=1,5,0)+IF(COUNTIF(I753:$W753,"&gt;"&amp;0)&lt;5,IF(AND(COUNTIF(H$1237:H1355,1)&gt;7,MOD(1+IFERROR(MATCH($C753,总览!$D$46:$D$345,1)+1,1),7)=0),$C$3,0),0)</f>
        <v>336.066666666666</v>
      </c>
      <c r="I753" s="131" cm="1">
        <f ca="1" t="array" ref="I753">IF(I1355=1,OFFSET($W$634,$B753,I$631-1)/SUMPRODUCT(--($D$631:$V$631=I$631),--($D1355:$V1355=1)),0)+SUM(I752)+IF(COUNTIF(I$1237:I1355,1)=1,5,0)+IF(COUNTIF(J753:$W753,"&gt;"&amp;0)&lt;5,IF(AND(COUNTIF(I$1237:I1355,1)&gt;7,MOD(1+IFERROR(MATCH($C753,总览!$D$46:$D$345,1)+1,1),7)=0),$C$3,0),0)</f>
        <v>336.066666666666</v>
      </c>
      <c r="J753" s="131" cm="1">
        <f ca="1" t="array" ref="J753">IF(J1355=1,OFFSET($W$634,$B753,J$631-1)/SUMPRODUCT(--($D$631:$V$631=J$631),--($D1355:$V1355=1)),0)+SUM(J752)+IF(COUNTIF(J$1237:J1355,1)=1,5,0)+IF(COUNTIF(K753:$W753,"&gt;"&amp;0)&lt;5,IF(AND(COUNTIF(J$1237:J1355,1)&gt;7,MOD(1+IFERROR(MATCH($C753,总览!$D$46:$D$345,1)+1,1),7)=0),$C$3,0),0)</f>
        <v>332.733333333333</v>
      </c>
      <c r="K753" s="131" cm="1">
        <f ca="1" t="array" ref="K753">IF(K1355=1,OFFSET($W$634,$B753,K$631-1)/SUMPRODUCT(--($D$631:$V$631=K$631),--($D1355:$V1355=1)),0)+SUM(K752)+IF(COUNTIF(K$1237:K1355,1)=1,5,0)+IF(COUNTIF(L753:$W753,"&gt;"&amp;0)&lt;5,IF(AND(COUNTIF(K$1237:K1355,1)&gt;7,MOD(1+IFERROR(MATCH($C753,总览!$D$46:$D$345,1)+1,1),7)=0),$C$3,0),0)</f>
        <v>330.233333333333</v>
      </c>
      <c r="L753" s="131" cm="1">
        <f ca="1" t="array" ref="L753">IF(L1355=1,OFFSET($W$634,$B753,L$631-1)/SUMPRODUCT(--($D$631:$V$631=L$631),--($D1355:$V1355=1)),0)+SUM(L752)+IF(COUNTIF(L$1237:L1355,1)=1,5,0)+IF(COUNTIF(M753:$W753,"&gt;"&amp;0)&lt;5,IF(AND(COUNTIF(L$1237:L1355,1)&gt;7,MOD(1+IFERROR(MATCH($C753,总览!$D$46:$D$345,1)+1,1),7)=0),$C$3,0),0)</f>
        <v>330.233333333333</v>
      </c>
      <c r="M753" s="131" cm="1">
        <f ca="1" t="array" ref="M753">IF(M1355=1,OFFSET($W$634,$B753,M$631-1)/SUMPRODUCT(--($D$631:$V$631=M$631),--($D1355:$V1355=1)),0)+SUM(M752)+IF(COUNTIF(M$1237:M1355,1)=1,5,0)+IF(COUNTIF(N753:$W753,"&gt;"&amp;0)&lt;5,IF(AND(COUNTIF(M$1237:M1355,1)&gt;7,MOD(1+IFERROR(MATCH($C753,总览!$D$46:$D$345,1)+1,1),7)=0),$C$3,0),0)</f>
        <v>127.752678571428</v>
      </c>
      <c r="N753" s="131" cm="1">
        <f ca="1" t="array" ref="N753">IF(N1355=1,OFFSET($W$634,$B753,N$631-1)/SUMPRODUCT(--($D$631:$V$631=N$631),--($D1355:$V1355=1)),0)+SUM(N752)+IF(COUNTIF(N$1237:N1355,1)=1,5,0)+IF(COUNTIF(O753:$W753,"&gt;"&amp;0)&lt;5,IF(AND(COUNTIF(N$1237:N1355,1)&gt;7,MOD(1+IFERROR(MATCH($C753,总览!$D$46:$D$345,1)+1,1),7)=0),$C$3,0),0)</f>
        <v>129.002678571428</v>
      </c>
      <c r="O753" s="131" cm="1">
        <f ca="1" t="array" ref="O753">IF(O1355=1,OFFSET($W$634,$B753,O$631-1)/SUMPRODUCT(--($D$631:$V$631=O$631),--($D1355:$V1355=1)),0)+SUM(O752)+IF(COUNTIF(O$1237:O1355,1)=1,5,0)+IF(COUNTIF(P753:$W753,"&gt;"&amp;0)&lt;5,IF(AND(COUNTIF(O$1237:O1355,1)&gt;7,MOD(1+IFERROR(MATCH($C753,总览!$D$46:$D$345,1)+1,1),7)=0),$C$3,0),0)</f>
        <v>134.002678571428</v>
      </c>
      <c r="P753" s="131" cm="1">
        <f ca="1" t="array" ref="P753">IF(P1355=1,OFFSET($W$634,$B753,P$631-1)/SUMPRODUCT(--($D$631:$V$631=P$631),--($D1355:$V1355=1)),0)+SUM(P752)+IF(COUNTIF(P$1237:P1355,1)=1,5,0)+IF(COUNTIF(Q753:$W753,"&gt;"&amp;0)&lt;5,IF(AND(COUNTIF(P$1237:P1355,1)&gt;7,MOD(1+IFERROR(MATCH($C753,总览!$D$46:$D$345,1)+1,1),7)=0),$C$3,0),0)</f>
        <v>123.121428571429</v>
      </c>
      <c r="Q753" s="131" cm="1">
        <f ca="1" t="array" ref="Q753">IF(Q1355=1,OFFSET($W$634,$B753,Q$631-1)/SUMPRODUCT(--($D$631:$V$631=Q$631),--($D1355:$V1355=1)),0)+SUM(Q752)+IF(COUNTIF(Q$1237:Q1355,1)=1,5,0)+IF(COUNTIF(R753:$W753,"&gt;"&amp;0)&lt;5,IF(AND(COUNTIF(Q$1237:Q1355,1)&gt;7,MOD(1+IFERROR(MATCH($C753,总览!$D$46:$D$345,1)+1,1),7)=0),$C$3,0),0)</f>
        <v>136.502678571428</v>
      </c>
      <c r="R753" s="131" cm="1">
        <f ca="1" t="array" ref="R753">IF(R1355=1,OFFSET($W$634,$B753,R$631-1)/SUMPRODUCT(--($D$631:$V$631=R$631),--($D1355:$V1355=1)),0)+SUM(R752)+IF(COUNTIF(R$1237:R1355,1)=1,5,0)+IF(COUNTIF(S753:$W753,"&gt;"&amp;0)&lt;5,IF(AND(COUNTIF(R$1237:R1355,1)&gt;7,MOD(1+IFERROR(MATCH($C753,总览!$D$46:$D$345,1)+1,1),7)=0),$C$3,0),0)</f>
        <v>128.121428571428</v>
      </c>
      <c r="S753" s="131" cm="1">
        <f ca="1" t="array" ref="S753">IF(S1355=1,OFFSET($W$634,$B753,S$631-1)/SUMPRODUCT(--($D$631:$V$631=S$631),--($D1355:$V1355=1)),0)+SUM(S752)+IF(COUNTIF(S$1237:S1355,1)=1,5,0)+IF(COUNTIF(T753:$W753,"&gt;"&amp;0)&lt;5,IF(AND(COUNTIF(S$1237:S1355,1)&gt;7,MOD(1+IFERROR(MATCH($C753,总览!$D$46:$D$345,1)+1,1),7)=0),$C$3,0),0)</f>
        <v>170.621428571428</v>
      </c>
      <c r="T753" s="131" cm="1">
        <f ca="1" t="array" ref="T753">IF(T1355=1,OFFSET($W$634,$B753,T$631-1)/SUMPRODUCT(--($D$631:$V$631=T$631),--($D1355:$V1355=1)),0)+SUM(T752)+IF(COUNTIF(T$1237:T1355,1)=1,5,0)+IF(COUNTIF(U753:$W753,"&gt;"&amp;0)&lt;5,IF(AND(COUNTIF(T$1237:T1355,1)&gt;7,MOD(1+IFERROR(MATCH($C753,总览!$D$46:$D$345,1)+1,1),7)=0),$C$3,0),0)</f>
        <v>110.106563429944</v>
      </c>
      <c r="U753" s="131" cm="1">
        <f ca="1" t="array" ref="U753">IF(U1355=1,OFFSET($W$634,$B753,U$631-1)/SUMPRODUCT(--($D$631:$V$631=U$631),--($D1355:$V1355=1)),0)+SUM(U752)+IF(COUNTIF(U$1237:U1355,1)=1,5,0)+IF(COUNTIF(V753:$W753,"&gt;"&amp;0)&lt;5,IF(AND(COUNTIF(U$1237:U1355,1)&gt;7,MOD(1+IFERROR(MATCH($C753,总览!$D$46:$D$345,1)+1,1),7)=0),$C$3,0),0)</f>
        <v>115.627349785244</v>
      </c>
      <c r="V753" s="131" cm="1">
        <f ca="1" t="array" ref="V753">IF(V1355=1,OFFSET($W$634,$B753,V$631-1)/SUMPRODUCT(--($D$631:$V$631=V$631),--($D1355:$V1355=1)),0)+SUM(V752)+IF(COUNTIF(V$1237:V1355,1)=1,5,0)+IF(COUNTIF(W753:$W753,"&gt;"&amp;0)&lt;5,IF(AND(COUNTIF(V$1237:V1355,1)&gt;7,MOD(1+IFERROR(MATCH($C753,总览!$D$46:$D$345,1)+1,1),7)=0),$C$3,0),0)</f>
        <v>135.454349497677</v>
      </c>
      <c r="W753" s="135" cm="1">
        <f ca="1" t="array" ref="W753">SUMPRODUCT(TRANSPOSE($AA753:$AG753),OFFSET($L$9:$L$15,0,W$631-1))</f>
        <v>16.8502200646615</v>
      </c>
      <c r="X753" s="135" cm="1">
        <f ca="1" t="array" ref="X753">SUMPRODUCT(TRANSPOSE($AA753:$AG753),OFFSET($L$9:$L$15,0,X$631-1))</f>
        <v>20</v>
      </c>
      <c r="Y753" s="135" cm="1">
        <f ca="1" t="array" ref="Y753">SUMPRODUCT(TRANSPOSE($AA753:$AG753),OFFSET($L$9:$L$15,0,Y$631-1))</f>
        <v>10</v>
      </c>
      <c r="Z753" s="135" cm="1">
        <f ca="1" t="array" ref="Z753">SUMPRODUCT(TRANSPOSE($AA753:$AG753),OFFSET($L$9:$L$15,0,Z$631-1))</f>
        <v>3.14977993533847</v>
      </c>
      <c r="AA753" s="136">
        <f ca="1" t="shared" ref="AA753:AG753" si="479">AH753-AH752</f>
        <v>0</v>
      </c>
      <c r="AB753" s="136">
        <f ca="1" t="shared" si="479"/>
        <v>0</v>
      </c>
      <c r="AC753" s="136">
        <f ca="1" t="shared" si="479"/>
        <v>0</v>
      </c>
      <c r="AD753" s="136">
        <f ca="1" t="shared" si="479"/>
        <v>0</v>
      </c>
      <c r="AE753" s="136">
        <f ca="1" t="shared" si="479"/>
        <v>0</v>
      </c>
      <c r="AF753" s="136">
        <f ca="1" t="shared" si="479"/>
        <v>100</v>
      </c>
      <c r="AG753" s="136">
        <f ca="1" t="shared" si="479"/>
        <v>0</v>
      </c>
      <c r="AH753" s="136">
        <f ca="1" t="shared" si="371"/>
        <v>450</v>
      </c>
      <c r="AI753" s="136">
        <f ca="1" t="shared" ref="AI753:AN753" si="480">IF($C753&gt;OFFSET($Q$8,MATCH(AI$634,$AH$634:$AN$634,0),0),OFFSET($P$8,MATCH(AI$634,$AH$634:$AN$634,0),0),MAX(0,$C753-OFFSET($Q$8,RIGHT(AI$634,1)-1,0)))</f>
        <v>909</v>
      </c>
      <c r="AJ753" s="136">
        <f ca="1" t="shared" si="480"/>
        <v>1818</v>
      </c>
      <c r="AK753" s="136">
        <f ca="1" t="shared" si="480"/>
        <v>2727</v>
      </c>
      <c r="AL753" s="136">
        <f ca="1" t="shared" si="480"/>
        <v>3636</v>
      </c>
      <c r="AM753" s="136">
        <f ca="1" t="shared" si="480"/>
        <v>2360</v>
      </c>
      <c r="AN753" s="136">
        <f ca="1" t="shared" si="480"/>
        <v>0</v>
      </c>
    </row>
    <row r="754" s="106" customFormat="1" ht="16.5" spans="2:40">
      <c r="B754" s="117">
        <v>120</v>
      </c>
      <c r="C754" s="130">
        <f t="shared" si="369"/>
        <v>12000</v>
      </c>
      <c r="D754" s="131" cm="1">
        <f ca="1" t="array" ref="D754">IF(D1356=1,OFFSET($W$634,$B754,D$631-1)/SUMPRODUCT(--($D$631:$V$631=D$631),--($D1356:$V1356=1)),0)+SUM(D753)+IF(COUNTIF(D$1237:D1356,1)=1,5,0)+IF(COUNTIF(E754:$W754,"&gt;"&amp;0)&lt;5,IF(AND(COUNTIF(D$1237:D1356,1)&gt;7,MOD(1+IFERROR(MATCH($C754,总览!$D$46:$D$345,1)+1,1),7)=0),$C$3,0),0)</f>
        <v>1001.71231911727</v>
      </c>
      <c r="E754" s="131" cm="1">
        <f ca="1" t="array" ref="E754">IF(E1356=1,OFFSET($W$634,$B754,E$631-1)/SUMPRODUCT(--($D$631:$V$631=E$631),--($D1356:$V1356=1)),0)+SUM(E753)+IF(COUNTIF(E$1237:E1356,1)=1,5,0)+IF(COUNTIF(F754:$W754,"&gt;"&amp;0)&lt;5,IF(AND(COUNTIF(E$1237:E1356,1)&gt;7,MOD(1+IFERROR(MATCH($C754,总览!$D$46:$D$345,1)+1,1),7)=0),$C$3,0),0)</f>
        <v>1001.71231911727</v>
      </c>
      <c r="F754" s="131" cm="1">
        <f ca="1" t="array" ref="F754">IF(F1356=1,OFFSET($W$634,$B754,F$631-1)/SUMPRODUCT(--($D$631:$V$631=F$631),--($D1356:$V1356=1)),0)+SUM(F753)+IF(COUNTIF(F$1237:F1356,1)=1,5,0)+IF(COUNTIF(G754:$W754,"&gt;"&amp;0)&lt;5,IF(AND(COUNTIF(F$1237:F1356,1)&gt;7,MOD(1+IFERROR(MATCH($C754,总览!$D$46:$D$345,1)+1,1),7)=0),$C$3,0),0)</f>
        <v>1001.71231911727</v>
      </c>
      <c r="G754" s="131" cm="1">
        <f ca="1" t="array" ref="G754">IF(G1356=1,OFFSET($W$634,$B754,G$631-1)/SUMPRODUCT(--($D$631:$V$631=G$631),--($D1356:$V1356=1)),0)+SUM(G753)+IF(COUNTIF(G$1237:G1356,1)=1,5,0)+IF(COUNTIF(H754:$W754,"&gt;"&amp;0)&lt;5,IF(AND(COUNTIF(G$1237:G1356,1)&gt;7,MOD(1+IFERROR(MATCH($C754,总览!$D$46:$D$345,1)+1,1),7)=0),$C$3,0),0)</f>
        <v>339.4</v>
      </c>
      <c r="H754" s="131" cm="1">
        <f ca="1" t="array" ref="H754">IF(H1356=1,OFFSET($W$634,$B754,H$631-1)/SUMPRODUCT(--($D$631:$V$631=H$631),--($D1356:$V1356=1)),0)+SUM(H753)+IF(COUNTIF(H$1237:H1356,1)=1,5,0)+IF(COUNTIF(I754:$W754,"&gt;"&amp;0)&lt;5,IF(AND(COUNTIF(H$1237:H1356,1)&gt;7,MOD(1+IFERROR(MATCH($C754,总览!$D$46:$D$345,1)+1,1),7)=0),$C$3,0),0)</f>
        <v>339.4</v>
      </c>
      <c r="I754" s="131" cm="1">
        <f ca="1" t="array" ref="I754">IF(I1356=1,OFFSET($W$634,$B754,I$631-1)/SUMPRODUCT(--($D$631:$V$631=I$631),--($D1356:$V1356=1)),0)+SUM(I753)+IF(COUNTIF(I$1237:I1356,1)=1,5,0)+IF(COUNTIF(J754:$W754,"&gt;"&amp;0)&lt;5,IF(AND(COUNTIF(I$1237:I1356,1)&gt;7,MOD(1+IFERROR(MATCH($C754,总览!$D$46:$D$345,1)+1,1),7)=0),$C$3,0),0)</f>
        <v>339.4</v>
      </c>
      <c r="J754" s="131" cm="1">
        <f ca="1" t="array" ref="J754">IF(J1356=1,OFFSET($W$634,$B754,J$631-1)/SUMPRODUCT(--($D$631:$V$631=J$631),--($D1356:$V1356=1)),0)+SUM(J753)+IF(COUNTIF(J$1237:J1356,1)=1,5,0)+IF(COUNTIF(K754:$W754,"&gt;"&amp;0)&lt;5,IF(AND(COUNTIF(J$1237:J1356,1)&gt;7,MOD(1+IFERROR(MATCH($C754,总览!$D$46:$D$345,1)+1,1),7)=0),$C$3,0),0)</f>
        <v>336.066666666666</v>
      </c>
      <c r="K754" s="131" cm="1">
        <f ca="1" t="array" ref="K754">IF(K1356=1,OFFSET($W$634,$B754,K$631-1)/SUMPRODUCT(--($D$631:$V$631=K$631),--($D1356:$V1356=1)),0)+SUM(K753)+IF(COUNTIF(K$1237:K1356,1)=1,5,0)+IF(COUNTIF(L754:$W754,"&gt;"&amp;0)&lt;5,IF(AND(COUNTIF(K$1237:K1356,1)&gt;7,MOD(1+IFERROR(MATCH($C754,总览!$D$46:$D$345,1)+1,1),7)=0),$C$3,0),0)</f>
        <v>333.566666666666</v>
      </c>
      <c r="L754" s="131" cm="1">
        <f ca="1" t="array" ref="L754">IF(L1356=1,OFFSET($W$634,$B754,L$631-1)/SUMPRODUCT(--($D$631:$V$631=L$631),--($D1356:$V1356=1)),0)+SUM(L753)+IF(COUNTIF(L$1237:L1356,1)=1,5,0)+IF(COUNTIF(M754:$W754,"&gt;"&amp;0)&lt;5,IF(AND(COUNTIF(L$1237:L1356,1)&gt;7,MOD(1+IFERROR(MATCH($C754,总览!$D$46:$D$345,1)+1,1),7)=0),$C$3,0),0)</f>
        <v>333.566666666666</v>
      </c>
      <c r="M754" s="131" cm="1">
        <f ca="1" t="array" ref="M754">IF(M1356=1,OFFSET($W$634,$B754,M$631-1)/SUMPRODUCT(--($D$631:$V$631=M$631),--($D1356:$V1356=1)),0)+SUM(M753)+IF(COUNTIF(M$1237:M1356,1)=1,5,0)+IF(COUNTIF(N754:$W754,"&gt;"&amp;0)&lt;5,IF(AND(COUNTIF(M$1237:M1356,1)&gt;7,MOD(1+IFERROR(MATCH($C754,总览!$D$46:$D$345,1)+1,1),7)=0),$C$3,0),0)</f>
        <v>129.18125</v>
      </c>
      <c r="N754" s="131" cm="1">
        <f ca="1" t="array" ref="N754">IF(N1356=1,OFFSET($W$634,$B754,N$631-1)/SUMPRODUCT(--($D$631:$V$631=N$631),--($D1356:$V1356=1)),0)+SUM(N753)+IF(COUNTIF(N$1237:N1356,1)=1,5,0)+IF(COUNTIF(O754:$W754,"&gt;"&amp;0)&lt;5,IF(AND(COUNTIF(N$1237:N1356,1)&gt;7,MOD(1+IFERROR(MATCH($C754,总览!$D$46:$D$345,1)+1,1),7)=0),$C$3,0),0)</f>
        <v>130.43125</v>
      </c>
      <c r="O754" s="131" cm="1">
        <f ca="1" t="array" ref="O754">IF(O1356=1,OFFSET($W$634,$B754,O$631-1)/SUMPRODUCT(--($D$631:$V$631=O$631),--($D1356:$V1356=1)),0)+SUM(O753)+IF(COUNTIF(O$1237:O1356,1)=1,5,0)+IF(COUNTIF(P754:$W754,"&gt;"&amp;0)&lt;5,IF(AND(COUNTIF(O$1237:O1356,1)&gt;7,MOD(1+IFERROR(MATCH($C754,总览!$D$46:$D$345,1)+1,1),7)=0),$C$3,0),0)</f>
        <v>135.43125</v>
      </c>
      <c r="P754" s="131" cm="1">
        <f ca="1" t="array" ref="P754">IF(P1356=1,OFFSET($W$634,$B754,P$631-1)/SUMPRODUCT(--($D$631:$V$631=P$631),--($D1356:$V1356=1)),0)+SUM(P753)+IF(COUNTIF(P$1237:P1356,1)=1,5,0)+IF(COUNTIF(Q754:$W754,"&gt;"&amp;0)&lt;5,IF(AND(COUNTIF(P$1237:P1356,1)&gt;7,MOD(1+IFERROR(MATCH($C754,总览!$D$46:$D$345,1)+1,1),7)=0),$C$3,0),0)</f>
        <v>124.55</v>
      </c>
      <c r="Q754" s="131" cm="1">
        <f ca="1" t="array" ref="Q754">IF(Q1356=1,OFFSET($W$634,$B754,Q$631-1)/SUMPRODUCT(--($D$631:$V$631=Q$631),--($D1356:$V1356=1)),0)+SUM(Q753)+IF(COUNTIF(Q$1237:Q1356,1)=1,5,0)+IF(COUNTIF(R754:$W754,"&gt;"&amp;0)&lt;5,IF(AND(COUNTIF(Q$1237:Q1356,1)&gt;7,MOD(1+IFERROR(MATCH($C754,总览!$D$46:$D$345,1)+1,1),7)=0),$C$3,0),0)</f>
        <v>137.93125</v>
      </c>
      <c r="R754" s="131" cm="1">
        <f ca="1" t="array" ref="R754">IF(R1356=1,OFFSET($W$634,$B754,R$631-1)/SUMPRODUCT(--($D$631:$V$631=R$631),--($D1356:$V1356=1)),0)+SUM(R753)+IF(COUNTIF(R$1237:R1356,1)=1,5,0)+IF(COUNTIF(S754:$W754,"&gt;"&amp;0)&lt;5,IF(AND(COUNTIF(R$1237:R1356,1)&gt;7,MOD(1+IFERROR(MATCH($C754,总览!$D$46:$D$345,1)+1,1),7)=0),$C$3,0),0)</f>
        <v>129.55</v>
      </c>
      <c r="S754" s="131" cm="1">
        <f ca="1" t="array" ref="S754">IF(S1356=1,OFFSET($W$634,$B754,S$631-1)/SUMPRODUCT(--($D$631:$V$631=S$631),--($D1356:$V1356=1)),0)+SUM(S753)+IF(COUNTIF(S$1237:S1356,1)=1,5,0)+IF(COUNTIF(T754:$W754,"&gt;"&amp;0)&lt;5,IF(AND(COUNTIF(S$1237:S1356,1)&gt;7,MOD(1+IFERROR(MATCH($C754,总览!$D$46:$D$345,1)+1,1),7)=0),$C$3,0),0)</f>
        <v>172.05</v>
      </c>
      <c r="T754" s="131" cm="1">
        <f ca="1" t="array" ref="T754">IF(T1356=1,OFFSET($W$634,$B754,T$631-1)/SUMPRODUCT(--($D$631:$V$631=T$631),--($D1356:$V1356=1)),0)+SUM(T753)+IF(COUNTIF(T$1237:T1356,1)=1,5,0)+IF(COUNTIF(U754:$W754,"&gt;"&amp;0)&lt;5,IF(AND(COUNTIF(T$1237:T1356,1)&gt;7,MOD(1+IFERROR(MATCH($C754,总览!$D$46:$D$345,1)+1,1),7)=0),$C$3,0),0)</f>
        <v>111.156490075057</v>
      </c>
      <c r="U754" s="131" cm="1">
        <f ca="1" t="array" ref="U754">IF(U1356=1,OFFSET($W$634,$B754,U$631-1)/SUMPRODUCT(--($D$631:$V$631=U$631),--($D1356:$V1356=1)),0)+SUM(U753)+IF(COUNTIF(U$1237:U1356,1)=1,5,0)+IF(COUNTIF(V754:$W754,"&gt;"&amp;0)&lt;5,IF(AND(COUNTIF(U$1237:U1356,1)&gt;7,MOD(1+IFERROR(MATCH($C754,总览!$D$46:$D$345,1)+1,1),7)=0),$C$3,0),0)</f>
        <v>116.677276430357</v>
      </c>
      <c r="V754" s="131" cm="1">
        <f ca="1" t="array" ref="V754">IF(V1356=1,OFFSET($W$634,$B754,V$631-1)/SUMPRODUCT(--($D$631:$V$631=V$631),--($D1356:$V1356=1)),0)+SUM(V753)+IF(COUNTIF(V$1237:V1356,1)=1,5,0)+IF(COUNTIF(W754:$W754,"&gt;"&amp;0)&lt;5,IF(AND(COUNTIF(V$1237:V1356,1)&gt;7,MOD(1+IFERROR(MATCH($C754,总览!$D$46:$D$345,1)+1,1),7)=0),$C$3,0),0)</f>
        <v>136.50427614279</v>
      </c>
      <c r="W754" s="135" cm="1">
        <f ca="1" t="array" ref="W754">SUMPRODUCT(TRANSPOSE($AA754:$AG754),OFFSET($L$9:$L$15,0,W$631-1))</f>
        <v>16.8502200646615</v>
      </c>
      <c r="X754" s="135" cm="1">
        <f ca="1" t="array" ref="X754">SUMPRODUCT(TRANSPOSE($AA754:$AG754),OFFSET($L$9:$L$15,0,X$631-1))</f>
        <v>20</v>
      </c>
      <c r="Y754" s="135" cm="1">
        <f ca="1" t="array" ref="Y754">SUMPRODUCT(TRANSPOSE($AA754:$AG754),OFFSET($L$9:$L$15,0,Y$631-1))</f>
        <v>10</v>
      </c>
      <c r="Z754" s="135" cm="1">
        <f ca="1" t="array" ref="Z754">SUMPRODUCT(TRANSPOSE($AA754:$AG754),OFFSET($L$9:$L$15,0,Z$631-1))</f>
        <v>3.14977993533847</v>
      </c>
      <c r="AA754" s="136">
        <f ca="1" t="shared" ref="AA754:AG754" si="481">AH754-AH753</f>
        <v>0</v>
      </c>
      <c r="AB754" s="136">
        <f ca="1" t="shared" si="481"/>
        <v>0</v>
      </c>
      <c r="AC754" s="136">
        <f ca="1" t="shared" si="481"/>
        <v>0</v>
      </c>
      <c r="AD754" s="136">
        <f ca="1" t="shared" si="481"/>
        <v>0</v>
      </c>
      <c r="AE754" s="136">
        <f ca="1" t="shared" si="481"/>
        <v>0</v>
      </c>
      <c r="AF754" s="136">
        <f ca="1" t="shared" si="481"/>
        <v>100</v>
      </c>
      <c r="AG754" s="136">
        <f ca="1" t="shared" si="481"/>
        <v>0</v>
      </c>
      <c r="AH754" s="136">
        <f ca="1" t="shared" si="371"/>
        <v>450</v>
      </c>
      <c r="AI754" s="136">
        <f ca="1" t="shared" ref="AI754:AN754" si="482">IF($C754&gt;OFFSET($Q$8,MATCH(AI$634,$AH$634:$AN$634,0),0),OFFSET($P$8,MATCH(AI$634,$AH$634:$AN$634,0),0),MAX(0,$C754-OFFSET($Q$8,RIGHT(AI$634,1)-1,0)))</f>
        <v>909</v>
      </c>
      <c r="AJ754" s="136">
        <f ca="1" t="shared" si="482"/>
        <v>1818</v>
      </c>
      <c r="AK754" s="136">
        <f ca="1" t="shared" si="482"/>
        <v>2727</v>
      </c>
      <c r="AL754" s="136">
        <f ca="1" t="shared" si="482"/>
        <v>3636</v>
      </c>
      <c r="AM754" s="136">
        <f ca="1" t="shared" si="482"/>
        <v>2460</v>
      </c>
      <c r="AN754" s="136">
        <f ca="1" t="shared" si="482"/>
        <v>0</v>
      </c>
    </row>
    <row r="755" s="106" customFormat="1" ht="16.5" spans="2:40">
      <c r="B755" s="117">
        <v>121</v>
      </c>
      <c r="C755" s="130">
        <f t="shared" si="369"/>
        <v>12100</v>
      </c>
      <c r="D755" s="131" cm="1">
        <f ca="1" t="array" ref="D755">IF(D1357=1,OFFSET($W$634,$B755,D$631-1)/SUMPRODUCT(--($D$631:$V$631=D$631),--($D1357:$V1357=1)),0)+SUM(D754)+IF(COUNTIF(D$1237:D1357,1)=1,5,0)+IF(COUNTIF(E755:$W755,"&gt;"&amp;0)&lt;5,IF(AND(COUNTIF(D$1237:D1357,1)&gt;7,MOD(1+IFERROR(MATCH($C755,总览!$D$46:$D$345,1)+1,1),7)=0),$C$3,0),0)</f>
        <v>1007.32905913882</v>
      </c>
      <c r="E755" s="131" cm="1">
        <f ca="1" t="array" ref="E755">IF(E1357=1,OFFSET($W$634,$B755,E$631-1)/SUMPRODUCT(--($D$631:$V$631=E$631),--($D1357:$V1357=1)),0)+SUM(E754)+IF(COUNTIF(E$1237:E1357,1)=1,5,0)+IF(COUNTIF(F755:$W755,"&gt;"&amp;0)&lt;5,IF(AND(COUNTIF(E$1237:E1357,1)&gt;7,MOD(1+IFERROR(MATCH($C755,总览!$D$46:$D$345,1)+1,1),7)=0),$C$3,0),0)</f>
        <v>1007.32905913882</v>
      </c>
      <c r="F755" s="131" cm="1">
        <f ca="1" t="array" ref="F755">IF(F1357=1,OFFSET($W$634,$B755,F$631-1)/SUMPRODUCT(--($D$631:$V$631=F$631),--($D1357:$V1357=1)),0)+SUM(F754)+IF(COUNTIF(F$1237:F1357,1)=1,5,0)+IF(COUNTIF(G755:$W755,"&gt;"&amp;0)&lt;5,IF(AND(COUNTIF(F$1237:F1357,1)&gt;7,MOD(1+IFERROR(MATCH($C755,总览!$D$46:$D$345,1)+1,1),7)=0),$C$3,0),0)</f>
        <v>1007.32905913882</v>
      </c>
      <c r="G755" s="131" cm="1">
        <f ca="1" t="array" ref="G755">IF(G1357=1,OFFSET($W$634,$B755,G$631-1)/SUMPRODUCT(--($D$631:$V$631=G$631),--($D1357:$V1357=1)),0)+SUM(G754)+IF(COUNTIF(G$1237:G1357,1)=1,5,0)+IF(COUNTIF(H755:$W755,"&gt;"&amp;0)&lt;5,IF(AND(COUNTIF(G$1237:G1357,1)&gt;7,MOD(1+IFERROR(MATCH($C755,总览!$D$46:$D$345,1)+1,1),7)=0),$C$3,0),0)</f>
        <v>342.733333333333</v>
      </c>
      <c r="H755" s="131" cm="1">
        <f ca="1" t="array" ref="H755">IF(H1357=1,OFFSET($W$634,$B755,H$631-1)/SUMPRODUCT(--($D$631:$V$631=H$631),--($D1357:$V1357=1)),0)+SUM(H754)+IF(COUNTIF(H$1237:H1357,1)=1,5,0)+IF(COUNTIF(I755:$W755,"&gt;"&amp;0)&lt;5,IF(AND(COUNTIF(H$1237:H1357,1)&gt;7,MOD(1+IFERROR(MATCH($C755,总览!$D$46:$D$345,1)+1,1),7)=0),$C$3,0),0)</f>
        <v>342.733333333333</v>
      </c>
      <c r="I755" s="131" cm="1">
        <f ca="1" t="array" ref="I755">IF(I1357=1,OFFSET($W$634,$B755,I$631-1)/SUMPRODUCT(--($D$631:$V$631=I$631),--($D1357:$V1357=1)),0)+SUM(I754)+IF(COUNTIF(I$1237:I1357,1)=1,5,0)+IF(COUNTIF(J755:$W755,"&gt;"&amp;0)&lt;5,IF(AND(COUNTIF(I$1237:I1357,1)&gt;7,MOD(1+IFERROR(MATCH($C755,总览!$D$46:$D$345,1)+1,1),7)=0),$C$3,0),0)</f>
        <v>342.733333333333</v>
      </c>
      <c r="J755" s="131" cm="1">
        <f ca="1" t="array" ref="J755">IF(J1357=1,OFFSET($W$634,$B755,J$631-1)/SUMPRODUCT(--($D$631:$V$631=J$631),--($D1357:$V1357=1)),0)+SUM(J754)+IF(COUNTIF(J$1237:J1357,1)=1,5,0)+IF(COUNTIF(K755:$W755,"&gt;"&amp;0)&lt;5,IF(AND(COUNTIF(J$1237:J1357,1)&gt;7,MOD(1+IFERROR(MATCH($C755,总览!$D$46:$D$345,1)+1,1),7)=0),$C$3,0),0)</f>
        <v>339.4</v>
      </c>
      <c r="K755" s="131" cm="1">
        <f ca="1" t="array" ref="K755">IF(K1357=1,OFFSET($W$634,$B755,K$631-1)/SUMPRODUCT(--($D$631:$V$631=K$631),--($D1357:$V1357=1)),0)+SUM(K754)+IF(COUNTIF(K$1237:K1357,1)=1,5,0)+IF(COUNTIF(L755:$W755,"&gt;"&amp;0)&lt;5,IF(AND(COUNTIF(K$1237:K1357,1)&gt;7,MOD(1+IFERROR(MATCH($C755,总览!$D$46:$D$345,1)+1,1),7)=0),$C$3,0),0)</f>
        <v>336.9</v>
      </c>
      <c r="L755" s="131" cm="1">
        <f ca="1" t="array" ref="L755">IF(L1357=1,OFFSET($W$634,$B755,L$631-1)/SUMPRODUCT(--($D$631:$V$631=L$631),--($D1357:$V1357=1)),0)+SUM(L754)+IF(COUNTIF(L$1237:L1357,1)=1,5,0)+IF(COUNTIF(M755:$W755,"&gt;"&amp;0)&lt;5,IF(AND(COUNTIF(L$1237:L1357,1)&gt;7,MOD(1+IFERROR(MATCH($C755,总览!$D$46:$D$345,1)+1,1),7)=0),$C$3,0),0)</f>
        <v>336.9</v>
      </c>
      <c r="M755" s="131" cm="1">
        <f ca="1" t="array" ref="M755">IF(M1357=1,OFFSET($W$634,$B755,M$631-1)/SUMPRODUCT(--($D$631:$V$631=M$631),--($D1357:$V1357=1)),0)+SUM(M754)+IF(COUNTIF(M$1237:M1357,1)=1,5,0)+IF(COUNTIF(N755:$W755,"&gt;"&amp;0)&lt;5,IF(AND(COUNTIF(M$1237:M1357,1)&gt;7,MOD(1+IFERROR(MATCH($C755,总览!$D$46:$D$345,1)+1,1),7)=0),$C$3,0),0)</f>
        <v>130.609821428571</v>
      </c>
      <c r="N755" s="131" cm="1">
        <f ca="1" t="array" ref="N755">IF(N1357=1,OFFSET($W$634,$B755,N$631-1)/SUMPRODUCT(--($D$631:$V$631=N$631),--($D1357:$V1357=1)),0)+SUM(N754)+IF(COUNTIF(N$1237:N1357,1)=1,5,0)+IF(COUNTIF(O755:$W755,"&gt;"&amp;0)&lt;5,IF(AND(COUNTIF(N$1237:N1357,1)&gt;7,MOD(1+IFERROR(MATCH($C755,总览!$D$46:$D$345,1)+1,1),7)=0),$C$3,0),0)</f>
        <v>131.859821428571</v>
      </c>
      <c r="O755" s="131" cm="1">
        <f ca="1" t="array" ref="O755">IF(O1357=1,OFFSET($W$634,$B755,O$631-1)/SUMPRODUCT(--($D$631:$V$631=O$631),--($D1357:$V1357=1)),0)+SUM(O754)+IF(COUNTIF(O$1237:O1357,1)=1,5,0)+IF(COUNTIF(P755:$W755,"&gt;"&amp;0)&lt;5,IF(AND(COUNTIF(O$1237:O1357,1)&gt;7,MOD(1+IFERROR(MATCH($C755,总览!$D$46:$D$345,1)+1,1),7)=0),$C$3,0),0)</f>
        <v>136.859821428571</v>
      </c>
      <c r="P755" s="131" cm="1">
        <f ca="1" t="array" ref="P755">IF(P1357=1,OFFSET($W$634,$B755,P$631-1)/SUMPRODUCT(--($D$631:$V$631=P$631),--($D1357:$V1357=1)),0)+SUM(P754)+IF(COUNTIF(P$1237:P1357,1)=1,5,0)+IF(COUNTIF(Q755:$W755,"&gt;"&amp;0)&lt;5,IF(AND(COUNTIF(P$1237:P1357,1)&gt;7,MOD(1+IFERROR(MATCH($C755,总览!$D$46:$D$345,1)+1,1),7)=0),$C$3,0),0)</f>
        <v>125.978571428571</v>
      </c>
      <c r="Q755" s="131" cm="1">
        <f ca="1" t="array" ref="Q755">IF(Q1357=1,OFFSET($W$634,$B755,Q$631-1)/SUMPRODUCT(--($D$631:$V$631=Q$631),--($D1357:$V1357=1)),0)+SUM(Q754)+IF(COUNTIF(Q$1237:Q1357,1)=1,5,0)+IF(COUNTIF(R755:$W755,"&gt;"&amp;0)&lt;5,IF(AND(COUNTIF(Q$1237:Q1357,1)&gt;7,MOD(1+IFERROR(MATCH($C755,总览!$D$46:$D$345,1)+1,1),7)=0),$C$3,0),0)</f>
        <v>139.359821428571</v>
      </c>
      <c r="R755" s="131" cm="1">
        <f ca="1" t="array" ref="R755">IF(R1357=1,OFFSET($W$634,$B755,R$631-1)/SUMPRODUCT(--($D$631:$V$631=R$631),--($D1357:$V1357=1)),0)+SUM(R754)+IF(COUNTIF(R$1237:R1357,1)=1,5,0)+IF(COUNTIF(S755:$W755,"&gt;"&amp;0)&lt;5,IF(AND(COUNTIF(R$1237:R1357,1)&gt;7,MOD(1+IFERROR(MATCH($C755,总览!$D$46:$D$345,1)+1,1),7)=0),$C$3,0),0)</f>
        <v>130.978571428571</v>
      </c>
      <c r="S755" s="131" cm="1">
        <f ca="1" t="array" ref="S755">IF(S1357=1,OFFSET($W$634,$B755,S$631-1)/SUMPRODUCT(--($D$631:$V$631=S$631),--($D1357:$V1357=1)),0)+SUM(S754)+IF(COUNTIF(S$1237:S1357,1)=1,5,0)+IF(COUNTIF(T755:$W755,"&gt;"&amp;0)&lt;5,IF(AND(COUNTIF(S$1237:S1357,1)&gt;7,MOD(1+IFERROR(MATCH($C755,总览!$D$46:$D$345,1)+1,1),7)=0),$C$3,0),0)</f>
        <v>178.478571428571</v>
      </c>
      <c r="T755" s="131" cm="1">
        <f ca="1" t="array" ref="T755">IF(T1357=1,OFFSET($W$634,$B755,T$631-1)/SUMPRODUCT(--($D$631:$V$631=T$631),--($D1357:$V1357=1)),0)+SUM(T754)+IF(COUNTIF(T$1237:T1357,1)=1,5,0)+IF(COUNTIF(U755:$W755,"&gt;"&amp;0)&lt;5,IF(AND(COUNTIF(T$1237:T1357,1)&gt;7,MOD(1+IFERROR(MATCH($C755,总览!$D$46:$D$345,1)+1,1),7)=0),$C$3,0),0)</f>
        <v>117.20641672017</v>
      </c>
      <c r="U755" s="131" cm="1">
        <f ca="1" t="array" ref="U755">IF(U1357=1,OFFSET($W$634,$B755,U$631-1)/SUMPRODUCT(--($D$631:$V$631=U$631),--($D1357:$V1357=1)),0)+SUM(U754)+IF(COUNTIF(U$1237:U1357,1)=1,5,0)+IF(COUNTIF(V755:$W755,"&gt;"&amp;0)&lt;5,IF(AND(COUNTIF(U$1237:U1357,1)&gt;7,MOD(1+IFERROR(MATCH($C755,总览!$D$46:$D$345,1)+1,1),7)=0),$C$3,0),0)</f>
        <v>122.727203075469</v>
      </c>
      <c r="V755" s="131" cm="1">
        <f ca="1" t="array" ref="V755">IF(V1357=1,OFFSET($W$634,$B755,V$631-1)/SUMPRODUCT(--($D$631:$V$631=V$631),--($D1357:$V1357=1)),0)+SUM(V754)+IF(COUNTIF(V$1237:V1357,1)=1,5,0)+IF(COUNTIF(W755:$W755,"&gt;"&amp;0)&lt;5,IF(AND(COUNTIF(V$1237:V1357,1)&gt;7,MOD(1+IFERROR(MATCH($C755,总览!$D$46:$D$345,1)+1,1),7)=0),$C$3,0),0)</f>
        <v>142.554202787903</v>
      </c>
      <c r="W755" s="135" cm="1">
        <f ca="1" t="array" ref="W755">SUMPRODUCT(TRANSPOSE($AA755:$AG755),OFFSET($L$9:$L$15,0,W$631-1))</f>
        <v>16.8502200646615</v>
      </c>
      <c r="X755" s="135" cm="1">
        <f ca="1" t="array" ref="X755">SUMPRODUCT(TRANSPOSE($AA755:$AG755),OFFSET($L$9:$L$15,0,X$631-1))</f>
        <v>20</v>
      </c>
      <c r="Y755" s="135" cm="1">
        <f ca="1" t="array" ref="Y755">SUMPRODUCT(TRANSPOSE($AA755:$AG755),OFFSET($L$9:$L$15,0,Y$631-1))</f>
        <v>10</v>
      </c>
      <c r="Z755" s="135" cm="1">
        <f ca="1" t="array" ref="Z755">SUMPRODUCT(TRANSPOSE($AA755:$AG755),OFFSET($L$9:$L$15,0,Z$631-1))</f>
        <v>3.14977993533847</v>
      </c>
      <c r="AA755" s="136">
        <f ca="1" t="shared" ref="AA755:AG755" si="483">AH755-AH754</f>
        <v>0</v>
      </c>
      <c r="AB755" s="136">
        <f ca="1" t="shared" si="483"/>
        <v>0</v>
      </c>
      <c r="AC755" s="136">
        <f ca="1" t="shared" si="483"/>
        <v>0</v>
      </c>
      <c r="AD755" s="136">
        <f ca="1" t="shared" si="483"/>
        <v>0</v>
      </c>
      <c r="AE755" s="136">
        <f ca="1" t="shared" si="483"/>
        <v>0</v>
      </c>
      <c r="AF755" s="136">
        <f ca="1" t="shared" si="483"/>
        <v>100</v>
      </c>
      <c r="AG755" s="136">
        <f ca="1" t="shared" si="483"/>
        <v>0</v>
      </c>
      <c r="AH755" s="136">
        <f ca="1" t="shared" si="371"/>
        <v>450</v>
      </c>
      <c r="AI755" s="136">
        <f ca="1" t="shared" ref="AI755:AN755" si="484">IF($C755&gt;OFFSET($Q$8,MATCH(AI$634,$AH$634:$AN$634,0),0),OFFSET($P$8,MATCH(AI$634,$AH$634:$AN$634,0),0),MAX(0,$C755-OFFSET($Q$8,RIGHT(AI$634,1)-1,0)))</f>
        <v>909</v>
      </c>
      <c r="AJ755" s="136">
        <f ca="1" t="shared" si="484"/>
        <v>1818</v>
      </c>
      <c r="AK755" s="136">
        <f ca="1" t="shared" si="484"/>
        <v>2727</v>
      </c>
      <c r="AL755" s="136">
        <f ca="1" t="shared" si="484"/>
        <v>3636</v>
      </c>
      <c r="AM755" s="136">
        <f ca="1" t="shared" si="484"/>
        <v>2560</v>
      </c>
      <c r="AN755" s="136">
        <f ca="1" t="shared" si="484"/>
        <v>0</v>
      </c>
    </row>
    <row r="756" s="106" customFormat="1" ht="16.5" spans="2:40">
      <c r="B756" s="117">
        <v>122</v>
      </c>
      <c r="C756" s="130">
        <f t="shared" si="369"/>
        <v>12200</v>
      </c>
      <c r="D756" s="131" cm="1">
        <f ca="1" t="array" ref="D756">IF(D1358=1,OFFSET($W$634,$B756,D$631-1)/SUMPRODUCT(--($D$631:$V$631=D$631),--($D1358:$V1358=1)),0)+SUM(D755)+IF(COUNTIF(D$1237:D1358,1)=1,5,0)+IF(COUNTIF(E756:$W756,"&gt;"&amp;0)&lt;5,IF(AND(COUNTIF(D$1237:D1358,1)&gt;7,MOD(1+IFERROR(MATCH($C756,总览!$D$46:$D$345,1)+1,1),7)=0),$C$3,0),0)</f>
        <v>1012.94579916037</v>
      </c>
      <c r="E756" s="131" cm="1">
        <f ca="1" t="array" ref="E756">IF(E1358=1,OFFSET($W$634,$B756,E$631-1)/SUMPRODUCT(--($D$631:$V$631=E$631),--($D1358:$V1358=1)),0)+SUM(E755)+IF(COUNTIF(E$1237:E1358,1)=1,5,0)+IF(COUNTIF(F756:$W756,"&gt;"&amp;0)&lt;5,IF(AND(COUNTIF(E$1237:E1358,1)&gt;7,MOD(1+IFERROR(MATCH($C756,总览!$D$46:$D$345,1)+1,1),7)=0),$C$3,0),0)</f>
        <v>1012.94579916037</v>
      </c>
      <c r="F756" s="131" cm="1">
        <f ca="1" t="array" ref="F756">IF(F1358=1,OFFSET($W$634,$B756,F$631-1)/SUMPRODUCT(--($D$631:$V$631=F$631),--($D1358:$V1358=1)),0)+SUM(F755)+IF(COUNTIF(F$1237:F1358,1)=1,5,0)+IF(COUNTIF(G756:$W756,"&gt;"&amp;0)&lt;5,IF(AND(COUNTIF(F$1237:F1358,1)&gt;7,MOD(1+IFERROR(MATCH($C756,总览!$D$46:$D$345,1)+1,1),7)=0),$C$3,0),0)</f>
        <v>1012.94579916037</v>
      </c>
      <c r="G756" s="131" cm="1">
        <f ca="1" t="array" ref="G756">IF(G1358=1,OFFSET($W$634,$B756,G$631-1)/SUMPRODUCT(--($D$631:$V$631=G$631),--($D1358:$V1358=1)),0)+SUM(G755)+IF(COUNTIF(G$1237:G1358,1)=1,5,0)+IF(COUNTIF(H756:$W756,"&gt;"&amp;0)&lt;5,IF(AND(COUNTIF(G$1237:G1358,1)&gt;7,MOD(1+IFERROR(MATCH($C756,总览!$D$46:$D$345,1)+1,1),7)=0),$C$3,0),0)</f>
        <v>346.066666666666</v>
      </c>
      <c r="H756" s="131" cm="1">
        <f ca="1" t="array" ref="H756">IF(H1358=1,OFFSET($W$634,$B756,H$631-1)/SUMPRODUCT(--($D$631:$V$631=H$631),--($D1358:$V1358=1)),0)+SUM(H755)+IF(COUNTIF(H$1237:H1358,1)=1,5,0)+IF(COUNTIF(I756:$W756,"&gt;"&amp;0)&lt;5,IF(AND(COUNTIF(H$1237:H1358,1)&gt;7,MOD(1+IFERROR(MATCH($C756,总览!$D$46:$D$345,1)+1,1),7)=0),$C$3,0),0)</f>
        <v>346.066666666666</v>
      </c>
      <c r="I756" s="131" cm="1">
        <f ca="1" t="array" ref="I756">IF(I1358=1,OFFSET($W$634,$B756,I$631-1)/SUMPRODUCT(--($D$631:$V$631=I$631),--($D1358:$V1358=1)),0)+SUM(I755)+IF(COUNTIF(I$1237:I1358,1)=1,5,0)+IF(COUNTIF(J756:$W756,"&gt;"&amp;0)&lt;5,IF(AND(COUNTIF(I$1237:I1358,1)&gt;7,MOD(1+IFERROR(MATCH($C756,总览!$D$46:$D$345,1)+1,1),7)=0),$C$3,0),0)</f>
        <v>346.066666666666</v>
      </c>
      <c r="J756" s="131" cm="1">
        <f ca="1" t="array" ref="J756">IF(J1358=1,OFFSET($W$634,$B756,J$631-1)/SUMPRODUCT(--($D$631:$V$631=J$631),--($D1358:$V1358=1)),0)+SUM(J755)+IF(COUNTIF(J$1237:J1358,1)=1,5,0)+IF(COUNTIF(K756:$W756,"&gt;"&amp;0)&lt;5,IF(AND(COUNTIF(J$1237:J1358,1)&gt;7,MOD(1+IFERROR(MATCH($C756,总览!$D$46:$D$345,1)+1,1),7)=0),$C$3,0),0)</f>
        <v>342.733333333333</v>
      </c>
      <c r="K756" s="131" cm="1">
        <f ca="1" t="array" ref="K756">IF(K1358=1,OFFSET($W$634,$B756,K$631-1)/SUMPRODUCT(--($D$631:$V$631=K$631),--($D1358:$V1358=1)),0)+SUM(K755)+IF(COUNTIF(K$1237:K1358,1)=1,5,0)+IF(COUNTIF(L756:$W756,"&gt;"&amp;0)&lt;5,IF(AND(COUNTIF(K$1237:K1358,1)&gt;7,MOD(1+IFERROR(MATCH($C756,总览!$D$46:$D$345,1)+1,1),7)=0),$C$3,0),0)</f>
        <v>340.233333333333</v>
      </c>
      <c r="L756" s="131" cm="1">
        <f ca="1" t="array" ref="L756">IF(L1358=1,OFFSET($W$634,$B756,L$631-1)/SUMPRODUCT(--($D$631:$V$631=L$631),--($D1358:$V1358=1)),0)+SUM(L755)+IF(COUNTIF(L$1237:L1358,1)=1,5,0)+IF(COUNTIF(M756:$W756,"&gt;"&amp;0)&lt;5,IF(AND(COUNTIF(L$1237:L1358,1)&gt;7,MOD(1+IFERROR(MATCH($C756,总览!$D$46:$D$345,1)+1,1),7)=0),$C$3,0),0)</f>
        <v>340.233333333333</v>
      </c>
      <c r="M756" s="131" cm="1">
        <f ca="1" t="array" ref="M756">IF(M1358=1,OFFSET($W$634,$B756,M$631-1)/SUMPRODUCT(--($D$631:$V$631=M$631),--($D1358:$V1358=1)),0)+SUM(M755)+IF(COUNTIF(M$1237:M1358,1)=1,5,0)+IF(COUNTIF(N756:$W756,"&gt;"&amp;0)&lt;5,IF(AND(COUNTIF(M$1237:M1358,1)&gt;7,MOD(1+IFERROR(MATCH($C756,总览!$D$46:$D$345,1)+1,1),7)=0),$C$3,0),0)</f>
        <v>132.038392857143</v>
      </c>
      <c r="N756" s="131" cm="1">
        <f ca="1" t="array" ref="N756">IF(N1358=1,OFFSET($W$634,$B756,N$631-1)/SUMPRODUCT(--($D$631:$V$631=N$631),--($D1358:$V1358=1)),0)+SUM(N755)+IF(COUNTIF(N$1237:N1358,1)=1,5,0)+IF(COUNTIF(O756:$W756,"&gt;"&amp;0)&lt;5,IF(AND(COUNTIF(N$1237:N1358,1)&gt;7,MOD(1+IFERROR(MATCH($C756,总览!$D$46:$D$345,1)+1,1),7)=0),$C$3,0),0)</f>
        <v>133.288392857143</v>
      </c>
      <c r="O756" s="131" cm="1">
        <f ca="1" t="array" ref="O756">IF(O1358=1,OFFSET($W$634,$B756,O$631-1)/SUMPRODUCT(--($D$631:$V$631=O$631),--($D1358:$V1358=1)),0)+SUM(O755)+IF(COUNTIF(O$1237:O1358,1)=1,5,0)+IF(COUNTIF(P756:$W756,"&gt;"&amp;0)&lt;5,IF(AND(COUNTIF(O$1237:O1358,1)&gt;7,MOD(1+IFERROR(MATCH($C756,总览!$D$46:$D$345,1)+1,1),7)=0),$C$3,0),0)</f>
        <v>138.288392857143</v>
      </c>
      <c r="P756" s="131" cm="1">
        <f ca="1" t="array" ref="P756">IF(P1358=1,OFFSET($W$634,$B756,P$631-1)/SUMPRODUCT(--($D$631:$V$631=P$631),--($D1358:$V1358=1)),0)+SUM(P755)+IF(COUNTIF(P$1237:P1358,1)=1,5,0)+IF(COUNTIF(Q756:$W756,"&gt;"&amp;0)&lt;5,IF(AND(COUNTIF(P$1237:P1358,1)&gt;7,MOD(1+IFERROR(MATCH($C756,总览!$D$46:$D$345,1)+1,1),7)=0),$C$3,0),0)</f>
        <v>127.407142857143</v>
      </c>
      <c r="Q756" s="131" cm="1">
        <f ca="1" t="array" ref="Q756">IF(Q1358=1,OFFSET($W$634,$B756,Q$631-1)/SUMPRODUCT(--($D$631:$V$631=Q$631),--($D1358:$V1358=1)),0)+SUM(Q755)+IF(COUNTIF(Q$1237:Q1358,1)=1,5,0)+IF(COUNTIF(R756:$W756,"&gt;"&amp;0)&lt;5,IF(AND(COUNTIF(Q$1237:Q1358,1)&gt;7,MOD(1+IFERROR(MATCH($C756,总览!$D$46:$D$345,1)+1,1),7)=0),$C$3,0),0)</f>
        <v>140.788392857143</v>
      </c>
      <c r="R756" s="131" cm="1">
        <f ca="1" t="array" ref="R756">IF(R1358=1,OFFSET($W$634,$B756,R$631-1)/SUMPRODUCT(--($D$631:$V$631=R$631),--($D1358:$V1358=1)),0)+SUM(R755)+IF(COUNTIF(R$1237:R1358,1)=1,5,0)+IF(COUNTIF(S756:$W756,"&gt;"&amp;0)&lt;5,IF(AND(COUNTIF(R$1237:R1358,1)&gt;7,MOD(1+IFERROR(MATCH($C756,总览!$D$46:$D$345,1)+1,1),7)=0),$C$3,0),0)</f>
        <v>132.407142857143</v>
      </c>
      <c r="S756" s="131" cm="1">
        <f ca="1" t="array" ref="S756">IF(S1358=1,OFFSET($W$634,$B756,S$631-1)/SUMPRODUCT(--($D$631:$V$631=S$631),--($D1358:$V1358=1)),0)+SUM(S755)+IF(COUNTIF(S$1237:S1358,1)=1,5,0)+IF(COUNTIF(T756:$W756,"&gt;"&amp;0)&lt;5,IF(AND(COUNTIF(S$1237:S1358,1)&gt;7,MOD(1+IFERROR(MATCH($C756,总览!$D$46:$D$345,1)+1,1),7)=0),$C$3,0),0)</f>
        <v>179.907142857142</v>
      </c>
      <c r="T756" s="131" cm="1">
        <f ca="1" t="array" ref="T756">IF(T1358=1,OFFSET($W$634,$B756,T$631-1)/SUMPRODUCT(--($D$631:$V$631=T$631),--($D1358:$V1358=1)),0)+SUM(T755)+IF(COUNTIF(T$1237:T1358,1)=1,5,0)+IF(COUNTIF(U756:$W756,"&gt;"&amp;0)&lt;5,IF(AND(COUNTIF(T$1237:T1358,1)&gt;7,MOD(1+IFERROR(MATCH($C756,总览!$D$46:$D$345,1)+1,1),7)=0),$C$3,0),0)</f>
        <v>118.256343365283</v>
      </c>
      <c r="U756" s="131" cm="1">
        <f ca="1" t="array" ref="U756">IF(U1358=1,OFFSET($W$634,$B756,U$631-1)/SUMPRODUCT(--($D$631:$V$631=U$631),--($D1358:$V1358=1)),0)+SUM(U755)+IF(COUNTIF(U$1237:U1358,1)=1,5,0)+IF(COUNTIF(V756:$W756,"&gt;"&amp;0)&lt;5,IF(AND(COUNTIF(U$1237:U1358,1)&gt;7,MOD(1+IFERROR(MATCH($C756,总览!$D$46:$D$345,1)+1,1),7)=0),$C$3,0),0)</f>
        <v>123.777129720582</v>
      </c>
      <c r="V756" s="131" cm="1">
        <f ca="1" t="array" ref="V756">IF(V1358=1,OFFSET($W$634,$B756,V$631-1)/SUMPRODUCT(--($D$631:$V$631=V$631),--($D1358:$V1358=1)),0)+SUM(V755)+IF(COUNTIF(V$1237:V1358,1)=1,5,0)+IF(COUNTIF(W756:$W756,"&gt;"&amp;0)&lt;5,IF(AND(COUNTIF(V$1237:V1358,1)&gt;7,MOD(1+IFERROR(MATCH($C756,总览!$D$46:$D$345,1)+1,1),7)=0),$C$3,0),0)</f>
        <v>143.604129433016</v>
      </c>
      <c r="W756" s="135" cm="1">
        <f ca="1" t="array" ref="W756">SUMPRODUCT(TRANSPOSE($AA756:$AG756),OFFSET($L$9:$L$15,0,W$631-1))</f>
        <v>16.8502200646615</v>
      </c>
      <c r="X756" s="135" cm="1">
        <f ca="1" t="array" ref="X756">SUMPRODUCT(TRANSPOSE($AA756:$AG756),OFFSET($L$9:$L$15,0,X$631-1))</f>
        <v>20</v>
      </c>
      <c r="Y756" s="135" cm="1">
        <f ca="1" t="array" ref="Y756">SUMPRODUCT(TRANSPOSE($AA756:$AG756),OFFSET($L$9:$L$15,0,Y$631-1))</f>
        <v>10</v>
      </c>
      <c r="Z756" s="135" cm="1">
        <f ca="1" t="array" ref="Z756">SUMPRODUCT(TRANSPOSE($AA756:$AG756),OFFSET($L$9:$L$15,0,Z$631-1))</f>
        <v>3.14977993533847</v>
      </c>
      <c r="AA756" s="136">
        <f ca="1" t="shared" ref="AA756:AG756" si="485">AH756-AH755</f>
        <v>0</v>
      </c>
      <c r="AB756" s="136">
        <f ca="1" t="shared" si="485"/>
        <v>0</v>
      </c>
      <c r="AC756" s="136">
        <f ca="1" t="shared" si="485"/>
        <v>0</v>
      </c>
      <c r="AD756" s="136">
        <f ca="1" t="shared" si="485"/>
        <v>0</v>
      </c>
      <c r="AE756" s="136">
        <f ca="1" t="shared" si="485"/>
        <v>0</v>
      </c>
      <c r="AF756" s="136">
        <f ca="1" t="shared" si="485"/>
        <v>100</v>
      </c>
      <c r="AG756" s="136">
        <f ca="1" t="shared" si="485"/>
        <v>0</v>
      </c>
      <c r="AH756" s="136">
        <f ca="1" t="shared" si="371"/>
        <v>450</v>
      </c>
      <c r="AI756" s="136">
        <f ca="1" t="shared" ref="AI756:AN756" si="486">IF($C756&gt;OFFSET($Q$8,MATCH(AI$634,$AH$634:$AN$634,0),0),OFFSET($P$8,MATCH(AI$634,$AH$634:$AN$634,0),0),MAX(0,$C756-OFFSET($Q$8,RIGHT(AI$634,1)-1,0)))</f>
        <v>909</v>
      </c>
      <c r="AJ756" s="136">
        <f ca="1" t="shared" si="486"/>
        <v>1818</v>
      </c>
      <c r="AK756" s="136">
        <f ca="1" t="shared" si="486"/>
        <v>2727</v>
      </c>
      <c r="AL756" s="136">
        <f ca="1" t="shared" si="486"/>
        <v>3636</v>
      </c>
      <c r="AM756" s="136">
        <f ca="1" t="shared" si="486"/>
        <v>2660</v>
      </c>
      <c r="AN756" s="136">
        <f ca="1" t="shared" si="486"/>
        <v>0</v>
      </c>
    </row>
    <row r="757" s="106" customFormat="1" ht="16.5" spans="2:40">
      <c r="B757" s="117">
        <v>123</v>
      </c>
      <c r="C757" s="130">
        <f t="shared" si="369"/>
        <v>12300</v>
      </c>
      <c r="D757" s="131" cm="1">
        <f ca="1" t="array" ref="D757">IF(D1359=1,OFFSET($W$634,$B757,D$631-1)/SUMPRODUCT(--($D$631:$V$631=D$631),--($D1359:$V1359=1)),0)+SUM(D756)+IF(COUNTIF(D$1237:D1359,1)=1,5,0)+IF(COUNTIF(E757:$W757,"&gt;"&amp;0)&lt;5,IF(AND(COUNTIF(D$1237:D1359,1)&gt;7,MOD(1+IFERROR(MATCH($C757,总览!$D$46:$D$345,1)+1,1),7)=0),$C$3,0),0)</f>
        <v>1018.56253918193</v>
      </c>
      <c r="E757" s="131" cm="1">
        <f ca="1" t="array" ref="E757">IF(E1359=1,OFFSET($W$634,$B757,E$631-1)/SUMPRODUCT(--($D$631:$V$631=E$631),--($D1359:$V1359=1)),0)+SUM(E756)+IF(COUNTIF(E$1237:E1359,1)=1,5,0)+IF(COUNTIF(F757:$W757,"&gt;"&amp;0)&lt;5,IF(AND(COUNTIF(E$1237:E1359,1)&gt;7,MOD(1+IFERROR(MATCH($C757,总览!$D$46:$D$345,1)+1,1),7)=0),$C$3,0),0)</f>
        <v>1018.56253918193</v>
      </c>
      <c r="F757" s="131" cm="1">
        <f ca="1" t="array" ref="F757">IF(F1359=1,OFFSET($W$634,$B757,F$631-1)/SUMPRODUCT(--($D$631:$V$631=F$631),--($D1359:$V1359=1)),0)+SUM(F756)+IF(COUNTIF(F$1237:F1359,1)=1,5,0)+IF(COUNTIF(G757:$W757,"&gt;"&amp;0)&lt;5,IF(AND(COUNTIF(F$1237:F1359,1)&gt;7,MOD(1+IFERROR(MATCH($C757,总览!$D$46:$D$345,1)+1,1),7)=0),$C$3,0),0)</f>
        <v>1018.56253918193</v>
      </c>
      <c r="G757" s="131" cm="1">
        <f ca="1" t="array" ref="G757">IF(G1359=1,OFFSET($W$634,$B757,G$631-1)/SUMPRODUCT(--($D$631:$V$631=G$631),--($D1359:$V1359=1)),0)+SUM(G756)+IF(COUNTIF(G$1237:G1359,1)=1,5,0)+IF(COUNTIF(H757:$W757,"&gt;"&amp;0)&lt;5,IF(AND(COUNTIF(G$1237:G1359,1)&gt;7,MOD(1+IFERROR(MATCH($C757,总览!$D$46:$D$345,1)+1,1),7)=0),$C$3,0),0)</f>
        <v>349.4</v>
      </c>
      <c r="H757" s="131" cm="1">
        <f ca="1" t="array" ref="H757">IF(H1359=1,OFFSET($W$634,$B757,H$631-1)/SUMPRODUCT(--($D$631:$V$631=H$631),--($D1359:$V1359=1)),0)+SUM(H756)+IF(COUNTIF(H$1237:H1359,1)=1,5,0)+IF(COUNTIF(I757:$W757,"&gt;"&amp;0)&lt;5,IF(AND(COUNTIF(H$1237:H1359,1)&gt;7,MOD(1+IFERROR(MATCH($C757,总览!$D$46:$D$345,1)+1,1),7)=0),$C$3,0),0)</f>
        <v>349.4</v>
      </c>
      <c r="I757" s="131" cm="1">
        <f ca="1" t="array" ref="I757">IF(I1359=1,OFFSET($W$634,$B757,I$631-1)/SUMPRODUCT(--($D$631:$V$631=I$631),--($D1359:$V1359=1)),0)+SUM(I756)+IF(COUNTIF(I$1237:I1359,1)=1,5,0)+IF(COUNTIF(J757:$W757,"&gt;"&amp;0)&lt;5,IF(AND(COUNTIF(I$1237:I1359,1)&gt;7,MOD(1+IFERROR(MATCH($C757,总览!$D$46:$D$345,1)+1,1),7)=0),$C$3,0),0)</f>
        <v>349.4</v>
      </c>
      <c r="J757" s="131" cm="1">
        <f ca="1" t="array" ref="J757">IF(J1359=1,OFFSET($W$634,$B757,J$631-1)/SUMPRODUCT(--($D$631:$V$631=J$631),--($D1359:$V1359=1)),0)+SUM(J756)+IF(COUNTIF(J$1237:J1359,1)=1,5,0)+IF(COUNTIF(K757:$W757,"&gt;"&amp;0)&lt;5,IF(AND(COUNTIF(J$1237:J1359,1)&gt;7,MOD(1+IFERROR(MATCH($C757,总览!$D$46:$D$345,1)+1,1),7)=0),$C$3,0),0)</f>
        <v>346.066666666666</v>
      </c>
      <c r="K757" s="131" cm="1">
        <f ca="1" t="array" ref="K757">IF(K1359=1,OFFSET($W$634,$B757,K$631-1)/SUMPRODUCT(--($D$631:$V$631=K$631),--($D1359:$V1359=1)),0)+SUM(K756)+IF(COUNTIF(K$1237:K1359,1)=1,5,0)+IF(COUNTIF(L757:$W757,"&gt;"&amp;0)&lt;5,IF(AND(COUNTIF(K$1237:K1359,1)&gt;7,MOD(1+IFERROR(MATCH($C757,总览!$D$46:$D$345,1)+1,1),7)=0),$C$3,0),0)</f>
        <v>343.566666666666</v>
      </c>
      <c r="L757" s="131" cm="1">
        <f ca="1" t="array" ref="L757">IF(L1359=1,OFFSET($W$634,$B757,L$631-1)/SUMPRODUCT(--($D$631:$V$631=L$631),--($D1359:$V1359=1)),0)+SUM(L756)+IF(COUNTIF(L$1237:L1359,1)=1,5,0)+IF(COUNTIF(M757:$W757,"&gt;"&amp;0)&lt;5,IF(AND(COUNTIF(L$1237:L1359,1)&gt;7,MOD(1+IFERROR(MATCH($C757,总览!$D$46:$D$345,1)+1,1),7)=0),$C$3,0),0)</f>
        <v>343.566666666666</v>
      </c>
      <c r="M757" s="131" cm="1">
        <f ca="1" t="array" ref="M757">IF(M1359=1,OFFSET($W$634,$B757,M$631-1)/SUMPRODUCT(--($D$631:$V$631=M$631),--($D1359:$V1359=1)),0)+SUM(M756)+IF(COUNTIF(M$1237:M1359,1)=1,5,0)+IF(COUNTIF(N757:$W757,"&gt;"&amp;0)&lt;5,IF(AND(COUNTIF(M$1237:M1359,1)&gt;7,MOD(1+IFERROR(MATCH($C757,总览!$D$46:$D$345,1)+1,1),7)=0),$C$3,0),0)</f>
        <v>133.466964285714</v>
      </c>
      <c r="N757" s="131" cm="1">
        <f ca="1" t="array" ref="N757">IF(N1359=1,OFFSET($W$634,$B757,N$631-1)/SUMPRODUCT(--($D$631:$V$631=N$631),--($D1359:$V1359=1)),0)+SUM(N756)+IF(COUNTIF(N$1237:N1359,1)=1,5,0)+IF(COUNTIF(O757:$W757,"&gt;"&amp;0)&lt;5,IF(AND(COUNTIF(N$1237:N1359,1)&gt;7,MOD(1+IFERROR(MATCH($C757,总览!$D$46:$D$345,1)+1,1),7)=0),$C$3,0),0)</f>
        <v>134.716964285714</v>
      </c>
      <c r="O757" s="131" cm="1">
        <f ca="1" t="array" ref="O757">IF(O1359=1,OFFSET($W$634,$B757,O$631-1)/SUMPRODUCT(--($D$631:$V$631=O$631),--($D1359:$V1359=1)),0)+SUM(O756)+IF(COUNTIF(O$1237:O1359,1)=1,5,0)+IF(COUNTIF(P757:$W757,"&gt;"&amp;0)&lt;5,IF(AND(COUNTIF(O$1237:O1359,1)&gt;7,MOD(1+IFERROR(MATCH($C757,总览!$D$46:$D$345,1)+1,1),7)=0),$C$3,0),0)</f>
        <v>139.716964285714</v>
      </c>
      <c r="P757" s="131" cm="1">
        <f ca="1" t="array" ref="P757">IF(P1359=1,OFFSET($W$634,$B757,P$631-1)/SUMPRODUCT(--($D$631:$V$631=P$631),--($D1359:$V1359=1)),0)+SUM(P756)+IF(COUNTIF(P$1237:P1359,1)=1,5,0)+IF(COUNTIF(Q757:$W757,"&gt;"&amp;0)&lt;5,IF(AND(COUNTIF(P$1237:P1359,1)&gt;7,MOD(1+IFERROR(MATCH($C757,总览!$D$46:$D$345,1)+1,1),7)=0),$C$3,0),0)</f>
        <v>128.835714285714</v>
      </c>
      <c r="Q757" s="131" cm="1">
        <f ca="1" t="array" ref="Q757">IF(Q1359=1,OFFSET($W$634,$B757,Q$631-1)/SUMPRODUCT(--($D$631:$V$631=Q$631),--($D1359:$V1359=1)),0)+SUM(Q756)+IF(COUNTIF(Q$1237:Q1359,1)=1,5,0)+IF(COUNTIF(R757:$W757,"&gt;"&amp;0)&lt;5,IF(AND(COUNTIF(Q$1237:Q1359,1)&gt;7,MOD(1+IFERROR(MATCH($C757,总览!$D$46:$D$345,1)+1,1),7)=0),$C$3,0),0)</f>
        <v>142.216964285714</v>
      </c>
      <c r="R757" s="131" cm="1">
        <f ca="1" t="array" ref="R757">IF(R1359=1,OFFSET($W$634,$B757,R$631-1)/SUMPRODUCT(--($D$631:$V$631=R$631),--($D1359:$V1359=1)),0)+SUM(R756)+IF(COUNTIF(R$1237:R1359,1)=1,5,0)+IF(COUNTIF(S757:$W757,"&gt;"&amp;0)&lt;5,IF(AND(COUNTIF(R$1237:R1359,1)&gt;7,MOD(1+IFERROR(MATCH($C757,总览!$D$46:$D$345,1)+1,1),7)=0),$C$3,0),0)</f>
        <v>133.835714285714</v>
      </c>
      <c r="S757" s="131" cm="1">
        <f ca="1" t="array" ref="S757">IF(S1359=1,OFFSET($W$634,$B757,S$631-1)/SUMPRODUCT(--($D$631:$V$631=S$631),--($D1359:$V1359=1)),0)+SUM(S756)+IF(COUNTIF(S$1237:S1359,1)=1,5,0)+IF(COUNTIF(T757:$W757,"&gt;"&amp;0)&lt;5,IF(AND(COUNTIF(S$1237:S1359,1)&gt;7,MOD(1+IFERROR(MATCH($C757,总览!$D$46:$D$345,1)+1,1),7)=0),$C$3,0),0)</f>
        <v>181.335714285714</v>
      </c>
      <c r="T757" s="131" cm="1">
        <f ca="1" t="array" ref="T757">IF(T1359=1,OFFSET($W$634,$B757,T$631-1)/SUMPRODUCT(--($D$631:$V$631=T$631),--($D1359:$V1359=1)),0)+SUM(T756)+IF(COUNTIF(T$1237:T1359,1)=1,5,0)+IF(COUNTIF(U757:$W757,"&gt;"&amp;0)&lt;5,IF(AND(COUNTIF(T$1237:T1359,1)&gt;7,MOD(1+IFERROR(MATCH($C757,总览!$D$46:$D$345,1)+1,1),7)=0),$C$3,0),0)</f>
        <v>119.306270010395</v>
      </c>
      <c r="U757" s="131" cm="1">
        <f ca="1" t="array" ref="U757">IF(U1359=1,OFFSET($W$634,$B757,U$631-1)/SUMPRODUCT(--($D$631:$V$631=U$631),--($D1359:$V1359=1)),0)+SUM(U756)+IF(COUNTIF(U$1237:U1359,1)=1,5,0)+IF(COUNTIF(V757:$W757,"&gt;"&amp;0)&lt;5,IF(AND(COUNTIF(U$1237:U1359,1)&gt;7,MOD(1+IFERROR(MATCH($C757,总览!$D$46:$D$345,1)+1,1),7)=0),$C$3,0),0)</f>
        <v>124.827056365695</v>
      </c>
      <c r="V757" s="131" cm="1">
        <f ca="1" t="array" ref="V757">IF(V1359=1,OFFSET($W$634,$B757,V$631-1)/SUMPRODUCT(--($D$631:$V$631=V$631),--($D1359:$V1359=1)),0)+SUM(V756)+IF(COUNTIF(V$1237:V1359,1)=1,5,0)+IF(COUNTIF(W757:$W757,"&gt;"&amp;0)&lt;5,IF(AND(COUNTIF(V$1237:V1359,1)&gt;7,MOD(1+IFERROR(MATCH($C757,总览!$D$46:$D$345,1)+1,1),7)=0),$C$3,0),0)</f>
        <v>144.654056078129</v>
      </c>
      <c r="W757" s="135" cm="1">
        <f ca="1" t="array" ref="W757">SUMPRODUCT(TRANSPOSE($AA757:$AG757),OFFSET($L$9:$L$15,0,W$631-1))</f>
        <v>16.8502200646615</v>
      </c>
      <c r="X757" s="135" cm="1">
        <f ca="1" t="array" ref="X757">SUMPRODUCT(TRANSPOSE($AA757:$AG757),OFFSET($L$9:$L$15,0,X$631-1))</f>
        <v>20</v>
      </c>
      <c r="Y757" s="135" cm="1">
        <f ca="1" t="array" ref="Y757">SUMPRODUCT(TRANSPOSE($AA757:$AG757),OFFSET($L$9:$L$15,0,Y$631-1))</f>
        <v>10</v>
      </c>
      <c r="Z757" s="135" cm="1">
        <f ca="1" t="array" ref="Z757">SUMPRODUCT(TRANSPOSE($AA757:$AG757),OFFSET($L$9:$L$15,0,Z$631-1))</f>
        <v>3.14977993533847</v>
      </c>
      <c r="AA757" s="136">
        <f ca="1" t="shared" ref="AA757:AG757" si="487">AH757-AH756</f>
        <v>0</v>
      </c>
      <c r="AB757" s="136">
        <f ca="1" t="shared" si="487"/>
        <v>0</v>
      </c>
      <c r="AC757" s="136">
        <f ca="1" t="shared" si="487"/>
        <v>0</v>
      </c>
      <c r="AD757" s="136">
        <f ca="1" t="shared" si="487"/>
        <v>0</v>
      </c>
      <c r="AE757" s="136">
        <f ca="1" t="shared" si="487"/>
        <v>0</v>
      </c>
      <c r="AF757" s="136">
        <f ca="1" t="shared" si="487"/>
        <v>100</v>
      </c>
      <c r="AG757" s="136">
        <f ca="1" t="shared" si="487"/>
        <v>0</v>
      </c>
      <c r="AH757" s="136">
        <f ca="1" t="shared" si="371"/>
        <v>450</v>
      </c>
      <c r="AI757" s="136">
        <f ca="1" t="shared" ref="AI757:AN757" si="488">IF($C757&gt;OFFSET($Q$8,MATCH(AI$634,$AH$634:$AN$634,0),0),OFFSET($P$8,MATCH(AI$634,$AH$634:$AN$634,0),0),MAX(0,$C757-OFFSET($Q$8,RIGHT(AI$634,1)-1,0)))</f>
        <v>909</v>
      </c>
      <c r="AJ757" s="136">
        <f ca="1" t="shared" si="488"/>
        <v>1818</v>
      </c>
      <c r="AK757" s="136">
        <f ca="1" t="shared" si="488"/>
        <v>2727</v>
      </c>
      <c r="AL757" s="136">
        <f ca="1" t="shared" si="488"/>
        <v>3636</v>
      </c>
      <c r="AM757" s="136">
        <f ca="1" t="shared" si="488"/>
        <v>2760</v>
      </c>
      <c r="AN757" s="136">
        <f ca="1" t="shared" si="488"/>
        <v>0</v>
      </c>
    </row>
    <row r="758" s="106" customFormat="1" ht="16.5" spans="2:40">
      <c r="B758" s="117">
        <v>124</v>
      </c>
      <c r="C758" s="130">
        <f t="shared" si="369"/>
        <v>12400</v>
      </c>
      <c r="D758" s="131" cm="1">
        <f ca="1" t="array" ref="D758">IF(D1360=1,OFFSET($W$634,$B758,D$631-1)/SUMPRODUCT(--($D$631:$V$631=D$631),--($D1360:$V1360=1)),0)+SUM(D757)+IF(COUNTIF(D$1237:D1360,1)=1,5,0)+IF(COUNTIF(E758:$W758,"&gt;"&amp;0)&lt;5,IF(AND(COUNTIF(D$1237:D1360,1)&gt;7,MOD(1+IFERROR(MATCH($C758,总览!$D$46:$D$345,1)+1,1),7)=0),$C$3,0),0)</f>
        <v>1024.17927920348</v>
      </c>
      <c r="E758" s="131" cm="1">
        <f ca="1" t="array" ref="E758">IF(E1360=1,OFFSET($W$634,$B758,E$631-1)/SUMPRODUCT(--($D$631:$V$631=E$631),--($D1360:$V1360=1)),0)+SUM(E757)+IF(COUNTIF(E$1237:E1360,1)=1,5,0)+IF(COUNTIF(F758:$W758,"&gt;"&amp;0)&lt;5,IF(AND(COUNTIF(E$1237:E1360,1)&gt;7,MOD(1+IFERROR(MATCH($C758,总览!$D$46:$D$345,1)+1,1),7)=0),$C$3,0),0)</f>
        <v>1024.17927920348</v>
      </c>
      <c r="F758" s="131" cm="1">
        <f ca="1" t="array" ref="F758">IF(F1360=1,OFFSET($W$634,$B758,F$631-1)/SUMPRODUCT(--($D$631:$V$631=F$631),--($D1360:$V1360=1)),0)+SUM(F757)+IF(COUNTIF(F$1237:F1360,1)=1,5,0)+IF(COUNTIF(G758:$W758,"&gt;"&amp;0)&lt;5,IF(AND(COUNTIF(F$1237:F1360,1)&gt;7,MOD(1+IFERROR(MATCH($C758,总览!$D$46:$D$345,1)+1,1),7)=0),$C$3,0),0)</f>
        <v>1024.17927920348</v>
      </c>
      <c r="G758" s="131" cm="1">
        <f ca="1" t="array" ref="G758">IF(G1360=1,OFFSET($W$634,$B758,G$631-1)/SUMPRODUCT(--($D$631:$V$631=G$631),--($D1360:$V1360=1)),0)+SUM(G757)+IF(COUNTIF(G$1237:G1360,1)=1,5,0)+IF(COUNTIF(H758:$W758,"&gt;"&amp;0)&lt;5,IF(AND(COUNTIF(G$1237:G1360,1)&gt;7,MOD(1+IFERROR(MATCH($C758,总览!$D$46:$D$345,1)+1,1),7)=0),$C$3,0),0)</f>
        <v>352.733333333333</v>
      </c>
      <c r="H758" s="131" cm="1">
        <f ca="1" t="array" ref="H758">IF(H1360=1,OFFSET($W$634,$B758,H$631-1)/SUMPRODUCT(--($D$631:$V$631=H$631),--($D1360:$V1360=1)),0)+SUM(H757)+IF(COUNTIF(H$1237:H1360,1)=1,5,0)+IF(COUNTIF(I758:$W758,"&gt;"&amp;0)&lt;5,IF(AND(COUNTIF(H$1237:H1360,1)&gt;7,MOD(1+IFERROR(MATCH($C758,总览!$D$46:$D$345,1)+1,1),7)=0),$C$3,0),0)</f>
        <v>352.733333333333</v>
      </c>
      <c r="I758" s="131" cm="1">
        <f ca="1" t="array" ref="I758">IF(I1360=1,OFFSET($W$634,$B758,I$631-1)/SUMPRODUCT(--($D$631:$V$631=I$631),--($D1360:$V1360=1)),0)+SUM(I757)+IF(COUNTIF(I$1237:I1360,1)=1,5,0)+IF(COUNTIF(J758:$W758,"&gt;"&amp;0)&lt;5,IF(AND(COUNTIF(I$1237:I1360,1)&gt;7,MOD(1+IFERROR(MATCH($C758,总览!$D$46:$D$345,1)+1,1),7)=0),$C$3,0),0)</f>
        <v>352.733333333333</v>
      </c>
      <c r="J758" s="131" cm="1">
        <f ca="1" t="array" ref="J758">IF(J1360=1,OFFSET($W$634,$B758,J$631-1)/SUMPRODUCT(--($D$631:$V$631=J$631),--($D1360:$V1360=1)),0)+SUM(J757)+IF(COUNTIF(J$1237:J1360,1)=1,5,0)+IF(COUNTIF(K758:$W758,"&gt;"&amp;0)&lt;5,IF(AND(COUNTIF(J$1237:J1360,1)&gt;7,MOD(1+IFERROR(MATCH($C758,总览!$D$46:$D$345,1)+1,1),7)=0),$C$3,0),0)</f>
        <v>349.4</v>
      </c>
      <c r="K758" s="131" cm="1">
        <f ca="1" t="array" ref="K758">IF(K1360=1,OFFSET($W$634,$B758,K$631-1)/SUMPRODUCT(--($D$631:$V$631=K$631),--($D1360:$V1360=1)),0)+SUM(K757)+IF(COUNTIF(K$1237:K1360,1)=1,5,0)+IF(COUNTIF(L758:$W758,"&gt;"&amp;0)&lt;5,IF(AND(COUNTIF(K$1237:K1360,1)&gt;7,MOD(1+IFERROR(MATCH($C758,总览!$D$46:$D$345,1)+1,1),7)=0),$C$3,0),0)</f>
        <v>346.9</v>
      </c>
      <c r="L758" s="131" cm="1">
        <f ca="1" t="array" ref="L758">IF(L1360=1,OFFSET($W$634,$B758,L$631-1)/SUMPRODUCT(--($D$631:$V$631=L$631),--($D1360:$V1360=1)),0)+SUM(L757)+IF(COUNTIF(L$1237:L1360,1)=1,5,0)+IF(COUNTIF(M758:$W758,"&gt;"&amp;0)&lt;5,IF(AND(COUNTIF(L$1237:L1360,1)&gt;7,MOD(1+IFERROR(MATCH($C758,总览!$D$46:$D$345,1)+1,1),7)=0),$C$3,0),0)</f>
        <v>346.9</v>
      </c>
      <c r="M758" s="131" cm="1">
        <f ca="1" t="array" ref="M758">IF(M1360=1,OFFSET($W$634,$B758,M$631-1)/SUMPRODUCT(--($D$631:$V$631=M$631),--($D1360:$V1360=1)),0)+SUM(M757)+IF(COUNTIF(M$1237:M1360,1)=1,5,0)+IF(COUNTIF(N758:$W758,"&gt;"&amp;0)&lt;5,IF(AND(COUNTIF(M$1237:M1360,1)&gt;7,MOD(1+IFERROR(MATCH($C758,总览!$D$46:$D$345,1)+1,1),7)=0),$C$3,0),0)</f>
        <v>134.895535714286</v>
      </c>
      <c r="N758" s="131" cm="1">
        <f ca="1" t="array" ref="N758">IF(N1360=1,OFFSET($W$634,$B758,N$631-1)/SUMPRODUCT(--($D$631:$V$631=N$631),--($D1360:$V1360=1)),0)+SUM(N757)+IF(COUNTIF(N$1237:N1360,1)=1,5,0)+IF(COUNTIF(O758:$W758,"&gt;"&amp;0)&lt;5,IF(AND(COUNTIF(N$1237:N1360,1)&gt;7,MOD(1+IFERROR(MATCH($C758,总览!$D$46:$D$345,1)+1,1),7)=0),$C$3,0),0)</f>
        <v>136.145535714286</v>
      </c>
      <c r="O758" s="131" cm="1">
        <f ca="1" t="array" ref="O758">IF(O1360=1,OFFSET($W$634,$B758,O$631-1)/SUMPRODUCT(--($D$631:$V$631=O$631),--($D1360:$V1360=1)),0)+SUM(O757)+IF(COUNTIF(O$1237:O1360,1)=1,5,0)+IF(COUNTIF(P758:$W758,"&gt;"&amp;0)&lt;5,IF(AND(COUNTIF(O$1237:O1360,1)&gt;7,MOD(1+IFERROR(MATCH($C758,总览!$D$46:$D$345,1)+1,1),7)=0),$C$3,0),0)</f>
        <v>141.145535714285</v>
      </c>
      <c r="P758" s="131" cm="1">
        <f ca="1" t="array" ref="P758">IF(P1360=1,OFFSET($W$634,$B758,P$631-1)/SUMPRODUCT(--($D$631:$V$631=P$631),--($D1360:$V1360=1)),0)+SUM(P757)+IF(COUNTIF(P$1237:P1360,1)=1,5,0)+IF(COUNTIF(Q758:$W758,"&gt;"&amp;0)&lt;5,IF(AND(COUNTIF(P$1237:P1360,1)&gt;7,MOD(1+IFERROR(MATCH($C758,总览!$D$46:$D$345,1)+1,1),7)=0),$C$3,0),0)</f>
        <v>130.264285714286</v>
      </c>
      <c r="Q758" s="131" cm="1">
        <f ca="1" t="array" ref="Q758">IF(Q1360=1,OFFSET($W$634,$B758,Q$631-1)/SUMPRODUCT(--($D$631:$V$631=Q$631),--($D1360:$V1360=1)),0)+SUM(Q757)+IF(COUNTIF(Q$1237:Q1360,1)=1,5,0)+IF(COUNTIF(R758:$W758,"&gt;"&amp;0)&lt;5,IF(AND(COUNTIF(Q$1237:Q1360,1)&gt;7,MOD(1+IFERROR(MATCH($C758,总览!$D$46:$D$345,1)+1,1),7)=0),$C$3,0),0)</f>
        <v>143.645535714285</v>
      </c>
      <c r="R758" s="131" cm="1">
        <f ca="1" t="array" ref="R758">IF(R1360=1,OFFSET($W$634,$B758,R$631-1)/SUMPRODUCT(--($D$631:$V$631=R$631),--($D1360:$V1360=1)),0)+SUM(R757)+IF(COUNTIF(R$1237:R1360,1)=1,5,0)+IF(COUNTIF(S758:$W758,"&gt;"&amp;0)&lt;5,IF(AND(COUNTIF(R$1237:R1360,1)&gt;7,MOD(1+IFERROR(MATCH($C758,总览!$D$46:$D$345,1)+1,1),7)=0),$C$3,0),0)</f>
        <v>135.264285714286</v>
      </c>
      <c r="S758" s="131" cm="1">
        <f ca="1" t="array" ref="S758">IF(S1360=1,OFFSET($W$634,$B758,S$631-1)/SUMPRODUCT(--($D$631:$V$631=S$631),--($D1360:$V1360=1)),0)+SUM(S757)+IF(COUNTIF(S$1237:S1360,1)=1,5,0)+IF(COUNTIF(T758:$W758,"&gt;"&amp;0)&lt;5,IF(AND(COUNTIF(S$1237:S1360,1)&gt;7,MOD(1+IFERROR(MATCH($C758,总览!$D$46:$D$345,1)+1,1),7)=0),$C$3,0),0)</f>
        <v>182.764285714285</v>
      </c>
      <c r="T758" s="131" cm="1">
        <f ca="1" t="array" ref="T758">IF(T1360=1,OFFSET($W$634,$B758,T$631-1)/SUMPRODUCT(--($D$631:$V$631=T$631),--($D1360:$V1360=1)),0)+SUM(T757)+IF(COUNTIF(T$1237:T1360,1)=1,5,0)+IF(COUNTIF(U758:$W758,"&gt;"&amp;0)&lt;5,IF(AND(COUNTIF(T$1237:T1360,1)&gt;7,MOD(1+IFERROR(MATCH($C758,总览!$D$46:$D$345,1)+1,1),7)=0),$C$3,0),0)</f>
        <v>120.356196655508</v>
      </c>
      <c r="U758" s="131" cm="1">
        <f ca="1" t="array" ref="U758">IF(U1360=1,OFFSET($W$634,$B758,U$631-1)/SUMPRODUCT(--($D$631:$V$631=U$631),--($D1360:$V1360=1)),0)+SUM(U757)+IF(COUNTIF(U$1237:U1360,1)=1,5,0)+IF(COUNTIF(V758:$W758,"&gt;"&amp;0)&lt;5,IF(AND(COUNTIF(U$1237:U1360,1)&gt;7,MOD(1+IFERROR(MATCH($C758,总览!$D$46:$D$345,1)+1,1),7)=0),$C$3,0),0)</f>
        <v>125.876983010808</v>
      </c>
      <c r="V758" s="131" cm="1">
        <f ca="1" t="array" ref="V758">IF(V1360=1,OFFSET($W$634,$B758,V$631-1)/SUMPRODUCT(--($D$631:$V$631=V$631),--($D1360:$V1360=1)),0)+SUM(V757)+IF(COUNTIF(V$1237:V1360,1)=1,5,0)+IF(COUNTIF(W758:$W758,"&gt;"&amp;0)&lt;5,IF(AND(COUNTIF(V$1237:V1360,1)&gt;7,MOD(1+IFERROR(MATCH($C758,总览!$D$46:$D$345,1)+1,1),7)=0),$C$3,0),0)</f>
        <v>145.703982723241</v>
      </c>
      <c r="W758" s="135" cm="1">
        <f ca="1" t="array" ref="W758">SUMPRODUCT(TRANSPOSE($AA758:$AG758),OFFSET($L$9:$L$15,0,W$631-1))</f>
        <v>16.8502200646615</v>
      </c>
      <c r="X758" s="135" cm="1">
        <f ca="1" t="array" ref="X758">SUMPRODUCT(TRANSPOSE($AA758:$AG758),OFFSET($L$9:$L$15,0,X$631-1))</f>
        <v>20</v>
      </c>
      <c r="Y758" s="135" cm="1">
        <f ca="1" t="array" ref="Y758">SUMPRODUCT(TRANSPOSE($AA758:$AG758),OFFSET($L$9:$L$15,0,Y$631-1))</f>
        <v>10</v>
      </c>
      <c r="Z758" s="135" cm="1">
        <f ca="1" t="array" ref="Z758">SUMPRODUCT(TRANSPOSE($AA758:$AG758),OFFSET($L$9:$L$15,0,Z$631-1))</f>
        <v>3.14977993533847</v>
      </c>
      <c r="AA758" s="136">
        <f ca="1" t="shared" ref="AA758:AG758" si="489">AH758-AH757</f>
        <v>0</v>
      </c>
      <c r="AB758" s="136">
        <f ca="1" t="shared" si="489"/>
        <v>0</v>
      </c>
      <c r="AC758" s="136">
        <f ca="1" t="shared" si="489"/>
        <v>0</v>
      </c>
      <c r="AD758" s="136">
        <f ca="1" t="shared" si="489"/>
        <v>0</v>
      </c>
      <c r="AE758" s="136">
        <f ca="1" t="shared" si="489"/>
        <v>0</v>
      </c>
      <c r="AF758" s="136">
        <f ca="1" t="shared" si="489"/>
        <v>100</v>
      </c>
      <c r="AG758" s="136">
        <f ca="1" t="shared" si="489"/>
        <v>0</v>
      </c>
      <c r="AH758" s="136">
        <f ca="1" t="shared" si="371"/>
        <v>450</v>
      </c>
      <c r="AI758" s="136">
        <f ca="1" t="shared" ref="AI758:AN758" si="490">IF($C758&gt;OFFSET($Q$8,MATCH(AI$634,$AH$634:$AN$634,0),0),OFFSET($P$8,MATCH(AI$634,$AH$634:$AN$634,0),0),MAX(0,$C758-OFFSET($Q$8,RIGHT(AI$634,1)-1,0)))</f>
        <v>909</v>
      </c>
      <c r="AJ758" s="136">
        <f ca="1" t="shared" si="490"/>
        <v>1818</v>
      </c>
      <c r="AK758" s="136">
        <f ca="1" t="shared" si="490"/>
        <v>2727</v>
      </c>
      <c r="AL758" s="136">
        <f ca="1" t="shared" si="490"/>
        <v>3636</v>
      </c>
      <c r="AM758" s="136">
        <f ca="1" t="shared" si="490"/>
        <v>2860</v>
      </c>
      <c r="AN758" s="136">
        <f ca="1" t="shared" si="490"/>
        <v>0</v>
      </c>
    </row>
    <row r="759" s="106" customFormat="1" ht="16.5" spans="2:40">
      <c r="B759" s="117">
        <v>125</v>
      </c>
      <c r="C759" s="130">
        <f t="shared" si="369"/>
        <v>12500</v>
      </c>
      <c r="D759" s="131" cm="1">
        <f ca="1" t="array" ref="D759">IF(D1361=1,OFFSET($W$634,$B759,D$631-1)/SUMPRODUCT(--($D$631:$V$631=D$631),--($D1361:$V1361=1)),0)+SUM(D758)+IF(COUNTIF(D$1237:D1361,1)=1,5,0)+IF(COUNTIF(E759:$W759,"&gt;"&amp;0)&lt;5,IF(AND(COUNTIF(D$1237:D1361,1)&gt;7,MOD(1+IFERROR(MATCH($C759,总览!$D$46:$D$345,1)+1,1),7)=0),$C$3,0),0)</f>
        <v>1029.79601922503</v>
      </c>
      <c r="E759" s="131" cm="1">
        <f ca="1" t="array" ref="E759">IF(E1361=1,OFFSET($W$634,$B759,E$631-1)/SUMPRODUCT(--($D$631:$V$631=E$631),--($D1361:$V1361=1)),0)+SUM(E758)+IF(COUNTIF(E$1237:E1361,1)=1,5,0)+IF(COUNTIF(F759:$W759,"&gt;"&amp;0)&lt;5,IF(AND(COUNTIF(E$1237:E1361,1)&gt;7,MOD(1+IFERROR(MATCH($C759,总览!$D$46:$D$345,1)+1,1),7)=0),$C$3,0),0)</f>
        <v>1029.79601922503</v>
      </c>
      <c r="F759" s="131" cm="1">
        <f ca="1" t="array" ref="F759">IF(F1361=1,OFFSET($W$634,$B759,F$631-1)/SUMPRODUCT(--($D$631:$V$631=F$631),--($D1361:$V1361=1)),0)+SUM(F758)+IF(COUNTIF(F$1237:F1361,1)=1,5,0)+IF(COUNTIF(G759:$W759,"&gt;"&amp;0)&lt;5,IF(AND(COUNTIF(F$1237:F1361,1)&gt;7,MOD(1+IFERROR(MATCH($C759,总览!$D$46:$D$345,1)+1,1),7)=0),$C$3,0),0)</f>
        <v>1029.79601922503</v>
      </c>
      <c r="G759" s="131" cm="1">
        <f ca="1" t="array" ref="G759">IF(G1361=1,OFFSET($W$634,$B759,G$631-1)/SUMPRODUCT(--($D$631:$V$631=G$631),--($D1361:$V1361=1)),0)+SUM(G758)+IF(COUNTIF(G$1237:G1361,1)=1,5,0)+IF(COUNTIF(H759:$W759,"&gt;"&amp;0)&lt;5,IF(AND(COUNTIF(G$1237:G1361,1)&gt;7,MOD(1+IFERROR(MATCH($C759,总览!$D$46:$D$345,1)+1,1),7)=0),$C$3,0),0)</f>
        <v>356.066666666666</v>
      </c>
      <c r="H759" s="131" cm="1">
        <f ca="1" t="array" ref="H759">IF(H1361=1,OFFSET($W$634,$B759,H$631-1)/SUMPRODUCT(--($D$631:$V$631=H$631),--($D1361:$V1361=1)),0)+SUM(H758)+IF(COUNTIF(H$1237:H1361,1)=1,5,0)+IF(COUNTIF(I759:$W759,"&gt;"&amp;0)&lt;5,IF(AND(COUNTIF(H$1237:H1361,1)&gt;7,MOD(1+IFERROR(MATCH($C759,总览!$D$46:$D$345,1)+1,1),7)=0),$C$3,0),0)</f>
        <v>356.066666666666</v>
      </c>
      <c r="I759" s="131" cm="1">
        <f ca="1" t="array" ref="I759">IF(I1361=1,OFFSET($W$634,$B759,I$631-1)/SUMPRODUCT(--($D$631:$V$631=I$631),--($D1361:$V1361=1)),0)+SUM(I758)+IF(COUNTIF(I$1237:I1361,1)=1,5,0)+IF(COUNTIF(J759:$W759,"&gt;"&amp;0)&lt;5,IF(AND(COUNTIF(I$1237:I1361,1)&gt;7,MOD(1+IFERROR(MATCH($C759,总览!$D$46:$D$345,1)+1,1),7)=0),$C$3,0),0)</f>
        <v>356.066666666666</v>
      </c>
      <c r="J759" s="131" cm="1">
        <f ca="1" t="array" ref="J759">IF(J1361=1,OFFSET($W$634,$B759,J$631-1)/SUMPRODUCT(--($D$631:$V$631=J$631),--($D1361:$V1361=1)),0)+SUM(J758)+IF(COUNTIF(J$1237:J1361,1)=1,5,0)+IF(COUNTIF(K759:$W759,"&gt;"&amp;0)&lt;5,IF(AND(COUNTIF(J$1237:J1361,1)&gt;7,MOD(1+IFERROR(MATCH($C759,总览!$D$46:$D$345,1)+1,1),7)=0),$C$3,0),0)</f>
        <v>352.733333333333</v>
      </c>
      <c r="K759" s="131" cm="1">
        <f ca="1" t="array" ref="K759">IF(K1361=1,OFFSET($W$634,$B759,K$631-1)/SUMPRODUCT(--($D$631:$V$631=K$631),--($D1361:$V1361=1)),0)+SUM(K758)+IF(COUNTIF(K$1237:K1361,1)=1,5,0)+IF(COUNTIF(L759:$W759,"&gt;"&amp;0)&lt;5,IF(AND(COUNTIF(K$1237:K1361,1)&gt;7,MOD(1+IFERROR(MATCH($C759,总览!$D$46:$D$345,1)+1,1),7)=0),$C$3,0),0)</f>
        <v>350.233333333333</v>
      </c>
      <c r="L759" s="131" cm="1">
        <f ca="1" t="array" ref="L759">IF(L1361=1,OFFSET($W$634,$B759,L$631-1)/SUMPRODUCT(--($D$631:$V$631=L$631),--($D1361:$V1361=1)),0)+SUM(L758)+IF(COUNTIF(L$1237:L1361,1)=1,5,0)+IF(COUNTIF(M759:$W759,"&gt;"&amp;0)&lt;5,IF(AND(COUNTIF(L$1237:L1361,1)&gt;7,MOD(1+IFERROR(MATCH($C759,总览!$D$46:$D$345,1)+1,1),7)=0),$C$3,0),0)</f>
        <v>350.233333333333</v>
      </c>
      <c r="M759" s="131" cm="1">
        <f ca="1" t="array" ref="M759">IF(M1361=1,OFFSET($W$634,$B759,M$631-1)/SUMPRODUCT(--($D$631:$V$631=M$631),--($D1361:$V1361=1)),0)+SUM(M758)+IF(COUNTIF(M$1237:M1361,1)=1,5,0)+IF(COUNTIF(N759:$W759,"&gt;"&amp;0)&lt;5,IF(AND(COUNTIF(M$1237:M1361,1)&gt;7,MOD(1+IFERROR(MATCH($C759,总览!$D$46:$D$345,1)+1,1),7)=0),$C$3,0),0)</f>
        <v>136.324107142857</v>
      </c>
      <c r="N759" s="131" cm="1">
        <f ca="1" t="array" ref="N759">IF(N1361=1,OFFSET($W$634,$B759,N$631-1)/SUMPRODUCT(--($D$631:$V$631=N$631),--($D1361:$V1361=1)),0)+SUM(N758)+IF(COUNTIF(N$1237:N1361,1)=1,5,0)+IF(COUNTIF(O759:$W759,"&gt;"&amp;0)&lt;5,IF(AND(COUNTIF(N$1237:N1361,1)&gt;7,MOD(1+IFERROR(MATCH($C759,总览!$D$46:$D$345,1)+1,1),7)=0),$C$3,0),0)</f>
        <v>137.574107142857</v>
      </c>
      <c r="O759" s="131" cm="1">
        <f ca="1" t="array" ref="O759">IF(O1361=1,OFFSET($W$634,$B759,O$631-1)/SUMPRODUCT(--($D$631:$V$631=O$631),--($D1361:$V1361=1)),0)+SUM(O758)+IF(COUNTIF(O$1237:O1361,1)=1,5,0)+IF(COUNTIF(P759:$W759,"&gt;"&amp;0)&lt;5,IF(AND(COUNTIF(O$1237:O1361,1)&gt;7,MOD(1+IFERROR(MATCH($C759,总览!$D$46:$D$345,1)+1,1),7)=0),$C$3,0),0)</f>
        <v>142.574107142857</v>
      </c>
      <c r="P759" s="131" cm="1">
        <f ca="1" t="array" ref="P759">IF(P1361=1,OFFSET($W$634,$B759,P$631-1)/SUMPRODUCT(--($D$631:$V$631=P$631),--($D1361:$V1361=1)),0)+SUM(P758)+IF(COUNTIF(P$1237:P1361,1)=1,5,0)+IF(COUNTIF(Q759:$W759,"&gt;"&amp;0)&lt;5,IF(AND(COUNTIF(P$1237:P1361,1)&gt;7,MOD(1+IFERROR(MATCH($C759,总览!$D$46:$D$345,1)+1,1),7)=0),$C$3,0),0)</f>
        <v>131.692857142857</v>
      </c>
      <c r="Q759" s="131" cm="1">
        <f ca="1" t="array" ref="Q759">IF(Q1361=1,OFFSET($W$634,$B759,Q$631-1)/SUMPRODUCT(--($D$631:$V$631=Q$631),--($D1361:$V1361=1)),0)+SUM(Q758)+IF(COUNTIF(Q$1237:Q1361,1)=1,5,0)+IF(COUNTIF(R759:$W759,"&gt;"&amp;0)&lt;5,IF(AND(COUNTIF(Q$1237:Q1361,1)&gt;7,MOD(1+IFERROR(MATCH($C759,总览!$D$46:$D$345,1)+1,1),7)=0),$C$3,0),0)</f>
        <v>145.074107142857</v>
      </c>
      <c r="R759" s="131" cm="1">
        <f ca="1" t="array" ref="R759">IF(R1361=1,OFFSET($W$634,$B759,R$631-1)/SUMPRODUCT(--($D$631:$V$631=R$631),--($D1361:$V1361=1)),0)+SUM(R758)+IF(COUNTIF(R$1237:R1361,1)=1,5,0)+IF(COUNTIF(S759:$W759,"&gt;"&amp;0)&lt;5,IF(AND(COUNTIF(R$1237:R1361,1)&gt;7,MOD(1+IFERROR(MATCH($C759,总览!$D$46:$D$345,1)+1,1),7)=0),$C$3,0),0)</f>
        <v>136.692857142857</v>
      </c>
      <c r="S759" s="131" cm="1">
        <f ca="1" t="array" ref="S759">IF(S1361=1,OFFSET($W$634,$B759,S$631-1)/SUMPRODUCT(--($D$631:$V$631=S$631),--($D1361:$V1361=1)),0)+SUM(S758)+IF(COUNTIF(S$1237:S1361,1)=1,5,0)+IF(COUNTIF(T759:$W759,"&gt;"&amp;0)&lt;5,IF(AND(COUNTIF(S$1237:S1361,1)&gt;7,MOD(1+IFERROR(MATCH($C759,总览!$D$46:$D$345,1)+1,1),7)=0),$C$3,0),0)</f>
        <v>189.192857142857</v>
      </c>
      <c r="T759" s="131" cm="1">
        <f ca="1" t="array" ref="T759">IF(T1361=1,OFFSET($W$634,$B759,T$631-1)/SUMPRODUCT(--($D$631:$V$631=T$631),--($D1361:$V1361=1)),0)+SUM(T758)+IF(COUNTIF(T$1237:T1361,1)=1,5,0)+IF(COUNTIF(U759:$W759,"&gt;"&amp;0)&lt;5,IF(AND(COUNTIF(T$1237:T1361,1)&gt;7,MOD(1+IFERROR(MATCH($C759,总览!$D$46:$D$345,1)+1,1),7)=0),$C$3,0),0)</f>
        <v>126.406123300621</v>
      </c>
      <c r="U759" s="131" cm="1">
        <f ca="1" t="array" ref="U759">IF(U1361=1,OFFSET($W$634,$B759,U$631-1)/SUMPRODUCT(--($D$631:$V$631=U$631),--($D1361:$V1361=1)),0)+SUM(U758)+IF(COUNTIF(U$1237:U1361,1)=1,5,0)+IF(COUNTIF(V759:$W759,"&gt;"&amp;0)&lt;5,IF(AND(COUNTIF(U$1237:U1361,1)&gt;7,MOD(1+IFERROR(MATCH($C759,总览!$D$46:$D$345,1)+1,1),7)=0),$C$3,0),0)</f>
        <v>131.926909655921</v>
      </c>
      <c r="V759" s="131" cm="1">
        <f ca="1" t="array" ref="V759">IF(V1361=1,OFFSET($W$634,$B759,V$631-1)/SUMPRODUCT(--($D$631:$V$631=V$631),--($D1361:$V1361=1)),0)+SUM(V758)+IF(COUNTIF(V$1237:V1361,1)=1,5,0)+IF(COUNTIF(W759:$W759,"&gt;"&amp;0)&lt;5,IF(AND(COUNTIF(V$1237:V1361,1)&gt;7,MOD(1+IFERROR(MATCH($C759,总览!$D$46:$D$345,1)+1,1),7)=0),$C$3,0),0)</f>
        <v>151.753909368354</v>
      </c>
      <c r="W759" s="135" cm="1">
        <f ca="1" t="array" ref="W759">SUMPRODUCT(TRANSPOSE($AA759:$AG759),OFFSET($L$9:$L$15,0,W$631-1))</f>
        <v>16.8502200646615</v>
      </c>
      <c r="X759" s="135" cm="1">
        <f ca="1" t="array" ref="X759">SUMPRODUCT(TRANSPOSE($AA759:$AG759),OFFSET($L$9:$L$15,0,X$631-1))</f>
        <v>20</v>
      </c>
      <c r="Y759" s="135" cm="1">
        <f ca="1" t="array" ref="Y759">SUMPRODUCT(TRANSPOSE($AA759:$AG759),OFFSET($L$9:$L$15,0,Y$631-1))</f>
        <v>10</v>
      </c>
      <c r="Z759" s="135" cm="1">
        <f ca="1" t="array" ref="Z759">SUMPRODUCT(TRANSPOSE($AA759:$AG759),OFFSET($L$9:$L$15,0,Z$631-1))</f>
        <v>3.14977993533847</v>
      </c>
      <c r="AA759" s="136">
        <f ca="1" t="shared" ref="AA759:AG759" si="491">AH759-AH758</f>
        <v>0</v>
      </c>
      <c r="AB759" s="136">
        <f ca="1" t="shared" si="491"/>
        <v>0</v>
      </c>
      <c r="AC759" s="136">
        <f ca="1" t="shared" si="491"/>
        <v>0</v>
      </c>
      <c r="AD759" s="136">
        <f ca="1" t="shared" si="491"/>
        <v>0</v>
      </c>
      <c r="AE759" s="136">
        <f ca="1" t="shared" si="491"/>
        <v>0</v>
      </c>
      <c r="AF759" s="136">
        <f ca="1" t="shared" si="491"/>
        <v>100</v>
      </c>
      <c r="AG759" s="136">
        <f ca="1" t="shared" si="491"/>
        <v>0</v>
      </c>
      <c r="AH759" s="136">
        <f ca="1" t="shared" si="371"/>
        <v>450</v>
      </c>
      <c r="AI759" s="136">
        <f ca="1" t="shared" ref="AI759:AN759" si="492">IF($C759&gt;OFFSET($Q$8,MATCH(AI$634,$AH$634:$AN$634,0),0),OFFSET($P$8,MATCH(AI$634,$AH$634:$AN$634,0),0),MAX(0,$C759-OFFSET($Q$8,RIGHT(AI$634,1)-1,0)))</f>
        <v>909</v>
      </c>
      <c r="AJ759" s="136">
        <f ca="1" t="shared" si="492"/>
        <v>1818</v>
      </c>
      <c r="AK759" s="136">
        <f ca="1" t="shared" si="492"/>
        <v>2727</v>
      </c>
      <c r="AL759" s="136">
        <f ca="1" t="shared" si="492"/>
        <v>3636</v>
      </c>
      <c r="AM759" s="136">
        <f ca="1" t="shared" si="492"/>
        <v>2960</v>
      </c>
      <c r="AN759" s="136">
        <f ca="1" t="shared" si="492"/>
        <v>0</v>
      </c>
    </row>
    <row r="760" s="106" customFormat="1" ht="16.5" spans="2:40">
      <c r="B760" s="117">
        <v>126</v>
      </c>
      <c r="C760" s="130">
        <f t="shared" si="369"/>
        <v>12600</v>
      </c>
      <c r="D760" s="131" cm="1">
        <f ca="1" t="array" ref="D760">IF(D1362=1,OFFSET($W$634,$B760,D$631-1)/SUMPRODUCT(--($D$631:$V$631=D$631),--($D1362:$V1362=1)),0)+SUM(D759)+IF(COUNTIF(D$1237:D1362,1)=1,5,0)+IF(COUNTIF(E760:$W760,"&gt;"&amp;0)&lt;5,IF(AND(COUNTIF(D$1237:D1362,1)&gt;7,MOD(1+IFERROR(MATCH($C760,总览!$D$46:$D$345,1)+1,1),7)=0),$C$3,0),0)</f>
        <v>1035.41275924659</v>
      </c>
      <c r="E760" s="131" cm="1">
        <f ca="1" t="array" ref="E760">IF(E1362=1,OFFSET($W$634,$B760,E$631-1)/SUMPRODUCT(--($D$631:$V$631=E$631),--($D1362:$V1362=1)),0)+SUM(E759)+IF(COUNTIF(E$1237:E1362,1)=1,5,0)+IF(COUNTIF(F760:$W760,"&gt;"&amp;0)&lt;5,IF(AND(COUNTIF(E$1237:E1362,1)&gt;7,MOD(1+IFERROR(MATCH($C760,总览!$D$46:$D$345,1)+1,1),7)=0),$C$3,0),0)</f>
        <v>1035.41275924659</v>
      </c>
      <c r="F760" s="131" cm="1">
        <f ca="1" t="array" ref="F760">IF(F1362=1,OFFSET($W$634,$B760,F$631-1)/SUMPRODUCT(--($D$631:$V$631=F$631),--($D1362:$V1362=1)),0)+SUM(F759)+IF(COUNTIF(F$1237:F1362,1)=1,5,0)+IF(COUNTIF(G760:$W760,"&gt;"&amp;0)&lt;5,IF(AND(COUNTIF(F$1237:F1362,1)&gt;7,MOD(1+IFERROR(MATCH($C760,总览!$D$46:$D$345,1)+1,1),7)=0),$C$3,0),0)</f>
        <v>1035.41275924659</v>
      </c>
      <c r="G760" s="131" cm="1">
        <f ca="1" t="array" ref="G760">IF(G1362=1,OFFSET($W$634,$B760,G$631-1)/SUMPRODUCT(--($D$631:$V$631=G$631),--($D1362:$V1362=1)),0)+SUM(G759)+IF(COUNTIF(G$1237:G1362,1)=1,5,0)+IF(COUNTIF(H760:$W760,"&gt;"&amp;0)&lt;5,IF(AND(COUNTIF(G$1237:G1362,1)&gt;7,MOD(1+IFERROR(MATCH($C760,总览!$D$46:$D$345,1)+1,1),7)=0),$C$3,0),0)</f>
        <v>359.399999999999</v>
      </c>
      <c r="H760" s="131" cm="1">
        <f ca="1" t="array" ref="H760">IF(H1362=1,OFFSET($W$634,$B760,H$631-1)/SUMPRODUCT(--($D$631:$V$631=H$631),--($D1362:$V1362=1)),0)+SUM(H759)+IF(COUNTIF(H$1237:H1362,1)=1,5,0)+IF(COUNTIF(I760:$W760,"&gt;"&amp;0)&lt;5,IF(AND(COUNTIF(H$1237:H1362,1)&gt;7,MOD(1+IFERROR(MATCH($C760,总览!$D$46:$D$345,1)+1,1),7)=0),$C$3,0),0)</f>
        <v>359.399999999999</v>
      </c>
      <c r="I760" s="131" cm="1">
        <f ca="1" t="array" ref="I760">IF(I1362=1,OFFSET($W$634,$B760,I$631-1)/SUMPRODUCT(--($D$631:$V$631=I$631),--($D1362:$V1362=1)),0)+SUM(I759)+IF(COUNTIF(I$1237:I1362,1)=1,5,0)+IF(COUNTIF(J760:$W760,"&gt;"&amp;0)&lt;5,IF(AND(COUNTIF(I$1237:I1362,1)&gt;7,MOD(1+IFERROR(MATCH($C760,总览!$D$46:$D$345,1)+1,1),7)=0),$C$3,0),0)</f>
        <v>359.399999999999</v>
      </c>
      <c r="J760" s="131" cm="1">
        <f ca="1" t="array" ref="J760">IF(J1362=1,OFFSET($W$634,$B760,J$631-1)/SUMPRODUCT(--($D$631:$V$631=J$631),--($D1362:$V1362=1)),0)+SUM(J759)+IF(COUNTIF(J$1237:J1362,1)=1,5,0)+IF(COUNTIF(K760:$W760,"&gt;"&amp;0)&lt;5,IF(AND(COUNTIF(J$1237:J1362,1)&gt;7,MOD(1+IFERROR(MATCH($C760,总览!$D$46:$D$345,1)+1,1),7)=0),$C$3,0),0)</f>
        <v>356.066666666666</v>
      </c>
      <c r="K760" s="131" cm="1">
        <f ca="1" t="array" ref="K760">IF(K1362=1,OFFSET($W$634,$B760,K$631-1)/SUMPRODUCT(--($D$631:$V$631=K$631),--($D1362:$V1362=1)),0)+SUM(K759)+IF(COUNTIF(K$1237:K1362,1)=1,5,0)+IF(COUNTIF(L760:$W760,"&gt;"&amp;0)&lt;5,IF(AND(COUNTIF(K$1237:K1362,1)&gt;7,MOD(1+IFERROR(MATCH($C760,总览!$D$46:$D$345,1)+1,1),7)=0),$C$3,0),0)</f>
        <v>353.566666666666</v>
      </c>
      <c r="L760" s="131" cm="1">
        <f ca="1" t="array" ref="L760">IF(L1362=1,OFFSET($W$634,$B760,L$631-1)/SUMPRODUCT(--($D$631:$V$631=L$631),--($D1362:$V1362=1)),0)+SUM(L759)+IF(COUNTIF(L$1237:L1362,1)=1,5,0)+IF(COUNTIF(M760:$W760,"&gt;"&amp;0)&lt;5,IF(AND(COUNTIF(L$1237:L1362,1)&gt;7,MOD(1+IFERROR(MATCH($C760,总览!$D$46:$D$345,1)+1,1),7)=0),$C$3,0),0)</f>
        <v>353.566666666666</v>
      </c>
      <c r="M760" s="131" cm="1">
        <f ca="1" t="array" ref="M760">IF(M1362=1,OFFSET($W$634,$B760,M$631-1)/SUMPRODUCT(--($D$631:$V$631=M$631),--($D1362:$V1362=1)),0)+SUM(M759)+IF(COUNTIF(M$1237:M1362,1)=1,5,0)+IF(COUNTIF(N760:$W760,"&gt;"&amp;0)&lt;5,IF(AND(COUNTIF(M$1237:M1362,1)&gt;7,MOD(1+IFERROR(MATCH($C760,总览!$D$46:$D$345,1)+1,1),7)=0),$C$3,0),0)</f>
        <v>137.752678571428</v>
      </c>
      <c r="N760" s="131" cm="1">
        <f ca="1" t="array" ref="N760">IF(N1362=1,OFFSET($W$634,$B760,N$631-1)/SUMPRODUCT(--($D$631:$V$631=N$631),--($D1362:$V1362=1)),0)+SUM(N759)+IF(COUNTIF(N$1237:N1362,1)=1,5,0)+IF(COUNTIF(O760:$W760,"&gt;"&amp;0)&lt;5,IF(AND(COUNTIF(N$1237:N1362,1)&gt;7,MOD(1+IFERROR(MATCH($C760,总览!$D$46:$D$345,1)+1,1),7)=0),$C$3,0),0)</f>
        <v>139.002678571428</v>
      </c>
      <c r="O760" s="131" cm="1">
        <f ca="1" t="array" ref="O760">IF(O1362=1,OFFSET($W$634,$B760,O$631-1)/SUMPRODUCT(--($D$631:$V$631=O$631),--($D1362:$V1362=1)),0)+SUM(O759)+IF(COUNTIF(O$1237:O1362,1)=1,5,0)+IF(COUNTIF(P760:$W760,"&gt;"&amp;0)&lt;5,IF(AND(COUNTIF(O$1237:O1362,1)&gt;7,MOD(1+IFERROR(MATCH($C760,总览!$D$46:$D$345,1)+1,1),7)=0),$C$3,0),0)</f>
        <v>144.002678571428</v>
      </c>
      <c r="P760" s="131" cm="1">
        <f ca="1" t="array" ref="P760">IF(P1362=1,OFFSET($W$634,$B760,P$631-1)/SUMPRODUCT(--($D$631:$V$631=P$631),--($D1362:$V1362=1)),0)+SUM(P759)+IF(COUNTIF(P$1237:P1362,1)=1,5,0)+IF(COUNTIF(Q760:$W760,"&gt;"&amp;0)&lt;5,IF(AND(COUNTIF(P$1237:P1362,1)&gt;7,MOD(1+IFERROR(MATCH($C760,总览!$D$46:$D$345,1)+1,1),7)=0),$C$3,0),0)</f>
        <v>133.121428571429</v>
      </c>
      <c r="Q760" s="131" cm="1">
        <f ca="1" t="array" ref="Q760">IF(Q1362=1,OFFSET($W$634,$B760,Q$631-1)/SUMPRODUCT(--($D$631:$V$631=Q$631),--($D1362:$V1362=1)),0)+SUM(Q759)+IF(COUNTIF(Q$1237:Q1362,1)=1,5,0)+IF(COUNTIF(R760:$W760,"&gt;"&amp;0)&lt;5,IF(AND(COUNTIF(Q$1237:Q1362,1)&gt;7,MOD(1+IFERROR(MATCH($C760,总览!$D$46:$D$345,1)+1,1),7)=0),$C$3,0),0)</f>
        <v>146.502678571428</v>
      </c>
      <c r="R760" s="131" cm="1">
        <f ca="1" t="array" ref="R760">IF(R1362=1,OFFSET($W$634,$B760,R$631-1)/SUMPRODUCT(--($D$631:$V$631=R$631),--($D1362:$V1362=1)),0)+SUM(R759)+IF(COUNTIF(R$1237:R1362,1)=1,5,0)+IF(COUNTIF(S760:$W760,"&gt;"&amp;0)&lt;5,IF(AND(COUNTIF(R$1237:R1362,1)&gt;7,MOD(1+IFERROR(MATCH($C760,总览!$D$46:$D$345,1)+1,1),7)=0),$C$3,0),0)</f>
        <v>138.121428571428</v>
      </c>
      <c r="S760" s="131" cm="1">
        <f ca="1" t="array" ref="S760">IF(S1362=1,OFFSET($W$634,$B760,S$631-1)/SUMPRODUCT(--($D$631:$V$631=S$631),--($D1362:$V1362=1)),0)+SUM(S759)+IF(COUNTIF(S$1237:S1362,1)=1,5,0)+IF(COUNTIF(T760:$W760,"&gt;"&amp;0)&lt;5,IF(AND(COUNTIF(S$1237:S1362,1)&gt;7,MOD(1+IFERROR(MATCH($C760,总览!$D$46:$D$345,1)+1,1),7)=0),$C$3,0),0)</f>
        <v>190.621428571428</v>
      </c>
      <c r="T760" s="131" cm="1">
        <f ca="1" t="array" ref="T760">IF(T1362=1,OFFSET($W$634,$B760,T$631-1)/SUMPRODUCT(--($D$631:$V$631=T$631),--($D1362:$V1362=1)),0)+SUM(T759)+IF(COUNTIF(T$1237:T1362,1)=1,5,0)+IF(COUNTIF(U760:$W760,"&gt;"&amp;0)&lt;5,IF(AND(COUNTIF(T$1237:T1362,1)&gt;7,MOD(1+IFERROR(MATCH($C760,总览!$D$46:$D$345,1)+1,1),7)=0),$C$3,0),0)</f>
        <v>127.456049945734</v>
      </c>
      <c r="U760" s="131" cm="1">
        <f ca="1" t="array" ref="U760">IF(U1362=1,OFFSET($W$634,$B760,U$631-1)/SUMPRODUCT(--($D$631:$V$631=U$631),--($D1362:$V1362=1)),0)+SUM(U759)+IF(COUNTIF(U$1237:U1362,1)=1,5,0)+IF(COUNTIF(V760:$W760,"&gt;"&amp;0)&lt;5,IF(AND(COUNTIF(U$1237:U1362,1)&gt;7,MOD(1+IFERROR(MATCH($C760,总览!$D$46:$D$345,1)+1,1),7)=0),$C$3,0),0)</f>
        <v>132.976836301034</v>
      </c>
      <c r="V760" s="131" cm="1">
        <f ca="1" t="array" ref="V760">IF(V1362=1,OFFSET($W$634,$B760,V$631-1)/SUMPRODUCT(--($D$631:$V$631=V$631),--($D1362:$V1362=1)),0)+SUM(V759)+IF(COUNTIF(V$1237:V1362,1)=1,5,0)+IF(COUNTIF(W760:$W760,"&gt;"&amp;0)&lt;5,IF(AND(COUNTIF(V$1237:V1362,1)&gt;7,MOD(1+IFERROR(MATCH($C760,总览!$D$46:$D$345,1)+1,1),7)=0),$C$3,0),0)</f>
        <v>152.803836013467</v>
      </c>
      <c r="W760" s="135" cm="1">
        <f ca="1" t="array" ref="W760">SUMPRODUCT(TRANSPOSE($AA760:$AG760),OFFSET($L$9:$L$15,0,W$631-1))</f>
        <v>16.8502200646615</v>
      </c>
      <c r="X760" s="135" cm="1">
        <f ca="1" t="array" ref="X760">SUMPRODUCT(TRANSPOSE($AA760:$AG760),OFFSET($L$9:$L$15,0,X$631-1))</f>
        <v>20</v>
      </c>
      <c r="Y760" s="135" cm="1">
        <f ca="1" t="array" ref="Y760">SUMPRODUCT(TRANSPOSE($AA760:$AG760),OFFSET($L$9:$L$15,0,Y$631-1))</f>
        <v>10</v>
      </c>
      <c r="Z760" s="135" cm="1">
        <f ca="1" t="array" ref="Z760">SUMPRODUCT(TRANSPOSE($AA760:$AG760),OFFSET($L$9:$L$15,0,Z$631-1))</f>
        <v>3.14977993533847</v>
      </c>
      <c r="AA760" s="136">
        <f ca="1" t="shared" ref="AA760:AG760" si="493">AH760-AH759</f>
        <v>0</v>
      </c>
      <c r="AB760" s="136">
        <f ca="1" t="shared" si="493"/>
        <v>0</v>
      </c>
      <c r="AC760" s="136">
        <f ca="1" t="shared" si="493"/>
        <v>0</v>
      </c>
      <c r="AD760" s="136">
        <f ca="1" t="shared" si="493"/>
        <v>0</v>
      </c>
      <c r="AE760" s="136">
        <f ca="1" t="shared" si="493"/>
        <v>0</v>
      </c>
      <c r="AF760" s="136">
        <f ca="1" t="shared" si="493"/>
        <v>100</v>
      </c>
      <c r="AG760" s="136">
        <f ca="1" t="shared" si="493"/>
        <v>0</v>
      </c>
      <c r="AH760" s="136">
        <f ca="1" t="shared" si="371"/>
        <v>450</v>
      </c>
      <c r="AI760" s="136">
        <f ca="1" t="shared" ref="AI760:AN760" si="494">IF($C760&gt;OFFSET($Q$8,MATCH(AI$634,$AH$634:$AN$634,0),0),OFFSET($P$8,MATCH(AI$634,$AH$634:$AN$634,0),0),MAX(0,$C760-OFFSET($Q$8,RIGHT(AI$634,1)-1,0)))</f>
        <v>909</v>
      </c>
      <c r="AJ760" s="136">
        <f ca="1" t="shared" si="494"/>
        <v>1818</v>
      </c>
      <c r="AK760" s="136">
        <f ca="1" t="shared" si="494"/>
        <v>2727</v>
      </c>
      <c r="AL760" s="136">
        <f ca="1" t="shared" si="494"/>
        <v>3636</v>
      </c>
      <c r="AM760" s="136">
        <f ca="1" t="shared" si="494"/>
        <v>3060</v>
      </c>
      <c r="AN760" s="136">
        <f ca="1" t="shared" si="494"/>
        <v>0</v>
      </c>
    </row>
    <row r="761" s="106" customFormat="1" ht="16.5" spans="2:40">
      <c r="B761" s="117">
        <v>127</v>
      </c>
      <c r="C761" s="130">
        <f t="shared" si="369"/>
        <v>12700</v>
      </c>
      <c r="D761" s="131" cm="1">
        <f ca="1" t="array" ref="D761">IF(D1363=1,OFFSET($W$634,$B761,D$631-1)/SUMPRODUCT(--($D$631:$V$631=D$631),--($D1363:$V1363=1)),0)+SUM(D760)+IF(COUNTIF(D$1237:D1363,1)=1,5,0)+IF(COUNTIF(E761:$W761,"&gt;"&amp;0)&lt;5,IF(AND(COUNTIF(D$1237:D1363,1)&gt;7,MOD(1+IFERROR(MATCH($C761,总览!$D$46:$D$345,1)+1,1),7)=0),$C$3,0),0)</f>
        <v>1041.02949926814</v>
      </c>
      <c r="E761" s="131" cm="1">
        <f ca="1" t="array" ref="E761">IF(E1363=1,OFFSET($W$634,$B761,E$631-1)/SUMPRODUCT(--($D$631:$V$631=E$631),--($D1363:$V1363=1)),0)+SUM(E760)+IF(COUNTIF(E$1237:E1363,1)=1,5,0)+IF(COUNTIF(F761:$W761,"&gt;"&amp;0)&lt;5,IF(AND(COUNTIF(E$1237:E1363,1)&gt;7,MOD(1+IFERROR(MATCH($C761,总览!$D$46:$D$345,1)+1,1),7)=0),$C$3,0),0)</f>
        <v>1041.02949926814</v>
      </c>
      <c r="F761" s="131" cm="1">
        <f ca="1" t="array" ref="F761">IF(F1363=1,OFFSET($W$634,$B761,F$631-1)/SUMPRODUCT(--($D$631:$V$631=F$631),--($D1363:$V1363=1)),0)+SUM(F760)+IF(COUNTIF(F$1237:F1363,1)=1,5,0)+IF(COUNTIF(G761:$W761,"&gt;"&amp;0)&lt;5,IF(AND(COUNTIF(F$1237:F1363,1)&gt;7,MOD(1+IFERROR(MATCH($C761,总览!$D$46:$D$345,1)+1,1),7)=0),$C$3,0),0)</f>
        <v>1041.02949926814</v>
      </c>
      <c r="G761" s="131" cm="1">
        <f ca="1" t="array" ref="G761">IF(G1363=1,OFFSET($W$634,$B761,G$631-1)/SUMPRODUCT(--($D$631:$V$631=G$631),--($D1363:$V1363=1)),0)+SUM(G760)+IF(COUNTIF(G$1237:G1363,1)=1,5,0)+IF(COUNTIF(H761:$W761,"&gt;"&amp;0)&lt;5,IF(AND(COUNTIF(G$1237:G1363,1)&gt;7,MOD(1+IFERROR(MATCH($C761,总览!$D$46:$D$345,1)+1,1),7)=0),$C$3,0),0)</f>
        <v>362.733333333333</v>
      </c>
      <c r="H761" s="131" cm="1">
        <f ca="1" t="array" ref="H761">IF(H1363=1,OFFSET($W$634,$B761,H$631-1)/SUMPRODUCT(--($D$631:$V$631=H$631),--($D1363:$V1363=1)),0)+SUM(H760)+IF(COUNTIF(H$1237:H1363,1)=1,5,0)+IF(COUNTIF(I761:$W761,"&gt;"&amp;0)&lt;5,IF(AND(COUNTIF(H$1237:H1363,1)&gt;7,MOD(1+IFERROR(MATCH($C761,总览!$D$46:$D$345,1)+1,1),7)=0),$C$3,0),0)</f>
        <v>362.733333333333</v>
      </c>
      <c r="I761" s="131" cm="1">
        <f ca="1" t="array" ref="I761">IF(I1363=1,OFFSET($W$634,$B761,I$631-1)/SUMPRODUCT(--($D$631:$V$631=I$631),--($D1363:$V1363=1)),0)+SUM(I760)+IF(COUNTIF(I$1237:I1363,1)=1,5,0)+IF(COUNTIF(J761:$W761,"&gt;"&amp;0)&lt;5,IF(AND(COUNTIF(I$1237:I1363,1)&gt;7,MOD(1+IFERROR(MATCH($C761,总览!$D$46:$D$345,1)+1,1),7)=0),$C$3,0),0)</f>
        <v>362.733333333333</v>
      </c>
      <c r="J761" s="131" cm="1">
        <f ca="1" t="array" ref="J761">IF(J1363=1,OFFSET($W$634,$B761,J$631-1)/SUMPRODUCT(--($D$631:$V$631=J$631),--($D1363:$V1363=1)),0)+SUM(J760)+IF(COUNTIF(J$1237:J1363,1)=1,5,0)+IF(COUNTIF(K761:$W761,"&gt;"&amp;0)&lt;5,IF(AND(COUNTIF(J$1237:J1363,1)&gt;7,MOD(1+IFERROR(MATCH($C761,总览!$D$46:$D$345,1)+1,1),7)=0),$C$3,0),0)</f>
        <v>359.399999999999</v>
      </c>
      <c r="K761" s="131" cm="1">
        <f ca="1" t="array" ref="K761">IF(K1363=1,OFFSET($W$634,$B761,K$631-1)/SUMPRODUCT(--($D$631:$V$631=K$631),--($D1363:$V1363=1)),0)+SUM(K760)+IF(COUNTIF(K$1237:K1363,1)=1,5,0)+IF(COUNTIF(L761:$W761,"&gt;"&amp;0)&lt;5,IF(AND(COUNTIF(K$1237:K1363,1)&gt;7,MOD(1+IFERROR(MATCH($C761,总览!$D$46:$D$345,1)+1,1),7)=0),$C$3,0),0)</f>
        <v>356.9</v>
      </c>
      <c r="L761" s="131" cm="1">
        <f ca="1" t="array" ref="L761">IF(L1363=1,OFFSET($W$634,$B761,L$631-1)/SUMPRODUCT(--($D$631:$V$631=L$631),--($D1363:$V1363=1)),0)+SUM(L760)+IF(COUNTIF(L$1237:L1363,1)=1,5,0)+IF(COUNTIF(M761:$W761,"&gt;"&amp;0)&lt;5,IF(AND(COUNTIF(L$1237:L1363,1)&gt;7,MOD(1+IFERROR(MATCH($C761,总览!$D$46:$D$345,1)+1,1),7)=0),$C$3,0),0)</f>
        <v>356.9</v>
      </c>
      <c r="M761" s="131" cm="1">
        <f ca="1" t="array" ref="M761">IF(M1363=1,OFFSET($W$634,$B761,M$631-1)/SUMPRODUCT(--($D$631:$V$631=M$631),--($D1363:$V1363=1)),0)+SUM(M760)+IF(COUNTIF(M$1237:M1363,1)=1,5,0)+IF(COUNTIF(N761:$W761,"&gt;"&amp;0)&lt;5,IF(AND(COUNTIF(M$1237:M1363,1)&gt;7,MOD(1+IFERROR(MATCH($C761,总览!$D$46:$D$345,1)+1,1),7)=0),$C$3,0),0)</f>
        <v>139.18125</v>
      </c>
      <c r="N761" s="131" cm="1">
        <f ca="1" t="array" ref="N761">IF(N1363=1,OFFSET($W$634,$B761,N$631-1)/SUMPRODUCT(--($D$631:$V$631=N$631),--($D1363:$V1363=1)),0)+SUM(N760)+IF(COUNTIF(N$1237:N1363,1)=1,5,0)+IF(COUNTIF(O761:$W761,"&gt;"&amp;0)&lt;5,IF(AND(COUNTIF(N$1237:N1363,1)&gt;7,MOD(1+IFERROR(MATCH($C761,总览!$D$46:$D$345,1)+1,1),7)=0),$C$3,0),0)</f>
        <v>140.43125</v>
      </c>
      <c r="O761" s="131" cm="1">
        <f ca="1" t="array" ref="O761">IF(O1363=1,OFFSET($W$634,$B761,O$631-1)/SUMPRODUCT(--($D$631:$V$631=O$631),--($D1363:$V1363=1)),0)+SUM(O760)+IF(COUNTIF(O$1237:O1363,1)=1,5,0)+IF(COUNTIF(P761:$W761,"&gt;"&amp;0)&lt;5,IF(AND(COUNTIF(O$1237:O1363,1)&gt;7,MOD(1+IFERROR(MATCH($C761,总览!$D$46:$D$345,1)+1,1),7)=0),$C$3,0),0)</f>
        <v>145.43125</v>
      </c>
      <c r="P761" s="131" cm="1">
        <f ca="1" t="array" ref="P761">IF(P1363=1,OFFSET($W$634,$B761,P$631-1)/SUMPRODUCT(--($D$631:$V$631=P$631),--($D1363:$V1363=1)),0)+SUM(P760)+IF(COUNTIF(P$1237:P1363,1)=1,5,0)+IF(COUNTIF(Q761:$W761,"&gt;"&amp;0)&lt;5,IF(AND(COUNTIF(P$1237:P1363,1)&gt;7,MOD(1+IFERROR(MATCH($C761,总览!$D$46:$D$345,1)+1,1),7)=0),$C$3,0),0)</f>
        <v>134.55</v>
      </c>
      <c r="Q761" s="131" cm="1">
        <f ca="1" t="array" ref="Q761">IF(Q1363=1,OFFSET($W$634,$B761,Q$631-1)/SUMPRODUCT(--($D$631:$V$631=Q$631),--($D1363:$V1363=1)),0)+SUM(Q760)+IF(COUNTIF(Q$1237:Q1363,1)=1,5,0)+IF(COUNTIF(R761:$W761,"&gt;"&amp;0)&lt;5,IF(AND(COUNTIF(Q$1237:Q1363,1)&gt;7,MOD(1+IFERROR(MATCH($C761,总览!$D$46:$D$345,1)+1,1),7)=0),$C$3,0),0)</f>
        <v>147.93125</v>
      </c>
      <c r="R761" s="131" cm="1">
        <f ca="1" t="array" ref="R761">IF(R1363=1,OFFSET($W$634,$B761,R$631-1)/SUMPRODUCT(--($D$631:$V$631=R$631),--($D1363:$V1363=1)),0)+SUM(R760)+IF(COUNTIF(R$1237:R1363,1)=1,5,0)+IF(COUNTIF(S761:$W761,"&gt;"&amp;0)&lt;5,IF(AND(COUNTIF(R$1237:R1363,1)&gt;7,MOD(1+IFERROR(MATCH($C761,总览!$D$46:$D$345,1)+1,1),7)=0),$C$3,0),0)</f>
        <v>139.55</v>
      </c>
      <c r="S761" s="131" cm="1">
        <f ca="1" t="array" ref="S761">IF(S1363=1,OFFSET($W$634,$B761,S$631-1)/SUMPRODUCT(--($D$631:$V$631=S$631),--($D1363:$V1363=1)),0)+SUM(S760)+IF(COUNTIF(S$1237:S1363,1)=1,5,0)+IF(COUNTIF(T761:$W761,"&gt;"&amp;0)&lt;5,IF(AND(COUNTIF(S$1237:S1363,1)&gt;7,MOD(1+IFERROR(MATCH($C761,总览!$D$46:$D$345,1)+1,1),7)=0),$C$3,0),0)</f>
        <v>192.049999999999</v>
      </c>
      <c r="T761" s="131" cm="1">
        <f ca="1" t="array" ref="T761">IF(T1363=1,OFFSET($W$634,$B761,T$631-1)/SUMPRODUCT(--($D$631:$V$631=T$631),--($D1363:$V1363=1)),0)+SUM(T760)+IF(COUNTIF(T$1237:T1363,1)=1,5,0)+IF(COUNTIF(U761:$W761,"&gt;"&amp;0)&lt;5,IF(AND(COUNTIF(T$1237:T1363,1)&gt;7,MOD(1+IFERROR(MATCH($C761,总览!$D$46:$D$345,1)+1,1),7)=0),$C$3,0),0)</f>
        <v>128.505976590847</v>
      </c>
      <c r="U761" s="131" cm="1">
        <f ca="1" t="array" ref="U761">IF(U1363=1,OFFSET($W$634,$B761,U$631-1)/SUMPRODUCT(--($D$631:$V$631=U$631),--($D1363:$V1363=1)),0)+SUM(U760)+IF(COUNTIF(U$1237:U1363,1)=1,5,0)+IF(COUNTIF(V761:$W761,"&gt;"&amp;0)&lt;5,IF(AND(COUNTIF(U$1237:U1363,1)&gt;7,MOD(1+IFERROR(MATCH($C761,总览!$D$46:$D$345,1)+1,1),7)=0),$C$3,0),0)</f>
        <v>134.026762946146</v>
      </c>
      <c r="V761" s="131" cm="1">
        <f ca="1" t="array" ref="V761">IF(V1363=1,OFFSET($W$634,$B761,V$631-1)/SUMPRODUCT(--($D$631:$V$631=V$631),--($D1363:$V1363=1)),0)+SUM(V760)+IF(COUNTIF(V$1237:V1363,1)=1,5,0)+IF(COUNTIF(W761:$W761,"&gt;"&amp;0)&lt;5,IF(AND(COUNTIF(V$1237:V1363,1)&gt;7,MOD(1+IFERROR(MATCH($C761,总览!$D$46:$D$345,1)+1,1),7)=0),$C$3,0),0)</f>
        <v>153.85376265858</v>
      </c>
      <c r="W761" s="135" cm="1">
        <f ca="1" t="array" ref="W761">SUMPRODUCT(TRANSPOSE($AA761:$AG761),OFFSET($L$9:$L$15,0,W$631-1))</f>
        <v>16.8502200646615</v>
      </c>
      <c r="X761" s="135" cm="1">
        <f ca="1" t="array" ref="X761">SUMPRODUCT(TRANSPOSE($AA761:$AG761),OFFSET($L$9:$L$15,0,X$631-1))</f>
        <v>20</v>
      </c>
      <c r="Y761" s="135" cm="1">
        <f ca="1" t="array" ref="Y761">SUMPRODUCT(TRANSPOSE($AA761:$AG761),OFFSET($L$9:$L$15,0,Y$631-1))</f>
        <v>10</v>
      </c>
      <c r="Z761" s="135" cm="1">
        <f ca="1" t="array" ref="Z761">SUMPRODUCT(TRANSPOSE($AA761:$AG761),OFFSET($L$9:$L$15,0,Z$631-1))</f>
        <v>3.14977993533847</v>
      </c>
      <c r="AA761" s="136">
        <f ca="1" t="shared" ref="AA761:AG761" si="495">AH761-AH760</f>
        <v>0</v>
      </c>
      <c r="AB761" s="136">
        <f ca="1" t="shared" si="495"/>
        <v>0</v>
      </c>
      <c r="AC761" s="136">
        <f ca="1" t="shared" si="495"/>
        <v>0</v>
      </c>
      <c r="AD761" s="136">
        <f ca="1" t="shared" si="495"/>
        <v>0</v>
      </c>
      <c r="AE761" s="136">
        <f ca="1" t="shared" si="495"/>
        <v>0</v>
      </c>
      <c r="AF761" s="136">
        <f ca="1" t="shared" si="495"/>
        <v>100</v>
      </c>
      <c r="AG761" s="136">
        <f ca="1" t="shared" si="495"/>
        <v>0</v>
      </c>
      <c r="AH761" s="136">
        <f ca="1" t="shared" si="371"/>
        <v>450</v>
      </c>
      <c r="AI761" s="136">
        <f ca="1" t="shared" ref="AI761:AN761" si="496">IF($C761&gt;OFFSET($Q$8,MATCH(AI$634,$AH$634:$AN$634,0),0),OFFSET($P$8,MATCH(AI$634,$AH$634:$AN$634,0),0),MAX(0,$C761-OFFSET($Q$8,RIGHT(AI$634,1)-1,0)))</f>
        <v>909</v>
      </c>
      <c r="AJ761" s="136">
        <f ca="1" t="shared" si="496"/>
        <v>1818</v>
      </c>
      <c r="AK761" s="136">
        <f ca="1" t="shared" si="496"/>
        <v>2727</v>
      </c>
      <c r="AL761" s="136">
        <f ca="1" t="shared" si="496"/>
        <v>3636</v>
      </c>
      <c r="AM761" s="136">
        <f ca="1" t="shared" si="496"/>
        <v>3160</v>
      </c>
      <c r="AN761" s="136">
        <f ca="1" t="shared" si="496"/>
        <v>0</v>
      </c>
    </row>
    <row r="762" s="106" customFormat="1" ht="16.5" spans="2:40">
      <c r="B762" s="117">
        <v>128</v>
      </c>
      <c r="C762" s="130">
        <f t="shared" si="369"/>
        <v>12800</v>
      </c>
      <c r="D762" s="131" cm="1">
        <f ca="1" t="array" ref="D762">IF(D1364=1,OFFSET($W$634,$B762,D$631-1)/SUMPRODUCT(--($D$631:$V$631=D$631),--($D1364:$V1364=1)),0)+SUM(D761)+IF(COUNTIF(D$1237:D1364,1)=1,5,0)+IF(COUNTIF(E762:$W762,"&gt;"&amp;0)&lt;5,IF(AND(COUNTIF(D$1237:D1364,1)&gt;7,MOD(1+IFERROR(MATCH($C762,总览!$D$46:$D$345,1)+1,1),7)=0),$C$3,0),0)</f>
        <v>1046.6462392897</v>
      </c>
      <c r="E762" s="131" cm="1">
        <f ca="1" t="array" ref="E762">IF(E1364=1,OFFSET($W$634,$B762,E$631-1)/SUMPRODUCT(--($D$631:$V$631=E$631),--($D1364:$V1364=1)),0)+SUM(E761)+IF(COUNTIF(E$1237:E1364,1)=1,5,0)+IF(COUNTIF(F762:$W762,"&gt;"&amp;0)&lt;5,IF(AND(COUNTIF(E$1237:E1364,1)&gt;7,MOD(1+IFERROR(MATCH($C762,总览!$D$46:$D$345,1)+1,1),7)=0),$C$3,0),0)</f>
        <v>1046.6462392897</v>
      </c>
      <c r="F762" s="131" cm="1">
        <f ca="1" t="array" ref="F762">IF(F1364=1,OFFSET($W$634,$B762,F$631-1)/SUMPRODUCT(--($D$631:$V$631=F$631),--($D1364:$V1364=1)),0)+SUM(F761)+IF(COUNTIF(F$1237:F1364,1)=1,5,0)+IF(COUNTIF(G762:$W762,"&gt;"&amp;0)&lt;5,IF(AND(COUNTIF(F$1237:F1364,1)&gt;7,MOD(1+IFERROR(MATCH($C762,总览!$D$46:$D$345,1)+1,1),7)=0),$C$3,0),0)</f>
        <v>1046.6462392897</v>
      </c>
      <c r="G762" s="131" cm="1">
        <f ca="1" t="array" ref="G762">IF(G1364=1,OFFSET($W$634,$B762,G$631-1)/SUMPRODUCT(--($D$631:$V$631=G$631),--($D1364:$V1364=1)),0)+SUM(G761)+IF(COUNTIF(G$1237:G1364,1)=1,5,0)+IF(COUNTIF(H762:$W762,"&gt;"&amp;0)&lt;5,IF(AND(COUNTIF(G$1237:G1364,1)&gt;7,MOD(1+IFERROR(MATCH($C762,总览!$D$46:$D$345,1)+1,1),7)=0),$C$3,0),0)</f>
        <v>366.066666666666</v>
      </c>
      <c r="H762" s="131" cm="1">
        <f ca="1" t="array" ref="H762">IF(H1364=1,OFFSET($W$634,$B762,H$631-1)/SUMPRODUCT(--($D$631:$V$631=H$631),--($D1364:$V1364=1)),0)+SUM(H761)+IF(COUNTIF(H$1237:H1364,1)=1,5,0)+IF(COUNTIF(I762:$W762,"&gt;"&amp;0)&lt;5,IF(AND(COUNTIF(H$1237:H1364,1)&gt;7,MOD(1+IFERROR(MATCH($C762,总览!$D$46:$D$345,1)+1,1),7)=0),$C$3,0),0)</f>
        <v>366.066666666666</v>
      </c>
      <c r="I762" s="131" cm="1">
        <f ca="1" t="array" ref="I762">IF(I1364=1,OFFSET($W$634,$B762,I$631-1)/SUMPRODUCT(--($D$631:$V$631=I$631),--($D1364:$V1364=1)),0)+SUM(I761)+IF(COUNTIF(I$1237:I1364,1)=1,5,0)+IF(COUNTIF(J762:$W762,"&gt;"&amp;0)&lt;5,IF(AND(COUNTIF(I$1237:I1364,1)&gt;7,MOD(1+IFERROR(MATCH($C762,总览!$D$46:$D$345,1)+1,1),7)=0),$C$3,0),0)</f>
        <v>366.066666666666</v>
      </c>
      <c r="J762" s="131" cm="1">
        <f ca="1" t="array" ref="J762">IF(J1364=1,OFFSET($W$634,$B762,J$631-1)/SUMPRODUCT(--($D$631:$V$631=J$631),--($D1364:$V1364=1)),0)+SUM(J761)+IF(COUNTIF(J$1237:J1364,1)=1,5,0)+IF(COUNTIF(K762:$W762,"&gt;"&amp;0)&lt;5,IF(AND(COUNTIF(J$1237:J1364,1)&gt;7,MOD(1+IFERROR(MATCH($C762,总览!$D$46:$D$345,1)+1,1),7)=0),$C$3,0),0)</f>
        <v>362.733333333333</v>
      </c>
      <c r="K762" s="131" cm="1">
        <f ca="1" t="array" ref="K762">IF(K1364=1,OFFSET($W$634,$B762,K$631-1)/SUMPRODUCT(--($D$631:$V$631=K$631),--($D1364:$V1364=1)),0)+SUM(K761)+IF(COUNTIF(K$1237:K1364,1)=1,5,0)+IF(COUNTIF(L762:$W762,"&gt;"&amp;0)&lt;5,IF(AND(COUNTIF(K$1237:K1364,1)&gt;7,MOD(1+IFERROR(MATCH($C762,总览!$D$46:$D$345,1)+1,1),7)=0),$C$3,0),0)</f>
        <v>360.233333333333</v>
      </c>
      <c r="L762" s="131" cm="1">
        <f ca="1" t="array" ref="L762">IF(L1364=1,OFFSET($W$634,$B762,L$631-1)/SUMPRODUCT(--($D$631:$V$631=L$631),--($D1364:$V1364=1)),0)+SUM(L761)+IF(COUNTIF(L$1237:L1364,1)=1,5,0)+IF(COUNTIF(M762:$W762,"&gt;"&amp;0)&lt;5,IF(AND(COUNTIF(L$1237:L1364,1)&gt;7,MOD(1+IFERROR(MATCH($C762,总览!$D$46:$D$345,1)+1,1),7)=0),$C$3,0),0)</f>
        <v>360.233333333333</v>
      </c>
      <c r="M762" s="131" cm="1">
        <f ca="1" t="array" ref="M762">IF(M1364=1,OFFSET($W$634,$B762,M$631-1)/SUMPRODUCT(--($D$631:$V$631=M$631),--($D1364:$V1364=1)),0)+SUM(M761)+IF(COUNTIF(M$1237:M1364,1)=1,5,0)+IF(COUNTIF(N762:$W762,"&gt;"&amp;0)&lt;5,IF(AND(COUNTIF(M$1237:M1364,1)&gt;7,MOD(1+IFERROR(MATCH($C762,总览!$D$46:$D$345,1)+1,1),7)=0),$C$3,0),0)</f>
        <v>140.609821428571</v>
      </c>
      <c r="N762" s="131" cm="1">
        <f ca="1" t="array" ref="N762">IF(N1364=1,OFFSET($W$634,$B762,N$631-1)/SUMPRODUCT(--($D$631:$V$631=N$631),--($D1364:$V1364=1)),0)+SUM(N761)+IF(COUNTIF(N$1237:N1364,1)=1,5,0)+IF(COUNTIF(O762:$W762,"&gt;"&amp;0)&lt;5,IF(AND(COUNTIF(N$1237:N1364,1)&gt;7,MOD(1+IFERROR(MATCH($C762,总览!$D$46:$D$345,1)+1,1),7)=0),$C$3,0),0)</f>
        <v>141.859821428571</v>
      </c>
      <c r="O762" s="131" cm="1">
        <f ca="1" t="array" ref="O762">IF(O1364=1,OFFSET($W$634,$B762,O$631-1)/SUMPRODUCT(--($D$631:$V$631=O$631),--($D1364:$V1364=1)),0)+SUM(O761)+IF(COUNTIF(O$1237:O1364,1)=1,5,0)+IF(COUNTIF(P762:$W762,"&gt;"&amp;0)&lt;5,IF(AND(COUNTIF(O$1237:O1364,1)&gt;7,MOD(1+IFERROR(MATCH($C762,总览!$D$46:$D$345,1)+1,1),7)=0),$C$3,0),0)</f>
        <v>146.859821428571</v>
      </c>
      <c r="P762" s="131" cm="1">
        <f ca="1" t="array" ref="P762">IF(P1364=1,OFFSET($W$634,$B762,P$631-1)/SUMPRODUCT(--($D$631:$V$631=P$631),--($D1364:$V1364=1)),0)+SUM(P761)+IF(COUNTIF(P$1237:P1364,1)=1,5,0)+IF(COUNTIF(Q762:$W762,"&gt;"&amp;0)&lt;5,IF(AND(COUNTIF(P$1237:P1364,1)&gt;7,MOD(1+IFERROR(MATCH($C762,总览!$D$46:$D$345,1)+1,1),7)=0),$C$3,0),0)</f>
        <v>135.978571428571</v>
      </c>
      <c r="Q762" s="131" cm="1">
        <f ca="1" t="array" ref="Q762">IF(Q1364=1,OFFSET($W$634,$B762,Q$631-1)/SUMPRODUCT(--($D$631:$V$631=Q$631),--($D1364:$V1364=1)),0)+SUM(Q761)+IF(COUNTIF(Q$1237:Q1364,1)=1,5,0)+IF(COUNTIF(R762:$W762,"&gt;"&amp;0)&lt;5,IF(AND(COUNTIF(Q$1237:Q1364,1)&gt;7,MOD(1+IFERROR(MATCH($C762,总览!$D$46:$D$345,1)+1,1),7)=0),$C$3,0),0)</f>
        <v>149.359821428571</v>
      </c>
      <c r="R762" s="131" cm="1">
        <f ca="1" t="array" ref="R762">IF(R1364=1,OFFSET($W$634,$B762,R$631-1)/SUMPRODUCT(--($D$631:$V$631=R$631),--($D1364:$V1364=1)),0)+SUM(R761)+IF(COUNTIF(R$1237:R1364,1)=1,5,0)+IF(COUNTIF(S762:$W762,"&gt;"&amp;0)&lt;5,IF(AND(COUNTIF(R$1237:R1364,1)&gt;7,MOD(1+IFERROR(MATCH($C762,总览!$D$46:$D$345,1)+1,1),7)=0),$C$3,0),0)</f>
        <v>140.978571428571</v>
      </c>
      <c r="S762" s="131" cm="1">
        <f ca="1" t="array" ref="S762">IF(S1364=1,OFFSET($W$634,$B762,S$631-1)/SUMPRODUCT(--($D$631:$V$631=S$631),--($D1364:$V1364=1)),0)+SUM(S761)+IF(COUNTIF(S$1237:S1364,1)=1,5,0)+IF(COUNTIF(T762:$W762,"&gt;"&amp;0)&lt;5,IF(AND(COUNTIF(S$1237:S1364,1)&gt;7,MOD(1+IFERROR(MATCH($C762,总览!$D$46:$D$345,1)+1,1),7)=0),$C$3,0),0)</f>
        <v>193.478571428571</v>
      </c>
      <c r="T762" s="131" cm="1">
        <f ca="1" t="array" ref="T762">IF(T1364=1,OFFSET($W$634,$B762,T$631-1)/SUMPRODUCT(--($D$631:$V$631=T$631),--($D1364:$V1364=1)),0)+SUM(T761)+IF(COUNTIF(T$1237:T1364,1)=1,5,0)+IF(COUNTIF(U762:$W762,"&gt;"&amp;0)&lt;5,IF(AND(COUNTIF(T$1237:T1364,1)&gt;7,MOD(1+IFERROR(MATCH($C762,总览!$D$46:$D$345,1)+1,1),7)=0),$C$3,0),0)</f>
        <v>129.55590323596</v>
      </c>
      <c r="U762" s="131" cm="1">
        <f ca="1" t="array" ref="U762">IF(U1364=1,OFFSET($W$634,$B762,U$631-1)/SUMPRODUCT(--($D$631:$V$631=U$631),--($D1364:$V1364=1)),0)+SUM(U761)+IF(COUNTIF(U$1237:U1364,1)=1,5,0)+IF(COUNTIF(V762:$W762,"&gt;"&amp;0)&lt;5,IF(AND(COUNTIF(U$1237:U1364,1)&gt;7,MOD(1+IFERROR(MATCH($C762,总览!$D$46:$D$345,1)+1,1),7)=0),$C$3,0),0)</f>
        <v>135.076689591259</v>
      </c>
      <c r="V762" s="131" cm="1">
        <f ca="1" t="array" ref="V762">IF(V1364=1,OFFSET($W$634,$B762,V$631-1)/SUMPRODUCT(--($D$631:$V$631=V$631),--($D1364:$V1364=1)),0)+SUM(V761)+IF(COUNTIF(V$1237:V1364,1)=1,5,0)+IF(COUNTIF(W762:$W762,"&gt;"&amp;0)&lt;5,IF(AND(COUNTIF(V$1237:V1364,1)&gt;7,MOD(1+IFERROR(MATCH($C762,总览!$D$46:$D$345,1)+1,1),7)=0),$C$3,0),0)</f>
        <v>154.903689303693</v>
      </c>
      <c r="W762" s="135" cm="1">
        <f ca="1" t="array" ref="W762">SUMPRODUCT(TRANSPOSE($AA762:$AG762),OFFSET($L$9:$L$15,0,W$631-1))</f>
        <v>16.8502200646615</v>
      </c>
      <c r="X762" s="135" cm="1">
        <f ca="1" t="array" ref="X762">SUMPRODUCT(TRANSPOSE($AA762:$AG762),OFFSET($L$9:$L$15,0,X$631-1))</f>
        <v>20</v>
      </c>
      <c r="Y762" s="135" cm="1">
        <f ca="1" t="array" ref="Y762">SUMPRODUCT(TRANSPOSE($AA762:$AG762),OFFSET($L$9:$L$15,0,Y$631-1))</f>
        <v>10</v>
      </c>
      <c r="Z762" s="135" cm="1">
        <f ca="1" t="array" ref="Z762">SUMPRODUCT(TRANSPOSE($AA762:$AG762),OFFSET($L$9:$L$15,0,Z$631-1))</f>
        <v>3.14977993533847</v>
      </c>
      <c r="AA762" s="136">
        <f ca="1" t="shared" ref="AA762:AG762" si="497">AH762-AH761</f>
        <v>0</v>
      </c>
      <c r="AB762" s="136">
        <f ca="1" t="shared" si="497"/>
        <v>0</v>
      </c>
      <c r="AC762" s="136">
        <f ca="1" t="shared" si="497"/>
        <v>0</v>
      </c>
      <c r="AD762" s="136">
        <f ca="1" t="shared" si="497"/>
        <v>0</v>
      </c>
      <c r="AE762" s="136">
        <f ca="1" t="shared" si="497"/>
        <v>0</v>
      </c>
      <c r="AF762" s="136">
        <f ca="1" t="shared" si="497"/>
        <v>100</v>
      </c>
      <c r="AG762" s="136">
        <f ca="1" t="shared" si="497"/>
        <v>0</v>
      </c>
      <c r="AH762" s="136">
        <f ca="1" t="shared" si="371"/>
        <v>450</v>
      </c>
      <c r="AI762" s="136">
        <f ca="1" t="shared" ref="AI762:AN762" si="498">IF($C762&gt;OFFSET($Q$8,MATCH(AI$634,$AH$634:$AN$634,0),0),OFFSET($P$8,MATCH(AI$634,$AH$634:$AN$634,0),0),MAX(0,$C762-OFFSET($Q$8,RIGHT(AI$634,1)-1,0)))</f>
        <v>909</v>
      </c>
      <c r="AJ762" s="136">
        <f ca="1" t="shared" si="498"/>
        <v>1818</v>
      </c>
      <c r="AK762" s="136">
        <f ca="1" t="shared" si="498"/>
        <v>2727</v>
      </c>
      <c r="AL762" s="136">
        <f ca="1" t="shared" si="498"/>
        <v>3636</v>
      </c>
      <c r="AM762" s="136">
        <f ca="1" t="shared" si="498"/>
        <v>3260</v>
      </c>
      <c r="AN762" s="136">
        <f ca="1" t="shared" si="498"/>
        <v>0</v>
      </c>
    </row>
    <row r="763" s="106" customFormat="1" ht="16.5" spans="2:40">
      <c r="B763" s="117">
        <v>129</v>
      </c>
      <c r="C763" s="130">
        <f t="shared" ref="C763:C826" si="499">C158</f>
        <v>12900</v>
      </c>
      <c r="D763" s="131" cm="1">
        <f ca="1" t="array" ref="D763">IF(D1365=1,OFFSET($W$634,$B763,D$631-1)/SUMPRODUCT(--($D$631:$V$631=D$631),--($D1365:$V1365=1)),0)+SUM(D762)+IF(COUNTIF(D$1237:D1365,1)=1,5,0)+IF(COUNTIF(E763:$W763,"&gt;"&amp;0)&lt;5,IF(AND(COUNTIF(D$1237:D1365,1)&gt;7,MOD(1+IFERROR(MATCH($C763,总览!$D$46:$D$345,1)+1,1),7)=0),$C$3,0),0)</f>
        <v>1052.26297931125</v>
      </c>
      <c r="E763" s="131" cm="1">
        <f ca="1" t="array" ref="E763">IF(E1365=1,OFFSET($W$634,$B763,E$631-1)/SUMPRODUCT(--($D$631:$V$631=E$631),--($D1365:$V1365=1)),0)+SUM(E762)+IF(COUNTIF(E$1237:E1365,1)=1,5,0)+IF(COUNTIF(F763:$W763,"&gt;"&amp;0)&lt;5,IF(AND(COUNTIF(E$1237:E1365,1)&gt;7,MOD(1+IFERROR(MATCH($C763,总览!$D$46:$D$345,1)+1,1),7)=0),$C$3,0),0)</f>
        <v>1052.26297931125</v>
      </c>
      <c r="F763" s="131" cm="1">
        <f ca="1" t="array" ref="F763">IF(F1365=1,OFFSET($W$634,$B763,F$631-1)/SUMPRODUCT(--($D$631:$V$631=F$631),--($D1365:$V1365=1)),0)+SUM(F762)+IF(COUNTIF(F$1237:F1365,1)=1,5,0)+IF(COUNTIF(G763:$W763,"&gt;"&amp;0)&lt;5,IF(AND(COUNTIF(F$1237:F1365,1)&gt;7,MOD(1+IFERROR(MATCH($C763,总览!$D$46:$D$345,1)+1,1),7)=0),$C$3,0),0)</f>
        <v>1052.26297931125</v>
      </c>
      <c r="G763" s="131" cm="1">
        <f ca="1" t="array" ref="G763">IF(G1365=1,OFFSET($W$634,$B763,G$631-1)/SUMPRODUCT(--($D$631:$V$631=G$631),--($D1365:$V1365=1)),0)+SUM(G762)+IF(COUNTIF(G$1237:G1365,1)=1,5,0)+IF(COUNTIF(H763:$W763,"&gt;"&amp;0)&lt;5,IF(AND(COUNTIF(G$1237:G1365,1)&gt;7,MOD(1+IFERROR(MATCH($C763,总览!$D$46:$D$345,1)+1,1),7)=0),$C$3,0),0)</f>
        <v>369.399999999999</v>
      </c>
      <c r="H763" s="131" cm="1">
        <f ca="1" t="array" ref="H763">IF(H1365=1,OFFSET($W$634,$B763,H$631-1)/SUMPRODUCT(--($D$631:$V$631=H$631),--($D1365:$V1365=1)),0)+SUM(H762)+IF(COUNTIF(H$1237:H1365,1)=1,5,0)+IF(COUNTIF(I763:$W763,"&gt;"&amp;0)&lt;5,IF(AND(COUNTIF(H$1237:H1365,1)&gt;7,MOD(1+IFERROR(MATCH($C763,总览!$D$46:$D$345,1)+1,1),7)=0),$C$3,0),0)</f>
        <v>369.399999999999</v>
      </c>
      <c r="I763" s="131" cm="1">
        <f ca="1" t="array" ref="I763">IF(I1365=1,OFFSET($W$634,$B763,I$631-1)/SUMPRODUCT(--($D$631:$V$631=I$631),--($D1365:$V1365=1)),0)+SUM(I762)+IF(COUNTIF(I$1237:I1365,1)=1,5,0)+IF(COUNTIF(J763:$W763,"&gt;"&amp;0)&lt;5,IF(AND(COUNTIF(I$1237:I1365,1)&gt;7,MOD(1+IFERROR(MATCH($C763,总览!$D$46:$D$345,1)+1,1),7)=0),$C$3,0),0)</f>
        <v>369.399999999999</v>
      </c>
      <c r="J763" s="131" cm="1">
        <f ca="1" t="array" ref="J763">IF(J1365=1,OFFSET($W$634,$B763,J$631-1)/SUMPRODUCT(--($D$631:$V$631=J$631),--($D1365:$V1365=1)),0)+SUM(J762)+IF(COUNTIF(J$1237:J1365,1)=1,5,0)+IF(COUNTIF(K763:$W763,"&gt;"&amp;0)&lt;5,IF(AND(COUNTIF(J$1237:J1365,1)&gt;7,MOD(1+IFERROR(MATCH($C763,总览!$D$46:$D$345,1)+1,1),7)=0),$C$3,0),0)</f>
        <v>366.066666666666</v>
      </c>
      <c r="K763" s="131" cm="1">
        <f ca="1" t="array" ref="K763">IF(K1365=1,OFFSET($W$634,$B763,K$631-1)/SUMPRODUCT(--($D$631:$V$631=K$631),--($D1365:$V1365=1)),0)+SUM(K762)+IF(COUNTIF(K$1237:K1365,1)=1,5,0)+IF(COUNTIF(L763:$W763,"&gt;"&amp;0)&lt;5,IF(AND(COUNTIF(K$1237:K1365,1)&gt;7,MOD(1+IFERROR(MATCH($C763,总览!$D$46:$D$345,1)+1,1),7)=0),$C$3,0),0)</f>
        <v>363.566666666666</v>
      </c>
      <c r="L763" s="131" cm="1">
        <f ca="1" t="array" ref="L763">IF(L1365=1,OFFSET($W$634,$B763,L$631-1)/SUMPRODUCT(--($D$631:$V$631=L$631),--($D1365:$V1365=1)),0)+SUM(L762)+IF(COUNTIF(L$1237:L1365,1)=1,5,0)+IF(COUNTIF(M763:$W763,"&gt;"&amp;0)&lt;5,IF(AND(COUNTIF(L$1237:L1365,1)&gt;7,MOD(1+IFERROR(MATCH($C763,总览!$D$46:$D$345,1)+1,1),7)=0),$C$3,0),0)</f>
        <v>363.566666666666</v>
      </c>
      <c r="M763" s="131" cm="1">
        <f ca="1" t="array" ref="M763">IF(M1365=1,OFFSET($W$634,$B763,M$631-1)/SUMPRODUCT(--($D$631:$V$631=M$631),--($D1365:$V1365=1)),0)+SUM(M762)+IF(COUNTIF(M$1237:M1365,1)=1,5,0)+IF(COUNTIF(N763:$W763,"&gt;"&amp;0)&lt;5,IF(AND(COUNTIF(M$1237:M1365,1)&gt;7,MOD(1+IFERROR(MATCH($C763,总览!$D$46:$D$345,1)+1,1),7)=0),$C$3,0),0)</f>
        <v>142.038392857143</v>
      </c>
      <c r="N763" s="131" cm="1">
        <f ca="1" t="array" ref="N763">IF(N1365=1,OFFSET($W$634,$B763,N$631-1)/SUMPRODUCT(--($D$631:$V$631=N$631),--($D1365:$V1365=1)),0)+SUM(N762)+IF(COUNTIF(N$1237:N1365,1)=1,5,0)+IF(COUNTIF(O763:$W763,"&gt;"&amp;0)&lt;5,IF(AND(COUNTIF(N$1237:N1365,1)&gt;7,MOD(1+IFERROR(MATCH($C763,总览!$D$46:$D$345,1)+1,1),7)=0),$C$3,0),0)</f>
        <v>143.288392857143</v>
      </c>
      <c r="O763" s="131" cm="1">
        <f ca="1" t="array" ref="O763">IF(O1365=1,OFFSET($W$634,$B763,O$631-1)/SUMPRODUCT(--($D$631:$V$631=O$631),--($D1365:$V1365=1)),0)+SUM(O762)+IF(COUNTIF(O$1237:O1365,1)=1,5,0)+IF(COUNTIF(P763:$W763,"&gt;"&amp;0)&lt;5,IF(AND(COUNTIF(O$1237:O1365,1)&gt;7,MOD(1+IFERROR(MATCH($C763,总览!$D$46:$D$345,1)+1,1),7)=0),$C$3,0),0)</f>
        <v>148.288392857143</v>
      </c>
      <c r="P763" s="131" cm="1">
        <f ca="1" t="array" ref="P763">IF(P1365=1,OFFSET($W$634,$B763,P$631-1)/SUMPRODUCT(--($D$631:$V$631=P$631),--($D1365:$V1365=1)),0)+SUM(P762)+IF(COUNTIF(P$1237:P1365,1)=1,5,0)+IF(COUNTIF(Q763:$W763,"&gt;"&amp;0)&lt;5,IF(AND(COUNTIF(P$1237:P1365,1)&gt;7,MOD(1+IFERROR(MATCH($C763,总览!$D$46:$D$345,1)+1,1),7)=0),$C$3,0),0)</f>
        <v>137.407142857143</v>
      </c>
      <c r="Q763" s="131" cm="1">
        <f ca="1" t="array" ref="Q763">IF(Q1365=1,OFFSET($W$634,$B763,Q$631-1)/SUMPRODUCT(--($D$631:$V$631=Q$631),--($D1365:$V1365=1)),0)+SUM(Q762)+IF(COUNTIF(Q$1237:Q1365,1)=1,5,0)+IF(COUNTIF(R763:$W763,"&gt;"&amp;0)&lt;5,IF(AND(COUNTIF(Q$1237:Q1365,1)&gt;7,MOD(1+IFERROR(MATCH($C763,总览!$D$46:$D$345,1)+1,1),7)=0),$C$3,0),0)</f>
        <v>150.788392857142</v>
      </c>
      <c r="R763" s="131" cm="1">
        <f ca="1" t="array" ref="R763">IF(R1365=1,OFFSET($W$634,$B763,R$631-1)/SUMPRODUCT(--($D$631:$V$631=R$631),--($D1365:$V1365=1)),0)+SUM(R762)+IF(COUNTIF(R$1237:R1365,1)=1,5,0)+IF(COUNTIF(S763:$W763,"&gt;"&amp;0)&lt;5,IF(AND(COUNTIF(R$1237:R1365,1)&gt;7,MOD(1+IFERROR(MATCH($C763,总览!$D$46:$D$345,1)+1,1),7)=0),$C$3,0),0)</f>
        <v>142.407142857143</v>
      </c>
      <c r="S763" s="131" cm="1">
        <f ca="1" t="array" ref="S763">IF(S1365=1,OFFSET($W$634,$B763,S$631-1)/SUMPRODUCT(--($D$631:$V$631=S$631),--($D1365:$V1365=1)),0)+SUM(S762)+IF(COUNTIF(S$1237:S1365,1)=1,5,0)+IF(COUNTIF(T763:$W763,"&gt;"&amp;0)&lt;5,IF(AND(COUNTIF(S$1237:S1365,1)&gt;7,MOD(1+IFERROR(MATCH($C763,总览!$D$46:$D$345,1)+1,1),7)=0),$C$3,0),0)</f>
        <v>199.907142857142</v>
      </c>
      <c r="T763" s="131" cm="1">
        <f ca="1" t="array" ref="T763">IF(T1365=1,OFFSET($W$634,$B763,T$631-1)/SUMPRODUCT(--($D$631:$V$631=T$631),--($D1365:$V1365=1)),0)+SUM(T762)+IF(COUNTIF(T$1237:T1365,1)=1,5,0)+IF(COUNTIF(U763:$W763,"&gt;"&amp;0)&lt;5,IF(AND(COUNTIF(T$1237:T1365,1)&gt;7,MOD(1+IFERROR(MATCH($C763,总览!$D$46:$D$345,1)+1,1),7)=0),$C$3,0),0)</f>
        <v>135.605829881072</v>
      </c>
      <c r="U763" s="131" cm="1">
        <f ca="1" t="array" ref="U763">IF(U1365=1,OFFSET($W$634,$B763,U$631-1)/SUMPRODUCT(--($D$631:$V$631=U$631),--($D1365:$V1365=1)),0)+SUM(U762)+IF(COUNTIF(U$1237:U1365,1)=1,5,0)+IF(COUNTIF(V763:$W763,"&gt;"&amp;0)&lt;5,IF(AND(COUNTIF(U$1237:U1365,1)&gt;7,MOD(1+IFERROR(MATCH($C763,总览!$D$46:$D$345,1)+1,1),7)=0),$C$3,0),0)</f>
        <v>141.126616236372</v>
      </c>
      <c r="V763" s="131" cm="1">
        <f ca="1" t="array" ref="V763">IF(V1365=1,OFFSET($W$634,$B763,V$631-1)/SUMPRODUCT(--($D$631:$V$631=V$631),--($D1365:$V1365=1)),0)+SUM(V762)+IF(COUNTIF(V$1237:V1365,1)=1,5,0)+IF(COUNTIF(W763:$W763,"&gt;"&amp;0)&lt;5,IF(AND(COUNTIF(V$1237:V1365,1)&gt;7,MOD(1+IFERROR(MATCH($C763,总览!$D$46:$D$345,1)+1,1),7)=0),$C$3,0),0)</f>
        <v>160.953615948806</v>
      </c>
      <c r="W763" s="135" cm="1">
        <f ca="1" t="array" ref="W763">SUMPRODUCT(TRANSPOSE($AA763:$AG763),OFFSET($L$9:$L$15,0,W$631-1))</f>
        <v>16.8502200646615</v>
      </c>
      <c r="X763" s="135" cm="1">
        <f ca="1" t="array" ref="X763">SUMPRODUCT(TRANSPOSE($AA763:$AG763),OFFSET($L$9:$L$15,0,X$631-1))</f>
        <v>20</v>
      </c>
      <c r="Y763" s="135" cm="1">
        <f ca="1" t="array" ref="Y763">SUMPRODUCT(TRANSPOSE($AA763:$AG763),OFFSET($L$9:$L$15,0,Y$631-1))</f>
        <v>10</v>
      </c>
      <c r="Z763" s="135" cm="1">
        <f ca="1" t="array" ref="Z763">SUMPRODUCT(TRANSPOSE($AA763:$AG763),OFFSET($L$9:$L$15,0,Z$631-1))</f>
        <v>3.14977993533847</v>
      </c>
      <c r="AA763" s="136">
        <f ca="1" t="shared" ref="AA763:AG763" si="500">AH763-AH762</f>
        <v>0</v>
      </c>
      <c r="AB763" s="136">
        <f ca="1" t="shared" si="500"/>
        <v>0</v>
      </c>
      <c r="AC763" s="136">
        <f ca="1" t="shared" si="500"/>
        <v>0</v>
      </c>
      <c r="AD763" s="136">
        <f ca="1" t="shared" si="500"/>
        <v>0</v>
      </c>
      <c r="AE763" s="136">
        <f ca="1" t="shared" si="500"/>
        <v>0</v>
      </c>
      <c r="AF763" s="136">
        <f ca="1" t="shared" si="500"/>
        <v>100</v>
      </c>
      <c r="AG763" s="136">
        <f ca="1" t="shared" si="500"/>
        <v>0</v>
      </c>
      <c r="AH763" s="136">
        <f ca="1" t="shared" ref="AH763:AH826" si="501">IF($C763&gt;OFFSET($Q$8,MATCH(AH$634,$AH$634:$AN$634,0),0),OFFSET($P$8,MATCH(AH$634,$AH$634:$AN$634,0),0),$C763)</f>
        <v>450</v>
      </c>
      <c r="AI763" s="136">
        <f ca="1" t="shared" ref="AI763:AN763" si="502">IF($C763&gt;OFFSET($Q$8,MATCH(AI$634,$AH$634:$AN$634,0),0),OFFSET($P$8,MATCH(AI$634,$AH$634:$AN$634,0),0),MAX(0,$C763-OFFSET($Q$8,RIGHT(AI$634,1)-1,0)))</f>
        <v>909</v>
      </c>
      <c r="AJ763" s="136">
        <f ca="1" t="shared" si="502"/>
        <v>1818</v>
      </c>
      <c r="AK763" s="136">
        <f ca="1" t="shared" si="502"/>
        <v>2727</v>
      </c>
      <c r="AL763" s="136">
        <f ca="1" t="shared" si="502"/>
        <v>3636</v>
      </c>
      <c r="AM763" s="136">
        <f ca="1" t="shared" si="502"/>
        <v>3360</v>
      </c>
      <c r="AN763" s="136">
        <f ca="1" t="shared" si="502"/>
        <v>0</v>
      </c>
    </row>
    <row r="764" s="106" customFormat="1" ht="16.5" spans="2:40">
      <c r="B764" s="117">
        <v>130</v>
      </c>
      <c r="C764" s="130">
        <f t="shared" si="499"/>
        <v>13000</v>
      </c>
      <c r="D764" s="131" cm="1">
        <f ca="1" t="array" ref="D764">IF(D1366=1,OFFSET($W$634,$B764,D$631-1)/SUMPRODUCT(--($D$631:$V$631=D$631),--($D1366:$V1366=1)),0)+SUM(D763)+IF(COUNTIF(D$1237:D1366,1)=1,5,0)+IF(COUNTIF(E764:$W764,"&gt;"&amp;0)&lt;5,IF(AND(COUNTIF(D$1237:D1366,1)&gt;7,MOD(1+IFERROR(MATCH($C764,总览!$D$46:$D$345,1)+1,1),7)=0),$C$3,0),0)</f>
        <v>1057.8797193328</v>
      </c>
      <c r="E764" s="131" cm="1">
        <f ca="1" t="array" ref="E764">IF(E1366=1,OFFSET($W$634,$B764,E$631-1)/SUMPRODUCT(--($D$631:$V$631=E$631),--($D1366:$V1366=1)),0)+SUM(E763)+IF(COUNTIF(E$1237:E1366,1)=1,5,0)+IF(COUNTIF(F764:$W764,"&gt;"&amp;0)&lt;5,IF(AND(COUNTIF(E$1237:E1366,1)&gt;7,MOD(1+IFERROR(MATCH($C764,总览!$D$46:$D$345,1)+1,1),7)=0),$C$3,0),0)</f>
        <v>1057.8797193328</v>
      </c>
      <c r="F764" s="131" cm="1">
        <f ca="1" t="array" ref="F764">IF(F1366=1,OFFSET($W$634,$B764,F$631-1)/SUMPRODUCT(--($D$631:$V$631=F$631),--($D1366:$V1366=1)),0)+SUM(F763)+IF(COUNTIF(F$1237:F1366,1)=1,5,0)+IF(COUNTIF(G764:$W764,"&gt;"&amp;0)&lt;5,IF(AND(COUNTIF(F$1237:F1366,1)&gt;7,MOD(1+IFERROR(MATCH($C764,总览!$D$46:$D$345,1)+1,1),7)=0),$C$3,0),0)</f>
        <v>1057.8797193328</v>
      </c>
      <c r="G764" s="131" cm="1">
        <f ca="1" t="array" ref="G764">IF(G1366=1,OFFSET($W$634,$B764,G$631-1)/SUMPRODUCT(--($D$631:$V$631=G$631),--($D1366:$V1366=1)),0)+SUM(G763)+IF(COUNTIF(G$1237:G1366,1)=1,5,0)+IF(COUNTIF(H764:$W764,"&gt;"&amp;0)&lt;5,IF(AND(COUNTIF(G$1237:G1366,1)&gt;7,MOD(1+IFERROR(MATCH($C764,总览!$D$46:$D$345,1)+1,1),7)=0),$C$3,0),0)</f>
        <v>372.733333333333</v>
      </c>
      <c r="H764" s="131" cm="1">
        <f ca="1" t="array" ref="H764">IF(H1366=1,OFFSET($W$634,$B764,H$631-1)/SUMPRODUCT(--($D$631:$V$631=H$631),--($D1366:$V1366=1)),0)+SUM(H763)+IF(COUNTIF(H$1237:H1366,1)=1,5,0)+IF(COUNTIF(I764:$W764,"&gt;"&amp;0)&lt;5,IF(AND(COUNTIF(H$1237:H1366,1)&gt;7,MOD(1+IFERROR(MATCH($C764,总览!$D$46:$D$345,1)+1,1),7)=0),$C$3,0),0)</f>
        <v>372.733333333333</v>
      </c>
      <c r="I764" s="131" cm="1">
        <f ca="1" t="array" ref="I764">IF(I1366=1,OFFSET($W$634,$B764,I$631-1)/SUMPRODUCT(--($D$631:$V$631=I$631),--($D1366:$V1366=1)),0)+SUM(I763)+IF(COUNTIF(I$1237:I1366,1)=1,5,0)+IF(COUNTIF(J764:$W764,"&gt;"&amp;0)&lt;5,IF(AND(COUNTIF(I$1237:I1366,1)&gt;7,MOD(1+IFERROR(MATCH($C764,总览!$D$46:$D$345,1)+1,1),7)=0),$C$3,0),0)</f>
        <v>372.733333333333</v>
      </c>
      <c r="J764" s="131" cm="1">
        <f ca="1" t="array" ref="J764">IF(J1366=1,OFFSET($W$634,$B764,J$631-1)/SUMPRODUCT(--($D$631:$V$631=J$631),--($D1366:$V1366=1)),0)+SUM(J763)+IF(COUNTIF(J$1237:J1366,1)=1,5,0)+IF(COUNTIF(K764:$W764,"&gt;"&amp;0)&lt;5,IF(AND(COUNTIF(J$1237:J1366,1)&gt;7,MOD(1+IFERROR(MATCH($C764,总览!$D$46:$D$345,1)+1,1),7)=0),$C$3,0),0)</f>
        <v>369.399999999999</v>
      </c>
      <c r="K764" s="131" cm="1">
        <f ca="1" t="array" ref="K764">IF(K1366=1,OFFSET($W$634,$B764,K$631-1)/SUMPRODUCT(--($D$631:$V$631=K$631),--($D1366:$V1366=1)),0)+SUM(K763)+IF(COUNTIF(K$1237:K1366,1)=1,5,0)+IF(COUNTIF(L764:$W764,"&gt;"&amp;0)&lt;5,IF(AND(COUNTIF(K$1237:K1366,1)&gt;7,MOD(1+IFERROR(MATCH($C764,总览!$D$46:$D$345,1)+1,1),7)=0),$C$3,0),0)</f>
        <v>366.899999999999</v>
      </c>
      <c r="L764" s="131" cm="1">
        <f ca="1" t="array" ref="L764">IF(L1366=1,OFFSET($W$634,$B764,L$631-1)/SUMPRODUCT(--($D$631:$V$631=L$631),--($D1366:$V1366=1)),0)+SUM(L763)+IF(COUNTIF(L$1237:L1366,1)=1,5,0)+IF(COUNTIF(M764:$W764,"&gt;"&amp;0)&lt;5,IF(AND(COUNTIF(L$1237:L1366,1)&gt;7,MOD(1+IFERROR(MATCH($C764,总览!$D$46:$D$345,1)+1,1),7)=0),$C$3,0),0)</f>
        <v>366.899999999999</v>
      </c>
      <c r="M764" s="131" cm="1">
        <f ca="1" t="array" ref="M764">IF(M1366=1,OFFSET($W$634,$B764,M$631-1)/SUMPRODUCT(--($D$631:$V$631=M$631),--($D1366:$V1366=1)),0)+SUM(M763)+IF(COUNTIF(M$1237:M1366,1)=1,5,0)+IF(COUNTIF(N764:$W764,"&gt;"&amp;0)&lt;5,IF(AND(COUNTIF(M$1237:M1366,1)&gt;7,MOD(1+IFERROR(MATCH($C764,总览!$D$46:$D$345,1)+1,1),7)=0),$C$3,0),0)</f>
        <v>143.466964285714</v>
      </c>
      <c r="N764" s="131" cm="1">
        <f ca="1" t="array" ref="N764">IF(N1366=1,OFFSET($W$634,$B764,N$631-1)/SUMPRODUCT(--($D$631:$V$631=N$631),--($D1366:$V1366=1)),0)+SUM(N763)+IF(COUNTIF(N$1237:N1366,1)=1,5,0)+IF(COUNTIF(O764:$W764,"&gt;"&amp;0)&lt;5,IF(AND(COUNTIF(N$1237:N1366,1)&gt;7,MOD(1+IFERROR(MATCH($C764,总览!$D$46:$D$345,1)+1,1),7)=0),$C$3,0),0)</f>
        <v>144.716964285714</v>
      </c>
      <c r="O764" s="131" cm="1">
        <f ca="1" t="array" ref="O764">IF(O1366=1,OFFSET($W$634,$B764,O$631-1)/SUMPRODUCT(--($D$631:$V$631=O$631),--($D1366:$V1366=1)),0)+SUM(O763)+IF(COUNTIF(O$1237:O1366,1)=1,5,0)+IF(COUNTIF(P764:$W764,"&gt;"&amp;0)&lt;5,IF(AND(COUNTIF(O$1237:O1366,1)&gt;7,MOD(1+IFERROR(MATCH($C764,总览!$D$46:$D$345,1)+1,1),7)=0),$C$3,0),0)</f>
        <v>149.716964285714</v>
      </c>
      <c r="P764" s="131" cm="1">
        <f ca="1" t="array" ref="P764">IF(P1366=1,OFFSET($W$634,$B764,P$631-1)/SUMPRODUCT(--($D$631:$V$631=P$631),--($D1366:$V1366=1)),0)+SUM(P763)+IF(COUNTIF(P$1237:P1366,1)=1,5,0)+IF(COUNTIF(Q764:$W764,"&gt;"&amp;0)&lt;5,IF(AND(COUNTIF(P$1237:P1366,1)&gt;7,MOD(1+IFERROR(MATCH($C764,总览!$D$46:$D$345,1)+1,1),7)=0),$C$3,0),0)</f>
        <v>138.835714285714</v>
      </c>
      <c r="Q764" s="131" cm="1">
        <f ca="1" t="array" ref="Q764">IF(Q1366=1,OFFSET($W$634,$B764,Q$631-1)/SUMPRODUCT(--($D$631:$V$631=Q$631),--($D1366:$V1366=1)),0)+SUM(Q763)+IF(COUNTIF(Q$1237:Q1366,1)=1,5,0)+IF(COUNTIF(R764:$W764,"&gt;"&amp;0)&lt;5,IF(AND(COUNTIF(Q$1237:Q1366,1)&gt;7,MOD(1+IFERROR(MATCH($C764,总览!$D$46:$D$345,1)+1,1),7)=0),$C$3,0),0)</f>
        <v>152.216964285714</v>
      </c>
      <c r="R764" s="131" cm="1">
        <f ca="1" t="array" ref="R764">IF(R1366=1,OFFSET($W$634,$B764,R$631-1)/SUMPRODUCT(--($D$631:$V$631=R$631),--($D1366:$V1366=1)),0)+SUM(R763)+IF(COUNTIF(R$1237:R1366,1)=1,5,0)+IF(COUNTIF(S764:$W764,"&gt;"&amp;0)&lt;5,IF(AND(COUNTIF(R$1237:R1366,1)&gt;7,MOD(1+IFERROR(MATCH($C764,总览!$D$46:$D$345,1)+1,1),7)=0),$C$3,0),0)</f>
        <v>143.835714285714</v>
      </c>
      <c r="S764" s="131" cm="1">
        <f ca="1" t="array" ref="S764">IF(S1366=1,OFFSET($W$634,$B764,S$631-1)/SUMPRODUCT(--($D$631:$V$631=S$631),--($D1366:$V1366=1)),0)+SUM(S763)+IF(COUNTIF(S$1237:S1366,1)=1,5,0)+IF(COUNTIF(T764:$W764,"&gt;"&amp;0)&lt;5,IF(AND(COUNTIF(S$1237:S1366,1)&gt;7,MOD(1+IFERROR(MATCH($C764,总览!$D$46:$D$345,1)+1,1),7)=0),$C$3,0),0)</f>
        <v>201.335714285714</v>
      </c>
      <c r="T764" s="131" cm="1">
        <f ca="1" t="array" ref="T764">IF(T1366=1,OFFSET($W$634,$B764,T$631-1)/SUMPRODUCT(--($D$631:$V$631=T$631),--($D1366:$V1366=1)),0)+SUM(T763)+IF(COUNTIF(T$1237:T1366,1)=1,5,0)+IF(COUNTIF(U764:$W764,"&gt;"&amp;0)&lt;5,IF(AND(COUNTIF(T$1237:T1366,1)&gt;7,MOD(1+IFERROR(MATCH($C764,总览!$D$46:$D$345,1)+1,1),7)=0),$C$3,0),0)</f>
        <v>136.655756526185</v>
      </c>
      <c r="U764" s="131" cm="1">
        <f ca="1" t="array" ref="U764">IF(U1366=1,OFFSET($W$634,$B764,U$631-1)/SUMPRODUCT(--($D$631:$V$631=U$631),--($D1366:$V1366=1)),0)+SUM(U763)+IF(COUNTIF(U$1237:U1366,1)=1,5,0)+IF(COUNTIF(V764:$W764,"&gt;"&amp;0)&lt;5,IF(AND(COUNTIF(U$1237:U1366,1)&gt;7,MOD(1+IFERROR(MATCH($C764,总览!$D$46:$D$345,1)+1,1),7)=0),$C$3,0),0)</f>
        <v>142.176542881485</v>
      </c>
      <c r="V764" s="131" cm="1">
        <f ca="1" t="array" ref="V764">IF(V1366=1,OFFSET($W$634,$B764,V$631-1)/SUMPRODUCT(--($D$631:$V$631=V$631),--($D1366:$V1366=1)),0)+SUM(V763)+IF(COUNTIF(V$1237:V1366,1)=1,5,0)+IF(COUNTIF(W764:$W764,"&gt;"&amp;0)&lt;5,IF(AND(COUNTIF(V$1237:V1366,1)&gt;7,MOD(1+IFERROR(MATCH($C764,总览!$D$46:$D$345,1)+1,1),7)=0),$C$3,0),0)</f>
        <v>162.003542593918</v>
      </c>
      <c r="W764" s="135" cm="1">
        <f ca="1" t="array" ref="W764">SUMPRODUCT(TRANSPOSE($AA764:$AG764),OFFSET($L$9:$L$15,0,W$631-1))</f>
        <v>16.8502200646615</v>
      </c>
      <c r="X764" s="135" cm="1">
        <f ca="1" t="array" ref="X764">SUMPRODUCT(TRANSPOSE($AA764:$AG764),OFFSET($L$9:$L$15,0,X$631-1))</f>
        <v>20</v>
      </c>
      <c r="Y764" s="135" cm="1">
        <f ca="1" t="array" ref="Y764">SUMPRODUCT(TRANSPOSE($AA764:$AG764),OFFSET($L$9:$L$15,0,Y$631-1))</f>
        <v>10</v>
      </c>
      <c r="Z764" s="135" cm="1">
        <f ca="1" t="array" ref="Z764">SUMPRODUCT(TRANSPOSE($AA764:$AG764),OFFSET($L$9:$L$15,0,Z$631-1))</f>
        <v>3.14977993533847</v>
      </c>
      <c r="AA764" s="136">
        <f ca="1" t="shared" ref="AA764:AG764" si="503">AH764-AH763</f>
        <v>0</v>
      </c>
      <c r="AB764" s="136">
        <f ca="1" t="shared" si="503"/>
        <v>0</v>
      </c>
      <c r="AC764" s="136">
        <f ca="1" t="shared" si="503"/>
        <v>0</v>
      </c>
      <c r="AD764" s="136">
        <f ca="1" t="shared" si="503"/>
        <v>0</v>
      </c>
      <c r="AE764" s="136">
        <f ca="1" t="shared" si="503"/>
        <v>0</v>
      </c>
      <c r="AF764" s="136">
        <f ca="1" t="shared" si="503"/>
        <v>100</v>
      </c>
      <c r="AG764" s="136">
        <f ca="1" t="shared" si="503"/>
        <v>0</v>
      </c>
      <c r="AH764" s="136">
        <f ca="1" t="shared" si="501"/>
        <v>450</v>
      </c>
      <c r="AI764" s="136">
        <f ca="1" t="shared" ref="AI764:AN764" si="504">IF($C764&gt;OFFSET($Q$8,MATCH(AI$634,$AH$634:$AN$634,0),0),OFFSET($P$8,MATCH(AI$634,$AH$634:$AN$634,0),0),MAX(0,$C764-OFFSET($Q$8,RIGHT(AI$634,1)-1,0)))</f>
        <v>909</v>
      </c>
      <c r="AJ764" s="136">
        <f ca="1" t="shared" si="504"/>
        <v>1818</v>
      </c>
      <c r="AK764" s="136">
        <f ca="1" t="shared" si="504"/>
        <v>2727</v>
      </c>
      <c r="AL764" s="136">
        <f ca="1" t="shared" si="504"/>
        <v>3636</v>
      </c>
      <c r="AM764" s="136">
        <f ca="1" t="shared" si="504"/>
        <v>3460</v>
      </c>
      <c r="AN764" s="136">
        <f ca="1" t="shared" si="504"/>
        <v>0</v>
      </c>
    </row>
    <row r="765" s="106" customFormat="1" ht="16.5" spans="2:40">
      <c r="B765" s="117">
        <v>131</v>
      </c>
      <c r="C765" s="130">
        <f t="shared" si="499"/>
        <v>13100</v>
      </c>
      <c r="D765" s="131" cm="1">
        <f ca="1" t="array" ref="D765">IF(D1367=1,OFFSET($W$634,$B765,D$631-1)/SUMPRODUCT(--($D$631:$V$631=D$631),--($D1367:$V1367=1)),0)+SUM(D764)+IF(COUNTIF(D$1237:D1367,1)=1,5,0)+IF(COUNTIF(E765:$W765,"&gt;"&amp;0)&lt;5,IF(AND(COUNTIF(D$1237:D1367,1)&gt;7,MOD(1+IFERROR(MATCH($C765,总览!$D$46:$D$345,1)+1,1),7)=0),$C$3,0),0)</f>
        <v>1063.49645935436</v>
      </c>
      <c r="E765" s="131" cm="1">
        <f ca="1" t="array" ref="E765">IF(E1367=1,OFFSET($W$634,$B765,E$631-1)/SUMPRODUCT(--($D$631:$V$631=E$631),--($D1367:$V1367=1)),0)+SUM(E764)+IF(COUNTIF(E$1237:E1367,1)=1,5,0)+IF(COUNTIF(F765:$W765,"&gt;"&amp;0)&lt;5,IF(AND(COUNTIF(E$1237:E1367,1)&gt;7,MOD(1+IFERROR(MATCH($C765,总览!$D$46:$D$345,1)+1,1),7)=0),$C$3,0),0)</f>
        <v>1063.49645935436</v>
      </c>
      <c r="F765" s="131" cm="1">
        <f ca="1" t="array" ref="F765">IF(F1367=1,OFFSET($W$634,$B765,F$631-1)/SUMPRODUCT(--($D$631:$V$631=F$631),--($D1367:$V1367=1)),0)+SUM(F764)+IF(COUNTIF(F$1237:F1367,1)=1,5,0)+IF(COUNTIF(G765:$W765,"&gt;"&amp;0)&lt;5,IF(AND(COUNTIF(F$1237:F1367,1)&gt;7,MOD(1+IFERROR(MATCH($C765,总览!$D$46:$D$345,1)+1,1),7)=0),$C$3,0),0)</f>
        <v>1063.49645935436</v>
      </c>
      <c r="G765" s="131" cm="1">
        <f ca="1" t="array" ref="G765">IF(G1367=1,OFFSET($W$634,$B765,G$631-1)/SUMPRODUCT(--($D$631:$V$631=G$631),--($D1367:$V1367=1)),0)+SUM(G764)+IF(COUNTIF(G$1237:G1367,1)=1,5,0)+IF(COUNTIF(H765:$W765,"&gt;"&amp;0)&lt;5,IF(AND(COUNTIF(G$1237:G1367,1)&gt;7,MOD(1+IFERROR(MATCH($C765,总览!$D$46:$D$345,1)+1,1),7)=0),$C$3,0),0)</f>
        <v>376.066666666666</v>
      </c>
      <c r="H765" s="131" cm="1">
        <f ca="1" t="array" ref="H765">IF(H1367=1,OFFSET($W$634,$B765,H$631-1)/SUMPRODUCT(--($D$631:$V$631=H$631),--($D1367:$V1367=1)),0)+SUM(H764)+IF(COUNTIF(H$1237:H1367,1)=1,5,0)+IF(COUNTIF(I765:$W765,"&gt;"&amp;0)&lt;5,IF(AND(COUNTIF(H$1237:H1367,1)&gt;7,MOD(1+IFERROR(MATCH($C765,总览!$D$46:$D$345,1)+1,1),7)=0),$C$3,0),0)</f>
        <v>376.066666666666</v>
      </c>
      <c r="I765" s="131" cm="1">
        <f ca="1" t="array" ref="I765">IF(I1367=1,OFFSET($W$634,$B765,I$631-1)/SUMPRODUCT(--($D$631:$V$631=I$631),--($D1367:$V1367=1)),0)+SUM(I764)+IF(COUNTIF(I$1237:I1367,1)=1,5,0)+IF(COUNTIF(J765:$W765,"&gt;"&amp;0)&lt;5,IF(AND(COUNTIF(I$1237:I1367,1)&gt;7,MOD(1+IFERROR(MATCH($C765,总览!$D$46:$D$345,1)+1,1),7)=0),$C$3,0),0)</f>
        <v>376.066666666666</v>
      </c>
      <c r="J765" s="131" cm="1">
        <f ca="1" t="array" ref="J765">IF(J1367=1,OFFSET($W$634,$B765,J$631-1)/SUMPRODUCT(--($D$631:$V$631=J$631),--($D1367:$V1367=1)),0)+SUM(J764)+IF(COUNTIF(J$1237:J1367,1)=1,5,0)+IF(COUNTIF(K765:$W765,"&gt;"&amp;0)&lt;5,IF(AND(COUNTIF(J$1237:J1367,1)&gt;7,MOD(1+IFERROR(MATCH($C765,总览!$D$46:$D$345,1)+1,1),7)=0),$C$3,0),0)</f>
        <v>372.733333333333</v>
      </c>
      <c r="K765" s="131" cm="1">
        <f ca="1" t="array" ref="K765">IF(K1367=1,OFFSET($W$634,$B765,K$631-1)/SUMPRODUCT(--($D$631:$V$631=K$631),--($D1367:$V1367=1)),0)+SUM(K764)+IF(COUNTIF(K$1237:K1367,1)=1,5,0)+IF(COUNTIF(L765:$W765,"&gt;"&amp;0)&lt;5,IF(AND(COUNTIF(K$1237:K1367,1)&gt;7,MOD(1+IFERROR(MATCH($C765,总览!$D$46:$D$345,1)+1,1),7)=0),$C$3,0),0)</f>
        <v>370.233333333333</v>
      </c>
      <c r="L765" s="131" cm="1">
        <f ca="1" t="array" ref="L765">IF(L1367=1,OFFSET($W$634,$B765,L$631-1)/SUMPRODUCT(--($D$631:$V$631=L$631),--($D1367:$V1367=1)),0)+SUM(L764)+IF(COUNTIF(L$1237:L1367,1)=1,5,0)+IF(COUNTIF(M765:$W765,"&gt;"&amp;0)&lt;5,IF(AND(COUNTIF(L$1237:L1367,1)&gt;7,MOD(1+IFERROR(MATCH($C765,总览!$D$46:$D$345,1)+1,1),7)=0),$C$3,0),0)</f>
        <v>370.233333333333</v>
      </c>
      <c r="M765" s="131" cm="1">
        <f ca="1" t="array" ref="M765">IF(M1367=1,OFFSET($W$634,$B765,M$631-1)/SUMPRODUCT(--($D$631:$V$631=M$631),--($D1367:$V1367=1)),0)+SUM(M764)+IF(COUNTIF(M$1237:M1367,1)=1,5,0)+IF(COUNTIF(N765:$W765,"&gt;"&amp;0)&lt;5,IF(AND(COUNTIF(M$1237:M1367,1)&gt;7,MOD(1+IFERROR(MATCH($C765,总览!$D$46:$D$345,1)+1,1),7)=0),$C$3,0),0)</f>
        <v>144.895535714286</v>
      </c>
      <c r="N765" s="131" cm="1">
        <f ca="1" t="array" ref="N765">IF(N1367=1,OFFSET($W$634,$B765,N$631-1)/SUMPRODUCT(--($D$631:$V$631=N$631),--($D1367:$V1367=1)),0)+SUM(N764)+IF(COUNTIF(N$1237:N1367,1)=1,5,0)+IF(COUNTIF(O765:$W765,"&gt;"&amp;0)&lt;5,IF(AND(COUNTIF(N$1237:N1367,1)&gt;7,MOD(1+IFERROR(MATCH($C765,总览!$D$46:$D$345,1)+1,1),7)=0),$C$3,0),0)</f>
        <v>146.145535714285</v>
      </c>
      <c r="O765" s="131" cm="1">
        <f ca="1" t="array" ref="O765">IF(O1367=1,OFFSET($W$634,$B765,O$631-1)/SUMPRODUCT(--($D$631:$V$631=O$631),--($D1367:$V1367=1)),0)+SUM(O764)+IF(COUNTIF(O$1237:O1367,1)=1,5,0)+IF(COUNTIF(P765:$W765,"&gt;"&amp;0)&lt;5,IF(AND(COUNTIF(O$1237:O1367,1)&gt;7,MOD(1+IFERROR(MATCH($C765,总览!$D$46:$D$345,1)+1,1),7)=0),$C$3,0),0)</f>
        <v>151.145535714285</v>
      </c>
      <c r="P765" s="131" cm="1">
        <f ca="1" t="array" ref="P765">IF(P1367=1,OFFSET($W$634,$B765,P$631-1)/SUMPRODUCT(--($D$631:$V$631=P$631),--($D1367:$V1367=1)),0)+SUM(P764)+IF(COUNTIF(P$1237:P1367,1)=1,5,0)+IF(COUNTIF(Q765:$W765,"&gt;"&amp;0)&lt;5,IF(AND(COUNTIF(P$1237:P1367,1)&gt;7,MOD(1+IFERROR(MATCH($C765,总览!$D$46:$D$345,1)+1,1),7)=0),$C$3,0),0)</f>
        <v>140.264285714286</v>
      </c>
      <c r="Q765" s="131" cm="1">
        <f ca="1" t="array" ref="Q765">IF(Q1367=1,OFFSET($W$634,$B765,Q$631-1)/SUMPRODUCT(--($D$631:$V$631=Q$631),--($D1367:$V1367=1)),0)+SUM(Q764)+IF(COUNTIF(Q$1237:Q1367,1)=1,5,0)+IF(COUNTIF(R765:$W765,"&gt;"&amp;0)&lt;5,IF(AND(COUNTIF(Q$1237:Q1367,1)&gt;7,MOD(1+IFERROR(MATCH($C765,总览!$D$46:$D$345,1)+1,1),7)=0),$C$3,0),0)</f>
        <v>153.645535714285</v>
      </c>
      <c r="R765" s="131" cm="1">
        <f ca="1" t="array" ref="R765">IF(R1367=1,OFFSET($W$634,$B765,R$631-1)/SUMPRODUCT(--($D$631:$V$631=R$631),--($D1367:$V1367=1)),0)+SUM(R764)+IF(COUNTIF(R$1237:R1367,1)=1,5,0)+IF(COUNTIF(S765:$W765,"&gt;"&amp;0)&lt;5,IF(AND(COUNTIF(R$1237:R1367,1)&gt;7,MOD(1+IFERROR(MATCH($C765,总览!$D$46:$D$345,1)+1,1),7)=0),$C$3,0),0)</f>
        <v>145.264285714285</v>
      </c>
      <c r="S765" s="131" cm="1">
        <f ca="1" t="array" ref="S765">IF(S1367=1,OFFSET($W$634,$B765,S$631-1)/SUMPRODUCT(--($D$631:$V$631=S$631),--($D1367:$V1367=1)),0)+SUM(S764)+IF(COUNTIF(S$1237:S1367,1)=1,5,0)+IF(COUNTIF(T765:$W765,"&gt;"&amp;0)&lt;5,IF(AND(COUNTIF(S$1237:S1367,1)&gt;7,MOD(1+IFERROR(MATCH($C765,总览!$D$46:$D$345,1)+1,1),7)=0),$C$3,0),0)</f>
        <v>202.764285714285</v>
      </c>
      <c r="T765" s="131" cm="1">
        <f ca="1" t="array" ref="T765">IF(T1367=1,OFFSET($W$634,$B765,T$631-1)/SUMPRODUCT(--($D$631:$V$631=T$631),--($D1367:$V1367=1)),0)+SUM(T764)+IF(COUNTIF(T$1237:T1367,1)=1,5,0)+IF(COUNTIF(U765:$W765,"&gt;"&amp;0)&lt;5,IF(AND(COUNTIF(T$1237:T1367,1)&gt;7,MOD(1+IFERROR(MATCH($C765,总览!$D$46:$D$345,1)+1,1),7)=0),$C$3,0),0)</f>
        <v>137.705683171298</v>
      </c>
      <c r="U765" s="131" cm="1">
        <f ca="1" t="array" ref="U765">IF(U1367=1,OFFSET($W$634,$B765,U$631-1)/SUMPRODUCT(--($D$631:$V$631=U$631),--($D1367:$V1367=1)),0)+SUM(U764)+IF(COUNTIF(U$1237:U1367,1)=1,5,0)+IF(COUNTIF(V765:$W765,"&gt;"&amp;0)&lt;5,IF(AND(COUNTIF(U$1237:U1367,1)&gt;7,MOD(1+IFERROR(MATCH($C765,总览!$D$46:$D$345,1)+1,1),7)=0),$C$3,0),0)</f>
        <v>143.226469526598</v>
      </c>
      <c r="V765" s="131" cm="1">
        <f ca="1" t="array" ref="V765">IF(V1367=1,OFFSET($W$634,$B765,V$631-1)/SUMPRODUCT(--($D$631:$V$631=V$631),--($D1367:$V1367=1)),0)+SUM(V764)+IF(COUNTIF(V$1237:V1367,1)=1,5,0)+IF(COUNTIF(W765:$W765,"&gt;"&amp;0)&lt;5,IF(AND(COUNTIF(V$1237:V1367,1)&gt;7,MOD(1+IFERROR(MATCH($C765,总览!$D$46:$D$345,1)+1,1),7)=0),$C$3,0),0)</f>
        <v>163.053469239031</v>
      </c>
      <c r="W765" s="135" cm="1">
        <f ca="1" t="array" ref="W765">SUMPRODUCT(TRANSPOSE($AA765:$AG765),OFFSET($L$9:$L$15,0,W$631-1))</f>
        <v>16.8502200646615</v>
      </c>
      <c r="X765" s="135" cm="1">
        <f ca="1" t="array" ref="X765">SUMPRODUCT(TRANSPOSE($AA765:$AG765),OFFSET($L$9:$L$15,0,X$631-1))</f>
        <v>20</v>
      </c>
      <c r="Y765" s="135" cm="1">
        <f ca="1" t="array" ref="Y765">SUMPRODUCT(TRANSPOSE($AA765:$AG765),OFFSET($L$9:$L$15,0,Y$631-1))</f>
        <v>10</v>
      </c>
      <c r="Z765" s="135" cm="1">
        <f ca="1" t="array" ref="Z765">SUMPRODUCT(TRANSPOSE($AA765:$AG765),OFFSET($L$9:$L$15,0,Z$631-1))</f>
        <v>3.14977993533847</v>
      </c>
      <c r="AA765" s="136">
        <f ca="1" t="shared" ref="AA765:AG765" si="505">AH765-AH764</f>
        <v>0</v>
      </c>
      <c r="AB765" s="136">
        <f ca="1" t="shared" si="505"/>
        <v>0</v>
      </c>
      <c r="AC765" s="136">
        <f ca="1" t="shared" si="505"/>
        <v>0</v>
      </c>
      <c r="AD765" s="136">
        <f ca="1" t="shared" si="505"/>
        <v>0</v>
      </c>
      <c r="AE765" s="136">
        <f ca="1" t="shared" si="505"/>
        <v>0</v>
      </c>
      <c r="AF765" s="136">
        <f ca="1" t="shared" si="505"/>
        <v>100</v>
      </c>
      <c r="AG765" s="136">
        <f ca="1" t="shared" si="505"/>
        <v>0</v>
      </c>
      <c r="AH765" s="136">
        <f ca="1" t="shared" si="501"/>
        <v>450</v>
      </c>
      <c r="AI765" s="136">
        <f ca="1" t="shared" ref="AI765:AN765" si="506">IF($C765&gt;OFFSET($Q$8,MATCH(AI$634,$AH$634:$AN$634,0),0),OFFSET($P$8,MATCH(AI$634,$AH$634:$AN$634,0),0),MAX(0,$C765-OFFSET($Q$8,RIGHT(AI$634,1)-1,0)))</f>
        <v>909</v>
      </c>
      <c r="AJ765" s="136">
        <f ca="1" t="shared" si="506"/>
        <v>1818</v>
      </c>
      <c r="AK765" s="136">
        <f ca="1" t="shared" si="506"/>
        <v>2727</v>
      </c>
      <c r="AL765" s="136">
        <f ca="1" t="shared" si="506"/>
        <v>3636</v>
      </c>
      <c r="AM765" s="136">
        <f ca="1" t="shared" si="506"/>
        <v>3560</v>
      </c>
      <c r="AN765" s="136">
        <f ca="1" t="shared" si="506"/>
        <v>0</v>
      </c>
    </row>
    <row r="766" s="106" customFormat="1" ht="16.5" spans="2:40">
      <c r="B766" s="117">
        <v>132</v>
      </c>
      <c r="C766" s="130">
        <f t="shared" si="499"/>
        <v>13200</v>
      </c>
      <c r="D766" s="131" cm="1">
        <f ca="1" t="array" ref="D766">IF(D1368=1,OFFSET($W$634,$B766,D$631-1)/SUMPRODUCT(--($D$631:$V$631=D$631),--($D1368:$V1368=1)),0)+SUM(D765)+IF(COUNTIF(D$1237:D1368,1)=1,5,0)+IF(COUNTIF(E766:$W766,"&gt;"&amp;0)&lt;5,IF(AND(COUNTIF(D$1237:D1368,1)&gt;7,MOD(1+IFERROR(MATCH($C766,总览!$D$46:$D$345,1)+1,1),7)=0),$C$3,0),0)</f>
        <v>1069.11319937591</v>
      </c>
      <c r="E766" s="131" cm="1">
        <f ca="1" t="array" ref="E766">IF(E1368=1,OFFSET($W$634,$B766,E$631-1)/SUMPRODUCT(--($D$631:$V$631=E$631),--($D1368:$V1368=1)),0)+SUM(E765)+IF(COUNTIF(E$1237:E1368,1)=1,5,0)+IF(COUNTIF(F766:$W766,"&gt;"&amp;0)&lt;5,IF(AND(COUNTIF(E$1237:E1368,1)&gt;7,MOD(1+IFERROR(MATCH($C766,总览!$D$46:$D$345,1)+1,1),7)=0),$C$3,0),0)</f>
        <v>1069.11319937591</v>
      </c>
      <c r="F766" s="131" cm="1">
        <f ca="1" t="array" ref="F766">IF(F1368=1,OFFSET($W$634,$B766,F$631-1)/SUMPRODUCT(--($D$631:$V$631=F$631),--($D1368:$V1368=1)),0)+SUM(F765)+IF(COUNTIF(F$1237:F1368,1)=1,5,0)+IF(COUNTIF(G766:$W766,"&gt;"&amp;0)&lt;5,IF(AND(COUNTIF(F$1237:F1368,1)&gt;7,MOD(1+IFERROR(MATCH($C766,总览!$D$46:$D$345,1)+1,1),7)=0),$C$3,0),0)</f>
        <v>1069.11319937591</v>
      </c>
      <c r="G766" s="131" cm="1">
        <f ca="1" t="array" ref="G766">IF(G1368=1,OFFSET($W$634,$B766,G$631-1)/SUMPRODUCT(--($D$631:$V$631=G$631),--($D1368:$V1368=1)),0)+SUM(G765)+IF(COUNTIF(G$1237:G1368,1)=1,5,0)+IF(COUNTIF(H766:$W766,"&gt;"&amp;0)&lt;5,IF(AND(COUNTIF(G$1237:G1368,1)&gt;7,MOD(1+IFERROR(MATCH($C766,总览!$D$46:$D$345,1)+1,1),7)=0),$C$3,0),0)</f>
        <v>379.399999999999</v>
      </c>
      <c r="H766" s="131" cm="1">
        <f ca="1" t="array" ref="H766">IF(H1368=1,OFFSET($W$634,$B766,H$631-1)/SUMPRODUCT(--($D$631:$V$631=H$631),--($D1368:$V1368=1)),0)+SUM(H765)+IF(COUNTIF(H$1237:H1368,1)=1,5,0)+IF(COUNTIF(I766:$W766,"&gt;"&amp;0)&lt;5,IF(AND(COUNTIF(H$1237:H1368,1)&gt;7,MOD(1+IFERROR(MATCH($C766,总览!$D$46:$D$345,1)+1,1),7)=0),$C$3,0),0)</f>
        <v>379.399999999999</v>
      </c>
      <c r="I766" s="131" cm="1">
        <f ca="1" t="array" ref="I766">IF(I1368=1,OFFSET($W$634,$B766,I$631-1)/SUMPRODUCT(--($D$631:$V$631=I$631),--($D1368:$V1368=1)),0)+SUM(I765)+IF(COUNTIF(I$1237:I1368,1)=1,5,0)+IF(COUNTIF(J766:$W766,"&gt;"&amp;0)&lt;5,IF(AND(COUNTIF(I$1237:I1368,1)&gt;7,MOD(1+IFERROR(MATCH($C766,总览!$D$46:$D$345,1)+1,1),7)=0),$C$3,0),0)</f>
        <v>379.399999999999</v>
      </c>
      <c r="J766" s="131" cm="1">
        <f ca="1" t="array" ref="J766">IF(J1368=1,OFFSET($W$634,$B766,J$631-1)/SUMPRODUCT(--($D$631:$V$631=J$631),--($D1368:$V1368=1)),0)+SUM(J765)+IF(COUNTIF(J$1237:J1368,1)=1,5,0)+IF(COUNTIF(K766:$W766,"&gt;"&amp;0)&lt;5,IF(AND(COUNTIF(J$1237:J1368,1)&gt;7,MOD(1+IFERROR(MATCH($C766,总览!$D$46:$D$345,1)+1,1),7)=0),$C$3,0),0)</f>
        <v>376.066666666666</v>
      </c>
      <c r="K766" s="131" cm="1">
        <f ca="1" t="array" ref="K766">IF(K1368=1,OFFSET($W$634,$B766,K$631-1)/SUMPRODUCT(--($D$631:$V$631=K$631),--($D1368:$V1368=1)),0)+SUM(K765)+IF(COUNTIF(K$1237:K1368,1)=1,5,0)+IF(COUNTIF(L766:$W766,"&gt;"&amp;0)&lt;5,IF(AND(COUNTIF(K$1237:K1368,1)&gt;7,MOD(1+IFERROR(MATCH($C766,总览!$D$46:$D$345,1)+1,1),7)=0),$C$3,0),0)</f>
        <v>373.566666666666</v>
      </c>
      <c r="L766" s="131" cm="1">
        <f ca="1" t="array" ref="L766">IF(L1368=1,OFFSET($W$634,$B766,L$631-1)/SUMPRODUCT(--($D$631:$V$631=L$631),--($D1368:$V1368=1)),0)+SUM(L765)+IF(COUNTIF(L$1237:L1368,1)=1,5,0)+IF(COUNTIF(M766:$W766,"&gt;"&amp;0)&lt;5,IF(AND(COUNTIF(L$1237:L1368,1)&gt;7,MOD(1+IFERROR(MATCH($C766,总览!$D$46:$D$345,1)+1,1),7)=0),$C$3,0),0)</f>
        <v>373.566666666666</v>
      </c>
      <c r="M766" s="131" cm="1">
        <f ca="1" t="array" ref="M766">IF(M1368=1,OFFSET($W$634,$B766,M$631-1)/SUMPRODUCT(--($D$631:$V$631=M$631),--($D1368:$V1368=1)),0)+SUM(M765)+IF(COUNTIF(M$1237:M1368,1)=1,5,0)+IF(COUNTIF(N766:$W766,"&gt;"&amp;0)&lt;5,IF(AND(COUNTIF(M$1237:M1368,1)&gt;7,MOD(1+IFERROR(MATCH($C766,总览!$D$46:$D$345,1)+1,1),7)=0),$C$3,0),0)</f>
        <v>146.324107142857</v>
      </c>
      <c r="N766" s="131" cm="1">
        <f ca="1" t="array" ref="N766">IF(N1368=1,OFFSET($W$634,$B766,N$631-1)/SUMPRODUCT(--($D$631:$V$631=N$631),--($D1368:$V1368=1)),0)+SUM(N765)+IF(COUNTIF(N$1237:N1368,1)=1,5,0)+IF(COUNTIF(O766:$W766,"&gt;"&amp;0)&lt;5,IF(AND(COUNTIF(N$1237:N1368,1)&gt;7,MOD(1+IFERROR(MATCH($C766,总览!$D$46:$D$345,1)+1,1),7)=0),$C$3,0),0)</f>
        <v>147.574107142857</v>
      </c>
      <c r="O766" s="131" cm="1">
        <f ca="1" t="array" ref="O766">IF(O1368=1,OFFSET($W$634,$B766,O$631-1)/SUMPRODUCT(--($D$631:$V$631=O$631),--($D1368:$V1368=1)),0)+SUM(O765)+IF(COUNTIF(O$1237:O1368,1)=1,5,0)+IF(COUNTIF(P766:$W766,"&gt;"&amp;0)&lt;5,IF(AND(COUNTIF(O$1237:O1368,1)&gt;7,MOD(1+IFERROR(MATCH($C766,总览!$D$46:$D$345,1)+1,1),7)=0),$C$3,0),0)</f>
        <v>152.574107142857</v>
      </c>
      <c r="P766" s="131" cm="1">
        <f ca="1" t="array" ref="P766">IF(P1368=1,OFFSET($W$634,$B766,P$631-1)/SUMPRODUCT(--($D$631:$V$631=P$631),--($D1368:$V1368=1)),0)+SUM(P765)+IF(COUNTIF(P$1237:P1368,1)=1,5,0)+IF(COUNTIF(Q766:$W766,"&gt;"&amp;0)&lt;5,IF(AND(COUNTIF(P$1237:P1368,1)&gt;7,MOD(1+IFERROR(MATCH($C766,总览!$D$46:$D$345,1)+1,1),7)=0),$C$3,0),0)</f>
        <v>141.692857142857</v>
      </c>
      <c r="Q766" s="131" cm="1">
        <f ca="1" t="array" ref="Q766">IF(Q1368=1,OFFSET($W$634,$B766,Q$631-1)/SUMPRODUCT(--($D$631:$V$631=Q$631),--($D1368:$V1368=1)),0)+SUM(Q765)+IF(COUNTIF(Q$1237:Q1368,1)=1,5,0)+IF(COUNTIF(R766:$W766,"&gt;"&amp;0)&lt;5,IF(AND(COUNTIF(Q$1237:Q1368,1)&gt;7,MOD(1+IFERROR(MATCH($C766,总览!$D$46:$D$345,1)+1,1),7)=0),$C$3,0),0)</f>
        <v>155.074107142857</v>
      </c>
      <c r="R766" s="131" cm="1">
        <f ca="1" t="array" ref="R766">IF(R1368=1,OFFSET($W$634,$B766,R$631-1)/SUMPRODUCT(--($D$631:$V$631=R$631),--($D1368:$V1368=1)),0)+SUM(R765)+IF(COUNTIF(R$1237:R1368,1)=1,5,0)+IF(COUNTIF(S766:$W766,"&gt;"&amp;0)&lt;5,IF(AND(COUNTIF(R$1237:R1368,1)&gt;7,MOD(1+IFERROR(MATCH($C766,总览!$D$46:$D$345,1)+1,1),7)=0),$C$3,0),0)</f>
        <v>146.692857142857</v>
      </c>
      <c r="S766" s="131" cm="1">
        <f ca="1" t="array" ref="S766">IF(S1368=1,OFFSET($W$634,$B766,S$631-1)/SUMPRODUCT(--($D$631:$V$631=S$631),--($D1368:$V1368=1)),0)+SUM(S765)+IF(COUNTIF(S$1237:S1368,1)=1,5,0)+IF(COUNTIF(T766:$W766,"&gt;"&amp;0)&lt;5,IF(AND(COUNTIF(S$1237:S1368,1)&gt;7,MOD(1+IFERROR(MATCH($C766,总览!$D$46:$D$345,1)+1,1),7)=0),$C$3,0),0)</f>
        <v>204.192857142857</v>
      </c>
      <c r="T766" s="131" cm="1">
        <f ca="1" t="array" ref="T766">IF(T1368=1,OFFSET($W$634,$B766,T$631-1)/SUMPRODUCT(--($D$631:$V$631=T$631),--($D1368:$V1368=1)),0)+SUM(T765)+IF(COUNTIF(T$1237:T1368,1)=1,5,0)+IF(COUNTIF(U766:$W766,"&gt;"&amp;0)&lt;5,IF(AND(COUNTIF(T$1237:T1368,1)&gt;7,MOD(1+IFERROR(MATCH($C766,总览!$D$46:$D$345,1)+1,1),7)=0),$C$3,0),0)</f>
        <v>138.755609816411</v>
      </c>
      <c r="U766" s="131" cm="1">
        <f ca="1" t="array" ref="U766">IF(U1368=1,OFFSET($W$634,$B766,U$631-1)/SUMPRODUCT(--($D$631:$V$631=U$631),--($D1368:$V1368=1)),0)+SUM(U765)+IF(COUNTIF(U$1237:U1368,1)=1,5,0)+IF(COUNTIF(V766:$W766,"&gt;"&amp;0)&lt;5,IF(AND(COUNTIF(U$1237:U1368,1)&gt;7,MOD(1+IFERROR(MATCH($C766,总览!$D$46:$D$345,1)+1,1),7)=0),$C$3,0),0)</f>
        <v>144.276396171711</v>
      </c>
      <c r="V766" s="131" cm="1">
        <f ca="1" t="array" ref="V766">IF(V1368=1,OFFSET($W$634,$B766,V$631-1)/SUMPRODUCT(--($D$631:$V$631=V$631),--($D1368:$V1368=1)),0)+SUM(V765)+IF(COUNTIF(V$1237:V1368,1)=1,5,0)+IF(COUNTIF(W766:$W766,"&gt;"&amp;0)&lt;5,IF(AND(COUNTIF(V$1237:V1368,1)&gt;7,MOD(1+IFERROR(MATCH($C766,总览!$D$46:$D$345,1)+1,1),7)=0),$C$3,0),0)</f>
        <v>164.103395884144</v>
      </c>
      <c r="W766" s="135" cm="1">
        <f ca="1" t="array" ref="W766">SUMPRODUCT(TRANSPOSE($AA766:$AG766),OFFSET($L$9:$L$15,0,W$631-1))</f>
        <v>16.8502200646615</v>
      </c>
      <c r="X766" s="135" cm="1">
        <f ca="1" t="array" ref="X766">SUMPRODUCT(TRANSPOSE($AA766:$AG766),OFFSET($L$9:$L$15,0,X$631-1))</f>
        <v>20</v>
      </c>
      <c r="Y766" s="135" cm="1">
        <f ca="1" t="array" ref="Y766">SUMPRODUCT(TRANSPOSE($AA766:$AG766),OFFSET($L$9:$L$15,0,Y$631-1))</f>
        <v>10</v>
      </c>
      <c r="Z766" s="135" cm="1">
        <f ca="1" t="array" ref="Z766">SUMPRODUCT(TRANSPOSE($AA766:$AG766),OFFSET($L$9:$L$15,0,Z$631-1))</f>
        <v>3.14977993533847</v>
      </c>
      <c r="AA766" s="136">
        <f ca="1" t="shared" ref="AA766:AG766" si="507">AH766-AH765</f>
        <v>0</v>
      </c>
      <c r="AB766" s="136">
        <f ca="1" t="shared" si="507"/>
        <v>0</v>
      </c>
      <c r="AC766" s="136">
        <f ca="1" t="shared" si="507"/>
        <v>0</v>
      </c>
      <c r="AD766" s="136">
        <f ca="1" t="shared" si="507"/>
        <v>0</v>
      </c>
      <c r="AE766" s="136">
        <f ca="1" t="shared" si="507"/>
        <v>0</v>
      </c>
      <c r="AF766" s="136">
        <f ca="1" t="shared" si="507"/>
        <v>100</v>
      </c>
      <c r="AG766" s="136">
        <f ca="1" t="shared" si="507"/>
        <v>0</v>
      </c>
      <c r="AH766" s="136">
        <f ca="1" t="shared" si="501"/>
        <v>450</v>
      </c>
      <c r="AI766" s="136">
        <f ca="1" t="shared" ref="AI766:AN766" si="508">IF($C766&gt;OFFSET($Q$8,MATCH(AI$634,$AH$634:$AN$634,0),0),OFFSET($P$8,MATCH(AI$634,$AH$634:$AN$634,0),0),MAX(0,$C766-OFFSET($Q$8,RIGHT(AI$634,1)-1,0)))</f>
        <v>909</v>
      </c>
      <c r="AJ766" s="136">
        <f ca="1" t="shared" si="508"/>
        <v>1818</v>
      </c>
      <c r="AK766" s="136">
        <f ca="1" t="shared" si="508"/>
        <v>2727</v>
      </c>
      <c r="AL766" s="136">
        <f ca="1" t="shared" si="508"/>
        <v>3636</v>
      </c>
      <c r="AM766" s="136">
        <f ca="1" t="shared" si="508"/>
        <v>3660</v>
      </c>
      <c r="AN766" s="136">
        <f ca="1" t="shared" si="508"/>
        <v>0</v>
      </c>
    </row>
    <row r="767" s="106" customFormat="1" ht="16.5" spans="2:40">
      <c r="B767" s="117">
        <v>133</v>
      </c>
      <c r="C767" s="130">
        <f t="shared" si="499"/>
        <v>13300</v>
      </c>
      <c r="D767" s="131" cm="1">
        <f ca="1" t="array" ref="D767">IF(D1369=1,OFFSET($W$634,$B767,D$631-1)/SUMPRODUCT(--($D$631:$V$631=D$631),--($D1369:$V1369=1)),0)+SUM(D766)+IF(COUNTIF(D$1237:D1369,1)=1,5,0)+IF(COUNTIF(E767:$W767,"&gt;"&amp;0)&lt;5,IF(AND(COUNTIF(D$1237:D1369,1)&gt;7,MOD(1+IFERROR(MATCH($C767,总览!$D$46:$D$345,1)+1,1),7)=0),$C$3,0),0)</f>
        <v>1074.72993939747</v>
      </c>
      <c r="E767" s="131" cm="1">
        <f ca="1" t="array" ref="E767">IF(E1369=1,OFFSET($W$634,$B767,E$631-1)/SUMPRODUCT(--($D$631:$V$631=E$631),--($D1369:$V1369=1)),0)+SUM(E766)+IF(COUNTIF(E$1237:E1369,1)=1,5,0)+IF(COUNTIF(F767:$W767,"&gt;"&amp;0)&lt;5,IF(AND(COUNTIF(E$1237:E1369,1)&gt;7,MOD(1+IFERROR(MATCH($C767,总览!$D$46:$D$345,1)+1,1),7)=0),$C$3,0),0)</f>
        <v>1074.72993939747</v>
      </c>
      <c r="F767" s="131" cm="1">
        <f ca="1" t="array" ref="F767">IF(F1369=1,OFFSET($W$634,$B767,F$631-1)/SUMPRODUCT(--($D$631:$V$631=F$631),--($D1369:$V1369=1)),0)+SUM(F766)+IF(COUNTIF(F$1237:F1369,1)=1,5,0)+IF(COUNTIF(G767:$W767,"&gt;"&amp;0)&lt;5,IF(AND(COUNTIF(F$1237:F1369,1)&gt;7,MOD(1+IFERROR(MATCH($C767,总览!$D$46:$D$345,1)+1,1),7)=0),$C$3,0),0)</f>
        <v>1074.72993939747</v>
      </c>
      <c r="G767" s="131" cm="1">
        <f ca="1" t="array" ref="G767">IF(G1369=1,OFFSET($W$634,$B767,G$631-1)/SUMPRODUCT(--($D$631:$V$631=G$631),--($D1369:$V1369=1)),0)+SUM(G766)+IF(COUNTIF(G$1237:G1369,1)=1,5,0)+IF(COUNTIF(H767:$W767,"&gt;"&amp;0)&lt;5,IF(AND(COUNTIF(G$1237:G1369,1)&gt;7,MOD(1+IFERROR(MATCH($C767,总览!$D$46:$D$345,1)+1,1),7)=0),$C$3,0),0)</f>
        <v>382.733333333333</v>
      </c>
      <c r="H767" s="131" cm="1">
        <f ca="1" t="array" ref="H767">IF(H1369=1,OFFSET($W$634,$B767,H$631-1)/SUMPRODUCT(--($D$631:$V$631=H$631),--($D1369:$V1369=1)),0)+SUM(H766)+IF(COUNTIF(H$1237:H1369,1)=1,5,0)+IF(COUNTIF(I767:$W767,"&gt;"&amp;0)&lt;5,IF(AND(COUNTIF(H$1237:H1369,1)&gt;7,MOD(1+IFERROR(MATCH($C767,总览!$D$46:$D$345,1)+1,1),7)=0),$C$3,0),0)</f>
        <v>382.733333333333</v>
      </c>
      <c r="I767" s="131" cm="1">
        <f ca="1" t="array" ref="I767">IF(I1369=1,OFFSET($W$634,$B767,I$631-1)/SUMPRODUCT(--($D$631:$V$631=I$631),--($D1369:$V1369=1)),0)+SUM(I766)+IF(COUNTIF(I$1237:I1369,1)=1,5,0)+IF(COUNTIF(J767:$W767,"&gt;"&amp;0)&lt;5,IF(AND(COUNTIF(I$1237:I1369,1)&gt;7,MOD(1+IFERROR(MATCH($C767,总览!$D$46:$D$345,1)+1,1),7)=0),$C$3,0),0)</f>
        <v>382.733333333333</v>
      </c>
      <c r="J767" s="131" cm="1">
        <f ca="1" t="array" ref="J767">IF(J1369=1,OFFSET($W$634,$B767,J$631-1)/SUMPRODUCT(--($D$631:$V$631=J$631),--($D1369:$V1369=1)),0)+SUM(J766)+IF(COUNTIF(J$1237:J1369,1)=1,5,0)+IF(COUNTIF(K767:$W767,"&gt;"&amp;0)&lt;5,IF(AND(COUNTIF(J$1237:J1369,1)&gt;7,MOD(1+IFERROR(MATCH($C767,总览!$D$46:$D$345,1)+1,1),7)=0),$C$3,0),0)</f>
        <v>379.399999999999</v>
      </c>
      <c r="K767" s="131" cm="1">
        <f ca="1" t="array" ref="K767">IF(K1369=1,OFFSET($W$634,$B767,K$631-1)/SUMPRODUCT(--($D$631:$V$631=K$631),--($D1369:$V1369=1)),0)+SUM(K766)+IF(COUNTIF(K$1237:K1369,1)=1,5,0)+IF(COUNTIF(L767:$W767,"&gt;"&amp;0)&lt;5,IF(AND(COUNTIF(K$1237:K1369,1)&gt;7,MOD(1+IFERROR(MATCH($C767,总览!$D$46:$D$345,1)+1,1),7)=0),$C$3,0),0)</f>
        <v>376.899999999999</v>
      </c>
      <c r="L767" s="131" cm="1">
        <f ca="1" t="array" ref="L767">IF(L1369=1,OFFSET($W$634,$B767,L$631-1)/SUMPRODUCT(--($D$631:$V$631=L$631),--($D1369:$V1369=1)),0)+SUM(L766)+IF(COUNTIF(L$1237:L1369,1)=1,5,0)+IF(COUNTIF(M767:$W767,"&gt;"&amp;0)&lt;5,IF(AND(COUNTIF(L$1237:L1369,1)&gt;7,MOD(1+IFERROR(MATCH($C767,总览!$D$46:$D$345,1)+1,1),7)=0),$C$3,0),0)</f>
        <v>376.899999999999</v>
      </c>
      <c r="M767" s="131" cm="1">
        <f ca="1" t="array" ref="M767">IF(M1369=1,OFFSET($W$634,$B767,M$631-1)/SUMPRODUCT(--($D$631:$V$631=M$631),--($D1369:$V1369=1)),0)+SUM(M766)+IF(COUNTIF(M$1237:M1369,1)=1,5,0)+IF(COUNTIF(N767:$W767,"&gt;"&amp;0)&lt;5,IF(AND(COUNTIF(M$1237:M1369,1)&gt;7,MOD(1+IFERROR(MATCH($C767,总览!$D$46:$D$345,1)+1,1),7)=0),$C$3,0),0)</f>
        <v>147.752678571428</v>
      </c>
      <c r="N767" s="131" cm="1">
        <f ca="1" t="array" ref="N767">IF(N1369=1,OFFSET($W$634,$B767,N$631-1)/SUMPRODUCT(--($D$631:$V$631=N$631),--($D1369:$V1369=1)),0)+SUM(N766)+IF(COUNTIF(N$1237:N1369,1)=1,5,0)+IF(COUNTIF(O767:$W767,"&gt;"&amp;0)&lt;5,IF(AND(COUNTIF(N$1237:N1369,1)&gt;7,MOD(1+IFERROR(MATCH($C767,总览!$D$46:$D$345,1)+1,1),7)=0),$C$3,0),0)</f>
        <v>149.002678571428</v>
      </c>
      <c r="O767" s="131" cm="1">
        <f ca="1" t="array" ref="O767">IF(O1369=1,OFFSET($W$634,$B767,O$631-1)/SUMPRODUCT(--($D$631:$V$631=O$631),--($D1369:$V1369=1)),0)+SUM(O766)+IF(COUNTIF(O$1237:O1369,1)=1,5,0)+IF(COUNTIF(P767:$W767,"&gt;"&amp;0)&lt;5,IF(AND(COUNTIF(O$1237:O1369,1)&gt;7,MOD(1+IFERROR(MATCH($C767,总览!$D$46:$D$345,1)+1,1),7)=0),$C$3,0),0)</f>
        <v>154.002678571428</v>
      </c>
      <c r="P767" s="131" cm="1">
        <f ca="1" t="array" ref="P767">IF(P1369=1,OFFSET($W$634,$B767,P$631-1)/SUMPRODUCT(--($D$631:$V$631=P$631),--($D1369:$V1369=1)),0)+SUM(P766)+IF(COUNTIF(P$1237:P1369,1)=1,5,0)+IF(COUNTIF(Q767:$W767,"&gt;"&amp;0)&lt;5,IF(AND(COUNTIF(P$1237:P1369,1)&gt;7,MOD(1+IFERROR(MATCH($C767,总览!$D$46:$D$345,1)+1,1),7)=0),$C$3,0),0)</f>
        <v>143.121428571428</v>
      </c>
      <c r="Q767" s="131" cm="1">
        <f ca="1" t="array" ref="Q767">IF(Q1369=1,OFFSET($W$634,$B767,Q$631-1)/SUMPRODUCT(--($D$631:$V$631=Q$631),--($D1369:$V1369=1)),0)+SUM(Q766)+IF(COUNTIF(Q$1237:Q1369,1)=1,5,0)+IF(COUNTIF(R767:$W767,"&gt;"&amp;0)&lt;5,IF(AND(COUNTIF(Q$1237:Q1369,1)&gt;7,MOD(1+IFERROR(MATCH($C767,总览!$D$46:$D$345,1)+1,1),7)=0),$C$3,0),0)</f>
        <v>156.502678571428</v>
      </c>
      <c r="R767" s="131" cm="1">
        <f ca="1" t="array" ref="R767">IF(R1369=1,OFFSET($W$634,$B767,R$631-1)/SUMPRODUCT(--($D$631:$V$631=R$631),--($D1369:$V1369=1)),0)+SUM(R766)+IF(COUNTIF(R$1237:R1369,1)=1,5,0)+IF(COUNTIF(S767:$W767,"&gt;"&amp;0)&lt;5,IF(AND(COUNTIF(R$1237:R1369,1)&gt;7,MOD(1+IFERROR(MATCH($C767,总览!$D$46:$D$345,1)+1,1),7)=0),$C$3,0),0)</f>
        <v>148.121428571428</v>
      </c>
      <c r="S767" s="131" cm="1">
        <f ca="1" t="array" ref="S767">IF(S1369=1,OFFSET($W$634,$B767,S$631-1)/SUMPRODUCT(--($D$631:$V$631=S$631),--($D1369:$V1369=1)),0)+SUM(S766)+IF(COUNTIF(S$1237:S1369,1)=1,5,0)+IF(COUNTIF(T767:$W767,"&gt;"&amp;0)&lt;5,IF(AND(COUNTIF(S$1237:S1369,1)&gt;7,MOD(1+IFERROR(MATCH($C767,总览!$D$46:$D$345,1)+1,1),7)=0),$C$3,0),0)</f>
        <v>205.621428571428</v>
      </c>
      <c r="T767" s="131" cm="1">
        <f ca="1" t="array" ref="T767">IF(T1369=1,OFFSET($W$634,$B767,T$631-1)/SUMPRODUCT(--($D$631:$V$631=T$631),--($D1369:$V1369=1)),0)+SUM(T766)+IF(COUNTIF(T$1237:T1369,1)=1,5,0)+IF(COUNTIF(U767:$W767,"&gt;"&amp;0)&lt;5,IF(AND(COUNTIF(T$1237:T1369,1)&gt;7,MOD(1+IFERROR(MATCH($C767,总览!$D$46:$D$345,1)+1,1),7)=0),$C$3,0),0)</f>
        <v>139.805536461524</v>
      </c>
      <c r="U767" s="131" cm="1">
        <f ca="1" t="array" ref="U767">IF(U1369=1,OFFSET($W$634,$B767,U$631-1)/SUMPRODUCT(--($D$631:$V$631=U$631),--($D1369:$V1369=1)),0)+SUM(U766)+IF(COUNTIF(U$1237:U1369,1)=1,5,0)+IF(COUNTIF(V767:$W767,"&gt;"&amp;0)&lt;5,IF(AND(COUNTIF(U$1237:U1369,1)&gt;7,MOD(1+IFERROR(MATCH($C767,总览!$D$46:$D$345,1)+1,1),7)=0),$C$3,0),0)</f>
        <v>145.326322816823</v>
      </c>
      <c r="V767" s="131" cm="1">
        <f ca="1" t="array" ref="V767">IF(V1369=1,OFFSET($W$634,$B767,V$631-1)/SUMPRODUCT(--($D$631:$V$631=V$631),--($D1369:$V1369=1)),0)+SUM(V766)+IF(COUNTIF(V$1237:V1369,1)=1,5,0)+IF(COUNTIF(W767:$W767,"&gt;"&amp;0)&lt;5,IF(AND(COUNTIF(V$1237:V1369,1)&gt;7,MOD(1+IFERROR(MATCH($C767,总览!$D$46:$D$345,1)+1,1),7)=0),$C$3,0),0)</f>
        <v>165.153322529257</v>
      </c>
      <c r="W767" s="135" cm="1">
        <f ca="1" t="array" ref="W767">SUMPRODUCT(TRANSPOSE($AA767:$AG767),OFFSET($L$9:$L$15,0,W$631-1))</f>
        <v>16.8502200646615</v>
      </c>
      <c r="X767" s="135" cm="1">
        <f ca="1" t="array" ref="X767">SUMPRODUCT(TRANSPOSE($AA767:$AG767),OFFSET($L$9:$L$15,0,X$631-1))</f>
        <v>20</v>
      </c>
      <c r="Y767" s="135" cm="1">
        <f ca="1" t="array" ref="Y767">SUMPRODUCT(TRANSPOSE($AA767:$AG767),OFFSET($L$9:$L$15,0,Y$631-1))</f>
        <v>10</v>
      </c>
      <c r="Z767" s="135" cm="1">
        <f ca="1" t="array" ref="Z767">SUMPRODUCT(TRANSPOSE($AA767:$AG767),OFFSET($L$9:$L$15,0,Z$631-1))</f>
        <v>3.14977993533847</v>
      </c>
      <c r="AA767" s="136">
        <f ca="1" t="shared" ref="AA767:AG767" si="509">AH767-AH766</f>
        <v>0</v>
      </c>
      <c r="AB767" s="136">
        <f ca="1" t="shared" si="509"/>
        <v>0</v>
      </c>
      <c r="AC767" s="136">
        <f ca="1" t="shared" si="509"/>
        <v>0</v>
      </c>
      <c r="AD767" s="136">
        <f ca="1" t="shared" si="509"/>
        <v>0</v>
      </c>
      <c r="AE767" s="136">
        <f ca="1" t="shared" si="509"/>
        <v>0</v>
      </c>
      <c r="AF767" s="136">
        <f ca="1" t="shared" si="509"/>
        <v>100</v>
      </c>
      <c r="AG767" s="136">
        <f ca="1" t="shared" si="509"/>
        <v>0</v>
      </c>
      <c r="AH767" s="136">
        <f ca="1" t="shared" si="501"/>
        <v>450</v>
      </c>
      <c r="AI767" s="136">
        <f ca="1" t="shared" ref="AI767:AN767" si="510">IF($C767&gt;OFFSET($Q$8,MATCH(AI$634,$AH$634:$AN$634,0),0),OFFSET($P$8,MATCH(AI$634,$AH$634:$AN$634,0),0),MAX(0,$C767-OFFSET($Q$8,RIGHT(AI$634,1)-1,0)))</f>
        <v>909</v>
      </c>
      <c r="AJ767" s="136">
        <f ca="1" t="shared" si="510"/>
        <v>1818</v>
      </c>
      <c r="AK767" s="136">
        <f ca="1" t="shared" si="510"/>
        <v>2727</v>
      </c>
      <c r="AL767" s="136">
        <f ca="1" t="shared" si="510"/>
        <v>3636</v>
      </c>
      <c r="AM767" s="136">
        <f ca="1" t="shared" si="510"/>
        <v>3760</v>
      </c>
      <c r="AN767" s="136">
        <f ca="1" t="shared" si="510"/>
        <v>0</v>
      </c>
    </row>
    <row r="768" s="106" customFormat="1" ht="16.5" spans="2:40">
      <c r="B768" s="117">
        <v>134</v>
      </c>
      <c r="C768" s="130">
        <f t="shared" si="499"/>
        <v>13400</v>
      </c>
      <c r="D768" s="131" cm="1">
        <f ca="1" t="array" ref="D768">IF(D1370=1,OFFSET($W$634,$B768,D$631-1)/SUMPRODUCT(--($D$631:$V$631=D$631),--($D1370:$V1370=1)),0)+SUM(D767)+IF(COUNTIF(D$1237:D1370,1)=1,5,0)+IF(COUNTIF(E768:$W768,"&gt;"&amp;0)&lt;5,IF(AND(COUNTIF(D$1237:D1370,1)&gt;7,MOD(1+IFERROR(MATCH($C768,总览!$D$46:$D$345,1)+1,1),7)=0),$C$3,0),0)</f>
        <v>1080.34667941902</v>
      </c>
      <c r="E768" s="131" cm="1">
        <f ca="1" t="array" ref="E768">IF(E1370=1,OFFSET($W$634,$B768,E$631-1)/SUMPRODUCT(--($D$631:$V$631=E$631),--($D1370:$V1370=1)),0)+SUM(E767)+IF(COUNTIF(E$1237:E1370,1)=1,5,0)+IF(COUNTIF(F768:$W768,"&gt;"&amp;0)&lt;5,IF(AND(COUNTIF(E$1237:E1370,1)&gt;7,MOD(1+IFERROR(MATCH($C768,总览!$D$46:$D$345,1)+1,1),7)=0),$C$3,0),0)</f>
        <v>1080.34667941902</v>
      </c>
      <c r="F768" s="131" cm="1">
        <f ca="1" t="array" ref="F768">IF(F1370=1,OFFSET($W$634,$B768,F$631-1)/SUMPRODUCT(--($D$631:$V$631=F$631),--($D1370:$V1370=1)),0)+SUM(F767)+IF(COUNTIF(F$1237:F1370,1)=1,5,0)+IF(COUNTIF(G768:$W768,"&gt;"&amp;0)&lt;5,IF(AND(COUNTIF(F$1237:F1370,1)&gt;7,MOD(1+IFERROR(MATCH($C768,总览!$D$46:$D$345,1)+1,1),7)=0),$C$3,0),0)</f>
        <v>1080.34667941902</v>
      </c>
      <c r="G768" s="131" cm="1">
        <f ca="1" t="array" ref="G768">IF(G1370=1,OFFSET($W$634,$B768,G$631-1)/SUMPRODUCT(--($D$631:$V$631=G$631),--($D1370:$V1370=1)),0)+SUM(G767)+IF(COUNTIF(G$1237:G1370,1)=1,5,0)+IF(COUNTIF(H768:$W768,"&gt;"&amp;0)&lt;5,IF(AND(COUNTIF(G$1237:G1370,1)&gt;7,MOD(1+IFERROR(MATCH($C768,总览!$D$46:$D$345,1)+1,1),7)=0),$C$3,0),0)</f>
        <v>386.066666666666</v>
      </c>
      <c r="H768" s="131" cm="1">
        <f ca="1" t="array" ref="H768">IF(H1370=1,OFFSET($W$634,$B768,H$631-1)/SUMPRODUCT(--($D$631:$V$631=H$631),--($D1370:$V1370=1)),0)+SUM(H767)+IF(COUNTIF(H$1237:H1370,1)=1,5,0)+IF(COUNTIF(I768:$W768,"&gt;"&amp;0)&lt;5,IF(AND(COUNTIF(H$1237:H1370,1)&gt;7,MOD(1+IFERROR(MATCH($C768,总览!$D$46:$D$345,1)+1,1),7)=0),$C$3,0),0)</f>
        <v>386.066666666666</v>
      </c>
      <c r="I768" s="131" cm="1">
        <f ca="1" t="array" ref="I768">IF(I1370=1,OFFSET($W$634,$B768,I$631-1)/SUMPRODUCT(--($D$631:$V$631=I$631),--($D1370:$V1370=1)),0)+SUM(I767)+IF(COUNTIF(I$1237:I1370,1)=1,5,0)+IF(COUNTIF(J768:$W768,"&gt;"&amp;0)&lt;5,IF(AND(COUNTIF(I$1237:I1370,1)&gt;7,MOD(1+IFERROR(MATCH($C768,总览!$D$46:$D$345,1)+1,1),7)=0),$C$3,0),0)</f>
        <v>386.066666666666</v>
      </c>
      <c r="J768" s="131" cm="1">
        <f ca="1" t="array" ref="J768">IF(J1370=1,OFFSET($W$634,$B768,J$631-1)/SUMPRODUCT(--($D$631:$V$631=J$631),--($D1370:$V1370=1)),0)+SUM(J767)+IF(COUNTIF(J$1237:J1370,1)=1,5,0)+IF(COUNTIF(K768:$W768,"&gt;"&amp;0)&lt;5,IF(AND(COUNTIF(J$1237:J1370,1)&gt;7,MOD(1+IFERROR(MATCH($C768,总览!$D$46:$D$345,1)+1,1),7)=0),$C$3,0),0)</f>
        <v>382.733333333333</v>
      </c>
      <c r="K768" s="131" cm="1">
        <f ca="1" t="array" ref="K768">IF(K1370=1,OFFSET($W$634,$B768,K$631-1)/SUMPRODUCT(--($D$631:$V$631=K$631),--($D1370:$V1370=1)),0)+SUM(K767)+IF(COUNTIF(K$1237:K1370,1)=1,5,0)+IF(COUNTIF(L768:$W768,"&gt;"&amp;0)&lt;5,IF(AND(COUNTIF(K$1237:K1370,1)&gt;7,MOD(1+IFERROR(MATCH($C768,总览!$D$46:$D$345,1)+1,1),7)=0),$C$3,0),0)</f>
        <v>380.233333333333</v>
      </c>
      <c r="L768" s="131" cm="1">
        <f ca="1" t="array" ref="L768">IF(L1370=1,OFFSET($W$634,$B768,L$631-1)/SUMPRODUCT(--($D$631:$V$631=L$631),--($D1370:$V1370=1)),0)+SUM(L767)+IF(COUNTIF(L$1237:L1370,1)=1,5,0)+IF(COUNTIF(M768:$W768,"&gt;"&amp;0)&lt;5,IF(AND(COUNTIF(L$1237:L1370,1)&gt;7,MOD(1+IFERROR(MATCH($C768,总览!$D$46:$D$345,1)+1,1),7)=0),$C$3,0),0)</f>
        <v>380.233333333333</v>
      </c>
      <c r="M768" s="131" cm="1">
        <f ca="1" t="array" ref="M768">IF(M1370=1,OFFSET($W$634,$B768,M$631-1)/SUMPRODUCT(--($D$631:$V$631=M$631),--($D1370:$V1370=1)),0)+SUM(M767)+IF(COUNTIF(M$1237:M1370,1)=1,5,0)+IF(COUNTIF(N768:$W768,"&gt;"&amp;0)&lt;5,IF(AND(COUNTIF(M$1237:M1370,1)&gt;7,MOD(1+IFERROR(MATCH($C768,总览!$D$46:$D$345,1)+1,1),7)=0),$C$3,0),0)</f>
        <v>149.18125</v>
      </c>
      <c r="N768" s="131" cm="1">
        <f ca="1" t="array" ref="N768">IF(N1370=1,OFFSET($W$634,$B768,N$631-1)/SUMPRODUCT(--($D$631:$V$631=N$631),--($D1370:$V1370=1)),0)+SUM(N767)+IF(COUNTIF(N$1237:N1370,1)=1,5,0)+IF(COUNTIF(O768:$W768,"&gt;"&amp;0)&lt;5,IF(AND(COUNTIF(N$1237:N1370,1)&gt;7,MOD(1+IFERROR(MATCH($C768,总览!$D$46:$D$345,1)+1,1),7)=0),$C$3,0),0)</f>
        <v>150.43125</v>
      </c>
      <c r="O768" s="131" cm="1">
        <f ca="1" t="array" ref="O768">IF(O1370=1,OFFSET($W$634,$B768,O$631-1)/SUMPRODUCT(--($D$631:$V$631=O$631),--($D1370:$V1370=1)),0)+SUM(O767)+IF(COUNTIF(O$1237:O1370,1)=1,5,0)+IF(COUNTIF(P768:$W768,"&gt;"&amp;0)&lt;5,IF(AND(COUNTIF(O$1237:O1370,1)&gt;7,MOD(1+IFERROR(MATCH($C768,总览!$D$46:$D$345,1)+1,1),7)=0),$C$3,0),0)</f>
        <v>155.43125</v>
      </c>
      <c r="P768" s="131" cm="1">
        <f ca="1" t="array" ref="P768">IF(P1370=1,OFFSET($W$634,$B768,P$631-1)/SUMPRODUCT(--($D$631:$V$631=P$631),--($D1370:$V1370=1)),0)+SUM(P767)+IF(COUNTIF(P$1237:P1370,1)=1,5,0)+IF(COUNTIF(Q768:$W768,"&gt;"&amp;0)&lt;5,IF(AND(COUNTIF(P$1237:P1370,1)&gt;7,MOD(1+IFERROR(MATCH($C768,总览!$D$46:$D$345,1)+1,1),7)=0),$C$3,0),0)</f>
        <v>144.55</v>
      </c>
      <c r="Q768" s="131" cm="1">
        <f ca="1" t="array" ref="Q768">IF(Q1370=1,OFFSET($W$634,$B768,Q$631-1)/SUMPRODUCT(--($D$631:$V$631=Q$631),--($D1370:$V1370=1)),0)+SUM(Q767)+IF(COUNTIF(Q$1237:Q1370,1)=1,5,0)+IF(COUNTIF(R768:$W768,"&gt;"&amp;0)&lt;5,IF(AND(COUNTIF(Q$1237:Q1370,1)&gt;7,MOD(1+IFERROR(MATCH($C768,总览!$D$46:$D$345,1)+1,1),7)=0),$C$3,0),0)</f>
        <v>157.93125</v>
      </c>
      <c r="R768" s="131" cm="1">
        <f ca="1" t="array" ref="R768">IF(R1370=1,OFFSET($W$634,$B768,R$631-1)/SUMPRODUCT(--($D$631:$V$631=R$631),--($D1370:$V1370=1)),0)+SUM(R767)+IF(COUNTIF(R$1237:R1370,1)=1,5,0)+IF(COUNTIF(S768:$W768,"&gt;"&amp;0)&lt;5,IF(AND(COUNTIF(R$1237:R1370,1)&gt;7,MOD(1+IFERROR(MATCH($C768,总览!$D$46:$D$345,1)+1,1),7)=0),$C$3,0),0)</f>
        <v>149.55</v>
      </c>
      <c r="S768" s="131" cm="1">
        <f ca="1" t="array" ref="S768">IF(S1370=1,OFFSET($W$634,$B768,S$631-1)/SUMPRODUCT(--($D$631:$V$631=S$631),--($D1370:$V1370=1)),0)+SUM(S767)+IF(COUNTIF(S$1237:S1370,1)=1,5,0)+IF(COUNTIF(T768:$W768,"&gt;"&amp;0)&lt;5,IF(AND(COUNTIF(S$1237:S1370,1)&gt;7,MOD(1+IFERROR(MATCH($C768,总览!$D$46:$D$345,1)+1,1),7)=0),$C$3,0),0)</f>
        <v>207.049999999999</v>
      </c>
      <c r="T768" s="131" cm="1">
        <f ca="1" t="array" ref="T768">IF(T1370=1,OFFSET($W$634,$B768,T$631-1)/SUMPRODUCT(--($D$631:$V$631=T$631),--($D1370:$V1370=1)),0)+SUM(T767)+IF(COUNTIF(T$1237:T1370,1)=1,5,0)+IF(COUNTIF(U768:$W768,"&gt;"&amp;0)&lt;5,IF(AND(COUNTIF(T$1237:T1370,1)&gt;7,MOD(1+IFERROR(MATCH($C768,总览!$D$46:$D$345,1)+1,1),7)=0),$C$3,0),0)</f>
        <v>140.855463106637</v>
      </c>
      <c r="U768" s="131" cm="1">
        <f ca="1" t="array" ref="U768">IF(U1370=1,OFFSET($W$634,$B768,U$631-1)/SUMPRODUCT(--($D$631:$V$631=U$631),--($D1370:$V1370=1)),0)+SUM(U767)+IF(COUNTIF(U$1237:U1370,1)=1,5,0)+IF(COUNTIF(V768:$W768,"&gt;"&amp;0)&lt;5,IF(AND(COUNTIF(U$1237:U1370,1)&gt;7,MOD(1+IFERROR(MATCH($C768,总览!$D$46:$D$345,1)+1,1),7)=0),$C$3,0),0)</f>
        <v>146.376249461936</v>
      </c>
      <c r="V768" s="131" cm="1">
        <f ca="1" t="array" ref="V768">IF(V1370=1,OFFSET($W$634,$B768,V$631-1)/SUMPRODUCT(--($D$631:$V$631=V$631),--($D1370:$V1370=1)),0)+SUM(V767)+IF(COUNTIF(V$1237:V1370,1)=1,5,0)+IF(COUNTIF(W768:$W768,"&gt;"&amp;0)&lt;5,IF(AND(COUNTIF(V$1237:V1370,1)&gt;7,MOD(1+IFERROR(MATCH($C768,总览!$D$46:$D$345,1)+1,1),7)=0),$C$3,0),0)</f>
        <v>166.20324917437</v>
      </c>
      <c r="W768" s="135" cm="1">
        <f ca="1" t="array" ref="W768">SUMPRODUCT(TRANSPOSE($AA768:$AG768),OFFSET($L$9:$L$15,0,W$631-1))</f>
        <v>16.8502200646615</v>
      </c>
      <c r="X768" s="135" cm="1">
        <f ca="1" t="array" ref="X768">SUMPRODUCT(TRANSPOSE($AA768:$AG768),OFFSET($L$9:$L$15,0,X$631-1))</f>
        <v>20</v>
      </c>
      <c r="Y768" s="135" cm="1">
        <f ca="1" t="array" ref="Y768">SUMPRODUCT(TRANSPOSE($AA768:$AG768),OFFSET($L$9:$L$15,0,Y$631-1))</f>
        <v>10</v>
      </c>
      <c r="Z768" s="135" cm="1">
        <f ca="1" t="array" ref="Z768">SUMPRODUCT(TRANSPOSE($AA768:$AG768),OFFSET($L$9:$L$15,0,Z$631-1))</f>
        <v>3.14977993533847</v>
      </c>
      <c r="AA768" s="136">
        <f ca="1" t="shared" ref="AA768:AG768" si="511">AH768-AH767</f>
        <v>0</v>
      </c>
      <c r="AB768" s="136">
        <f ca="1" t="shared" si="511"/>
        <v>0</v>
      </c>
      <c r="AC768" s="136">
        <f ca="1" t="shared" si="511"/>
        <v>0</v>
      </c>
      <c r="AD768" s="136">
        <f ca="1" t="shared" si="511"/>
        <v>0</v>
      </c>
      <c r="AE768" s="136">
        <f ca="1" t="shared" si="511"/>
        <v>0</v>
      </c>
      <c r="AF768" s="136">
        <f ca="1" t="shared" si="511"/>
        <v>100</v>
      </c>
      <c r="AG768" s="136">
        <f ca="1" t="shared" si="511"/>
        <v>0</v>
      </c>
      <c r="AH768" s="136">
        <f ca="1" t="shared" si="501"/>
        <v>450</v>
      </c>
      <c r="AI768" s="136">
        <f ca="1" t="shared" ref="AI768:AN768" si="512">IF($C768&gt;OFFSET($Q$8,MATCH(AI$634,$AH$634:$AN$634,0),0),OFFSET($P$8,MATCH(AI$634,$AH$634:$AN$634,0),0),MAX(0,$C768-OFFSET($Q$8,RIGHT(AI$634,1)-1,0)))</f>
        <v>909</v>
      </c>
      <c r="AJ768" s="136">
        <f ca="1" t="shared" si="512"/>
        <v>1818</v>
      </c>
      <c r="AK768" s="136">
        <f ca="1" t="shared" si="512"/>
        <v>2727</v>
      </c>
      <c r="AL768" s="136">
        <f ca="1" t="shared" si="512"/>
        <v>3636</v>
      </c>
      <c r="AM768" s="136">
        <f ca="1" t="shared" si="512"/>
        <v>3860</v>
      </c>
      <c r="AN768" s="136">
        <f ca="1" t="shared" si="512"/>
        <v>0</v>
      </c>
    </row>
    <row r="769" s="106" customFormat="1" ht="16.5" spans="2:40">
      <c r="B769" s="117">
        <v>135</v>
      </c>
      <c r="C769" s="130">
        <f t="shared" si="499"/>
        <v>13500</v>
      </c>
      <c r="D769" s="131" cm="1">
        <f ca="1" t="array" ref="D769">IF(D1371=1,OFFSET($W$634,$B769,D$631-1)/SUMPRODUCT(--($D$631:$V$631=D$631),--($D1371:$V1371=1)),0)+SUM(D768)+IF(COUNTIF(D$1237:D1371,1)=1,5,0)+IF(COUNTIF(E769:$W769,"&gt;"&amp;0)&lt;5,IF(AND(COUNTIF(D$1237:D1371,1)&gt;7,MOD(1+IFERROR(MATCH($C769,总览!$D$46:$D$345,1)+1,1),7)=0),$C$3,0),0)</f>
        <v>1085.96341944057</v>
      </c>
      <c r="E769" s="131" cm="1">
        <f ca="1" t="array" ref="E769">IF(E1371=1,OFFSET($W$634,$B769,E$631-1)/SUMPRODUCT(--($D$631:$V$631=E$631),--($D1371:$V1371=1)),0)+SUM(E768)+IF(COUNTIF(E$1237:E1371,1)=1,5,0)+IF(COUNTIF(F769:$W769,"&gt;"&amp;0)&lt;5,IF(AND(COUNTIF(E$1237:E1371,1)&gt;7,MOD(1+IFERROR(MATCH($C769,总览!$D$46:$D$345,1)+1,1),7)=0),$C$3,0),0)</f>
        <v>1085.96341944057</v>
      </c>
      <c r="F769" s="131" cm="1">
        <f ca="1" t="array" ref="F769">IF(F1371=1,OFFSET($W$634,$B769,F$631-1)/SUMPRODUCT(--($D$631:$V$631=F$631),--($D1371:$V1371=1)),0)+SUM(F768)+IF(COUNTIF(F$1237:F1371,1)=1,5,0)+IF(COUNTIF(G769:$W769,"&gt;"&amp;0)&lt;5,IF(AND(COUNTIF(F$1237:F1371,1)&gt;7,MOD(1+IFERROR(MATCH($C769,总览!$D$46:$D$345,1)+1,1),7)=0),$C$3,0),0)</f>
        <v>1085.96341944057</v>
      </c>
      <c r="G769" s="131" cm="1">
        <f ca="1" t="array" ref="G769">IF(G1371=1,OFFSET($W$634,$B769,G$631-1)/SUMPRODUCT(--($D$631:$V$631=G$631),--($D1371:$V1371=1)),0)+SUM(G768)+IF(COUNTIF(G$1237:G1371,1)=1,5,0)+IF(COUNTIF(H769:$W769,"&gt;"&amp;0)&lt;5,IF(AND(COUNTIF(G$1237:G1371,1)&gt;7,MOD(1+IFERROR(MATCH($C769,总览!$D$46:$D$345,1)+1,1),7)=0),$C$3,0),0)</f>
        <v>389.399999999999</v>
      </c>
      <c r="H769" s="131" cm="1">
        <f ca="1" t="array" ref="H769">IF(H1371=1,OFFSET($W$634,$B769,H$631-1)/SUMPRODUCT(--($D$631:$V$631=H$631),--($D1371:$V1371=1)),0)+SUM(H768)+IF(COUNTIF(H$1237:H1371,1)=1,5,0)+IF(COUNTIF(I769:$W769,"&gt;"&amp;0)&lt;5,IF(AND(COUNTIF(H$1237:H1371,1)&gt;7,MOD(1+IFERROR(MATCH($C769,总览!$D$46:$D$345,1)+1,1),7)=0),$C$3,0),0)</f>
        <v>389.399999999999</v>
      </c>
      <c r="I769" s="131" cm="1">
        <f ca="1" t="array" ref="I769">IF(I1371=1,OFFSET($W$634,$B769,I$631-1)/SUMPRODUCT(--($D$631:$V$631=I$631),--($D1371:$V1371=1)),0)+SUM(I768)+IF(COUNTIF(I$1237:I1371,1)=1,5,0)+IF(COUNTIF(J769:$W769,"&gt;"&amp;0)&lt;5,IF(AND(COUNTIF(I$1237:I1371,1)&gt;7,MOD(1+IFERROR(MATCH($C769,总览!$D$46:$D$345,1)+1,1),7)=0),$C$3,0),0)</f>
        <v>389.399999999999</v>
      </c>
      <c r="J769" s="131" cm="1">
        <f ca="1" t="array" ref="J769">IF(J1371=1,OFFSET($W$634,$B769,J$631-1)/SUMPRODUCT(--($D$631:$V$631=J$631),--($D1371:$V1371=1)),0)+SUM(J768)+IF(COUNTIF(J$1237:J1371,1)=1,5,0)+IF(COUNTIF(K769:$W769,"&gt;"&amp;0)&lt;5,IF(AND(COUNTIF(J$1237:J1371,1)&gt;7,MOD(1+IFERROR(MATCH($C769,总览!$D$46:$D$345,1)+1,1),7)=0),$C$3,0),0)</f>
        <v>386.066666666666</v>
      </c>
      <c r="K769" s="131" cm="1">
        <f ca="1" t="array" ref="K769">IF(K1371=1,OFFSET($W$634,$B769,K$631-1)/SUMPRODUCT(--($D$631:$V$631=K$631),--($D1371:$V1371=1)),0)+SUM(K768)+IF(COUNTIF(K$1237:K1371,1)=1,5,0)+IF(COUNTIF(L769:$W769,"&gt;"&amp;0)&lt;5,IF(AND(COUNTIF(K$1237:K1371,1)&gt;7,MOD(1+IFERROR(MATCH($C769,总览!$D$46:$D$345,1)+1,1),7)=0),$C$3,0),0)</f>
        <v>383.566666666666</v>
      </c>
      <c r="L769" s="131" cm="1">
        <f ca="1" t="array" ref="L769">IF(L1371=1,OFFSET($W$634,$B769,L$631-1)/SUMPRODUCT(--($D$631:$V$631=L$631),--($D1371:$V1371=1)),0)+SUM(L768)+IF(COUNTIF(L$1237:L1371,1)=1,5,0)+IF(COUNTIF(M769:$W769,"&gt;"&amp;0)&lt;5,IF(AND(COUNTIF(L$1237:L1371,1)&gt;7,MOD(1+IFERROR(MATCH($C769,总览!$D$46:$D$345,1)+1,1),7)=0),$C$3,0),0)</f>
        <v>383.566666666666</v>
      </c>
      <c r="M769" s="131" cm="1">
        <f ca="1" t="array" ref="M769">IF(M1371=1,OFFSET($W$634,$B769,M$631-1)/SUMPRODUCT(--($D$631:$V$631=M$631),--($D1371:$V1371=1)),0)+SUM(M768)+IF(COUNTIF(M$1237:M1371,1)=1,5,0)+IF(COUNTIF(N769:$W769,"&gt;"&amp;0)&lt;5,IF(AND(COUNTIF(M$1237:M1371,1)&gt;7,MOD(1+IFERROR(MATCH($C769,总览!$D$46:$D$345,1)+1,1),7)=0),$C$3,0),0)</f>
        <v>150.609821428571</v>
      </c>
      <c r="N769" s="131" cm="1">
        <f ca="1" t="array" ref="N769">IF(N1371=1,OFFSET($W$634,$B769,N$631-1)/SUMPRODUCT(--($D$631:$V$631=N$631),--($D1371:$V1371=1)),0)+SUM(N768)+IF(COUNTIF(N$1237:N1371,1)=1,5,0)+IF(COUNTIF(O769:$W769,"&gt;"&amp;0)&lt;5,IF(AND(COUNTIF(N$1237:N1371,1)&gt;7,MOD(1+IFERROR(MATCH($C769,总览!$D$46:$D$345,1)+1,1),7)=0),$C$3,0),0)</f>
        <v>151.859821428571</v>
      </c>
      <c r="O769" s="131" cm="1">
        <f ca="1" t="array" ref="O769">IF(O1371=1,OFFSET($W$634,$B769,O$631-1)/SUMPRODUCT(--($D$631:$V$631=O$631),--($D1371:$V1371=1)),0)+SUM(O768)+IF(COUNTIF(O$1237:O1371,1)=1,5,0)+IF(COUNTIF(P769:$W769,"&gt;"&amp;0)&lt;5,IF(AND(COUNTIF(O$1237:O1371,1)&gt;7,MOD(1+IFERROR(MATCH($C769,总览!$D$46:$D$345,1)+1,1),7)=0),$C$3,0),0)</f>
        <v>156.859821428571</v>
      </c>
      <c r="P769" s="131" cm="1">
        <f ca="1" t="array" ref="P769">IF(P1371=1,OFFSET($W$634,$B769,P$631-1)/SUMPRODUCT(--($D$631:$V$631=P$631),--($D1371:$V1371=1)),0)+SUM(P768)+IF(COUNTIF(P$1237:P1371,1)=1,5,0)+IF(COUNTIF(Q769:$W769,"&gt;"&amp;0)&lt;5,IF(AND(COUNTIF(P$1237:P1371,1)&gt;7,MOD(1+IFERROR(MATCH($C769,总览!$D$46:$D$345,1)+1,1),7)=0),$C$3,0),0)</f>
        <v>145.978571428571</v>
      </c>
      <c r="Q769" s="131" cm="1">
        <f ca="1" t="array" ref="Q769">IF(Q1371=1,OFFSET($W$634,$B769,Q$631-1)/SUMPRODUCT(--($D$631:$V$631=Q$631),--($D1371:$V1371=1)),0)+SUM(Q768)+IF(COUNTIF(Q$1237:Q1371,1)=1,5,0)+IF(COUNTIF(R769:$W769,"&gt;"&amp;0)&lt;5,IF(AND(COUNTIF(Q$1237:Q1371,1)&gt;7,MOD(1+IFERROR(MATCH($C769,总览!$D$46:$D$345,1)+1,1),7)=0),$C$3,0),0)</f>
        <v>159.359821428571</v>
      </c>
      <c r="R769" s="131" cm="1">
        <f ca="1" t="array" ref="R769">IF(R1371=1,OFFSET($W$634,$B769,R$631-1)/SUMPRODUCT(--($D$631:$V$631=R$631),--($D1371:$V1371=1)),0)+SUM(R768)+IF(COUNTIF(R$1237:R1371,1)=1,5,0)+IF(COUNTIF(S769:$W769,"&gt;"&amp;0)&lt;5,IF(AND(COUNTIF(R$1237:R1371,1)&gt;7,MOD(1+IFERROR(MATCH($C769,总览!$D$46:$D$345,1)+1,1),7)=0),$C$3,0),0)</f>
        <v>150.978571428571</v>
      </c>
      <c r="S769" s="131" cm="1">
        <f ca="1" t="array" ref="S769">IF(S1371=1,OFFSET($W$634,$B769,S$631-1)/SUMPRODUCT(--($D$631:$V$631=S$631),--($D1371:$V1371=1)),0)+SUM(S768)+IF(COUNTIF(S$1237:S1371,1)=1,5,0)+IF(COUNTIF(T769:$W769,"&gt;"&amp;0)&lt;5,IF(AND(COUNTIF(S$1237:S1371,1)&gt;7,MOD(1+IFERROR(MATCH($C769,总览!$D$46:$D$345,1)+1,1),7)=0),$C$3,0),0)</f>
        <v>208.478571428571</v>
      </c>
      <c r="T769" s="131" cm="1">
        <f ca="1" t="array" ref="T769">IF(T1371=1,OFFSET($W$634,$B769,T$631-1)/SUMPRODUCT(--($D$631:$V$631=T$631),--($D1371:$V1371=1)),0)+SUM(T768)+IF(COUNTIF(T$1237:T1371,1)=1,5,0)+IF(COUNTIF(U769:$W769,"&gt;"&amp;0)&lt;5,IF(AND(COUNTIF(T$1237:T1371,1)&gt;7,MOD(1+IFERROR(MATCH($C769,总览!$D$46:$D$345,1)+1,1),7)=0),$C$3,0),0)</f>
        <v>141.905389751749</v>
      </c>
      <c r="U769" s="131" cm="1">
        <f ca="1" t="array" ref="U769">IF(U1371=1,OFFSET($W$634,$B769,U$631-1)/SUMPRODUCT(--($D$631:$V$631=U$631),--($D1371:$V1371=1)),0)+SUM(U768)+IF(COUNTIF(U$1237:U1371,1)=1,5,0)+IF(COUNTIF(V769:$W769,"&gt;"&amp;0)&lt;5,IF(AND(COUNTIF(U$1237:U1371,1)&gt;7,MOD(1+IFERROR(MATCH($C769,总览!$D$46:$D$345,1)+1,1),7)=0),$C$3,0),0)</f>
        <v>147.426176107049</v>
      </c>
      <c r="V769" s="131" cm="1">
        <f ca="1" t="array" ref="V769">IF(V1371=1,OFFSET($W$634,$B769,V$631-1)/SUMPRODUCT(--($D$631:$V$631=V$631),--($D1371:$V1371=1)),0)+SUM(V768)+IF(COUNTIF(V$1237:V1371,1)=1,5,0)+IF(COUNTIF(W769:$W769,"&gt;"&amp;0)&lt;5,IF(AND(COUNTIF(V$1237:V1371,1)&gt;7,MOD(1+IFERROR(MATCH($C769,总览!$D$46:$D$345,1)+1,1),7)=0),$C$3,0),0)</f>
        <v>167.253175819483</v>
      </c>
      <c r="W769" s="135" cm="1">
        <f ca="1" t="array" ref="W769">SUMPRODUCT(TRANSPOSE($AA769:$AG769),OFFSET($L$9:$L$15,0,W$631-1))</f>
        <v>16.8502200646615</v>
      </c>
      <c r="X769" s="135" cm="1">
        <f ca="1" t="array" ref="X769">SUMPRODUCT(TRANSPOSE($AA769:$AG769),OFFSET($L$9:$L$15,0,X$631-1))</f>
        <v>20</v>
      </c>
      <c r="Y769" s="135" cm="1">
        <f ca="1" t="array" ref="Y769">SUMPRODUCT(TRANSPOSE($AA769:$AG769),OFFSET($L$9:$L$15,0,Y$631-1))</f>
        <v>10</v>
      </c>
      <c r="Z769" s="135" cm="1">
        <f ca="1" t="array" ref="Z769">SUMPRODUCT(TRANSPOSE($AA769:$AG769),OFFSET($L$9:$L$15,0,Z$631-1))</f>
        <v>3.14977993533847</v>
      </c>
      <c r="AA769" s="136">
        <f ca="1" t="shared" ref="AA769:AG769" si="513">AH769-AH768</f>
        <v>0</v>
      </c>
      <c r="AB769" s="136">
        <f ca="1" t="shared" si="513"/>
        <v>0</v>
      </c>
      <c r="AC769" s="136">
        <f ca="1" t="shared" si="513"/>
        <v>0</v>
      </c>
      <c r="AD769" s="136">
        <f ca="1" t="shared" si="513"/>
        <v>0</v>
      </c>
      <c r="AE769" s="136">
        <f ca="1" t="shared" si="513"/>
        <v>0</v>
      </c>
      <c r="AF769" s="136">
        <f ca="1" t="shared" si="513"/>
        <v>100</v>
      </c>
      <c r="AG769" s="136">
        <f ca="1" t="shared" si="513"/>
        <v>0</v>
      </c>
      <c r="AH769" s="136">
        <f ca="1" t="shared" si="501"/>
        <v>450</v>
      </c>
      <c r="AI769" s="136">
        <f ca="1" t="shared" ref="AI769:AN769" si="514">IF($C769&gt;OFFSET($Q$8,MATCH(AI$634,$AH$634:$AN$634,0),0),OFFSET($P$8,MATCH(AI$634,$AH$634:$AN$634,0),0),MAX(0,$C769-OFFSET($Q$8,RIGHT(AI$634,1)-1,0)))</f>
        <v>909</v>
      </c>
      <c r="AJ769" s="136">
        <f ca="1" t="shared" si="514"/>
        <v>1818</v>
      </c>
      <c r="AK769" s="136">
        <f ca="1" t="shared" si="514"/>
        <v>2727</v>
      </c>
      <c r="AL769" s="136">
        <f ca="1" t="shared" si="514"/>
        <v>3636</v>
      </c>
      <c r="AM769" s="136">
        <f ca="1" t="shared" si="514"/>
        <v>3960</v>
      </c>
      <c r="AN769" s="136">
        <f ca="1" t="shared" si="514"/>
        <v>0</v>
      </c>
    </row>
    <row r="770" s="106" customFormat="1" ht="16.5" spans="2:40">
      <c r="B770" s="117">
        <v>136</v>
      </c>
      <c r="C770" s="130">
        <f t="shared" si="499"/>
        <v>13600</v>
      </c>
      <c r="D770" s="131" cm="1">
        <f ca="1" t="array" ref="D770">IF(D1372=1,OFFSET($W$634,$B770,D$631-1)/SUMPRODUCT(--($D$631:$V$631=D$631),--($D1372:$V1372=1)),0)+SUM(D769)+IF(COUNTIF(D$1237:D1372,1)=1,5,0)+IF(COUNTIF(E770:$W770,"&gt;"&amp;0)&lt;5,IF(AND(COUNTIF(D$1237:D1372,1)&gt;7,MOD(1+IFERROR(MATCH($C770,总览!$D$46:$D$345,1)+1,1),7)=0),$C$3,0),0)</f>
        <v>1091.58015946213</v>
      </c>
      <c r="E770" s="131" cm="1">
        <f ca="1" t="array" ref="E770">IF(E1372=1,OFFSET($W$634,$B770,E$631-1)/SUMPRODUCT(--($D$631:$V$631=E$631),--($D1372:$V1372=1)),0)+SUM(E769)+IF(COUNTIF(E$1237:E1372,1)=1,5,0)+IF(COUNTIF(F770:$W770,"&gt;"&amp;0)&lt;5,IF(AND(COUNTIF(E$1237:E1372,1)&gt;7,MOD(1+IFERROR(MATCH($C770,总览!$D$46:$D$345,1)+1,1),7)=0),$C$3,0),0)</f>
        <v>1091.58015946213</v>
      </c>
      <c r="F770" s="131" cm="1">
        <f ca="1" t="array" ref="F770">IF(F1372=1,OFFSET($W$634,$B770,F$631-1)/SUMPRODUCT(--($D$631:$V$631=F$631),--($D1372:$V1372=1)),0)+SUM(F769)+IF(COUNTIF(F$1237:F1372,1)=1,5,0)+IF(COUNTIF(G770:$W770,"&gt;"&amp;0)&lt;5,IF(AND(COUNTIF(F$1237:F1372,1)&gt;7,MOD(1+IFERROR(MATCH($C770,总览!$D$46:$D$345,1)+1,1),7)=0),$C$3,0),0)</f>
        <v>1091.58015946213</v>
      </c>
      <c r="G770" s="131" cm="1">
        <f ca="1" t="array" ref="G770">IF(G1372=1,OFFSET($W$634,$B770,G$631-1)/SUMPRODUCT(--($D$631:$V$631=G$631),--($D1372:$V1372=1)),0)+SUM(G769)+IF(COUNTIF(G$1237:G1372,1)=1,5,0)+IF(COUNTIF(H770:$W770,"&gt;"&amp;0)&lt;5,IF(AND(COUNTIF(G$1237:G1372,1)&gt;7,MOD(1+IFERROR(MATCH($C770,总览!$D$46:$D$345,1)+1,1),7)=0),$C$3,0),0)</f>
        <v>392.733333333333</v>
      </c>
      <c r="H770" s="131" cm="1">
        <f ca="1" t="array" ref="H770">IF(H1372=1,OFFSET($W$634,$B770,H$631-1)/SUMPRODUCT(--($D$631:$V$631=H$631),--($D1372:$V1372=1)),0)+SUM(H769)+IF(COUNTIF(H$1237:H1372,1)=1,5,0)+IF(COUNTIF(I770:$W770,"&gt;"&amp;0)&lt;5,IF(AND(COUNTIF(H$1237:H1372,1)&gt;7,MOD(1+IFERROR(MATCH($C770,总览!$D$46:$D$345,1)+1,1),7)=0),$C$3,0),0)</f>
        <v>392.733333333333</v>
      </c>
      <c r="I770" s="131" cm="1">
        <f ca="1" t="array" ref="I770">IF(I1372=1,OFFSET($W$634,$B770,I$631-1)/SUMPRODUCT(--($D$631:$V$631=I$631),--($D1372:$V1372=1)),0)+SUM(I769)+IF(COUNTIF(I$1237:I1372,1)=1,5,0)+IF(COUNTIF(J770:$W770,"&gt;"&amp;0)&lt;5,IF(AND(COUNTIF(I$1237:I1372,1)&gt;7,MOD(1+IFERROR(MATCH($C770,总览!$D$46:$D$345,1)+1,1),7)=0),$C$3,0),0)</f>
        <v>392.733333333333</v>
      </c>
      <c r="J770" s="131" cm="1">
        <f ca="1" t="array" ref="J770">IF(J1372=1,OFFSET($W$634,$B770,J$631-1)/SUMPRODUCT(--($D$631:$V$631=J$631),--($D1372:$V1372=1)),0)+SUM(J769)+IF(COUNTIF(J$1237:J1372,1)=1,5,0)+IF(COUNTIF(K770:$W770,"&gt;"&amp;0)&lt;5,IF(AND(COUNTIF(J$1237:J1372,1)&gt;7,MOD(1+IFERROR(MATCH($C770,总览!$D$46:$D$345,1)+1,1),7)=0),$C$3,0),0)</f>
        <v>389.399999999999</v>
      </c>
      <c r="K770" s="131" cm="1">
        <f ca="1" t="array" ref="K770">IF(K1372=1,OFFSET($W$634,$B770,K$631-1)/SUMPRODUCT(--($D$631:$V$631=K$631),--($D1372:$V1372=1)),0)+SUM(K769)+IF(COUNTIF(K$1237:K1372,1)=1,5,0)+IF(COUNTIF(L770:$W770,"&gt;"&amp;0)&lt;5,IF(AND(COUNTIF(K$1237:K1372,1)&gt;7,MOD(1+IFERROR(MATCH($C770,总览!$D$46:$D$345,1)+1,1),7)=0),$C$3,0),0)</f>
        <v>386.899999999999</v>
      </c>
      <c r="L770" s="131" cm="1">
        <f ca="1" t="array" ref="L770">IF(L1372=1,OFFSET($W$634,$B770,L$631-1)/SUMPRODUCT(--($D$631:$V$631=L$631),--($D1372:$V1372=1)),0)+SUM(L769)+IF(COUNTIF(L$1237:L1372,1)=1,5,0)+IF(COUNTIF(M770:$W770,"&gt;"&amp;0)&lt;5,IF(AND(COUNTIF(L$1237:L1372,1)&gt;7,MOD(1+IFERROR(MATCH($C770,总览!$D$46:$D$345,1)+1,1),7)=0),$C$3,0),0)</f>
        <v>386.899999999999</v>
      </c>
      <c r="M770" s="131" cm="1">
        <f ca="1" t="array" ref="M770">IF(M1372=1,OFFSET($W$634,$B770,M$631-1)/SUMPRODUCT(--($D$631:$V$631=M$631),--($D1372:$V1372=1)),0)+SUM(M769)+IF(COUNTIF(M$1237:M1372,1)=1,5,0)+IF(COUNTIF(N770:$W770,"&gt;"&amp;0)&lt;5,IF(AND(COUNTIF(M$1237:M1372,1)&gt;7,MOD(1+IFERROR(MATCH($C770,总览!$D$46:$D$345,1)+1,1),7)=0),$C$3,0),0)</f>
        <v>152.038392857143</v>
      </c>
      <c r="N770" s="131" cm="1">
        <f ca="1" t="array" ref="N770">IF(N1372=1,OFFSET($W$634,$B770,N$631-1)/SUMPRODUCT(--($D$631:$V$631=N$631),--($D1372:$V1372=1)),0)+SUM(N769)+IF(COUNTIF(N$1237:N1372,1)=1,5,0)+IF(COUNTIF(O770:$W770,"&gt;"&amp;0)&lt;5,IF(AND(COUNTIF(N$1237:N1372,1)&gt;7,MOD(1+IFERROR(MATCH($C770,总览!$D$46:$D$345,1)+1,1),7)=0),$C$3,0),0)</f>
        <v>153.288392857143</v>
      </c>
      <c r="O770" s="131" cm="1">
        <f ca="1" t="array" ref="O770">IF(O1372=1,OFFSET($W$634,$B770,O$631-1)/SUMPRODUCT(--($D$631:$V$631=O$631),--($D1372:$V1372=1)),0)+SUM(O769)+IF(COUNTIF(O$1237:O1372,1)=1,5,0)+IF(COUNTIF(P770:$W770,"&gt;"&amp;0)&lt;5,IF(AND(COUNTIF(O$1237:O1372,1)&gt;7,MOD(1+IFERROR(MATCH($C770,总览!$D$46:$D$345,1)+1,1),7)=0),$C$3,0),0)</f>
        <v>158.288392857142</v>
      </c>
      <c r="P770" s="131" cm="1">
        <f ca="1" t="array" ref="P770">IF(P1372=1,OFFSET($W$634,$B770,P$631-1)/SUMPRODUCT(--($D$631:$V$631=P$631),--($D1372:$V1372=1)),0)+SUM(P769)+IF(COUNTIF(P$1237:P1372,1)=1,5,0)+IF(COUNTIF(Q770:$W770,"&gt;"&amp;0)&lt;5,IF(AND(COUNTIF(P$1237:P1372,1)&gt;7,MOD(1+IFERROR(MATCH($C770,总览!$D$46:$D$345,1)+1,1),7)=0),$C$3,0),0)</f>
        <v>147.407142857143</v>
      </c>
      <c r="Q770" s="131" cm="1">
        <f ca="1" t="array" ref="Q770">IF(Q1372=1,OFFSET($W$634,$B770,Q$631-1)/SUMPRODUCT(--($D$631:$V$631=Q$631),--($D1372:$V1372=1)),0)+SUM(Q769)+IF(COUNTIF(Q$1237:Q1372,1)=1,5,0)+IF(COUNTIF(R770:$W770,"&gt;"&amp;0)&lt;5,IF(AND(COUNTIF(Q$1237:Q1372,1)&gt;7,MOD(1+IFERROR(MATCH($C770,总览!$D$46:$D$345,1)+1,1),7)=0),$C$3,0),0)</f>
        <v>160.788392857142</v>
      </c>
      <c r="R770" s="131" cm="1">
        <f ca="1" t="array" ref="R770">IF(R1372=1,OFFSET($W$634,$B770,R$631-1)/SUMPRODUCT(--($D$631:$V$631=R$631),--($D1372:$V1372=1)),0)+SUM(R769)+IF(COUNTIF(R$1237:R1372,1)=1,5,0)+IF(COUNTIF(S770:$W770,"&gt;"&amp;0)&lt;5,IF(AND(COUNTIF(R$1237:R1372,1)&gt;7,MOD(1+IFERROR(MATCH($C770,总览!$D$46:$D$345,1)+1,1),7)=0),$C$3,0),0)</f>
        <v>152.407142857143</v>
      </c>
      <c r="S770" s="131" cm="1">
        <f ca="1" t="array" ref="S770">IF(S1372=1,OFFSET($W$634,$B770,S$631-1)/SUMPRODUCT(--($D$631:$V$631=S$631),--($D1372:$V1372=1)),0)+SUM(S769)+IF(COUNTIF(S$1237:S1372,1)=1,5,0)+IF(COUNTIF(T770:$W770,"&gt;"&amp;0)&lt;5,IF(AND(COUNTIF(S$1237:S1372,1)&gt;7,MOD(1+IFERROR(MATCH($C770,总览!$D$46:$D$345,1)+1,1),7)=0),$C$3,0),0)</f>
        <v>209.907142857142</v>
      </c>
      <c r="T770" s="131" cm="1">
        <f ca="1" t="array" ref="T770">IF(T1372=1,OFFSET($W$634,$B770,T$631-1)/SUMPRODUCT(--($D$631:$V$631=T$631),--($D1372:$V1372=1)),0)+SUM(T769)+IF(COUNTIF(T$1237:T1372,1)=1,5,0)+IF(COUNTIF(U770:$W770,"&gt;"&amp;0)&lt;5,IF(AND(COUNTIF(T$1237:T1372,1)&gt;7,MOD(1+IFERROR(MATCH($C770,总览!$D$46:$D$345,1)+1,1),7)=0),$C$3,0),0)</f>
        <v>142.955316396862</v>
      </c>
      <c r="U770" s="131" cm="1">
        <f ca="1" t="array" ref="U770">IF(U1372=1,OFFSET($W$634,$B770,U$631-1)/SUMPRODUCT(--($D$631:$V$631=U$631),--($D1372:$V1372=1)),0)+SUM(U769)+IF(COUNTIF(U$1237:U1372,1)=1,5,0)+IF(COUNTIF(V770:$W770,"&gt;"&amp;0)&lt;5,IF(AND(COUNTIF(U$1237:U1372,1)&gt;7,MOD(1+IFERROR(MATCH($C770,总览!$D$46:$D$345,1)+1,1),7)=0),$C$3,0),0)</f>
        <v>148.476102752162</v>
      </c>
      <c r="V770" s="131" cm="1">
        <f ca="1" t="array" ref="V770">IF(V1372=1,OFFSET($W$634,$B770,V$631-1)/SUMPRODUCT(--($D$631:$V$631=V$631),--($D1372:$V1372=1)),0)+SUM(V769)+IF(COUNTIF(V$1237:V1372,1)=1,5,0)+IF(COUNTIF(W770:$W770,"&gt;"&amp;0)&lt;5,IF(AND(COUNTIF(V$1237:V1372,1)&gt;7,MOD(1+IFERROR(MATCH($C770,总览!$D$46:$D$345,1)+1,1),7)=0),$C$3,0),0)</f>
        <v>168.303102464595</v>
      </c>
      <c r="W770" s="135" cm="1">
        <f ca="1" t="array" ref="W770">SUMPRODUCT(TRANSPOSE($AA770:$AG770),OFFSET($L$9:$L$15,0,W$631-1))</f>
        <v>16.8502200646615</v>
      </c>
      <c r="X770" s="135" cm="1">
        <f ca="1" t="array" ref="X770">SUMPRODUCT(TRANSPOSE($AA770:$AG770),OFFSET($L$9:$L$15,0,X$631-1))</f>
        <v>20</v>
      </c>
      <c r="Y770" s="135" cm="1">
        <f ca="1" t="array" ref="Y770">SUMPRODUCT(TRANSPOSE($AA770:$AG770),OFFSET($L$9:$L$15,0,Y$631-1))</f>
        <v>10</v>
      </c>
      <c r="Z770" s="135" cm="1">
        <f ca="1" t="array" ref="Z770">SUMPRODUCT(TRANSPOSE($AA770:$AG770),OFFSET($L$9:$L$15,0,Z$631-1))</f>
        <v>3.14977993533847</v>
      </c>
      <c r="AA770" s="136">
        <f ca="1" t="shared" ref="AA770:AG770" si="515">AH770-AH769</f>
        <v>0</v>
      </c>
      <c r="AB770" s="136">
        <f ca="1" t="shared" si="515"/>
        <v>0</v>
      </c>
      <c r="AC770" s="136">
        <f ca="1" t="shared" si="515"/>
        <v>0</v>
      </c>
      <c r="AD770" s="136">
        <f ca="1" t="shared" si="515"/>
        <v>0</v>
      </c>
      <c r="AE770" s="136">
        <f ca="1" t="shared" si="515"/>
        <v>0</v>
      </c>
      <c r="AF770" s="136">
        <f ca="1" t="shared" si="515"/>
        <v>100</v>
      </c>
      <c r="AG770" s="136">
        <f ca="1" t="shared" si="515"/>
        <v>0</v>
      </c>
      <c r="AH770" s="136">
        <f ca="1" t="shared" si="501"/>
        <v>450</v>
      </c>
      <c r="AI770" s="136">
        <f ca="1" t="shared" ref="AI770:AN770" si="516">IF($C770&gt;OFFSET($Q$8,MATCH(AI$634,$AH$634:$AN$634,0),0),OFFSET($P$8,MATCH(AI$634,$AH$634:$AN$634,0),0),MAX(0,$C770-OFFSET($Q$8,RIGHT(AI$634,1)-1,0)))</f>
        <v>909</v>
      </c>
      <c r="AJ770" s="136">
        <f ca="1" t="shared" si="516"/>
        <v>1818</v>
      </c>
      <c r="AK770" s="136">
        <f ca="1" t="shared" si="516"/>
        <v>2727</v>
      </c>
      <c r="AL770" s="136">
        <f ca="1" t="shared" si="516"/>
        <v>3636</v>
      </c>
      <c r="AM770" s="136">
        <f ca="1" t="shared" si="516"/>
        <v>4060</v>
      </c>
      <c r="AN770" s="136">
        <f ca="1" t="shared" si="516"/>
        <v>0</v>
      </c>
    </row>
    <row r="771" s="106" customFormat="1" ht="16.5" spans="2:40">
      <c r="B771" s="117">
        <v>137</v>
      </c>
      <c r="C771" s="130">
        <f t="shared" si="499"/>
        <v>13700</v>
      </c>
      <c r="D771" s="131" cm="1">
        <f ca="1" t="array" ref="D771">IF(D1373=1,OFFSET($W$634,$B771,D$631-1)/SUMPRODUCT(--($D$631:$V$631=D$631),--($D1373:$V1373=1)),0)+SUM(D770)+IF(COUNTIF(D$1237:D1373,1)=1,5,0)+IF(COUNTIF(E771:$W771,"&gt;"&amp;0)&lt;5,IF(AND(COUNTIF(D$1237:D1373,1)&gt;7,MOD(1+IFERROR(MATCH($C771,总览!$D$46:$D$345,1)+1,1),7)=0),$C$3,0),0)</f>
        <v>1097.19689948368</v>
      </c>
      <c r="E771" s="131" cm="1">
        <f ca="1" t="array" ref="E771">IF(E1373=1,OFFSET($W$634,$B771,E$631-1)/SUMPRODUCT(--($D$631:$V$631=E$631),--($D1373:$V1373=1)),0)+SUM(E770)+IF(COUNTIF(E$1237:E1373,1)=1,5,0)+IF(COUNTIF(F771:$W771,"&gt;"&amp;0)&lt;5,IF(AND(COUNTIF(E$1237:E1373,1)&gt;7,MOD(1+IFERROR(MATCH($C771,总览!$D$46:$D$345,1)+1,1),7)=0),$C$3,0),0)</f>
        <v>1097.19689948368</v>
      </c>
      <c r="F771" s="131" cm="1">
        <f ca="1" t="array" ref="F771">IF(F1373=1,OFFSET($W$634,$B771,F$631-1)/SUMPRODUCT(--($D$631:$V$631=F$631),--($D1373:$V1373=1)),0)+SUM(F770)+IF(COUNTIF(F$1237:F1373,1)=1,5,0)+IF(COUNTIF(G771:$W771,"&gt;"&amp;0)&lt;5,IF(AND(COUNTIF(F$1237:F1373,1)&gt;7,MOD(1+IFERROR(MATCH($C771,总览!$D$46:$D$345,1)+1,1),7)=0),$C$3,0),0)</f>
        <v>1097.19689948368</v>
      </c>
      <c r="G771" s="131" cm="1">
        <f ca="1" t="array" ref="G771">IF(G1373=1,OFFSET($W$634,$B771,G$631-1)/SUMPRODUCT(--($D$631:$V$631=G$631),--($D1373:$V1373=1)),0)+SUM(G770)+IF(COUNTIF(G$1237:G1373,1)=1,5,0)+IF(COUNTIF(H771:$W771,"&gt;"&amp;0)&lt;5,IF(AND(COUNTIF(G$1237:G1373,1)&gt;7,MOD(1+IFERROR(MATCH($C771,总览!$D$46:$D$345,1)+1,1),7)=0),$C$3,0),0)</f>
        <v>396.066666666666</v>
      </c>
      <c r="H771" s="131" cm="1">
        <f ca="1" t="array" ref="H771">IF(H1373=1,OFFSET($W$634,$B771,H$631-1)/SUMPRODUCT(--($D$631:$V$631=H$631),--($D1373:$V1373=1)),0)+SUM(H770)+IF(COUNTIF(H$1237:H1373,1)=1,5,0)+IF(COUNTIF(I771:$W771,"&gt;"&amp;0)&lt;5,IF(AND(COUNTIF(H$1237:H1373,1)&gt;7,MOD(1+IFERROR(MATCH($C771,总览!$D$46:$D$345,1)+1,1),7)=0),$C$3,0),0)</f>
        <v>396.066666666666</v>
      </c>
      <c r="I771" s="131" cm="1">
        <f ca="1" t="array" ref="I771">IF(I1373=1,OFFSET($W$634,$B771,I$631-1)/SUMPRODUCT(--($D$631:$V$631=I$631),--($D1373:$V1373=1)),0)+SUM(I770)+IF(COUNTIF(I$1237:I1373,1)=1,5,0)+IF(COUNTIF(J771:$W771,"&gt;"&amp;0)&lt;5,IF(AND(COUNTIF(I$1237:I1373,1)&gt;7,MOD(1+IFERROR(MATCH($C771,总览!$D$46:$D$345,1)+1,1),7)=0),$C$3,0),0)</f>
        <v>396.066666666666</v>
      </c>
      <c r="J771" s="131" cm="1">
        <f ca="1" t="array" ref="J771">IF(J1373=1,OFFSET($W$634,$B771,J$631-1)/SUMPRODUCT(--($D$631:$V$631=J$631),--($D1373:$V1373=1)),0)+SUM(J770)+IF(COUNTIF(J$1237:J1373,1)=1,5,0)+IF(COUNTIF(K771:$W771,"&gt;"&amp;0)&lt;5,IF(AND(COUNTIF(J$1237:J1373,1)&gt;7,MOD(1+IFERROR(MATCH($C771,总览!$D$46:$D$345,1)+1,1),7)=0),$C$3,0),0)</f>
        <v>392.733333333333</v>
      </c>
      <c r="K771" s="131" cm="1">
        <f ca="1" t="array" ref="K771">IF(K1373=1,OFFSET($W$634,$B771,K$631-1)/SUMPRODUCT(--($D$631:$V$631=K$631),--($D1373:$V1373=1)),0)+SUM(K770)+IF(COUNTIF(K$1237:K1373,1)=1,5,0)+IF(COUNTIF(L771:$W771,"&gt;"&amp;0)&lt;5,IF(AND(COUNTIF(K$1237:K1373,1)&gt;7,MOD(1+IFERROR(MATCH($C771,总览!$D$46:$D$345,1)+1,1),7)=0),$C$3,0),0)</f>
        <v>390.233333333333</v>
      </c>
      <c r="L771" s="131" cm="1">
        <f ca="1" t="array" ref="L771">IF(L1373=1,OFFSET($W$634,$B771,L$631-1)/SUMPRODUCT(--($D$631:$V$631=L$631),--($D1373:$V1373=1)),0)+SUM(L770)+IF(COUNTIF(L$1237:L1373,1)=1,5,0)+IF(COUNTIF(M771:$W771,"&gt;"&amp;0)&lt;5,IF(AND(COUNTIF(L$1237:L1373,1)&gt;7,MOD(1+IFERROR(MATCH($C771,总览!$D$46:$D$345,1)+1,1),7)=0),$C$3,0),0)</f>
        <v>390.233333333333</v>
      </c>
      <c r="M771" s="131" cm="1">
        <f ca="1" t="array" ref="M771">IF(M1373=1,OFFSET($W$634,$B771,M$631-1)/SUMPRODUCT(--($D$631:$V$631=M$631),--($D1373:$V1373=1)),0)+SUM(M770)+IF(COUNTIF(M$1237:M1373,1)=1,5,0)+IF(COUNTIF(N771:$W771,"&gt;"&amp;0)&lt;5,IF(AND(COUNTIF(M$1237:M1373,1)&gt;7,MOD(1+IFERROR(MATCH($C771,总览!$D$46:$D$345,1)+1,1),7)=0),$C$3,0),0)</f>
        <v>153.466964285714</v>
      </c>
      <c r="N771" s="131" cm="1">
        <f ca="1" t="array" ref="N771">IF(N1373=1,OFFSET($W$634,$B771,N$631-1)/SUMPRODUCT(--($D$631:$V$631=N$631),--($D1373:$V1373=1)),0)+SUM(N770)+IF(COUNTIF(N$1237:N1373,1)=1,5,0)+IF(COUNTIF(O771:$W771,"&gt;"&amp;0)&lt;5,IF(AND(COUNTIF(N$1237:N1373,1)&gt;7,MOD(1+IFERROR(MATCH($C771,总览!$D$46:$D$345,1)+1,1),7)=0),$C$3,0),0)</f>
        <v>154.716964285714</v>
      </c>
      <c r="O771" s="131" cm="1">
        <f ca="1" t="array" ref="O771">IF(O1373=1,OFFSET($W$634,$B771,O$631-1)/SUMPRODUCT(--($D$631:$V$631=O$631),--($D1373:$V1373=1)),0)+SUM(O770)+IF(COUNTIF(O$1237:O1373,1)=1,5,0)+IF(COUNTIF(P771:$W771,"&gt;"&amp;0)&lt;5,IF(AND(COUNTIF(O$1237:O1373,1)&gt;7,MOD(1+IFERROR(MATCH($C771,总览!$D$46:$D$345,1)+1,1),7)=0),$C$3,0),0)</f>
        <v>159.716964285714</v>
      </c>
      <c r="P771" s="131" cm="1">
        <f ca="1" t="array" ref="P771">IF(P1373=1,OFFSET($W$634,$B771,P$631-1)/SUMPRODUCT(--($D$631:$V$631=P$631),--($D1373:$V1373=1)),0)+SUM(P770)+IF(COUNTIF(P$1237:P1373,1)=1,5,0)+IF(COUNTIF(Q771:$W771,"&gt;"&amp;0)&lt;5,IF(AND(COUNTIF(P$1237:P1373,1)&gt;7,MOD(1+IFERROR(MATCH($C771,总览!$D$46:$D$345,1)+1,1),7)=0),$C$3,0),0)</f>
        <v>148.835714285714</v>
      </c>
      <c r="Q771" s="131" cm="1">
        <f ca="1" t="array" ref="Q771">IF(Q1373=1,OFFSET($W$634,$B771,Q$631-1)/SUMPRODUCT(--($D$631:$V$631=Q$631),--($D1373:$V1373=1)),0)+SUM(Q770)+IF(COUNTIF(Q$1237:Q1373,1)=1,5,0)+IF(COUNTIF(R771:$W771,"&gt;"&amp;0)&lt;5,IF(AND(COUNTIF(Q$1237:Q1373,1)&gt;7,MOD(1+IFERROR(MATCH($C771,总览!$D$46:$D$345,1)+1,1),7)=0),$C$3,0),0)</f>
        <v>162.216964285714</v>
      </c>
      <c r="R771" s="131" cm="1">
        <f ca="1" t="array" ref="R771">IF(R1373=1,OFFSET($W$634,$B771,R$631-1)/SUMPRODUCT(--($D$631:$V$631=R$631),--($D1373:$V1373=1)),0)+SUM(R770)+IF(COUNTIF(R$1237:R1373,1)=1,5,0)+IF(COUNTIF(S771:$W771,"&gt;"&amp;0)&lt;5,IF(AND(COUNTIF(R$1237:R1373,1)&gt;7,MOD(1+IFERROR(MATCH($C771,总览!$D$46:$D$345,1)+1,1),7)=0),$C$3,0),0)</f>
        <v>153.835714285714</v>
      </c>
      <c r="S771" s="131" cm="1">
        <f ca="1" t="array" ref="S771">IF(S1373=1,OFFSET($W$634,$B771,S$631-1)/SUMPRODUCT(--($D$631:$V$631=S$631),--($D1373:$V1373=1)),0)+SUM(S770)+IF(COUNTIF(S$1237:S1373,1)=1,5,0)+IF(COUNTIF(T771:$W771,"&gt;"&amp;0)&lt;5,IF(AND(COUNTIF(S$1237:S1373,1)&gt;7,MOD(1+IFERROR(MATCH($C771,总览!$D$46:$D$345,1)+1,1),7)=0),$C$3,0),0)</f>
        <v>211.335714285714</v>
      </c>
      <c r="T771" s="131" cm="1">
        <f ca="1" t="array" ref="T771">IF(T1373=1,OFFSET($W$634,$B771,T$631-1)/SUMPRODUCT(--($D$631:$V$631=T$631),--($D1373:$V1373=1)),0)+SUM(T770)+IF(COUNTIF(T$1237:T1373,1)=1,5,0)+IF(COUNTIF(U771:$W771,"&gt;"&amp;0)&lt;5,IF(AND(COUNTIF(T$1237:T1373,1)&gt;7,MOD(1+IFERROR(MATCH($C771,总览!$D$46:$D$345,1)+1,1),7)=0),$C$3,0),0)</f>
        <v>144.005243041975</v>
      </c>
      <c r="U771" s="131" cm="1">
        <f ca="1" t="array" ref="U771">IF(U1373=1,OFFSET($W$634,$B771,U$631-1)/SUMPRODUCT(--($D$631:$V$631=U$631),--($D1373:$V1373=1)),0)+SUM(U770)+IF(COUNTIF(U$1237:U1373,1)=1,5,0)+IF(COUNTIF(V771:$W771,"&gt;"&amp;0)&lt;5,IF(AND(COUNTIF(U$1237:U1373,1)&gt;7,MOD(1+IFERROR(MATCH($C771,总览!$D$46:$D$345,1)+1,1),7)=0),$C$3,0),0)</f>
        <v>149.526029397275</v>
      </c>
      <c r="V771" s="131" cm="1">
        <f ca="1" t="array" ref="V771">IF(V1373=1,OFFSET($W$634,$B771,V$631-1)/SUMPRODUCT(--($D$631:$V$631=V$631),--($D1373:$V1373=1)),0)+SUM(V770)+IF(COUNTIF(V$1237:V1373,1)=1,5,0)+IF(COUNTIF(W771:$W771,"&gt;"&amp;0)&lt;5,IF(AND(COUNTIF(V$1237:V1373,1)&gt;7,MOD(1+IFERROR(MATCH($C771,总览!$D$46:$D$345,1)+1,1),7)=0),$C$3,0),0)</f>
        <v>169.353029109708</v>
      </c>
      <c r="W771" s="135" cm="1">
        <f ca="1" t="array" ref="W771">SUMPRODUCT(TRANSPOSE($AA771:$AG771),OFFSET($L$9:$L$15,0,W$631-1))</f>
        <v>16.8502200646615</v>
      </c>
      <c r="X771" s="135" cm="1">
        <f ca="1" t="array" ref="X771">SUMPRODUCT(TRANSPOSE($AA771:$AG771),OFFSET($L$9:$L$15,0,X$631-1))</f>
        <v>20</v>
      </c>
      <c r="Y771" s="135" cm="1">
        <f ca="1" t="array" ref="Y771">SUMPRODUCT(TRANSPOSE($AA771:$AG771),OFFSET($L$9:$L$15,0,Y$631-1))</f>
        <v>10</v>
      </c>
      <c r="Z771" s="135" cm="1">
        <f ca="1" t="array" ref="Z771">SUMPRODUCT(TRANSPOSE($AA771:$AG771),OFFSET($L$9:$L$15,0,Z$631-1))</f>
        <v>3.14977993533847</v>
      </c>
      <c r="AA771" s="136">
        <f ca="1" t="shared" ref="AA771:AG771" si="517">AH771-AH770</f>
        <v>0</v>
      </c>
      <c r="AB771" s="136">
        <f ca="1" t="shared" si="517"/>
        <v>0</v>
      </c>
      <c r="AC771" s="136">
        <f ca="1" t="shared" si="517"/>
        <v>0</v>
      </c>
      <c r="AD771" s="136">
        <f ca="1" t="shared" si="517"/>
        <v>0</v>
      </c>
      <c r="AE771" s="136">
        <f ca="1" t="shared" si="517"/>
        <v>0</v>
      </c>
      <c r="AF771" s="136">
        <f ca="1" t="shared" si="517"/>
        <v>100</v>
      </c>
      <c r="AG771" s="136">
        <f ca="1" t="shared" si="517"/>
        <v>0</v>
      </c>
      <c r="AH771" s="136">
        <f ca="1" t="shared" si="501"/>
        <v>450</v>
      </c>
      <c r="AI771" s="136">
        <f ca="1" t="shared" ref="AI771:AN771" si="518">IF($C771&gt;OFFSET($Q$8,MATCH(AI$634,$AH$634:$AN$634,0),0),OFFSET($P$8,MATCH(AI$634,$AH$634:$AN$634,0),0),MAX(0,$C771-OFFSET($Q$8,RIGHT(AI$634,1)-1,0)))</f>
        <v>909</v>
      </c>
      <c r="AJ771" s="136">
        <f ca="1" t="shared" si="518"/>
        <v>1818</v>
      </c>
      <c r="AK771" s="136">
        <f ca="1" t="shared" si="518"/>
        <v>2727</v>
      </c>
      <c r="AL771" s="136">
        <f ca="1" t="shared" si="518"/>
        <v>3636</v>
      </c>
      <c r="AM771" s="136">
        <f ca="1" t="shared" si="518"/>
        <v>4160</v>
      </c>
      <c r="AN771" s="136">
        <f ca="1" t="shared" si="518"/>
        <v>0</v>
      </c>
    </row>
    <row r="772" s="106" customFormat="1" ht="16.5" spans="2:40">
      <c r="B772" s="117">
        <v>138</v>
      </c>
      <c r="C772" s="130">
        <f t="shared" si="499"/>
        <v>13800</v>
      </c>
      <c r="D772" s="131" cm="1">
        <f ca="1" t="array" ref="D772">IF(D1374=1,OFFSET($W$634,$B772,D$631-1)/SUMPRODUCT(--($D$631:$V$631=D$631),--($D1374:$V1374=1)),0)+SUM(D771)+IF(COUNTIF(D$1237:D1374,1)=1,5,0)+IF(COUNTIF(E772:$W772,"&gt;"&amp;0)&lt;5,IF(AND(COUNTIF(D$1237:D1374,1)&gt;7,MOD(1+IFERROR(MATCH($C772,总览!$D$46:$D$345,1)+1,1),7)=0),$C$3,0),0)</f>
        <v>1102.81363950523</v>
      </c>
      <c r="E772" s="131" cm="1">
        <f ca="1" t="array" ref="E772">IF(E1374=1,OFFSET($W$634,$B772,E$631-1)/SUMPRODUCT(--($D$631:$V$631=E$631),--($D1374:$V1374=1)),0)+SUM(E771)+IF(COUNTIF(E$1237:E1374,1)=1,5,0)+IF(COUNTIF(F772:$W772,"&gt;"&amp;0)&lt;5,IF(AND(COUNTIF(E$1237:E1374,1)&gt;7,MOD(1+IFERROR(MATCH($C772,总览!$D$46:$D$345,1)+1,1),7)=0),$C$3,0),0)</f>
        <v>1102.81363950523</v>
      </c>
      <c r="F772" s="131" cm="1">
        <f ca="1" t="array" ref="F772">IF(F1374=1,OFFSET($W$634,$B772,F$631-1)/SUMPRODUCT(--($D$631:$V$631=F$631),--($D1374:$V1374=1)),0)+SUM(F771)+IF(COUNTIF(F$1237:F1374,1)=1,5,0)+IF(COUNTIF(G772:$W772,"&gt;"&amp;0)&lt;5,IF(AND(COUNTIF(F$1237:F1374,1)&gt;7,MOD(1+IFERROR(MATCH($C772,总览!$D$46:$D$345,1)+1,1),7)=0),$C$3,0),0)</f>
        <v>1102.81363950523</v>
      </c>
      <c r="G772" s="131" cm="1">
        <f ca="1" t="array" ref="G772">IF(G1374=1,OFFSET($W$634,$B772,G$631-1)/SUMPRODUCT(--($D$631:$V$631=G$631),--($D1374:$V1374=1)),0)+SUM(G771)+IF(COUNTIF(G$1237:G1374,1)=1,5,0)+IF(COUNTIF(H772:$W772,"&gt;"&amp;0)&lt;5,IF(AND(COUNTIF(G$1237:G1374,1)&gt;7,MOD(1+IFERROR(MATCH($C772,总览!$D$46:$D$345,1)+1,1),7)=0),$C$3,0),0)</f>
        <v>399.399999999999</v>
      </c>
      <c r="H772" s="131" cm="1">
        <f ca="1" t="array" ref="H772">IF(H1374=1,OFFSET($W$634,$B772,H$631-1)/SUMPRODUCT(--($D$631:$V$631=H$631),--($D1374:$V1374=1)),0)+SUM(H771)+IF(COUNTIF(H$1237:H1374,1)=1,5,0)+IF(COUNTIF(I772:$W772,"&gt;"&amp;0)&lt;5,IF(AND(COUNTIF(H$1237:H1374,1)&gt;7,MOD(1+IFERROR(MATCH($C772,总览!$D$46:$D$345,1)+1,1),7)=0),$C$3,0),0)</f>
        <v>399.399999999999</v>
      </c>
      <c r="I772" s="131" cm="1">
        <f ca="1" t="array" ref="I772">IF(I1374=1,OFFSET($W$634,$B772,I$631-1)/SUMPRODUCT(--($D$631:$V$631=I$631),--($D1374:$V1374=1)),0)+SUM(I771)+IF(COUNTIF(I$1237:I1374,1)=1,5,0)+IF(COUNTIF(J772:$W772,"&gt;"&amp;0)&lt;5,IF(AND(COUNTIF(I$1237:I1374,1)&gt;7,MOD(1+IFERROR(MATCH($C772,总览!$D$46:$D$345,1)+1,1),7)=0),$C$3,0),0)</f>
        <v>399.399999999999</v>
      </c>
      <c r="J772" s="131" cm="1">
        <f ca="1" t="array" ref="J772">IF(J1374=1,OFFSET($W$634,$B772,J$631-1)/SUMPRODUCT(--($D$631:$V$631=J$631),--($D1374:$V1374=1)),0)+SUM(J771)+IF(COUNTIF(J$1237:J1374,1)=1,5,0)+IF(COUNTIF(K772:$W772,"&gt;"&amp;0)&lt;5,IF(AND(COUNTIF(J$1237:J1374,1)&gt;7,MOD(1+IFERROR(MATCH($C772,总览!$D$46:$D$345,1)+1,1),7)=0),$C$3,0),0)</f>
        <v>396.066666666666</v>
      </c>
      <c r="K772" s="131" cm="1">
        <f ca="1" t="array" ref="K772">IF(K1374=1,OFFSET($W$634,$B772,K$631-1)/SUMPRODUCT(--($D$631:$V$631=K$631),--($D1374:$V1374=1)),0)+SUM(K771)+IF(COUNTIF(K$1237:K1374,1)=1,5,0)+IF(COUNTIF(L772:$W772,"&gt;"&amp;0)&lt;5,IF(AND(COUNTIF(K$1237:K1374,1)&gt;7,MOD(1+IFERROR(MATCH($C772,总览!$D$46:$D$345,1)+1,1),7)=0),$C$3,0),0)</f>
        <v>393.566666666666</v>
      </c>
      <c r="L772" s="131" cm="1">
        <f ca="1" t="array" ref="L772">IF(L1374=1,OFFSET($W$634,$B772,L$631-1)/SUMPRODUCT(--($D$631:$V$631=L$631),--($D1374:$V1374=1)),0)+SUM(L771)+IF(COUNTIF(L$1237:L1374,1)=1,5,0)+IF(COUNTIF(M772:$W772,"&gt;"&amp;0)&lt;5,IF(AND(COUNTIF(L$1237:L1374,1)&gt;7,MOD(1+IFERROR(MATCH($C772,总览!$D$46:$D$345,1)+1,1),7)=0),$C$3,0),0)</f>
        <v>393.566666666666</v>
      </c>
      <c r="M772" s="131" cm="1">
        <f ca="1" t="array" ref="M772">IF(M1374=1,OFFSET($W$634,$B772,M$631-1)/SUMPRODUCT(--($D$631:$V$631=M$631),--($D1374:$V1374=1)),0)+SUM(M771)+IF(COUNTIF(M$1237:M1374,1)=1,5,0)+IF(COUNTIF(N772:$W772,"&gt;"&amp;0)&lt;5,IF(AND(COUNTIF(M$1237:M1374,1)&gt;7,MOD(1+IFERROR(MATCH($C772,总览!$D$46:$D$345,1)+1,1),7)=0),$C$3,0),0)</f>
        <v>154.895535714285</v>
      </c>
      <c r="N772" s="131" cm="1">
        <f ca="1" t="array" ref="N772">IF(N1374=1,OFFSET($W$634,$B772,N$631-1)/SUMPRODUCT(--($D$631:$V$631=N$631),--($D1374:$V1374=1)),0)+SUM(N771)+IF(COUNTIF(N$1237:N1374,1)=1,5,0)+IF(COUNTIF(O772:$W772,"&gt;"&amp;0)&lt;5,IF(AND(COUNTIF(N$1237:N1374,1)&gt;7,MOD(1+IFERROR(MATCH($C772,总览!$D$46:$D$345,1)+1,1),7)=0),$C$3,0),0)</f>
        <v>156.145535714285</v>
      </c>
      <c r="O772" s="131" cm="1">
        <f ca="1" t="array" ref="O772">IF(O1374=1,OFFSET($W$634,$B772,O$631-1)/SUMPRODUCT(--($D$631:$V$631=O$631),--($D1374:$V1374=1)),0)+SUM(O771)+IF(COUNTIF(O$1237:O1374,1)=1,5,0)+IF(COUNTIF(P772:$W772,"&gt;"&amp;0)&lt;5,IF(AND(COUNTIF(O$1237:O1374,1)&gt;7,MOD(1+IFERROR(MATCH($C772,总览!$D$46:$D$345,1)+1,1),7)=0),$C$3,0),0)</f>
        <v>161.145535714285</v>
      </c>
      <c r="P772" s="131" cm="1">
        <f ca="1" t="array" ref="P772">IF(P1374=1,OFFSET($W$634,$B772,P$631-1)/SUMPRODUCT(--($D$631:$V$631=P$631),--($D1374:$V1374=1)),0)+SUM(P771)+IF(COUNTIF(P$1237:P1374,1)=1,5,0)+IF(COUNTIF(Q772:$W772,"&gt;"&amp;0)&lt;5,IF(AND(COUNTIF(P$1237:P1374,1)&gt;7,MOD(1+IFERROR(MATCH($C772,总览!$D$46:$D$345,1)+1,1),7)=0),$C$3,0),0)</f>
        <v>150.264285714286</v>
      </c>
      <c r="Q772" s="131" cm="1">
        <f ca="1" t="array" ref="Q772">IF(Q1374=1,OFFSET($W$634,$B772,Q$631-1)/SUMPRODUCT(--($D$631:$V$631=Q$631),--($D1374:$V1374=1)),0)+SUM(Q771)+IF(COUNTIF(Q$1237:Q1374,1)=1,5,0)+IF(COUNTIF(R772:$W772,"&gt;"&amp;0)&lt;5,IF(AND(COUNTIF(Q$1237:Q1374,1)&gt;7,MOD(1+IFERROR(MATCH($C772,总览!$D$46:$D$345,1)+1,1),7)=0),$C$3,0),0)</f>
        <v>163.645535714285</v>
      </c>
      <c r="R772" s="131" cm="1">
        <f ca="1" t="array" ref="R772">IF(R1374=1,OFFSET($W$634,$B772,R$631-1)/SUMPRODUCT(--($D$631:$V$631=R$631),--($D1374:$V1374=1)),0)+SUM(R771)+IF(COUNTIF(R$1237:R1374,1)=1,5,0)+IF(COUNTIF(S772:$W772,"&gt;"&amp;0)&lt;5,IF(AND(COUNTIF(R$1237:R1374,1)&gt;7,MOD(1+IFERROR(MATCH($C772,总览!$D$46:$D$345,1)+1,1),7)=0),$C$3,0),0)</f>
        <v>155.264285714285</v>
      </c>
      <c r="S772" s="131" cm="1">
        <f ca="1" t="array" ref="S772">IF(S1374=1,OFFSET($W$634,$B772,S$631-1)/SUMPRODUCT(--($D$631:$V$631=S$631),--($D1374:$V1374=1)),0)+SUM(S771)+IF(COUNTIF(S$1237:S1374,1)=1,5,0)+IF(COUNTIF(T772:$W772,"&gt;"&amp;0)&lt;5,IF(AND(COUNTIF(S$1237:S1374,1)&gt;7,MOD(1+IFERROR(MATCH($C772,总览!$D$46:$D$345,1)+1,1),7)=0),$C$3,0),0)</f>
        <v>212.764285714285</v>
      </c>
      <c r="T772" s="131" cm="1">
        <f ca="1" t="array" ref="T772">IF(T1374=1,OFFSET($W$634,$B772,T$631-1)/SUMPRODUCT(--($D$631:$V$631=T$631),--($D1374:$V1374=1)),0)+SUM(T771)+IF(COUNTIF(T$1237:T1374,1)=1,5,0)+IF(COUNTIF(U772:$W772,"&gt;"&amp;0)&lt;5,IF(AND(COUNTIF(T$1237:T1374,1)&gt;7,MOD(1+IFERROR(MATCH($C772,总览!$D$46:$D$345,1)+1,1),7)=0),$C$3,0),0)</f>
        <v>145.055169687088</v>
      </c>
      <c r="U772" s="131" cm="1">
        <f ca="1" t="array" ref="U772">IF(U1374=1,OFFSET($W$634,$B772,U$631-1)/SUMPRODUCT(--($D$631:$V$631=U$631),--($D1374:$V1374=1)),0)+SUM(U771)+IF(COUNTIF(U$1237:U1374,1)=1,5,0)+IF(COUNTIF(V772:$W772,"&gt;"&amp;0)&lt;5,IF(AND(COUNTIF(U$1237:U1374,1)&gt;7,MOD(1+IFERROR(MATCH($C772,总览!$D$46:$D$345,1)+1,1),7)=0),$C$3,0),0)</f>
        <v>150.575956042388</v>
      </c>
      <c r="V772" s="131" cm="1">
        <f ca="1" t="array" ref="V772">IF(V1374=1,OFFSET($W$634,$B772,V$631-1)/SUMPRODUCT(--($D$631:$V$631=V$631),--($D1374:$V1374=1)),0)+SUM(V771)+IF(COUNTIF(V$1237:V1374,1)=1,5,0)+IF(COUNTIF(W772:$W772,"&gt;"&amp;0)&lt;5,IF(AND(COUNTIF(V$1237:V1374,1)&gt;7,MOD(1+IFERROR(MATCH($C772,总览!$D$46:$D$345,1)+1,1),7)=0),$C$3,0),0)</f>
        <v>170.402955754821</v>
      </c>
      <c r="W772" s="135" cm="1">
        <f ca="1" t="array" ref="W772">SUMPRODUCT(TRANSPOSE($AA772:$AG772),OFFSET($L$9:$L$15,0,W$631-1))</f>
        <v>16.8502200646615</v>
      </c>
      <c r="X772" s="135" cm="1">
        <f ca="1" t="array" ref="X772">SUMPRODUCT(TRANSPOSE($AA772:$AG772),OFFSET($L$9:$L$15,0,X$631-1))</f>
        <v>20</v>
      </c>
      <c r="Y772" s="135" cm="1">
        <f ca="1" t="array" ref="Y772">SUMPRODUCT(TRANSPOSE($AA772:$AG772),OFFSET($L$9:$L$15,0,Y$631-1))</f>
        <v>10</v>
      </c>
      <c r="Z772" s="135" cm="1">
        <f ca="1" t="array" ref="Z772">SUMPRODUCT(TRANSPOSE($AA772:$AG772),OFFSET($L$9:$L$15,0,Z$631-1))</f>
        <v>3.14977993533847</v>
      </c>
      <c r="AA772" s="136">
        <f ca="1" t="shared" ref="AA772:AG772" si="519">AH772-AH771</f>
        <v>0</v>
      </c>
      <c r="AB772" s="136">
        <f ca="1" t="shared" si="519"/>
        <v>0</v>
      </c>
      <c r="AC772" s="136">
        <f ca="1" t="shared" si="519"/>
        <v>0</v>
      </c>
      <c r="AD772" s="136">
        <f ca="1" t="shared" si="519"/>
        <v>0</v>
      </c>
      <c r="AE772" s="136">
        <f ca="1" t="shared" si="519"/>
        <v>0</v>
      </c>
      <c r="AF772" s="136">
        <f ca="1" t="shared" si="519"/>
        <v>100</v>
      </c>
      <c r="AG772" s="136">
        <f ca="1" t="shared" si="519"/>
        <v>0</v>
      </c>
      <c r="AH772" s="136">
        <f ca="1" t="shared" si="501"/>
        <v>450</v>
      </c>
      <c r="AI772" s="136">
        <f ca="1" t="shared" ref="AI772:AN772" si="520">IF($C772&gt;OFFSET($Q$8,MATCH(AI$634,$AH$634:$AN$634,0),0),OFFSET($P$8,MATCH(AI$634,$AH$634:$AN$634,0),0),MAX(0,$C772-OFFSET($Q$8,RIGHT(AI$634,1)-1,0)))</f>
        <v>909</v>
      </c>
      <c r="AJ772" s="136">
        <f ca="1" t="shared" si="520"/>
        <v>1818</v>
      </c>
      <c r="AK772" s="136">
        <f ca="1" t="shared" si="520"/>
        <v>2727</v>
      </c>
      <c r="AL772" s="136">
        <f ca="1" t="shared" si="520"/>
        <v>3636</v>
      </c>
      <c r="AM772" s="136">
        <f ca="1" t="shared" si="520"/>
        <v>4260</v>
      </c>
      <c r="AN772" s="136">
        <f ca="1" t="shared" si="520"/>
        <v>0</v>
      </c>
    </row>
    <row r="773" s="106" customFormat="1" ht="16.5" spans="2:40">
      <c r="B773" s="117">
        <v>139</v>
      </c>
      <c r="C773" s="130">
        <f t="shared" si="499"/>
        <v>13900</v>
      </c>
      <c r="D773" s="131" cm="1">
        <f ca="1" t="array" ref="D773">IF(D1375=1,OFFSET($W$634,$B773,D$631-1)/SUMPRODUCT(--($D$631:$V$631=D$631),--($D1375:$V1375=1)),0)+SUM(D772)+IF(COUNTIF(D$1237:D1375,1)=1,5,0)+IF(COUNTIF(E773:$W773,"&gt;"&amp;0)&lt;5,IF(AND(COUNTIF(D$1237:D1375,1)&gt;7,MOD(1+IFERROR(MATCH($C773,总览!$D$46:$D$345,1)+1,1),7)=0),$C$3,0),0)</f>
        <v>1108.43037952679</v>
      </c>
      <c r="E773" s="131" cm="1">
        <f ca="1" t="array" ref="E773">IF(E1375=1,OFFSET($W$634,$B773,E$631-1)/SUMPRODUCT(--($D$631:$V$631=E$631),--($D1375:$V1375=1)),0)+SUM(E772)+IF(COUNTIF(E$1237:E1375,1)=1,5,0)+IF(COUNTIF(F773:$W773,"&gt;"&amp;0)&lt;5,IF(AND(COUNTIF(E$1237:E1375,1)&gt;7,MOD(1+IFERROR(MATCH($C773,总览!$D$46:$D$345,1)+1,1),7)=0),$C$3,0),0)</f>
        <v>1108.43037952679</v>
      </c>
      <c r="F773" s="131" cm="1">
        <f ca="1" t="array" ref="F773">IF(F1375=1,OFFSET($W$634,$B773,F$631-1)/SUMPRODUCT(--($D$631:$V$631=F$631),--($D1375:$V1375=1)),0)+SUM(F772)+IF(COUNTIF(F$1237:F1375,1)=1,5,0)+IF(COUNTIF(G773:$W773,"&gt;"&amp;0)&lt;5,IF(AND(COUNTIF(F$1237:F1375,1)&gt;7,MOD(1+IFERROR(MATCH($C773,总览!$D$46:$D$345,1)+1,1),7)=0),$C$3,0),0)</f>
        <v>1108.43037952679</v>
      </c>
      <c r="G773" s="131" cm="1">
        <f ca="1" t="array" ref="G773">IF(G1375=1,OFFSET($W$634,$B773,G$631-1)/SUMPRODUCT(--($D$631:$V$631=G$631),--($D1375:$V1375=1)),0)+SUM(G772)+IF(COUNTIF(G$1237:G1375,1)=1,5,0)+IF(COUNTIF(H773:$W773,"&gt;"&amp;0)&lt;5,IF(AND(COUNTIF(G$1237:G1375,1)&gt;7,MOD(1+IFERROR(MATCH($C773,总览!$D$46:$D$345,1)+1,1),7)=0),$C$3,0),0)</f>
        <v>402.733333333333</v>
      </c>
      <c r="H773" s="131" cm="1">
        <f ca="1" t="array" ref="H773">IF(H1375=1,OFFSET($W$634,$B773,H$631-1)/SUMPRODUCT(--($D$631:$V$631=H$631),--($D1375:$V1375=1)),0)+SUM(H772)+IF(COUNTIF(H$1237:H1375,1)=1,5,0)+IF(COUNTIF(I773:$W773,"&gt;"&amp;0)&lt;5,IF(AND(COUNTIF(H$1237:H1375,1)&gt;7,MOD(1+IFERROR(MATCH($C773,总览!$D$46:$D$345,1)+1,1),7)=0),$C$3,0),0)</f>
        <v>402.733333333333</v>
      </c>
      <c r="I773" s="131" cm="1">
        <f ca="1" t="array" ref="I773">IF(I1375=1,OFFSET($W$634,$B773,I$631-1)/SUMPRODUCT(--($D$631:$V$631=I$631),--($D1375:$V1375=1)),0)+SUM(I772)+IF(COUNTIF(I$1237:I1375,1)=1,5,0)+IF(COUNTIF(J773:$W773,"&gt;"&amp;0)&lt;5,IF(AND(COUNTIF(I$1237:I1375,1)&gt;7,MOD(1+IFERROR(MATCH($C773,总览!$D$46:$D$345,1)+1,1),7)=0),$C$3,0),0)</f>
        <v>402.733333333333</v>
      </c>
      <c r="J773" s="131" cm="1">
        <f ca="1" t="array" ref="J773">IF(J1375=1,OFFSET($W$634,$B773,J$631-1)/SUMPRODUCT(--($D$631:$V$631=J$631),--($D1375:$V1375=1)),0)+SUM(J772)+IF(COUNTIF(J$1237:J1375,1)=1,5,0)+IF(COUNTIF(K773:$W773,"&gt;"&amp;0)&lt;5,IF(AND(COUNTIF(J$1237:J1375,1)&gt;7,MOD(1+IFERROR(MATCH($C773,总览!$D$46:$D$345,1)+1,1),7)=0),$C$3,0),0)</f>
        <v>399.399999999999</v>
      </c>
      <c r="K773" s="131" cm="1">
        <f ca="1" t="array" ref="K773">IF(K1375=1,OFFSET($W$634,$B773,K$631-1)/SUMPRODUCT(--($D$631:$V$631=K$631),--($D1375:$V1375=1)),0)+SUM(K772)+IF(COUNTIF(K$1237:K1375,1)=1,5,0)+IF(COUNTIF(L773:$W773,"&gt;"&amp;0)&lt;5,IF(AND(COUNTIF(K$1237:K1375,1)&gt;7,MOD(1+IFERROR(MATCH($C773,总览!$D$46:$D$345,1)+1,1),7)=0),$C$3,0),0)</f>
        <v>396.899999999999</v>
      </c>
      <c r="L773" s="131" cm="1">
        <f ca="1" t="array" ref="L773">IF(L1375=1,OFFSET($W$634,$B773,L$631-1)/SUMPRODUCT(--($D$631:$V$631=L$631),--($D1375:$V1375=1)),0)+SUM(L772)+IF(COUNTIF(L$1237:L1375,1)=1,5,0)+IF(COUNTIF(M773:$W773,"&gt;"&amp;0)&lt;5,IF(AND(COUNTIF(L$1237:L1375,1)&gt;7,MOD(1+IFERROR(MATCH($C773,总览!$D$46:$D$345,1)+1,1),7)=0),$C$3,0),0)</f>
        <v>396.899999999999</v>
      </c>
      <c r="M773" s="131" cm="1">
        <f ca="1" t="array" ref="M773">IF(M1375=1,OFFSET($W$634,$B773,M$631-1)/SUMPRODUCT(--($D$631:$V$631=M$631),--($D1375:$V1375=1)),0)+SUM(M772)+IF(COUNTIF(M$1237:M1375,1)=1,5,0)+IF(COUNTIF(N773:$W773,"&gt;"&amp;0)&lt;5,IF(AND(COUNTIF(M$1237:M1375,1)&gt;7,MOD(1+IFERROR(MATCH($C773,总览!$D$46:$D$345,1)+1,1),7)=0),$C$3,0),0)</f>
        <v>156.324107142857</v>
      </c>
      <c r="N773" s="131" cm="1">
        <f ca="1" t="array" ref="N773">IF(N1375=1,OFFSET($W$634,$B773,N$631-1)/SUMPRODUCT(--($D$631:$V$631=N$631),--($D1375:$V1375=1)),0)+SUM(N772)+IF(COUNTIF(N$1237:N1375,1)=1,5,0)+IF(COUNTIF(O773:$W773,"&gt;"&amp;0)&lt;5,IF(AND(COUNTIF(N$1237:N1375,1)&gt;7,MOD(1+IFERROR(MATCH($C773,总览!$D$46:$D$345,1)+1,1),7)=0),$C$3,0),0)</f>
        <v>157.574107142857</v>
      </c>
      <c r="O773" s="131" cm="1">
        <f ca="1" t="array" ref="O773">IF(O1375=1,OFFSET($W$634,$B773,O$631-1)/SUMPRODUCT(--($D$631:$V$631=O$631),--($D1375:$V1375=1)),0)+SUM(O772)+IF(COUNTIF(O$1237:O1375,1)=1,5,0)+IF(COUNTIF(P773:$W773,"&gt;"&amp;0)&lt;5,IF(AND(COUNTIF(O$1237:O1375,1)&gt;7,MOD(1+IFERROR(MATCH($C773,总览!$D$46:$D$345,1)+1,1),7)=0),$C$3,0),0)</f>
        <v>162.574107142857</v>
      </c>
      <c r="P773" s="131" cm="1">
        <f ca="1" t="array" ref="P773">IF(P1375=1,OFFSET($W$634,$B773,P$631-1)/SUMPRODUCT(--($D$631:$V$631=P$631),--($D1375:$V1375=1)),0)+SUM(P772)+IF(COUNTIF(P$1237:P1375,1)=1,5,0)+IF(COUNTIF(Q773:$W773,"&gt;"&amp;0)&lt;5,IF(AND(COUNTIF(P$1237:P1375,1)&gt;7,MOD(1+IFERROR(MATCH($C773,总览!$D$46:$D$345,1)+1,1),7)=0),$C$3,0),0)</f>
        <v>151.692857142857</v>
      </c>
      <c r="Q773" s="131" cm="1">
        <f ca="1" t="array" ref="Q773">IF(Q1375=1,OFFSET($W$634,$B773,Q$631-1)/SUMPRODUCT(--($D$631:$V$631=Q$631),--($D1375:$V1375=1)),0)+SUM(Q772)+IF(COUNTIF(Q$1237:Q1375,1)=1,5,0)+IF(COUNTIF(R773:$W773,"&gt;"&amp;0)&lt;5,IF(AND(COUNTIF(Q$1237:Q1375,1)&gt;7,MOD(1+IFERROR(MATCH($C773,总览!$D$46:$D$345,1)+1,1),7)=0),$C$3,0),0)</f>
        <v>165.074107142857</v>
      </c>
      <c r="R773" s="131" cm="1">
        <f ca="1" t="array" ref="R773">IF(R1375=1,OFFSET($W$634,$B773,R$631-1)/SUMPRODUCT(--($D$631:$V$631=R$631),--($D1375:$V1375=1)),0)+SUM(R772)+IF(COUNTIF(R$1237:R1375,1)=1,5,0)+IF(COUNTIF(S773:$W773,"&gt;"&amp;0)&lt;5,IF(AND(COUNTIF(R$1237:R1375,1)&gt;7,MOD(1+IFERROR(MATCH($C773,总览!$D$46:$D$345,1)+1,1),7)=0),$C$3,0),0)</f>
        <v>156.692857142857</v>
      </c>
      <c r="S773" s="131" cm="1">
        <f ca="1" t="array" ref="S773">IF(S1375=1,OFFSET($W$634,$B773,S$631-1)/SUMPRODUCT(--($D$631:$V$631=S$631),--($D1375:$V1375=1)),0)+SUM(S772)+IF(COUNTIF(S$1237:S1375,1)=1,5,0)+IF(COUNTIF(T773:$W773,"&gt;"&amp;0)&lt;5,IF(AND(COUNTIF(S$1237:S1375,1)&gt;7,MOD(1+IFERROR(MATCH($C773,总览!$D$46:$D$345,1)+1,1),7)=0),$C$3,0),0)</f>
        <v>214.192857142856</v>
      </c>
      <c r="T773" s="131" cm="1">
        <f ca="1" t="array" ref="T773">IF(T1375=1,OFFSET($W$634,$B773,T$631-1)/SUMPRODUCT(--($D$631:$V$631=T$631),--($D1375:$V1375=1)),0)+SUM(T772)+IF(COUNTIF(T$1237:T1375,1)=1,5,0)+IF(COUNTIF(U773:$W773,"&gt;"&amp;0)&lt;5,IF(AND(COUNTIF(T$1237:T1375,1)&gt;7,MOD(1+IFERROR(MATCH($C773,总览!$D$46:$D$345,1)+1,1),7)=0),$C$3,0),0)</f>
        <v>146.105096332201</v>
      </c>
      <c r="U773" s="131" cm="1">
        <f ca="1" t="array" ref="U773">IF(U1375=1,OFFSET($W$634,$B773,U$631-1)/SUMPRODUCT(--($D$631:$V$631=U$631),--($D1375:$V1375=1)),0)+SUM(U772)+IF(COUNTIF(U$1237:U1375,1)=1,5,0)+IF(COUNTIF(V773:$W773,"&gt;"&amp;0)&lt;5,IF(AND(COUNTIF(U$1237:U1375,1)&gt;7,MOD(1+IFERROR(MATCH($C773,总览!$D$46:$D$345,1)+1,1),7)=0),$C$3,0),0)</f>
        <v>151.6258826875</v>
      </c>
      <c r="V773" s="131" cm="1">
        <f ca="1" t="array" ref="V773">IF(V1375=1,OFFSET($W$634,$B773,V$631-1)/SUMPRODUCT(--($D$631:$V$631=V$631),--($D1375:$V1375=1)),0)+SUM(V772)+IF(COUNTIF(V$1237:V1375,1)=1,5,0)+IF(COUNTIF(W773:$W773,"&gt;"&amp;0)&lt;5,IF(AND(COUNTIF(V$1237:V1375,1)&gt;7,MOD(1+IFERROR(MATCH($C773,总览!$D$46:$D$345,1)+1,1),7)=0),$C$3,0),0)</f>
        <v>171.452882399934</v>
      </c>
      <c r="W773" s="135" cm="1">
        <f ca="1" t="array" ref="W773">SUMPRODUCT(TRANSPOSE($AA773:$AG773),OFFSET($L$9:$L$15,0,W$631-1))</f>
        <v>16.8502200646615</v>
      </c>
      <c r="X773" s="135" cm="1">
        <f ca="1" t="array" ref="X773">SUMPRODUCT(TRANSPOSE($AA773:$AG773),OFFSET($L$9:$L$15,0,X$631-1))</f>
        <v>20</v>
      </c>
      <c r="Y773" s="135" cm="1">
        <f ca="1" t="array" ref="Y773">SUMPRODUCT(TRANSPOSE($AA773:$AG773),OFFSET($L$9:$L$15,0,Y$631-1))</f>
        <v>10</v>
      </c>
      <c r="Z773" s="135" cm="1">
        <f ca="1" t="array" ref="Z773">SUMPRODUCT(TRANSPOSE($AA773:$AG773),OFFSET($L$9:$L$15,0,Z$631-1))</f>
        <v>3.14977993533847</v>
      </c>
      <c r="AA773" s="136">
        <f ca="1" t="shared" ref="AA773:AG773" si="521">AH773-AH772</f>
        <v>0</v>
      </c>
      <c r="AB773" s="136">
        <f ca="1" t="shared" si="521"/>
        <v>0</v>
      </c>
      <c r="AC773" s="136">
        <f ca="1" t="shared" si="521"/>
        <v>0</v>
      </c>
      <c r="AD773" s="136">
        <f ca="1" t="shared" si="521"/>
        <v>0</v>
      </c>
      <c r="AE773" s="136">
        <f ca="1" t="shared" si="521"/>
        <v>0</v>
      </c>
      <c r="AF773" s="136">
        <f ca="1" t="shared" si="521"/>
        <v>100</v>
      </c>
      <c r="AG773" s="136">
        <f ca="1" t="shared" si="521"/>
        <v>0</v>
      </c>
      <c r="AH773" s="136">
        <f ca="1" t="shared" si="501"/>
        <v>450</v>
      </c>
      <c r="AI773" s="136">
        <f ca="1" t="shared" ref="AI773:AN773" si="522">IF($C773&gt;OFFSET($Q$8,MATCH(AI$634,$AH$634:$AN$634,0),0),OFFSET($P$8,MATCH(AI$634,$AH$634:$AN$634,0),0),MAX(0,$C773-OFFSET($Q$8,RIGHT(AI$634,1)-1,0)))</f>
        <v>909</v>
      </c>
      <c r="AJ773" s="136">
        <f ca="1" t="shared" si="522"/>
        <v>1818</v>
      </c>
      <c r="AK773" s="136">
        <f ca="1" t="shared" si="522"/>
        <v>2727</v>
      </c>
      <c r="AL773" s="136">
        <f ca="1" t="shared" si="522"/>
        <v>3636</v>
      </c>
      <c r="AM773" s="136">
        <f ca="1" t="shared" si="522"/>
        <v>4360</v>
      </c>
      <c r="AN773" s="136">
        <f ca="1" t="shared" si="522"/>
        <v>0</v>
      </c>
    </row>
    <row r="774" s="106" customFormat="1" ht="16.5" spans="2:40">
      <c r="B774" s="117">
        <v>140</v>
      </c>
      <c r="C774" s="130">
        <f t="shared" si="499"/>
        <v>14000</v>
      </c>
      <c r="D774" s="131" cm="1">
        <f ca="1" t="array" ref="D774">IF(D1376=1,OFFSET($W$634,$B774,D$631-1)/SUMPRODUCT(--($D$631:$V$631=D$631),--($D1376:$V1376=1)),0)+SUM(D773)+IF(COUNTIF(D$1237:D1376,1)=1,5,0)+IF(COUNTIF(E774:$W774,"&gt;"&amp;0)&lt;5,IF(AND(COUNTIF(D$1237:D1376,1)&gt;7,MOD(1+IFERROR(MATCH($C774,总览!$D$46:$D$345,1)+1,1),7)=0),$C$3,0),0)</f>
        <v>1114.04711954834</v>
      </c>
      <c r="E774" s="131" cm="1">
        <f ca="1" t="array" ref="E774">IF(E1376=1,OFFSET($W$634,$B774,E$631-1)/SUMPRODUCT(--($D$631:$V$631=E$631),--($D1376:$V1376=1)),0)+SUM(E773)+IF(COUNTIF(E$1237:E1376,1)=1,5,0)+IF(COUNTIF(F774:$W774,"&gt;"&amp;0)&lt;5,IF(AND(COUNTIF(E$1237:E1376,1)&gt;7,MOD(1+IFERROR(MATCH($C774,总览!$D$46:$D$345,1)+1,1),7)=0),$C$3,0),0)</f>
        <v>1114.04711954834</v>
      </c>
      <c r="F774" s="131" cm="1">
        <f ca="1" t="array" ref="F774">IF(F1376=1,OFFSET($W$634,$B774,F$631-1)/SUMPRODUCT(--($D$631:$V$631=F$631),--($D1376:$V1376=1)),0)+SUM(F773)+IF(COUNTIF(F$1237:F1376,1)=1,5,0)+IF(COUNTIF(G774:$W774,"&gt;"&amp;0)&lt;5,IF(AND(COUNTIF(F$1237:F1376,1)&gt;7,MOD(1+IFERROR(MATCH($C774,总览!$D$46:$D$345,1)+1,1),7)=0),$C$3,0),0)</f>
        <v>1114.04711954834</v>
      </c>
      <c r="G774" s="131" cm="1">
        <f ca="1" t="array" ref="G774">IF(G1376=1,OFFSET($W$634,$B774,G$631-1)/SUMPRODUCT(--($D$631:$V$631=G$631),--($D1376:$V1376=1)),0)+SUM(G773)+IF(COUNTIF(G$1237:G1376,1)=1,5,0)+IF(COUNTIF(H774:$W774,"&gt;"&amp;0)&lt;5,IF(AND(COUNTIF(G$1237:G1376,1)&gt;7,MOD(1+IFERROR(MATCH($C774,总览!$D$46:$D$345,1)+1,1),7)=0),$C$3,0),0)</f>
        <v>406.066666666666</v>
      </c>
      <c r="H774" s="131" cm="1">
        <f ca="1" t="array" ref="H774">IF(H1376=1,OFFSET($W$634,$B774,H$631-1)/SUMPRODUCT(--($D$631:$V$631=H$631),--($D1376:$V1376=1)),0)+SUM(H773)+IF(COUNTIF(H$1237:H1376,1)=1,5,0)+IF(COUNTIF(I774:$W774,"&gt;"&amp;0)&lt;5,IF(AND(COUNTIF(H$1237:H1376,1)&gt;7,MOD(1+IFERROR(MATCH($C774,总览!$D$46:$D$345,1)+1,1),7)=0),$C$3,0),0)</f>
        <v>406.066666666666</v>
      </c>
      <c r="I774" s="131" cm="1">
        <f ca="1" t="array" ref="I774">IF(I1376=1,OFFSET($W$634,$B774,I$631-1)/SUMPRODUCT(--($D$631:$V$631=I$631),--($D1376:$V1376=1)),0)+SUM(I773)+IF(COUNTIF(I$1237:I1376,1)=1,5,0)+IF(COUNTIF(J774:$W774,"&gt;"&amp;0)&lt;5,IF(AND(COUNTIF(I$1237:I1376,1)&gt;7,MOD(1+IFERROR(MATCH($C774,总览!$D$46:$D$345,1)+1,1),7)=0),$C$3,0),0)</f>
        <v>406.066666666666</v>
      </c>
      <c r="J774" s="131" cm="1">
        <f ca="1" t="array" ref="J774">IF(J1376=1,OFFSET($W$634,$B774,J$631-1)/SUMPRODUCT(--($D$631:$V$631=J$631),--($D1376:$V1376=1)),0)+SUM(J773)+IF(COUNTIF(J$1237:J1376,1)=1,5,0)+IF(COUNTIF(K774:$W774,"&gt;"&amp;0)&lt;5,IF(AND(COUNTIF(J$1237:J1376,1)&gt;7,MOD(1+IFERROR(MATCH($C774,总览!$D$46:$D$345,1)+1,1),7)=0),$C$3,0),0)</f>
        <v>402.733333333333</v>
      </c>
      <c r="K774" s="131" cm="1">
        <f ca="1" t="array" ref="K774">IF(K1376=1,OFFSET($W$634,$B774,K$631-1)/SUMPRODUCT(--($D$631:$V$631=K$631),--($D1376:$V1376=1)),0)+SUM(K773)+IF(COUNTIF(K$1237:K1376,1)=1,5,0)+IF(COUNTIF(L774:$W774,"&gt;"&amp;0)&lt;5,IF(AND(COUNTIF(K$1237:K1376,1)&gt;7,MOD(1+IFERROR(MATCH($C774,总览!$D$46:$D$345,1)+1,1),7)=0),$C$3,0),0)</f>
        <v>400.233333333333</v>
      </c>
      <c r="L774" s="131" cm="1">
        <f ca="1" t="array" ref="L774">IF(L1376=1,OFFSET($W$634,$B774,L$631-1)/SUMPRODUCT(--($D$631:$V$631=L$631),--($D1376:$V1376=1)),0)+SUM(L773)+IF(COUNTIF(L$1237:L1376,1)=1,5,0)+IF(COUNTIF(M774:$W774,"&gt;"&amp;0)&lt;5,IF(AND(COUNTIF(L$1237:L1376,1)&gt;7,MOD(1+IFERROR(MATCH($C774,总览!$D$46:$D$345,1)+1,1),7)=0),$C$3,0),0)</f>
        <v>400.233333333333</v>
      </c>
      <c r="M774" s="131" cm="1">
        <f ca="1" t="array" ref="M774">IF(M1376=1,OFFSET($W$634,$B774,M$631-1)/SUMPRODUCT(--($D$631:$V$631=M$631),--($D1376:$V1376=1)),0)+SUM(M773)+IF(COUNTIF(M$1237:M1376,1)=1,5,0)+IF(COUNTIF(N774:$W774,"&gt;"&amp;0)&lt;5,IF(AND(COUNTIF(M$1237:M1376,1)&gt;7,MOD(1+IFERROR(MATCH($C774,总览!$D$46:$D$345,1)+1,1),7)=0),$C$3,0),0)</f>
        <v>157.752678571428</v>
      </c>
      <c r="N774" s="131" cm="1">
        <f ca="1" t="array" ref="N774">IF(N1376=1,OFFSET($W$634,$B774,N$631-1)/SUMPRODUCT(--($D$631:$V$631=N$631),--($D1376:$V1376=1)),0)+SUM(N773)+IF(COUNTIF(N$1237:N1376,1)=1,5,0)+IF(COUNTIF(O774:$W774,"&gt;"&amp;0)&lt;5,IF(AND(COUNTIF(N$1237:N1376,1)&gt;7,MOD(1+IFERROR(MATCH($C774,总览!$D$46:$D$345,1)+1,1),7)=0),$C$3,0),0)</f>
        <v>159.002678571428</v>
      </c>
      <c r="O774" s="131" cm="1">
        <f ca="1" t="array" ref="O774">IF(O1376=1,OFFSET($W$634,$B774,O$631-1)/SUMPRODUCT(--($D$631:$V$631=O$631),--($D1376:$V1376=1)),0)+SUM(O773)+IF(COUNTIF(O$1237:O1376,1)=1,5,0)+IF(COUNTIF(P774:$W774,"&gt;"&amp;0)&lt;5,IF(AND(COUNTIF(O$1237:O1376,1)&gt;7,MOD(1+IFERROR(MATCH($C774,总览!$D$46:$D$345,1)+1,1),7)=0),$C$3,0),0)</f>
        <v>164.002678571428</v>
      </c>
      <c r="P774" s="131" cm="1">
        <f ca="1" t="array" ref="P774">IF(P1376=1,OFFSET($W$634,$B774,P$631-1)/SUMPRODUCT(--($D$631:$V$631=P$631),--($D1376:$V1376=1)),0)+SUM(P773)+IF(COUNTIF(P$1237:P1376,1)=1,5,0)+IF(COUNTIF(Q774:$W774,"&gt;"&amp;0)&lt;5,IF(AND(COUNTIF(P$1237:P1376,1)&gt;7,MOD(1+IFERROR(MATCH($C774,总览!$D$46:$D$345,1)+1,1),7)=0),$C$3,0),0)</f>
        <v>153.121428571428</v>
      </c>
      <c r="Q774" s="131" cm="1">
        <f ca="1" t="array" ref="Q774">IF(Q1376=1,OFFSET($W$634,$B774,Q$631-1)/SUMPRODUCT(--($D$631:$V$631=Q$631),--($D1376:$V1376=1)),0)+SUM(Q773)+IF(COUNTIF(Q$1237:Q1376,1)=1,5,0)+IF(COUNTIF(R774:$W774,"&gt;"&amp;0)&lt;5,IF(AND(COUNTIF(Q$1237:Q1376,1)&gt;7,MOD(1+IFERROR(MATCH($C774,总览!$D$46:$D$345,1)+1,1),7)=0),$C$3,0),0)</f>
        <v>166.502678571428</v>
      </c>
      <c r="R774" s="131" cm="1">
        <f ca="1" t="array" ref="R774">IF(R1376=1,OFFSET($W$634,$B774,R$631-1)/SUMPRODUCT(--($D$631:$V$631=R$631),--($D1376:$V1376=1)),0)+SUM(R773)+IF(COUNTIF(R$1237:R1376,1)=1,5,0)+IF(COUNTIF(S774:$W774,"&gt;"&amp;0)&lt;5,IF(AND(COUNTIF(R$1237:R1376,1)&gt;7,MOD(1+IFERROR(MATCH($C774,总览!$D$46:$D$345,1)+1,1),7)=0),$C$3,0),0)</f>
        <v>158.121428571428</v>
      </c>
      <c r="S774" s="131" cm="1">
        <f ca="1" t="array" ref="S774">IF(S1376=1,OFFSET($W$634,$B774,S$631-1)/SUMPRODUCT(--($D$631:$V$631=S$631),--($D1376:$V1376=1)),0)+SUM(S773)+IF(COUNTIF(S$1237:S1376,1)=1,5,0)+IF(COUNTIF(T774:$W774,"&gt;"&amp;0)&lt;5,IF(AND(COUNTIF(S$1237:S1376,1)&gt;7,MOD(1+IFERROR(MATCH($C774,总览!$D$46:$D$345,1)+1,1),7)=0),$C$3,0),0)</f>
        <v>215.621428571428</v>
      </c>
      <c r="T774" s="131" cm="1">
        <f ca="1" t="array" ref="T774">IF(T1376=1,OFFSET($W$634,$B774,T$631-1)/SUMPRODUCT(--($D$631:$V$631=T$631),--($D1376:$V1376=1)),0)+SUM(T773)+IF(COUNTIF(T$1237:T1376,1)=1,5,0)+IF(COUNTIF(U774:$W774,"&gt;"&amp;0)&lt;5,IF(AND(COUNTIF(T$1237:T1376,1)&gt;7,MOD(1+IFERROR(MATCH($C774,总览!$D$46:$D$345,1)+1,1),7)=0),$C$3,0),0)</f>
        <v>147.155022977314</v>
      </c>
      <c r="U774" s="131" cm="1">
        <f ca="1" t="array" ref="U774">IF(U1376=1,OFFSET($W$634,$B774,U$631-1)/SUMPRODUCT(--($D$631:$V$631=U$631),--($D1376:$V1376=1)),0)+SUM(U773)+IF(COUNTIF(U$1237:U1376,1)=1,5,0)+IF(COUNTIF(V774:$W774,"&gt;"&amp;0)&lt;5,IF(AND(COUNTIF(U$1237:U1376,1)&gt;7,MOD(1+IFERROR(MATCH($C774,总览!$D$46:$D$345,1)+1,1),7)=0),$C$3,0),0)</f>
        <v>152.675809332613</v>
      </c>
      <c r="V774" s="131" cm="1">
        <f ca="1" t="array" ref="V774">IF(V1376=1,OFFSET($W$634,$B774,V$631-1)/SUMPRODUCT(--($D$631:$V$631=V$631),--($D1376:$V1376=1)),0)+SUM(V773)+IF(COUNTIF(V$1237:V1376,1)=1,5,0)+IF(COUNTIF(W774:$W774,"&gt;"&amp;0)&lt;5,IF(AND(COUNTIF(V$1237:V1376,1)&gt;7,MOD(1+IFERROR(MATCH($C774,总览!$D$46:$D$345,1)+1,1),7)=0),$C$3,0),0)</f>
        <v>172.502809045047</v>
      </c>
      <c r="W774" s="135" cm="1">
        <f ca="1" t="array" ref="W774">SUMPRODUCT(TRANSPOSE($AA774:$AG774),OFFSET($L$9:$L$15,0,W$631-1))</f>
        <v>16.8502200646615</v>
      </c>
      <c r="X774" s="135" cm="1">
        <f ca="1" t="array" ref="X774">SUMPRODUCT(TRANSPOSE($AA774:$AG774),OFFSET($L$9:$L$15,0,X$631-1))</f>
        <v>20</v>
      </c>
      <c r="Y774" s="135" cm="1">
        <f ca="1" t="array" ref="Y774">SUMPRODUCT(TRANSPOSE($AA774:$AG774),OFFSET($L$9:$L$15,0,Y$631-1))</f>
        <v>10</v>
      </c>
      <c r="Z774" s="135" cm="1">
        <f ca="1" t="array" ref="Z774">SUMPRODUCT(TRANSPOSE($AA774:$AG774),OFFSET($L$9:$L$15,0,Z$631-1))</f>
        <v>3.14977993533847</v>
      </c>
      <c r="AA774" s="136">
        <f ca="1" t="shared" ref="AA774:AG774" si="523">AH774-AH773</f>
        <v>0</v>
      </c>
      <c r="AB774" s="136">
        <f ca="1" t="shared" si="523"/>
        <v>0</v>
      </c>
      <c r="AC774" s="136">
        <f ca="1" t="shared" si="523"/>
        <v>0</v>
      </c>
      <c r="AD774" s="136">
        <f ca="1" t="shared" si="523"/>
        <v>0</v>
      </c>
      <c r="AE774" s="136">
        <f ca="1" t="shared" si="523"/>
        <v>0</v>
      </c>
      <c r="AF774" s="136">
        <f ca="1" t="shared" si="523"/>
        <v>100</v>
      </c>
      <c r="AG774" s="136">
        <f ca="1" t="shared" si="523"/>
        <v>0</v>
      </c>
      <c r="AH774" s="136">
        <f ca="1" t="shared" si="501"/>
        <v>450</v>
      </c>
      <c r="AI774" s="136">
        <f ca="1" t="shared" ref="AI774:AN774" si="524">IF($C774&gt;OFFSET($Q$8,MATCH(AI$634,$AH$634:$AN$634,0),0),OFFSET($P$8,MATCH(AI$634,$AH$634:$AN$634,0),0),MAX(0,$C774-OFFSET($Q$8,RIGHT(AI$634,1)-1,0)))</f>
        <v>909</v>
      </c>
      <c r="AJ774" s="136">
        <f ca="1" t="shared" si="524"/>
        <v>1818</v>
      </c>
      <c r="AK774" s="136">
        <f ca="1" t="shared" si="524"/>
        <v>2727</v>
      </c>
      <c r="AL774" s="136">
        <f ca="1" t="shared" si="524"/>
        <v>3636</v>
      </c>
      <c r="AM774" s="136">
        <f ca="1" t="shared" si="524"/>
        <v>4460</v>
      </c>
      <c r="AN774" s="136">
        <f ca="1" t="shared" si="524"/>
        <v>0</v>
      </c>
    </row>
    <row r="775" s="106" customFormat="1" ht="16.5" spans="2:40">
      <c r="B775" s="117">
        <v>141</v>
      </c>
      <c r="C775" s="130">
        <f t="shared" si="499"/>
        <v>14100</v>
      </c>
      <c r="D775" s="131" cm="1">
        <f ca="1" t="array" ref="D775">IF(D1377=1,OFFSET($W$634,$B775,D$631-1)/SUMPRODUCT(--($D$631:$V$631=D$631),--($D1377:$V1377=1)),0)+SUM(D774)+IF(COUNTIF(D$1237:D1377,1)=1,5,0)+IF(COUNTIF(E775:$W775,"&gt;"&amp;0)&lt;5,IF(AND(COUNTIF(D$1237:D1377,1)&gt;7,MOD(1+IFERROR(MATCH($C775,总览!$D$46:$D$345,1)+1,1),7)=0),$C$3,0),0)</f>
        <v>1119.6638595699</v>
      </c>
      <c r="E775" s="131" cm="1">
        <f ca="1" t="array" ref="E775">IF(E1377=1,OFFSET($W$634,$B775,E$631-1)/SUMPRODUCT(--($D$631:$V$631=E$631),--($D1377:$V1377=1)),0)+SUM(E774)+IF(COUNTIF(E$1237:E1377,1)=1,5,0)+IF(COUNTIF(F775:$W775,"&gt;"&amp;0)&lt;5,IF(AND(COUNTIF(E$1237:E1377,1)&gt;7,MOD(1+IFERROR(MATCH($C775,总览!$D$46:$D$345,1)+1,1),7)=0),$C$3,0),0)</f>
        <v>1119.6638595699</v>
      </c>
      <c r="F775" s="131" cm="1">
        <f ca="1" t="array" ref="F775">IF(F1377=1,OFFSET($W$634,$B775,F$631-1)/SUMPRODUCT(--($D$631:$V$631=F$631),--($D1377:$V1377=1)),0)+SUM(F774)+IF(COUNTIF(F$1237:F1377,1)=1,5,0)+IF(COUNTIF(G775:$W775,"&gt;"&amp;0)&lt;5,IF(AND(COUNTIF(F$1237:F1377,1)&gt;7,MOD(1+IFERROR(MATCH($C775,总览!$D$46:$D$345,1)+1,1),7)=0),$C$3,0),0)</f>
        <v>1119.6638595699</v>
      </c>
      <c r="G775" s="131" cm="1">
        <f ca="1" t="array" ref="G775">IF(G1377=1,OFFSET($W$634,$B775,G$631-1)/SUMPRODUCT(--($D$631:$V$631=G$631),--($D1377:$V1377=1)),0)+SUM(G774)+IF(COUNTIF(G$1237:G1377,1)=1,5,0)+IF(COUNTIF(H775:$W775,"&gt;"&amp;0)&lt;5,IF(AND(COUNTIF(G$1237:G1377,1)&gt;7,MOD(1+IFERROR(MATCH($C775,总览!$D$46:$D$345,1)+1,1),7)=0),$C$3,0),0)</f>
        <v>409.399999999999</v>
      </c>
      <c r="H775" s="131" cm="1">
        <f ca="1" t="array" ref="H775">IF(H1377=1,OFFSET($W$634,$B775,H$631-1)/SUMPRODUCT(--($D$631:$V$631=H$631),--($D1377:$V1377=1)),0)+SUM(H774)+IF(COUNTIF(H$1237:H1377,1)=1,5,0)+IF(COUNTIF(I775:$W775,"&gt;"&amp;0)&lt;5,IF(AND(COUNTIF(H$1237:H1377,1)&gt;7,MOD(1+IFERROR(MATCH($C775,总览!$D$46:$D$345,1)+1,1),7)=0),$C$3,0),0)</f>
        <v>409.399999999999</v>
      </c>
      <c r="I775" s="131" cm="1">
        <f ca="1" t="array" ref="I775">IF(I1377=1,OFFSET($W$634,$B775,I$631-1)/SUMPRODUCT(--($D$631:$V$631=I$631),--($D1377:$V1377=1)),0)+SUM(I774)+IF(COUNTIF(I$1237:I1377,1)=1,5,0)+IF(COUNTIF(J775:$W775,"&gt;"&amp;0)&lt;5,IF(AND(COUNTIF(I$1237:I1377,1)&gt;7,MOD(1+IFERROR(MATCH($C775,总览!$D$46:$D$345,1)+1,1),7)=0),$C$3,0),0)</f>
        <v>409.399999999999</v>
      </c>
      <c r="J775" s="131" cm="1">
        <f ca="1" t="array" ref="J775">IF(J1377=1,OFFSET($W$634,$B775,J$631-1)/SUMPRODUCT(--($D$631:$V$631=J$631),--($D1377:$V1377=1)),0)+SUM(J774)+IF(COUNTIF(J$1237:J1377,1)=1,5,0)+IF(COUNTIF(K775:$W775,"&gt;"&amp;0)&lt;5,IF(AND(COUNTIF(J$1237:J1377,1)&gt;7,MOD(1+IFERROR(MATCH($C775,总览!$D$46:$D$345,1)+1,1),7)=0),$C$3,0),0)</f>
        <v>406.066666666666</v>
      </c>
      <c r="K775" s="131" cm="1">
        <f ca="1" t="array" ref="K775">IF(K1377=1,OFFSET($W$634,$B775,K$631-1)/SUMPRODUCT(--($D$631:$V$631=K$631),--($D1377:$V1377=1)),0)+SUM(K774)+IF(COUNTIF(K$1237:K1377,1)=1,5,0)+IF(COUNTIF(L775:$W775,"&gt;"&amp;0)&lt;5,IF(AND(COUNTIF(K$1237:K1377,1)&gt;7,MOD(1+IFERROR(MATCH($C775,总览!$D$46:$D$345,1)+1,1),7)=0),$C$3,0),0)</f>
        <v>403.566666666666</v>
      </c>
      <c r="L775" s="131" cm="1">
        <f ca="1" t="array" ref="L775">IF(L1377=1,OFFSET($W$634,$B775,L$631-1)/SUMPRODUCT(--($D$631:$V$631=L$631),--($D1377:$V1377=1)),0)+SUM(L774)+IF(COUNTIF(L$1237:L1377,1)=1,5,0)+IF(COUNTIF(M775:$W775,"&gt;"&amp;0)&lt;5,IF(AND(COUNTIF(L$1237:L1377,1)&gt;7,MOD(1+IFERROR(MATCH($C775,总览!$D$46:$D$345,1)+1,1),7)=0),$C$3,0),0)</f>
        <v>403.566666666666</v>
      </c>
      <c r="M775" s="131" cm="1">
        <f ca="1" t="array" ref="M775">IF(M1377=1,OFFSET($W$634,$B775,M$631-1)/SUMPRODUCT(--($D$631:$V$631=M$631),--($D1377:$V1377=1)),0)+SUM(M774)+IF(COUNTIF(M$1237:M1377,1)=1,5,0)+IF(COUNTIF(N775:$W775,"&gt;"&amp;0)&lt;5,IF(AND(COUNTIF(M$1237:M1377,1)&gt;7,MOD(1+IFERROR(MATCH($C775,总览!$D$46:$D$345,1)+1,1),7)=0),$C$3,0),0)</f>
        <v>159.18125</v>
      </c>
      <c r="N775" s="131" cm="1">
        <f ca="1" t="array" ref="N775">IF(N1377=1,OFFSET($W$634,$B775,N$631-1)/SUMPRODUCT(--($D$631:$V$631=N$631),--($D1377:$V1377=1)),0)+SUM(N774)+IF(COUNTIF(N$1237:N1377,1)=1,5,0)+IF(COUNTIF(O775:$W775,"&gt;"&amp;0)&lt;5,IF(AND(COUNTIF(N$1237:N1377,1)&gt;7,MOD(1+IFERROR(MATCH($C775,总览!$D$46:$D$345,1)+1,1),7)=0),$C$3,0),0)</f>
        <v>160.43125</v>
      </c>
      <c r="O775" s="131" cm="1">
        <f ca="1" t="array" ref="O775">IF(O1377=1,OFFSET($W$634,$B775,O$631-1)/SUMPRODUCT(--($D$631:$V$631=O$631),--($D1377:$V1377=1)),0)+SUM(O774)+IF(COUNTIF(O$1237:O1377,1)=1,5,0)+IF(COUNTIF(P775:$W775,"&gt;"&amp;0)&lt;5,IF(AND(COUNTIF(O$1237:O1377,1)&gt;7,MOD(1+IFERROR(MATCH($C775,总览!$D$46:$D$345,1)+1,1),7)=0),$C$3,0),0)</f>
        <v>165.43125</v>
      </c>
      <c r="P775" s="131" cm="1">
        <f ca="1" t="array" ref="P775">IF(P1377=1,OFFSET($W$634,$B775,P$631-1)/SUMPRODUCT(--($D$631:$V$631=P$631),--($D1377:$V1377=1)),0)+SUM(P774)+IF(COUNTIF(P$1237:P1377,1)=1,5,0)+IF(COUNTIF(Q775:$W775,"&gt;"&amp;0)&lt;5,IF(AND(COUNTIF(P$1237:P1377,1)&gt;7,MOD(1+IFERROR(MATCH($C775,总览!$D$46:$D$345,1)+1,1),7)=0),$C$3,0),0)</f>
        <v>154.55</v>
      </c>
      <c r="Q775" s="131" cm="1">
        <f ca="1" t="array" ref="Q775">IF(Q1377=1,OFFSET($W$634,$B775,Q$631-1)/SUMPRODUCT(--($D$631:$V$631=Q$631),--($D1377:$V1377=1)),0)+SUM(Q774)+IF(COUNTIF(Q$1237:Q1377,1)=1,5,0)+IF(COUNTIF(R775:$W775,"&gt;"&amp;0)&lt;5,IF(AND(COUNTIF(Q$1237:Q1377,1)&gt;7,MOD(1+IFERROR(MATCH($C775,总览!$D$46:$D$345,1)+1,1),7)=0),$C$3,0),0)</f>
        <v>167.931249999999</v>
      </c>
      <c r="R775" s="131" cm="1">
        <f ca="1" t="array" ref="R775">IF(R1377=1,OFFSET($W$634,$B775,R$631-1)/SUMPRODUCT(--($D$631:$V$631=R$631),--($D1377:$V1377=1)),0)+SUM(R774)+IF(COUNTIF(R$1237:R1377,1)=1,5,0)+IF(COUNTIF(S775:$W775,"&gt;"&amp;0)&lt;5,IF(AND(COUNTIF(R$1237:R1377,1)&gt;7,MOD(1+IFERROR(MATCH($C775,总览!$D$46:$D$345,1)+1,1),7)=0),$C$3,0),0)</f>
        <v>159.55</v>
      </c>
      <c r="S775" s="131" cm="1">
        <f ca="1" t="array" ref="S775">IF(S1377=1,OFFSET($W$634,$B775,S$631-1)/SUMPRODUCT(--($D$631:$V$631=S$631),--($D1377:$V1377=1)),0)+SUM(S774)+IF(COUNTIF(S$1237:S1377,1)=1,5,0)+IF(COUNTIF(T775:$W775,"&gt;"&amp;0)&lt;5,IF(AND(COUNTIF(S$1237:S1377,1)&gt;7,MOD(1+IFERROR(MATCH($C775,总览!$D$46:$D$345,1)+1,1),7)=0),$C$3,0),0)</f>
        <v>217.049999999999</v>
      </c>
      <c r="T775" s="131" cm="1">
        <f ca="1" t="array" ref="T775">IF(T1377=1,OFFSET($W$634,$B775,T$631-1)/SUMPRODUCT(--($D$631:$V$631=T$631),--($D1377:$V1377=1)),0)+SUM(T774)+IF(COUNTIF(T$1237:T1377,1)=1,5,0)+IF(COUNTIF(U775:$W775,"&gt;"&amp;0)&lt;5,IF(AND(COUNTIF(T$1237:T1377,1)&gt;7,MOD(1+IFERROR(MATCH($C775,总览!$D$46:$D$345,1)+1,1),7)=0),$C$3,0),0)</f>
        <v>148.204949622426</v>
      </c>
      <c r="U775" s="131" cm="1">
        <f ca="1" t="array" ref="U775">IF(U1377=1,OFFSET($W$634,$B775,U$631-1)/SUMPRODUCT(--($D$631:$V$631=U$631),--($D1377:$V1377=1)),0)+SUM(U774)+IF(COUNTIF(U$1237:U1377,1)=1,5,0)+IF(COUNTIF(V775:$W775,"&gt;"&amp;0)&lt;5,IF(AND(COUNTIF(U$1237:U1377,1)&gt;7,MOD(1+IFERROR(MATCH($C775,总览!$D$46:$D$345,1)+1,1),7)=0),$C$3,0),0)</f>
        <v>153.725735977726</v>
      </c>
      <c r="V775" s="131" cm="1">
        <f ca="1" t="array" ref="V775">IF(V1377=1,OFFSET($W$634,$B775,V$631-1)/SUMPRODUCT(--($D$631:$V$631=V$631),--($D1377:$V1377=1)),0)+SUM(V774)+IF(COUNTIF(V$1237:V1377,1)=1,5,0)+IF(COUNTIF(W775:$W775,"&gt;"&amp;0)&lt;5,IF(AND(COUNTIF(V$1237:V1377,1)&gt;7,MOD(1+IFERROR(MATCH($C775,总览!$D$46:$D$345,1)+1,1),7)=0),$C$3,0),0)</f>
        <v>173.55273569016</v>
      </c>
      <c r="W775" s="135" cm="1">
        <f ca="1" t="array" ref="W775">SUMPRODUCT(TRANSPOSE($AA775:$AG775),OFFSET($L$9:$L$15,0,W$631-1))</f>
        <v>16.8502200646615</v>
      </c>
      <c r="X775" s="135" cm="1">
        <f ca="1" t="array" ref="X775">SUMPRODUCT(TRANSPOSE($AA775:$AG775),OFFSET($L$9:$L$15,0,X$631-1))</f>
        <v>20</v>
      </c>
      <c r="Y775" s="135" cm="1">
        <f ca="1" t="array" ref="Y775">SUMPRODUCT(TRANSPOSE($AA775:$AG775),OFFSET($L$9:$L$15,0,Y$631-1))</f>
        <v>10</v>
      </c>
      <c r="Z775" s="135" cm="1">
        <f ca="1" t="array" ref="Z775">SUMPRODUCT(TRANSPOSE($AA775:$AG775),OFFSET($L$9:$L$15,0,Z$631-1))</f>
        <v>3.14977993533847</v>
      </c>
      <c r="AA775" s="136">
        <f ca="1" t="shared" ref="AA775:AG775" si="525">AH775-AH774</f>
        <v>0</v>
      </c>
      <c r="AB775" s="136">
        <f ca="1" t="shared" si="525"/>
        <v>0</v>
      </c>
      <c r="AC775" s="136">
        <f ca="1" t="shared" si="525"/>
        <v>0</v>
      </c>
      <c r="AD775" s="136">
        <f ca="1" t="shared" si="525"/>
        <v>0</v>
      </c>
      <c r="AE775" s="136">
        <f ca="1" t="shared" si="525"/>
        <v>0</v>
      </c>
      <c r="AF775" s="136">
        <f ca="1" t="shared" si="525"/>
        <v>85</v>
      </c>
      <c r="AG775" s="136">
        <f ca="1" t="shared" si="525"/>
        <v>15</v>
      </c>
      <c r="AH775" s="136">
        <f ca="1" t="shared" si="501"/>
        <v>450</v>
      </c>
      <c r="AI775" s="136">
        <f ca="1" t="shared" ref="AI775:AN775" si="526">IF($C775&gt;OFFSET($Q$8,MATCH(AI$634,$AH$634:$AN$634,0),0),OFFSET($P$8,MATCH(AI$634,$AH$634:$AN$634,0),0),MAX(0,$C775-OFFSET($Q$8,RIGHT(AI$634,1)-1,0)))</f>
        <v>909</v>
      </c>
      <c r="AJ775" s="136">
        <f ca="1" t="shared" si="526"/>
        <v>1818</v>
      </c>
      <c r="AK775" s="136">
        <f ca="1" t="shared" si="526"/>
        <v>2727</v>
      </c>
      <c r="AL775" s="136">
        <f ca="1" t="shared" si="526"/>
        <v>3636</v>
      </c>
      <c r="AM775" s="136">
        <f ca="1" t="shared" si="526"/>
        <v>4545</v>
      </c>
      <c r="AN775" s="136">
        <f ca="1" t="shared" si="526"/>
        <v>15</v>
      </c>
    </row>
    <row r="776" s="106" customFormat="1" ht="16.5" spans="2:40">
      <c r="B776" s="117">
        <v>142</v>
      </c>
      <c r="C776" s="130">
        <f t="shared" si="499"/>
        <v>14200</v>
      </c>
      <c r="D776" s="131" cm="1">
        <f ca="1" t="array" ref="D776">IF(D1378=1,OFFSET($W$634,$B776,D$631-1)/SUMPRODUCT(--($D$631:$V$631=D$631),--($D1378:$V1378=1)),0)+SUM(D775)+IF(COUNTIF(D$1237:D1378,1)=1,5,0)+IF(COUNTIF(E776:$W776,"&gt;"&amp;0)&lt;5,IF(AND(COUNTIF(D$1237:D1378,1)&gt;7,MOD(1+IFERROR(MATCH($C776,总览!$D$46:$D$345,1)+1,1),7)=0),$C$3,0),0)</f>
        <v>1125.28059959145</v>
      </c>
      <c r="E776" s="131" cm="1">
        <f ca="1" t="array" ref="E776">IF(E1378=1,OFFSET($W$634,$B776,E$631-1)/SUMPRODUCT(--($D$631:$V$631=E$631),--($D1378:$V1378=1)),0)+SUM(E775)+IF(COUNTIF(E$1237:E1378,1)=1,5,0)+IF(COUNTIF(F776:$W776,"&gt;"&amp;0)&lt;5,IF(AND(COUNTIF(E$1237:E1378,1)&gt;7,MOD(1+IFERROR(MATCH($C776,总览!$D$46:$D$345,1)+1,1),7)=0),$C$3,0),0)</f>
        <v>1125.28059959145</v>
      </c>
      <c r="F776" s="131" cm="1">
        <f ca="1" t="array" ref="F776">IF(F1378=1,OFFSET($W$634,$B776,F$631-1)/SUMPRODUCT(--($D$631:$V$631=F$631),--($D1378:$V1378=1)),0)+SUM(F775)+IF(COUNTIF(F$1237:F1378,1)=1,5,0)+IF(COUNTIF(G776:$W776,"&gt;"&amp;0)&lt;5,IF(AND(COUNTIF(F$1237:F1378,1)&gt;7,MOD(1+IFERROR(MATCH($C776,总览!$D$46:$D$345,1)+1,1),7)=0),$C$3,0),0)</f>
        <v>1125.28059959145</v>
      </c>
      <c r="G776" s="131" cm="1">
        <f ca="1" t="array" ref="G776">IF(G1378=1,OFFSET($W$634,$B776,G$631-1)/SUMPRODUCT(--($D$631:$V$631=G$631),--($D1378:$V1378=1)),0)+SUM(G775)+IF(COUNTIF(G$1237:G1378,1)=1,5,0)+IF(COUNTIF(H776:$W776,"&gt;"&amp;0)&lt;5,IF(AND(COUNTIF(G$1237:G1378,1)&gt;7,MOD(1+IFERROR(MATCH($C776,总览!$D$46:$D$345,1)+1,1),7)=0),$C$3,0),0)</f>
        <v>412.733333333332</v>
      </c>
      <c r="H776" s="131" cm="1">
        <f ca="1" t="array" ref="H776">IF(H1378=1,OFFSET($W$634,$B776,H$631-1)/SUMPRODUCT(--($D$631:$V$631=H$631),--($D1378:$V1378=1)),0)+SUM(H775)+IF(COUNTIF(H$1237:H1378,1)=1,5,0)+IF(COUNTIF(I776:$W776,"&gt;"&amp;0)&lt;5,IF(AND(COUNTIF(H$1237:H1378,1)&gt;7,MOD(1+IFERROR(MATCH($C776,总览!$D$46:$D$345,1)+1,1),7)=0),$C$3,0),0)</f>
        <v>412.733333333332</v>
      </c>
      <c r="I776" s="131" cm="1">
        <f ca="1" t="array" ref="I776">IF(I1378=1,OFFSET($W$634,$B776,I$631-1)/SUMPRODUCT(--($D$631:$V$631=I$631),--($D1378:$V1378=1)),0)+SUM(I775)+IF(COUNTIF(I$1237:I1378,1)=1,5,0)+IF(COUNTIF(J776:$W776,"&gt;"&amp;0)&lt;5,IF(AND(COUNTIF(I$1237:I1378,1)&gt;7,MOD(1+IFERROR(MATCH($C776,总览!$D$46:$D$345,1)+1,1),7)=0),$C$3,0),0)</f>
        <v>412.733333333332</v>
      </c>
      <c r="J776" s="131" cm="1">
        <f ca="1" t="array" ref="J776">IF(J1378=1,OFFSET($W$634,$B776,J$631-1)/SUMPRODUCT(--($D$631:$V$631=J$631),--($D1378:$V1378=1)),0)+SUM(J775)+IF(COUNTIF(J$1237:J1378,1)=1,5,0)+IF(COUNTIF(K776:$W776,"&gt;"&amp;0)&lt;5,IF(AND(COUNTIF(J$1237:J1378,1)&gt;7,MOD(1+IFERROR(MATCH($C776,总览!$D$46:$D$345,1)+1,1),7)=0),$C$3,0),0)</f>
        <v>409.399999999999</v>
      </c>
      <c r="K776" s="131" cm="1">
        <f ca="1" t="array" ref="K776">IF(K1378=1,OFFSET($W$634,$B776,K$631-1)/SUMPRODUCT(--($D$631:$V$631=K$631),--($D1378:$V1378=1)),0)+SUM(K775)+IF(COUNTIF(K$1237:K1378,1)=1,5,0)+IF(COUNTIF(L776:$W776,"&gt;"&amp;0)&lt;5,IF(AND(COUNTIF(K$1237:K1378,1)&gt;7,MOD(1+IFERROR(MATCH($C776,总览!$D$46:$D$345,1)+1,1),7)=0),$C$3,0),0)</f>
        <v>406.899999999999</v>
      </c>
      <c r="L776" s="131" cm="1">
        <f ca="1" t="array" ref="L776">IF(L1378=1,OFFSET($W$634,$B776,L$631-1)/SUMPRODUCT(--($D$631:$V$631=L$631),--($D1378:$V1378=1)),0)+SUM(L775)+IF(COUNTIF(L$1237:L1378,1)=1,5,0)+IF(COUNTIF(M776:$W776,"&gt;"&amp;0)&lt;5,IF(AND(COUNTIF(L$1237:L1378,1)&gt;7,MOD(1+IFERROR(MATCH($C776,总览!$D$46:$D$345,1)+1,1),7)=0),$C$3,0),0)</f>
        <v>406.899999999999</v>
      </c>
      <c r="M776" s="131" cm="1">
        <f ca="1" t="array" ref="M776">IF(M1378=1,OFFSET($W$634,$B776,M$631-1)/SUMPRODUCT(--($D$631:$V$631=M$631),--($D1378:$V1378=1)),0)+SUM(M775)+IF(COUNTIF(M$1237:M1378,1)=1,5,0)+IF(COUNTIF(N776:$W776,"&gt;"&amp;0)&lt;5,IF(AND(COUNTIF(M$1237:M1378,1)&gt;7,MOD(1+IFERROR(MATCH($C776,总览!$D$46:$D$345,1)+1,1),7)=0),$C$3,0),0)</f>
        <v>160.609821428571</v>
      </c>
      <c r="N776" s="131" cm="1">
        <f ca="1" t="array" ref="N776">IF(N1378=1,OFFSET($W$634,$B776,N$631-1)/SUMPRODUCT(--($D$631:$V$631=N$631),--($D1378:$V1378=1)),0)+SUM(N775)+IF(COUNTIF(N$1237:N1378,1)=1,5,0)+IF(COUNTIF(O776:$W776,"&gt;"&amp;0)&lt;5,IF(AND(COUNTIF(N$1237:N1378,1)&gt;7,MOD(1+IFERROR(MATCH($C776,总览!$D$46:$D$345,1)+1,1),7)=0),$C$3,0),0)</f>
        <v>161.859821428571</v>
      </c>
      <c r="O776" s="131" cm="1">
        <f ca="1" t="array" ref="O776">IF(O1378=1,OFFSET($W$634,$B776,O$631-1)/SUMPRODUCT(--($D$631:$V$631=O$631),--($D1378:$V1378=1)),0)+SUM(O775)+IF(COUNTIF(O$1237:O1378,1)=1,5,0)+IF(COUNTIF(P776:$W776,"&gt;"&amp;0)&lt;5,IF(AND(COUNTIF(O$1237:O1378,1)&gt;7,MOD(1+IFERROR(MATCH($C776,总览!$D$46:$D$345,1)+1,1),7)=0),$C$3,0),0)</f>
        <v>166.859821428571</v>
      </c>
      <c r="P776" s="131" cm="1">
        <f ca="1" t="array" ref="P776">IF(P1378=1,OFFSET($W$634,$B776,P$631-1)/SUMPRODUCT(--($D$631:$V$631=P$631),--($D1378:$V1378=1)),0)+SUM(P775)+IF(COUNTIF(P$1237:P1378,1)=1,5,0)+IF(COUNTIF(Q776:$W776,"&gt;"&amp;0)&lt;5,IF(AND(COUNTIF(P$1237:P1378,1)&gt;7,MOD(1+IFERROR(MATCH($C776,总览!$D$46:$D$345,1)+1,1),7)=0),$C$3,0),0)</f>
        <v>155.978571428571</v>
      </c>
      <c r="Q776" s="131" cm="1">
        <f ca="1" t="array" ref="Q776">IF(Q1378=1,OFFSET($W$634,$B776,Q$631-1)/SUMPRODUCT(--($D$631:$V$631=Q$631),--($D1378:$V1378=1)),0)+SUM(Q775)+IF(COUNTIF(Q$1237:Q1378,1)=1,5,0)+IF(COUNTIF(R776:$W776,"&gt;"&amp;0)&lt;5,IF(AND(COUNTIF(Q$1237:Q1378,1)&gt;7,MOD(1+IFERROR(MATCH($C776,总览!$D$46:$D$345,1)+1,1),7)=0),$C$3,0),0)</f>
        <v>169.359821428571</v>
      </c>
      <c r="R776" s="131" cm="1">
        <f ca="1" t="array" ref="R776">IF(R1378=1,OFFSET($W$634,$B776,R$631-1)/SUMPRODUCT(--($D$631:$V$631=R$631),--($D1378:$V1378=1)),0)+SUM(R775)+IF(COUNTIF(R$1237:R1378,1)=1,5,0)+IF(COUNTIF(S776:$W776,"&gt;"&amp;0)&lt;5,IF(AND(COUNTIF(R$1237:R1378,1)&gt;7,MOD(1+IFERROR(MATCH($C776,总览!$D$46:$D$345,1)+1,1),7)=0),$C$3,0),0)</f>
        <v>160.978571428571</v>
      </c>
      <c r="S776" s="131" cm="1">
        <f ca="1" t="array" ref="S776">IF(S1378=1,OFFSET($W$634,$B776,S$631-1)/SUMPRODUCT(--($D$631:$V$631=S$631),--($D1378:$V1378=1)),0)+SUM(S775)+IF(COUNTIF(S$1237:S1378,1)=1,5,0)+IF(COUNTIF(T776:$W776,"&gt;"&amp;0)&lt;5,IF(AND(COUNTIF(S$1237:S1378,1)&gt;7,MOD(1+IFERROR(MATCH($C776,总览!$D$46:$D$345,1)+1,1),7)=0),$C$3,0),0)</f>
        <v>223.478571428571</v>
      </c>
      <c r="T776" s="131" cm="1">
        <f ca="1" t="array" ref="T776">IF(T1378=1,OFFSET($W$634,$B776,T$631-1)/SUMPRODUCT(--($D$631:$V$631=T$631),--($D1378:$V1378=1)),0)+SUM(T775)+IF(COUNTIF(T$1237:T1378,1)=1,5,0)+IF(COUNTIF(U776:$W776,"&gt;"&amp;0)&lt;5,IF(AND(COUNTIF(T$1237:T1378,1)&gt;7,MOD(1+IFERROR(MATCH($C776,总览!$D$46:$D$345,1)+1,1),7)=0),$C$3,0),0)</f>
        <v>154.254876267539</v>
      </c>
      <c r="U776" s="131" cm="1">
        <f ca="1" t="array" ref="U776">IF(U1378=1,OFFSET($W$634,$B776,U$631-1)/SUMPRODUCT(--($D$631:$V$631=U$631),--($D1378:$V1378=1)),0)+SUM(U775)+IF(COUNTIF(U$1237:U1378,1)=1,5,0)+IF(COUNTIF(V776:$W776,"&gt;"&amp;0)&lt;5,IF(AND(COUNTIF(U$1237:U1378,1)&gt;7,MOD(1+IFERROR(MATCH($C776,总览!$D$46:$D$345,1)+1,1),7)=0),$C$3,0),0)</f>
        <v>159.775662622839</v>
      </c>
      <c r="V776" s="131" cm="1">
        <f ca="1" t="array" ref="V776">IF(V1378=1,OFFSET($W$634,$B776,V$631-1)/SUMPRODUCT(--($D$631:$V$631=V$631),--($D1378:$V1378=1)),0)+SUM(V775)+IF(COUNTIF(V$1237:V1378,1)=1,5,0)+IF(COUNTIF(W776:$W776,"&gt;"&amp;0)&lt;5,IF(AND(COUNTIF(V$1237:V1378,1)&gt;7,MOD(1+IFERROR(MATCH($C776,总览!$D$46:$D$345,1)+1,1),7)=0),$C$3,0),0)</f>
        <v>179.602662335272</v>
      </c>
      <c r="W776" s="135" cm="1">
        <f ca="1" t="array" ref="W776">SUMPRODUCT(TRANSPOSE($AA776:$AG776),OFFSET($L$9:$L$15,0,W$631-1))</f>
        <v>16.8502200646615</v>
      </c>
      <c r="X776" s="135" cm="1">
        <f ca="1" t="array" ref="X776">SUMPRODUCT(TRANSPOSE($AA776:$AG776),OFFSET($L$9:$L$15,0,X$631-1))</f>
        <v>20</v>
      </c>
      <c r="Y776" s="135" cm="1">
        <f ca="1" t="array" ref="Y776">SUMPRODUCT(TRANSPOSE($AA776:$AG776),OFFSET($L$9:$L$15,0,Y$631-1))</f>
        <v>10</v>
      </c>
      <c r="Z776" s="135" cm="1">
        <f ca="1" t="array" ref="Z776">SUMPRODUCT(TRANSPOSE($AA776:$AG776),OFFSET($L$9:$L$15,0,Z$631-1))</f>
        <v>3.14977993533847</v>
      </c>
      <c r="AA776" s="136">
        <f ca="1" t="shared" ref="AA776:AG776" si="527">AH776-AH775</f>
        <v>0</v>
      </c>
      <c r="AB776" s="136">
        <f ca="1" t="shared" si="527"/>
        <v>0</v>
      </c>
      <c r="AC776" s="136">
        <f ca="1" t="shared" si="527"/>
        <v>0</v>
      </c>
      <c r="AD776" s="136">
        <f ca="1" t="shared" si="527"/>
        <v>0</v>
      </c>
      <c r="AE776" s="136">
        <f ca="1" t="shared" si="527"/>
        <v>0</v>
      </c>
      <c r="AF776" s="136">
        <f ca="1" t="shared" si="527"/>
        <v>0</v>
      </c>
      <c r="AG776" s="136">
        <f ca="1" t="shared" si="527"/>
        <v>100</v>
      </c>
      <c r="AH776" s="136">
        <f ca="1" t="shared" si="501"/>
        <v>450</v>
      </c>
      <c r="AI776" s="136">
        <f ca="1" t="shared" ref="AI776:AN776" si="528">IF($C776&gt;OFFSET($Q$8,MATCH(AI$634,$AH$634:$AN$634,0),0),OFFSET($P$8,MATCH(AI$634,$AH$634:$AN$634,0),0),MAX(0,$C776-OFFSET($Q$8,RIGHT(AI$634,1)-1,0)))</f>
        <v>909</v>
      </c>
      <c r="AJ776" s="136">
        <f ca="1" t="shared" si="528"/>
        <v>1818</v>
      </c>
      <c r="AK776" s="136">
        <f ca="1" t="shared" si="528"/>
        <v>2727</v>
      </c>
      <c r="AL776" s="136">
        <f ca="1" t="shared" si="528"/>
        <v>3636</v>
      </c>
      <c r="AM776" s="136">
        <f ca="1" t="shared" si="528"/>
        <v>4545</v>
      </c>
      <c r="AN776" s="136">
        <f ca="1" t="shared" si="528"/>
        <v>115</v>
      </c>
    </row>
    <row r="777" s="106" customFormat="1" ht="16.5" spans="2:40">
      <c r="B777" s="117">
        <v>143</v>
      </c>
      <c r="C777" s="130">
        <f t="shared" si="499"/>
        <v>14300</v>
      </c>
      <c r="D777" s="131" cm="1">
        <f ca="1" t="array" ref="D777">IF(D1379=1,OFFSET($W$634,$B777,D$631-1)/SUMPRODUCT(--($D$631:$V$631=D$631),--($D1379:$V1379=1)),0)+SUM(D776)+IF(COUNTIF(D$1237:D1379,1)=1,5,0)+IF(COUNTIF(E777:$W777,"&gt;"&amp;0)&lt;5,IF(AND(COUNTIF(D$1237:D1379,1)&gt;7,MOD(1+IFERROR(MATCH($C777,总览!$D$46:$D$345,1)+1,1),7)=0),$C$3,0),0)</f>
        <v>1130.897339613</v>
      </c>
      <c r="E777" s="131" cm="1">
        <f ca="1" t="array" ref="E777">IF(E1379=1,OFFSET($W$634,$B777,E$631-1)/SUMPRODUCT(--($D$631:$V$631=E$631),--($D1379:$V1379=1)),0)+SUM(E776)+IF(COUNTIF(E$1237:E1379,1)=1,5,0)+IF(COUNTIF(F777:$W777,"&gt;"&amp;0)&lt;5,IF(AND(COUNTIF(E$1237:E1379,1)&gt;7,MOD(1+IFERROR(MATCH($C777,总览!$D$46:$D$345,1)+1,1),7)=0),$C$3,0),0)</f>
        <v>1130.897339613</v>
      </c>
      <c r="F777" s="131" cm="1">
        <f ca="1" t="array" ref="F777">IF(F1379=1,OFFSET($W$634,$B777,F$631-1)/SUMPRODUCT(--($D$631:$V$631=F$631),--($D1379:$V1379=1)),0)+SUM(F776)+IF(COUNTIF(F$1237:F1379,1)=1,5,0)+IF(COUNTIF(G777:$W777,"&gt;"&amp;0)&lt;5,IF(AND(COUNTIF(F$1237:F1379,1)&gt;7,MOD(1+IFERROR(MATCH($C777,总览!$D$46:$D$345,1)+1,1),7)=0),$C$3,0),0)</f>
        <v>1130.897339613</v>
      </c>
      <c r="G777" s="131" cm="1">
        <f ca="1" t="array" ref="G777">IF(G1379=1,OFFSET($W$634,$B777,G$631-1)/SUMPRODUCT(--($D$631:$V$631=G$631),--($D1379:$V1379=1)),0)+SUM(G776)+IF(COUNTIF(G$1237:G1379,1)=1,5,0)+IF(COUNTIF(H777:$W777,"&gt;"&amp;0)&lt;5,IF(AND(COUNTIF(G$1237:G1379,1)&gt;7,MOD(1+IFERROR(MATCH($C777,总览!$D$46:$D$345,1)+1,1),7)=0),$C$3,0),0)</f>
        <v>416.066666666666</v>
      </c>
      <c r="H777" s="131" cm="1">
        <f ca="1" t="array" ref="H777">IF(H1379=1,OFFSET($W$634,$B777,H$631-1)/SUMPRODUCT(--($D$631:$V$631=H$631),--($D1379:$V1379=1)),0)+SUM(H776)+IF(COUNTIF(H$1237:H1379,1)=1,5,0)+IF(COUNTIF(I777:$W777,"&gt;"&amp;0)&lt;5,IF(AND(COUNTIF(H$1237:H1379,1)&gt;7,MOD(1+IFERROR(MATCH($C777,总览!$D$46:$D$345,1)+1,1),7)=0),$C$3,0),0)</f>
        <v>416.066666666666</v>
      </c>
      <c r="I777" s="131" cm="1">
        <f ca="1" t="array" ref="I777">IF(I1379=1,OFFSET($W$634,$B777,I$631-1)/SUMPRODUCT(--($D$631:$V$631=I$631),--($D1379:$V1379=1)),0)+SUM(I776)+IF(COUNTIF(I$1237:I1379,1)=1,5,0)+IF(COUNTIF(J777:$W777,"&gt;"&amp;0)&lt;5,IF(AND(COUNTIF(I$1237:I1379,1)&gt;7,MOD(1+IFERROR(MATCH($C777,总览!$D$46:$D$345,1)+1,1),7)=0),$C$3,0),0)</f>
        <v>416.066666666666</v>
      </c>
      <c r="J777" s="131" cm="1">
        <f ca="1" t="array" ref="J777">IF(J1379=1,OFFSET($W$634,$B777,J$631-1)/SUMPRODUCT(--($D$631:$V$631=J$631),--($D1379:$V1379=1)),0)+SUM(J776)+IF(COUNTIF(J$1237:J1379,1)=1,5,0)+IF(COUNTIF(K777:$W777,"&gt;"&amp;0)&lt;5,IF(AND(COUNTIF(J$1237:J1379,1)&gt;7,MOD(1+IFERROR(MATCH($C777,总览!$D$46:$D$345,1)+1,1),7)=0),$C$3,0),0)</f>
        <v>412.733333333332</v>
      </c>
      <c r="K777" s="131" cm="1">
        <f ca="1" t="array" ref="K777">IF(K1379=1,OFFSET($W$634,$B777,K$631-1)/SUMPRODUCT(--($D$631:$V$631=K$631),--($D1379:$V1379=1)),0)+SUM(K776)+IF(COUNTIF(K$1237:K1379,1)=1,5,0)+IF(COUNTIF(L777:$W777,"&gt;"&amp;0)&lt;5,IF(AND(COUNTIF(K$1237:K1379,1)&gt;7,MOD(1+IFERROR(MATCH($C777,总览!$D$46:$D$345,1)+1,1),7)=0),$C$3,0),0)</f>
        <v>410.233333333333</v>
      </c>
      <c r="L777" s="131" cm="1">
        <f ca="1" t="array" ref="L777">IF(L1379=1,OFFSET($W$634,$B777,L$631-1)/SUMPRODUCT(--($D$631:$V$631=L$631),--($D1379:$V1379=1)),0)+SUM(L776)+IF(COUNTIF(L$1237:L1379,1)=1,5,0)+IF(COUNTIF(M777:$W777,"&gt;"&amp;0)&lt;5,IF(AND(COUNTIF(L$1237:L1379,1)&gt;7,MOD(1+IFERROR(MATCH($C777,总览!$D$46:$D$345,1)+1,1),7)=0),$C$3,0),0)</f>
        <v>410.233333333333</v>
      </c>
      <c r="M777" s="131" cm="1">
        <f ca="1" t="array" ref="M777">IF(M1379=1,OFFSET($W$634,$B777,M$631-1)/SUMPRODUCT(--($D$631:$V$631=M$631),--($D1379:$V1379=1)),0)+SUM(M776)+IF(COUNTIF(M$1237:M1379,1)=1,5,0)+IF(COUNTIF(N777:$W777,"&gt;"&amp;0)&lt;5,IF(AND(COUNTIF(M$1237:M1379,1)&gt;7,MOD(1+IFERROR(MATCH($C777,总览!$D$46:$D$345,1)+1,1),7)=0),$C$3,0),0)</f>
        <v>162.038392857142</v>
      </c>
      <c r="N777" s="131" cm="1">
        <f ca="1" t="array" ref="N777">IF(N1379=1,OFFSET($W$634,$B777,N$631-1)/SUMPRODUCT(--($D$631:$V$631=N$631),--($D1379:$V1379=1)),0)+SUM(N776)+IF(COUNTIF(N$1237:N1379,1)=1,5,0)+IF(COUNTIF(O777:$W777,"&gt;"&amp;0)&lt;5,IF(AND(COUNTIF(N$1237:N1379,1)&gt;7,MOD(1+IFERROR(MATCH($C777,总览!$D$46:$D$345,1)+1,1),7)=0),$C$3,0),0)</f>
        <v>163.288392857142</v>
      </c>
      <c r="O777" s="131" cm="1">
        <f ca="1" t="array" ref="O777">IF(O1379=1,OFFSET($W$634,$B777,O$631-1)/SUMPRODUCT(--($D$631:$V$631=O$631),--($D1379:$V1379=1)),0)+SUM(O776)+IF(COUNTIF(O$1237:O1379,1)=1,5,0)+IF(COUNTIF(P777:$W777,"&gt;"&amp;0)&lt;5,IF(AND(COUNTIF(O$1237:O1379,1)&gt;7,MOD(1+IFERROR(MATCH($C777,总览!$D$46:$D$345,1)+1,1),7)=0),$C$3,0),0)</f>
        <v>168.288392857142</v>
      </c>
      <c r="P777" s="131" cm="1">
        <f ca="1" t="array" ref="P777">IF(P1379=1,OFFSET($W$634,$B777,P$631-1)/SUMPRODUCT(--($D$631:$V$631=P$631),--($D1379:$V1379=1)),0)+SUM(P776)+IF(COUNTIF(P$1237:P1379,1)=1,5,0)+IF(COUNTIF(Q777:$W777,"&gt;"&amp;0)&lt;5,IF(AND(COUNTIF(P$1237:P1379,1)&gt;7,MOD(1+IFERROR(MATCH($C777,总览!$D$46:$D$345,1)+1,1),7)=0),$C$3,0),0)</f>
        <v>157.407142857143</v>
      </c>
      <c r="Q777" s="131" cm="1">
        <f ca="1" t="array" ref="Q777">IF(Q1379=1,OFFSET($W$634,$B777,Q$631-1)/SUMPRODUCT(--($D$631:$V$631=Q$631),--($D1379:$V1379=1)),0)+SUM(Q776)+IF(COUNTIF(Q$1237:Q1379,1)=1,5,0)+IF(COUNTIF(R777:$W777,"&gt;"&amp;0)&lt;5,IF(AND(COUNTIF(Q$1237:Q1379,1)&gt;7,MOD(1+IFERROR(MATCH($C777,总览!$D$46:$D$345,1)+1,1),7)=0),$C$3,0),0)</f>
        <v>170.788392857142</v>
      </c>
      <c r="R777" s="131" cm="1">
        <f ca="1" t="array" ref="R777">IF(R1379=1,OFFSET($W$634,$B777,R$631-1)/SUMPRODUCT(--($D$631:$V$631=R$631),--($D1379:$V1379=1)),0)+SUM(R776)+IF(COUNTIF(R$1237:R1379,1)=1,5,0)+IF(COUNTIF(S777:$W777,"&gt;"&amp;0)&lt;5,IF(AND(COUNTIF(R$1237:R1379,1)&gt;7,MOD(1+IFERROR(MATCH($C777,总览!$D$46:$D$345,1)+1,1),7)=0),$C$3,0),0)</f>
        <v>162.407142857142</v>
      </c>
      <c r="S777" s="131" cm="1">
        <f ca="1" t="array" ref="S777">IF(S1379=1,OFFSET($W$634,$B777,S$631-1)/SUMPRODUCT(--($D$631:$V$631=S$631),--($D1379:$V1379=1)),0)+SUM(S776)+IF(COUNTIF(S$1237:S1379,1)=1,5,0)+IF(COUNTIF(T777:$W777,"&gt;"&amp;0)&lt;5,IF(AND(COUNTIF(S$1237:S1379,1)&gt;7,MOD(1+IFERROR(MATCH($C777,总览!$D$46:$D$345,1)+1,1),7)=0),$C$3,0),0)</f>
        <v>224.907142857142</v>
      </c>
      <c r="T777" s="131" cm="1">
        <f ca="1" t="array" ref="T777">IF(T1379=1,OFFSET($W$634,$B777,T$631-1)/SUMPRODUCT(--($D$631:$V$631=T$631),--($D1379:$V1379=1)),0)+SUM(T776)+IF(COUNTIF(T$1237:T1379,1)=1,5,0)+IF(COUNTIF(U777:$W777,"&gt;"&amp;0)&lt;5,IF(AND(COUNTIF(T$1237:T1379,1)&gt;7,MOD(1+IFERROR(MATCH($C777,总览!$D$46:$D$345,1)+1,1),7)=0),$C$3,0),0)</f>
        <v>155.304802912652</v>
      </c>
      <c r="U777" s="131" cm="1">
        <f ca="1" t="array" ref="U777">IF(U1379=1,OFFSET($W$634,$B777,U$631-1)/SUMPRODUCT(--($D$631:$V$631=U$631),--($D1379:$V1379=1)),0)+SUM(U776)+IF(COUNTIF(U$1237:U1379,1)=1,5,0)+IF(COUNTIF(V777:$W777,"&gt;"&amp;0)&lt;5,IF(AND(COUNTIF(U$1237:U1379,1)&gt;7,MOD(1+IFERROR(MATCH($C777,总览!$D$46:$D$345,1)+1,1),7)=0),$C$3,0),0)</f>
        <v>160.825589267952</v>
      </c>
      <c r="V777" s="131" cm="1">
        <f ca="1" t="array" ref="V777">IF(V1379=1,OFFSET($W$634,$B777,V$631-1)/SUMPRODUCT(--($D$631:$V$631=V$631),--($D1379:$V1379=1)),0)+SUM(V776)+IF(COUNTIF(V$1237:V1379,1)=1,5,0)+IF(COUNTIF(W777:$W777,"&gt;"&amp;0)&lt;5,IF(AND(COUNTIF(V$1237:V1379,1)&gt;7,MOD(1+IFERROR(MATCH($C777,总览!$D$46:$D$345,1)+1,1),7)=0),$C$3,0),0)</f>
        <v>180.652588980385</v>
      </c>
      <c r="W777" s="135" cm="1">
        <f ca="1" t="array" ref="W777">SUMPRODUCT(TRANSPOSE($AA777:$AG777),OFFSET($L$9:$L$15,0,W$631-1))</f>
        <v>16.8502200646615</v>
      </c>
      <c r="X777" s="135" cm="1">
        <f ca="1" t="array" ref="X777">SUMPRODUCT(TRANSPOSE($AA777:$AG777),OFFSET($L$9:$L$15,0,X$631-1))</f>
        <v>20</v>
      </c>
      <c r="Y777" s="135" cm="1">
        <f ca="1" t="array" ref="Y777">SUMPRODUCT(TRANSPOSE($AA777:$AG777),OFFSET($L$9:$L$15,0,Y$631-1))</f>
        <v>10</v>
      </c>
      <c r="Z777" s="135" cm="1">
        <f ca="1" t="array" ref="Z777">SUMPRODUCT(TRANSPOSE($AA777:$AG777),OFFSET($L$9:$L$15,0,Z$631-1))</f>
        <v>3.14977993533847</v>
      </c>
      <c r="AA777" s="136">
        <f ca="1" t="shared" ref="AA777:AG777" si="529">AH777-AH776</f>
        <v>0</v>
      </c>
      <c r="AB777" s="136">
        <f ca="1" t="shared" si="529"/>
        <v>0</v>
      </c>
      <c r="AC777" s="136">
        <f ca="1" t="shared" si="529"/>
        <v>0</v>
      </c>
      <c r="AD777" s="136">
        <f ca="1" t="shared" si="529"/>
        <v>0</v>
      </c>
      <c r="AE777" s="136">
        <f ca="1" t="shared" si="529"/>
        <v>0</v>
      </c>
      <c r="AF777" s="136">
        <f ca="1" t="shared" si="529"/>
        <v>0</v>
      </c>
      <c r="AG777" s="136">
        <f ca="1" t="shared" si="529"/>
        <v>100</v>
      </c>
      <c r="AH777" s="136">
        <f ca="1" t="shared" si="501"/>
        <v>450</v>
      </c>
      <c r="AI777" s="136">
        <f ca="1" t="shared" ref="AI777:AN777" si="530">IF($C777&gt;OFFSET($Q$8,MATCH(AI$634,$AH$634:$AN$634,0),0),OFFSET($P$8,MATCH(AI$634,$AH$634:$AN$634,0),0),MAX(0,$C777-OFFSET($Q$8,RIGHT(AI$634,1)-1,0)))</f>
        <v>909</v>
      </c>
      <c r="AJ777" s="136">
        <f ca="1" t="shared" si="530"/>
        <v>1818</v>
      </c>
      <c r="AK777" s="136">
        <f ca="1" t="shared" si="530"/>
        <v>2727</v>
      </c>
      <c r="AL777" s="136">
        <f ca="1" t="shared" si="530"/>
        <v>3636</v>
      </c>
      <c r="AM777" s="136">
        <f ca="1" t="shared" si="530"/>
        <v>4545</v>
      </c>
      <c r="AN777" s="136">
        <f ca="1" t="shared" si="530"/>
        <v>215</v>
      </c>
    </row>
    <row r="778" s="106" customFormat="1" ht="16.5" spans="2:40">
      <c r="B778" s="117">
        <v>144</v>
      </c>
      <c r="C778" s="130">
        <f t="shared" si="499"/>
        <v>14400</v>
      </c>
      <c r="D778" s="131" cm="1">
        <f ca="1" t="array" ref="D778">IF(D1380=1,OFFSET($W$634,$B778,D$631-1)/SUMPRODUCT(--($D$631:$V$631=D$631),--($D1380:$V1380=1)),0)+SUM(D777)+IF(COUNTIF(D$1237:D1380,1)=1,5,0)+IF(COUNTIF(E778:$W778,"&gt;"&amp;0)&lt;5,IF(AND(COUNTIF(D$1237:D1380,1)&gt;7,MOD(1+IFERROR(MATCH($C778,总览!$D$46:$D$345,1)+1,1),7)=0),$C$3,0),0)</f>
        <v>1136.51407963456</v>
      </c>
      <c r="E778" s="131" cm="1">
        <f ca="1" t="array" ref="E778">IF(E1380=1,OFFSET($W$634,$B778,E$631-1)/SUMPRODUCT(--($D$631:$V$631=E$631),--($D1380:$V1380=1)),0)+SUM(E777)+IF(COUNTIF(E$1237:E1380,1)=1,5,0)+IF(COUNTIF(F778:$W778,"&gt;"&amp;0)&lt;5,IF(AND(COUNTIF(E$1237:E1380,1)&gt;7,MOD(1+IFERROR(MATCH($C778,总览!$D$46:$D$345,1)+1,1),7)=0),$C$3,0),0)</f>
        <v>1136.51407963456</v>
      </c>
      <c r="F778" s="131" cm="1">
        <f ca="1" t="array" ref="F778">IF(F1380=1,OFFSET($W$634,$B778,F$631-1)/SUMPRODUCT(--($D$631:$V$631=F$631),--($D1380:$V1380=1)),0)+SUM(F777)+IF(COUNTIF(F$1237:F1380,1)=1,5,0)+IF(COUNTIF(G778:$W778,"&gt;"&amp;0)&lt;5,IF(AND(COUNTIF(F$1237:F1380,1)&gt;7,MOD(1+IFERROR(MATCH($C778,总览!$D$46:$D$345,1)+1,1),7)=0),$C$3,0),0)</f>
        <v>1136.51407963456</v>
      </c>
      <c r="G778" s="131" cm="1">
        <f ca="1" t="array" ref="G778">IF(G1380=1,OFFSET($W$634,$B778,G$631-1)/SUMPRODUCT(--($D$631:$V$631=G$631),--($D1380:$V1380=1)),0)+SUM(G777)+IF(COUNTIF(G$1237:G1380,1)=1,5,0)+IF(COUNTIF(H778:$W778,"&gt;"&amp;0)&lt;5,IF(AND(COUNTIF(G$1237:G1380,1)&gt;7,MOD(1+IFERROR(MATCH($C778,总览!$D$46:$D$345,1)+1,1),7)=0),$C$3,0),0)</f>
        <v>419.399999999999</v>
      </c>
      <c r="H778" s="131" cm="1">
        <f ca="1" t="array" ref="H778">IF(H1380=1,OFFSET($W$634,$B778,H$631-1)/SUMPRODUCT(--($D$631:$V$631=H$631),--($D1380:$V1380=1)),0)+SUM(H777)+IF(COUNTIF(H$1237:H1380,1)=1,5,0)+IF(COUNTIF(I778:$W778,"&gt;"&amp;0)&lt;5,IF(AND(COUNTIF(H$1237:H1380,1)&gt;7,MOD(1+IFERROR(MATCH($C778,总览!$D$46:$D$345,1)+1,1),7)=0),$C$3,0),0)</f>
        <v>419.399999999999</v>
      </c>
      <c r="I778" s="131" cm="1">
        <f ca="1" t="array" ref="I778">IF(I1380=1,OFFSET($W$634,$B778,I$631-1)/SUMPRODUCT(--($D$631:$V$631=I$631),--($D1380:$V1380=1)),0)+SUM(I777)+IF(COUNTIF(I$1237:I1380,1)=1,5,0)+IF(COUNTIF(J778:$W778,"&gt;"&amp;0)&lt;5,IF(AND(COUNTIF(I$1237:I1380,1)&gt;7,MOD(1+IFERROR(MATCH($C778,总览!$D$46:$D$345,1)+1,1),7)=0),$C$3,0),0)</f>
        <v>419.399999999999</v>
      </c>
      <c r="J778" s="131" cm="1">
        <f ca="1" t="array" ref="J778">IF(J1380=1,OFFSET($W$634,$B778,J$631-1)/SUMPRODUCT(--($D$631:$V$631=J$631),--($D1380:$V1380=1)),0)+SUM(J777)+IF(COUNTIF(J$1237:J1380,1)=1,5,0)+IF(COUNTIF(K778:$W778,"&gt;"&amp;0)&lt;5,IF(AND(COUNTIF(J$1237:J1380,1)&gt;7,MOD(1+IFERROR(MATCH($C778,总览!$D$46:$D$345,1)+1,1),7)=0),$C$3,0),0)</f>
        <v>416.066666666666</v>
      </c>
      <c r="K778" s="131" cm="1">
        <f ca="1" t="array" ref="K778">IF(K1380=1,OFFSET($W$634,$B778,K$631-1)/SUMPRODUCT(--($D$631:$V$631=K$631),--($D1380:$V1380=1)),0)+SUM(K777)+IF(COUNTIF(K$1237:K1380,1)=1,5,0)+IF(COUNTIF(L778:$W778,"&gt;"&amp;0)&lt;5,IF(AND(COUNTIF(K$1237:K1380,1)&gt;7,MOD(1+IFERROR(MATCH($C778,总览!$D$46:$D$345,1)+1,1),7)=0),$C$3,0),0)</f>
        <v>413.566666666666</v>
      </c>
      <c r="L778" s="131" cm="1">
        <f ca="1" t="array" ref="L778">IF(L1380=1,OFFSET($W$634,$B778,L$631-1)/SUMPRODUCT(--($D$631:$V$631=L$631),--($D1380:$V1380=1)),0)+SUM(L777)+IF(COUNTIF(L$1237:L1380,1)=1,5,0)+IF(COUNTIF(M778:$W778,"&gt;"&amp;0)&lt;5,IF(AND(COUNTIF(L$1237:L1380,1)&gt;7,MOD(1+IFERROR(MATCH($C778,总览!$D$46:$D$345,1)+1,1),7)=0),$C$3,0),0)</f>
        <v>413.566666666666</v>
      </c>
      <c r="M778" s="131" cm="1">
        <f ca="1" t="array" ref="M778">IF(M1380=1,OFFSET($W$634,$B778,M$631-1)/SUMPRODUCT(--($D$631:$V$631=M$631),--($D1380:$V1380=1)),0)+SUM(M777)+IF(COUNTIF(M$1237:M1380,1)=1,5,0)+IF(COUNTIF(N778:$W778,"&gt;"&amp;0)&lt;5,IF(AND(COUNTIF(M$1237:M1380,1)&gt;7,MOD(1+IFERROR(MATCH($C778,总览!$D$46:$D$345,1)+1,1),7)=0),$C$3,0),0)</f>
        <v>163.466964285714</v>
      </c>
      <c r="N778" s="131" cm="1">
        <f ca="1" t="array" ref="N778">IF(N1380=1,OFFSET($W$634,$B778,N$631-1)/SUMPRODUCT(--($D$631:$V$631=N$631),--($D1380:$V1380=1)),0)+SUM(N777)+IF(COUNTIF(N$1237:N1380,1)=1,5,0)+IF(COUNTIF(O778:$W778,"&gt;"&amp;0)&lt;5,IF(AND(COUNTIF(N$1237:N1380,1)&gt;7,MOD(1+IFERROR(MATCH($C778,总览!$D$46:$D$345,1)+1,1),7)=0),$C$3,0),0)</f>
        <v>164.716964285714</v>
      </c>
      <c r="O778" s="131" cm="1">
        <f ca="1" t="array" ref="O778">IF(O1380=1,OFFSET($W$634,$B778,O$631-1)/SUMPRODUCT(--($D$631:$V$631=O$631),--($D1380:$V1380=1)),0)+SUM(O777)+IF(COUNTIF(O$1237:O1380,1)=1,5,0)+IF(COUNTIF(P778:$W778,"&gt;"&amp;0)&lt;5,IF(AND(COUNTIF(O$1237:O1380,1)&gt;7,MOD(1+IFERROR(MATCH($C778,总览!$D$46:$D$345,1)+1,1),7)=0),$C$3,0),0)</f>
        <v>169.716964285714</v>
      </c>
      <c r="P778" s="131" cm="1">
        <f ca="1" t="array" ref="P778">IF(P1380=1,OFFSET($W$634,$B778,P$631-1)/SUMPRODUCT(--($D$631:$V$631=P$631),--($D1380:$V1380=1)),0)+SUM(P777)+IF(COUNTIF(P$1237:P1380,1)=1,5,0)+IF(COUNTIF(Q778:$W778,"&gt;"&amp;0)&lt;5,IF(AND(COUNTIF(P$1237:P1380,1)&gt;7,MOD(1+IFERROR(MATCH($C778,总览!$D$46:$D$345,1)+1,1),7)=0),$C$3,0),0)</f>
        <v>158.835714285714</v>
      </c>
      <c r="Q778" s="131" cm="1">
        <f ca="1" t="array" ref="Q778">IF(Q1380=1,OFFSET($W$634,$B778,Q$631-1)/SUMPRODUCT(--($D$631:$V$631=Q$631),--($D1380:$V1380=1)),0)+SUM(Q777)+IF(COUNTIF(Q$1237:Q1380,1)=1,5,0)+IF(COUNTIF(R778:$W778,"&gt;"&amp;0)&lt;5,IF(AND(COUNTIF(Q$1237:Q1380,1)&gt;7,MOD(1+IFERROR(MATCH($C778,总览!$D$46:$D$345,1)+1,1),7)=0),$C$3,0),0)</f>
        <v>172.216964285714</v>
      </c>
      <c r="R778" s="131" cm="1">
        <f ca="1" t="array" ref="R778">IF(R1380=1,OFFSET($W$634,$B778,R$631-1)/SUMPRODUCT(--($D$631:$V$631=R$631),--($D1380:$V1380=1)),0)+SUM(R777)+IF(COUNTIF(R$1237:R1380,1)=1,5,0)+IF(COUNTIF(S778:$W778,"&gt;"&amp;0)&lt;5,IF(AND(COUNTIF(R$1237:R1380,1)&gt;7,MOD(1+IFERROR(MATCH($C778,总览!$D$46:$D$345,1)+1,1),7)=0),$C$3,0),0)</f>
        <v>163.835714285714</v>
      </c>
      <c r="S778" s="131" cm="1">
        <f ca="1" t="array" ref="S778">IF(S1380=1,OFFSET($W$634,$B778,S$631-1)/SUMPRODUCT(--($D$631:$V$631=S$631),--($D1380:$V1380=1)),0)+SUM(S777)+IF(COUNTIF(S$1237:S1380,1)=1,5,0)+IF(COUNTIF(T778:$W778,"&gt;"&amp;0)&lt;5,IF(AND(COUNTIF(S$1237:S1380,1)&gt;7,MOD(1+IFERROR(MATCH($C778,总览!$D$46:$D$345,1)+1,1),7)=0),$C$3,0),0)</f>
        <v>226.335714285714</v>
      </c>
      <c r="T778" s="131" cm="1">
        <f ca="1" t="array" ref="T778">IF(T1380=1,OFFSET($W$634,$B778,T$631-1)/SUMPRODUCT(--($D$631:$V$631=T$631),--($D1380:$V1380=1)),0)+SUM(T777)+IF(COUNTIF(T$1237:T1380,1)=1,5,0)+IF(COUNTIF(U778:$W778,"&gt;"&amp;0)&lt;5,IF(AND(COUNTIF(T$1237:T1380,1)&gt;7,MOD(1+IFERROR(MATCH($C778,总览!$D$46:$D$345,1)+1,1),7)=0),$C$3,0),0)</f>
        <v>156.354729557765</v>
      </c>
      <c r="U778" s="131" cm="1">
        <f ca="1" t="array" ref="U778">IF(U1380=1,OFFSET($W$634,$B778,U$631-1)/SUMPRODUCT(--($D$631:$V$631=U$631),--($D1380:$V1380=1)),0)+SUM(U777)+IF(COUNTIF(U$1237:U1380,1)=1,5,0)+IF(COUNTIF(V778:$W778,"&gt;"&amp;0)&lt;5,IF(AND(COUNTIF(U$1237:U1380,1)&gt;7,MOD(1+IFERROR(MATCH($C778,总览!$D$46:$D$345,1)+1,1),7)=0),$C$3,0),0)</f>
        <v>161.875515913065</v>
      </c>
      <c r="V778" s="131" cm="1">
        <f ca="1" t="array" ref="V778">IF(V1380=1,OFFSET($W$634,$B778,V$631-1)/SUMPRODUCT(--($D$631:$V$631=V$631),--($D1380:$V1380=1)),0)+SUM(V777)+IF(COUNTIF(V$1237:V1380,1)=1,5,0)+IF(COUNTIF(W778:$W778,"&gt;"&amp;0)&lt;5,IF(AND(COUNTIF(V$1237:V1380,1)&gt;7,MOD(1+IFERROR(MATCH($C778,总览!$D$46:$D$345,1)+1,1),7)=0),$C$3,0),0)</f>
        <v>181.702515625498</v>
      </c>
      <c r="W778" s="135" cm="1">
        <f ca="1" t="array" ref="W778">SUMPRODUCT(TRANSPOSE($AA778:$AG778),OFFSET($L$9:$L$15,0,W$631-1))</f>
        <v>16.8502200646615</v>
      </c>
      <c r="X778" s="135" cm="1">
        <f ca="1" t="array" ref="X778">SUMPRODUCT(TRANSPOSE($AA778:$AG778),OFFSET($L$9:$L$15,0,X$631-1))</f>
        <v>20</v>
      </c>
      <c r="Y778" s="135" cm="1">
        <f ca="1" t="array" ref="Y778">SUMPRODUCT(TRANSPOSE($AA778:$AG778),OFFSET($L$9:$L$15,0,Y$631-1))</f>
        <v>10</v>
      </c>
      <c r="Z778" s="135" cm="1">
        <f ca="1" t="array" ref="Z778">SUMPRODUCT(TRANSPOSE($AA778:$AG778),OFFSET($L$9:$L$15,0,Z$631-1))</f>
        <v>3.14977993533847</v>
      </c>
      <c r="AA778" s="136">
        <f ca="1" t="shared" ref="AA778:AG778" si="531">AH778-AH777</f>
        <v>0</v>
      </c>
      <c r="AB778" s="136">
        <f ca="1" t="shared" si="531"/>
        <v>0</v>
      </c>
      <c r="AC778" s="136">
        <f ca="1" t="shared" si="531"/>
        <v>0</v>
      </c>
      <c r="AD778" s="136">
        <f ca="1" t="shared" si="531"/>
        <v>0</v>
      </c>
      <c r="AE778" s="136">
        <f ca="1" t="shared" si="531"/>
        <v>0</v>
      </c>
      <c r="AF778" s="136">
        <f ca="1" t="shared" si="531"/>
        <v>0</v>
      </c>
      <c r="AG778" s="136">
        <f ca="1" t="shared" si="531"/>
        <v>100</v>
      </c>
      <c r="AH778" s="136">
        <f ca="1" t="shared" si="501"/>
        <v>450</v>
      </c>
      <c r="AI778" s="136">
        <f ca="1" t="shared" ref="AI778:AN778" si="532">IF($C778&gt;OFFSET($Q$8,MATCH(AI$634,$AH$634:$AN$634,0),0),OFFSET($P$8,MATCH(AI$634,$AH$634:$AN$634,0),0),MAX(0,$C778-OFFSET($Q$8,RIGHT(AI$634,1)-1,0)))</f>
        <v>909</v>
      </c>
      <c r="AJ778" s="136">
        <f ca="1" t="shared" si="532"/>
        <v>1818</v>
      </c>
      <c r="AK778" s="136">
        <f ca="1" t="shared" si="532"/>
        <v>2727</v>
      </c>
      <c r="AL778" s="136">
        <f ca="1" t="shared" si="532"/>
        <v>3636</v>
      </c>
      <c r="AM778" s="136">
        <f ca="1" t="shared" si="532"/>
        <v>4545</v>
      </c>
      <c r="AN778" s="136">
        <f ca="1" t="shared" si="532"/>
        <v>315</v>
      </c>
    </row>
    <row r="779" s="106" customFormat="1" ht="16.5" spans="2:40">
      <c r="B779" s="117">
        <v>145</v>
      </c>
      <c r="C779" s="130">
        <f t="shared" si="499"/>
        <v>14500</v>
      </c>
      <c r="D779" s="131" cm="1">
        <f ca="1" t="array" ref="D779">IF(D1381=1,OFFSET($W$634,$B779,D$631-1)/SUMPRODUCT(--($D$631:$V$631=D$631),--($D1381:$V1381=1)),0)+SUM(D778)+IF(COUNTIF(D$1237:D1381,1)=1,5,0)+IF(COUNTIF(E779:$W779,"&gt;"&amp;0)&lt;5,IF(AND(COUNTIF(D$1237:D1381,1)&gt;7,MOD(1+IFERROR(MATCH($C779,总览!$D$46:$D$345,1)+1,1),7)=0),$C$3,0),0)</f>
        <v>1142.13081965611</v>
      </c>
      <c r="E779" s="131" cm="1">
        <f ca="1" t="array" ref="E779">IF(E1381=1,OFFSET($W$634,$B779,E$631-1)/SUMPRODUCT(--($D$631:$V$631=E$631),--($D1381:$V1381=1)),0)+SUM(E778)+IF(COUNTIF(E$1237:E1381,1)=1,5,0)+IF(COUNTIF(F779:$W779,"&gt;"&amp;0)&lt;5,IF(AND(COUNTIF(E$1237:E1381,1)&gt;7,MOD(1+IFERROR(MATCH($C779,总览!$D$46:$D$345,1)+1,1),7)=0),$C$3,0),0)</f>
        <v>1142.13081965611</v>
      </c>
      <c r="F779" s="131" cm="1">
        <f ca="1" t="array" ref="F779">IF(F1381=1,OFFSET($W$634,$B779,F$631-1)/SUMPRODUCT(--($D$631:$V$631=F$631),--($D1381:$V1381=1)),0)+SUM(F778)+IF(COUNTIF(F$1237:F1381,1)=1,5,0)+IF(COUNTIF(G779:$W779,"&gt;"&amp;0)&lt;5,IF(AND(COUNTIF(F$1237:F1381,1)&gt;7,MOD(1+IFERROR(MATCH($C779,总览!$D$46:$D$345,1)+1,1),7)=0),$C$3,0),0)</f>
        <v>1142.13081965611</v>
      </c>
      <c r="G779" s="131" cm="1">
        <f ca="1" t="array" ref="G779">IF(G1381=1,OFFSET($W$634,$B779,G$631-1)/SUMPRODUCT(--($D$631:$V$631=G$631),--($D1381:$V1381=1)),0)+SUM(G778)+IF(COUNTIF(G$1237:G1381,1)=1,5,0)+IF(COUNTIF(H779:$W779,"&gt;"&amp;0)&lt;5,IF(AND(COUNTIF(G$1237:G1381,1)&gt;7,MOD(1+IFERROR(MATCH($C779,总览!$D$46:$D$345,1)+1,1),7)=0),$C$3,0),0)</f>
        <v>422.733333333332</v>
      </c>
      <c r="H779" s="131" cm="1">
        <f ca="1" t="array" ref="H779">IF(H1381=1,OFFSET($W$634,$B779,H$631-1)/SUMPRODUCT(--($D$631:$V$631=H$631),--($D1381:$V1381=1)),0)+SUM(H778)+IF(COUNTIF(H$1237:H1381,1)=1,5,0)+IF(COUNTIF(I779:$W779,"&gt;"&amp;0)&lt;5,IF(AND(COUNTIF(H$1237:H1381,1)&gt;7,MOD(1+IFERROR(MATCH($C779,总览!$D$46:$D$345,1)+1,1),7)=0),$C$3,0),0)</f>
        <v>422.733333333332</v>
      </c>
      <c r="I779" s="131" cm="1">
        <f ca="1" t="array" ref="I779">IF(I1381=1,OFFSET($W$634,$B779,I$631-1)/SUMPRODUCT(--($D$631:$V$631=I$631),--($D1381:$V1381=1)),0)+SUM(I778)+IF(COUNTIF(I$1237:I1381,1)=1,5,0)+IF(COUNTIF(J779:$W779,"&gt;"&amp;0)&lt;5,IF(AND(COUNTIF(I$1237:I1381,1)&gt;7,MOD(1+IFERROR(MATCH($C779,总览!$D$46:$D$345,1)+1,1),7)=0),$C$3,0),0)</f>
        <v>422.733333333332</v>
      </c>
      <c r="J779" s="131" cm="1">
        <f ca="1" t="array" ref="J779">IF(J1381=1,OFFSET($W$634,$B779,J$631-1)/SUMPRODUCT(--($D$631:$V$631=J$631),--($D1381:$V1381=1)),0)+SUM(J778)+IF(COUNTIF(J$1237:J1381,1)=1,5,0)+IF(COUNTIF(K779:$W779,"&gt;"&amp;0)&lt;5,IF(AND(COUNTIF(J$1237:J1381,1)&gt;7,MOD(1+IFERROR(MATCH($C779,总览!$D$46:$D$345,1)+1,1),7)=0),$C$3,0),0)</f>
        <v>419.399999999999</v>
      </c>
      <c r="K779" s="131" cm="1">
        <f ca="1" t="array" ref="K779">IF(K1381=1,OFFSET($W$634,$B779,K$631-1)/SUMPRODUCT(--($D$631:$V$631=K$631),--($D1381:$V1381=1)),0)+SUM(K778)+IF(COUNTIF(K$1237:K1381,1)=1,5,0)+IF(COUNTIF(L779:$W779,"&gt;"&amp;0)&lt;5,IF(AND(COUNTIF(K$1237:K1381,1)&gt;7,MOD(1+IFERROR(MATCH($C779,总览!$D$46:$D$345,1)+1,1),7)=0),$C$3,0),0)</f>
        <v>416.899999999999</v>
      </c>
      <c r="L779" s="131" cm="1">
        <f ca="1" t="array" ref="L779">IF(L1381=1,OFFSET($W$634,$B779,L$631-1)/SUMPRODUCT(--($D$631:$V$631=L$631),--($D1381:$V1381=1)),0)+SUM(L778)+IF(COUNTIF(L$1237:L1381,1)=1,5,0)+IF(COUNTIF(M779:$W779,"&gt;"&amp;0)&lt;5,IF(AND(COUNTIF(L$1237:L1381,1)&gt;7,MOD(1+IFERROR(MATCH($C779,总览!$D$46:$D$345,1)+1,1),7)=0),$C$3,0),0)</f>
        <v>416.899999999999</v>
      </c>
      <c r="M779" s="131" cm="1">
        <f ca="1" t="array" ref="M779">IF(M1381=1,OFFSET($W$634,$B779,M$631-1)/SUMPRODUCT(--($D$631:$V$631=M$631),--($D1381:$V1381=1)),0)+SUM(M778)+IF(COUNTIF(M$1237:M1381,1)=1,5,0)+IF(COUNTIF(N779:$W779,"&gt;"&amp;0)&lt;5,IF(AND(COUNTIF(M$1237:M1381,1)&gt;7,MOD(1+IFERROR(MATCH($C779,总览!$D$46:$D$345,1)+1,1),7)=0),$C$3,0),0)</f>
        <v>164.895535714285</v>
      </c>
      <c r="N779" s="131" cm="1">
        <f ca="1" t="array" ref="N779">IF(N1381=1,OFFSET($W$634,$B779,N$631-1)/SUMPRODUCT(--($D$631:$V$631=N$631),--($D1381:$V1381=1)),0)+SUM(N778)+IF(COUNTIF(N$1237:N1381,1)=1,5,0)+IF(COUNTIF(O779:$W779,"&gt;"&amp;0)&lt;5,IF(AND(COUNTIF(N$1237:N1381,1)&gt;7,MOD(1+IFERROR(MATCH($C779,总览!$D$46:$D$345,1)+1,1),7)=0),$C$3,0),0)</f>
        <v>166.145535714285</v>
      </c>
      <c r="O779" s="131" cm="1">
        <f ca="1" t="array" ref="O779">IF(O1381=1,OFFSET($W$634,$B779,O$631-1)/SUMPRODUCT(--($D$631:$V$631=O$631),--($D1381:$V1381=1)),0)+SUM(O778)+IF(COUNTIF(O$1237:O1381,1)=1,5,0)+IF(COUNTIF(P779:$W779,"&gt;"&amp;0)&lt;5,IF(AND(COUNTIF(O$1237:O1381,1)&gt;7,MOD(1+IFERROR(MATCH($C779,总览!$D$46:$D$345,1)+1,1),7)=0),$C$3,0),0)</f>
        <v>171.145535714285</v>
      </c>
      <c r="P779" s="131" cm="1">
        <f ca="1" t="array" ref="P779">IF(P1381=1,OFFSET($W$634,$B779,P$631-1)/SUMPRODUCT(--($D$631:$V$631=P$631),--($D1381:$V1381=1)),0)+SUM(P778)+IF(COUNTIF(P$1237:P1381,1)=1,5,0)+IF(COUNTIF(Q779:$W779,"&gt;"&amp;0)&lt;5,IF(AND(COUNTIF(P$1237:P1381,1)&gt;7,MOD(1+IFERROR(MATCH($C779,总览!$D$46:$D$345,1)+1,1),7)=0),$C$3,0),0)</f>
        <v>160.264285714285</v>
      </c>
      <c r="Q779" s="131" cm="1">
        <f ca="1" t="array" ref="Q779">IF(Q1381=1,OFFSET($W$634,$B779,Q$631-1)/SUMPRODUCT(--($D$631:$V$631=Q$631),--($D1381:$V1381=1)),0)+SUM(Q778)+IF(COUNTIF(Q$1237:Q1381,1)=1,5,0)+IF(COUNTIF(R779:$W779,"&gt;"&amp;0)&lt;5,IF(AND(COUNTIF(Q$1237:Q1381,1)&gt;7,MOD(1+IFERROR(MATCH($C779,总览!$D$46:$D$345,1)+1,1),7)=0),$C$3,0),0)</f>
        <v>173.645535714285</v>
      </c>
      <c r="R779" s="131" cm="1">
        <f ca="1" t="array" ref="R779">IF(R1381=1,OFFSET($W$634,$B779,R$631-1)/SUMPRODUCT(--($D$631:$V$631=R$631),--($D1381:$V1381=1)),0)+SUM(R778)+IF(COUNTIF(R$1237:R1381,1)=1,5,0)+IF(COUNTIF(S779:$W779,"&gt;"&amp;0)&lt;5,IF(AND(COUNTIF(R$1237:R1381,1)&gt;7,MOD(1+IFERROR(MATCH($C779,总览!$D$46:$D$345,1)+1,1),7)=0),$C$3,0),0)</f>
        <v>165.264285714285</v>
      </c>
      <c r="S779" s="131" cm="1">
        <f ca="1" t="array" ref="S779">IF(S1381=1,OFFSET($W$634,$B779,S$631-1)/SUMPRODUCT(--($D$631:$V$631=S$631),--($D1381:$V1381=1)),0)+SUM(S778)+IF(COUNTIF(S$1237:S1381,1)=1,5,0)+IF(COUNTIF(T779:$W779,"&gt;"&amp;0)&lt;5,IF(AND(COUNTIF(S$1237:S1381,1)&gt;7,MOD(1+IFERROR(MATCH($C779,总览!$D$46:$D$345,1)+1,1),7)=0),$C$3,0),0)</f>
        <v>227.764285714285</v>
      </c>
      <c r="T779" s="131" cm="1">
        <f ca="1" t="array" ref="T779">IF(T1381=1,OFFSET($W$634,$B779,T$631-1)/SUMPRODUCT(--($D$631:$V$631=T$631),--($D1381:$V1381=1)),0)+SUM(T778)+IF(COUNTIF(T$1237:T1381,1)=1,5,0)+IF(COUNTIF(U779:$W779,"&gt;"&amp;0)&lt;5,IF(AND(COUNTIF(T$1237:T1381,1)&gt;7,MOD(1+IFERROR(MATCH($C779,总览!$D$46:$D$345,1)+1,1),7)=0),$C$3,0),0)</f>
        <v>157.404656202878</v>
      </c>
      <c r="U779" s="131" cm="1">
        <f ca="1" t="array" ref="U779">IF(U1381=1,OFFSET($W$634,$B779,U$631-1)/SUMPRODUCT(--($D$631:$V$631=U$631),--($D1381:$V1381=1)),0)+SUM(U778)+IF(COUNTIF(U$1237:U1381,1)=1,5,0)+IF(COUNTIF(V779:$W779,"&gt;"&amp;0)&lt;5,IF(AND(COUNTIF(U$1237:U1381,1)&gt;7,MOD(1+IFERROR(MATCH($C779,总览!$D$46:$D$345,1)+1,1),7)=0),$C$3,0),0)</f>
        <v>162.925442558177</v>
      </c>
      <c r="V779" s="131" cm="1">
        <f ca="1" t="array" ref="V779">IF(V1381=1,OFFSET($W$634,$B779,V$631-1)/SUMPRODUCT(--($D$631:$V$631=V$631),--($D1381:$V1381=1)),0)+SUM(V778)+IF(COUNTIF(V$1237:V1381,1)=1,5,0)+IF(COUNTIF(W779:$W779,"&gt;"&amp;0)&lt;5,IF(AND(COUNTIF(V$1237:V1381,1)&gt;7,MOD(1+IFERROR(MATCH($C779,总览!$D$46:$D$345,1)+1,1),7)=0),$C$3,0),0)</f>
        <v>182.752442270611</v>
      </c>
      <c r="W779" s="135" cm="1">
        <f ca="1" t="array" ref="W779">SUMPRODUCT(TRANSPOSE($AA779:$AG779),OFFSET($L$9:$L$15,0,W$631-1))</f>
        <v>16.8502200646615</v>
      </c>
      <c r="X779" s="135" cm="1">
        <f ca="1" t="array" ref="X779">SUMPRODUCT(TRANSPOSE($AA779:$AG779),OFFSET($L$9:$L$15,0,X$631-1))</f>
        <v>20</v>
      </c>
      <c r="Y779" s="135" cm="1">
        <f ca="1" t="array" ref="Y779">SUMPRODUCT(TRANSPOSE($AA779:$AG779),OFFSET($L$9:$L$15,0,Y$631-1))</f>
        <v>10</v>
      </c>
      <c r="Z779" s="135" cm="1">
        <f ca="1" t="array" ref="Z779">SUMPRODUCT(TRANSPOSE($AA779:$AG779),OFFSET($L$9:$L$15,0,Z$631-1))</f>
        <v>3.14977993533847</v>
      </c>
      <c r="AA779" s="136">
        <f ca="1" t="shared" ref="AA779:AG779" si="533">AH779-AH778</f>
        <v>0</v>
      </c>
      <c r="AB779" s="136">
        <f ca="1" t="shared" si="533"/>
        <v>0</v>
      </c>
      <c r="AC779" s="136">
        <f ca="1" t="shared" si="533"/>
        <v>0</v>
      </c>
      <c r="AD779" s="136">
        <f ca="1" t="shared" si="533"/>
        <v>0</v>
      </c>
      <c r="AE779" s="136">
        <f ca="1" t="shared" si="533"/>
        <v>0</v>
      </c>
      <c r="AF779" s="136">
        <f ca="1" t="shared" si="533"/>
        <v>0</v>
      </c>
      <c r="AG779" s="136">
        <f ca="1" t="shared" si="533"/>
        <v>100</v>
      </c>
      <c r="AH779" s="136">
        <f ca="1" t="shared" si="501"/>
        <v>450</v>
      </c>
      <c r="AI779" s="136">
        <f ca="1" t="shared" ref="AI779:AN779" si="534">IF($C779&gt;OFFSET($Q$8,MATCH(AI$634,$AH$634:$AN$634,0),0),OFFSET($P$8,MATCH(AI$634,$AH$634:$AN$634,0),0),MAX(0,$C779-OFFSET($Q$8,RIGHT(AI$634,1)-1,0)))</f>
        <v>909</v>
      </c>
      <c r="AJ779" s="136">
        <f ca="1" t="shared" si="534"/>
        <v>1818</v>
      </c>
      <c r="AK779" s="136">
        <f ca="1" t="shared" si="534"/>
        <v>2727</v>
      </c>
      <c r="AL779" s="136">
        <f ca="1" t="shared" si="534"/>
        <v>3636</v>
      </c>
      <c r="AM779" s="136">
        <f ca="1" t="shared" si="534"/>
        <v>4545</v>
      </c>
      <c r="AN779" s="136">
        <f ca="1" t="shared" si="534"/>
        <v>415</v>
      </c>
    </row>
    <row r="780" s="106" customFormat="1" ht="16.5" spans="2:40">
      <c r="B780" s="117">
        <v>146</v>
      </c>
      <c r="C780" s="130">
        <f t="shared" si="499"/>
        <v>14600</v>
      </c>
      <c r="D780" s="131" cm="1">
        <f ca="1" t="array" ref="D780">IF(D1382=1,OFFSET($W$634,$B780,D$631-1)/SUMPRODUCT(--($D$631:$V$631=D$631),--($D1382:$V1382=1)),0)+SUM(D779)+IF(COUNTIF(D$1237:D1382,1)=1,5,0)+IF(COUNTIF(E780:$W780,"&gt;"&amp;0)&lt;5,IF(AND(COUNTIF(D$1237:D1382,1)&gt;7,MOD(1+IFERROR(MATCH($C780,总览!$D$46:$D$345,1)+1,1),7)=0),$C$3,0),0)</f>
        <v>1147.74755967766</v>
      </c>
      <c r="E780" s="131" cm="1">
        <f ca="1" t="array" ref="E780">IF(E1382=1,OFFSET($W$634,$B780,E$631-1)/SUMPRODUCT(--($D$631:$V$631=E$631),--($D1382:$V1382=1)),0)+SUM(E779)+IF(COUNTIF(E$1237:E1382,1)=1,5,0)+IF(COUNTIF(F780:$W780,"&gt;"&amp;0)&lt;5,IF(AND(COUNTIF(E$1237:E1382,1)&gt;7,MOD(1+IFERROR(MATCH($C780,总览!$D$46:$D$345,1)+1,1),7)=0),$C$3,0),0)</f>
        <v>1147.74755967766</v>
      </c>
      <c r="F780" s="131" cm="1">
        <f ca="1" t="array" ref="F780">IF(F1382=1,OFFSET($W$634,$B780,F$631-1)/SUMPRODUCT(--($D$631:$V$631=F$631),--($D1382:$V1382=1)),0)+SUM(F779)+IF(COUNTIF(F$1237:F1382,1)=1,5,0)+IF(COUNTIF(G780:$W780,"&gt;"&amp;0)&lt;5,IF(AND(COUNTIF(F$1237:F1382,1)&gt;7,MOD(1+IFERROR(MATCH($C780,总览!$D$46:$D$345,1)+1,1),7)=0),$C$3,0),0)</f>
        <v>1147.74755967766</v>
      </c>
      <c r="G780" s="131" cm="1">
        <f ca="1" t="array" ref="G780">IF(G1382=1,OFFSET($W$634,$B780,G$631-1)/SUMPRODUCT(--($D$631:$V$631=G$631),--($D1382:$V1382=1)),0)+SUM(G779)+IF(COUNTIF(G$1237:G1382,1)=1,5,0)+IF(COUNTIF(H780:$W780,"&gt;"&amp;0)&lt;5,IF(AND(COUNTIF(G$1237:G1382,1)&gt;7,MOD(1+IFERROR(MATCH($C780,总览!$D$46:$D$345,1)+1,1),7)=0),$C$3,0),0)</f>
        <v>426.066666666666</v>
      </c>
      <c r="H780" s="131" cm="1">
        <f ca="1" t="array" ref="H780">IF(H1382=1,OFFSET($W$634,$B780,H$631-1)/SUMPRODUCT(--($D$631:$V$631=H$631),--($D1382:$V1382=1)),0)+SUM(H779)+IF(COUNTIF(H$1237:H1382,1)=1,5,0)+IF(COUNTIF(I780:$W780,"&gt;"&amp;0)&lt;5,IF(AND(COUNTIF(H$1237:H1382,1)&gt;7,MOD(1+IFERROR(MATCH($C780,总览!$D$46:$D$345,1)+1,1),7)=0),$C$3,0),0)</f>
        <v>426.066666666666</v>
      </c>
      <c r="I780" s="131" cm="1">
        <f ca="1" t="array" ref="I780">IF(I1382=1,OFFSET($W$634,$B780,I$631-1)/SUMPRODUCT(--($D$631:$V$631=I$631),--($D1382:$V1382=1)),0)+SUM(I779)+IF(COUNTIF(I$1237:I1382,1)=1,5,0)+IF(COUNTIF(J780:$W780,"&gt;"&amp;0)&lt;5,IF(AND(COUNTIF(I$1237:I1382,1)&gt;7,MOD(1+IFERROR(MATCH($C780,总览!$D$46:$D$345,1)+1,1),7)=0),$C$3,0),0)</f>
        <v>426.066666666666</v>
      </c>
      <c r="J780" s="131" cm="1">
        <f ca="1" t="array" ref="J780">IF(J1382=1,OFFSET($W$634,$B780,J$631-1)/SUMPRODUCT(--($D$631:$V$631=J$631),--($D1382:$V1382=1)),0)+SUM(J779)+IF(COUNTIF(J$1237:J1382,1)=1,5,0)+IF(COUNTIF(K780:$W780,"&gt;"&amp;0)&lt;5,IF(AND(COUNTIF(J$1237:J1382,1)&gt;7,MOD(1+IFERROR(MATCH($C780,总览!$D$46:$D$345,1)+1,1),7)=0),$C$3,0),0)</f>
        <v>422.733333333332</v>
      </c>
      <c r="K780" s="131" cm="1">
        <f ca="1" t="array" ref="K780">IF(K1382=1,OFFSET($W$634,$B780,K$631-1)/SUMPRODUCT(--($D$631:$V$631=K$631),--($D1382:$V1382=1)),0)+SUM(K779)+IF(COUNTIF(K$1237:K1382,1)=1,5,0)+IF(COUNTIF(L780:$W780,"&gt;"&amp;0)&lt;5,IF(AND(COUNTIF(K$1237:K1382,1)&gt;7,MOD(1+IFERROR(MATCH($C780,总览!$D$46:$D$345,1)+1,1),7)=0),$C$3,0),0)</f>
        <v>420.233333333332</v>
      </c>
      <c r="L780" s="131" cm="1">
        <f ca="1" t="array" ref="L780">IF(L1382=1,OFFSET($W$634,$B780,L$631-1)/SUMPRODUCT(--($D$631:$V$631=L$631),--($D1382:$V1382=1)),0)+SUM(L779)+IF(COUNTIF(L$1237:L1382,1)=1,5,0)+IF(COUNTIF(M780:$W780,"&gt;"&amp;0)&lt;5,IF(AND(COUNTIF(L$1237:L1382,1)&gt;7,MOD(1+IFERROR(MATCH($C780,总览!$D$46:$D$345,1)+1,1),7)=0),$C$3,0),0)</f>
        <v>420.233333333332</v>
      </c>
      <c r="M780" s="131" cm="1">
        <f ca="1" t="array" ref="M780">IF(M1382=1,OFFSET($W$634,$B780,M$631-1)/SUMPRODUCT(--($D$631:$V$631=M$631),--($D1382:$V1382=1)),0)+SUM(M779)+IF(COUNTIF(M$1237:M1382,1)=1,5,0)+IF(COUNTIF(N780:$W780,"&gt;"&amp;0)&lt;5,IF(AND(COUNTIF(M$1237:M1382,1)&gt;7,MOD(1+IFERROR(MATCH($C780,总览!$D$46:$D$345,1)+1,1),7)=0),$C$3,0),0)</f>
        <v>166.324107142857</v>
      </c>
      <c r="N780" s="131" cm="1">
        <f ca="1" t="array" ref="N780">IF(N1382=1,OFFSET($W$634,$B780,N$631-1)/SUMPRODUCT(--($D$631:$V$631=N$631),--($D1382:$V1382=1)),0)+SUM(N779)+IF(COUNTIF(N$1237:N1382,1)=1,5,0)+IF(COUNTIF(O780:$W780,"&gt;"&amp;0)&lt;5,IF(AND(COUNTIF(N$1237:N1382,1)&gt;7,MOD(1+IFERROR(MATCH($C780,总览!$D$46:$D$345,1)+1,1),7)=0),$C$3,0),0)</f>
        <v>167.574107142857</v>
      </c>
      <c r="O780" s="131" cm="1">
        <f ca="1" t="array" ref="O780">IF(O1382=1,OFFSET($W$634,$B780,O$631-1)/SUMPRODUCT(--($D$631:$V$631=O$631),--($D1382:$V1382=1)),0)+SUM(O779)+IF(COUNTIF(O$1237:O1382,1)=1,5,0)+IF(COUNTIF(P780:$W780,"&gt;"&amp;0)&lt;5,IF(AND(COUNTIF(O$1237:O1382,1)&gt;7,MOD(1+IFERROR(MATCH($C780,总览!$D$46:$D$345,1)+1,1),7)=0),$C$3,0),0)</f>
        <v>172.574107142857</v>
      </c>
      <c r="P780" s="131" cm="1">
        <f ca="1" t="array" ref="P780">IF(P1382=1,OFFSET($W$634,$B780,P$631-1)/SUMPRODUCT(--($D$631:$V$631=P$631),--($D1382:$V1382=1)),0)+SUM(P779)+IF(COUNTIF(P$1237:P1382,1)=1,5,0)+IF(COUNTIF(Q780:$W780,"&gt;"&amp;0)&lt;5,IF(AND(COUNTIF(P$1237:P1382,1)&gt;7,MOD(1+IFERROR(MATCH($C780,总览!$D$46:$D$345,1)+1,1),7)=0),$C$3,0),0)</f>
        <v>161.692857142857</v>
      </c>
      <c r="Q780" s="131" cm="1">
        <f ca="1" t="array" ref="Q780">IF(Q1382=1,OFFSET($W$634,$B780,Q$631-1)/SUMPRODUCT(--($D$631:$V$631=Q$631),--($D1382:$V1382=1)),0)+SUM(Q779)+IF(COUNTIF(Q$1237:Q1382,1)=1,5,0)+IF(COUNTIF(R780:$W780,"&gt;"&amp;0)&lt;5,IF(AND(COUNTIF(Q$1237:Q1382,1)&gt;7,MOD(1+IFERROR(MATCH($C780,总览!$D$46:$D$345,1)+1,1),7)=0),$C$3,0),0)</f>
        <v>175.074107142857</v>
      </c>
      <c r="R780" s="131" cm="1">
        <f ca="1" t="array" ref="R780">IF(R1382=1,OFFSET($W$634,$B780,R$631-1)/SUMPRODUCT(--($D$631:$V$631=R$631),--($D1382:$V1382=1)),0)+SUM(R779)+IF(COUNTIF(R$1237:R1382,1)=1,5,0)+IF(COUNTIF(S780:$W780,"&gt;"&amp;0)&lt;5,IF(AND(COUNTIF(R$1237:R1382,1)&gt;7,MOD(1+IFERROR(MATCH($C780,总览!$D$46:$D$345,1)+1,1),7)=0),$C$3,0),0)</f>
        <v>166.692857142857</v>
      </c>
      <c r="S780" s="131" cm="1">
        <f ca="1" t="array" ref="S780">IF(S1382=1,OFFSET($W$634,$B780,S$631-1)/SUMPRODUCT(--($D$631:$V$631=S$631),--($D1382:$V1382=1)),0)+SUM(S779)+IF(COUNTIF(S$1237:S1382,1)=1,5,0)+IF(COUNTIF(T780:$W780,"&gt;"&amp;0)&lt;5,IF(AND(COUNTIF(S$1237:S1382,1)&gt;7,MOD(1+IFERROR(MATCH($C780,总览!$D$46:$D$345,1)+1,1),7)=0),$C$3,0),0)</f>
        <v>234.192857142856</v>
      </c>
      <c r="T780" s="131" cm="1">
        <f ca="1" t="array" ref="T780">IF(T1382=1,OFFSET($W$634,$B780,T$631-1)/SUMPRODUCT(--($D$631:$V$631=T$631),--($D1382:$V1382=1)),0)+SUM(T779)+IF(COUNTIF(T$1237:T1382,1)=1,5,0)+IF(COUNTIF(U780:$W780,"&gt;"&amp;0)&lt;5,IF(AND(COUNTIF(T$1237:T1382,1)&gt;7,MOD(1+IFERROR(MATCH($C780,总览!$D$46:$D$345,1)+1,1),7)=0),$C$3,0),0)</f>
        <v>163.454582847991</v>
      </c>
      <c r="U780" s="131" cm="1">
        <f ca="1" t="array" ref="U780">IF(U1382=1,OFFSET($W$634,$B780,U$631-1)/SUMPRODUCT(--($D$631:$V$631=U$631),--($D1382:$V1382=1)),0)+SUM(U779)+IF(COUNTIF(U$1237:U1382,1)=1,5,0)+IF(COUNTIF(V780:$W780,"&gt;"&amp;0)&lt;5,IF(AND(COUNTIF(U$1237:U1382,1)&gt;7,MOD(1+IFERROR(MATCH($C780,总览!$D$46:$D$345,1)+1,1),7)=0),$C$3,0),0)</f>
        <v>168.97536920329</v>
      </c>
      <c r="V780" s="131" cm="1">
        <f ca="1" t="array" ref="V780">IF(V1382=1,OFFSET($W$634,$B780,V$631-1)/SUMPRODUCT(--($D$631:$V$631=V$631),--($D1382:$V1382=1)),0)+SUM(V779)+IF(COUNTIF(V$1237:V1382,1)=1,5,0)+IF(COUNTIF(W780:$W780,"&gt;"&amp;0)&lt;5,IF(AND(COUNTIF(V$1237:V1382,1)&gt;7,MOD(1+IFERROR(MATCH($C780,总览!$D$46:$D$345,1)+1,1),7)=0),$C$3,0),0)</f>
        <v>188.802368915724</v>
      </c>
      <c r="W780" s="135" cm="1">
        <f ca="1" t="array" ref="W780">SUMPRODUCT(TRANSPOSE($AA780:$AG780),OFFSET($L$9:$L$15,0,W$631-1))</f>
        <v>16.8502200646615</v>
      </c>
      <c r="X780" s="135" cm="1">
        <f ca="1" t="array" ref="X780">SUMPRODUCT(TRANSPOSE($AA780:$AG780),OFFSET($L$9:$L$15,0,X$631-1))</f>
        <v>20</v>
      </c>
      <c r="Y780" s="135" cm="1">
        <f ca="1" t="array" ref="Y780">SUMPRODUCT(TRANSPOSE($AA780:$AG780),OFFSET($L$9:$L$15,0,Y$631-1))</f>
        <v>10</v>
      </c>
      <c r="Z780" s="135" cm="1">
        <f ca="1" t="array" ref="Z780">SUMPRODUCT(TRANSPOSE($AA780:$AG780),OFFSET($L$9:$L$15,0,Z$631-1))</f>
        <v>3.14977993533847</v>
      </c>
      <c r="AA780" s="136">
        <f ca="1" t="shared" ref="AA780:AG780" si="535">AH780-AH779</f>
        <v>0</v>
      </c>
      <c r="AB780" s="136">
        <f ca="1" t="shared" si="535"/>
        <v>0</v>
      </c>
      <c r="AC780" s="136">
        <f ca="1" t="shared" si="535"/>
        <v>0</v>
      </c>
      <c r="AD780" s="136">
        <f ca="1" t="shared" si="535"/>
        <v>0</v>
      </c>
      <c r="AE780" s="136">
        <f ca="1" t="shared" si="535"/>
        <v>0</v>
      </c>
      <c r="AF780" s="136">
        <f ca="1" t="shared" si="535"/>
        <v>0</v>
      </c>
      <c r="AG780" s="136">
        <f ca="1" t="shared" si="535"/>
        <v>100</v>
      </c>
      <c r="AH780" s="136">
        <f ca="1" t="shared" si="501"/>
        <v>450</v>
      </c>
      <c r="AI780" s="136">
        <f ca="1" t="shared" ref="AI780:AN780" si="536">IF($C780&gt;OFFSET($Q$8,MATCH(AI$634,$AH$634:$AN$634,0),0),OFFSET($P$8,MATCH(AI$634,$AH$634:$AN$634,0),0),MAX(0,$C780-OFFSET($Q$8,RIGHT(AI$634,1)-1,0)))</f>
        <v>909</v>
      </c>
      <c r="AJ780" s="136">
        <f ca="1" t="shared" si="536"/>
        <v>1818</v>
      </c>
      <c r="AK780" s="136">
        <f ca="1" t="shared" si="536"/>
        <v>2727</v>
      </c>
      <c r="AL780" s="136">
        <f ca="1" t="shared" si="536"/>
        <v>3636</v>
      </c>
      <c r="AM780" s="136">
        <f ca="1" t="shared" si="536"/>
        <v>4545</v>
      </c>
      <c r="AN780" s="136">
        <f ca="1" t="shared" si="536"/>
        <v>515</v>
      </c>
    </row>
    <row r="781" s="106" customFormat="1" ht="16.5" spans="2:40">
      <c r="B781" s="117">
        <v>147</v>
      </c>
      <c r="C781" s="130">
        <f t="shared" si="499"/>
        <v>14700</v>
      </c>
      <c r="D781" s="131" cm="1">
        <f ca="1" t="array" ref="D781">IF(D1383=1,OFFSET($W$634,$B781,D$631-1)/SUMPRODUCT(--($D$631:$V$631=D$631),--($D1383:$V1383=1)),0)+SUM(D780)+IF(COUNTIF(D$1237:D1383,1)=1,5,0)+IF(COUNTIF(E781:$W781,"&gt;"&amp;0)&lt;5,IF(AND(COUNTIF(D$1237:D1383,1)&gt;7,MOD(1+IFERROR(MATCH($C781,总览!$D$46:$D$345,1)+1,1),7)=0),$C$3,0),0)</f>
        <v>1153.36429969922</v>
      </c>
      <c r="E781" s="131" cm="1">
        <f ca="1" t="array" ref="E781">IF(E1383=1,OFFSET($W$634,$B781,E$631-1)/SUMPRODUCT(--($D$631:$V$631=E$631),--($D1383:$V1383=1)),0)+SUM(E780)+IF(COUNTIF(E$1237:E1383,1)=1,5,0)+IF(COUNTIF(F781:$W781,"&gt;"&amp;0)&lt;5,IF(AND(COUNTIF(E$1237:E1383,1)&gt;7,MOD(1+IFERROR(MATCH($C781,总览!$D$46:$D$345,1)+1,1),7)=0),$C$3,0),0)</f>
        <v>1153.36429969922</v>
      </c>
      <c r="F781" s="131" cm="1">
        <f ca="1" t="array" ref="F781">IF(F1383=1,OFFSET($W$634,$B781,F$631-1)/SUMPRODUCT(--($D$631:$V$631=F$631),--($D1383:$V1383=1)),0)+SUM(F780)+IF(COUNTIF(F$1237:F1383,1)=1,5,0)+IF(COUNTIF(G781:$W781,"&gt;"&amp;0)&lt;5,IF(AND(COUNTIF(F$1237:F1383,1)&gt;7,MOD(1+IFERROR(MATCH($C781,总览!$D$46:$D$345,1)+1,1),7)=0),$C$3,0),0)</f>
        <v>1153.36429969922</v>
      </c>
      <c r="G781" s="131" cm="1">
        <f ca="1" t="array" ref="G781">IF(G1383=1,OFFSET($W$634,$B781,G$631-1)/SUMPRODUCT(--($D$631:$V$631=G$631),--($D1383:$V1383=1)),0)+SUM(G780)+IF(COUNTIF(G$1237:G1383,1)=1,5,0)+IF(COUNTIF(H781:$W781,"&gt;"&amp;0)&lt;5,IF(AND(COUNTIF(G$1237:G1383,1)&gt;7,MOD(1+IFERROR(MATCH($C781,总览!$D$46:$D$345,1)+1,1),7)=0),$C$3,0),0)</f>
        <v>429.399999999999</v>
      </c>
      <c r="H781" s="131" cm="1">
        <f ca="1" t="array" ref="H781">IF(H1383=1,OFFSET($W$634,$B781,H$631-1)/SUMPRODUCT(--($D$631:$V$631=H$631),--($D1383:$V1383=1)),0)+SUM(H780)+IF(COUNTIF(H$1237:H1383,1)=1,5,0)+IF(COUNTIF(I781:$W781,"&gt;"&amp;0)&lt;5,IF(AND(COUNTIF(H$1237:H1383,1)&gt;7,MOD(1+IFERROR(MATCH($C781,总览!$D$46:$D$345,1)+1,1),7)=0),$C$3,0),0)</f>
        <v>429.399999999999</v>
      </c>
      <c r="I781" s="131" cm="1">
        <f ca="1" t="array" ref="I781">IF(I1383=1,OFFSET($W$634,$B781,I$631-1)/SUMPRODUCT(--($D$631:$V$631=I$631),--($D1383:$V1383=1)),0)+SUM(I780)+IF(COUNTIF(I$1237:I1383,1)=1,5,0)+IF(COUNTIF(J781:$W781,"&gt;"&amp;0)&lt;5,IF(AND(COUNTIF(I$1237:I1383,1)&gt;7,MOD(1+IFERROR(MATCH($C781,总览!$D$46:$D$345,1)+1,1),7)=0),$C$3,0),0)</f>
        <v>429.399999999999</v>
      </c>
      <c r="J781" s="131" cm="1">
        <f ca="1" t="array" ref="J781">IF(J1383=1,OFFSET($W$634,$B781,J$631-1)/SUMPRODUCT(--($D$631:$V$631=J$631),--($D1383:$V1383=1)),0)+SUM(J780)+IF(COUNTIF(J$1237:J1383,1)=1,5,0)+IF(COUNTIF(K781:$W781,"&gt;"&amp;0)&lt;5,IF(AND(COUNTIF(J$1237:J1383,1)&gt;7,MOD(1+IFERROR(MATCH($C781,总览!$D$46:$D$345,1)+1,1),7)=0),$C$3,0),0)</f>
        <v>426.066666666666</v>
      </c>
      <c r="K781" s="131" cm="1">
        <f ca="1" t="array" ref="K781">IF(K1383=1,OFFSET($W$634,$B781,K$631-1)/SUMPRODUCT(--($D$631:$V$631=K$631),--($D1383:$V1383=1)),0)+SUM(K780)+IF(COUNTIF(K$1237:K1383,1)=1,5,0)+IF(COUNTIF(L781:$W781,"&gt;"&amp;0)&lt;5,IF(AND(COUNTIF(K$1237:K1383,1)&gt;7,MOD(1+IFERROR(MATCH($C781,总览!$D$46:$D$345,1)+1,1),7)=0),$C$3,0),0)</f>
        <v>423.566666666666</v>
      </c>
      <c r="L781" s="131" cm="1">
        <f ca="1" t="array" ref="L781">IF(L1383=1,OFFSET($W$634,$B781,L$631-1)/SUMPRODUCT(--($D$631:$V$631=L$631),--($D1383:$V1383=1)),0)+SUM(L780)+IF(COUNTIF(L$1237:L1383,1)=1,5,0)+IF(COUNTIF(M781:$W781,"&gt;"&amp;0)&lt;5,IF(AND(COUNTIF(L$1237:L1383,1)&gt;7,MOD(1+IFERROR(MATCH($C781,总览!$D$46:$D$345,1)+1,1),7)=0),$C$3,0),0)</f>
        <v>423.566666666666</v>
      </c>
      <c r="M781" s="131" cm="1">
        <f ca="1" t="array" ref="M781">IF(M1383=1,OFFSET($W$634,$B781,M$631-1)/SUMPRODUCT(--($D$631:$V$631=M$631),--($D1383:$V1383=1)),0)+SUM(M780)+IF(COUNTIF(M$1237:M1383,1)=1,5,0)+IF(COUNTIF(N781:$W781,"&gt;"&amp;0)&lt;5,IF(AND(COUNTIF(M$1237:M1383,1)&gt;7,MOD(1+IFERROR(MATCH($C781,总览!$D$46:$D$345,1)+1,1),7)=0),$C$3,0),0)</f>
        <v>167.752678571428</v>
      </c>
      <c r="N781" s="131" cm="1">
        <f ca="1" t="array" ref="N781">IF(N1383=1,OFFSET($W$634,$B781,N$631-1)/SUMPRODUCT(--($D$631:$V$631=N$631),--($D1383:$V1383=1)),0)+SUM(N780)+IF(COUNTIF(N$1237:N1383,1)=1,5,0)+IF(COUNTIF(O781:$W781,"&gt;"&amp;0)&lt;5,IF(AND(COUNTIF(N$1237:N1383,1)&gt;7,MOD(1+IFERROR(MATCH($C781,总览!$D$46:$D$345,1)+1,1),7)=0),$C$3,0),0)</f>
        <v>169.002678571428</v>
      </c>
      <c r="O781" s="131" cm="1">
        <f ca="1" t="array" ref="O781">IF(O1383=1,OFFSET($W$634,$B781,O$631-1)/SUMPRODUCT(--($D$631:$V$631=O$631),--($D1383:$V1383=1)),0)+SUM(O780)+IF(COUNTIF(O$1237:O1383,1)=1,5,0)+IF(COUNTIF(P781:$W781,"&gt;"&amp;0)&lt;5,IF(AND(COUNTIF(O$1237:O1383,1)&gt;7,MOD(1+IFERROR(MATCH($C781,总览!$D$46:$D$345,1)+1,1),7)=0),$C$3,0),0)</f>
        <v>174.002678571428</v>
      </c>
      <c r="P781" s="131" cm="1">
        <f ca="1" t="array" ref="P781">IF(P1383=1,OFFSET($W$634,$B781,P$631-1)/SUMPRODUCT(--($D$631:$V$631=P$631),--($D1383:$V1383=1)),0)+SUM(P780)+IF(COUNTIF(P$1237:P1383,1)=1,5,0)+IF(COUNTIF(Q781:$W781,"&gt;"&amp;0)&lt;5,IF(AND(COUNTIF(P$1237:P1383,1)&gt;7,MOD(1+IFERROR(MATCH($C781,总览!$D$46:$D$345,1)+1,1),7)=0),$C$3,0),0)</f>
        <v>163.121428571428</v>
      </c>
      <c r="Q781" s="131" cm="1">
        <f ca="1" t="array" ref="Q781">IF(Q1383=1,OFFSET($W$634,$B781,Q$631-1)/SUMPRODUCT(--($D$631:$V$631=Q$631),--($D1383:$V1383=1)),0)+SUM(Q780)+IF(COUNTIF(Q$1237:Q1383,1)=1,5,0)+IF(COUNTIF(R781:$W781,"&gt;"&amp;0)&lt;5,IF(AND(COUNTIF(Q$1237:Q1383,1)&gt;7,MOD(1+IFERROR(MATCH($C781,总览!$D$46:$D$345,1)+1,1),7)=0),$C$3,0),0)</f>
        <v>176.502678571428</v>
      </c>
      <c r="R781" s="131" cm="1">
        <f ca="1" t="array" ref="R781">IF(R1383=1,OFFSET($W$634,$B781,R$631-1)/SUMPRODUCT(--($D$631:$V$631=R$631),--($D1383:$V1383=1)),0)+SUM(R780)+IF(COUNTIF(R$1237:R1383,1)=1,5,0)+IF(COUNTIF(S781:$W781,"&gt;"&amp;0)&lt;5,IF(AND(COUNTIF(R$1237:R1383,1)&gt;7,MOD(1+IFERROR(MATCH($C781,总览!$D$46:$D$345,1)+1,1),7)=0),$C$3,0),0)</f>
        <v>168.121428571428</v>
      </c>
      <c r="S781" s="131" cm="1">
        <f ca="1" t="array" ref="S781">IF(S1383=1,OFFSET($W$634,$B781,S$631-1)/SUMPRODUCT(--($D$631:$V$631=S$631),--($D1383:$V1383=1)),0)+SUM(S780)+IF(COUNTIF(S$1237:S1383,1)=1,5,0)+IF(COUNTIF(T781:$W781,"&gt;"&amp;0)&lt;5,IF(AND(COUNTIF(S$1237:S1383,1)&gt;7,MOD(1+IFERROR(MATCH($C781,总览!$D$46:$D$345,1)+1,1),7)=0),$C$3,0),0)</f>
        <v>235.621428571428</v>
      </c>
      <c r="T781" s="131" cm="1">
        <f ca="1" t="array" ref="T781">IF(T1383=1,OFFSET($W$634,$B781,T$631-1)/SUMPRODUCT(--($D$631:$V$631=T$631),--($D1383:$V1383=1)),0)+SUM(T780)+IF(COUNTIF(T$1237:T1383,1)=1,5,0)+IF(COUNTIF(U781:$W781,"&gt;"&amp;0)&lt;5,IF(AND(COUNTIF(T$1237:T1383,1)&gt;7,MOD(1+IFERROR(MATCH($C781,总览!$D$46:$D$345,1)+1,1),7)=0),$C$3,0),0)</f>
        <v>164.504509493103</v>
      </c>
      <c r="U781" s="131" cm="1">
        <f ca="1" t="array" ref="U781">IF(U1383=1,OFFSET($W$634,$B781,U$631-1)/SUMPRODUCT(--($D$631:$V$631=U$631),--($D1383:$V1383=1)),0)+SUM(U780)+IF(COUNTIF(U$1237:U1383,1)=1,5,0)+IF(COUNTIF(V781:$W781,"&gt;"&amp;0)&lt;5,IF(AND(COUNTIF(U$1237:U1383,1)&gt;7,MOD(1+IFERROR(MATCH($C781,总览!$D$46:$D$345,1)+1,1),7)=0),$C$3,0),0)</f>
        <v>170.025295848403</v>
      </c>
      <c r="V781" s="131" cm="1">
        <f ca="1" t="array" ref="V781">IF(V1383=1,OFFSET($W$634,$B781,V$631-1)/SUMPRODUCT(--($D$631:$V$631=V$631),--($D1383:$V1383=1)),0)+SUM(V780)+IF(COUNTIF(V$1237:V1383,1)=1,5,0)+IF(COUNTIF(W781:$W781,"&gt;"&amp;0)&lt;5,IF(AND(COUNTIF(V$1237:V1383,1)&gt;7,MOD(1+IFERROR(MATCH($C781,总览!$D$46:$D$345,1)+1,1),7)=0),$C$3,0),0)</f>
        <v>189.852295560837</v>
      </c>
      <c r="W781" s="135" cm="1">
        <f ca="1" t="array" ref="W781">SUMPRODUCT(TRANSPOSE($AA781:$AG781),OFFSET($L$9:$L$15,0,W$631-1))</f>
        <v>16.8502200646615</v>
      </c>
      <c r="X781" s="135" cm="1">
        <f ca="1" t="array" ref="X781">SUMPRODUCT(TRANSPOSE($AA781:$AG781),OFFSET($L$9:$L$15,0,X$631-1))</f>
        <v>20</v>
      </c>
      <c r="Y781" s="135" cm="1">
        <f ca="1" t="array" ref="Y781">SUMPRODUCT(TRANSPOSE($AA781:$AG781),OFFSET($L$9:$L$15,0,Y$631-1))</f>
        <v>10</v>
      </c>
      <c r="Z781" s="135" cm="1">
        <f ca="1" t="array" ref="Z781">SUMPRODUCT(TRANSPOSE($AA781:$AG781),OFFSET($L$9:$L$15,0,Z$631-1))</f>
        <v>3.14977993533847</v>
      </c>
      <c r="AA781" s="136">
        <f ca="1" t="shared" ref="AA781:AG781" si="537">AH781-AH780</f>
        <v>0</v>
      </c>
      <c r="AB781" s="136">
        <f ca="1" t="shared" si="537"/>
        <v>0</v>
      </c>
      <c r="AC781" s="136">
        <f ca="1" t="shared" si="537"/>
        <v>0</v>
      </c>
      <c r="AD781" s="136">
        <f ca="1" t="shared" si="537"/>
        <v>0</v>
      </c>
      <c r="AE781" s="136">
        <f ca="1" t="shared" si="537"/>
        <v>0</v>
      </c>
      <c r="AF781" s="136">
        <f ca="1" t="shared" si="537"/>
        <v>0</v>
      </c>
      <c r="AG781" s="136">
        <f ca="1" t="shared" si="537"/>
        <v>100</v>
      </c>
      <c r="AH781" s="136">
        <f ca="1" t="shared" si="501"/>
        <v>450</v>
      </c>
      <c r="AI781" s="136">
        <f ca="1" t="shared" ref="AI781:AN781" si="538">IF($C781&gt;OFFSET($Q$8,MATCH(AI$634,$AH$634:$AN$634,0),0),OFFSET($P$8,MATCH(AI$634,$AH$634:$AN$634,0),0),MAX(0,$C781-OFFSET($Q$8,RIGHT(AI$634,1)-1,0)))</f>
        <v>909</v>
      </c>
      <c r="AJ781" s="136">
        <f ca="1" t="shared" si="538"/>
        <v>1818</v>
      </c>
      <c r="AK781" s="136">
        <f ca="1" t="shared" si="538"/>
        <v>2727</v>
      </c>
      <c r="AL781" s="136">
        <f ca="1" t="shared" si="538"/>
        <v>3636</v>
      </c>
      <c r="AM781" s="136">
        <f ca="1" t="shared" si="538"/>
        <v>4545</v>
      </c>
      <c r="AN781" s="136">
        <f ca="1" t="shared" si="538"/>
        <v>615</v>
      </c>
    </row>
    <row r="782" s="106" customFormat="1" ht="16.5" spans="2:40">
      <c r="B782" s="117">
        <v>148</v>
      </c>
      <c r="C782" s="130">
        <f t="shared" si="499"/>
        <v>14800</v>
      </c>
      <c r="D782" s="131" cm="1">
        <f ca="1" t="array" ref="D782">IF(D1384=1,OFFSET($W$634,$B782,D$631-1)/SUMPRODUCT(--($D$631:$V$631=D$631),--($D1384:$V1384=1)),0)+SUM(D781)+IF(COUNTIF(D$1237:D1384,1)=1,5,0)+IF(COUNTIF(E782:$W782,"&gt;"&amp;0)&lt;5,IF(AND(COUNTIF(D$1237:D1384,1)&gt;7,MOD(1+IFERROR(MATCH($C782,总览!$D$46:$D$345,1)+1,1),7)=0),$C$3,0),0)</f>
        <v>1158.98103972077</v>
      </c>
      <c r="E782" s="131" cm="1">
        <f ca="1" t="array" ref="E782">IF(E1384=1,OFFSET($W$634,$B782,E$631-1)/SUMPRODUCT(--($D$631:$V$631=E$631),--($D1384:$V1384=1)),0)+SUM(E781)+IF(COUNTIF(E$1237:E1384,1)=1,5,0)+IF(COUNTIF(F782:$W782,"&gt;"&amp;0)&lt;5,IF(AND(COUNTIF(E$1237:E1384,1)&gt;7,MOD(1+IFERROR(MATCH($C782,总览!$D$46:$D$345,1)+1,1),7)=0),$C$3,0),0)</f>
        <v>1158.98103972077</v>
      </c>
      <c r="F782" s="131" cm="1">
        <f ca="1" t="array" ref="F782">IF(F1384=1,OFFSET($W$634,$B782,F$631-1)/SUMPRODUCT(--($D$631:$V$631=F$631),--($D1384:$V1384=1)),0)+SUM(F781)+IF(COUNTIF(F$1237:F1384,1)=1,5,0)+IF(COUNTIF(G782:$W782,"&gt;"&amp;0)&lt;5,IF(AND(COUNTIF(F$1237:F1384,1)&gt;7,MOD(1+IFERROR(MATCH($C782,总览!$D$46:$D$345,1)+1,1),7)=0),$C$3,0),0)</f>
        <v>1158.98103972077</v>
      </c>
      <c r="G782" s="131" cm="1">
        <f ca="1" t="array" ref="G782">IF(G1384=1,OFFSET($W$634,$B782,G$631-1)/SUMPRODUCT(--($D$631:$V$631=G$631),--($D1384:$V1384=1)),0)+SUM(G781)+IF(COUNTIF(G$1237:G1384,1)=1,5,0)+IF(COUNTIF(H782:$W782,"&gt;"&amp;0)&lt;5,IF(AND(COUNTIF(G$1237:G1384,1)&gt;7,MOD(1+IFERROR(MATCH($C782,总览!$D$46:$D$345,1)+1,1),7)=0),$C$3,0),0)</f>
        <v>432.733333333332</v>
      </c>
      <c r="H782" s="131" cm="1">
        <f ca="1" t="array" ref="H782">IF(H1384=1,OFFSET($W$634,$B782,H$631-1)/SUMPRODUCT(--($D$631:$V$631=H$631),--($D1384:$V1384=1)),0)+SUM(H781)+IF(COUNTIF(H$1237:H1384,1)=1,5,0)+IF(COUNTIF(I782:$W782,"&gt;"&amp;0)&lt;5,IF(AND(COUNTIF(H$1237:H1384,1)&gt;7,MOD(1+IFERROR(MATCH($C782,总览!$D$46:$D$345,1)+1,1),7)=0),$C$3,0),0)</f>
        <v>432.733333333332</v>
      </c>
      <c r="I782" s="131" cm="1">
        <f ca="1" t="array" ref="I782">IF(I1384=1,OFFSET($W$634,$B782,I$631-1)/SUMPRODUCT(--($D$631:$V$631=I$631),--($D1384:$V1384=1)),0)+SUM(I781)+IF(COUNTIF(I$1237:I1384,1)=1,5,0)+IF(COUNTIF(J782:$W782,"&gt;"&amp;0)&lt;5,IF(AND(COUNTIF(I$1237:I1384,1)&gt;7,MOD(1+IFERROR(MATCH($C782,总览!$D$46:$D$345,1)+1,1),7)=0),$C$3,0),0)</f>
        <v>432.733333333332</v>
      </c>
      <c r="J782" s="131" cm="1">
        <f ca="1" t="array" ref="J782">IF(J1384=1,OFFSET($W$634,$B782,J$631-1)/SUMPRODUCT(--($D$631:$V$631=J$631),--($D1384:$V1384=1)),0)+SUM(J781)+IF(COUNTIF(J$1237:J1384,1)=1,5,0)+IF(COUNTIF(K782:$W782,"&gt;"&amp;0)&lt;5,IF(AND(COUNTIF(J$1237:J1384,1)&gt;7,MOD(1+IFERROR(MATCH($C782,总览!$D$46:$D$345,1)+1,1),7)=0),$C$3,0),0)</f>
        <v>429.399999999999</v>
      </c>
      <c r="K782" s="131" cm="1">
        <f ca="1" t="array" ref="K782">IF(K1384=1,OFFSET($W$634,$B782,K$631-1)/SUMPRODUCT(--($D$631:$V$631=K$631),--($D1384:$V1384=1)),0)+SUM(K781)+IF(COUNTIF(K$1237:K1384,1)=1,5,0)+IF(COUNTIF(L782:$W782,"&gt;"&amp;0)&lt;5,IF(AND(COUNTIF(K$1237:K1384,1)&gt;7,MOD(1+IFERROR(MATCH($C782,总览!$D$46:$D$345,1)+1,1),7)=0),$C$3,0),0)</f>
        <v>426.899999999999</v>
      </c>
      <c r="L782" s="131" cm="1">
        <f ca="1" t="array" ref="L782">IF(L1384=1,OFFSET($W$634,$B782,L$631-1)/SUMPRODUCT(--($D$631:$V$631=L$631),--($D1384:$V1384=1)),0)+SUM(L781)+IF(COUNTIF(L$1237:L1384,1)=1,5,0)+IF(COUNTIF(M782:$W782,"&gt;"&amp;0)&lt;5,IF(AND(COUNTIF(L$1237:L1384,1)&gt;7,MOD(1+IFERROR(MATCH($C782,总览!$D$46:$D$345,1)+1,1),7)=0),$C$3,0),0)</f>
        <v>426.899999999999</v>
      </c>
      <c r="M782" s="131" cm="1">
        <f ca="1" t="array" ref="M782">IF(M1384=1,OFFSET($W$634,$B782,M$631-1)/SUMPRODUCT(--($D$631:$V$631=M$631),--($D1384:$V1384=1)),0)+SUM(M781)+IF(COUNTIF(M$1237:M1384,1)=1,5,0)+IF(COUNTIF(N782:$W782,"&gt;"&amp;0)&lt;5,IF(AND(COUNTIF(M$1237:M1384,1)&gt;7,MOD(1+IFERROR(MATCH($C782,总览!$D$46:$D$345,1)+1,1),7)=0),$C$3,0),0)</f>
        <v>169.18125</v>
      </c>
      <c r="N782" s="131" cm="1">
        <f ca="1" t="array" ref="N782">IF(N1384=1,OFFSET($W$634,$B782,N$631-1)/SUMPRODUCT(--($D$631:$V$631=N$631),--($D1384:$V1384=1)),0)+SUM(N781)+IF(COUNTIF(N$1237:N1384,1)=1,5,0)+IF(COUNTIF(O782:$W782,"&gt;"&amp;0)&lt;5,IF(AND(COUNTIF(N$1237:N1384,1)&gt;7,MOD(1+IFERROR(MATCH($C782,总览!$D$46:$D$345,1)+1,1),7)=0),$C$3,0),0)</f>
        <v>170.43125</v>
      </c>
      <c r="O782" s="131" cm="1">
        <f ca="1" t="array" ref="O782">IF(O1384=1,OFFSET($W$634,$B782,O$631-1)/SUMPRODUCT(--($D$631:$V$631=O$631),--($D1384:$V1384=1)),0)+SUM(O781)+IF(COUNTIF(O$1237:O1384,1)=1,5,0)+IF(COUNTIF(P782:$W782,"&gt;"&amp;0)&lt;5,IF(AND(COUNTIF(O$1237:O1384,1)&gt;7,MOD(1+IFERROR(MATCH($C782,总览!$D$46:$D$345,1)+1,1),7)=0),$C$3,0),0)</f>
        <v>175.431249999999</v>
      </c>
      <c r="P782" s="131" cm="1">
        <f ca="1" t="array" ref="P782">IF(P1384=1,OFFSET($W$634,$B782,P$631-1)/SUMPRODUCT(--($D$631:$V$631=P$631),--($D1384:$V1384=1)),0)+SUM(P781)+IF(COUNTIF(P$1237:P1384,1)=1,5,0)+IF(COUNTIF(Q782:$W782,"&gt;"&amp;0)&lt;5,IF(AND(COUNTIF(P$1237:P1384,1)&gt;7,MOD(1+IFERROR(MATCH($C782,总览!$D$46:$D$345,1)+1,1),7)=0),$C$3,0),0)</f>
        <v>164.55</v>
      </c>
      <c r="Q782" s="131" cm="1">
        <f ca="1" t="array" ref="Q782">IF(Q1384=1,OFFSET($W$634,$B782,Q$631-1)/SUMPRODUCT(--($D$631:$V$631=Q$631),--($D1384:$V1384=1)),0)+SUM(Q781)+IF(COUNTIF(Q$1237:Q1384,1)=1,5,0)+IF(COUNTIF(R782:$W782,"&gt;"&amp;0)&lt;5,IF(AND(COUNTIF(Q$1237:Q1384,1)&gt;7,MOD(1+IFERROR(MATCH($C782,总览!$D$46:$D$345,1)+1,1),7)=0),$C$3,0),0)</f>
        <v>177.931249999999</v>
      </c>
      <c r="R782" s="131" cm="1">
        <f ca="1" t="array" ref="R782">IF(R1384=1,OFFSET($W$634,$B782,R$631-1)/SUMPRODUCT(--($D$631:$V$631=R$631),--($D1384:$V1384=1)),0)+SUM(R781)+IF(COUNTIF(R$1237:R1384,1)=1,5,0)+IF(COUNTIF(S782:$W782,"&gt;"&amp;0)&lt;5,IF(AND(COUNTIF(R$1237:R1384,1)&gt;7,MOD(1+IFERROR(MATCH($C782,总览!$D$46:$D$345,1)+1,1),7)=0),$C$3,0),0)</f>
        <v>169.55</v>
      </c>
      <c r="S782" s="131" cm="1">
        <f ca="1" t="array" ref="S782">IF(S1384=1,OFFSET($W$634,$B782,S$631-1)/SUMPRODUCT(--($D$631:$V$631=S$631),--($D1384:$V1384=1)),0)+SUM(S781)+IF(COUNTIF(S$1237:S1384,1)=1,5,0)+IF(COUNTIF(T782:$W782,"&gt;"&amp;0)&lt;5,IF(AND(COUNTIF(S$1237:S1384,1)&gt;7,MOD(1+IFERROR(MATCH($C782,总览!$D$46:$D$345,1)+1,1),7)=0),$C$3,0),0)</f>
        <v>237.049999999999</v>
      </c>
      <c r="T782" s="131" cm="1">
        <f ca="1" t="array" ref="T782">IF(T1384=1,OFFSET($W$634,$B782,T$631-1)/SUMPRODUCT(--($D$631:$V$631=T$631),--($D1384:$V1384=1)),0)+SUM(T781)+IF(COUNTIF(T$1237:T1384,1)=1,5,0)+IF(COUNTIF(U782:$W782,"&gt;"&amp;0)&lt;5,IF(AND(COUNTIF(T$1237:T1384,1)&gt;7,MOD(1+IFERROR(MATCH($C782,总览!$D$46:$D$345,1)+1,1),7)=0),$C$3,0),0)</f>
        <v>165.554436138216</v>
      </c>
      <c r="U782" s="131" cm="1">
        <f ca="1" t="array" ref="U782">IF(U1384=1,OFFSET($W$634,$B782,U$631-1)/SUMPRODUCT(--($D$631:$V$631=U$631),--($D1384:$V1384=1)),0)+SUM(U781)+IF(COUNTIF(U$1237:U1384,1)=1,5,0)+IF(COUNTIF(V782:$W782,"&gt;"&amp;0)&lt;5,IF(AND(COUNTIF(U$1237:U1384,1)&gt;7,MOD(1+IFERROR(MATCH($C782,总览!$D$46:$D$345,1)+1,1),7)=0),$C$3,0),0)</f>
        <v>171.075222493516</v>
      </c>
      <c r="V782" s="131" cm="1">
        <f ca="1" t="array" ref="V782">IF(V1384=1,OFFSET($W$634,$B782,V$631-1)/SUMPRODUCT(--($D$631:$V$631=V$631),--($D1384:$V1384=1)),0)+SUM(V781)+IF(COUNTIF(V$1237:V1384,1)=1,5,0)+IF(COUNTIF(W782:$W782,"&gt;"&amp;0)&lt;5,IF(AND(COUNTIF(V$1237:V1384,1)&gt;7,MOD(1+IFERROR(MATCH($C782,总览!$D$46:$D$345,1)+1,1),7)=0),$C$3,0),0)</f>
        <v>190.902222205949</v>
      </c>
      <c r="W782" s="135" cm="1">
        <f ca="1" t="array" ref="W782">SUMPRODUCT(TRANSPOSE($AA782:$AG782),OFFSET($L$9:$L$15,0,W$631-1))</f>
        <v>16.8502200646615</v>
      </c>
      <c r="X782" s="135" cm="1">
        <f ca="1" t="array" ref="X782">SUMPRODUCT(TRANSPOSE($AA782:$AG782),OFFSET($L$9:$L$15,0,X$631-1))</f>
        <v>20</v>
      </c>
      <c r="Y782" s="135" cm="1">
        <f ca="1" t="array" ref="Y782">SUMPRODUCT(TRANSPOSE($AA782:$AG782),OFFSET($L$9:$L$15,0,Y$631-1))</f>
        <v>10</v>
      </c>
      <c r="Z782" s="135" cm="1">
        <f ca="1" t="array" ref="Z782">SUMPRODUCT(TRANSPOSE($AA782:$AG782),OFFSET($L$9:$L$15,0,Z$631-1))</f>
        <v>3.14977993533847</v>
      </c>
      <c r="AA782" s="136">
        <f ca="1" t="shared" ref="AA782:AG782" si="539">AH782-AH781</f>
        <v>0</v>
      </c>
      <c r="AB782" s="136">
        <f ca="1" t="shared" si="539"/>
        <v>0</v>
      </c>
      <c r="AC782" s="136">
        <f ca="1" t="shared" si="539"/>
        <v>0</v>
      </c>
      <c r="AD782" s="136">
        <f ca="1" t="shared" si="539"/>
        <v>0</v>
      </c>
      <c r="AE782" s="136">
        <f ca="1" t="shared" si="539"/>
        <v>0</v>
      </c>
      <c r="AF782" s="136">
        <f ca="1" t="shared" si="539"/>
        <v>0</v>
      </c>
      <c r="AG782" s="136">
        <f ca="1" t="shared" si="539"/>
        <v>100</v>
      </c>
      <c r="AH782" s="136">
        <f ca="1" t="shared" si="501"/>
        <v>450</v>
      </c>
      <c r="AI782" s="136">
        <f ca="1" t="shared" ref="AI782:AN782" si="540">IF($C782&gt;OFFSET($Q$8,MATCH(AI$634,$AH$634:$AN$634,0),0),OFFSET($P$8,MATCH(AI$634,$AH$634:$AN$634,0),0),MAX(0,$C782-OFFSET($Q$8,RIGHT(AI$634,1)-1,0)))</f>
        <v>909</v>
      </c>
      <c r="AJ782" s="136">
        <f ca="1" t="shared" si="540"/>
        <v>1818</v>
      </c>
      <c r="AK782" s="136">
        <f ca="1" t="shared" si="540"/>
        <v>2727</v>
      </c>
      <c r="AL782" s="136">
        <f ca="1" t="shared" si="540"/>
        <v>3636</v>
      </c>
      <c r="AM782" s="136">
        <f ca="1" t="shared" si="540"/>
        <v>4545</v>
      </c>
      <c r="AN782" s="136">
        <f ca="1" t="shared" si="540"/>
        <v>715</v>
      </c>
    </row>
    <row r="783" s="106" customFormat="1" ht="16.5" spans="2:40">
      <c r="B783" s="117">
        <v>149</v>
      </c>
      <c r="C783" s="130">
        <f t="shared" si="499"/>
        <v>14900</v>
      </c>
      <c r="D783" s="131" cm="1">
        <f ca="1" t="array" ref="D783">IF(D1385=1,OFFSET($W$634,$B783,D$631-1)/SUMPRODUCT(--($D$631:$V$631=D$631),--($D1385:$V1385=1)),0)+SUM(D782)+IF(COUNTIF(D$1237:D1385,1)=1,5,0)+IF(COUNTIF(E783:$W783,"&gt;"&amp;0)&lt;5,IF(AND(COUNTIF(D$1237:D1385,1)&gt;7,MOD(1+IFERROR(MATCH($C783,总览!$D$46:$D$345,1)+1,1),7)=0),$C$3,0),0)</f>
        <v>1164.59777974233</v>
      </c>
      <c r="E783" s="131" cm="1">
        <f ca="1" t="array" ref="E783">IF(E1385=1,OFFSET($W$634,$B783,E$631-1)/SUMPRODUCT(--($D$631:$V$631=E$631),--($D1385:$V1385=1)),0)+SUM(E782)+IF(COUNTIF(E$1237:E1385,1)=1,5,0)+IF(COUNTIF(F783:$W783,"&gt;"&amp;0)&lt;5,IF(AND(COUNTIF(E$1237:E1385,1)&gt;7,MOD(1+IFERROR(MATCH($C783,总览!$D$46:$D$345,1)+1,1),7)=0),$C$3,0),0)</f>
        <v>1164.59777974233</v>
      </c>
      <c r="F783" s="131" cm="1">
        <f ca="1" t="array" ref="F783">IF(F1385=1,OFFSET($W$634,$B783,F$631-1)/SUMPRODUCT(--($D$631:$V$631=F$631),--($D1385:$V1385=1)),0)+SUM(F782)+IF(COUNTIF(F$1237:F1385,1)=1,5,0)+IF(COUNTIF(G783:$W783,"&gt;"&amp;0)&lt;5,IF(AND(COUNTIF(F$1237:F1385,1)&gt;7,MOD(1+IFERROR(MATCH($C783,总览!$D$46:$D$345,1)+1,1),7)=0),$C$3,0),0)</f>
        <v>1164.59777974233</v>
      </c>
      <c r="G783" s="131" cm="1">
        <f ca="1" t="array" ref="G783">IF(G1385=1,OFFSET($W$634,$B783,G$631-1)/SUMPRODUCT(--($D$631:$V$631=G$631),--($D1385:$V1385=1)),0)+SUM(G782)+IF(COUNTIF(G$1237:G1385,1)=1,5,0)+IF(COUNTIF(H783:$W783,"&gt;"&amp;0)&lt;5,IF(AND(COUNTIF(G$1237:G1385,1)&gt;7,MOD(1+IFERROR(MATCH($C783,总览!$D$46:$D$345,1)+1,1),7)=0),$C$3,0),0)</f>
        <v>436.066666666666</v>
      </c>
      <c r="H783" s="131" cm="1">
        <f ca="1" t="array" ref="H783">IF(H1385=1,OFFSET($W$634,$B783,H$631-1)/SUMPRODUCT(--($D$631:$V$631=H$631),--($D1385:$V1385=1)),0)+SUM(H782)+IF(COUNTIF(H$1237:H1385,1)=1,5,0)+IF(COUNTIF(I783:$W783,"&gt;"&amp;0)&lt;5,IF(AND(COUNTIF(H$1237:H1385,1)&gt;7,MOD(1+IFERROR(MATCH($C783,总览!$D$46:$D$345,1)+1,1),7)=0),$C$3,0),0)</f>
        <v>436.066666666666</v>
      </c>
      <c r="I783" s="131" cm="1">
        <f ca="1" t="array" ref="I783">IF(I1385=1,OFFSET($W$634,$B783,I$631-1)/SUMPRODUCT(--($D$631:$V$631=I$631),--($D1385:$V1385=1)),0)+SUM(I782)+IF(COUNTIF(I$1237:I1385,1)=1,5,0)+IF(COUNTIF(J783:$W783,"&gt;"&amp;0)&lt;5,IF(AND(COUNTIF(I$1237:I1385,1)&gt;7,MOD(1+IFERROR(MATCH($C783,总览!$D$46:$D$345,1)+1,1),7)=0),$C$3,0),0)</f>
        <v>436.066666666666</v>
      </c>
      <c r="J783" s="131" cm="1">
        <f ca="1" t="array" ref="J783">IF(J1385=1,OFFSET($W$634,$B783,J$631-1)/SUMPRODUCT(--($D$631:$V$631=J$631),--($D1385:$V1385=1)),0)+SUM(J782)+IF(COUNTIF(J$1237:J1385,1)=1,5,0)+IF(COUNTIF(K783:$W783,"&gt;"&amp;0)&lt;5,IF(AND(COUNTIF(J$1237:J1385,1)&gt;7,MOD(1+IFERROR(MATCH($C783,总览!$D$46:$D$345,1)+1,1),7)=0),$C$3,0),0)</f>
        <v>432.733333333332</v>
      </c>
      <c r="K783" s="131" cm="1">
        <f ca="1" t="array" ref="K783">IF(K1385=1,OFFSET($W$634,$B783,K$631-1)/SUMPRODUCT(--($D$631:$V$631=K$631),--($D1385:$V1385=1)),0)+SUM(K782)+IF(COUNTIF(K$1237:K1385,1)=1,5,0)+IF(COUNTIF(L783:$W783,"&gt;"&amp;0)&lt;5,IF(AND(COUNTIF(K$1237:K1385,1)&gt;7,MOD(1+IFERROR(MATCH($C783,总览!$D$46:$D$345,1)+1,1),7)=0),$C$3,0),0)</f>
        <v>430.233333333332</v>
      </c>
      <c r="L783" s="131" cm="1">
        <f ca="1" t="array" ref="L783">IF(L1385=1,OFFSET($W$634,$B783,L$631-1)/SUMPRODUCT(--($D$631:$V$631=L$631),--($D1385:$V1385=1)),0)+SUM(L782)+IF(COUNTIF(L$1237:L1385,1)=1,5,0)+IF(COUNTIF(M783:$W783,"&gt;"&amp;0)&lt;5,IF(AND(COUNTIF(L$1237:L1385,1)&gt;7,MOD(1+IFERROR(MATCH($C783,总览!$D$46:$D$345,1)+1,1),7)=0),$C$3,0),0)</f>
        <v>430.233333333332</v>
      </c>
      <c r="M783" s="131" cm="1">
        <f ca="1" t="array" ref="M783">IF(M1385=1,OFFSET($W$634,$B783,M$631-1)/SUMPRODUCT(--($D$631:$V$631=M$631),--($D1385:$V1385=1)),0)+SUM(M782)+IF(COUNTIF(M$1237:M1385,1)=1,5,0)+IF(COUNTIF(N783:$W783,"&gt;"&amp;0)&lt;5,IF(AND(COUNTIF(M$1237:M1385,1)&gt;7,MOD(1+IFERROR(MATCH($C783,总览!$D$46:$D$345,1)+1,1),7)=0),$C$3,0),0)</f>
        <v>170.609821428571</v>
      </c>
      <c r="N783" s="131" cm="1">
        <f ca="1" t="array" ref="N783">IF(N1385=1,OFFSET($W$634,$B783,N$631-1)/SUMPRODUCT(--($D$631:$V$631=N$631),--($D1385:$V1385=1)),0)+SUM(N782)+IF(COUNTIF(N$1237:N1385,1)=1,5,0)+IF(COUNTIF(O783:$W783,"&gt;"&amp;0)&lt;5,IF(AND(COUNTIF(N$1237:N1385,1)&gt;7,MOD(1+IFERROR(MATCH($C783,总览!$D$46:$D$345,1)+1,1),7)=0),$C$3,0),0)</f>
        <v>171.859821428571</v>
      </c>
      <c r="O783" s="131" cm="1">
        <f ca="1" t="array" ref="O783">IF(O1385=1,OFFSET($W$634,$B783,O$631-1)/SUMPRODUCT(--($D$631:$V$631=O$631),--($D1385:$V1385=1)),0)+SUM(O782)+IF(COUNTIF(O$1237:O1385,1)=1,5,0)+IF(COUNTIF(P783:$W783,"&gt;"&amp;0)&lt;5,IF(AND(COUNTIF(O$1237:O1385,1)&gt;7,MOD(1+IFERROR(MATCH($C783,总览!$D$46:$D$345,1)+1,1),7)=0),$C$3,0),0)</f>
        <v>176.859821428571</v>
      </c>
      <c r="P783" s="131" cm="1">
        <f ca="1" t="array" ref="P783">IF(P1385=1,OFFSET($W$634,$B783,P$631-1)/SUMPRODUCT(--($D$631:$V$631=P$631),--($D1385:$V1385=1)),0)+SUM(P782)+IF(COUNTIF(P$1237:P1385,1)=1,5,0)+IF(COUNTIF(Q783:$W783,"&gt;"&amp;0)&lt;5,IF(AND(COUNTIF(P$1237:P1385,1)&gt;7,MOD(1+IFERROR(MATCH($C783,总览!$D$46:$D$345,1)+1,1),7)=0),$C$3,0),0)</f>
        <v>165.978571428571</v>
      </c>
      <c r="Q783" s="131" cm="1">
        <f ca="1" t="array" ref="Q783">IF(Q1385=1,OFFSET($W$634,$B783,Q$631-1)/SUMPRODUCT(--($D$631:$V$631=Q$631),--($D1385:$V1385=1)),0)+SUM(Q782)+IF(COUNTIF(Q$1237:Q1385,1)=1,5,0)+IF(COUNTIF(R783:$W783,"&gt;"&amp;0)&lt;5,IF(AND(COUNTIF(Q$1237:Q1385,1)&gt;7,MOD(1+IFERROR(MATCH($C783,总览!$D$46:$D$345,1)+1,1),7)=0),$C$3,0),0)</f>
        <v>179.359821428571</v>
      </c>
      <c r="R783" s="131" cm="1">
        <f ca="1" t="array" ref="R783">IF(R1385=1,OFFSET($W$634,$B783,R$631-1)/SUMPRODUCT(--($D$631:$V$631=R$631),--($D1385:$V1385=1)),0)+SUM(R782)+IF(COUNTIF(R$1237:R1385,1)=1,5,0)+IF(COUNTIF(S783:$W783,"&gt;"&amp;0)&lt;5,IF(AND(COUNTIF(R$1237:R1385,1)&gt;7,MOD(1+IFERROR(MATCH($C783,总览!$D$46:$D$345,1)+1,1),7)=0),$C$3,0),0)</f>
        <v>170.978571428571</v>
      </c>
      <c r="S783" s="131" cm="1">
        <f ca="1" t="array" ref="S783">IF(S1385=1,OFFSET($W$634,$B783,S$631-1)/SUMPRODUCT(--($D$631:$V$631=S$631),--($D1385:$V1385=1)),0)+SUM(S782)+IF(COUNTIF(S$1237:S1385,1)=1,5,0)+IF(COUNTIF(T783:$W783,"&gt;"&amp;0)&lt;5,IF(AND(COUNTIF(S$1237:S1385,1)&gt;7,MOD(1+IFERROR(MATCH($C783,总览!$D$46:$D$345,1)+1,1),7)=0),$C$3,0),0)</f>
        <v>238.478571428571</v>
      </c>
      <c r="T783" s="131" cm="1">
        <f ca="1" t="array" ref="T783">IF(T1385=1,OFFSET($W$634,$B783,T$631-1)/SUMPRODUCT(--($D$631:$V$631=T$631),--($D1385:$V1385=1)),0)+SUM(T782)+IF(COUNTIF(T$1237:T1385,1)=1,5,0)+IF(COUNTIF(U783:$W783,"&gt;"&amp;0)&lt;5,IF(AND(COUNTIF(T$1237:T1385,1)&gt;7,MOD(1+IFERROR(MATCH($C783,总览!$D$46:$D$345,1)+1,1),7)=0),$C$3,0),0)</f>
        <v>166.604362783329</v>
      </c>
      <c r="U783" s="131" cm="1">
        <f ca="1" t="array" ref="U783">IF(U1385=1,OFFSET($W$634,$B783,U$631-1)/SUMPRODUCT(--($D$631:$V$631=U$631),--($D1385:$V1385=1)),0)+SUM(U782)+IF(COUNTIF(U$1237:U1385,1)=1,5,0)+IF(COUNTIF(V783:$W783,"&gt;"&amp;0)&lt;5,IF(AND(COUNTIF(U$1237:U1385,1)&gt;7,MOD(1+IFERROR(MATCH($C783,总览!$D$46:$D$345,1)+1,1),7)=0),$C$3,0),0)</f>
        <v>172.125149138629</v>
      </c>
      <c r="V783" s="131" cm="1">
        <f ca="1" t="array" ref="V783">IF(V1385=1,OFFSET($W$634,$B783,V$631-1)/SUMPRODUCT(--($D$631:$V$631=V$631),--($D1385:$V1385=1)),0)+SUM(V782)+IF(COUNTIF(V$1237:V1385,1)=1,5,0)+IF(COUNTIF(W783:$W783,"&gt;"&amp;0)&lt;5,IF(AND(COUNTIF(V$1237:V1385,1)&gt;7,MOD(1+IFERROR(MATCH($C783,总览!$D$46:$D$345,1)+1,1),7)=0),$C$3,0),0)</f>
        <v>191.952148851062</v>
      </c>
      <c r="W783" s="135" cm="1">
        <f ca="1" t="array" ref="W783">SUMPRODUCT(TRANSPOSE($AA783:$AG783),OFFSET($L$9:$L$15,0,W$631-1))</f>
        <v>16.8502200646615</v>
      </c>
      <c r="X783" s="135" cm="1">
        <f ca="1" t="array" ref="X783">SUMPRODUCT(TRANSPOSE($AA783:$AG783),OFFSET($L$9:$L$15,0,X$631-1))</f>
        <v>20</v>
      </c>
      <c r="Y783" s="135" cm="1">
        <f ca="1" t="array" ref="Y783">SUMPRODUCT(TRANSPOSE($AA783:$AG783),OFFSET($L$9:$L$15,0,Y$631-1))</f>
        <v>10</v>
      </c>
      <c r="Z783" s="135" cm="1">
        <f ca="1" t="array" ref="Z783">SUMPRODUCT(TRANSPOSE($AA783:$AG783),OFFSET($L$9:$L$15,0,Z$631-1))</f>
        <v>3.14977993533847</v>
      </c>
      <c r="AA783" s="136">
        <f ca="1" t="shared" ref="AA783:AG783" si="541">AH783-AH782</f>
        <v>0</v>
      </c>
      <c r="AB783" s="136">
        <f ca="1" t="shared" si="541"/>
        <v>0</v>
      </c>
      <c r="AC783" s="136">
        <f ca="1" t="shared" si="541"/>
        <v>0</v>
      </c>
      <c r="AD783" s="136">
        <f ca="1" t="shared" si="541"/>
        <v>0</v>
      </c>
      <c r="AE783" s="136">
        <f ca="1" t="shared" si="541"/>
        <v>0</v>
      </c>
      <c r="AF783" s="136">
        <f ca="1" t="shared" si="541"/>
        <v>0</v>
      </c>
      <c r="AG783" s="136">
        <f ca="1" t="shared" si="541"/>
        <v>100</v>
      </c>
      <c r="AH783" s="136">
        <f ca="1" t="shared" si="501"/>
        <v>450</v>
      </c>
      <c r="AI783" s="136">
        <f ca="1" t="shared" ref="AI783:AN783" si="542">IF($C783&gt;OFFSET($Q$8,MATCH(AI$634,$AH$634:$AN$634,0),0),OFFSET($P$8,MATCH(AI$634,$AH$634:$AN$634,0),0),MAX(0,$C783-OFFSET($Q$8,RIGHT(AI$634,1)-1,0)))</f>
        <v>909</v>
      </c>
      <c r="AJ783" s="136">
        <f ca="1" t="shared" si="542"/>
        <v>1818</v>
      </c>
      <c r="AK783" s="136">
        <f ca="1" t="shared" si="542"/>
        <v>2727</v>
      </c>
      <c r="AL783" s="136">
        <f ca="1" t="shared" si="542"/>
        <v>3636</v>
      </c>
      <c r="AM783" s="136">
        <f ca="1" t="shared" si="542"/>
        <v>4545</v>
      </c>
      <c r="AN783" s="136">
        <f ca="1" t="shared" si="542"/>
        <v>815</v>
      </c>
    </row>
    <row r="784" s="106" customFormat="1" ht="16.5" spans="2:40">
      <c r="B784" s="117">
        <v>150</v>
      </c>
      <c r="C784" s="130">
        <f t="shared" si="499"/>
        <v>15000</v>
      </c>
      <c r="D784" s="131" cm="1">
        <f ca="1" t="array" ref="D784">IF(D1386=1,OFFSET($W$634,$B784,D$631-1)/SUMPRODUCT(--($D$631:$V$631=D$631),--($D1386:$V1386=1)),0)+SUM(D783)+IF(COUNTIF(D$1237:D1386,1)=1,5,0)+IF(COUNTIF(E784:$W784,"&gt;"&amp;0)&lt;5,IF(AND(COUNTIF(D$1237:D1386,1)&gt;7,MOD(1+IFERROR(MATCH($C784,总览!$D$46:$D$345,1)+1,1),7)=0),$C$3,0),0)</f>
        <v>1170.21451976388</v>
      </c>
      <c r="E784" s="131" cm="1">
        <f ca="1" t="array" ref="E784">IF(E1386=1,OFFSET($W$634,$B784,E$631-1)/SUMPRODUCT(--($D$631:$V$631=E$631),--($D1386:$V1386=1)),0)+SUM(E783)+IF(COUNTIF(E$1237:E1386,1)=1,5,0)+IF(COUNTIF(F784:$W784,"&gt;"&amp;0)&lt;5,IF(AND(COUNTIF(E$1237:E1386,1)&gt;7,MOD(1+IFERROR(MATCH($C784,总览!$D$46:$D$345,1)+1,1),7)=0),$C$3,0),0)</f>
        <v>1170.21451976388</v>
      </c>
      <c r="F784" s="131" cm="1">
        <f ca="1" t="array" ref="F784">IF(F1386=1,OFFSET($W$634,$B784,F$631-1)/SUMPRODUCT(--($D$631:$V$631=F$631),--($D1386:$V1386=1)),0)+SUM(F783)+IF(COUNTIF(F$1237:F1386,1)=1,5,0)+IF(COUNTIF(G784:$W784,"&gt;"&amp;0)&lt;5,IF(AND(COUNTIF(F$1237:F1386,1)&gt;7,MOD(1+IFERROR(MATCH($C784,总览!$D$46:$D$345,1)+1,1),7)=0),$C$3,0),0)</f>
        <v>1170.21451976388</v>
      </c>
      <c r="G784" s="131" cm="1">
        <f ca="1" t="array" ref="G784">IF(G1386=1,OFFSET($W$634,$B784,G$631-1)/SUMPRODUCT(--($D$631:$V$631=G$631),--($D1386:$V1386=1)),0)+SUM(G783)+IF(COUNTIF(G$1237:G1386,1)=1,5,0)+IF(COUNTIF(H784:$W784,"&gt;"&amp;0)&lt;5,IF(AND(COUNTIF(G$1237:G1386,1)&gt;7,MOD(1+IFERROR(MATCH($C784,总览!$D$46:$D$345,1)+1,1),7)=0),$C$3,0),0)</f>
        <v>439.399999999999</v>
      </c>
      <c r="H784" s="131" cm="1">
        <f ca="1" t="array" ref="H784">IF(H1386=1,OFFSET($W$634,$B784,H$631-1)/SUMPRODUCT(--($D$631:$V$631=H$631),--($D1386:$V1386=1)),0)+SUM(H783)+IF(COUNTIF(H$1237:H1386,1)=1,5,0)+IF(COUNTIF(I784:$W784,"&gt;"&amp;0)&lt;5,IF(AND(COUNTIF(H$1237:H1386,1)&gt;7,MOD(1+IFERROR(MATCH($C784,总览!$D$46:$D$345,1)+1,1),7)=0),$C$3,0),0)</f>
        <v>439.399999999999</v>
      </c>
      <c r="I784" s="131" cm="1">
        <f ca="1" t="array" ref="I784">IF(I1386=1,OFFSET($W$634,$B784,I$631-1)/SUMPRODUCT(--($D$631:$V$631=I$631),--($D1386:$V1386=1)),0)+SUM(I783)+IF(COUNTIF(I$1237:I1386,1)=1,5,0)+IF(COUNTIF(J784:$W784,"&gt;"&amp;0)&lt;5,IF(AND(COUNTIF(I$1237:I1386,1)&gt;7,MOD(1+IFERROR(MATCH($C784,总览!$D$46:$D$345,1)+1,1),7)=0),$C$3,0),0)</f>
        <v>439.399999999999</v>
      </c>
      <c r="J784" s="131" cm="1">
        <f ca="1" t="array" ref="J784">IF(J1386=1,OFFSET($W$634,$B784,J$631-1)/SUMPRODUCT(--($D$631:$V$631=J$631),--($D1386:$V1386=1)),0)+SUM(J783)+IF(COUNTIF(J$1237:J1386,1)=1,5,0)+IF(COUNTIF(K784:$W784,"&gt;"&amp;0)&lt;5,IF(AND(COUNTIF(J$1237:J1386,1)&gt;7,MOD(1+IFERROR(MATCH($C784,总览!$D$46:$D$345,1)+1,1),7)=0),$C$3,0),0)</f>
        <v>436.066666666666</v>
      </c>
      <c r="K784" s="131" cm="1">
        <f ca="1" t="array" ref="K784">IF(K1386=1,OFFSET($W$634,$B784,K$631-1)/SUMPRODUCT(--($D$631:$V$631=K$631),--($D1386:$V1386=1)),0)+SUM(K783)+IF(COUNTIF(K$1237:K1386,1)=1,5,0)+IF(COUNTIF(L784:$W784,"&gt;"&amp;0)&lt;5,IF(AND(COUNTIF(K$1237:K1386,1)&gt;7,MOD(1+IFERROR(MATCH($C784,总览!$D$46:$D$345,1)+1,1),7)=0),$C$3,0),0)</f>
        <v>433.566666666666</v>
      </c>
      <c r="L784" s="131" cm="1">
        <f ca="1" t="array" ref="L784">IF(L1386=1,OFFSET($W$634,$B784,L$631-1)/SUMPRODUCT(--($D$631:$V$631=L$631),--($D1386:$V1386=1)),0)+SUM(L783)+IF(COUNTIF(L$1237:L1386,1)=1,5,0)+IF(COUNTIF(M784:$W784,"&gt;"&amp;0)&lt;5,IF(AND(COUNTIF(L$1237:L1386,1)&gt;7,MOD(1+IFERROR(MATCH($C784,总览!$D$46:$D$345,1)+1,1),7)=0),$C$3,0),0)</f>
        <v>433.566666666666</v>
      </c>
      <c r="M784" s="131" cm="1">
        <f ca="1" t="array" ref="M784">IF(M1386=1,OFFSET($W$634,$B784,M$631-1)/SUMPRODUCT(--($D$631:$V$631=M$631),--($D1386:$V1386=1)),0)+SUM(M783)+IF(COUNTIF(M$1237:M1386,1)=1,5,0)+IF(COUNTIF(N784:$W784,"&gt;"&amp;0)&lt;5,IF(AND(COUNTIF(M$1237:M1386,1)&gt;7,MOD(1+IFERROR(MATCH($C784,总览!$D$46:$D$345,1)+1,1),7)=0),$C$3,0),0)</f>
        <v>172.038392857142</v>
      </c>
      <c r="N784" s="131" cm="1">
        <f ca="1" t="array" ref="N784">IF(N1386=1,OFFSET($W$634,$B784,N$631-1)/SUMPRODUCT(--($D$631:$V$631=N$631),--($D1386:$V1386=1)),0)+SUM(N783)+IF(COUNTIF(N$1237:N1386,1)=1,5,0)+IF(COUNTIF(O784:$W784,"&gt;"&amp;0)&lt;5,IF(AND(COUNTIF(N$1237:N1386,1)&gt;7,MOD(1+IFERROR(MATCH($C784,总览!$D$46:$D$345,1)+1,1),7)=0),$C$3,0),0)</f>
        <v>173.288392857142</v>
      </c>
      <c r="O784" s="131" cm="1">
        <f ca="1" t="array" ref="O784">IF(O1386=1,OFFSET($W$634,$B784,O$631-1)/SUMPRODUCT(--($D$631:$V$631=O$631),--($D1386:$V1386=1)),0)+SUM(O783)+IF(COUNTIF(O$1237:O1386,1)=1,5,0)+IF(COUNTIF(P784:$W784,"&gt;"&amp;0)&lt;5,IF(AND(COUNTIF(O$1237:O1386,1)&gt;7,MOD(1+IFERROR(MATCH($C784,总览!$D$46:$D$345,1)+1,1),7)=0),$C$3,0),0)</f>
        <v>178.288392857142</v>
      </c>
      <c r="P784" s="131" cm="1">
        <f ca="1" t="array" ref="P784">IF(P1386=1,OFFSET($W$634,$B784,P$631-1)/SUMPRODUCT(--($D$631:$V$631=P$631),--($D1386:$V1386=1)),0)+SUM(P783)+IF(COUNTIF(P$1237:P1386,1)=1,5,0)+IF(COUNTIF(Q784:$W784,"&gt;"&amp;0)&lt;5,IF(AND(COUNTIF(P$1237:P1386,1)&gt;7,MOD(1+IFERROR(MATCH($C784,总览!$D$46:$D$345,1)+1,1),7)=0),$C$3,0),0)</f>
        <v>167.407142857143</v>
      </c>
      <c r="Q784" s="131" cm="1">
        <f ca="1" t="array" ref="Q784">IF(Q1386=1,OFFSET($W$634,$B784,Q$631-1)/SUMPRODUCT(--($D$631:$V$631=Q$631),--($D1386:$V1386=1)),0)+SUM(Q783)+IF(COUNTIF(Q$1237:Q1386,1)=1,5,0)+IF(COUNTIF(R784:$W784,"&gt;"&amp;0)&lt;5,IF(AND(COUNTIF(Q$1237:Q1386,1)&gt;7,MOD(1+IFERROR(MATCH($C784,总览!$D$46:$D$345,1)+1,1),7)=0),$C$3,0),0)</f>
        <v>180.788392857142</v>
      </c>
      <c r="R784" s="131" cm="1">
        <f ca="1" t="array" ref="R784">IF(R1386=1,OFFSET($W$634,$B784,R$631-1)/SUMPRODUCT(--($D$631:$V$631=R$631),--($D1386:$V1386=1)),0)+SUM(R783)+IF(COUNTIF(R$1237:R1386,1)=1,5,0)+IF(COUNTIF(S784:$W784,"&gt;"&amp;0)&lt;5,IF(AND(COUNTIF(R$1237:R1386,1)&gt;7,MOD(1+IFERROR(MATCH($C784,总览!$D$46:$D$345,1)+1,1),7)=0),$C$3,0),0)</f>
        <v>172.407142857142</v>
      </c>
      <c r="S784" s="131" cm="1">
        <f ca="1" t="array" ref="S784">IF(S1386=1,OFFSET($W$634,$B784,S$631-1)/SUMPRODUCT(--($D$631:$V$631=S$631),--($D1386:$V1386=1)),0)+SUM(S783)+IF(COUNTIF(S$1237:S1386,1)=1,5,0)+IF(COUNTIF(T784:$W784,"&gt;"&amp;0)&lt;5,IF(AND(COUNTIF(S$1237:S1386,1)&gt;7,MOD(1+IFERROR(MATCH($C784,总览!$D$46:$D$345,1)+1,1),7)=0),$C$3,0),0)</f>
        <v>244.907142857142</v>
      </c>
      <c r="T784" s="131" cm="1">
        <f ca="1" t="array" ref="T784">IF(T1386=1,OFFSET($W$634,$B784,T$631-1)/SUMPRODUCT(--($D$631:$V$631=T$631),--($D1386:$V1386=1)),0)+SUM(T783)+IF(COUNTIF(T$1237:T1386,1)=1,5,0)+IF(COUNTIF(U784:$W784,"&gt;"&amp;0)&lt;5,IF(AND(COUNTIF(T$1237:T1386,1)&gt;7,MOD(1+IFERROR(MATCH($C784,总览!$D$46:$D$345,1)+1,1),7)=0),$C$3,0),0)</f>
        <v>172.654289428442</v>
      </c>
      <c r="U784" s="131" cm="1">
        <f ca="1" t="array" ref="U784">IF(U1386=1,OFFSET($W$634,$B784,U$631-1)/SUMPRODUCT(--($D$631:$V$631=U$631),--($D1386:$V1386=1)),0)+SUM(U783)+IF(COUNTIF(U$1237:U1386,1)=1,5,0)+IF(COUNTIF(V784:$W784,"&gt;"&amp;0)&lt;5,IF(AND(COUNTIF(U$1237:U1386,1)&gt;7,MOD(1+IFERROR(MATCH($C784,总览!$D$46:$D$345,1)+1,1),7)=0),$C$3,0),0)</f>
        <v>178.175075783742</v>
      </c>
      <c r="V784" s="131" cm="1">
        <f ca="1" t="array" ref="V784">IF(V1386=1,OFFSET($W$634,$B784,V$631-1)/SUMPRODUCT(--($D$631:$V$631=V$631),--($D1386:$V1386=1)),0)+SUM(V783)+IF(COUNTIF(V$1237:V1386,1)=1,5,0)+IF(COUNTIF(W784:$W784,"&gt;"&amp;0)&lt;5,IF(AND(COUNTIF(V$1237:V1386,1)&gt;7,MOD(1+IFERROR(MATCH($C784,总览!$D$46:$D$345,1)+1,1),7)=0),$C$3,0),0)</f>
        <v>198.002075496175</v>
      </c>
      <c r="W784" s="135" cm="1">
        <f ca="1" t="array" ref="W784">SUMPRODUCT(TRANSPOSE($AA784:$AG784),OFFSET($L$9:$L$15,0,W$631-1))</f>
        <v>16.8502200646615</v>
      </c>
      <c r="X784" s="135" cm="1">
        <f ca="1" t="array" ref="X784">SUMPRODUCT(TRANSPOSE($AA784:$AG784),OFFSET($L$9:$L$15,0,X$631-1))</f>
        <v>20</v>
      </c>
      <c r="Y784" s="135" cm="1">
        <f ca="1" t="array" ref="Y784">SUMPRODUCT(TRANSPOSE($AA784:$AG784),OFFSET($L$9:$L$15,0,Y$631-1))</f>
        <v>10</v>
      </c>
      <c r="Z784" s="135" cm="1">
        <f ca="1" t="array" ref="Z784">SUMPRODUCT(TRANSPOSE($AA784:$AG784),OFFSET($L$9:$L$15,0,Z$631-1))</f>
        <v>3.14977993533847</v>
      </c>
      <c r="AA784" s="136">
        <f ca="1" t="shared" ref="AA784:AG784" si="543">AH784-AH783</f>
        <v>0</v>
      </c>
      <c r="AB784" s="136">
        <f ca="1" t="shared" si="543"/>
        <v>0</v>
      </c>
      <c r="AC784" s="136">
        <f ca="1" t="shared" si="543"/>
        <v>0</v>
      </c>
      <c r="AD784" s="136">
        <f ca="1" t="shared" si="543"/>
        <v>0</v>
      </c>
      <c r="AE784" s="136">
        <f ca="1" t="shared" si="543"/>
        <v>0</v>
      </c>
      <c r="AF784" s="136">
        <f ca="1" t="shared" si="543"/>
        <v>0</v>
      </c>
      <c r="AG784" s="136">
        <f ca="1" t="shared" si="543"/>
        <v>100</v>
      </c>
      <c r="AH784" s="136">
        <f ca="1" t="shared" si="501"/>
        <v>450</v>
      </c>
      <c r="AI784" s="136">
        <f ca="1" t="shared" ref="AI784:AN784" si="544">IF($C784&gt;OFFSET($Q$8,MATCH(AI$634,$AH$634:$AN$634,0),0),OFFSET($P$8,MATCH(AI$634,$AH$634:$AN$634,0),0),MAX(0,$C784-OFFSET($Q$8,RIGHT(AI$634,1)-1,0)))</f>
        <v>909</v>
      </c>
      <c r="AJ784" s="136">
        <f ca="1" t="shared" si="544"/>
        <v>1818</v>
      </c>
      <c r="AK784" s="136">
        <f ca="1" t="shared" si="544"/>
        <v>2727</v>
      </c>
      <c r="AL784" s="136">
        <f ca="1" t="shared" si="544"/>
        <v>3636</v>
      </c>
      <c r="AM784" s="136">
        <f ca="1" t="shared" si="544"/>
        <v>4545</v>
      </c>
      <c r="AN784" s="136">
        <f ca="1" t="shared" si="544"/>
        <v>915</v>
      </c>
    </row>
    <row r="785" s="106" customFormat="1" ht="16.5" spans="2:40">
      <c r="B785" s="117">
        <v>151</v>
      </c>
      <c r="C785" s="130">
        <f t="shared" si="499"/>
        <v>15100</v>
      </c>
      <c r="D785" s="131" cm="1">
        <f ca="1" t="array" ref="D785">IF(D1387=1,OFFSET($W$634,$B785,D$631-1)/SUMPRODUCT(--($D$631:$V$631=D$631),--($D1387:$V1387=1)),0)+SUM(D784)+IF(COUNTIF(D$1237:D1387,1)=1,5,0)+IF(COUNTIF(E785:$W785,"&gt;"&amp;0)&lt;5,IF(AND(COUNTIF(D$1237:D1387,1)&gt;7,MOD(1+IFERROR(MATCH($C785,总览!$D$46:$D$345,1)+1,1),7)=0),$C$3,0),0)</f>
        <v>1175.83125978543</v>
      </c>
      <c r="E785" s="131" cm="1">
        <f ca="1" t="array" ref="E785">IF(E1387=1,OFFSET($W$634,$B785,E$631-1)/SUMPRODUCT(--($D$631:$V$631=E$631),--($D1387:$V1387=1)),0)+SUM(E784)+IF(COUNTIF(E$1237:E1387,1)=1,5,0)+IF(COUNTIF(F785:$W785,"&gt;"&amp;0)&lt;5,IF(AND(COUNTIF(E$1237:E1387,1)&gt;7,MOD(1+IFERROR(MATCH($C785,总览!$D$46:$D$345,1)+1,1),7)=0),$C$3,0),0)</f>
        <v>1175.83125978543</v>
      </c>
      <c r="F785" s="131" cm="1">
        <f ca="1" t="array" ref="F785">IF(F1387=1,OFFSET($W$634,$B785,F$631-1)/SUMPRODUCT(--($D$631:$V$631=F$631),--($D1387:$V1387=1)),0)+SUM(F784)+IF(COUNTIF(F$1237:F1387,1)=1,5,0)+IF(COUNTIF(G785:$W785,"&gt;"&amp;0)&lt;5,IF(AND(COUNTIF(F$1237:F1387,1)&gt;7,MOD(1+IFERROR(MATCH($C785,总览!$D$46:$D$345,1)+1,1),7)=0),$C$3,0),0)</f>
        <v>1175.83125978543</v>
      </c>
      <c r="G785" s="131" cm="1">
        <f ca="1" t="array" ref="G785">IF(G1387=1,OFFSET($W$634,$B785,G$631-1)/SUMPRODUCT(--($D$631:$V$631=G$631),--($D1387:$V1387=1)),0)+SUM(G784)+IF(COUNTIF(G$1237:G1387,1)=1,5,0)+IF(COUNTIF(H785:$W785,"&gt;"&amp;0)&lt;5,IF(AND(COUNTIF(G$1237:G1387,1)&gt;7,MOD(1+IFERROR(MATCH($C785,总览!$D$46:$D$345,1)+1,1),7)=0),$C$3,0),0)</f>
        <v>442.733333333332</v>
      </c>
      <c r="H785" s="131" cm="1">
        <f ca="1" t="array" ref="H785">IF(H1387=1,OFFSET($W$634,$B785,H$631-1)/SUMPRODUCT(--($D$631:$V$631=H$631),--($D1387:$V1387=1)),0)+SUM(H784)+IF(COUNTIF(H$1237:H1387,1)=1,5,0)+IF(COUNTIF(I785:$W785,"&gt;"&amp;0)&lt;5,IF(AND(COUNTIF(H$1237:H1387,1)&gt;7,MOD(1+IFERROR(MATCH($C785,总览!$D$46:$D$345,1)+1,1),7)=0),$C$3,0),0)</f>
        <v>442.733333333332</v>
      </c>
      <c r="I785" s="131" cm="1">
        <f ca="1" t="array" ref="I785">IF(I1387=1,OFFSET($W$634,$B785,I$631-1)/SUMPRODUCT(--($D$631:$V$631=I$631),--($D1387:$V1387=1)),0)+SUM(I784)+IF(COUNTIF(I$1237:I1387,1)=1,5,0)+IF(COUNTIF(J785:$W785,"&gt;"&amp;0)&lt;5,IF(AND(COUNTIF(I$1237:I1387,1)&gt;7,MOD(1+IFERROR(MATCH($C785,总览!$D$46:$D$345,1)+1,1),7)=0),$C$3,0),0)</f>
        <v>442.733333333332</v>
      </c>
      <c r="J785" s="131" cm="1">
        <f ca="1" t="array" ref="J785">IF(J1387=1,OFFSET($W$634,$B785,J$631-1)/SUMPRODUCT(--($D$631:$V$631=J$631),--($D1387:$V1387=1)),0)+SUM(J784)+IF(COUNTIF(J$1237:J1387,1)=1,5,0)+IF(COUNTIF(K785:$W785,"&gt;"&amp;0)&lt;5,IF(AND(COUNTIF(J$1237:J1387,1)&gt;7,MOD(1+IFERROR(MATCH($C785,总览!$D$46:$D$345,1)+1,1),7)=0),$C$3,0),0)</f>
        <v>439.399999999999</v>
      </c>
      <c r="K785" s="131" cm="1">
        <f ca="1" t="array" ref="K785">IF(K1387=1,OFFSET($W$634,$B785,K$631-1)/SUMPRODUCT(--($D$631:$V$631=K$631),--($D1387:$V1387=1)),0)+SUM(K784)+IF(COUNTIF(K$1237:K1387,1)=1,5,0)+IF(COUNTIF(L785:$W785,"&gt;"&amp;0)&lt;5,IF(AND(COUNTIF(K$1237:K1387,1)&gt;7,MOD(1+IFERROR(MATCH($C785,总览!$D$46:$D$345,1)+1,1),7)=0),$C$3,0),0)</f>
        <v>436.899999999999</v>
      </c>
      <c r="L785" s="131" cm="1">
        <f ca="1" t="array" ref="L785">IF(L1387=1,OFFSET($W$634,$B785,L$631-1)/SUMPRODUCT(--($D$631:$V$631=L$631),--($D1387:$V1387=1)),0)+SUM(L784)+IF(COUNTIF(L$1237:L1387,1)=1,5,0)+IF(COUNTIF(M785:$W785,"&gt;"&amp;0)&lt;5,IF(AND(COUNTIF(L$1237:L1387,1)&gt;7,MOD(1+IFERROR(MATCH($C785,总览!$D$46:$D$345,1)+1,1),7)=0),$C$3,0),0)</f>
        <v>436.899999999999</v>
      </c>
      <c r="M785" s="131" cm="1">
        <f ca="1" t="array" ref="M785">IF(M1387=1,OFFSET($W$634,$B785,M$631-1)/SUMPRODUCT(--($D$631:$V$631=M$631),--($D1387:$V1387=1)),0)+SUM(M784)+IF(COUNTIF(M$1237:M1387,1)=1,5,0)+IF(COUNTIF(N785:$W785,"&gt;"&amp;0)&lt;5,IF(AND(COUNTIF(M$1237:M1387,1)&gt;7,MOD(1+IFERROR(MATCH($C785,总览!$D$46:$D$345,1)+1,1),7)=0),$C$3,0),0)</f>
        <v>173.466964285714</v>
      </c>
      <c r="N785" s="131" cm="1">
        <f ca="1" t="array" ref="N785">IF(N1387=1,OFFSET($W$634,$B785,N$631-1)/SUMPRODUCT(--($D$631:$V$631=N$631),--($D1387:$V1387=1)),0)+SUM(N784)+IF(COUNTIF(N$1237:N1387,1)=1,5,0)+IF(COUNTIF(O785:$W785,"&gt;"&amp;0)&lt;5,IF(AND(COUNTIF(N$1237:N1387,1)&gt;7,MOD(1+IFERROR(MATCH($C785,总览!$D$46:$D$345,1)+1,1),7)=0),$C$3,0),0)</f>
        <v>174.716964285714</v>
      </c>
      <c r="O785" s="131" cm="1">
        <f ca="1" t="array" ref="O785">IF(O1387=1,OFFSET($W$634,$B785,O$631-1)/SUMPRODUCT(--($D$631:$V$631=O$631),--($D1387:$V1387=1)),0)+SUM(O784)+IF(COUNTIF(O$1237:O1387,1)=1,5,0)+IF(COUNTIF(P785:$W785,"&gt;"&amp;0)&lt;5,IF(AND(COUNTIF(O$1237:O1387,1)&gt;7,MOD(1+IFERROR(MATCH($C785,总览!$D$46:$D$345,1)+1,1),7)=0),$C$3,0),0)</f>
        <v>179.716964285714</v>
      </c>
      <c r="P785" s="131" cm="1">
        <f ca="1" t="array" ref="P785">IF(P1387=1,OFFSET($W$634,$B785,P$631-1)/SUMPRODUCT(--($D$631:$V$631=P$631),--($D1387:$V1387=1)),0)+SUM(P784)+IF(COUNTIF(P$1237:P1387,1)=1,5,0)+IF(COUNTIF(Q785:$W785,"&gt;"&amp;0)&lt;5,IF(AND(COUNTIF(P$1237:P1387,1)&gt;7,MOD(1+IFERROR(MATCH($C785,总览!$D$46:$D$345,1)+1,1),7)=0),$C$3,0),0)</f>
        <v>168.835714285714</v>
      </c>
      <c r="Q785" s="131" cm="1">
        <f ca="1" t="array" ref="Q785">IF(Q1387=1,OFFSET($W$634,$B785,Q$631-1)/SUMPRODUCT(--($D$631:$V$631=Q$631),--($D1387:$V1387=1)),0)+SUM(Q784)+IF(COUNTIF(Q$1237:Q1387,1)=1,5,0)+IF(COUNTIF(R785:$W785,"&gt;"&amp;0)&lt;5,IF(AND(COUNTIF(Q$1237:Q1387,1)&gt;7,MOD(1+IFERROR(MATCH($C785,总览!$D$46:$D$345,1)+1,1),7)=0),$C$3,0),0)</f>
        <v>182.216964285714</v>
      </c>
      <c r="R785" s="131" cm="1">
        <f ca="1" t="array" ref="R785">IF(R1387=1,OFFSET($W$634,$B785,R$631-1)/SUMPRODUCT(--($D$631:$V$631=R$631),--($D1387:$V1387=1)),0)+SUM(R784)+IF(COUNTIF(R$1237:R1387,1)=1,5,0)+IF(COUNTIF(S785:$W785,"&gt;"&amp;0)&lt;5,IF(AND(COUNTIF(R$1237:R1387,1)&gt;7,MOD(1+IFERROR(MATCH($C785,总览!$D$46:$D$345,1)+1,1),7)=0),$C$3,0),0)</f>
        <v>173.835714285714</v>
      </c>
      <c r="S785" s="131" cm="1">
        <f ca="1" t="array" ref="S785">IF(S1387=1,OFFSET($W$634,$B785,S$631-1)/SUMPRODUCT(--($D$631:$V$631=S$631),--($D1387:$V1387=1)),0)+SUM(S784)+IF(COUNTIF(S$1237:S1387,1)=1,5,0)+IF(COUNTIF(T785:$W785,"&gt;"&amp;0)&lt;5,IF(AND(COUNTIF(S$1237:S1387,1)&gt;7,MOD(1+IFERROR(MATCH($C785,总览!$D$46:$D$345,1)+1,1),7)=0),$C$3,0),0)</f>
        <v>246.335714285713</v>
      </c>
      <c r="T785" s="131" cm="1">
        <f ca="1" t="array" ref="T785">IF(T1387=1,OFFSET($W$634,$B785,T$631-1)/SUMPRODUCT(--($D$631:$V$631=T$631),--($D1387:$V1387=1)),0)+SUM(T784)+IF(COUNTIF(T$1237:T1387,1)=1,5,0)+IF(COUNTIF(U785:$W785,"&gt;"&amp;0)&lt;5,IF(AND(COUNTIF(T$1237:T1387,1)&gt;7,MOD(1+IFERROR(MATCH($C785,总览!$D$46:$D$345,1)+1,1),7)=0),$C$3,0),0)</f>
        <v>173.704216073555</v>
      </c>
      <c r="U785" s="131" cm="1">
        <f ca="1" t="array" ref="U785">IF(U1387=1,OFFSET($W$634,$B785,U$631-1)/SUMPRODUCT(--($D$631:$V$631=U$631),--($D1387:$V1387=1)),0)+SUM(U784)+IF(COUNTIF(U$1237:U1387,1)=1,5,0)+IF(COUNTIF(V785:$W785,"&gt;"&amp;0)&lt;5,IF(AND(COUNTIF(U$1237:U1387,1)&gt;7,MOD(1+IFERROR(MATCH($C785,总览!$D$46:$D$345,1)+1,1),7)=0),$C$3,0),0)</f>
        <v>179.225002428854</v>
      </c>
      <c r="V785" s="131" cm="1">
        <f ca="1" t="array" ref="V785">IF(V1387=1,OFFSET($W$634,$B785,V$631-1)/SUMPRODUCT(--($D$631:$V$631=V$631),--($D1387:$V1387=1)),0)+SUM(V784)+IF(COUNTIF(V$1237:V1387,1)=1,5,0)+IF(COUNTIF(W785:$W785,"&gt;"&amp;0)&lt;5,IF(AND(COUNTIF(V$1237:V1387,1)&gt;7,MOD(1+IFERROR(MATCH($C785,总览!$D$46:$D$345,1)+1,1),7)=0),$C$3,0),0)</f>
        <v>199.052002141288</v>
      </c>
      <c r="W785" s="135" cm="1">
        <f ca="1" t="array" ref="W785">SUMPRODUCT(TRANSPOSE($AA785:$AG785),OFFSET($L$9:$L$15,0,W$631-1))</f>
        <v>16.8502200646615</v>
      </c>
      <c r="X785" s="135" cm="1">
        <f ca="1" t="array" ref="X785">SUMPRODUCT(TRANSPOSE($AA785:$AG785),OFFSET($L$9:$L$15,0,X$631-1))</f>
        <v>20</v>
      </c>
      <c r="Y785" s="135" cm="1">
        <f ca="1" t="array" ref="Y785">SUMPRODUCT(TRANSPOSE($AA785:$AG785),OFFSET($L$9:$L$15,0,Y$631-1))</f>
        <v>10</v>
      </c>
      <c r="Z785" s="135" cm="1">
        <f ca="1" t="array" ref="Z785">SUMPRODUCT(TRANSPOSE($AA785:$AG785),OFFSET($L$9:$L$15,0,Z$631-1))</f>
        <v>3.14977993533847</v>
      </c>
      <c r="AA785" s="136">
        <f ca="1" t="shared" ref="AA785:AG785" si="545">AH785-AH784</f>
        <v>0</v>
      </c>
      <c r="AB785" s="136">
        <f ca="1" t="shared" si="545"/>
        <v>0</v>
      </c>
      <c r="AC785" s="136">
        <f ca="1" t="shared" si="545"/>
        <v>0</v>
      </c>
      <c r="AD785" s="136">
        <f ca="1" t="shared" si="545"/>
        <v>0</v>
      </c>
      <c r="AE785" s="136">
        <f ca="1" t="shared" si="545"/>
        <v>0</v>
      </c>
      <c r="AF785" s="136">
        <f ca="1" t="shared" si="545"/>
        <v>0</v>
      </c>
      <c r="AG785" s="136">
        <f ca="1" t="shared" si="545"/>
        <v>100</v>
      </c>
      <c r="AH785" s="136">
        <f ca="1" t="shared" si="501"/>
        <v>450</v>
      </c>
      <c r="AI785" s="136">
        <f ca="1" t="shared" ref="AI785:AN785" si="546">IF($C785&gt;OFFSET($Q$8,MATCH(AI$634,$AH$634:$AN$634,0),0),OFFSET($P$8,MATCH(AI$634,$AH$634:$AN$634,0),0),MAX(0,$C785-OFFSET($Q$8,RIGHT(AI$634,1)-1,0)))</f>
        <v>909</v>
      </c>
      <c r="AJ785" s="136">
        <f ca="1" t="shared" si="546"/>
        <v>1818</v>
      </c>
      <c r="AK785" s="136">
        <f ca="1" t="shared" si="546"/>
        <v>2727</v>
      </c>
      <c r="AL785" s="136">
        <f ca="1" t="shared" si="546"/>
        <v>3636</v>
      </c>
      <c r="AM785" s="136">
        <f ca="1" t="shared" si="546"/>
        <v>4545</v>
      </c>
      <c r="AN785" s="136">
        <f ca="1" t="shared" si="546"/>
        <v>1015</v>
      </c>
    </row>
    <row r="786" s="106" customFormat="1" ht="16.5" spans="2:40">
      <c r="B786" s="117">
        <v>152</v>
      </c>
      <c r="C786" s="130">
        <f t="shared" si="499"/>
        <v>15200</v>
      </c>
      <c r="D786" s="131" cm="1">
        <f ca="1" t="array" ref="D786">IF(D1388=1,OFFSET($W$634,$B786,D$631-1)/SUMPRODUCT(--($D$631:$V$631=D$631),--($D1388:$V1388=1)),0)+SUM(D785)+IF(COUNTIF(D$1237:D1388,1)=1,5,0)+IF(COUNTIF(E786:$W786,"&gt;"&amp;0)&lt;5,IF(AND(COUNTIF(D$1237:D1388,1)&gt;7,MOD(1+IFERROR(MATCH($C786,总览!$D$46:$D$345,1)+1,1),7)=0),$C$3,0),0)</f>
        <v>1181.44799980699</v>
      </c>
      <c r="E786" s="131" cm="1">
        <f ca="1" t="array" ref="E786">IF(E1388=1,OFFSET($W$634,$B786,E$631-1)/SUMPRODUCT(--($D$631:$V$631=E$631),--($D1388:$V1388=1)),0)+SUM(E785)+IF(COUNTIF(E$1237:E1388,1)=1,5,0)+IF(COUNTIF(F786:$W786,"&gt;"&amp;0)&lt;5,IF(AND(COUNTIF(E$1237:E1388,1)&gt;7,MOD(1+IFERROR(MATCH($C786,总览!$D$46:$D$345,1)+1,1),7)=0),$C$3,0),0)</f>
        <v>1181.44799980699</v>
      </c>
      <c r="F786" s="131" cm="1">
        <f ca="1" t="array" ref="F786">IF(F1388=1,OFFSET($W$634,$B786,F$631-1)/SUMPRODUCT(--($D$631:$V$631=F$631),--($D1388:$V1388=1)),0)+SUM(F785)+IF(COUNTIF(F$1237:F1388,1)=1,5,0)+IF(COUNTIF(G786:$W786,"&gt;"&amp;0)&lt;5,IF(AND(COUNTIF(F$1237:F1388,1)&gt;7,MOD(1+IFERROR(MATCH($C786,总览!$D$46:$D$345,1)+1,1),7)=0),$C$3,0),0)</f>
        <v>1181.44799980699</v>
      </c>
      <c r="G786" s="131" cm="1">
        <f ca="1" t="array" ref="G786">IF(G1388=1,OFFSET($W$634,$B786,G$631-1)/SUMPRODUCT(--($D$631:$V$631=G$631),--($D1388:$V1388=1)),0)+SUM(G785)+IF(COUNTIF(G$1237:G1388,1)=1,5,0)+IF(COUNTIF(H786:$W786,"&gt;"&amp;0)&lt;5,IF(AND(COUNTIF(G$1237:G1388,1)&gt;7,MOD(1+IFERROR(MATCH($C786,总览!$D$46:$D$345,1)+1,1),7)=0),$C$3,0),0)</f>
        <v>446.066666666666</v>
      </c>
      <c r="H786" s="131" cm="1">
        <f ca="1" t="array" ref="H786">IF(H1388=1,OFFSET($W$634,$B786,H$631-1)/SUMPRODUCT(--($D$631:$V$631=H$631),--($D1388:$V1388=1)),0)+SUM(H785)+IF(COUNTIF(H$1237:H1388,1)=1,5,0)+IF(COUNTIF(I786:$W786,"&gt;"&amp;0)&lt;5,IF(AND(COUNTIF(H$1237:H1388,1)&gt;7,MOD(1+IFERROR(MATCH($C786,总览!$D$46:$D$345,1)+1,1),7)=0),$C$3,0),0)</f>
        <v>446.066666666666</v>
      </c>
      <c r="I786" s="131" cm="1">
        <f ca="1" t="array" ref="I786">IF(I1388=1,OFFSET($W$634,$B786,I$631-1)/SUMPRODUCT(--($D$631:$V$631=I$631),--($D1388:$V1388=1)),0)+SUM(I785)+IF(COUNTIF(I$1237:I1388,1)=1,5,0)+IF(COUNTIF(J786:$W786,"&gt;"&amp;0)&lt;5,IF(AND(COUNTIF(I$1237:I1388,1)&gt;7,MOD(1+IFERROR(MATCH($C786,总览!$D$46:$D$345,1)+1,1),7)=0),$C$3,0),0)</f>
        <v>446.066666666666</v>
      </c>
      <c r="J786" s="131" cm="1">
        <f ca="1" t="array" ref="J786">IF(J1388=1,OFFSET($W$634,$B786,J$631-1)/SUMPRODUCT(--($D$631:$V$631=J$631),--($D1388:$V1388=1)),0)+SUM(J785)+IF(COUNTIF(J$1237:J1388,1)=1,5,0)+IF(COUNTIF(K786:$W786,"&gt;"&amp;0)&lt;5,IF(AND(COUNTIF(J$1237:J1388,1)&gt;7,MOD(1+IFERROR(MATCH($C786,总览!$D$46:$D$345,1)+1,1),7)=0),$C$3,0),0)</f>
        <v>442.733333333332</v>
      </c>
      <c r="K786" s="131" cm="1">
        <f ca="1" t="array" ref="K786">IF(K1388=1,OFFSET($W$634,$B786,K$631-1)/SUMPRODUCT(--($D$631:$V$631=K$631),--($D1388:$V1388=1)),0)+SUM(K785)+IF(COUNTIF(K$1237:K1388,1)=1,5,0)+IF(COUNTIF(L786:$W786,"&gt;"&amp;0)&lt;5,IF(AND(COUNTIF(K$1237:K1388,1)&gt;7,MOD(1+IFERROR(MATCH($C786,总览!$D$46:$D$345,1)+1,1),7)=0),$C$3,0),0)</f>
        <v>440.233333333332</v>
      </c>
      <c r="L786" s="131" cm="1">
        <f ca="1" t="array" ref="L786">IF(L1388=1,OFFSET($W$634,$B786,L$631-1)/SUMPRODUCT(--($D$631:$V$631=L$631),--($D1388:$V1388=1)),0)+SUM(L785)+IF(COUNTIF(L$1237:L1388,1)=1,5,0)+IF(COUNTIF(M786:$W786,"&gt;"&amp;0)&lt;5,IF(AND(COUNTIF(L$1237:L1388,1)&gt;7,MOD(1+IFERROR(MATCH($C786,总览!$D$46:$D$345,1)+1,1),7)=0),$C$3,0),0)</f>
        <v>440.233333333332</v>
      </c>
      <c r="M786" s="131" cm="1">
        <f ca="1" t="array" ref="M786">IF(M1388=1,OFFSET($W$634,$B786,M$631-1)/SUMPRODUCT(--($D$631:$V$631=M$631),--($D1388:$V1388=1)),0)+SUM(M785)+IF(COUNTIF(M$1237:M1388,1)=1,5,0)+IF(COUNTIF(N786:$W786,"&gt;"&amp;0)&lt;5,IF(AND(COUNTIF(M$1237:M1388,1)&gt;7,MOD(1+IFERROR(MATCH($C786,总览!$D$46:$D$345,1)+1,1),7)=0),$C$3,0),0)</f>
        <v>174.895535714285</v>
      </c>
      <c r="N786" s="131" cm="1">
        <f ca="1" t="array" ref="N786">IF(N1388=1,OFFSET($W$634,$B786,N$631-1)/SUMPRODUCT(--($D$631:$V$631=N$631),--($D1388:$V1388=1)),0)+SUM(N785)+IF(COUNTIF(N$1237:N1388,1)=1,5,0)+IF(COUNTIF(O786:$W786,"&gt;"&amp;0)&lt;5,IF(AND(COUNTIF(N$1237:N1388,1)&gt;7,MOD(1+IFERROR(MATCH($C786,总览!$D$46:$D$345,1)+1,1),7)=0),$C$3,0),0)</f>
        <v>176.145535714285</v>
      </c>
      <c r="O786" s="131" cm="1">
        <f ca="1" t="array" ref="O786">IF(O1388=1,OFFSET($W$634,$B786,O$631-1)/SUMPRODUCT(--($D$631:$V$631=O$631),--($D1388:$V1388=1)),0)+SUM(O785)+IF(COUNTIF(O$1237:O1388,1)=1,5,0)+IF(COUNTIF(P786:$W786,"&gt;"&amp;0)&lt;5,IF(AND(COUNTIF(O$1237:O1388,1)&gt;7,MOD(1+IFERROR(MATCH($C786,总览!$D$46:$D$345,1)+1,1),7)=0),$C$3,0),0)</f>
        <v>181.145535714285</v>
      </c>
      <c r="P786" s="131" cm="1">
        <f ca="1" t="array" ref="P786">IF(P1388=1,OFFSET($W$634,$B786,P$631-1)/SUMPRODUCT(--($D$631:$V$631=P$631),--($D1388:$V1388=1)),0)+SUM(P785)+IF(COUNTIF(P$1237:P1388,1)=1,5,0)+IF(COUNTIF(Q786:$W786,"&gt;"&amp;0)&lt;5,IF(AND(COUNTIF(P$1237:P1388,1)&gt;7,MOD(1+IFERROR(MATCH($C786,总览!$D$46:$D$345,1)+1,1),7)=0),$C$3,0),0)</f>
        <v>170.264285714285</v>
      </c>
      <c r="Q786" s="131" cm="1">
        <f ca="1" t="array" ref="Q786">IF(Q1388=1,OFFSET($W$634,$B786,Q$631-1)/SUMPRODUCT(--($D$631:$V$631=Q$631),--($D1388:$V1388=1)),0)+SUM(Q785)+IF(COUNTIF(Q$1237:Q1388,1)=1,5,0)+IF(COUNTIF(R786:$W786,"&gt;"&amp;0)&lt;5,IF(AND(COUNTIF(Q$1237:Q1388,1)&gt;7,MOD(1+IFERROR(MATCH($C786,总览!$D$46:$D$345,1)+1,1),7)=0),$C$3,0),0)</f>
        <v>183.645535714285</v>
      </c>
      <c r="R786" s="131" cm="1">
        <f ca="1" t="array" ref="R786">IF(R1388=1,OFFSET($W$634,$B786,R$631-1)/SUMPRODUCT(--($D$631:$V$631=R$631),--($D1388:$V1388=1)),0)+SUM(R785)+IF(COUNTIF(R$1237:R1388,1)=1,5,0)+IF(COUNTIF(S786:$W786,"&gt;"&amp;0)&lt;5,IF(AND(COUNTIF(R$1237:R1388,1)&gt;7,MOD(1+IFERROR(MATCH($C786,总览!$D$46:$D$345,1)+1,1),7)=0),$C$3,0),0)</f>
        <v>175.264285714285</v>
      </c>
      <c r="S786" s="131" cm="1">
        <f ca="1" t="array" ref="S786">IF(S1388=1,OFFSET($W$634,$B786,S$631-1)/SUMPRODUCT(--($D$631:$V$631=S$631),--($D1388:$V1388=1)),0)+SUM(S785)+IF(COUNTIF(S$1237:S1388,1)=1,5,0)+IF(COUNTIF(T786:$W786,"&gt;"&amp;0)&lt;5,IF(AND(COUNTIF(S$1237:S1388,1)&gt;7,MOD(1+IFERROR(MATCH($C786,总览!$D$46:$D$345,1)+1,1),7)=0),$C$3,0),0)</f>
        <v>247.764285714285</v>
      </c>
      <c r="T786" s="131" cm="1">
        <f ca="1" t="array" ref="T786">IF(T1388=1,OFFSET($W$634,$B786,T$631-1)/SUMPRODUCT(--($D$631:$V$631=T$631),--($D1388:$V1388=1)),0)+SUM(T785)+IF(COUNTIF(T$1237:T1388,1)=1,5,0)+IF(COUNTIF(U786:$W786,"&gt;"&amp;0)&lt;5,IF(AND(COUNTIF(T$1237:T1388,1)&gt;7,MOD(1+IFERROR(MATCH($C786,总览!$D$46:$D$345,1)+1,1),7)=0),$C$3,0),0)</f>
        <v>174.754142718668</v>
      </c>
      <c r="U786" s="131" cm="1">
        <f ca="1" t="array" ref="U786">IF(U1388=1,OFFSET($W$634,$B786,U$631-1)/SUMPRODUCT(--($D$631:$V$631=U$631),--($D1388:$V1388=1)),0)+SUM(U785)+IF(COUNTIF(U$1237:U1388,1)=1,5,0)+IF(COUNTIF(V786:$W786,"&gt;"&amp;0)&lt;5,IF(AND(COUNTIF(U$1237:U1388,1)&gt;7,MOD(1+IFERROR(MATCH($C786,总览!$D$46:$D$345,1)+1,1),7)=0),$C$3,0),0)</f>
        <v>180.274929073967</v>
      </c>
      <c r="V786" s="131" cm="1">
        <f ca="1" t="array" ref="V786">IF(V1388=1,OFFSET($W$634,$B786,V$631-1)/SUMPRODUCT(--($D$631:$V$631=V$631),--($D1388:$V1388=1)),0)+SUM(V785)+IF(COUNTIF(V$1237:V1388,1)=1,5,0)+IF(COUNTIF(W786:$W786,"&gt;"&amp;0)&lt;5,IF(AND(COUNTIF(V$1237:V1388,1)&gt;7,MOD(1+IFERROR(MATCH($C786,总览!$D$46:$D$345,1)+1,1),7)=0),$C$3,0),0)</f>
        <v>200.101928786401</v>
      </c>
      <c r="W786" s="135" cm="1">
        <f ca="1" t="array" ref="W786">SUMPRODUCT(TRANSPOSE($AA786:$AG786),OFFSET($L$9:$L$15,0,W$631-1))</f>
        <v>16.8502200646615</v>
      </c>
      <c r="X786" s="135" cm="1">
        <f ca="1" t="array" ref="X786">SUMPRODUCT(TRANSPOSE($AA786:$AG786),OFFSET($L$9:$L$15,0,X$631-1))</f>
        <v>20</v>
      </c>
      <c r="Y786" s="135" cm="1">
        <f ca="1" t="array" ref="Y786">SUMPRODUCT(TRANSPOSE($AA786:$AG786),OFFSET($L$9:$L$15,0,Y$631-1))</f>
        <v>10</v>
      </c>
      <c r="Z786" s="135" cm="1">
        <f ca="1" t="array" ref="Z786">SUMPRODUCT(TRANSPOSE($AA786:$AG786),OFFSET($L$9:$L$15,0,Z$631-1))</f>
        <v>3.14977993533847</v>
      </c>
      <c r="AA786" s="136">
        <f ca="1" t="shared" ref="AA786:AG786" si="547">AH786-AH785</f>
        <v>0</v>
      </c>
      <c r="AB786" s="136">
        <f ca="1" t="shared" si="547"/>
        <v>0</v>
      </c>
      <c r="AC786" s="136">
        <f ca="1" t="shared" si="547"/>
        <v>0</v>
      </c>
      <c r="AD786" s="136">
        <f ca="1" t="shared" si="547"/>
        <v>0</v>
      </c>
      <c r="AE786" s="136">
        <f ca="1" t="shared" si="547"/>
        <v>0</v>
      </c>
      <c r="AF786" s="136">
        <f ca="1" t="shared" si="547"/>
        <v>0</v>
      </c>
      <c r="AG786" s="136">
        <f ca="1" t="shared" si="547"/>
        <v>100</v>
      </c>
      <c r="AH786" s="136">
        <f ca="1" t="shared" si="501"/>
        <v>450</v>
      </c>
      <c r="AI786" s="136">
        <f ca="1" t="shared" ref="AI786:AN786" si="548">IF($C786&gt;OFFSET($Q$8,MATCH(AI$634,$AH$634:$AN$634,0),0),OFFSET($P$8,MATCH(AI$634,$AH$634:$AN$634,0),0),MAX(0,$C786-OFFSET($Q$8,RIGHT(AI$634,1)-1,0)))</f>
        <v>909</v>
      </c>
      <c r="AJ786" s="136">
        <f ca="1" t="shared" si="548"/>
        <v>1818</v>
      </c>
      <c r="AK786" s="136">
        <f ca="1" t="shared" si="548"/>
        <v>2727</v>
      </c>
      <c r="AL786" s="136">
        <f ca="1" t="shared" si="548"/>
        <v>3636</v>
      </c>
      <c r="AM786" s="136">
        <f ca="1" t="shared" si="548"/>
        <v>4545</v>
      </c>
      <c r="AN786" s="136">
        <f ca="1" t="shared" si="548"/>
        <v>1115</v>
      </c>
    </row>
    <row r="787" s="106" customFormat="1" ht="16.5" spans="2:40">
      <c r="B787" s="117">
        <v>153</v>
      </c>
      <c r="C787" s="130">
        <f t="shared" si="499"/>
        <v>15300</v>
      </c>
      <c r="D787" s="131" cm="1">
        <f ca="1" t="array" ref="D787">IF(D1389=1,OFFSET($W$634,$B787,D$631-1)/SUMPRODUCT(--($D$631:$V$631=D$631),--($D1389:$V1389=1)),0)+SUM(D786)+IF(COUNTIF(D$1237:D1389,1)=1,5,0)+IF(COUNTIF(E787:$W787,"&gt;"&amp;0)&lt;5,IF(AND(COUNTIF(D$1237:D1389,1)&gt;7,MOD(1+IFERROR(MATCH($C787,总览!$D$46:$D$345,1)+1,1),7)=0),$C$3,0),0)</f>
        <v>1187.06473982854</v>
      </c>
      <c r="E787" s="131" cm="1">
        <f ca="1" t="array" ref="E787">IF(E1389=1,OFFSET($W$634,$B787,E$631-1)/SUMPRODUCT(--($D$631:$V$631=E$631),--($D1389:$V1389=1)),0)+SUM(E786)+IF(COUNTIF(E$1237:E1389,1)=1,5,0)+IF(COUNTIF(F787:$W787,"&gt;"&amp;0)&lt;5,IF(AND(COUNTIF(E$1237:E1389,1)&gt;7,MOD(1+IFERROR(MATCH($C787,总览!$D$46:$D$345,1)+1,1),7)=0),$C$3,0),0)</f>
        <v>1187.06473982854</v>
      </c>
      <c r="F787" s="131" cm="1">
        <f ca="1" t="array" ref="F787">IF(F1389=1,OFFSET($W$634,$B787,F$631-1)/SUMPRODUCT(--($D$631:$V$631=F$631),--($D1389:$V1389=1)),0)+SUM(F786)+IF(COUNTIF(F$1237:F1389,1)=1,5,0)+IF(COUNTIF(G787:$W787,"&gt;"&amp;0)&lt;5,IF(AND(COUNTIF(F$1237:F1389,1)&gt;7,MOD(1+IFERROR(MATCH($C787,总览!$D$46:$D$345,1)+1,1),7)=0),$C$3,0),0)</f>
        <v>1187.06473982854</v>
      </c>
      <c r="G787" s="131" cm="1">
        <f ca="1" t="array" ref="G787">IF(G1389=1,OFFSET($W$634,$B787,G$631-1)/SUMPRODUCT(--($D$631:$V$631=G$631),--($D1389:$V1389=1)),0)+SUM(G786)+IF(COUNTIF(G$1237:G1389,1)=1,5,0)+IF(COUNTIF(H787:$W787,"&gt;"&amp;0)&lt;5,IF(AND(COUNTIF(G$1237:G1389,1)&gt;7,MOD(1+IFERROR(MATCH($C787,总览!$D$46:$D$345,1)+1,1),7)=0),$C$3,0),0)</f>
        <v>449.399999999999</v>
      </c>
      <c r="H787" s="131" cm="1">
        <f ca="1" t="array" ref="H787">IF(H1389=1,OFFSET($W$634,$B787,H$631-1)/SUMPRODUCT(--($D$631:$V$631=H$631),--($D1389:$V1389=1)),0)+SUM(H786)+IF(COUNTIF(H$1237:H1389,1)=1,5,0)+IF(COUNTIF(I787:$W787,"&gt;"&amp;0)&lt;5,IF(AND(COUNTIF(H$1237:H1389,1)&gt;7,MOD(1+IFERROR(MATCH($C787,总览!$D$46:$D$345,1)+1,1),7)=0),$C$3,0),0)</f>
        <v>449.399999999999</v>
      </c>
      <c r="I787" s="131" cm="1">
        <f ca="1" t="array" ref="I787">IF(I1389=1,OFFSET($W$634,$B787,I$631-1)/SUMPRODUCT(--($D$631:$V$631=I$631),--($D1389:$V1389=1)),0)+SUM(I786)+IF(COUNTIF(I$1237:I1389,1)=1,5,0)+IF(COUNTIF(J787:$W787,"&gt;"&amp;0)&lt;5,IF(AND(COUNTIF(I$1237:I1389,1)&gt;7,MOD(1+IFERROR(MATCH($C787,总览!$D$46:$D$345,1)+1,1),7)=0),$C$3,0),0)</f>
        <v>449.399999999999</v>
      </c>
      <c r="J787" s="131" cm="1">
        <f ca="1" t="array" ref="J787">IF(J1389=1,OFFSET($W$634,$B787,J$631-1)/SUMPRODUCT(--($D$631:$V$631=J$631),--($D1389:$V1389=1)),0)+SUM(J786)+IF(COUNTIF(J$1237:J1389,1)=1,5,0)+IF(COUNTIF(K787:$W787,"&gt;"&amp;0)&lt;5,IF(AND(COUNTIF(J$1237:J1389,1)&gt;7,MOD(1+IFERROR(MATCH($C787,总览!$D$46:$D$345,1)+1,1),7)=0),$C$3,0),0)</f>
        <v>446.066666666666</v>
      </c>
      <c r="K787" s="131" cm="1">
        <f ca="1" t="array" ref="K787">IF(K1389=1,OFFSET($W$634,$B787,K$631-1)/SUMPRODUCT(--($D$631:$V$631=K$631),--($D1389:$V1389=1)),0)+SUM(K786)+IF(COUNTIF(K$1237:K1389,1)=1,5,0)+IF(COUNTIF(L787:$W787,"&gt;"&amp;0)&lt;5,IF(AND(COUNTIF(K$1237:K1389,1)&gt;7,MOD(1+IFERROR(MATCH($C787,总览!$D$46:$D$345,1)+1,1),7)=0),$C$3,0),0)</f>
        <v>443.566666666666</v>
      </c>
      <c r="L787" s="131" cm="1">
        <f ca="1" t="array" ref="L787">IF(L1389=1,OFFSET($W$634,$B787,L$631-1)/SUMPRODUCT(--($D$631:$V$631=L$631),--($D1389:$V1389=1)),0)+SUM(L786)+IF(COUNTIF(L$1237:L1389,1)=1,5,0)+IF(COUNTIF(M787:$W787,"&gt;"&amp;0)&lt;5,IF(AND(COUNTIF(L$1237:L1389,1)&gt;7,MOD(1+IFERROR(MATCH($C787,总览!$D$46:$D$345,1)+1,1),7)=0),$C$3,0),0)</f>
        <v>443.566666666666</v>
      </c>
      <c r="M787" s="131" cm="1">
        <f ca="1" t="array" ref="M787">IF(M1389=1,OFFSET($W$634,$B787,M$631-1)/SUMPRODUCT(--($D$631:$V$631=M$631),--($D1389:$V1389=1)),0)+SUM(M786)+IF(COUNTIF(M$1237:M1389,1)=1,5,0)+IF(COUNTIF(N787:$W787,"&gt;"&amp;0)&lt;5,IF(AND(COUNTIF(M$1237:M1389,1)&gt;7,MOD(1+IFERROR(MATCH($C787,总览!$D$46:$D$345,1)+1,1),7)=0),$C$3,0),0)</f>
        <v>176.324107142857</v>
      </c>
      <c r="N787" s="131" cm="1">
        <f ca="1" t="array" ref="N787">IF(N1389=1,OFFSET($W$634,$B787,N$631-1)/SUMPRODUCT(--($D$631:$V$631=N$631),--($D1389:$V1389=1)),0)+SUM(N786)+IF(COUNTIF(N$1237:N1389,1)=1,5,0)+IF(COUNTIF(O787:$W787,"&gt;"&amp;0)&lt;5,IF(AND(COUNTIF(N$1237:N1389,1)&gt;7,MOD(1+IFERROR(MATCH($C787,总览!$D$46:$D$345,1)+1,1),7)=0),$C$3,0),0)</f>
        <v>177.574107142857</v>
      </c>
      <c r="O787" s="131" cm="1">
        <f ca="1" t="array" ref="O787">IF(O1389=1,OFFSET($W$634,$B787,O$631-1)/SUMPRODUCT(--($D$631:$V$631=O$631),--($D1389:$V1389=1)),0)+SUM(O786)+IF(COUNTIF(O$1237:O1389,1)=1,5,0)+IF(COUNTIF(P787:$W787,"&gt;"&amp;0)&lt;5,IF(AND(COUNTIF(O$1237:O1389,1)&gt;7,MOD(1+IFERROR(MATCH($C787,总览!$D$46:$D$345,1)+1,1),7)=0),$C$3,0),0)</f>
        <v>182.574107142857</v>
      </c>
      <c r="P787" s="131" cm="1">
        <f ca="1" t="array" ref="P787">IF(P1389=1,OFFSET($W$634,$B787,P$631-1)/SUMPRODUCT(--($D$631:$V$631=P$631),--($D1389:$V1389=1)),0)+SUM(P786)+IF(COUNTIF(P$1237:P1389,1)=1,5,0)+IF(COUNTIF(Q787:$W787,"&gt;"&amp;0)&lt;5,IF(AND(COUNTIF(P$1237:P1389,1)&gt;7,MOD(1+IFERROR(MATCH($C787,总览!$D$46:$D$345,1)+1,1),7)=0),$C$3,0),0)</f>
        <v>171.692857142857</v>
      </c>
      <c r="Q787" s="131" cm="1">
        <f ca="1" t="array" ref="Q787">IF(Q1389=1,OFFSET($W$634,$B787,Q$631-1)/SUMPRODUCT(--($D$631:$V$631=Q$631),--($D1389:$V1389=1)),0)+SUM(Q786)+IF(COUNTIF(Q$1237:Q1389,1)=1,5,0)+IF(COUNTIF(R787:$W787,"&gt;"&amp;0)&lt;5,IF(AND(COUNTIF(Q$1237:Q1389,1)&gt;7,MOD(1+IFERROR(MATCH($C787,总览!$D$46:$D$345,1)+1,1),7)=0),$C$3,0),0)</f>
        <v>185.074107142856</v>
      </c>
      <c r="R787" s="131" cm="1">
        <f ca="1" t="array" ref="R787">IF(R1389=1,OFFSET($W$634,$B787,R$631-1)/SUMPRODUCT(--($D$631:$V$631=R$631),--($D1389:$V1389=1)),0)+SUM(R786)+IF(COUNTIF(R$1237:R1389,1)=1,5,0)+IF(COUNTIF(S787:$W787,"&gt;"&amp;0)&lt;5,IF(AND(COUNTIF(R$1237:R1389,1)&gt;7,MOD(1+IFERROR(MATCH($C787,总览!$D$46:$D$345,1)+1,1),7)=0),$C$3,0),0)</f>
        <v>176.692857142857</v>
      </c>
      <c r="S787" s="131" cm="1">
        <f ca="1" t="array" ref="S787">IF(S1389=1,OFFSET($W$634,$B787,S$631-1)/SUMPRODUCT(--($D$631:$V$631=S$631),--($D1389:$V1389=1)),0)+SUM(S786)+IF(COUNTIF(S$1237:S1389,1)=1,5,0)+IF(COUNTIF(T787:$W787,"&gt;"&amp;0)&lt;5,IF(AND(COUNTIF(S$1237:S1389,1)&gt;7,MOD(1+IFERROR(MATCH($C787,总览!$D$46:$D$345,1)+1,1),7)=0),$C$3,0),0)</f>
        <v>249.192857142856</v>
      </c>
      <c r="T787" s="131" cm="1">
        <f ca="1" t="array" ref="T787">IF(T1389=1,OFFSET($W$634,$B787,T$631-1)/SUMPRODUCT(--($D$631:$V$631=T$631),--($D1389:$V1389=1)),0)+SUM(T786)+IF(COUNTIF(T$1237:T1389,1)=1,5,0)+IF(COUNTIF(U787:$W787,"&gt;"&amp;0)&lt;5,IF(AND(COUNTIF(T$1237:T1389,1)&gt;7,MOD(1+IFERROR(MATCH($C787,总览!$D$46:$D$345,1)+1,1),7)=0),$C$3,0),0)</f>
        <v>175.80406936378</v>
      </c>
      <c r="U787" s="131" cm="1">
        <f ca="1" t="array" ref="U787">IF(U1389=1,OFFSET($W$634,$B787,U$631-1)/SUMPRODUCT(--($D$631:$V$631=U$631),--($D1389:$V1389=1)),0)+SUM(U786)+IF(COUNTIF(U$1237:U1389,1)=1,5,0)+IF(COUNTIF(V787:$W787,"&gt;"&amp;0)&lt;5,IF(AND(COUNTIF(U$1237:U1389,1)&gt;7,MOD(1+IFERROR(MATCH($C787,总览!$D$46:$D$345,1)+1,1),7)=0),$C$3,0),0)</f>
        <v>181.32485571908</v>
      </c>
      <c r="V787" s="131" cm="1">
        <f ca="1" t="array" ref="V787">IF(V1389=1,OFFSET($W$634,$B787,V$631-1)/SUMPRODUCT(--($D$631:$V$631=V$631),--($D1389:$V1389=1)),0)+SUM(V786)+IF(COUNTIF(V$1237:V1389,1)=1,5,0)+IF(COUNTIF(W787:$W787,"&gt;"&amp;0)&lt;5,IF(AND(COUNTIF(V$1237:V1389,1)&gt;7,MOD(1+IFERROR(MATCH($C787,总览!$D$46:$D$345,1)+1,1),7)=0),$C$3,0),0)</f>
        <v>201.151855431514</v>
      </c>
      <c r="W787" s="135" cm="1">
        <f ca="1" t="array" ref="W787">SUMPRODUCT(TRANSPOSE($AA787:$AG787),OFFSET($L$9:$L$15,0,W$631-1))</f>
        <v>16.8502200646615</v>
      </c>
      <c r="X787" s="135" cm="1">
        <f ca="1" t="array" ref="X787">SUMPRODUCT(TRANSPOSE($AA787:$AG787),OFFSET($L$9:$L$15,0,X$631-1))</f>
        <v>20</v>
      </c>
      <c r="Y787" s="135" cm="1">
        <f ca="1" t="array" ref="Y787">SUMPRODUCT(TRANSPOSE($AA787:$AG787),OFFSET($L$9:$L$15,0,Y$631-1))</f>
        <v>10</v>
      </c>
      <c r="Z787" s="135" cm="1">
        <f ca="1" t="array" ref="Z787">SUMPRODUCT(TRANSPOSE($AA787:$AG787),OFFSET($L$9:$L$15,0,Z$631-1))</f>
        <v>3.14977993533847</v>
      </c>
      <c r="AA787" s="136">
        <f ca="1" t="shared" ref="AA787:AG787" si="549">AH787-AH786</f>
        <v>0</v>
      </c>
      <c r="AB787" s="136">
        <f ca="1" t="shared" si="549"/>
        <v>0</v>
      </c>
      <c r="AC787" s="136">
        <f ca="1" t="shared" si="549"/>
        <v>0</v>
      </c>
      <c r="AD787" s="136">
        <f ca="1" t="shared" si="549"/>
        <v>0</v>
      </c>
      <c r="AE787" s="136">
        <f ca="1" t="shared" si="549"/>
        <v>0</v>
      </c>
      <c r="AF787" s="136">
        <f ca="1" t="shared" si="549"/>
        <v>0</v>
      </c>
      <c r="AG787" s="136">
        <f ca="1" t="shared" si="549"/>
        <v>100</v>
      </c>
      <c r="AH787" s="136">
        <f ca="1" t="shared" si="501"/>
        <v>450</v>
      </c>
      <c r="AI787" s="136">
        <f ca="1" t="shared" ref="AI787:AN787" si="550">IF($C787&gt;OFFSET($Q$8,MATCH(AI$634,$AH$634:$AN$634,0),0),OFFSET($P$8,MATCH(AI$634,$AH$634:$AN$634,0),0),MAX(0,$C787-OFFSET($Q$8,RIGHT(AI$634,1)-1,0)))</f>
        <v>909</v>
      </c>
      <c r="AJ787" s="136">
        <f ca="1" t="shared" si="550"/>
        <v>1818</v>
      </c>
      <c r="AK787" s="136">
        <f ca="1" t="shared" si="550"/>
        <v>2727</v>
      </c>
      <c r="AL787" s="136">
        <f ca="1" t="shared" si="550"/>
        <v>3636</v>
      </c>
      <c r="AM787" s="136">
        <f ca="1" t="shared" si="550"/>
        <v>4545</v>
      </c>
      <c r="AN787" s="136">
        <f ca="1" t="shared" si="550"/>
        <v>1215</v>
      </c>
    </row>
    <row r="788" s="106" customFormat="1" ht="16.5" spans="2:40">
      <c r="B788" s="117">
        <v>154</v>
      </c>
      <c r="C788" s="130">
        <f t="shared" si="499"/>
        <v>15400</v>
      </c>
      <c r="D788" s="131" cm="1">
        <f ca="1" t="array" ref="D788">IF(D1390=1,OFFSET($W$634,$B788,D$631-1)/SUMPRODUCT(--($D$631:$V$631=D$631),--($D1390:$V1390=1)),0)+SUM(D787)+IF(COUNTIF(D$1237:D1390,1)=1,5,0)+IF(COUNTIF(E788:$W788,"&gt;"&amp;0)&lt;5,IF(AND(COUNTIF(D$1237:D1390,1)&gt;7,MOD(1+IFERROR(MATCH($C788,总览!$D$46:$D$345,1)+1,1),7)=0),$C$3,0),0)</f>
        <v>1192.6814798501</v>
      </c>
      <c r="E788" s="131" cm="1">
        <f ca="1" t="array" ref="E788">IF(E1390=1,OFFSET($W$634,$B788,E$631-1)/SUMPRODUCT(--($D$631:$V$631=E$631),--($D1390:$V1390=1)),0)+SUM(E787)+IF(COUNTIF(E$1237:E1390,1)=1,5,0)+IF(COUNTIF(F788:$W788,"&gt;"&amp;0)&lt;5,IF(AND(COUNTIF(E$1237:E1390,1)&gt;7,MOD(1+IFERROR(MATCH($C788,总览!$D$46:$D$345,1)+1,1),7)=0),$C$3,0),0)</f>
        <v>1192.6814798501</v>
      </c>
      <c r="F788" s="131" cm="1">
        <f ca="1" t="array" ref="F788">IF(F1390=1,OFFSET($W$634,$B788,F$631-1)/SUMPRODUCT(--($D$631:$V$631=F$631),--($D1390:$V1390=1)),0)+SUM(F787)+IF(COUNTIF(F$1237:F1390,1)=1,5,0)+IF(COUNTIF(G788:$W788,"&gt;"&amp;0)&lt;5,IF(AND(COUNTIF(F$1237:F1390,1)&gt;7,MOD(1+IFERROR(MATCH($C788,总览!$D$46:$D$345,1)+1,1),7)=0),$C$3,0),0)</f>
        <v>1192.6814798501</v>
      </c>
      <c r="G788" s="131" cm="1">
        <f ca="1" t="array" ref="G788">IF(G1390=1,OFFSET($W$634,$B788,G$631-1)/SUMPRODUCT(--($D$631:$V$631=G$631),--($D1390:$V1390=1)),0)+SUM(G787)+IF(COUNTIF(G$1237:G1390,1)=1,5,0)+IF(COUNTIF(H788:$W788,"&gt;"&amp;0)&lt;5,IF(AND(COUNTIF(G$1237:G1390,1)&gt;7,MOD(1+IFERROR(MATCH($C788,总览!$D$46:$D$345,1)+1,1),7)=0),$C$3,0),0)</f>
        <v>452.733333333332</v>
      </c>
      <c r="H788" s="131" cm="1">
        <f ca="1" t="array" ref="H788">IF(H1390=1,OFFSET($W$634,$B788,H$631-1)/SUMPRODUCT(--($D$631:$V$631=H$631),--($D1390:$V1390=1)),0)+SUM(H787)+IF(COUNTIF(H$1237:H1390,1)=1,5,0)+IF(COUNTIF(I788:$W788,"&gt;"&amp;0)&lt;5,IF(AND(COUNTIF(H$1237:H1390,1)&gt;7,MOD(1+IFERROR(MATCH($C788,总览!$D$46:$D$345,1)+1,1),7)=0),$C$3,0),0)</f>
        <v>452.733333333332</v>
      </c>
      <c r="I788" s="131" cm="1">
        <f ca="1" t="array" ref="I788">IF(I1390=1,OFFSET($W$634,$B788,I$631-1)/SUMPRODUCT(--($D$631:$V$631=I$631),--($D1390:$V1390=1)),0)+SUM(I787)+IF(COUNTIF(I$1237:I1390,1)=1,5,0)+IF(COUNTIF(J788:$W788,"&gt;"&amp;0)&lt;5,IF(AND(COUNTIF(I$1237:I1390,1)&gt;7,MOD(1+IFERROR(MATCH($C788,总览!$D$46:$D$345,1)+1,1),7)=0),$C$3,0),0)</f>
        <v>452.733333333332</v>
      </c>
      <c r="J788" s="131" cm="1">
        <f ca="1" t="array" ref="J788">IF(J1390=1,OFFSET($W$634,$B788,J$631-1)/SUMPRODUCT(--($D$631:$V$631=J$631),--($D1390:$V1390=1)),0)+SUM(J787)+IF(COUNTIF(J$1237:J1390,1)=1,5,0)+IF(COUNTIF(K788:$W788,"&gt;"&amp;0)&lt;5,IF(AND(COUNTIF(J$1237:J1390,1)&gt;7,MOD(1+IFERROR(MATCH($C788,总览!$D$46:$D$345,1)+1,1),7)=0),$C$3,0),0)</f>
        <v>449.399999999999</v>
      </c>
      <c r="K788" s="131" cm="1">
        <f ca="1" t="array" ref="K788">IF(K1390=1,OFFSET($W$634,$B788,K$631-1)/SUMPRODUCT(--($D$631:$V$631=K$631),--($D1390:$V1390=1)),0)+SUM(K787)+IF(COUNTIF(K$1237:K1390,1)=1,5,0)+IF(COUNTIF(L788:$W788,"&gt;"&amp;0)&lt;5,IF(AND(COUNTIF(K$1237:K1390,1)&gt;7,MOD(1+IFERROR(MATCH($C788,总览!$D$46:$D$345,1)+1,1),7)=0),$C$3,0),0)</f>
        <v>446.899999999999</v>
      </c>
      <c r="L788" s="131" cm="1">
        <f ca="1" t="array" ref="L788">IF(L1390=1,OFFSET($W$634,$B788,L$631-1)/SUMPRODUCT(--($D$631:$V$631=L$631),--($D1390:$V1390=1)),0)+SUM(L787)+IF(COUNTIF(L$1237:L1390,1)=1,5,0)+IF(COUNTIF(M788:$W788,"&gt;"&amp;0)&lt;5,IF(AND(COUNTIF(L$1237:L1390,1)&gt;7,MOD(1+IFERROR(MATCH($C788,总览!$D$46:$D$345,1)+1,1),7)=0),$C$3,0),0)</f>
        <v>446.899999999999</v>
      </c>
      <c r="M788" s="131" cm="1">
        <f ca="1" t="array" ref="M788">IF(M1390=1,OFFSET($W$634,$B788,M$631-1)/SUMPRODUCT(--($D$631:$V$631=M$631),--($D1390:$V1390=1)),0)+SUM(M787)+IF(COUNTIF(M$1237:M1390,1)=1,5,0)+IF(COUNTIF(N788:$W788,"&gt;"&amp;0)&lt;5,IF(AND(COUNTIF(M$1237:M1390,1)&gt;7,MOD(1+IFERROR(MATCH($C788,总览!$D$46:$D$345,1)+1,1),7)=0),$C$3,0),0)</f>
        <v>177.752678571428</v>
      </c>
      <c r="N788" s="131" cm="1">
        <f ca="1" t="array" ref="N788">IF(N1390=1,OFFSET($W$634,$B788,N$631-1)/SUMPRODUCT(--($D$631:$V$631=N$631),--($D1390:$V1390=1)),0)+SUM(N787)+IF(COUNTIF(N$1237:N1390,1)=1,5,0)+IF(COUNTIF(O788:$W788,"&gt;"&amp;0)&lt;5,IF(AND(COUNTIF(N$1237:N1390,1)&gt;7,MOD(1+IFERROR(MATCH($C788,总览!$D$46:$D$345,1)+1,1),7)=0),$C$3,0),0)</f>
        <v>179.002678571428</v>
      </c>
      <c r="O788" s="131" cm="1">
        <f ca="1" t="array" ref="O788">IF(O1390=1,OFFSET($W$634,$B788,O$631-1)/SUMPRODUCT(--($D$631:$V$631=O$631),--($D1390:$V1390=1)),0)+SUM(O787)+IF(COUNTIF(O$1237:O1390,1)=1,5,0)+IF(COUNTIF(P788:$W788,"&gt;"&amp;0)&lt;5,IF(AND(COUNTIF(O$1237:O1390,1)&gt;7,MOD(1+IFERROR(MATCH($C788,总览!$D$46:$D$345,1)+1,1),7)=0),$C$3,0),0)</f>
        <v>184.002678571428</v>
      </c>
      <c r="P788" s="131" cm="1">
        <f ca="1" t="array" ref="P788">IF(P1390=1,OFFSET($W$634,$B788,P$631-1)/SUMPRODUCT(--($D$631:$V$631=P$631),--($D1390:$V1390=1)),0)+SUM(P787)+IF(COUNTIF(P$1237:P1390,1)=1,5,0)+IF(COUNTIF(Q788:$W788,"&gt;"&amp;0)&lt;5,IF(AND(COUNTIF(P$1237:P1390,1)&gt;7,MOD(1+IFERROR(MATCH($C788,总览!$D$46:$D$345,1)+1,1),7)=0),$C$3,0),0)</f>
        <v>173.121428571428</v>
      </c>
      <c r="Q788" s="131" cm="1">
        <f ca="1" t="array" ref="Q788">IF(Q1390=1,OFFSET($W$634,$B788,Q$631-1)/SUMPRODUCT(--($D$631:$V$631=Q$631),--($D1390:$V1390=1)),0)+SUM(Q787)+IF(COUNTIF(Q$1237:Q1390,1)=1,5,0)+IF(COUNTIF(R788:$W788,"&gt;"&amp;0)&lt;5,IF(AND(COUNTIF(Q$1237:Q1390,1)&gt;7,MOD(1+IFERROR(MATCH($C788,总览!$D$46:$D$345,1)+1,1),7)=0),$C$3,0),0)</f>
        <v>186.502678571428</v>
      </c>
      <c r="R788" s="131" cm="1">
        <f ca="1" t="array" ref="R788">IF(R1390=1,OFFSET($W$634,$B788,R$631-1)/SUMPRODUCT(--($D$631:$V$631=R$631),--($D1390:$V1390=1)),0)+SUM(R787)+IF(COUNTIF(R$1237:R1390,1)=1,5,0)+IF(COUNTIF(S788:$W788,"&gt;"&amp;0)&lt;5,IF(AND(COUNTIF(R$1237:R1390,1)&gt;7,MOD(1+IFERROR(MATCH($C788,总览!$D$46:$D$345,1)+1,1),7)=0),$C$3,0),0)</f>
        <v>178.121428571428</v>
      </c>
      <c r="S788" s="131" cm="1">
        <f ca="1" t="array" ref="S788">IF(S1390=1,OFFSET($W$634,$B788,S$631-1)/SUMPRODUCT(--($D$631:$V$631=S$631),--($D1390:$V1390=1)),0)+SUM(S787)+IF(COUNTIF(S$1237:S1390,1)=1,5,0)+IF(COUNTIF(T788:$W788,"&gt;"&amp;0)&lt;5,IF(AND(COUNTIF(S$1237:S1390,1)&gt;7,MOD(1+IFERROR(MATCH($C788,总览!$D$46:$D$345,1)+1,1),7)=0),$C$3,0),0)</f>
        <v>250.621428571428</v>
      </c>
      <c r="T788" s="131" cm="1">
        <f ca="1" t="array" ref="T788">IF(T1390=1,OFFSET($W$634,$B788,T$631-1)/SUMPRODUCT(--($D$631:$V$631=T$631),--($D1390:$V1390=1)),0)+SUM(T787)+IF(COUNTIF(T$1237:T1390,1)=1,5,0)+IF(COUNTIF(U788:$W788,"&gt;"&amp;0)&lt;5,IF(AND(COUNTIF(T$1237:T1390,1)&gt;7,MOD(1+IFERROR(MATCH($C788,总览!$D$46:$D$345,1)+1,1),7)=0),$C$3,0),0)</f>
        <v>176.853996008893</v>
      </c>
      <c r="U788" s="131" cm="1">
        <f ca="1" t="array" ref="U788">IF(U1390=1,OFFSET($W$634,$B788,U$631-1)/SUMPRODUCT(--($D$631:$V$631=U$631),--($D1390:$V1390=1)),0)+SUM(U787)+IF(COUNTIF(U$1237:U1390,1)=1,5,0)+IF(COUNTIF(V788:$W788,"&gt;"&amp;0)&lt;5,IF(AND(COUNTIF(U$1237:U1390,1)&gt;7,MOD(1+IFERROR(MATCH($C788,总览!$D$46:$D$345,1)+1,1),7)=0),$C$3,0),0)</f>
        <v>182.374782364193</v>
      </c>
      <c r="V788" s="131" cm="1">
        <f ca="1" t="array" ref="V788">IF(V1390=1,OFFSET($W$634,$B788,V$631-1)/SUMPRODUCT(--($D$631:$V$631=V$631),--($D1390:$V1390=1)),0)+SUM(V787)+IF(COUNTIF(V$1237:V1390,1)=1,5,0)+IF(COUNTIF(W788:$W788,"&gt;"&amp;0)&lt;5,IF(AND(COUNTIF(V$1237:V1390,1)&gt;7,MOD(1+IFERROR(MATCH($C788,总览!$D$46:$D$345,1)+1,1),7)=0),$C$3,0),0)</f>
        <v>202.201782076627</v>
      </c>
      <c r="W788" s="135" cm="1">
        <f ca="1" t="array" ref="W788">SUMPRODUCT(TRANSPOSE($AA788:$AG788),OFFSET($L$9:$L$15,0,W$631-1))</f>
        <v>16.8502200646615</v>
      </c>
      <c r="X788" s="135" cm="1">
        <f ca="1" t="array" ref="X788">SUMPRODUCT(TRANSPOSE($AA788:$AG788),OFFSET($L$9:$L$15,0,X$631-1))</f>
        <v>20</v>
      </c>
      <c r="Y788" s="135" cm="1">
        <f ca="1" t="array" ref="Y788">SUMPRODUCT(TRANSPOSE($AA788:$AG788),OFFSET($L$9:$L$15,0,Y$631-1))</f>
        <v>10</v>
      </c>
      <c r="Z788" s="135" cm="1">
        <f ca="1" t="array" ref="Z788">SUMPRODUCT(TRANSPOSE($AA788:$AG788),OFFSET($L$9:$L$15,0,Z$631-1))</f>
        <v>3.14977993533847</v>
      </c>
      <c r="AA788" s="136">
        <f ca="1" t="shared" ref="AA788:AG788" si="551">AH788-AH787</f>
        <v>0</v>
      </c>
      <c r="AB788" s="136">
        <f ca="1" t="shared" si="551"/>
        <v>0</v>
      </c>
      <c r="AC788" s="136">
        <f ca="1" t="shared" si="551"/>
        <v>0</v>
      </c>
      <c r="AD788" s="136">
        <f ca="1" t="shared" si="551"/>
        <v>0</v>
      </c>
      <c r="AE788" s="136">
        <f ca="1" t="shared" si="551"/>
        <v>0</v>
      </c>
      <c r="AF788" s="136">
        <f ca="1" t="shared" si="551"/>
        <v>0</v>
      </c>
      <c r="AG788" s="136">
        <f ca="1" t="shared" si="551"/>
        <v>100</v>
      </c>
      <c r="AH788" s="136">
        <f ca="1" t="shared" si="501"/>
        <v>450</v>
      </c>
      <c r="AI788" s="136">
        <f ca="1" t="shared" ref="AI788:AN788" si="552">IF($C788&gt;OFFSET($Q$8,MATCH(AI$634,$AH$634:$AN$634,0),0),OFFSET($P$8,MATCH(AI$634,$AH$634:$AN$634,0),0),MAX(0,$C788-OFFSET($Q$8,RIGHT(AI$634,1)-1,0)))</f>
        <v>909</v>
      </c>
      <c r="AJ788" s="136">
        <f ca="1" t="shared" si="552"/>
        <v>1818</v>
      </c>
      <c r="AK788" s="136">
        <f ca="1" t="shared" si="552"/>
        <v>2727</v>
      </c>
      <c r="AL788" s="136">
        <f ca="1" t="shared" si="552"/>
        <v>3636</v>
      </c>
      <c r="AM788" s="136">
        <f ca="1" t="shared" si="552"/>
        <v>4545</v>
      </c>
      <c r="AN788" s="136">
        <f ca="1" t="shared" si="552"/>
        <v>1315</v>
      </c>
    </row>
    <row r="789" s="106" customFormat="1" ht="16.5" spans="2:40">
      <c r="B789" s="117">
        <v>155</v>
      </c>
      <c r="C789" s="130">
        <f t="shared" si="499"/>
        <v>15500</v>
      </c>
      <c r="D789" s="131" cm="1">
        <f ca="1" t="array" ref="D789">IF(D1391=1,OFFSET($W$634,$B789,D$631-1)/SUMPRODUCT(--($D$631:$V$631=D$631),--($D1391:$V1391=1)),0)+SUM(D788)+IF(COUNTIF(D$1237:D1391,1)=1,5,0)+IF(COUNTIF(E789:$W789,"&gt;"&amp;0)&lt;5,IF(AND(COUNTIF(D$1237:D1391,1)&gt;7,MOD(1+IFERROR(MATCH($C789,总览!$D$46:$D$345,1)+1,1),7)=0),$C$3,0),0)</f>
        <v>1198.29821987165</v>
      </c>
      <c r="E789" s="131" cm="1">
        <f ca="1" t="array" ref="E789">IF(E1391=1,OFFSET($W$634,$B789,E$631-1)/SUMPRODUCT(--($D$631:$V$631=E$631),--($D1391:$V1391=1)),0)+SUM(E788)+IF(COUNTIF(E$1237:E1391,1)=1,5,0)+IF(COUNTIF(F789:$W789,"&gt;"&amp;0)&lt;5,IF(AND(COUNTIF(E$1237:E1391,1)&gt;7,MOD(1+IFERROR(MATCH($C789,总览!$D$46:$D$345,1)+1,1),7)=0),$C$3,0),0)</f>
        <v>1198.29821987165</v>
      </c>
      <c r="F789" s="131" cm="1">
        <f ca="1" t="array" ref="F789">IF(F1391=1,OFFSET($W$634,$B789,F$631-1)/SUMPRODUCT(--($D$631:$V$631=F$631),--($D1391:$V1391=1)),0)+SUM(F788)+IF(COUNTIF(F$1237:F1391,1)=1,5,0)+IF(COUNTIF(G789:$W789,"&gt;"&amp;0)&lt;5,IF(AND(COUNTIF(F$1237:F1391,1)&gt;7,MOD(1+IFERROR(MATCH($C789,总览!$D$46:$D$345,1)+1,1),7)=0),$C$3,0),0)</f>
        <v>1198.29821987165</v>
      </c>
      <c r="G789" s="131" cm="1">
        <f ca="1" t="array" ref="G789">IF(G1391=1,OFFSET($W$634,$B789,G$631-1)/SUMPRODUCT(--($D$631:$V$631=G$631),--($D1391:$V1391=1)),0)+SUM(G788)+IF(COUNTIF(G$1237:G1391,1)=1,5,0)+IF(COUNTIF(H789:$W789,"&gt;"&amp;0)&lt;5,IF(AND(COUNTIF(G$1237:G1391,1)&gt;7,MOD(1+IFERROR(MATCH($C789,总览!$D$46:$D$345,1)+1,1),7)=0),$C$3,0),0)</f>
        <v>456.066666666666</v>
      </c>
      <c r="H789" s="131" cm="1">
        <f ca="1" t="array" ref="H789">IF(H1391=1,OFFSET($W$634,$B789,H$631-1)/SUMPRODUCT(--($D$631:$V$631=H$631),--($D1391:$V1391=1)),0)+SUM(H788)+IF(COUNTIF(H$1237:H1391,1)=1,5,0)+IF(COUNTIF(I789:$W789,"&gt;"&amp;0)&lt;5,IF(AND(COUNTIF(H$1237:H1391,1)&gt;7,MOD(1+IFERROR(MATCH($C789,总览!$D$46:$D$345,1)+1,1),7)=0),$C$3,0),0)</f>
        <v>456.066666666666</v>
      </c>
      <c r="I789" s="131" cm="1">
        <f ca="1" t="array" ref="I789">IF(I1391=1,OFFSET($W$634,$B789,I$631-1)/SUMPRODUCT(--($D$631:$V$631=I$631),--($D1391:$V1391=1)),0)+SUM(I788)+IF(COUNTIF(I$1237:I1391,1)=1,5,0)+IF(COUNTIF(J789:$W789,"&gt;"&amp;0)&lt;5,IF(AND(COUNTIF(I$1237:I1391,1)&gt;7,MOD(1+IFERROR(MATCH($C789,总览!$D$46:$D$345,1)+1,1),7)=0),$C$3,0),0)</f>
        <v>456.066666666666</v>
      </c>
      <c r="J789" s="131" cm="1">
        <f ca="1" t="array" ref="J789">IF(J1391=1,OFFSET($W$634,$B789,J$631-1)/SUMPRODUCT(--($D$631:$V$631=J$631),--($D1391:$V1391=1)),0)+SUM(J788)+IF(COUNTIF(J$1237:J1391,1)=1,5,0)+IF(COUNTIF(K789:$W789,"&gt;"&amp;0)&lt;5,IF(AND(COUNTIF(J$1237:J1391,1)&gt;7,MOD(1+IFERROR(MATCH($C789,总览!$D$46:$D$345,1)+1,1),7)=0),$C$3,0),0)</f>
        <v>452.733333333332</v>
      </c>
      <c r="K789" s="131" cm="1">
        <f ca="1" t="array" ref="K789">IF(K1391=1,OFFSET($W$634,$B789,K$631-1)/SUMPRODUCT(--($D$631:$V$631=K$631),--($D1391:$V1391=1)),0)+SUM(K788)+IF(COUNTIF(K$1237:K1391,1)=1,5,0)+IF(COUNTIF(L789:$W789,"&gt;"&amp;0)&lt;5,IF(AND(COUNTIF(K$1237:K1391,1)&gt;7,MOD(1+IFERROR(MATCH($C789,总览!$D$46:$D$345,1)+1,1),7)=0),$C$3,0),0)</f>
        <v>450.233333333332</v>
      </c>
      <c r="L789" s="131" cm="1">
        <f ca="1" t="array" ref="L789">IF(L1391=1,OFFSET($W$634,$B789,L$631-1)/SUMPRODUCT(--($D$631:$V$631=L$631),--($D1391:$V1391=1)),0)+SUM(L788)+IF(COUNTIF(L$1237:L1391,1)=1,5,0)+IF(COUNTIF(M789:$W789,"&gt;"&amp;0)&lt;5,IF(AND(COUNTIF(L$1237:L1391,1)&gt;7,MOD(1+IFERROR(MATCH($C789,总览!$D$46:$D$345,1)+1,1),7)=0),$C$3,0),0)</f>
        <v>450.233333333332</v>
      </c>
      <c r="M789" s="131" cm="1">
        <f ca="1" t="array" ref="M789">IF(M1391=1,OFFSET($W$634,$B789,M$631-1)/SUMPRODUCT(--($D$631:$V$631=M$631),--($D1391:$V1391=1)),0)+SUM(M788)+IF(COUNTIF(M$1237:M1391,1)=1,5,0)+IF(COUNTIF(N789:$W789,"&gt;"&amp;0)&lt;5,IF(AND(COUNTIF(M$1237:M1391,1)&gt;7,MOD(1+IFERROR(MATCH($C789,总览!$D$46:$D$345,1)+1,1),7)=0),$C$3,0),0)</f>
        <v>179.181249999999</v>
      </c>
      <c r="N789" s="131" cm="1">
        <f ca="1" t="array" ref="N789">IF(N1391=1,OFFSET($W$634,$B789,N$631-1)/SUMPRODUCT(--($D$631:$V$631=N$631),--($D1391:$V1391=1)),0)+SUM(N788)+IF(COUNTIF(N$1237:N1391,1)=1,5,0)+IF(COUNTIF(O789:$W789,"&gt;"&amp;0)&lt;5,IF(AND(COUNTIF(N$1237:N1391,1)&gt;7,MOD(1+IFERROR(MATCH($C789,总览!$D$46:$D$345,1)+1,1),7)=0),$C$3,0),0)</f>
        <v>180.431249999999</v>
      </c>
      <c r="O789" s="131" cm="1">
        <f ca="1" t="array" ref="O789">IF(O1391=1,OFFSET($W$634,$B789,O$631-1)/SUMPRODUCT(--($D$631:$V$631=O$631),--($D1391:$V1391=1)),0)+SUM(O788)+IF(COUNTIF(O$1237:O1391,1)=1,5,0)+IF(COUNTIF(P789:$W789,"&gt;"&amp;0)&lt;5,IF(AND(COUNTIF(O$1237:O1391,1)&gt;7,MOD(1+IFERROR(MATCH($C789,总览!$D$46:$D$345,1)+1,1),7)=0),$C$3,0),0)</f>
        <v>185.431249999999</v>
      </c>
      <c r="P789" s="131" cm="1">
        <f ca="1" t="array" ref="P789">IF(P1391=1,OFFSET($W$634,$B789,P$631-1)/SUMPRODUCT(--($D$631:$V$631=P$631),--($D1391:$V1391=1)),0)+SUM(P788)+IF(COUNTIF(P$1237:P1391,1)=1,5,0)+IF(COUNTIF(Q789:$W789,"&gt;"&amp;0)&lt;5,IF(AND(COUNTIF(P$1237:P1391,1)&gt;7,MOD(1+IFERROR(MATCH($C789,总览!$D$46:$D$345,1)+1,1),7)=0),$C$3,0),0)</f>
        <v>174.55</v>
      </c>
      <c r="Q789" s="131" cm="1">
        <f ca="1" t="array" ref="Q789">IF(Q1391=1,OFFSET($W$634,$B789,Q$631-1)/SUMPRODUCT(--($D$631:$V$631=Q$631),--($D1391:$V1391=1)),0)+SUM(Q788)+IF(COUNTIF(Q$1237:Q1391,1)=1,5,0)+IF(COUNTIF(R789:$W789,"&gt;"&amp;0)&lt;5,IF(AND(COUNTIF(Q$1237:Q1391,1)&gt;7,MOD(1+IFERROR(MATCH($C789,总览!$D$46:$D$345,1)+1,1),7)=0),$C$3,0),0)</f>
        <v>187.931249999999</v>
      </c>
      <c r="R789" s="131" cm="1">
        <f ca="1" t="array" ref="R789">IF(R1391=1,OFFSET($W$634,$B789,R$631-1)/SUMPRODUCT(--($D$631:$V$631=R$631),--($D1391:$V1391=1)),0)+SUM(R788)+IF(COUNTIF(R$1237:R1391,1)=1,5,0)+IF(COUNTIF(S789:$W789,"&gt;"&amp;0)&lt;5,IF(AND(COUNTIF(R$1237:R1391,1)&gt;7,MOD(1+IFERROR(MATCH($C789,总览!$D$46:$D$345,1)+1,1),7)=0),$C$3,0),0)</f>
        <v>179.549999999999</v>
      </c>
      <c r="S789" s="131" cm="1">
        <f ca="1" t="array" ref="S789">IF(S1391=1,OFFSET($W$634,$B789,S$631-1)/SUMPRODUCT(--($D$631:$V$631=S$631),--($D1391:$V1391=1)),0)+SUM(S788)+IF(COUNTIF(S$1237:S1391,1)=1,5,0)+IF(COUNTIF(T789:$W789,"&gt;"&amp;0)&lt;5,IF(AND(COUNTIF(S$1237:S1391,1)&gt;7,MOD(1+IFERROR(MATCH($C789,总览!$D$46:$D$345,1)+1,1),7)=0),$C$3,0),0)</f>
        <v>252.049999999999</v>
      </c>
      <c r="T789" s="131" cm="1">
        <f ca="1" t="array" ref="T789">IF(T1391=1,OFFSET($W$634,$B789,T$631-1)/SUMPRODUCT(--($D$631:$V$631=T$631),--($D1391:$V1391=1)),0)+SUM(T788)+IF(COUNTIF(T$1237:T1391,1)=1,5,0)+IF(COUNTIF(U789:$W789,"&gt;"&amp;0)&lt;5,IF(AND(COUNTIF(T$1237:T1391,1)&gt;7,MOD(1+IFERROR(MATCH($C789,总览!$D$46:$D$345,1)+1,1),7)=0),$C$3,0),0)</f>
        <v>177.903922654006</v>
      </c>
      <c r="U789" s="131" cm="1">
        <f ca="1" t="array" ref="U789">IF(U1391=1,OFFSET($W$634,$B789,U$631-1)/SUMPRODUCT(--($D$631:$V$631=U$631),--($D1391:$V1391=1)),0)+SUM(U788)+IF(COUNTIF(U$1237:U1391,1)=1,5,0)+IF(COUNTIF(V789:$W789,"&gt;"&amp;0)&lt;5,IF(AND(COUNTIF(U$1237:U1391,1)&gt;7,MOD(1+IFERROR(MATCH($C789,总览!$D$46:$D$345,1)+1,1),7)=0),$C$3,0),0)</f>
        <v>183.424709009306</v>
      </c>
      <c r="V789" s="131" cm="1">
        <f ca="1" t="array" ref="V789">IF(V1391=1,OFFSET($W$634,$B789,V$631-1)/SUMPRODUCT(--($D$631:$V$631=V$631),--($D1391:$V1391=1)),0)+SUM(V788)+IF(COUNTIF(V$1237:V1391,1)=1,5,0)+IF(COUNTIF(W789:$W789,"&gt;"&amp;0)&lt;5,IF(AND(COUNTIF(V$1237:V1391,1)&gt;7,MOD(1+IFERROR(MATCH($C789,总览!$D$46:$D$345,1)+1,1),7)=0),$C$3,0),0)</f>
        <v>203.251708721739</v>
      </c>
      <c r="W789" s="135" cm="1">
        <f ca="1" t="array" ref="W789">SUMPRODUCT(TRANSPOSE($AA789:$AG789),OFFSET($L$9:$L$15,0,W$631-1))</f>
        <v>16.8502200646615</v>
      </c>
      <c r="X789" s="135" cm="1">
        <f ca="1" t="array" ref="X789">SUMPRODUCT(TRANSPOSE($AA789:$AG789),OFFSET($L$9:$L$15,0,X$631-1))</f>
        <v>20</v>
      </c>
      <c r="Y789" s="135" cm="1">
        <f ca="1" t="array" ref="Y789">SUMPRODUCT(TRANSPOSE($AA789:$AG789),OFFSET($L$9:$L$15,0,Y$631-1))</f>
        <v>10</v>
      </c>
      <c r="Z789" s="135" cm="1">
        <f ca="1" t="array" ref="Z789">SUMPRODUCT(TRANSPOSE($AA789:$AG789),OFFSET($L$9:$L$15,0,Z$631-1))</f>
        <v>3.14977993533847</v>
      </c>
      <c r="AA789" s="136">
        <f ca="1" t="shared" ref="AA789:AG789" si="553">AH789-AH788</f>
        <v>0</v>
      </c>
      <c r="AB789" s="136">
        <f ca="1" t="shared" si="553"/>
        <v>0</v>
      </c>
      <c r="AC789" s="136">
        <f ca="1" t="shared" si="553"/>
        <v>0</v>
      </c>
      <c r="AD789" s="136">
        <f ca="1" t="shared" si="553"/>
        <v>0</v>
      </c>
      <c r="AE789" s="136">
        <f ca="1" t="shared" si="553"/>
        <v>0</v>
      </c>
      <c r="AF789" s="136">
        <f ca="1" t="shared" si="553"/>
        <v>0</v>
      </c>
      <c r="AG789" s="136">
        <f ca="1" t="shared" si="553"/>
        <v>100</v>
      </c>
      <c r="AH789" s="136">
        <f ca="1" t="shared" si="501"/>
        <v>450</v>
      </c>
      <c r="AI789" s="136">
        <f ca="1" t="shared" ref="AI789:AN789" si="554">IF($C789&gt;OFFSET($Q$8,MATCH(AI$634,$AH$634:$AN$634,0),0),OFFSET($P$8,MATCH(AI$634,$AH$634:$AN$634,0),0),MAX(0,$C789-OFFSET($Q$8,RIGHT(AI$634,1)-1,0)))</f>
        <v>909</v>
      </c>
      <c r="AJ789" s="136">
        <f ca="1" t="shared" si="554"/>
        <v>1818</v>
      </c>
      <c r="AK789" s="136">
        <f ca="1" t="shared" si="554"/>
        <v>2727</v>
      </c>
      <c r="AL789" s="136">
        <f ca="1" t="shared" si="554"/>
        <v>3636</v>
      </c>
      <c r="AM789" s="136">
        <f ca="1" t="shared" si="554"/>
        <v>4545</v>
      </c>
      <c r="AN789" s="136">
        <f ca="1" t="shared" si="554"/>
        <v>1415</v>
      </c>
    </row>
    <row r="790" s="106" customFormat="1" ht="16.5" spans="2:40">
      <c r="B790" s="117">
        <v>156</v>
      </c>
      <c r="C790" s="130">
        <f t="shared" si="499"/>
        <v>15600</v>
      </c>
      <c r="D790" s="131" cm="1">
        <f ca="1" t="array" ref="D790">IF(D1392=1,OFFSET($W$634,$B790,D$631-1)/SUMPRODUCT(--($D$631:$V$631=D$631),--($D1392:$V1392=1)),0)+SUM(D789)+IF(COUNTIF(D$1237:D1392,1)=1,5,0)+IF(COUNTIF(E790:$W790,"&gt;"&amp;0)&lt;5,IF(AND(COUNTIF(D$1237:D1392,1)&gt;7,MOD(1+IFERROR(MATCH($C790,总览!$D$46:$D$345,1)+1,1),7)=0),$C$3,0),0)</f>
        <v>1203.9149598932</v>
      </c>
      <c r="E790" s="131" cm="1">
        <f ca="1" t="array" ref="E790">IF(E1392=1,OFFSET($W$634,$B790,E$631-1)/SUMPRODUCT(--($D$631:$V$631=E$631),--($D1392:$V1392=1)),0)+SUM(E789)+IF(COUNTIF(E$1237:E1392,1)=1,5,0)+IF(COUNTIF(F790:$W790,"&gt;"&amp;0)&lt;5,IF(AND(COUNTIF(E$1237:E1392,1)&gt;7,MOD(1+IFERROR(MATCH($C790,总览!$D$46:$D$345,1)+1,1),7)=0),$C$3,0),0)</f>
        <v>1203.9149598932</v>
      </c>
      <c r="F790" s="131" cm="1">
        <f ca="1" t="array" ref="F790">IF(F1392=1,OFFSET($W$634,$B790,F$631-1)/SUMPRODUCT(--($D$631:$V$631=F$631),--($D1392:$V1392=1)),0)+SUM(F789)+IF(COUNTIF(F$1237:F1392,1)=1,5,0)+IF(COUNTIF(G790:$W790,"&gt;"&amp;0)&lt;5,IF(AND(COUNTIF(F$1237:F1392,1)&gt;7,MOD(1+IFERROR(MATCH($C790,总览!$D$46:$D$345,1)+1,1),7)=0),$C$3,0),0)</f>
        <v>1203.9149598932</v>
      </c>
      <c r="G790" s="131" cm="1">
        <f ca="1" t="array" ref="G790">IF(G1392=1,OFFSET($W$634,$B790,G$631-1)/SUMPRODUCT(--($D$631:$V$631=G$631),--($D1392:$V1392=1)),0)+SUM(G789)+IF(COUNTIF(G$1237:G1392,1)=1,5,0)+IF(COUNTIF(H790:$W790,"&gt;"&amp;0)&lt;5,IF(AND(COUNTIF(G$1237:G1392,1)&gt;7,MOD(1+IFERROR(MATCH($C790,总览!$D$46:$D$345,1)+1,1),7)=0),$C$3,0),0)</f>
        <v>459.399999999999</v>
      </c>
      <c r="H790" s="131" cm="1">
        <f ca="1" t="array" ref="H790">IF(H1392=1,OFFSET($W$634,$B790,H$631-1)/SUMPRODUCT(--($D$631:$V$631=H$631),--($D1392:$V1392=1)),0)+SUM(H789)+IF(COUNTIF(H$1237:H1392,1)=1,5,0)+IF(COUNTIF(I790:$W790,"&gt;"&amp;0)&lt;5,IF(AND(COUNTIF(H$1237:H1392,1)&gt;7,MOD(1+IFERROR(MATCH($C790,总览!$D$46:$D$345,1)+1,1),7)=0),$C$3,0),0)</f>
        <v>459.399999999999</v>
      </c>
      <c r="I790" s="131" cm="1">
        <f ca="1" t="array" ref="I790">IF(I1392=1,OFFSET($W$634,$B790,I$631-1)/SUMPRODUCT(--($D$631:$V$631=I$631),--($D1392:$V1392=1)),0)+SUM(I789)+IF(COUNTIF(I$1237:I1392,1)=1,5,0)+IF(COUNTIF(J790:$W790,"&gt;"&amp;0)&lt;5,IF(AND(COUNTIF(I$1237:I1392,1)&gt;7,MOD(1+IFERROR(MATCH($C790,总览!$D$46:$D$345,1)+1,1),7)=0),$C$3,0),0)</f>
        <v>459.399999999999</v>
      </c>
      <c r="J790" s="131" cm="1">
        <f ca="1" t="array" ref="J790">IF(J1392=1,OFFSET($W$634,$B790,J$631-1)/SUMPRODUCT(--($D$631:$V$631=J$631),--($D1392:$V1392=1)),0)+SUM(J789)+IF(COUNTIF(J$1237:J1392,1)=1,5,0)+IF(COUNTIF(K790:$W790,"&gt;"&amp;0)&lt;5,IF(AND(COUNTIF(J$1237:J1392,1)&gt;7,MOD(1+IFERROR(MATCH($C790,总览!$D$46:$D$345,1)+1,1),7)=0),$C$3,0),0)</f>
        <v>456.066666666666</v>
      </c>
      <c r="K790" s="131" cm="1">
        <f ca="1" t="array" ref="K790">IF(K1392=1,OFFSET($W$634,$B790,K$631-1)/SUMPRODUCT(--($D$631:$V$631=K$631),--($D1392:$V1392=1)),0)+SUM(K789)+IF(COUNTIF(K$1237:K1392,1)=1,5,0)+IF(COUNTIF(L790:$W790,"&gt;"&amp;0)&lt;5,IF(AND(COUNTIF(K$1237:K1392,1)&gt;7,MOD(1+IFERROR(MATCH($C790,总览!$D$46:$D$345,1)+1,1),7)=0),$C$3,0),0)</f>
        <v>453.566666666666</v>
      </c>
      <c r="L790" s="131" cm="1">
        <f ca="1" t="array" ref="L790">IF(L1392=1,OFFSET($W$634,$B790,L$631-1)/SUMPRODUCT(--($D$631:$V$631=L$631),--($D1392:$V1392=1)),0)+SUM(L789)+IF(COUNTIF(L$1237:L1392,1)=1,5,0)+IF(COUNTIF(M790:$W790,"&gt;"&amp;0)&lt;5,IF(AND(COUNTIF(L$1237:L1392,1)&gt;7,MOD(1+IFERROR(MATCH($C790,总览!$D$46:$D$345,1)+1,1),7)=0),$C$3,0),0)</f>
        <v>453.566666666666</v>
      </c>
      <c r="M790" s="131" cm="1">
        <f ca="1" t="array" ref="M790">IF(M1392=1,OFFSET($W$634,$B790,M$631-1)/SUMPRODUCT(--($D$631:$V$631=M$631),--($D1392:$V1392=1)),0)+SUM(M789)+IF(COUNTIF(M$1237:M1392,1)=1,5,0)+IF(COUNTIF(N790:$W790,"&gt;"&amp;0)&lt;5,IF(AND(COUNTIF(M$1237:M1392,1)&gt;7,MOD(1+IFERROR(MATCH($C790,总览!$D$46:$D$345,1)+1,1),7)=0),$C$3,0),0)</f>
        <v>180.609821428571</v>
      </c>
      <c r="N790" s="131" cm="1">
        <f ca="1" t="array" ref="N790">IF(N1392=1,OFFSET($W$634,$B790,N$631-1)/SUMPRODUCT(--($D$631:$V$631=N$631),--($D1392:$V1392=1)),0)+SUM(N789)+IF(COUNTIF(N$1237:N1392,1)=1,5,0)+IF(COUNTIF(O790:$W790,"&gt;"&amp;0)&lt;5,IF(AND(COUNTIF(N$1237:N1392,1)&gt;7,MOD(1+IFERROR(MATCH($C790,总览!$D$46:$D$345,1)+1,1),7)=0),$C$3,0),0)</f>
        <v>181.859821428571</v>
      </c>
      <c r="O790" s="131" cm="1">
        <f ca="1" t="array" ref="O790">IF(O1392=1,OFFSET($W$634,$B790,O$631-1)/SUMPRODUCT(--($D$631:$V$631=O$631),--($D1392:$V1392=1)),0)+SUM(O789)+IF(COUNTIF(O$1237:O1392,1)=1,5,0)+IF(COUNTIF(P790:$W790,"&gt;"&amp;0)&lt;5,IF(AND(COUNTIF(O$1237:O1392,1)&gt;7,MOD(1+IFERROR(MATCH($C790,总览!$D$46:$D$345,1)+1,1),7)=0),$C$3,0),0)</f>
        <v>186.859821428571</v>
      </c>
      <c r="P790" s="131" cm="1">
        <f ca="1" t="array" ref="P790">IF(P1392=1,OFFSET($W$634,$B790,P$631-1)/SUMPRODUCT(--($D$631:$V$631=P$631),--($D1392:$V1392=1)),0)+SUM(P789)+IF(COUNTIF(P$1237:P1392,1)=1,5,0)+IF(COUNTIF(Q790:$W790,"&gt;"&amp;0)&lt;5,IF(AND(COUNTIF(P$1237:P1392,1)&gt;7,MOD(1+IFERROR(MATCH($C790,总览!$D$46:$D$345,1)+1,1),7)=0),$C$3,0),0)</f>
        <v>175.978571428571</v>
      </c>
      <c r="Q790" s="131" cm="1">
        <f ca="1" t="array" ref="Q790">IF(Q1392=1,OFFSET($W$634,$B790,Q$631-1)/SUMPRODUCT(--($D$631:$V$631=Q$631),--($D1392:$V1392=1)),0)+SUM(Q789)+IF(COUNTIF(Q$1237:Q1392,1)=1,5,0)+IF(COUNTIF(R790:$W790,"&gt;"&amp;0)&lt;5,IF(AND(COUNTIF(Q$1237:Q1392,1)&gt;7,MOD(1+IFERROR(MATCH($C790,总览!$D$46:$D$345,1)+1,1),7)=0),$C$3,0),0)</f>
        <v>189.359821428571</v>
      </c>
      <c r="R790" s="131" cm="1">
        <f ca="1" t="array" ref="R790">IF(R1392=1,OFFSET($W$634,$B790,R$631-1)/SUMPRODUCT(--($D$631:$V$631=R$631),--($D1392:$V1392=1)),0)+SUM(R789)+IF(COUNTIF(R$1237:R1392,1)=1,5,0)+IF(COUNTIF(S790:$W790,"&gt;"&amp;0)&lt;5,IF(AND(COUNTIF(R$1237:R1392,1)&gt;7,MOD(1+IFERROR(MATCH($C790,总览!$D$46:$D$345,1)+1,1),7)=0),$C$3,0),0)</f>
        <v>180.978571428571</v>
      </c>
      <c r="S790" s="131" cm="1">
        <f ca="1" t="array" ref="S790">IF(S1392=1,OFFSET($W$634,$B790,S$631-1)/SUMPRODUCT(--($D$631:$V$631=S$631),--($D1392:$V1392=1)),0)+SUM(S789)+IF(COUNTIF(S$1237:S1392,1)=1,5,0)+IF(COUNTIF(T790:$W790,"&gt;"&amp;0)&lt;5,IF(AND(COUNTIF(S$1237:S1392,1)&gt;7,MOD(1+IFERROR(MATCH($C790,总览!$D$46:$D$345,1)+1,1),7)=0),$C$3,0),0)</f>
        <v>253.478571428571</v>
      </c>
      <c r="T790" s="131" cm="1">
        <f ca="1" t="array" ref="T790">IF(T1392=1,OFFSET($W$634,$B790,T$631-1)/SUMPRODUCT(--($D$631:$V$631=T$631),--($D1392:$V1392=1)),0)+SUM(T789)+IF(COUNTIF(T$1237:T1392,1)=1,5,0)+IF(COUNTIF(U790:$W790,"&gt;"&amp;0)&lt;5,IF(AND(COUNTIF(T$1237:T1392,1)&gt;7,MOD(1+IFERROR(MATCH($C790,总览!$D$46:$D$345,1)+1,1),7)=0),$C$3,0),0)</f>
        <v>178.953849299119</v>
      </c>
      <c r="U790" s="131" cm="1">
        <f ca="1" t="array" ref="U790">IF(U1392=1,OFFSET($W$634,$B790,U$631-1)/SUMPRODUCT(--($D$631:$V$631=U$631),--($D1392:$V1392=1)),0)+SUM(U789)+IF(COUNTIF(U$1237:U1392,1)=1,5,0)+IF(COUNTIF(V790:$W790,"&gt;"&amp;0)&lt;5,IF(AND(COUNTIF(U$1237:U1392,1)&gt;7,MOD(1+IFERROR(MATCH($C790,总览!$D$46:$D$345,1)+1,1),7)=0),$C$3,0),0)</f>
        <v>184.474635654419</v>
      </c>
      <c r="V790" s="131" cm="1">
        <f ca="1" t="array" ref="V790">IF(V1392=1,OFFSET($W$634,$B790,V$631-1)/SUMPRODUCT(--($D$631:$V$631=V$631),--($D1392:$V1392=1)),0)+SUM(V789)+IF(COUNTIF(V$1237:V1392,1)=1,5,0)+IF(COUNTIF(W790:$W790,"&gt;"&amp;0)&lt;5,IF(AND(COUNTIF(V$1237:V1392,1)&gt;7,MOD(1+IFERROR(MATCH($C790,总览!$D$46:$D$345,1)+1,1),7)=0),$C$3,0),0)</f>
        <v>204.301635366852</v>
      </c>
      <c r="W790" s="135" cm="1">
        <f ca="1" t="array" ref="W790">SUMPRODUCT(TRANSPOSE($AA790:$AG790),OFFSET($L$9:$L$15,0,W$631-1))</f>
        <v>16.8502200646615</v>
      </c>
      <c r="X790" s="135" cm="1">
        <f ca="1" t="array" ref="X790">SUMPRODUCT(TRANSPOSE($AA790:$AG790),OFFSET($L$9:$L$15,0,X$631-1))</f>
        <v>20</v>
      </c>
      <c r="Y790" s="135" cm="1">
        <f ca="1" t="array" ref="Y790">SUMPRODUCT(TRANSPOSE($AA790:$AG790),OFFSET($L$9:$L$15,0,Y$631-1))</f>
        <v>10</v>
      </c>
      <c r="Z790" s="135" cm="1">
        <f ca="1" t="array" ref="Z790">SUMPRODUCT(TRANSPOSE($AA790:$AG790),OFFSET($L$9:$L$15,0,Z$631-1))</f>
        <v>3.14977993533847</v>
      </c>
      <c r="AA790" s="136">
        <f ca="1" t="shared" ref="AA790:AG790" si="555">AH790-AH789</f>
        <v>0</v>
      </c>
      <c r="AB790" s="136">
        <f ca="1" t="shared" si="555"/>
        <v>0</v>
      </c>
      <c r="AC790" s="136">
        <f ca="1" t="shared" si="555"/>
        <v>0</v>
      </c>
      <c r="AD790" s="136">
        <f ca="1" t="shared" si="555"/>
        <v>0</v>
      </c>
      <c r="AE790" s="136">
        <f ca="1" t="shared" si="555"/>
        <v>0</v>
      </c>
      <c r="AF790" s="136">
        <f ca="1" t="shared" si="555"/>
        <v>0</v>
      </c>
      <c r="AG790" s="136">
        <f ca="1" t="shared" si="555"/>
        <v>100</v>
      </c>
      <c r="AH790" s="136">
        <f ca="1" t="shared" si="501"/>
        <v>450</v>
      </c>
      <c r="AI790" s="136">
        <f ca="1" t="shared" ref="AI790:AN790" si="556">IF($C790&gt;OFFSET($Q$8,MATCH(AI$634,$AH$634:$AN$634,0),0),OFFSET($P$8,MATCH(AI$634,$AH$634:$AN$634,0),0),MAX(0,$C790-OFFSET($Q$8,RIGHT(AI$634,1)-1,0)))</f>
        <v>909</v>
      </c>
      <c r="AJ790" s="136">
        <f ca="1" t="shared" si="556"/>
        <v>1818</v>
      </c>
      <c r="AK790" s="136">
        <f ca="1" t="shared" si="556"/>
        <v>2727</v>
      </c>
      <c r="AL790" s="136">
        <f ca="1" t="shared" si="556"/>
        <v>3636</v>
      </c>
      <c r="AM790" s="136">
        <f ca="1" t="shared" si="556"/>
        <v>4545</v>
      </c>
      <c r="AN790" s="136">
        <f ca="1" t="shared" si="556"/>
        <v>1515</v>
      </c>
    </row>
    <row r="791" s="106" customFormat="1" ht="16.5" spans="2:40">
      <c r="B791" s="117">
        <v>157</v>
      </c>
      <c r="C791" s="130">
        <f t="shared" si="499"/>
        <v>15700</v>
      </c>
      <c r="D791" s="131" cm="1">
        <f ca="1" t="array" ref="D791">IF(D1393=1,OFFSET($W$634,$B791,D$631-1)/SUMPRODUCT(--($D$631:$V$631=D$631),--($D1393:$V1393=1)),0)+SUM(D790)+IF(COUNTIF(D$1237:D1393,1)=1,5,0)+IF(COUNTIF(E791:$W791,"&gt;"&amp;0)&lt;5,IF(AND(COUNTIF(D$1237:D1393,1)&gt;7,MOD(1+IFERROR(MATCH($C791,总览!$D$46:$D$345,1)+1,1),7)=0),$C$3,0),0)</f>
        <v>1209.53169991476</v>
      </c>
      <c r="E791" s="131" cm="1">
        <f ca="1" t="array" ref="E791">IF(E1393=1,OFFSET($W$634,$B791,E$631-1)/SUMPRODUCT(--($D$631:$V$631=E$631),--($D1393:$V1393=1)),0)+SUM(E790)+IF(COUNTIF(E$1237:E1393,1)=1,5,0)+IF(COUNTIF(F791:$W791,"&gt;"&amp;0)&lt;5,IF(AND(COUNTIF(E$1237:E1393,1)&gt;7,MOD(1+IFERROR(MATCH($C791,总览!$D$46:$D$345,1)+1,1),7)=0),$C$3,0),0)</f>
        <v>1209.53169991476</v>
      </c>
      <c r="F791" s="131" cm="1">
        <f ca="1" t="array" ref="F791">IF(F1393=1,OFFSET($W$634,$B791,F$631-1)/SUMPRODUCT(--($D$631:$V$631=F$631),--($D1393:$V1393=1)),0)+SUM(F790)+IF(COUNTIF(F$1237:F1393,1)=1,5,0)+IF(COUNTIF(G791:$W791,"&gt;"&amp;0)&lt;5,IF(AND(COUNTIF(F$1237:F1393,1)&gt;7,MOD(1+IFERROR(MATCH($C791,总览!$D$46:$D$345,1)+1,1),7)=0),$C$3,0),0)</f>
        <v>1209.53169991476</v>
      </c>
      <c r="G791" s="131" cm="1">
        <f ca="1" t="array" ref="G791">IF(G1393=1,OFFSET($W$634,$B791,G$631-1)/SUMPRODUCT(--($D$631:$V$631=G$631),--($D1393:$V1393=1)),0)+SUM(G790)+IF(COUNTIF(G$1237:G1393,1)=1,5,0)+IF(COUNTIF(H791:$W791,"&gt;"&amp;0)&lt;5,IF(AND(COUNTIF(G$1237:G1393,1)&gt;7,MOD(1+IFERROR(MATCH($C791,总览!$D$46:$D$345,1)+1,1),7)=0),$C$3,0),0)</f>
        <v>462.733333333332</v>
      </c>
      <c r="H791" s="131" cm="1">
        <f ca="1" t="array" ref="H791">IF(H1393=1,OFFSET($W$634,$B791,H$631-1)/SUMPRODUCT(--($D$631:$V$631=H$631),--($D1393:$V1393=1)),0)+SUM(H790)+IF(COUNTIF(H$1237:H1393,1)=1,5,0)+IF(COUNTIF(I791:$W791,"&gt;"&amp;0)&lt;5,IF(AND(COUNTIF(H$1237:H1393,1)&gt;7,MOD(1+IFERROR(MATCH($C791,总览!$D$46:$D$345,1)+1,1),7)=0),$C$3,0),0)</f>
        <v>462.733333333332</v>
      </c>
      <c r="I791" s="131" cm="1">
        <f ca="1" t="array" ref="I791">IF(I1393=1,OFFSET($W$634,$B791,I$631-1)/SUMPRODUCT(--($D$631:$V$631=I$631),--($D1393:$V1393=1)),0)+SUM(I790)+IF(COUNTIF(I$1237:I1393,1)=1,5,0)+IF(COUNTIF(J791:$W791,"&gt;"&amp;0)&lt;5,IF(AND(COUNTIF(I$1237:I1393,1)&gt;7,MOD(1+IFERROR(MATCH($C791,总览!$D$46:$D$345,1)+1,1),7)=0),$C$3,0),0)</f>
        <v>462.733333333332</v>
      </c>
      <c r="J791" s="131" cm="1">
        <f ca="1" t="array" ref="J791">IF(J1393=1,OFFSET($W$634,$B791,J$631-1)/SUMPRODUCT(--($D$631:$V$631=J$631),--($D1393:$V1393=1)),0)+SUM(J790)+IF(COUNTIF(J$1237:J1393,1)=1,5,0)+IF(COUNTIF(K791:$W791,"&gt;"&amp;0)&lt;5,IF(AND(COUNTIF(J$1237:J1393,1)&gt;7,MOD(1+IFERROR(MATCH($C791,总览!$D$46:$D$345,1)+1,1),7)=0),$C$3,0),0)</f>
        <v>459.399999999999</v>
      </c>
      <c r="K791" s="131" cm="1">
        <f ca="1" t="array" ref="K791">IF(K1393=1,OFFSET($W$634,$B791,K$631-1)/SUMPRODUCT(--($D$631:$V$631=K$631),--($D1393:$V1393=1)),0)+SUM(K790)+IF(COUNTIF(K$1237:K1393,1)=1,5,0)+IF(COUNTIF(L791:$W791,"&gt;"&amp;0)&lt;5,IF(AND(COUNTIF(K$1237:K1393,1)&gt;7,MOD(1+IFERROR(MATCH($C791,总览!$D$46:$D$345,1)+1,1),7)=0),$C$3,0),0)</f>
        <v>456.899999999999</v>
      </c>
      <c r="L791" s="131" cm="1">
        <f ca="1" t="array" ref="L791">IF(L1393=1,OFFSET($W$634,$B791,L$631-1)/SUMPRODUCT(--($D$631:$V$631=L$631),--($D1393:$V1393=1)),0)+SUM(L790)+IF(COUNTIF(L$1237:L1393,1)=1,5,0)+IF(COUNTIF(M791:$W791,"&gt;"&amp;0)&lt;5,IF(AND(COUNTIF(L$1237:L1393,1)&gt;7,MOD(1+IFERROR(MATCH($C791,总览!$D$46:$D$345,1)+1,1),7)=0),$C$3,0),0)</f>
        <v>456.899999999999</v>
      </c>
      <c r="M791" s="131" cm="1">
        <f ca="1" t="array" ref="M791">IF(M1393=1,OFFSET($W$634,$B791,M$631-1)/SUMPRODUCT(--($D$631:$V$631=M$631),--($D1393:$V1393=1)),0)+SUM(M790)+IF(COUNTIF(M$1237:M1393,1)=1,5,0)+IF(COUNTIF(N791:$W791,"&gt;"&amp;0)&lt;5,IF(AND(COUNTIF(M$1237:M1393,1)&gt;7,MOD(1+IFERROR(MATCH($C791,总览!$D$46:$D$345,1)+1,1),7)=0),$C$3,0),0)</f>
        <v>182.038392857142</v>
      </c>
      <c r="N791" s="131" cm="1">
        <f ca="1" t="array" ref="N791">IF(N1393=1,OFFSET($W$634,$B791,N$631-1)/SUMPRODUCT(--($D$631:$V$631=N$631),--($D1393:$V1393=1)),0)+SUM(N790)+IF(COUNTIF(N$1237:N1393,1)=1,5,0)+IF(COUNTIF(O791:$W791,"&gt;"&amp;0)&lt;5,IF(AND(COUNTIF(N$1237:N1393,1)&gt;7,MOD(1+IFERROR(MATCH($C791,总览!$D$46:$D$345,1)+1,1),7)=0),$C$3,0),0)</f>
        <v>183.288392857142</v>
      </c>
      <c r="O791" s="131" cm="1">
        <f ca="1" t="array" ref="O791">IF(O1393=1,OFFSET($W$634,$B791,O$631-1)/SUMPRODUCT(--($D$631:$V$631=O$631),--($D1393:$V1393=1)),0)+SUM(O790)+IF(COUNTIF(O$1237:O1393,1)=1,5,0)+IF(COUNTIF(P791:$W791,"&gt;"&amp;0)&lt;5,IF(AND(COUNTIF(O$1237:O1393,1)&gt;7,MOD(1+IFERROR(MATCH($C791,总览!$D$46:$D$345,1)+1,1),7)=0),$C$3,0),0)</f>
        <v>188.288392857142</v>
      </c>
      <c r="P791" s="131" cm="1">
        <f ca="1" t="array" ref="P791">IF(P1393=1,OFFSET($W$634,$B791,P$631-1)/SUMPRODUCT(--($D$631:$V$631=P$631),--($D1393:$V1393=1)),0)+SUM(P790)+IF(COUNTIF(P$1237:P1393,1)=1,5,0)+IF(COUNTIF(Q791:$W791,"&gt;"&amp;0)&lt;5,IF(AND(COUNTIF(P$1237:P1393,1)&gt;7,MOD(1+IFERROR(MATCH($C791,总览!$D$46:$D$345,1)+1,1),7)=0),$C$3,0),0)</f>
        <v>177.407142857142</v>
      </c>
      <c r="Q791" s="131" cm="1">
        <f ca="1" t="array" ref="Q791">IF(Q1393=1,OFFSET($W$634,$B791,Q$631-1)/SUMPRODUCT(--($D$631:$V$631=Q$631),--($D1393:$V1393=1)),0)+SUM(Q790)+IF(COUNTIF(Q$1237:Q1393,1)=1,5,0)+IF(COUNTIF(R791:$W791,"&gt;"&amp;0)&lt;5,IF(AND(COUNTIF(Q$1237:Q1393,1)&gt;7,MOD(1+IFERROR(MATCH($C791,总览!$D$46:$D$345,1)+1,1),7)=0),$C$3,0),0)</f>
        <v>190.788392857142</v>
      </c>
      <c r="R791" s="131" cm="1">
        <f ca="1" t="array" ref="R791">IF(R1393=1,OFFSET($W$634,$B791,R$631-1)/SUMPRODUCT(--($D$631:$V$631=R$631),--($D1393:$V1393=1)),0)+SUM(R790)+IF(COUNTIF(R$1237:R1393,1)=1,5,0)+IF(COUNTIF(S791:$W791,"&gt;"&amp;0)&lt;5,IF(AND(COUNTIF(R$1237:R1393,1)&gt;7,MOD(1+IFERROR(MATCH($C791,总览!$D$46:$D$345,1)+1,1),7)=0),$C$3,0),0)</f>
        <v>182.407142857142</v>
      </c>
      <c r="S791" s="131" cm="1">
        <f ca="1" t="array" ref="S791">IF(S1393=1,OFFSET($W$634,$B791,S$631-1)/SUMPRODUCT(--($D$631:$V$631=S$631),--($D1393:$V1393=1)),0)+SUM(S790)+IF(COUNTIF(S$1237:S1393,1)=1,5,0)+IF(COUNTIF(T791:$W791,"&gt;"&amp;0)&lt;5,IF(AND(COUNTIF(S$1237:S1393,1)&gt;7,MOD(1+IFERROR(MATCH($C791,总览!$D$46:$D$345,1)+1,1),7)=0),$C$3,0),0)</f>
        <v>254.907142857142</v>
      </c>
      <c r="T791" s="131" cm="1">
        <f ca="1" t="array" ref="T791">IF(T1393=1,OFFSET($W$634,$B791,T$631-1)/SUMPRODUCT(--($D$631:$V$631=T$631),--($D1393:$V1393=1)),0)+SUM(T790)+IF(COUNTIF(T$1237:T1393,1)=1,5,0)+IF(COUNTIF(U791:$W791,"&gt;"&amp;0)&lt;5,IF(AND(COUNTIF(T$1237:T1393,1)&gt;7,MOD(1+IFERROR(MATCH($C791,总览!$D$46:$D$345,1)+1,1),7)=0),$C$3,0),0)</f>
        <v>180.003775944232</v>
      </c>
      <c r="U791" s="131" cm="1">
        <f ca="1" t="array" ref="U791">IF(U1393=1,OFFSET($W$634,$B791,U$631-1)/SUMPRODUCT(--($D$631:$V$631=U$631),--($D1393:$V1393=1)),0)+SUM(U790)+IF(COUNTIF(U$1237:U1393,1)=1,5,0)+IF(COUNTIF(V791:$W791,"&gt;"&amp;0)&lt;5,IF(AND(COUNTIF(U$1237:U1393,1)&gt;7,MOD(1+IFERROR(MATCH($C791,总览!$D$46:$D$345,1)+1,1),7)=0),$C$3,0),0)</f>
        <v>185.524562299531</v>
      </c>
      <c r="V791" s="131" cm="1">
        <f ca="1" t="array" ref="V791">IF(V1393=1,OFFSET($W$634,$B791,V$631-1)/SUMPRODUCT(--($D$631:$V$631=V$631),--($D1393:$V1393=1)),0)+SUM(V790)+IF(COUNTIF(V$1237:V1393,1)=1,5,0)+IF(COUNTIF(W791:$W791,"&gt;"&amp;0)&lt;5,IF(AND(COUNTIF(V$1237:V1393,1)&gt;7,MOD(1+IFERROR(MATCH($C791,总览!$D$46:$D$345,1)+1,1),7)=0),$C$3,0),0)</f>
        <v>205.351562011965</v>
      </c>
      <c r="W791" s="135" cm="1">
        <f ca="1" t="array" ref="W791">SUMPRODUCT(TRANSPOSE($AA791:$AG791),OFFSET($L$9:$L$15,0,W$631-1))</f>
        <v>16.8502200646615</v>
      </c>
      <c r="X791" s="135" cm="1">
        <f ca="1" t="array" ref="X791">SUMPRODUCT(TRANSPOSE($AA791:$AG791),OFFSET($L$9:$L$15,0,X$631-1))</f>
        <v>20</v>
      </c>
      <c r="Y791" s="135" cm="1">
        <f ca="1" t="array" ref="Y791">SUMPRODUCT(TRANSPOSE($AA791:$AG791),OFFSET($L$9:$L$15,0,Y$631-1))</f>
        <v>10</v>
      </c>
      <c r="Z791" s="135" cm="1">
        <f ca="1" t="array" ref="Z791">SUMPRODUCT(TRANSPOSE($AA791:$AG791),OFFSET($L$9:$L$15,0,Z$631-1))</f>
        <v>3.14977993533847</v>
      </c>
      <c r="AA791" s="136">
        <f ca="1" t="shared" ref="AA791:AG791" si="557">AH791-AH790</f>
        <v>0</v>
      </c>
      <c r="AB791" s="136">
        <f ca="1" t="shared" si="557"/>
        <v>0</v>
      </c>
      <c r="AC791" s="136">
        <f ca="1" t="shared" si="557"/>
        <v>0</v>
      </c>
      <c r="AD791" s="136">
        <f ca="1" t="shared" si="557"/>
        <v>0</v>
      </c>
      <c r="AE791" s="136">
        <f ca="1" t="shared" si="557"/>
        <v>0</v>
      </c>
      <c r="AF791" s="136">
        <f ca="1" t="shared" si="557"/>
        <v>0</v>
      </c>
      <c r="AG791" s="136">
        <f ca="1" t="shared" si="557"/>
        <v>100</v>
      </c>
      <c r="AH791" s="136">
        <f ca="1" t="shared" si="501"/>
        <v>450</v>
      </c>
      <c r="AI791" s="136">
        <f ca="1" t="shared" ref="AI791:AN791" si="558">IF($C791&gt;OFFSET($Q$8,MATCH(AI$634,$AH$634:$AN$634,0),0),OFFSET($P$8,MATCH(AI$634,$AH$634:$AN$634,0),0),MAX(0,$C791-OFFSET($Q$8,RIGHT(AI$634,1)-1,0)))</f>
        <v>909</v>
      </c>
      <c r="AJ791" s="136">
        <f ca="1" t="shared" si="558"/>
        <v>1818</v>
      </c>
      <c r="AK791" s="136">
        <f ca="1" t="shared" si="558"/>
        <v>2727</v>
      </c>
      <c r="AL791" s="136">
        <f ca="1" t="shared" si="558"/>
        <v>3636</v>
      </c>
      <c r="AM791" s="136">
        <f ca="1" t="shared" si="558"/>
        <v>4545</v>
      </c>
      <c r="AN791" s="136">
        <f ca="1" t="shared" si="558"/>
        <v>1615</v>
      </c>
    </row>
    <row r="792" s="106" customFormat="1" ht="16.5" spans="2:40">
      <c r="B792" s="117">
        <v>158</v>
      </c>
      <c r="C792" s="130">
        <f t="shared" si="499"/>
        <v>15800</v>
      </c>
      <c r="D792" s="131" cm="1">
        <f ca="1" t="array" ref="D792">IF(D1394=1,OFFSET($W$634,$B792,D$631-1)/SUMPRODUCT(--($D$631:$V$631=D$631),--($D1394:$V1394=1)),0)+SUM(D791)+IF(COUNTIF(D$1237:D1394,1)=1,5,0)+IF(COUNTIF(E792:$W792,"&gt;"&amp;0)&lt;5,IF(AND(COUNTIF(D$1237:D1394,1)&gt;7,MOD(1+IFERROR(MATCH($C792,总览!$D$46:$D$345,1)+1,1),7)=0),$C$3,0),0)</f>
        <v>1215.14843993631</v>
      </c>
      <c r="E792" s="131" cm="1">
        <f ca="1" t="array" ref="E792">IF(E1394=1,OFFSET($W$634,$B792,E$631-1)/SUMPRODUCT(--($D$631:$V$631=E$631),--($D1394:$V1394=1)),0)+SUM(E791)+IF(COUNTIF(E$1237:E1394,1)=1,5,0)+IF(COUNTIF(F792:$W792,"&gt;"&amp;0)&lt;5,IF(AND(COUNTIF(E$1237:E1394,1)&gt;7,MOD(1+IFERROR(MATCH($C792,总览!$D$46:$D$345,1)+1,1),7)=0),$C$3,0),0)</f>
        <v>1215.14843993631</v>
      </c>
      <c r="F792" s="131" cm="1">
        <f ca="1" t="array" ref="F792">IF(F1394=1,OFFSET($W$634,$B792,F$631-1)/SUMPRODUCT(--($D$631:$V$631=F$631),--($D1394:$V1394=1)),0)+SUM(F791)+IF(COUNTIF(F$1237:F1394,1)=1,5,0)+IF(COUNTIF(G792:$W792,"&gt;"&amp;0)&lt;5,IF(AND(COUNTIF(F$1237:F1394,1)&gt;7,MOD(1+IFERROR(MATCH($C792,总览!$D$46:$D$345,1)+1,1),7)=0),$C$3,0),0)</f>
        <v>1215.14843993631</v>
      </c>
      <c r="G792" s="131" cm="1">
        <f ca="1" t="array" ref="G792">IF(G1394=1,OFFSET($W$634,$B792,G$631-1)/SUMPRODUCT(--($D$631:$V$631=G$631),--($D1394:$V1394=1)),0)+SUM(G791)+IF(COUNTIF(G$1237:G1394,1)=1,5,0)+IF(COUNTIF(H792:$W792,"&gt;"&amp;0)&lt;5,IF(AND(COUNTIF(G$1237:G1394,1)&gt;7,MOD(1+IFERROR(MATCH($C792,总览!$D$46:$D$345,1)+1,1),7)=0),$C$3,0),0)</f>
        <v>466.066666666666</v>
      </c>
      <c r="H792" s="131" cm="1">
        <f ca="1" t="array" ref="H792">IF(H1394=1,OFFSET($W$634,$B792,H$631-1)/SUMPRODUCT(--($D$631:$V$631=H$631),--($D1394:$V1394=1)),0)+SUM(H791)+IF(COUNTIF(H$1237:H1394,1)=1,5,0)+IF(COUNTIF(I792:$W792,"&gt;"&amp;0)&lt;5,IF(AND(COUNTIF(H$1237:H1394,1)&gt;7,MOD(1+IFERROR(MATCH($C792,总览!$D$46:$D$345,1)+1,1),7)=0),$C$3,0),0)</f>
        <v>466.066666666666</v>
      </c>
      <c r="I792" s="131" cm="1">
        <f ca="1" t="array" ref="I792">IF(I1394=1,OFFSET($W$634,$B792,I$631-1)/SUMPRODUCT(--($D$631:$V$631=I$631),--($D1394:$V1394=1)),0)+SUM(I791)+IF(COUNTIF(I$1237:I1394,1)=1,5,0)+IF(COUNTIF(J792:$W792,"&gt;"&amp;0)&lt;5,IF(AND(COUNTIF(I$1237:I1394,1)&gt;7,MOD(1+IFERROR(MATCH($C792,总览!$D$46:$D$345,1)+1,1),7)=0),$C$3,0),0)</f>
        <v>466.066666666666</v>
      </c>
      <c r="J792" s="131" cm="1">
        <f ca="1" t="array" ref="J792">IF(J1394=1,OFFSET($W$634,$B792,J$631-1)/SUMPRODUCT(--($D$631:$V$631=J$631),--($D1394:$V1394=1)),0)+SUM(J791)+IF(COUNTIF(J$1237:J1394,1)=1,5,0)+IF(COUNTIF(K792:$W792,"&gt;"&amp;0)&lt;5,IF(AND(COUNTIF(J$1237:J1394,1)&gt;7,MOD(1+IFERROR(MATCH($C792,总览!$D$46:$D$345,1)+1,1),7)=0),$C$3,0),0)</f>
        <v>462.733333333332</v>
      </c>
      <c r="K792" s="131" cm="1">
        <f ca="1" t="array" ref="K792">IF(K1394=1,OFFSET($W$634,$B792,K$631-1)/SUMPRODUCT(--($D$631:$V$631=K$631),--($D1394:$V1394=1)),0)+SUM(K791)+IF(COUNTIF(K$1237:K1394,1)=1,5,0)+IF(COUNTIF(L792:$W792,"&gt;"&amp;0)&lt;5,IF(AND(COUNTIF(K$1237:K1394,1)&gt;7,MOD(1+IFERROR(MATCH($C792,总览!$D$46:$D$345,1)+1,1),7)=0),$C$3,0),0)</f>
        <v>460.233333333332</v>
      </c>
      <c r="L792" s="131" cm="1">
        <f ca="1" t="array" ref="L792">IF(L1394=1,OFFSET($W$634,$B792,L$631-1)/SUMPRODUCT(--($D$631:$V$631=L$631),--($D1394:$V1394=1)),0)+SUM(L791)+IF(COUNTIF(L$1237:L1394,1)=1,5,0)+IF(COUNTIF(M792:$W792,"&gt;"&amp;0)&lt;5,IF(AND(COUNTIF(L$1237:L1394,1)&gt;7,MOD(1+IFERROR(MATCH($C792,总览!$D$46:$D$345,1)+1,1),7)=0),$C$3,0),0)</f>
        <v>460.233333333332</v>
      </c>
      <c r="M792" s="131" cm="1">
        <f ca="1" t="array" ref="M792">IF(M1394=1,OFFSET($W$634,$B792,M$631-1)/SUMPRODUCT(--($D$631:$V$631=M$631),--($D1394:$V1394=1)),0)+SUM(M791)+IF(COUNTIF(M$1237:M1394,1)=1,5,0)+IF(COUNTIF(N792:$W792,"&gt;"&amp;0)&lt;5,IF(AND(COUNTIF(M$1237:M1394,1)&gt;7,MOD(1+IFERROR(MATCH($C792,总览!$D$46:$D$345,1)+1,1),7)=0),$C$3,0),0)</f>
        <v>183.466964285714</v>
      </c>
      <c r="N792" s="131" cm="1">
        <f ca="1" t="array" ref="N792">IF(N1394=1,OFFSET($W$634,$B792,N$631-1)/SUMPRODUCT(--($D$631:$V$631=N$631),--($D1394:$V1394=1)),0)+SUM(N791)+IF(COUNTIF(N$1237:N1394,1)=1,5,0)+IF(COUNTIF(O792:$W792,"&gt;"&amp;0)&lt;5,IF(AND(COUNTIF(N$1237:N1394,1)&gt;7,MOD(1+IFERROR(MATCH($C792,总览!$D$46:$D$345,1)+1,1),7)=0),$C$3,0),0)</f>
        <v>184.716964285714</v>
      </c>
      <c r="O792" s="131" cm="1">
        <f ca="1" t="array" ref="O792">IF(O1394=1,OFFSET($W$634,$B792,O$631-1)/SUMPRODUCT(--($D$631:$V$631=O$631),--($D1394:$V1394=1)),0)+SUM(O791)+IF(COUNTIF(O$1237:O1394,1)=1,5,0)+IF(COUNTIF(P792:$W792,"&gt;"&amp;0)&lt;5,IF(AND(COUNTIF(O$1237:O1394,1)&gt;7,MOD(1+IFERROR(MATCH($C792,总览!$D$46:$D$345,1)+1,1),7)=0),$C$3,0),0)</f>
        <v>189.716964285714</v>
      </c>
      <c r="P792" s="131" cm="1">
        <f ca="1" t="array" ref="P792">IF(P1394=1,OFFSET($W$634,$B792,P$631-1)/SUMPRODUCT(--($D$631:$V$631=P$631),--($D1394:$V1394=1)),0)+SUM(P791)+IF(COUNTIF(P$1237:P1394,1)=1,5,0)+IF(COUNTIF(Q792:$W792,"&gt;"&amp;0)&lt;5,IF(AND(COUNTIF(P$1237:P1394,1)&gt;7,MOD(1+IFERROR(MATCH($C792,总览!$D$46:$D$345,1)+1,1),7)=0),$C$3,0),0)</f>
        <v>178.835714285714</v>
      </c>
      <c r="Q792" s="131" cm="1">
        <f ca="1" t="array" ref="Q792">IF(Q1394=1,OFFSET($W$634,$B792,Q$631-1)/SUMPRODUCT(--($D$631:$V$631=Q$631),--($D1394:$V1394=1)),0)+SUM(Q791)+IF(COUNTIF(Q$1237:Q1394,1)=1,5,0)+IF(COUNTIF(R792:$W792,"&gt;"&amp;0)&lt;5,IF(AND(COUNTIF(Q$1237:Q1394,1)&gt;7,MOD(1+IFERROR(MATCH($C792,总览!$D$46:$D$345,1)+1,1),7)=0),$C$3,0),0)</f>
        <v>192.216964285714</v>
      </c>
      <c r="R792" s="131" cm="1">
        <f ca="1" t="array" ref="R792">IF(R1394=1,OFFSET($W$634,$B792,R$631-1)/SUMPRODUCT(--($D$631:$V$631=R$631),--($D1394:$V1394=1)),0)+SUM(R791)+IF(COUNTIF(R$1237:R1394,1)=1,5,0)+IF(COUNTIF(S792:$W792,"&gt;"&amp;0)&lt;5,IF(AND(COUNTIF(R$1237:R1394,1)&gt;7,MOD(1+IFERROR(MATCH($C792,总览!$D$46:$D$345,1)+1,1),7)=0),$C$3,0),0)</f>
        <v>183.835714285714</v>
      </c>
      <c r="S792" s="131" cm="1">
        <f ca="1" t="array" ref="S792">IF(S1394=1,OFFSET($W$634,$B792,S$631-1)/SUMPRODUCT(--($D$631:$V$631=S$631),--($D1394:$V1394=1)),0)+SUM(S791)+IF(COUNTIF(S$1237:S1394,1)=1,5,0)+IF(COUNTIF(T792:$W792,"&gt;"&amp;0)&lt;5,IF(AND(COUNTIF(S$1237:S1394,1)&gt;7,MOD(1+IFERROR(MATCH($C792,总览!$D$46:$D$345,1)+1,1),7)=0),$C$3,0),0)</f>
        <v>256.335714285713</v>
      </c>
      <c r="T792" s="131" cm="1">
        <f ca="1" t="array" ref="T792">IF(T1394=1,OFFSET($W$634,$B792,T$631-1)/SUMPRODUCT(--($D$631:$V$631=T$631),--($D1394:$V1394=1)),0)+SUM(T791)+IF(COUNTIF(T$1237:T1394,1)=1,5,0)+IF(COUNTIF(U792:$W792,"&gt;"&amp;0)&lt;5,IF(AND(COUNTIF(T$1237:T1394,1)&gt;7,MOD(1+IFERROR(MATCH($C792,总览!$D$46:$D$345,1)+1,1),7)=0),$C$3,0),0)</f>
        <v>181.053702589345</v>
      </c>
      <c r="U792" s="131" cm="1">
        <f ca="1" t="array" ref="U792">IF(U1394=1,OFFSET($W$634,$B792,U$631-1)/SUMPRODUCT(--($D$631:$V$631=U$631),--($D1394:$V1394=1)),0)+SUM(U791)+IF(COUNTIF(U$1237:U1394,1)=1,5,0)+IF(COUNTIF(V792:$W792,"&gt;"&amp;0)&lt;5,IF(AND(COUNTIF(U$1237:U1394,1)&gt;7,MOD(1+IFERROR(MATCH($C792,总览!$D$46:$D$345,1)+1,1),7)=0),$C$3,0),0)</f>
        <v>186.574488944644</v>
      </c>
      <c r="V792" s="131" cm="1">
        <f ca="1" t="array" ref="V792">IF(V1394=1,OFFSET($W$634,$B792,V$631-1)/SUMPRODUCT(--($D$631:$V$631=V$631),--($D1394:$V1394=1)),0)+SUM(V791)+IF(COUNTIF(V$1237:V1394,1)=1,5,0)+IF(COUNTIF(W792:$W792,"&gt;"&amp;0)&lt;5,IF(AND(COUNTIF(V$1237:V1394,1)&gt;7,MOD(1+IFERROR(MATCH($C792,总览!$D$46:$D$345,1)+1,1),7)=0),$C$3,0),0)</f>
        <v>206.401488657078</v>
      </c>
      <c r="W792" s="135" cm="1">
        <f ca="1" t="array" ref="W792">SUMPRODUCT(TRANSPOSE($AA792:$AG792),OFFSET($L$9:$L$15,0,W$631-1))</f>
        <v>16.8502200646615</v>
      </c>
      <c r="X792" s="135" cm="1">
        <f ca="1" t="array" ref="X792">SUMPRODUCT(TRANSPOSE($AA792:$AG792),OFFSET($L$9:$L$15,0,X$631-1))</f>
        <v>20</v>
      </c>
      <c r="Y792" s="135" cm="1">
        <f ca="1" t="array" ref="Y792">SUMPRODUCT(TRANSPOSE($AA792:$AG792),OFFSET($L$9:$L$15,0,Y$631-1))</f>
        <v>10</v>
      </c>
      <c r="Z792" s="135" cm="1">
        <f ca="1" t="array" ref="Z792">SUMPRODUCT(TRANSPOSE($AA792:$AG792),OFFSET($L$9:$L$15,0,Z$631-1))</f>
        <v>3.14977993533847</v>
      </c>
      <c r="AA792" s="136">
        <f ca="1" t="shared" ref="AA792:AG792" si="559">AH792-AH791</f>
        <v>0</v>
      </c>
      <c r="AB792" s="136">
        <f ca="1" t="shared" si="559"/>
        <v>0</v>
      </c>
      <c r="AC792" s="136">
        <f ca="1" t="shared" si="559"/>
        <v>0</v>
      </c>
      <c r="AD792" s="136">
        <f ca="1" t="shared" si="559"/>
        <v>0</v>
      </c>
      <c r="AE792" s="136">
        <f ca="1" t="shared" si="559"/>
        <v>0</v>
      </c>
      <c r="AF792" s="136">
        <f ca="1" t="shared" si="559"/>
        <v>0</v>
      </c>
      <c r="AG792" s="136">
        <f ca="1" t="shared" si="559"/>
        <v>100</v>
      </c>
      <c r="AH792" s="136">
        <f ca="1" t="shared" si="501"/>
        <v>450</v>
      </c>
      <c r="AI792" s="136">
        <f ca="1" t="shared" ref="AI792:AN792" si="560">IF($C792&gt;OFFSET($Q$8,MATCH(AI$634,$AH$634:$AN$634,0),0),OFFSET($P$8,MATCH(AI$634,$AH$634:$AN$634,0),0),MAX(0,$C792-OFFSET($Q$8,RIGHT(AI$634,1)-1,0)))</f>
        <v>909</v>
      </c>
      <c r="AJ792" s="136">
        <f ca="1" t="shared" si="560"/>
        <v>1818</v>
      </c>
      <c r="AK792" s="136">
        <f ca="1" t="shared" si="560"/>
        <v>2727</v>
      </c>
      <c r="AL792" s="136">
        <f ca="1" t="shared" si="560"/>
        <v>3636</v>
      </c>
      <c r="AM792" s="136">
        <f ca="1" t="shared" si="560"/>
        <v>4545</v>
      </c>
      <c r="AN792" s="136">
        <f ca="1" t="shared" si="560"/>
        <v>1715</v>
      </c>
    </row>
    <row r="793" s="106" customFormat="1" ht="16.5" spans="2:40">
      <c r="B793" s="117">
        <v>159</v>
      </c>
      <c r="C793" s="130">
        <f t="shared" si="499"/>
        <v>15900</v>
      </c>
      <c r="D793" s="131" cm="1">
        <f ca="1" t="array" ref="D793">IF(D1395=1,OFFSET($W$634,$B793,D$631-1)/SUMPRODUCT(--($D$631:$V$631=D$631),--($D1395:$V1395=1)),0)+SUM(D792)+IF(COUNTIF(D$1237:D1395,1)=1,5,0)+IF(COUNTIF(E793:$W793,"&gt;"&amp;0)&lt;5,IF(AND(COUNTIF(D$1237:D1395,1)&gt;7,MOD(1+IFERROR(MATCH($C793,总览!$D$46:$D$345,1)+1,1),7)=0),$C$3,0),0)</f>
        <v>1220.76517995786</v>
      </c>
      <c r="E793" s="131" cm="1">
        <f ca="1" t="array" ref="E793">IF(E1395=1,OFFSET($W$634,$B793,E$631-1)/SUMPRODUCT(--($D$631:$V$631=E$631),--($D1395:$V1395=1)),0)+SUM(E792)+IF(COUNTIF(E$1237:E1395,1)=1,5,0)+IF(COUNTIF(F793:$W793,"&gt;"&amp;0)&lt;5,IF(AND(COUNTIF(E$1237:E1395,1)&gt;7,MOD(1+IFERROR(MATCH($C793,总览!$D$46:$D$345,1)+1,1),7)=0),$C$3,0),0)</f>
        <v>1220.76517995786</v>
      </c>
      <c r="F793" s="131" cm="1">
        <f ca="1" t="array" ref="F793">IF(F1395=1,OFFSET($W$634,$B793,F$631-1)/SUMPRODUCT(--($D$631:$V$631=F$631),--($D1395:$V1395=1)),0)+SUM(F792)+IF(COUNTIF(F$1237:F1395,1)=1,5,0)+IF(COUNTIF(G793:$W793,"&gt;"&amp;0)&lt;5,IF(AND(COUNTIF(F$1237:F1395,1)&gt;7,MOD(1+IFERROR(MATCH($C793,总览!$D$46:$D$345,1)+1,1),7)=0),$C$3,0),0)</f>
        <v>1220.76517995786</v>
      </c>
      <c r="G793" s="131" cm="1">
        <f ca="1" t="array" ref="G793">IF(G1395=1,OFFSET($W$634,$B793,G$631-1)/SUMPRODUCT(--($D$631:$V$631=G$631),--($D1395:$V1395=1)),0)+SUM(G792)+IF(COUNTIF(G$1237:G1395,1)=1,5,0)+IF(COUNTIF(H793:$W793,"&gt;"&amp;0)&lt;5,IF(AND(COUNTIF(G$1237:G1395,1)&gt;7,MOD(1+IFERROR(MATCH($C793,总览!$D$46:$D$345,1)+1,1),7)=0),$C$3,0),0)</f>
        <v>469.399999999999</v>
      </c>
      <c r="H793" s="131" cm="1">
        <f ca="1" t="array" ref="H793">IF(H1395=1,OFFSET($W$634,$B793,H$631-1)/SUMPRODUCT(--($D$631:$V$631=H$631),--($D1395:$V1395=1)),0)+SUM(H792)+IF(COUNTIF(H$1237:H1395,1)=1,5,0)+IF(COUNTIF(I793:$W793,"&gt;"&amp;0)&lt;5,IF(AND(COUNTIF(H$1237:H1395,1)&gt;7,MOD(1+IFERROR(MATCH($C793,总览!$D$46:$D$345,1)+1,1),7)=0),$C$3,0),0)</f>
        <v>469.399999999999</v>
      </c>
      <c r="I793" s="131" cm="1">
        <f ca="1" t="array" ref="I793">IF(I1395=1,OFFSET($W$634,$B793,I$631-1)/SUMPRODUCT(--($D$631:$V$631=I$631),--($D1395:$V1395=1)),0)+SUM(I792)+IF(COUNTIF(I$1237:I1395,1)=1,5,0)+IF(COUNTIF(J793:$W793,"&gt;"&amp;0)&lt;5,IF(AND(COUNTIF(I$1237:I1395,1)&gt;7,MOD(1+IFERROR(MATCH($C793,总览!$D$46:$D$345,1)+1,1),7)=0),$C$3,0),0)</f>
        <v>469.399999999999</v>
      </c>
      <c r="J793" s="131" cm="1">
        <f ca="1" t="array" ref="J793">IF(J1395=1,OFFSET($W$634,$B793,J$631-1)/SUMPRODUCT(--($D$631:$V$631=J$631),--($D1395:$V1395=1)),0)+SUM(J792)+IF(COUNTIF(J$1237:J1395,1)=1,5,0)+IF(COUNTIF(K793:$W793,"&gt;"&amp;0)&lt;5,IF(AND(COUNTIF(J$1237:J1395,1)&gt;7,MOD(1+IFERROR(MATCH($C793,总览!$D$46:$D$345,1)+1,1),7)=0),$C$3,0),0)</f>
        <v>466.066666666666</v>
      </c>
      <c r="K793" s="131" cm="1">
        <f ca="1" t="array" ref="K793">IF(K1395=1,OFFSET($W$634,$B793,K$631-1)/SUMPRODUCT(--($D$631:$V$631=K$631),--($D1395:$V1395=1)),0)+SUM(K792)+IF(COUNTIF(K$1237:K1395,1)=1,5,0)+IF(COUNTIF(L793:$W793,"&gt;"&amp;0)&lt;5,IF(AND(COUNTIF(K$1237:K1395,1)&gt;7,MOD(1+IFERROR(MATCH($C793,总览!$D$46:$D$345,1)+1,1),7)=0),$C$3,0),0)</f>
        <v>463.566666666666</v>
      </c>
      <c r="L793" s="131" cm="1">
        <f ca="1" t="array" ref="L793">IF(L1395=1,OFFSET($W$634,$B793,L$631-1)/SUMPRODUCT(--($D$631:$V$631=L$631),--($D1395:$V1395=1)),0)+SUM(L792)+IF(COUNTIF(L$1237:L1395,1)=1,5,0)+IF(COUNTIF(M793:$W793,"&gt;"&amp;0)&lt;5,IF(AND(COUNTIF(L$1237:L1395,1)&gt;7,MOD(1+IFERROR(MATCH($C793,总览!$D$46:$D$345,1)+1,1),7)=0),$C$3,0),0)</f>
        <v>463.566666666666</v>
      </c>
      <c r="M793" s="131" cm="1">
        <f ca="1" t="array" ref="M793">IF(M1395=1,OFFSET($W$634,$B793,M$631-1)/SUMPRODUCT(--($D$631:$V$631=M$631),--($D1395:$V1395=1)),0)+SUM(M792)+IF(COUNTIF(M$1237:M1395,1)=1,5,0)+IF(COUNTIF(N793:$W793,"&gt;"&amp;0)&lt;5,IF(AND(COUNTIF(M$1237:M1395,1)&gt;7,MOD(1+IFERROR(MATCH($C793,总览!$D$46:$D$345,1)+1,1),7)=0),$C$3,0),0)</f>
        <v>184.895535714285</v>
      </c>
      <c r="N793" s="131" cm="1">
        <f ca="1" t="array" ref="N793">IF(N1395=1,OFFSET($W$634,$B793,N$631-1)/SUMPRODUCT(--($D$631:$V$631=N$631),--($D1395:$V1395=1)),0)+SUM(N792)+IF(COUNTIF(N$1237:N1395,1)=1,5,0)+IF(COUNTIF(O793:$W793,"&gt;"&amp;0)&lt;5,IF(AND(COUNTIF(N$1237:N1395,1)&gt;7,MOD(1+IFERROR(MATCH($C793,总览!$D$46:$D$345,1)+1,1),7)=0),$C$3,0),0)</f>
        <v>186.145535714285</v>
      </c>
      <c r="O793" s="131" cm="1">
        <f ca="1" t="array" ref="O793">IF(O1395=1,OFFSET($W$634,$B793,O$631-1)/SUMPRODUCT(--($D$631:$V$631=O$631),--($D1395:$V1395=1)),0)+SUM(O792)+IF(COUNTIF(O$1237:O1395,1)=1,5,0)+IF(COUNTIF(P793:$W793,"&gt;"&amp;0)&lt;5,IF(AND(COUNTIF(O$1237:O1395,1)&gt;7,MOD(1+IFERROR(MATCH($C793,总览!$D$46:$D$345,1)+1,1),7)=0),$C$3,0),0)</f>
        <v>191.145535714285</v>
      </c>
      <c r="P793" s="131" cm="1">
        <f ca="1" t="array" ref="P793">IF(P1395=1,OFFSET($W$634,$B793,P$631-1)/SUMPRODUCT(--($D$631:$V$631=P$631),--($D1395:$V1395=1)),0)+SUM(P792)+IF(COUNTIF(P$1237:P1395,1)=1,5,0)+IF(COUNTIF(Q793:$W793,"&gt;"&amp;0)&lt;5,IF(AND(COUNTIF(P$1237:P1395,1)&gt;7,MOD(1+IFERROR(MATCH($C793,总览!$D$46:$D$345,1)+1,1),7)=0),$C$3,0),0)</f>
        <v>180.264285714285</v>
      </c>
      <c r="Q793" s="131" cm="1">
        <f ca="1" t="array" ref="Q793">IF(Q1395=1,OFFSET($W$634,$B793,Q$631-1)/SUMPRODUCT(--($D$631:$V$631=Q$631),--($D1395:$V1395=1)),0)+SUM(Q792)+IF(COUNTIF(Q$1237:Q1395,1)=1,5,0)+IF(COUNTIF(R793:$W793,"&gt;"&amp;0)&lt;5,IF(AND(COUNTIF(Q$1237:Q1395,1)&gt;7,MOD(1+IFERROR(MATCH($C793,总览!$D$46:$D$345,1)+1,1),7)=0),$C$3,0),0)</f>
        <v>193.645535714285</v>
      </c>
      <c r="R793" s="131" cm="1">
        <f ca="1" t="array" ref="R793">IF(R1395=1,OFFSET($W$634,$B793,R$631-1)/SUMPRODUCT(--($D$631:$V$631=R$631),--($D1395:$V1395=1)),0)+SUM(R792)+IF(COUNTIF(R$1237:R1395,1)=1,5,0)+IF(COUNTIF(S793:$W793,"&gt;"&amp;0)&lt;5,IF(AND(COUNTIF(R$1237:R1395,1)&gt;7,MOD(1+IFERROR(MATCH($C793,总览!$D$46:$D$345,1)+1,1),7)=0),$C$3,0),0)</f>
        <v>185.264285714285</v>
      </c>
      <c r="S793" s="131" cm="1">
        <f ca="1" t="array" ref="S793">IF(S1395=1,OFFSET($W$634,$B793,S$631-1)/SUMPRODUCT(--($D$631:$V$631=S$631),--($D1395:$V1395=1)),0)+SUM(S792)+IF(COUNTIF(S$1237:S1395,1)=1,5,0)+IF(COUNTIF(T793:$W793,"&gt;"&amp;0)&lt;5,IF(AND(COUNTIF(S$1237:S1395,1)&gt;7,MOD(1+IFERROR(MATCH($C793,总览!$D$46:$D$345,1)+1,1),7)=0),$C$3,0),0)</f>
        <v>257.764285714285</v>
      </c>
      <c r="T793" s="131" cm="1">
        <f ca="1" t="array" ref="T793">IF(T1395=1,OFFSET($W$634,$B793,T$631-1)/SUMPRODUCT(--($D$631:$V$631=T$631),--($D1395:$V1395=1)),0)+SUM(T792)+IF(COUNTIF(T$1237:T1395,1)=1,5,0)+IF(COUNTIF(U793:$W793,"&gt;"&amp;0)&lt;5,IF(AND(COUNTIF(T$1237:T1395,1)&gt;7,MOD(1+IFERROR(MATCH($C793,总览!$D$46:$D$345,1)+1,1),7)=0),$C$3,0),0)</f>
        <v>182.103629234457</v>
      </c>
      <c r="U793" s="131" cm="1">
        <f ca="1" t="array" ref="U793">IF(U1395=1,OFFSET($W$634,$B793,U$631-1)/SUMPRODUCT(--($D$631:$V$631=U$631),--($D1395:$V1395=1)),0)+SUM(U792)+IF(COUNTIF(U$1237:U1395,1)=1,5,0)+IF(COUNTIF(V793:$W793,"&gt;"&amp;0)&lt;5,IF(AND(COUNTIF(U$1237:U1395,1)&gt;7,MOD(1+IFERROR(MATCH($C793,总览!$D$46:$D$345,1)+1,1),7)=0),$C$3,0),0)</f>
        <v>187.624415589757</v>
      </c>
      <c r="V793" s="131" cm="1">
        <f ca="1" t="array" ref="V793">IF(V1395=1,OFFSET($W$634,$B793,V$631-1)/SUMPRODUCT(--($D$631:$V$631=V$631),--($D1395:$V1395=1)),0)+SUM(V792)+IF(COUNTIF(V$1237:V1395,1)=1,5,0)+IF(COUNTIF(W793:$W793,"&gt;"&amp;0)&lt;5,IF(AND(COUNTIF(V$1237:V1395,1)&gt;7,MOD(1+IFERROR(MATCH($C793,总览!$D$46:$D$345,1)+1,1),7)=0),$C$3,0),0)</f>
        <v>207.451415302191</v>
      </c>
      <c r="W793" s="135" cm="1">
        <f ca="1" t="array" ref="W793">SUMPRODUCT(TRANSPOSE($AA793:$AG793),OFFSET($L$9:$L$15,0,W$631-1))</f>
        <v>16.8502200646615</v>
      </c>
      <c r="X793" s="135" cm="1">
        <f ca="1" t="array" ref="X793">SUMPRODUCT(TRANSPOSE($AA793:$AG793),OFFSET($L$9:$L$15,0,X$631-1))</f>
        <v>20</v>
      </c>
      <c r="Y793" s="135" cm="1">
        <f ca="1" t="array" ref="Y793">SUMPRODUCT(TRANSPOSE($AA793:$AG793),OFFSET($L$9:$L$15,0,Y$631-1))</f>
        <v>10</v>
      </c>
      <c r="Z793" s="135" cm="1">
        <f ca="1" t="array" ref="Z793">SUMPRODUCT(TRANSPOSE($AA793:$AG793),OFFSET($L$9:$L$15,0,Z$631-1))</f>
        <v>3.14977993533847</v>
      </c>
      <c r="AA793" s="136">
        <f ca="1" t="shared" ref="AA793:AG793" si="561">AH793-AH792</f>
        <v>0</v>
      </c>
      <c r="AB793" s="136">
        <f ca="1" t="shared" si="561"/>
        <v>0</v>
      </c>
      <c r="AC793" s="136">
        <f ca="1" t="shared" si="561"/>
        <v>0</v>
      </c>
      <c r="AD793" s="136">
        <f ca="1" t="shared" si="561"/>
        <v>0</v>
      </c>
      <c r="AE793" s="136">
        <f ca="1" t="shared" si="561"/>
        <v>0</v>
      </c>
      <c r="AF793" s="136">
        <f ca="1" t="shared" si="561"/>
        <v>0</v>
      </c>
      <c r="AG793" s="136">
        <f ca="1" t="shared" si="561"/>
        <v>100</v>
      </c>
      <c r="AH793" s="136">
        <f ca="1" t="shared" si="501"/>
        <v>450</v>
      </c>
      <c r="AI793" s="136">
        <f ca="1" t="shared" ref="AI793:AN793" si="562">IF($C793&gt;OFFSET($Q$8,MATCH(AI$634,$AH$634:$AN$634,0),0),OFFSET($P$8,MATCH(AI$634,$AH$634:$AN$634,0),0),MAX(0,$C793-OFFSET($Q$8,RIGHT(AI$634,1)-1,0)))</f>
        <v>909</v>
      </c>
      <c r="AJ793" s="136">
        <f ca="1" t="shared" si="562"/>
        <v>1818</v>
      </c>
      <c r="AK793" s="136">
        <f ca="1" t="shared" si="562"/>
        <v>2727</v>
      </c>
      <c r="AL793" s="136">
        <f ca="1" t="shared" si="562"/>
        <v>3636</v>
      </c>
      <c r="AM793" s="136">
        <f ca="1" t="shared" si="562"/>
        <v>4545</v>
      </c>
      <c r="AN793" s="136">
        <f ca="1" t="shared" si="562"/>
        <v>1815</v>
      </c>
    </row>
    <row r="794" s="106" customFormat="1" ht="16.5" spans="2:40">
      <c r="B794" s="117">
        <v>160</v>
      </c>
      <c r="C794" s="130">
        <f t="shared" si="499"/>
        <v>16000</v>
      </c>
      <c r="D794" s="131" cm="1">
        <f ca="1" t="array" ref="D794">IF(D1396=1,OFFSET($W$634,$B794,D$631-1)/SUMPRODUCT(--($D$631:$V$631=D$631),--($D1396:$V1396=1)),0)+SUM(D793)+IF(COUNTIF(D$1237:D1396,1)=1,5,0)+IF(COUNTIF(E794:$W794,"&gt;"&amp;0)&lt;5,IF(AND(COUNTIF(D$1237:D1396,1)&gt;7,MOD(1+IFERROR(MATCH($C794,总览!$D$46:$D$345,1)+1,1),7)=0),$C$3,0),0)</f>
        <v>1226.38191997942</v>
      </c>
      <c r="E794" s="131" cm="1">
        <f ca="1" t="array" ref="E794">IF(E1396=1,OFFSET($W$634,$B794,E$631-1)/SUMPRODUCT(--($D$631:$V$631=E$631),--($D1396:$V1396=1)),0)+SUM(E793)+IF(COUNTIF(E$1237:E1396,1)=1,5,0)+IF(COUNTIF(F794:$W794,"&gt;"&amp;0)&lt;5,IF(AND(COUNTIF(E$1237:E1396,1)&gt;7,MOD(1+IFERROR(MATCH($C794,总览!$D$46:$D$345,1)+1,1),7)=0),$C$3,0),0)</f>
        <v>1226.38191997942</v>
      </c>
      <c r="F794" s="131" cm="1">
        <f ca="1" t="array" ref="F794">IF(F1396=1,OFFSET($W$634,$B794,F$631-1)/SUMPRODUCT(--($D$631:$V$631=F$631),--($D1396:$V1396=1)),0)+SUM(F793)+IF(COUNTIF(F$1237:F1396,1)=1,5,0)+IF(COUNTIF(G794:$W794,"&gt;"&amp;0)&lt;5,IF(AND(COUNTIF(F$1237:F1396,1)&gt;7,MOD(1+IFERROR(MATCH($C794,总览!$D$46:$D$345,1)+1,1),7)=0),$C$3,0),0)</f>
        <v>1226.38191997942</v>
      </c>
      <c r="G794" s="131" cm="1">
        <f ca="1" t="array" ref="G794">IF(G1396=1,OFFSET($W$634,$B794,G$631-1)/SUMPRODUCT(--($D$631:$V$631=G$631),--($D1396:$V1396=1)),0)+SUM(G793)+IF(COUNTIF(G$1237:G1396,1)=1,5,0)+IF(COUNTIF(H794:$W794,"&gt;"&amp;0)&lt;5,IF(AND(COUNTIF(G$1237:G1396,1)&gt;7,MOD(1+IFERROR(MATCH($C794,总览!$D$46:$D$345,1)+1,1),7)=0),$C$3,0),0)</f>
        <v>472.733333333332</v>
      </c>
      <c r="H794" s="131" cm="1">
        <f ca="1" t="array" ref="H794">IF(H1396=1,OFFSET($W$634,$B794,H$631-1)/SUMPRODUCT(--($D$631:$V$631=H$631),--($D1396:$V1396=1)),0)+SUM(H793)+IF(COUNTIF(H$1237:H1396,1)=1,5,0)+IF(COUNTIF(I794:$W794,"&gt;"&amp;0)&lt;5,IF(AND(COUNTIF(H$1237:H1396,1)&gt;7,MOD(1+IFERROR(MATCH($C794,总览!$D$46:$D$345,1)+1,1),7)=0),$C$3,0),0)</f>
        <v>472.733333333332</v>
      </c>
      <c r="I794" s="131" cm="1">
        <f ca="1" t="array" ref="I794">IF(I1396=1,OFFSET($W$634,$B794,I$631-1)/SUMPRODUCT(--($D$631:$V$631=I$631),--($D1396:$V1396=1)),0)+SUM(I793)+IF(COUNTIF(I$1237:I1396,1)=1,5,0)+IF(COUNTIF(J794:$W794,"&gt;"&amp;0)&lt;5,IF(AND(COUNTIF(I$1237:I1396,1)&gt;7,MOD(1+IFERROR(MATCH($C794,总览!$D$46:$D$345,1)+1,1),7)=0),$C$3,0),0)</f>
        <v>472.733333333332</v>
      </c>
      <c r="J794" s="131" cm="1">
        <f ca="1" t="array" ref="J794">IF(J1396=1,OFFSET($W$634,$B794,J$631-1)/SUMPRODUCT(--($D$631:$V$631=J$631),--($D1396:$V1396=1)),0)+SUM(J793)+IF(COUNTIF(J$1237:J1396,1)=1,5,0)+IF(COUNTIF(K794:$W794,"&gt;"&amp;0)&lt;5,IF(AND(COUNTIF(J$1237:J1396,1)&gt;7,MOD(1+IFERROR(MATCH($C794,总览!$D$46:$D$345,1)+1,1),7)=0),$C$3,0),0)</f>
        <v>469.399999999999</v>
      </c>
      <c r="K794" s="131" cm="1">
        <f ca="1" t="array" ref="K794">IF(K1396=1,OFFSET($W$634,$B794,K$631-1)/SUMPRODUCT(--($D$631:$V$631=K$631),--($D1396:$V1396=1)),0)+SUM(K793)+IF(COUNTIF(K$1237:K1396,1)=1,5,0)+IF(COUNTIF(L794:$W794,"&gt;"&amp;0)&lt;5,IF(AND(COUNTIF(K$1237:K1396,1)&gt;7,MOD(1+IFERROR(MATCH($C794,总览!$D$46:$D$345,1)+1,1),7)=0),$C$3,0),0)</f>
        <v>466.899999999999</v>
      </c>
      <c r="L794" s="131" cm="1">
        <f ca="1" t="array" ref="L794">IF(L1396=1,OFFSET($W$634,$B794,L$631-1)/SUMPRODUCT(--($D$631:$V$631=L$631),--($D1396:$V1396=1)),0)+SUM(L793)+IF(COUNTIF(L$1237:L1396,1)=1,5,0)+IF(COUNTIF(M794:$W794,"&gt;"&amp;0)&lt;5,IF(AND(COUNTIF(L$1237:L1396,1)&gt;7,MOD(1+IFERROR(MATCH($C794,总览!$D$46:$D$345,1)+1,1),7)=0),$C$3,0),0)</f>
        <v>466.899999999999</v>
      </c>
      <c r="M794" s="131" cm="1">
        <f ca="1" t="array" ref="M794">IF(M1396=1,OFFSET($W$634,$B794,M$631-1)/SUMPRODUCT(--($D$631:$V$631=M$631),--($D1396:$V1396=1)),0)+SUM(M793)+IF(COUNTIF(M$1237:M1396,1)=1,5,0)+IF(COUNTIF(N794:$W794,"&gt;"&amp;0)&lt;5,IF(AND(COUNTIF(M$1237:M1396,1)&gt;7,MOD(1+IFERROR(MATCH($C794,总览!$D$46:$D$345,1)+1,1),7)=0),$C$3,0),0)</f>
        <v>186.324107142857</v>
      </c>
      <c r="N794" s="131" cm="1">
        <f ca="1" t="array" ref="N794">IF(N1396=1,OFFSET($W$634,$B794,N$631-1)/SUMPRODUCT(--($D$631:$V$631=N$631),--($D1396:$V1396=1)),0)+SUM(N793)+IF(COUNTIF(N$1237:N1396,1)=1,5,0)+IF(COUNTIF(O794:$W794,"&gt;"&amp;0)&lt;5,IF(AND(COUNTIF(N$1237:N1396,1)&gt;7,MOD(1+IFERROR(MATCH($C794,总览!$D$46:$D$345,1)+1,1),7)=0),$C$3,0),0)</f>
        <v>187.574107142857</v>
      </c>
      <c r="O794" s="131" cm="1">
        <f ca="1" t="array" ref="O794">IF(O1396=1,OFFSET($W$634,$B794,O$631-1)/SUMPRODUCT(--($D$631:$V$631=O$631),--($D1396:$V1396=1)),0)+SUM(O793)+IF(COUNTIF(O$1237:O1396,1)=1,5,0)+IF(COUNTIF(P794:$W794,"&gt;"&amp;0)&lt;5,IF(AND(COUNTIF(O$1237:O1396,1)&gt;7,MOD(1+IFERROR(MATCH($C794,总览!$D$46:$D$345,1)+1,1),7)=0),$C$3,0),0)</f>
        <v>192.574107142856</v>
      </c>
      <c r="P794" s="131" cm="1">
        <f ca="1" t="array" ref="P794">IF(P1396=1,OFFSET($W$634,$B794,P$631-1)/SUMPRODUCT(--($D$631:$V$631=P$631),--($D1396:$V1396=1)),0)+SUM(P793)+IF(COUNTIF(P$1237:P1396,1)=1,5,0)+IF(COUNTIF(Q794:$W794,"&gt;"&amp;0)&lt;5,IF(AND(COUNTIF(P$1237:P1396,1)&gt;7,MOD(1+IFERROR(MATCH($C794,总览!$D$46:$D$345,1)+1,1),7)=0),$C$3,0),0)</f>
        <v>181.692857142857</v>
      </c>
      <c r="Q794" s="131" cm="1">
        <f ca="1" t="array" ref="Q794">IF(Q1396=1,OFFSET($W$634,$B794,Q$631-1)/SUMPRODUCT(--($D$631:$V$631=Q$631),--($D1396:$V1396=1)),0)+SUM(Q793)+IF(COUNTIF(Q$1237:Q1396,1)=1,5,0)+IF(COUNTIF(R794:$W794,"&gt;"&amp;0)&lt;5,IF(AND(COUNTIF(Q$1237:Q1396,1)&gt;7,MOD(1+IFERROR(MATCH($C794,总览!$D$46:$D$345,1)+1,1),7)=0),$C$3,0),0)</f>
        <v>195.074107142856</v>
      </c>
      <c r="R794" s="131" cm="1">
        <f ca="1" t="array" ref="R794">IF(R1396=1,OFFSET($W$634,$B794,R$631-1)/SUMPRODUCT(--($D$631:$V$631=R$631),--($D1396:$V1396=1)),0)+SUM(R793)+IF(COUNTIF(R$1237:R1396,1)=1,5,0)+IF(COUNTIF(S794:$W794,"&gt;"&amp;0)&lt;5,IF(AND(COUNTIF(R$1237:R1396,1)&gt;7,MOD(1+IFERROR(MATCH($C794,总览!$D$46:$D$345,1)+1,1),7)=0),$C$3,0),0)</f>
        <v>186.692857142857</v>
      </c>
      <c r="S794" s="131" cm="1">
        <f ca="1" t="array" ref="S794">IF(S1396=1,OFFSET($W$634,$B794,S$631-1)/SUMPRODUCT(--($D$631:$V$631=S$631),--($D1396:$V1396=1)),0)+SUM(S793)+IF(COUNTIF(S$1237:S1396,1)=1,5,0)+IF(COUNTIF(T794:$W794,"&gt;"&amp;0)&lt;5,IF(AND(COUNTIF(S$1237:S1396,1)&gt;7,MOD(1+IFERROR(MATCH($C794,总览!$D$46:$D$345,1)+1,1),7)=0),$C$3,0),0)</f>
        <v>259.192857142856</v>
      </c>
      <c r="T794" s="131" cm="1">
        <f ca="1" t="array" ref="T794">IF(T1396=1,OFFSET($W$634,$B794,T$631-1)/SUMPRODUCT(--($D$631:$V$631=T$631),--($D1396:$V1396=1)),0)+SUM(T793)+IF(COUNTIF(T$1237:T1396,1)=1,5,0)+IF(COUNTIF(U794:$W794,"&gt;"&amp;0)&lt;5,IF(AND(COUNTIF(T$1237:T1396,1)&gt;7,MOD(1+IFERROR(MATCH($C794,总览!$D$46:$D$345,1)+1,1),7)=0),$C$3,0),0)</f>
        <v>183.15355587957</v>
      </c>
      <c r="U794" s="131" cm="1">
        <f ca="1" t="array" ref="U794">IF(U1396=1,OFFSET($W$634,$B794,U$631-1)/SUMPRODUCT(--($D$631:$V$631=U$631),--($D1396:$V1396=1)),0)+SUM(U793)+IF(COUNTIF(U$1237:U1396,1)=1,5,0)+IF(COUNTIF(V794:$W794,"&gt;"&amp;0)&lt;5,IF(AND(COUNTIF(U$1237:U1396,1)&gt;7,MOD(1+IFERROR(MATCH($C794,总览!$D$46:$D$345,1)+1,1),7)=0),$C$3,0),0)</f>
        <v>188.67434223487</v>
      </c>
      <c r="V794" s="131" cm="1">
        <f ca="1" t="array" ref="V794">IF(V1396=1,OFFSET($W$634,$B794,V$631-1)/SUMPRODUCT(--($D$631:$V$631=V$631),--($D1396:$V1396=1)),0)+SUM(V793)+IF(COUNTIF(V$1237:V1396,1)=1,5,0)+IF(COUNTIF(W794:$W794,"&gt;"&amp;0)&lt;5,IF(AND(COUNTIF(V$1237:V1396,1)&gt;7,MOD(1+IFERROR(MATCH($C794,总览!$D$46:$D$345,1)+1,1),7)=0),$C$3,0),0)</f>
        <v>208.501341947304</v>
      </c>
      <c r="W794" s="135" cm="1">
        <f ca="1" t="array" ref="W794">SUMPRODUCT(TRANSPOSE($AA794:$AG794),OFFSET($L$9:$L$15,0,W$631-1))</f>
        <v>16.8502200646615</v>
      </c>
      <c r="X794" s="135" cm="1">
        <f ca="1" t="array" ref="X794">SUMPRODUCT(TRANSPOSE($AA794:$AG794),OFFSET($L$9:$L$15,0,X$631-1))</f>
        <v>20</v>
      </c>
      <c r="Y794" s="135" cm="1">
        <f ca="1" t="array" ref="Y794">SUMPRODUCT(TRANSPOSE($AA794:$AG794),OFFSET($L$9:$L$15,0,Y$631-1))</f>
        <v>10</v>
      </c>
      <c r="Z794" s="135" cm="1">
        <f ca="1" t="array" ref="Z794">SUMPRODUCT(TRANSPOSE($AA794:$AG794),OFFSET($L$9:$L$15,0,Z$631-1))</f>
        <v>3.14977993533847</v>
      </c>
      <c r="AA794" s="136">
        <f ca="1" t="shared" ref="AA794:AG794" si="563">AH794-AH793</f>
        <v>0</v>
      </c>
      <c r="AB794" s="136">
        <f ca="1" t="shared" si="563"/>
        <v>0</v>
      </c>
      <c r="AC794" s="136">
        <f ca="1" t="shared" si="563"/>
        <v>0</v>
      </c>
      <c r="AD794" s="136">
        <f ca="1" t="shared" si="563"/>
        <v>0</v>
      </c>
      <c r="AE794" s="136">
        <f ca="1" t="shared" si="563"/>
        <v>0</v>
      </c>
      <c r="AF794" s="136">
        <f ca="1" t="shared" si="563"/>
        <v>0</v>
      </c>
      <c r="AG794" s="136">
        <f ca="1" t="shared" si="563"/>
        <v>100</v>
      </c>
      <c r="AH794" s="136">
        <f ca="1" t="shared" si="501"/>
        <v>450</v>
      </c>
      <c r="AI794" s="136">
        <f ca="1" t="shared" ref="AI794:AN794" si="564">IF($C794&gt;OFFSET($Q$8,MATCH(AI$634,$AH$634:$AN$634,0),0),OFFSET($P$8,MATCH(AI$634,$AH$634:$AN$634,0),0),MAX(0,$C794-OFFSET($Q$8,RIGHT(AI$634,1)-1,0)))</f>
        <v>909</v>
      </c>
      <c r="AJ794" s="136">
        <f ca="1" t="shared" si="564"/>
        <v>1818</v>
      </c>
      <c r="AK794" s="136">
        <f ca="1" t="shared" si="564"/>
        <v>2727</v>
      </c>
      <c r="AL794" s="136">
        <f ca="1" t="shared" si="564"/>
        <v>3636</v>
      </c>
      <c r="AM794" s="136">
        <f ca="1" t="shared" si="564"/>
        <v>4545</v>
      </c>
      <c r="AN794" s="136">
        <f ca="1" t="shared" si="564"/>
        <v>1915</v>
      </c>
    </row>
    <row r="795" s="106" customFormat="1" ht="16.5" spans="2:40">
      <c r="B795" s="117">
        <v>161</v>
      </c>
      <c r="C795" s="130">
        <f t="shared" si="499"/>
        <v>16100</v>
      </c>
      <c r="D795" s="131" cm="1">
        <f ca="1" t="array" ref="D795">IF(D1397=1,OFFSET($W$634,$B795,D$631-1)/SUMPRODUCT(--($D$631:$V$631=D$631),--($D1397:$V1397=1)),0)+SUM(D794)+IF(COUNTIF(D$1237:D1397,1)=1,5,0)+IF(COUNTIF(E795:$W795,"&gt;"&amp;0)&lt;5,IF(AND(COUNTIF(D$1237:D1397,1)&gt;7,MOD(1+IFERROR(MATCH($C795,总览!$D$46:$D$345,1)+1,1),7)=0),$C$3,0),0)</f>
        <v>1231.99866000097</v>
      </c>
      <c r="E795" s="131" cm="1">
        <f ca="1" t="array" ref="E795">IF(E1397=1,OFFSET($W$634,$B795,E$631-1)/SUMPRODUCT(--($D$631:$V$631=E$631),--($D1397:$V1397=1)),0)+SUM(E794)+IF(COUNTIF(E$1237:E1397,1)=1,5,0)+IF(COUNTIF(F795:$W795,"&gt;"&amp;0)&lt;5,IF(AND(COUNTIF(E$1237:E1397,1)&gt;7,MOD(1+IFERROR(MATCH($C795,总览!$D$46:$D$345,1)+1,1),7)=0),$C$3,0),0)</f>
        <v>1231.99866000097</v>
      </c>
      <c r="F795" s="131" cm="1">
        <f ca="1" t="array" ref="F795">IF(F1397=1,OFFSET($W$634,$B795,F$631-1)/SUMPRODUCT(--($D$631:$V$631=F$631),--($D1397:$V1397=1)),0)+SUM(F794)+IF(COUNTIF(F$1237:F1397,1)=1,5,0)+IF(COUNTIF(G795:$W795,"&gt;"&amp;0)&lt;5,IF(AND(COUNTIF(F$1237:F1397,1)&gt;7,MOD(1+IFERROR(MATCH($C795,总览!$D$46:$D$345,1)+1,1),7)=0),$C$3,0),0)</f>
        <v>1231.99866000097</v>
      </c>
      <c r="G795" s="131" cm="1">
        <f ca="1" t="array" ref="G795">IF(G1397=1,OFFSET($W$634,$B795,G$631-1)/SUMPRODUCT(--($D$631:$V$631=G$631),--($D1397:$V1397=1)),0)+SUM(G794)+IF(COUNTIF(G$1237:G1397,1)=1,5,0)+IF(COUNTIF(H795:$W795,"&gt;"&amp;0)&lt;5,IF(AND(COUNTIF(G$1237:G1397,1)&gt;7,MOD(1+IFERROR(MATCH($C795,总览!$D$46:$D$345,1)+1,1),7)=0),$C$3,0),0)</f>
        <v>476.066666666665</v>
      </c>
      <c r="H795" s="131" cm="1">
        <f ca="1" t="array" ref="H795">IF(H1397=1,OFFSET($W$634,$B795,H$631-1)/SUMPRODUCT(--($D$631:$V$631=H$631),--($D1397:$V1397=1)),0)+SUM(H794)+IF(COUNTIF(H$1237:H1397,1)=1,5,0)+IF(COUNTIF(I795:$W795,"&gt;"&amp;0)&lt;5,IF(AND(COUNTIF(H$1237:H1397,1)&gt;7,MOD(1+IFERROR(MATCH($C795,总览!$D$46:$D$345,1)+1,1),7)=0),$C$3,0),0)</f>
        <v>476.066666666665</v>
      </c>
      <c r="I795" s="131" cm="1">
        <f ca="1" t="array" ref="I795">IF(I1397=1,OFFSET($W$634,$B795,I$631-1)/SUMPRODUCT(--($D$631:$V$631=I$631),--($D1397:$V1397=1)),0)+SUM(I794)+IF(COUNTIF(I$1237:I1397,1)=1,5,0)+IF(COUNTIF(J795:$W795,"&gt;"&amp;0)&lt;5,IF(AND(COUNTIF(I$1237:I1397,1)&gt;7,MOD(1+IFERROR(MATCH($C795,总览!$D$46:$D$345,1)+1,1),7)=0),$C$3,0),0)</f>
        <v>476.066666666665</v>
      </c>
      <c r="J795" s="131" cm="1">
        <f ca="1" t="array" ref="J795">IF(J1397=1,OFFSET($W$634,$B795,J$631-1)/SUMPRODUCT(--($D$631:$V$631=J$631),--($D1397:$V1397=1)),0)+SUM(J794)+IF(COUNTIF(J$1237:J1397,1)=1,5,0)+IF(COUNTIF(K795:$W795,"&gt;"&amp;0)&lt;5,IF(AND(COUNTIF(J$1237:J1397,1)&gt;7,MOD(1+IFERROR(MATCH($C795,总览!$D$46:$D$345,1)+1,1),7)=0),$C$3,0),0)</f>
        <v>472.733333333332</v>
      </c>
      <c r="K795" s="131" cm="1">
        <f ca="1" t="array" ref="K795">IF(K1397=1,OFFSET($W$634,$B795,K$631-1)/SUMPRODUCT(--($D$631:$V$631=K$631),--($D1397:$V1397=1)),0)+SUM(K794)+IF(COUNTIF(K$1237:K1397,1)=1,5,0)+IF(COUNTIF(L795:$W795,"&gt;"&amp;0)&lt;5,IF(AND(COUNTIF(K$1237:K1397,1)&gt;7,MOD(1+IFERROR(MATCH($C795,总览!$D$46:$D$345,1)+1,1),7)=0),$C$3,0),0)</f>
        <v>470.233333333332</v>
      </c>
      <c r="L795" s="131" cm="1">
        <f ca="1" t="array" ref="L795">IF(L1397=1,OFFSET($W$634,$B795,L$631-1)/SUMPRODUCT(--($D$631:$V$631=L$631),--($D1397:$V1397=1)),0)+SUM(L794)+IF(COUNTIF(L$1237:L1397,1)=1,5,0)+IF(COUNTIF(M795:$W795,"&gt;"&amp;0)&lt;5,IF(AND(COUNTIF(L$1237:L1397,1)&gt;7,MOD(1+IFERROR(MATCH($C795,总览!$D$46:$D$345,1)+1,1),7)=0),$C$3,0),0)</f>
        <v>470.233333333332</v>
      </c>
      <c r="M795" s="131" cm="1">
        <f ca="1" t="array" ref="M795">IF(M1397=1,OFFSET($W$634,$B795,M$631-1)/SUMPRODUCT(--($D$631:$V$631=M$631),--($D1397:$V1397=1)),0)+SUM(M794)+IF(COUNTIF(M$1237:M1397,1)=1,5,0)+IF(COUNTIF(N795:$W795,"&gt;"&amp;0)&lt;5,IF(AND(COUNTIF(M$1237:M1397,1)&gt;7,MOD(1+IFERROR(MATCH($C795,总览!$D$46:$D$345,1)+1,1),7)=0),$C$3,0),0)</f>
        <v>187.752678571428</v>
      </c>
      <c r="N795" s="131" cm="1">
        <f ca="1" t="array" ref="N795">IF(N1397=1,OFFSET($W$634,$B795,N$631-1)/SUMPRODUCT(--($D$631:$V$631=N$631),--($D1397:$V1397=1)),0)+SUM(N794)+IF(COUNTIF(N$1237:N1397,1)=1,5,0)+IF(COUNTIF(O795:$W795,"&gt;"&amp;0)&lt;5,IF(AND(COUNTIF(N$1237:N1397,1)&gt;7,MOD(1+IFERROR(MATCH($C795,总览!$D$46:$D$345,1)+1,1),7)=0),$C$3,0),0)</f>
        <v>189.002678571428</v>
      </c>
      <c r="O795" s="131" cm="1">
        <f ca="1" t="array" ref="O795">IF(O1397=1,OFFSET($W$634,$B795,O$631-1)/SUMPRODUCT(--($D$631:$V$631=O$631),--($D1397:$V1397=1)),0)+SUM(O794)+IF(COUNTIF(O$1237:O1397,1)=1,5,0)+IF(COUNTIF(P795:$W795,"&gt;"&amp;0)&lt;5,IF(AND(COUNTIF(O$1237:O1397,1)&gt;7,MOD(1+IFERROR(MATCH($C795,总览!$D$46:$D$345,1)+1,1),7)=0),$C$3,0),0)</f>
        <v>194.002678571428</v>
      </c>
      <c r="P795" s="131" cm="1">
        <f ca="1" t="array" ref="P795">IF(P1397=1,OFFSET($W$634,$B795,P$631-1)/SUMPRODUCT(--($D$631:$V$631=P$631),--($D1397:$V1397=1)),0)+SUM(P794)+IF(COUNTIF(P$1237:P1397,1)=1,5,0)+IF(COUNTIF(Q795:$W795,"&gt;"&amp;0)&lt;5,IF(AND(COUNTIF(P$1237:P1397,1)&gt;7,MOD(1+IFERROR(MATCH($C795,总览!$D$46:$D$345,1)+1,1),7)=0),$C$3,0),0)</f>
        <v>183.121428571428</v>
      </c>
      <c r="Q795" s="131" cm="1">
        <f ca="1" t="array" ref="Q795">IF(Q1397=1,OFFSET($W$634,$B795,Q$631-1)/SUMPRODUCT(--($D$631:$V$631=Q$631),--($D1397:$V1397=1)),0)+SUM(Q794)+IF(COUNTIF(Q$1237:Q1397,1)=1,5,0)+IF(COUNTIF(R795:$W795,"&gt;"&amp;0)&lt;5,IF(AND(COUNTIF(Q$1237:Q1397,1)&gt;7,MOD(1+IFERROR(MATCH($C795,总览!$D$46:$D$345,1)+1,1),7)=0),$C$3,0),0)</f>
        <v>196.502678571428</v>
      </c>
      <c r="R795" s="131" cm="1">
        <f ca="1" t="array" ref="R795">IF(R1397=1,OFFSET($W$634,$B795,R$631-1)/SUMPRODUCT(--($D$631:$V$631=R$631),--($D1397:$V1397=1)),0)+SUM(R794)+IF(COUNTIF(R$1237:R1397,1)=1,5,0)+IF(COUNTIF(S795:$W795,"&gt;"&amp;0)&lt;5,IF(AND(COUNTIF(R$1237:R1397,1)&gt;7,MOD(1+IFERROR(MATCH($C795,总览!$D$46:$D$345,1)+1,1),7)=0),$C$3,0),0)</f>
        <v>188.121428571428</v>
      </c>
      <c r="S795" s="131" cm="1">
        <f ca="1" t="array" ref="S795">IF(S1397=1,OFFSET($W$634,$B795,S$631-1)/SUMPRODUCT(--($D$631:$V$631=S$631),--($D1397:$V1397=1)),0)+SUM(S794)+IF(COUNTIF(S$1237:S1397,1)=1,5,0)+IF(COUNTIF(T795:$W795,"&gt;"&amp;0)&lt;5,IF(AND(COUNTIF(S$1237:S1397,1)&gt;7,MOD(1+IFERROR(MATCH($C795,总览!$D$46:$D$345,1)+1,1),7)=0),$C$3,0),0)</f>
        <v>260.621428571428</v>
      </c>
      <c r="T795" s="131" cm="1">
        <f ca="1" t="array" ref="T795">IF(T1397=1,OFFSET($W$634,$B795,T$631-1)/SUMPRODUCT(--($D$631:$V$631=T$631),--($D1397:$V1397=1)),0)+SUM(T794)+IF(COUNTIF(T$1237:T1397,1)=1,5,0)+IF(COUNTIF(U795:$W795,"&gt;"&amp;0)&lt;5,IF(AND(COUNTIF(T$1237:T1397,1)&gt;7,MOD(1+IFERROR(MATCH($C795,总览!$D$46:$D$345,1)+1,1),7)=0),$C$3,0),0)</f>
        <v>184.203482524683</v>
      </c>
      <c r="U795" s="131" cm="1">
        <f ca="1" t="array" ref="U795">IF(U1397=1,OFFSET($W$634,$B795,U$631-1)/SUMPRODUCT(--($D$631:$V$631=U$631),--($D1397:$V1397=1)),0)+SUM(U794)+IF(COUNTIF(U$1237:U1397,1)=1,5,0)+IF(COUNTIF(V795:$W795,"&gt;"&amp;0)&lt;5,IF(AND(COUNTIF(U$1237:U1397,1)&gt;7,MOD(1+IFERROR(MATCH($C795,总览!$D$46:$D$345,1)+1,1),7)=0),$C$3,0),0)</f>
        <v>189.724268879983</v>
      </c>
      <c r="V795" s="131" cm="1">
        <f ca="1" t="array" ref="V795">IF(V1397=1,OFFSET($W$634,$B795,V$631-1)/SUMPRODUCT(--($D$631:$V$631=V$631),--($D1397:$V1397=1)),0)+SUM(V794)+IF(COUNTIF(V$1237:V1397,1)=1,5,0)+IF(COUNTIF(W795:$W795,"&gt;"&amp;0)&lt;5,IF(AND(COUNTIF(V$1237:V1397,1)&gt;7,MOD(1+IFERROR(MATCH($C795,总览!$D$46:$D$345,1)+1,1),7)=0),$C$3,0),0)</f>
        <v>209.551268592416</v>
      </c>
      <c r="W795" s="135" cm="1">
        <f ca="1" t="array" ref="W795">SUMPRODUCT(TRANSPOSE($AA795:$AG795),OFFSET($L$9:$L$15,0,W$631-1))</f>
        <v>16.8502200646615</v>
      </c>
      <c r="X795" s="135" cm="1">
        <f ca="1" t="array" ref="X795">SUMPRODUCT(TRANSPOSE($AA795:$AG795),OFFSET($L$9:$L$15,0,X$631-1))</f>
        <v>20</v>
      </c>
      <c r="Y795" s="135" cm="1">
        <f ca="1" t="array" ref="Y795">SUMPRODUCT(TRANSPOSE($AA795:$AG795),OFFSET($L$9:$L$15,0,Y$631-1))</f>
        <v>10</v>
      </c>
      <c r="Z795" s="135" cm="1">
        <f ca="1" t="array" ref="Z795">SUMPRODUCT(TRANSPOSE($AA795:$AG795),OFFSET($L$9:$L$15,0,Z$631-1))</f>
        <v>3.14977993533847</v>
      </c>
      <c r="AA795" s="136">
        <f ca="1" t="shared" ref="AA795:AG795" si="565">AH795-AH794</f>
        <v>0</v>
      </c>
      <c r="AB795" s="136">
        <f ca="1" t="shared" si="565"/>
        <v>0</v>
      </c>
      <c r="AC795" s="136">
        <f ca="1" t="shared" si="565"/>
        <v>0</v>
      </c>
      <c r="AD795" s="136">
        <f ca="1" t="shared" si="565"/>
        <v>0</v>
      </c>
      <c r="AE795" s="136">
        <f ca="1" t="shared" si="565"/>
        <v>0</v>
      </c>
      <c r="AF795" s="136">
        <f ca="1" t="shared" si="565"/>
        <v>0</v>
      </c>
      <c r="AG795" s="136">
        <f ca="1" t="shared" si="565"/>
        <v>100</v>
      </c>
      <c r="AH795" s="136">
        <f ca="1" t="shared" si="501"/>
        <v>450</v>
      </c>
      <c r="AI795" s="136">
        <f ca="1" t="shared" ref="AI795:AN795" si="566">IF($C795&gt;OFFSET($Q$8,MATCH(AI$634,$AH$634:$AN$634,0),0),OFFSET($P$8,MATCH(AI$634,$AH$634:$AN$634,0),0),MAX(0,$C795-OFFSET($Q$8,RIGHT(AI$634,1)-1,0)))</f>
        <v>909</v>
      </c>
      <c r="AJ795" s="136">
        <f ca="1" t="shared" si="566"/>
        <v>1818</v>
      </c>
      <c r="AK795" s="136">
        <f ca="1" t="shared" si="566"/>
        <v>2727</v>
      </c>
      <c r="AL795" s="136">
        <f ca="1" t="shared" si="566"/>
        <v>3636</v>
      </c>
      <c r="AM795" s="136">
        <f ca="1" t="shared" si="566"/>
        <v>4545</v>
      </c>
      <c r="AN795" s="136">
        <f ca="1" t="shared" si="566"/>
        <v>2015</v>
      </c>
    </row>
    <row r="796" s="106" customFormat="1" ht="16.5" spans="2:40">
      <c r="B796" s="117">
        <v>162</v>
      </c>
      <c r="C796" s="130">
        <f t="shared" si="499"/>
        <v>16200</v>
      </c>
      <c r="D796" s="131" cm="1">
        <f ca="1" t="array" ref="D796">IF(D1398=1,OFFSET($W$634,$B796,D$631-1)/SUMPRODUCT(--($D$631:$V$631=D$631),--($D1398:$V1398=1)),0)+SUM(D795)+IF(COUNTIF(D$1237:D1398,1)=1,5,0)+IF(COUNTIF(E796:$W796,"&gt;"&amp;0)&lt;5,IF(AND(COUNTIF(D$1237:D1398,1)&gt;7,MOD(1+IFERROR(MATCH($C796,总览!$D$46:$D$345,1)+1,1),7)=0),$C$3,0),0)</f>
        <v>1237.61540002253</v>
      </c>
      <c r="E796" s="131" cm="1">
        <f ca="1" t="array" ref="E796">IF(E1398=1,OFFSET($W$634,$B796,E$631-1)/SUMPRODUCT(--($D$631:$V$631=E$631),--($D1398:$V1398=1)),0)+SUM(E795)+IF(COUNTIF(E$1237:E1398,1)=1,5,0)+IF(COUNTIF(F796:$W796,"&gt;"&amp;0)&lt;5,IF(AND(COUNTIF(E$1237:E1398,1)&gt;7,MOD(1+IFERROR(MATCH($C796,总览!$D$46:$D$345,1)+1,1),7)=0),$C$3,0),0)</f>
        <v>1237.61540002253</v>
      </c>
      <c r="F796" s="131" cm="1">
        <f ca="1" t="array" ref="F796">IF(F1398=1,OFFSET($W$634,$B796,F$631-1)/SUMPRODUCT(--($D$631:$V$631=F$631),--($D1398:$V1398=1)),0)+SUM(F795)+IF(COUNTIF(F$1237:F1398,1)=1,5,0)+IF(COUNTIF(G796:$W796,"&gt;"&amp;0)&lt;5,IF(AND(COUNTIF(F$1237:F1398,1)&gt;7,MOD(1+IFERROR(MATCH($C796,总览!$D$46:$D$345,1)+1,1),7)=0),$C$3,0),0)</f>
        <v>1237.61540002253</v>
      </c>
      <c r="G796" s="131" cm="1">
        <f ca="1" t="array" ref="G796">IF(G1398=1,OFFSET($W$634,$B796,G$631-1)/SUMPRODUCT(--($D$631:$V$631=G$631),--($D1398:$V1398=1)),0)+SUM(G795)+IF(COUNTIF(G$1237:G1398,1)=1,5,0)+IF(COUNTIF(H796:$W796,"&gt;"&amp;0)&lt;5,IF(AND(COUNTIF(G$1237:G1398,1)&gt;7,MOD(1+IFERROR(MATCH($C796,总览!$D$46:$D$345,1)+1,1),7)=0),$C$3,0),0)</f>
        <v>479.399999999999</v>
      </c>
      <c r="H796" s="131" cm="1">
        <f ca="1" t="array" ref="H796">IF(H1398=1,OFFSET($W$634,$B796,H$631-1)/SUMPRODUCT(--($D$631:$V$631=H$631),--($D1398:$V1398=1)),0)+SUM(H795)+IF(COUNTIF(H$1237:H1398,1)=1,5,0)+IF(COUNTIF(I796:$W796,"&gt;"&amp;0)&lt;5,IF(AND(COUNTIF(H$1237:H1398,1)&gt;7,MOD(1+IFERROR(MATCH($C796,总览!$D$46:$D$345,1)+1,1),7)=0),$C$3,0),0)</f>
        <v>479.399999999999</v>
      </c>
      <c r="I796" s="131" cm="1">
        <f ca="1" t="array" ref="I796">IF(I1398=1,OFFSET($W$634,$B796,I$631-1)/SUMPRODUCT(--($D$631:$V$631=I$631),--($D1398:$V1398=1)),0)+SUM(I795)+IF(COUNTIF(I$1237:I1398,1)=1,5,0)+IF(COUNTIF(J796:$W796,"&gt;"&amp;0)&lt;5,IF(AND(COUNTIF(I$1237:I1398,1)&gt;7,MOD(1+IFERROR(MATCH($C796,总览!$D$46:$D$345,1)+1,1),7)=0),$C$3,0),0)</f>
        <v>479.399999999999</v>
      </c>
      <c r="J796" s="131" cm="1">
        <f ca="1" t="array" ref="J796">IF(J1398=1,OFFSET($W$634,$B796,J$631-1)/SUMPRODUCT(--($D$631:$V$631=J$631),--($D1398:$V1398=1)),0)+SUM(J795)+IF(COUNTIF(J$1237:J1398,1)=1,5,0)+IF(COUNTIF(K796:$W796,"&gt;"&amp;0)&lt;5,IF(AND(COUNTIF(J$1237:J1398,1)&gt;7,MOD(1+IFERROR(MATCH($C796,总览!$D$46:$D$345,1)+1,1),7)=0),$C$3,0),0)</f>
        <v>476.066666666665</v>
      </c>
      <c r="K796" s="131" cm="1">
        <f ca="1" t="array" ref="K796">IF(K1398=1,OFFSET($W$634,$B796,K$631-1)/SUMPRODUCT(--($D$631:$V$631=K$631),--($D1398:$V1398=1)),0)+SUM(K795)+IF(COUNTIF(K$1237:K1398,1)=1,5,0)+IF(COUNTIF(L796:$W796,"&gt;"&amp;0)&lt;5,IF(AND(COUNTIF(K$1237:K1398,1)&gt;7,MOD(1+IFERROR(MATCH($C796,总览!$D$46:$D$345,1)+1,1),7)=0),$C$3,0),0)</f>
        <v>473.566666666666</v>
      </c>
      <c r="L796" s="131" cm="1">
        <f ca="1" t="array" ref="L796">IF(L1398=1,OFFSET($W$634,$B796,L$631-1)/SUMPRODUCT(--($D$631:$V$631=L$631),--($D1398:$V1398=1)),0)+SUM(L795)+IF(COUNTIF(L$1237:L1398,1)=1,5,0)+IF(COUNTIF(M796:$W796,"&gt;"&amp;0)&lt;5,IF(AND(COUNTIF(L$1237:L1398,1)&gt;7,MOD(1+IFERROR(MATCH($C796,总览!$D$46:$D$345,1)+1,1),7)=0),$C$3,0),0)</f>
        <v>473.566666666666</v>
      </c>
      <c r="M796" s="131" cm="1">
        <f ca="1" t="array" ref="M796">IF(M1398=1,OFFSET($W$634,$B796,M$631-1)/SUMPRODUCT(--($D$631:$V$631=M$631),--($D1398:$V1398=1)),0)+SUM(M795)+IF(COUNTIF(M$1237:M1398,1)=1,5,0)+IF(COUNTIF(N796:$W796,"&gt;"&amp;0)&lt;5,IF(AND(COUNTIF(M$1237:M1398,1)&gt;7,MOD(1+IFERROR(MATCH($C796,总览!$D$46:$D$345,1)+1,1),7)=0),$C$3,0),0)</f>
        <v>189.181249999999</v>
      </c>
      <c r="N796" s="131" cm="1">
        <f ca="1" t="array" ref="N796">IF(N1398=1,OFFSET($W$634,$B796,N$631-1)/SUMPRODUCT(--($D$631:$V$631=N$631),--($D1398:$V1398=1)),0)+SUM(N795)+IF(COUNTIF(N$1237:N1398,1)=1,5,0)+IF(COUNTIF(O796:$W796,"&gt;"&amp;0)&lt;5,IF(AND(COUNTIF(N$1237:N1398,1)&gt;7,MOD(1+IFERROR(MATCH($C796,总览!$D$46:$D$345,1)+1,1),7)=0),$C$3,0),0)</f>
        <v>190.431249999999</v>
      </c>
      <c r="O796" s="131" cm="1">
        <f ca="1" t="array" ref="O796">IF(O1398=1,OFFSET($W$634,$B796,O$631-1)/SUMPRODUCT(--($D$631:$V$631=O$631),--($D1398:$V1398=1)),0)+SUM(O795)+IF(COUNTIF(O$1237:O1398,1)=1,5,0)+IF(COUNTIF(P796:$W796,"&gt;"&amp;0)&lt;5,IF(AND(COUNTIF(O$1237:O1398,1)&gt;7,MOD(1+IFERROR(MATCH($C796,总览!$D$46:$D$345,1)+1,1),7)=0),$C$3,0),0)</f>
        <v>195.431249999999</v>
      </c>
      <c r="P796" s="131" cm="1">
        <f ca="1" t="array" ref="P796">IF(P1398=1,OFFSET($W$634,$B796,P$631-1)/SUMPRODUCT(--($D$631:$V$631=P$631),--($D1398:$V1398=1)),0)+SUM(P795)+IF(COUNTIF(P$1237:P1398,1)=1,5,0)+IF(COUNTIF(Q796:$W796,"&gt;"&amp;0)&lt;5,IF(AND(COUNTIF(P$1237:P1398,1)&gt;7,MOD(1+IFERROR(MATCH($C796,总览!$D$46:$D$345,1)+1,1),7)=0),$C$3,0),0)</f>
        <v>184.549999999999</v>
      </c>
      <c r="Q796" s="131" cm="1">
        <f ca="1" t="array" ref="Q796">IF(Q1398=1,OFFSET($W$634,$B796,Q$631-1)/SUMPRODUCT(--($D$631:$V$631=Q$631),--($D1398:$V1398=1)),0)+SUM(Q795)+IF(COUNTIF(Q$1237:Q1398,1)=1,5,0)+IF(COUNTIF(R796:$W796,"&gt;"&amp;0)&lt;5,IF(AND(COUNTIF(Q$1237:Q1398,1)&gt;7,MOD(1+IFERROR(MATCH($C796,总览!$D$46:$D$345,1)+1,1),7)=0),$C$3,0),0)</f>
        <v>197.931249999999</v>
      </c>
      <c r="R796" s="131" cm="1">
        <f ca="1" t="array" ref="R796">IF(R1398=1,OFFSET($W$634,$B796,R$631-1)/SUMPRODUCT(--($D$631:$V$631=R$631),--($D1398:$V1398=1)),0)+SUM(R795)+IF(COUNTIF(R$1237:R1398,1)=1,5,0)+IF(COUNTIF(S796:$W796,"&gt;"&amp;0)&lt;5,IF(AND(COUNTIF(R$1237:R1398,1)&gt;7,MOD(1+IFERROR(MATCH($C796,总览!$D$46:$D$345,1)+1,1),7)=0),$C$3,0),0)</f>
        <v>189.549999999999</v>
      </c>
      <c r="S796" s="131" cm="1">
        <f ca="1" t="array" ref="S796">IF(S1398=1,OFFSET($W$634,$B796,S$631-1)/SUMPRODUCT(--($D$631:$V$631=S$631),--($D1398:$V1398=1)),0)+SUM(S795)+IF(COUNTIF(S$1237:S1398,1)=1,5,0)+IF(COUNTIF(T796:$W796,"&gt;"&amp;0)&lt;5,IF(AND(COUNTIF(S$1237:S1398,1)&gt;7,MOD(1+IFERROR(MATCH($C796,总览!$D$46:$D$345,1)+1,1),7)=0),$C$3,0),0)</f>
        <v>262.049999999999</v>
      </c>
      <c r="T796" s="131" cm="1">
        <f ca="1" t="array" ref="T796">IF(T1398=1,OFFSET($W$634,$B796,T$631-1)/SUMPRODUCT(--($D$631:$V$631=T$631),--($D1398:$V1398=1)),0)+SUM(T795)+IF(COUNTIF(T$1237:T1398,1)=1,5,0)+IF(COUNTIF(U796:$W796,"&gt;"&amp;0)&lt;5,IF(AND(COUNTIF(T$1237:T1398,1)&gt;7,MOD(1+IFERROR(MATCH($C796,总览!$D$46:$D$345,1)+1,1),7)=0),$C$3,0),0)</f>
        <v>185.253409169796</v>
      </c>
      <c r="U796" s="131" cm="1">
        <f ca="1" t="array" ref="U796">IF(U1398=1,OFFSET($W$634,$B796,U$631-1)/SUMPRODUCT(--($D$631:$V$631=U$631),--($D1398:$V1398=1)),0)+SUM(U795)+IF(COUNTIF(U$1237:U1398,1)=1,5,0)+IF(COUNTIF(V796:$W796,"&gt;"&amp;0)&lt;5,IF(AND(COUNTIF(U$1237:U1398,1)&gt;7,MOD(1+IFERROR(MATCH($C796,总览!$D$46:$D$345,1)+1,1),7)=0),$C$3,0),0)</f>
        <v>190.774195525096</v>
      </c>
      <c r="V796" s="131" cm="1">
        <f ca="1" t="array" ref="V796">IF(V1398=1,OFFSET($W$634,$B796,V$631-1)/SUMPRODUCT(--($D$631:$V$631=V$631),--($D1398:$V1398=1)),0)+SUM(V795)+IF(COUNTIF(V$1237:V1398,1)=1,5,0)+IF(COUNTIF(W796:$W796,"&gt;"&amp;0)&lt;5,IF(AND(COUNTIF(V$1237:V1398,1)&gt;7,MOD(1+IFERROR(MATCH($C796,总览!$D$46:$D$345,1)+1,1),7)=0),$C$3,0),0)</f>
        <v>210.601195237529</v>
      </c>
      <c r="W796" s="135" cm="1">
        <f ca="1" t="array" ref="W796">SUMPRODUCT(TRANSPOSE($AA796:$AG796),OFFSET($L$9:$L$15,0,W$631-1))</f>
        <v>16.8502200646615</v>
      </c>
      <c r="X796" s="135" cm="1">
        <f ca="1" t="array" ref="X796">SUMPRODUCT(TRANSPOSE($AA796:$AG796),OFFSET($L$9:$L$15,0,X$631-1))</f>
        <v>20</v>
      </c>
      <c r="Y796" s="135" cm="1">
        <f ca="1" t="array" ref="Y796">SUMPRODUCT(TRANSPOSE($AA796:$AG796),OFFSET($L$9:$L$15,0,Y$631-1))</f>
        <v>10</v>
      </c>
      <c r="Z796" s="135" cm="1">
        <f ca="1" t="array" ref="Z796">SUMPRODUCT(TRANSPOSE($AA796:$AG796),OFFSET($L$9:$L$15,0,Z$631-1))</f>
        <v>3.14977993533847</v>
      </c>
      <c r="AA796" s="136">
        <f ca="1" t="shared" ref="AA796:AG796" si="567">AH796-AH795</f>
        <v>0</v>
      </c>
      <c r="AB796" s="136">
        <f ca="1" t="shared" si="567"/>
        <v>0</v>
      </c>
      <c r="AC796" s="136">
        <f ca="1" t="shared" si="567"/>
        <v>0</v>
      </c>
      <c r="AD796" s="136">
        <f ca="1" t="shared" si="567"/>
        <v>0</v>
      </c>
      <c r="AE796" s="136">
        <f ca="1" t="shared" si="567"/>
        <v>0</v>
      </c>
      <c r="AF796" s="136">
        <f ca="1" t="shared" si="567"/>
        <v>0</v>
      </c>
      <c r="AG796" s="136">
        <f ca="1" t="shared" si="567"/>
        <v>100</v>
      </c>
      <c r="AH796" s="136">
        <f ca="1" t="shared" si="501"/>
        <v>450</v>
      </c>
      <c r="AI796" s="136">
        <f ca="1" t="shared" ref="AI796:AN796" si="568">IF($C796&gt;OFFSET($Q$8,MATCH(AI$634,$AH$634:$AN$634,0),0),OFFSET($P$8,MATCH(AI$634,$AH$634:$AN$634,0),0),MAX(0,$C796-OFFSET($Q$8,RIGHT(AI$634,1)-1,0)))</f>
        <v>909</v>
      </c>
      <c r="AJ796" s="136">
        <f ca="1" t="shared" si="568"/>
        <v>1818</v>
      </c>
      <c r="AK796" s="136">
        <f ca="1" t="shared" si="568"/>
        <v>2727</v>
      </c>
      <c r="AL796" s="136">
        <f ca="1" t="shared" si="568"/>
        <v>3636</v>
      </c>
      <c r="AM796" s="136">
        <f ca="1" t="shared" si="568"/>
        <v>4545</v>
      </c>
      <c r="AN796" s="136">
        <f ca="1" t="shared" si="568"/>
        <v>2115</v>
      </c>
    </row>
    <row r="797" s="106" customFormat="1" ht="16.5" spans="2:40">
      <c r="B797" s="117">
        <v>163</v>
      </c>
      <c r="C797" s="130">
        <f t="shared" si="499"/>
        <v>16300</v>
      </c>
      <c r="D797" s="131" cm="1">
        <f ca="1" t="array" ref="D797">IF(D1399=1,OFFSET($W$634,$B797,D$631-1)/SUMPRODUCT(--($D$631:$V$631=D$631),--($D1399:$V1399=1)),0)+SUM(D796)+IF(COUNTIF(D$1237:D1399,1)=1,5,0)+IF(COUNTIF(E797:$W797,"&gt;"&amp;0)&lt;5,IF(AND(COUNTIF(D$1237:D1399,1)&gt;7,MOD(1+IFERROR(MATCH($C797,总览!$D$46:$D$345,1)+1,1),7)=0),$C$3,0),0)</f>
        <v>1243.23214004408</v>
      </c>
      <c r="E797" s="131" cm="1">
        <f ca="1" t="array" ref="E797">IF(E1399=1,OFFSET($W$634,$B797,E$631-1)/SUMPRODUCT(--($D$631:$V$631=E$631),--($D1399:$V1399=1)),0)+SUM(E796)+IF(COUNTIF(E$1237:E1399,1)=1,5,0)+IF(COUNTIF(F797:$W797,"&gt;"&amp;0)&lt;5,IF(AND(COUNTIF(E$1237:E1399,1)&gt;7,MOD(1+IFERROR(MATCH($C797,总览!$D$46:$D$345,1)+1,1),7)=0),$C$3,0),0)</f>
        <v>1243.23214004408</v>
      </c>
      <c r="F797" s="131" cm="1">
        <f ca="1" t="array" ref="F797">IF(F1399=1,OFFSET($W$634,$B797,F$631-1)/SUMPRODUCT(--($D$631:$V$631=F$631),--($D1399:$V1399=1)),0)+SUM(F796)+IF(COUNTIF(F$1237:F1399,1)=1,5,0)+IF(COUNTIF(G797:$W797,"&gt;"&amp;0)&lt;5,IF(AND(COUNTIF(F$1237:F1399,1)&gt;7,MOD(1+IFERROR(MATCH($C797,总览!$D$46:$D$345,1)+1,1),7)=0),$C$3,0),0)</f>
        <v>1243.23214004408</v>
      </c>
      <c r="G797" s="131" cm="1">
        <f ca="1" t="array" ref="G797">IF(G1399=1,OFFSET($W$634,$B797,G$631-1)/SUMPRODUCT(--($D$631:$V$631=G$631),--($D1399:$V1399=1)),0)+SUM(G796)+IF(COUNTIF(G$1237:G1399,1)=1,5,0)+IF(COUNTIF(H797:$W797,"&gt;"&amp;0)&lt;5,IF(AND(COUNTIF(G$1237:G1399,1)&gt;7,MOD(1+IFERROR(MATCH($C797,总览!$D$46:$D$345,1)+1,1),7)=0),$C$3,0),0)</f>
        <v>482.733333333332</v>
      </c>
      <c r="H797" s="131" cm="1">
        <f ca="1" t="array" ref="H797">IF(H1399=1,OFFSET($W$634,$B797,H$631-1)/SUMPRODUCT(--($D$631:$V$631=H$631),--($D1399:$V1399=1)),0)+SUM(H796)+IF(COUNTIF(H$1237:H1399,1)=1,5,0)+IF(COUNTIF(I797:$W797,"&gt;"&amp;0)&lt;5,IF(AND(COUNTIF(H$1237:H1399,1)&gt;7,MOD(1+IFERROR(MATCH($C797,总览!$D$46:$D$345,1)+1,1),7)=0),$C$3,0),0)</f>
        <v>482.733333333332</v>
      </c>
      <c r="I797" s="131" cm="1">
        <f ca="1" t="array" ref="I797">IF(I1399=1,OFFSET($W$634,$B797,I$631-1)/SUMPRODUCT(--($D$631:$V$631=I$631),--($D1399:$V1399=1)),0)+SUM(I796)+IF(COUNTIF(I$1237:I1399,1)=1,5,0)+IF(COUNTIF(J797:$W797,"&gt;"&amp;0)&lt;5,IF(AND(COUNTIF(I$1237:I1399,1)&gt;7,MOD(1+IFERROR(MATCH($C797,总览!$D$46:$D$345,1)+1,1),7)=0),$C$3,0),0)</f>
        <v>482.733333333332</v>
      </c>
      <c r="J797" s="131" cm="1">
        <f ca="1" t="array" ref="J797">IF(J1399=1,OFFSET($W$634,$B797,J$631-1)/SUMPRODUCT(--($D$631:$V$631=J$631),--($D1399:$V1399=1)),0)+SUM(J796)+IF(COUNTIF(J$1237:J1399,1)=1,5,0)+IF(COUNTIF(K797:$W797,"&gt;"&amp;0)&lt;5,IF(AND(COUNTIF(J$1237:J1399,1)&gt;7,MOD(1+IFERROR(MATCH($C797,总览!$D$46:$D$345,1)+1,1),7)=0),$C$3,0),0)</f>
        <v>479.399999999999</v>
      </c>
      <c r="K797" s="131" cm="1">
        <f ca="1" t="array" ref="K797">IF(K1399=1,OFFSET($W$634,$B797,K$631-1)/SUMPRODUCT(--($D$631:$V$631=K$631),--($D1399:$V1399=1)),0)+SUM(K796)+IF(COUNTIF(K$1237:K1399,1)=1,5,0)+IF(COUNTIF(L797:$W797,"&gt;"&amp;0)&lt;5,IF(AND(COUNTIF(K$1237:K1399,1)&gt;7,MOD(1+IFERROR(MATCH($C797,总览!$D$46:$D$345,1)+1,1),7)=0),$C$3,0),0)</f>
        <v>476.899999999999</v>
      </c>
      <c r="L797" s="131" cm="1">
        <f ca="1" t="array" ref="L797">IF(L1399=1,OFFSET($W$634,$B797,L$631-1)/SUMPRODUCT(--($D$631:$V$631=L$631),--($D1399:$V1399=1)),0)+SUM(L796)+IF(COUNTIF(L$1237:L1399,1)=1,5,0)+IF(COUNTIF(M797:$W797,"&gt;"&amp;0)&lt;5,IF(AND(COUNTIF(L$1237:L1399,1)&gt;7,MOD(1+IFERROR(MATCH($C797,总览!$D$46:$D$345,1)+1,1),7)=0),$C$3,0),0)</f>
        <v>476.899999999999</v>
      </c>
      <c r="M797" s="131" cm="1">
        <f ca="1" t="array" ref="M797">IF(M1399=1,OFFSET($W$634,$B797,M$631-1)/SUMPRODUCT(--($D$631:$V$631=M$631),--($D1399:$V1399=1)),0)+SUM(M796)+IF(COUNTIF(M$1237:M1399,1)=1,5,0)+IF(COUNTIF(N797:$W797,"&gt;"&amp;0)&lt;5,IF(AND(COUNTIF(M$1237:M1399,1)&gt;7,MOD(1+IFERROR(MATCH($C797,总览!$D$46:$D$345,1)+1,1),7)=0),$C$3,0),0)</f>
        <v>190.609821428571</v>
      </c>
      <c r="N797" s="131" cm="1">
        <f ca="1" t="array" ref="N797">IF(N1399=1,OFFSET($W$634,$B797,N$631-1)/SUMPRODUCT(--($D$631:$V$631=N$631),--($D1399:$V1399=1)),0)+SUM(N796)+IF(COUNTIF(N$1237:N1399,1)=1,5,0)+IF(COUNTIF(O797:$W797,"&gt;"&amp;0)&lt;5,IF(AND(COUNTIF(N$1237:N1399,1)&gt;7,MOD(1+IFERROR(MATCH($C797,总览!$D$46:$D$345,1)+1,1),7)=0),$C$3,0),0)</f>
        <v>191.859821428571</v>
      </c>
      <c r="O797" s="131" cm="1">
        <f ca="1" t="array" ref="O797">IF(O1399=1,OFFSET($W$634,$B797,O$631-1)/SUMPRODUCT(--($D$631:$V$631=O$631),--($D1399:$V1399=1)),0)+SUM(O796)+IF(COUNTIF(O$1237:O1399,1)=1,5,0)+IF(COUNTIF(P797:$W797,"&gt;"&amp;0)&lt;5,IF(AND(COUNTIF(O$1237:O1399,1)&gt;7,MOD(1+IFERROR(MATCH($C797,总览!$D$46:$D$345,1)+1,1),7)=0),$C$3,0),0)</f>
        <v>196.859821428571</v>
      </c>
      <c r="P797" s="131" cm="1">
        <f ca="1" t="array" ref="P797">IF(P1399=1,OFFSET($W$634,$B797,P$631-1)/SUMPRODUCT(--($D$631:$V$631=P$631),--($D1399:$V1399=1)),0)+SUM(P796)+IF(COUNTIF(P$1237:P1399,1)=1,5,0)+IF(COUNTIF(Q797:$W797,"&gt;"&amp;0)&lt;5,IF(AND(COUNTIF(P$1237:P1399,1)&gt;7,MOD(1+IFERROR(MATCH($C797,总览!$D$46:$D$345,1)+1,1),7)=0),$C$3,0),0)</f>
        <v>185.978571428571</v>
      </c>
      <c r="Q797" s="131" cm="1">
        <f ca="1" t="array" ref="Q797">IF(Q1399=1,OFFSET($W$634,$B797,Q$631-1)/SUMPRODUCT(--($D$631:$V$631=Q$631),--($D1399:$V1399=1)),0)+SUM(Q796)+IF(COUNTIF(Q$1237:Q1399,1)=1,5,0)+IF(COUNTIF(R797:$W797,"&gt;"&amp;0)&lt;5,IF(AND(COUNTIF(Q$1237:Q1399,1)&gt;7,MOD(1+IFERROR(MATCH($C797,总览!$D$46:$D$345,1)+1,1),7)=0),$C$3,0),0)</f>
        <v>199.359821428571</v>
      </c>
      <c r="R797" s="131" cm="1">
        <f ca="1" t="array" ref="R797">IF(R1399=1,OFFSET($W$634,$B797,R$631-1)/SUMPRODUCT(--($D$631:$V$631=R$631),--($D1399:$V1399=1)),0)+SUM(R796)+IF(COUNTIF(R$1237:R1399,1)=1,5,0)+IF(COUNTIF(S797:$W797,"&gt;"&amp;0)&lt;5,IF(AND(COUNTIF(R$1237:R1399,1)&gt;7,MOD(1+IFERROR(MATCH($C797,总览!$D$46:$D$345,1)+1,1),7)=0),$C$3,0),0)</f>
        <v>190.978571428571</v>
      </c>
      <c r="S797" s="131" cm="1">
        <f ca="1" t="array" ref="S797">IF(S1399=1,OFFSET($W$634,$B797,S$631-1)/SUMPRODUCT(--($D$631:$V$631=S$631),--($D1399:$V1399=1)),0)+SUM(S796)+IF(COUNTIF(S$1237:S1399,1)=1,5,0)+IF(COUNTIF(T797:$W797,"&gt;"&amp;0)&lt;5,IF(AND(COUNTIF(S$1237:S1399,1)&gt;7,MOD(1+IFERROR(MATCH($C797,总览!$D$46:$D$345,1)+1,1),7)=0),$C$3,0),0)</f>
        <v>268.478571428571</v>
      </c>
      <c r="T797" s="131" cm="1">
        <f ca="1" t="array" ref="T797">IF(T1399=1,OFFSET($W$634,$B797,T$631-1)/SUMPRODUCT(--($D$631:$V$631=T$631),--($D1399:$V1399=1)),0)+SUM(T796)+IF(COUNTIF(T$1237:T1399,1)=1,5,0)+IF(COUNTIF(U797:$W797,"&gt;"&amp;0)&lt;5,IF(AND(COUNTIF(T$1237:T1399,1)&gt;7,MOD(1+IFERROR(MATCH($C797,总览!$D$46:$D$345,1)+1,1),7)=0),$C$3,0),0)</f>
        <v>191.303335814909</v>
      </c>
      <c r="U797" s="131" cm="1">
        <f ca="1" t="array" ref="U797">IF(U1399=1,OFFSET($W$634,$B797,U$631-1)/SUMPRODUCT(--($D$631:$V$631=U$631),--($D1399:$V1399=1)),0)+SUM(U796)+IF(COUNTIF(U$1237:U1399,1)=1,5,0)+IF(COUNTIF(V797:$W797,"&gt;"&amp;0)&lt;5,IF(AND(COUNTIF(U$1237:U1399,1)&gt;7,MOD(1+IFERROR(MATCH($C797,总览!$D$46:$D$345,1)+1,1),7)=0),$C$3,0),0)</f>
        <v>196.824122170208</v>
      </c>
      <c r="V797" s="131" cm="1">
        <f ca="1" t="array" ref="V797">IF(V1399=1,OFFSET($W$634,$B797,V$631-1)/SUMPRODUCT(--($D$631:$V$631=V$631),--($D1399:$V1399=1)),0)+SUM(V796)+IF(COUNTIF(V$1237:V1399,1)=1,5,0)+IF(COUNTIF(W797:$W797,"&gt;"&amp;0)&lt;5,IF(AND(COUNTIF(V$1237:V1399,1)&gt;7,MOD(1+IFERROR(MATCH($C797,总览!$D$46:$D$345,1)+1,1),7)=0),$C$3,0),0)</f>
        <v>216.651121882642</v>
      </c>
      <c r="W797" s="135" cm="1">
        <f ca="1" t="array" ref="W797">SUMPRODUCT(TRANSPOSE($AA797:$AG797),OFFSET($L$9:$L$15,0,W$631-1))</f>
        <v>16.8502200646615</v>
      </c>
      <c r="X797" s="135" cm="1">
        <f ca="1" t="array" ref="X797">SUMPRODUCT(TRANSPOSE($AA797:$AG797),OFFSET($L$9:$L$15,0,X$631-1))</f>
        <v>20</v>
      </c>
      <c r="Y797" s="135" cm="1">
        <f ca="1" t="array" ref="Y797">SUMPRODUCT(TRANSPOSE($AA797:$AG797),OFFSET($L$9:$L$15,0,Y$631-1))</f>
        <v>10</v>
      </c>
      <c r="Z797" s="135" cm="1">
        <f ca="1" t="array" ref="Z797">SUMPRODUCT(TRANSPOSE($AA797:$AG797),OFFSET($L$9:$L$15,0,Z$631-1))</f>
        <v>3.14977993533847</v>
      </c>
      <c r="AA797" s="136">
        <f ca="1" t="shared" ref="AA797:AG797" si="569">AH797-AH796</f>
        <v>0</v>
      </c>
      <c r="AB797" s="136">
        <f ca="1" t="shared" si="569"/>
        <v>0</v>
      </c>
      <c r="AC797" s="136">
        <f ca="1" t="shared" si="569"/>
        <v>0</v>
      </c>
      <c r="AD797" s="136">
        <f ca="1" t="shared" si="569"/>
        <v>0</v>
      </c>
      <c r="AE797" s="136">
        <f ca="1" t="shared" si="569"/>
        <v>0</v>
      </c>
      <c r="AF797" s="136">
        <f ca="1" t="shared" si="569"/>
        <v>0</v>
      </c>
      <c r="AG797" s="136">
        <f ca="1" t="shared" si="569"/>
        <v>100</v>
      </c>
      <c r="AH797" s="136">
        <f ca="1" t="shared" si="501"/>
        <v>450</v>
      </c>
      <c r="AI797" s="136">
        <f ca="1" t="shared" ref="AI797:AN797" si="570">IF($C797&gt;OFFSET($Q$8,MATCH(AI$634,$AH$634:$AN$634,0),0),OFFSET($P$8,MATCH(AI$634,$AH$634:$AN$634,0),0),MAX(0,$C797-OFFSET($Q$8,RIGHT(AI$634,1)-1,0)))</f>
        <v>909</v>
      </c>
      <c r="AJ797" s="136">
        <f ca="1" t="shared" si="570"/>
        <v>1818</v>
      </c>
      <c r="AK797" s="136">
        <f ca="1" t="shared" si="570"/>
        <v>2727</v>
      </c>
      <c r="AL797" s="136">
        <f ca="1" t="shared" si="570"/>
        <v>3636</v>
      </c>
      <c r="AM797" s="136">
        <f ca="1" t="shared" si="570"/>
        <v>4545</v>
      </c>
      <c r="AN797" s="136">
        <f ca="1" t="shared" si="570"/>
        <v>2215</v>
      </c>
    </row>
    <row r="798" s="106" customFormat="1" ht="16.5" spans="2:40">
      <c r="B798" s="117">
        <v>164</v>
      </c>
      <c r="C798" s="130">
        <f t="shared" si="499"/>
        <v>16400</v>
      </c>
      <c r="D798" s="131" cm="1">
        <f ca="1" t="array" ref="D798">IF(D1400=1,OFFSET($W$634,$B798,D$631-1)/SUMPRODUCT(--($D$631:$V$631=D$631),--($D1400:$V1400=1)),0)+SUM(D797)+IF(COUNTIF(D$1237:D1400,1)=1,5,0)+IF(COUNTIF(E798:$W798,"&gt;"&amp;0)&lt;5,IF(AND(COUNTIF(D$1237:D1400,1)&gt;7,MOD(1+IFERROR(MATCH($C798,总览!$D$46:$D$345,1)+1,1),7)=0),$C$3,0),0)</f>
        <v>1248.84888006563</v>
      </c>
      <c r="E798" s="131" cm="1">
        <f ca="1" t="array" ref="E798">IF(E1400=1,OFFSET($W$634,$B798,E$631-1)/SUMPRODUCT(--($D$631:$V$631=E$631),--($D1400:$V1400=1)),0)+SUM(E797)+IF(COUNTIF(E$1237:E1400,1)=1,5,0)+IF(COUNTIF(F798:$W798,"&gt;"&amp;0)&lt;5,IF(AND(COUNTIF(E$1237:E1400,1)&gt;7,MOD(1+IFERROR(MATCH($C798,总览!$D$46:$D$345,1)+1,1),7)=0),$C$3,0),0)</f>
        <v>1248.84888006563</v>
      </c>
      <c r="F798" s="131" cm="1">
        <f ca="1" t="array" ref="F798">IF(F1400=1,OFFSET($W$634,$B798,F$631-1)/SUMPRODUCT(--($D$631:$V$631=F$631),--($D1400:$V1400=1)),0)+SUM(F797)+IF(COUNTIF(F$1237:F1400,1)=1,5,0)+IF(COUNTIF(G798:$W798,"&gt;"&amp;0)&lt;5,IF(AND(COUNTIF(F$1237:F1400,1)&gt;7,MOD(1+IFERROR(MATCH($C798,总览!$D$46:$D$345,1)+1,1),7)=0),$C$3,0),0)</f>
        <v>1248.84888006563</v>
      </c>
      <c r="G798" s="131" cm="1">
        <f ca="1" t="array" ref="G798">IF(G1400=1,OFFSET($W$634,$B798,G$631-1)/SUMPRODUCT(--($D$631:$V$631=G$631),--($D1400:$V1400=1)),0)+SUM(G797)+IF(COUNTIF(G$1237:G1400,1)=1,5,0)+IF(COUNTIF(H798:$W798,"&gt;"&amp;0)&lt;5,IF(AND(COUNTIF(G$1237:G1400,1)&gt;7,MOD(1+IFERROR(MATCH($C798,总览!$D$46:$D$345,1)+1,1),7)=0),$C$3,0),0)</f>
        <v>486.066666666665</v>
      </c>
      <c r="H798" s="131" cm="1">
        <f ca="1" t="array" ref="H798">IF(H1400=1,OFFSET($W$634,$B798,H$631-1)/SUMPRODUCT(--($D$631:$V$631=H$631),--($D1400:$V1400=1)),0)+SUM(H797)+IF(COUNTIF(H$1237:H1400,1)=1,5,0)+IF(COUNTIF(I798:$W798,"&gt;"&amp;0)&lt;5,IF(AND(COUNTIF(H$1237:H1400,1)&gt;7,MOD(1+IFERROR(MATCH($C798,总览!$D$46:$D$345,1)+1,1),7)=0),$C$3,0),0)</f>
        <v>486.066666666665</v>
      </c>
      <c r="I798" s="131" cm="1">
        <f ca="1" t="array" ref="I798">IF(I1400=1,OFFSET($W$634,$B798,I$631-1)/SUMPRODUCT(--($D$631:$V$631=I$631),--($D1400:$V1400=1)),0)+SUM(I797)+IF(COUNTIF(I$1237:I1400,1)=1,5,0)+IF(COUNTIF(J798:$W798,"&gt;"&amp;0)&lt;5,IF(AND(COUNTIF(I$1237:I1400,1)&gt;7,MOD(1+IFERROR(MATCH($C798,总览!$D$46:$D$345,1)+1,1),7)=0),$C$3,0),0)</f>
        <v>486.066666666665</v>
      </c>
      <c r="J798" s="131" cm="1">
        <f ca="1" t="array" ref="J798">IF(J1400=1,OFFSET($W$634,$B798,J$631-1)/SUMPRODUCT(--($D$631:$V$631=J$631),--($D1400:$V1400=1)),0)+SUM(J797)+IF(COUNTIF(J$1237:J1400,1)=1,5,0)+IF(COUNTIF(K798:$W798,"&gt;"&amp;0)&lt;5,IF(AND(COUNTIF(J$1237:J1400,1)&gt;7,MOD(1+IFERROR(MATCH($C798,总览!$D$46:$D$345,1)+1,1),7)=0),$C$3,0),0)</f>
        <v>482.733333333332</v>
      </c>
      <c r="K798" s="131" cm="1">
        <f ca="1" t="array" ref="K798">IF(K1400=1,OFFSET($W$634,$B798,K$631-1)/SUMPRODUCT(--($D$631:$V$631=K$631),--($D1400:$V1400=1)),0)+SUM(K797)+IF(COUNTIF(K$1237:K1400,1)=1,5,0)+IF(COUNTIF(L798:$W798,"&gt;"&amp;0)&lt;5,IF(AND(COUNTIF(K$1237:K1400,1)&gt;7,MOD(1+IFERROR(MATCH($C798,总览!$D$46:$D$345,1)+1,1),7)=0),$C$3,0),0)</f>
        <v>480.233333333332</v>
      </c>
      <c r="L798" s="131" cm="1">
        <f ca="1" t="array" ref="L798">IF(L1400=1,OFFSET($W$634,$B798,L$631-1)/SUMPRODUCT(--($D$631:$V$631=L$631),--($D1400:$V1400=1)),0)+SUM(L797)+IF(COUNTIF(L$1237:L1400,1)=1,5,0)+IF(COUNTIF(M798:$W798,"&gt;"&amp;0)&lt;5,IF(AND(COUNTIF(L$1237:L1400,1)&gt;7,MOD(1+IFERROR(MATCH($C798,总览!$D$46:$D$345,1)+1,1),7)=0),$C$3,0),0)</f>
        <v>480.233333333332</v>
      </c>
      <c r="M798" s="131" cm="1">
        <f ca="1" t="array" ref="M798">IF(M1400=1,OFFSET($W$634,$B798,M$631-1)/SUMPRODUCT(--($D$631:$V$631=M$631),--($D1400:$V1400=1)),0)+SUM(M797)+IF(COUNTIF(M$1237:M1400,1)=1,5,0)+IF(COUNTIF(N798:$W798,"&gt;"&amp;0)&lt;5,IF(AND(COUNTIF(M$1237:M1400,1)&gt;7,MOD(1+IFERROR(MATCH($C798,总览!$D$46:$D$345,1)+1,1),7)=0),$C$3,0),0)</f>
        <v>192.038392857142</v>
      </c>
      <c r="N798" s="131" cm="1">
        <f ca="1" t="array" ref="N798">IF(N1400=1,OFFSET($W$634,$B798,N$631-1)/SUMPRODUCT(--($D$631:$V$631=N$631),--($D1400:$V1400=1)),0)+SUM(N797)+IF(COUNTIF(N$1237:N1400,1)=1,5,0)+IF(COUNTIF(O798:$W798,"&gt;"&amp;0)&lt;5,IF(AND(COUNTIF(N$1237:N1400,1)&gt;7,MOD(1+IFERROR(MATCH($C798,总览!$D$46:$D$345,1)+1,1),7)=0),$C$3,0),0)</f>
        <v>193.288392857142</v>
      </c>
      <c r="O798" s="131" cm="1">
        <f ca="1" t="array" ref="O798">IF(O1400=1,OFFSET($W$634,$B798,O$631-1)/SUMPRODUCT(--($D$631:$V$631=O$631),--($D1400:$V1400=1)),0)+SUM(O797)+IF(COUNTIF(O$1237:O1400,1)=1,5,0)+IF(COUNTIF(P798:$W798,"&gt;"&amp;0)&lt;5,IF(AND(COUNTIF(O$1237:O1400,1)&gt;7,MOD(1+IFERROR(MATCH($C798,总览!$D$46:$D$345,1)+1,1),7)=0),$C$3,0),0)</f>
        <v>198.288392857142</v>
      </c>
      <c r="P798" s="131" cm="1">
        <f ca="1" t="array" ref="P798">IF(P1400=1,OFFSET($W$634,$B798,P$631-1)/SUMPRODUCT(--($D$631:$V$631=P$631),--($D1400:$V1400=1)),0)+SUM(P797)+IF(COUNTIF(P$1237:P1400,1)=1,5,0)+IF(COUNTIF(Q798:$W798,"&gt;"&amp;0)&lt;5,IF(AND(COUNTIF(P$1237:P1400,1)&gt;7,MOD(1+IFERROR(MATCH($C798,总览!$D$46:$D$345,1)+1,1),7)=0),$C$3,0),0)</f>
        <v>187.407142857142</v>
      </c>
      <c r="Q798" s="131" cm="1">
        <f ca="1" t="array" ref="Q798">IF(Q1400=1,OFFSET($W$634,$B798,Q$631-1)/SUMPRODUCT(--($D$631:$V$631=Q$631),--($D1400:$V1400=1)),0)+SUM(Q797)+IF(COUNTIF(Q$1237:Q1400,1)=1,5,0)+IF(COUNTIF(R798:$W798,"&gt;"&amp;0)&lt;5,IF(AND(COUNTIF(Q$1237:Q1400,1)&gt;7,MOD(1+IFERROR(MATCH($C798,总览!$D$46:$D$345,1)+1,1),7)=0),$C$3,0),0)</f>
        <v>200.788392857142</v>
      </c>
      <c r="R798" s="131" cm="1">
        <f ca="1" t="array" ref="R798">IF(R1400=1,OFFSET($W$634,$B798,R$631-1)/SUMPRODUCT(--($D$631:$V$631=R$631),--($D1400:$V1400=1)),0)+SUM(R797)+IF(COUNTIF(R$1237:R1400,1)=1,5,0)+IF(COUNTIF(S798:$W798,"&gt;"&amp;0)&lt;5,IF(AND(COUNTIF(R$1237:R1400,1)&gt;7,MOD(1+IFERROR(MATCH($C798,总览!$D$46:$D$345,1)+1,1),7)=0),$C$3,0),0)</f>
        <v>192.407142857142</v>
      </c>
      <c r="S798" s="131" cm="1">
        <f ca="1" t="array" ref="S798">IF(S1400=1,OFFSET($W$634,$B798,S$631-1)/SUMPRODUCT(--($D$631:$V$631=S$631),--($D1400:$V1400=1)),0)+SUM(S797)+IF(COUNTIF(S$1237:S1400,1)=1,5,0)+IF(COUNTIF(T798:$W798,"&gt;"&amp;0)&lt;5,IF(AND(COUNTIF(S$1237:S1400,1)&gt;7,MOD(1+IFERROR(MATCH($C798,总览!$D$46:$D$345,1)+1,1),7)=0),$C$3,0),0)</f>
        <v>269.907142857142</v>
      </c>
      <c r="T798" s="131" cm="1">
        <f ca="1" t="array" ref="T798">IF(T1400=1,OFFSET($W$634,$B798,T$631-1)/SUMPRODUCT(--($D$631:$V$631=T$631),--($D1400:$V1400=1)),0)+SUM(T797)+IF(COUNTIF(T$1237:T1400,1)=1,5,0)+IF(COUNTIF(U798:$W798,"&gt;"&amp;0)&lt;5,IF(AND(COUNTIF(T$1237:T1400,1)&gt;7,MOD(1+IFERROR(MATCH($C798,总览!$D$46:$D$345,1)+1,1),7)=0),$C$3,0),0)</f>
        <v>192.353262460022</v>
      </c>
      <c r="U798" s="131" cm="1">
        <f ca="1" t="array" ref="U798">IF(U1400=1,OFFSET($W$634,$B798,U$631-1)/SUMPRODUCT(--($D$631:$V$631=U$631),--($D1400:$V1400=1)),0)+SUM(U797)+IF(COUNTIF(U$1237:U1400,1)=1,5,0)+IF(COUNTIF(V798:$W798,"&gt;"&amp;0)&lt;5,IF(AND(COUNTIF(U$1237:U1400,1)&gt;7,MOD(1+IFERROR(MATCH($C798,总览!$D$46:$D$345,1)+1,1),7)=0),$C$3,0),0)</f>
        <v>197.874048815321</v>
      </c>
      <c r="V798" s="131" cm="1">
        <f ca="1" t="array" ref="V798">IF(V1400=1,OFFSET($W$634,$B798,V$631-1)/SUMPRODUCT(--($D$631:$V$631=V$631),--($D1400:$V1400=1)),0)+SUM(V797)+IF(COUNTIF(V$1237:V1400,1)=1,5,0)+IF(COUNTIF(W798:$W798,"&gt;"&amp;0)&lt;5,IF(AND(COUNTIF(V$1237:V1400,1)&gt;7,MOD(1+IFERROR(MATCH($C798,总览!$D$46:$D$345,1)+1,1),7)=0),$C$3,0),0)</f>
        <v>217.701048527755</v>
      </c>
      <c r="W798" s="135" cm="1">
        <f ca="1" t="array" ref="W798">SUMPRODUCT(TRANSPOSE($AA798:$AG798),OFFSET($L$9:$L$15,0,W$631-1))</f>
        <v>16.8502200646615</v>
      </c>
      <c r="X798" s="135" cm="1">
        <f ca="1" t="array" ref="X798">SUMPRODUCT(TRANSPOSE($AA798:$AG798),OFFSET($L$9:$L$15,0,X$631-1))</f>
        <v>20</v>
      </c>
      <c r="Y798" s="135" cm="1">
        <f ca="1" t="array" ref="Y798">SUMPRODUCT(TRANSPOSE($AA798:$AG798),OFFSET($L$9:$L$15,0,Y$631-1))</f>
        <v>10</v>
      </c>
      <c r="Z798" s="135" cm="1">
        <f ca="1" t="array" ref="Z798">SUMPRODUCT(TRANSPOSE($AA798:$AG798),OFFSET($L$9:$L$15,0,Z$631-1))</f>
        <v>3.14977993533847</v>
      </c>
      <c r="AA798" s="136">
        <f ca="1" t="shared" ref="AA798:AG798" si="571">AH798-AH797</f>
        <v>0</v>
      </c>
      <c r="AB798" s="136">
        <f ca="1" t="shared" si="571"/>
        <v>0</v>
      </c>
      <c r="AC798" s="136">
        <f ca="1" t="shared" si="571"/>
        <v>0</v>
      </c>
      <c r="AD798" s="136">
        <f ca="1" t="shared" si="571"/>
        <v>0</v>
      </c>
      <c r="AE798" s="136">
        <f ca="1" t="shared" si="571"/>
        <v>0</v>
      </c>
      <c r="AF798" s="136">
        <f ca="1" t="shared" si="571"/>
        <v>0</v>
      </c>
      <c r="AG798" s="136">
        <f ca="1" t="shared" si="571"/>
        <v>100</v>
      </c>
      <c r="AH798" s="136">
        <f ca="1" t="shared" si="501"/>
        <v>450</v>
      </c>
      <c r="AI798" s="136">
        <f ca="1" t="shared" ref="AI798:AN798" si="572">IF($C798&gt;OFFSET($Q$8,MATCH(AI$634,$AH$634:$AN$634,0),0),OFFSET($P$8,MATCH(AI$634,$AH$634:$AN$634,0),0),MAX(0,$C798-OFFSET($Q$8,RIGHT(AI$634,1)-1,0)))</f>
        <v>909</v>
      </c>
      <c r="AJ798" s="136">
        <f ca="1" t="shared" si="572"/>
        <v>1818</v>
      </c>
      <c r="AK798" s="136">
        <f ca="1" t="shared" si="572"/>
        <v>2727</v>
      </c>
      <c r="AL798" s="136">
        <f ca="1" t="shared" si="572"/>
        <v>3636</v>
      </c>
      <c r="AM798" s="136">
        <f ca="1" t="shared" si="572"/>
        <v>4545</v>
      </c>
      <c r="AN798" s="136">
        <f ca="1" t="shared" si="572"/>
        <v>2315</v>
      </c>
    </row>
    <row r="799" s="106" customFormat="1" ht="16.5" spans="2:40">
      <c r="B799" s="117">
        <v>165</v>
      </c>
      <c r="C799" s="130">
        <f t="shared" si="499"/>
        <v>16500</v>
      </c>
      <c r="D799" s="131" cm="1">
        <f ca="1" t="array" ref="D799">IF(D1401=1,OFFSET($W$634,$B799,D$631-1)/SUMPRODUCT(--($D$631:$V$631=D$631),--($D1401:$V1401=1)),0)+SUM(D798)+IF(COUNTIF(D$1237:D1401,1)=1,5,0)+IF(COUNTIF(E799:$W799,"&gt;"&amp;0)&lt;5,IF(AND(COUNTIF(D$1237:D1401,1)&gt;7,MOD(1+IFERROR(MATCH($C799,总览!$D$46:$D$345,1)+1,1),7)=0),$C$3,0),0)</f>
        <v>1254.46562008719</v>
      </c>
      <c r="E799" s="131" cm="1">
        <f ca="1" t="array" ref="E799">IF(E1401=1,OFFSET($W$634,$B799,E$631-1)/SUMPRODUCT(--($D$631:$V$631=E$631),--($D1401:$V1401=1)),0)+SUM(E798)+IF(COUNTIF(E$1237:E1401,1)=1,5,0)+IF(COUNTIF(F799:$W799,"&gt;"&amp;0)&lt;5,IF(AND(COUNTIF(E$1237:E1401,1)&gt;7,MOD(1+IFERROR(MATCH($C799,总览!$D$46:$D$345,1)+1,1),7)=0),$C$3,0),0)</f>
        <v>1254.46562008719</v>
      </c>
      <c r="F799" s="131" cm="1">
        <f ca="1" t="array" ref="F799">IF(F1401=1,OFFSET($W$634,$B799,F$631-1)/SUMPRODUCT(--($D$631:$V$631=F$631),--($D1401:$V1401=1)),0)+SUM(F798)+IF(COUNTIF(F$1237:F1401,1)=1,5,0)+IF(COUNTIF(G799:$W799,"&gt;"&amp;0)&lt;5,IF(AND(COUNTIF(F$1237:F1401,1)&gt;7,MOD(1+IFERROR(MATCH($C799,总览!$D$46:$D$345,1)+1,1),7)=0),$C$3,0),0)</f>
        <v>1254.46562008719</v>
      </c>
      <c r="G799" s="131" cm="1">
        <f ca="1" t="array" ref="G799">IF(G1401=1,OFFSET($W$634,$B799,G$631-1)/SUMPRODUCT(--($D$631:$V$631=G$631),--($D1401:$V1401=1)),0)+SUM(G798)+IF(COUNTIF(G$1237:G1401,1)=1,5,0)+IF(COUNTIF(H799:$W799,"&gt;"&amp;0)&lt;5,IF(AND(COUNTIF(G$1237:G1401,1)&gt;7,MOD(1+IFERROR(MATCH($C799,总览!$D$46:$D$345,1)+1,1),7)=0),$C$3,0),0)</f>
        <v>489.399999999999</v>
      </c>
      <c r="H799" s="131" cm="1">
        <f ca="1" t="array" ref="H799">IF(H1401=1,OFFSET($W$634,$B799,H$631-1)/SUMPRODUCT(--($D$631:$V$631=H$631),--($D1401:$V1401=1)),0)+SUM(H798)+IF(COUNTIF(H$1237:H1401,1)=1,5,0)+IF(COUNTIF(I799:$W799,"&gt;"&amp;0)&lt;5,IF(AND(COUNTIF(H$1237:H1401,1)&gt;7,MOD(1+IFERROR(MATCH($C799,总览!$D$46:$D$345,1)+1,1),7)=0),$C$3,0),0)</f>
        <v>489.399999999999</v>
      </c>
      <c r="I799" s="131" cm="1">
        <f ca="1" t="array" ref="I799">IF(I1401=1,OFFSET($W$634,$B799,I$631-1)/SUMPRODUCT(--($D$631:$V$631=I$631),--($D1401:$V1401=1)),0)+SUM(I798)+IF(COUNTIF(I$1237:I1401,1)=1,5,0)+IF(COUNTIF(J799:$W799,"&gt;"&amp;0)&lt;5,IF(AND(COUNTIF(I$1237:I1401,1)&gt;7,MOD(1+IFERROR(MATCH($C799,总览!$D$46:$D$345,1)+1,1),7)=0),$C$3,0),0)</f>
        <v>489.399999999999</v>
      </c>
      <c r="J799" s="131" cm="1">
        <f ca="1" t="array" ref="J799">IF(J1401=1,OFFSET($W$634,$B799,J$631-1)/SUMPRODUCT(--($D$631:$V$631=J$631),--($D1401:$V1401=1)),0)+SUM(J798)+IF(COUNTIF(J$1237:J1401,1)=1,5,0)+IF(COUNTIF(K799:$W799,"&gt;"&amp;0)&lt;5,IF(AND(COUNTIF(J$1237:J1401,1)&gt;7,MOD(1+IFERROR(MATCH($C799,总览!$D$46:$D$345,1)+1,1),7)=0),$C$3,0),0)</f>
        <v>486.066666666665</v>
      </c>
      <c r="K799" s="131" cm="1">
        <f ca="1" t="array" ref="K799">IF(K1401=1,OFFSET($W$634,$B799,K$631-1)/SUMPRODUCT(--($D$631:$V$631=K$631),--($D1401:$V1401=1)),0)+SUM(K798)+IF(COUNTIF(K$1237:K1401,1)=1,5,0)+IF(COUNTIF(L799:$W799,"&gt;"&amp;0)&lt;5,IF(AND(COUNTIF(K$1237:K1401,1)&gt;7,MOD(1+IFERROR(MATCH($C799,总览!$D$46:$D$345,1)+1,1),7)=0),$C$3,0),0)</f>
        <v>483.566666666665</v>
      </c>
      <c r="L799" s="131" cm="1">
        <f ca="1" t="array" ref="L799">IF(L1401=1,OFFSET($W$634,$B799,L$631-1)/SUMPRODUCT(--($D$631:$V$631=L$631),--($D1401:$V1401=1)),0)+SUM(L798)+IF(COUNTIF(L$1237:L1401,1)=1,5,0)+IF(COUNTIF(M799:$W799,"&gt;"&amp;0)&lt;5,IF(AND(COUNTIF(L$1237:L1401,1)&gt;7,MOD(1+IFERROR(MATCH($C799,总览!$D$46:$D$345,1)+1,1),7)=0),$C$3,0),0)</f>
        <v>483.566666666665</v>
      </c>
      <c r="M799" s="131" cm="1">
        <f ca="1" t="array" ref="M799">IF(M1401=1,OFFSET($W$634,$B799,M$631-1)/SUMPRODUCT(--($D$631:$V$631=M$631),--($D1401:$V1401=1)),0)+SUM(M798)+IF(COUNTIF(M$1237:M1401,1)=1,5,0)+IF(COUNTIF(N799:$W799,"&gt;"&amp;0)&lt;5,IF(AND(COUNTIF(M$1237:M1401,1)&gt;7,MOD(1+IFERROR(MATCH($C799,总览!$D$46:$D$345,1)+1,1),7)=0),$C$3,0),0)</f>
        <v>193.466964285714</v>
      </c>
      <c r="N799" s="131" cm="1">
        <f ca="1" t="array" ref="N799">IF(N1401=1,OFFSET($W$634,$B799,N$631-1)/SUMPRODUCT(--($D$631:$V$631=N$631),--($D1401:$V1401=1)),0)+SUM(N798)+IF(COUNTIF(N$1237:N1401,1)=1,5,0)+IF(COUNTIF(O799:$W799,"&gt;"&amp;0)&lt;5,IF(AND(COUNTIF(N$1237:N1401,1)&gt;7,MOD(1+IFERROR(MATCH($C799,总览!$D$46:$D$345,1)+1,1),7)=0),$C$3,0),0)</f>
        <v>194.716964285714</v>
      </c>
      <c r="O799" s="131" cm="1">
        <f ca="1" t="array" ref="O799">IF(O1401=1,OFFSET($W$634,$B799,O$631-1)/SUMPRODUCT(--($D$631:$V$631=O$631),--($D1401:$V1401=1)),0)+SUM(O798)+IF(COUNTIF(O$1237:O1401,1)=1,5,0)+IF(COUNTIF(P799:$W799,"&gt;"&amp;0)&lt;5,IF(AND(COUNTIF(O$1237:O1401,1)&gt;7,MOD(1+IFERROR(MATCH($C799,总览!$D$46:$D$345,1)+1,1),7)=0),$C$3,0),0)</f>
        <v>199.716964285714</v>
      </c>
      <c r="P799" s="131" cm="1">
        <f ca="1" t="array" ref="P799">IF(P1401=1,OFFSET($W$634,$B799,P$631-1)/SUMPRODUCT(--($D$631:$V$631=P$631),--($D1401:$V1401=1)),0)+SUM(P798)+IF(COUNTIF(P$1237:P1401,1)=1,5,0)+IF(COUNTIF(Q799:$W799,"&gt;"&amp;0)&lt;5,IF(AND(COUNTIF(P$1237:P1401,1)&gt;7,MOD(1+IFERROR(MATCH($C799,总览!$D$46:$D$345,1)+1,1),7)=0),$C$3,0),0)</f>
        <v>188.835714285714</v>
      </c>
      <c r="Q799" s="131" cm="1">
        <f ca="1" t="array" ref="Q799">IF(Q1401=1,OFFSET($W$634,$B799,Q$631-1)/SUMPRODUCT(--($D$631:$V$631=Q$631),--($D1401:$V1401=1)),0)+SUM(Q798)+IF(COUNTIF(Q$1237:Q1401,1)=1,5,0)+IF(COUNTIF(R799:$W799,"&gt;"&amp;0)&lt;5,IF(AND(COUNTIF(Q$1237:Q1401,1)&gt;7,MOD(1+IFERROR(MATCH($C799,总览!$D$46:$D$345,1)+1,1),7)=0),$C$3,0),0)</f>
        <v>202.216964285713</v>
      </c>
      <c r="R799" s="131" cm="1">
        <f ca="1" t="array" ref="R799">IF(R1401=1,OFFSET($W$634,$B799,R$631-1)/SUMPRODUCT(--($D$631:$V$631=R$631),--($D1401:$V1401=1)),0)+SUM(R798)+IF(COUNTIF(R$1237:R1401,1)=1,5,0)+IF(COUNTIF(S799:$W799,"&gt;"&amp;0)&lt;5,IF(AND(COUNTIF(R$1237:R1401,1)&gt;7,MOD(1+IFERROR(MATCH($C799,总览!$D$46:$D$345,1)+1,1),7)=0),$C$3,0),0)</f>
        <v>193.835714285714</v>
      </c>
      <c r="S799" s="131" cm="1">
        <f ca="1" t="array" ref="S799">IF(S1401=1,OFFSET($W$634,$B799,S$631-1)/SUMPRODUCT(--($D$631:$V$631=S$631),--($D1401:$V1401=1)),0)+SUM(S798)+IF(COUNTIF(S$1237:S1401,1)=1,5,0)+IF(COUNTIF(T799:$W799,"&gt;"&amp;0)&lt;5,IF(AND(COUNTIF(S$1237:S1401,1)&gt;7,MOD(1+IFERROR(MATCH($C799,总览!$D$46:$D$345,1)+1,1),7)=0),$C$3,0),0)</f>
        <v>271.335714285714</v>
      </c>
      <c r="T799" s="131" cm="1">
        <f ca="1" t="array" ref="T799">IF(T1401=1,OFFSET($W$634,$B799,T$631-1)/SUMPRODUCT(--($D$631:$V$631=T$631),--($D1401:$V1401=1)),0)+SUM(T798)+IF(COUNTIF(T$1237:T1401,1)=1,5,0)+IF(COUNTIF(U799:$W799,"&gt;"&amp;0)&lt;5,IF(AND(COUNTIF(T$1237:T1401,1)&gt;7,MOD(1+IFERROR(MATCH($C799,总览!$D$46:$D$345,1)+1,1),7)=0),$C$3,0),0)</f>
        <v>193.403189105134</v>
      </c>
      <c r="U799" s="131" cm="1">
        <f ca="1" t="array" ref="U799">IF(U1401=1,OFFSET($W$634,$B799,U$631-1)/SUMPRODUCT(--($D$631:$V$631=U$631),--($D1401:$V1401=1)),0)+SUM(U798)+IF(COUNTIF(U$1237:U1401,1)=1,5,0)+IF(COUNTIF(V799:$W799,"&gt;"&amp;0)&lt;5,IF(AND(COUNTIF(U$1237:U1401,1)&gt;7,MOD(1+IFERROR(MATCH($C799,总览!$D$46:$D$345,1)+1,1),7)=0),$C$3,0),0)</f>
        <v>198.923975460434</v>
      </c>
      <c r="V799" s="131" cm="1">
        <f ca="1" t="array" ref="V799">IF(V1401=1,OFFSET($W$634,$B799,V$631-1)/SUMPRODUCT(--($D$631:$V$631=V$631),--($D1401:$V1401=1)),0)+SUM(V798)+IF(COUNTIF(V$1237:V1401,1)=1,5,0)+IF(COUNTIF(W799:$W799,"&gt;"&amp;0)&lt;5,IF(AND(COUNTIF(V$1237:V1401,1)&gt;7,MOD(1+IFERROR(MATCH($C799,总览!$D$46:$D$345,1)+1,1),7)=0),$C$3,0),0)</f>
        <v>218.750975172868</v>
      </c>
      <c r="W799" s="135" cm="1">
        <f ca="1" t="array" ref="W799">SUMPRODUCT(TRANSPOSE($AA799:$AG799),OFFSET($L$9:$L$15,0,W$631-1))</f>
        <v>16.8502200646615</v>
      </c>
      <c r="X799" s="135" cm="1">
        <f ca="1" t="array" ref="X799">SUMPRODUCT(TRANSPOSE($AA799:$AG799),OFFSET($L$9:$L$15,0,X$631-1))</f>
        <v>20</v>
      </c>
      <c r="Y799" s="135" cm="1">
        <f ca="1" t="array" ref="Y799">SUMPRODUCT(TRANSPOSE($AA799:$AG799),OFFSET($L$9:$L$15,0,Y$631-1))</f>
        <v>10</v>
      </c>
      <c r="Z799" s="135" cm="1">
        <f ca="1" t="array" ref="Z799">SUMPRODUCT(TRANSPOSE($AA799:$AG799),OFFSET($L$9:$L$15,0,Z$631-1))</f>
        <v>3.14977993533847</v>
      </c>
      <c r="AA799" s="136">
        <f ca="1" t="shared" ref="AA799:AG799" si="573">AH799-AH798</f>
        <v>0</v>
      </c>
      <c r="AB799" s="136">
        <f ca="1" t="shared" si="573"/>
        <v>0</v>
      </c>
      <c r="AC799" s="136">
        <f ca="1" t="shared" si="573"/>
        <v>0</v>
      </c>
      <c r="AD799" s="136">
        <f ca="1" t="shared" si="573"/>
        <v>0</v>
      </c>
      <c r="AE799" s="136">
        <f ca="1" t="shared" si="573"/>
        <v>0</v>
      </c>
      <c r="AF799" s="136">
        <f ca="1" t="shared" si="573"/>
        <v>0</v>
      </c>
      <c r="AG799" s="136">
        <f ca="1" t="shared" si="573"/>
        <v>100</v>
      </c>
      <c r="AH799" s="136">
        <f ca="1" t="shared" si="501"/>
        <v>450</v>
      </c>
      <c r="AI799" s="136">
        <f ca="1" t="shared" ref="AI799:AN799" si="574">IF($C799&gt;OFFSET($Q$8,MATCH(AI$634,$AH$634:$AN$634,0),0),OFFSET($P$8,MATCH(AI$634,$AH$634:$AN$634,0),0),MAX(0,$C799-OFFSET($Q$8,RIGHT(AI$634,1)-1,0)))</f>
        <v>909</v>
      </c>
      <c r="AJ799" s="136">
        <f ca="1" t="shared" si="574"/>
        <v>1818</v>
      </c>
      <c r="AK799" s="136">
        <f ca="1" t="shared" si="574"/>
        <v>2727</v>
      </c>
      <c r="AL799" s="136">
        <f ca="1" t="shared" si="574"/>
        <v>3636</v>
      </c>
      <c r="AM799" s="136">
        <f ca="1" t="shared" si="574"/>
        <v>4545</v>
      </c>
      <c r="AN799" s="136">
        <f ca="1" t="shared" si="574"/>
        <v>2415</v>
      </c>
    </row>
    <row r="800" s="106" customFormat="1" ht="16.5" spans="2:40">
      <c r="B800" s="117">
        <v>166</v>
      </c>
      <c r="C800" s="130">
        <f t="shared" si="499"/>
        <v>16600</v>
      </c>
      <c r="D800" s="131" cm="1">
        <f ca="1" t="array" ref="D800">IF(D1402=1,OFFSET($W$634,$B800,D$631-1)/SUMPRODUCT(--($D$631:$V$631=D$631),--($D1402:$V1402=1)),0)+SUM(D799)+IF(COUNTIF(D$1237:D1402,1)=1,5,0)+IF(COUNTIF(E800:$W800,"&gt;"&amp;0)&lt;5,IF(AND(COUNTIF(D$1237:D1402,1)&gt;7,MOD(1+IFERROR(MATCH($C800,总览!$D$46:$D$345,1)+1,1),7)=0),$C$3,0),0)</f>
        <v>1260.08236010874</v>
      </c>
      <c r="E800" s="131" cm="1">
        <f ca="1" t="array" ref="E800">IF(E1402=1,OFFSET($W$634,$B800,E$631-1)/SUMPRODUCT(--($D$631:$V$631=E$631),--($D1402:$V1402=1)),0)+SUM(E799)+IF(COUNTIF(E$1237:E1402,1)=1,5,0)+IF(COUNTIF(F800:$W800,"&gt;"&amp;0)&lt;5,IF(AND(COUNTIF(E$1237:E1402,1)&gt;7,MOD(1+IFERROR(MATCH($C800,总览!$D$46:$D$345,1)+1,1),7)=0),$C$3,0),0)</f>
        <v>1260.08236010874</v>
      </c>
      <c r="F800" s="131" cm="1">
        <f ca="1" t="array" ref="F800">IF(F1402=1,OFFSET($W$634,$B800,F$631-1)/SUMPRODUCT(--($D$631:$V$631=F$631),--($D1402:$V1402=1)),0)+SUM(F799)+IF(COUNTIF(F$1237:F1402,1)=1,5,0)+IF(COUNTIF(G800:$W800,"&gt;"&amp;0)&lt;5,IF(AND(COUNTIF(F$1237:F1402,1)&gt;7,MOD(1+IFERROR(MATCH($C800,总览!$D$46:$D$345,1)+1,1),7)=0),$C$3,0),0)</f>
        <v>1260.08236010874</v>
      </c>
      <c r="G800" s="131" cm="1">
        <f ca="1" t="array" ref="G800">IF(G1402=1,OFFSET($W$634,$B800,G$631-1)/SUMPRODUCT(--($D$631:$V$631=G$631),--($D1402:$V1402=1)),0)+SUM(G799)+IF(COUNTIF(G$1237:G1402,1)=1,5,0)+IF(COUNTIF(H800:$W800,"&gt;"&amp;0)&lt;5,IF(AND(COUNTIF(G$1237:G1402,1)&gt;7,MOD(1+IFERROR(MATCH($C800,总览!$D$46:$D$345,1)+1,1),7)=0),$C$3,0),0)</f>
        <v>492.733333333332</v>
      </c>
      <c r="H800" s="131" cm="1">
        <f ca="1" t="array" ref="H800">IF(H1402=1,OFFSET($W$634,$B800,H$631-1)/SUMPRODUCT(--($D$631:$V$631=H$631),--($D1402:$V1402=1)),0)+SUM(H799)+IF(COUNTIF(H$1237:H1402,1)=1,5,0)+IF(COUNTIF(I800:$W800,"&gt;"&amp;0)&lt;5,IF(AND(COUNTIF(H$1237:H1402,1)&gt;7,MOD(1+IFERROR(MATCH($C800,总览!$D$46:$D$345,1)+1,1),7)=0),$C$3,0),0)</f>
        <v>492.733333333332</v>
      </c>
      <c r="I800" s="131" cm="1">
        <f ca="1" t="array" ref="I800">IF(I1402=1,OFFSET($W$634,$B800,I$631-1)/SUMPRODUCT(--($D$631:$V$631=I$631),--($D1402:$V1402=1)),0)+SUM(I799)+IF(COUNTIF(I$1237:I1402,1)=1,5,0)+IF(COUNTIF(J800:$W800,"&gt;"&amp;0)&lt;5,IF(AND(COUNTIF(I$1237:I1402,1)&gt;7,MOD(1+IFERROR(MATCH($C800,总览!$D$46:$D$345,1)+1,1),7)=0),$C$3,0),0)</f>
        <v>492.733333333332</v>
      </c>
      <c r="J800" s="131" cm="1">
        <f ca="1" t="array" ref="J800">IF(J1402=1,OFFSET($W$634,$B800,J$631-1)/SUMPRODUCT(--($D$631:$V$631=J$631),--($D1402:$V1402=1)),0)+SUM(J799)+IF(COUNTIF(J$1237:J1402,1)=1,5,0)+IF(COUNTIF(K800:$W800,"&gt;"&amp;0)&lt;5,IF(AND(COUNTIF(J$1237:J1402,1)&gt;7,MOD(1+IFERROR(MATCH($C800,总览!$D$46:$D$345,1)+1,1),7)=0),$C$3,0),0)</f>
        <v>489.399999999999</v>
      </c>
      <c r="K800" s="131" cm="1">
        <f ca="1" t="array" ref="K800">IF(K1402=1,OFFSET($W$634,$B800,K$631-1)/SUMPRODUCT(--($D$631:$V$631=K$631),--($D1402:$V1402=1)),0)+SUM(K799)+IF(COUNTIF(K$1237:K1402,1)=1,5,0)+IF(COUNTIF(L800:$W800,"&gt;"&amp;0)&lt;5,IF(AND(COUNTIF(K$1237:K1402,1)&gt;7,MOD(1+IFERROR(MATCH($C800,总览!$D$46:$D$345,1)+1,1),7)=0),$C$3,0),0)</f>
        <v>486.899999999999</v>
      </c>
      <c r="L800" s="131" cm="1">
        <f ca="1" t="array" ref="L800">IF(L1402=1,OFFSET($W$634,$B800,L$631-1)/SUMPRODUCT(--($D$631:$V$631=L$631),--($D1402:$V1402=1)),0)+SUM(L799)+IF(COUNTIF(L$1237:L1402,1)=1,5,0)+IF(COUNTIF(M800:$W800,"&gt;"&amp;0)&lt;5,IF(AND(COUNTIF(L$1237:L1402,1)&gt;7,MOD(1+IFERROR(MATCH($C800,总览!$D$46:$D$345,1)+1,1),7)=0),$C$3,0),0)</f>
        <v>486.899999999999</v>
      </c>
      <c r="M800" s="131" cm="1">
        <f ca="1" t="array" ref="M800">IF(M1402=1,OFFSET($W$634,$B800,M$631-1)/SUMPRODUCT(--($D$631:$V$631=M$631),--($D1402:$V1402=1)),0)+SUM(M799)+IF(COUNTIF(M$1237:M1402,1)=1,5,0)+IF(COUNTIF(N800:$W800,"&gt;"&amp;0)&lt;5,IF(AND(COUNTIF(M$1237:M1402,1)&gt;7,MOD(1+IFERROR(MATCH($C800,总览!$D$46:$D$345,1)+1,1),7)=0),$C$3,0),0)</f>
        <v>194.895535714285</v>
      </c>
      <c r="N800" s="131" cm="1">
        <f ca="1" t="array" ref="N800">IF(N1402=1,OFFSET($W$634,$B800,N$631-1)/SUMPRODUCT(--($D$631:$V$631=N$631),--($D1402:$V1402=1)),0)+SUM(N799)+IF(COUNTIF(N$1237:N1402,1)=1,5,0)+IF(COUNTIF(O800:$W800,"&gt;"&amp;0)&lt;5,IF(AND(COUNTIF(N$1237:N1402,1)&gt;7,MOD(1+IFERROR(MATCH($C800,总览!$D$46:$D$345,1)+1,1),7)=0),$C$3,0),0)</f>
        <v>196.145535714285</v>
      </c>
      <c r="O800" s="131" cm="1">
        <f ca="1" t="array" ref="O800">IF(O1402=1,OFFSET($W$634,$B800,O$631-1)/SUMPRODUCT(--($D$631:$V$631=O$631),--($D1402:$V1402=1)),0)+SUM(O799)+IF(COUNTIF(O$1237:O1402,1)=1,5,0)+IF(COUNTIF(P800:$W800,"&gt;"&amp;0)&lt;5,IF(AND(COUNTIF(O$1237:O1402,1)&gt;7,MOD(1+IFERROR(MATCH($C800,总览!$D$46:$D$345,1)+1,1),7)=0),$C$3,0),0)</f>
        <v>201.145535714285</v>
      </c>
      <c r="P800" s="131" cm="1">
        <f ca="1" t="array" ref="P800">IF(P1402=1,OFFSET($W$634,$B800,P$631-1)/SUMPRODUCT(--($D$631:$V$631=P$631),--($D1402:$V1402=1)),0)+SUM(P799)+IF(COUNTIF(P$1237:P1402,1)=1,5,0)+IF(COUNTIF(Q800:$W800,"&gt;"&amp;0)&lt;5,IF(AND(COUNTIF(P$1237:P1402,1)&gt;7,MOD(1+IFERROR(MATCH($C800,总览!$D$46:$D$345,1)+1,1),7)=0),$C$3,0),0)</f>
        <v>190.264285714285</v>
      </c>
      <c r="Q800" s="131" cm="1">
        <f ca="1" t="array" ref="Q800">IF(Q1402=1,OFFSET($W$634,$B800,Q$631-1)/SUMPRODUCT(--($D$631:$V$631=Q$631),--($D1402:$V1402=1)),0)+SUM(Q799)+IF(COUNTIF(Q$1237:Q1402,1)=1,5,0)+IF(COUNTIF(R800:$W800,"&gt;"&amp;0)&lt;5,IF(AND(COUNTIF(Q$1237:Q1402,1)&gt;7,MOD(1+IFERROR(MATCH($C800,总览!$D$46:$D$345,1)+1,1),7)=0),$C$3,0),0)</f>
        <v>203.645535714285</v>
      </c>
      <c r="R800" s="131" cm="1">
        <f ca="1" t="array" ref="R800">IF(R1402=1,OFFSET($W$634,$B800,R$631-1)/SUMPRODUCT(--($D$631:$V$631=R$631),--($D1402:$V1402=1)),0)+SUM(R799)+IF(COUNTIF(R$1237:R1402,1)=1,5,0)+IF(COUNTIF(S800:$W800,"&gt;"&amp;0)&lt;5,IF(AND(COUNTIF(R$1237:R1402,1)&gt;7,MOD(1+IFERROR(MATCH($C800,总览!$D$46:$D$345,1)+1,1),7)=0),$C$3,0),0)</f>
        <v>195.264285714285</v>
      </c>
      <c r="S800" s="131" cm="1">
        <f ca="1" t="array" ref="S800">IF(S1402=1,OFFSET($W$634,$B800,S$631-1)/SUMPRODUCT(--($D$631:$V$631=S$631),--($D1402:$V1402=1)),0)+SUM(S799)+IF(COUNTIF(S$1237:S1402,1)=1,5,0)+IF(COUNTIF(T800:$W800,"&gt;"&amp;0)&lt;5,IF(AND(COUNTIF(S$1237:S1402,1)&gt;7,MOD(1+IFERROR(MATCH($C800,总览!$D$46:$D$345,1)+1,1),7)=0),$C$3,0),0)</f>
        <v>272.764285714285</v>
      </c>
      <c r="T800" s="131" cm="1">
        <f ca="1" t="array" ref="T800">IF(T1402=1,OFFSET($W$634,$B800,T$631-1)/SUMPRODUCT(--($D$631:$V$631=T$631),--($D1402:$V1402=1)),0)+SUM(T799)+IF(COUNTIF(T$1237:T1402,1)=1,5,0)+IF(COUNTIF(U800:$W800,"&gt;"&amp;0)&lt;5,IF(AND(COUNTIF(T$1237:T1402,1)&gt;7,MOD(1+IFERROR(MATCH($C800,总览!$D$46:$D$345,1)+1,1),7)=0),$C$3,0),0)</f>
        <v>194.453115750247</v>
      </c>
      <c r="U800" s="131" cm="1">
        <f ca="1" t="array" ref="U800">IF(U1402=1,OFFSET($W$634,$B800,U$631-1)/SUMPRODUCT(--($D$631:$V$631=U$631),--($D1402:$V1402=1)),0)+SUM(U799)+IF(COUNTIF(U$1237:U1402,1)=1,5,0)+IF(COUNTIF(V800:$W800,"&gt;"&amp;0)&lt;5,IF(AND(COUNTIF(U$1237:U1402,1)&gt;7,MOD(1+IFERROR(MATCH($C800,总览!$D$46:$D$345,1)+1,1),7)=0),$C$3,0),0)</f>
        <v>199.973902105547</v>
      </c>
      <c r="V800" s="131" cm="1">
        <f ca="1" t="array" ref="V800">IF(V1402=1,OFFSET($W$634,$B800,V$631-1)/SUMPRODUCT(--($D$631:$V$631=V$631),--($D1402:$V1402=1)),0)+SUM(V799)+IF(COUNTIF(V$1237:V1402,1)=1,5,0)+IF(COUNTIF(W800:$W800,"&gt;"&amp;0)&lt;5,IF(AND(COUNTIF(V$1237:V1402,1)&gt;7,MOD(1+IFERROR(MATCH($C800,总览!$D$46:$D$345,1)+1,1),7)=0),$C$3,0),0)</f>
        <v>219.800901817981</v>
      </c>
      <c r="W800" s="135" cm="1">
        <f ca="1" t="array" ref="W800">SUMPRODUCT(TRANSPOSE($AA800:$AG800),OFFSET($L$9:$L$15,0,W$631-1))</f>
        <v>16.8502200646615</v>
      </c>
      <c r="X800" s="135" cm="1">
        <f ca="1" t="array" ref="X800">SUMPRODUCT(TRANSPOSE($AA800:$AG800),OFFSET($L$9:$L$15,0,X$631-1))</f>
        <v>20</v>
      </c>
      <c r="Y800" s="135" cm="1">
        <f ca="1" t="array" ref="Y800">SUMPRODUCT(TRANSPOSE($AA800:$AG800),OFFSET($L$9:$L$15,0,Y$631-1))</f>
        <v>10</v>
      </c>
      <c r="Z800" s="135" cm="1">
        <f ca="1" t="array" ref="Z800">SUMPRODUCT(TRANSPOSE($AA800:$AG800),OFFSET($L$9:$L$15,0,Z$631-1))</f>
        <v>3.14977993533847</v>
      </c>
      <c r="AA800" s="136">
        <f ca="1" t="shared" ref="AA800:AG800" si="575">AH800-AH799</f>
        <v>0</v>
      </c>
      <c r="AB800" s="136">
        <f ca="1" t="shared" si="575"/>
        <v>0</v>
      </c>
      <c r="AC800" s="136">
        <f ca="1" t="shared" si="575"/>
        <v>0</v>
      </c>
      <c r="AD800" s="136">
        <f ca="1" t="shared" si="575"/>
        <v>0</v>
      </c>
      <c r="AE800" s="136">
        <f ca="1" t="shared" si="575"/>
        <v>0</v>
      </c>
      <c r="AF800" s="136">
        <f ca="1" t="shared" si="575"/>
        <v>0</v>
      </c>
      <c r="AG800" s="136">
        <f ca="1" t="shared" si="575"/>
        <v>100</v>
      </c>
      <c r="AH800" s="136">
        <f ca="1" t="shared" si="501"/>
        <v>450</v>
      </c>
      <c r="AI800" s="136">
        <f ca="1" t="shared" ref="AI800:AN800" si="576">IF($C800&gt;OFFSET($Q$8,MATCH(AI$634,$AH$634:$AN$634,0),0),OFFSET($P$8,MATCH(AI$634,$AH$634:$AN$634,0),0),MAX(0,$C800-OFFSET($Q$8,RIGHT(AI$634,1)-1,0)))</f>
        <v>909</v>
      </c>
      <c r="AJ800" s="136">
        <f ca="1" t="shared" si="576"/>
        <v>1818</v>
      </c>
      <c r="AK800" s="136">
        <f ca="1" t="shared" si="576"/>
        <v>2727</v>
      </c>
      <c r="AL800" s="136">
        <f ca="1" t="shared" si="576"/>
        <v>3636</v>
      </c>
      <c r="AM800" s="136">
        <f ca="1" t="shared" si="576"/>
        <v>4545</v>
      </c>
      <c r="AN800" s="136">
        <f ca="1" t="shared" si="576"/>
        <v>2515</v>
      </c>
    </row>
    <row r="801" s="106" customFormat="1" ht="16.5" spans="2:40">
      <c r="B801" s="117">
        <v>167</v>
      </c>
      <c r="C801" s="130">
        <f t="shared" si="499"/>
        <v>16700</v>
      </c>
      <c r="D801" s="131" cm="1">
        <f ca="1" t="array" ref="D801">IF(D1403=1,OFFSET($W$634,$B801,D$631-1)/SUMPRODUCT(--($D$631:$V$631=D$631),--($D1403:$V1403=1)),0)+SUM(D800)+IF(COUNTIF(D$1237:D1403,1)=1,5,0)+IF(COUNTIF(E801:$W801,"&gt;"&amp;0)&lt;5,IF(AND(COUNTIF(D$1237:D1403,1)&gt;7,MOD(1+IFERROR(MATCH($C801,总览!$D$46:$D$345,1)+1,1),7)=0),$C$3,0),0)</f>
        <v>1265.6991001303</v>
      </c>
      <c r="E801" s="131" cm="1">
        <f ca="1" t="array" ref="E801">IF(E1403=1,OFFSET($W$634,$B801,E$631-1)/SUMPRODUCT(--($D$631:$V$631=E$631),--($D1403:$V1403=1)),0)+SUM(E800)+IF(COUNTIF(E$1237:E1403,1)=1,5,0)+IF(COUNTIF(F801:$W801,"&gt;"&amp;0)&lt;5,IF(AND(COUNTIF(E$1237:E1403,1)&gt;7,MOD(1+IFERROR(MATCH($C801,总览!$D$46:$D$345,1)+1,1),7)=0),$C$3,0),0)</f>
        <v>1265.6991001303</v>
      </c>
      <c r="F801" s="131" cm="1">
        <f ca="1" t="array" ref="F801">IF(F1403=1,OFFSET($W$634,$B801,F$631-1)/SUMPRODUCT(--($D$631:$V$631=F$631),--($D1403:$V1403=1)),0)+SUM(F800)+IF(COUNTIF(F$1237:F1403,1)=1,5,0)+IF(COUNTIF(G801:$W801,"&gt;"&amp;0)&lt;5,IF(AND(COUNTIF(F$1237:F1403,1)&gt;7,MOD(1+IFERROR(MATCH($C801,总览!$D$46:$D$345,1)+1,1),7)=0),$C$3,0),0)</f>
        <v>1265.6991001303</v>
      </c>
      <c r="G801" s="131" cm="1">
        <f ca="1" t="array" ref="G801">IF(G1403=1,OFFSET($W$634,$B801,G$631-1)/SUMPRODUCT(--($D$631:$V$631=G$631),--($D1403:$V1403=1)),0)+SUM(G800)+IF(COUNTIF(G$1237:G1403,1)=1,5,0)+IF(COUNTIF(H801:$W801,"&gt;"&amp;0)&lt;5,IF(AND(COUNTIF(G$1237:G1403,1)&gt;7,MOD(1+IFERROR(MATCH($C801,总览!$D$46:$D$345,1)+1,1),7)=0),$C$3,0),0)</f>
        <v>496.066666666665</v>
      </c>
      <c r="H801" s="131" cm="1">
        <f ca="1" t="array" ref="H801">IF(H1403=1,OFFSET($W$634,$B801,H$631-1)/SUMPRODUCT(--($D$631:$V$631=H$631),--($D1403:$V1403=1)),0)+SUM(H800)+IF(COUNTIF(H$1237:H1403,1)=1,5,0)+IF(COUNTIF(I801:$W801,"&gt;"&amp;0)&lt;5,IF(AND(COUNTIF(H$1237:H1403,1)&gt;7,MOD(1+IFERROR(MATCH($C801,总览!$D$46:$D$345,1)+1,1),7)=0),$C$3,0),0)</f>
        <v>496.066666666665</v>
      </c>
      <c r="I801" s="131" cm="1">
        <f ca="1" t="array" ref="I801">IF(I1403=1,OFFSET($W$634,$B801,I$631-1)/SUMPRODUCT(--($D$631:$V$631=I$631),--($D1403:$V1403=1)),0)+SUM(I800)+IF(COUNTIF(I$1237:I1403,1)=1,5,0)+IF(COUNTIF(J801:$W801,"&gt;"&amp;0)&lt;5,IF(AND(COUNTIF(I$1237:I1403,1)&gt;7,MOD(1+IFERROR(MATCH($C801,总览!$D$46:$D$345,1)+1,1),7)=0),$C$3,0),0)</f>
        <v>496.066666666665</v>
      </c>
      <c r="J801" s="131" cm="1">
        <f ca="1" t="array" ref="J801">IF(J1403=1,OFFSET($W$634,$B801,J$631-1)/SUMPRODUCT(--($D$631:$V$631=J$631),--($D1403:$V1403=1)),0)+SUM(J800)+IF(COUNTIF(J$1237:J1403,1)=1,5,0)+IF(COUNTIF(K801:$W801,"&gt;"&amp;0)&lt;5,IF(AND(COUNTIF(J$1237:J1403,1)&gt;7,MOD(1+IFERROR(MATCH($C801,总览!$D$46:$D$345,1)+1,1),7)=0),$C$3,0),0)</f>
        <v>492.733333333332</v>
      </c>
      <c r="K801" s="131" cm="1">
        <f ca="1" t="array" ref="K801">IF(K1403=1,OFFSET($W$634,$B801,K$631-1)/SUMPRODUCT(--($D$631:$V$631=K$631),--($D1403:$V1403=1)),0)+SUM(K800)+IF(COUNTIF(K$1237:K1403,1)=1,5,0)+IF(COUNTIF(L801:$W801,"&gt;"&amp;0)&lt;5,IF(AND(COUNTIF(K$1237:K1403,1)&gt;7,MOD(1+IFERROR(MATCH($C801,总览!$D$46:$D$345,1)+1,1),7)=0),$C$3,0),0)</f>
        <v>490.233333333332</v>
      </c>
      <c r="L801" s="131" cm="1">
        <f ca="1" t="array" ref="L801">IF(L1403=1,OFFSET($W$634,$B801,L$631-1)/SUMPRODUCT(--($D$631:$V$631=L$631),--($D1403:$V1403=1)),0)+SUM(L800)+IF(COUNTIF(L$1237:L1403,1)=1,5,0)+IF(COUNTIF(M801:$W801,"&gt;"&amp;0)&lt;5,IF(AND(COUNTIF(L$1237:L1403,1)&gt;7,MOD(1+IFERROR(MATCH($C801,总览!$D$46:$D$345,1)+1,1),7)=0),$C$3,0),0)</f>
        <v>490.233333333332</v>
      </c>
      <c r="M801" s="131" cm="1">
        <f ca="1" t="array" ref="M801">IF(M1403=1,OFFSET($W$634,$B801,M$631-1)/SUMPRODUCT(--($D$631:$V$631=M$631),--($D1403:$V1403=1)),0)+SUM(M800)+IF(COUNTIF(M$1237:M1403,1)=1,5,0)+IF(COUNTIF(N801:$W801,"&gt;"&amp;0)&lt;5,IF(AND(COUNTIF(M$1237:M1403,1)&gt;7,MOD(1+IFERROR(MATCH($C801,总览!$D$46:$D$345,1)+1,1),7)=0),$C$3,0),0)</f>
        <v>196.324107142856</v>
      </c>
      <c r="N801" s="131" cm="1">
        <f ca="1" t="array" ref="N801">IF(N1403=1,OFFSET($W$634,$B801,N$631-1)/SUMPRODUCT(--($D$631:$V$631=N$631),--($D1403:$V1403=1)),0)+SUM(N800)+IF(COUNTIF(N$1237:N1403,1)=1,5,0)+IF(COUNTIF(O801:$W801,"&gt;"&amp;0)&lt;5,IF(AND(COUNTIF(N$1237:N1403,1)&gt;7,MOD(1+IFERROR(MATCH($C801,总览!$D$46:$D$345,1)+1,1),7)=0),$C$3,0),0)</f>
        <v>197.574107142856</v>
      </c>
      <c r="O801" s="131" cm="1">
        <f ca="1" t="array" ref="O801">IF(O1403=1,OFFSET($W$634,$B801,O$631-1)/SUMPRODUCT(--($D$631:$V$631=O$631),--($D1403:$V1403=1)),0)+SUM(O800)+IF(COUNTIF(O$1237:O1403,1)=1,5,0)+IF(COUNTIF(P801:$W801,"&gt;"&amp;0)&lt;5,IF(AND(COUNTIF(O$1237:O1403,1)&gt;7,MOD(1+IFERROR(MATCH($C801,总览!$D$46:$D$345,1)+1,1),7)=0),$C$3,0),0)</f>
        <v>202.574107142856</v>
      </c>
      <c r="P801" s="131" cm="1">
        <f ca="1" t="array" ref="P801">IF(P1403=1,OFFSET($W$634,$B801,P$631-1)/SUMPRODUCT(--($D$631:$V$631=P$631),--($D1403:$V1403=1)),0)+SUM(P800)+IF(COUNTIF(P$1237:P1403,1)=1,5,0)+IF(COUNTIF(Q801:$W801,"&gt;"&amp;0)&lt;5,IF(AND(COUNTIF(P$1237:P1403,1)&gt;7,MOD(1+IFERROR(MATCH($C801,总览!$D$46:$D$345,1)+1,1),7)=0),$C$3,0),0)</f>
        <v>191.692857142857</v>
      </c>
      <c r="Q801" s="131" cm="1">
        <f ca="1" t="array" ref="Q801">IF(Q1403=1,OFFSET($W$634,$B801,Q$631-1)/SUMPRODUCT(--($D$631:$V$631=Q$631),--($D1403:$V1403=1)),0)+SUM(Q800)+IF(COUNTIF(Q$1237:Q1403,1)=1,5,0)+IF(COUNTIF(R801:$W801,"&gt;"&amp;0)&lt;5,IF(AND(COUNTIF(Q$1237:Q1403,1)&gt;7,MOD(1+IFERROR(MATCH($C801,总览!$D$46:$D$345,1)+1,1),7)=0),$C$3,0),0)</f>
        <v>205.074107142856</v>
      </c>
      <c r="R801" s="131" cm="1">
        <f ca="1" t="array" ref="R801">IF(R1403=1,OFFSET($W$634,$B801,R$631-1)/SUMPRODUCT(--($D$631:$V$631=R$631),--($D1403:$V1403=1)),0)+SUM(R800)+IF(COUNTIF(R$1237:R1403,1)=1,5,0)+IF(COUNTIF(S801:$W801,"&gt;"&amp;0)&lt;5,IF(AND(COUNTIF(R$1237:R1403,1)&gt;7,MOD(1+IFERROR(MATCH($C801,总览!$D$46:$D$345,1)+1,1),7)=0),$C$3,0),0)</f>
        <v>196.692857142856</v>
      </c>
      <c r="S801" s="131" cm="1">
        <f ca="1" t="array" ref="S801">IF(S1403=1,OFFSET($W$634,$B801,S$631-1)/SUMPRODUCT(--($D$631:$V$631=S$631),--($D1403:$V1403=1)),0)+SUM(S800)+IF(COUNTIF(S$1237:S1403,1)=1,5,0)+IF(COUNTIF(T801:$W801,"&gt;"&amp;0)&lt;5,IF(AND(COUNTIF(S$1237:S1403,1)&gt;7,MOD(1+IFERROR(MATCH($C801,总览!$D$46:$D$345,1)+1,1),7)=0),$C$3,0),0)</f>
        <v>279.192857142856</v>
      </c>
      <c r="T801" s="131" cm="1">
        <f ca="1" t="array" ref="T801">IF(T1403=1,OFFSET($W$634,$B801,T$631-1)/SUMPRODUCT(--($D$631:$V$631=T$631),--($D1403:$V1403=1)),0)+SUM(T800)+IF(COUNTIF(T$1237:T1403,1)=1,5,0)+IF(COUNTIF(U801:$W801,"&gt;"&amp;0)&lt;5,IF(AND(COUNTIF(T$1237:T1403,1)&gt;7,MOD(1+IFERROR(MATCH($C801,总览!$D$46:$D$345,1)+1,1),7)=0),$C$3,0),0)</f>
        <v>200.50304239536</v>
      </c>
      <c r="U801" s="131" cm="1">
        <f ca="1" t="array" ref="U801">IF(U1403=1,OFFSET($W$634,$B801,U$631-1)/SUMPRODUCT(--($D$631:$V$631=U$631),--($D1403:$V1403=1)),0)+SUM(U800)+IF(COUNTIF(U$1237:U1403,1)=1,5,0)+IF(COUNTIF(V801:$W801,"&gt;"&amp;0)&lt;5,IF(AND(COUNTIF(U$1237:U1403,1)&gt;7,MOD(1+IFERROR(MATCH($C801,总览!$D$46:$D$345,1)+1,1),7)=0),$C$3,0),0)</f>
        <v>206.02382875066</v>
      </c>
      <c r="V801" s="131" cm="1">
        <f ca="1" t="array" ref="V801">IF(V1403=1,OFFSET($W$634,$B801,V$631-1)/SUMPRODUCT(--($D$631:$V$631=V$631),--($D1403:$V1403=1)),0)+SUM(V800)+IF(COUNTIF(V$1237:V1403,1)=1,5,0)+IF(COUNTIF(W801:$W801,"&gt;"&amp;0)&lt;5,IF(AND(COUNTIF(V$1237:V1403,1)&gt;7,MOD(1+IFERROR(MATCH($C801,总览!$D$46:$D$345,1)+1,1),7)=0),$C$3,0),0)</f>
        <v>225.850828463093</v>
      </c>
      <c r="W801" s="135" cm="1">
        <f ca="1" t="array" ref="W801">SUMPRODUCT(TRANSPOSE($AA801:$AG801),OFFSET($L$9:$L$15,0,W$631-1))</f>
        <v>16.8502200646615</v>
      </c>
      <c r="X801" s="135" cm="1">
        <f ca="1" t="array" ref="X801">SUMPRODUCT(TRANSPOSE($AA801:$AG801),OFFSET($L$9:$L$15,0,X$631-1))</f>
        <v>20</v>
      </c>
      <c r="Y801" s="135" cm="1">
        <f ca="1" t="array" ref="Y801">SUMPRODUCT(TRANSPOSE($AA801:$AG801),OFFSET($L$9:$L$15,0,Y$631-1))</f>
        <v>10</v>
      </c>
      <c r="Z801" s="135" cm="1">
        <f ca="1" t="array" ref="Z801">SUMPRODUCT(TRANSPOSE($AA801:$AG801),OFFSET($L$9:$L$15,0,Z$631-1))</f>
        <v>3.14977993533847</v>
      </c>
      <c r="AA801" s="136">
        <f ca="1" t="shared" ref="AA801:AG801" si="577">AH801-AH800</f>
        <v>0</v>
      </c>
      <c r="AB801" s="136">
        <f ca="1" t="shared" si="577"/>
        <v>0</v>
      </c>
      <c r="AC801" s="136">
        <f ca="1" t="shared" si="577"/>
        <v>0</v>
      </c>
      <c r="AD801" s="136">
        <f ca="1" t="shared" si="577"/>
        <v>0</v>
      </c>
      <c r="AE801" s="136">
        <f ca="1" t="shared" si="577"/>
        <v>0</v>
      </c>
      <c r="AF801" s="136">
        <f ca="1" t="shared" si="577"/>
        <v>0</v>
      </c>
      <c r="AG801" s="136">
        <f ca="1" t="shared" si="577"/>
        <v>100</v>
      </c>
      <c r="AH801" s="136">
        <f ca="1" t="shared" si="501"/>
        <v>450</v>
      </c>
      <c r="AI801" s="136">
        <f ca="1" t="shared" ref="AI801:AN801" si="578">IF($C801&gt;OFFSET($Q$8,MATCH(AI$634,$AH$634:$AN$634,0),0),OFFSET($P$8,MATCH(AI$634,$AH$634:$AN$634,0),0),MAX(0,$C801-OFFSET($Q$8,RIGHT(AI$634,1)-1,0)))</f>
        <v>909</v>
      </c>
      <c r="AJ801" s="136">
        <f ca="1" t="shared" si="578"/>
        <v>1818</v>
      </c>
      <c r="AK801" s="136">
        <f ca="1" t="shared" si="578"/>
        <v>2727</v>
      </c>
      <c r="AL801" s="136">
        <f ca="1" t="shared" si="578"/>
        <v>3636</v>
      </c>
      <c r="AM801" s="136">
        <f ca="1" t="shared" si="578"/>
        <v>4545</v>
      </c>
      <c r="AN801" s="136">
        <f ca="1" t="shared" si="578"/>
        <v>2615</v>
      </c>
    </row>
    <row r="802" s="106" customFormat="1" ht="16.5" spans="2:40">
      <c r="B802" s="117">
        <v>168</v>
      </c>
      <c r="C802" s="130">
        <f t="shared" si="499"/>
        <v>16800</v>
      </c>
      <c r="D802" s="131" cm="1">
        <f ca="1" t="array" ref="D802">IF(D1404=1,OFFSET($W$634,$B802,D$631-1)/SUMPRODUCT(--($D$631:$V$631=D$631),--($D1404:$V1404=1)),0)+SUM(D801)+IF(COUNTIF(D$1237:D1404,1)=1,5,0)+IF(COUNTIF(E802:$W802,"&gt;"&amp;0)&lt;5,IF(AND(COUNTIF(D$1237:D1404,1)&gt;7,MOD(1+IFERROR(MATCH($C802,总览!$D$46:$D$345,1)+1,1),7)=0),$C$3,0),0)</f>
        <v>1271.31584015185</v>
      </c>
      <c r="E802" s="131" cm="1">
        <f ca="1" t="array" ref="E802">IF(E1404=1,OFFSET($W$634,$B802,E$631-1)/SUMPRODUCT(--($D$631:$V$631=E$631),--($D1404:$V1404=1)),0)+SUM(E801)+IF(COUNTIF(E$1237:E1404,1)=1,5,0)+IF(COUNTIF(F802:$W802,"&gt;"&amp;0)&lt;5,IF(AND(COUNTIF(E$1237:E1404,1)&gt;7,MOD(1+IFERROR(MATCH($C802,总览!$D$46:$D$345,1)+1,1),7)=0),$C$3,0),0)</f>
        <v>1271.31584015185</v>
      </c>
      <c r="F802" s="131" cm="1">
        <f ca="1" t="array" ref="F802">IF(F1404=1,OFFSET($W$634,$B802,F$631-1)/SUMPRODUCT(--($D$631:$V$631=F$631),--($D1404:$V1404=1)),0)+SUM(F801)+IF(COUNTIF(F$1237:F1404,1)=1,5,0)+IF(COUNTIF(G802:$W802,"&gt;"&amp;0)&lt;5,IF(AND(COUNTIF(F$1237:F1404,1)&gt;7,MOD(1+IFERROR(MATCH($C802,总览!$D$46:$D$345,1)+1,1),7)=0),$C$3,0),0)</f>
        <v>1271.31584015185</v>
      </c>
      <c r="G802" s="131" cm="1">
        <f ca="1" t="array" ref="G802">IF(G1404=1,OFFSET($W$634,$B802,G$631-1)/SUMPRODUCT(--($D$631:$V$631=G$631),--($D1404:$V1404=1)),0)+SUM(G801)+IF(COUNTIF(G$1237:G1404,1)=1,5,0)+IF(COUNTIF(H802:$W802,"&gt;"&amp;0)&lt;5,IF(AND(COUNTIF(G$1237:G1404,1)&gt;7,MOD(1+IFERROR(MATCH($C802,总览!$D$46:$D$345,1)+1,1),7)=0),$C$3,0),0)</f>
        <v>499.399999999999</v>
      </c>
      <c r="H802" s="131" cm="1">
        <f ca="1" t="array" ref="H802">IF(H1404=1,OFFSET($W$634,$B802,H$631-1)/SUMPRODUCT(--($D$631:$V$631=H$631),--($D1404:$V1404=1)),0)+SUM(H801)+IF(COUNTIF(H$1237:H1404,1)=1,5,0)+IF(COUNTIF(I802:$W802,"&gt;"&amp;0)&lt;5,IF(AND(COUNTIF(H$1237:H1404,1)&gt;7,MOD(1+IFERROR(MATCH($C802,总览!$D$46:$D$345,1)+1,1),7)=0),$C$3,0),0)</f>
        <v>499.399999999999</v>
      </c>
      <c r="I802" s="131" cm="1">
        <f ca="1" t="array" ref="I802">IF(I1404=1,OFFSET($W$634,$B802,I$631-1)/SUMPRODUCT(--($D$631:$V$631=I$631),--($D1404:$V1404=1)),0)+SUM(I801)+IF(COUNTIF(I$1237:I1404,1)=1,5,0)+IF(COUNTIF(J802:$W802,"&gt;"&amp;0)&lt;5,IF(AND(COUNTIF(I$1237:I1404,1)&gt;7,MOD(1+IFERROR(MATCH($C802,总览!$D$46:$D$345,1)+1,1),7)=0),$C$3,0),0)</f>
        <v>499.399999999999</v>
      </c>
      <c r="J802" s="131" cm="1">
        <f ca="1" t="array" ref="J802">IF(J1404=1,OFFSET($W$634,$B802,J$631-1)/SUMPRODUCT(--($D$631:$V$631=J$631),--($D1404:$V1404=1)),0)+SUM(J801)+IF(COUNTIF(J$1237:J1404,1)=1,5,0)+IF(COUNTIF(K802:$W802,"&gt;"&amp;0)&lt;5,IF(AND(COUNTIF(J$1237:J1404,1)&gt;7,MOD(1+IFERROR(MATCH($C802,总览!$D$46:$D$345,1)+1,1),7)=0),$C$3,0),0)</f>
        <v>496.066666666665</v>
      </c>
      <c r="K802" s="131" cm="1">
        <f ca="1" t="array" ref="K802">IF(K1404=1,OFFSET($W$634,$B802,K$631-1)/SUMPRODUCT(--($D$631:$V$631=K$631),--($D1404:$V1404=1)),0)+SUM(K801)+IF(COUNTIF(K$1237:K1404,1)=1,5,0)+IF(COUNTIF(L802:$W802,"&gt;"&amp;0)&lt;5,IF(AND(COUNTIF(K$1237:K1404,1)&gt;7,MOD(1+IFERROR(MATCH($C802,总览!$D$46:$D$345,1)+1,1),7)=0),$C$3,0),0)</f>
        <v>493.566666666665</v>
      </c>
      <c r="L802" s="131" cm="1">
        <f ca="1" t="array" ref="L802">IF(L1404=1,OFFSET($W$634,$B802,L$631-1)/SUMPRODUCT(--($D$631:$V$631=L$631),--($D1404:$V1404=1)),0)+SUM(L801)+IF(COUNTIF(L$1237:L1404,1)=1,5,0)+IF(COUNTIF(M802:$W802,"&gt;"&amp;0)&lt;5,IF(AND(COUNTIF(L$1237:L1404,1)&gt;7,MOD(1+IFERROR(MATCH($C802,总览!$D$46:$D$345,1)+1,1),7)=0),$C$3,0),0)</f>
        <v>493.566666666665</v>
      </c>
      <c r="M802" s="131" cm="1">
        <f ca="1" t="array" ref="M802">IF(M1404=1,OFFSET($W$634,$B802,M$631-1)/SUMPRODUCT(--($D$631:$V$631=M$631),--($D1404:$V1404=1)),0)+SUM(M801)+IF(COUNTIF(M$1237:M1404,1)=1,5,0)+IF(COUNTIF(N802:$W802,"&gt;"&amp;0)&lt;5,IF(AND(COUNTIF(M$1237:M1404,1)&gt;7,MOD(1+IFERROR(MATCH($C802,总览!$D$46:$D$345,1)+1,1),7)=0),$C$3,0),0)</f>
        <v>197.752678571428</v>
      </c>
      <c r="N802" s="131" cm="1">
        <f ca="1" t="array" ref="N802">IF(N1404=1,OFFSET($W$634,$B802,N$631-1)/SUMPRODUCT(--($D$631:$V$631=N$631),--($D1404:$V1404=1)),0)+SUM(N801)+IF(COUNTIF(N$1237:N1404,1)=1,5,0)+IF(COUNTIF(O802:$W802,"&gt;"&amp;0)&lt;5,IF(AND(COUNTIF(N$1237:N1404,1)&gt;7,MOD(1+IFERROR(MATCH($C802,总览!$D$46:$D$345,1)+1,1),7)=0),$C$3,0),0)</f>
        <v>199.002678571428</v>
      </c>
      <c r="O802" s="131" cm="1">
        <f ca="1" t="array" ref="O802">IF(O1404=1,OFFSET($W$634,$B802,O$631-1)/SUMPRODUCT(--($D$631:$V$631=O$631),--($D1404:$V1404=1)),0)+SUM(O801)+IF(COUNTIF(O$1237:O1404,1)=1,5,0)+IF(COUNTIF(P802:$W802,"&gt;"&amp;0)&lt;5,IF(AND(COUNTIF(O$1237:O1404,1)&gt;7,MOD(1+IFERROR(MATCH($C802,总览!$D$46:$D$345,1)+1,1),7)=0),$C$3,0),0)</f>
        <v>204.002678571428</v>
      </c>
      <c r="P802" s="131" cm="1">
        <f ca="1" t="array" ref="P802">IF(P1404=1,OFFSET($W$634,$B802,P$631-1)/SUMPRODUCT(--($D$631:$V$631=P$631),--($D1404:$V1404=1)),0)+SUM(P801)+IF(COUNTIF(P$1237:P1404,1)=1,5,0)+IF(COUNTIF(Q802:$W802,"&gt;"&amp;0)&lt;5,IF(AND(COUNTIF(P$1237:P1404,1)&gt;7,MOD(1+IFERROR(MATCH($C802,总览!$D$46:$D$345,1)+1,1),7)=0),$C$3,0),0)</f>
        <v>193.121428571428</v>
      </c>
      <c r="Q802" s="131" cm="1">
        <f ca="1" t="array" ref="Q802">IF(Q1404=1,OFFSET($W$634,$B802,Q$631-1)/SUMPRODUCT(--($D$631:$V$631=Q$631),--($D1404:$V1404=1)),0)+SUM(Q801)+IF(COUNTIF(Q$1237:Q1404,1)=1,5,0)+IF(COUNTIF(R802:$W802,"&gt;"&amp;0)&lt;5,IF(AND(COUNTIF(Q$1237:Q1404,1)&gt;7,MOD(1+IFERROR(MATCH($C802,总览!$D$46:$D$345,1)+1,1),7)=0),$C$3,0),0)</f>
        <v>206.502678571428</v>
      </c>
      <c r="R802" s="131" cm="1">
        <f ca="1" t="array" ref="R802">IF(R1404=1,OFFSET($W$634,$B802,R$631-1)/SUMPRODUCT(--($D$631:$V$631=R$631),--($D1404:$V1404=1)),0)+SUM(R801)+IF(COUNTIF(R$1237:R1404,1)=1,5,0)+IF(COUNTIF(S802:$W802,"&gt;"&amp;0)&lt;5,IF(AND(COUNTIF(R$1237:R1404,1)&gt;7,MOD(1+IFERROR(MATCH($C802,总览!$D$46:$D$345,1)+1,1),7)=0),$C$3,0),0)</f>
        <v>198.121428571428</v>
      </c>
      <c r="S802" s="131" cm="1">
        <f ca="1" t="array" ref="S802">IF(S1404=1,OFFSET($W$634,$B802,S$631-1)/SUMPRODUCT(--($D$631:$V$631=S$631),--($D1404:$V1404=1)),0)+SUM(S801)+IF(COUNTIF(S$1237:S1404,1)=1,5,0)+IF(COUNTIF(T802:$W802,"&gt;"&amp;0)&lt;5,IF(AND(COUNTIF(S$1237:S1404,1)&gt;7,MOD(1+IFERROR(MATCH($C802,总览!$D$46:$D$345,1)+1,1),7)=0),$C$3,0),0)</f>
        <v>280.621428571428</v>
      </c>
      <c r="T802" s="131" cm="1">
        <f ca="1" t="array" ref="T802">IF(T1404=1,OFFSET($W$634,$B802,T$631-1)/SUMPRODUCT(--($D$631:$V$631=T$631),--($D1404:$V1404=1)),0)+SUM(T801)+IF(COUNTIF(T$1237:T1404,1)=1,5,0)+IF(COUNTIF(U802:$W802,"&gt;"&amp;0)&lt;5,IF(AND(COUNTIF(T$1237:T1404,1)&gt;7,MOD(1+IFERROR(MATCH($C802,总览!$D$46:$D$345,1)+1,1),7)=0),$C$3,0),0)</f>
        <v>201.552969040473</v>
      </c>
      <c r="U802" s="131" cm="1">
        <f ca="1" t="array" ref="U802">IF(U1404=1,OFFSET($W$634,$B802,U$631-1)/SUMPRODUCT(--($D$631:$V$631=U$631),--($D1404:$V1404=1)),0)+SUM(U801)+IF(COUNTIF(U$1237:U1404,1)=1,5,0)+IF(COUNTIF(V802:$W802,"&gt;"&amp;0)&lt;5,IF(AND(COUNTIF(U$1237:U1404,1)&gt;7,MOD(1+IFERROR(MATCH($C802,总览!$D$46:$D$345,1)+1,1),7)=0),$C$3,0),0)</f>
        <v>207.073755395773</v>
      </c>
      <c r="V802" s="131" cm="1">
        <f ca="1" t="array" ref="V802">IF(V1404=1,OFFSET($W$634,$B802,V$631-1)/SUMPRODUCT(--($D$631:$V$631=V$631),--($D1404:$V1404=1)),0)+SUM(V801)+IF(COUNTIF(V$1237:V1404,1)=1,5,0)+IF(COUNTIF(W802:$W802,"&gt;"&amp;0)&lt;5,IF(AND(COUNTIF(V$1237:V1404,1)&gt;7,MOD(1+IFERROR(MATCH($C802,总览!$D$46:$D$345,1)+1,1),7)=0),$C$3,0),0)</f>
        <v>226.900755108206</v>
      </c>
      <c r="W802" s="135" cm="1">
        <f ca="1" t="array" ref="W802">SUMPRODUCT(TRANSPOSE($AA802:$AG802),OFFSET($L$9:$L$15,0,W$631-1))</f>
        <v>16.8502200646615</v>
      </c>
      <c r="X802" s="135" cm="1">
        <f ca="1" t="array" ref="X802">SUMPRODUCT(TRANSPOSE($AA802:$AG802),OFFSET($L$9:$L$15,0,X$631-1))</f>
        <v>20</v>
      </c>
      <c r="Y802" s="135" cm="1">
        <f ca="1" t="array" ref="Y802">SUMPRODUCT(TRANSPOSE($AA802:$AG802),OFFSET($L$9:$L$15,0,Y$631-1))</f>
        <v>10</v>
      </c>
      <c r="Z802" s="135" cm="1">
        <f ca="1" t="array" ref="Z802">SUMPRODUCT(TRANSPOSE($AA802:$AG802),OFFSET($L$9:$L$15,0,Z$631-1))</f>
        <v>3.14977993533847</v>
      </c>
      <c r="AA802" s="136">
        <f ca="1" t="shared" ref="AA802:AG802" si="579">AH802-AH801</f>
        <v>0</v>
      </c>
      <c r="AB802" s="136">
        <f ca="1" t="shared" si="579"/>
        <v>0</v>
      </c>
      <c r="AC802" s="136">
        <f ca="1" t="shared" si="579"/>
        <v>0</v>
      </c>
      <c r="AD802" s="136">
        <f ca="1" t="shared" si="579"/>
        <v>0</v>
      </c>
      <c r="AE802" s="136">
        <f ca="1" t="shared" si="579"/>
        <v>0</v>
      </c>
      <c r="AF802" s="136">
        <f ca="1" t="shared" si="579"/>
        <v>0</v>
      </c>
      <c r="AG802" s="136">
        <f ca="1" t="shared" si="579"/>
        <v>100</v>
      </c>
      <c r="AH802" s="136">
        <f ca="1" t="shared" si="501"/>
        <v>450</v>
      </c>
      <c r="AI802" s="136">
        <f ca="1" t="shared" ref="AI802:AN802" si="580">IF($C802&gt;OFFSET($Q$8,MATCH(AI$634,$AH$634:$AN$634,0),0),OFFSET($P$8,MATCH(AI$634,$AH$634:$AN$634,0),0),MAX(0,$C802-OFFSET($Q$8,RIGHT(AI$634,1)-1,0)))</f>
        <v>909</v>
      </c>
      <c r="AJ802" s="136">
        <f ca="1" t="shared" si="580"/>
        <v>1818</v>
      </c>
      <c r="AK802" s="136">
        <f ca="1" t="shared" si="580"/>
        <v>2727</v>
      </c>
      <c r="AL802" s="136">
        <f ca="1" t="shared" si="580"/>
        <v>3636</v>
      </c>
      <c r="AM802" s="136">
        <f ca="1" t="shared" si="580"/>
        <v>4545</v>
      </c>
      <c r="AN802" s="136">
        <f ca="1" t="shared" si="580"/>
        <v>2715</v>
      </c>
    </row>
    <row r="803" s="106" customFormat="1" ht="16.5" spans="2:40">
      <c r="B803" s="117">
        <v>169</v>
      </c>
      <c r="C803" s="130">
        <f t="shared" si="499"/>
        <v>16900</v>
      </c>
      <c r="D803" s="131" cm="1">
        <f ca="1" t="array" ref="D803">IF(D1405=1,OFFSET($W$634,$B803,D$631-1)/SUMPRODUCT(--($D$631:$V$631=D$631),--($D1405:$V1405=1)),0)+SUM(D802)+IF(COUNTIF(D$1237:D1405,1)=1,5,0)+IF(COUNTIF(E803:$W803,"&gt;"&amp;0)&lt;5,IF(AND(COUNTIF(D$1237:D1405,1)&gt;7,MOD(1+IFERROR(MATCH($C803,总览!$D$46:$D$345,1)+1,1),7)=0),$C$3,0),0)</f>
        <v>1276.9325801734</v>
      </c>
      <c r="E803" s="131" cm="1">
        <f ca="1" t="array" ref="E803">IF(E1405=1,OFFSET($W$634,$B803,E$631-1)/SUMPRODUCT(--($D$631:$V$631=E$631),--($D1405:$V1405=1)),0)+SUM(E802)+IF(COUNTIF(E$1237:E1405,1)=1,5,0)+IF(COUNTIF(F803:$W803,"&gt;"&amp;0)&lt;5,IF(AND(COUNTIF(E$1237:E1405,1)&gt;7,MOD(1+IFERROR(MATCH($C803,总览!$D$46:$D$345,1)+1,1),7)=0),$C$3,0),0)</f>
        <v>1276.9325801734</v>
      </c>
      <c r="F803" s="131" cm="1">
        <f ca="1" t="array" ref="F803">IF(F1405=1,OFFSET($W$634,$B803,F$631-1)/SUMPRODUCT(--($D$631:$V$631=F$631),--($D1405:$V1405=1)),0)+SUM(F802)+IF(COUNTIF(F$1237:F1405,1)=1,5,0)+IF(COUNTIF(G803:$W803,"&gt;"&amp;0)&lt;5,IF(AND(COUNTIF(F$1237:F1405,1)&gt;7,MOD(1+IFERROR(MATCH($C803,总览!$D$46:$D$345,1)+1,1),7)=0),$C$3,0),0)</f>
        <v>1276.9325801734</v>
      </c>
      <c r="G803" s="131" cm="1">
        <f ca="1" t="array" ref="G803">IF(G1405=1,OFFSET($W$634,$B803,G$631-1)/SUMPRODUCT(--($D$631:$V$631=G$631),--($D1405:$V1405=1)),0)+SUM(G802)+IF(COUNTIF(G$1237:G1405,1)=1,5,0)+IF(COUNTIF(H803:$W803,"&gt;"&amp;0)&lt;5,IF(AND(COUNTIF(G$1237:G1405,1)&gt;7,MOD(1+IFERROR(MATCH($C803,总览!$D$46:$D$345,1)+1,1),7)=0),$C$3,0),0)</f>
        <v>502.733333333332</v>
      </c>
      <c r="H803" s="131" cm="1">
        <f ca="1" t="array" ref="H803">IF(H1405=1,OFFSET($W$634,$B803,H$631-1)/SUMPRODUCT(--($D$631:$V$631=H$631),--($D1405:$V1405=1)),0)+SUM(H802)+IF(COUNTIF(H$1237:H1405,1)=1,5,0)+IF(COUNTIF(I803:$W803,"&gt;"&amp;0)&lt;5,IF(AND(COUNTIF(H$1237:H1405,1)&gt;7,MOD(1+IFERROR(MATCH($C803,总览!$D$46:$D$345,1)+1,1),7)=0),$C$3,0),0)</f>
        <v>502.733333333332</v>
      </c>
      <c r="I803" s="131" cm="1">
        <f ca="1" t="array" ref="I803">IF(I1405=1,OFFSET($W$634,$B803,I$631-1)/SUMPRODUCT(--($D$631:$V$631=I$631),--($D1405:$V1405=1)),0)+SUM(I802)+IF(COUNTIF(I$1237:I1405,1)=1,5,0)+IF(COUNTIF(J803:$W803,"&gt;"&amp;0)&lt;5,IF(AND(COUNTIF(I$1237:I1405,1)&gt;7,MOD(1+IFERROR(MATCH($C803,总览!$D$46:$D$345,1)+1,1),7)=0),$C$3,0),0)</f>
        <v>502.733333333332</v>
      </c>
      <c r="J803" s="131" cm="1">
        <f ca="1" t="array" ref="J803">IF(J1405=1,OFFSET($W$634,$B803,J$631-1)/SUMPRODUCT(--($D$631:$V$631=J$631),--($D1405:$V1405=1)),0)+SUM(J802)+IF(COUNTIF(J$1237:J1405,1)=1,5,0)+IF(COUNTIF(K803:$W803,"&gt;"&amp;0)&lt;5,IF(AND(COUNTIF(J$1237:J1405,1)&gt;7,MOD(1+IFERROR(MATCH($C803,总览!$D$46:$D$345,1)+1,1),7)=0),$C$3,0),0)</f>
        <v>499.399999999999</v>
      </c>
      <c r="K803" s="131" cm="1">
        <f ca="1" t="array" ref="K803">IF(K1405=1,OFFSET($W$634,$B803,K$631-1)/SUMPRODUCT(--($D$631:$V$631=K$631),--($D1405:$V1405=1)),0)+SUM(K802)+IF(COUNTIF(K$1237:K1405,1)=1,5,0)+IF(COUNTIF(L803:$W803,"&gt;"&amp;0)&lt;5,IF(AND(COUNTIF(K$1237:K1405,1)&gt;7,MOD(1+IFERROR(MATCH($C803,总览!$D$46:$D$345,1)+1,1),7)=0),$C$3,0),0)</f>
        <v>496.899999999999</v>
      </c>
      <c r="L803" s="131" cm="1">
        <f ca="1" t="array" ref="L803">IF(L1405=1,OFFSET($W$634,$B803,L$631-1)/SUMPRODUCT(--($D$631:$V$631=L$631),--($D1405:$V1405=1)),0)+SUM(L802)+IF(COUNTIF(L$1237:L1405,1)=1,5,0)+IF(COUNTIF(M803:$W803,"&gt;"&amp;0)&lt;5,IF(AND(COUNTIF(L$1237:L1405,1)&gt;7,MOD(1+IFERROR(MATCH($C803,总览!$D$46:$D$345,1)+1,1),7)=0),$C$3,0),0)</f>
        <v>496.899999999999</v>
      </c>
      <c r="M803" s="131" cm="1">
        <f ca="1" t="array" ref="M803">IF(M1405=1,OFFSET($W$634,$B803,M$631-1)/SUMPRODUCT(--($D$631:$V$631=M$631),--($D1405:$V1405=1)),0)+SUM(M802)+IF(COUNTIF(M$1237:M1405,1)=1,5,0)+IF(COUNTIF(N803:$W803,"&gt;"&amp;0)&lt;5,IF(AND(COUNTIF(M$1237:M1405,1)&gt;7,MOD(1+IFERROR(MATCH($C803,总览!$D$46:$D$345,1)+1,1),7)=0),$C$3,0),0)</f>
        <v>199.181249999999</v>
      </c>
      <c r="N803" s="131" cm="1">
        <f ca="1" t="array" ref="N803">IF(N1405=1,OFFSET($W$634,$B803,N$631-1)/SUMPRODUCT(--($D$631:$V$631=N$631),--($D1405:$V1405=1)),0)+SUM(N802)+IF(COUNTIF(N$1237:N1405,1)=1,5,0)+IF(COUNTIF(O803:$W803,"&gt;"&amp;0)&lt;5,IF(AND(COUNTIF(N$1237:N1405,1)&gt;7,MOD(1+IFERROR(MATCH($C803,总览!$D$46:$D$345,1)+1,1),7)=0),$C$3,0),0)</f>
        <v>200.431249999999</v>
      </c>
      <c r="O803" s="131" cm="1">
        <f ca="1" t="array" ref="O803">IF(O1405=1,OFFSET($W$634,$B803,O$631-1)/SUMPRODUCT(--($D$631:$V$631=O$631),--($D1405:$V1405=1)),0)+SUM(O802)+IF(COUNTIF(O$1237:O1405,1)=1,5,0)+IF(COUNTIF(P803:$W803,"&gt;"&amp;0)&lt;5,IF(AND(COUNTIF(O$1237:O1405,1)&gt;7,MOD(1+IFERROR(MATCH($C803,总览!$D$46:$D$345,1)+1,1),7)=0),$C$3,0),0)</f>
        <v>205.431249999999</v>
      </c>
      <c r="P803" s="131" cm="1">
        <f ca="1" t="array" ref="P803">IF(P1405=1,OFFSET($W$634,$B803,P$631-1)/SUMPRODUCT(--($D$631:$V$631=P$631),--($D1405:$V1405=1)),0)+SUM(P802)+IF(COUNTIF(P$1237:P1405,1)=1,5,0)+IF(COUNTIF(Q803:$W803,"&gt;"&amp;0)&lt;5,IF(AND(COUNTIF(P$1237:P1405,1)&gt;7,MOD(1+IFERROR(MATCH($C803,总览!$D$46:$D$345,1)+1,1),7)=0),$C$3,0),0)</f>
        <v>194.549999999999</v>
      </c>
      <c r="Q803" s="131" cm="1">
        <f ca="1" t="array" ref="Q803">IF(Q1405=1,OFFSET($W$634,$B803,Q$631-1)/SUMPRODUCT(--($D$631:$V$631=Q$631),--($D1405:$V1405=1)),0)+SUM(Q802)+IF(COUNTIF(Q$1237:Q1405,1)=1,5,0)+IF(COUNTIF(R803:$W803,"&gt;"&amp;0)&lt;5,IF(AND(COUNTIF(Q$1237:Q1405,1)&gt;7,MOD(1+IFERROR(MATCH($C803,总览!$D$46:$D$345,1)+1,1),7)=0),$C$3,0),0)</f>
        <v>207.931249999999</v>
      </c>
      <c r="R803" s="131" cm="1">
        <f ca="1" t="array" ref="R803">IF(R1405=1,OFFSET($W$634,$B803,R$631-1)/SUMPRODUCT(--($D$631:$V$631=R$631),--($D1405:$V1405=1)),0)+SUM(R802)+IF(COUNTIF(R$1237:R1405,1)=1,5,0)+IF(COUNTIF(S803:$W803,"&gt;"&amp;0)&lt;5,IF(AND(COUNTIF(R$1237:R1405,1)&gt;7,MOD(1+IFERROR(MATCH($C803,总览!$D$46:$D$345,1)+1,1),7)=0),$C$3,0),0)</f>
        <v>199.549999999999</v>
      </c>
      <c r="S803" s="131" cm="1">
        <f ca="1" t="array" ref="S803">IF(S1405=1,OFFSET($W$634,$B803,S$631-1)/SUMPRODUCT(--($D$631:$V$631=S$631),--($D1405:$V1405=1)),0)+SUM(S802)+IF(COUNTIF(S$1237:S1405,1)=1,5,0)+IF(COUNTIF(T803:$W803,"&gt;"&amp;0)&lt;5,IF(AND(COUNTIF(S$1237:S1405,1)&gt;7,MOD(1+IFERROR(MATCH($C803,总览!$D$46:$D$345,1)+1,1),7)=0),$C$3,0),0)</f>
        <v>282.049999999999</v>
      </c>
      <c r="T803" s="131" cm="1">
        <f ca="1" t="array" ref="T803">IF(T1405=1,OFFSET($W$634,$B803,T$631-1)/SUMPRODUCT(--($D$631:$V$631=T$631),--($D1405:$V1405=1)),0)+SUM(T802)+IF(COUNTIF(T$1237:T1405,1)=1,5,0)+IF(COUNTIF(U803:$W803,"&gt;"&amp;0)&lt;5,IF(AND(COUNTIF(T$1237:T1405,1)&gt;7,MOD(1+IFERROR(MATCH($C803,总览!$D$46:$D$345,1)+1,1),7)=0),$C$3,0),0)</f>
        <v>202.602895685586</v>
      </c>
      <c r="U803" s="131" cm="1">
        <f ca="1" t="array" ref="U803">IF(U1405=1,OFFSET($W$634,$B803,U$631-1)/SUMPRODUCT(--($D$631:$V$631=U$631),--($D1405:$V1405=1)),0)+SUM(U802)+IF(COUNTIF(U$1237:U1405,1)=1,5,0)+IF(COUNTIF(V803:$W803,"&gt;"&amp;0)&lt;5,IF(AND(COUNTIF(U$1237:U1405,1)&gt;7,MOD(1+IFERROR(MATCH($C803,总览!$D$46:$D$345,1)+1,1),7)=0),$C$3,0),0)</f>
        <v>208.123682040885</v>
      </c>
      <c r="V803" s="131" cm="1">
        <f ca="1" t="array" ref="V803">IF(V1405=1,OFFSET($W$634,$B803,V$631-1)/SUMPRODUCT(--($D$631:$V$631=V$631),--($D1405:$V1405=1)),0)+SUM(V802)+IF(COUNTIF(V$1237:V1405,1)=1,5,0)+IF(COUNTIF(W803:$W803,"&gt;"&amp;0)&lt;5,IF(AND(COUNTIF(V$1237:V1405,1)&gt;7,MOD(1+IFERROR(MATCH($C803,总览!$D$46:$D$345,1)+1,1),7)=0),$C$3,0),0)</f>
        <v>227.950681753319</v>
      </c>
      <c r="W803" s="135" cm="1">
        <f ca="1" t="array" ref="W803">SUMPRODUCT(TRANSPOSE($AA803:$AG803),OFFSET($L$9:$L$15,0,W$631-1))</f>
        <v>16.8502200646615</v>
      </c>
      <c r="X803" s="135" cm="1">
        <f ca="1" t="array" ref="X803">SUMPRODUCT(TRANSPOSE($AA803:$AG803),OFFSET($L$9:$L$15,0,X$631-1))</f>
        <v>20</v>
      </c>
      <c r="Y803" s="135" cm="1">
        <f ca="1" t="array" ref="Y803">SUMPRODUCT(TRANSPOSE($AA803:$AG803),OFFSET($L$9:$L$15,0,Y$631-1))</f>
        <v>10</v>
      </c>
      <c r="Z803" s="135" cm="1">
        <f ca="1" t="array" ref="Z803">SUMPRODUCT(TRANSPOSE($AA803:$AG803),OFFSET($L$9:$L$15,0,Z$631-1))</f>
        <v>3.14977993533847</v>
      </c>
      <c r="AA803" s="136">
        <f ca="1" t="shared" ref="AA803:AG803" si="581">AH803-AH802</f>
        <v>0</v>
      </c>
      <c r="AB803" s="136">
        <f ca="1" t="shared" si="581"/>
        <v>0</v>
      </c>
      <c r="AC803" s="136">
        <f ca="1" t="shared" si="581"/>
        <v>0</v>
      </c>
      <c r="AD803" s="136">
        <f ca="1" t="shared" si="581"/>
        <v>0</v>
      </c>
      <c r="AE803" s="136">
        <f ca="1" t="shared" si="581"/>
        <v>0</v>
      </c>
      <c r="AF803" s="136">
        <f ca="1" t="shared" si="581"/>
        <v>0</v>
      </c>
      <c r="AG803" s="136">
        <f ca="1" t="shared" si="581"/>
        <v>100</v>
      </c>
      <c r="AH803" s="136">
        <f ca="1" t="shared" si="501"/>
        <v>450</v>
      </c>
      <c r="AI803" s="136">
        <f ca="1" t="shared" ref="AI803:AN803" si="582">IF($C803&gt;OFFSET($Q$8,MATCH(AI$634,$AH$634:$AN$634,0),0),OFFSET($P$8,MATCH(AI$634,$AH$634:$AN$634,0),0),MAX(0,$C803-OFFSET($Q$8,RIGHT(AI$634,1)-1,0)))</f>
        <v>909</v>
      </c>
      <c r="AJ803" s="136">
        <f ca="1" t="shared" si="582"/>
        <v>1818</v>
      </c>
      <c r="AK803" s="136">
        <f ca="1" t="shared" si="582"/>
        <v>2727</v>
      </c>
      <c r="AL803" s="136">
        <f ca="1" t="shared" si="582"/>
        <v>3636</v>
      </c>
      <c r="AM803" s="136">
        <f ca="1" t="shared" si="582"/>
        <v>4545</v>
      </c>
      <c r="AN803" s="136">
        <f ca="1" t="shared" si="582"/>
        <v>2815</v>
      </c>
    </row>
    <row r="804" s="106" customFormat="1" ht="16.5" spans="2:40">
      <c r="B804" s="117">
        <v>170</v>
      </c>
      <c r="C804" s="130">
        <f t="shared" si="499"/>
        <v>17000</v>
      </c>
      <c r="D804" s="131" cm="1">
        <f ca="1" t="array" ref="D804">IF(D1406=1,OFFSET($W$634,$B804,D$631-1)/SUMPRODUCT(--($D$631:$V$631=D$631),--($D1406:$V1406=1)),0)+SUM(D803)+IF(COUNTIF(D$1237:D1406,1)=1,5,0)+IF(COUNTIF(E804:$W804,"&gt;"&amp;0)&lt;5,IF(AND(COUNTIF(D$1237:D1406,1)&gt;7,MOD(1+IFERROR(MATCH($C804,总览!$D$46:$D$345,1)+1,1),7)=0),$C$3,0),0)</f>
        <v>1282.54932019496</v>
      </c>
      <c r="E804" s="131" cm="1">
        <f ca="1" t="array" ref="E804">IF(E1406=1,OFFSET($W$634,$B804,E$631-1)/SUMPRODUCT(--($D$631:$V$631=E$631),--($D1406:$V1406=1)),0)+SUM(E803)+IF(COUNTIF(E$1237:E1406,1)=1,5,0)+IF(COUNTIF(F804:$W804,"&gt;"&amp;0)&lt;5,IF(AND(COUNTIF(E$1237:E1406,1)&gt;7,MOD(1+IFERROR(MATCH($C804,总览!$D$46:$D$345,1)+1,1),7)=0),$C$3,0),0)</f>
        <v>1282.54932019496</v>
      </c>
      <c r="F804" s="131" cm="1">
        <f ca="1" t="array" ref="F804">IF(F1406=1,OFFSET($W$634,$B804,F$631-1)/SUMPRODUCT(--($D$631:$V$631=F$631),--($D1406:$V1406=1)),0)+SUM(F803)+IF(COUNTIF(F$1237:F1406,1)=1,5,0)+IF(COUNTIF(G804:$W804,"&gt;"&amp;0)&lt;5,IF(AND(COUNTIF(F$1237:F1406,1)&gt;7,MOD(1+IFERROR(MATCH($C804,总览!$D$46:$D$345,1)+1,1),7)=0),$C$3,0),0)</f>
        <v>1282.54932019496</v>
      </c>
      <c r="G804" s="131" cm="1">
        <f ca="1" t="array" ref="G804">IF(G1406=1,OFFSET($W$634,$B804,G$631-1)/SUMPRODUCT(--($D$631:$V$631=G$631),--($D1406:$V1406=1)),0)+SUM(G803)+IF(COUNTIF(G$1237:G1406,1)=1,5,0)+IF(COUNTIF(H804:$W804,"&gt;"&amp;0)&lt;5,IF(AND(COUNTIF(G$1237:G1406,1)&gt;7,MOD(1+IFERROR(MATCH($C804,总览!$D$46:$D$345,1)+1,1),7)=0),$C$3,0),0)</f>
        <v>506.066666666665</v>
      </c>
      <c r="H804" s="131" cm="1">
        <f ca="1" t="array" ref="H804">IF(H1406=1,OFFSET($W$634,$B804,H$631-1)/SUMPRODUCT(--($D$631:$V$631=H$631),--($D1406:$V1406=1)),0)+SUM(H803)+IF(COUNTIF(H$1237:H1406,1)=1,5,0)+IF(COUNTIF(I804:$W804,"&gt;"&amp;0)&lt;5,IF(AND(COUNTIF(H$1237:H1406,1)&gt;7,MOD(1+IFERROR(MATCH($C804,总览!$D$46:$D$345,1)+1,1),7)=0),$C$3,0),0)</f>
        <v>506.066666666665</v>
      </c>
      <c r="I804" s="131" cm="1">
        <f ca="1" t="array" ref="I804">IF(I1406=1,OFFSET($W$634,$B804,I$631-1)/SUMPRODUCT(--($D$631:$V$631=I$631),--($D1406:$V1406=1)),0)+SUM(I803)+IF(COUNTIF(I$1237:I1406,1)=1,5,0)+IF(COUNTIF(J804:$W804,"&gt;"&amp;0)&lt;5,IF(AND(COUNTIF(I$1237:I1406,1)&gt;7,MOD(1+IFERROR(MATCH($C804,总览!$D$46:$D$345,1)+1,1),7)=0),$C$3,0),0)</f>
        <v>506.066666666665</v>
      </c>
      <c r="J804" s="131" cm="1">
        <f ca="1" t="array" ref="J804">IF(J1406=1,OFFSET($W$634,$B804,J$631-1)/SUMPRODUCT(--($D$631:$V$631=J$631),--($D1406:$V1406=1)),0)+SUM(J803)+IF(COUNTIF(J$1237:J1406,1)=1,5,0)+IF(COUNTIF(K804:$W804,"&gt;"&amp;0)&lt;5,IF(AND(COUNTIF(J$1237:J1406,1)&gt;7,MOD(1+IFERROR(MATCH($C804,总览!$D$46:$D$345,1)+1,1),7)=0),$C$3,0),0)</f>
        <v>502.733333333332</v>
      </c>
      <c r="K804" s="131" cm="1">
        <f ca="1" t="array" ref="K804">IF(K1406=1,OFFSET($W$634,$B804,K$631-1)/SUMPRODUCT(--($D$631:$V$631=K$631),--($D1406:$V1406=1)),0)+SUM(K803)+IF(COUNTIF(K$1237:K1406,1)=1,5,0)+IF(COUNTIF(L804:$W804,"&gt;"&amp;0)&lt;5,IF(AND(COUNTIF(K$1237:K1406,1)&gt;7,MOD(1+IFERROR(MATCH($C804,总览!$D$46:$D$345,1)+1,1),7)=0),$C$3,0),0)</f>
        <v>500.233333333332</v>
      </c>
      <c r="L804" s="131" cm="1">
        <f ca="1" t="array" ref="L804">IF(L1406=1,OFFSET($W$634,$B804,L$631-1)/SUMPRODUCT(--($D$631:$V$631=L$631),--($D1406:$V1406=1)),0)+SUM(L803)+IF(COUNTIF(L$1237:L1406,1)=1,5,0)+IF(COUNTIF(M804:$W804,"&gt;"&amp;0)&lt;5,IF(AND(COUNTIF(L$1237:L1406,1)&gt;7,MOD(1+IFERROR(MATCH($C804,总览!$D$46:$D$345,1)+1,1),7)=0),$C$3,0),0)</f>
        <v>500.233333333332</v>
      </c>
      <c r="M804" s="131" cm="1">
        <f ca="1" t="array" ref="M804">IF(M1406=1,OFFSET($W$634,$B804,M$631-1)/SUMPRODUCT(--($D$631:$V$631=M$631),--($D1406:$V1406=1)),0)+SUM(M803)+IF(COUNTIF(M$1237:M1406,1)=1,5,0)+IF(COUNTIF(N804:$W804,"&gt;"&amp;0)&lt;5,IF(AND(COUNTIF(M$1237:M1406,1)&gt;7,MOD(1+IFERROR(MATCH($C804,总览!$D$46:$D$345,1)+1,1),7)=0),$C$3,0),0)</f>
        <v>200.609821428571</v>
      </c>
      <c r="N804" s="131" cm="1">
        <f ca="1" t="array" ref="N804">IF(N1406=1,OFFSET($W$634,$B804,N$631-1)/SUMPRODUCT(--($D$631:$V$631=N$631),--($D1406:$V1406=1)),0)+SUM(N803)+IF(COUNTIF(N$1237:N1406,1)=1,5,0)+IF(COUNTIF(O804:$W804,"&gt;"&amp;0)&lt;5,IF(AND(COUNTIF(N$1237:N1406,1)&gt;7,MOD(1+IFERROR(MATCH($C804,总览!$D$46:$D$345,1)+1,1),7)=0),$C$3,0),0)</f>
        <v>201.859821428571</v>
      </c>
      <c r="O804" s="131" cm="1">
        <f ca="1" t="array" ref="O804">IF(O1406=1,OFFSET($W$634,$B804,O$631-1)/SUMPRODUCT(--($D$631:$V$631=O$631),--($D1406:$V1406=1)),0)+SUM(O803)+IF(COUNTIF(O$1237:O1406,1)=1,5,0)+IF(COUNTIF(P804:$W804,"&gt;"&amp;0)&lt;5,IF(AND(COUNTIF(O$1237:O1406,1)&gt;7,MOD(1+IFERROR(MATCH($C804,总览!$D$46:$D$345,1)+1,1),7)=0),$C$3,0),0)</f>
        <v>206.859821428571</v>
      </c>
      <c r="P804" s="131" cm="1">
        <f ca="1" t="array" ref="P804">IF(P1406=1,OFFSET($W$634,$B804,P$631-1)/SUMPRODUCT(--($D$631:$V$631=P$631),--($D1406:$V1406=1)),0)+SUM(P803)+IF(COUNTIF(P$1237:P1406,1)=1,5,0)+IF(COUNTIF(Q804:$W804,"&gt;"&amp;0)&lt;5,IF(AND(COUNTIF(P$1237:P1406,1)&gt;7,MOD(1+IFERROR(MATCH($C804,总览!$D$46:$D$345,1)+1,1),7)=0),$C$3,0),0)</f>
        <v>195.978571428571</v>
      </c>
      <c r="Q804" s="131" cm="1">
        <f ca="1" t="array" ref="Q804">IF(Q1406=1,OFFSET($W$634,$B804,Q$631-1)/SUMPRODUCT(--($D$631:$V$631=Q$631),--($D1406:$V1406=1)),0)+SUM(Q803)+IF(COUNTIF(Q$1237:Q1406,1)=1,5,0)+IF(COUNTIF(R804:$W804,"&gt;"&amp;0)&lt;5,IF(AND(COUNTIF(Q$1237:Q1406,1)&gt;7,MOD(1+IFERROR(MATCH($C804,总览!$D$46:$D$345,1)+1,1),7)=0),$C$3,0),0)</f>
        <v>209.359821428571</v>
      </c>
      <c r="R804" s="131" cm="1">
        <f ca="1" t="array" ref="R804">IF(R1406=1,OFFSET($W$634,$B804,R$631-1)/SUMPRODUCT(--($D$631:$V$631=R$631),--($D1406:$V1406=1)),0)+SUM(R803)+IF(COUNTIF(R$1237:R1406,1)=1,5,0)+IF(COUNTIF(S804:$W804,"&gt;"&amp;0)&lt;5,IF(AND(COUNTIF(R$1237:R1406,1)&gt;7,MOD(1+IFERROR(MATCH($C804,总览!$D$46:$D$345,1)+1,1),7)=0),$C$3,0),0)</f>
        <v>200.978571428571</v>
      </c>
      <c r="S804" s="131" cm="1">
        <f ca="1" t="array" ref="S804">IF(S1406=1,OFFSET($W$634,$B804,S$631-1)/SUMPRODUCT(--($D$631:$V$631=S$631),--($D1406:$V1406=1)),0)+SUM(S803)+IF(COUNTIF(S$1237:S1406,1)=1,5,0)+IF(COUNTIF(T804:$W804,"&gt;"&amp;0)&lt;5,IF(AND(COUNTIF(S$1237:S1406,1)&gt;7,MOD(1+IFERROR(MATCH($C804,总览!$D$46:$D$345,1)+1,1),7)=0),$C$3,0),0)</f>
        <v>283.478571428571</v>
      </c>
      <c r="T804" s="131" cm="1">
        <f ca="1" t="array" ref="T804">IF(T1406=1,OFFSET($W$634,$B804,T$631-1)/SUMPRODUCT(--($D$631:$V$631=T$631),--($D1406:$V1406=1)),0)+SUM(T803)+IF(COUNTIF(T$1237:T1406,1)=1,5,0)+IF(COUNTIF(U804:$W804,"&gt;"&amp;0)&lt;5,IF(AND(COUNTIF(T$1237:T1406,1)&gt;7,MOD(1+IFERROR(MATCH($C804,总览!$D$46:$D$345,1)+1,1),7)=0),$C$3,0),0)</f>
        <v>203.652822330699</v>
      </c>
      <c r="U804" s="131" cm="1">
        <f ca="1" t="array" ref="U804">IF(U1406=1,OFFSET($W$634,$B804,U$631-1)/SUMPRODUCT(--($D$631:$V$631=U$631),--($D1406:$V1406=1)),0)+SUM(U803)+IF(COUNTIF(U$1237:U1406,1)=1,5,0)+IF(COUNTIF(V804:$W804,"&gt;"&amp;0)&lt;5,IF(AND(COUNTIF(U$1237:U1406,1)&gt;7,MOD(1+IFERROR(MATCH($C804,总览!$D$46:$D$345,1)+1,1),7)=0),$C$3,0),0)</f>
        <v>209.173608685998</v>
      </c>
      <c r="V804" s="131" cm="1">
        <f ca="1" t="array" ref="V804">IF(V1406=1,OFFSET($W$634,$B804,V$631-1)/SUMPRODUCT(--($D$631:$V$631=V$631),--($D1406:$V1406=1)),0)+SUM(V803)+IF(COUNTIF(V$1237:V1406,1)=1,5,0)+IF(COUNTIF(W804:$W804,"&gt;"&amp;0)&lt;5,IF(AND(COUNTIF(V$1237:V1406,1)&gt;7,MOD(1+IFERROR(MATCH($C804,总览!$D$46:$D$345,1)+1,1),7)=0),$C$3,0),0)</f>
        <v>229.000608398432</v>
      </c>
      <c r="W804" s="135" cm="1">
        <f ca="1" t="array" ref="W804">SUMPRODUCT(TRANSPOSE($AA804:$AG804),OFFSET($L$9:$L$15,0,W$631-1))</f>
        <v>16.8502200646615</v>
      </c>
      <c r="X804" s="135" cm="1">
        <f ca="1" t="array" ref="X804">SUMPRODUCT(TRANSPOSE($AA804:$AG804),OFFSET($L$9:$L$15,0,X$631-1))</f>
        <v>20</v>
      </c>
      <c r="Y804" s="135" cm="1">
        <f ca="1" t="array" ref="Y804">SUMPRODUCT(TRANSPOSE($AA804:$AG804),OFFSET($L$9:$L$15,0,Y$631-1))</f>
        <v>10</v>
      </c>
      <c r="Z804" s="135" cm="1">
        <f ca="1" t="array" ref="Z804">SUMPRODUCT(TRANSPOSE($AA804:$AG804),OFFSET($L$9:$L$15,0,Z$631-1))</f>
        <v>3.14977993533847</v>
      </c>
      <c r="AA804" s="136">
        <f ca="1" t="shared" ref="AA804:AG804" si="583">AH804-AH803</f>
        <v>0</v>
      </c>
      <c r="AB804" s="136">
        <f ca="1" t="shared" si="583"/>
        <v>0</v>
      </c>
      <c r="AC804" s="136">
        <f ca="1" t="shared" si="583"/>
        <v>0</v>
      </c>
      <c r="AD804" s="136">
        <f ca="1" t="shared" si="583"/>
        <v>0</v>
      </c>
      <c r="AE804" s="136">
        <f ca="1" t="shared" si="583"/>
        <v>0</v>
      </c>
      <c r="AF804" s="136">
        <f ca="1" t="shared" si="583"/>
        <v>0</v>
      </c>
      <c r="AG804" s="136">
        <f ca="1" t="shared" si="583"/>
        <v>100</v>
      </c>
      <c r="AH804" s="136">
        <f ca="1" t="shared" si="501"/>
        <v>450</v>
      </c>
      <c r="AI804" s="136">
        <f ca="1" t="shared" ref="AI804:AN804" si="584">IF($C804&gt;OFFSET($Q$8,MATCH(AI$634,$AH$634:$AN$634,0),0),OFFSET($P$8,MATCH(AI$634,$AH$634:$AN$634,0),0),MAX(0,$C804-OFFSET($Q$8,RIGHT(AI$634,1)-1,0)))</f>
        <v>909</v>
      </c>
      <c r="AJ804" s="136">
        <f ca="1" t="shared" si="584"/>
        <v>1818</v>
      </c>
      <c r="AK804" s="136">
        <f ca="1" t="shared" si="584"/>
        <v>2727</v>
      </c>
      <c r="AL804" s="136">
        <f ca="1" t="shared" si="584"/>
        <v>3636</v>
      </c>
      <c r="AM804" s="136">
        <f ca="1" t="shared" si="584"/>
        <v>4545</v>
      </c>
      <c r="AN804" s="136">
        <f ca="1" t="shared" si="584"/>
        <v>2915</v>
      </c>
    </row>
    <row r="805" s="106" customFormat="1" ht="16.5" spans="2:40">
      <c r="B805" s="117">
        <v>171</v>
      </c>
      <c r="C805" s="130">
        <f t="shared" si="499"/>
        <v>17100</v>
      </c>
      <c r="D805" s="131" cm="1">
        <f ca="1" t="array" ref="D805">IF(D1407=1,OFFSET($W$634,$B805,D$631-1)/SUMPRODUCT(--($D$631:$V$631=D$631),--($D1407:$V1407=1)),0)+SUM(D804)+IF(COUNTIF(D$1237:D1407,1)=1,5,0)+IF(COUNTIF(E805:$W805,"&gt;"&amp;0)&lt;5,IF(AND(COUNTIF(D$1237:D1407,1)&gt;7,MOD(1+IFERROR(MATCH($C805,总览!$D$46:$D$345,1)+1,1),7)=0),$C$3,0),0)</f>
        <v>1288.16606021651</v>
      </c>
      <c r="E805" s="131" cm="1">
        <f ca="1" t="array" ref="E805">IF(E1407=1,OFFSET($W$634,$B805,E$631-1)/SUMPRODUCT(--($D$631:$V$631=E$631),--($D1407:$V1407=1)),0)+SUM(E804)+IF(COUNTIF(E$1237:E1407,1)=1,5,0)+IF(COUNTIF(F805:$W805,"&gt;"&amp;0)&lt;5,IF(AND(COUNTIF(E$1237:E1407,1)&gt;7,MOD(1+IFERROR(MATCH($C805,总览!$D$46:$D$345,1)+1,1),7)=0),$C$3,0),0)</f>
        <v>1288.16606021651</v>
      </c>
      <c r="F805" s="131" cm="1">
        <f ca="1" t="array" ref="F805">IF(F1407=1,OFFSET($W$634,$B805,F$631-1)/SUMPRODUCT(--($D$631:$V$631=F$631),--($D1407:$V1407=1)),0)+SUM(F804)+IF(COUNTIF(F$1237:F1407,1)=1,5,0)+IF(COUNTIF(G805:$W805,"&gt;"&amp;0)&lt;5,IF(AND(COUNTIF(F$1237:F1407,1)&gt;7,MOD(1+IFERROR(MATCH($C805,总览!$D$46:$D$345,1)+1,1),7)=0),$C$3,0),0)</f>
        <v>1288.16606021651</v>
      </c>
      <c r="G805" s="131" cm="1">
        <f ca="1" t="array" ref="G805">IF(G1407=1,OFFSET($W$634,$B805,G$631-1)/SUMPRODUCT(--($D$631:$V$631=G$631),--($D1407:$V1407=1)),0)+SUM(G804)+IF(COUNTIF(G$1237:G1407,1)=1,5,0)+IF(COUNTIF(H805:$W805,"&gt;"&amp;0)&lt;5,IF(AND(COUNTIF(G$1237:G1407,1)&gt;7,MOD(1+IFERROR(MATCH($C805,总览!$D$46:$D$345,1)+1,1),7)=0),$C$3,0),0)</f>
        <v>509.399999999999</v>
      </c>
      <c r="H805" s="131" cm="1">
        <f ca="1" t="array" ref="H805">IF(H1407=1,OFFSET($W$634,$B805,H$631-1)/SUMPRODUCT(--($D$631:$V$631=H$631),--($D1407:$V1407=1)),0)+SUM(H804)+IF(COUNTIF(H$1237:H1407,1)=1,5,0)+IF(COUNTIF(I805:$W805,"&gt;"&amp;0)&lt;5,IF(AND(COUNTIF(H$1237:H1407,1)&gt;7,MOD(1+IFERROR(MATCH($C805,总览!$D$46:$D$345,1)+1,1),7)=0),$C$3,0),0)</f>
        <v>509.399999999999</v>
      </c>
      <c r="I805" s="131" cm="1">
        <f ca="1" t="array" ref="I805">IF(I1407=1,OFFSET($W$634,$B805,I$631-1)/SUMPRODUCT(--($D$631:$V$631=I$631),--($D1407:$V1407=1)),0)+SUM(I804)+IF(COUNTIF(I$1237:I1407,1)=1,5,0)+IF(COUNTIF(J805:$W805,"&gt;"&amp;0)&lt;5,IF(AND(COUNTIF(I$1237:I1407,1)&gt;7,MOD(1+IFERROR(MATCH($C805,总览!$D$46:$D$345,1)+1,1),7)=0),$C$3,0),0)</f>
        <v>509.399999999999</v>
      </c>
      <c r="J805" s="131" cm="1">
        <f ca="1" t="array" ref="J805">IF(J1407=1,OFFSET($W$634,$B805,J$631-1)/SUMPRODUCT(--($D$631:$V$631=J$631),--($D1407:$V1407=1)),0)+SUM(J804)+IF(COUNTIF(J$1237:J1407,1)=1,5,0)+IF(COUNTIF(K805:$W805,"&gt;"&amp;0)&lt;5,IF(AND(COUNTIF(J$1237:J1407,1)&gt;7,MOD(1+IFERROR(MATCH($C805,总览!$D$46:$D$345,1)+1,1),7)=0),$C$3,0),0)</f>
        <v>506.066666666665</v>
      </c>
      <c r="K805" s="131" cm="1">
        <f ca="1" t="array" ref="K805">IF(K1407=1,OFFSET($W$634,$B805,K$631-1)/SUMPRODUCT(--($D$631:$V$631=K$631),--($D1407:$V1407=1)),0)+SUM(K804)+IF(COUNTIF(K$1237:K1407,1)=1,5,0)+IF(COUNTIF(L805:$W805,"&gt;"&amp;0)&lt;5,IF(AND(COUNTIF(K$1237:K1407,1)&gt;7,MOD(1+IFERROR(MATCH($C805,总览!$D$46:$D$345,1)+1,1),7)=0),$C$3,0),0)</f>
        <v>503.566666666665</v>
      </c>
      <c r="L805" s="131" cm="1">
        <f ca="1" t="array" ref="L805">IF(L1407=1,OFFSET($W$634,$B805,L$631-1)/SUMPRODUCT(--($D$631:$V$631=L$631),--($D1407:$V1407=1)),0)+SUM(L804)+IF(COUNTIF(L$1237:L1407,1)=1,5,0)+IF(COUNTIF(M805:$W805,"&gt;"&amp;0)&lt;5,IF(AND(COUNTIF(L$1237:L1407,1)&gt;7,MOD(1+IFERROR(MATCH($C805,总览!$D$46:$D$345,1)+1,1),7)=0),$C$3,0),0)</f>
        <v>503.566666666665</v>
      </c>
      <c r="M805" s="131" cm="1">
        <f ca="1" t="array" ref="M805">IF(M1407=1,OFFSET($W$634,$B805,M$631-1)/SUMPRODUCT(--($D$631:$V$631=M$631),--($D1407:$V1407=1)),0)+SUM(M804)+IF(COUNTIF(M$1237:M1407,1)=1,5,0)+IF(COUNTIF(N805:$W805,"&gt;"&amp;0)&lt;5,IF(AND(COUNTIF(M$1237:M1407,1)&gt;7,MOD(1+IFERROR(MATCH($C805,总览!$D$46:$D$345,1)+1,1),7)=0),$C$3,0),0)</f>
        <v>202.038392857142</v>
      </c>
      <c r="N805" s="131" cm="1">
        <f ca="1" t="array" ref="N805">IF(N1407=1,OFFSET($W$634,$B805,N$631-1)/SUMPRODUCT(--($D$631:$V$631=N$631),--($D1407:$V1407=1)),0)+SUM(N804)+IF(COUNTIF(N$1237:N1407,1)=1,5,0)+IF(COUNTIF(O805:$W805,"&gt;"&amp;0)&lt;5,IF(AND(COUNTIF(N$1237:N1407,1)&gt;7,MOD(1+IFERROR(MATCH($C805,总览!$D$46:$D$345,1)+1,1),7)=0),$C$3,0),0)</f>
        <v>203.288392857142</v>
      </c>
      <c r="O805" s="131" cm="1">
        <f ca="1" t="array" ref="O805">IF(O1407=1,OFFSET($W$634,$B805,O$631-1)/SUMPRODUCT(--($D$631:$V$631=O$631),--($D1407:$V1407=1)),0)+SUM(O804)+IF(COUNTIF(O$1237:O1407,1)=1,5,0)+IF(COUNTIF(P805:$W805,"&gt;"&amp;0)&lt;5,IF(AND(COUNTIF(O$1237:O1407,1)&gt;7,MOD(1+IFERROR(MATCH($C805,总览!$D$46:$D$345,1)+1,1),7)=0),$C$3,0),0)</f>
        <v>208.288392857142</v>
      </c>
      <c r="P805" s="131" cm="1">
        <f ca="1" t="array" ref="P805">IF(P1407=1,OFFSET($W$634,$B805,P$631-1)/SUMPRODUCT(--($D$631:$V$631=P$631),--($D1407:$V1407=1)),0)+SUM(P804)+IF(COUNTIF(P$1237:P1407,1)=1,5,0)+IF(COUNTIF(Q805:$W805,"&gt;"&amp;0)&lt;5,IF(AND(COUNTIF(P$1237:P1407,1)&gt;7,MOD(1+IFERROR(MATCH($C805,总览!$D$46:$D$345,1)+1,1),7)=0),$C$3,0),0)</f>
        <v>197.407142857142</v>
      </c>
      <c r="Q805" s="131" cm="1">
        <f ca="1" t="array" ref="Q805">IF(Q1407=1,OFFSET($W$634,$B805,Q$631-1)/SUMPRODUCT(--($D$631:$V$631=Q$631),--($D1407:$V1407=1)),0)+SUM(Q804)+IF(COUNTIF(Q$1237:Q1407,1)=1,5,0)+IF(COUNTIF(R805:$W805,"&gt;"&amp;0)&lt;5,IF(AND(COUNTIF(Q$1237:Q1407,1)&gt;7,MOD(1+IFERROR(MATCH($C805,总览!$D$46:$D$345,1)+1,1),7)=0),$C$3,0),0)</f>
        <v>210.788392857142</v>
      </c>
      <c r="R805" s="131" cm="1">
        <f ca="1" t="array" ref="R805">IF(R1407=1,OFFSET($W$634,$B805,R$631-1)/SUMPRODUCT(--($D$631:$V$631=R$631),--($D1407:$V1407=1)),0)+SUM(R804)+IF(COUNTIF(R$1237:R1407,1)=1,5,0)+IF(COUNTIF(S805:$W805,"&gt;"&amp;0)&lt;5,IF(AND(COUNTIF(R$1237:R1407,1)&gt;7,MOD(1+IFERROR(MATCH($C805,总览!$D$46:$D$345,1)+1,1),7)=0),$C$3,0),0)</f>
        <v>202.407142857142</v>
      </c>
      <c r="S805" s="131" cm="1">
        <f ca="1" t="array" ref="S805">IF(S1407=1,OFFSET($W$634,$B805,S$631-1)/SUMPRODUCT(--($D$631:$V$631=S$631),--($D1407:$V1407=1)),0)+SUM(S804)+IF(COUNTIF(S$1237:S1407,1)=1,5,0)+IF(COUNTIF(T805:$W805,"&gt;"&amp;0)&lt;5,IF(AND(COUNTIF(S$1237:S1407,1)&gt;7,MOD(1+IFERROR(MATCH($C805,总览!$D$46:$D$345,1)+1,1),7)=0),$C$3,0),0)</f>
        <v>289.907142857142</v>
      </c>
      <c r="T805" s="131" cm="1">
        <f ca="1" t="array" ref="T805">IF(T1407=1,OFFSET($W$634,$B805,T$631-1)/SUMPRODUCT(--($D$631:$V$631=T$631),--($D1407:$V1407=1)),0)+SUM(T804)+IF(COUNTIF(T$1237:T1407,1)=1,5,0)+IF(COUNTIF(U805:$W805,"&gt;"&amp;0)&lt;5,IF(AND(COUNTIF(T$1237:T1407,1)&gt;7,MOD(1+IFERROR(MATCH($C805,总览!$D$46:$D$345,1)+1,1),7)=0),$C$3,0),0)</f>
        <v>209.702748975811</v>
      </c>
      <c r="U805" s="131" cm="1">
        <f ca="1" t="array" ref="U805">IF(U1407=1,OFFSET($W$634,$B805,U$631-1)/SUMPRODUCT(--($D$631:$V$631=U$631),--($D1407:$V1407=1)),0)+SUM(U804)+IF(COUNTIF(U$1237:U1407,1)=1,5,0)+IF(COUNTIF(V805:$W805,"&gt;"&amp;0)&lt;5,IF(AND(COUNTIF(U$1237:U1407,1)&gt;7,MOD(1+IFERROR(MATCH($C805,总览!$D$46:$D$345,1)+1,1),7)=0),$C$3,0),0)</f>
        <v>215.223535331111</v>
      </c>
      <c r="V805" s="131" cm="1">
        <f ca="1" t="array" ref="V805">IF(V1407=1,OFFSET($W$634,$B805,V$631-1)/SUMPRODUCT(--($D$631:$V$631=V$631),--($D1407:$V1407=1)),0)+SUM(V804)+IF(COUNTIF(V$1237:V1407,1)=1,5,0)+IF(COUNTIF(W805:$W805,"&gt;"&amp;0)&lt;5,IF(AND(COUNTIF(V$1237:V1407,1)&gt;7,MOD(1+IFERROR(MATCH($C805,总览!$D$46:$D$345,1)+1,1),7)=0),$C$3,0),0)</f>
        <v>235.050535043545</v>
      </c>
      <c r="W805" s="135" cm="1">
        <f ca="1" t="array" ref="W805">SUMPRODUCT(TRANSPOSE($AA805:$AG805),OFFSET($L$9:$L$15,0,W$631-1))</f>
        <v>16.8502200646615</v>
      </c>
      <c r="X805" s="135" cm="1">
        <f ca="1" t="array" ref="X805">SUMPRODUCT(TRANSPOSE($AA805:$AG805),OFFSET($L$9:$L$15,0,X$631-1))</f>
        <v>20</v>
      </c>
      <c r="Y805" s="135" cm="1">
        <f ca="1" t="array" ref="Y805">SUMPRODUCT(TRANSPOSE($AA805:$AG805),OFFSET($L$9:$L$15,0,Y$631-1))</f>
        <v>10</v>
      </c>
      <c r="Z805" s="135" cm="1">
        <f ca="1" t="array" ref="Z805">SUMPRODUCT(TRANSPOSE($AA805:$AG805),OFFSET($L$9:$L$15,0,Z$631-1))</f>
        <v>3.14977993533847</v>
      </c>
      <c r="AA805" s="136">
        <f ca="1" t="shared" ref="AA805:AG805" si="585">AH805-AH804</f>
        <v>0</v>
      </c>
      <c r="AB805" s="136">
        <f ca="1" t="shared" si="585"/>
        <v>0</v>
      </c>
      <c r="AC805" s="136">
        <f ca="1" t="shared" si="585"/>
        <v>0</v>
      </c>
      <c r="AD805" s="136">
        <f ca="1" t="shared" si="585"/>
        <v>0</v>
      </c>
      <c r="AE805" s="136">
        <f ca="1" t="shared" si="585"/>
        <v>0</v>
      </c>
      <c r="AF805" s="136">
        <f ca="1" t="shared" si="585"/>
        <v>0</v>
      </c>
      <c r="AG805" s="136">
        <f ca="1" t="shared" si="585"/>
        <v>100</v>
      </c>
      <c r="AH805" s="136">
        <f ca="1" t="shared" si="501"/>
        <v>450</v>
      </c>
      <c r="AI805" s="136">
        <f ca="1" t="shared" ref="AI805:AN805" si="586">IF($C805&gt;OFFSET($Q$8,MATCH(AI$634,$AH$634:$AN$634,0),0),OFFSET($P$8,MATCH(AI$634,$AH$634:$AN$634,0),0),MAX(0,$C805-OFFSET($Q$8,RIGHT(AI$634,1)-1,0)))</f>
        <v>909</v>
      </c>
      <c r="AJ805" s="136">
        <f ca="1" t="shared" si="586"/>
        <v>1818</v>
      </c>
      <c r="AK805" s="136">
        <f ca="1" t="shared" si="586"/>
        <v>2727</v>
      </c>
      <c r="AL805" s="136">
        <f ca="1" t="shared" si="586"/>
        <v>3636</v>
      </c>
      <c r="AM805" s="136">
        <f ca="1" t="shared" si="586"/>
        <v>4545</v>
      </c>
      <c r="AN805" s="136">
        <f ca="1" t="shared" si="586"/>
        <v>3015</v>
      </c>
    </row>
    <row r="806" s="106" customFormat="1" ht="16.5" spans="2:40">
      <c r="B806" s="117">
        <v>172</v>
      </c>
      <c r="C806" s="130">
        <f t="shared" si="499"/>
        <v>17200</v>
      </c>
      <c r="D806" s="131" cm="1">
        <f ca="1" t="array" ref="D806">IF(D1408=1,OFFSET($W$634,$B806,D$631-1)/SUMPRODUCT(--($D$631:$V$631=D$631),--($D1408:$V1408=1)),0)+SUM(D805)+IF(COUNTIF(D$1237:D1408,1)=1,5,0)+IF(COUNTIF(E806:$W806,"&gt;"&amp;0)&lt;5,IF(AND(COUNTIF(D$1237:D1408,1)&gt;7,MOD(1+IFERROR(MATCH($C806,总览!$D$46:$D$345,1)+1,1),7)=0),$C$3,0),0)</f>
        <v>1293.78280023806</v>
      </c>
      <c r="E806" s="131" cm="1">
        <f ca="1" t="array" ref="E806">IF(E1408=1,OFFSET($W$634,$B806,E$631-1)/SUMPRODUCT(--($D$631:$V$631=E$631),--($D1408:$V1408=1)),0)+SUM(E805)+IF(COUNTIF(E$1237:E1408,1)=1,5,0)+IF(COUNTIF(F806:$W806,"&gt;"&amp;0)&lt;5,IF(AND(COUNTIF(E$1237:E1408,1)&gt;7,MOD(1+IFERROR(MATCH($C806,总览!$D$46:$D$345,1)+1,1),7)=0),$C$3,0),0)</f>
        <v>1293.78280023806</v>
      </c>
      <c r="F806" s="131" cm="1">
        <f ca="1" t="array" ref="F806">IF(F1408=1,OFFSET($W$634,$B806,F$631-1)/SUMPRODUCT(--($D$631:$V$631=F$631),--($D1408:$V1408=1)),0)+SUM(F805)+IF(COUNTIF(F$1237:F1408,1)=1,5,0)+IF(COUNTIF(G806:$W806,"&gt;"&amp;0)&lt;5,IF(AND(COUNTIF(F$1237:F1408,1)&gt;7,MOD(1+IFERROR(MATCH($C806,总览!$D$46:$D$345,1)+1,1),7)=0),$C$3,0),0)</f>
        <v>1293.78280023806</v>
      </c>
      <c r="G806" s="131" cm="1">
        <f ca="1" t="array" ref="G806">IF(G1408=1,OFFSET($W$634,$B806,G$631-1)/SUMPRODUCT(--($D$631:$V$631=G$631),--($D1408:$V1408=1)),0)+SUM(G805)+IF(COUNTIF(G$1237:G1408,1)=1,5,0)+IF(COUNTIF(H806:$W806,"&gt;"&amp;0)&lt;5,IF(AND(COUNTIF(G$1237:G1408,1)&gt;7,MOD(1+IFERROR(MATCH($C806,总览!$D$46:$D$345,1)+1,1),7)=0),$C$3,0),0)</f>
        <v>512.733333333332</v>
      </c>
      <c r="H806" s="131" cm="1">
        <f ca="1" t="array" ref="H806">IF(H1408=1,OFFSET($W$634,$B806,H$631-1)/SUMPRODUCT(--($D$631:$V$631=H$631),--($D1408:$V1408=1)),0)+SUM(H805)+IF(COUNTIF(H$1237:H1408,1)=1,5,0)+IF(COUNTIF(I806:$W806,"&gt;"&amp;0)&lt;5,IF(AND(COUNTIF(H$1237:H1408,1)&gt;7,MOD(1+IFERROR(MATCH($C806,总览!$D$46:$D$345,1)+1,1),7)=0),$C$3,0),0)</f>
        <v>512.733333333332</v>
      </c>
      <c r="I806" s="131" cm="1">
        <f ca="1" t="array" ref="I806">IF(I1408=1,OFFSET($W$634,$B806,I$631-1)/SUMPRODUCT(--($D$631:$V$631=I$631),--($D1408:$V1408=1)),0)+SUM(I805)+IF(COUNTIF(I$1237:I1408,1)=1,5,0)+IF(COUNTIF(J806:$W806,"&gt;"&amp;0)&lt;5,IF(AND(COUNTIF(I$1237:I1408,1)&gt;7,MOD(1+IFERROR(MATCH($C806,总览!$D$46:$D$345,1)+1,1),7)=0),$C$3,0),0)</f>
        <v>512.733333333332</v>
      </c>
      <c r="J806" s="131" cm="1">
        <f ca="1" t="array" ref="J806">IF(J1408=1,OFFSET($W$634,$B806,J$631-1)/SUMPRODUCT(--($D$631:$V$631=J$631),--($D1408:$V1408=1)),0)+SUM(J805)+IF(COUNTIF(J$1237:J1408,1)=1,5,0)+IF(COUNTIF(K806:$W806,"&gt;"&amp;0)&lt;5,IF(AND(COUNTIF(J$1237:J1408,1)&gt;7,MOD(1+IFERROR(MATCH($C806,总览!$D$46:$D$345,1)+1,1),7)=0),$C$3,0),0)</f>
        <v>509.399999999999</v>
      </c>
      <c r="K806" s="131" cm="1">
        <f ca="1" t="array" ref="K806">IF(K1408=1,OFFSET($W$634,$B806,K$631-1)/SUMPRODUCT(--($D$631:$V$631=K$631),--($D1408:$V1408=1)),0)+SUM(K805)+IF(COUNTIF(K$1237:K1408,1)=1,5,0)+IF(COUNTIF(L806:$W806,"&gt;"&amp;0)&lt;5,IF(AND(COUNTIF(K$1237:K1408,1)&gt;7,MOD(1+IFERROR(MATCH($C806,总览!$D$46:$D$345,1)+1,1),7)=0),$C$3,0),0)</f>
        <v>506.899999999999</v>
      </c>
      <c r="L806" s="131" cm="1">
        <f ca="1" t="array" ref="L806">IF(L1408=1,OFFSET($W$634,$B806,L$631-1)/SUMPRODUCT(--($D$631:$V$631=L$631),--($D1408:$V1408=1)),0)+SUM(L805)+IF(COUNTIF(L$1237:L1408,1)=1,5,0)+IF(COUNTIF(M806:$W806,"&gt;"&amp;0)&lt;5,IF(AND(COUNTIF(L$1237:L1408,1)&gt;7,MOD(1+IFERROR(MATCH($C806,总览!$D$46:$D$345,1)+1,1),7)=0),$C$3,0),0)</f>
        <v>506.899999999999</v>
      </c>
      <c r="M806" s="131" cm="1">
        <f ca="1" t="array" ref="M806">IF(M1408=1,OFFSET($W$634,$B806,M$631-1)/SUMPRODUCT(--($D$631:$V$631=M$631),--($D1408:$V1408=1)),0)+SUM(M805)+IF(COUNTIF(M$1237:M1408,1)=1,5,0)+IF(COUNTIF(N806:$W806,"&gt;"&amp;0)&lt;5,IF(AND(COUNTIF(M$1237:M1408,1)&gt;7,MOD(1+IFERROR(MATCH($C806,总览!$D$46:$D$345,1)+1,1),7)=0),$C$3,0),0)</f>
        <v>203.466964285714</v>
      </c>
      <c r="N806" s="131" cm="1">
        <f ca="1" t="array" ref="N806">IF(N1408=1,OFFSET($W$634,$B806,N$631-1)/SUMPRODUCT(--($D$631:$V$631=N$631),--($D1408:$V1408=1)),0)+SUM(N805)+IF(COUNTIF(N$1237:N1408,1)=1,5,0)+IF(COUNTIF(O806:$W806,"&gt;"&amp;0)&lt;5,IF(AND(COUNTIF(N$1237:N1408,1)&gt;7,MOD(1+IFERROR(MATCH($C806,总览!$D$46:$D$345,1)+1,1),7)=0),$C$3,0),0)</f>
        <v>204.716964285714</v>
      </c>
      <c r="O806" s="131" cm="1">
        <f ca="1" t="array" ref="O806">IF(O1408=1,OFFSET($W$634,$B806,O$631-1)/SUMPRODUCT(--($D$631:$V$631=O$631),--($D1408:$V1408=1)),0)+SUM(O805)+IF(COUNTIF(O$1237:O1408,1)=1,5,0)+IF(COUNTIF(P806:$W806,"&gt;"&amp;0)&lt;5,IF(AND(COUNTIF(O$1237:O1408,1)&gt;7,MOD(1+IFERROR(MATCH($C806,总览!$D$46:$D$345,1)+1,1),7)=0),$C$3,0),0)</f>
        <v>209.716964285713</v>
      </c>
      <c r="P806" s="131" cm="1">
        <f ca="1" t="array" ref="P806">IF(P1408=1,OFFSET($W$634,$B806,P$631-1)/SUMPRODUCT(--($D$631:$V$631=P$631),--($D1408:$V1408=1)),0)+SUM(P805)+IF(COUNTIF(P$1237:P1408,1)=1,5,0)+IF(COUNTIF(Q806:$W806,"&gt;"&amp;0)&lt;5,IF(AND(COUNTIF(P$1237:P1408,1)&gt;7,MOD(1+IFERROR(MATCH($C806,总览!$D$46:$D$345,1)+1,1),7)=0),$C$3,0),0)</f>
        <v>198.835714285714</v>
      </c>
      <c r="Q806" s="131" cm="1">
        <f ca="1" t="array" ref="Q806">IF(Q1408=1,OFFSET($W$634,$B806,Q$631-1)/SUMPRODUCT(--($D$631:$V$631=Q$631),--($D1408:$V1408=1)),0)+SUM(Q805)+IF(COUNTIF(Q$1237:Q1408,1)=1,5,0)+IF(COUNTIF(R806:$W806,"&gt;"&amp;0)&lt;5,IF(AND(COUNTIF(Q$1237:Q1408,1)&gt;7,MOD(1+IFERROR(MATCH($C806,总览!$D$46:$D$345,1)+1,1),7)=0),$C$3,0),0)</f>
        <v>212.216964285713</v>
      </c>
      <c r="R806" s="131" cm="1">
        <f ca="1" t="array" ref="R806">IF(R1408=1,OFFSET($W$634,$B806,R$631-1)/SUMPRODUCT(--($D$631:$V$631=R$631),--($D1408:$V1408=1)),0)+SUM(R805)+IF(COUNTIF(R$1237:R1408,1)=1,5,0)+IF(COUNTIF(S806:$W806,"&gt;"&amp;0)&lt;5,IF(AND(COUNTIF(R$1237:R1408,1)&gt;7,MOD(1+IFERROR(MATCH($C806,总览!$D$46:$D$345,1)+1,1),7)=0),$C$3,0),0)</f>
        <v>203.835714285714</v>
      </c>
      <c r="S806" s="131" cm="1">
        <f ca="1" t="array" ref="S806">IF(S1408=1,OFFSET($W$634,$B806,S$631-1)/SUMPRODUCT(--($D$631:$V$631=S$631),--($D1408:$V1408=1)),0)+SUM(S805)+IF(COUNTIF(S$1237:S1408,1)=1,5,0)+IF(COUNTIF(T806:$W806,"&gt;"&amp;0)&lt;5,IF(AND(COUNTIF(S$1237:S1408,1)&gt;7,MOD(1+IFERROR(MATCH($C806,总览!$D$46:$D$345,1)+1,1),7)=0),$C$3,0),0)</f>
        <v>291.335714285714</v>
      </c>
      <c r="T806" s="131" cm="1">
        <f ca="1" t="array" ref="T806">IF(T1408=1,OFFSET($W$634,$B806,T$631-1)/SUMPRODUCT(--($D$631:$V$631=T$631),--($D1408:$V1408=1)),0)+SUM(T805)+IF(COUNTIF(T$1237:T1408,1)=1,5,0)+IF(COUNTIF(U806:$W806,"&gt;"&amp;0)&lt;5,IF(AND(COUNTIF(T$1237:T1408,1)&gt;7,MOD(1+IFERROR(MATCH($C806,总览!$D$46:$D$345,1)+1,1),7)=0),$C$3,0),0)</f>
        <v>210.752675620924</v>
      </c>
      <c r="U806" s="131" cm="1">
        <f ca="1" t="array" ref="U806">IF(U1408=1,OFFSET($W$634,$B806,U$631-1)/SUMPRODUCT(--($D$631:$V$631=U$631),--($D1408:$V1408=1)),0)+SUM(U805)+IF(COUNTIF(U$1237:U1408,1)=1,5,0)+IF(COUNTIF(V806:$W806,"&gt;"&amp;0)&lt;5,IF(AND(COUNTIF(U$1237:U1408,1)&gt;7,MOD(1+IFERROR(MATCH($C806,总览!$D$46:$D$345,1)+1,1),7)=0),$C$3,0),0)</f>
        <v>216.273461976224</v>
      </c>
      <c r="V806" s="131" cm="1">
        <f ca="1" t="array" ref="V806">IF(V1408=1,OFFSET($W$634,$B806,V$631-1)/SUMPRODUCT(--($D$631:$V$631=V$631),--($D1408:$V1408=1)),0)+SUM(V805)+IF(COUNTIF(V$1237:V1408,1)=1,5,0)+IF(COUNTIF(W806:$W806,"&gt;"&amp;0)&lt;5,IF(AND(COUNTIF(V$1237:V1408,1)&gt;7,MOD(1+IFERROR(MATCH($C806,总览!$D$46:$D$345,1)+1,1),7)=0),$C$3,0),0)</f>
        <v>236.100461688658</v>
      </c>
      <c r="W806" s="135" cm="1">
        <f ca="1" t="array" ref="W806">SUMPRODUCT(TRANSPOSE($AA806:$AG806),OFFSET($L$9:$L$15,0,W$631-1))</f>
        <v>16.8502200646615</v>
      </c>
      <c r="X806" s="135" cm="1">
        <f ca="1" t="array" ref="X806">SUMPRODUCT(TRANSPOSE($AA806:$AG806),OFFSET($L$9:$L$15,0,X$631-1))</f>
        <v>20</v>
      </c>
      <c r="Y806" s="135" cm="1">
        <f ca="1" t="array" ref="Y806">SUMPRODUCT(TRANSPOSE($AA806:$AG806),OFFSET($L$9:$L$15,0,Y$631-1))</f>
        <v>10</v>
      </c>
      <c r="Z806" s="135" cm="1">
        <f ca="1" t="array" ref="Z806">SUMPRODUCT(TRANSPOSE($AA806:$AG806),OFFSET($L$9:$L$15,0,Z$631-1))</f>
        <v>3.14977993533847</v>
      </c>
      <c r="AA806" s="136">
        <f ca="1" t="shared" ref="AA806:AG806" si="587">AH806-AH805</f>
        <v>0</v>
      </c>
      <c r="AB806" s="136">
        <f ca="1" t="shared" si="587"/>
        <v>0</v>
      </c>
      <c r="AC806" s="136">
        <f ca="1" t="shared" si="587"/>
        <v>0</v>
      </c>
      <c r="AD806" s="136">
        <f ca="1" t="shared" si="587"/>
        <v>0</v>
      </c>
      <c r="AE806" s="136">
        <f ca="1" t="shared" si="587"/>
        <v>0</v>
      </c>
      <c r="AF806" s="136">
        <f ca="1" t="shared" si="587"/>
        <v>0</v>
      </c>
      <c r="AG806" s="136">
        <f ca="1" t="shared" si="587"/>
        <v>100</v>
      </c>
      <c r="AH806" s="136">
        <f ca="1" t="shared" si="501"/>
        <v>450</v>
      </c>
      <c r="AI806" s="136">
        <f ca="1" t="shared" ref="AI806:AN806" si="588">IF($C806&gt;OFFSET($Q$8,MATCH(AI$634,$AH$634:$AN$634,0),0),OFFSET($P$8,MATCH(AI$634,$AH$634:$AN$634,0),0),MAX(0,$C806-OFFSET($Q$8,RIGHT(AI$634,1)-1,0)))</f>
        <v>909</v>
      </c>
      <c r="AJ806" s="136">
        <f ca="1" t="shared" si="588"/>
        <v>1818</v>
      </c>
      <c r="AK806" s="136">
        <f ca="1" t="shared" si="588"/>
        <v>2727</v>
      </c>
      <c r="AL806" s="136">
        <f ca="1" t="shared" si="588"/>
        <v>3636</v>
      </c>
      <c r="AM806" s="136">
        <f ca="1" t="shared" si="588"/>
        <v>4545</v>
      </c>
      <c r="AN806" s="136">
        <f ca="1" t="shared" si="588"/>
        <v>3115</v>
      </c>
    </row>
    <row r="807" s="106" customFormat="1" ht="16.5" spans="2:40">
      <c r="B807" s="117">
        <v>173</v>
      </c>
      <c r="C807" s="130">
        <f t="shared" si="499"/>
        <v>17300</v>
      </c>
      <c r="D807" s="131" cm="1">
        <f ca="1" t="array" ref="D807">IF(D1409=1,OFFSET($W$634,$B807,D$631-1)/SUMPRODUCT(--($D$631:$V$631=D$631),--($D1409:$V1409=1)),0)+SUM(D806)+IF(COUNTIF(D$1237:D1409,1)=1,5,0)+IF(COUNTIF(E807:$W807,"&gt;"&amp;0)&lt;5,IF(AND(COUNTIF(D$1237:D1409,1)&gt;7,MOD(1+IFERROR(MATCH($C807,总览!$D$46:$D$345,1)+1,1),7)=0),$C$3,0),0)</f>
        <v>1299.39954025962</v>
      </c>
      <c r="E807" s="131" cm="1">
        <f ca="1" t="array" ref="E807">IF(E1409=1,OFFSET($W$634,$B807,E$631-1)/SUMPRODUCT(--($D$631:$V$631=E$631),--($D1409:$V1409=1)),0)+SUM(E806)+IF(COUNTIF(E$1237:E1409,1)=1,5,0)+IF(COUNTIF(F807:$W807,"&gt;"&amp;0)&lt;5,IF(AND(COUNTIF(E$1237:E1409,1)&gt;7,MOD(1+IFERROR(MATCH($C807,总览!$D$46:$D$345,1)+1,1),7)=0),$C$3,0),0)</f>
        <v>1299.39954025962</v>
      </c>
      <c r="F807" s="131" cm="1">
        <f ca="1" t="array" ref="F807">IF(F1409=1,OFFSET($W$634,$B807,F$631-1)/SUMPRODUCT(--($D$631:$V$631=F$631),--($D1409:$V1409=1)),0)+SUM(F806)+IF(COUNTIF(F$1237:F1409,1)=1,5,0)+IF(COUNTIF(G807:$W807,"&gt;"&amp;0)&lt;5,IF(AND(COUNTIF(F$1237:F1409,1)&gt;7,MOD(1+IFERROR(MATCH($C807,总览!$D$46:$D$345,1)+1,1),7)=0),$C$3,0),0)</f>
        <v>1299.39954025962</v>
      </c>
      <c r="G807" s="131" cm="1">
        <f ca="1" t="array" ref="G807">IF(G1409=1,OFFSET($W$634,$B807,G$631-1)/SUMPRODUCT(--($D$631:$V$631=G$631),--($D1409:$V1409=1)),0)+SUM(G806)+IF(COUNTIF(G$1237:G1409,1)=1,5,0)+IF(COUNTIF(H807:$W807,"&gt;"&amp;0)&lt;5,IF(AND(COUNTIF(G$1237:G1409,1)&gt;7,MOD(1+IFERROR(MATCH($C807,总览!$D$46:$D$345,1)+1,1),7)=0),$C$3,0),0)</f>
        <v>516.066666666665</v>
      </c>
      <c r="H807" s="131" cm="1">
        <f ca="1" t="array" ref="H807">IF(H1409=1,OFFSET($W$634,$B807,H$631-1)/SUMPRODUCT(--($D$631:$V$631=H$631),--($D1409:$V1409=1)),0)+SUM(H806)+IF(COUNTIF(H$1237:H1409,1)=1,5,0)+IF(COUNTIF(I807:$W807,"&gt;"&amp;0)&lt;5,IF(AND(COUNTIF(H$1237:H1409,1)&gt;7,MOD(1+IFERROR(MATCH($C807,总览!$D$46:$D$345,1)+1,1),7)=0),$C$3,0),0)</f>
        <v>516.066666666665</v>
      </c>
      <c r="I807" s="131" cm="1">
        <f ca="1" t="array" ref="I807">IF(I1409=1,OFFSET($W$634,$B807,I$631-1)/SUMPRODUCT(--($D$631:$V$631=I$631),--($D1409:$V1409=1)),0)+SUM(I806)+IF(COUNTIF(I$1237:I1409,1)=1,5,0)+IF(COUNTIF(J807:$W807,"&gt;"&amp;0)&lt;5,IF(AND(COUNTIF(I$1237:I1409,1)&gt;7,MOD(1+IFERROR(MATCH($C807,总览!$D$46:$D$345,1)+1,1),7)=0),$C$3,0),0)</f>
        <v>516.066666666665</v>
      </c>
      <c r="J807" s="131" cm="1">
        <f ca="1" t="array" ref="J807">IF(J1409=1,OFFSET($W$634,$B807,J$631-1)/SUMPRODUCT(--($D$631:$V$631=J$631),--($D1409:$V1409=1)),0)+SUM(J806)+IF(COUNTIF(J$1237:J1409,1)=1,5,0)+IF(COUNTIF(K807:$W807,"&gt;"&amp;0)&lt;5,IF(AND(COUNTIF(J$1237:J1409,1)&gt;7,MOD(1+IFERROR(MATCH($C807,总览!$D$46:$D$345,1)+1,1),7)=0),$C$3,0),0)</f>
        <v>512.733333333332</v>
      </c>
      <c r="K807" s="131" cm="1">
        <f ca="1" t="array" ref="K807">IF(K1409=1,OFFSET($W$634,$B807,K$631-1)/SUMPRODUCT(--($D$631:$V$631=K$631),--($D1409:$V1409=1)),0)+SUM(K806)+IF(COUNTIF(K$1237:K1409,1)=1,5,0)+IF(COUNTIF(L807:$W807,"&gt;"&amp;0)&lt;5,IF(AND(COUNTIF(K$1237:K1409,1)&gt;7,MOD(1+IFERROR(MATCH($C807,总览!$D$46:$D$345,1)+1,1),7)=0),$C$3,0),0)</f>
        <v>510.233333333332</v>
      </c>
      <c r="L807" s="131" cm="1">
        <f ca="1" t="array" ref="L807">IF(L1409=1,OFFSET($W$634,$B807,L$631-1)/SUMPRODUCT(--($D$631:$V$631=L$631),--($D1409:$V1409=1)),0)+SUM(L806)+IF(COUNTIF(L$1237:L1409,1)=1,5,0)+IF(COUNTIF(M807:$W807,"&gt;"&amp;0)&lt;5,IF(AND(COUNTIF(L$1237:L1409,1)&gt;7,MOD(1+IFERROR(MATCH($C807,总览!$D$46:$D$345,1)+1,1),7)=0),$C$3,0),0)</f>
        <v>510.233333333332</v>
      </c>
      <c r="M807" s="131" cm="1">
        <f ca="1" t="array" ref="M807">IF(M1409=1,OFFSET($W$634,$B807,M$631-1)/SUMPRODUCT(--($D$631:$V$631=M$631),--($D1409:$V1409=1)),0)+SUM(M806)+IF(COUNTIF(M$1237:M1409,1)=1,5,0)+IF(COUNTIF(N807:$W807,"&gt;"&amp;0)&lt;5,IF(AND(COUNTIF(M$1237:M1409,1)&gt;7,MOD(1+IFERROR(MATCH($C807,总览!$D$46:$D$345,1)+1,1),7)=0),$C$3,0),0)</f>
        <v>204.895535714285</v>
      </c>
      <c r="N807" s="131" cm="1">
        <f ca="1" t="array" ref="N807">IF(N1409=1,OFFSET($W$634,$B807,N$631-1)/SUMPRODUCT(--($D$631:$V$631=N$631),--($D1409:$V1409=1)),0)+SUM(N806)+IF(COUNTIF(N$1237:N1409,1)=1,5,0)+IF(COUNTIF(O807:$W807,"&gt;"&amp;0)&lt;5,IF(AND(COUNTIF(N$1237:N1409,1)&gt;7,MOD(1+IFERROR(MATCH($C807,总览!$D$46:$D$345,1)+1,1),7)=0),$C$3,0),0)</f>
        <v>206.145535714285</v>
      </c>
      <c r="O807" s="131" cm="1">
        <f ca="1" t="array" ref="O807">IF(O1409=1,OFFSET($W$634,$B807,O$631-1)/SUMPRODUCT(--($D$631:$V$631=O$631),--($D1409:$V1409=1)),0)+SUM(O806)+IF(COUNTIF(O$1237:O1409,1)=1,5,0)+IF(COUNTIF(P807:$W807,"&gt;"&amp;0)&lt;5,IF(AND(COUNTIF(O$1237:O1409,1)&gt;7,MOD(1+IFERROR(MATCH($C807,总览!$D$46:$D$345,1)+1,1),7)=0),$C$3,0),0)</f>
        <v>211.145535714285</v>
      </c>
      <c r="P807" s="131" cm="1">
        <f ca="1" t="array" ref="P807">IF(P1409=1,OFFSET($W$634,$B807,P$631-1)/SUMPRODUCT(--($D$631:$V$631=P$631),--($D1409:$V1409=1)),0)+SUM(P806)+IF(COUNTIF(P$1237:P1409,1)=1,5,0)+IF(COUNTIF(Q807:$W807,"&gt;"&amp;0)&lt;5,IF(AND(COUNTIF(P$1237:P1409,1)&gt;7,MOD(1+IFERROR(MATCH($C807,总览!$D$46:$D$345,1)+1,1),7)=0),$C$3,0),0)</f>
        <v>200.264285714285</v>
      </c>
      <c r="Q807" s="131" cm="1">
        <f ca="1" t="array" ref="Q807">IF(Q1409=1,OFFSET($W$634,$B807,Q$631-1)/SUMPRODUCT(--($D$631:$V$631=Q$631),--($D1409:$V1409=1)),0)+SUM(Q806)+IF(COUNTIF(Q$1237:Q1409,1)=1,5,0)+IF(COUNTIF(R807:$W807,"&gt;"&amp;0)&lt;5,IF(AND(COUNTIF(Q$1237:Q1409,1)&gt;7,MOD(1+IFERROR(MATCH($C807,总览!$D$46:$D$345,1)+1,1),7)=0),$C$3,0),0)</f>
        <v>213.645535714285</v>
      </c>
      <c r="R807" s="131" cm="1">
        <f ca="1" t="array" ref="R807">IF(R1409=1,OFFSET($W$634,$B807,R$631-1)/SUMPRODUCT(--($D$631:$V$631=R$631),--($D1409:$V1409=1)),0)+SUM(R806)+IF(COUNTIF(R$1237:R1409,1)=1,5,0)+IF(COUNTIF(S807:$W807,"&gt;"&amp;0)&lt;5,IF(AND(COUNTIF(R$1237:R1409,1)&gt;7,MOD(1+IFERROR(MATCH($C807,总览!$D$46:$D$345,1)+1,1),7)=0),$C$3,0),0)</f>
        <v>205.264285714285</v>
      </c>
      <c r="S807" s="131" cm="1">
        <f ca="1" t="array" ref="S807">IF(S1409=1,OFFSET($W$634,$B807,S$631-1)/SUMPRODUCT(--($D$631:$V$631=S$631),--($D1409:$V1409=1)),0)+SUM(S806)+IF(COUNTIF(S$1237:S1409,1)=1,5,0)+IF(COUNTIF(T807:$W807,"&gt;"&amp;0)&lt;5,IF(AND(COUNTIF(S$1237:S1409,1)&gt;7,MOD(1+IFERROR(MATCH($C807,总览!$D$46:$D$345,1)+1,1),7)=0),$C$3,0),0)</f>
        <v>292.764285714285</v>
      </c>
      <c r="T807" s="131" cm="1">
        <f ca="1" t="array" ref="T807">IF(T1409=1,OFFSET($W$634,$B807,T$631-1)/SUMPRODUCT(--($D$631:$V$631=T$631),--($D1409:$V1409=1)),0)+SUM(T806)+IF(COUNTIF(T$1237:T1409,1)=1,5,0)+IF(COUNTIF(U807:$W807,"&gt;"&amp;0)&lt;5,IF(AND(COUNTIF(T$1237:T1409,1)&gt;7,MOD(1+IFERROR(MATCH($C807,总览!$D$46:$D$345,1)+1,1),7)=0),$C$3,0),0)</f>
        <v>211.802602266037</v>
      </c>
      <c r="U807" s="131" cm="1">
        <f ca="1" t="array" ref="U807">IF(U1409=1,OFFSET($W$634,$B807,U$631-1)/SUMPRODUCT(--($D$631:$V$631=U$631),--($D1409:$V1409=1)),0)+SUM(U806)+IF(COUNTIF(U$1237:U1409,1)=1,5,0)+IF(COUNTIF(V807:$W807,"&gt;"&amp;0)&lt;5,IF(AND(COUNTIF(U$1237:U1409,1)&gt;7,MOD(1+IFERROR(MATCH($C807,总览!$D$46:$D$345,1)+1,1),7)=0),$C$3,0),0)</f>
        <v>217.323388621337</v>
      </c>
      <c r="V807" s="131" cm="1">
        <f ca="1" t="array" ref="V807">IF(V1409=1,OFFSET($W$634,$B807,V$631-1)/SUMPRODUCT(--($D$631:$V$631=V$631),--($D1409:$V1409=1)),0)+SUM(V806)+IF(COUNTIF(V$1237:V1409,1)=1,5,0)+IF(COUNTIF(W807:$W807,"&gt;"&amp;0)&lt;5,IF(AND(COUNTIF(V$1237:V1409,1)&gt;7,MOD(1+IFERROR(MATCH($C807,总览!$D$46:$D$345,1)+1,1),7)=0),$C$3,0),0)</f>
        <v>237.15038833377</v>
      </c>
      <c r="W807" s="135" cm="1">
        <f ca="1" t="array" ref="W807">SUMPRODUCT(TRANSPOSE($AA807:$AG807),OFFSET($L$9:$L$15,0,W$631-1))</f>
        <v>16.8502200646615</v>
      </c>
      <c r="X807" s="135" cm="1">
        <f ca="1" t="array" ref="X807">SUMPRODUCT(TRANSPOSE($AA807:$AG807),OFFSET($L$9:$L$15,0,X$631-1))</f>
        <v>20</v>
      </c>
      <c r="Y807" s="135" cm="1">
        <f ca="1" t="array" ref="Y807">SUMPRODUCT(TRANSPOSE($AA807:$AG807),OFFSET($L$9:$L$15,0,Y$631-1))</f>
        <v>10</v>
      </c>
      <c r="Z807" s="135" cm="1">
        <f ca="1" t="array" ref="Z807">SUMPRODUCT(TRANSPOSE($AA807:$AG807),OFFSET($L$9:$L$15,0,Z$631-1))</f>
        <v>3.14977993533847</v>
      </c>
      <c r="AA807" s="136">
        <f ca="1" t="shared" ref="AA807:AG807" si="589">AH807-AH806</f>
        <v>0</v>
      </c>
      <c r="AB807" s="136">
        <f ca="1" t="shared" si="589"/>
        <v>0</v>
      </c>
      <c r="AC807" s="136">
        <f ca="1" t="shared" si="589"/>
        <v>0</v>
      </c>
      <c r="AD807" s="136">
        <f ca="1" t="shared" si="589"/>
        <v>0</v>
      </c>
      <c r="AE807" s="136">
        <f ca="1" t="shared" si="589"/>
        <v>0</v>
      </c>
      <c r="AF807" s="136">
        <f ca="1" t="shared" si="589"/>
        <v>0</v>
      </c>
      <c r="AG807" s="136">
        <f ca="1" t="shared" si="589"/>
        <v>100</v>
      </c>
      <c r="AH807" s="136">
        <f ca="1" t="shared" si="501"/>
        <v>450</v>
      </c>
      <c r="AI807" s="136">
        <f ca="1" t="shared" ref="AI807:AN807" si="590">IF($C807&gt;OFFSET($Q$8,MATCH(AI$634,$AH$634:$AN$634,0),0),OFFSET($P$8,MATCH(AI$634,$AH$634:$AN$634,0),0),MAX(0,$C807-OFFSET($Q$8,RIGHT(AI$634,1)-1,0)))</f>
        <v>909</v>
      </c>
      <c r="AJ807" s="136">
        <f ca="1" t="shared" si="590"/>
        <v>1818</v>
      </c>
      <c r="AK807" s="136">
        <f ca="1" t="shared" si="590"/>
        <v>2727</v>
      </c>
      <c r="AL807" s="136">
        <f ca="1" t="shared" si="590"/>
        <v>3636</v>
      </c>
      <c r="AM807" s="136">
        <f ca="1" t="shared" si="590"/>
        <v>4545</v>
      </c>
      <c r="AN807" s="136">
        <f ca="1" t="shared" si="590"/>
        <v>3215</v>
      </c>
    </row>
    <row r="808" s="106" customFormat="1" ht="16.5" spans="2:40">
      <c r="B808" s="117">
        <v>174</v>
      </c>
      <c r="C808" s="130">
        <f t="shared" si="499"/>
        <v>17400</v>
      </c>
      <c r="D808" s="131" cm="1">
        <f ca="1" t="array" ref="D808">IF(D1410=1,OFFSET($W$634,$B808,D$631-1)/SUMPRODUCT(--($D$631:$V$631=D$631),--($D1410:$V1410=1)),0)+SUM(D807)+IF(COUNTIF(D$1237:D1410,1)=1,5,0)+IF(COUNTIF(E808:$W808,"&gt;"&amp;0)&lt;5,IF(AND(COUNTIF(D$1237:D1410,1)&gt;7,MOD(1+IFERROR(MATCH($C808,总览!$D$46:$D$345,1)+1,1),7)=0),$C$3,0),0)</f>
        <v>1305.01628028117</v>
      </c>
      <c r="E808" s="131" cm="1">
        <f ca="1" t="array" ref="E808">IF(E1410=1,OFFSET($W$634,$B808,E$631-1)/SUMPRODUCT(--($D$631:$V$631=E$631),--($D1410:$V1410=1)),0)+SUM(E807)+IF(COUNTIF(E$1237:E1410,1)=1,5,0)+IF(COUNTIF(F808:$W808,"&gt;"&amp;0)&lt;5,IF(AND(COUNTIF(E$1237:E1410,1)&gt;7,MOD(1+IFERROR(MATCH($C808,总览!$D$46:$D$345,1)+1,1),7)=0),$C$3,0),0)</f>
        <v>1305.01628028117</v>
      </c>
      <c r="F808" s="131" cm="1">
        <f ca="1" t="array" ref="F808">IF(F1410=1,OFFSET($W$634,$B808,F$631-1)/SUMPRODUCT(--($D$631:$V$631=F$631),--($D1410:$V1410=1)),0)+SUM(F807)+IF(COUNTIF(F$1237:F1410,1)=1,5,0)+IF(COUNTIF(G808:$W808,"&gt;"&amp;0)&lt;5,IF(AND(COUNTIF(F$1237:F1410,1)&gt;7,MOD(1+IFERROR(MATCH($C808,总览!$D$46:$D$345,1)+1,1),7)=0),$C$3,0),0)</f>
        <v>1305.01628028117</v>
      </c>
      <c r="G808" s="131" cm="1">
        <f ca="1" t="array" ref="G808">IF(G1410=1,OFFSET($W$634,$B808,G$631-1)/SUMPRODUCT(--($D$631:$V$631=G$631),--($D1410:$V1410=1)),0)+SUM(G807)+IF(COUNTIF(G$1237:G1410,1)=1,5,0)+IF(COUNTIF(H808:$W808,"&gt;"&amp;0)&lt;5,IF(AND(COUNTIF(G$1237:G1410,1)&gt;7,MOD(1+IFERROR(MATCH($C808,总览!$D$46:$D$345,1)+1,1),7)=0),$C$3,0),0)</f>
        <v>519.399999999999</v>
      </c>
      <c r="H808" s="131" cm="1">
        <f ca="1" t="array" ref="H808">IF(H1410=1,OFFSET($W$634,$B808,H$631-1)/SUMPRODUCT(--($D$631:$V$631=H$631),--($D1410:$V1410=1)),0)+SUM(H807)+IF(COUNTIF(H$1237:H1410,1)=1,5,0)+IF(COUNTIF(I808:$W808,"&gt;"&amp;0)&lt;5,IF(AND(COUNTIF(H$1237:H1410,1)&gt;7,MOD(1+IFERROR(MATCH($C808,总览!$D$46:$D$345,1)+1,1),7)=0),$C$3,0),0)</f>
        <v>519.399999999999</v>
      </c>
      <c r="I808" s="131" cm="1">
        <f ca="1" t="array" ref="I808">IF(I1410=1,OFFSET($W$634,$B808,I$631-1)/SUMPRODUCT(--($D$631:$V$631=I$631),--($D1410:$V1410=1)),0)+SUM(I807)+IF(COUNTIF(I$1237:I1410,1)=1,5,0)+IF(COUNTIF(J808:$W808,"&gt;"&amp;0)&lt;5,IF(AND(COUNTIF(I$1237:I1410,1)&gt;7,MOD(1+IFERROR(MATCH($C808,总览!$D$46:$D$345,1)+1,1),7)=0),$C$3,0),0)</f>
        <v>519.399999999999</v>
      </c>
      <c r="J808" s="131" cm="1">
        <f ca="1" t="array" ref="J808">IF(J1410=1,OFFSET($W$634,$B808,J$631-1)/SUMPRODUCT(--($D$631:$V$631=J$631),--($D1410:$V1410=1)),0)+SUM(J807)+IF(COUNTIF(J$1237:J1410,1)=1,5,0)+IF(COUNTIF(K808:$W808,"&gt;"&amp;0)&lt;5,IF(AND(COUNTIF(J$1237:J1410,1)&gt;7,MOD(1+IFERROR(MATCH($C808,总览!$D$46:$D$345,1)+1,1),7)=0),$C$3,0),0)</f>
        <v>516.066666666665</v>
      </c>
      <c r="K808" s="131" cm="1">
        <f ca="1" t="array" ref="K808">IF(K1410=1,OFFSET($W$634,$B808,K$631-1)/SUMPRODUCT(--($D$631:$V$631=K$631),--($D1410:$V1410=1)),0)+SUM(K807)+IF(COUNTIF(K$1237:K1410,1)=1,5,0)+IF(COUNTIF(L808:$W808,"&gt;"&amp;0)&lt;5,IF(AND(COUNTIF(K$1237:K1410,1)&gt;7,MOD(1+IFERROR(MATCH($C808,总览!$D$46:$D$345,1)+1,1),7)=0),$C$3,0),0)</f>
        <v>513.566666666665</v>
      </c>
      <c r="L808" s="131" cm="1">
        <f ca="1" t="array" ref="L808">IF(L1410=1,OFFSET($W$634,$B808,L$631-1)/SUMPRODUCT(--($D$631:$V$631=L$631),--($D1410:$V1410=1)),0)+SUM(L807)+IF(COUNTIF(L$1237:L1410,1)=1,5,0)+IF(COUNTIF(M808:$W808,"&gt;"&amp;0)&lt;5,IF(AND(COUNTIF(L$1237:L1410,1)&gt;7,MOD(1+IFERROR(MATCH($C808,总览!$D$46:$D$345,1)+1,1),7)=0),$C$3,0),0)</f>
        <v>513.566666666665</v>
      </c>
      <c r="M808" s="131" cm="1">
        <f ca="1" t="array" ref="M808">IF(M1410=1,OFFSET($W$634,$B808,M$631-1)/SUMPRODUCT(--($D$631:$V$631=M$631),--($D1410:$V1410=1)),0)+SUM(M807)+IF(COUNTIF(M$1237:M1410,1)=1,5,0)+IF(COUNTIF(N808:$W808,"&gt;"&amp;0)&lt;5,IF(AND(COUNTIF(M$1237:M1410,1)&gt;7,MOD(1+IFERROR(MATCH($C808,总览!$D$46:$D$345,1)+1,1),7)=0),$C$3,0),0)</f>
        <v>206.324107142856</v>
      </c>
      <c r="N808" s="131" cm="1">
        <f ca="1" t="array" ref="N808">IF(N1410=1,OFFSET($W$634,$B808,N$631-1)/SUMPRODUCT(--($D$631:$V$631=N$631),--($D1410:$V1410=1)),0)+SUM(N807)+IF(COUNTIF(N$1237:N1410,1)=1,5,0)+IF(COUNTIF(O808:$W808,"&gt;"&amp;0)&lt;5,IF(AND(COUNTIF(N$1237:N1410,1)&gt;7,MOD(1+IFERROR(MATCH($C808,总览!$D$46:$D$345,1)+1,1),7)=0),$C$3,0),0)</f>
        <v>207.574107142856</v>
      </c>
      <c r="O808" s="131" cm="1">
        <f ca="1" t="array" ref="O808">IF(O1410=1,OFFSET($W$634,$B808,O$631-1)/SUMPRODUCT(--($D$631:$V$631=O$631),--($D1410:$V1410=1)),0)+SUM(O807)+IF(COUNTIF(O$1237:O1410,1)=1,5,0)+IF(COUNTIF(P808:$W808,"&gt;"&amp;0)&lt;5,IF(AND(COUNTIF(O$1237:O1410,1)&gt;7,MOD(1+IFERROR(MATCH($C808,总览!$D$46:$D$345,1)+1,1),7)=0),$C$3,0),0)</f>
        <v>212.574107142856</v>
      </c>
      <c r="P808" s="131" cm="1">
        <f ca="1" t="array" ref="P808">IF(P1410=1,OFFSET($W$634,$B808,P$631-1)/SUMPRODUCT(--($D$631:$V$631=P$631),--($D1410:$V1410=1)),0)+SUM(P807)+IF(COUNTIF(P$1237:P1410,1)=1,5,0)+IF(COUNTIF(Q808:$W808,"&gt;"&amp;0)&lt;5,IF(AND(COUNTIF(P$1237:P1410,1)&gt;7,MOD(1+IFERROR(MATCH($C808,总览!$D$46:$D$345,1)+1,1),7)=0),$C$3,0),0)</f>
        <v>201.692857142856</v>
      </c>
      <c r="Q808" s="131" cm="1">
        <f ca="1" t="array" ref="Q808">IF(Q1410=1,OFFSET($W$634,$B808,Q$631-1)/SUMPRODUCT(--($D$631:$V$631=Q$631),--($D1410:$V1410=1)),0)+SUM(Q807)+IF(COUNTIF(Q$1237:Q1410,1)=1,5,0)+IF(COUNTIF(R808:$W808,"&gt;"&amp;0)&lt;5,IF(AND(COUNTIF(Q$1237:Q1410,1)&gt;7,MOD(1+IFERROR(MATCH($C808,总览!$D$46:$D$345,1)+1,1),7)=0),$C$3,0),0)</f>
        <v>215.074107142856</v>
      </c>
      <c r="R808" s="131" cm="1">
        <f ca="1" t="array" ref="R808">IF(R1410=1,OFFSET($W$634,$B808,R$631-1)/SUMPRODUCT(--($D$631:$V$631=R$631),--($D1410:$V1410=1)),0)+SUM(R807)+IF(COUNTIF(R$1237:R1410,1)=1,5,0)+IF(COUNTIF(S808:$W808,"&gt;"&amp;0)&lt;5,IF(AND(COUNTIF(R$1237:R1410,1)&gt;7,MOD(1+IFERROR(MATCH($C808,总览!$D$46:$D$345,1)+1,1),7)=0),$C$3,0),0)</f>
        <v>206.692857142856</v>
      </c>
      <c r="S808" s="131" cm="1">
        <f ca="1" t="array" ref="S808">IF(S1410=1,OFFSET($W$634,$B808,S$631-1)/SUMPRODUCT(--($D$631:$V$631=S$631),--($D1410:$V1410=1)),0)+SUM(S807)+IF(COUNTIF(S$1237:S1410,1)=1,5,0)+IF(COUNTIF(T808:$W808,"&gt;"&amp;0)&lt;5,IF(AND(COUNTIF(S$1237:S1410,1)&gt;7,MOD(1+IFERROR(MATCH($C808,总览!$D$46:$D$345,1)+1,1),7)=0),$C$3,0),0)</f>
        <v>294.192857142857</v>
      </c>
      <c r="T808" s="131" cm="1">
        <f ca="1" t="array" ref="T808">IF(T1410=1,OFFSET($W$634,$B808,T$631-1)/SUMPRODUCT(--($D$631:$V$631=T$631),--($D1410:$V1410=1)),0)+SUM(T807)+IF(COUNTIF(T$1237:T1410,1)=1,5,0)+IF(COUNTIF(U808:$W808,"&gt;"&amp;0)&lt;5,IF(AND(COUNTIF(T$1237:T1410,1)&gt;7,MOD(1+IFERROR(MATCH($C808,总览!$D$46:$D$345,1)+1,1),7)=0),$C$3,0),0)</f>
        <v>212.85252891115</v>
      </c>
      <c r="U808" s="131" cm="1">
        <f ca="1" t="array" ref="U808">IF(U1410=1,OFFSET($W$634,$B808,U$631-1)/SUMPRODUCT(--($D$631:$V$631=U$631),--($D1410:$V1410=1)),0)+SUM(U807)+IF(COUNTIF(U$1237:U1410,1)=1,5,0)+IF(COUNTIF(V808:$W808,"&gt;"&amp;0)&lt;5,IF(AND(COUNTIF(U$1237:U1410,1)&gt;7,MOD(1+IFERROR(MATCH($C808,总览!$D$46:$D$345,1)+1,1),7)=0),$C$3,0),0)</f>
        <v>218.37331526645</v>
      </c>
      <c r="V808" s="131" cm="1">
        <f ca="1" t="array" ref="V808">IF(V1410=1,OFFSET($W$634,$B808,V$631-1)/SUMPRODUCT(--($D$631:$V$631=V$631),--($D1410:$V1410=1)),0)+SUM(V807)+IF(COUNTIF(V$1237:V1410,1)=1,5,0)+IF(COUNTIF(W808:$W808,"&gt;"&amp;0)&lt;5,IF(AND(COUNTIF(V$1237:V1410,1)&gt;7,MOD(1+IFERROR(MATCH($C808,总览!$D$46:$D$345,1)+1,1),7)=0),$C$3,0),0)</f>
        <v>238.200314978883</v>
      </c>
      <c r="W808" s="135" cm="1">
        <f ca="1" t="array" ref="W808">SUMPRODUCT(TRANSPOSE($AA808:$AG808),OFFSET($L$9:$L$15,0,W$631-1))</f>
        <v>16.8502200646615</v>
      </c>
      <c r="X808" s="135" cm="1">
        <f ca="1" t="array" ref="X808">SUMPRODUCT(TRANSPOSE($AA808:$AG808),OFFSET($L$9:$L$15,0,X$631-1))</f>
        <v>20</v>
      </c>
      <c r="Y808" s="135" cm="1">
        <f ca="1" t="array" ref="Y808">SUMPRODUCT(TRANSPOSE($AA808:$AG808),OFFSET($L$9:$L$15,0,Y$631-1))</f>
        <v>10</v>
      </c>
      <c r="Z808" s="135" cm="1">
        <f ca="1" t="array" ref="Z808">SUMPRODUCT(TRANSPOSE($AA808:$AG808),OFFSET($L$9:$L$15,0,Z$631-1))</f>
        <v>3.14977993533847</v>
      </c>
      <c r="AA808" s="136">
        <f ca="1" t="shared" ref="AA808:AG808" si="591">AH808-AH807</f>
        <v>0</v>
      </c>
      <c r="AB808" s="136">
        <f ca="1" t="shared" si="591"/>
        <v>0</v>
      </c>
      <c r="AC808" s="136">
        <f ca="1" t="shared" si="591"/>
        <v>0</v>
      </c>
      <c r="AD808" s="136">
        <f ca="1" t="shared" si="591"/>
        <v>0</v>
      </c>
      <c r="AE808" s="136">
        <f ca="1" t="shared" si="591"/>
        <v>0</v>
      </c>
      <c r="AF808" s="136">
        <f ca="1" t="shared" si="591"/>
        <v>0</v>
      </c>
      <c r="AG808" s="136">
        <f ca="1" t="shared" si="591"/>
        <v>100</v>
      </c>
      <c r="AH808" s="136">
        <f ca="1" t="shared" si="501"/>
        <v>450</v>
      </c>
      <c r="AI808" s="136">
        <f ca="1" t="shared" ref="AI808:AN808" si="592">IF($C808&gt;OFFSET($Q$8,MATCH(AI$634,$AH$634:$AN$634,0),0),OFFSET($P$8,MATCH(AI$634,$AH$634:$AN$634,0),0),MAX(0,$C808-OFFSET($Q$8,RIGHT(AI$634,1)-1,0)))</f>
        <v>909</v>
      </c>
      <c r="AJ808" s="136">
        <f ca="1" t="shared" si="592"/>
        <v>1818</v>
      </c>
      <c r="AK808" s="136">
        <f ca="1" t="shared" si="592"/>
        <v>2727</v>
      </c>
      <c r="AL808" s="136">
        <f ca="1" t="shared" si="592"/>
        <v>3636</v>
      </c>
      <c r="AM808" s="136">
        <f ca="1" t="shared" si="592"/>
        <v>4545</v>
      </c>
      <c r="AN808" s="136">
        <f ca="1" t="shared" si="592"/>
        <v>3315</v>
      </c>
    </row>
    <row r="809" s="106" customFormat="1" ht="16.5" spans="2:40">
      <c r="B809" s="117">
        <v>175</v>
      </c>
      <c r="C809" s="130">
        <f t="shared" si="499"/>
        <v>17500</v>
      </c>
      <c r="D809" s="131" cm="1">
        <f ca="1" t="array" ref="D809">IF(D1411=1,OFFSET($W$634,$B809,D$631-1)/SUMPRODUCT(--($D$631:$V$631=D$631),--($D1411:$V1411=1)),0)+SUM(D808)+IF(COUNTIF(D$1237:D1411,1)=1,5,0)+IF(COUNTIF(E809:$W809,"&gt;"&amp;0)&lt;5,IF(AND(COUNTIF(D$1237:D1411,1)&gt;7,MOD(1+IFERROR(MATCH($C809,总览!$D$46:$D$345,1)+1,1),7)=0),$C$3,0),0)</f>
        <v>1310.63302030273</v>
      </c>
      <c r="E809" s="131" cm="1">
        <f ca="1" t="array" ref="E809">IF(E1411=1,OFFSET($W$634,$B809,E$631-1)/SUMPRODUCT(--($D$631:$V$631=E$631),--($D1411:$V1411=1)),0)+SUM(E808)+IF(COUNTIF(E$1237:E1411,1)=1,5,0)+IF(COUNTIF(F809:$W809,"&gt;"&amp;0)&lt;5,IF(AND(COUNTIF(E$1237:E1411,1)&gt;7,MOD(1+IFERROR(MATCH($C809,总览!$D$46:$D$345,1)+1,1),7)=0),$C$3,0),0)</f>
        <v>1310.63302030273</v>
      </c>
      <c r="F809" s="131" cm="1">
        <f ca="1" t="array" ref="F809">IF(F1411=1,OFFSET($W$634,$B809,F$631-1)/SUMPRODUCT(--($D$631:$V$631=F$631),--($D1411:$V1411=1)),0)+SUM(F808)+IF(COUNTIF(F$1237:F1411,1)=1,5,0)+IF(COUNTIF(G809:$W809,"&gt;"&amp;0)&lt;5,IF(AND(COUNTIF(F$1237:F1411,1)&gt;7,MOD(1+IFERROR(MATCH($C809,总览!$D$46:$D$345,1)+1,1),7)=0),$C$3,0),0)</f>
        <v>1310.63302030273</v>
      </c>
      <c r="G809" s="131" cm="1">
        <f ca="1" t="array" ref="G809">IF(G1411=1,OFFSET($W$634,$B809,G$631-1)/SUMPRODUCT(--($D$631:$V$631=G$631),--($D1411:$V1411=1)),0)+SUM(G808)+IF(COUNTIF(G$1237:G1411,1)=1,5,0)+IF(COUNTIF(H809:$W809,"&gt;"&amp;0)&lt;5,IF(AND(COUNTIF(G$1237:G1411,1)&gt;7,MOD(1+IFERROR(MATCH($C809,总览!$D$46:$D$345,1)+1,1),7)=0),$C$3,0),0)</f>
        <v>522.733333333332</v>
      </c>
      <c r="H809" s="131" cm="1">
        <f ca="1" t="array" ref="H809">IF(H1411=1,OFFSET($W$634,$B809,H$631-1)/SUMPRODUCT(--($D$631:$V$631=H$631),--($D1411:$V1411=1)),0)+SUM(H808)+IF(COUNTIF(H$1237:H1411,1)=1,5,0)+IF(COUNTIF(I809:$W809,"&gt;"&amp;0)&lt;5,IF(AND(COUNTIF(H$1237:H1411,1)&gt;7,MOD(1+IFERROR(MATCH($C809,总览!$D$46:$D$345,1)+1,1),7)=0),$C$3,0),0)</f>
        <v>522.733333333332</v>
      </c>
      <c r="I809" s="131" cm="1">
        <f ca="1" t="array" ref="I809">IF(I1411=1,OFFSET($W$634,$B809,I$631-1)/SUMPRODUCT(--($D$631:$V$631=I$631),--($D1411:$V1411=1)),0)+SUM(I808)+IF(COUNTIF(I$1237:I1411,1)=1,5,0)+IF(COUNTIF(J809:$W809,"&gt;"&amp;0)&lt;5,IF(AND(COUNTIF(I$1237:I1411,1)&gt;7,MOD(1+IFERROR(MATCH($C809,总览!$D$46:$D$345,1)+1,1),7)=0),$C$3,0),0)</f>
        <v>522.733333333332</v>
      </c>
      <c r="J809" s="131" cm="1">
        <f ca="1" t="array" ref="J809">IF(J1411=1,OFFSET($W$634,$B809,J$631-1)/SUMPRODUCT(--($D$631:$V$631=J$631),--($D1411:$V1411=1)),0)+SUM(J808)+IF(COUNTIF(J$1237:J1411,1)=1,5,0)+IF(COUNTIF(K809:$W809,"&gt;"&amp;0)&lt;5,IF(AND(COUNTIF(J$1237:J1411,1)&gt;7,MOD(1+IFERROR(MATCH($C809,总览!$D$46:$D$345,1)+1,1),7)=0),$C$3,0),0)</f>
        <v>519.399999999999</v>
      </c>
      <c r="K809" s="131" cm="1">
        <f ca="1" t="array" ref="K809">IF(K1411=1,OFFSET($W$634,$B809,K$631-1)/SUMPRODUCT(--($D$631:$V$631=K$631),--($D1411:$V1411=1)),0)+SUM(K808)+IF(COUNTIF(K$1237:K1411,1)=1,5,0)+IF(COUNTIF(L809:$W809,"&gt;"&amp;0)&lt;5,IF(AND(COUNTIF(K$1237:K1411,1)&gt;7,MOD(1+IFERROR(MATCH($C809,总览!$D$46:$D$345,1)+1,1),7)=0),$C$3,0),0)</f>
        <v>516.899999999999</v>
      </c>
      <c r="L809" s="131" cm="1">
        <f ca="1" t="array" ref="L809">IF(L1411=1,OFFSET($W$634,$B809,L$631-1)/SUMPRODUCT(--($D$631:$V$631=L$631),--($D1411:$V1411=1)),0)+SUM(L808)+IF(COUNTIF(L$1237:L1411,1)=1,5,0)+IF(COUNTIF(M809:$W809,"&gt;"&amp;0)&lt;5,IF(AND(COUNTIF(L$1237:L1411,1)&gt;7,MOD(1+IFERROR(MATCH($C809,总览!$D$46:$D$345,1)+1,1),7)=0),$C$3,0),0)</f>
        <v>516.899999999999</v>
      </c>
      <c r="M809" s="131" cm="1">
        <f ca="1" t="array" ref="M809">IF(M1411=1,OFFSET($W$634,$B809,M$631-1)/SUMPRODUCT(--($D$631:$V$631=M$631),--($D1411:$V1411=1)),0)+SUM(M808)+IF(COUNTIF(M$1237:M1411,1)=1,5,0)+IF(COUNTIF(N809:$W809,"&gt;"&amp;0)&lt;5,IF(AND(COUNTIF(M$1237:M1411,1)&gt;7,MOD(1+IFERROR(MATCH($C809,总览!$D$46:$D$345,1)+1,1),7)=0),$C$3,0),0)</f>
        <v>207.752678571428</v>
      </c>
      <c r="N809" s="131" cm="1">
        <f ca="1" t="array" ref="N809">IF(N1411=1,OFFSET($W$634,$B809,N$631-1)/SUMPRODUCT(--($D$631:$V$631=N$631),--($D1411:$V1411=1)),0)+SUM(N808)+IF(COUNTIF(N$1237:N1411,1)=1,5,0)+IF(COUNTIF(O809:$W809,"&gt;"&amp;0)&lt;5,IF(AND(COUNTIF(N$1237:N1411,1)&gt;7,MOD(1+IFERROR(MATCH($C809,总览!$D$46:$D$345,1)+1,1),7)=0),$C$3,0),0)</f>
        <v>209.002678571428</v>
      </c>
      <c r="O809" s="131" cm="1">
        <f ca="1" t="array" ref="O809">IF(O1411=1,OFFSET($W$634,$B809,O$631-1)/SUMPRODUCT(--($D$631:$V$631=O$631),--($D1411:$V1411=1)),0)+SUM(O808)+IF(COUNTIF(O$1237:O1411,1)=1,5,0)+IF(COUNTIF(P809:$W809,"&gt;"&amp;0)&lt;5,IF(AND(COUNTIF(O$1237:O1411,1)&gt;7,MOD(1+IFERROR(MATCH($C809,总览!$D$46:$D$345,1)+1,1),7)=0),$C$3,0),0)</f>
        <v>214.002678571428</v>
      </c>
      <c r="P809" s="131" cm="1">
        <f ca="1" t="array" ref="P809">IF(P1411=1,OFFSET($W$634,$B809,P$631-1)/SUMPRODUCT(--($D$631:$V$631=P$631),--($D1411:$V1411=1)),0)+SUM(P808)+IF(COUNTIF(P$1237:P1411,1)=1,5,0)+IF(COUNTIF(Q809:$W809,"&gt;"&amp;0)&lt;5,IF(AND(COUNTIF(P$1237:P1411,1)&gt;7,MOD(1+IFERROR(MATCH($C809,总览!$D$46:$D$345,1)+1,1),7)=0),$C$3,0),0)</f>
        <v>203.121428571428</v>
      </c>
      <c r="Q809" s="131" cm="1">
        <f ca="1" t="array" ref="Q809">IF(Q1411=1,OFFSET($W$634,$B809,Q$631-1)/SUMPRODUCT(--($D$631:$V$631=Q$631),--($D1411:$V1411=1)),0)+SUM(Q808)+IF(COUNTIF(Q$1237:Q1411,1)=1,5,0)+IF(COUNTIF(R809:$W809,"&gt;"&amp;0)&lt;5,IF(AND(COUNTIF(Q$1237:Q1411,1)&gt;7,MOD(1+IFERROR(MATCH($C809,总览!$D$46:$D$345,1)+1,1),7)=0),$C$3,0),0)</f>
        <v>216.502678571428</v>
      </c>
      <c r="R809" s="131" cm="1">
        <f ca="1" t="array" ref="R809">IF(R1411=1,OFFSET($W$634,$B809,R$631-1)/SUMPRODUCT(--($D$631:$V$631=R$631),--($D1411:$V1411=1)),0)+SUM(R808)+IF(COUNTIF(R$1237:R1411,1)=1,5,0)+IF(COUNTIF(S809:$W809,"&gt;"&amp;0)&lt;5,IF(AND(COUNTIF(R$1237:R1411,1)&gt;7,MOD(1+IFERROR(MATCH($C809,总览!$D$46:$D$345,1)+1,1),7)=0),$C$3,0),0)</f>
        <v>208.121428571428</v>
      </c>
      <c r="S809" s="131" cm="1">
        <f ca="1" t="array" ref="S809">IF(S1411=1,OFFSET($W$634,$B809,S$631-1)/SUMPRODUCT(--($D$631:$V$631=S$631),--($D1411:$V1411=1)),0)+SUM(S808)+IF(COUNTIF(S$1237:S1411,1)=1,5,0)+IF(COUNTIF(T809:$W809,"&gt;"&amp;0)&lt;5,IF(AND(COUNTIF(S$1237:S1411,1)&gt;7,MOD(1+IFERROR(MATCH($C809,总览!$D$46:$D$345,1)+1,1),7)=0),$C$3,0),0)</f>
        <v>295.621428571428</v>
      </c>
      <c r="T809" s="131" cm="1">
        <f ca="1" t="array" ref="T809">IF(T1411=1,OFFSET($W$634,$B809,T$631-1)/SUMPRODUCT(--($D$631:$V$631=T$631),--($D1411:$V1411=1)),0)+SUM(T808)+IF(COUNTIF(T$1237:T1411,1)=1,5,0)+IF(COUNTIF(U809:$W809,"&gt;"&amp;0)&lt;5,IF(AND(COUNTIF(T$1237:T1411,1)&gt;7,MOD(1+IFERROR(MATCH($C809,总览!$D$46:$D$345,1)+1,1),7)=0),$C$3,0),0)</f>
        <v>213.902455556263</v>
      </c>
      <c r="U809" s="131" cm="1">
        <f ca="1" t="array" ref="U809">IF(U1411=1,OFFSET($W$634,$B809,U$631-1)/SUMPRODUCT(--($D$631:$V$631=U$631),--($D1411:$V1411=1)),0)+SUM(U808)+IF(COUNTIF(U$1237:U1411,1)=1,5,0)+IF(COUNTIF(V809:$W809,"&gt;"&amp;0)&lt;5,IF(AND(COUNTIF(U$1237:U1411,1)&gt;7,MOD(1+IFERROR(MATCH($C809,总览!$D$46:$D$345,1)+1,1),7)=0),$C$3,0),0)</f>
        <v>219.423241911562</v>
      </c>
      <c r="V809" s="131" cm="1">
        <f ca="1" t="array" ref="V809">IF(V1411=1,OFFSET($W$634,$B809,V$631-1)/SUMPRODUCT(--($D$631:$V$631=V$631),--($D1411:$V1411=1)),0)+SUM(V808)+IF(COUNTIF(V$1237:V1411,1)=1,5,0)+IF(COUNTIF(W809:$W809,"&gt;"&amp;0)&lt;5,IF(AND(COUNTIF(V$1237:V1411,1)&gt;7,MOD(1+IFERROR(MATCH($C809,总览!$D$46:$D$345,1)+1,1),7)=0),$C$3,0),0)</f>
        <v>239.250241623996</v>
      </c>
      <c r="W809" s="135" cm="1">
        <f ca="1" t="array" ref="W809">SUMPRODUCT(TRANSPOSE($AA809:$AG809),OFFSET($L$9:$L$15,0,W$631-1))</f>
        <v>16.8502200646615</v>
      </c>
      <c r="X809" s="135" cm="1">
        <f ca="1" t="array" ref="X809">SUMPRODUCT(TRANSPOSE($AA809:$AG809),OFFSET($L$9:$L$15,0,X$631-1))</f>
        <v>20</v>
      </c>
      <c r="Y809" s="135" cm="1">
        <f ca="1" t="array" ref="Y809">SUMPRODUCT(TRANSPOSE($AA809:$AG809),OFFSET($L$9:$L$15,0,Y$631-1))</f>
        <v>10</v>
      </c>
      <c r="Z809" s="135" cm="1">
        <f ca="1" t="array" ref="Z809">SUMPRODUCT(TRANSPOSE($AA809:$AG809),OFFSET($L$9:$L$15,0,Z$631-1))</f>
        <v>3.14977993533847</v>
      </c>
      <c r="AA809" s="136">
        <f ca="1" t="shared" ref="AA809:AG809" si="593">AH809-AH808</f>
        <v>0</v>
      </c>
      <c r="AB809" s="136">
        <f ca="1" t="shared" si="593"/>
        <v>0</v>
      </c>
      <c r="AC809" s="136">
        <f ca="1" t="shared" si="593"/>
        <v>0</v>
      </c>
      <c r="AD809" s="136">
        <f ca="1" t="shared" si="593"/>
        <v>0</v>
      </c>
      <c r="AE809" s="136">
        <f ca="1" t="shared" si="593"/>
        <v>0</v>
      </c>
      <c r="AF809" s="136">
        <f ca="1" t="shared" si="593"/>
        <v>0</v>
      </c>
      <c r="AG809" s="136">
        <f ca="1" t="shared" si="593"/>
        <v>100</v>
      </c>
      <c r="AH809" s="136">
        <f ca="1" t="shared" si="501"/>
        <v>450</v>
      </c>
      <c r="AI809" s="136">
        <f ca="1" t="shared" ref="AI809:AN809" si="594">IF($C809&gt;OFFSET($Q$8,MATCH(AI$634,$AH$634:$AN$634,0),0),OFFSET($P$8,MATCH(AI$634,$AH$634:$AN$634,0),0),MAX(0,$C809-OFFSET($Q$8,RIGHT(AI$634,1)-1,0)))</f>
        <v>909</v>
      </c>
      <c r="AJ809" s="136">
        <f ca="1" t="shared" si="594"/>
        <v>1818</v>
      </c>
      <c r="AK809" s="136">
        <f ca="1" t="shared" si="594"/>
        <v>2727</v>
      </c>
      <c r="AL809" s="136">
        <f ca="1" t="shared" si="594"/>
        <v>3636</v>
      </c>
      <c r="AM809" s="136">
        <f ca="1" t="shared" si="594"/>
        <v>4545</v>
      </c>
      <c r="AN809" s="136">
        <f ca="1" t="shared" si="594"/>
        <v>3415</v>
      </c>
    </row>
    <row r="810" s="106" customFormat="1" ht="16.5" spans="2:40">
      <c r="B810" s="117">
        <v>176</v>
      </c>
      <c r="C810" s="130">
        <f t="shared" si="499"/>
        <v>17600</v>
      </c>
      <c r="D810" s="131" cm="1">
        <f ca="1" t="array" ref="D810">IF(D1412=1,OFFSET($W$634,$B810,D$631-1)/SUMPRODUCT(--($D$631:$V$631=D$631),--($D1412:$V1412=1)),0)+SUM(D809)+IF(COUNTIF(D$1237:D1412,1)=1,5,0)+IF(COUNTIF(E810:$W810,"&gt;"&amp;0)&lt;5,IF(AND(COUNTIF(D$1237:D1412,1)&gt;7,MOD(1+IFERROR(MATCH($C810,总览!$D$46:$D$345,1)+1,1),7)=0),$C$3,0),0)</f>
        <v>1316.24976032428</v>
      </c>
      <c r="E810" s="131" cm="1">
        <f ca="1" t="array" ref="E810">IF(E1412=1,OFFSET($W$634,$B810,E$631-1)/SUMPRODUCT(--($D$631:$V$631=E$631),--($D1412:$V1412=1)),0)+SUM(E809)+IF(COUNTIF(E$1237:E1412,1)=1,5,0)+IF(COUNTIF(F810:$W810,"&gt;"&amp;0)&lt;5,IF(AND(COUNTIF(E$1237:E1412,1)&gt;7,MOD(1+IFERROR(MATCH($C810,总览!$D$46:$D$345,1)+1,1),7)=0),$C$3,0),0)</f>
        <v>1316.24976032428</v>
      </c>
      <c r="F810" s="131" cm="1">
        <f ca="1" t="array" ref="F810">IF(F1412=1,OFFSET($W$634,$B810,F$631-1)/SUMPRODUCT(--($D$631:$V$631=F$631),--($D1412:$V1412=1)),0)+SUM(F809)+IF(COUNTIF(F$1237:F1412,1)=1,5,0)+IF(COUNTIF(G810:$W810,"&gt;"&amp;0)&lt;5,IF(AND(COUNTIF(F$1237:F1412,1)&gt;7,MOD(1+IFERROR(MATCH($C810,总览!$D$46:$D$345,1)+1,1),7)=0),$C$3,0),0)</f>
        <v>1316.24976032428</v>
      </c>
      <c r="G810" s="131" cm="1">
        <f ca="1" t="array" ref="G810">IF(G1412=1,OFFSET($W$634,$B810,G$631-1)/SUMPRODUCT(--($D$631:$V$631=G$631),--($D1412:$V1412=1)),0)+SUM(G809)+IF(COUNTIF(G$1237:G1412,1)=1,5,0)+IF(COUNTIF(H810:$W810,"&gt;"&amp;0)&lt;5,IF(AND(COUNTIF(G$1237:G1412,1)&gt;7,MOD(1+IFERROR(MATCH($C810,总览!$D$46:$D$345,1)+1,1),7)=0),$C$3,0),0)</f>
        <v>526.066666666665</v>
      </c>
      <c r="H810" s="131" cm="1">
        <f ca="1" t="array" ref="H810">IF(H1412=1,OFFSET($W$634,$B810,H$631-1)/SUMPRODUCT(--($D$631:$V$631=H$631),--($D1412:$V1412=1)),0)+SUM(H809)+IF(COUNTIF(H$1237:H1412,1)=1,5,0)+IF(COUNTIF(I810:$W810,"&gt;"&amp;0)&lt;5,IF(AND(COUNTIF(H$1237:H1412,1)&gt;7,MOD(1+IFERROR(MATCH($C810,总览!$D$46:$D$345,1)+1,1),7)=0),$C$3,0),0)</f>
        <v>526.066666666665</v>
      </c>
      <c r="I810" s="131" cm="1">
        <f ca="1" t="array" ref="I810">IF(I1412=1,OFFSET($W$634,$B810,I$631-1)/SUMPRODUCT(--($D$631:$V$631=I$631),--($D1412:$V1412=1)),0)+SUM(I809)+IF(COUNTIF(I$1237:I1412,1)=1,5,0)+IF(COUNTIF(J810:$W810,"&gt;"&amp;0)&lt;5,IF(AND(COUNTIF(I$1237:I1412,1)&gt;7,MOD(1+IFERROR(MATCH($C810,总览!$D$46:$D$345,1)+1,1),7)=0),$C$3,0),0)</f>
        <v>526.066666666665</v>
      </c>
      <c r="J810" s="131" cm="1">
        <f ca="1" t="array" ref="J810">IF(J1412=1,OFFSET($W$634,$B810,J$631-1)/SUMPRODUCT(--($D$631:$V$631=J$631),--($D1412:$V1412=1)),0)+SUM(J809)+IF(COUNTIF(J$1237:J1412,1)=1,5,0)+IF(COUNTIF(K810:$W810,"&gt;"&amp;0)&lt;5,IF(AND(COUNTIF(J$1237:J1412,1)&gt;7,MOD(1+IFERROR(MATCH($C810,总览!$D$46:$D$345,1)+1,1),7)=0),$C$3,0),0)</f>
        <v>522.733333333332</v>
      </c>
      <c r="K810" s="131" cm="1">
        <f ca="1" t="array" ref="K810">IF(K1412=1,OFFSET($W$634,$B810,K$631-1)/SUMPRODUCT(--($D$631:$V$631=K$631),--($D1412:$V1412=1)),0)+SUM(K809)+IF(COUNTIF(K$1237:K1412,1)=1,5,0)+IF(COUNTIF(L810:$W810,"&gt;"&amp;0)&lt;5,IF(AND(COUNTIF(K$1237:K1412,1)&gt;7,MOD(1+IFERROR(MATCH($C810,总览!$D$46:$D$345,1)+1,1),7)=0),$C$3,0),0)</f>
        <v>520.233333333332</v>
      </c>
      <c r="L810" s="131" cm="1">
        <f ca="1" t="array" ref="L810">IF(L1412=1,OFFSET($W$634,$B810,L$631-1)/SUMPRODUCT(--($D$631:$V$631=L$631),--($D1412:$V1412=1)),0)+SUM(L809)+IF(COUNTIF(L$1237:L1412,1)=1,5,0)+IF(COUNTIF(M810:$W810,"&gt;"&amp;0)&lt;5,IF(AND(COUNTIF(L$1237:L1412,1)&gt;7,MOD(1+IFERROR(MATCH($C810,总览!$D$46:$D$345,1)+1,1),7)=0),$C$3,0),0)</f>
        <v>520.233333333332</v>
      </c>
      <c r="M810" s="131" cm="1">
        <f ca="1" t="array" ref="M810">IF(M1412=1,OFFSET($W$634,$B810,M$631-1)/SUMPRODUCT(--($D$631:$V$631=M$631),--($D1412:$V1412=1)),0)+SUM(M809)+IF(COUNTIF(M$1237:M1412,1)=1,5,0)+IF(COUNTIF(N810:$W810,"&gt;"&amp;0)&lt;5,IF(AND(COUNTIF(M$1237:M1412,1)&gt;7,MOD(1+IFERROR(MATCH($C810,总览!$D$46:$D$345,1)+1,1),7)=0),$C$3,0),0)</f>
        <v>209.181249999999</v>
      </c>
      <c r="N810" s="131" cm="1">
        <f ca="1" t="array" ref="N810">IF(N1412=1,OFFSET($W$634,$B810,N$631-1)/SUMPRODUCT(--($D$631:$V$631=N$631),--($D1412:$V1412=1)),0)+SUM(N809)+IF(COUNTIF(N$1237:N1412,1)=1,5,0)+IF(COUNTIF(O810:$W810,"&gt;"&amp;0)&lt;5,IF(AND(COUNTIF(N$1237:N1412,1)&gt;7,MOD(1+IFERROR(MATCH($C810,总览!$D$46:$D$345,1)+1,1),7)=0),$C$3,0),0)</f>
        <v>210.431249999999</v>
      </c>
      <c r="O810" s="131" cm="1">
        <f ca="1" t="array" ref="O810">IF(O1412=1,OFFSET($W$634,$B810,O$631-1)/SUMPRODUCT(--($D$631:$V$631=O$631),--($D1412:$V1412=1)),0)+SUM(O809)+IF(COUNTIF(O$1237:O1412,1)=1,5,0)+IF(COUNTIF(P810:$W810,"&gt;"&amp;0)&lt;5,IF(AND(COUNTIF(O$1237:O1412,1)&gt;7,MOD(1+IFERROR(MATCH($C810,总览!$D$46:$D$345,1)+1,1),7)=0),$C$3,0),0)</f>
        <v>215.431249999999</v>
      </c>
      <c r="P810" s="131" cm="1">
        <f ca="1" t="array" ref="P810">IF(P1412=1,OFFSET($W$634,$B810,P$631-1)/SUMPRODUCT(--($D$631:$V$631=P$631),--($D1412:$V1412=1)),0)+SUM(P809)+IF(COUNTIF(P$1237:P1412,1)=1,5,0)+IF(COUNTIF(Q810:$W810,"&gt;"&amp;0)&lt;5,IF(AND(COUNTIF(P$1237:P1412,1)&gt;7,MOD(1+IFERROR(MATCH($C810,总览!$D$46:$D$345,1)+1,1),7)=0),$C$3,0),0)</f>
        <v>204.549999999999</v>
      </c>
      <c r="Q810" s="131" cm="1">
        <f ca="1" t="array" ref="Q810">IF(Q1412=1,OFFSET($W$634,$B810,Q$631-1)/SUMPRODUCT(--($D$631:$V$631=Q$631),--($D1412:$V1412=1)),0)+SUM(Q809)+IF(COUNTIF(Q$1237:Q1412,1)=1,5,0)+IF(COUNTIF(R810:$W810,"&gt;"&amp;0)&lt;5,IF(AND(COUNTIF(Q$1237:Q1412,1)&gt;7,MOD(1+IFERROR(MATCH($C810,总览!$D$46:$D$345,1)+1,1),7)=0),$C$3,0),0)</f>
        <v>217.931249999999</v>
      </c>
      <c r="R810" s="131" cm="1">
        <f ca="1" t="array" ref="R810">IF(R1412=1,OFFSET($W$634,$B810,R$631-1)/SUMPRODUCT(--($D$631:$V$631=R$631),--($D1412:$V1412=1)),0)+SUM(R809)+IF(COUNTIF(R$1237:R1412,1)=1,5,0)+IF(COUNTIF(S810:$W810,"&gt;"&amp;0)&lt;5,IF(AND(COUNTIF(R$1237:R1412,1)&gt;7,MOD(1+IFERROR(MATCH($C810,总览!$D$46:$D$345,1)+1,1),7)=0),$C$3,0),0)</f>
        <v>209.549999999999</v>
      </c>
      <c r="S810" s="131" cm="1">
        <f ca="1" t="array" ref="S810">IF(S1412=1,OFFSET($W$634,$B810,S$631-1)/SUMPRODUCT(--($D$631:$V$631=S$631),--($D1412:$V1412=1)),0)+SUM(S809)+IF(COUNTIF(S$1237:S1412,1)=1,5,0)+IF(COUNTIF(T810:$W810,"&gt;"&amp;0)&lt;5,IF(AND(COUNTIF(S$1237:S1412,1)&gt;7,MOD(1+IFERROR(MATCH($C810,总览!$D$46:$D$345,1)+1,1),7)=0),$C$3,0),0)</f>
        <v>297.049999999999</v>
      </c>
      <c r="T810" s="131" cm="1">
        <f ca="1" t="array" ref="T810">IF(T1412=1,OFFSET($W$634,$B810,T$631-1)/SUMPRODUCT(--($D$631:$V$631=T$631),--($D1412:$V1412=1)),0)+SUM(T809)+IF(COUNTIF(T$1237:T1412,1)=1,5,0)+IF(COUNTIF(U810:$W810,"&gt;"&amp;0)&lt;5,IF(AND(COUNTIF(T$1237:T1412,1)&gt;7,MOD(1+IFERROR(MATCH($C810,总览!$D$46:$D$345,1)+1,1),7)=0),$C$3,0),0)</f>
        <v>214.952382201376</v>
      </c>
      <c r="U810" s="131" cm="1">
        <f ca="1" t="array" ref="U810">IF(U1412=1,OFFSET($W$634,$B810,U$631-1)/SUMPRODUCT(--($D$631:$V$631=U$631),--($D1412:$V1412=1)),0)+SUM(U809)+IF(COUNTIF(U$1237:U1412,1)=1,5,0)+IF(COUNTIF(V810:$W810,"&gt;"&amp;0)&lt;5,IF(AND(COUNTIF(U$1237:U1412,1)&gt;7,MOD(1+IFERROR(MATCH($C810,总览!$D$46:$D$345,1)+1,1),7)=0),$C$3,0),0)</f>
        <v>220.473168556675</v>
      </c>
      <c r="V810" s="131" cm="1">
        <f ca="1" t="array" ref="V810">IF(V1412=1,OFFSET($W$634,$B810,V$631-1)/SUMPRODUCT(--($D$631:$V$631=V$631),--($D1412:$V1412=1)),0)+SUM(V809)+IF(COUNTIF(V$1237:V1412,1)=1,5,0)+IF(COUNTIF(W810:$W810,"&gt;"&amp;0)&lt;5,IF(AND(COUNTIF(V$1237:V1412,1)&gt;7,MOD(1+IFERROR(MATCH($C810,总览!$D$46:$D$345,1)+1,1),7)=0),$C$3,0),0)</f>
        <v>240.300168269109</v>
      </c>
      <c r="W810" s="135" cm="1">
        <f ca="1" t="array" ref="W810">SUMPRODUCT(TRANSPOSE($AA810:$AG810),OFFSET($L$9:$L$15,0,W$631-1))</f>
        <v>16.8502200646615</v>
      </c>
      <c r="X810" s="135" cm="1">
        <f ca="1" t="array" ref="X810">SUMPRODUCT(TRANSPOSE($AA810:$AG810),OFFSET($L$9:$L$15,0,X$631-1))</f>
        <v>20</v>
      </c>
      <c r="Y810" s="135" cm="1">
        <f ca="1" t="array" ref="Y810">SUMPRODUCT(TRANSPOSE($AA810:$AG810),OFFSET($L$9:$L$15,0,Y$631-1))</f>
        <v>10</v>
      </c>
      <c r="Z810" s="135" cm="1">
        <f ca="1" t="array" ref="Z810">SUMPRODUCT(TRANSPOSE($AA810:$AG810),OFFSET($L$9:$L$15,0,Z$631-1))</f>
        <v>3.14977993533847</v>
      </c>
      <c r="AA810" s="136">
        <f ca="1" t="shared" ref="AA810:AG810" si="595">AH810-AH809</f>
        <v>0</v>
      </c>
      <c r="AB810" s="136">
        <f ca="1" t="shared" si="595"/>
        <v>0</v>
      </c>
      <c r="AC810" s="136">
        <f ca="1" t="shared" si="595"/>
        <v>0</v>
      </c>
      <c r="AD810" s="136">
        <f ca="1" t="shared" si="595"/>
        <v>0</v>
      </c>
      <c r="AE810" s="136">
        <f ca="1" t="shared" si="595"/>
        <v>0</v>
      </c>
      <c r="AF810" s="136">
        <f ca="1" t="shared" si="595"/>
        <v>0</v>
      </c>
      <c r="AG810" s="136">
        <f ca="1" t="shared" si="595"/>
        <v>100</v>
      </c>
      <c r="AH810" s="136">
        <f ca="1" t="shared" si="501"/>
        <v>450</v>
      </c>
      <c r="AI810" s="136">
        <f ca="1" t="shared" ref="AI810:AN810" si="596">IF($C810&gt;OFFSET($Q$8,MATCH(AI$634,$AH$634:$AN$634,0),0),OFFSET($P$8,MATCH(AI$634,$AH$634:$AN$634,0),0),MAX(0,$C810-OFFSET($Q$8,RIGHT(AI$634,1)-1,0)))</f>
        <v>909</v>
      </c>
      <c r="AJ810" s="136">
        <f ca="1" t="shared" si="596"/>
        <v>1818</v>
      </c>
      <c r="AK810" s="136">
        <f ca="1" t="shared" si="596"/>
        <v>2727</v>
      </c>
      <c r="AL810" s="136">
        <f ca="1" t="shared" si="596"/>
        <v>3636</v>
      </c>
      <c r="AM810" s="136">
        <f ca="1" t="shared" si="596"/>
        <v>4545</v>
      </c>
      <c r="AN810" s="136">
        <f ca="1" t="shared" si="596"/>
        <v>3515</v>
      </c>
    </row>
    <row r="811" s="106" customFormat="1" ht="16.5" spans="2:40">
      <c r="B811" s="117">
        <v>177</v>
      </c>
      <c r="C811" s="130">
        <f t="shared" si="499"/>
        <v>17700</v>
      </c>
      <c r="D811" s="131" cm="1">
        <f ca="1" t="array" ref="D811">IF(D1413=1,OFFSET($W$634,$B811,D$631-1)/SUMPRODUCT(--($D$631:$V$631=D$631),--($D1413:$V1413=1)),0)+SUM(D810)+IF(COUNTIF(D$1237:D1413,1)=1,5,0)+IF(COUNTIF(E811:$W811,"&gt;"&amp;0)&lt;5,IF(AND(COUNTIF(D$1237:D1413,1)&gt;7,MOD(1+IFERROR(MATCH($C811,总览!$D$46:$D$345,1)+1,1),7)=0),$C$3,0),0)</f>
        <v>1321.86650034583</v>
      </c>
      <c r="E811" s="131" cm="1">
        <f ca="1" t="array" ref="E811">IF(E1413=1,OFFSET($W$634,$B811,E$631-1)/SUMPRODUCT(--($D$631:$V$631=E$631),--($D1413:$V1413=1)),0)+SUM(E810)+IF(COUNTIF(E$1237:E1413,1)=1,5,0)+IF(COUNTIF(F811:$W811,"&gt;"&amp;0)&lt;5,IF(AND(COUNTIF(E$1237:E1413,1)&gt;7,MOD(1+IFERROR(MATCH($C811,总览!$D$46:$D$345,1)+1,1),7)=0),$C$3,0),0)</f>
        <v>1321.86650034583</v>
      </c>
      <c r="F811" s="131" cm="1">
        <f ca="1" t="array" ref="F811">IF(F1413=1,OFFSET($W$634,$B811,F$631-1)/SUMPRODUCT(--($D$631:$V$631=F$631),--($D1413:$V1413=1)),0)+SUM(F810)+IF(COUNTIF(F$1237:F1413,1)=1,5,0)+IF(COUNTIF(G811:$W811,"&gt;"&amp;0)&lt;5,IF(AND(COUNTIF(F$1237:F1413,1)&gt;7,MOD(1+IFERROR(MATCH($C811,总览!$D$46:$D$345,1)+1,1),7)=0),$C$3,0),0)</f>
        <v>1321.86650034583</v>
      </c>
      <c r="G811" s="131" cm="1">
        <f ca="1" t="array" ref="G811">IF(G1413=1,OFFSET($W$634,$B811,G$631-1)/SUMPRODUCT(--($D$631:$V$631=G$631),--($D1413:$V1413=1)),0)+SUM(G810)+IF(COUNTIF(G$1237:G1413,1)=1,5,0)+IF(COUNTIF(H811:$W811,"&gt;"&amp;0)&lt;5,IF(AND(COUNTIF(G$1237:G1413,1)&gt;7,MOD(1+IFERROR(MATCH($C811,总览!$D$46:$D$345,1)+1,1),7)=0),$C$3,0),0)</f>
        <v>529.399999999999</v>
      </c>
      <c r="H811" s="131" cm="1">
        <f ca="1" t="array" ref="H811">IF(H1413=1,OFFSET($W$634,$B811,H$631-1)/SUMPRODUCT(--($D$631:$V$631=H$631),--($D1413:$V1413=1)),0)+SUM(H810)+IF(COUNTIF(H$1237:H1413,1)=1,5,0)+IF(COUNTIF(I811:$W811,"&gt;"&amp;0)&lt;5,IF(AND(COUNTIF(H$1237:H1413,1)&gt;7,MOD(1+IFERROR(MATCH($C811,总览!$D$46:$D$345,1)+1,1),7)=0),$C$3,0),0)</f>
        <v>529.399999999999</v>
      </c>
      <c r="I811" s="131" cm="1">
        <f ca="1" t="array" ref="I811">IF(I1413=1,OFFSET($W$634,$B811,I$631-1)/SUMPRODUCT(--($D$631:$V$631=I$631),--($D1413:$V1413=1)),0)+SUM(I810)+IF(COUNTIF(I$1237:I1413,1)=1,5,0)+IF(COUNTIF(J811:$W811,"&gt;"&amp;0)&lt;5,IF(AND(COUNTIF(I$1237:I1413,1)&gt;7,MOD(1+IFERROR(MATCH($C811,总览!$D$46:$D$345,1)+1,1),7)=0),$C$3,0),0)</f>
        <v>529.399999999999</v>
      </c>
      <c r="J811" s="131" cm="1">
        <f ca="1" t="array" ref="J811">IF(J1413=1,OFFSET($W$634,$B811,J$631-1)/SUMPRODUCT(--($D$631:$V$631=J$631),--($D1413:$V1413=1)),0)+SUM(J810)+IF(COUNTIF(J$1237:J1413,1)=1,5,0)+IF(COUNTIF(K811:$W811,"&gt;"&amp;0)&lt;5,IF(AND(COUNTIF(J$1237:J1413,1)&gt;7,MOD(1+IFERROR(MATCH($C811,总览!$D$46:$D$345,1)+1,1),7)=0),$C$3,0),0)</f>
        <v>526.066666666665</v>
      </c>
      <c r="K811" s="131" cm="1">
        <f ca="1" t="array" ref="K811">IF(K1413=1,OFFSET($W$634,$B811,K$631-1)/SUMPRODUCT(--($D$631:$V$631=K$631),--($D1413:$V1413=1)),0)+SUM(K810)+IF(COUNTIF(K$1237:K1413,1)=1,5,0)+IF(COUNTIF(L811:$W811,"&gt;"&amp;0)&lt;5,IF(AND(COUNTIF(K$1237:K1413,1)&gt;7,MOD(1+IFERROR(MATCH($C811,总览!$D$46:$D$345,1)+1,1),7)=0),$C$3,0),0)</f>
        <v>523.566666666665</v>
      </c>
      <c r="L811" s="131" cm="1">
        <f ca="1" t="array" ref="L811">IF(L1413=1,OFFSET($W$634,$B811,L$631-1)/SUMPRODUCT(--($D$631:$V$631=L$631),--($D1413:$V1413=1)),0)+SUM(L810)+IF(COUNTIF(L$1237:L1413,1)=1,5,0)+IF(COUNTIF(M811:$W811,"&gt;"&amp;0)&lt;5,IF(AND(COUNTIF(L$1237:L1413,1)&gt;7,MOD(1+IFERROR(MATCH($C811,总览!$D$46:$D$345,1)+1,1),7)=0),$C$3,0),0)</f>
        <v>523.566666666665</v>
      </c>
      <c r="M811" s="131" cm="1">
        <f ca="1" t="array" ref="M811">IF(M1413=1,OFFSET($W$634,$B811,M$631-1)/SUMPRODUCT(--($D$631:$V$631=M$631),--($D1413:$V1413=1)),0)+SUM(M810)+IF(COUNTIF(M$1237:M1413,1)=1,5,0)+IF(COUNTIF(N811:$W811,"&gt;"&amp;0)&lt;5,IF(AND(COUNTIF(M$1237:M1413,1)&gt;7,MOD(1+IFERROR(MATCH($C811,总览!$D$46:$D$345,1)+1,1),7)=0),$C$3,0),0)</f>
        <v>210.609821428571</v>
      </c>
      <c r="N811" s="131" cm="1">
        <f ca="1" t="array" ref="N811">IF(N1413=1,OFFSET($W$634,$B811,N$631-1)/SUMPRODUCT(--($D$631:$V$631=N$631),--($D1413:$V1413=1)),0)+SUM(N810)+IF(COUNTIF(N$1237:N1413,1)=1,5,0)+IF(COUNTIF(O811:$W811,"&gt;"&amp;0)&lt;5,IF(AND(COUNTIF(N$1237:N1413,1)&gt;7,MOD(1+IFERROR(MATCH($C811,总览!$D$46:$D$345,1)+1,1),7)=0),$C$3,0),0)</f>
        <v>211.859821428571</v>
      </c>
      <c r="O811" s="131" cm="1">
        <f ca="1" t="array" ref="O811">IF(O1413=1,OFFSET($W$634,$B811,O$631-1)/SUMPRODUCT(--($D$631:$V$631=O$631),--($D1413:$V1413=1)),0)+SUM(O810)+IF(COUNTIF(O$1237:O1413,1)=1,5,0)+IF(COUNTIF(P811:$W811,"&gt;"&amp;0)&lt;5,IF(AND(COUNTIF(O$1237:O1413,1)&gt;7,MOD(1+IFERROR(MATCH($C811,总览!$D$46:$D$345,1)+1,1),7)=0),$C$3,0),0)</f>
        <v>216.859821428571</v>
      </c>
      <c r="P811" s="131" cm="1">
        <f ca="1" t="array" ref="P811">IF(P1413=1,OFFSET($W$634,$B811,P$631-1)/SUMPRODUCT(--($D$631:$V$631=P$631),--($D1413:$V1413=1)),0)+SUM(P810)+IF(COUNTIF(P$1237:P1413,1)=1,5,0)+IF(COUNTIF(Q811:$W811,"&gt;"&amp;0)&lt;5,IF(AND(COUNTIF(P$1237:P1413,1)&gt;7,MOD(1+IFERROR(MATCH($C811,总览!$D$46:$D$345,1)+1,1),7)=0),$C$3,0),0)</f>
        <v>205.978571428571</v>
      </c>
      <c r="Q811" s="131" cm="1">
        <f ca="1" t="array" ref="Q811">IF(Q1413=1,OFFSET($W$634,$B811,Q$631-1)/SUMPRODUCT(--($D$631:$V$631=Q$631),--($D1413:$V1413=1)),0)+SUM(Q810)+IF(COUNTIF(Q$1237:Q1413,1)=1,5,0)+IF(COUNTIF(R811:$W811,"&gt;"&amp;0)&lt;5,IF(AND(COUNTIF(Q$1237:Q1413,1)&gt;7,MOD(1+IFERROR(MATCH($C811,总览!$D$46:$D$345,1)+1,1),7)=0),$C$3,0),0)</f>
        <v>219.35982142857</v>
      </c>
      <c r="R811" s="131" cm="1">
        <f ca="1" t="array" ref="R811">IF(R1413=1,OFFSET($W$634,$B811,R$631-1)/SUMPRODUCT(--($D$631:$V$631=R$631),--($D1413:$V1413=1)),0)+SUM(R810)+IF(COUNTIF(R$1237:R1413,1)=1,5,0)+IF(COUNTIF(S811:$W811,"&gt;"&amp;0)&lt;5,IF(AND(COUNTIF(R$1237:R1413,1)&gt;7,MOD(1+IFERROR(MATCH($C811,总览!$D$46:$D$345,1)+1,1),7)=0),$C$3,0),0)</f>
        <v>210.978571428571</v>
      </c>
      <c r="S811" s="131" cm="1">
        <f ca="1" t="array" ref="S811">IF(S1413=1,OFFSET($W$634,$B811,S$631-1)/SUMPRODUCT(--($D$631:$V$631=S$631),--($D1413:$V1413=1)),0)+SUM(S810)+IF(COUNTIF(S$1237:S1413,1)=1,5,0)+IF(COUNTIF(T811:$W811,"&gt;"&amp;0)&lt;5,IF(AND(COUNTIF(S$1237:S1413,1)&gt;7,MOD(1+IFERROR(MATCH($C811,总览!$D$46:$D$345,1)+1,1),7)=0),$C$3,0),0)</f>
        <v>298.478571428571</v>
      </c>
      <c r="T811" s="131" cm="1">
        <f ca="1" t="array" ref="T811">IF(T1413=1,OFFSET($W$634,$B811,T$631-1)/SUMPRODUCT(--($D$631:$V$631=T$631),--($D1413:$V1413=1)),0)+SUM(T810)+IF(COUNTIF(T$1237:T1413,1)=1,5,0)+IF(COUNTIF(U811:$W811,"&gt;"&amp;0)&lt;5,IF(AND(COUNTIF(T$1237:T1413,1)&gt;7,MOD(1+IFERROR(MATCH($C811,总览!$D$46:$D$345,1)+1,1),7)=0),$C$3,0),0)</f>
        <v>216.002308846488</v>
      </c>
      <c r="U811" s="131" cm="1">
        <f ca="1" t="array" ref="U811">IF(U1413=1,OFFSET($W$634,$B811,U$631-1)/SUMPRODUCT(--($D$631:$V$631=U$631),--($D1413:$V1413=1)),0)+SUM(U810)+IF(COUNTIF(U$1237:U1413,1)=1,5,0)+IF(COUNTIF(V811:$W811,"&gt;"&amp;0)&lt;5,IF(AND(COUNTIF(U$1237:U1413,1)&gt;7,MOD(1+IFERROR(MATCH($C811,总览!$D$46:$D$345,1)+1,1),7)=0),$C$3,0),0)</f>
        <v>221.523095201788</v>
      </c>
      <c r="V811" s="131" cm="1">
        <f ca="1" t="array" ref="V811">IF(V1413=1,OFFSET($W$634,$B811,V$631-1)/SUMPRODUCT(--($D$631:$V$631=V$631),--($D1413:$V1413=1)),0)+SUM(V810)+IF(COUNTIF(V$1237:V1413,1)=1,5,0)+IF(COUNTIF(W811:$W811,"&gt;"&amp;0)&lt;5,IF(AND(COUNTIF(V$1237:V1413,1)&gt;7,MOD(1+IFERROR(MATCH($C811,总览!$D$46:$D$345,1)+1,1),7)=0),$C$3,0),0)</f>
        <v>241.350094914222</v>
      </c>
      <c r="W811" s="135" cm="1">
        <f ca="1" t="array" ref="W811">SUMPRODUCT(TRANSPOSE($AA811:$AG811),OFFSET($L$9:$L$15,0,W$631-1))</f>
        <v>16.8502200646615</v>
      </c>
      <c r="X811" s="135" cm="1">
        <f ca="1" t="array" ref="X811">SUMPRODUCT(TRANSPOSE($AA811:$AG811),OFFSET($L$9:$L$15,0,X$631-1))</f>
        <v>20</v>
      </c>
      <c r="Y811" s="135" cm="1">
        <f ca="1" t="array" ref="Y811">SUMPRODUCT(TRANSPOSE($AA811:$AG811),OFFSET($L$9:$L$15,0,Y$631-1))</f>
        <v>10</v>
      </c>
      <c r="Z811" s="135" cm="1">
        <f ca="1" t="array" ref="Z811">SUMPRODUCT(TRANSPOSE($AA811:$AG811),OFFSET($L$9:$L$15,0,Z$631-1))</f>
        <v>3.14977993533847</v>
      </c>
      <c r="AA811" s="136">
        <f ca="1" t="shared" ref="AA811:AG811" si="597">AH811-AH810</f>
        <v>0</v>
      </c>
      <c r="AB811" s="136">
        <f ca="1" t="shared" si="597"/>
        <v>0</v>
      </c>
      <c r="AC811" s="136">
        <f ca="1" t="shared" si="597"/>
        <v>0</v>
      </c>
      <c r="AD811" s="136">
        <f ca="1" t="shared" si="597"/>
        <v>0</v>
      </c>
      <c r="AE811" s="136">
        <f ca="1" t="shared" si="597"/>
        <v>0</v>
      </c>
      <c r="AF811" s="136">
        <f ca="1" t="shared" si="597"/>
        <v>0</v>
      </c>
      <c r="AG811" s="136">
        <f ca="1" t="shared" si="597"/>
        <v>100</v>
      </c>
      <c r="AH811" s="136">
        <f ca="1" t="shared" si="501"/>
        <v>450</v>
      </c>
      <c r="AI811" s="136">
        <f ca="1" t="shared" ref="AI811:AN811" si="598">IF($C811&gt;OFFSET($Q$8,MATCH(AI$634,$AH$634:$AN$634,0),0),OFFSET($P$8,MATCH(AI$634,$AH$634:$AN$634,0),0),MAX(0,$C811-OFFSET($Q$8,RIGHT(AI$634,1)-1,0)))</f>
        <v>909</v>
      </c>
      <c r="AJ811" s="136">
        <f ca="1" t="shared" si="598"/>
        <v>1818</v>
      </c>
      <c r="AK811" s="136">
        <f ca="1" t="shared" si="598"/>
        <v>2727</v>
      </c>
      <c r="AL811" s="136">
        <f ca="1" t="shared" si="598"/>
        <v>3636</v>
      </c>
      <c r="AM811" s="136">
        <f ca="1" t="shared" si="598"/>
        <v>4545</v>
      </c>
      <c r="AN811" s="136">
        <f ca="1" t="shared" si="598"/>
        <v>3615</v>
      </c>
    </row>
    <row r="812" s="106" customFormat="1" ht="16.5" spans="2:40">
      <c r="B812" s="117">
        <v>178</v>
      </c>
      <c r="C812" s="130">
        <f t="shared" si="499"/>
        <v>17800</v>
      </c>
      <c r="D812" s="131" cm="1">
        <f ca="1" t="array" ref="D812">IF(D1414=1,OFFSET($W$634,$B812,D$631-1)/SUMPRODUCT(--($D$631:$V$631=D$631),--($D1414:$V1414=1)),0)+SUM(D811)+IF(COUNTIF(D$1237:D1414,1)=1,5,0)+IF(COUNTIF(E812:$W812,"&gt;"&amp;0)&lt;5,IF(AND(COUNTIF(D$1237:D1414,1)&gt;7,MOD(1+IFERROR(MATCH($C812,总览!$D$46:$D$345,1)+1,1),7)=0),$C$3,0),0)</f>
        <v>1327.48324036739</v>
      </c>
      <c r="E812" s="131" cm="1">
        <f ca="1" t="array" ref="E812">IF(E1414=1,OFFSET($W$634,$B812,E$631-1)/SUMPRODUCT(--($D$631:$V$631=E$631),--($D1414:$V1414=1)),0)+SUM(E811)+IF(COUNTIF(E$1237:E1414,1)=1,5,0)+IF(COUNTIF(F812:$W812,"&gt;"&amp;0)&lt;5,IF(AND(COUNTIF(E$1237:E1414,1)&gt;7,MOD(1+IFERROR(MATCH($C812,总览!$D$46:$D$345,1)+1,1),7)=0),$C$3,0),0)</f>
        <v>1327.48324036739</v>
      </c>
      <c r="F812" s="131" cm="1">
        <f ca="1" t="array" ref="F812">IF(F1414=1,OFFSET($W$634,$B812,F$631-1)/SUMPRODUCT(--($D$631:$V$631=F$631),--($D1414:$V1414=1)),0)+SUM(F811)+IF(COUNTIF(F$1237:F1414,1)=1,5,0)+IF(COUNTIF(G812:$W812,"&gt;"&amp;0)&lt;5,IF(AND(COUNTIF(F$1237:F1414,1)&gt;7,MOD(1+IFERROR(MATCH($C812,总览!$D$46:$D$345,1)+1,1),7)=0),$C$3,0),0)</f>
        <v>1327.48324036739</v>
      </c>
      <c r="G812" s="131" cm="1">
        <f ca="1" t="array" ref="G812">IF(G1414=1,OFFSET($W$634,$B812,G$631-1)/SUMPRODUCT(--($D$631:$V$631=G$631),--($D1414:$V1414=1)),0)+SUM(G811)+IF(COUNTIF(G$1237:G1414,1)=1,5,0)+IF(COUNTIF(H812:$W812,"&gt;"&amp;0)&lt;5,IF(AND(COUNTIF(G$1237:G1414,1)&gt;7,MOD(1+IFERROR(MATCH($C812,总览!$D$46:$D$345,1)+1,1),7)=0),$C$3,0),0)</f>
        <v>532.733333333332</v>
      </c>
      <c r="H812" s="131" cm="1">
        <f ca="1" t="array" ref="H812">IF(H1414=1,OFFSET($W$634,$B812,H$631-1)/SUMPRODUCT(--($D$631:$V$631=H$631),--($D1414:$V1414=1)),0)+SUM(H811)+IF(COUNTIF(H$1237:H1414,1)=1,5,0)+IF(COUNTIF(I812:$W812,"&gt;"&amp;0)&lt;5,IF(AND(COUNTIF(H$1237:H1414,1)&gt;7,MOD(1+IFERROR(MATCH($C812,总览!$D$46:$D$345,1)+1,1),7)=0),$C$3,0),0)</f>
        <v>532.733333333332</v>
      </c>
      <c r="I812" s="131" cm="1">
        <f ca="1" t="array" ref="I812">IF(I1414=1,OFFSET($W$634,$B812,I$631-1)/SUMPRODUCT(--($D$631:$V$631=I$631),--($D1414:$V1414=1)),0)+SUM(I811)+IF(COUNTIF(I$1237:I1414,1)=1,5,0)+IF(COUNTIF(J812:$W812,"&gt;"&amp;0)&lt;5,IF(AND(COUNTIF(I$1237:I1414,1)&gt;7,MOD(1+IFERROR(MATCH($C812,总览!$D$46:$D$345,1)+1,1),7)=0),$C$3,0),0)</f>
        <v>532.733333333332</v>
      </c>
      <c r="J812" s="131" cm="1">
        <f ca="1" t="array" ref="J812">IF(J1414=1,OFFSET($W$634,$B812,J$631-1)/SUMPRODUCT(--($D$631:$V$631=J$631),--($D1414:$V1414=1)),0)+SUM(J811)+IF(COUNTIF(J$1237:J1414,1)=1,5,0)+IF(COUNTIF(K812:$W812,"&gt;"&amp;0)&lt;5,IF(AND(COUNTIF(J$1237:J1414,1)&gt;7,MOD(1+IFERROR(MATCH($C812,总览!$D$46:$D$345,1)+1,1),7)=0),$C$3,0),0)</f>
        <v>529.399999999999</v>
      </c>
      <c r="K812" s="131" cm="1">
        <f ca="1" t="array" ref="K812">IF(K1414=1,OFFSET($W$634,$B812,K$631-1)/SUMPRODUCT(--($D$631:$V$631=K$631),--($D1414:$V1414=1)),0)+SUM(K811)+IF(COUNTIF(K$1237:K1414,1)=1,5,0)+IF(COUNTIF(L812:$W812,"&gt;"&amp;0)&lt;5,IF(AND(COUNTIF(K$1237:K1414,1)&gt;7,MOD(1+IFERROR(MATCH($C812,总览!$D$46:$D$345,1)+1,1),7)=0),$C$3,0),0)</f>
        <v>526.899999999999</v>
      </c>
      <c r="L812" s="131" cm="1">
        <f ca="1" t="array" ref="L812">IF(L1414=1,OFFSET($W$634,$B812,L$631-1)/SUMPRODUCT(--($D$631:$V$631=L$631),--($D1414:$V1414=1)),0)+SUM(L811)+IF(COUNTIF(L$1237:L1414,1)=1,5,0)+IF(COUNTIF(M812:$W812,"&gt;"&amp;0)&lt;5,IF(AND(COUNTIF(L$1237:L1414,1)&gt;7,MOD(1+IFERROR(MATCH($C812,总览!$D$46:$D$345,1)+1,1),7)=0),$C$3,0),0)</f>
        <v>526.899999999999</v>
      </c>
      <c r="M812" s="131" cm="1">
        <f ca="1" t="array" ref="M812">IF(M1414=1,OFFSET($W$634,$B812,M$631-1)/SUMPRODUCT(--($D$631:$V$631=M$631),--($D1414:$V1414=1)),0)+SUM(M811)+IF(COUNTIF(M$1237:M1414,1)=1,5,0)+IF(COUNTIF(N812:$W812,"&gt;"&amp;0)&lt;5,IF(AND(COUNTIF(M$1237:M1414,1)&gt;7,MOD(1+IFERROR(MATCH($C812,总览!$D$46:$D$345,1)+1,1),7)=0),$C$3,0),0)</f>
        <v>212.038392857142</v>
      </c>
      <c r="N812" s="131" cm="1">
        <f ca="1" t="array" ref="N812">IF(N1414=1,OFFSET($W$634,$B812,N$631-1)/SUMPRODUCT(--($D$631:$V$631=N$631),--($D1414:$V1414=1)),0)+SUM(N811)+IF(COUNTIF(N$1237:N1414,1)=1,5,0)+IF(COUNTIF(O812:$W812,"&gt;"&amp;0)&lt;5,IF(AND(COUNTIF(N$1237:N1414,1)&gt;7,MOD(1+IFERROR(MATCH($C812,总览!$D$46:$D$345,1)+1,1),7)=0),$C$3,0),0)</f>
        <v>213.288392857142</v>
      </c>
      <c r="O812" s="131" cm="1">
        <f ca="1" t="array" ref="O812">IF(O1414=1,OFFSET($W$634,$B812,O$631-1)/SUMPRODUCT(--($D$631:$V$631=O$631),--($D1414:$V1414=1)),0)+SUM(O811)+IF(COUNTIF(O$1237:O1414,1)=1,5,0)+IF(COUNTIF(P812:$W812,"&gt;"&amp;0)&lt;5,IF(AND(COUNTIF(O$1237:O1414,1)&gt;7,MOD(1+IFERROR(MATCH($C812,总览!$D$46:$D$345,1)+1,1),7)=0),$C$3,0),0)</f>
        <v>218.288392857142</v>
      </c>
      <c r="P812" s="131" cm="1">
        <f ca="1" t="array" ref="P812">IF(P1414=1,OFFSET($W$634,$B812,P$631-1)/SUMPRODUCT(--($D$631:$V$631=P$631),--($D1414:$V1414=1)),0)+SUM(P811)+IF(COUNTIF(P$1237:P1414,1)=1,5,0)+IF(COUNTIF(Q812:$W812,"&gt;"&amp;0)&lt;5,IF(AND(COUNTIF(P$1237:P1414,1)&gt;7,MOD(1+IFERROR(MATCH($C812,总览!$D$46:$D$345,1)+1,1),7)=0),$C$3,0),0)</f>
        <v>207.407142857142</v>
      </c>
      <c r="Q812" s="131" cm="1">
        <f ca="1" t="array" ref="Q812">IF(Q1414=1,OFFSET($W$634,$B812,Q$631-1)/SUMPRODUCT(--($D$631:$V$631=Q$631),--($D1414:$V1414=1)),0)+SUM(Q811)+IF(COUNTIF(Q$1237:Q1414,1)=1,5,0)+IF(COUNTIF(R812:$W812,"&gt;"&amp;0)&lt;5,IF(AND(COUNTIF(Q$1237:Q1414,1)&gt;7,MOD(1+IFERROR(MATCH($C812,总览!$D$46:$D$345,1)+1,1),7)=0),$C$3,0),0)</f>
        <v>220.788392857142</v>
      </c>
      <c r="R812" s="131" cm="1">
        <f ca="1" t="array" ref="R812">IF(R1414=1,OFFSET($W$634,$B812,R$631-1)/SUMPRODUCT(--($D$631:$V$631=R$631),--($D1414:$V1414=1)),0)+SUM(R811)+IF(COUNTIF(R$1237:R1414,1)=1,5,0)+IF(COUNTIF(S812:$W812,"&gt;"&amp;0)&lt;5,IF(AND(COUNTIF(R$1237:R1414,1)&gt;7,MOD(1+IFERROR(MATCH($C812,总览!$D$46:$D$345,1)+1,1),7)=0),$C$3,0),0)</f>
        <v>212.407142857142</v>
      </c>
      <c r="S812" s="131" cm="1">
        <f ca="1" t="array" ref="S812">IF(S1414=1,OFFSET($W$634,$B812,S$631-1)/SUMPRODUCT(--($D$631:$V$631=S$631),--($D1414:$V1414=1)),0)+SUM(S811)+IF(COUNTIF(S$1237:S1414,1)=1,5,0)+IF(COUNTIF(T812:$W812,"&gt;"&amp;0)&lt;5,IF(AND(COUNTIF(S$1237:S1414,1)&gt;7,MOD(1+IFERROR(MATCH($C812,总览!$D$46:$D$345,1)+1,1),7)=0),$C$3,0),0)</f>
        <v>299.907142857142</v>
      </c>
      <c r="T812" s="131" cm="1">
        <f ca="1" t="array" ref="T812">IF(T1414=1,OFFSET($W$634,$B812,T$631-1)/SUMPRODUCT(--($D$631:$V$631=T$631),--($D1414:$V1414=1)),0)+SUM(T811)+IF(COUNTIF(T$1237:T1414,1)=1,5,0)+IF(COUNTIF(U812:$W812,"&gt;"&amp;0)&lt;5,IF(AND(COUNTIF(T$1237:T1414,1)&gt;7,MOD(1+IFERROR(MATCH($C812,总览!$D$46:$D$345,1)+1,1),7)=0),$C$3,0),0)</f>
        <v>217.052235491601</v>
      </c>
      <c r="U812" s="131" cm="1">
        <f ca="1" t="array" ref="U812">IF(U1414=1,OFFSET($W$634,$B812,U$631-1)/SUMPRODUCT(--($D$631:$V$631=U$631),--($D1414:$V1414=1)),0)+SUM(U811)+IF(COUNTIF(U$1237:U1414,1)=1,5,0)+IF(COUNTIF(V812:$W812,"&gt;"&amp;0)&lt;5,IF(AND(COUNTIF(U$1237:U1414,1)&gt;7,MOD(1+IFERROR(MATCH($C812,总览!$D$46:$D$345,1)+1,1),7)=0),$C$3,0),0)</f>
        <v>222.573021846901</v>
      </c>
      <c r="V812" s="131" cm="1">
        <f ca="1" t="array" ref="V812">IF(V1414=1,OFFSET($W$634,$B812,V$631-1)/SUMPRODUCT(--($D$631:$V$631=V$631),--($D1414:$V1414=1)),0)+SUM(V811)+IF(COUNTIF(V$1237:V1414,1)=1,5,0)+IF(COUNTIF(W812:$W812,"&gt;"&amp;0)&lt;5,IF(AND(COUNTIF(V$1237:V1414,1)&gt;7,MOD(1+IFERROR(MATCH($C812,总览!$D$46:$D$345,1)+1,1),7)=0),$C$3,0),0)</f>
        <v>242.400021559335</v>
      </c>
      <c r="W812" s="135" cm="1">
        <f ca="1" t="array" ref="W812">SUMPRODUCT(TRANSPOSE($AA812:$AG812),OFFSET($L$9:$L$15,0,W$631-1))</f>
        <v>16.8502200646615</v>
      </c>
      <c r="X812" s="135" cm="1">
        <f ca="1" t="array" ref="X812">SUMPRODUCT(TRANSPOSE($AA812:$AG812),OFFSET($L$9:$L$15,0,X$631-1))</f>
        <v>20</v>
      </c>
      <c r="Y812" s="135" cm="1">
        <f ca="1" t="array" ref="Y812">SUMPRODUCT(TRANSPOSE($AA812:$AG812),OFFSET($L$9:$L$15,0,Y$631-1))</f>
        <v>10</v>
      </c>
      <c r="Z812" s="135" cm="1">
        <f ca="1" t="array" ref="Z812">SUMPRODUCT(TRANSPOSE($AA812:$AG812),OFFSET($L$9:$L$15,0,Z$631-1))</f>
        <v>3.14977993533847</v>
      </c>
      <c r="AA812" s="136">
        <f ca="1" t="shared" ref="AA812:AG812" si="599">AH812-AH811</f>
        <v>0</v>
      </c>
      <c r="AB812" s="136">
        <f ca="1" t="shared" si="599"/>
        <v>0</v>
      </c>
      <c r="AC812" s="136">
        <f ca="1" t="shared" si="599"/>
        <v>0</v>
      </c>
      <c r="AD812" s="136">
        <f ca="1" t="shared" si="599"/>
        <v>0</v>
      </c>
      <c r="AE812" s="136">
        <f ca="1" t="shared" si="599"/>
        <v>0</v>
      </c>
      <c r="AF812" s="136">
        <f ca="1" t="shared" si="599"/>
        <v>0</v>
      </c>
      <c r="AG812" s="136">
        <f ca="1" t="shared" si="599"/>
        <v>100</v>
      </c>
      <c r="AH812" s="136">
        <f ca="1" t="shared" si="501"/>
        <v>450</v>
      </c>
      <c r="AI812" s="136">
        <f ca="1" t="shared" ref="AI812:AN812" si="600">IF($C812&gt;OFFSET($Q$8,MATCH(AI$634,$AH$634:$AN$634,0),0),OFFSET($P$8,MATCH(AI$634,$AH$634:$AN$634,0),0),MAX(0,$C812-OFFSET($Q$8,RIGHT(AI$634,1)-1,0)))</f>
        <v>909</v>
      </c>
      <c r="AJ812" s="136">
        <f ca="1" t="shared" si="600"/>
        <v>1818</v>
      </c>
      <c r="AK812" s="136">
        <f ca="1" t="shared" si="600"/>
        <v>2727</v>
      </c>
      <c r="AL812" s="136">
        <f ca="1" t="shared" si="600"/>
        <v>3636</v>
      </c>
      <c r="AM812" s="136">
        <f ca="1" t="shared" si="600"/>
        <v>4545</v>
      </c>
      <c r="AN812" s="136">
        <f ca="1" t="shared" si="600"/>
        <v>3715</v>
      </c>
    </row>
    <row r="813" s="106" customFormat="1" ht="16.5" spans="2:40">
      <c r="B813" s="117">
        <v>179</v>
      </c>
      <c r="C813" s="130">
        <f t="shared" si="499"/>
        <v>17900</v>
      </c>
      <c r="D813" s="131" cm="1">
        <f ca="1" t="array" ref="D813">IF(D1415=1,OFFSET($W$634,$B813,D$631-1)/SUMPRODUCT(--($D$631:$V$631=D$631),--($D1415:$V1415=1)),0)+SUM(D812)+IF(COUNTIF(D$1237:D1415,1)=1,5,0)+IF(COUNTIF(E813:$W813,"&gt;"&amp;0)&lt;5,IF(AND(COUNTIF(D$1237:D1415,1)&gt;7,MOD(1+IFERROR(MATCH($C813,总览!$D$46:$D$345,1)+1,1),7)=0),$C$3,0),0)</f>
        <v>1333.09998038894</v>
      </c>
      <c r="E813" s="131" cm="1">
        <f ca="1" t="array" ref="E813">IF(E1415=1,OFFSET($W$634,$B813,E$631-1)/SUMPRODUCT(--($D$631:$V$631=E$631),--($D1415:$V1415=1)),0)+SUM(E812)+IF(COUNTIF(E$1237:E1415,1)=1,5,0)+IF(COUNTIF(F813:$W813,"&gt;"&amp;0)&lt;5,IF(AND(COUNTIF(E$1237:E1415,1)&gt;7,MOD(1+IFERROR(MATCH($C813,总览!$D$46:$D$345,1)+1,1),7)=0),$C$3,0),0)</f>
        <v>1333.09998038894</v>
      </c>
      <c r="F813" s="131" cm="1">
        <f ca="1" t="array" ref="F813">IF(F1415=1,OFFSET($W$634,$B813,F$631-1)/SUMPRODUCT(--($D$631:$V$631=F$631),--($D1415:$V1415=1)),0)+SUM(F812)+IF(COUNTIF(F$1237:F1415,1)=1,5,0)+IF(COUNTIF(G813:$W813,"&gt;"&amp;0)&lt;5,IF(AND(COUNTIF(F$1237:F1415,1)&gt;7,MOD(1+IFERROR(MATCH($C813,总览!$D$46:$D$345,1)+1,1),7)=0),$C$3,0),0)</f>
        <v>1333.09998038894</v>
      </c>
      <c r="G813" s="131" cm="1">
        <f ca="1" t="array" ref="G813">IF(G1415=1,OFFSET($W$634,$B813,G$631-1)/SUMPRODUCT(--($D$631:$V$631=G$631),--($D1415:$V1415=1)),0)+SUM(G812)+IF(COUNTIF(G$1237:G1415,1)=1,5,0)+IF(COUNTIF(H813:$W813,"&gt;"&amp;0)&lt;5,IF(AND(COUNTIF(G$1237:G1415,1)&gt;7,MOD(1+IFERROR(MATCH($C813,总览!$D$46:$D$345,1)+1,1),7)=0),$C$3,0),0)</f>
        <v>536.066666666666</v>
      </c>
      <c r="H813" s="131" cm="1">
        <f ca="1" t="array" ref="H813">IF(H1415=1,OFFSET($W$634,$B813,H$631-1)/SUMPRODUCT(--($D$631:$V$631=H$631),--($D1415:$V1415=1)),0)+SUM(H812)+IF(COUNTIF(H$1237:H1415,1)=1,5,0)+IF(COUNTIF(I813:$W813,"&gt;"&amp;0)&lt;5,IF(AND(COUNTIF(H$1237:H1415,1)&gt;7,MOD(1+IFERROR(MATCH($C813,总览!$D$46:$D$345,1)+1,1),7)=0),$C$3,0),0)</f>
        <v>536.066666666666</v>
      </c>
      <c r="I813" s="131" cm="1">
        <f ca="1" t="array" ref="I813">IF(I1415=1,OFFSET($W$634,$B813,I$631-1)/SUMPRODUCT(--($D$631:$V$631=I$631),--($D1415:$V1415=1)),0)+SUM(I812)+IF(COUNTIF(I$1237:I1415,1)=1,5,0)+IF(COUNTIF(J813:$W813,"&gt;"&amp;0)&lt;5,IF(AND(COUNTIF(I$1237:I1415,1)&gt;7,MOD(1+IFERROR(MATCH($C813,总览!$D$46:$D$345,1)+1,1),7)=0),$C$3,0),0)</f>
        <v>536.066666666666</v>
      </c>
      <c r="J813" s="131" cm="1">
        <f ca="1" t="array" ref="J813">IF(J1415=1,OFFSET($W$634,$B813,J$631-1)/SUMPRODUCT(--($D$631:$V$631=J$631),--($D1415:$V1415=1)),0)+SUM(J812)+IF(COUNTIF(J$1237:J1415,1)=1,5,0)+IF(COUNTIF(K813:$W813,"&gt;"&amp;0)&lt;5,IF(AND(COUNTIF(J$1237:J1415,1)&gt;7,MOD(1+IFERROR(MATCH($C813,总览!$D$46:$D$345,1)+1,1),7)=0),$C$3,0),0)</f>
        <v>532.733333333332</v>
      </c>
      <c r="K813" s="131" cm="1">
        <f ca="1" t="array" ref="K813">IF(K1415=1,OFFSET($W$634,$B813,K$631-1)/SUMPRODUCT(--($D$631:$V$631=K$631),--($D1415:$V1415=1)),0)+SUM(K812)+IF(COUNTIF(K$1237:K1415,1)=1,5,0)+IF(COUNTIF(L813:$W813,"&gt;"&amp;0)&lt;5,IF(AND(COUNTIF(K$1237:K1415,1)&gt;7,MOD(1+IFERROR(MATCH($C813,总览!$D$46:$D$345,1)+1,1),7)=0),$C$3,0),0)</f>
        <v>530.233333333332</v>
      </c>
      <c r="L813" s="131" cm="1">
        <f ca="1" t="array" ref="L813">IF(L1415=1,OFFSET($W$634,$B813,L$631-1)/SUMPRODUCT(--($D$631:$V$631=L$631),--($D1415:$V1415=1)),0)+SUM(L812)+IF(COUNTIF(L$1237:L1415,1)=1,5,0)+IF(COUNTIF(M813:$W813,"&gt;"&amp;0)&lt;5,IF(AND(COUNTIF(L$1237:L1415,1)&gt;7,MOD(1+IFERROR(MATCH($C813,总览!$D$46:$D$345,1)+1,1),7)=0),$C$3,0),0)</f>
        <v>530.233333333332</v>
      </c>
      <c r="M813" s="131" cm="1">
        <f ca="1" t="array" ref="M813">IF(M1415=1,OFFSET($W$634,$B813,M$631-1)/SUMPRODUCT(--($D$631:$V$631=M$631),--($D1415:$V1415=1)),0)+SUM(M812)+IF(COUNTIF(M$1237:M1415,1)=1,5,0)+IF(COUNTIF(N813:$W813,"&gt;"&amp;0)&lt;5,IF(AND(COUNTIF(M$1237:M1415,1)&gt;7,MOD(1+IFERROR(MATCH($C813,总览!$D$46:$D$345,1)+1,1),7)=0),$C$3,0),0)</f>
        <v>213.466964285713</v>
      </c>
      <c r="N813" s="131" cm="1">
        <f ca="1" t="array" ref="N813">IF(N1415=1,OFFSET($W$634,$B813,N$631-1)/SUMPRODUCT(--($D$631:$V$631=N$631),--($D1415:$V1415=1)),0)+SUM(N812)+IF(COUNTIF(N$1237:N1415,1)=1,5,0)+IF(COUNTIF(O813:$W813,"&gt;"&amp;0)&lt;5,IF(AND(COUNTIF(N$1237:N1415,1)&gt;7,MOD(1+IFERROR(MATCH($C813,总览!$D$46:$D$345,1)+1,1),7)=0),$C$3,0),0)</f>
        <v>214.716964285713</v>
      </c>
      <c r="O813" s="131" cm="1">
        <f ca="1" t="array" ref="O813">IF(O1415=1,OFFSET($W$634,$B813,O$631-1)/SUMPRODUCT(--($D$631:$V$631=O$631),--($D1415:$V1415=1)),0)+SUM(O812)+IF(COUNTIF(O$1237:O1415,1)=1,5,0)+IF(COUNTIF(P813:$W813,"&gt;"&amp;0)&lt;5,IF(AND(COUNTIF(O$1237:O1415,1)&gt;7,MOD(1+IFERROR(MATCH($C813,总览!$D$46:$D$345,1)+1,1),7)=0),$C$3,0),0)</f>
        <v>219.716964285713</v>
      </c>
      <c r="P813" s="131" cm="1">
        <f ca="1" t="array" ref="P813">IF(P1415=1,OFFSET($W$634,$B813,P$631-1)/SUMPRODUCT(--($D$631:$V$631=P$631),--($D1415:$V1415=1)),0)+SUM(P812)+IF(COUNTIF(P$1237:P1415,1)=1,5,0)+IF(COUNTIF(Q813:$W813,"&gt;"&amp;0)&lt;5,IF(AND(COUNTIF(P$1237:P1415,1)&gt;7,MOD(1+IFERROR(MATCH($C813,总览!$D$46:$D$345,1)+1,1),7)=0),$C$3,0),0)</f>
        <v>208.835714285714</v>
      </c>
      <c r="Q813" s="131" cm="1">
        <f ca="1" t="array" ref="Q813">IF(Q1415=1,OFFSET($W$634,$B813,Q$631-1)/SUMPRODUCT(--($D$631:$V$631=Q$631),--($D1415:$V1415=1)),0)+SUM(Q812)+IF(COUNTIF(Q$1237:Q1415,1)=1,5,0)+IF(COUNTIF(R813:$W813,"&gt;"&amp;0)&lt;5,IF(AND(COUNTIF(Q$1237:Q1415,1)&gt;7,MOD(1+IFERROR(MATCH($C813,总览!$D$46:$D$345,1)+1,1),7)=0),$C$3,0),0)</f>
        <v>222.216964285713</v>
      </c>
      <c r="R813" s="131" cm="1">
        <f ca="1" t="array" ref="R813">IF(R1415=1,OFFSET($W$634,$B813,R$631-1)/SUMPRODUCT(--($D$631:$V$631=R$631),--($D1415:$V1415=1)),0)+SUM(R812)+IF(COUNTIF(R$1237:R1415,1)=1,5,0)+IF(COUNTIF(S813:$W813,"&gt;"&amp;0)&lt;5,IF(AND(COUNTIF(R$1237:R1415,1)&gt;7,MOD(1+IFERROR(MATCH($C813,总览!$D$46:$D$345,1)+1,1),7)=0),$C$3,0),0)</f>
        <v>213.835714285713</v>
      </c>
      <c r="S813" s="131" cm="1">
        <f ca="1" t="array" ref="S813">IF(S1415=1,OFFSET($W$634,$B813,S$631-1)/SUMPRODUCT(--($D$631:$V$631=S$631),--($D1415:$V1415=1)),0)+SUM(S812)+IF(COUNTIF(S$1237:S1415,1)=1,5,0)+IF(COUNTIF(T813:$W813,"&gt;"&amp;0)&lt;5,IF(AND(COUNTIF(S$1237:S1415,1)&gt;7,MOD(1+IFERROR(MATCH($C813,总览!$D$46:$D$345,1)+1,1),7)=0),$C$3,0),0)</f>
        <v>301.335714285714</v>
      </c>
      <c r="T813" s="131" cm="1">
        <f ca="1" t="array" ref="T813">IF(T1415=1,OFFSET($W$634,$B813,T$631-1)/SUMPRODUCT(--($D$631:$V$631=T$631),--($D1415:$V1415=1)),0)+SUM(T812)+IF(COUNTIF(T$1237:T1415,1)=1,5,0)+IF(COUNTIF(U813:$W813,"&gt;"&amp;0)&lt;5,IF(AND(COUNTIF(T$1237:T1415,1)&gt;7,MOD(1+IFERROR(MATCH($C813,总览!$D$46:$D$345,1)+1,1),7)=0),$C$3,0),0)</f>
        <v>218.102162136714</v>
      </c>
      <c r="U813" s="131" cm="1">
        <f ca="1" t="array" ref="U813">IF(U1415=1,OFFSET($W$634,$B813,U$631-1)/SUMPRODUCT(--($D$631:$V$631=U$631),--($D1415:$V1415=1)),0)+SUM(U812)+IF(COUNTIF(U$1237:U1415,1)=1,5,0)+IF(COUNTIF(V813:$W813,"&gt;"&amp;0)&lt;5,IF(AND(COUNTIF(U$1237:U1415,1)&gt;7,MOD(1+IFERROR(MATCH($C813,总览!$D$46:$D$345,1)+1,1),7)=0),$C$3,0),0)</f>
        <v>223.622948492014</v>
      </c>
      <c r="V813" s="131" cm="1">
        <f ca="1" t="array" ref="V813">IF(V1415=1,OFFSET($W$634,$B813,V$631-1)/SUMPRODUCT(--($D$631:$V$631=V$631),--($D1415:$V1415=1)),0)+SUM(V812)+IF(COUNTIF(V$1237:V1415,1)=1,5,0)+IF(COUNTIF(W813:$W813,"&gt;"&amp;0)&lt;5,IF(AND(COUNTIF(V$1237:V1415,1)&gt;7,MOD(1+IFERROR(MATCH($C813,总览!$D$46:$D$345,1)+1,1),7)=0),$C$3,0),0)</f>
        <v>243.449948204447</v>
      </c>
      <c r="W813" s="135" cm="1">
        <f ca="1" t="array" ref="W813">SUMPRODUCT(TRANSPOSE($AA813:$AG813),OFFSET($L$9:$L$15,0,W$631-1))</f>
        <v>16.8502200646615</v>
      </c>
      <c r="X813" s="135" cm="1">
        <f ca="1" t="array" ref="X813">SUMPRODUCT(TRANSPOSE($AA813:$AG813),OFFSET($L$9:$L$15,0,X$631-1))</f>
        <v>20</v>
      </c>
      <c r="Y813" s="135" cm="1">
        <f ca="1" t="array" ref="Y813">SUMPRODUCT(TRANSPOSE($AA813:$AG813),OFFSET($L$9:$L$15,0,Y$631-1))</f>
        <v>10</v>
      </c>
      <c r="Z813" s="135" cm="1">
        <f ca="1" t="array" ref="Z813">SUMPRODUCT(TRANSPOSE($AA813:$AG813),OFFSET($L$9:$L$15,0,Z$631-1))</f>
        <v>3.14977993533847</v>
      </c>
      <c r="AA813" s="136">
        <f ca="1" t="shared" ref="AA813:AG813" si="601">AH813-AH812</f>
        <v>0</v>
      </c>
      <c r="AB813" s="136">
        <f ca="1" t="shared" si="601"/>
        <v>0</v>
      </c>
      <c r="AC813" s="136">
        <f ca="1" t="shared" si="601"/>
        <v>0</v>
      </c>
      <c r="AD813" s="136">
        <f ca="1" t="shared" si="601"/>
        <v>0</v>
      </c>
      <c r="AE813" s="136">
        <f ca="1" t="shared" si="601"/>
        <v>0</v>
      </c>
      <c r="AF813" s="136">
        <f ca="1" t="shared" si="601"/>
        <v>0</v>
      </c>
      <c r="AG813" s="136">
        <f ca="1" t="shared" si="601"/>
        <v>100</v>
      </c>
      <c r="AH813" s="136">
        <f ca="1" t="shared" si="501"/>
        <v>450</v>
      </c>
      <c r="AI813" s="136">
        <f ca="1" t="shared" ref="AI813:AN813" si="602">IF($C813&gt;OFFSET($Q$8,MATCH(AI$634,$AH$634:$AN$634,0),0),OFFSET($P$8,MATCH(AI$634,$AH$634:$AN$634,0),0),MAX(0,$C813-OFFSET($Q$8,RIGHT(AI$634,1)-1,0)))</f>
        <v>909</v>
      </c>
      <c r="AJ813" s="136">
        <f ca="1" t="shared" si="602"/>
        <v>1818</v>
      </c>
      <c r="AK813" s="136">
        <f ca="1" t="shared" si="602"/>
        <v>2727</v>
      </c>
      <c r="AL813" s="136">
        <f ca="1" t="shared" si="602"/>
        <v>3636</v>
      </c>
      <c r="AM813" s="136">
        <f ca="1" t="shared" si="602"/>
        <v>4545</v>
      </c>
      <c r="AN813" s="136">
        <f ca="1" t="shared" si="602"/>
        <v>3815</v>
      </c>
    </row>
    <row r="814" s="106" customFormat="1" ht="16.5" spans="2:40">
      <c r="B814" s="117">
        <v>180</v>
      </c>
      <c r="C814" s="130">
        <f t="shared" si="499"/>
        <v>18000</v>
      </c>
      <c r="D814" s="131" cm="1">
        <f ca="1" t="array" ref="D814">IF(D1416=1,OFFSET($W$634,$B814,D$631-1)/SUMPRODUCT(--($D$631:$V$631=D$631),--($D1416:$V1416=1)),0)+SUM(D813)+IF(COUNTIF(D$1237:D1416,1)=1,5,0)+IF(COUNTIF(E814:$W814,"&gt;"&amp;0)&lt;5,IF(AND(COUNTIF(D$1237:D1416,1)&gt;7,MOD(1+IFERROR(MATCH($C814,总览!$D$46:$D$345,1)+1,1),7)=0),$C$3,0),0)</f>
        <v>1338.71672041049</v>
      </c>
      <c r="E814" s="131" cm="1">
        <f ca="1" t="array" ref="E814">IF(E1416=1,OFFSET($W$634,$B814,E$631-1)/SUMPRODUCT(--($D$631:$V$631=E$631),--($D1416:$V1416=1)),0)+SUM(E813)+IF(COUNTIF(E$1237:E1416,1)=1,5,0)+IF(COUNTIF(F814:$W814,"&gt;"&amp;0)&lt;5,IF(AND(COUNTIF(E$1237:E1416,1)&gt;7,MOD(1+IFERROR(MATCH($C814,总览!$D$46:$D$345,1)+1,1),7)=0),$C$3,0),0)</f>
        <v>1338.71672041049</v>
      </c>
      <c r="F814" s="131" cm="1">
        <f ca="1" t="array" ref="F814">IF(F1416=1,OFFSET($W$634,$B814,F$631-1)/SUMPRODUCT(--($D$631:$V$631=F$631),--($D1416:$V1416=1)),0)+SUM(F813)+IF(COUNTIF(F$1237:F1416,1)=1,5,0)+IF(COUNTIF(G814:$W814,"&gt;"&amp;0)&lt;5,IF(AND(COUNTIF(F$1237:F1416,1)&gt;7,MOD(1+IFERROR(MATCH($C814,总览!$D$46:$D$345,1)+1,1),7)=0),$C$3,0),0)</f>
        <v>1338.71672041049</v>
      </c>
      <c r="G814" s="131" cm="1">
        <f ca="1" t="array" ref="G814">IF(G1416=1,OFFSET($W$634,$B814,G$631-1)/SUMPRODUCT(--($D$631:$V$631=G$631),--($D1416:$V1416=1)),0)+SUM(G813)+IF(COUNTIF(G$1237:G1416,1)=1,5,0)+IF(COUNTIF(H814:$W814,"&gt;"&amp;0)&lt;5,IF(AND(COUNTIF(G$1237:G1416,1)&gt;7,MOD(1+IFERROR(MATCH($C814,总览!$D$46:$D$345,1)+1,1),7)=0),$C$3,0),0)</f>
        <v>539.399999999999</v>
      </c>
      <c r="H814" s="131" cm="1">
        <f ca="1" t="array" ref="H814">IF(H1416=1,OFFSET($W$634,$B814,H$631-1)/SUMPRODUCT(--($D$631:$V$631=H$631),--($D1416:$V1416=1)),0)+SUM(H813)+IF(COUNTIF(H$1237:H1416,1)=1,5,0)+IF(COUNTIF(I814:$W814,"&gt;"&amp;0)&lt;5,IF(AND(COUNTIF(H$1237:H1416,1)&gt;7,MOD(1+IFERROR(MATCH($C814,总览!$D$46:$D$345,1)+1,1),7)=0),$C$3,0),0)</f>
        <v>539.399999999999</v>
      </c>
      <c r="I814" s="131" cm="1">
        <f ca="1" t="array" ref="I814">IF(I1416=1,OFFSET($W$634,$B814,I$631-1)/SUMPRODUCT(--($D$631:$V$631=I$631),--($D1416:$V1416=1)),0)+SUM(I813)+IF(COUNTIF(I$1237:I1416,1)=1,5,0)+IF(COUNTIF(J814:$W814,"&gt;"&amp;0)&lt;5,IF(AND(COUNTIF(I$1237:I1416,1)&gt;7,MOD(1+IFERROR(MATCH($C814,总览!$D$46:$D$345,1)+1,1),7)=0),$C$3,0),0)</f>
        <v>539.399999999999</v>
      </c>
      <c r="J814" s="131" cm="1">
        <f ca="1" t="array" ref="J814">IF(J1416=1,OFFSET($W$634,$B814,J$631-1)/SUMPRODUCT(--($D$631:$V$631=J$631),--($D1416:$V1416=1)),0)+SUM(J813)+IF(COUNTIF(J$1237:J1416,1)=1,5,0)+IF(COUNTIF(K814:$W814,"&gt;"&amp;0)&lt;5,IF(AND(COUNTIF(J$1237:J1416,1)&gt;7,MOD(1+IFERROR(MATCH($C814,总览!$D$46:$D$345,1)+1,1),7)=0),$C$3,0),0)</f>
        <v>536.066666666666</v>
      </c>
      <c r="K814" s="131" cm="1">
        <f ca="1" t="array" ref="K814">IF(K1416=1,OFFSET($W$634,$B814,K$631-1)/SUMPRODUCT(--($D$631:$V$631=K$631),--($D1416:$V1416=1)),0)+SUM(K813)+IF(COUNTIF(K$1237:K1416,1)=1,5,0)+IF(COUNTIF(L814:$W814,"&gt;"&amp;0)&lt;5,IF(AND(COUNTIF(K$1237:K1416,1)&gt;7,MOD(1+IFERROR(MATCH($C814,总览!$D$46:$D$345,1)+1,1),7)=0),$C$3,0),0)</f>
        <v>533.566666666666</v>
      </c>
      <c r="L814" s="131" cm="1">
        <f ca="1" t="array" ref="L814">IF(L1416=1,OFFSET($W$634,$B814,L$631-1)/SUMPRODUCT(--($D$631:$V$631=L$631),--($D1416:$V1416=1)),0)+SUM(L813)+IF(COUNTIF(L$1237:L1416,1)=1,5,0)+IF(COUNTIF(M814:$W814,"&gt;"&amp;0)&lt;5,IF(AND(COUNTIF(L$1237:L1416,1)&gt;7,MOD(1+IFERROR(MATCH($C814,总览!$D$46:$D$345,1)+1,1),7)=0),$C$3,0),0)</f>
        <v>533.566666666666</v>
      </c>
      <c r="M814" s="131" cm="1">
        <f ca="1" t="array" ref="M814">IF(M1416=1,OFFSET($W$634,$B814,M$631-1)/SUMPRODUCT(--($D$631:$V$631=M$631),--($D1416:$V1416=1)),0)+SUM(M813)+IF(COUNTIF(M$1237:M1416,1)=1,5,0)+IF(COUNTIF(N814:$W814,"&gt;"&amp;0)&lt;5,IF(AND(COUNTIF(M$1237:M1416,1)&gt;7,MOD(1+IFERROR(MATCH($C814,总览!$D$46:$D$345,1)+1,1),7)=0),$C$3,0),0)</f>
        <v>214.895535714285</v>
      </c>
      <c r="N814" s="131" cm="1">
        <f ca="1" t="array" ref="N814">IF(N1416=1,OFFSET($W$634,$B814,N$631-1)/SUMPRODUCT(--($D$631:$V$631=N$631),--($D1416:$V1416=1)),0)+SUM(N813)+IF(COUNTIF(N$1237:N1416,1)=1,5,0)+IF(COUNTIF(O814:$W814,"&gt;"&amp;0)&lt;5,IF(AND(COUNTIF(N$1237:N1416,1)&gt;7,MOD(1+IFERROR(MATCH($C814,总览!$D$46:$D$345,1)+1,1),7)=0),$C$3,0),0)</f>
        <v>216.145535714285</v>
      </c>
      <c r="O814" s="131" cm="1">
        <f ca="1" t="array" ref="O814">IF(O1416=1,OFFSET($W$634,$B814,O$631-1)/SUMPRODUCT(--($D$631:$V$631=O$631),--($D1416:$V1416=1)),0)+SUM(O813)+IF(COUNTIF(O$1237:O1416,1)=1,5,0)+IF(COUNTIF(P814:$W814,"&gt;"&amp;0)&lt;5,IF(AND(COUNTIF(O$1237:O1416,1)&gt;7,MOD(1+IFERROR(MATCH($C814,总览!$D$46:$D$345,1)+1,1),7)=0),$C$3,0),0)</f>
        <v>221.145535714285</v>
      </c>
      <c r="P814" s="131" cm="1">
        <f ca="1" t="array" ref="P814">IF(P1416=1,OFFSET($W$634,$B814,P$631-1)/SUMPRODUCT(--($D$631:$V$631=P$631),--($D1416:$V1416=1)),0)+SUM(P813)+IF(COUNTIF(P$1237:P1416,1)=1,5,0)+IF(COUNTIF(Q814:$W814,"&gt;"&amp;0)&lt;5,IF(AND(COUNTIF(P$1237:P1416,1)&gt;7,MOD(1+IFERROR(MATCH($C814,总览!$D$46:$D$345,1)+1,1),7)=0),$C$3,0),0)</f>
        <v>210.264285714285</v>
      </c>
      <c r="Q814" s="131" cm="1">
        <f ca="1" t="array" ref="Q814">IF(Q1416=1,OFFSET($W$634,$B814,Q$631-1)/SUMPRODUCT(--($D$631:$V$631=Q$631),--($D1416:$V1416=1)),0)+SUM(Q813)+IF(COUNTIF(Q$1237:Q1416,1)=1,5,0)+IF(COUNTIF(R814:$W814,"&gt;"&amp;0)&lt;5,IF(AND(COUNTIF(Q$1237:Q1416,1)&gt;7,MOD(1+IFERROR(MATCH($C814,总览!$D$46:$D$345,1)+1,1),7)=0),$C$3,0),0)</f>
        <v>223.645535714285</v>
      </c>
      <c r="R814" s="131" cm="1">
        <f ca="1" t="array" ref="R814">IF(R1416=1,OFFSET($W$634,$B814,R$631-1)/SUMPRODUCT(--($D$631:$V$631=R$631),--($D1416:$V1416=1)),0)+SUM(R813)+IF(COUNTIF(R$1237:R1416,1)=1,5,0)+IF(COUNTIF(S814:$W814,"&gt;"&amp;0)&lt;5,IF(AND(COUNTIF(R$1237:R1416,1)&gt;7,MOD(1+IFERROR(MATCH($C814,总览!$D$46:$D$345,1)+1,1),7)=0),$C$3,0),0)</f>
        <v>215.264285714285</v>
      </c>
      <c r="S814" s="131" cm="1">
        <f ca="1" t="array" ref="S814">IF(S1416=1,OFFSET($W$634,$B814,S$631-1)/SUMPRODUCT(--($D$631:$V$631=S$631),--($D1416:$V1416=1)),0)+SUM(S813)+IF(COUNTIF(S$1237:S1416,1)=1,5,0)+IF(COUNTIF(T814:$W814,"&gt;"&amp;0)&lt;5,IF(AND(COUNTIF(S$1237:S1416,1)&gt;7,MOD(1+IFERROR(MATCH($C814,总览!$D$46:$D$345,1)+1,1),7)=0),$C$3,0),0)</f>
        <v>302.764285714285</v>
      </c>
      <c r="T814" s="131" cm="1">
        <f ca="1" t="array" ref="T814">IF(T1416=1,OFFSET($W$634,$B814,T$631-1)/SUMPRODUCT(--($D$631:$V$631=T$631),--($D1416:$V1416=1)),0)+SUM(T813)+IF(COUNTIF(T$1237:T1416,1)=1,5,0)+IF(COUNTIF(U814:$W814,"&gt;"&amp;0)&lt;5,IF(AND(COUNTIF(T$1237:T1416,1)&gt;7,MOD(1+IFERROR(MATCH($C814,总览!$D$46:$D$345,1)+1,1),7)=0),$C$3,0),0)</f>
        <v>219.152088781827</v>
      </c>
      <c r="U814" s="131" cm="1">
        <f ca="1" t="array" ref="U814">IF(U1416=1,OFFSET($W$634,$B814,U$631-1)/SUMPRODUCT(--($D$631:$V$631=U$631),--($D1416:$V1416=1)),0)+SUM(U813)+IF(COUNTIF(U$1237:U1416,1)=1,5,0)+IF(COUNTIF(V814:$W814,"&gt;"&amp;0)&lt;5,IF(AND(COUNTIF(U$1237:U1416,1)&gt;7,MOD(1+IFERROR(MATCH($C814,总览!$D$46:$D$345,1)+1,1),7)=0),$C$3,0),0)</f>
        <v>224.672875137127</v>
      </c>
      <c r="V814" s="131" cm="1">
        <f ca="1" t="array" ref="V814">IF(V1416=1,OFFSET($W$634,$B814,V$631-1)/SUMPRODUCT(--($D$631:$V$631=V$631),--($D1416:$V1416=1)),0)+SUM(V813)+IF(COUNTIF(V$1237:V1416,1)=1,5,0)+IF(COUNTIF(W814:$W814,"&gt;"&amp;0)&lt;5,IF(AND(COUNTIF(V$1237:V1416,1)&gt;7,MOD(1+IFERROR(MATCH($C814,总览!$D$46:$D$345,1)+1,1),7)=0),$C$3,0),0)</f>
        <v>244.49987484956</v>
      </c>
      <c r="W814" s="135" cm="1">
        <f ca="1" t="array" ref="W814">SUMPRODUCT(TRANSPOSE($AA814:$AG814),OFFSET($L$9:$L$15,0,W$631-1))</f>
        <v>16.8502200646615</v>
      </c>
      <c r="X814" s="135" cm="1">
        <f ca="1" t="array" ref="X814">SUMPRODUCT(TRANSPOSE($AA814:$AG814),OFFSET($L$9:$L$15,0,X$631-1))</f>
        <v>20</v>
      </c>
      <c r="Y814" s="135" cm="1">
        <f ca="1" t="array" ref="Y814">SUMPRODUCT(TRANSPOSE($AA814:$AG814),OFFSET($L$9:$L$15,0,Y$631-1))</f>
        <v>10</v>
      </c>
      <c r="Z814" s="135" cm="1">
        <f ca="1" t="array" ref="Z814">SUMPRODUCT(TRANSPOSE($AA814:$AG814),OFFSET($L$9:$L$15,0,Z$631-1))</f>
        <v>3.14977993533847</v>
      </c>
      <c r="AA814" s="136">
        <f ca="1" t="shared" ref="AA814:AG814" si="603">AH814-AH813</f>
        <v>0</v>
      </c>
      <c r="AB814" s="136">
        <f ca="1" t="shared" si="603"/>
        <v>0</v>
      </c>
      <c r="AC814" s="136">
        <f ca="1" t="shared" si="603"/>
        <v>0</v>
      </c>
      <c r="AD814" s="136">
        <f ca="1" t="shared" si="603"/>
        <v>0</v>
      </c>
      <c r="AE814" s="136">
        <f ca="1" t="shared" si="603"/>
        <v>0</v>
      </c>
      <c r="AF814" s="136">
        <f ca="1" t="shared" si="603"/>
        <v>0</v>
      </c>
      <c r="AG814" s="136">
        <f ca="1" t="shared" si="603"/>
        <v>100</v>
      </c>
      <c r="AH814" s="136">
        <f ca="1" t="shared" si="501"/>
        <v>450</v>
      </c>
      <c r="AI814" s="136">
        <f ca="1" t="shared" ref="AI814:AN814" si="604">IF($C814&gt;OFFSET($Q$8,MATCH(AI$634,$AH$634:$AN$634,0),0),OFFSET($P$8,MATCH(AI$634,$AH$634:$AN$634,0),0),MAX(0,$C814-OFFSET($Q$8,RIGHT(AI$634,1)-1,0)))</f>
        <v>909</v>
      </c>
      <c r="AJ814" s="136">
        <f ca="1" t="shared" si="604"/>
        <v>1818</v>
      </c>
      <c r="AK814" s="136">
        <f ca="1" t="shared" si="604"/>
        <v>2727</v>
      </c>
      <c r="AL814" s="136">
        <f ca="1" t="shared" si="604"/>
        <v>3636</v>
      </c>
      <c r="AM814" s="136">
        <f ca="1" t="shared" si="604"/>
        <v>4545</v>
      </c>
      <c r="AN814" s="136">
        <f ca="1" t="shared" si="604"/>
        <v>3915</v>
      </c>
    </row>
    <row r="815" s="106" customFormat="1" ht="16.5" spans="2:40">
      <c r="B815" s="117">
        <v>181</v>
      </c>
      <c r="C815" s="130">
        <f t="shared" si="499"/>
        <v>18100</v>
      </c>
      <c r="D815" s="131" cm="1">
        <f ca="1" t="array" ref="D815">IF(D1417=1,OFFSET($W$634,$B815,D$631-1)/SUMPRODUCT(--($D$631:$V$631=D$631),--($D1417:$V1417=1)),0)+SUM(D814)+IF(COUNTIF(D$1237:D1417,1)=1,5,0)+IF(COUNTIF(E815:$W815,"&gt;"&amp;0)&lt;5,IF(AND(COUNTIF(D$1237:D1417,1)&gt;7,MOD(1+IFERROR(MATCH($C815,总览!$D$46:$D$345,1)+1,1),7)=0),$C$3,0),0)</f>
        <v>1344.33346043205</v>
      </c>
      <c r="E815" s="131" cm="1">
        <f ca="1" t="array" ref="E815">IF(E1417=1,OFFSET($W$634,$B815,E$631-1)/SUMPRODUCT(--($D$631:$V$631=E$631),--($D1417:$V1417=1)),0)+SUM(E814)+IF(COUNTIF(E$1237:E1417,1)=1,5,0)+IF(COUNTIF(F815:$W815,"&gt;"&amp;0)&lt;5,IF(AND(COUNTIF(E$1237:E1417,1)&gt;7,MOD(1+IFERROR(MATCH($C815,总览!$D$46:$D$345,1)+1,1),7)=0),$C$3,0),0)</f>
        <v>1344.33346043205</v>
      </c>
      <c r="F815" s="131" cm="1">
        <f ca="1" t="array" ref="F815">IF(F1417=1,OFFSET($W$634,$B815,F$631-1)/SUMPRODUCT(--($D$631:$V$631=F$631),--($D1417:$V1417=1)),0)+SUM(F814)+IF(COUNTIF(F$1237:F1417,1)=1,5,0)+IF(COUNTIF(G815:$W815,"&gt;"&amp;0)&lt;5,IF(AND(COUNTIF(F$1237:F1417,1)&gt;7,MOD(1+IFERROR(MATCH($C815,总览!$D$46:$D$345,1)+1,1),7)=0),$C$3,0),0)</f>
        <v>1344.33346043205</v>
      </c>
      <c r="G815" s="131" cm="1">
        <f ca="1" t="array" ref="G815">IF(G1417=1,OFFSET($W$634,$B815,G$631-1)/SUMPRODUCT(--($D$631:$V$631=G$631),--($D1417:$V1417=1)),0)+SUM(G814)+IF(COUNTIF(G$1237:G1417,1)=1,5,0)+IF(COUNTIF(H815:$W815,"&gt;"&amp;0)&lt;5,IF(AND(COUNTIF(G$1237:G1417,1)&gt;7,MOD(1+IFERROR(MATCH($C815,总览!$D$46:$D$345,1)+1,1),7)=0),$C$3,0),0)</f>
        <v>542.733333333332</v>
      </c>
      <c r="H815" s="131" cm="1">
        <f ca="1" t="array" ref="H815">IF(H1417=1,OFFSET($W$634,$B815,H$631-1)/SUMPRODUCT(--($D$631:$V$631=H$631),--($D1417:$V1417=1)),0)+SUM(H814)+IF(COUNTIF(H$1237:H1417,1)=1,5,0)+IF(COUNTIF(I815:$W815,"&gt;"&amp;0)&lt;5,IF(AND(COUNTIF(H$1237:H1417,1)&gt;7,MOD(1+IFERROR(MATCH($C815,总览!$D$46:$D$345,1)+1,1),7)=0),$C$3,0),0)</f>
        <v>542.733333333332</v>
      </c>
      <c r="I815" s="131" cm="1">
        <f ca="1" t="array" ref="I815">IF(I1417=1,OFFSET($W$634,$B815,I$631-1)/SUMPRODUCT(--($D$631:$V$631=I$631),--($D1417:$V1417=1)),0)+SUM(I814)+IF(COUNTIF(I$1237:I1417,1)=1,5,0)+IF(COUNTIF(J815:$W815,"&gt;"&amp;0)&lt;5,IF(AND(COUNTIF(I$1237:I1417,1)&gt;7,MOD(1+IFERROR(MATCH($C815,总览!$D$46:$D$345,1)+1,1),7)=0),$C$3,0),0)</f>
        <v>542.733333333332</v>
      </c>
      <c r="J815" s="131" cm="1">
        <f ca="1" t="array" ref="J815">IF(J1417=1,OFFSET($W$634,$B815,J$631-1)/SUMPRODUCT(--($D$631:$V$631=J$631),--($D1417:$V1417=1)),0)+SUM(J814)+IF(COUNTIF(J$1237:J1417,1)=1,5,0)+IF(COUNTIF(K815:$W815,"&gt;"&amp;0)&lt;5,IF(AND(COUNTIF(J$1237:J1417,1)&gt;7,MOD(1+IFERROR(MATCH($C815,总览!$D$46:$D$345,1)+1,1),7)=0),$C$3,0),0)</f>
        <v>539.399999999999</v>
      </c>
      <c r="K815" s="131" cm="1">
        <f ca="1" t="array" ref="K815">IF(K1417=1,OFFSET($W$634,$B815,K$631-1)/SUMPRODUCT(--($D$631:$V$631=K$631),--($D1417:$V1417=1)),0)+SUM(K814)+IF(COUNTIF(K$1237:K1417,1)=1,5,0)+IF(COUNTIF(L815:$W815,"&gt;"&amp;0)&lt;5,IF(AND(COUNTIF(K$1237:K1417,1)&gt;7,MOD(1+IFERROR(MATCH($C815,总览!$D$46:$D$345,1)+1,1),7)=0),$C$3,0),0)</f>
        <v>536.899999999999</v>
      </c>
      <c r="L815" s="131" cm="1">
        <f ca="1" t="array" ref="L815">IF(L1417=1,OFFSET($W$634,$B815,L$631-1)/SUMPRODUCT(--($D$631:$V$631=L$631),--($D1417:$V1417=1)),0)+SUM(L814)+IF(COUNTIF(L$1237:L1417,1)=1,5,0)+IF(COUNTIF(M815:$W815,"&gt;"&amp;0)&lt;5,IF(AND(COUNTIF(L$1237:L1417,1)&gt;7,MOD(1+IFERROR(MATCH($C815,总览!$D$46:$D$345,1)+1,1),7)=0),$C$3,0),0)</f>
        <v>536.899999999999</v>
      </c>
      <c r="M815" s="131" cm="1">
        <f ca="1" t="array" ref="M815">IF(M1417=1,OFFSET($W$634,$B815,M$631-1)/SUMPRODUCT(--($D$631:$V$631=M$631),--($D1417:$V1417=1)),0)+SUM(M814)+IF(COUNTIF(M$1237:M1417,1)=1,5,0)+IF(COUNTIF(N815:$W815,"&gt;"&amp;0)&lt;5,IF(AND(COUNTIF(M$1237:M1417,1)&gt;7,MOD(1+IFERROR(MATCH($C815,总览!$D$46:$D$345,1)+1,1),7)=0),$C$3,0),0)</f>
        <v>216.324107142856</v>
      </c>
      <c r="N815" s="131" cm="1">
        <f ca="1" t="array" ref="N815">IF(N1417=1,OFFSET($W$634,$B815,N$631-1)/SUMPRODUCT(--($D$631:$V$631=N$631),--($D1417:$V1417=1)),0)+SUM(N814)+IF(COUNTIF(N$1237:N1417,1)=1,5,0)+IF(COUNTIF(O815:$W815,"&gt;"&amp;0)&lt;5,IF(AND(COUNTIF(N$1237:N1417,1)&gt;7,MOD(1+IFERROR(MATCH($C815,总览!$D$46:$D$345,1)+1,1),7)=0),$C$3,0),0)</f>
        <v>217.574107142856</v>
      </c>
      <c r="O815" s="131" cm="1">
        <f ca="1" t="array" ref="O815">IF(O1417=1,OFFSET($W$634,$B815,O$631-1)/SUMPRODUCT(--($D$631:$V$631=O$631),--($D1417:$V1417=1)),0)+SUM(O814)+IF(COUNTIF(O$1237:O1417,1)=1,5,0)+IF(COUNTIF(P815:$W815,"&gt;"&amp;0)&lt;5,IF(AND(COUNTIF(O$1237:O1417,1)&gt;7,MOD(1+IFERROR(MATCH($C815,总览!$D$46:$D$345,1)+1,1),7)=0),$C$3,0),0)</f>
        <v>222.574107142856</v>
      </c>
      <c r="P815" s="131" cm="1">
        <f ca="1" t="array" ref="P815">IF(P1417=1,OFFSET($W$634,$B815,P$631-1)/SUMPRODUCT(--($D$631:$V$631=P$631),--($D1417:$V1417=1)),0)+SUM(P814)+IF(COUNTIF(P$1237:P1417,1)=1,5,0)+IF(COUNTIF(Q815:$W815,"&gt;"&amp;0)&lt;5,IF(AND(COUNTIF(P$1237:P1417,1)&gt;7,MOD(1+IFERROR(MATCH($C815,总览!$D$46:$D$345,1)+1,1),7)=0),$C$3,0),0)</f>
        <v>211.692857142856</v>
      </c>
      <c r="Q815" s="131" cm="1">
        <f ca="1" t="array" ref="Q815">IF(Q1417=1,OFFSET($W$634,$B815,Q$631-1)/SUMPRODUCT(--($D$631:$V$631=Q$631),--($D1417:$V1417=1)),0)+SUM(Q814)+IF(COUNTIF(Q$1237:Q1417,1)=1,5,0)+IF(COUNTIF(R815:$W815,"&gt;"&amp;0)&lt;5,IF(AND(COUNTIF(Q$1237:Q1417,1)&gt;7,MOD(1+IFERROR(MATCH($C815,总览!$D$46:$D$345,1)+1,1),7)=0),$C$3,0),0)</f>
        <v>225.074107142856</v>
      </c>
      <c r="R815" s="131" cm="1">
        <f ca="1" t="array" ref="R815">IF(R1417=1,OFFSET($W$634,$B815,R$631-1)/SUMPRODUCT(--($D$631:$V$631=R$631),--($D1417:$V1417=1)),0)+SUM(R814)+IF(COUNTIF(R$1237:R1417,1)=1,5,0)+IF(COUNTIF(S815:$W815,"&gt;"&amp;0)&lt;5,IF(AND(COUNTIF(R$1237:R1417,1)&gt;7,MOD(1+IFERROR(MATCH($C815,总览!$D$46:$D$345,1)+1,1),7)=0),$C$3,0),0)</f>
        <v>216.692857142856</v>
      </c>
      <c r="S815" s="131" cm="1">
        <f ca="1" t="array" ref="S815">IF(S1417=1,OFFSET($W$634,$B815,S$631-1)/SUMPRODUCT(--($D$631:$V$631=S$631),--($D1417:$V1417=1)),0)+SUM(S814)+IF(COUNTIF(S$1237:S1417,1)=1,5,0)+IF(COUNTIF(T815:$W815,"&gt;"&amp;0)&lt;5,IF(AND(COUNTIF(S$1237:S1417,1)&gt;7,MOD(1+IFERROR(MATCH($C815,总览!$D$46:$D$345,1)+1,1),7)=0),$C$3,0),0)</f>
        <v>304.192857142857</v>
      </c>
      <c r="T815" s="131" cm="1">
        <f ca="1" t="array" ref="T815">IF(T1417=1,OFFSET($W$634,$B815,T$631-1)/SUMPRODUCT(--($D$631:$V$631=T$631),--($D1417:$V1417=1)),0)+SUM(T814)+IF(COUNTIF(T$1237:T1417,1)=1,5,0)+IF(COUNTIF(U815:$W815,"&gt;"&amp;0)&lt;5,IF(AND(COUNTIF(T$1237:T1417,1)&gt;7,MOD(1+IFERROR(MATCH($C815,总览!$D$46:$D$345,1)+1,1),7)=0),$C$3,0),0)</f>
        <v>220.20201542694</v>
      </c>
      <c r="U815" s="131" cm="1">
        <f ca="1" t="array" ref="U815">IF(U1417=1,OFFSET($W$634,$B815,U$631-1)/SUMPRODUCT(--($D$631:$V$631=U$631),--($D1417:$V1417=1)),0)+SUM(U814)+IF(COUNTIF(U$1237:U1417,1)=1,5,0)+IF(COUNTIF(V815:$W815,"&gt;"&amp;0)&lt;5,IF(AND(COUNTIF(U$1237:U1417,1)&gt;7,MOD(1+IFERROR(MATCH($C815,总览!$D$46:$D$345,1)+1,1),7)=0),$C$3,0),0)</f>
        <v>225.722801782239</v>
      </c>
      <c r="V815" s="131" cm="1">
        <f ca="1" t="array" ref="V815">IF(V1417=1,OFFSET($W$634,$B815,V$631-1)/SUMPRODUCT(--($D$631:$V$631=V$631),--($D1417:$V1417=1)),0)+SUM(V814)+IF(COUNTIF(V$1237:V1417,1)=1,5,0)+IF(COUNTIF(W815:$W815,"&gt;"&amp;0)&lt;5,IF(AND(COUNTIF(V$1237:V1417,1)&gt;7,MOD(1+IFERROR(MATCH($C815,总览!$D$46:$D$345,1)+1,1),7)=0),$C$3,0),0)</f>
        <v>245.549801494673</v>
      </c>
      <c r="W815" s="135" cm="1">
        <f ca="1" t="array" ref="W815">SUMPRODUCT(TRANSPOSE($AA815:$AG815),OFFSET($L$9:$L$15,0,W$631-1))</f>
        <v>16.8502200646615</v>
      </c>
      <c r="X815" s="135" cm="1">
        <f ca="1" t="array" ref="X815">SUMPRODUCT(TRANSPOSE($AA815:$AG815),OFFSET($L$9:$L$15,0,X$631-1))</f>
        <v>20</v>
      </c>
      <c r="Y815" s="135" cm="1">
        <f ca="1" t="array" ref="Y815">SUMPRODUCT(TRANSPOSE($AA815:$AG815),OFFSET($L$9:$L$15,0,Y$631-1))</f>
        <v>10</v>
      </c>
      <c r="Z815" s="135" cm="1">
        <f ca="1" t="array" ref="Z815">SUMPRODUCT(TRANSPOSE($AA815:$AG815),OFFSET($L$9:$L$15,0,Z$631-1))</f>
        <v>3.14977993533847</v>
      </c>
      <c r="AA815" s="136">
        <f ca="1" t="shared" ref="AA815:AG815" si="605">AH815-AH814</f>
        <v>0</v>
      </c>
      <c r="AB815" s="136">
        <f ca="1" t="shared" si="605"/>
        <v>0</v>
      </c>
      <c r="AC815" s="136">
        <f ca="1" t="shared" si="605"/>
        <v>0</v>
      </c>
      <c r="AD815" s="136">
        <f ca="1" t="shared" si="605"/>
        <v>0</v>
      </c>
      <c r="AE815" s="136">
        <f ca="1" t="shared" si="605"/>
        <v>0</v>
      </c>
      <c r="AF815" s="136">
        <f ca="1" t="shared" si="605"/>
        <v>0</v>
      </c>
      <c r="AG815" s="136">
        <f ca="1" t="shared" si="605"/>
        <v>100</v>
      </c>
      <c r="AH815" s="136">
        <f ca="1" t="shared" si="501"/>
        <v>450</v>
      </c>
      <c r="AI815" s="136">
        <f ca="1" t="shared" ref="AI815:AN815" si="606">IF($C815&gt;OFFSET($Q$8,MATCH(AI$634,$AH$634:$AN$634,0),0),OFFSET($P$8,MATCH(AI$634,$AH$634:$AN$634,0),0),MAX(0,$C815-OFFSET($Q$8,RIGHT(AI$634,1)-1,0)))</f>
        <v>909</v>
      </c>
      <c r="AJ815" s="136">
        <f ca="1" t="shared" si="606"/>
        <v>1818</v>
      </c>
      <c r="AK815" s="136">
        <f ca="1" t="shared" si="606"/>
        <v>2727</v>
      </c>
      <c r="AL815" s="136">
        <f ca="1" t="shared" si="606"/>
        <v>3636</v>
      </c>
      <c r="AM815" s="136">
        <f ca="1" t="shared" si="606"/>
        <v>4545</v>
      </c>
      <c r="AN815" s="136">
        <f ca="1" t="shared" si="606"/>
        <v>4015</v>
      </c>
    </row>
    <row r="816" s="106" customFormat="1" ht="16.5" spans="2:40">
      <c r="B816" s="117">
        <v>182</v>
      </c>
      <c r="C816" s="130">
        <f t="shared" si="499"/>
        <v>18200</v>
      </c>
      <c r="D816" s="131" cm="1">
        <f ca="1" t="array" ref="D816">IF(D1418=1,OFFSET($W$634,$B816,D$631-1)/SUMPRODUCT(--($D$631:$V$631=D$631),--($D1418:$V1418=1)),0)+SUM(D815)+IF(COUNTIF(D$1237:D1418,1)=1,5,0)+IF(COUNTIF(E816:$W816,"&gt;"&amp;0)&lt;5,IF(AND(COUNTIF(D$1237:D1418,1)&gt;7,MOD(1+IFERROR(MATCH($C816,总览!$D$46:$D$345,1)+1,1),7)=0),$C$3,0),0)</f>
        <v>1349.9502004536</v>
      </c>
      <c r="E816" s="131" cm="1">
        <f ca="1" t="array" ref="E816">IF(E1418=1,OFFSET($W$634,$B816,E$631-1)/SUMPRODUCT(--($D$631:$V$631=E$631),--($D1418:$V1418=1)),0)+SUM(E815)+IF(COUNTIF(E$1237:E1418,1)=1,5,0)+IF(COUNTIF(F816:$W816,"&gt;"&amp;0)&lt;5,IF(AND(COUNTIF(E$1237:E1418,1)&gt;7,MOD(1+IFERROR(MATCH($C816,总览!$D$46:$D$345,1)+1,1),7)=0),$C$3,0),0)</f>
        <v>1349.9502004536</v>
      </c>
      <c r="F816" s="131" cm="1">
        <f ca="1" t="array" ref="F816">IF(F1418=1,OFFSET($W$634,$B816,F$631-1)/SUMPRODUCT(--($D$631:$V$631=F$631),--($D1418:$V1418=1)),0)+SUM(F815)+IF(COUNTIF(F$1237:F1418,1)=1,5,0)+IF(COUNTIF(G816:$W816,"&gt;"&amp;0)&lt;5,IF(AND(COUNTIF(F$1237:F1418,1)&gt;7,MOD(1+IFERROR(MATCH($C816,总览!$D$46:$D$345,1)+1,1),7)=0),$C$3,0),0)</f>
        <v>1349.9502004536</v>
      </c>
      <c r="G816" s="131" cm="1">
        <f ca="1" t="array" ref="G816">IF(G1418=1,OFFSET($W$634,$B816,G$631-1)/SUMPRODUCT(--($D$631:$V$631=G$631),--($D1418:$V1418=1)),0)+SUM(G815)+IF(COUNTIF(G$1237:G1418,1)=1,5,0)+IF(COUNTIF(H816:$W816,"&gt;"&amp;0)&lt;5,IF(AND(COUNTIF(G$1237:G1418,1)&gt;7,MOD(1+IFERROR(MATCH($C816,总览!$D$46:$D$345,1)+1,1),7)=0),$C$3,0),0)</f>
        <v>546.066666666666</v>
      </c>
      <c r="H816" s="131" cm="1">
        <f ca="1" t="array" ref="H816">IF(H1418=1,OFFSET($W$634,$B816,H$631-1)/SUMPRODUCT(--($D$631:$V$631=H$631),--($D1418:$V1418=1)),0)+SUM(H815)+IF(COUNTIF(H$1237:H1418,1)=1,5,0)+IF(COUNTIF(I816:$W816,"&gt;"&amp;0)&lt;5,IF(AND(COUNTIF(H$1237:H1418,1)&gt;7,MOD(1+IFERROR(MATCH($C816,总览!$D$46:$D$345,1)+1,1),7)=0),$C$3,0),0)</f>
        <v>546.066666666666</v>
      </c>
      <c r="I816" s="131" cm="1">
        <f ca="1" t="array" ref="I816">IF(I1418=1,OFFSET($W$634,$B816,I$631-1)/SUMPRODUCT(--($D$631:$V$631=I$631),--($D1418:$V1418=1)),0)+SUM(I815)+IF(COUNTIF(I$1237:I1418,1)=1,5,0)+IF(COUNTIF(J816:$W816,"&gt;"&amp;0)&lt;5,IF(AND(COUNTIF(I$1237:I1418,1)&gt;7,MOD(1+IFERROR(MATCH($C816,总览!$D$46:$D$345,1)+1,1),7)=0),$C$3,0),0)</f>
        <v>546.066666666666</v>
      </c>
      <c r="J816" s="131" cm="1">
        <f ca="1" t="array" ref="J816">IF(J1418=1,OFFSET($W$634,$B816,J$631-1)/SUMPRODUCT(--($D$631:$V$631=J$631),--($D1418:$V1418=1)),0)+SUM(J815)+IF(COUNTIF(J$1237:J1418,1)=1,5,0)+IF(COUNTIF(K816:$W816,"&gt;"&amp;0)&lt;5,IF(AND(COUNTIF(J$1237:J1418,1)&gt;7,MOD(1+IFERROR(MATCH($C816,总览!$D$46:$D$345,1)+1,1),7)=0),$C$3,0),0)</f>
        <v>542.733333333332</v>
      </c>
      <c r="K816" s="131" cm="1">
        <f ca="1" t="array" ref="K816">IF(K1418=1,OFFSET($W$634,$B816,K$631-1)/SUMPRODUCT(--($D$631:$V$631=K$631),--($D1418:$V1418=1)),0)+SUM(K815)+IF(COUNTIF(K$1237:K1418,1)=1,5,0)+IF(COUNTIF(L816:$W816,"&gt;"&amp;0)&lt;5,IF(AND(COUNTIF(K$1237:K1418,1)&gt;7,MOD(1+IFERROR(MATCH($C816,总览!$D$46:$D$345,1)+1,1),7)=0),$C$3,0),0)</f>
        <v>540.233333333332</v>
      </c>
      <c r="L816" s="131" cm="1">
        <f ca="1" t="array" ref="L816">IF(L1418=1,OFFSET($W$634,$B816,L$631-1)/SUMPRODUCT(--($D$631:$V$631=L$631),--($D1418:$V1418=1)),0)+SUM(L815)+IF(COUNTIF(L$1237:L1418,1)=1,5,0)+IF(COUNTIF(M816:$W816,"&gt;"&amp;0)&lt;5,IF(AND(COUNTIF(L$1237:L1418,1)&gt;7,MOD(1+IFERROR(MATCH($C816,总览!$D$46:$D$345,1)+1,1),7)=0),$C$3,0),0)</f>
        <v>540.233333333332</v>
      </c>
      <c r="M816" s="131" cm="1">
        <f ca="1" t="array" ref="M816">IF(M1418=1,OFFSET($W$634,$B816,M$631-1)/SUMPRODUCT(--($D$631:$V$631=M$631),--($D1418:$V1418=1)),0)+SUM(M815)+IF(COUNTIF(M$1237:M1418,1)=1,5,0)+IF(COUNTIF(N816:$W816,"&gt;"&amp;0)&lt;5,IF(AND(COUNTIF(M$1237:M1418,1)&gt;7,MOD(1+IFERROR(MATCH($C816,总览!$D$46:$D$345,1)+1,1),7)=0),$C$3,0),0)</f>
        <v>217.752678571428</v>
      </c>
      <c r="N816" s="131" cm="1">
        <f ca="1" t="array" ref="N816">IF(N1418=1,OFFSET($W$634,$B816,N$631-1)/SUMPRODUCT(--($D$631:$V$631=N$631),--($D1418:$V1418=1)),0)+SUM(N815)+IF(COUNTIF(N$1237:N1418,1)=1,5,0)+IF(COUNTIF(O816:$W816,"&gt;"&amp;0)&lt;5,IF(AND(COUNTIF(N$1237:N1418,1)&gt;7,MOD(1+IFERROR(MATCH($C816,总览!$D$46:$D$345,1)+1,1),7)=0),$C$3,0),0)</f>
        <v>219.002678571428</v>
      </c>
      <c r="O816" s="131" cm="1">
        <f ca="1" t="array" ref="O816">IF(O1418=1,OFFSET($W$634,$B816,O$631-1)/SUMPRODUCT(--($D$631:$V$631=O$631),--($D1418:$V1418=1)),0)+SUM(O815)+IF(COUNTIF(O$1237:O1418,1)=1,5,0)+IF(COUNTIF(P816:$W816,"&gt;"&amp;0)&lt;5,IF(AND(COUNTIF(O$1237:O1418,1)&gt;7,MOD(1+IFERROR(MATCH($C816,总览!$D$46:$D$345,1)+1,1),7)=0),$C$3,0),0)</f>
        <v>224.002678571428</v>
      </c>
      <c r="P816" s="131" cm="1">
        <f ca="1" t="array" ref="P816">IF(P1418=1,OFFSET($W$634,$B816,P$631-1)/SUMPRODUCT(--($D$631:$V$631=P$631),--($D1418:$V1418=1)),0)+SUM(P815)+IF(COUNTIF(P$1237:P1418,1)=1,5,0)+IF(COUNTIF(Q816:$W816,"&gt;"&amp;0)&lt;5,IF(AND(COUNTIF(P$1237:P1418,1)&gt;7,MOD(1+IFERROR(MATCH($C816,总览!$D$46:$D$345,1)+1,1),7)=0),$C$3,0),0)</f>
        <v>213.121428571428</v>
      </c>
      <c r="Q816" s="131" cm="1">
        <f ca="1" t="array" ref="Q816">IF(Q1418=1,OFFSET($W$634,$B816,Q$631-1)/SUMPRODUCT(--($D$631:$V$631=Q$631),--($D1418:$V1418=1)),0)+SUM(Q815)+IF(COUNTIF(Q$1237:Q1418,1)=1,5,0)+IF(COUNTIF(R816:$W816,"&gt;"&amp;0)&lt;5,IF(AND(COUNTIF(Q$1237:Q1418,1)&gt;7,MOD(1+IFERROR(MATCH($C816,总览!$D$46:$D$345,1)+1,1),7)=0),$C$3,0),0)</f>
        <v>226.502678571428</v>
      </c>
      <c r="R816" s="131" cm="1">
        <f ca="1" t="array" ref="R816">IF(R1418=1,OFFSET($W$634,$B816,R$631-1)/SUMPRODUCT(--($D$631:$V$631=R$631),--($D1418:$V1418=1)),0)+SUM(R815)+IF(COUNTIF(R$1237:R1418,1)=1,5,0)+IF(COUNTIF(S816:$W816,"&gt;"&amp;0)&lt;5,IF(AND(COUNTIF(R$1237:R1418,1)&gt;7,MOD(1+IFERROR(MATCH($C816,总览!$D$46:$D$345,1)+1,1),7)=0),$C$3,0),0)</f>
        <v>218.121428571428</v>
      </c>
      <c r="S816" s="131" cm="1">
        <f ca="1" t="array" ref="S816">IF(S1418=1,OFFSET($W$634,$B816,S$631-1)/SUMPRODUCT(--($D$631:$V$631=S$631),--($D1418:$V1418=1)),0)+SUM(S815)+IF(COUNTIF(S$1237:S1418,1)=1,5,0)+IF(COUNTIF(T816:$W816,"&gt;"&amp;0)&lt;5,IF(AND(COUNTIF(S$1237:S1418,1)&gt;7,MOD(1+IFERROR(MATCH($C816,总览!$D$46:$D$345,1)+1,1),7)=0),$C$3,0),0)</f>
        <v>305.621428571428</v>
      </c>
      <c r="T816" s="131" cm="1">
        <f ca="1" t="array" ref="T816">IF(T1418=1,OFFSET($W$634,$B816,T$631-1)/SUMPRODUCT(--($D$631:$V$631=T$631),--($D1418:$V1418=1)),0)+SUM(T815)+IF(COUNTIF(T$1237:T1418,1)=1,5,0)+IF(COUNTIF(U816:$W816,"&gt;"&amp;0)&lt;5,IF(AND(COUNTIF(T$1237:T1418,1)&gt;7,MOD(1+IFERROR(MATCH($C816,总览!$D$46:$D$345,1)+1,1),7)=0),$C$3,0),0)</f>
        <v>221.251942072053</v>
      </c>
      <c r="U816" s="131" cm="1">
        <f ca="1" t="array" ref="U816">IF(U1418=1,OFFSET($W$634,$B816,U$631-1)/SUMPRODUCT(--($D$631:$V$631=U$631),--($D1418:$V1418=1)),0)+SUM(U815)+IF(COUNTIF(U$1237:U1418,1)=1,5,0)+IF(COUNTIF(V816:$W816,"&gt;"&amp;0)&lt;5,IF(AND(COUNTIF(U$1237:U1418,1)&gt;7,MOD(1+IFERROR(MATCH($C816,总览!$D$46:$D$345,1)+1,1),7)=0),$C$3,0),0)</f>
        <v>226.772728427352</v>
      </c>
      <c r="V816" s="131" cm="1">
        <f ca="1" t="array" ref="V816">IF(V1418=1,OFFSET($W$634,$B816,V$631-1)/SUMPRODUCT(--($D$631:$V$631=V$631),--($D1418:$V1418=1)),0)+SUM(V815)+IF(COUNTIF(V$1237:V1418,1)=1,5,0)+IF(COUNTIF(W816:$W816,"&gt;"&amp;0)&lt;5,IF(AND(COUNTIF(V$1237:V1418,1)&gt;7,MOD(1+IFERROR(MATCH($C816,总览!$D$46:$D$345,1)+1,1),7)=0),$C$3,0),0)</f>
        <v>246.599728139786</v>
      </c>
      <c r="W816" s="135" cm="1">
        <f ca="1" t="array" ref="W816">SUMPRODUCT(TRANSPOSE($AA816:$AG816),OFFSET($L$9:$L$15,0,W$631-1))</f>
        <v>16.8502200646615</v>
      </c>
      <c r="X816" s="135" cm="1">
        <f ca="1" t="array" ref="X816">SUMPRODUCT(TRANSPOSE($AA816:$AG816),OFFSET($L$9:$L$15,0,X$631-1))</f>
        <v>20</v>
      </c>
      <c r="Y816" s="135" cm="1">
        <f ca="1" t="array" ref="Y816">SUMPRODUCT(TRANSPOSE($AA816:$AG816),OFFSET($L$9:$L$15,0,Y$631-1))</f>
        <v>10</v>
      </c>
      <c r="Z816" s="135" cm="1">
        <f ca="1" t="array" ref="Z816">SUMPRODUCT(TRANSPOSE($AA816:$AG816),OFFSET($L$9:$L$15,0,Z$631-1))</f>
        <v>3.14977993533847</v>
      </c>
      <c r="AA816" s="136">
        <f ca="1" t="shared" ref="AA816:AG816" si="607">AH816-AH815</f>
        <v>0</v>
      </c>
      <c r="AB816" s="136">
        <f ca="1" t="shared" si="607"/>
        <v>0</v>
      </c>
      <c r="AC816" s="136">
        <f ca="1" t="shared" si="607"/>
        <v>0</v>
      </c>
      <c r="AD816" s="136">
        <f ca="1" t="shared" si="607"/>
        <v>0</v>
      </c>
      <c r="AE816" s="136">
        <f ca="1" t="shared" si="607"/>
        <v>0</v>
      </c>
      <c r="AF816" s="136">
        <f ca="1" t="shared" si="607"/>
        <v>0</v>
      </c>
      <c r="AG816" s="136">
        <f ca="1" t="shared" si="607"/>
        <v>100</v>
      </c>
      <c r="AH816" s="136">
        <f ca="1" t="shared" si="501"/>
        <v>450</v>
      </c>
      <c r="AI816" s="136">
        <f ca="1" t="shared" ref="AI816:AN816" si="608">IF($C816&gt;OFFSET($Q$8,MATCH(AI$634,$AH$634:$AN$634,0),0),OFFSET($P$8,MATCH(AI$634,$AH$634:$AN$634,0),0),MAX(0,$C816-OFFSET($Q$8,RIGHT(AI$634,1)-1,0)))</f>
        <v>909</v>
      </c>
      <c r="AJ816" s="136">
        <f ca="1" t="shared" si="608"/>
        <v>1818</v>
      </c>
      <c r="AK816" s="136">
        <f ca="1" t="shared" si="608"/>
        <v>2727</v>
      </c>
      <c r="AL816" s="136">
        <f ca="1" t="shared" si="608"/>
        <v>3636</v>
      </c>
      <c r="AM816" s="136">
        <f ca="1" t="shared" si="608"/>
        <v>4545</v>
      </c>
      <c r="AN816" s="136">
        <f ca="1" t="shared" si="608"/>
        <v>4115</v>
      </c>
    </row>
    <row r="817" s="106" customFormat="1" ht="16.5" spans="2:40">
      <c r="B817" s="117">
        <v>183</v>
      </c>
      <c r="C817" s="130">
        <f t="shared" si="499"/>
        <v>18300</v>
      </c>
      <c r="D817" s="131" cm="1">
        <f ca="1" t="array" ref="D817">IF(D1419=1,OFFSET($W$634,$B817,D$631-1)/SUMPRODUCT(--($D$631:$V$631=D$631),--($D1419:$V1419=1)),0)+SUM(D816)+IF(COUNTIF(D$1237:D1419,1)=1,5,0)+IF(COUNTIF(E817:$W817,"&gt;"&amp;0)&lt;5,IF(AND(COUNTIF(D$1237:D1419,1)&gt;7,MOD(1+IFERROR(MATCH($C817,总览!$D$46:$D$345,1)+1,1),7)=0),$C$3,0),0)</f>
        <v>1355.56694047516</v>
      </c>
      <c r="E817" s="131" cm="1">
        <f ca="1" t="array" ref="E817">IF(E1419=1,OFFSET($W$634,$B817,E$631-1)/SUMPRODUCT(--($D$631:$V$631=E$631),--($D1419:$V1419=1)),0)+SUM(E816)+IF(COUNTIF(E$1237:E1419,1)=1,5,0)+IF(COUNTIF(F817:$W817,"&gt;"&amp;0)&lt;5,IF(AND(COUNTIF(E$1237:E1419,1)&gt;7,MOD(1+IFERROR(MATCH($C817,总览!$D$46:$D$345,1)+1,1),7)=0),$C$3,0),0)</f>
        <v>1355.56694047516</v>
      </c>
      <c r="F817" s="131" cm="1">
        <f ca="1" t="array" ref="F817">IF(F1419=1,OFFSET($W$634,$B817,F$631-1)/SUMPRODUCT(--($D$631:$V$631=F$631),--($D1419:$V1419=1)),0)+SUM(F816)+IF(COUNTIF(F$1237:F1419,1)=1,5,0)+IF(COUNTIF(G817:$W817,"&gt;"&amp;0)&lt;5,IF(AND(COUNTIF(F$1237:F1419,1)&gt;7,MOD(1+IFERROR(MATCH($C817,总览!$D$46:$D$345,1)+1,1),7)=0),$C$3,0),0)</f>
        <v>1355.56694047516</v>
      </c>
      <c r="G817" s="131" cm="1">
        <f ca="1" t="array" ref="G817">IF(G1419=1,OFFSET($W$634,$B817,G$631-1)/SUMPRODUCT(--($D$631:$V$631=G$631),--($D1419:$V1419=1)),0)+SUM(G816)+IF(COUNTIF(G$1237:G1419,1)=1,5,0)+IF(COUNTIF(H817:$W817,"&gt;"&amp;0)&lt;5,IF(AND(COUNTIF(G$1237:G1419,1)&gt;7,MOD(1+IFERROR(MATCH($C817,总览!$D$46:$D$345,1)+1,1),7)=0),$C$3,0),0)</f>
        <v>549.399999999999</v>
      </c>
      <c r="H817" s="131" cm="1">
        <f ca="1" t="array" ref="H817">IF(H1419=1,OFFSET($W$634,$B817,H$631-1)/SUMPRODUCT(--($D$631:$V$631=H$631),--($D1419:$V1419=1)),0)+SUM(H816)+IF(COUNTIF(H$1237:H1419,1)=1,5,0)+IF(COUNTIF(I817:$W817,"&gt;"&amp;0)&lt;5,IF(AND(COUNTIF(H$1237:H1419,1)&gt;7,MOD(1+IFERROR(MATCH($C817,总览!$D$46:$D$345,1)+1,1),7)=0),$C$3,0),0)</f>
        <v>549.399999999999</v>
      </c>
      <c r="I817" s="131" cm="1">
        <f ca="1" t="array" ref="I817">IF(I1419=1,OFFSET($W$634,$B817,I$631-1)/SUMPRODUCT(--($D$631:$V$631=I$631),--($D1419:$V1419=1)),0)+SUM(I816)+IF(COUNTIF(I$1237:I1419,1)=1,5,0)+IF(COUNTIF(J817:$W817,"&gt;"&amp;0)&lt;5,IF(AND(COUNTIF(I$1237:I1419,1)&gt;7,MOD(1+IFERROR(MATCH($C817,总览!$D$46:$D$345,1)+1,1),7)=0),$C$3,0),0)</f>
        <v>549.399999999999</v>
      </c>
      <c r="J817" s="131" cm="1">
        <f ca="1" t="array" ref="J817">IF(J1419=1,OFFSET($W$634,$B817,J$631-1)/SUMPRODUCT(--($D$631:$V$631=J$631),--($D1419:$V1419=1)),0)+SUM(J816)+IF(COUNTIF(J$1237:J1419,1)=1,5,0)+IF(COUNTIF(K817:$W817,"&gt;"&amp;0)&lt;5,IF(AND(COUNTIF(J$1237:J1419,1)&gt;7,MOD(1+IFERROR(MATCH($C817,总览!$D$46:$D$345,1)+1,1),7)=0),$C$3,0),0)</f>
        <v>546.066666666666</v>
      </c>
      <c r="K817" s="131" cm="1">
        <f ca="1" t="array" ref="K817">IF(K1419=1,OFFSET($W$634,$B817,K$631-1)/SUMPRODUCT(--($D$631:$V$631=K$631),--($D1419:$V1419=1)),0)+SUM(K816)+IF(COUNTIF(K$1237:K1419,1)=1,5,0)+IF(COUNTIF(L817:$W817,"&gt;"&amp;0)&lt;5,IF(AND(COUNTIF(K$1237:K1419,1)&gt;7,MOD(1+IFERROR(MATCH($C817,总览!$D$46:$D$345,1)+1,1),7)=0),$C$3,0),0)</f>
        <v>543.566666666666</v>
      </c>
      <c r="L817" s="131" cm="1">
        <f ca="1" t="array" ref="L817">IF(L1419=1,OFFSET($W$634,$B817,L$631-1)/SUMPRODUCT(--($D$631:$V$631=L$631),--($D1419:$V1419=1)),0)+SUM(L816)+IF(COUNTIF(L$1237:L1419,1)=1,5,0)+IF(COUNTIF(M817:$W817,"&gt;"&amp;0)&lt;5,IF(AND(COUNTIF(L$1237:L1419,1)&gt;7,MOD(1+IFERROR(MATCH($C817,总览!$D$46:$D$345,1)+1,1),7)=0),$C$3,0),0)</f>
        <v>543.566666666666</v>
      </c>
      <c r="M817" s="131" cm="1">
        <f ca="1" t="array" ref="M817">IF(M1419=1,OFFSET($W$634,$B817,M$631-1)/SUMPRODUCT(--($D$631:$V$631=M$631),--($D1419:$V1419=1)),0)+SUM(M816)+IF(COUNTIF(M$1237:M1419,1)=1,5,0)+IF(COUNTIF(N817:$W817,"&gt;"&amp;0)&lt;5,IF(AND(COUNTIF(M$1237:M1419,1)&gt;7,MOD(1+IFERROR(MATCH($C817,总览!$D$46:$D$345,1)+1,1),7)=0),$C$3,0),0)</f>
        <v>219.181249999999</v>
      </c>
      <c r="N817" s="131" cm="1">
        <f ca="1" t="array" ref="N817">IF(N1419=1,OFFSET($W$634,$B817,N$631-1)/SUMPRODUCT(--($D$631:$V$631=N$631),--($D1419:$V1419=1)),0)+SUM(N816)+IF(COUNTIF(N$1237:N1419,1)=1,5,0)+IF(COUNTIF(O817:$W817,"&gt;"&amp;0)&lt;5,IF(AND(COUNTIF(N$1237:N1419,1)&gt;7,MOD(1+IFERROR(MATCH($C817,总览!$D$46:$D$345,1)+1,1),7)=0),$C$3,0),0)</f>
        <v>220.431249999999</v>
      </c>
      <c r="O817" s="131" cm="1">
        <f ca="1" t="array" ref="O817">IF(O1419=1,OFFSET($W$634,$B817,O$631-1)/SUMPRODUCT(--($D$631:$V$631=O$631),--($D1419:$V1419=1)),0)+SUM(O816)+IF(COUNTIF(O$1237:O1419,1)=1,5,0)+IF(COUNTIF(P817:$W817,"&gt;"&amp;0)&lt;5,IF(AND(COUNTIF(O$1237:O1419,1)&gt;7,MOD(1+IFERROR(MATCH($C817,总览!$D$46:$D$345,1)+1,1),7)=0),$C$3,0),0)</f>
        <v>225.431249999999</v>
      </c>
      <c r="P817" s="131" cm="1">
        <f ca="1" t="array" ref="P817">IF(P1419=1,OFFSET($W$634,$B817,P$631-1)/SUMPRODUCT(--($D$631:$V$631=P$631),--($D1419:$V1419=1)),0)+SUM(P816)+IF(COUNTIF(P$1237:P1419,1)=1,5,0)+IF(COUNTIF(Q817:$W817,"&gt;"&amp;0)&lt;5,IF(AND(COUNTIF(P$1237:P1419,1)&gt;7,MOD(1+IFERROR(MATCH($C817,总览!$D$46:$D$345,1)+1,1),7)=0),$C$3,0),0)</f>
        <v>214.549999999999</v>
      </c>
      <c r="Q817" s="131" cm="1">
        <f ca="1" t="array" ref="Q817">IF(Q1419=1,OFFSET($W$634,$B817,Q$631-1)/SUMPRODUCT(--($D$631:$V$631=Q$631),--($D1419:$V1419=1)),0)+SUM(Q816)+IF(COUNTIF(Q$1237:Q1419,1)=1,5,0)+IF(COUNTIF(R817:$W817,"&gt;"&amp;0)&lt;5,IF(AND(COUNTIF(Q$1237:Q1419,1)&gt;7,MOD(1+IFERROR(MATCH($C817,总览!$D$46:$D$345,1)+1,1),7)=0),$C$3,0),0)</f>
        <v>227.931249999999</v>
      </c>
      <c r="R817" s="131" cm="1">
        <f ca="1" t="array" ref="R817">IF(R1419=1,OFFSET($W$634,$B817,R$631-1)/SUMPRODUCT(--($D$631:$V$631=R$631),--($D1419:$V1419=1)),0)+SUM(R816)+IF(COUNTIF(R$1237:R1419,1)=1,5,0)+IF(COUNTIF(S817:$W817,"&gt;"&amp;0)&lt;5,IF(AND(COUNTIF(R$1237:R1419,1)&gt;7,MOD(1+IFERROR(MATCH($C817,总览!$D$46:$D$345,1)+1,1),7)=0),$C$3,0),0)</f>
        <v>219.549999999999</v>
      </c>
      <c r="S817" s="131" cm="1">
        <f ca="1" t="array" ref="S817">IF(S1419=1,OFFSET($W$634,$B817,S$631-1)/SUMPRODUCT(--($D$631:$V$631=S$631),--($D1419:$V1419=1)),0)+SUM(S816)+IF(COUNTIF(S$1237:S1419,1)=1,5,0)+IF(COUNTIF(T817:$W817,"&gt;"&amp;0)&lt;5,IF(AND(COUNTIF(S$1237:S1419,1)&gt;7,MOD(1+IFERROR(MATCH($C817,总览!$D$46:$D$345,1)+1,1),7)=0),$C$3,0),0)</f>
        <v>307.05</v>
      </c>
      <c r="T817" s="131" cm="1">
        <f ca="1" t="array" ref="T817">IF(T1419=1,OFFSET($W$634,$B817,T$631-1)/SUMPRODUCT(--($D$631:$V$631=T$631),--($D1419:$V1419=1)),0)+SUM(T816)+IF(COUNTIF(T$1237:T1419,1)=1,5,0)+IF(COUNTIF(U817:$W817,"&gt;"&amp;0)&lt;5,IF(AND(COUNTIF(T$1237:T1419,1)&gt;7,MOD(1+IFERROR(MATCH($C817,总览!$D$46:$D$345,1)+1,1),7)=0),$C$3,0),0)</f>
        <v>222.301868717165</v>
      </c>
      <c r="U817" s="131" cm="1">
        <f ca="1" t="array" ref="U817">IF(U1419=1,OFFSET($W$634,$B817,U$631-1)/SUMPRODUCT(--($D$631:$V$631=U$631),--($D1419:$V1419=1)),0)+SUM(U816)+IF(COUNTIF(U$1237:U1419,1)=1,5,0)+IF(COUNTIF(V817:$W817,"&gt;"&amp;0)&lt;5,IF(AND(COUNTIF(U$1237:U1419,1)&gt;7,MOD(1+IFERROR(MATCH($C817,总览!$D$46:$D$345,1)+1,1),7)=0),$C$3,0),0)</f>
        <v>227.822655072465</v>
      </c>
      <c r="V817" s="131" cm="1">
        <f ca="1" t="array" ref="V817">IF(V1419=1,OFFSET($W$634,$B817,V$631-1)/SUMPRODUCT(--($D$631:$V$631=V$631),--($D1419:$V1419=1)),0)+SUM(V816)+IF(COUNTIF(V$1237:V1419,1)=1,5,0)+IF(COUNTIF(W817:$W817,"&gt;"&amp;0)&lt;5,IF(AND(COUNTIF(V$1237:V1419,1)&gt;7,MOD(1+IFERROR(MATCH($C817,总览!$D$46:$D$345,1)+1,1),7)=0),$C$3,0),0)</f>
        <v>247.649654784899</v>
      </c>
      <c r="W817" s="135" cm="1">
        <f ca="1" t="array" ref="W817">SUMPRODUCT(TRANSPOSE($AA817:$AG817),OFFSET($L$9:$L$15,0,W$631-1))</f>
        <v>16.8502200646615</v>
      </c>
      <c r="X817" s="135" cm="1">
        <f ca="1" t="array" ref="X817">SUMPRODUCT(TRANSPOSE($AA817:$AG817),OFFSET($L$9:$L$15,0,X$631-1))</f>
        <v>20</v>
      </c>
      <c r="Y817" s="135" cm="1">
        <f ca="1" t="array" ref="Y817">SUMPRODUCT(TRANSPOSE($AA817:$AG817),OFFSET($L$9:$L$15,0,Y$631-1))</f>
        <v>10</v>
      </c>
      <c r="Z817" s="135" cm="1">
        <f ca="1" t="array" ref="Z817">SUMPRODUCT(TRANSPOSE($AA817:$AG817),OFFSET($L$9:$L$15,0,Z$631-1))</f>
        <v>3.14977993533847</v>
      </c>
      <c r="AA817" s="136">
        <f ca="1" t="shared" ref="AA817:AG817" si="609">AH817-AH816</f>
        <v>0</v>
      </c>
      <c r="AB817" s="136">
        <f ca="1" t="shared" si="609"/>
        <v>0</v>
      </c>
      <c r="AC817" s="136">
        <f ca="1" t="shared" si="609"/>
        <v>0</v>
      </c>
      <c r="AD817" s="136">
        <f ca="1" t="shared" si="609"/>
        <v>0</v>
      </c>
      <c r="AE817" s="136">
        <f ca="1" t="shared" si="609"/>
        <v>0</v>
      </c>
      <c r="AF817" s="136">
        <f ca="1" t="shared" si="609"/>
        <v>0</v>
      </c>
      <c r="AG817" s="136">
        <f ca="1" t="shared" si="609"/>
        <v>100</v>
      </c>
      <c r="AH817" s="136">
        <f ca="1" t="shared" si="501"/>
        <v>450</v>
      </c>
      <c r="AI817" s="136">
        <f ca="1" t="shared" ref="AI817:AN817" si="610">IF($C817&gt;OFFSET($Q$8,MATCH(AI$634,$AH$634:$AN$634,0),0),OFFSET($P$8,MATCH(AI$634,$AH$634:$AN$634,0),0),MAX(0,$C817-OFFSET($Q$8,RIGHT(AI$634,1)-1,0)))</f>
        <v>909</v>
      </c>
      <c r="AJ817" s="136">
        <f ca="1" t="shared" si="610"/>
        <v>1818</v>
      </c>
      <c r="AK817" s="136">
        <f ca="1" t="shared" si="610"/>
        <v>2727</v>
      </c>
      <c r="AL817" s="136">
        <f ca="1" t="shared" si="610"/>
        <v>3636</v>
      </c>
      <c r="AM817" s="136">
        <f ca="1" t="shared" si="610"/>
        <v>4545</v>
      </c>
      <c r="AN817" s="136">
        <f ca="1" t="shared" si="610"/>
        <v>4215</v>
      </c>
    </row>
    <row r="818" s="106" customFormat="1" ht="16.5" spans="2:40">
      <c r="B818" s="117">
        <v>184</v>
      </c>
      <c r="C818" s="130">
        <f t="shared" si="499"/>
        <v>18400</v>
      </c>
      <c r="D818" s="131" cm="1">
        <f ca="1" t="array" ref="D818">IF(D1420=1,OFFSET($W$634,$B818,D$631-1)/SUMPRODUCT(--($D$631:$V$631=D$631),--($D1420:$V1420=1)),0)+SUM(D817)+IF(COUNTIF(D$1237:D1420,1)=1,5,0)+IF(COUNTIF(E818:$W818,"&gt;"&amp;0)&lt;5,IF(AND(COUNTIF(D$1237:D1420,1)&gt;7,MOD(1+IFERROR(MATCH($C818,总览!$D$46:$D$345,1)+1,1),7)=0),$C$3,0),0)</f>
        <v>1361.18368049671</v>
      </c>
      <c r="E818" s="131" cm="1">
        <f ca="1" t="array" ref="E818">IF(E1420=1,OFFSET($W$634,$B818,E$631-1)/SUMPRODUCT(--($D$631:$V$631=E$631),--($D1420:$V1420=1)),0)+SUM(E817)+IF(COUNTIF(E$1237:E1420,1)=1,5,0)+IF(COUNTIF(F818:$W818,"&gt;"&amp;0)&lt;5,IF(AND(COUNTIF(E$1237:E1420,1)&gt;7,MOD(1+IFERROR(MATCH($C818,总览!$D$46:$D$345,1)+1,1),7)=0),$C$3,0),0)</f>
        <v>1361.18368049671</v>
      </c>
      <c r="F818" s="131" cm="1">
        <f ca="1" t="array" ref="F818">IF(F1420=1,OFFSET($W$634,$B818,F$631-1)/SUMPRODUCT(--($D$631:$V$631=F$631),--($D1420:$V1420=1)),0)+SUM(F817)+IF(COUNTIF(F$1237:F1420,1)=1,5,0)+IF(COUNTIF(G818:$W818,"&gt;"&amp;0)&lt;5,IF(AND(COUNTIF(F$1237:F1420,1)&gt;7,MOD(1+IFERROR(MATCH($C818,总览!$D$46:$D$345,1)+1,1),7)=0),$C$3,0),0)</f>
        <v>1361.18368049671</v>
      </c>
      <c r="G818" s="131" cm="1">
        <f ca="1" t="array" ref="G818">IF(G1420=1,OFFSET($W$634,$B818,G$631-1)/SUMPRODUCT(--($D$631:$V$631=G$631),--($D1420:$V1420=1)),0)+SUM(G817)+IF(COUNTIF(G$1237:G1420,1)=1,5,0)+IF(COUNTIF(H818:$W818,"&gt;"&amp;0)&lt;5,IF(AND(COUNTIF(G$1237:G1420,1)&gt;7,MOD(1+IFERROR(MATCH($C818,总览!$D$46:$D$345,1)+1,1),7)=0),$C$3,0),0)</f>
        <v>552.733333333332</v>
      </c>
      <c r="H818" s="131" cm="1">
        <f ca="1" t="array" ref="H818">IF(H1420=1,OFFSET($W$634,$B818,H$631-1)/SUMPRODUCT(--($D$631:$V$631=H$631),--($D1420:$V1420=1)),0)+SUM(H817)+IF(COUNTIF(H$1237:H1420,1)=1,5,0)+IF(COUNTIF(I818:$W818,"&gt;"&amp;0)&lt;5,IF(AND(COUNTIF(H$1237:H1420,1)&gt;7,MOD(1+IFERROR(MATCH($C818,总览!$D$46:$D$345,1)+1,1),7)=0),$C$3,0),0)</f>
        <v>552.733333333332</v>
      </c>
      <c r="I818" s="131" cm="1">
        <f ca="1" t="array" ref="I818">IF(I1420=1,OFFSET($W$634,$B818,I$631-1)/SUMPRODUCT(--($D$631:$V$631=I$631),--($D1420:$V1420=1)),0)+SUM(I817)+IF(COUNTIF(I$1237:I1420,1)=1,5,0)+IF(COUNTIF(J818:$W818,"&gt;"&amp;0)&lt;5,IF(AND(COUNTIF(I$1237:I1420,1)&gt;7,MOD(1+IFERROR(MATCH($C818,总览!$D$46:$D$345,1)+1,1),7)=0),$C$3,0),0)</f>
        <v>552.733333333332</v>
      </c>
      <c r="J818" s="131" cm="1">
        <f ca="1" t="array" ref="J818">IF(J1420=1,OFFSET($W$634,$B818,J$631-1)/SUMPRODUCT(--($D$631:$V$631=J$631),--($D1420:$V1420=1)),0)+SUM(J817)+IF(COUNTIF(J$1237:J1420,1)=1,5,0)+IF(COUNTIF(K818:$W818,"&gt;"&amp;0)&lt;5,IF(AND(COUNTIF(J$1237:J1420,1)&gt;7,MOD(1+IFERROR(MATCH($C818,总览!$D$46:$D$345,1)+1,1),7)=0),$C$3,0),0)</f>
        <v>549.399999999999</v>
      </c>
      <c r="K818" s="131" cm="1">
        <f ca="1" t="array" ref="K818">IF(K1420=1,OFFSET($W$634,$B818,K$631-1)/SUMPRODUCT(--($D$631:$V$631=K$631),--($D1420:$V1420=1)),0)+SUM(K817)+IF(COUNTIF(K$1237:K1420,1)=1,5,0)+IF(COUNTIF(L818:$W818,"&gt;"&amp;0)&lt;5,IF(AND(COUNTIF(K$1237:K1420,1)&gt;7,MOD(1+IFERROR(MATCH($C818,总览!$D$46:$D$345,1)+1,1),7)=0),$C$3,0),0)</f>
        <v>546.899999999999</v>
      </c>
      <c r="L818" s="131" cm="1">
        <f ca="1" t="array" ref="L818">IF(L1420=1,OFFSET($W$634,$B818,L$631-1)/SUMPRODUCT(--($D$631:$V$631=L$631),--($D1420:$V1420=1)),0)+SUM(L817)+IF(COUNTIF(L$1237:L1420,1)=1,5,0)+IF(COUNTIF(M818:$W818,"&gt;"&amp;0)&lt;5,IF(AND(COUNTIF(L$1237:L1420,1)&gt;7,MOD(1+IFERROR(MATCH($C818,总览!$D$46:$D$345,1)+1,1),7)=0),$C$3,0),0)</f>
        <v>546.899999999999</v>
      </c>
      <c r="M818" s="131" cm="1">
        <f ca="1" t="array" ref="M818">IF(M1420=1,OFFSET($W$634,$B818,M$631-1)/SUMPRODUCT(--($D$631:$V$631=M$631),--($D1420:$V1420=1)),0)+SUM(M817)+IF(COUNTIF(M$1237:M1420,1)=1,5,0)+IF(COUNTIF(N818:$W818,"&gt;"&amp;0)&lt;5,IF(AND(COUNTIF(M$1237:M1420,1)&gt;7,MOD(1+IFERROR(MATCH($C818,总览!$D$46:$D$345,1)+1,1),7)=0),$C$3,0),0)</f>
        <v>220.609821428571</v>
      </c>
      <c r="N818" s="131" cm="1">
        <f ca="1" t="array" ref="N818">IF(N1420=1,OFFSET($W$634,$B818,N$631-1)/SUMPRODUCT(--($D$631:$V$631=N$631),--($D1420:$V1420=1)),0)+SUM(N817)+IF(COUNTIF(N$1237:N1420,1)=1,5,0)+IF(COUNTIF(O818:$W818,"&gt;"&amp;0)&lt;5,IF(AND(COUNTIF(N$1237:N1420,1)&gt;7,MOD(1+IFERROR(MATCH($C818,总览!$D$46:$D$345,1)+1,1),7)=0),$C$3,0),0)</f>
        <v>221.859821428571</v>
      </c>
      <c r="O818" s="131" cm="1">
        <f ca="1" t="array" ref="O818">IF(O1420=1,OFFSET($W$634,$B818,O$631-1)/SUMPRODUCT(--($D$631:$V$631=O$631),--($D1420:$V1420=1)),0)+SUM(O817)+IF(COUNTIF(O$1237:O1420,1)=1,5,0)+IF(COUNTIF(P818:$W818,"&gt;"&amp;0)&lt;5,IF(AND(COUNTIF(O$1237:O1420,1)&gt;7,MOD(1+IFERROR(MATCH($C818,总览!$D$46:$D$345,1)+1,1),7)=0),$C$3,0),0)</f>
        <v>226.85982142857</v>
      </c>
      <c r="P818" s="131" cm="1">
        <f ca="1" t="array" ref="P818">IF(P1420=1,OFFSET($W$634,$B818,P$631-1)/SUMPRODUCT(--($D$631:$V$631=P$631),--($D1420:$V1420=1)),0)+SUM(P817)+IF(COUNTIF(P$1237:P1420,1)=1,5,0)+IF(COUNTIF(Q818:$W818,"&gt;"&amp;0)&lt;5,IF(AND(COUNTIF(P$1237:P1420,1)&gt;7,MOD(1+IFERROR(MATCH($C818,总览!$D$46:$D$345,1)+1,1),7)=0),$C$3,0),0)</f>
        <v>215.978571428571</v>
      </c>
      <c r="Q818" s="131" cm="1">
        <f ca="1" t="array" ref="Q818">IF(Q1420=1,OFFSET($W$634,$B818,Q$631-1)/SUMPRODUCT(--($D$631:$V$631=Q$631),--($D1420:$V1420=1)),0)+SUM(Q817)+IF(COUNTIF(Q$1237:Q1420,1)=1,5,0)+IF(COUNTIF(R818:$W818,"&gt;"&amp;0)&lt;5,IF(AND(COUNTIF(Q$1237:Q1420,1)&gt;7,MOD(1+IFERROR(MATCH($C818,总览!$D$46:$D$345,1)+1,1),7)=0),$C$3,0),0)</f>
        <v>229.35982142857</v>
      </c>
      <c r="R818" s="131" cm="1">
        <f ca="1" t="array" ref="R818">IF(R1420=1,OFFSET($W$634,$B818,R$631-1)/SUMPRODUCT(--($D$631:$V$631=R$631),--($D1420:$V1420=1)),0)+SUM(R817)+IF(COUNTIF(R$1237:R1420,1)=1,5,0)+IF(COUNTIF(S818:$W818,"&gt;"&amp;0)&lt;5,IF(AND(COUNTIF(R$1237:R1420,1)&gt;7,MOD(1+IFERROR(MATCH($C818,总览!$D$46:$D$345,1)+1,1),7)=0),$C$3,0),0)</f>
        <v>220.978571428571</v>
      </c>
      <c r="S818" s="131" cm="1">
        <f ca="1" t="array" ref="S818">IF(S1420=1,OFFSET($W$634,$B818,S$631-1)/SUMPRODUCT(--($D$631:$V$631=S$631),--($D1420:$V1420=1)),0)+SUM(S817)+IF(COUNTIF(S$1237:S1420,1)=1,5,0)+IF(COUNTIF(T818:$W818,"&gt;"&amp;0)&lt;5,IF(AND(COUNTIF(S$1237:S1420,1)&gt;7,MOD(1+IFERROR(MATCH($C818,总览!$D$46:$D$345,1)+1,1),7)=0),$C$3,0),0)</f>
        <v>313.478571428571</v>
      </c>
      <c r="T818" s="131" cm="1">
        <f ca="1" t="array" ref="T818">IF(T1420=1,OFFSET($W$634,$B818,T$631-1)/SUMPRODUCT(--($D$631:$V$631=T$631),--($D1420:$V1420=1)),0)+SUM(T817)+IF(COUNTIF(T$1237:T1420,1)=1,5,0)+IF(COUNTIF(U818:$W818,"&gt;"&amp;0)&lt;5,IF(AND(COUNTIF(T$1237:T1420,1)&gt;7,MOD(1+IFERROR(MATCH($C818,总览!$D$46:$D$345,1)+1,1),7)=0),$C$3,0),0)</f>
        <v>228.351795362278</v>
      </c>
      <c r="U818" s="131" cm="1">
        <f ca="1" t="array" ref="U818">IF(U1420=1,OFFSET($W$634,$B818,U$631-1)/SUMPRODUCT(--($D$631:$V$631=U$631),--($D1420:$V1420=1)),0)+SUM(U817)+IF(COUNTIF(U$1237:U1420,1)=1,5,0)+IF(COUNTIF(V818:$W818,"&gt;"&amp;0)&lt;5,IF(AND(COUNTIF(U$1237:U1420,1)&gt;7,MOD(1+IFERROR(MATCH($C818,总览!$D$46:$D$345,1)+1,1),7)=0),$C$3,0),0)</f>
        <v>233.872581717578</v>
      </c>
      <c r="V818" s="131" cm="1">
        <f ca="1" t="array" ref="V818">IF(V1420=1,OFFSET($W$634,$B818,V$631-1)/SUMPRODUCT(--($D$631:$V$631=V$631),--($D1420:$V1420=1)),0)+SUM(V817)+IF(COUNTIF(V$1237:V1420,1)=1,5,0)+IF(COUNTIF(W818:$W818,"&gt;"&amp;0)&lt;5,IF(AND(COUNTIF(V$1237:V1420,1)&gt;7,MOD(1+IFERROR(MATCH($C818,总览!$D$46:$D$345,1)+1,1),7)=0),$C$3,0),0)</f>
        <v>253.699581430012</v>
      </c>
      <c r="W818" s="135" cm="1">
        <f ca="1" t="array" ref="W818">SUMPRODUCT(TRANSPOSE($AA818:$AG818),OFFSET($L$9:$L$15,0,W$631-1))</f>
        <v>16.8502200646615</v>
      </c>
      <c r="X818" s="135" cm="1">
        <f ca="1" t="array" ref="X818">SUMPRODUCT(TRANSPOSE($AA818:$AG818),OFFSET($L$9:$L$15,0,X$631-1))</f>
        <v>20</v>
      </c>
      <c r="Y818" s="135" cm="1">
        <f ca="1" t="array" ref="Y818">SUMPRODUCT(TRANSPOSE($AA818:$AG818),OFFSET($L$9:$L$15,0,Y$631-1))</f>
        <v>10</v>
      </c>
      <c r="Z818" s="135" cm="1">
        <f ca="1" t="array" ref="Z818">SUMPRODUCT(TRANSPOSE($AA818:$AG818),OFFSET($L$9:$L$15,0,Z$631-1))</f>
        <v>3.14977993533847</v>
      </c>
      <c r="AA818" s="136">
        <f ca="1" t="shared" ref="AA818:AG818" si="611">AH818-AH817</f>
        <v>0</v>
      </c>
      <c r="AB818" s="136">
        <f ca="1" t="shared" si="611"/>
        <v>0</v>
      </c>
      <c r="AC818" s="136">
        <f ca="1" t="shared" si="611"/>
        <v>0</v>
      </c>
      <c r="AD818" s="136">
        <f ca="1" t="shared" si="611"/>
        <v>0</v>
      </c>
      <c r="AE818" s="136">
        <f ca="1" t="shared" si="611"/>
        <v>0</v>
      </c>
      <c r="AF818" s="136">
        <f ca="1" t="shared" si="611"/>
        <v>0</v>
      </c>
      <c r="AG818" s="136">
        <f ca="1" t="shared" si="611"/>
        <v>100</v>
      </c>
      <c r="AH818" s="136">
        <f ca="1" t="shared" si="501"/>
        <v>450</v>
      </c>
      <c r="AI818" s="136">
        <f ca="1" t="shared" ref="AI818:AN818" si="612">IF($C818&gt;OFFSET($Q$8,MATCH(AI$634,$AH$634:$AN$634,0),0),OFFSET($P$8,MATCH(AI$634,$AH$634:$AN$634,0),0),MAX(0,$C818-OFFSET($Q$8,RIGHT(AI$634,1)-1,0)))</f>
        <v>909</v>
      </c>
      <c r="AJ818" s="136">
        <f ca="1" t="shared" si="612"/>
        <v>1818</v>
      </c>
      <c r="AK818" s="136">
        <f ca="1" t="shared" si="612"/>
        <v>2727</v>
      </c>
      <c r="AL818" s="136">
        <f ca="1" t="shared" si="612"/>
        <v>3636</v>
      </c>
      <c r="AM818" s="136">
        <f ca="1" t="shared" si="612"/>
        <v>4545</v>
      </c>
      <c r="AN818" s="136">
        <f ca="1" t="shared" si="612"/>
        <v>4315</v>
      </c>
    </row>
    <row r="819" s="106" customFormat="1" ht="16.5" spans="2:40">
      <c r="B819" s="117">
        <v>185</v>
      </c>
      <c r="C819" s="130">
        <f t="shared" si="499"/>
        <v>18500</v>
      </c>
      <c r="D819" s="131" cm="1">
        <f ca="1" t="array" ref="D819">IF(D1421=1,OFFSET($W$634,$B819,D$631-1)/SUMPRODUCT(--($D$631:$V$631=D$631),--($D1421:$V1421=1)),0)+SUM(D818)+IF(COUNTIF(D$1237:D1421,1)=1,5,0)+IF(COUNTIF(E819:$W819,"&gt;"&amp;0)&lt;5,IF(AND(COUNTIF(D$1237:D1421,1)&gt;7,MOD(1+IFERROR(MATCH($C819,总览!$D$46:$D$345,1)+1,1),7)=0),$C$3,0),0)</f>
        <v>1366.80042051826</v>
      </c>
      <c r="E819" s="131" cm="1">
        <f ca="1" t="array" ref="E819">IF(E1421=1,OFFSET($W$634,$B819,E$631-1)/SUMPRODUCT(--($D$631:$V$631=E$631),--($D1421:$V1421=1)),0)+SUM(E818)+IF(COUNTIF(E$1237:E1421,1)=1,5,0)+IF(COUNTIF(F819:$W819,"&gt;"&amp;0)&lt;5,IF(AND(COUNTIF(E$1237:E1421,1)&gt;7,MOD(1+IFERROR(MATCH($C819,总览!$D$46:$D$345,1)+1,1),7)=0),$C$3,0),0)</f>
        <v>1366.80042051826</v>
      </c>
      <c r="F819" s="131" cm="1">
        <f ca="1" t="array" ref="F819">IF(F1421=1,OFFSET($W$634,$B819,F$631-1)/SUMPRODUCT(--($D$631:$V$631=F$631),--($D1421:$V1421=1)),0)+SUM(F818)+IF(COUNTIF(F$1237:F1421,1)=1,5,0)+IF(COUNTIF(G819:$W819,"&gt;"&amp;0)&lt;5,IF(AND(COUNTIF(F$1237:F1421,1)&gt;7,MOD(1+IFERROR(MATCH($C819,总览!$D$46:$D$345,1)+1,1),7)=0),$C$3,0),0)</f>
        <v>1366.80042051826</v>
      </c>
      <c r="G819" s="131" cm="1">
        <f ca="1" t="array" ref="G819">IF(G1421=1,OFFSET($W$634,$B819,G$631-1)/SUMPRODUCT(--($D$631:$V$631=G$631),--($D1421:$V1421=1)),0)+SUM(G818)+IF(COUNTIF(G$1237:G1421,1)=1,5,0)+IF(COUNTIF(H819:$W819,"&gt;"&amp;0)&lt;5,IF(AND(COUNTIF(G$1237:G1421,1)&gt;7,MOD(1+IFERROR(MATCH($C819,总览!$D$46:$D$345,1)+1,1),7)=0),$C$3,0),0)</f>
        <v>556.066666666666</v>
      </c>
      <c r="H819" s="131" cm="1">
        <f ca="1" t="array" ref="H819">IF(H1421=1,OFFSET($W$634,$B819,H$631-1)/SUMPRODUCT(--($D$631:$V$631=H$631),--($D1421:$V1421=1)),0)+SUM(H818)+IF(COUNTIF(H$1237:H1421,1)=1,5,0)+IF(COUNTIF(I819:$W819,"&gt;"&amp;0)&lt;5,IF(AND(COUNTIF(H$1237:H1421,1)&gt;7,MOD(1+IFERROR(MATCH($C819,总览!$D$46:$D$345,1)+1,1),7)=0),$C$3,0),0)</f>
        <v>556.066666666666</v>
      </c>
      <c r="I819" s="131" cm="1">
        <f ca="1" t="array" ref="I819">IF(I1421=1,OFFSET($W$634,$B819,I$631-1)/SUMPRODUCT(--($D$631:$V$631=I$631),--($D1421:$V1421=1)),0)+SUM(I818)+IF(COUNTIF(I$1237:I1421,1)=1,5,0)+IF(COUNTIF(J819:$W819,"&gt;"&amp;0)&lt;5,IF(AND(COUNTIF(I$1237:I1421,1)&gt;7,MOD(1+IFERROR(MATCH($C819,总览!$D$46:$D$345,1)+1,1),7)=0),$C$3,0),0)</f>
        <v>556.066666666666</v>
      </c>
      <c r="J819" s="131" cm="1">
        <f ca="1" t="array" ref="J819">IF(J1421=1,OFFSET($W$634,$B819,J$631-1)/SUMPRODUCT(--($D$631:$V$631=J$631),--($D1421:$V1421=1)),0)+SUM(J818)+IF(COUNTIF(J$1237:J1421,1)=1,5,0)+IF(COUNTIF(K819:$W819,"&gt;"&amp;0)&lt;5,IF(AND(COUNTIF(J$1237:J1421,1)&gt;7,MOD(1+IFERROR(MATCH($C819,总览!$D$46:$D$345,1)+1,1),7)=0),$C$3,0),0)</f>
        <v>552.733333333332</v>
      </c>
      <c r="K819" s="131" cm="1">
        <f ca="1" t="array" ref="K819">IF(K1421=1,OFFSET($W$634,$B819,K$631-1)/SUMPRODUCT(--($D$631:$V$631=K$631),--($D1421:$V1421=1)),0)+SUM(K818)+IF(COUNTIF(K$1237:K1421,1)=1,5,0)+IF(COUNTIF(L819:$W819,"&gt;"&amp;0)&lt;5,IF(AND(COUNTIF(K$1237:K1421,1)&gt;7,MOD(1+IFERROR(MATCH($C819,总览!$D$46:$D$345,1)+1,1),7)=0),$C$3,0),0)</f>
        <v>550.233333333332</v>
      </c>
      <c r="L819" s="131" cm="1">
        <f ca="1" t="array" ref="L819">IF(L1421=1,OFFSET($W$634,$B819,L$631-1)/SUMPRODUCT(--($D$631:$V$631=L$631),--($D1421:$V1421=1)),0)+SUM(L818)+IF(COUNTIF(L$1237:L1421,1)=1,5,0)+IF(COUNTIF(M819:$W819,"&gt;"&amp;0)&lt;5,IF(AND(COUNTIF(L$1237:L1421,1)&gt;7,MOD(1+IFERROR(MATCH($C819,总览!$D$46:$D$345,1)+1,1),7)=0),$C$3,0),0)</f>
        <v>550.233333333332</v>
      </c>
      <c r="M819" s="131" cm="1">
        <f ca="1" t="array" ref="M819">IF(M1421=1,OFFSET($W$634,$B819,M$631-1)/SUMPRODUCT(--($D$631:$V$631=M$631),--($D1421:$V1421=1)),0)+SUM(M818)+IF(COUNTIF(M$1237:M1421,1)=1,5,0)+IF(COUNTIF(N819:$W819,"&gt;"&amp;0)&lt;5,IF(AND(COUNTIF(M$1237:M1421,1)&gt;7,MOD(1+IFERROR(MATCH($C819,总览!$D$46:$D$345,1)+1,1),7)=0),$C$3,0),0)</f>
        <v>222.038392857142</v>
      </c>
      <c r="N819" s="131" cm="1">
        <f ca="1" t="array" ref="N819">IF(N1421=1,OFFSET($W$634,$B819,N$631-1)/SUMPRODUCT(--($D$631:$V$631=N$631),--($D1421:$V1421=1)),0)+SUM(N818)+IF(COUNTIF(N$1237:N1421,1)=1,5,0)+IF(COUNTIF(O819:$W819,"&gt;"&amp;0)&lt;5,IF(AND(COUNTIF(N$1237:N1421,1)&gt;7,MOD(1+IFERROR(MATCH($C819,总览!$D$46:$D$345,1)+1,1),7)=0),$C$3,0),0)</f>
        <v>223.288392857142</v>
      </c>
      <c r="O819" s="131" cm="1">
        <f ca="1" t="array" ref="O819">IF(O1421=1,OFFSET($W$634,$B819,O$631-1)/SUMPRODUCT(--($D$631:$V$631=O$631),--($D1421:$V1421=1)),0)+SUM(O818)+IF(COUNTIF(O$1237:O1421,1)=1,5,0)+IF(COUNTIF(P819:$W819,"&gt;"&amp;0)&lt;5,IF(AND(COUNTIF(O$1237:O1421,1)&gt;7,MOD(1+IFERROR(MATCH($C819,总览!$D$46:$D$345,1)+1,1),7)=0),$C$3,0),0)</f>
        <v>228.288392857142</v>
      </c>
      <c r="P819" s="131" cm="1">
        <f ca="1" t="array" ref="P819">IF(P1421=1,OFFSET($W$634,$B819,P$631-1)/SUMPRODUCT(--($D$631:$V$631=P$631),--($D1421:$V1421=1)),0)+SUM(P818)+IF(COUNTIF(P$1237:P1421,1)=1,5,0)+IF(COUNTIF(Q819:$W819,"&gt;"&amp;0)&lt;5,IF(AND(COUNTIF(P$1237:P1421,1)&gt;7,MOD(1+IFERROR(MATCH($C819,总览!$D$46:$D$345,1)+1,1),7)=0),$C$3,0),0)</f>
        <v>217.407142857142</v>
      </c>
      <c r="Q819" s="131" cm="1">
        <f ca="1" t="array" ref="Q819">IF(Q1421=1,OFFSET($W$634,$B819,Q$631-1)/SUMPRODUCT(--($D$631:$V$631=Q$631),--($D1421:$V1421=1)),0)+SUM(Q818)+IF(COUNTIF(Q$1237:Q1421,1)=1,5,0)+IF(COUNTIF(R819:$W819,"&gt;"&amp;0)&lt;5,IF(AND(COUNTIF(Q$1237:Q1421,1)&gt;7,MOD(1+IFERROR(MATCH($C819,总览!$D$46:$D$345,1)+1,1),7)=0),$C$3,0),0)</f>
        <v>230.788392857142</v>
      </c>
      <c r="R819" s="131" cm="1">
        <f ca="1" t="array" ref="R819">IF(R1421=1,OFFSET($W$634,$B819,R$631-1)/SUMPRODUCT(--($D$631:$V$631=R$631),--($D1421:$V1421=1)),0)+SUM(R818)+IF(COUNTIF(R$1237:R1421,1)=1,5,0)+IF(COUNTIF(S819:$W819,"&gt;"&amp;0)&lt;5,IF(AND(COUNTIF(R$1237:R1421,1)&gt;7,MOD(1+IFERROR(MATCH($C819,总览!$D$46:$D$345,1)+1,1),7)=0),$C$3,0),0)</f>
        <v>222.407142857142</v>
      </c>
      <c r="S819" s="131" cm="1">
        <f ca="1" t="array" ref="S819">IF(S1421=1,OFFSET($W$634,$B819,S$631-1)/SUMPRODUCT(--($D$631:$V$631=S$631),--($D1421:$V1421=1)),0)+SUM(S818)+IF(COUNTIF(S$1237:S1421,1)=1,5,0)+IF(COUNTIF(T819:$W819,"&gt;"&amp;0)&lt;5,IF(AND(COUNTIF(S$1237:S1421,1)&gt;7,MOD(1+IFERROR(MATCH($C819,总览!$D$46:$D$345,1)+1,1),7)=0),$C$3,0),0)</f>
        <v>314.907142857142</v>
      </c>
      <c r="T819" s="131" cm="1">
        <f ca="1" t="array" ref="T819">IF(T1421=1,OFFSET($W$634,$B819,T$631-1)/SUMPRODUCT(--($D$631:$V$631=T$631),--($D1421:$V1421=1)),0)+SUM(T818)+IF(COUNTIF(T$1237:T1421,1)=1,5,0)+IF(COUNTIF(U819:$W819,"&gt;"&amp;0)&lt;5,IF(AND(COUNTIF(T$1237:T1421,1)&gt;7,MOD(1+IFERROR(MATCH($C819,总览!$D$46:$D$345,1)+1,1),7)=0),$C$3,0),0)</f>
        <v>229.401722007391</v>
      </c>
      <c r="U819" s="131" cm="1">
        <f ca="1" t="array" ref="U819">IF(U1421=1,OFFSET($W$634,$B819,U$631-1)/SUMPRODUCT(--($D$631:$V$631=U$631),--($D1421:$V1421=1)),0)+SUM(U818)+IF(COUNTIF(U$1237:U1421,1)=1,5,0)+IF(COUNTIF(V819:$W819,"&gt;"&amp;0)&lt;5,IF(AND(COUNTIF(U$1237:U1421,1)&gt;7,MOD(1+IFERROR(MATCH($C819,总览!$D$46:$D$345,1)+1,1),7)=0),$C$3,0),0)</f>
        <v>234.922508362691</v>
      </c>
      <c r="V819" s="131" cm="1">
        <f ca="1" t="array" ref="V819">IF(V1421=1,OFFSET($W$634,$B819,V$631-1)/SUMPRODUCT(--($D$631:$V$631=V$631),--($D1421:$V1421=1)),0)+SUM(V818)+IF(COUNTIF(V$1237:V1421,1)=1,5,0)+IF(COUNTIF(W819:$W819,"&gt;"&amp;0)&lt;5,IF(AND(COUNTIF(V$1237:V1421,1)&gt;7,MOD(1+IFERROR(MATCH($C819,总览!$D$46:$D$345,1)+1,1),7)=0),$C$3,0),0)</f>
        <v>254.749508075124</v>
      </c>
      <c r="W819" s="135" cm="1">
        <f ca="1" t="array" ref="W819">SUMPRODUCT(TRANSPOSE($AA819:$AG819),OFFSET($L$9:$L$15,0,W$631-1))</f>
        <v>16.8502200646615</v>
      </c>
      <c r="X819" s="135" cm="1">
        <f ca="1" t="array" ref="X819">SUMPRODUCT(TRANSPOSE($AA819:$AG819),OFFSET($L$9:$L$15,0,X$631-1))</f>
        <v>20</v>
      </c>
      <c r="Y819" s="135" cm="1">
        <f ca="1" t="array" ref="Y819">SUMPRODUCT(TRANSPOSE($AA819:$AG819),OFFSET($L$9:$L$15,0,Y$631-1))</f>
        <v>10</v>
      </c>
      <c r="Z819" s="135" cm="1">
        <f ca="1" t="array" ref="Z819">SUMPRODUCT(TRANSPOSE($AA819:$AG819),OFFSET($L$9:$L$15,0,Z$631-1))</f>
        <v>3.14977993533847</v>
      </c>
      <c r="AA819" s="136">
        <f ca="1" t="shared" ref="AA819:AG819" si="613">AH819-AH818</f>
        <v>0</v>
      </c>
      <c r="AB819" s="136">
        <f ca="1" t="shared" si="613"/>
        <v>0</v>
      </c>
      <c r="AC819" s="136">
        <f ca="1" t="shared" si="613"/>
        <v>0</v>
      </c>
      <c r="AD819" s="136">
        <f ca="1" t="shared" si="613"/>
        <v>0</v>
      </c>
      <c r="AE819" s="136">
        <f ca="1" t="shared" si="613"/>
        <v>0</v>
      </c>
      <c r="AF819" s="136">
        <f ca="1" t="shared" si="613"/>
        <v>0</v>
      </c>
      <c r="AG819" s="136">
        <f ca="1" t="shared" si="613"/>
        <v>100</v>
      </c>
      <c r="AH819" s="136">
        <f ca="1" t="shared" si="501"/>
        <v>450</v>
      </c>
      <c r="AI819" s="136">
        <f ca="1" t="shared" ref="AI819:AN819" si="614">IF($C819&gt;OFFSET($Q$8,MATCH(AI$634,$AH$634:$AN$634,0),0),OFFSET($P$8,MATCH(AI$634,$AH$634:$AN$634,0),0),MAX(0,$C819-OFFSET($Q$8,RIGHT(AI$634,1)-1,0)))</f>
        <v>909</v>
      </c>
      <c r="AJ819" s="136">
        <f ca="1" t="shared" si="614"/>
        <v>1818</v>
      </c>
      <c r="AK819" s="136">
        <f ca="1" t="shared" si="614"/>
        <v>2727</v>
      </c>
      <c r="AL819" s="136">
        <f ca="1" t="shared" si="614"/>
        <v>3636</v>
      </c>
      <c r="AM819" s="136">
        <f ca="1" t="shared" si="614"/>
        <v>4545</v>
      </c>
      <c r="AN819" s="136">
        <f ca="1" t="shared" si="614"/>
        <v>4415</v>
      </c>
    </row>
    <row r="820" s="106" customFormat="1" ht="16.5" spans="2:40">
      <c r="B820" s="117">
        <v>186</v>
      </c>
      <c r="C820" s="130">
        <f t="shared" si="499"/>
        <v>18600</v>
      </c>
      <c r="D820" s="131" cm="1">
        <f ca="1" t="array" ref="D820">IF(D1422=1,OFFSET($W$634,$B820,D$631-1)/SUMPRODUCT(--($D$631:$V$631=D$631),--($D1422:$V1422=1)),0)+SUM(D819)+IF(COUNTIF(D$1237:D1422,1)=1,5,0)+IF(COUNTIF(E820:$W820,"&gt;"&amp;0)&lt;5,IF(AND(COUNTIF(D$1237:D1422,1)&gt;7,MOD(1+IFERROR(MATCH($C820,总览!$D$46:$D$345,1)+1,1),7)=0),$C$3,0),0)</f>
        <v>1372.41716053982</v>
      </c>
      <c r="E820" s="131" cm="1">
        <f ca="1" t="array" ref="E820">IF(E1422=1,OFFSET($W$634,$B820,E$631-1)/SUMPRODUCT(--($D$631:$V$631=E$631),--($D1422:$V1422=1)),0)+SUM(E819)+IF(COUNTIF(E$1237:E1422,1)=1,5,0)+IF(COUNTIF(F820:$W820,"&gt;"&amp;0)&lt;5,IF(AND(COUNTIF(E$1237:E1422,1)&gt;7,MOD(1+IFERROR(MATCH($C820,总览!$D$46:$D$345,1)+1,1),7)=0),$C$3,0),0)</f>
        <v>1372.41716053982</v>
      </c>
      <c r="F820" s="131" cm="1">
        <f ca="1" t="array" ref="F820">IF(F1422=1,OFFSET($W$634,$B820,F$631-1)/SUMPRODUCT(--($D$631:$V$631=F$631),--($D1422:$V1422=1)),0)+SUM(F819)+IF(COUNTIF(F$1237:F1422,1)=1,5,0)+IF(COUNTIF(G820:$W820,"&gt;"&amp;0)&lt;5,IF(AND(COUNTIF(F$1237:F1422,1)&gt;7,MOD(1+IFERROR(MATCH($C820,总览!$D$46:$D$345,1)+1,1),7)=0),$C$3,0),0)</f>
        <v>1372.41716053982</v>
      </c>
      <c r="G820" s="131" cm="1">
        <f ca="1" t="array" ref="G820">IF(G1422=1,OFFSET($W$634,$B820,G$631-1)/SUMPRODUCT(--($D$631:$V$631=G$631),--($D1422:$V1422=1)),0)+SUM(G819)+IF(COUNTIF(G$1237:G1422,1)=1,5,0)+IF(COUNTIF(H820:$W820,"&gt;"&amp;0)&lt;5,IF(AND(COUNTIF(G$1237:G1422,1)&gt;7,MOD(1+IFERROR(MATCH($C820,总览!$D$46:$D$345,1)+1,1),7)=0),$C$3,0),0)</f>
        <v>559.399999999999</v>
      </c>
      <c r="H820" s="131" cm="1">
        <f ca="1" t="array" ref="H820">IF(H1422=1,OFFSET($W$634,$B820,H$631-1)/SUMPRODUCT(--($D$631:$V$631=H$631),--($D1422:$V1422=1)),0)+SUM(H819)+IF(COUNTIF(H$1237:H1422,1)=1,5,0)+IF(COUNTIF(I820:$W820,"&gt;"&amp;0)&lt;5,IF(AND(COUNTIF(H$1237:H1422,1)&gt;7,MOD(1+IFERROR(MATCH($C820,总览!$D$46:$D$345,1)+1,1),7)=0),$C$3,0),0)</f>
        <v>559.399999999999</v>
      </c>
      <c r="I820" s="131" cm="1">
        <f ca="1" t="array" ref="I820">IF(I1422=1,OFFSET($W$634,$B820,I$631-1)/SUMPRODUCT(--($D$631:$V$631=I$631),--($D1422:$V1422=1)),0)+SUM(I819)+IF(COUNTIF(I$1237:I1422,1)=1,5,0)+IF(COUNTIF(J820:$W820,"&gt;"&amp;0)&lt;5,IF(AND(COUNTIF(I$1237:I1422,1)&gt;7,MOD(1+IFERROR(MATCH($C820,总览!$D$46:$D$345,1)+1,1),7)=0),$C$3,0),0)</f>
        <v>559.399999999999</v>
      </c>
      <c r="J820" s="131" cm="1">
        <f ca="1" t="array" ref="J820">IF(J1422=1,OFFSET($W$634,$B820,J$631-1)/SUMPRODUCT(--($D$631:$V$631=J$631),--($D1422:$V1422=1)),0)+SUM(J819)+IF(COUNTIF(J$1237:J1422,1)=1,5,0)+IF(COUNTIF(K820:$W820,"&gt;"&amp;0)&lt;5,IF(AND(COUNTIF(J$1237:J1422,1)&gt;7,MOD(1+IFERROR(MATCH($C820,总览!$D$46:$D$345,1)+1,1),7)=0),$C$3,0),0)</f>
        <v>556.066666666666</v>
      </c>
      <c r="K820" s="131" cm="1">
        <f ca="1" t="array" ref="K820">IF(K1422=1,OFFSET($W$634,$B820,K$631-1)/SUMPRODUCT(--($D$631:$V$631=K$631),--($D1422:$V1422=1)),0)+SUM(K819)+IF(COUNTIF(K$1237:K1422,1)=1,5,0)+IF(COUNTIF(L820:$W820,"&gt;"&amp;0)&lt;5,IF(AND(COUNTIF(K$1237:K1422,1)&gt;7,MOD(1+IFERROR(MATCH($C820,总览!$D$46:$D$345,1)+1,1),7)=0),$C$3,0),0)</f>
        <v>553.566666666666</v>
      </c>
      <c r="L820" s="131" cm="1">
        <f ca="1" t="array" ref="L820">IF(L1422=1,OFFSET($W$634,$B820,L$631-1)/SUMPRODUCT(--($D$631:$V$631=L$631),--($D1422:$V1422=1)),0)+SUM(L819)+IF(COUNTIF(L$1237:L1422,1)=1,5,0)+IF(COUNTIF(M820:$W820,"&gt;"&amp;0)&lt;5,IF(AND(COUNTIF(L$1237:L1422,1)&gt;7,MOD(1+IFERROR(MATCH($C820,总览!$D$46:$D$345,1)+1,1),7)=0),$C$3,0),0)</f>
        <v>553.566666666666</v>
      </c>
      <c r="M820" s="131" cm="1">
        <f ca="1" t="array" ref="M820">IF(M1422=1,OFFSET($W$634,$B820,M$631-1)/SUMPRODUCT(--($D$631:$V$631=M$631),--($D1422:$V1422=1)),0)+SUM(M819)+IF(COUNTIF(M$1237:M1422,1)=1,5,0)+IF(COUNTIF(N820:$W820,"&gt;"&amp;0)&lt;5,IF(AND(COUNTIF(M$1237:M1422,1)&gt;7,MOD(1+IFERROR(MATCH($C820,总览!$D$46:$D$345,1)+1,1),7)=0),$C$3,0),0)</f>
        <v>223.466964285713</v>
      </c>
      <c r="N820" s="131" cm="1">
        <f ca="1" t="array" ref="N820">IF(N1422=1,OFFSET($W$634,$B820,N$631-1)/SUMPRODUCT(--($D$631:$V$631=N$631),--($D1422:$V1422=1)),0)+SUM(N819)+IF(COUNTIF(N$1237:N1422,1)=1,5,0)+IF(COUNTIF(O820:$W820,"&gt;"&amp;0)&lt;5,IF(AND(COUNTIF(N$1237:N1422,1)&gt;7,MOD(1+IFERROR(MATCH($C820,总览!$D$46:$D$345,1)+1,1),7)=0),$C$3,0),0)</f>
        <v>224.716964285713</v>
      </c>
      <c r="O820" s="131" cm="1">
        <f ca="1" t="array" ref="O820">IF(O1422=1,OFFSET($W$634,$B820,O$631-1)/SUMPRODUCT(--($D$631:$V$631=O$631),--($D1422:$V1422=1)),0)+SUM(O819)+IF(COUNTIF(O$1237:O1422,1)=1,5,0)+IF(COUNTIF(P820:$W820,"&gt;"&amp;0)&lt;5,IF(AND(COUNTIF(O$1237:O1422,1)&gt;7,MOD(1+IFERROR(MATCH($C820,总览!$D$46:$D$345,1)+1,1),7)=0),$C$3,0),0)</f>
        <v>229.716964285713</v>
      </c>
      <c r="P820" s="131" cm="1">
        <f ca="1" t="array" ref="P820">IF(P1422=1,OFFSET($W$634,$B820,P$631-1)/SUMPRODUCT(--($D$631:$V$631=P$631),--($D1422:$V1422=1)),0)+SUM(P819)+IF(COUNTIF(P$1237:P1422,1)=1,5,0)+IF(COUNTIF(Q820:$W820,"&gt;"&amp;0)&lt;5,IF(AND(COUNTIF(P$1237:P1422,1)&gt;7,MOD(1+IFERROR(MATCH($C820,总览!$D$46:$D$345,1)+1,1),7)=0),$C$3,0),0)</f>
        <v>218.835714285713</v>
      </c>
      <c r="Q820" s="131" cm="1">
        <f ca="1" t="array" ref="Q820">IF(Q1422=1,OFFSET($W$634,$B820,Q$631-1)/SUMPRODUCT(--($D$631:$V$631=Q$631),--($D1422:$V1422=1)),0)+SUM(Q819)+IF(COUNTIF(Q$1237:Q1422,1)=1,5,0)+IF(COUNTIF(R820:$W820,"&gt;"&amp;0)&lt;5,IF(AND(COUNTIF(Q$1237:Q1422,1)&gt;7,MOD(1+IFERROR(MATCH($C820,总览!$D$46:$D$345,1)+1,1),7)=0),$C$3,0),0)</f>
        <v>232.216964285713</v>
      </c>
      <c r="R820" s="131" cm="1">
        <f ca="1" t="array" ref="R820">IF(R1422=1,OFFSET($W$634,$B820,R$631-1)/SUMPRODUCT(--($D$631:$V$631=R$631),--($D1422:$V1422=1)),0)+SUM(R819)+IF(COUNTIF(R$1237:R1422,1)=1,5,0)+IF(COUNTIF(S820:$W820,"&gt;"&amp;0)&lt;5,IF(AND(COUNTIF(R$1237:R1422,1)&gt;7,MOD(1+IFERROR(MATCH($C820,总览!$D$46:$D$345,1)+1,1),7)=0),$C$3,0),0)</f>
        <v>223.835714285713</v>
      </c>
      <c r="S820" s="131" cm="1">
        <f ca="1" t="array" ref="S820">IF(S1422=1,OFFSET($W$634,$B820,S$631-1)/SUMPRODUCT(--($D$631:$V$631=S$631),--($D1422:$V1422=1)),0)+SUM(S819)+IF(COUNTIF(S$1237:S1422,1)=1,5,0)+IF(COUNTIF(T820:$W820,"&gt;"&amp;0)&lt;5,IF(AND(COUNTIF(S$1237:S1422,1)&gt;7,MOD(1+IFERROR(MATCH($C820,总览!$D$46:$D$345,1)+1,1),7)=0),$C$3,0),0)</f>
        <v>316.335714285714</v>
      </c>
      <c r="T820" s="131" cm="1">
        <f ca="1" t="array" ref="T820">IF(T1422=1,OFFSET($W$634,$B820,T$631-1)/SUMPRODUCT(--($D$631:$V$631=T$631),--($D1422:$V1422=1)),0)+SUM(T819)+IF(COUNTIF(T$1237:T1422,1)=1,5,0)+IF(COUNTIF(U820:$W820,"&gt;"&amp;0)&lt;5,IF(AND(COUNTIF(T$1237:T1422,1)&gt;7,MOD(1+IFERROR(MATCH($C820,总览!$D$46:$D$345,1)+1,1),7)=0),$C$3,0),0)</f>
        <v>230.451648652504</v>
      </c>
      <c r="U820" s="131" cm="1">
        <f ca="1" t="array" ref="U820">IF(U1422=1,OFFSET($W$634,$B820,U$631-1)/SUMPRODUCT(--($D$631:$V$631=U$631),--($D1422:$V1422=1)),0)+SUM(U819)+IF(COUNTIF(U$1237:U1422,1)=1,5,0)+IF(COUNTIF(V820:$W820,"&gt;"&amp;0)&lt;5,IF(AND(COUNTIF(U$1237:U1422,1)&gt;7,MOD(1+IFERROR(MATCH($C820,总览!$D$46:$D$345,1)+1,1),7)=0),$C$3,0),0)</f>
        <v>235.972435007804</v>
      </c>
      <c r="V820" s="131" cm="1">
        <f ca="1" t="array" ref="V820">IF(V1422=1,OFFSET($W$634,$B820,V$631-1)/SUMPRODUCT(--($D$631:$V$631=V$631),--($D1422:$V1422=1)),0)+SUM(V819)+IF(COUNTIF(V$1237:V1422,1)=1,5,0)+IF(COUNTIF(W820:$W820,"&gt;"&amp;0)&lt;5,IF(AND(COUNTIF(V$1237:V1422,1)&gt;7,MOD(1+IFERROR(MATCH($C820,总览!$D$46:$D$345,1)+1,1),7)=0),$C$3,0),0)</f>
        <v>255.799434720237</v>
      </c>
      <c r="W820" s="135" cm="1">
        <f ca="1" t="array" ref="W820">SUMPRODUCT(TRANSPOSE($AA820:$AG820),OFFSET($L$9:$L$15,0,W$631-1))</f>
        <v>16.8502200646615</v>
      </c>
      <c r="X820" s="135" cm="1">
        <f ca="1" t="array" ref="X820">SUMPRODUCT(TRANSPOSE($AA820:$AG820),OFFSET($L$9:$L$15,0,X$631-1))</f>
        <v>20</v>
      </c>
      <c r="Y820" s="135" cm="1">
        <f ca="1" t="array" ref="Y820">SUMPRODUCT(TRANSPOSE($AA820:$AG820),OFFSET($L$9:$L$15,0,Y$631-1))</f>
        <v>10</v>
      </c>
      <c r="Z820" s="135" cm="1">
        <f ca="1" t="array" ref="Z820">SUMPRODUCT(TRANSPOSE($AA820:$AG820),OFFSET($L$9:$L$15,0,Z$631-1))</f>
        <v>3.14977993533847</v>
      </c>
      <c r="AA820" s="136">
        <f ca="1" t="shared" ref="AA820:AG820" si="615">AH820-AH819</f>
        <v>0</v>
      </c>
      <c r="AB820" s="136">
        <f ca="1" t="shared" si="615"/>
        <v>0</v>
      </c>
      <c r="AC820" s="136">
        <f ca="1" t="shared" si="615"/>
        <v>0</v>
      </c>
      <c r="AD820" s="136">
        <f ca="1" t="shared" si="615"/>
        <v>0</v>
      </c>
      <c r="AE820" s="136">
        <f ca="1" t="shared" si="615"/>
        <v>0</v>
      </c>
      <c r="AF820" s="136">
        <f ca="1" t="shared" si="615"/>
        <v>0</v>
      </c>
      <c r="AG820" s="136">
        <f ca="1" t="shared" si="615"/>
        <v>100</v>
      </c>
      <c r="AH820" s="136">
        <f ca="1" t="shared" si="501"/>
        <v>450</v>
      </c>
      <c r="AI820" s="136">
        <f ca="1" t="shared" ref="AI820:AN820" si="616">IF($C820&gt;OFFSET($Q$8,MATCH(AI$634,$AH$634:$AN$634,0),0),OFFSET($P$8,MATCH(AI$634,$AH$634:$AN$634,0),0),MAX(0,$C820-OFFSET($Q$8,RIGHT(AI$634,1)-1,0)))</f>
        <v>909</v>
      </c>
      <c r="AJ820" s="136">
        <f ca="1" t="shared" si="616"/>
        <v>1818</v>
      </c>
      <c r="AK820" s="136">
        <f ca="1" t="shared" si="616"/>
        <v>2727</v>
      </c>
      <c r="AL820" s="136">
        <f ca="1" t="shared" si="616"/>
        <v>3636</v>
      </c>
      <c r="AM820" s="136">
        <f ca="1" t="shared" si="616"/>
        <v>4545</v>
      </c>
      <c r="AN820" s="136">
        <f ca="1" t="shared" si="616"/>
        <v>4515</v>
      </c>
    </row>
    <row r="821" s="106" customFormat="1" ht="16.5" spans="2:40">
      <c r="B821" s="117">
        <v>187</v>
      </c>
      <c r="C821" s="130">
        <f t="shared" si="499"/>
        <v>18700</v>
      </c>
      <c r="D821" s="131" cm="1">
        <f ca="1" t="array" ref="D821">IF(D1423=1,OFFSET($W$634,$B821,D$631-1)/SUMPRODUCT(--($D$631:$V$631=D$631),--($D1423:$V1423=1)),0)+SUM(D820)+IF(COUNTIF(D$1237:D1423,1)=1,5,0)+IF(COUNTIF(E821:$W821,"&gt;"&amp;0)&lt;5,IF(AND(COUNTIF(D$1237:D1423,1)&gt;7,MOD(1+IFERROR(MATCH($C821,总览!$D$46:$D$345,1)+1,1),7)=0),$C$3,0),0)</f>
        <v>1378.03390056137</v>
      </c>
      <c r="E821" s="131" cm="1">
        <f ca="1" t="array" ref="E821">IF(E1423=1,OFFSET($W$634,$B821,E$631-1)/SUMPRODUCT(--($D$631:$V$631=E$631),--($D1423:$V1423=1)),0)+SUM(E820)+IF(COUNTIF(E$1237:E1423,1)=1,5,0)+IF(COUNTIF(F821:$W821,"&gt;"&amp;0)&lt;5,IF(AND(COUNTIF(E$1237:E1423,1)&gt;7,MOD(1+IFERROR(MATCH($C821,总览!$D$46:$D$345,1)+1,1),7)=0),$C$3,0),0)</f>
        <v>1378.03390056137</v>
      </c>
      <c r="F821" s="131" cm="1">
        <f ca="1" t="array" ref="F821">IF(F1423=1,OFFSET($W$634,$B821,F$631-1)/SUMPRODUCT(--($D$631:$V$631=F$631),--($D1423:$V1423=1)),0)+SUM(F820)+IF(COUNTIF(F$1237:F1423,1)=1,5,0)+IF(COUNTIF(G821:$W821,"&gt;"&amp;0)&lt;5,IF(AND(COUNTIF(F$1237:F1423,1)&gt;7,MOD(1+IFERROR(MATCH($C821,总览!$D$46:$D$345,1)+1,1),7)=0),$C$3,0),0)</f>
        <v>1378.03390056137</v>
      </c>
      <c r="G821" s="131" cm="1">
        <f ca="1" t="array" ref="G821">IF(G1423=1,OFFSET($W$634,$B821,G$631-1)/SUMPRODUCT(--($D$631:$V$631=G$631),--($D1423:$V1423=1)),0)+SUM(G820)+IF(COUNTIF(G$1237:G1423,1)=1,5,0)+IF(COUNTIF(H821:$W821,"&gt;"&amp;0)&lt;5,IF(AND(COUNTIF(G$1237:G1423,1)&gt;7,MOD(1+IFERROR(MATCH($C821,总览!$D$46:$D$345,1)+1,1),7)=0),$C$3,0),0)</f>
        <v>562.733333333333</v>
      </c>
      <c r="H821" s="131" cm="1">
        <f ca="1" t="array" ref="H821">IF(H1423=1,OFFSET($W$634,$B821,H$631-1)/SUMPRODUCT(--($D$631:$V$631=H$631),--($D1423:$V1423=1)),0)+SUM(H820)+IF(COUNTIF(H$1237:H1423,1)=1,5,0)+IF(COUNTIF(I821:$W821,"&gt;"&amp;0)&lt;5,IF(AND(COUNTIF(H$1237:H1423,1)&gt;7,MOD(1+IFERROR(MATCH($C821,总览!$D$46:$D$345,1)+1,1),7)=0),$C$3,0),0)</f>
        <v>562.733333333333</v>
      </c>
      <c r="I821" s="131" cm="1">
        <f ca="1" t="array" ref="I821">IF(I1423=1,OFFSET($W$634,$B821,I$631-1)/SUMPRODUCT(--($D$631:$V$631=I$631),--($D1423:$V1423=1)),0)+SUM(I820)+IF(COUNTIF(I$1237:I1423,1)=1,5,0)+IF(COUNTIF(J821:$W821,"&gt;"&amp;0)&lt;5,IF(AND(COUNTIF(I$1237:I1423,1)&gt;7,MOD(1+IFERROR(MATCH($C821,总览!$D$46:$D$345,1)+1,1),7)=0),$C$3,0),0)</f>
        <v>562.733333333333</v>
      </c>
      <c r="J821" s="131" cm="1">
        <f ca="1" t="array" ref="J821">IF(J1423=1,OFFSET($W$634,$B821,J$631-1)/SUMPRODUCT(--($D$631:$V$631=J$631),--($D1423:$V1423=1)),0)+SUM(J820)+IF(COUNTIF(J$1237:J1423,1)=1,5,0)+IF(COUNTIF(K821:$W821,"&gt;"&amp;0)&lt;5,IF(AND(COUNTIF(J$1237:J1423,1)&gt;7,MOD(1+IFERROR(MATCH($C821,总览!$D$46:$D$345,1)+1,1),7)=0),$C$3,0),0)</f>
        <v>559.399999999999</v>
      </c>
      <c r="K821" s="131" cm="1">
        <f ca="1" t="array" ref="K821">IF(K1423=1,OFFSET($W$634,$B821,K$631-1)/SUMPRODUCT(--($D$631:$V$631=K$631),--($D1423:$V1423=1)),0)+SUM(K820)+IF(COUNTIF(K$1237:K1423,1)=1,5,0)+IF(COUNTIF(L821:$W821,"&gt;"&amp;0)&lt;5,IF(AND(COUNTIF(K$1237:K1423,1)&gt;7,MOD(1+IFERROR(MATCH($C821,总览!$D$46:$D$345,1)+1,1),7)=0),$C$3,0),0)</f>
        <v>556.899999999999</v>
      </c>
      <c r="L821" s="131" cm="1">
        <f ca="1" t="array" ref="L821">IF(L1423=1,OFFSET($W$634,$B821,L$631-1)/SUMPRODUCT(--($D$631:$V$631=L$631),--($D1423:$V1423=1)),0)+SUM(L820)+IF(COUNTIF(L$1237:L1423,1)=1,5,0)+IF(COUNTIF(M821:$W821,"&gt;"&amp;0)&lt;5,IF(AND(COUNTIF(L$1237:L1423,1)&gt;7,MOD(1+IFERROR(MATCH($C821,总览!$D$46:$D$345,1)+1,1),7)=0),$C$3,0),0)</f>
        <v>556.899999999999</v>
      </c>
      <c r="M821" s="131" cm="1">
        <f ca="1" t="array" ref="M821">IF(M1423=1,OFFSET($W$634,$B821,M$631-1)/SUMPRODUCT(--($D$631:$V$631=M$631),--($D1423:$V1423=1)),0)+SUM(M820)+IF(COUNTIF(M$1237:M1423,1)=1,5,0)+IF(COUNTIF(N821:$W821,"&gt;"&amp;0)&lt;5,IF(AND(COUNTIF(M$1237:M1423,1)&gt;7,MOD(1+IFERROR(MATCH($C821,总览!$D$46:$D$345,1)+1,1),7)=0),$C$3,0),0)</f>
        <v>224.895535714285</v>
      </c>
      <c r="N821" s="131" cm="1">
        <f ca="1" t="array" ref="N821">IF(N1423=1,OFFSET($W$634,$B821,N$631-1)/SUMPRODUCT(--($D$631:$V$631=N$631),--($D1423:$V1423=1)),0)+SUM(N820)+IF(COUNTIF(N$1237:N1423,1)=1,5,0)+IF(COUNTIF(O821:$W821,"&gt;"&amp;0)&lt;5,IF(AND(COUNTIF(N$1237:N1423,1)&gt;7,MOD(1+IFERROR(MATCH($C821,总览!$D$46:$D$345,1)+1,1),7)=0),$C$3,0),0)</f>
        <v>226.145535714285</v>
      </c>
      <c r="O821" s="131" cm="1">
        <f ca="1" t="array" ref="O821">IF(O1423=1,OFFSET($W$634,$B821,O$631-1)/SUMPRODUCT(--($D$631:$V$631=O$631),--($D1423:$V1423=1)),0)+SUM(O820)+IF(COUNTIF(O$1237:O1423,1)=1,5,0)+IF(COUNTIF(P821:$W821,"&gt;"&amp;0)&lt;5,IF(AND(COUNTIF(O$1237:O1423,1)&gt;7,MOD(1+IFERROR(MATCH($C821,总览!$D$46:$D$345,1)+1,1),7)=0),$C$3,0),0)</f>
        <v>231.145535714285</v>
      </c>
      <c r="P821" s="131" cm="1">
        <f ca="1" t="array" ref="P821">IF(P1423=1,OFFSET($W$634,$B821,P$631-1)/SUMPRODUCT(--($D$631:$V$631=P$631),--($D1423:$V1423=1)),0)+SUM(P820)+IF(COUNTIF(P$1237:P1423,1)=1,5,0)+IF(COUNTIF(Q821:$W821,"&gt;"&amp;0)&lt;5,IF(AND(COUNTIF(P$1237:P1423,1)&gt;7,MOD(1+IFERROR(MATCH($C821,总览!$D$46:$D$345,1)+1,1),7)=0),$C$3,0),0)</f>
        <v>220.264285714285</v>
      </c>
      <c r="Q821" s="131" cm="1">
        <f ca="1" t="array" ref="Q821">IF(Q1423=1,OFFSET($W$634,$B821,Q$631-1)/SUMPRODUCT(--($D$631:$V$631=Q$631),--($D1423:$V1423=1)),0)+SUM(Q820)+IF(COUNTIF(Q$1237:Q1423,1)=1,5,0)+IF(COUNTIF(R821:$W821,"&gt;"&amp;0)&lt;5,IF(AND(COUNTIF(Q$1237:Q1423,1)&gt;7,MOD(1+IFERROR(MATCH($C821,总览!$D$46:$D$345,1)+1,1),7)=0),$C$3,0),0)</f>
        <v>233.645535714285</v>
      </c>
      <c r="R821" s="131" cm="1">
        <f ca="1" t="array" ref="R821">IF(R1423=1,OFFSET($W$634,$B821,R$631-1)/SUMPRODUCT(--($D$631:$V$631=R$631),--($D1423:$V1423=1)),0)+SUM(R820)+IF(COUNTIF(R$1237:R1423,1)=1,5,0)+IF(COUNTIF(S821:$W821,"&gt;"&amp;0)&lt;5,IF(AND(COUNTIF(R$1237:R1423,1)&gt;7,MOD(1+IFERROR(MATCH($C821,总览!$D$46:$D$345,1)+1,1),7)=0),$C$3,0),0)</f>
        <v>225.264285714285</v>
      </c>
      <c r="S821" s="131" cm="1">
        <f ca="1" t="array" ref="S821">IF(S1423=1,OFFSET($W$634,$B821,S$631-1)/SUMPRODUCT(--($D$631:$V$631=S$631),--($D1423:$V1423=1)),0)+SUM(S820)+IF(COUNTIF(S$1237:S1423,1)=1,5,0)+IF(COUNTIF(T821:$W821,"&gt;"&amp;0)&lt;5,IF(AND(COUNTIF(S$1237:S1423,1)&gt;7,MOD(1+IFERROR(MATCH($C821,总览!$D$46:$D$345,1)+1,1),7)=0),$C$3,0),0)</f>
        <v>317.764285714285</v>
      </c>
      <c r="T821" s="131" cm="1">
        <f ca="1" t="array" ref="T821">IF(T1423=1,OFFSET($W$634,$B821,T$631-1)/SUMPRODUCT(--($D$631:$V$631=T$631),--($D1423:$V1423=1)),0)+SUM(T820)+IF(COUNTIF(T$1237:T1423,1)=1,5,0)+IF(COUNTIF(U821:$W821,"&gt;"&amp;0)&lt;5,IF(AND(COUNTIF(T$1237:T1423,1)&gt;7,MOD(1+IFERROR(MATCH($C821,总览!$D$46:$D$345,1)+1,1),7)=0),$C$3,0),0)</f>
        <v>231.501575297617</v>
      </c>
      <c r="U821" s="131" cm="1">
        <f ca="1" t="array" ref="U821">IF(U1423=1,OFFSET($W$634,$B821,U$631-1)/SUMPRODUCT(--($D$631:$V$631=U$631),--($D1423:$V1423=1)),0)+SUM(U820)+IF(COUNTIF(U$1237:U1423,1)=1,5,0)+IF(COUNTIF(V821:$W821,"&gt;"&amp;0)&lt;5,IF(AND(COUNTIF(U$1237:U1423,1)&gt;7,MOD(1+IFERROR(MATCH($C821,总览!$D$46:$D$345,1)+1,1),7)=0),$C$3,0),0)</f>
        <v>237.022361652916</v>
      </c>
      <c r="V821" s="131" cm="1">
        <f ca="1" t="array" ref="V821">IF(V1423=1,OFFSET($W$634,$B821,V$631-1)/SUMPRODUCT(--($D$631:$V$631=V$631),--($D1423:$V1423=1)),0)+SUM(V820)+IF(COUNTIF(V$1237:V1423,1)=1,5,0)+IF(COUNTIF(W821:$W821,"&gt;"&amp;0)&lt;5,IF(AND(COUNTIF(V$1237:V1423,1)&gt;7,MOD(1+IFERROR(MATCH($C821,总览!$D$46:$D$345,1)+1,1),7)=0),$C$3,0),0)</f>
        <v>256.84936136535</v>
      </c>
      <c r="W821" s="135" cm="1">
        <f ca="1" t="array" ref="W821">SUMPRODUCT(TRANSPOSE($AA821:$AG821),OFFSET($L$9:$L$15,0,W$631-1))</f>
        <v>16.8502200646615</v>
      </c>
      <c r="X821" s="135" cm="1">
        <f ca="1" t="array" ref="X821">SUMPRODUCT(TRANSPOSE($AA821:$AG821),OFFSET($L$9:$L$15,0,X$631-1))</f>
        <v>20</v>
      </c>
      <c r="Y821" s="135" cm="1">
        <f ca="1" t="array" ref="Y821">SUMPRODUCT(TRANSPOSE($AA821:$AG821),OFFSET($L$9:$L$15,0,Y$631-1))</f>
        <v>10</v>
      </c>
      <c r="Z821" s="135" cm="1">
        <f ca="1" t="array" ref="Z821">SUMPRODUCT(TRANSPOSE($AA821:$AG821),OFFSET($L$9:$L$15,0,Z$631-1))</f>
        <v>3.14977993533847</v>
      </c>
      <c r="AA821" s="136">
        <f ca="1" t="shared" ref="AA821:AG821" si="617">AH821-AH820</f>
        <v>0</v>
      </c>
      <c r="AB821" s="136">
        <f ca="1" t="shared" si="617"/>
        <v>0</v>
      </c>
      <c r="AC821" s="136">
        <f ca="1" t="shared" si="617"/>
        <v>0</v>
      </c>
      <c r="AD821" s="136">
        <f ca="1" t="shared" si="617"/>
        <v>0</v>
      </c>
      <c r="AE821" s="136">
        <f ca="1" t="shared" si="617"/>
        <v>0</v>
      </c>
      <c r="AF821" s="136">
        <f ca="1" t="shared" si="617"/>
        <v>0</v>
      </c>
      <c r="AG821" s="136">
        <f ca="1" t="shared" si="617"/>
        <v>100</v>
      </c>
      <c r="AH821" s="136">
        <f ca="1" t="shared" si="501"/>
        <v>450</v>
      </c>
      <c r="AI821" s="136">
        <f ca="1" t="shared" ref="AI821:AN821" si="618">IF($C821&gt;OFFSET($Q$8,MATCH(AI$634,$AH$634:$AN$634,0),0),OFFSET($P$8,MATCH(AI$634,$AH$634:$AN$634,0),0),MAX(0,$C821-OFFSET($Q$8,RIGHT(AI$634,1)-1,0)))</f>
        <v>909</v>
      </c>
      <c r="AJ821" s="136">
        <f ca="1" t="shared" si="618"/>
        <v>1818</v>
      </c>
      <c r="AK821" s="136">
        <f ca="1" t="shared" si="618"/>
        <v>2727</v>
      </c>
      <c r="AL821" s="136">
        <f ca="1" t="shared" si="618"/>
        <v>3636</v>
      </c>
      <c r="AM821" s="136">
        <f ca="1" t="shared" si="618"/>
        <v>4545</v>
      </c>
      <c r="AN821" s="136">
        <f ca="1" t="shared" si="618"/>
        <v>4615</v>
      </c>
    </row>
    <row r="822" s="106" customFormat="1" ht="16.5" spans="2:40">
      <c r="B822" s="117">
        <v>188</v>
      </c>
      <c r="C822" s="130">
        <f t="shared" si="499"/>
        <v>18800</v>
      </c>
      <c r="D822" s="131" cm="1">
        <f ca="1" t="array" ref="D822">IF(D1424=1,OFFSET($W$634,$B822,D$631-1)/SUMPRODUCT(--($D$631:$V$631=D$631),--($D1424:$V1424=1)),0)+SUM(D821)+IF(COUNTIF(D$1237:D1424,1)=1,5,0)+IF(COUNTIF(E822:$W822,"&gt;"&amp;0)&lt;5,IF(AND(COUNTIF(D$1237:D1424,1)&gt;7,MOD(1+IFERROR(MATCH($C822,总览!$D$46:$D$345,1)+1,1),7)=0),$C$3,0),0)</f>
        <v>1383.65064058293</v>
      </c>
      <c r="E822" s="131" cm="1">
        <f ca="1" t="array" ref="E822">IF(E1424=1,OFFSET($W$634,$B822,E$631-1)/SUMPRODUCT(--($D$631:$V$631=E$631),--($D1424:$V1424=1)),0)+SUM(E821)+IF(COUNTIF(E$1237:E1424,1)=1,5,0)+IF(COUNTIF(F822:$W822,"&gt;"&amp;0)&lt;5,IF(AND(COUNTIF(E$1237:E1424,1)&gt;7,MOD(1+IFERROR(MATCH($C822,总览!$D$46:$D$345,1)+1,1),7)=0),$C$3,0),0)</f>
        <v>1383.65064058293</v>
      </c>
      <c r="F822" s="131" cm="1">
        <f ca="1" t="array" ref="F822">IF(F1424=1,OFFSET($W$634,$B822,F$631-1)/SUMPRODUCT(--($D$631:$V$631=F$631),--($D1424:$V1424=1)),0)+SUM(F821)+IF(COUNTIF(F$1237:F1424,1)=1,5,0)+IF(COUNTIF(G822:$W822,"&gt;"&amp;0)&lt;5,IF(AND(COUNTIF(F$1237:F1424,1)&gt;7,MOD(1+IFERROR(MATCH($C822,总览!$D$46:$D$345,1)+1,1),7)=0),$C$3,0),0)</f>
        <v>1383.65064058293</v>
      </c>
      <c r="G822" s="131" cm="1">
        <f ca="1" t="array" ref="G822">IF(G1424=1,OFFSET($W$634,$B822,G$631-1)/SUMPRODUCT(--($D$631:$V$631=G$631),--($D1424:$V1424=1)),0)+SUM(G821)+IF(COUNTIF(G$1237:G1424,1)=1,5,0)+IF(COUNTIF(H822:$W822,"&gt;"&amp;0)&lt;5,IF(AND(COUNTIF(G$1237:G1424,1)&gt;7,MOD(1+IFERROR(MATCH($C822,总览!$D$46:$D$345,1)+1,1),7)=0),$C$3,0),0)</f>
        <v>566.066666666666</v>
      </c>
      <c r="H822" s="131" cm="1">
        <f ca="1" t="array" ref="H822">IF(H1424=1,OFFSET($W$634,$B822,H$631-1)/SUMPRODUCT(--($D$631:$V$631=H$631),--($D1424:$V1424=1)),0)+SUM(H821)+IF(COUNTIF(H$1237:H1424,1)=1,5,0)+IF(COUNTIF(I822:$W822,"&gt;"&amp;0)&lt;5,IF(AND(COUNTIF(H$1237:H1424,1)&gt;7,MOD(1+IFERROR(MATCH($C822,总览!$D$46:$D$345,1)+1,1),7)=0),$C$3,0),0)</f>
        <v>566.066666666666</v>
      </c>
      <c r="I822" s="131" cm="1">
        <f ca="1" t="array" ref="I822">IF(I1424=1,OFFSET($W$634,$B822,I$631-1)/SUMPRODUCT(--($D$631:$V$631=I$631),--($D1424:$V1424=1)),0)+SUM(I821)+IF(COUNTIF(I$1237:I1424,1)=1,5,0)+IF(COUNTIF(J822:$W822,"&gt;"&amp;0)&lt;5,IF(AND(COUNTIF(I$1237:I1424,1)&gt;7,MOD(1+IFERROR(MATCH($C822,总览!$D$46:$D$345,1)+1,1),7)=0),$C$3,0),0)</f>
        <v>566.066666666666</v>
      </c>
      <c r="J822" s="131" cm="1">
        <f ca="1" t="array" ref="J822">IF(J1424=1,OFFSET($W$634,$B822,J$631-1)/SUMPRODUCT(--($D$631:$V$631=J$631),--($D1424:$V1424=1)),0)+SUM(J821)+IF(COUNTIF(J$1237:J1424,1)=1,5,0)+IF(COUNTIF(K822:$W822,"&gt;"&amp;0)&lt;5,IF(AND(COUNTIF(J$1237:J1424,1)&gt;7,MOD(1+IFERROR(MATCH($C822,总览!$D$46:$D$345,1)+1,1),7)=0),$C$3,0),0)</f>
        <v>562.733333333333</v>
      </c>
      <c r="K822" s="131" cm="1">
        <f ca="1" t="array" ref="K822">IF(K1424=1,OFFSET($W$634,$B822,K$631-1)/SUMPRODUCT(--($D$631:$V$631=K$631),--($D1424:$V1424=1)),0)+SUM(K821)+IF(COUNTIF(K$1237:K1424,1)=1,5,0)+IF(COUNTIF(L822:$W822,"&gt;"&amp;0)&lt;5,IF(AND(COUNTIF(K$1237:K1424,1)&gt;7,MOD(1+IFERROR(MATCH($C822,总览!$D$46:$D$345,1)+1,1),7)=0),$C$3,0),0)</f>
        <v>560.233333333333</v>
      </c>
      <c r="L822" s="131" cm="1">
        <f ca="1" t="array" ref="L822">IF(L1424=1,OFFSET($W$634,$B822,L$631-1)/SUMPRODUCT(--($D$631:$V$631=L$631),--($D1424:$V1424=1)),0)+SUM(L821)+IF(COUNTIF(L$1237:L1424,1)=1,5,0)+IF(COUNTIF(M822:$W822,"&gt;"&amp;0)&lt;5,IF(AND(COUNTIF(L$1237:L1424,1)&gt;7,MOD(1+IFERROR(MATCH($C822,总览!$D$46:$D$345,1)+1,1),7)=0),$C$3,0),0)</f>
        <v>560.233333333333</v>
      </c>
      <c r="M822" s="131" cm="1">
        <f ca="1" t="array" ref="M822">IF(M1424=1,OFFSET($W$634,$B822,M$631-1)/SUMPRODUCT(--($D$631:$V$631=M$631),--($D1424:$V1424=1)),0)+SUM(M821)+IF(COUNTIF(M$1237:M1424,1)=1,5,0)+IF(COUNTIF(N822:$W822,"&gt;"&amp;0)&lt;5,IF(AND(COUNTIF(M$1237:M1424,1)&gt;7,MOD(1+IFERROR(MATCH($C822,总览!$D$46:$D$345,1)+1,1),7)=0),$C$3,0),0)</f>
        <v>226.324107142856</v>
      </c>
      <c r="N822" s="131" cm="1">
        <f ca="1" t="array" ref="N822">IF(N1424=1,OFFSET($W$634,$B822,N$631-1)/SUMPRODUCT(--($D$631:$V$631=N$631),--($D1424:$V1424=1)),0)+SUM(N821)+IF(COUNTIF(N$1237:N1424,1)=1,5,0)+IF(COUNTIF(O822:$W822,"&gt;"&amp;0)&lt;5,IF(AND(COUNTIF(N$1237:N1424,1)&gt;7,MOD(1+IFERROR(MATCH($C822,总览!$D$46:$D$345,1)+1,1),7)=0),$C$3,0),0)</f>
        <v>227.574107142856</v>
      </c>
      <c r="O822" s="131" cm="1">
        <f ca="1" t="array" ref="O822">IF(O1424=1,OFFSET($W$634,$B822,O$631-1)/SUMPRODUCT(--($D$631:$V$631=O$631),--($D1424:$V1424=1)),0)+SUM(O821)+IF(COUNTIF(O$1237:O1424,1)=1,5,0)+IF(COUNTIF(P822:$W822,"&gt;"&amp;0)&lt;5,IF(AND(COUNTIF(O$1237:O1424,1)&gt;7,MOD(1+IFERROR(MATCH($C822,总览!$D$46:$D$345,1)+1,1),7)=0),$C$3,0),0)</f>
        <v>232.574107142856</v>
      </c>
      <c r="P822" s="131" cm="1">
        <f ca="1" t="array" ref="P822">IF(P1424=1,OFFSET($W$634,$B822,P$631-1)/SUMPRODUCT(--($D$631:$V$631=P$631),--($D1424:$V1424=1)),0)+SUM(P821)+IF(COUNTIF(P$1237:P1424,1)=1,5,0)+IF(COUNTIF(Q822:$W822,"&gt;"&amp;0)&lt;5,IF(AND(COUNTIF(P$1237:P1424,1)&gt;7,MOD(1+IFERROR(MATCH($C822,总览!$D$46:$D$345,1)+1,1),7)=0),$C$3,0),0)</f>
        <v>221.692857142856</v>
      </c>
      <c r="Q822" s="131" cm="1">
        <f ca="1" t="array" ref="Q822">IF(Q1424=1,OFFSET($W$634,$B822,Q$631-1)/SUMPRODUCT(--($D$631:$V$631=Q$631),--($D1424:$V1424=1)),0)+SUM(Q821)+IF(COUNTIF(Q$1237:Q1424,1)=1,5,0)+IF(COUNTIF(R822:$W822,"&gt;"&amp;0)&lt;5,IF(AND(COUNTIF(Q$1237:Q1424,1)&gt;7,MOD(1+IFERROR(MATCH($C822,总览!$D$46:$D$345,1)+1,1),7)=0),$C$3,0),0)</f>
        <v>235.074107142856</v>
      </c>
      <c r="R822" s="131" cm="1">
        <f ca="1" t="array" ref="R822">IF(R1424=1,OFFSET($W$634,$B822,R$631-1)/SUMPRODUCT(--($D$631:$V$631=R$631),--($D1424:$V1424=1)),0)+SUM(R821)+IF(COUNTIF(R$1237:R1424,1)=1,5,0)+IF(COUNTIF(S822:$W822,"&gt;"&amp;0)&lt;5,IF(AND(COUNTIF(R$1237:R1424,1)&gt;7,MOD(1+IFERROR(MATCH($C822,总览!$D$46:$D$345,1)+1,1),7)=0),$C$3,0),0)</f>
        <v>226.692857142856</v>
      </c>
      <c r="S822" s="131" cm="1">
        <f ca="1" t="array" ref="S822">IF(S1424=1,OFFSET($W$634,$B822,S$631-1)/SUMPRODUCT(--($D$631:$V$631=S$631),--($D1424:$V1424=1)),0)+SUM(S821)+IF(COUNTIF(S$1237:S1424,1)=1,5,0)+IF(COUNTIF(T822:$W822,"&gt;"&amp;0)&lt;5,IF(AND(COUNTIF(S$1237:S1424,1)&gt;7,MOD(1+IFERROR(MATCH($C822,总览!$D$46:$D$345,1)+1,1),7)=0),$C$3,0),0)</f>
        <v>319.192857142857</v>
      </c>
      <c r="T822" s="131" cm="1">
        <f ca="1" t="array" ref="T822">IF(T1424=1,OFFSET($W$634,$B822,T$631-1)/SUMPRODUCT(--($D$631:$V$631=T$631),--($D1424:$V1424=1)),0)+SUM(T821)+IF(COUNTIF(T$1237:T1424,1)=1,5,0)+IF(COUNTIF(U822:$W822,"&gt;"&amp;0)&lt;5,IF(AND(COUNTIF(T$1237:T1424,1)&gt;7,MOD(1+IFERROR(MATCH($C822,总览!$D$46:$D$345,1)+1,1),7)=0),$C$3,0),0)</f>
        <v>232.55150194273</v>
      </c>
      <c r="U822" s="131" cm="1">
        <f ca="1" t="array" ref="U822">IF(U1424=1,OFFSET($W$634,$B822,U$631-1)/SUMPRODUCT(--($D$631:$V$631=U$631),--($D1424:$V1424=1)),0)+SUM(U821)+IF(COUNTIF(U$1237:U1424,1)=1,5,0)+IF(COUNTIF(V822:$W822,"&gt;"&amp;0)&lt;5,IF(AND(COUNTIF(U$1237:U1424,1)&gt;7,MOD(1+IFERROR(MATCH($C822,总览!$D$46:$D$345,1)+1,1),7)=0),$C$3,0),0)</f>
        <v>238.072288298029</v>
      </c>
      <c r="V822" s="131" cm="1">
        <f ca="1" t="array" ref="V822">IF(V1424=1,OFFSET($W$634,$B822,V$631-1)/SUMPRODUCT(--($D$631:$V$631=V$631),--($D1424:$V1424=1)),0)+SUM(V821)+IF(COUNTIF(V$1237:V1424,1)=1,5,0)+IF(COUNTIF(W822:$W822,"&gt;"&amp;0)&lt;5,IF(AND(COUNTIF(V$1237:V1424,1)&gt;7,MOD(1+IFERROR(MATCH($C822,总览!$D$46:$D$345,1)+1,1),7)=0),$C$3,0),0)</f>
        <v>257.899288010463</v>
      </c>
      <c r="W822" s="135" cm="1">
        <f ca="1" t="array" ref="W822">SUMPRODUCT(TRANSPOSE($AA822:$AG822),OFFSET($L$9:$L$15,0,W$631-1))</f>
        <v>16.8502200646615</v>
      </c>
      <c r="X822" s="135" cm="1">
        <f ca="1" t="array" ref="X822">SUMPRODUCT(TRANSPOSE($AA822:$AG822),OFFSET($L$9:$L$15,0,X$631-1))</f>
        <v>20</v>
      </c>
      <c r="Y822" s="135" cm="1">
        <f ca="1" t="array" ref="Y822">SUMPRODUCT(TRANSPOSE($AA822:$AG822),OFFSET($L$9:$L$15,0,Y$631-1))</f>
        <v>10</v>
      </c>
      <c r="Z822" s="135" cm="1">
        <f ca="1" t="array" ref="Z822">SUMPRODUCT(TRANSPOSE($AA822:$AG822),OFFSET($L$9:$L$15,0,Z$631-1))</f>
        <v>3.14977993533847</v>
      </c>
      <c r="AA822" s="136">
        <f ca="1" t="shared" ref="AA822:AG822" si="619">AH822-AH821</f>
        <v>0</v>
      </c>
      <c r="AB822" s="136">
        <f ca="1" t="shared" si="619"/>
        <v>0</v>
      </c>
      <c r="AC822" s="136">
        <f ca="1" t="shared" si="619"/>
        <v>0</v>
      </c>
      <c r="AD822" s="136">
        <f ca="1" t="shared" si="619"/>
        <v>0</v>
      </c>
      <c r="AE822" s="136">
        <f ca="1" t="shared" si="619"/>
        <v>0</v>
      </c>
      <c r="AF822" s="136">
        <f ca="1" t="shared" si="619"/>
        <v>0</v>
      </c>
      <c r="AG822" s="136">
        <f ca="1" t="shared" si="619"/>
        <v>100</v>
      </c>
      <c r="AH822" s="136">
        <f ca="1" t="shared" si="501"/>
        <v>450</v>
      </c>
      <c r="AI822" s="136">
        <f ca="1" t="shared" ref="AI822:AN822" si="620">IF($C822&gt;OFFSET($Q$8,MATCH(AI$634,$AH$634:$AN$634,0),0),OFFSET($P$8,MATCH(AI$634,$AH$634:$AN$634,0),0),MAX(0,$C822-OFFSET($Q$8,RIGHT(AI$634,1)-1,0)))</f>
        <v>909</v>
      </c>
      <c r="AJ822" s="136">
        <f ca="1" t="shared" si="620"/>
        <v>1818</v>
      </c>
      <c r="AK822" s="136">
        <f ca="1" t="shared" si="620"/>
        <v>2727</v>
      </c>
      <c r="AL822" s="136">
        <f ca="1" t="shared" si="620"/>
        <v>3636</v>
      </c>
      <c r="AM822" s="136">
        <f ca="1" t="shared" si="620"/>
        <v>4545</v>
      </c>
      <c r="AN822" s="136">
        <f ca="1" t="shared" si="620"/>
        <v>4715</v>
      </c>
    </row>
    <row r="823" s="106" customFormat="1" ht="16.5" spans="2:40">
      <c r="B823" s="117">
        <v>189</v>
      </c>
      <c r="C823" s="130">
        <f t="shared" si="499"/>
        <v>18900</v>
      </c>
      <c r="D823" s="131" cm="1">
        <f ca="1" t="array" ref="D823">IF(D1425=1,OFFSET($W$634,$B823,D$631-1)/SUMPRODUCT(--($D$631:$V$631=D$631),--($D1425:$V1425=1)),0)+SUM(D822)+IF(COUNTIF(D$1237:D1425,1)=1,5,0)+IF(COUNTIF(E823:$W823,"&gt;"&amp;0)&lt;5,IF(AND(COUNTIF(D$1237:D1425,1)&gt;7,MOD(1+IFERROR(MATCH($C823,总览!$D$46:$D$345,1)+1,1),7)=0),$C$3,0),0)</f>
        <v>1389.26738060448</v>
      </c>
      <c r="E823" s="131" cm="1">
        <f ca="1" t="array" ref="E823">IF(E1425=1,OFFSET($W$634,$B823,E$631-1)/SUMPRODUCT(--($D$631:$V$631=E$631),--($D1425:$V1425=1)),0)+SUM(E822)+IF(COUNTIF(E$1237:E1425,1)=1,5,0)+IF(COUNTIF(F823:$W823,"&gt;"&amp;0)&lt;5,IF(AND(COUNTIF(E$1237:E1425,1)&gt;7,MOD(1+IFERROR(MATCH($C823,总览!$D$46:$D$345,1)+1,1),7)=0),$C$3,0),0)</f>
        <v>1389.26738060448</v>
      </c>
      <c r="F823" s="131" cm="1">
        <f ca="1" t="array" ref="F823">IF(F1425=1,OFFSET($W$634,$B823,F$631-1)/SUMPRODUCT(--($D$631:$V$631=F$631),--($D1425:$V1425=1)),0)+SUM(F822)+IF(COUNTIF(F$1237:F1425,1)=1,5,0)+IF(COUNTIF(G823:$W823,"&gt;"&amp;0)&lt;5,IF(AND(COUNTIF(F$1237:F1425,1)&gt;7,MOD(1+IFERROR(MATCH($C823,总览!$D$46:$D$345,1)+1,1),7)=0),$C$3,0),0)</f>
        <v>1389.26738060448</v>
      </c>
      <c r="G823" s="131" cm="1">
        <f ca="1" t="array" ref="G823">IF(G1425=1,OFFSET($W$634,$B823,G$631-1)/SUMPRODUCT(--($D$631:$V$631=G$631),--($D1425:$V1425=1)),0)+SUM(G822)+IF(COUNTIF(G$1237:G1425,1)=1,5,0)+IF(COUNTIF(H823:$W823,"&gt;"&amp;0)&lt;5,IF(AND(COUNTIF(G$1237:G1425,1)&gt;7,MOD(1+IFERROR(MATCH($C823,总览!$D$46:$D$345,1)+1,1),7)=0),$C$3,0),0)</f>
        <v>569.399999999999</v>
      </c>
      <c r="H823" s="131" cm="1">
        <f ca="1" t="array" ref="H823">IF(H1425=1,OFFSET($W$634,$B823,H$631-1)/SUMPRODUCT(--($D$631:$V$631=H$631),--($D1425:$V1425=1)),0)+SUM(H822)+IF(COUNTIF(H$1237:H1425,1)=1,5,0)+IF(COUNTIF(I823:$W823,"&gt;"&amp;0)&lt;5,IF(AND(COUNTIF(H$1237:H1425,1)&gt;7,MOD(1+IFERROR(MATCH($C823,总览!$D$46:$D$345,1)+1,1),7)=0),$C$3,0),0)</f>
        <v>569.399999999999</v>
      </c>
      <c r="I823" s="131" cm="1">
        <f ca="1" t="array" ref="I823">IF(I1425=1,OFFSET($W$634,$B823,I$631-1)/SUMPRODUCT(--($D$631:$V$631=I$631),--($D1425:$V1425=1)),0)+SUM(I822)+IF(COUNTIF(I$1237:I1425,1)=1,5,0)+IF(COUNTIF(J823:$W823,"&gt;"&amp;0)&lt;5,IF(AND(COUNTIF(I$1237:I1425,1)&gt;7,MOD(1+IFERROR(MATCH($C823,总览!$D$46:$D$345,1)+1,1),7)=0),$C$3,0),0)</f>
        <v>569.399999999999</v>
      </c>
      <c r="J823" s="131" cm="1">
        <f ca="1" t="array" ref="J823">IF(J1425=1,OFFSET($W$634,$B823,J$631-1)/SUMPRODUCT(--($D$631:$V$631=J$631),--($D1425:$V1425=1)),0)+SUM(J822)+IF(COUNTIF(J$1237:J1425,1)=1,5,0)+IF(COUNTIF(K823:$W823,"&gt;"&amp;0)&lt;5,IF(AND(COUNTIF(J$1237:J1425,1)&gt;7,MOD(1+IFERROR(MATCH($C823,总览!$D$46:$D$345,1)+1,1),7)=0),$C$3,0),0)</f>
        <v>566.066666666666</v>
      </c>
      <c r="K823" s="131" cm="1">
        <f ca="1" t="array" ref="K823">IF(K1425=1,OFFSET($W$634,$B823,K$631-1)/SUMPRODUCT(--($D$631:$V$631=K$631),--($D1425:$V1425=1)),0)+SUM(K822)+IF(COUNTIF(K$1237:K1425,1)=1,5,0)+IF(COUNTIF(L823:$W823,"&gt;"&amp;0)&lt;5,IF(AND(COUNTIF(K$1237:K1425,1)&gt;7,MOD(1+IFERROR(MATCH($C823,总览!$D$46:$D$345,1)+1,1),7)=0),$C$3,0),0)</f>
        <v>563.566666666666</v>
      </c>
      <c r="L823" s="131" cm="1">
        <f ca="1" t="array" ref="L823">IF(L1425=1,OFFSET($W$634,$B823,L$631-1)/SUMPRODUCT(--($D$631:$V$631=L$631),--($D1425:$V1425=1)),0)+SUM(L822)+IF(COUNTIF(L$1237:L1425,1)=1,5,0)+IF(COUNTIF(M823:$W823,"&gt;"&amp;0)&lt;5,IF(AND(COUNTIF(L$1237:L1425,1)&gt;7,MOD(1+IFERROR(MATCH($C823,总览!$D$46:$D$345,1)+1,1),7)=0),$C$3,0),0)</f>
        <v>563.566666666666</v>
      </c>
      <c r="M823" s="131" cm="1">
        <f ca="1" t="array" ref="M823">IF(M1425=1,OFFSET($W$634,$B823,M$631-1)/SUMPRODUCT(--($D$631:$V$631=M$631),--($D1425:$V1425=1)),0)+SUM(M822)+IF(COUNTIF(M$1237:M1425,1)=1,5,0)+IF(COUNTIF(N823:$W823,"&gt;"&amp;0)&lt;5,IF(AND(COUNTIF(M$1237:M1425,1)&gt;7,MOD(1+IFERROR(MATCH($C823,总览!$D$46:$D$345,1)+1,1),7)=0),$C$3,0),0)</f>
        <v>227.752678571428</v>
      </c>
      <c r="N823" s="131" cm="1">
        <f ca="1" t="array" ref="N823">IF(N1425=1,OFFSET($W$634,$B823,N$631-1)/SUMPRODUCT(--($D$631:$V$631=N$631),--($D1425:$V1425=1)),0)+SUM(N822)+IF(COUNTIF(N$1237:N1425,1)=1,5,0)+IF(COUNTIF(O823:$W823,"&gt;"&amp;0)&lt;5,IF(AND(COUNTIF(N$1237:N1425,1)&gt;7,MOD(1+IFERROR(MATCH($C823,总览!$D$46:$D$345,1)+1,1),7)=0),$C$3,0),0)</f>
        <v>229.002678571428</v>
      </c>
      <c r="O823" s="131" cm="1">
        <f ca="1" t="array" ref="O823">IF(O1425=1,OFFSET($W$634,$B823,O$631-1)/SUMPRODUCT(--($D$631:$V$631=O$631),--($D1425:$V1425=1)),0)+SUM(O822)+IF(COUNTIF(O$1237:O1425,1)=1,5,0)+IF(COUNTIF(P823:$W823,"&gt;"&amp;0)&lt;5,IF(AND(COUNTIF(O$1237:O1425,1)&gt;7,MOD(1+IFERROR(MATCH($C823,总览!$D$46:$D$345,1)+1,1),7)=0),$C$3,0),0)</f>
        <v>234.002678571428</v>
      </c>
      <c r="P823" s="131" cm="1">
        <f ca="1" t="array" ref="P823">IF(P1425=1,OFFSET($W$634,$B823,P$631-1)/SUMPRODUCT(--($D$631:$V$631=P$631),--($D1425:$V1425=1)),0)+SUM(P822)+IF(COUNTIF(P$1237:P1425,1)=1,5,0)+IF(COUNTIF(Q823:$W823,"&gt;"&amp;0)&lt;5,IF(AND(COUNTIF(P$1237:P1425,1)&gt;7,MOD(1+IFERROR(MATCH($C823,总览!$D$46:$D$345,1)+1,1),7)=0),$C$3,0),0)</f>
        <v>223.121428571428</v>
      </c>
      <c r="Q823" s="131" cm="1">
        <f ca="1" t="array" ref="Q823">IF(Q1425=1,OFFSET($W$634,$B823,Q$631-1)/SUMPRODUCT(--($D$631:$V$631=Q$631),--($D1425:$V1425=1)),0)+SUM(Q822)+IF(COUNTIF(Q$1237:Q1425,1)=1,5,0)+IF(COUNTIF(R823:$W823,"&gt;"&amp;0)&lt;5,IF(AND(COUNTIF(Q$1237:Q1425,1)&gt;7,MOD(1+IFERROR(MATCH($C823,总览!$D$46:$D$345,1)+1,1),7)=0),$C$3,0),0)</f>
        <v>236.502678571427</v>
      </c>
      <c r="R823" s="131" cm="1">
        <f ca="1" t="array" ref="R823">IF(R1425=1,OFFSET($W$634,$B823,R$631-1)/SUMPRODUCT(--($D$631:$V$631=R$631),--($D1425:$V1425=1)),0)+SUM(R822)+IF(COUNTIF(R$1237:R1425,1)=1,5,0)+IF(COUNTIF(S823:$W823,"&gt;"&amp;0)&lt;5,IF(AND(COUNTIF(R$1237:R1425,1)&gt;7,MOD(1+IFERROR(MATCH($C823,总览!$D$46:$D$345,1)+1,1),7)=0),$C$3,0),0)</f>
        <v>228.121428571428</v>
      </c>
      <c r="S823" s="131" cm="1">
        <f ca="1" t="array" ref="S823">IF(S1425=1,OFFSET($W$634,$B823,S$631-1)/SUMPRODUCT(--($D$631:$V$631=S$631),--($D1425:$V1425=1)),0)+SUM(S822)+IF(COUNTIF(S$1237:S1425,1)=1,5,0)+IF(COUNTIF(T823:$W823,"&gt;"&amp;0)&lt;5,IF(AND(COUNTIF(S$1237:S1425,1)&gt;7,MOD(1+IFERROR(MATCH($C823,总览!$D$46:$D$345,1)+1,1),7)=0),$C$3,0),0)</f>
        <v>320.621428571428</v>
      </c>
      <c r="T823" s="131" cm="1">
        <f ca="1" t="array" ref="T823">IF(T1425=1,OFFSET($W$634,$B823,T$631-1)/SUMPRODUCT(--($D$631:$V$631=T$631),--($D1425:$V1425=1)),0)+SUM(T822)+IF(COUNTIF(T$1237:T1425,1)=1,5,0)+IF(COUNTIF(U823:$W823,"&gt;"&amp;0)&lt;5,IF(AND(COUNTIF(T$1237:T1425,1)&gt;7,MOD(1+IFERROR(MATCH($C823,总览!$D$46:$D$345,1)+1,1),7)=0),$C$3,0),0)</f>
        <v>233.601428587842</v>
      </c>
      <c r="U823" s="131" cm="1">
        <f ca="1" t="array" ref="U823">IF(U1425=1,OFFSET($W$634,$B823,U$631-1)/SUMPRODUCT(--($D$631:$V$631=U$631),--($D1425:$V1425=1)),0)+SUM(U822)+IF(COUNTIF(U$1237:U1425,1)=1,5,0)+IF(COUNTIF(V823:$W823,"&gt;"&amp;0)&lt;5,IF(AND(COUNTIF(U$1237:U1425,1)&gt;7,MOD(1+IFERROR(MATCH($C823,总览!$D$46:$D$345,1)+1,1),7)=0),$C$3,0),0)</f>
        <v>239.122214943142</v>
      </c>
      <c r="V823" s="131" cm="1">
        <f ca="1" t="array" ref="V823">IF(V1425=1,OFFSET($W$634,$B823,V$631-1)/SUMPRODUCT(--($D$631:$V$631=V$631),--($D1425:$V1425=1)),0)+SUM(V822)+IF(COUNTIF(V$1237:V1425,1)=1,5,0)+IF(COUNTIF(W823:$W823,"&gt;"&amp;0)&lt;5,IF(AND(COUNTIF(V$1237:V1425,1)&gt;7,MOD(1+IFERROR(MATCH($C823,总览!$D$46:$D$345,1)+1,1),7)=0),$C$3,0),0)</f>
        <v>258.949214655576</v>
      </c>
      <c r="W823" s="135" cm="1">
        <f ca="1" t="array" ref="W823">SUMPRODUCT(TRANSPOSE($AA823:$AG823),OFFSET($L$9:$L$15,0,W$631-1))</f>
        <v>16.8502200646615</v>
      </c>
      <c r="X823" s="135" cm="1">
        <f ca="1" t="array" ref="X823">SUMPRODUCT(TRANSPOSE($AA823:$AG823),OFFSET($L$9:$L$15,0,X$631-1))</f>
        <v>20</v>
      </c>
      <c r="Y823" s="135" cm="1">
        <f ca="1" t="array" ref="Y823">SUMPRODUCT(TRANSPOSE($AA823:$AG823),OFFSET($L$9:$L$15,0,Y$631-1))</f>
        <v>10</v>
      </c>
      <c r="Z823" s="135" cm="1">
        <f ca="1" t="array" ref="Z823">SUMPRODUCT(TRANSPOSE($AA823:$AG823),OFFSET($L$9:$L$15,0,Z$631-1))</f>
        <v>3.14977993533847</v>
      </c>
      <c r="AA823" s="136">
        <f ca="1" t="shared" ref="AA823:AG823" si="621">AH823-AH822</f>
        <v>0</v>
      </c>
      <c r="AB823" s="136">
        <f ca="1" t="shared" si="621"/>
        <v>0</v>
      </c>
      <c r="AC823" s="136">
        <f ca="1" t="shared" si="621"/>
        <v>0</v>
      </c>
      <c r="AD823" s="136">
        <f ca="1" t="shared" si="621"/>
        <v>0</v>
      </c>
      <c r="AE823" s="136">
        <f ca="1" t="shared" si="621"/>
        <v>0</v>
      </c>
      <c r="AF823" s="136">
        <f ca="1" t="shared" si="621"/>
        <v>0</v>
      </c>
      <c r="AG823" s="136">
        <f ca="1" t="shared" si="621"/>
        <v>100</v>
      </c>
      <c r="AH823" s="136">
        <f ca="1" t="shared" si="501"/>
        <v>450</v>
      </c>
      <c r="AI823" s="136">
        <f ca="1" t="shared" ref="AI823:AN823" si="622">IF($C823&gt;OFFSET($Q$8,MATCH(AI$634,$AH$634:$AN$634,0),0),OFFSET($P$8,MATCH(AI$634,$AH$634:$AN$634,0),0),MAX(0,$C823-OFFSET($Q$8,RIGHT(AI$634,1)-1,0)))</f>
        <v>909</v>
      </c>
      <c r="AJ823" s="136">
        <f ca="1" t="shared" si="622"/>
        <v>1818</v>
      </c>
      <c r="AK823" s="136">
        <f ca="1" t="shared" si="622"/>
        <v>2727</v>
      </c>
      <c r="AL823" s="136">
        <f ca="1" t="shared" si="622"/>
        <v>3636</v>
      </c>
      <c r="AM823" s="136">
        <f ca="1" t="shared" si="622"/>
        <v>4545</v>
      </c>
      <c r="AN823" s="136">
        <f ca="1" t="shared" si="622"/>
        <v>4815</v>
      </c>
    </row>
    <row r="824" s="106" customFormat="1" ht="16.5" spans="2:40">
      <c r="B824" s="117">
        <v>190</v>
      </c>
      <c r="C824" s="130">
        <f t="shared" si="499"/>
        <v>19000</v>
      </c>
      <c r="D824" s="131" cm="1">
        <f ca="1" t="array" ref="D824">IF(D1426=1,OFFSET($W$634,$B824,D$631-1)/SUMPRODUCT(--($D$631:$V$631=D$631),--($D1426:$V1426=1)),0)+SUM(D823)+IF(COUNTIF(D$1237:D1426,1)=1,5,0)+IF(COUNTIF(E824:$W824,"&gt;"&amp;0)&lt;5,IF(AND(COUNTIF(D$1237:D1426,1)&gt;7,MOD(1+IFERROR(MATCH($C824,总览!$D$46:$D$345,1)+1,1),7)=0),$C$3,0),0)</f>
        <v>1394.88412062603</v>
      </c>
      <c r="E824" s="131" cm="1">
        <f ca="1" t="array" ref="E824">IF(E1426=1,OFFSET($W$634,$B824,E$631-1)/SUMPRODUCT(--($D$631:$V$631=E$631),--($D1426:$V1426=1)),0)+SUM(E823)+IF(COUNTIF(E$1237:E1426,1)=1,5,0)+IF(COUNTIF(F824:$W824,"&gt;"&amp;0)&lt;5,IF(AND(COUNTIF(E$1237:E1426,1)&gt;7,MOD(1+IFERROR(MATCH($C824,总览!$D$46:$D$345,1)+1,1),7)=0),$C$3,0),0)</f>
        <v>1394.88412062603</v>
      </c>
      <c r="F824" s="131" cm="1">
        <f ca="1" t="array" ref="F824">IF(F1426=1,OFFSET($W$634,$B824,F$631-1)/SUMPRODUCT(--($D$631:$V$631=F$631),--($D1426:$V1426=1)),0)+SUM(F823)+IF(COUNTIF(F$1237:F1426,1)=1,5,0)+IF(COUNTIF(G824:$W824,"&gt;"&amp;0)&lt;5,IF(AND(COUNTIF(F$1237:F1426,1)&gt;7,MOD(1+IFERROR(MATCH($C824,总览!$D$46:$D$345,1)+1,1),7)=0),$C$3,0),0)</f>
        <v>1394.88412062603</v>
      </c>
      <c r="G824" s="131" cm="1">
        <f ca="1" t="array" ref="G824">IF(G1426=1,OFFSET($W$634,$B824,G$631-1)/SUMPRODUCT(--($D$631:$V$631=G$631),--($D1426:$V1426=1)),0)+SUM(G823)+IF(COUNTIF(G$1237:G1426,1)=1,5,0)+IF(COUNTIF(H824:$W824,"&gt;"&amp;0)&lt;5,IF(AND(COUNTIF(G$1237:G1426,1)&gt;7,MOD(1+IFERROR(MATCH($C824,总览!$D$46:$D$345,1)+1,1),7)=0),$C$3,0),0)</f>
        <v>572.733333333333</v>
      </c>
      <c r="H824" s="131" cm="1">
        <f ca="1" t="array" ref="H824">IF(H1426=1,OFFSET($W$634,$B824,H$631-1)/SUMPRODUCT(--($D$631:$V$631=H$631),--($D1426:$V1426=1)),0)+SUM(H823)+IF(COUNTIF(H$1237:H1426,1)=1,5,0)+IF(COUNTIF(I824:$W824,"&gt;"&amp;0)&lt;5,IF(AND(COUNTIF(H$1237:H1426,1)&gt;7,MOD(1+IFERROR(MATCH($C824,总览!$D$46:$D$345,1)+1,1),7)=0),$C$3,0),0)</f>
        <v>572.733333333333</v>
      </c>
      <c r="I824" s="131" cm="1">
        <f ca="1" t="array" ref="I824">IF(I1426=1,OFFSET($W$634,$B824,I$631-1)/SUMPRODUCT(--($D$631:$V$631=I$631),--($D1426:$V1426=1)),0)+SUM(I823)+IF(COUNTIF(I$1237:I1426,1)=1,5,0)+IF(COUNTIF(J824:$W824,"&gt;"&amp;0)&lt;5,IF(AND(COUNTIF(I$1237:I1426,1)&gt;7,MOD(1+IFERROR(MATCH($C824,总览!$D$46:$D$345,1)+1,1),7)=0),$C$3,0),0)</f>
        <v>572.733333333333</v>
      </c>
      <c r="J824" s="131" cm="1">
        <f ca="1" t="array" ref="J824">IF(J1426=1,OFFSET($W$634,$B824,J$631-1)/SUMPRODUCT(--($D$631:$V$631=J$631),--($D1426:$V1426=1)),0)+SUM(J823)+IF(COUNTIF(J$1237:J1426,1)=1,5,0)+IF(COUNTIF(K824:$W824,"&gt;"&amp;0)&lt;5,IF(AND(COUNTIF(J$1237:J1426,1)&gt;7,MOD(1+IFERROR(MATCH($C824,总览!$D$46:$D$345,1)+1,1),7)=0),$C$3,0),0)</f>
        <v>569.399999999999</v>
      </c>
      <c r="K824" s="131" cm="1">
        <f ca="1" t="array" ref="K824">IF(K1426=1,OFFSET($W$634,$B824,K$631-1)/SUMPRODUCT(--($D$631:$V$631=K$631),--($D1426:$V1426=1)),0)+SUM(K823)+IF(COUNTIF(K$1237:K1426,1)=1,5,0)+IF(COUNTIF(L824:$W824,"&gt;"&amp;0)&lt;5,IF(AND(COUNTIF(K$1237:K1426,1)&gt;7,MOD(1+IFERROR(MATCH($C824,总览!$D$46:$D$345,1)+1,1),7)=0),$C$3,0),0)</f>
        <v>566.899999999999</v>
      </c>
      <c r="L824" s="131" cm="1">
        <f ca="1" t="array" ref="L824">IF(L1426=1,OFFSET($W$634,$B824,L$631-1)/SUMPRODUCT(--($D$631:$V$631=L$631),--($D1426:$V1426=1)),0)+SUM(L823)+IF(COUNTIF(L$1237:L1426,1)=1,5,0)+IF(COUNTIF(M824:$W824,"&gt;"&amp;0)&lt;5,IF(AND(COUNTIF(L$1237:L1426,1)&gt;7,MOD(1+IFERROR(MATCH($C824,总览!$D$46:$D$345,1)+1,1),7)=0),$C$3,0),0)</f>
        <v>566.899999999999</v>
      </c>
      <c r="M824" s="131" cm="1">
        <f ca="1" t="array" ref="M824">IF(M1426=1,OFFSET($W$634,$B824,M$631-1)/SUMPRODUCT(--($D$631:$V$631=M$631),--($D1426:$V1426=1)),0)+SUM(M823)+IF(COUNTIF(M$1237:M1426,1)=1,5,0)+IF(COUNTIF(N824:$W824,"&gt;"&amp;0)&lt;5,IF(AND(COUNTIF(M$1237:M1426,1)&gt;7,MOD(1+IFERROR(MATCH($C824,总览!$D$46:$D$345,1)+1,1),7)=0),$C$3,0),0)</f>
        <v>229.181249999999</v>
      </c>
      <c r="N824" s="131" cm="1">
        <f ca="1" t="array" ref="N824">IF(N1426=1,OFFSET($W$634,$B824,N$631-1)/SUMPRODUCT(--($D$631:$V$631=N$631),--($D1426:$V1426=1)),0)+SUM(N823)+IF(COUNTIF(N$1237:N1426,1)=1,5,0)+IF(COUNTIF(O824:$W824,"&gt;"&amp;0)&lt;5,IF(AND(COUNTIF(N$1237:N1426,1)&gt;7,MOD(1+IFERROR(MATCH($C824,总览!$D$46:$D$345,1)+1,1),7)=0),$C$3,0),0)</f>
        <v>230.431249999999</v>
      </c>
      <c r="O824" s="131" cm="1">
        <f ca="1" t="array" ref="O824">IF(O1426=1,OFFSET($W$634,$B824,O$631-1)/SUMPRODUCT(--($D$631:$V$631=O$631),--($D1426:$V1426=1)),0)+SUM(O823)+IF(COUNTIF(O$1237:O1426,1)=1,5,0)+IF(COUNTIF(P824:$W824,"&gt;"&amp;0)&lt;5,IF(AND(COUNTIF(O$1237:O1426,1)&gt;7,MOD(1+IFERROR(MATCH($C824,总览!$D$46:$D$345,1)+1,1),7)=0),$C$3,0),0)</f>
        <v>235.431249999999</v>
      </c>
      <c r="P824" s="131" cm="1">
        <f ca="1" t="array" ref="P824">IF(P1426=1,OFFSET($W$634,$B824,P$631-1)/SUMPRODUCT(--($D$631:$V$631=P$631),--($D1426:$V1426=1)),0)+SUM(P823)+IF(COUNTIF(P$1237:P1426,1)=1,5,0)+IF(COUNTIF(Q824:$W824,"&gt;"&amp;0)&lt;5,IF(AND(COUNTIF(P$1237:P1426,1)&gt;7,MOD(1+IFERROR(MATCH($C824,总览!$D$46:$D$345,1)+1,1),7)=0),$C$3,0),0)</f>
        <v>224.549999999999</v>
      </c>
      <c r="Q824" s="131" cm="1">
        <f ca="1" t="array" ref="Q824">IF(Q1426=1,OFFSET($W$634,$B824,Q$631-1)/SUMPRODUCT(--($D$631:$V$631=Q$631),--($D1426:$V1426=1)),0)+SUM(Q823)+IF(COUNTIF(Q$1237:Q1426,1)=1,5,0)+IF(COUNTIF(R824:$W824,"&gt;"&amp;0)&lt;5,IF(AND(COUNTIF(Q$1237:Q1426,1)&gt;7,MOD(1+IFERROR(MATCH($C824,总览!$D$46:$D$345,1)+1,1),7)=0),$C$3,0),0)</f>
        <v>237.931249999999</v>
      </c>
      <c r="R824" s="131" cm="1">
        <f ca="1" t="array" ref="R824">IF(R1426=1,OFFSET($W$634,$B824,R$631-1)/SUMPRODUCT(--($D$631:$V$631=R$631),--($D1426:$V1426=1)),0)+SUM(R823)+IF(COUNTIF(R$1237:R1426,1)=1,5,0)+IF(COUNTIF(S824:$W824,"&gt;"&amp;0)&lt;5,IF(AND(COUNTIF(R$1237:R1426,1)&gt;7,MOD(1+IFERROR(MATCH($C824,总览!$D$46:$D$345,1)+1,1),7)=0),$C$3,0),0)</f>
        <v>229.549999999999</v>
      </c>
      <c r="S824" s="131" cm="1">
        <f ca="1" t="array" ref="S824">IF(S1426=1,OFFSET($W$634,$B824,S$631-1)/SUMPRODUCT(--($D$631:$V$631=S$631),--($D1426:$V1426=1)),0)+SUM(S823)+IF(COUNTIF(S$1237:S1426,1)=1,5,0)+IF(COUNTIF(T824:$W824,"&gt;"&amp;0)&lt;5,IF(AND(COUNTIF(S$1237:S1426,1)&gt;7,MOD(1+IFERROR(MATCH($C824,总览!$D$46:$D$345,1)+1,1),7)=0),$C$3,0),0)</f>
        <v>322.05</v>
      </c>
      <c r="T824" s="131" cm="1">
        <f ca="1" t="array" ref="T824">IF(T1426=1,OFFSET($W$634,$B824,T$631-1)/SUMPRODUCT(--($D$631:$V$631=T$631),--($D1426:$V1426=1)),0)+SUM(T823)+IF(COUNTIF(T$1237:T1426,1)=1,5,0)+IF(COUNTIF(U824:$W824,"&gt;"&amp;0)&lt;5,IF(AND(COUNTIF(T$1237:T1426,1)&gt;7,MOD(1+IFERROR(MATCH($C824,总览!$D$46:$D$345,1)+1,1),7)=0),$C$3,0),0)</f>
        <v>234.651355232955</v>
      </c>
      <c r="U824" s="131" cm="1">
        <f ca="1" t="array" ref="U824">IF(U1426=1,OFFSET($W$634,$B824,U$631-1)/SUMPRODUCT(--($D$631:$V$631=U$631),--($D1426:$V1426=1)),0)+SUM(U823)+IF(COUNTIF(U$1237:U1426,1)=1,5,0)+IF(COUNTIF(V824:$W824,"&gt;"&amp;0)&lt;5,IF(AND(COUNTIF(U$1237:U1426,1)&gt;7,MOD(1+IFERROR(MATCH($C824,总览!$D$46:$D$345,1)+1,1),7)=0),$C$3,0),0)</f>
        <v>240.172141588255</v>
      </c>
      <c r="V824" s="131" cm="1">
        <f ca="1" t="array" ref="V824">IF(V1426=1,OFFSET($W$634,$B824,V$631-1)/SUMPRODUCT(--($D$631:$V$631=V$631),--($D1426:$V1426=1)),0)+SUM(V823)+IF(COUNTIF(V$1237:V1426,1)=1,5,0)+IF(COUNTIF(W824:$W824,"&gt;"&amp;0)&lt;5,IF(AND(COUNTIF(V$1237:V1426,1)&gt;7,MOD(1+IFERROR(MATCH($C824,总览!$D$46:$D$345,1)+1,1),7)=0),$C$3,0),0)</f>
        <v>259.999141300688</v>
      </c>
      <c r="W824" s="135" cm="1">
        <f ca="1" t="array" ref="W824">SUMPRODUCT(TRANSPOSE($AA824:$AG824),OFFSET($L$9:$L$15,0,W$631-1))</f>
        <v>16.8502200646615</v>
      </c>
      <c r="X824" s="135" cm="1">
        <f ca="1" t="array" ref="X824">SUMPRODUCT(TRANSPOSE($AA824:$AG824),OFFSET($L$9:$L$15,0,X$631-1))</f>
        <v>20</v>
      </c>
      <c r="Y824" s="135" cm="1">
        <f ca="1" t="array" ref="Y824">SUMPRODUCT(TRANSPOSE($AA824:$AG824),OFFSET($L$9:$L$15,0,Y$631-1))</f>
        <v>10</v>
      </c>
      <c r="Z824" s="135" cm="1">
        <f ca="1" t="array" ref="Z824">SUMPRODUCT(TRANSPOSE($AA824:$AG824),OFFSET($L$9:$L$15,0,Z$631-1))</f>
        <v>3.14977993533847</v>
      </c>
      <c r="AA824" s="136">
        <f ca="1" t="shared" ref="AA824:AG824" si="623">AH824-AH823</f>
        <v>0</v>
      </c>
      <c r="AB824" s="136">
        <f ca="1" t="shared" si="623"/>
        <v>0</v>
      </c>
      <c r="AC824" s="136">
        <f ca="1" t="shared" si="623"/>
        <v>0</v>
      </c>
      <c r="AD824" s="136">
        <f ca="1" t="shared" si="623"/>
        <v>0</v>
      </c>
      <c r="AE824" s="136">
        <f ca="1" t="shared" si="623"/>
        <v>0</v>
      </c>
      <c r="AF824" s="136">
        <f ca="1" t="shared" si="623"/>
        <v>0</v>
      </c>
      <c r="AG824" s="136">
        <f ca="1" t="shared" si="623"/>
        <v>100</v>
      </c>
      <c r="AH824" s="136">
        <f ca="1" t="shared" si="501"/>
        <v>450</v>
      </c>
      <c r="AI824" s="136">
        <f ca="1" t="shared" ref="AI824:AN824" si="624">IF($C824&gt;OFFSET($Q$8,MATCH(AI$634,$AH$634:$AN$634,0),0),OFFSET($P$8,MATCH(AI$634,$AH$634:$AN$634,0),0),MAX(0,$C824-OFFSET($Q$8,RIGHT(AI$634,1)-1,0)))</f>
        <v>909</v>
      </c>
      <c r="AJ824" s="136">
        <f ca="1" t="shared" si="624"/>
        <v>1818</v>
      </c>
      <c r="AK824" s="136">
        <f ca="1" t="shared" si="624"/>
        <v>2727</v>
      </c>
      <c r="AL824" s="136">
        <f ca="1" t="shared" si="624"/>
        <v>3636</v>
      </c>
      <c r="AM824" s="136">
        <f ca="1" t="shared" si="624"/>
        <v>4545</v>
      </c>
      <c r="AN824" s="136">
        <f ca="1" t="shared" si="624"/>
        <v>4915</v>
      </c>
    </row>
    <row r="825" s="106" customFormat="1" ht="16.5" spans="2:40">
      <c r="B825" s="117">
        <v>191</v>
      </c>
      <c r="C825" s="130">
        <f t="shared" si="499"/>
        <v>19100</v>
      </c>
      <c r="D825" s="131" cm="1">
        <f ca="1" t="array" ref="D825">IF(D1427=1,OFFSET($W$634,$B825,D$631-1)/SUMPRODUCT(--($D$631:$V$631=D$631),--($D1427:$V1427=1)),0)+SUM(D824)+IF(COUNTIF(D$1237:D1427,1)=1,5,0)+IF(COUNTIF(E825:$W825,"&gt;"&amp;0)&lt;5,IF(AND(COUNTIF(D$1237:D1427,1)&gt;7,MOD(1+IFERROR(MATCH($C825,总览!$D$46:$D$345,1)+1,1),7)=0),$C$3,0),0)</f>
        <v>1400.50086064759</v>
      </c>
      <c r="E825" s="131" cm="1">
        <f ca="1" t="array" ref="E825">IF(E1427=1,OFFSET($W$634,$B825,E$631-1)/SUMPRODUCT(--($D$631:$V$631=E$631),--($D1427:$V1427=1)),0)+SUM(E824)+IF(COUNTIF(E$1237:E1427,1)=1,5,0)+IF(COUNTIF(F825:$W825,"&gt;"&amp;0)&lt;5,IF(AND(COUNTIF(E$1237:E1427,1)&gt;7,MOD(1+IFERROR(MATCH($C825,总览!$D$46:$D$345,1)+1,1),7)=0),$C$3,0),0)</f>
        <v>1400.50086064759</v>
      </c>
      <c r="F825" s="131" cm="1">
        <f ca="1" t="array" ref="F825">IF(F1427=1,OFFSET($W$634,$B825,F$631-1)/SUMPRODUCT(--($D$631:$V$631=F$631),--($D1427:$V1427=1)),0)+SUM(F824)+IF(COUNTIF(F$1237:F1427,1)=1,5,0)+IF(COUNTIF(G825:$W825,"&gt;"&amp;0)&lt;5,IF(AND(COUNTIF(F$1237:F1427,1)&gt;7,MOD(1+IFERROR(MATCH($C825,总览!$D$46:$D$345,1)+1,1),7)=0),$C$3,0),0)</f>
        <v>1400.50086064759</v>
      </c>
      <c r="G825" s="131" cm="1">
        <f ca="1" t="array" ref="G825">IF(G1427=1,OFFSET($W$634,$B825,G$631-1)/SUMPRODUCT(--($D$631:$V$631=G$631),--($D1427:$V1427=1)),0)+SUM(G824)+IF(COUNTIF(G$1237:G1427,1)=1,5,0)+IF(COUNTIF(H825:$W825,"&gt;"&amp;0)&lt;5,IF(AND(COUNTIF(G$1237:G1427,1)&gt;7,MOD(1+IFERROR(MATCH($C825,总览!$D$46:$D$345,1)+1,1),7)=0),$C$3,0),0)</f>
        <v>576.066666666666</v>
      </c>
      <c r="H825" s="131" cm="1">
        <f ca="1" t="array" ref="H825">IF(H1427=1,OFFSET($W$634,$B825,H$631-1)/SUMPRODUCT(--($D$631:$V$631=H$631),--($D1427:$V1427=1)),0)+SUM(H824)+IF(COUNTIF(H$1237:H1427,1)=1,5,0)+IF(COUNTIF(I825:$W825,"&gt;"&amp;0)&lt;5,IF(AND(COUNTIF(H$1237:H1427,1)&gt;7,MOD(1+IFERROR(MATCH($C825,总览!$D$46:$D$345,1)+1,1),7)=0),$C$3,0),0)</f>
        <v>576.066666666666</v>
      </c>
      <c r="I825" s="131" cm="1">
        <f ca="1" t="array" ref="I825">IF(I1427=1,OFFSET($W$634,$B825,I$631-1)/SUMPRODUCT(--($D$631:$V$631=I$631),--($D1427:$V1427=1)),0)+SUM(I824)+IF(COUNTIF(I$1237:I1427,1)=1,5,0)+IF(COUNTIF(J825:$W825,"&gt;"&amp;0)&lt;5,IF(AND(COUNTIF(I$1237:I1427,1)&gt;7,MOD(1+IFERROR(MATCH($C825,总览!$D$46:$D$345,1)+1,1),7)=0),$C$3,0),0)</f>
        <v>576.066666666666</v>
      </c>
      <c r="J825" s="131" cm="1">
        <f ca="1" t="array" ref="J825">IF(J1427=1,OFFSET($W$634,$B825,J$631-1)/SUMPRODUCT(--($D$631:$V$631=J$631),--($D1427:$V1427=1)),0)+SUM(J824)+IF(COUNTIF(J$1237:J1427,1)=1,5,0)+IF(COUNTIF(K825:$W825,"&gt;"&amp;0)&lt;5,IF(AND(COUNTIF(J$1237:J1427,1)&gt;7,MOD(1+IFERROR(MATCH($C825,总览!$D$46:$D$345,1)+1,1),7)=0),$C$3,0),0)</f>
        <v>572.733333333333</v>
      </c>
      <c r="K825" s="131" cm="1">
        <f ca="1" t="array" ref="K825">IF(K1427=1,OFFSET($W$634,$B825,K$631-1)/SUMPRODUCT(--($D$631:$V$631=K$631),--($D1427:$V1427=1)),0)+SUM(K824)+IF(COUNTIF(K$1237:K1427,1)=1,5,0)+IF(COUNTIF(L825:$W825,"&gt;"&amp;0)&lt;5,IF(AND(COUNTIF(K$1237:K1427,1)&gt;7,MOD(1+IFERROR(MATCH($C825,总览!$D$46:$D$345,1)+1,1),7)=0),$C$3,0),0)</f>
        <v>570.233333333333</v>
      </c>
      <c r="L825" s="131" cm="1">
        <f ca="1" t="array" ref="L825">IF(L1427=1,OFFSET($W$634,$B825,L$631-1)/SUMPRODUCT(--($D$631:$V$631=L$631),--($D1427:$V1427=1)),0)+SUM(L824)+IF(COUNTIF(L$1237:L1427,1)=1,5,0)+IF(COUNTIF(M825:$W825,"&gt;"&amp;0)&lt;5,IF(AND(COUNTIF(L$1237:L1427,1)&gt;7,MOD(1+IFERROR(MATCH($C825,总览!$D$46:$D$345,1)+1,1),7)=0),$C$3,0),0)</f>
        <v>570.233333333333</v>
      </c>
      <c r="M825" s="131" cm="1">
        <f ca="1" t="array" ref="M825">IF(M1427=1,OFFSET($W$634,$B825,M$631-1)/SUMPRODUCT(--($D$631:$V$631=M$631),--($D1427:$V1427=1)),0)+SUM(M824)+IF(COUNTIF(M$1237:M1427,1)=1,5,0)+IF(COUNTIF(N825:$W825,"&gt;"&amp;0)&lt;5,IF(AND(COUNTIF(M$1237:M1427,1)&gt;7,MOD(1+IFERROR(MATCH($C825,总览!$D$46:$D$345,1)+1,1),7)=0),$C$3,0),0)</f>
        <v>230.60982142857</v>
      </c>
      <c r="N825" s="131" cm="1">
        <f ca="1" t="array" ref="N825">IF(N1427=1,OFFSET($W$634,$B825,N$631-1)/SUMPRODUCT(--($D$631:$V$631=N$631),--($D1427:$V1427=1)),0)+SUM(N824)+IF(COUNTIF(N$1237:N1427,1)=1,5,0)+IF(COUNTIF(O825:$W825,"&gt;"&amp;0)&lt;5,IF(AND(COUNTIF(N$1237:N1427,1)&gt;7,MOD(1+IFERROR(MATCH($C825,总览!$D$46:$D$345,1)+1,1),7)=0),$C$3,0),0)</f>
        <v>231.85982142857</v>
      </c>
      <c r="O825" s="131" cm="1">
        <f ca="1" t="array" ref="O825">IF(O1427=1,OFFSET($W$634,$B825,O$631-1)/SUMPRODUCT(--($D$631:$V$631=O$631),--($D1427:$V1427=1)),0)+SUM(O824)+IF(COUNTIF(O$1237:O1427,1)=1,5,0)+IF(COUNTIF(P825:$W825,"&gt;"&amp;0)&lt;5,IF(AND(COUNTIF(O$1237:O1427,1)&gt;7,MOD(1+IFERROR(MATCH($C825,总览!$D$46:$D$345,1)+1,1),7)=0),$C$3,0),0)</f>
        <v>236.85982142857</v>
      </c>
      <c r="P825" s="131" cm="1">
        <f ca="1" t="array" ref="P825">IF(P1427=1,OFFSET($W$634,$B825,P$631-1)/SUMPRODUCT(--($D$631:$V$631=P$631),--($D1427:$V1427=1)),0)+SUM(P824)+IF(COUNTIF(P$1237:P1427,1)=1,5,0)+IF(COUNTIF(Q825:$W825,"&gt;"&amp;0)&lt;5,IF(AND(COUNTIF(P$1237:P1427,1)&gt;7,MOD(1+IFERROR(MATCH($C825,总览!$D$46:$D$345,1)+1,1),7)=0),$C$3,0),0)</f>
        <v>225.978571428571</v>
      </c>
      <c r="Q825" s="131" cm="1">
        <f ca="1" t="array" ref="Q825">IF(Q1427=1,OFFSET($W$634,$B825,Q$631-1)/SUMPRODUCT(--($D$631:$V$631=Q$631),--($D1427:$V1427=1)),0)+SUM(Q824)+IF(COUNTIF(Q$1237:Q1427,1)=1,5,0)+IF(COUNTIF(R825:$W825,"&gt;"&amp;0)&lt;5,IF(AND(COUNTIF(Q$1237:Q1427,1)&gt;7,MOD(1+IFERROR(MATCH($C825,总览!$D$46:$D$345,1)+1,1),7)=0),$C$3,0),0)</f>
        <v>239.35982142857</v>
      </c>
      <c r="R825" s="131" cm="1">
        <f ca="1" t="array" ref="R825">IF(R1427=1,OFFSET($W$634,$B825,R$631-1)/SUMPRODUCT(--($D$631:$V$631=R$631),--($D1427:$V1427=1)),0)+SUM(R824)+IF(COUNTIF(R$1237:R1427,1)=1,5,0)+IF(COUNTIF(S825:$W825,"&gt;"&amp;0)&lt;5,IF(AND(COUNTIF(R$1237:R1427,1)&gt;7,MOD(1+IFERROR(MATCH($C825,总览!$D$46:$D$345,1)+1,1),7)=0),$C$3,0),0)</f>
        <v>230.97857142857</v>
      </c>
      <c r="S825" s="131" cm="1">
        <f ca="1" t="array" ref="S825">IF(S1427=1,OFFSET($W$634,$B825,S$631-1)/SUMPRODUCT(--($D$631:$V$631=S$631),--($D1427:$V1427=1)),0)+SUM(S824)+IF(COUNTIF(S$1237:S1427,1)=1,5,0)+IF(COUNTIF(T825:$W825,"&gt;"&amp;0)&lt;5,IF(AND(COUNTIF(S$1237:S1427,1)&gt;7,MOD(1+IFERROR(MATCH($C825,总览!$D$46:$D$345,1)+1,1),7)=0),$C$3,0),0)</f>
        <v>323.478571428571</v>
      </c>
      <c r="T825" s="131" cm="1">
        <f ca="1" t="array" ref="T825">IF(T1427=1,OFFSET($W$634,$B825,T$631-1)/SUMPRODUCT(--($D$631:$V$631=T$631),--($D1427:$V1427=1)),0)+SUM(T824)+IF(COUNTIF(T$1237:T1427,1)=1,5,0)+IF(COUNTIF(U825:$W825,"&gt;"&amp;0)&lt;5,IF(AND(COUNTIF(T$1237:T1427,1)&gt;7,MOD(1+IFERROR(MATCH($C825,总览!$D$46:$D$345,1)+1,1),7)=0),$C$3,0),0)</f>
        <v>235.701281878068</v>
      </c>
      <c r="U825" s="131" cm="1">
        <f ca="1" t="array" ref="U825">IF(U1427=1,OFFSET($W$634,$B825,U$631-1)/SUMPRODUCT(--($D$631:$V$631=U$631),--($D1427:$V1427=1)),0)+SUM(U824)+IF(COUNTIF(U$1237:U1427,1)=1,5,0)+IF(COUNTIF(V825:$W825,"&gt;"&amp;0)&lt;5,IF(AND(COUNTIF(U$1237:U1427,1)&gt;7,MOD(1+IFERROR(MATCH($C825,总览!$D$46:$D$345,1)+1,1),7)=0),$C$3,0),0)</f>
        <v>241.222068233368</v>
      </c>
      <c r="V825" s="131" cm="1">
        <f ca="1" t="array" ref="V825">IF(V1427=1,OFFSET($W$634,$B825,V$631-1)/SUMPRODUCT(--($D$631:$V$631=V$631),--($D1427:$V1427=1)),0)+SUM(V824)+IF(COUNTIF(V$1237:V1427,1)=1,5,0)+IF(COUNTIF(W825:$W825,"&gt;"&amp;0)&lt;5,IF(AND(COUNTIF(V$1237:V1427,1)&gt;7,MOD(1+IFERROR(MATCH($C825,总览!$D$46:$D$345,1)+1,1),7)=0),$C$3,0),0)</f>
        <v>261.049067945801</v>
      </c>
      <c r="W825" s="135" cm="1">
        <f ca="1" t="array" ref="W825">SUMPRODUCT(TRANSPOSE($AA825:$AG825),OFFSET($L$9:$L$15,0,W$631-1))</f>
        <v>16.8502200646615</v>
      </c>
      <c r="X825" s="135" cm="1">
        <f ca="1" t="array" ref="X825">SUMPRODUCT(TRANSPOSE($AA825:$AG825),OFFSET($L$9:$L$15,0,X$631-1))</f>
        <v>20</v>
      </c>
      <c r="Y825" s="135" cm="1">
        <f ca="1" t="array" ref="Y825">SUMPRODUCT(TRANSPOSE($AA825:$AG825),OFFSET($L$9:$L$15,0,Y$631-1))</f>
        <v>10</v>
      </c>
      <c r="Z825" s="135" cm="1">
        <f ca="1" t="array" ref="Z825">SUMPRODUCT(TRANSPOSE($AA825:$AG825),OFFSET($L$9:$L$15,0,Z$631-1))</f>
        <v>3.14977993533847</v>
      </c>
      <c r="AA825" s="136">
        <f ca="1" t="shared" ref="AA825:AG825" si="625">AH825-AH824</f>
        <v>0</v>
      </c>
      <c r="AB825" s="136">
        <f ca="1" t="shared" si="625"/>
        <v>0</v>
      </c>
      <c r="AC825" s="136">
        <f ca="1" t="shared" si="625"/>
        <v>0</v>
      </c>
      <c r="AD825" s="136">
        <f ca="1" t="shared" si="625"/>
        <v>0</v>
      </c>
      <c r="AE825" s="136">
        <f ca="1" t="shared" si="625"/>
        <v>0</v>
      </c>
      <c r="AF825" s="136">
        <f ca="1" t="shared" si="625"/>
        <v>0</v>
      </c>
      <c r="AG825" s="136">
        <f ca="1" t="shared" si="625"/>
        <v>100</v>
      </c>
      <c r="AH825" s="136">
        <f ca="1" t="shared" si="501"/>
        <v>450</v>
      </c>
      <c r="AI825" s="136">
        <f ca="1" t="shared" ref="AI825:AN825" si="626">IF($C825&gt;OFFSET($Q$8,MATCH(AI$634,$AH$634:$AN$634,0),0),OFFSET($P$8,MATCH(AI$634,$AH$634:$AN$634,0),0),MAX(0,$C825-OFFSET($Q$8,RIGHT(AI$634,1)-1,0)))</f>
        <v>909</v>
      </c>
      <c r="AJ825" s="136">
        <f ca="1" t="shared" si="626"/>
        <v>1818</v>
      </c>
      <c r="AK825" s="136">
        <f ca="1" t="shared" si="626"/>
        <v>2727</v>
      </c>
      <c r="AL825" s="136">
        <f ca="1" t="shared" si="626"/>
        <v>3636</v>
      </c>
      <c r="AM825" s="136">
        <f ca="1" t="shared" si="626"/>
        <v>4545</v>
      </c>
      <c r="AN825" s="136">
        <f ca="1" t="shared" si="626"/>
        <v>5015</v>
      </c>
    </row>
    <row r="826" s="106" customFormat="1" ht="16.5" spans="2:40">
      <c r="B826" s="117">
        <v>192</v>
      </c>
      <c r="C826" s="130">
        <f t="shared" si="499"/>
        <v>19200</v>
      </c>
      <c r="D826" s="131" cm="1">
        <f ca="1" t="array" ref="D826">IF(D1428=1,OFFSET($W$634,$B826,D$631-1)/SUMPRODUCT(--($D$631:$V$631=D$631),--($D1428:$V1428=1)),0)+SUM(D825)+IF(COUNTIF(D$1237:D1428,1)=1,5,0)+IF(COUNTIF(E826:$W826,"&gt;"&amp;0)&lt;5,IF(AND(COUNTIF(D$1237:D1428,1)&gt;7,MOD(1+IFERROR(MATCH($C826,总览!$D$46:$D$345,1)+1,1),7)=0),$C$3,0),0)</f>
        <v>1406.11760066914</v>
      </c>
      <c r="E826" s="131" cm="1">
        <f ca="1" t="array" ref="E826">IF(E1428=1,OFFSET($W$634,$B826,E$631-1)/SUMPRODUCT(--($D$631:$V$631=E$631),--($D1428:$V1428=1)),0)+SUM(E825)+IF(COUNTIF(E$1237:E1428,1)=1,5,0)+IF(COUNTIF(F826:$W826,"&gt;"&amp;0)&lt;5,IF(AND(COUNTIF(E$1237:E1428,1)&gt;7,MOD(1+IFERROR(MATCH($C826,总览!$D$46:$D$345,1)+1,1),7)=0),$C$3,0),0)</f>
        <v>1406.11760066914</v>
      </c>
      <c r="F826" s="131" cm="1">
        <f ca="1" t="array" ref="F826">IF(F1428=1,OFFSET($W$634,$B826,F$631-1)/SUMPRODUCT(--($D$631:$V$631=F$631),--($D1428:$V1428=1)),0)+SUM(F825)+IF(COUNTIF(F$1237:F1428,1)=1,5,0)+IF(COUNTIF(G826:$W826,"&gt;"&amp;0)&lt;5,IF(AND(COUNTIF(F$1237:F1428,1)&gt;7,MOD(1+IFERROR(MATCH($C826,总览!$D$46:$D$345,1)+1,1),7)=0),$C$3,0),0)</f>
        <v>1406.11760066914</v>
      </c>
      <c r="G826" s="131" cm="1">
        <f ca="1" t="array" ref="G826">IF(G1428=1,OFFSET($W$634,$B826,G$631-1)/SUMPRODUCT(--($D$631:$V$631=G$631),--($D1428:$V1428=1)),0)+SUM(G825)+IF(COUNTIF(G$1237:G1428,1)=1,5,0)+IF(COUNTIF(H826:$W826,"&gt;"&amp;0)&lt;5,IF(AND(COUNTIF(G$1237:G1428,1)&gt;7,MOD(1+IFERROR(MATCH($C826,总览!$D$46:$D$345,1)+1,1),7)=0),$C$3,0),0)</f>
        <v>579.399999999999</v>
      </c>
      <c r="H826" s="131" cm="1">
        <f ca="1" t="array" ref="H826">IF(H1428=1,OFFSET($W$634,$B826,H$631-1)/SUMPRODUCT(--($D$631:$V$631=H$631),--($D1428:$V1428=1)),0)+SUM(H825)+IF(COUNTIF(H$1237:H1428,1)=1,5,0)+IF(COUNTIF(I826:$W826,"&gt;"&amp;0)&lt;5,IF(AND(COUNTIF(H$1237:H1428,1)&gt;7,MOD(1+IFERROR(MATCH($C826,总览!$D$46:$D$345,1)+1,1),7)=0),$C$3,0),0)</f>
        <v>579.399999999999</v>
      </c>
      <c r="I826" s="131" cm="1">
        <f ca="1" t="array" ref="I826">IF(I1428=1,OFFSET($W$634,$B826,I$631-1)/SUMPRODUCT(--($D$631:$V$631=I$631),--($D1428:$V1428=1)),0)+SUM(I825)+IF(COUNTIF(I$1237:I1428,1)=1,5,0)+IF(COUNTIF(J826:$W826,"&gt;"&amp;0)&lt;5,IF(AND(COUNTIF(I$1237:I1428,1)&gt;7,MOD(1+IFERROR(MATCH($C826,总览!$D$46:$D$345,1)+1,1),7)=0),$C$3,0),0)</f>
        <v>579.399999999999</v>
      </c>
      <c r="J826" s="131" cm="1">
        <f ca="1" t="array" ref="J826">IF(J1428=1,OFFSET($W$634,$B826,J$631-1)/SUMPRODUCT(--($D$631:$V$631=J$631),--($D1428:$V1428=1)),0)+SUM(J825)+IF(COUNTIF(J$1237:J1428,1)=1,5,0)+IF(COUNTIF(K826:$W826,"&gt;"&amp;0)&lt;5,IF(AND(COUNTIF(J$1237:J1428,1)&gt;7,MOD(1+IFERROR(MATCH($C826,总览!$D$46:$D$345,1)+1,1),7)=0),$C$3,0),0)</f>
        <v>576.066666666666</v>
      </c>
      <c r="K826" s="131" cm="1">
        <f ca="1" t="array" ref="K826">IF(K1428=1,OFFSET($W$634,$B826,K$631-1)/SUMPRODUCT(--($D$631:$V$631=K$631),--($D1428:$V1428=1)),0)+SUM(K825)+IF(COUNTIF(K$1237:K1428,1)=1,5,0)+IF(COUNTIF(L826:$W826,"&gt;"&amp;0)&lt;5,IF(AND(COUNTIF(K$1237:K1428,1)&gt;7,MOD(1+IFERROR(MATCH($C826,总览!$D$46:$D$345,1)+1,1),7)=0),$C$3,0),0)</f>
        <v>573.566666666666</v>
      </c>
      <c r="L826" s="131" cm="1">
        <f ca="1" t="array" ref="L826">IF(L1428=1,OFFSET($W$634,$B826,L$631-1)/SUMPRODUCT(--($D$631:$V$631=L$631),--($D1428:$V1428=1)),0)+SUM(L825)+IF(COUNTIF(L$1237:L1428,1)=1,5,0)+IF(COUNTIF(M826:$W826,"&gt;"&amp;0)&lt;5,IF(AND(COUNTIF(L$1237:L1428,1)&gt;7,MOD(1+IFERROR(MATCH($C826,总览!$D$46:$D$345,1)+1,1),7)=0),$C$3,0),0)</f>
        <v>573.566666666666</v>
      </c>
      <c r="M826" s="131" cm="1">
        <f ca="1" t="array" ref="M826">IF(M1428=1,OFFSET($W$634,$B826,M$631-1)/SUMPRODUCT(--($D$631:$V$631=M$631),--($D1428:$V1428=1)),0)+SUM(M825)+IF(COUNTIF(M$1237:M1428,1)=1,5,0)+IF(COUNTIF(N826:$W826,"&gt;"&amp;0)&lt;5,IF(AND(COUNTIF(M$1237:M1428,1)&gt;7,MOD(1+IFERROR(MATCH($C826,总览!$D$46:$D$345,1)+1,1),7)=0),$C$3,0),0)</f>
        <v>232.038392857142</v>
      </c>
      <c r="N826" s="131" cm="1">
        <f ca="1" t="array" ref="N826">IF(N1428=1,OFFSET($W$634,$B826,N$631-1)/SUMPRODUCT(--($D$631:$V$631=N$631),--($D1428:$V1428=1)),0)+SUM(N825)+IF(COUNTIF(N$1237:N1428,1)=1,5,0)+IF(COUNTIF(O826:$W826,"&gt;"&amp;0)&lt;5,IF(AND(COUNTIF(N$1237:N1428,1)&gt;7,MOD(1+IFERROR(MATCH($C826,总览!$D$46:$D$345,1)+1,1),7)=0),$C$3,0),0)</f>
        <v>233.288392857142</v>
      </c>
      <c r="O826" s="131" cm="1">
        <f ca="1" t="array" ref="O826">IF(O1428=1,OFFSET($W$634,$B826,O$631-1)/SUMPRODUCT(--($D$631:$V$631=O$631),--($D1428:$V1428=1)),0)+SUM(O825)+IF(COUNTIF(O$1237:O1428,1)=1,5,0)+IF(COUNTIF(P826:$W826,"&gt;"&amp;0)&lt;5,IF(AND(COUNTIF(O$1237:O1428,1)&gt;7,MOD(1+IFERROR(MATCH($C826,总览!$D$46:$D$345,1)+1,1),7)=0),$C$3,0),0)</f>
        <v>238.288392857142</v>
      </c>
      <c r="P826" s="131" cm="1">
        <f ca="1" t="array" ref="P826">IF(P1428=1,OFFSET($W$634,$B826,P$631-1)/SUMPRODUCT(--($D$631:$V$631=P$631),--($D1428:$V1428=1)),0)+SUM(P825)+IF(COUNTIF(P$1237:P1428,1)=1,5,0)+IF(COUNTIF(Q826:$W826,"&gt;"&amp;0)&lt;5,IF(AND(COUNTIF(P$1237:P1428,1)&gt;7,MOD(1+IFERROR(MATCH($C826,总览!$D$46:$D$345,1)+1,1),7)=0),$C$3,0),0)</f>
        <v>227.407142857142</v>
      </c>
      <c r="Q826" s="131" cm="1">
        <f ca="1" t="array" ref="Q826">IF(Q1428=1,OFFSET($W$634,$B826,Q$631-1)/SUMPRODUCT(--($D$631:$V$631=Q$631),--($D1428:$V1428=1)),0)+SUM(Q825)+IF(COUNTIF(Q$1237:Q1428,1)=1,5,0)+IF(COUNTIF(R826:$W826,"&gt;"&amp;0)&lt;5,IF(AND(COUNTIF(Q$1237:Q1428,1)&gt;7,MOD(1+IFERROR(MATCH($C826,总览!$D$46:$D$345,1)+1,1),7)=0),$C$3,0),0)</f>
        <v>240.788392857142</v>
      </c>
      <c r="R826" s="131" cm="1">
        <f ca="1" t="array" ref="R826">IF(R1428=1,OFFSET($W$634,$B826,R$631-1)/SUMPRODUCT(--($D$631:$V$631=R$631),--($D1428:$V1428=1)),0)+SUM(R825)+IF(COUNTIF(R$1237:R1428,1)=1,5,0)+IF(COUNTIF(S826:$W826,"&gt;"&amp;0)&lt;5,IF(AND(COUNTIF(R$1237:R1428,1)&gt;7,MOD(1+IFERROR(MATCH($C826,总览!$D$46:$D$345,1)+1,1),7)=0),$C$3,0),0)</f>
        <v>232.407142857142</v>
      </c>
      <c r="S826" s="131" cm="1">
        <f ca="1" t="array" ref="S826">IF(S1428=1,OFFSET($W$634,$B826,S$631-1)/SUMPRODUCT(--($D$631:$V$631=S$631),--($D1428:$V1428=1)),0)+SUM(S825)+IF(COUNTIF(S$1237:S1428,1)=1,5,0)+IF(COUNTIF(T826:$W826,"&gt;"&amp;0)&lt;5,IF(AND(COUNTIF(S$1237:S1428,1)&gt;7,MOD(1+IFERROR(MATCH($C826,总览!$D$46:$D$345,1)+1,1),7)=0),$C$3,0),0)</f>
        <v>324.907142857143</v>
      </c>
      <c r="T826" s="131" cm="1">
        <f ca="1" t="array" ref="T826">IF(T1428=1,OFFSET($W$634,$B826,T$631-1)/SUMPRODUCT(--($D$631:$V$631=T$631),--($D1428:$V1428=1)),0)+SUM(T825)+IF(COUNTIF(T$1237:T1428,1)=1,5,0)+IF(COUNTIF(U826:$W826,"&gt;"&amp;0)&lt;5,IF(AND(COUNTIF(T$1237:T1428,1)&gt;7,MOD(1+IFERROR(MATCH($C826,总览!$D$46:$D$345,1)+1,1),7)=0),$C$3,0),0)</f>
        <v>236.751208523181</v>
      </c>
      <c r="U826" s="131" cm="1">
        <f ca="1" t="array" ref="U826">IF(U1428=1,OFFSET($W$634,$B826,U$631-1)/SUMPRODUCT(--($D$631:$V$631=U$631),--($D1428:$V1428=1)),0)+SUM(U825)+IF(COUNTIF(U$1237:U1428,1)=1,5,0)+IF(COUNTIF(V826:$W826,"&gt;"&amp;0)&lt;5,IF(AND(COUNTIF(U$1237:U1428,1)&gt;7,MOD(1+IFERROR(MATCH($C826,总览!$D$46:$D$345,1)+1,1),7)=0),$C$3,0),0)</f>
        <v>242.271994878481</v>
      </c>
      <c r="V826" s="131" cm="1">
        <f ca="1" t="array" ref="V826">IF(V1428=1,OFFSET($W$634,$B826,V$631-1)/SUMPRODUCT(--($D$631:$V$631=V$631),--($D1428:$V1428=1)),0)+SUM(V825)+IF(COUNTIF(V$1237:V1428,1)=1,5,0)+IF(COUNTIF(W826:$W826,"&gt;"&amp;0)&lt;5,IF(AND(COUNTIF(V$1237:V1428,1)&gt;7,MOD(1+IFERROR(MATCH($C826,总览!$D$46:$D$345,1)+1,1),7)=0),$C$3,0),0)</f>
        <v>262.098994590914</v>
      </c>
      <c r="W826" s="135" cm="1">
        <f ca="1" t="array" ref="W826">SUMPRODUCT(TRANSPOSE($AA826:$AG826),OFFSET($L$9:$L$15,0,W$631-1))</f>
        <v>16.8502200646615</v>
      </c>
      <c r="X826" s="135" cm="1">
        <f ca="1" t="array" ref="X826">SUMPRODUCT(TRANSPOSE($AA826:$AG826),OFFSET($L$9:$L$15,0,X$631-1))</f>
        <v>20</v>
      </c>
      <c r="Y826" s="135" cm="1">
        <f ca="1" t="array" ref="Y826">SUMPRODUCT(TRANSPOSE($AA826:$AG826),OFFSET($L$9:$L$15,0,Y$631-1))</f>
        <v>10</v>
      </c>
      <c r="Z826" s="135" cm="1">
        <f ca="1" t="array" ref="Z826">SUMPRODUCT(TRANSPOSE($AA826:$AG826),OFFSET($L$9:$L$15,0,Z$631-1))</f>
        <v>3.14977993533847</v>
      </c>
      <c r="AA826" s="136">
        <f ca="1" t="shared" ref="AA826:AG826" si="627">AH826-AH825</f>
        <v>0</v>
      </c>
      <c r="AB826" s="136">
        <f ca="1" t="shared" si="627"/>
        <v>0</v>
      </c>
      <c r="AC826" s="136">
        <f ca="1" t="shared" si="627"/>
        <v>0</v>
      </c>
      <c r="AD826" s="136">
        <f ca="1" t="shared" si="627"/>
        <v>0</v>
      </c>
      <c r="AE826" s="136">
        <f ca="1" t="shared" si="627"/>
        <v>0</v>
      </c>
      <c r="AF826" s="136">
        <f ca="1" t="shared" si="627"/>
        <v>0</v>
      </c>
      <c r="AG826" s="136">
        <f ca="1" t="shared" si="627"/>
        <v>100</v>
      </c>
      <c r="AH826" s="136">
        <f ca="1" t="shared" si="501"/>
        <v>450</v>
      </c>
      <c r="AI826" s="136">
        <f ca="1" t="shared" ref="AI826:AN826" si="628">IF($C826&gt;OFFSET($Q$8,MATCH(AI$634,$AH$634:$AN$634,0),0),OFFSET($P$8,MATCH(AI$634,$AH$634:$AN$634,0),0),MAX(0,$C826-OFFSET($Q$8,RIGHT(AI$634,1)-1,0)))</f>
        <v>909</v>
      </c>
      <c r="AJ826" s="136">
        <f ca="1" t="shared" si="628"/>
        <v>1818</v>
      </c>
      <c r="AK826" s="136">
        <f ca="1" t="shared" si="628"/>
        <v>2727</v>
      </c>
      <c r="AL826" s="136">
        <f ca="1" t="shared" si="628"/>
        <v>3636</v>
      </c>
      <c r="AM826" s="136">
        <f ca="1" t="shared" si="628"/>
        <v>4545</v>
      </c>
      <c r="AN826" s="136">
        <f ca="1" t="shared" si="628"/>
        <v>5115</v>
      </c>
    </row>
    <row r="827" s="106" customFormat="1" ht="16.5" spans="2:40">
      <c r="B827" s="117">
        <v>193</v>
      </c>
      <c r="C827" s="130">
        <f t="shared" ref="C827:C890" si="629">C222</f>
        <v>19300</v>
      </c>
      <c r="D827" s="131" cm="1">
        <f ca="1" t="array" ref="D827">IF(D1429=1,OFFSET($W$634,$B827,D$631-1)/SUMPRODUCT(--($D$631:$V$631=D$631),--($D1429:$V1429=1)),0)+SUM(D826)+IF(COUNTIF(D$1237:D1429,1)=1,5,0)+IF(COUNTIF(E827:$W827,"&gt;"&amp;0)&lt;5,IF(AND(COUNTIF(D$1237:D1429,1)&gt;7,MOD(1+IFERROR(MATCH($C827,总览!$D$46:$D$345,1)+1,1),7)=0),$C$3,0),0)</f>
        <v>1411.73434069069</v>
      </c>
      <c r="E827" s="131" cm="1">
        <f ca="1" t="array" ref="E827">IF(E1429=1,OFFSET($W$634,$B827,E$631-1)/SUMPRODUCT(--($D$631:$V$631=E$631),--($D1429:$V1429=1)),0)+SUM(E826)+IF(COUNTIF(E$1237:E1429,1)=1,5,0)+IF(COUNTIF(F827:$W827,"&gt;"&amp;0)&lt;5,IF(AND(COUNTIF(E$1237:E1429,1)&gt;7,MOD(1+IFERROR(MATCH($C827,总览!$D$46:$D$345,1)+1,1),7)=0),$C$3,0),0)</f>
        <v>1411.73434069069</v>
      </c>
      <c r="F827" s="131" cm="1">
        <f ca="1" t="array" ref="F827">IF(F1429=1,OFFSET($W$634,$B827,F$631-1)/SUMPRODUCT(--($D$631:$V$631=F$631),--($D1429:$V1429=1)),0)+SUM(F826)+IF(COUNTIF(F$1237:F1429,1)=1,5,0)+IF(COUNTIF(G827:$W827,"&gt;"&amp;0)&lt;5,IF(AND(COUNTIF(F$1237:F1429,1)&gt;7,MOD(1+IFERROR(MATCH($C827,总览!$D$46:$D$345,1)+1,1),7)=0),$C$3,0),0)</f>
        <v>1411.73434069069</v>
      </c>
      <c r="G827" s="131" cm="1">
        <f ca="1" t="array" ref="G827">IF(G1429=1,OFFSET($W$634,$B827,G$631-1)/SUMPRODUCT(--($D$631:$V$631=G$631),--($D1429:$V1429=1)),0)+SUM(G826)+IF(COUNTIF(G$1237:G1429,1)=1,5,0)+IF(COUNTIF(H827:$W827,"&gt;"&amp;0)&lt;5,IF(AND(COUNTIF(G$1237:G1429,1)&gt;7,MOD(1+IFERROR(MATCH($C827,总览!$D$46:$D$345,1)+1,1),7)=0),$C$3,0),0)</f>
        <v>582.733333333333</v>
      </c>
      <c r="H827" s="131" cm="1">
        <f ca="1" t="array" ref="H827">IF(H1429=1,OFFSET($W$634,$B827,H$631-1)/SUMPRODUCT(--($D$631:$V$631=H$631),--($D1429:$V1429=1)),0)+SUM(H826)+IF(COUNTIF(H$1237:H1429,1)=1,5,0)+IF(COUNTIF(I827:$W827,"&gt;"&amp;0)&lt;5,IF(AND(COUNTIF(H$1237:H1429,1)&gt;7,MOD(1+IFERROR(MATCH($C827,总览!$D$46:$D$345,1)+1,1),7)=0),$C$3,0),0)</f>
        <v>582.733333333333</v>
      </c>
      <c r="I827" s="131" cm="1">
        <f ca="1" t="array" ref="I827">IF(I1429=1,OFFSET($W$634,$B827,I$631-1)/SUMPRODUCT(--($D$631:$V$631=I$631),--($D1429:$V1429=1)),0)+SUM(I826)+IF(COUNTIF(I$1237:I1429,1)=1,5,0)+IF(COUNTIF(J827:$W827,"&gt;"&amp;0)&lt;5,IF(AND(COUNTIF(I$1237:I1429,1)&gt;7,MOD(1+IFERROR(MATCH($C827,总览!$D$46:$D$345,1)+1,1),7)=0),$C$3,0),0)</f>
        <v>582.733333333333</v>
      </c>
      <c r="J827" s="131" cm="1">
        <f ca="1" t="array" ref="J827">IF(J1429=1,OFFSET($W$634,$B827,J$631-1)/SUMPRODUCT(--($D$631:$V$631=J$631),--($D1429:$V1429=1)),0)+SUM(J826)+IF(COUNTIF(J$1237:J1429,1)=1,5,0)+IF(COUNTIF(K827:$W827,"&gt;"&amp;0)&lt;5,IF(AND(COUNTIF(J$1237:J1429,1)&gt;7,MOD(1+IFERROR(MATCH($C827,总览!$D$46:$D$345,1)+1,1),7)=0),$C$3,0),0)</f>
        <v>579.399999999999</v>
      </c>
      <c r="K827" s="131" cm="1">
        <f ca="1" t="array" ref="K827">IF(K1429=1,OFFSET($W$634,$B827,K$631-1)/SUMPRODUCT(--($D$631:$V$631=K$631),--($D1429:$V1429=1)),0)+SUM(K826)+IF(COUNTIF(K$1237:K1429,1)=1,5,0)+IF(COUNTIF(L827:$W827,"&gt;"&amp;0)&lt;5,IF(AND(COUNTIF(K$1237:K1429,1)&gt;7,MOD(1+IFERROR(MATCH($C827,总览!$D$46:$D$345,1)+1,1),7)=0),$C$3,0),0)</f>
        <v>576.899999999999</v>
      </c>
      <c r="L827" s="131" cm="1">
        <f ca="1" t="array" ref="L827">IF(L1429=1,OFFSET($W$634,$B827,L$631-1)/SUMPRODUCT(--($D$631:$V$631=L$631),--($D1429:$V1429=1)),0)+SUM(L826)+IF(COUNTIF(L$1237:L1429,1)=1,5,0)+IF(COUNTIF(M827:$W827,"&gt;"&amp;0)&lt;5,IF(AND(COUNTIF(L$1237:L1429,1)&gt;7,MOD(1+IFERROR(MATCH($C827,总览!$D$46:$D$345,1)+1,1),7)=0),$C$3,0),0)</f>
        <v>576.899999999999</v>
      </c>
      <c r="M827" s="131" cm="1">
        <f ca="1" t="array" ref="M827">IF(M1429=1,OFFSET($W$634,$B827,M$631-1)/SUMPRODUCT(--($D$631:$V$631=M$631),--($D1429:$V1429=1)),0)+SUM(M826)+IF(COUNTIF(M$1237:M1429,1)=1,5,0)+IF(COUNTIF(N827:$W827,"&gt;"&amp;0)&lt;5,IF(AND(COUNTIF(M$1237:M1429,1)&gt;7,MOD(1+IFERROR(MATCH($C827,总览!$D$46:$D$345,1)+1,1),7)=0),$C$3,0),0)</f>
        <v>233.466964285713</v>
      </c>
      <c r="N827" s="131" cm="1">
        <f ca="1" t="array" ref="N827">IF(N1429=1,OFFSET($W$634,$B827,N$631-1)/SUMPRODUCT(--($D$631:$V$631=N$631),--($D1429:$V1429=1)),0)+SUM(N826)+IF(COUNTIF(N$1237:N1429,1)=1,5,0)+IF(COUNTIF(O827:$W827,"&gt;"&amp;0)&lt;5,IF(AND(COUNTIF(N$1237:N1429,1)&gt;7,MOD(1+IFERROR(MATCH($C827,总览!$D$46:$D$345,1)+1,1),7)=0),$C$3,0),0)</f>
        <v>234.716964285713</v>
      </c>
      <c r="O827" s="131" cm="1">
        <f ca="1" t="array" ref="O827">IF(O1429=1,OFFSET($W$634,$B827,O$631-1)/SUMPRODUCT(--($D$631:$V$631=O$631),--($D1429:$V1429=1)),0)+SUM(O826)+IF(COUNTIF(O$1237:O1429,1)=1,5,0)+IF(COUNTIF(P827:$W827,"&gt;"&amp;0)&lt;5,IF(AND(COUNTIF(O$1237:O1429,1)&gt;7,MOD(1+IFERROR(MATCH($C827,总览!$D$46:$D$345,1)+1,1),7)=0),$C$3,0),0)</f>
        <v>239.716964285713</v>
      </c>
      <c r="P827" s="131" cm="1">
        <f ca="1" t="array" ref="P827">IF(P1429=1,OFFSET($W$634,$B827,P$631-1)/SUMPRODUCT(--($D$631:$V$631=P$631),--($D1429:$V1429=1)),0)+SUM(P826)+IF(COUNTIF(P$1237:P1429,1)=1,5,0)+IF(COUNTIF(Q827:$W827,"&gt;"&amp;0)&lt;5,IF(AND(COUNTIF(P$1237:P1429,1)&gt;7,MOD(1+IFERROR(MATCH($C827,总览!$D$46:$D$345,1)+1,1),7)=0),$C$3,0),0)</f>
        <v>228.835714285713</v>
      </c>
      <c r="Q827" s="131" cm="1">
        <f ca="1" t="array" ref="Q827">IF(Q1429=1,OFFSET($W$634,$B827,Q$631-1)/SUMPRODUCT(--($D$631:$V$631=Q$631),--($D1429:$V1429=1)),0)+SUM(Q826)+IF(COUNTIF(Q$1237:Q1429,1)=1,5,0)+IF(COUNTIF(R827:$W827,"&gt;"&amp;0)&lt;5,IF(AND(COUNTIF(Q$1237:Q1429,1)&gt;7,MOD(1+IFERROR(MATCH($C827,总览!$D$46:$D$345,1)+1,1),7)=0),$C$3,0),0)</f>
        <v>242.216964285713</v>
      </c>
      <c r="R827" s="131" cm="1">
        <f ca="1" t="array" ref="R827">IF(R1429=1,OFFSET($W$634,$B827,R$631-1)/SUMPRODUCT(--($D$631:$V$631=R$631),--($D1429:$V1429=1)),0)+SUM(R826)+IF(COUNTIF(R$1237:R1429,1)=1,5,0)+IF(COUNTIF(S827:$W827,"&gt;"&amp;0)&lt;5,IF(AND(COUNTIF(R$1237:R1429,1)&gt;7,MOD(1+IFERROR(MATCH($C827,总览!$D$46:$D$345,1)+1,1),7)=0),$C$3,0),0)</f>
        <v>233.835714285713</v>
      </c>
      <c r="S827" s="131" cm="1">
        <f ca="1" t="array" ref="S827">IF(S1429=1,OFFSET($W$634,$B827,S$631-1)/SUMPRODUCT(--($D$631:$V$631=S$631),--($D1429:$V1429=1)),0)+SUM(S826)+IF(COUNTIF(S$1237:S1429,1)=1,5,0)+IF(COUNTIF(T827:$W827,"&gt;"&amp;0)&lt;5,IF(AND(COUNTIF(S$1237:S1429,1)&gt;7,MOD(1+IFERROR(MATCH($C827,总览!$D$46:$D$345,1)+1,1),7)=0),$C$3,0),0)</f>
        <v>326.335714285714</v>
      </c>
      <c r="T827" s="131" cm="1">
        <f ca="1" t="array" ref="T827">IF(T1429=1,OFFSET($W$634,$B827,T$631-1)/SUMPRODUCT(--($D$631:$V$631=T$631),--($D1429:$V1429=1)),0)+SUM(T826)+IF(COUNTIF(T$1237:T1429,1)=1,5,0)+IF(COUNTIF(U827:$W827,"&gt;"&amp;0)&lt;5,IF(AND(COUNTIF(T$1237:T1429,1)&gt;7,MOD(1+IFERROR(MATCH($C827,总览!$D$46:$D$345,1)+1,1),7)=0),$C$3,0),0)</f>
        <v>237.801135168294</v>
      </c>
      <c r="U827" s="131" cm="1">
        <f ca="1" t="array" ref="U827">IF(U1429=1,OFFSET($W$634,$B827,U$631-1)/SUMPRODUCT(--($D$631:$V$631=U$631),--($D1429:$V1429=1)),0)+SUM(U826)+IF(COUNTIF(U$1237:U1429,1)=1,5,0)+IF(COUNTIF(V827:$W827,"&gt;"&amp;0)&lt;5,IF(AND(COUNTIF(U$1237:U1429,1)&gt;7,MOD(1+IFERROR(MATCH($C827,总览!$D$46:$D$345,1)+1,1),7)=0),$C$3,0),0)</f>
        <v>243.321921523593</v>
      </c>
      <c r="V827" s="131" cm="1">
        <f ca="1" t="array" ref="V827">IF(V1429=1,OFFSET($W$634,$B827,V$631-1)/SUMPRODUCT(--($D$631:$V$631=V$631),--($D1429:$V1429=1)),0)+SUM(V826)+IF(COUNTIF(V$1237:V1429,1)=1,5,0)+IF(COUNTIF(W827:$W827,"&gt;"&amp;0)&lt;5,IF(AND(COUNTIF(V$1237:V1429,1)&gt;7,MOD(1+IFERROR(MATCH($C827,总览!$D$46:$D$345,1)+1,1),7)=0),$C$3,0),0)</f>
        <v>263.148921236027</v>
      </c>
      <c r="W827" s="135" cm="1">
        <f ca="1" t="array" ref="W827">SUMPRODUCT(TRANSPOSE($AA827:$AG827),OFFSET($L$9:$L$15,0,W$631-1))</f>
        <v>16.8502200646615</v>
      </c>
      <c r="X827" s="135" cm="1">
        <f ca="1" t="array" ref="X827">SUMPRODUCT(TRANSPOSE($AA827:$AG827),OFFSET($L$9:$L$15,0,X$631-1))</f>
        <v>20</v>
      </c>
      <c r="Y827" s="135" cm="1">
        <f ca="1" t="array" ref="Y827">SUMPRODUCT(TRANSPOSE($AA827:$AG827),OFFSET($L$9:$L$15,0,Y$631-1))</f>
        <v>10</v>
      </c>
      <c r="Z827" s="135" cm="1">
        <f ca="1" t="array" ref="Z827">SUMPRODUCT(TRANSPOSE($AA827:$AG827),OFFSET($L$9:$L$15,0,Z$631-1))</f>
        <v>3.14977993533847</v>
      </c>
      <c r="AA827" s="136">
        <f ca="1" t="shared" ref="AA827:AG827" si="630">AH827-AH826</f>
        <v>0</v>
      </c>
      <c r="AB827" s="136">
        <f ca="1" t="shared" si="630"/>
        <v>0</v>
      </c>
      <c r="AC827" s="136">
        <f ca="1" t="shared" si="630"/>
        <v>0</v>
      </c>
      <c r="AD827" s="136">
        <f ca="1" t="shared" si="630"/>
        <v>0</v>
      </c>
      <c r="AE827" s="136">
        <f ca="1" t="shared" si="630"/>
        <v>0</v>
      </c>
      <c r="AF827" s="136">
        <f ca="1" t="shared" si="630"/>
        <v>0</v>
      </c>
      <c r="AG827" s="136">
        <f ca="1" t="shared" si="630"/>
        <v>100</v>
      </c>
      <c r="AH827" s="136">
        <f ca="1" t="shared" ref="AH827:AH890" si="631">IF($C827&gt;OFFSET($Q$8,MATCH(AH$634,$AH$634:$AN$634,0),0),OFFSET($P$8,MATCH(AH$634,$AH$634:$AN$634,0),0),$C827)</f>
        <v>450</v>
      </c>
      <c r="AI827" s="136">
        <f ca="1" t="shared" ref="AI827:AN827" si="632">IF($C827&gt;OFFSET($Q$8,MATCH(AI$634,$AH$634:$AN$634,0),0),OFFSET($P$8,MATCH(AI$634,$AH$634:$AN$634,0),0),MAX(0,$C827-OFFSET($Q$8,RIGHT(AI$634,1)-1,0)))</f>
        <v>909</v>
      </c>
      <c r="AJ827" s="136">
        <f ca="1" t="shared" si="632"/>
        <v>1818</v>
      </c>
      <c r="AK827" s="136">
        <f ca="1" t="shared" si="632"/>
        <v>2727</v>
      </c>
      <c r="AL827" s="136">
        <f ca="1" t="shared" si="632"/>
        <v>3636</v>
      </c>
      <c r="AM827" s="136">
        <f ca="1" t="shared" si="632"/>
        <v>4545</v>
      </c>
      <c r="AN827" s="136">
        <f ca="1" t="shared" si="632"/>
        <v>5215</v>
      </c>
    </row>
    <row r="828" s="106" customFormat="1" ht="16.5" spans="2:40">
      <c r="B828" s="117">
        <v>194</v>
      </c>
      <c r="C828" s="130">
        <f t="shared" si="629"/>
        <v>19400</v>
      </c>
      <c r="D828" s="131" cm="1">
        <f ca="1" t="array" ref="D828">IF(D1430=1,OFFSET($W$634,$B828,D$631-1)/SUMPRODUCT(--($D$631:$V$631=D$631),--($D1430:$V1430=1)),0)+SUM(D827)+IF(COUNTIF(D$1237:D1430,1)=1,5,0)+IF(COUNTIF(E828:$W828,"&gt;"&amp;0)&lt;5,IF(AND(COUNTIF(D$1237:D1430,1)&gt;7,MOD(1+IFERROR(MATCH($C828,总览!$D$46:$D$345,1)+1,1),7)=0),$C$3,0),0)</f>
        <v>1417.35108071225</v>
      </c>
      <c r="E828" s="131" cm="1">
        <f ca="1" t="array" ref="E828">IF(E1430=1,OFFSET($W$634,$B828,E$631-1)/SUMPRODUCT(--($D$631:$V$631=E$631),--($D1430:$V1430=1)),0)+SUM(E827)+IF(COUNTIF(E$1237:E1430,1)=1,5,0)+IF(COUNTIF(F828:$W828,"&gt;"&amp;0)&lt;5,IF(AND(COUNTIF(E$1237:E1430,1)&gt;7,MOD(1+IFERROR(MATCH($C828,总览!$D$46:$D$345,1)+1,1),7)=0),$C$3,0),0)</f>
        <v>1417.35108071225</v>
      </c>
      <c r="F828" s="131" cm="1">
        <f ca="1" t="array" ref="F828">IF(F1430=1,OFFSET($W$634,$B828,F$631-1)/SUMPRODUCT(--($D$631:$V$631=F$631),--($D1430:$V1430=1)),0)+SUM(F827)+IF(COUNTIF(F$1237:F1430,1)=1,5,0)+IF(COUNTIF(G828:$W828,"&gt;"&amp;0)&lt;5,IF(AND(COUNTIF(F$1237:F1430,1)&gt;7,MOD(1+IFERROR(MATCH($C828,总览!$D$46:$D$345,1)+1,1),7)=0),$C$3,0),0)</f>
        <v>1417.35108071225</v>
      </c>
      <c r="G828" s="131" cm="1">
        <f ca="1" t="array" ref="G828">IF(G1430=1,OFFSET($W$634,$B828,G$631-1)/SUMPRODUCT(--($D$631:$V$631=G$631),--($D1430:$V1430=1)),0)+SUM(G827)+IF(COUNTIF(G$1237:G1430,1)=1,5,0)+IF(COUNTIF(H828:$W828,"&gt;"&amp;0)&lt;5,IF(AND(COUNTIF(G$1237:G1430,1)&gt;7,MOD(1+IFERROR(MATCH($C828,总览!$D$46:$D$345,1)+1,1),7)=0),$C$3,0),0)</f>
        <v>586.066666666666</v>
      </c>
      <c r="H828" s="131" cm="1">
        <f ca="1" t="array" ref="H828">IF(H1430=1,OFFSET($W$634,$B828,H$631-1)/SUMPRODUCT(--($D$631:$V$631=H$631),--($D1430:$V1430=1)),0)+SUM(H827)+IF(COUNTIF(H$1237:H1430,1)=1,5,0)+IF(COUNTIF(I828:$W828,"&gt;"&amp;0)&lt;5,IF(AND(COUNTIF(H$1237:H1430,1)&gt;7,MOD(1+IFERROR(MATCH($C828,总览!$D$46:$D$345,1)+1,1),7)=0),$C$3,0),0)</f>
        <v>586.066666666666</v>
      </c>
      <c r="I828" s="131" cm="1">
        <f ca="1" t="array" ref="I828">IF(I1430=1,OFFSET($W$634,$B828,I$631-1)/SUMPRODUCT(--($D$631:$V$631=I$631),--($D1430:$V1430=1)),0)+SUM(I827)+IF(COUNTIF(I$1237:I1430,1)=1,5,0)+IF(COUNTIF(J828:$W828,"&gt;"&amp;0)&lt;5,IF(AND(COUNTIF(I$1237:I1430,1)&gt;7,MOD(1+IFERROR(MATCH($C828,总览!$D$46:$D$345,1)+1,1),7)=0),$C$3,0),0)</f>
        <v>586.066666666666</v>
      </c>
      <c r="J828" s="131" cm="1">
        <f ca="1" t="array" ref="J828">IF(J1430=1,OFFSET($W$634,$B828,J$631-1)/SUMPRODUCT(--($D$631:$V$631=J$631),--($D1430:$V1430=1)),0)+SUM(J827)+IF(COUNTIF(J$1237:J1430,1)=1,5,0)+IF(COUNTIF(K828:$W828,"&gt;"&amp;0)&lt;5,IF(AND(COUNTIF(J$1237:J1430,1)&gt;7,MOD(1+IFERROR(MATCH($C828,总览!$D$46:$D$345,1)+1,1),7)=0),$C$3,0),0)</f>
        <v>582.733333333333</v>
      </c>
      <c r="K828" s="131" cm="1">
        <f ca="1" t="array" ref="K828">IF(K1430=1,OFFSET($W$634,$B828,K$631-1)/SUMPRODUCT(--($D$631:$V$631=K$631),--($D1430:$V1430=1)),0)+SUM(K827)+IF(COUNTIF(K$1237:K1430,1)=1,5,0)+IF(COUNTIF(L828:$W828,"&gt;"&amp;0)&lt;5,IF(AND(COUNTIF(K$1237:K1430,1)&gt;7,MOD(1+IFERROR(MATCH($C828,总览!$D$46:$D$345,1)+1,1),7)=0),$C$3,0),0)</f>
        <v>580.233333333333</v>
      </c>
      <c r="L828" s="131" cm="1">
        <f ca="1" t="array" ref="L828">IF(L1430=1,OFFSET($W$634,$B828,L$631-1)/SUMPRODUCT(--($D$631:$V$631=L$631),--($D1430:$V1430=1)),0)+SUM(L827)+IF(COUNTIF(L$1237:L1430,1)=1,5,0)+IF(COUNTIF(M828:$W828,"&gt;"&amp;0)&lt;5,IF(AND(COUNTIF(L$1237:L1430,1)&gt;7,MOD(1+IFERROR(MATCH($C828,总览!$D$46:$D$345,1)+1,1),7)=0),$C$3,0),0)</f>
        <v>580.233333333333</v>
      </c>
      <c r="M828" s="131" cm="1">
        <f ca="1" t="array" ref="M828">IF(M1430=1,OFFSET($W$634,$B828,M$631-1)/SUMPRODUCT(--($D$631:$V$631=M$631),--($D1430:$V1430=1)),0)+SUM(M827)+IF(COUNTIF(M$1237:M1430,1)=1,5,0)+IF(COUNTIF(N828:$W828,"&gt;"&amp;0)&lt;5,IF(AND(COUNTIF(M$1237:M1430,1)&gt;7,MOD(1+IFERROR(MATCH($C828,总览!$D$46:$D$345,1)+1,1),7)=0),$C$3,0),0)</f>
        <v>234.895535714285</v>
      </c>
      <c r="N828" s="131" cm="1">
        <f ca="1" t="array" ref="N828">IF(N1430=1,OFFSET($W$634,$B828,N$631-1)/SUMPRODUCT(--($D$631:$V$631=N$631),--($D1430:$V1430=1)),0)+SUM(N827)+IF(COUNTIF(N$1237:N1430,1)=1,5,0)+IF(COUNTIF(O828:$W828,"&gt;"&amp;0)&lt;5,IF(AND(COUNTIF(N$1237:N1430,1)&gt;7,MOD(1+IFERROR(MATCH($C828,总览!$D$46:$D$345,1)+1,1),7)=0),$C$3,0),0)</f>
        <v>236.145535714285</v>
      </c>
      <c r="O828" s="131" cm="1">
        <f ca="1" t="array" ref="O828">IF(O1430=1,OFFSET($W$634,$B828,O$631-1)/SUMPRODUCT(--($D$631:$V$631=O$631),--($D1430:$V1430=1)),0)+SUM(O827)+IF(COUNTIF(O$1237:O1430,1)=1,5,0)+IF(COUNTIF(P828:$W828,"&gt;"&amp;0)&lt;5,IF(AND(COUNTIF(O$1237:O1430,1)&gt;7,MOD(1+IFERROR(MATCH($C828,总览!$D$46:$D$345,1)+1,1),7)=0),$C$3,0),0)</f>
        <v>241.145535714285</v>
      </c>
      <c r="P828" s="131" cm="1">
        <f ca="1" t="array" ref="P828">IF(P1430=1,OFFSET($W$634,$B828,P$631-1)/SUMPRODUCT(--($D$631:$V$631=P$631),--($D1430:$V1430=1)),0)+SUM(P827)+IF(COUNTIF(P$1237:P1430,1)=1,5,0)+IF(COUNTIF(Q828:$W828,"&gt;"&amp;0)&lt;5,IF(AND(COUNTIF(P$1237:P1430,1)&gt;7,MOD(1+IFERROR(MATCH($C828,总览!$D$46:$D$345,1)+1,1),7)=0),$C$3,0),0)</f>
        <v>230.264285714285</v>
      </c>
      <c r="Q828" s="131" cm="1">
        <f ca="1" t="array" ref="Q828">IF(Q1430=1,OFFSET($W$634,$B828,Q$631-1)/SUMPRODUCT(--($D$631:$V$631=Q$631),--($D1430:$V1430=1)),0)+SUM(Q827)+IF(COUNTIF(Q$1237:Q1430,1)=1,5,0)+IF(COUNTIF(R828:$W828,"&gt;"&amp;0)&lt;5,IF(AND(COUNTIF(Q$1237:Q1430,1)&gt;7,MOD(1+IFERROR(MATCH($C828,总览!$D$46:$D$345,1)+1,1),7)=0),$C$3,0),0)</f>
        <v>243.645535714285</v>
      </c>
      <c r="R828" s="131" cm="1">
        <f ca="1" t="array" ref="R828">IF(R1430=1,OFFSET($W$634,$B828,R$631-1)/SUMPRODUCT(--($D$631:$V$631=R$631),--($D1430:$V1430=1)),0)+SUM(R827)+IF(COUNTIF(R$1237:R1430,1)=1,5,0)+IF(COUNTIF(S828:$W828,"&gt;"&amp;0)&lt;5,IF(AND(COUNTIF(R$1237:R1430,1)&gt;7,MOD(1+IFERROR(MATCH($C828,总览!$D$46:$D$345,1)+1,1),7)=0),$C$3,0),0)</f>
        <v>235.264285714285</v>
      </c>
      <c r="S828" s="131" cm="1">
        <f ca="1" t="array" ref="S828">IF(S1430=1,OFFSET($W$634,$B828,S$631-1)/SUMPRODUCT(--($D$631:$V$631=S$631),--($D1430:$V1430=1)),0)+SUM(S827)+IF(COUNTIF(S$1237:S1430,1)=1,5,0)+IF(COUNTIF(T828:$W828,"&gt;"&amp;0)&lt;5,IF(AND(COUNTIF(S$1237:S1430,1)&gt;7,MOD(1+IFERROR(MATCH($C828,总览!$D$46:$D$345,1)+1,1),7)=0),$C$3,0),0)</f>
        <v>327.764285714285</v>
      </c>
      <c r="T828" s="131" cm="1">
        <f ca="1" t="array" ref="T828">IF(T1430=1,OFFSET($W$634,$B828,T$631-1)/SUMPRODUCT(--($D$631:$V$631=T$631),--($D1430:$V1430=1)),0)+SUM(T827)+IF(COUNTIF(T$1237:T1430,1)=1,5,0)+IF(COUNTIF(U828:$W828,"&gt;"&amp;0)&lt;5,IF(AND(COUNTIF(T$1237:T1430,1)&gt;7,MOD(1+IFERROR(MATCH($C828,总览!$D$46:$D$345,1)+1,1),7)=0),$C$3,0),0)</f>
        <v>238.851061813407</v>
      </c>
      <c r="U828" s="131" cm="1">
        <f ca="1" t="array" ref="U828">IF(U1430=1,OFFSET($W$634,$B828,U$631-1)/SUMPRODUCT(--($D$631:$V$631=U$631),--($D1430:$V1430=1)),0)+SUM(U827)+IF(COUNTIF(U$1237:U1430,1)=1,5,0)+IF(COUNTIF(V828:$W828,"&gt;"&amp;0)&lt;5,IF(AND(COUNTIF(U$1237:U1430,1)&gt;7,MOD(1+IFERROR(MATCH($C828,总览!$D$46:$D$345,1)+1,1),7)=0),$C$3,0),0)</f>
        <v>244.371848168706</v>
      </c>
      <c r="V828" s="131" cm="1">
        <f ca="1" t="array" ref="V828">IF(V1430=1,OFFSET($W$634,$B828,V$631-1)/SUMPRODUCT(--($D$631:$V$631=V$631),--($D1430:$V1430=1)),0)+SUM(V827)+IF(COUNTIF(V$1237:V1430,1)=1,5,0)+IF(COUNTIF(W828:$W828,"&gt;"&amp;0)&lt;5,IF(AND(COUNTIF(V$1237:V1430,1)&gt;7,MOD(1+IFERROR(MATCH($C828,总览!$D$46:$D$345,1)+1,1),7)=0),$C$3,0),0)</f>
        <v>264.19884788114</v>
      </c>
      <c r="W828" s="135" cm="1">
        <f ca="1" t="array" ref="W828">SUMPRODUCT(TRANSPOSE($AA828:$AG828),OFFSET($L$9:$L$15,0,W$631-1))</f>
        <v>16.8502200646615</v>
      </c>
      <c r="X828" s="135" cm="1">
        <f ca="1" t="array" ref="X828">SUMPRODUCT(TRANSPOSE($AA828:$AG828),OFFSET($L$9:$L$15,0,X$631-1))</f>
        <v>20</v>
      </c>
      <c r="Y828" s="135" cm="1">
        <f ca="1" t="array" ref="Y828">SUMPRODUCT(TRANSPOSE($AA828:$AG828),OFFSET($L$9:$L$15,0,Y$631-1))</f>
        <v>10</v>
      </c>
      <c r="Z828" s="135" cm="1">
        <f ca="1" t="array" ref="Z828">SUMPRODUCT(TRANSPOSE($AA828:$AG828),OFFSET($L$9:$L$15,0,Z$631-1))</f>
        <v>3.14977993533847</v>
      </c>
      <c r="AA828" s="136">
        <f ca="1" t="shared" ref="AA828:AG828" si="633">AH828-AH827</f>
        <v>0</v>
      </c>
      <c r="AB828" s="136">
        <f ca="1" t="shared" si="633"/>
        <v>0</v>
      </c>
      <c r="AC828" s="136">
        <f ca="1" t="shared" si="633"/>
        <v>0</v>
      </c>
      <c r="AD828" s="136">
        <f ca="1" t="shared" si="633"/>
        <v>0</v>
      </c>
      <c r="AE828" s="136">
        <f ca="1" t="shared" si="633"/>
        <v>0</v>
      </c>
      <c r="AF828" s="136">
        <f ca="1" t="shared" si="633"/>
        <v>0</v>
      </c>
      <c r="AG828" s="136">
        <f ca="1" t="shared" si="633"/>
        <v>100</v>
      </c>
      <c r="AH828" s="136">
        <f ca="1" t="shared" si="631"/>
        <v>450</v>
      </c>
      <c r="AI828" s="136">
        <f ca="1" t="shared" ref="AI828:AN828" si="634">IF($C828&gt;OFFSET($Q$8,MATCH(AI$634,$AH$634:$AN$634,0),0),OFFSET($P$8,MATCH(AI$634,$AH$634:$AN$634,0),0),MAX(0,$C828-OFFSET($Q$8,RIGHT(AI$634,1)-1,0)))</f>
        <v>909</v>
      </c>
      <c r="AJ828" s="136">
        <f ca="1" t="shared" si="634"/>
        <v>1818</v>
      </c>
      <c r="AK828" s="136">
        <f ca="1" t="shared" si="634"/>
        <v>2727</v>
      </c>
      <c r="AL828" s="136">
        <f ca="1" t="shared" si="634"/>
        <v>3636</v>
      </c>
      <c r="AM828" s="136">
        <f ca="1" t="shared" si="634"/>
        <v>4545</v>
      </c>
      <c r="AN828" s="136">
        <f ca="1" t="shared" si="634"/>
        <v>5315</v>
      </c>
    </row>
    <row r="829" s="106" customFormat="1" ht="16.5" spans="2:40">
      <c r="B829" s="117">
        <v>195</v>
      </c>
      <c r="C829" s="130">
        <f t="shared" si="629"/>
        <v>19500</v>
      </c>
      <c r="D829" s="131" cm="1">
        <f ca="1" t="array" ref="D829">IF(D1431=1,OFFSET($W$634,$B829,D$631-1)/SUMPRODUCT(--($D$631:$V$631=D$631),--($D1431:$V1431=1)),0)+SUM(D828)+IF(COUNTIF(D$1237:D1431,1)=1,5,0)+IF(COUNTIF(E829:$W829,"&gt;"&amp;0)&lt;5,IF(AND(COUNTIF(D$1237:D1431,1)&gt;7,MOD(1+IFERROR(MATCH($C829,总览!$D$46:$D$345,1)+1,1),7)=0),$C$3,0),0)</f>
        <v>1422.9678207338</v>
      </c>
      <c r="E829" s="131" cm="1">
        <f ca="1" t="array" ref="E829">IF(E1431=1,OFFSET($W$634,$B829,E$631-1)/SUMPRODUCT(--($D$631:$V$631=E$631),--($D1431:$V1431=1)),0)+SUM(E828)+IF(COUNTIF(E$1237:E1431,1)=1,5,0)+IF(COUNTIF(F829:$W829,"&gt;"&amp;0)&lt;5,IF(AND(COUNTIF(E$1237:E1431,1)&gt;7,MOD(1+IFERROR(MATCH($C829,总览!$D$46:$D$345,1)+1,1),7)=0),$C$3,0),0)</f>
        <v>1422.9678207338</v>
      </c>
      <c r="F829" s="131" cm="1">
        <f ca="1" t="array" ref="F829">IF(F1431=1,OFFSET($W$634,$B829,F$631-1)/SUMPRODUCT(--($D$631:$V$631=F$631),--($D1431:$V1431=1)),0)+SUM(F828)+IF(COUNTIF(F$1237:F1431,1)=1,5,0)+IF(COUNTIF(G829:$W829,"&gt;"&amp;0)&lt;5,IF(AND(COUNTIF(F$1237:F1431,1)&gt;7,MOD(1+IFERROR(MATCH($C829,总览!$D$46:$D$345,1)+1,1),7)=0),$C$3,0),0)</f>
        <v>1422.9678207338</v>
      </c>
      <c r="G829" s="131" cm="1">
        <f ca="1" t="array" ref="G829">IF(G1431=1,OFFSET($W$634,$B829,G$631-1)/SUMPRODUCT(--($D$631:$V$631=G$631),--($D1431:$V1431=1)),0)+SUM(G828)+IF(COUNTIF(G$1237:G1431,1)=1,5,0)+IF(COUNTIF(H829:$W829,"&gt;"&amp;0)&lt;5,IF(AND(COUNTIF(G$1237:G1431,1)&gt;7,MOD(1+IFERROR(MATCH($C829,总览!$D$46:$D$345,1)+1,1),7)=0),$C$3,0),0)</f>
        <v>589.4</v>
      </c>
      <c r="H829" s="131" cm="1">
        <f ca="1" t="array" ref="H829">IF(H1431=1,OFFSET($W$634,$B829,H$631-1)/SUMPRODUCT(--($D$631:$V$631=H$631),--($D1431:$V1431=1)),0)+SUM(H828)+IF(COUNTIF(H$1237:H1431,1)=1,5,0)+IF(COUNTIF(I829:$W829,"&gt;"&amp;0)&lt;5,IF(AND(COUNTIF(H$1237:H1431,1)&gt;7,MOD(1+IFERROR(MATCH($C829,总览!$D$46:$D$345,1)+1,1),7)=0),$C$3,0),0)</f>
        <v>589.4</v>
      </c>
      <c r="I829" s="131" cm="1">
        <f ca="1" t="array" ref="I829">IF(I1431=1,OFFSET($W$634,$B829,I$631-1)/SUMPRODUCT(--($D$631:$V$631=I$631),--($D1431:$V1431=1)),0)+SUM(I828)+IF(COUNTIF(I$1237:I1431,1)=1,5,0)+IF(COUNTIF(J829:$W829,"&gt;"&amp;0)&lt;5,IF(AND(COUNTIF(I$1237:I1431,1)&gt;7,MOD(1+IFERROR(MATCH($C829,总览!$D$46:$D$345,1)+1,1),7)=0),$C$3,0),0)</f>
        <v>589.4</v>
      </c>
      <c r="J829" s="131" cm="1">
        <f ca="1" t="array" ref="J829">IF(J1431=1,OFFSET($W$634,$B829,J$631-1)/SUMPRODUCT(--($D$631:$V$631=J$631),--($D1431:$V1431=1)),0)+SUM(J828)+IF(COUNTIF(J$1237:J1431,1)=1,5,0)+IF(COUNTIF(K829:$W829,"&gt;"&amp;0)&lt;5,IF(AND(COUNTIF(J$1237:J1431,1)&gt;7,MOD(1+IFERROR(MATCH($C829,总览!$D$46:$D$345,1)+1,1),7)=0),$C$3,0),0)</f>
        <v>586.066666666666</v>
      </c>
      <c r="K829" s="131" cm="1">
        <f ca="1" t="array" ref="K829">IF(K1431=1,OFFSET($W$634,$B829,K$631-1)/SUMPRODUCT(--($D$631:$V$631=K$631),--($D1431:$V1431=1)),0)+SUM(K828)+IF(COUNTIF(K$1237:K1431,1)=1,5,0)+IF(COUNTIF(L829:$W829,"&gt;"&amp;0)&lt;5,IF(AND(COUNTIF(K$1237:K1431,1)&gt;7,MOD(1+IFERROR(MATCH($C829,总览!$D$46:$D$345,1)+1,1),7)=0),$C$3,0),0)</f>
        <v>583.566666666666</v>
      </c>
      <c r="L829" s="131" cm="1">
        <f ca="1" t="array" ref="L829">IF(L1431=1,OFFSET($W$634,$B829,L$631-1)/SUMPRODUCT(--($D$631:$V$631=L$631),--($D1431:$V1431=1)),0)+SUM(L828)+IF(COUNTIF(L$1237:L1431,1)=1,5,0)+IF(COUNTIF(M829:$W829,"&gt;"&amp;0)&lt;5,IF(AND(COUNTIF(L$1237:L1431,1)&gt;7,MOD(1+IFERROR(MATCH($C829,总览!$D$46:$D$345,1)+1,1),7)=0),$C$3,0),0)</f>
        <v>583.566666666666</v>
      </c>
      <c r="M829" s="131" cm="1">
        <f ca="1" t="array" ref="M829">IF(M1431=1,OFFSET($W$634,$B829,M$631-1)/SUMPRODUCT(--($D$631:$V$631=M$631),--($D1431:$V1431=1)),0)+SUM(M828)+IF(COUNTIF(M$1237:M1431,1)=1,5,0)+IF(COUNTIF(N829:$W829,"&gt;"&amp;0)&lt;5,IF(AND(COUNTIF(M$1237:M1431,1)&gt;7,MOD(1+IFERROR(MATCH($C829,总览!$D$46:$D$345,1)+1,1),7)=0),$C$3,0),0)</f>
        <v>236.324107142856</v>
      </c>
      <c r="N829" s="131" cm="1">
        <f ca="1" t="array" ref="N829">IF(N1431=1,OFFSET($W$634,$B829,N$631-1)/SUMPRODUCT(--($D$631:$V$631=N$631),--($D1431:$V1431=1)),0)+SUM(N828)+IF(COUNTIF(N$1237:N1431,1)=1,5,0)+IF(COUNTIF(O829:$W829,"&gt;"&amp;0)&lt;5,IF(AND(COUNTIF(N$1237:N1431,1)&gt;7,MOD(1+IFERROR(MATCH($C829,总览!$D$46:$D$345,1)+1,1),7)=0),$C$3,0),0)</f>
        <v>237.574107142856</v>
      </c>
      <c r="O829" s="131" cm="1">
        <f ca="1" t="array" ref="O829">IF(O1431=1,OFFSET($W$634,$B829,O$631-1)/SUMPRODUCT(--($D$631:$V$631=O$631),--($D1431:$V1431=1)),0)+SUM(O828)+IF(COUNTIF(O$1237:O1431,1)=1,5,0)+IF(COUNTIF(P829:$W829,"&gt;"&amp;0)&lt;5,IF(AND(COUNTIF(O$1237:O1431,1)&gt;7,MOD(1+IFERROR(MATCH($C829,总览!$D$46:$D$345,1)+1,1),7)=0),$C$3,0),0)</f>
        <v>242.574107142856</v>
      </c>
      <c r="P829" s="131" cm="1">
        <f ca="1" t="array" ref="P829">IF(P1431=1,OFFSET($W$634,$B829,P$631-1)/SUMPRODUCT(--($D$631:$V$631=P$631),--($D1431:$V1431=1)),0)+SUM(P828)+IF(COUNTIF(P$1237:P1431,1)=1,5,0)+IF(COUNTIF(Q829:$W829,"&gt;"&amp;0)&lt;5,IF(AND(COUNTIF(P$1237:P1431,1)&gt;7,MOD(1+IFERROR(MATCH($C829,总览!$D$46:$D$345,1)+1,1),7)=0),$C$3,0),0)</f>
        <v>231.692857142856</v>
      </c>
      <c r="Q829" s="131" cm="1">
        <f ca="1" t="array" ref="Q829">IF(Q1431=1,OFFSET($W$634,$B829,Q$631-1)/SUMPRODUCT(--($D$631:$V$631=Q$631),--($D1431:$V1431=1)),0)+SUM(Q828)+IF(COUNTIF(Q$1237:Q1431,1)=1,5,0)+IF(COUNTIF(R829:$W829,"&gt;"&amp;0)&lt;5,IF(AND(COUNTIF(Q$1237:Q1431,1)&gt;7,MOD(1+IFERROR(MATCH($C829,总览!$D$46:$D$345,1)+1,1),7)=0),$C$3,0),0)</f>
        <v>245.074107142856</v>
      </c>
      <c r="R829" s="131" cm="1">
        <f ca="1" t="array" ref="R829">IF(R1431=1,OFFSET($W$634,$B829,R$631-1)/SUMPRODUCT(--($D$631:$V$631=R$631),--($D1431:$V1431=1)),0)+SUM(R828)+IF(COUNTIF(R$1237:R1431,1)=1,5,0)+IF(COUNTIF(S829:$W829,"&gt;"&amp;0)&lt;5,IF(AND(COUNTIF(R$1237:R1431,1)&gt;7,MOD(1+IFERROR(MATCH($C829,总览!$D$46:$D$345,1)+1,1),7)=0),$C$3,0),0)</f>
        <v>236.692857142856</v>
      </c>
      <c r="S829" s="131" cm="1">
        <f ca="1" t="array" ref="S829">IF(S1431=1,OFFSET($W$634,$B829,S$631-1)/SUMPRODUCT(--($D$631:$V$631=S$631),--($D1431:$V1431=1)),0)+SUM(S828)+IF(COUNTIF(S$1237:S1431,1)=1,5,0)+IF(COUNTIF(T829:$W829,"&gt;"&amp;0)&lt;5,IF(AND(COUNTIF(S$1237:S1431,1)&gt;7,MOD(1+IFERROR(MATCH($C829,总览!$D$46:$D$345,1)+1,1),7)=0),$C$3,0),0)</f>
        <v>329.192857142857</v>
      </c>
      <c r="T829" s="131" cm="1">
        <f ca="1" t="array" ref="T829">IF(T1431=1,OFFSET($W$634,$B829,T$631-1)/SUMPRODUCT(--($D$631:$V$631=T$631),--($D1431:$V1431=1)),0)+SUM(T828)+IF(COUNTIF(T$1237:T1431,1)=1,5,0)+IF(COUNTIF(U829:$W829,"&gt;"&amp;0)&lt;5,IF(AND(COUNTIF(T$1237:T1431,1)&gt;7,MOD(1+IFERROR(MATCH($C829,总览!$D$46:$D$345,1)+1,1),7)=0),$C$3,0),0)</f>
        <v>239.900988458519</v>
      </c>
      <c r="U829" s="131" cm="1">
        <f ca="1" t="array" ref="U829">IF(U1431=1,OFFSET($W$634,$B829,U$631-1)/SUMPRODUCT(--($D$631:$V$631=U$631),--($D1431:$V1431=1)),0)+SUM(U828)+IF(COUNTIF(U$1237:U1431,1)=1,5,0)+IF(COUNTIF(V829:$W829,"&gt;"&amp;0)&lt;5,IF(AND(COUNTIF(U$1237:U1431,1)&gt;7,MOD(1+IFERROR(MATCH($C829,总览!$D$46:$D$345,1)+1,1),7)=0),$C$3,0),0)</f>
        <v>245.421774813819</v>
      </c>
      <c r="V829" s="131" cm="1">
        <f ca="1" t="array" ref="V829">IF(V1431=1,OFFSET($W$634,$B829,V$631-1)/SUMPRODUCT(--($D$631:$V$631=V$631),--($D1431:$V1431=1)),0)+SUM(V828)+IF(COUNTIF(V$1237:V1431,1)=1,5,0)+IF(COUNTIF(W829:$W829,"&gt;"&amp;0)&lt;5,IF(AND(COUNTIF(V$1237:V1431,1)&gt;7,MOD(1+IFERROR(MATCH($C829,总览!$D$46:$D$345,1)+1,1),7)=0),$C$3,0),0)</f>
        <v>265.248774526252</v>
      </c>
      <c r="W829" s="135" cm="1">
        <f ca="1" t="array" ref="W829">SUMPRODUCT(TRANSPOSE($AA829:$AG829),OFFSET($L$9:$L$15,0,W$631-1))</f>
        <v>16.8502200646615</v>
      </c>
      <c r="X829" s="135" cm="1">
        <f ca="1" t="array" ref="X829">SUMPRODUCT(TRANSPOSE($AA829:$AG829),OFFSET($L$9:$L$15,0,X$631-1))</f>
        <v>20</v>
      </c>
      <c r="Y829" s="135" cm="1">
        <f ca="1" t="array" ref="Y829">SUMPRODUCT(TRANSPOSE($AA829:$AG829),OFFSET($L$9:$L$15,0,Y$631-1))</f>
        <v>10</v>
      </c>
      <c r="Z829" s="135" cm="1">
        <f ca="1" t="array" ref="Z829">SUMPRODUCT(TRANSPOSE($AA829:$AG829),OFFSET($L$9:$L$15,0,Z$631-1))</f>
        <v>3.14977993533847</v>
      </c>
      <c r="AA829" s="136">
        <f ca="1" t="shared" ref="AA829:AG829" si="635">AH829-AH828</f>
        <v>0</v>
      </c>
      <c r="AB829" s="136">
        <f ca="1" t="shared" si="635"/>
        <v>0</v>
      </c>
      <c r="AC829" s="136">
        <f ca="1" t="shared" si="635"/>
        <v>0</v>
      </c>
      <c r="AD829" s="136">
        <f ca="1" t="shared" si="635"/>
        <v>0</v>
      </c>
      <c r="AE829" s="136">
        <f ca="1" t="shared" si="635"/>
        <v>0</v>
      </c>
      <c r="AF829" s="136">
        <f ca="1" t="shared" si="635"/>
        <v>0</v>
      </c>
      <c r="AG829" s="136">
        <f ca="1" t="shared" si="635"/>
        <v>100</v>
      </c>
      <c r="AH829" s="136">
        <f ca="1" t="shared" si="631"/>
        <v>450</v>
      </c>
      <c r="AI829" s="136">
        <f ca="1" t="shared" ref="AI829:AN829" si="636">IF($C829&gt;OFFSET($Q$8,MATCH(AI$634,$AH$634:$AN$634,0),0),OFFSET($P$8,MATCH(AI$634,$AH$634:$AN$634,0),0),MAX(0,$C829-OFFSET($Q$8,RIGHT(AI$634,1)-1,0)))</f>
        <v>909</v>
      </c>
      <c r="AJ829" s="136">
        <f ca="1" t="shared" si="636"/>
        <v>1818</v>
      </c>
      <c r="AK829" s="136">
        <f ca="1" t="shared" si="636"/>
        <v>2727</v>
      </c>
      <c r="AL829" s="136">
        <f ca="1" t="shared" si="636"/>
        <v>3636</v>
      </c>
      <c r="AM829" s="136">
        <f ca="1" t="shared" si="636"/>
        <v>4545</v>
      </c>
      <c r="AN829" s="136">
        <f ca="1" t="shared" si="636"/>
        <v>5415</v>
      </c>
    </row>
    <row r="830" s="106" customFormat="1" ht="16.5" spans="2:40">
      <c r="B830" s="117">
        <v>196</v>
      </c>
      <c r="C830" s="130">
        <f t="shared" si="629"/>
        <v>19600</v>
      </c>
      <c r="D830" s="131" cm="1">
        <f ca="1" t="array" ref="D830">IF(D1432=1,OFFSET($W$634,$B830,D$631-1)/SUMPRODUCT(--($D$631:$V$631=D$631),--($D1432:$V1432=1)),0)+SUM(D829)+IF(COUNTIF(D$1237:D1432,1)=1,5,0)+IF(COUNTIF(E830:$W830,"&gt;"&amp;0)&lt;5,IF(AND(COUNTIF(D$1237:D1432,1)&gt;7,MOD(1+IFERROR(MATCH($C830,总览!$D$46:$D$345,1)+1,1),7)=0),$C$3,0),0)</f>
        <v>1428.58456075536</v>
      </c>
      <c r="E830" s="131" cm="1">
        <f ca="1" t="array" ref="E830">IF(E1432=1,OFFSET($W$634,$B830,E$631-1)/SUMPRODUCT(--($D$631:$V$631=E$631),--($D1432:$V1432=1)),0)+SUM(E829)+IF(COUNTIF(E$1237:E1432,1)=1,5,0)+IF(COUNTIF(F830:$W830,"&gt;"&amp;0)&lt;5,IF(AND(COUNTIF(E$1237:E1432,1)&gt;7,MOD(1+IFERROR(MATCH($C830,总览!$D$46:$D$345,1)+1,1),7)=0),$C$3,0),0)</f>
        <v>1428.58456075536</v>
      </c>
      <c r="F830" s="131" cm="1">
        <f ca="1" t="array" ref="F830">IF(F1432=1,OFFSET($W$634,$B830,F$631-1)/SUMPRODUCT(--($D$631:$V$631=F$631),--($D1432:$V1432=1)),0)+SUM(F829)+IF(COUNTIF(F$1237:F1432,1)=1,5,0)+IF(COUNTIF(G830:$W830,"&gt;"&amp;0)&lt;5,IF(AND(COUNTIF(F$1237:F1432,1)&gt;7,MOD(1+IFERROR(MATCH($C830,总览!$D$46:$D$345,1)+1,1),7)=0),$C$3,0),0)</f>
        <v>1428.58456075536</v>
      </c>
      <c r="G830" s="131" cm="1">
        <f ca="1" t="array" ref="G830">IF(G1432=1,OFFSET($W$634,$B830,G$631-1)/SUMPRODUCT(--($D$631:$V$631=G$631),--($D1432:$V1432=1)),0)+SUM(G829)+IF(COUNTIF(G$1237:G1432,1)=1,5,0)+IF(COUNTIF(H830:$W830,"&gt;"&amp;0)&lt;5,IF(AND(COUNTIF(G$1237:G1432,1)&gt;7,MOD(1+IFERROR(MATCH($C830,总览!$D$46:$D$345,1)+1,1),7)=0),$C$3,0),0)</f>
        <v>592.733333333333</v>
      </c>
      <c r="H830" s="131" cm="1">
        <f ca="1" t="array" ref="H830">IF(H1432=1,OFFSET($W$634,$B830,H$631-1)/SUMPRODUCT(--($D$631:$V$631=H$631),--($D1432:$V1432=1)),0)+SUM(H829)+IF(COUNTIF(H$1237:H1432,1)=1,5,0)+IF(COUNTIF(I830:$W830,"&gt;"&amp;0)&lt;5,IF(AND(COUNTIF(H$1237:H1432,1)&gt;7,MOD(1+IFERROR(MATCH($C830,总览!$D$46:$D$345,1)+1,1),7)=0),$C$3,0),0)</f>
        <v>592.733333333333</v>
      </c>
      <c r="I830" s="131" cm="1">
        <f ca="1" t="array" ref="I830">IF(I1432=1,OFFSET($W$634,$B830,I$631-1)/SUMPRODUCT(--($D$631:$V$631=I$631),--($D1432:$V1432=1)),0)+SUM(I829)+IF(COUNTIF(I$1237:I1432,1)=1,5,0)+IF(COUNTIF(J830:$W830,"&gt;"&amp;0)&lt;5,IF(AND(COUNTIF(I$1237:I1432,1)&gt;7,MOD(1+IFERROR(MATCH($C830,总览!$D$46:$D$345,1)+1,1),7)=0),$C$3,0),0)</f>
        <v>592.733333333333</v>
      </c>
      <c r="J830" s="131" cm="1">
        <f ca="1" t="array" ref="J830">IF(J1432=1,OFFSET($W$634,$B830,J$631-1)/SUMPRODUCT(--($D$631:$V$631=J$631),--($D1432:$V1432=1)),0)+SUM(J829)+IF(COUNTIF(J$1237:J1432,1)=1,5,0)+IF(COUNTIF(K830:$W830,"&gt;"&amp;0)&lt;5,IF(AND(COUNTIF(J$1237:J1432,1)&gt;7,MOD(1+IFERROR(MATCH($C830,总览!$D$46:$D$345,1)+1,1),7)=0),$C$3,0),0)</f>
        <v>589.4</v>
      </c>
      <c r="K830" s="131" cm="1">
        <f ca="1" t="array" ref="K830">IF(K1432=1,OFFSET($W$634,$B830,K$631-1)/SUMPRODUCT(--($D$631:$V$631=K$631),--($D1432:$V1432=1)),0)+SUM(K829)+IF(COUNTIF(K$1237:K1432,1)=1,5,0)+IF(COUNTIF(L830:$W830,"&gt;"&amp;0)&lt;5,IF(AND(COUNTIF(K$1237:K1432,1)&gt;7,MOD(1+IFERROR(MATCH($C830,总览!$D$46:$D$345,1)+1,1),7)=0),$C$3,0),0)</f>
        <v>586.9</v>
      </c>
      <c r="L830" s="131" cm="1">
        <f ca="1" t="array" ref="L830">IF(L1432=1,OFFSET($W$634,$B830,L$631-1)/SUMPRODUCT(--($D$631:$V$631=L$631),--($D1432:$V1432=1)),0)+SUM(L829)+IF(COUNTIF(L$1237:L1432,1)=1,5,0)+IF(COUNTIF(M830:$W830,"&gt;"&amp;0)&lt;5,IF(AND(COUNTIF(L$1237:L1432,1)&gt;7,MOD(1+IFERROR(MATCH($C830,总览!$D$46:$D$345,1)+1,1),7)=0),$C$3,0),0)</f>
        <v>586.9</v>
      </c>
      <c r="M830" s="131" cm="1">
        <f ca="1" t="array" ref="M830">IF(M1432=1,OFFSET($W$634,$B830,M$631-1)/SUMPRODUCT(--($D$631:$V$631=M$631),--($D1432:$V1432=1)),0)+SUM(M829)+IF(COUNTIF(M$1237:M1432,1)=1,5,0)+IF(COUNTIF(N830:$W830,"&gt;"&amp;0)&lt;5,IF(AND(COUNTIF(M$1237:M1432,1)&gt;7,MOD(1+IFERROR(MATCH($C830,总览!$D$46:$D$345,1)+1,1),7)=0),$C$3,0),0)</f>
        <v>237.752678571428</v>
      </c>
      <c r="N830" s="131" cm="1">
        <f ca="1" t="array" ref="N830">IF(N1432=1,OFFSET($W$634,$B830,N$631-1)/SUMPRODUCT(--($D$631:$V$631=N$631),--($D1432:$V1432=1)),0)+SUM(N829)+IF(COUNTIF(N$1237:N1432,1)=1,5,0)+IF(COUNTIF(O830:$W830,"&gt;"&amp;0)&lt;5,IF(AND(COUNTIF(N$1237:N1432,1)&gt;7,MOD(1+IFERROR(MATCH($C830,总览!$D$46:$D$345,1)+1,1),7)=0),$C$3,0),0)</f>
        <v>239.002678571428</v>
      </c>
      <c r="O830" s="131" cm="1">
        <f ca="1" t="array" ref="O830">IF(O1432=1,OFFSET($W$634,$B830,O$631-1)/SUMPRODUCT(--($D$631:$V$631=O$631),--($D1432:$V1432=1)),0)+SUM(O829)+IF(COUNTIF(O$1237:O1432,1)=1,5,0)+IF(COUNTIF(P830:$W830,"&gt;"&amp;0)&lt;5,IF(AND(COUNTIF(O$1237:O1432,1)&gt;7,MOD(1+IFERROR(MATCH($C830,总览!$D$46:$D$345,1)+1,1),7)=0),$C$3,0),0)</f>
        <v>244.002678571427</v>
      </c>
      <c r="P830" s="131" cm="1">
        <f ca="1" t="array" ref="P830">IF(P1432=1,OFFSET($W$634,$B830,P$631-1)/SUMPRODUCT(--($D$631:$V$631=P$631),--($D1432:$V1432=1)),0)+SUM(P829)+IF(COUNTIF(P$1237:P1432,1)=1,5,0)+IF(COUNTIF(Q830:$W830,"&gt;"&amp;0)&lt;5,IF(AND(COUNTIF(P$1237:P1432,1)&gt;7,MOD(1+IFERROR(MATCH($C830,总览!$D$46:$D$345,1)+1,1),7)=0),$C$3,0),0)</f>
        <v>233.121428571428</v>
      </c>
      <c r="Q830" s="131" cm="1">
        <f ca="1" t="array" ref="Q830">IF(Q1432=1,OFFSET($W$634,$B830,Q$631-1)/SUMPRODUCT(--($D$631:$V$631=Q$631),--($D1432:$V1432=1)),0)+SUM(Q829)+IF(COUNTIF(Q$1237:Q1432,1)=1,5,0)+IF(COUNTIF(R830:$W830,"&gt;"&amp;0)&lt;5,IF(AND(COUNTIF(Q$1237:Q1432,1)&gt;7,MOD(1+IFERROR(MATCH($C830,总览!$D$46:$D$345,1)+1,1),7)=0),$C$3,0),0)</f>
        <v>246.502678571427</v>
      </c>
      <c r="R830" s="131" cm="1">
        <f ca="1" t="array" ref="R830">IF(R1432=1,OFFSET($W$634,$B830,R$631-1)/SUMPRODUCT(--($D$631:$V$631=R$631),--($D1432:$V1432=1)),0)+SUM(R829)+IF(COUNTIF(R$1237:R1432,1)=1,5,0)+IF(COUNTIF(S830:$W830,"&gt;"&amp;0)&lt;5,IF(AND(COUNTIF(R$1237:R1432,1)&gt;7,MOD(1+IFERROR(MATCH($C830,总览!$D$46:$D$345,1)+1,1),7)=0),$C$3,0),0)</f>
        <v>238.121428571428</v>
      </c>
      <c r="S830" s="131" cm="1">
        <f ca="1" t="array" ref="S830">IF(S1432=1,OFFSET($W$634,$B830,S$631-1)/SUMPRODUCT(--($D$631:$V$631=S$631),--($D1432:$V1432=1)),0)+SUM(S829)+IF(COUNTIF(S$1237:S1432,1)=1,5,0)+IF(COUNTIF(T830:$W830,"&gt;"&amp;0)&lt;5,IF(AND(COUNTIF(S$1237:S1432,1)&gt;7,MOD(1+IFERROR(MATCH($C830,总览!$D$46:$D$345,1)+1,1),7)=0),$C$3,0),0)</f>
        <v>330.621428571428</v>
      </c>
      <c r="T830" s="131" cm="1">
        <f ca="1" t="array" ref="T830">IF(T1432=1,OFFSET($W$634,$B830,T$631-1)/SUMPRODUCT(--($D$631:$V$631=T$631),--($D1432:$V1432=1)),0)+SUM(T829)+IF(COUNTIF(T$1237:T1432,1)=1,5,0)+IF(COUNTIF(U830:$W830,"&gt;"&amp;0)&lt;5,IF(AND(COUNTIF(T$1237:T1432,1)&gt;7,MOD(1+IFERROR(MATCH($C830,总览!$D$46:$D$345,1)+1,1),7)=0),$C$3,0),0)</f>
        <v>240.950915103632</v>
      </c>
      <c r="U830" s="131" cm="1">
        <f ca="1" t="array" ref="U830">IF(U1432=1,OFFSET($W$634,$B830,U$631-1)/SUMPRODUCT(--($D$631:$V$631=U$631),--($D1432:$V1432=1)),0)+SUM(U829)+IF(COUNTIF(U$1237:U1432,1)=1,5,0)+IF(COUNTIF(V830:$W830,"&gt;"&amp;0)&lt;5,IF(AND(COUNTIF(U$1237:U1432,1)&gt;7,MOD(1+IFERROR(MATCH($C830,总览!$D$46:$D$345,1)+1,1),7)=0),$C$3,0),0)</f>
        <v>246.471701458932</v>
      </c>
      <c r="V830" s="131" cm="1">
        <f ca="1" t="array" ref="V830">IF(V1432=1,OFFSET($W$634,$B830,V$631-1)/SUMPRODUCT(--($D$631:$V$631=V$631),--($D1432:$V1432=1)),0)+SUM(V829)+IF(COUNTIF(V$1237:V1432,1)=1,5,0)+IF(COUNTIF(W830:$W830,"&gt;"&amp;0)&lt;5,IF(AND(COUNTIF(V$1237:V1432,1)&gt;7,MOD(1+IFERROR(MATCH($C830,总览!$D$46:$D$345,1)+1,1),7)=0),$C$3,0),0)</f>
        <v>266.298701171365</v>
      </c>
      <c r="W830" s="135" cm="1">
        <f ca="1" t="array" ref="W830">SUMPRODUCT(TRANSPOSE($AA830:$AG830),OFFSET($L$9:$L$15,0,W$631-1))</f>
        <v>16.8502200646615</v>
      </c>
      <c r="X830" s="135" cm="1">
        <f ca="1" t="array" ref="X830">SUMPRODUCT(TRANSPOSE($AA830:$AG830),OFFSET($L$9:$L$15,0,X$631-1))</f>
        <v>20</v>
      </c>
      <c r="Y830" s="135" cm="1">
        <f ca="1" t="array" ref="Y830">SUMPRODUCT(TRANSPOSE($AA830:$AG830),OFFSET($L$9:$L$15,0,Y$631-1))</f>
        <v>10</v>
      </c>
      <c r="Z830" s="135" cm="1">
        <f ca="1" t="array" ref="Z830">SUMPRODUCT(TRANSPOSE($AA830:$AG830),OFFSET($L$9:$L$15,0,Z$631-1))</f>
        <v>3.14977993533847</v>
      </c>
      <c r="AA830" s="136">
        <f ca="1" t="shared" ref="AA830:AG830" si="637">AH830-AH829</f>
        <v>0</v>
      </c>
      <c r="AB830" s="136">
        <f ca="1" t="shared" si="637"/>
        <v>0</v>
      </c>
      <c r="AC830" s="136">
        <f ca="1" t="shared" si="637"/>
        <v>0</v>
      </c>
      <c r="AD830" s="136">
        <f ca="1" t="shared" si="637"/>
        <v>0</v>
      </c>
      <c r="AE830" s="136">
        <f ca="1" t="shared" si="637"/>
        <v>0</v>
      </c>
      <c r="AF830" s="136">
        <f ca="1" t="shared" si="637"/>
        <v>0</v>
      </c>
      <c r="AG830" s="136">
        <f ca="1" t="shared" si="637"/>
        <v>100</v>
      </c>
      <c r="AH830" s="136">
        <f ca="1" t="shared" si="631"/>
        <v>450</v>
      </c>
      <c r="AI830" s="136">
        <f ca="1" t="shared" ref="AI830:AN830" si="638">IF($C830&gt;OFFSET($Q$8,MATCH(AI$634,$AH$634:$AN$634,0),0),OFFSET($P$8,MATCH(AI$634,$AH$634:$AN$634,0),0),MAX(0,$C830-OFFSET($Q$8,RIGHT(AI$634,1)-1,0)))</f>
        <v>909</v>
      </c>
      <c r="AJ830" s="136">
        <f ca="1" t="shared" si="638"/>
        <v>1818</v>
      </c>
      <c r="AK830" s="136">
        <f ca="1" t="shared" si="638"/>
        <v>2727</v>
      </c>
      <c r="AL830" s="136">
        <f ca="1" t="shared" si="638"/>
        <v>3636</v>
      </c>
      <c r="AM830" s="136">
        <f ca="1" t="shared" si="638"/>
        <v>4545</v>
      </c>
      <c r="AN830" s="136">
        <f ca="1" t="shared" si="638"/>
        <v>5515</v>
      </c>
    </row>
    <row r="831" s="106" customFormat="1" ht="16.5" spans="2:40">
      <c r="B831" s="117">
        <v>197</v>
      </c>
      <c r="C831" s="130">
        <f t="shared" si="629"/>
        <v>19700</v>
      </c>
      <c r="D831" s="131" cm="1">
        <f ca="1" t="array" ref="D831">IF(D1433=1,OFFSET($W$634,$B831,D$631-1)/SUMPRODUCT(--($D$631:$V$631=D$631),--($D1433:$V1433=1)),0)+SUM(D830)+IF(COUNTIF(D$1237:D1433,1)=1,5,0)+IF(COUNTIF(E831:$W831,"&gt;"&amp;0)&lt;5,IF(AND(COUNTIF(D$1237:D1433,1)&gt;7,MOD(1+IFERROR(MATCH($C831,总览!$D$46:$D$345,1)+1,1),7)=0),$C$3,0),0)</f>
        <v>1434.20130077691</v>
      </c>
      <c r="E831" s="131" cm="1">
        <f ca="1" t="array" ref="E831">IF(E1433=1,OFFSET($W$634,$B831,E$631-1)/SUMPRODUCT(--($D$631:$V$631=E$631),--($D1433:$V1433=1)),0)+SUM(E830)+IF(COUNTIF(E$1237:E1433,1)=1,5,0)+IF(COUNTIF(F831:$W831,"&gt;"&amp;0)&lt;5,IF(AND(COUNTIF(E$1237:E1433,1)&gt;7,MOD(1+IFERROR(MATCH($C831,总览!$D$46:$D$345,1)+1,1),7)=0),$C$3,0),0)</f>
        <v>1434.20130077691</v>
      </c>
      <c r="F831" s="131" cm="1">
        <f ca="1" t="array" ref="F831">IF(F1433=1,OFFSET($W$634,$B831,F$631-1)/SUMPRODUCT(--($D$631:$V$631=F$631),--($D1433:$V1433=1)),0)+SUM(F830)+IF(COUNTIF(F$1237:F1433,1)=1,5,0)+IF(COUNTIF(G831:$W831,"&gt;"&amp;0)&lt;5,IF(AND(COUNTIF(F$1237:F1433,1)&gt;7,MOD(1+IFERROR(MATCH($C831,总览!$D$46:$D$345,1)+1,1),7)=0),$C$3,0),0)</f>
        <v>1434.20130077691</v>
      </c>
      <c r="G831" s="131" cm="1">
        <f ca="1" t="array" ref="G831">IF(G1433=1,OFFSET($W$634,$B831,G$631-1)/SUMPRODUCT(--($D$631:$V$631=G$631),--($D1433:$V1433=1)),0)+SUM(G830)+IF(COUNTIF(G$1237:G1433,1)=1,5,0)+IF(COUNTIF(H831:$W831,"&gt;"&amp;0)&lt;5,IF(AND(COUNTIF(G$1237:G1433,1)&gt;7,MOD(1+IFERROR(MATCH($C831,总览!$D$46:$D$345,1)+1,1),7)=0),$C$3,0),0)</f>
        <v>596.066666666666</v>
      </c>
      <c r="H831" s="131" cm="1">
        <f ca="1" t="array" ref="H831">IF(H1433=1,OFFSET($W$634,$B831,H$631-1)/SUMPRODUCT(--($D$631:$V$631=H$631),--($D1433:$V1433=1)),0)+SUM(H830)+IF(COUNTIF(H$1237:H1433,1)=1,5,0)+IF(COUNTIF(I831:$W831,"&gt;"&amp;0)&lt;5,IF(AND(COUNTIF(H$1237:H1433,1)&gt;7,MOD(1+IFERROR(MATCH($C831,总览!$D$46:$D$345,1)+1,1),7)=0),$C$3,0),0)</f>
        <v>596.066666666666</v>
      </c>
      <c r="I831" s="131" cm="1">
        <f ca="1" t="array" ref="I831">IF(I1433=1,OFFSET($W$634,$B831,I$631-1)/SUMPRODUCT(--($D$631:$V$631=I$631),--($D1433:$V1433=1)),0)+SUM(I830)+IF(COUNTIF(I$1237:I1433,1)=1,5,0)+IF(COUNTIF(J831:$W831,"&gt;"&amp;0)&lt;5,IF(AND(COUNTIF(I$1237:I1433,1)&gt;7,MOD(1+IFERROR(MATCH($C831,总览!$D$46:$D$345,1)+1,1),7)=0),$C$3,0),0)</f>
        <v>596.066666666666</v>
      </c>
      <c r="J831" s="131" cm="1">
        <f ca="1" t="array" ref="J831">IF(J1433=1,OFFSET($W$634,$B831,J$631-1)/SUMPRODUCT(--($D$631:$V$631=J$631),--($D1433:$V1433=1)),0)+SUM(J830)+IF(COUNTIF(J$1237:J1433,1)=1,5,0)+IF(COUNTIF(K831:$W831,"&gt;"&amp;0)&lt;5,IF(AND(COUNTIF(J$1237:J1433,1)&gt;7,MOD(1+IFERROR(MATCH($C831,总览!$D$46:$D$345,1)+1,1),7)=0),$C$3,0),0)</f>
        <v>592.733333333333</v>
      </c>
      <c r="K831" s="131" cm="1">
        <f ca="1" t="array" ref="K831">IF(K1433=1,OFFSET($W$634,$B831,K$631-1)/SUMPRODUCT(--($D$631:$V$631=K$631),--($D1433:$V1433=1)),0)+SUM(K830)+IF(COUNTIF(K$1237:K1433,1)=1,5,0)+IF(COUNTIF(L831:$W831,"&gt;"&amp;0)&lt;5,IF(AND(COUNTIF(K$1237:K1433,1)&gt;7,MOD(1+IFERROR(MATCH($C831,总览!$D$46:$D$345,1)+1,1),7)=0),$C$3,0),0)</f>
        <v>590.233333333333</v>
      </c>
      <c r="L831" s="131" cm="1">
        <f ca="1" t="array" ref="L831">IF(L1433=1,OFFSET($W$634,$B831,L$631-1)/SUMPRODUCT(--($D$631:$V$631=L$631),--($D1433:$V1433=1)),0)+SUM(L830)+IF(COUNTIF(L$1237:L1433,1)=1,5,0)+IF(COUNTIF(M831:$W831,"&gt;"&amp;0)&lt;5,IF(AND(COUNTIF(L$1237:L1433,1)&gt;7,MOD(1+IFERROR(MATCH($C831,总览!$D$46:$D$345,1)+1,1),7)=0),$C$3,0),0)</f>
        <v>590.233333333333</v>
      </c>
      <c r="M831" s="131" cm="1">
        <f ca="1" t="array" ref="M831">IF(M1433=1,OFFSET($W$634,$B831,M$631-1)/SUMPRODUCT(--($D$631:$V$631=M$631),--($D1433:$V1433=1)),0)+SUM(M830)+IF(COUNTIF(M$1237:M1433,1)=1,5,0)+IF(COUNTIF(N831:$W831,"&gt;"&amp;0)&lt;5,IF(AND(COUNTIF(M$1237:M1433,1)&gt;7,MOD(1+IFERROR(MATCH($C831,总览!$D$46:$D$345,1)+1,1),7)=0),$C$3,0),0)</f>
        <v>239.181249999999</v>
      </c>
      <c r="N831" s="131" cm="1">
        <f ca="1" t="array" ref="N831">IF(N1433=1,OFFSET($W$634,$B831,N$631-1)/SUMPRODUCT(--($D$631:$V$631=N$631),--($D1433:$V1433=1)),0)+SUM(N830)+IF(COUNTIF(N$1237:N1433,1)=1,5,0)+IF(COUNTIF(O831:$W831,"&gt;"&amp;0)&lt;5,IF(AND(COUNTIF(N$1237:N1433,1)&gt;7,MOD(1+IFERROR(MATCH($C831,总览!$D$46:$D$345,1)+1,1),7)=0),$C$3,0),0)</f>
        <v>240.431249999999</v>
      </c>
      <c r="O831" s="131" cm="1">
        <f ca="1" t="array" ref="O831">IF(O1433=1,OFFSET($W$634,$B831,O$631-1)/SUMPRODUCT(--($D$631:$V$631=O$631),--($D1433:$V1433=1)),0)+SUM(O830)+IF(COUNTIF(O$1237:O1433,1)=1,5,0)+IF(COUNTIF(P831:$W831,"&gt;"&amp;0)&lt;5,IF(AND(COUNTIF(O$1237:O1433,1)&gt;7,MOD(1+IFERROR(MATCH($C831,总览!$D$46:$D$345,1)+1,1),7)=0),$C$3,0),0)</f>
        <v>245.431249999999</v>
      </c>
      <c r="P831" s="131" cm="1">
        <f ca="1" t="array" ref="P831">IF(P1433=1,OFFSET($W$634,$B831,P$631-1)/SUMPRODUCT(--($D$631:$V$631=P$631),--($D1433:$V1433=1)),0)+SUM(P830)+IF(COUNTIF(P$1237:P1433,1)=1,5,0)+IF(COUNTIF(Q831:$W831,"&gt;"&amp;0)&lt;5,IF(AND(COUNTIF(P$1237:P1433,1)&gt;7,MOD(1+IFERROR(MATCH($C831,总览!$D$46:$D$345,1)+1,1),7)=0),$C$3,0),0)</f>
        <v>234.549999999999</v>
      </c>
      <c r="Q831" s="131" cm="1">
        <f ca="1" t="array" ref="Q831">IF(Q1433=1,OFFSET($W$634,$B831,Q$631-1)/SUMPRODUCT(--($D$631:$V$631=Q$631),--($D1433:$V1433=1)),0)+SUM(Q830)+IF(COUNTIF(Q$1237:Q1433,1)=1,5,0)+IF(COUNTIF(R831:$W831,"&gt;"&amp;0)&lt;5,IF(AND(COUNTIF(Q$1237:Q1433,1)&gt;7,MOD(1+IFERROR(MATCH($C831,总览!$D$46:$D$345,1)+1,1),7)=0),$C$3,0),0)</f>
        <v>247.931249999999</v>
      </c>
      <c r="R831" s="131" cm="1">
        <f ca="1" t="array" ref="R831">IF(R1433=1,OFFSET($W$634,$B831,R$631-1)/SUMPRODUCT(--($D$631:$V$631=R$631),--($D1433:$V1433=1)),0)+SUM(R830)+IF(COUNTIF(R$1237:R1433,1)=1,5,0)+IF(COUNTIF(S831:$W831,"&gt;"&amp;0)&lt;5,IF(AND(COUNTIF(R$1237:R1433,1)&gt;7,MOD(1+IFERROR(MATCH($C831,总览!$D$46:$D$345,1)+1,1),7)=0),$C$3,0),0)</f>
        <v>239.549999999999</v>
      </c>
      <c r="S831" s="131" cm="1">
        <f ca="1" t="array" ref="S831">IF(S1433=1,OFFSET($W$634,$B831,S$631-1)/SUMPRODUCT(--($D$631:$V$631=S$631),--($D1433:$V1433=1)),0)+SUM(S830)+IF(COUNTIF(S$1237:S1433,1)=1,5,0)+IF(COUNTIF(T831:$W831,"&gt;"&amp;0)&lt;5,IF(AND(COUNTIF(S$1237:S1433,1)&gt;7,MOD(1+IFERROR(MATCH($C831,总览!$D$46:$D$345,1)+1,1),7)=0),$C$3,0),0)</f>
        <v>332.05</v>
      </c>
      <c r="T831" s="131" cm="1">
        <f ca="1" t="array" ref="T831">IF(T1433=1,OFFSET($W$634,$B831,T$631-1)/SUMPRODUCT(--($D$631:$V$631=T$631),--($D1433:$V1433=1)),0)+SUM(T830)+IF(COUNTIF(T$1237:T1433,1)=1,5,0)+IF(COUNTIF(U831:$W831,"&gt;"&amp;0)&lt;5,IF(AND(COUNTIF(T$1237:T1433,1)&gt;7,MOD(1+IFERROR(MATCH($C831,总览!$D$46:$D$345,1)+1,1),7)=0),$C$3,0),0)</f>
        <v>242.000841748745</v>
      </c>
      <c r="U831" s="131" cm="1">
        <f ca="1" t="array" ref="U831">IF(U1433=1,OFFSET($W$634,$B831,U$631-1)/SUMPRODUCT(--($D$631:$V$631=U$631),--($D1433:$V1433=1)),0)+SUM(U830)+IF(COUNTIF(U$1237:U1433,1)=1,5,0)+IF(COUNTIF(V831:$W831,"&gt;"&amp;0)&lt;5,IF(AND(COUNTIF(U$1237:U1433,1)&gt;7,MOD(1+IFERROR(MATCH($C831,总览!$D$46:$D$345,1)+1,1),7)=0),$C$3,0),0)</f>
        <v>247.521628104045</v>
      </c>
      <c r="V831" s="131" cm="1">
        <f ca="1" t="array" ref="V831">IF(V1433=1,OFFSET($W$634,$B831,V$631-1)/SUMPRODUCT(--($D$631:$V$631=V$631),--($D1433:$V1433=1)),0)+SUM(V830)+IF(COUNTIF(V$1237:V1433,1)=1,5,0)+IF(COUNTIF(W831:$W831,"&gt;"&amp;0)&lt;5,IF(AND(COUNTIF(V$1237:V1433,1)&gt;7,MOD(1+IFERROR(MATCH($C831,总览!$D$46:$D$345,1)+1,1),7)=0),$C$3,0),0)</f>
        <v>267.348627816478</v>
      </c>
      <c r="W831" s="135" cm="1">
        <f ca="1" t="array" ref="W831">SUMPRODUCT(TRANSPOSE($AA831:$AG831),OFFSET($L$9:$L$15,0,W$631-1))</f>
        <v>16.8502200646615</v>
      </c>
      <c r="X831" s="135" cm="1">
        <f ca="1" t="array" ref="X831">SUMPRODUCT(TRANSPOSE($AA831:$AG831),OFFSET($L$9:$L$15,0,X$631-1))</f>
        <v>20</v>
      </c>
      <c r="Y831" s="135" cm="1">
        <f ca="1" t="array" ref="Y831">SUMPRODUCT(TRANSPOSE($AA831:$AG831),OFFSET($L$9:$L$15,0,Y$631-1))</f>
        <v>10</v>
      </c>
      <c r="Z831" s="135" cm="1">
        <f ca="1" t="array" ref="Z831">SUMPRODUCT(TRANSPOSE($AA831:$AG831),OFFSET($L$9:$L$15,0,Z$631-1))</f>
        <v>3.14977993533847</v>
      </c>
      <c r="AA831" s="136">
        <f ca="1" t="shared" ref="AA831:AG831" si="639">AH831-AH830</f>
        <v>0</v>
      </c>
      <c r="AB831" s="136">
        <f ca="1" t="shared" si="639"/>
        <v>0</v>
      </c>
      <c r="AC831" s="136">
        <f ca="1" t="shared" si="639"/>
        <v>0</v>
      </c>
      <c r="AD831" s="136">
        <f ca="1" t="shared" si="639"/>
        <v>0</v>
      </c>
      <c r="AE831" s="136">
        <f ca="1" t="shared" si="639"/>
        <v>0</v>
      </c>
      <c r="AF831" s="136">
        <f ca="1" t="shared" si="639"/>
        <v>0</v>
      </c>
      <c r="AG831" s="136">
        <f ca="1" t="shared" si="639"/>
        <v>100</v>
      </c>
      <c r="AH831" s="136">
        <f ca="1" t="shared" si="631"/>
        <v>450</v>
      </c>
      <c r="AI831" s="136">
        <f ca="1" t="shared" ref="AI831:AN831" si="640">IF($C831&gt;OFFSET($Q$8,MATCH(AI$634,$AH$634:$AN$634,0),0),OFFSET($P$8,MATCH(AI$634,$AH$634:$AN$634,0),0),MAX(0,$C831-OFFSET($Q$8,RIGHT(AI$634,1)-1,0)))</f>
        <v>909</v>
      </c>
      <c r="AJ831" s="136">
        <f ca="1" t="shared" si="640"/>
        <v>1818</v>
      </c>
      <c r="AK831" s="136">
        <f ca="1" t="shared" si="640"/>
        <v>2727</v>
      </c>
      <c r="AL831" s="136">
        <f ca="1" t="shared" si="640"/>
        <v>3636</v>
      </c>
      <c r="AM831" s="136">
        <f ca="1" t="shared" si="640"/>
        <v>4545</v>
      </c>
      <c r="AN831" s="136">
        <f ca="1" t="shared" si="640"/>
        <v>5615</v>
      </c>
    </row>
    <row r="832" s="106" customFormat="1" ht="16.5" spans="2:40">
      <c r="B832" s="117">
        <v>198</v>
      </c>
      <c r="C832" s="130">
        <f t="shared" si="629"/>
        <v>19800</v>
      </c>
      <c r="D832" s="131" cm="1">
        <f ca="1" t="array" ref="D832">IF(D1434=1,OFFSET($W$634,$B832,D$631-1)/SUMPRODUCT(--($D$631:$V$631=D$631),--($D1434:$V1434=1)),0)+SUM(D831)+IF(COUNTIF(D$1237:D1434,1)=1,5,0)+IF(COUNTIF(E832:$W832,"&gt;"&amp;0)&lt;5,IF(AND(COUNTIF(D$1237:D1434,1)&gt;7,MOD(1+IFERROR(MATCH($C832,总览!$D$46:$D$345,1)+1,1),7)=0),$C$3,0),0)</f>
        <v>1439.81804079846</v>
      </c>
      <c r="E832" s="131" cm="1">
        <f ca="1" t="array" ref="E832">IF(E1434=1,OFFSET($W$634,$B832,E$631-1)/SUMPRODUCT(--($D$631:$V$631=E$631),--($D1434:$V1434=1)),0)+SUM(E831)+IF(COUNTIF(E$1237:E1434,1)=1,5,0)+IF(COUNTIF(F832:$W832,"&gt;"&amp;0)&lt;5,IF(AND(COUNTIF(E$1237:E1434,1)&gt;7,MOD(1+IFERROR(MATCH($C832,总览!$D$46:$D$345,1)+1,1),7)=0),$C$3,0),0)</f>
        <v>1439.81804079846</v>
      </c>
      <c r="F832" s="131" cm="1">
        <f ca="1" t="array" ref="F832">IF(F1434=1,OFFSET($W$634,$B832,F$631-1)/SUMPRODUCT(--($D$631:$V$631=F$631),--($D1434:$V1434=1)),0)+SUM(F831)+IF(COUNTIF(F$1237:F1434,1)=1,5,0)+IF(COUNTIF(G832:$W832,"&gt;"&amp;0)&lt;5,IF(AND(COUNTIF(F$1237:F1434,1)&gt;7,MOD(1+IFERROR(MATCH($C832,总览!$D$46:$D$345,1)+1,1),7)=0),$C$3,0),0)</f>
        <v>1439.81804079846</v>
      </c>
      <c r="G832" s="131" cm="1">
        <f ca="1" t="array" ref="G832">IF(G1434=1,OFFSET($W$634,$B832,G$631-1)/SUMPRODUCT(--($D$631:$V$631=G$631),--($D1434:$V1434=1)),0)+SUM(G831)+IF(COUNTIF(G$1237:G1434,1)=1,5,0)+IF(COUNTIF(H832:$W832,"&gt;"&amp;0)&lt;5,IF(AND(COUNTIF(G$1237:G1434,1)&gt;7,MOD(1+IFERROR(MATCH($C832,总览!$D$46:$D$345,1)+1,1),7)=0),$C$3,0),0)</f>
        <v>599.4</v>
      </c>
      <c r="H832" s="131" cm="1">
        <f ca="1" t="array" ref="H832">IF(H1434=1,OFFSET($W$634,$B832,H$631-1)/SUMPRODUCT(--($D$631:$V$631=H$631),--($D1434:$V1434=1)),0)+SUM(H831)+IF(COUNTIF(H$1237:H1434,1)=1,5,0)+IF(COUNTIF(I832:$W832,"&gt;"&amp;0)&lt;5,IF(AND(COUNTIF(H$1237:H1434,1)&gt;7,MOD(1+IFERROR(MATCH($C832,总览!$D$46:$D$345,1)+1,1),7)=0),$C$3,0),0)</f>
        <v>599.4</v>
      </c>
      <c r="I832" s="131" cm="1">
        <f ca="1" t="array" ref="I832">IF(I1434=1,OFFSET($W$634,$B832,I$631-1)/SUMPRODUCT(--($D$631:$V$631=I$631),--($D1434:$V1434=1)),0)+SUM(I831)+IF(COUNTIF(I$1237:I1434,1)=1,5,0)+IF(COUNTIF(J832:$W832,"&gt;"&amp;0)&lt;5,IF(AND(COUNTIF(I$1237:I1434,1)&gt;7,MOD(1+IFERROR(MATCH($C832,总览!$D$46:$D$345,1)+1,1),7)=0),$C$3,0),0)</f>
        <v>599.4</v>
      </c>
      <c r="J832" s="131" cm="1">
        <f ca="1" t="array" ref="J832">IF(J1434=1,OFFSET($W$634,$B832,J$631-1)/SUMPRODUCT(--($D$631:$V$631=J$631),--($D1434:$V1434=1)),0)+SUM(J831)+IF(COUNTIF(J$1237:J1434,1)=1,5,0)+IF(COUNTIF(K832:$W832,"&gt;"&amp;0)&lt;5,IF(AND(COUNTIF(J$1237:J1434,1)&gt;7,MOD(1+IFERROR(MATCH($C832,总览!$D$46:$D$345,1)+1,1),7)=0),$C$3,0),0)</f>
        <v>596.066666666666</v>
      </c>
      <c r="K832" s="131" cm="1">
        <f ca="1" t="array" ref="K832">IF(K1434=1,OFFSET($W$634,$B832,K$631-1)/SUMPRODUCT(--($D$631:$V$631=K$631),--($D1434:$V1434=1)),0)+SUM(K831)+IF(COUNTIF(K$1237:K1434,1)=1,5,0)+IF(COUNTIF(L832:$W832,"&gt;"&amp;0)&lt;5,IF(AND(COUNTIF(K$1237:K1434,1)&gt;7,MOD(1+IFERROR(MATCH($C832,总览!$D$46:$D$345,1)+1,1),7)=0),$C$3,0),0)</f>
        <v>593.566666666666</v>
      </c>
      <c r="L832" s="131" cm="1">
        <f ca="1" t="array" ref="L832">IF(L1434=1,OFFSET($W$634,$B832,L$631-1)/SUMPRODUCT(--($D$631:$V$631=L$631),--($D1434:$V1434=1)),0)+SUM(L831)+IF(COUNTIF(L$1237:L1434,1)=1,5,0)+IF(COUNTIF(M832:$W832,"&gt;"&amp;0)&lt;5,IF(AND(COUNTIF(L$1237:L1434,1)&gt;7,MOD(1+IFERROR(MATCH($C832,总览!$D$46:$D$345,1)+1,1),7)=0),$C$3,0),0)</f>
        <v>593.566666666666</v>
      </c>
      <c r="M832" s="131" cm="1">
        <f ca="1" t="array" ref="M832">IF(M1434=1,OFFSET($W$634,$B832,M$631-1)/SUMPRODUCT(--($D$631:$V$631=M$631),--($D1434:$V1434=1)),0)+SUM(M831)+IF(COUNTIF(M$1237:M1434,1)=1,5,0)+IF(COUNTIF(N832:$W832,"&gt;"&amp;0)&lt;5,IF(AND(COUNTIF(M$1237:M1434,1)&gt;7,MOD(1+IFERROR(MATCH($C832,总览!$D$46:$D$345,1)+1,1),7)=0),$C$3,0),0)</f>
        <v>240.60982142857</v>
      </c>
      <c r="N832" s="131" cm="1">
        <f ca="1" t="array" ref="N832">IF(N1434=1,OFFSET($W$634,$B832,N$631-1)/SUMPRODUCT(--($D$631:$V$631=N$631),--($D1434:$V1434=1)),0)+SUM(N831)+IF(COUNTIF(N$1237:N1434,1)=1,5,0)+IF(COUNTIF(O832:$W832,"&gt;"&amp;0)&lt;5,IF(AND(COUNTIF(N$1237:N1434,1)&gt;7,MOD(1+IFERROR(MATCH($C832,总览!$D$46:$D$345,1)+1,1),7)=0),$C$3,0),0)</f>
        <v>241.85982142857</v>
      </c>
      <c r="O832" s="131" cm="1">
        <f ca="1" t="array" ref="O832">IF(O1434=1,OFFSET($W$634,$B832,O$631-1)/SUMPRODUCT(--($D$631:$V$631=O$631),--($D1434:$V1434=1)),0)+SUM(O831)+IF(COUNTIF(O$1237:O1434,1)=1,5,0)+IF(COUNTIF(P832:$W832,"&gt;"&amp;0)&lt;5,IF(AND(COUNTIF(O$1237:O1434,1)&gt;7,MOD(1+IFERROR(MATCH($C832,总览!$D$46:$D$345,1)+1,1),7)=0),$C$3,0),0)</f>
        <v>246.85982142857</v>
      </c>
      <c r="P832" s="131" cm="1">
        <f ca="1" t="array" ref="P832">IF(P1434=1,OFFSET($W$634,$B832,P$631-1)/SUMPRODUCT(--($D$631:$V$631=P$631),--($D1434:$V1434=1)),0)+SUM(P831)+IF(COUNTIF(P$1237:P1434,1)=1,5,0)+IF(COUNTIF(Q832:$W832,"&gt;"&amp;0)&lt;5,IF(AND(COUNTIF(P$1237:P1434,1)&gt;7,MOD(1+IFERROR(MATCH($C832,总览!$D$46:$D$345,1)+1,1),7)=0),$C$3,0),0)</f>
        <v>235.97857142857</v>
      </c>
      <c r="Q832" s="131" cm="1">
        <f ca="1" t="array" ref="Q832">IF(Q1434=1,OFFSET($W$634,$B832,Q$631-1)/SUMPRODUCT(--($D$631:$V$631=Q$631),--($D1434:$V1434=1)),0)+SUM(Q831)+IF(COUNTIF(Q$1237:Q1434,1)=1,5,0)+IF(COUNTIF(R832:$W832,"&gt;"&amp;0)&lt;5,IF(AND(COUNTIF(Q$1237:Q1434,1)&gt;7,MOD(1+IFERROR(MATCH($C832,总览!$D$46:$D$345,1)+1,1),7)=0),$C$3,0),0)</f>
        <v>249.35982142857</v>
      </c>
      <c r="R832" s="131" cm="1">
        <f ca="1" t="array" ref="R832">IF(R1434=1,OFFSET($W$634,$B832,R$631-1)/SUMPRODUCT(--($D$631:$V$631=R$631),--($D1434:$V1434=1)),0)+SUM(R831)+IF(COUNTIF(R$1237:R1434,1)=1,5,0)+IF(COUNTIF(S832:$W832,"&gt;"&amp;0)&lt;5,IF(AND(COUNTIF(R$1237:R1434,1)&gt;7,MOD(1+IFERROR(MATCH($C832,总览!$D$46:$D$345,1)+1,1),7)=0),$C$3,0),0)</f>
        <v>240.97857142857</v>
      </c>
      <c r="S832" s="131" cm="1">
        <f ca="1" t="array" ref="S832">IF(S1434=1,OFFSET($W$634,$B832,S$631-1)/SUMPRODUCT(--($D$631:$V$631=S$631),--($D1434:$V1434=1)),0)+SUM(S831)+IF(COUNTIF(S$1237:S1434,1)=1,5,0)+IF(COUNTIF(T832:$W832,"&gt;"&amp;0)&lt;5,IF(AND(COUNTIF(S$1237:S1434,1)&gt;7,MOD(1+IFERROR(MATCH($C832,总览!$D$46:$D$345,1)+1,1),7)=0),$C$3,0),0)</f>
        <v>333.478571428571</v>
      </c>
      <c r="T832" s="131" cm="1">
        <f ca="1" t="array" ref="T832">IF(T1434=1,OFFSET($W$634,$B832,T$631-1)/SUMPRODUCT(--($D$631:$V$631=T$631),--($D1434:$V1434=1)),0)+SUM(T831)+IF(COUNTIF(T$1237:T1434,1)=1,5,0)+IF(COUNTIF(U832:$W832,"&gt;"&amp;0)&lt;5,IF(AND(COUNTIF(T$1237:T1434,1)&gt;7,MOD(1+IFERROR(MATCH($C832,总览!$D$46:$D$345,1)+1,1),7)=0),$C$3,0),0)</f>
        <v>243.050768393858</v>
      </c>
      <c r="U832" s="131" cm="1">
        <f ca="1" t="array" ref="U832">IF(U1434=1,OFFSET($W$634,$B832,U$631-1)/SUMPRODUCT(--($D$631:$V$631=U$631),--($D1434:$V1434=1)),0)+SUM(U831)+IF(COUNTIF(U$1237:U1434,1)=1,5,0)+IF(COUNTIF(V832:$W832,"&gt;"&amp;0)&lt;5,IF(AND(COUNTIF(U$1237:U1434,1)&gt;7,MOD(1+IFERROR(MATCH($C832,总览!$D$46:$D$345,1)+1,1),7)=0),$C$3,0),0)</f>
        <v>248.571554749158</v>
      </c>
      <c r="V832" s="131" cm="1">
        <f ca="1" t="array" ref="V832">IF(V1434=1,OFFSET($W$634,$B832,V$631-1)/SUMPRODUCT(--($D$631:$V$631=V$631),--($D1434:$V1434=1)),0)+SUM(V831)+IF(COUNTIF(V$1237:V1434,1)=1,5,0)+IF(COUNTIF(W832:$W832,"&gt;"&amp;0)&lt;5,IF(AND(COUNTIF(V$1237:V1434,1)&gt;7,MOD(1+IFERROR(MATCH($C832,总览!$D$46:$D$345,1)+1,1),7)=0),$C$3,0),0)</f>
        <v>268.398554461591</v>
      </c>
      <c r="W832" s="135" cm="1">
        <f ca="1" t="array" ref="W832">SUMPRODUCT(TRANSPOSE($AA832:$AG832),OFFSET($L$9:$L$15,0,W$631-1))</f>
        <v>16.8502200646615</v>
      </c>
      <c r="X832" s="135" cm="1">
        <f ca="1" t="array" ref="X832">SUMPRODUCT(TRANSPOSE($AA832:$AG832),OFFSET($L$9:$L$15,0,X$631-1))</f>
        <v>20</v>
      </c>
      <c r="Y832" s="135" cm="1">
        <f ca="1" t="array" ref="Y832">SUMPRODUCT(TRANSPOSE($AA832:$AG832),OFFSET($L$9:$L$15,0,Y$631-1))</f>
        <v>10</v>
      </c>
      <c r="Z832" s="135" cm="1">
        <f ca="1" t="array" ref="Z832">SUMPRODUCT(TRANSPOSE($AA832:$AG832),OFFSET($L$9:$L$15,0,Z$631-1))</f>
        <v>3.14977993533847</v>
      </c>
      <c r="AA832" s="136">
        <f ca="1" t="shared" ref="AA832:AG832" si="641">AH832-AH831</f>
        <v>0</v>
      </c>
      <c r="AB832" s="136">
        <f ca="1" t="shared" si="641"/>
        <v>0</v>
      </c>
      <c r="AC832" s="136">
        <f ca="1" t="shared" si="641"/>
        <v>0</v>
      </c>
      <c r="AD832" s="136">
        <f ca="1" t="shared" si="641"/>
        <v>0</v>
      </c>
      <c r="AE832" s="136">
        <f ca="1" t="shared" si="641"/>
        <v>0</v>
      </c>
      <c r="AF832" s="136">
        <f ca="1" t="shared" si="641"/>
        <v>0</v>
      </c>
      <c r="AG832" s="136">
        <f ca="1" t="shared" si="641"/>
        <v>100</v>
      </c>
      <c r="AH832" s="136">
        <f ca="1" t="shared" si="631"/>
        <v>450</v>
      </c>
      <c r="AI832" s="136">
        <f ca="1" t="shared" ref="AI832:AN832" si="642">IF($C832&gt;OFFSET($Q$8,MATCH(AI$634,$AH$634:$AN$634,0),0),OFFSET($P$8,MATCH(AI$634,$AH$634:$AN$634,0),0),MAX(0,$C832-OFFSET($Q$8,RIGHT(AI$634,1)-1,0)))</f>
        <v>909</v>
      </c>
      <c r="AJ832" s="136">
        <f ca="1" t="shared" si="642"/>
        <v>1818</v>
      </c>
      <c r="AK832" s="136">
        <f ca="1" t="shared" si="642"/>
        <v>2727</v>
      </c>
      <c r="AL832" s="136">
        <f ca="1" t="shared" si="642"/>
        <v>3636</v>
      </c>
      <c r="AM832" s="136">
        <f ca="1" t="shared" si="642"/>
        <v>4545</v>
      </c>
      <c r="AN832" s="136">
        <f ca="1" t="shared" si="642"/>
        <v>5715</v>
      </c>
    </row>
    <row r="833" s="106" customFormat="1" ht="16.5" spans="2:40">
      <c r="B833" s="117">
        <v>199</v>
      </c>
      <c r="C833" s="130">
        <f t="shared" si="629"/>
        <v>19900</v>
      </c>
      <c r="D833" s="131" cm="1">
        <f ca="1" t="array" ref="D833">IF(D1435=1,OFFSET($W$634,$B833,D$631-1)/SUMPRODUCT(--($D$631:$V$631=D$631),--($D1435:$V1435=1)),0)+SUM(D832)+IF(COUNTIF(D$1237:D1435,1)=1,5,0)+IF(COUNTIF(E833:$W833,"&gt;"&amp;0)&lt;5,IF(AND(COUNTIF(D$1237:D1435,1)&gt;7,MOD(1+IFERROR(MATCH($C833,总览!$D$46:$D$345,1)+1,1),7)=0),$C$3,0),0)</f>
        <v>1445.43478082002</v>
      </c>
      <c r="E833" s="131" cm="1">
        <f ca="1" t="array" ref="E833">IF(E1435=1,OFFSET($W$634,$B833,E$631-1)/SUMPRODUCT(--($D$631:$V$631=E$631),--($D1435:$V1435=1)),0)+SUM(E832)+IF(COUNTIF(E$1237:E1435,1)=1,5,0)+IF(COUNTIF(F833:$W833,"&gt;"&amp;0)&lt;5,IF(AND(COUNTIF(E$1237:E1435,1)&gt;7,MOD(1+IFERROR(MATCH($C833,总览!$D$46:$D$345,1)+1,1),7)=0),$C$3,0),0)</f>
        <v>1445.43478082002</v>
      </c>
      <c r="F833" s="131" cm="1">
        <f ca="1" t="array" ref="F833">IF(F1435=1,OFFSET($W$634,$B833,F$631-1)/SUMPRODUCT(--($D$631:$V$631=F$631),--($D1435:$V1435=1)),0)+SUM(F832)+IF(COUNTIF(F$1237:F1435,1)=1,5,0)+IF(COUNTIF(G833:$W833,"&gt;"&amp;0)&lt;5,IF(AND(COUNTIF(F$1237:F1435,1)&gt;7,MOD(1+IFERROR(MATCH($C833,总览!$D$46:$D$345,1)+1,1),7)=0),$C$3,0),0)</f>
        <v>1445.43478082002</v>
      </c>
      <c r="G833" s="131" cm="1">
        <f ca="1" t="array" ref="G833">IF(G1435=1,OFFSET($W$634,$B833,G$631-1)/SUMPRODUCT(--($D$631:$V$631=G$631),--($D1435:$V1435=1)),0)+SUM(G832)+IF(COUNTIF(G$1237:G1435,1)=1,5,0)+IF(COUNTIF(H833:$W833,"&gt;"&amp;0)&lt;5,IF(AND(COUNTIF(G$1237:G1435,1)&gt;7,MOD(1+IFERROR(MATCH($C833,总览!$D$46:$D$345,1)+1,1),7)=0),$C$3,0),0)</f>
        <v>602.733333333333</v>
      </c>
      <c r="H833" s="131" cm="1">
        <f ca="1" t="array" ref="H833">IF(H1435=1,OFFSET($W$634,$B833,H$631-1)/SUMPRODUCT(--($D$631:$V$631=H$631),--($D1435:$V1435=1)),0)+SUM(H832)+IF(COUNTIF(H$1237:H1435,1)=1,5,0)+IF(COUNTIF(I833:$W833,"&gt;"&amp;0)&lt;5,IF(AND(COUNTIF(H$1237:H1435,1)&gt;7,MOD(1+IFERROR(MATCH($C833,总览!$D$46:$D$345,1)+1,1),7)=0),$C$3,0),0)</f>
        <v>602.733333333333</v>
      </c>
      <c r="I833" s="131" cm="1">
        <f ca="1" t="array" ref="I833">IF(I1435=1,OFFSET($W$634,$B833,I$631-1)/SUMPRODUCT(--($D$631:$V$631=I$631),--($D1435:$V1435=1)),0)+SUM(I832)+IF(COUNTIF(I$1237:I1435,1)=1,5,0)+IF(COUNTIF(J833:$W833,"&gt;"&amp;0)&lt;5,IF(AND(COUNTIF(I$1237:I1435,1)&gt;7,MOD(1+IFERROR(MATCH($C833,总览!$D$46:$D$345,1)+1,1),7)=0),$C$3,0),0)</f>
        <v>602.733333333333</v>
      </c>
      <c r="J833" s="131" cm="1">
        <f ca="1" t="array" ref="J833">IF(J1435=1,OFFSET($W$634,$B833,J$631-1)/SUMPRODUCT(--($D$631:$V$631=J$631),--($D1435:$V1435=1)),0)+SUM(J832)+IF(COUNTIF(J$1237:J1435,1)=1,5,0)+IF(COUNTIF(K833:$W833,"&gt;"&amp;0)&lt;5,IF(AND(COUNTIF(J$1237:J1435,1)&gt;7,MOD(1+IFERROR(MATCH($C833,总览!$D$46:$D$345,1)+1,1),7)=0),$C$3,0),0)</f>
        <v>599.4</v>
      </c>
      <c r="K833" s="131" cm="1">
        <f ca="1" t="array" ref="K833">IF(K1435=1,OFFSET($W$634,$B833,K$631-1)/SUMPRODUCT(--($D$631:$V$631=K$631),--($D1435:$V1435=1)),0)+SUM(K832)+IF(COUNTIF(K$1237:K1435,1)=1,5,0)+IF(COUNTIF(L833:$W833,"&gt;"&amp;0)&lt;5,IF(AND(COUNTIF(K$1237:K1435,1)&gt;7,MOD(1+IFERROR(MATCH($C833,总览!$D$46:$D$345,1)+1,1),7)=0),$C$3,0),0)</f>
        <v>596.9</v>
      </c>
      <c r="L833" s="131" cm="1">
        <f ca="1" t="array" ref="L833">IF(L1435=1,OFFSET($W$634,$B833,L$631-1)/SUMPRODUCT(--($D$631:$V$631=L$631),--($D1435:$V1435=1)),0)+SUM(L832)+IF(COUNTIF(L$1237:L1435,1)=1,5,0)+IF(COUNTIF(M833:$W833,"&gt;"&amp;0)&lt;5,IF(AND(COUNTIF(L$1237:L1435,1)&gt;7,MOD(1+IFERROR(MATCH($C833,总览!$D$46:$D$345,1)+1,1),7)=0),$C$3,0),0)</f>
        <v>596.9</v>
      </c>
      <c r="M833" s="131" cm="1">
        <f ca="1" t="array" ref="M833">IF(M1435=1,OFFSET($W$634,$B833,M$631-1)/SUMPRODUCT(--($D$631:$V$631=M$631),--($D1435:$V1435=1)),0)+SUM(M832)+IF(COUNTIF(M$1237:M1435,1)=1,5,0)+IF(COUNTIF(N833:$W833,"&gt;"&amp;0)&lt;5,IF(AND(COUNTIF(M$1237:M1435,1)&gt;7,MOD(1+IFERROR(MATCH($C833,总览!$D$46:$D$345,1)+1,1),7)=0),$C$3,0),0)</f>
        <v>242.038392857142</v>
      </c>
      <c r="N833" s="131" cm="1">
        <f ca="1" t="array" ref="N833">IF(N1435=1,OFFSET($W$634,$B833,N$631-1)/SUMPRODUCT(--($D$631:$V$631=N$631),--($D1435:$V1435=1)),0)+SUM(N832)+IF(COUNTIF(N$1237:N1435,1)=1,5,0)+IF(COUNTIF(O833:$W833,"&gt;"&amp;0)&lt;5,IF(AND(COUNTIF(N$1237:N1435,1)&gt;7,MOD(1+IFERROR(MATCH($C833,总览!$D$46:$D$345,1)+1,1),7)=0),$C$3,0),0)</f>
        <v>243.288392857142</v>
      </c>
      <c r="O833" s="131" cm="1">
        <f ca="1" t="array" ref="O833">IF(O1435=1,OFFSET($W$634,$B833,O$631-1)/SUMPRODUCT(--($D$631:$V$631=O$631),--($D1435:$V1435=1)),0)+SUM(O832)+IF(COUNTIF(O$1237:O1435,1)=1,5,0)+IF(COUNTIF(P833:$W833,"&gt;"&amp;0)&lt;5,IF(AND(COUNTIF(O$1237:O1435,1)&gt;7,MOD(1+IFERROR(MATCH($C833,总览!$D$46:$D$345,1)+1,1),7)=0),$C$3,0),0)</f>
        <v>248.288392857142</v>
      </c>
      <c r="P833" s="131" cm="1">
        <f ca="1" t="array" ref="P833">IF(P1435=1,OFFSET($W$634,$B833,P$631-1)/SUMPRODUCT(--($D$631:$V$631=P$631),--($D1435:$V1435=1)),0)+SUM(P832)+IF(COUNTIF(P$1237:P1435,1)=1,5,0)+IF(COUNTIF(Q833:$W833,"&gt;"&amp;0)&lt;5,IF(AND(COUNTIF(P$1237:P1435,1)&gt;7,MOD(1+IFERROR(MATCH($C833,总览!$D$46:$D$345,1)+1,1),7)=0),$C$3,0),0)</f>
        <v>237.407142857142</v>
      </c>
      <c r="Q833" s="131" cm="1">
        <f ca="1" t="array" ref="Q833">IF(Q1435=1,OFFSET($W$634,$B833,Q$631-1)/SUMPRODUCT(--($D$631:$V$631=Q$631),--($D1435:$V1435=1)),0)+SUM(Q832)+IF(COUNTIF(Q$1237:Q1435,1)=1,5,0)+IF(COUNTIF(R833:$W833,"&gt;"&amp;0)&lt;5,IF(AND(COUNTIF(Q$1237:Q1435,1)&gt;7,MOD(1+IFERROR(MATCH($C833,总览!$D$46:$D$345,1)+1,1),7)=0),$C$3,0),0)</f>
        <v>250.788392857142</v>
      </c>
      <c r="R833" s="131" cm="1">
        <f ca="1" t="array" ref="R833">IF(R1435=1,OFFSET($W$634,$B833,R$631-1)/SUMPRODUCT(--($D$631:$V$631=R$631),--($D1435:$V1435=1)),0)+SUM(R832)+IF(COUNTIF(R$1237:R1435,1)=1,5,0)+IF(COUNTIF(S833:$W833,"&gt;"&amp;0)&lt;5,IF(AND(COUNTIF(R$1237:R1435,1)&gt;7,MOD(1+IFERROR(MATCH($C833,总览!$D$46:$D$345,1)+1,1),7)=0),$C$3,0),0)</f>
        <v>242.407142857142</v>
      </c>
      <c r="S833" s="131" cm="1">
        <f ca="1" t="array" ref="S833">IF(S1435=1,OFFSET($W$634,$B833,S$631-1)/SUMPRODUCT(--($D$631:$V$631=S$631),--($D1435:$V1435=1)),0)+SUM(S832)+IF(COUNTIF(S$1237:S1435,1)=1,5,0)+IF(COUNTIF(T833:$W833,"&gt;"&amp;0)&lt;5,IF(AND(COUNTIF(S$1237:S1435,1)&gt;7,MOD(1+IFERROR(MATCH($C833,总览!$D$46:$D$345,1)+1,1),7)=0),$C$3,0),0)</f>
        <v>334.907142857143</v>
      </c>
      <c r="T833" s="131" cm="1">
        <f ca="1" t="array" ref="T833">IF(T1435=1,OFFSET($W$634,$B833,T$631-1)/SUMPRODUCT(--($D$631:$V$631=T$631),--($D1435:$V1435=1)),0)+SUM(T832)+IF(COUNTIF(T$1237:T1435,1)=1,5,0)+IF(COUNTIF(U833:$W833,"&gt;"&amp;0)&lt;5,IF(AND(COUNTIF(T$1237:T1435,1)&gt;7,MOD(1+IFERROR(MATCH($C833,总览!$D$46:$D$345,1)+1,1),7)=0),$C$3,0),0)</f>
        <v>244.100695038971</v>
      </c>
      <c r="U833" s="131" cm="1">
        <f ca="1" t="array" ref="U833">IF(U1435=1,OFFSET($W$634,$B833,U$631-1)/SUMPRODUCT(--($D$631:$V$631=U$631),--($D1435:$V1435=1)),0)+SUM(U832)+IF(COUNTIF(U$1237:U1435,1)=1,5,0)+IF(COUNTIF(V833:$W833,"&gt;"&amp;0)&lt;5,IF(AND(COUNTIF(U$1237:U1435,1)&gt;7,MOD(1+IFERROR(MATCH($C833,总览!$D$46:$D$345,1)+1,1),7)=0),$C$3,0),0)</f>
        <v>249.62148139427</v>
      </c>
      <c r="V833" s="131" cm="1">
        <f ca="1" t="array" ref="V833">IF(V1435=1,OFFSET($W$634,$B833,V$631-1)/SUMPRODUCT(--($D$631:$V$631=V$631),--($D1435:$V1435=1)),0)+SUM(V832)+IF(COUNTIF(V$1237:V1435,1)=1,5,0)+IF(COUNTIF(W833:$W833,"&gt;"&amp;0)&lt;5,IF(AND(COUNTIF(V$1237:V1435,1)&gt;7,MOD(1+IFERROR(MATCH($C833,总览!$D$46:$D$345,1)+1,1),7)=0),$C$3,0),0)</f>
        <v>269.448481106704</v>
      </c>
      <c r="W833" s="135" cm="1">
        <f ca="1" t="array" ref="W833">SUMPRODUCT(TRANSPOSE($AA833:$AG833),OFFSET($L$9:$L$15,0,W$631-1))</f>
        <v>16.8502200646615</v>
      </c>
      <c r="X833" s="135" cm="1">
        <f ca="1" t="array" ref="X833">SUMPRODUCT(TRANSPOSE($AA833:$AG833),OFFSET($L$9:$L$15,0,X$631-1))</f>
        <v>20</v>
      </c>
      <c r="Y833" s="135" cm="1">
        <f ca="1" t="array" ref="Y833">SUMPRODUCT(TRANSPOSE($AA833:$AG833),OFFSET($L$9:$L$15,0,Y$631-1))</f>
        <v>10</v>
      </c>
      <c r="Z833" s="135" cm="1">
        <f ca="1" t="array" ref="Z833">SUMPRODUCT(TRANSPOSE($AA833:$AG833),OFFSET($L$9:$L$15,0,Z$631-1))</f>
        <v>3.14977993533847</v>
      </c>
      <c r="AA833" s="136">
        <f ca="1" t="shared" ref="AA833:AG833" si="643">AH833-AH832</f>
        <v>0</v>
      </c>
      <c r="AB833" s="136">
        <f ca="1" t="shared" si="643"/>
        <v>0</v>
      </c>
      <c r="AC833" s="136">
        <f ca="1" t="shared" si="643"/>
        <v>0</v>
      </c>
      <c r="AD833" s="136">
        <f ca="1" t="shared" si="643"/>
        <v>0</v>
      </c>
      <c r="AE833" s="136">
        <f ca="1" t="shared" si="643"/>
        <v>0</v>
      </c>
      <c r="AF833" s="136">
        <f ca="1" t="shared" si="643"/>
        <v>0</v>
      </c>
      <c r="AG833" s="136">
        <f ca="1" t="shared" si="643"/>
        <v>100</v>
      </c>
      <c r="AH833" s="136">
        <f ca="1" t="shared" si="631"/>
        <v>450</v>
      </c>
      <c r="AI833" s="136">
        <f ca="1" t="shared" ref="AI833:AN833" si="644">IF($C833&gt;OFFSET($Q$8,MATCH(AI$634,$AH$634:$AN$634,0),0),OFFSET($P$8,MATCH(AI$634,$AH$634:$AN$634,0),0),MAX(0,$C833-OFFSET($Q$8,RIGHT(AI$634,1)-1,0)))</f>
        <v>909</v>
      </c>
      <c r="AJ833" s="136">
        <f ca="1" t="shared" si="644"/>
        <v>1818</v>
      </c>
      <c r="AK833" s="136">
        <f ca="1" t="shared" si="644"/>
        <v>2727</v>
      </c>
      <c r="AL833" s="136">
        <f ca="1" t="shared" si="644"/>
        <v>3636</v>
      </c>
      <c r="AM833" s="136">
        <f ca="1" t="shared" si="644"/>
        <v>4545</v>
      </c>
      <c r="AN833" s="136">
        <f ca="1" t="shared" si="644"/>
        <v>5815</v>
      </c>
    </row>
    <row r="834" s="106" customFormat="1" ht="16.5" spans="2:40">
      <c r="B834" s="117">
        <v>200</v>
      </c>
      <c r="C834" s="130">
        <f t="shared" si="629"/>
        <v>20000</v>
      </c>
      <c r="D834" s="131" cm="1">
        <f ca="1" t="array" ref="D834">IF(D1436=1,OFFSET($W$634,$B834,D$631-1)/SUMPRODUCT(--($D$631:$V$631=D$631),--($D1436:$V1436=1)),0)+SUM(D833)+IF(COUNTIF(D$1237:D1436,1)=1,5,0)+IF(COUNTIF(E834:$W834,"&gt;"&amp;0)&lt;5,IF(AND(COUNTIF(D$1237:D1436,1)&gt;7,MOD(1+IFERROR(MATCH($C834,总览!$D$46:$D$345,1)+1,1),7)=0),$C$3,0),0)</f>
        <v>1451.05152084157</v>
      </c>
      <c r="E834" s="131" cm="1">
        <f ca="1" t="array" ref="E834">IF(E1436=1,OFFSET($W$634,$B834,E$631-1)/SUMPRODUCT(--($D$631:$V$631=E$631),--($D1436:$V1436=1)),0)+SUM(E833)+IF(COUNTIF(E$1237:E1436,1)=1,5,0)+IF(COUNTIF(F834:$W834,"&gt;"&amp;0)&lt;5,IF(AND(COUNTIF(E$1237:E1436,1)&gt;7,MOD(1+IFERROR(MATCH($C834,总览!$D$46:$D$345,1)+1,1),7)=0),$C$3,0),0)</f>
        <v>1451.05152084157</v>
      </c>
      <c r="F834" s="131" cm="1">
        <f ca="1" t="array" ref="F834">IF(F1436=1,OFFSET($W$634,$B834,F$631-1)/SUMPRODUCT(--($D$631:$V$631=F$631),--($D1436:$V1436=1)),0)+SUM(F833)+IF(COUNTIF(F$1237:F1436,1)=1,5,0)+IF(COUNTIF(G834:$W834,"&gt;"&amp;0)&lt;5,IF(AND(COUNTIF(F$1237:F1436,1)&gt;7,MOD(1+IFERROR(MATCH($C834,总览!$D$46:$D$345,1)+1,1),7)=0),$C$3,0),0)</f>
        <v>1451.05152084157</v>
      </c>
      <c r="G834" s="131" cm="1">
        <f ca="1" t="array" ref="G834">IF(G1436=1,OFFSET($W$634,$B834,G$631-1)/SUMPRODUCT(--($D$631:$V$631=G$631),--($D1436:$V1436=1)),0)+SUM(G833)+IF(COUNTIF(G$1237:G1436,1)=1,5,0)+IF(COUNTIF(H834:$W834,"&gt;"&amp;0)&lt;5,IF(AND(COUNTIF(G$1237:G1436,1)&gt;7,MOD(1+IFERROR(MATCH($C834,总览!$D$46:$D$345,1)+1,1),7)=0),$C$3,0),0)</f>
        <v>606.066666666666</v>
      </c>
      <c r="H834" s="131" cm="1">
        <f ca="1" t="array" ref="H834">IF(H1436=1,OFFSET($W$634,$B834,H$631-1)/SUMPRODUCT(--($D$631:$V$631=H$631),--($D1436:$V1436=1)),0)+SUM(H833)+IF(COUNTIF(H$1237:H1436,1)=1,5,0)+IF(COUNTIF(I834:$W834,"&gt;"&amp;0)&lt;5,IF(AND(COUNTIF(H$1237:H1436,1)&gt;7,MOD(1+IFERROR(MATCH($C834,总览!$D$46:$D$345,1)+1,1),7)=0),$C$3,0),0)</f>
        <v>606.066666666666</v>
      </c>
      <c r="I834" s="131" cm="1">
        <f ca="1" t="array" ref="I834">IF(I1436=1,OFFSET($W$634,$B834,I$631-1)/SUMPRODUCT(--($D$631:$V$631=I$631),--($D1436:$V1436=1)),0)+SUM(I833)+IF(COUNTIF(I$1237:I1436,1)=1,5,0)+IF(COUNTIF(J834:$W834,"&gt;"&amp;0)&lt;5,IF(AND(COUNTIF(I$1237:I1436,1)&gt;7,MOD(1+IFERROR(MATCH($C834,总览!$D$46:$D$345,1)+1,1),7)=0),$C$3,0),0)</f>
        <v>606.066666666666</v>
      </c>
      <c r="J834" s="131" cm="1">
        <f ca="1" t="array" ref="J834">IF(J1436=1,OFFSET($W$634,$B834,J$631-1)/SUMPRODUCT(--($D$631:$V$631=J$631),--($D1436:$V1436=1)),0)+SUM(J833)+IF(COUNTIF(J$1237:J1436,1)=1,5,0)+IF(COUNTIF(K834:$W834,"&gt;"&amp;0)&lt;5,IF(AND(COUNTIF(J$1237:J1436,1)&gt;7,MOD(1+IFERROR(MATCH($C834,总览!$D$46:$D$345,1)+1,1),7)=0),$C$3,0),0)</f>
        <v>602.733333333333</v>
      </c>
      <c r="K834" s="131" cm="1">
        <f ca="1" t="array" ref="K834">IF(K1436=1,OFFSET($W$634,$B834,K$631-1)/SUMPRODUCT(--($D$631:$V$631=K$631),--($D1436:$V1436=1)),0)+SUM(K833)+IF(COUNTIF(K$1237:K1436,1)=1,5,0)+IF(COUNTIF(L834:$W834,"&gt;"&amp;0)&lt;5,IF(AND(COUNTIF(K$1237:K1436,1)&gt;7,MOD(1+IFERROR(MATCH($C834,总览!$D$46:$D$345,1)+1,1),7)=0),$C$3,0),0)</f>
        <v>600.233333333333</v>
      </c>
      <c r="L834" s="131" cm="1">
        <f ca="1" t="array" ref="L834">IF(L1436=1,OFFSET($W$634,$B834,L$631-1)/SUMPRODUCT(--($D$631:$V$631=L$631),--($D1436:$V1436=1)),0)+SUM(L833)+IF(COUNTIF(L$1237:L1436,1)=1,5,0)+IF(COUNTIF(M834:$W834,"&gt;"&amp;0)&lt;5,IF(AND(COUNTIF(L$1237:L1436,1)&gt;7,MOD(1+IFERROR(MATCH($C834,总览!$D$46:$D$345,1)+1,1),7)=0),$C$3,0),0)</f>
        <v>600.233333333333</v>
      </c>
      <c r="M834" s="131" cm="1">
        <f ca="1" t="array" ref="M834">IF(M1436=1,OFFSET($W$634,$B834,M$631-1)/SUMPRODUCT(--($D$631:$V$631=M$631),--($D1436:$V1436=1)),0)+SUM(M833)+IF(COUNTIF(M$1237:M1436,1)=1,5,0)+IF(COUNTIF(N834:$W834,"&gt;"&amp;0)&lt;5,IF(AND(COUNTIF(M$1237:M1436,1)&gt;7,MOD(1+IFERROR(MATCH($C834,总览!$D$46:$D$345,1)+1,1),7)=0),$C$3,0),0)</f>
        <v>243.466964285713</v>
      </c>
      <c r="N834" s="131" cm="1">
        <f ca="1" t="array" ref="N834">IF(N1436=1,OFFSET($W$634,$B834,N$631-1)/SUMPRODUCT(--($D$631:$V$631=N$631),--($D1436:$V1436=1)),0)+SUM(N833)+IF(COUNTIF(N$1237:N1436,1)=1,5,0)+IF(COUNTIF(O834:$W834,"&gt;"&amp;0)&lt;5,IF(AND(COUNTIF(N$1237:N1436,1)&gt;7,MOD(1+IFERROR(MATCH($C834,总览!$D$46:$D$345,1)+1,1),7)=0),$C$3,0),0)</f>
        <v>244.716964285713</v>
      </c>
      <c r="O834" s="131" cm="1">
        <f ca="1" t="array" ref="O834">IF(O1436=1,OFFSET($W$634,$B834,O$631-1)/SUMPRODUCT(--($D$631:$V$631=O$631),--($D1436:$V1436=1)),0)+SUM(O833)+IF(COUNTIF(O$1237:O1436,1)=1,5,0)+IF(COUNTIF(P834:$W834,"&gt;"&amp;0)&lt;5,IF(AND(COUNTIF(O$1237:O1436,1)&gt;7,MOD(1+IFERROR(MATCH($C834,总览!$D$46:$D$345,1)+1,1),7)=0),$C$3,0),0)</f>
        <v>249.716964285713</v>
      </c>
      <c r="P834" s="131" cm="1">
        <f ca="1" t="array" ref="P834">IF(P1436=1,OFFSET($W$634,$B834,P$631-1)/SUMPRODUCT(--($D$631:$V$631=P$631),--($D1436:$V1436=1)),0)+SUM(P833)+IF(COUNTIF(P$1237:P1436,1)=1,5,0)+IF(COUNTIF(Q834:$W834,"&gt;"&amp;0)&lt;5,IF(AND(COUNTIF(P$1237:P1436,1)&gt;7,MOD(1+IFERROR(MATCH($C834,总览!$D$46:$D$345,1)+1,1),7)=0),$C$3,0),0)</f>
        <v>238.835714285713</v>
      </c>
      <c r="Q834" s="131" cm="1">
        <f ca="1" t="array" ref="Q834">IF(Q1436=1,OFFSET($W$634,$B834,Q$631-1)/SUMPRODUCT(--($D$631:$V$631=Q$631),--($D1436:$V1436=1)),0)+SUM(Q833)+IF(COUNTIF(Q$1237:Q1436,1)=1,5,0)+IF(COUNTIF(R834:$W834,"&gt;"&amp;0)&lt;5,IF(AND(COUNTIF(Q$1237:Q1436,1)&gt;7,MOD(1+IFERROR(MATCH($C834,总览!$D$46:$D$345,1)+1,1),7)=0),$C$3,0),0)</f>
        <v>252.216964285713</v>
      </c>
      <c r="R834" s="131" cm="1">
        <f ca="1" t="array" ref="R834">IF(R1436=1,OFFSET($W$634,$B834,R$631-1)/SUMPRODUCT(--($D$631:$V$631=R$631),--($D1436:$V1436=1)),0)+SUM(R833)+IF(COUNTIF(R$1237:R1436,1)=1,5,0)+IF(COUNTIF(S834:$W834,"&gt;"&amp;0)&lt;5,IF(AND(COUNTIF(R$1237:R1436,1)&gt;7,MOD(1+IFERROR(MATCH($C834,总览!$D$46:$D$345,1)+1,1),7)=0),$C$3,0),0)</f>
        <v>243.835714285713</v>
      </c>
      <c r="S834" s="131" cm="1">
        <f ca="1" t="array" ref="S834">IF(S1436=1,OFFSET($W$634,$B834,S$631-1)/SUMPRODUCT(--($D$631:$V$631=S$631),--($D1436:$V1436=1)),0)+SUM(S833)+IF(COUNTIF(S$1237:S1436,1)=1,5,0)+IF(COUNTIF(T834:$W834,"&gt;"&amp;0)&lt;5,IF(AND(COUNTIF(S$1237:S1436,1)&gt;7,MOD(1+IFERROR(MATCH($C834,总览!$D$46:$D$345,1)+1,1),7)=0),$C$3,0),0)</f>
        <v>336.335714285714</v>
      </c>
      <c r="T834" s="131" cm="1">
        <f ca="1" t="array" ref="T834">IF(T1436=1,OFFSET($W$634,$B834,T$631-1)/SUMPRODUCT(--($D$631:$V$631=T$631),--($D1436:$V1436=1)),0)+SUM(T833)+IF(COUNTIF(T$1237:T1436,1)=1,5,0)+IF(COUNTIF(U834:$W834,"&gt;"&amp;0)&lt;5,IF(AND(COUNTIF(T$1237:T1436,1)&gt;7,MOD(1+IFERROR(MATCH($C834,总览!$D$46:$D$345,1)+1,1),7)=0),$C$3,0),0)</f>
        <v>245.150621684084</v>
      </c>
      <c r="U834" s="131" cm="1">
        <f ca="1" t="array" ref="U834">IF(U1436=1,OFFSET($W$634,$B834,U$631-1)/SUMPRODUCT(--($D$631:$V$631=U$631),--($D1436:$V1436=1)),0)+SUM(U833)+IF(COUNTIF(U$1237:U1436,1)=1,5,0)+IF(COUNTIF(V834:$W834,"&gt;"&amp;0)&lt;5,IF(AND(COUNTIF(U$1237:U1436,1)&gt;7,MOD(1+IFERROR(MATCH($C834,总览!$D$46:$D$345,1)+1,1),7)=0),$C$3,0),0)</f>
        <v>250.671408039383</v>
      </c>
      <c r="V834" s="131" cm="1">
        <f ca="1" t="array" ref="V834">IF(V1436=1,OFFSET($W$634,$B834,V$631-1)/SUMPRODUCT(--($D$631:$V$631=V$631),--($D1436:$V1436=1)),0)+SUM(V833)+IF(COUNTIF(V$1237:V1436,1)=1,5,0)+IF(COUNTIF(W834:$W834,"&gt;"&amp;0)&lt;5,IF(AND(COUNTIF(V$1237:V1436,1)&gt;7,MOD(1+IFERROR(MATCH($C834,总览!$D$46:$D$345,1)+1,1),7)=0),$C$3,0),0)</f>
        <v>270.498407751816</v>
      </c>
      <c r="W834" s="135" cm="1">
        <f ca="1" t="array" ref="W834">SUMPRODUCT(TRANSPOSE($AA834:$AG834),OFFSET($L$9:$L$15,0,W$631-1))</f>
        <v>16.8502200646615</v>
      </c>
      <c r="X834" s="135" cm="1">
        <f ca="1" t="array" ref="X834">SUMPRODUCT(TRANSPOSE($AA834:$AG834),OFFSET($L$9:$L$15,0,X$631-1))</f>
        <v>20</v>
      </c>
      <c r="Y834" s="135" cm="1">
        <f ca="1" t="array" ref="Y834">SUMPRODUCT(TRANSPOSE($AA834:$AG834),OFFSET($L$9:$L$15,0,Y$631-1))</f>
        <v>10</v>
      </c>
      <c r="Z834" s="135" cm="1">
        <f ca="1" t="array" ref="Z834">SUMPRODUCT(TRANSPOSE($AA834:$AG834),OFFSET($L$9:$L$15,0,Z$631-1))</f>
        <v>3.14977993533847</v>
      </c>
      <c r="AA834" s="136">
        <f ca="1" t="shared" ref="AA834:AG834" si="645">AH834-AH833</f>
        <v>0</v>
      </c>
      <c r="AB834" s="136">
        <f ca="1" t="shared" si="645"/>
        <v>0</v>
      </c>
      <c r="AC834" s="136">
        <f ca="1" t="shared" si="645"/>
        <v>0</v>
      </c>
      <c r="AD834" s="136">
        <f ca="1" t="shared" si="645"/>
        <v>0</v>
      </c>
      <c r="AE834" s="136">
        <f ca="1" t="shared" si="645"/>
        <v>0</v>
      </c>
      <c r="AF834" s="136">
        <f ca="1" t="shared" si="645"/>
        <v>0</v>
      </c>
      <c r="AG834" s="136">
        <f ca="1" t="shared" si="645"/>
        <v>100</v>
      </c>
      <c r="AH834" s="136">
        <f ca="1" t="shared" si="631"/>
        <v>450</v>
      </c>
      <c r="AI834" s="136">
        <f ca="1" t="shared" ref="AI834:AN834" si="646">IF($C834&gt;OFFSET($Q$8,MATCH(AI$634,$AH$634:$AN$634,0),0),OFFSET($P$8,MATCH(AI$634,$AH$634:$AN$634,0),0),MAX(0,$C834-OFFSET($Q$8,RIGHT(AI$634,1)-1,0)))</f>
        <v>909</v>
      </c>
      <c r="AJ834" s="136">
        <f ca="1" t="shared" si="646"/>
        <v>1818</v>
      </c>
      <c r="AK834" s="136">
        <f ca="1" t="shared" si="646"/>
        <v>2727</v>
      </c>
      <c r="AL834" s="136">
        <f ca="1" t="shared" si="646"/>
        <v>3636</v>
      </c>
      <c r="AM834" s="136">
        <f ca="1" t="shared" si="646"/>
        <v>4545</v>
      </c>
      <c r="AN834" s="136">
        <f ca="1" t="shared" si="646"/>
        <v>5915</v>
      </c>
    </row>
    <row r="835" s="106" customFormat="1" ht="16.5" spans="2:40">
      <c r="B835" s="117">
        <v>201</v>
      </c>
      <c r="C835" s="130">
        <f t="shared" si="629"/>
        <v>20100</v>
      </c>
      <c r="D835" s="131" cm="1">
        <f ca="1" t="array" ref="D835">IF(D1437=1,OFFSET($W$634,$B835,D$631-1)/SUMPRODUCT(--($D$631:$V$631=D$631),--($D1437:$V1437=1)),0)+SUM(D834)+IF(COUNTIF(D$1237:D1437,1)=1,5,0)+IF(COUNTIF(E835:$W835,"&gt;"&amp;0)&lt;5,IF(AND(COUNTIF(D$1237:D1437,1)&gt;7,MOD(1+IFERROR(MATCH($C835,总览!$D$46:$D$345,1)+1,1),7)=0),$C$3,0),0)</f>
        <v>1456.66826086313</v>
      </c>
      <c r="E835" s="131" cm="1">
        <f ca="1" t="array" ref="E835">IF(E1437=1,OFFSET($W$634,$B835,E$631-1)/SUMPRODUCT(--($D$631:$V$631=E$631),--($D1437:$V1437=1)),0)+SUM(E834)+IF(COUNTIF(E$1237:E1437,1)=1,5,0)+IF(COUNTIF(F835:$W835,"&gt;"&amp;0)&lt;5,IF(AND(COUNTIF(E$1237:E1437,1)&gt;7,MOD(1+IFERROR(MATCH($C835,总览!$D$46:$D$345,1)+1,1),7)=0),$C$3,0),0)</f>
        <v>1456.66826086313</v>
      </c>
      <c r="F835" s="131" cm="1">
        <f ca="1" t="array" ref="F835">IF(F1437=1,OFFSET($W$634,$B835,F$631-1)/SUMPRODUCT(--($D$631:$V$631=F$631),--($D1437:$V1437=1)),0)+SUM(F834)+IF(COUNTIF(F$1237:F1437,1)=1,5,0)+IF(COUNTIF(G835:$W835,"&gt;"&amp;0)&lt;5,IF(AND(COUNTIF(F$1237:F1437,1)&gt;7,MOD(1+IFERROR(MATCH($C835,总览!$D$46:$D$345,1)+1,1),7)=0),$C$3,0),0)</f>
        <v>1456.66826086313</v>
      </c>
      <c r="G835" s="131" cm="1">
        <f ca="1" t="array" ref="G835">IF(G1437=1,OFFSET($W$634,$B835,G$631-1)/SUMPRODUCT(--($D$631:$V$631=G$631),--($D1437:$V1437=1)),0)+SUM(G834)+IF(COUNTIF(G$1237:G1437,1)=1,5,0)+IF(COUNTIF(H835:$W835,"&gt;"&amp;0)&lt;5,IF(AND(COUNTIF(G$1237:G1437,1)&gt;7,MOD(1+IFERROR(MATCH($C835,总览!$D$46:$D$345,1)+1,1),7)=0),$C$3,0),0)</f>
        <v>609.4</v>
      </c>
      <c r="H835" s="131" cm="1">
        <f ca="1" t="array" ref="H835">IF(H1437=1,OFFSET($W$634,$B835,H$631-1)/SUMPRODUCT(--($D$631:$V$631=H$631),--($D1437:$V1437=1)),0)+SUM(H834)+IF(COUNTIF(H$1237:H1437,1)=1,5,0)+IF(COUNTIF(I835:$W835,"&gt;"&amp;0)&lt;5,IF(AND(COUNTIF(H$1237:H1437,1)&gt;7,MOD(1+IFERROR(MATCH($C835,总览!$D$46:$D$345,1)+1,1),7)=0),$C$3,0),0)</f>
        <v>609.4</v>
      </c>
      <c r="I835" s="131" cm="1">
        <f ca="1" t="array" ref="I835">IF(I1437=1,OFFSET($W$634,$B835,I$631-1)/SUMPRODUCT(--($D$631:$V$631=I$631),--($D1437:$V1437=1)),0)+SUM(I834)+IF(COUNTIF(I$1237:I1437,1)=1,5,0)+IF(COUNTIF(J835:$W835,"&gt;"&amp;0)&lt;5,IF(AND(COUNTIF(I$1237:I1437,1)&gt;7,MOD(1+IFERROR(MATCH($C835,总览!$D$46:$D$345,1)+1,1),7)=0),$C$3,0),0)</f>
        <v>609.4</v>
      </c>
      <c r="J835" s="131" cm="1">
        <f ca="1" t="array" ref="J835">IF(J1437=1,OFFSET($W$634,$B835,J$631-1)/SUMPRODUCT(--($D$631:$V$631=J$631),--($D1437:$V1437=1)),0)+SUM(J834)+IF(COUNTIF(J$1237:J1437,1)=1,5,0)+IF(COUNTIF(K835:$W835,"&gt;"&amp;0)&lt;5,IF(AND(COUNTIF(J$1237:J1437,1)&gt;7,MOD(1+IFERROR(MATCH($C835,总览!$D$46:$D$345,1)+1,1),7)=0),$C$3,0),0)</f>
        <v>606.066666666666</v>
      </c>
      <c r="K835" s="131" cm="1">
        <f ca="1" t="array" ref="K835">IF(K1437=1,OFFSET($W$634,$B835,K$631-1)/SUMPRODUCT(--($D$631:$V$631=K$631),--($D1437:$V1437=1)),0)+SUM(K834)+IF(COUNTIF(K$1237:K1437,1)=1,5,0)+IF(COUNTIF(L835:$W835,"&gt;"&amp;0)&lt;5,IF(AND(COUNTIF(K$1237:K1437,1)&gt;7,MOD(1+IFERROR(MATCH($C835,总览!$D$46:$D$345,1)+1,1),7)=0),$C$3,0),0)</f>
        <v>603.566666666666</v>
      </c>
      <c r="L835" s="131" cm="1">
        <f ca="1" t="array" ref="L835">IF(L1437=1,OFFSET($W$634,$B835,L$631-1)/SUMPRODUCT(--($D$631:$V$631=L$631),--($D1437:$V1437=1)),0)+SUM(L834)+IF(COUNTIF(L$1237:L1437,1)=1,5,0)+IF(COUNTIF(M835:$W835,"&gt;"&amp;0)&lt;5,IF(AND(COUNTIF(L$1237:L1437,1)&gt;7,MOD(1+IFERROR(MATCH($C835,总览!$D$46:$D$345,1)+1,1),7)=0),$C$3,0),0)</f>
        <v>603.566666666666</v>
      </c>
      <c r="M835" s="131" cm="1">
        <f ca="1" t="array" ref="M835">IF(M1437=1,OFFSET($W$634,$B835,M$631-1)/SUMPRODUCT(--($D$631:$V$631=M$631),--($D1437:$V1437=1)),0)+SUM(M834)+IF(COUNTIF(M$1237:M1437,1)=1,5,0)+IF(COUNTIF(N835:$W835,"&gt;"&amp;0)&lt;5,IF(AND(COUNTIF(M$1237:M1437,1)&gt;7,MOD(1+IFERROR(MATCH($C835,总览!$D$46:$D$345,1)+1,1),7)=0),$C$3,0),0)</f>
        <v>244.895535714285</v>
      </c>
      <c r="N835" s="131" cm="1">
        <f ca="1" t="array" ref="N835">IF(N1437=1,OFFSET($W$634,$B835,N$631-1)/SUMPRODUCT(--($D$631:$V$631=N$631),--($D1437:$V1437=1)),0)+SUM(N834)+IF(COUNTIF(N$1237:N1437,1)=1,5,0)+IF(COUNTIF(O835:$W835,"&gt;"&amp;0)&lt;5,IF(AND(COUNTIF(N$1237:N1437,1)&gt;7,MOD(1+IFERROR(MATCH($C835,总览!$D$46:$D$345,1)+1,1),7)=0),$C$3,0),0)</f>
        <v>246.145535714285</v>
      </c>
      <c r="O835" s="131" cm="1">
        <f ca="1" t="array" ref="O835">IF(O1437=1,OFFSET($W$634,$B835,O$631-1)/SUMPRODUCT(--($D$631:$V$631=O$631),--($D1437:$V1437=1)),0)+SUM(O834)+IF(COUNTIF(O$1237:O1437,1)=1,5,0)+IF(COUNTIF(P835:$W835,"&gt;"&amp;0)&lt;5,IF(AND(COUNTIF(O$1237:O1437,1)&gt;7,MOD(1+IFERROR(MATCH($C835,总览!$D$46:$D$345,1)+1,1),7)=0),$C$3,0),0)</f>
        <v>251.145535714285</v>
      </c>
      <c r="P835" s="131" cm="1">
        <f ca="1" t="array" ref="P835">IF(P1437=1,OFFSET($W$634,$B835,P$631-1)/SUMPRODUCT(--($D$631:$V$631=P$631),--($D1437:$V1437=1)),0)+SUM(P834)+IF(COUNTIF(P$1237:P1437,1)=1,5,0)+IF(COUNTIF(Q835:$W835,"&gt;"&amp;0)&lt;5,IF(AND(COUNTIF(P$1237:P1437,1)&gt;7,MOD(1+IFERROR(MATCH($C835,总览!$D$46:$D$345,1)+1,1),7)=0),$C$3,0),0)</f>
        <v>240.264285714285</v>
      </c>
      <c r="Q835" s="131" cm="1">
        <f ca="1" t="array" ref="Q835">IF(Q1437=1,OFFSET($W$634,$B835,Q$631-1)/SUMPRODUCT(--($D$631:$V$631=Q$631),--($D1437:$V1437=1)),0)+SUM(Q834)+IF(COUNTIF(Q$1237:Q1437,1)=1,5,0)+IF(COUNTIF(R835:$W835,"&gt;"&amp;0)&lt;5,IF(AND(COUNTIF(Q$1237:Q1437,1)&gt;7,MOD(1+IFERROR(MATCH($C835,总览!$D$46:$D$345,1)+1,1),7)=0),$C$3,0),0)</f>
        <v>253.645535714284</v>
      </c>
      <c r="R835" s="131" cm="1">
        <f ca="1" t="array" ref="R835">IF(R1437=1,OFFSET($W$634,$B835,R$631-1)/SUMPRODUCT(--($D$631:$V$631=R$631),--($D1437:$V1437=1)),0)+SUM(R834)+IF(COUNTIF(R$1237:R1437,1)=1,5,0)+IF(COUNTIF(S835:$W835,"&gt;"&amp;0)&lt;5,IF(AND(COUNTIF(R$1237:R1437,1)&gt;7,MOD(1+IFERROR(MATCH($C835,总览!$D$46:$D$345,1)+1,1),7)=0),$C$3,0),0)</f>
        <v>245.264285714285</v>
      </c>
      <c r="S835" s="131" cm="1">
        <f ca="1" t="array" ref="S835">IF(S1437=1,OFFSET($W$634,$B835,S$631-1)/SUMPRODUCT(--($D$631:$V$631=S$631),--($D1437:$V1437=1)),0)+SUM(S834)+IF(COUNTIF(S$1237:S1437,1)=1,5,0)+IF(COUNTIF(T835:$W835,"&gt;"&amp;0)&lt;5,IF(AND(COUNTIF(S$1237:S1437,1)&gt;7,MOD(1+IFERROR(MATCH($C835,总览!$D$46:$D$345,1)+1,1),7)=0),$C$3,0),0)</f>
        <v>337.764285714286</v>
      </c>
      <c r="T835" s="131" cm="1">
        <f ca="1" t="array" ref="T835">IF(T1437=1,OFFSET($W$634,$B835,T$631-1)/SUMPRODUCT(--($D$631:$V$631=T$631),--($D1437:$V1437=1)),0)+SUM(T834)+IF(COUNTIF(T$1237:T1437,1)=1,5,0)+IF(COUNTIF(U835:$W835,"&gt;"&amp;0)&lt;5,IF(AND(COUNTIF(T$1237:T1437,1)&gt;7,MOD(1+IFERROR(MATCH($C835,总览!$D$46:$D$345,1)+1,1),7)=0),$C$3,0),0)</f>
        <v>246.200548329196</v>
      </c>
      <c r="U835" s="131" cm="1">
        <f ca="1" t="array" ref="U835">IF(U1437=1,OFFSET($W$634,$B835,U$631-1)/SUMPRODUCT(--($D$631:$V$631=U$631),--($D1437:$V1437=1)),0)+SUM(U834)+IF(COUNTIF(U$1237:U1437,1)=1,5,0)+IF(COUNTIF(V835:$W835,"&gt;"&amp;0)&lt;5,IF(AND(COUNTIF(U$1237:U1437,1)&gt;7,MOD(1+IFERROR(MATCH($C835,总览!$D$46:$D$345,1)+1,1),7)=0),$C$3,0),0)</f>
        <v>251.721334684496</v>
      </c>
      <c r="V835" s="131" cm="1">
        <f ca="1" t="array" ref="V835">IF(V1437=1,OFFSET($W$634,$B835,V$631-1)/SUMPRODUCT(--($D$631:$V$631=V$631),--($D1437:$V1437=1)),0)+SUM(V834)+IF(COUNTIF(V$1237:V1437,1)=1,5,0)+IF(COUNTIF(W835:$W835,"&gt;"&amp;0)&lt;5,IF(AND(COUNTIF(V$1237:V1437,1)&gt;7,MOD(1+IFERROR(MATCH($C835,总览!$D$46:$D$345,1)+1,1),7)=0),$C$3,0),0)</f>
        <v>271.548334396929</v>
      </c>
      <c r="W835" s="135" cm="1">
        <f ca="1" t="array" ref="W835">SUMPRODUCT(TRANSPOSE($AA835:$AG835),OFFSET($L$9:$L$15,0,W$631-1))</f>
        <v>16.8502200646615</v>
      </c>
      <c r="X835" s="135" cm="1">
        <f ca="1" t="array" ref="X835">SUMPRODUCT(TRANSPOSE($AA835:$AG835),OFFSET($L$9:$L$15,0,X$631-1))</f>
        <v>20</v>
      </c>
      <c r="Y835" s="135" cm="1">
        <f ca="1" t="array" ref="Y835">SUMPRODUCT(TRANSPOSE($AA835:$AG835),OFFSET($L$9:$L$15,0,Y$631-1))</f>
        <v>10</v>
      </c>
      <c r="Z835" s="135" cm="1">
        <f ca="1" t="array" ref="Z835">SUMPRODUCT(TRANSPOSE($AA835:$AG835),OFFSET($L$9:$L$15,0,Z$631-1))</f>
        <v>3.14977993533847</v>
      </c>
      <c r="AA835" s="136">
        <f ca="1" t="shared" ref="AA835:AG835" si="647">AH835-AH834</f>
        <v>0</v>
      </c>
      <c r="AB835" s="136">
        <f ca="1" t="shared" si="647"/>
        <v>0</v>
      </c>
      <c r="AC835" s="136">
        <f ca="1" t="shared" si="647"/>
        <v>0</v>
      </c>
      <c r="AD835" s="136">
        <f ca="1" t="shared" si="647"/>
        <v>0</v>
      </c>
      <c r="AE835" s="136">
        <f ca="1" t="shared" si="647"/>
        <v>0</v>
      </c>
      <c r="AF835" s="136">
        <f ca="1" t="shared" si="647"/>
        <v>0</v>
      </c>
      <c r="AG835" s="136">
        <f ca="1" t="shared" si="647"/>
        <v>100</v>
      </c>
      <c r="AH835" s="136">
        <f ca="1" t="shared" si="631"/>
        <v>450</v>
      </c>
      <c r="AI835" s="136">
        <f ca="1" t="shared" ref="AI835:AN835" si="648">IF($C835&gt;OFFSET($Q$8,MATCH(AI$634,$AH$634:$AN$634,0),0),OFFSET($P$8,MATCH(AI$634,$AH$634:$AN$634,0),0),MAX(0,$C835-OFFSET($Q$8,RIGHT(AI$634,1)-1,0)))</f>
        <v>909</v>
      </c>
      <c r="AJ835" s="136">
        <f ca="1" t="shared" si="648"/>
        <v>1818</v>
      </c>
      <c r="AK835" s="136">
        <f ca="1" t="shared" si="648"/>
        <v>2727</v>
      </c>
      <c r="AL835" s="136">
        <f ca="1" t="shared" si="648"/>
        <v>3636</v>
      </c>
      <c r="AM835" s="136">
        <f ca="1" t="shared" si="648"/>
        <v>4545</v>
      </c>
      <c r="AN835" s="136">
        <f ca="1" t="shared" si="648"/>
        <v>6015</v>
      </c>
    </row>
    <row r="836" s="106" customFormat="1" ht="16.5" spans="2:40">
      <c r="B836" s="117">
        <v>202</v>
      </c>
      <c r="C836" s="130">
        <f t="shared" si="629"/>
        <v>20200</v>
      </c>
      <c r="D836" s="131" cm="1">
        <f ca="1" t="array" ref="D836">IF(D1438=1,OFFSET($W$634,$B836,D$631-1)/SUMPRODUCT(--($D$631:$V$631=D$631),--($D1438:$V1438=1)),0)+SUM(D835)+IF(COUNTIF(D$1237:D1438,1)=1,5,0)+IF(COUNTIF(E836:$W836,"&gt;"&amp;0)&lt;5,IF(AND(COUNTIF(D$1237:D1438,1)&gt;7,MOD(1+IFERROR(MATCH($C836,总览!$D$46:$D$345,1)+1,1),7)=0),$C$3,0),0)</f>
        <v>1462.28500088468</v>
      </c>
      <c r="E836" s="131" cm="1">
        <f ca="1" t="array" ref="E836">IF(E1438=1,OFFSET($W$634,$B836,E$631-1)/SUMPRODUCT(--($D$631:$V$631=E$631),--($D1438:$V1438=1)),0)+SUM(E835)+IF(COUNTIF(E$1237:E1438,1)=1,5,0)+IF(COUNTIF(F836:$W836,"&gt;"&amp;0)&lt;5,IF(AND(COUNTIF(E$1237:E1438,1)&gt;7,MOD(1+IFERROR(MATCH($C836,总览!$D$46:$D$345,1)+1,1),7)=0),$C$3,0),0)</f>
        <v>1462.28500088468</v>
      </c>
      <c r="F836" s="131" cm="1">
        <f ca="1" t="array" ref="F836">IF(F1438=1,OFFSET($W$634,$B836,F$631-1)/SUMPRODUCT(--($D$631:$V$631=F$631),--($D1438:$V1438=1)),0)+SUM(F835)+IF(COUNTIF(F$1237:F1438,1)=1,5,0)+IF(COUNTIF(G836:$W836,"&gt;"&amp;0)&lt;5,IF(AND(COUNTIF(F$1237:F1438,1)&gt;7,MOD(1+IFERROR(MATCH($C836,总览!$D$46:$D$345,1)+1,1),7)=0),$C$3,0),0)</f>
        <v>1462.28500088468</v>
      </c>
      <c r="G836" s="131" cm="1">
        <f ca="1" t="array" ref="G836">IF(G1438=1,OFFSET($W$634,$B836,G$631-1)/SUMPRODUCT(--($D$631:$V$631=G$631),--($D1438:$V1438=1)),0)+SUM(G835)+IF(COUNTIF(G$1237:G1438,1)=1,5,0)+IF(COUNTIF(H836:$W836,"&gt;"&amp;0)&lt;5,IF(AND(COUNTIF(G$1237:G1438,1)&gt;7,MOD(1+IFERROR(MATCH($C836,总览!$D$46:$D$345,1)+1,1),7)=0),$C$3,0),0)</f>
        <v>612.733333333333</v>
      </c>
      <c r="H836" s="131" cm="1">
        <f ca="1" t="array" ref="H836">IF(H1438=1,OFFSET($W$634,$B836,H$631-1)/SUMPRODUCT(--($D$631:$V$631=H$631),--($D1438:$V1438=1)),0)+SUM(H835)+IF(COUNTIF(H$1237:H1438,1)=1,5,0)+IF(COUNTIF(I836:$W836,"&gt;"&amp;0)&lt;5,IF(AND(COUNTIF(H$1237:H1438,1)&gt;7,MOD(1+IFERROR(MATCH($C836,总览!$D$46:$D$345,1)+1,1),7)=0),$C$3,0),0)</f>
        <v>612.733333333333</v>
      </c>
      <c r="I836" s="131" cm="1">
        <f ca="1" t="array" ref="I836">IF(I1438=1,OFFSET($W$634,$B836,I$631-1)/SUMPRODUCT(--($D$631:$V$631=I$631),--($D1438:$V1438=1)),0)+SUM(I835)+IF(COUNTIF(I$1237:I1438,1)=1,5,0)+IF(COUNTIF(J836:$W836,"&gt;"&amp;0)&lt;5,IF(AND(COUNTIF(I$1237:I1438,1)&gt;7,MOD(1+IFERROR(MATCH($C836,总览!$D$46:$D$345,1)+1,1),7)=0),$C$3,0),0)</f>
        <v>612.733333333333</v>
      </c>
      <c r="J836" s="131" cm="1">
        <f ca="1" t="array" ref="J836">IF(J1438=1,OFFSET($W$634,$B836,J$631-1)/SUMPRODUCT(--($D$631:$V$631=J$631),--($D1438:$V1438=1)),0)+SUM(J835)+IF(COUNTIF(J$1237:J1438,1)=1,5,0)+IF(COUNTIF(K836:$W836,"&gt;"&amp;0)&lt;5,IF(AND(COUNTIF(J$1237:J1438,1)&gt;7,MOD(1+IFERROR(MATCH($C836,总览!$D$46:$D$345,1)+1,1),7)=0),$C$3,0),0)</f>
        <v>609.4</v>
      </c>
      <c r="K836" s="131" cm="1">
        <f ca="1" t="array" ref="K836">IF(K1438=1,OFFSET($W$634,$B836,K$631-1)/SUMPRODUCT(--($D$631:$V$631=K$631),--($D1438:$V1438=1)),0)+SUM(K835)+IF(COUNTIF(K$1237:K1438,1)=1,5,0)+IF(COUNTIF(L836:$W836,"&gt;"&amp;0)&lt;5,IF(AND(COUNTIF(K$1237:K1438,1)&gt;7,MOD(1+IFERROR(MATCH($C836,总览!$D$46:$D$345,1)+1,1),7)=0),$C$3,0),0)</f>
        <v>606.9</v>
      </c>
      <c r="L836" s="131" cm="1">
        <f ca="1" t="array" ref="L836">IF(L1438=1,OFFSET($W$634,$B836,L$631-1)/SUMPRODUCT(--($D$631:$V$631=L$631),--($D1438:$V1438=1)),0)+SUM(L835)+IF(COUNTIF(L$1237:L1438,1)=1,5,0)+IF(COUNTIF(M836:$W836,"&gt;"&amp;0)&lt;5,IF(AND(COUNTIF(L$1237:L1438,1)&gt;7,MOD(1+IFERROR(MATCH($C836,总览!$D$46:$D$345,1)+1,1),7)=0),$C$3,0),0)</f>
        <v>606.9</v>
      </c>
      <c r="M836" s="131" cm="1">
        <f ca="1" t="array" ref="M836">IF(M1438=1,OFFSET($W$634,$B836,M$631-1)/SUMPRODUCT(--($D$631:$V$631=M$631),--($D1438:$V1438=1)),0)+SUM(M835)+IF(COUNTIF(M$1237:M1438,1)=1,5,0)+IF(COUNTIF(N836:$W836,"&gt;"&amp;0)&lt;5,IF(AND(COUNTIF(M$1237:M1438,1)&gt;7,MOD(1+IFERROR(MATCH($C836,总览!$D$46:$D$345,1)+1,1),7)=0),$C$3,0),0)</f>
        <v>246.324107142856</v>
      </c>
      <c r="N836" s="131" cm="1">
        <f ca="1" t="array" ref="N836">IF(N1438=1,OFFSET($W$634,$B836,N$631-1)/SUMPRODUCT(--($D$631:$V$631=N$631),--($D1438:$V1438=1)),0)+SUM(N835)+IF(COUNTIF(N$1237:N1438,1)=1,5,0)+IF(COUNTIF(O836:$W836,"&gt;"&amp;0)&lt;5,IF(AND(COUNTIF(N$1237:N1438,1)&gt;7,MOD(1+IFERROR(MATCH($C836,总览!$D$46:$D$345,1)+1,1),7)=0),$C$3,0),0)</f>
        <v>247.574107142856</v>
      </c>
      <c r="O836" s="131" cm="1">
        <f ca="1" t="array" ref="O836">IF(O1438=1,OFFSET($W$634,$B836,O$631-1)/SUMPRODUCT(--($D$631:$V$631=O$631),--($D1438:$V1438=1)),0)+SUM(O835)+IF(COUNTIF(O$1237:O1438,1)=1,5,0)+IF(COUNTIF(P836:$W836,"&gt;"&amp;0)&lt;5,IF(AND(COUNTIF(O$1237:O1438,1)&gt;7,MOD(1+IFERROR(MATCH($C836,总览!$D$46:$D$345,1)+1,1),7)=0),$C$3,0),0)</f>
        <v>252.574107142856</v>
      </c>
      <c r="P836" s="131" cm="1">
        <f ca="1" t="array" ref="P836">IF(P1438=1,OFFSET($W$634,$B836,P$631-1)/SUMPRODUCT(--($D$631:$V$631=P$631),--($D1438:$V1438=1)),0)+SUM(P835)+IF(COUNTIF(P$1237:P1438,1)=1,5,0)+IF(COUNTIF(Q836:$W836,"&gt;"&amp;0)&lt;5,IF(AND(COUNTIF(P$1237:P1438,1)&gt;7,MOD(1+IFERROR(MATCH($C836,总览!$D$46:$D$345,1)+1,1),7)=0),$C$3,0),0)</f>
        <v>241.692857142856</v>
      </c>
      <c r="Q836" s="131" cm="1">
        <f ca="1" t="array" ref="Q836">IF(Q1438=1,OFFSET($W$634,$B836,Q$631-1)/SUMPRODUCT(--($D$631:$V$631=Q$631),--($D1438:$V1438=1)),0)+SUM(Q835)+IF(COUNTIF(Q$1237:Q1438,1)=1,5,0)+IF(COUNTIF(R836:$W836,"&gt;"&amp;0)&lt;5,IF(AND(COUNTIF(Q$1237:Q1438,1)&gt;7,MOD(1+IFERROR(MATCH($C836,总览!$D$46:$D$345,1)+1,1),7)=0),$C$3,0),0)</f>
        <v>255.074107142856</v>
      </c>
      <c r="R836" s="131" cm="1">
        <f ca="1" t="array" ref="R836">IF(R1438=1,OFFSET($W$634,$B836,R$631-1)/SUMPRODUCT(--($D$631:$V$631=R$631),--($D1438:$V1438=1)),0)+SUM(R835)+IF(COUNTIF(R$1237:R1438,1)=1,5,0)+IF(COUNTIF(S836:$W836,"&gt;"&amp;0)&lt;5,IF(AND(COUNTIF(R$1237:R1438,1)&gt;7,MOD(1+IFERROR(MATCH($C836,总览!$D$46:$D$345,1)+1,1),7)=0),$C$3,0),0)</f>
        <v>246.692857142856</v>
      </c>
      <c r="S836" s="131" cm="1">
        <f ca="1" t="array" ref="S836">IF(S1438=1,OFFSET($W$634,$B836,S$631-1)/SUMPRODUCT(--($D$631:$V$631=S$631),--($D1438:$V1438=1)),0)+SUM(S835)+IF(COUNTIF(S$1237:S1438,1)=1,5,0)+IF(COUNTIF(T836:$W836,"&gt;"&amp;0)&lt;5,IF(AND(COUNTIF(S$1237:S1438,1)&gt;7,MOD(1+IFERROR(MATCH($C836,总览!$D$46:$D$345,1)+1,1),7)=0),$C$3,0),0)</f>
        <v>339.192857142857</v>
      </c>
      <c r="T836" s="131" cm="1">
        <f ca="1" t="array" ref="T836">IF(T1438=1,OFFSET($W$634,$B836,T$631-1)/SUMPRODUCT(--($D$631:$V$631=T$631),--($D1438:$V1438=1)),0)+SUM(T835)+IF(COUNTIF(T$1237:T1438,1)=1,5,0)+IF(COUNTIF(U836:$W836,"&gt;"&amp;0)&lt;5,IF(AND(COUNTIF(T$1237:T1438,1)&gt;7,MOD(1+IFERROR(MATCH($C836,总览!$D$46:$D$345,1)+1,1),7)=0),$C$3,0),0)</f>
        <v>247.250474974309</v>
      </c>
      <c r="U836" s="131" cm="1">
        <f ca="1" t="array" ref="U836">IF(U1438=1,OFFSET($W$634,$B836,U$631-1)/SUMPRODUCT(--($D$631:$V$631=U$631),--($D1438:$V1438=1)),0)+SUM(U835)+IF(COUNTIF(U$1237:U1438,1)=1,5,0)+IF(COUNTIF(V836:$W836,"&gt;"&amp;0)&lt;5,IF(AND(COUNTIF(U$1237:U1438,1)&gt;7,MOD(1+IFERROR(MATCH($C836,总览!$D$46:$D$345,1)+1,1),7)=0),$C$3,0),0)</f>
        <v>252.771261329609</v>
      </c>
      <c r="V836" s="131" cm="1">
        <f ca="1" t="array" ref="V836">IF(V1438=1,OFFSET($W$634,$B836,V$631-1)/SUMPRODUCT(--($D$631:$V$631=V$631),--($D1438:$V1438=1)),0)+SUM(V835)+IF(COUNTIF(V$1237:V1438,1)=1,5,0)+IF(COUNTIF(W836:$W836,"&gt;"&amp;0)&lt;5,IF(AND(COUNTIF(V$1237:V1438,1)&gt;7,MOD(1+IFERROR(MATCH($C836,总览!$D$46:$D$345,1)+1,1),7)=0),$C$3,0),0)</f>
        <v>272.598261042042</v>
      </c>
      <c r="W836" s="135" cm="1">
        <f ca="1" t="array" ref="W836">SUMPRODUCT(TRANSPOSE($AA836:$AG836),OFFSET($L$9:$L$15,0,W$631-1))</f>
        <v>16.8502200646615</v>
      </c>
      <c r="X836" s="135" cm="1">
        <f ca="1" t="array" ref="X836">SUMPRODUCT(TRANSPOSE($AA836:$AG836),OFFSET($L$9:$L$15,0,X$631-1))</f>
        <v>20</v>
      </c>
      <c r="Y836" s="135" cm="1">
        <f ca="1" t="array" ref="Y836">SUMPRODUCT(TRANSPOSE($AA836:$AG836),OFFSET($L$9:$L$15,0,Y$631-1))</f>
        <v>10</v>
      </c>
      <c r="Z836" s="135" cm="1">
        <f ca="1" t="array" ref="Z836">SUMPRODUCT(TRANSPOSE($AA836:$AG836),OFFSET($L$9:$L$15,0,Z$631-1))</f>
        <v>3.14977993533847</v>
      </c>
      <c r="AA836" s="136">
        <f ca="1" t="shared" ref="AA836:AG836" si="649">AH836-AH835</f>
        <v>0</v>
      </c>
      <c r="AB836" s="136">
        <f ca="1" t="shared" si="649"/>
        <v>0</v>
      </c>
      <c r="AC836" s="136">
        <f ca="1" t="shared" si="649"/>
        <v>0</v>
      </c>
      <c r="AD836" s="136">
        <f ca="1" t="shared" si="649"/>
        <v>0</v>
      </c>
      <c r="AE836" s="136">
        <f ca="1" t="shared" si="649"/>
        <v>0</v>
      </c>
      <c r="AF836" s="136">
        <f ca="1" t="shared" si="649"/>
        <v>0</v>
      </c>
      <c r="AG836" s="136">
        <f ca="1" t="shared" si="649"/>
        <v>100</v>
      </c>
      <c r="AH836" s="136">
        <f ca="1" t="shared" si="631"/>
        <v>450</v>
      </c>
      <c r="AI836" s="136">
        <f ca="1" t="shared" ref="AI836:AN836" si="650">IF($C836&gt;OFFSET($Q$8,MATCH(AI$634,$AH$634:$AN$634,0),0),OFFSET($P$8,MATCH(AI$634,$AH$634:$AN$634,0),0),MAX(0,$C836-OFFSET($Q$8,RIGHT(AI$634,1)-1,0)))</f>
        <v>909</v>
      </c>
      <c r="AJ836" s="136">
        <f ca="1" t="shared" si="650"/>
        <v>1818</v>
      </c>
      <c r="AK836" s="136">
        <f ca="1" t="shared" si="650"/>
        <v>2727</v>
      </c>
      <c r="AL836" s="136">
        <f ca="1" t="shared" si="650"/>
        <v>3636</v>
      </c>
      <c r="AM836" s="136">
        <f ca="1" t="shared" si="650"/>
        <v>4545</v>
      </c>
      <c r="AN836" s="136">
        <f ca="1" t="shared" si="650"/>
        <v>6115</v>
      </c>
    </row>
    <row r="837" s="106" customFormat="1" ht="16.5" spans="2:40">
      <c r="B837" s="117">
        <v>203</v>
      </c>
      <c r="C837" s="130">
        <f t="shared" si="629"/>
        <v>20300</v>
      </c>
      <c r="D837" s="131" cm="1">
        <f ca="1" t="array" ref="D837">IF(D1439=1,OFFSET($W$634,$B837,D$631-1)/SUMPRODUCT(--($D$631:$V$631=D$631),--($D1439:$V1439=1)),0)+SUM(D836)+IF(COUNTIF(D$1237:D1439,1)=1,5,0)+IF(COUNTIF(E837:$W837,"&gt;"&amp;0)&lt;5,IF(AND(COUNTIF(D$1237:D1439,1)&gt;7,MOD(1+IFERROR(MATCH($C837,总览!$D$46:$D$345,1)+1,1),7)=0),$C$3,0),0)</f>
        <v>1467.90174090623</v>
      </c>
      <c r="E837" s="131" cm="1">
        <f ca="1" t="array" ref="E837">IF(E1439=1,OFFSET($W$634,$B837,E$631-1)/SUMPRODUCT(--($D$631:$V$631=E$631),--($D1439:$V1439=1)),0)+SUM(E836)+IF(COUNTIF(E$1237:E1439,1)=1,5,0)+IF(COUNTIF(F837:$W837,"&gt;"&amp;0)&lt;5,IF(AND(COUNTIF(E$1237:E1439,1)&gt;7,MOD(1+IFERROR(MATCH($C837,总览!$D$46:$D$345,1)+1,1),7)=0),$C$3,0),0)</f>
        <v>1467.90174090623</v>
      </c>
      <c r="F837" s="131" cm="1">
        <f ca="1" t="array" ref="F837">IF(F1439=1,OFFSET($W$634,$B837,F$631-1)/SUMPRODUCT(--($D$631:$V$631=F$631),--($D1439:$V1439=1)),0)+SUM(F836)+IF(COUNTIF(F$1237:F1439,1)=1,5,0)+IF(COUNTIF(G837:$W837,"&gt;"&amp;0)&lt;5,IF(AND(COUNTIF(F$1237:F1439,1)&gt;7,MOD(1+IFERROR(MATCH($C837,总览!$D$46:$D$345,1)+1,1),7)=0),$C$3,0),0)</f>
        <v>1467.90174090623</v>
      </c>
      <c r="G837" s="131" cm="1">
        <f ca="1" t="array" ref="G837">IF(G1439=1,OFFSET($W$634,$B837,G$631-1)/SUMPRODUCT(--($D$631:$V$631=G$631),--($D1439:$V1439=1)),0)+SUM(G836)+IF(COUNTIF(G$1237:G1439,1)=1,5,0)+IF(COUNTIF(H837:$W837,"&gt;"&amp;0)&lt;5,IF(AND(COUNTIF(G$1237:G1439,1)&gt;7,MOD(1+IFERROR(MATCH($C837,总览!$D$46:$D$345,1)+1,1),7)=0),$C$3,0),0)</f>
        <v>616.066666666666</v>
      </c>
      <c r="H837" s="131" cm="1">
        <f ca="1" t="array" ref="H837">IF(H1439=1,OFFSET($W$634,$B837,H$631-1)/SUMPRODUCT(--($D$631:$V$631=H$631),--($D1439:$V1439=1)),0)+SUM(H836)+IF(COUNTIF(H$1237:H1439,1)=1,5,0)+IF(COUNTIF(I837:$W837,"&gt;"&amp;0)&lt;5,IF(AND(COUNTIF(H$1237:H1439,1)&gt;7,MOD(1+IFERROR(MATCH($C837,总览!$D$46:$D$345,1)+1,1),7)=0),$C$3,0),0)</f>
        <v>616.066666666666</v>
      </c>
      <c r="I837" s="131" cm="1">
        <f ca="1" t="array" ref="I837">IF(I1439=1,OFFSET($W$634,$B837,I$631-1)/SUMPRODUCT(--($D$631:$V$631=I$631),--($D1439:$V1439=1)),0)+SUM(I836)+IF(COUNTIF(I$1237:I1439,1)=1,5,0)+IF(COUNTIF(J837:$W837,"&gt;"&amp;0)&lt;5,IF(AND(COUNTIF(I$1237:I1439,1)&gt;7,MOD(1+IFERROR(MATCH($C837,总览!$D$46:$D$345,1)+1,1),7)=0),$C$3,0),0)</f>
        <v>616.066666666666</v>
      </c>
      <c r="J837" s="131" cm="1">
        <f ca="1" t="array" ref="J837">IF(J1439=1,OFFSET($W$634,$B837,J$631-1)/SUMPRODUCT(--($D$631:$V$631=J$631),--($D1439:$V1439=1)),0)+SUM(J836)+IF(COUNTIF(J$1237:J1439,1)=1,5,0)+IF(COUNTIF(K837:$W837,"&gt;"&amp;0)&lt;5,IF(AND(COUNTIF(J$1237:J1439,1)&gt;7,MOD(1+IFERROR(MATCH($C837,总览!$D$46:$D$345,1)+1,1),7)=0),$C$3,0),0)</f>
        <v>612.733333333333</v>
      </c>
      <c r="K837" s="131" cm="1">
        <f ca="1" t="array" ref="K837">IF(K1439=1,OFFSET($W$634,$B837,K$631-1)/SUMPRODUCT(--($D$631:$V$631=K$631),--($D1439:$V1439=1)),0)+SUM(K836)+IF(COUNTIF(K$1237:K1439,1)=1,5,0)+IF(COUNTIF(L837:$W837,"&gt;"&amp;0)&lt;5,IF(AND(COUNTIF(K$1237:K1439,1)&gt;7,MOD(1+IFERROR(MATCH($C837,总览!$D$46:$D$345,1)+1,1),7)=0),$C$3,0),0)</f>
        <v>610.233333333333</v>
      </c>
      <c r="L837" s="131" cm="1">
        <f ca="1" t="array" ref="L837">IF(L1439=1,OFFSET($W$634,$B837,L$631-1)/SUMPRODUCT(--($D$631:$V$631=L$631),--($D1439:$V1439=1)),0)+SUM(L836)+IF(COUNTIF(L$1237:L1439,1)=1,5,0)+IF(COUNTIF(M837:$W837,"&gt;"&amp;0)&lt;5,IF(AND(COUNTIF(L$1237:L1439,1)&gt;7,MOD(1+IFERROR(MATCH($C837,总览!$D$46:$D$345,1)+1,1),7)=0),$C$3,0),0)</f>
        <v>610.233333333333</v>
      </c>
      <c r="M837" s="131" cm="1">
        <f ca="1" t="array" ref="M837">IF(M1439=1,OFFSET($W$634,$B837,M$631-1)/SUMPRODUCT(--($D$631:$V$631=M$631),--($D1439:$V1439=1)),0)+SUM(M836)+IF(COUNTIF(M$1237:M1439,1)=1,5,0)+IF(COUNTIF(N837:$W837,"&gt;"&amp;0)&lt;5,IF(AND(COUNTIF(M$1237:M1439,1)&gt;7,MOD(1+IFERROR(MATCH($C837,总览!$D$46:$D$345,1)+1,1),7)=0),$C$3,0),0)</f>
        <v>247.752678571427</v>
      </c>
      <c r="N837" s="131" cm="1">
        <f ca="1" t="array" ref="N837">IF(N1439=1,OFFSET($W$634,$B837,N$631-1)/SUMPRODUCT(--($D$631:$V$631=N$631),--($D1439:$V1439=1)),0)+SUM(N836)+IF(COUNTIF(N$1237:N1439,1)=1,5,0)+IF(COUNTIF(O837:$W837,"&gt;"&amp;0)&lt;5,IF(AND(COUNTIF(N$1237:N1439,1)&gt;7,MOD(1+IFERROR(MATCH($C837,总览!$D$46:$D$345,1)+1,1),7)=0),$C$3,0),0)</f>
        <v>249.002678571427</v>
      </c>
      <c r="O837" s="131" cm="1">
        <f ca="1" t="array" ref="O837">IF(O1439=1,OFFSET($W$634,$B837,O$631-1)/SUMPRODUCT(--($D$631:$V$631=O$631),--($D1439:$V1439=1)),0)+SUM(O836)+IF(COUNTIF(O$1237:O1439,1)=1,5,0)+IF(COUNTIF(P837:$W837,"&gt;"&amp;0)&lt;5,IF(AND(COUNTIF(O$1237:O1439,1)&gt;7,MOD(1+IFERROR(MATCH($C837,总览!$D$46:$D$345,1)+1,1),7)=0),$C$3,0),0)</f>
        <v>254.002678571427</v>
      </c>
      <c r="P837" s="131" cm="1">
        <f ca="1" t="array" ref="P837">IF(P1439=1,OFFSET($W$634,$B837,P$631-1)/SUMPRODUCT(--($D$631:$V$631=P$631),--($D1439:$V1439=1)),0)+SUM(P836)+IF(COUNTIF(P$1237:P1439,1)=1,5,0)+IF(COUNTIF(Q837:$W837,"&gt;"&amp;0)&lt;5,IF(AND(COUNTIF(P$1237:P1439,1)&gt;7,MOD(1+IFERROR(MATCH($C837,总览!$D$46:$D$345,1)+1,1),7)=0),$C$3,0),0)</f>
        <v>243.121428571428</v>
      </c>
      <c r="Q837" s="131" cm="1">
        <f ca="1" t="array" ref="Q837">IF(Q1439=1,OFFSET($W$634,$B837,Q$631-1)/SUMPRODUCT(--($D$631:$V$631=Q$631),--($D1439:$V1439=1)),0)+SUM(Q836)+IF(COUNTIF(Q$1237:Q1439,1)=1,5,0)+IF(COUNTIF(R837:$W837,"&gt;"&amp;0)&lt;5,IF(AND(COUNTIF(Q$1237:Q1439,1)&gt;7,MOD(1+IFERROR(MATCH($C837,总览!$D$46:$D$345,1)+1,1),7)=0),$C$3,0),0)</f>
        <v>256.502678571427</v>
      </c>
      <c r="R837" s="131" cm="1">
        <f ca="1" t="array" ref="R837">IF(R1439=1,OFFSET($W$634,$B837,R$631-1)/SUMPRODUCT(--($D$631:$V$631=R$631),--($D1439:$V1439=1)),0)+SUM(R836)+IF(COUNTIF(R$1237:R1439,1)=1,5,0)+IF(COUNTIF(S837:$W837,"&gt;"&amp;0)&lt;5,IF(AND(COUNTIF(R$1237:R1439,1)&gt;7,MOD(1+IFERROR(MATCH($C837,总览!$D$46:$D$345,1)+1,1),7)=0),$C$3,0),0)</f>
        <v>248.121428571427</v>
      </c>
      <c r="S837" s="131" cm="1">
        <f ca="1" t="array" ref="S837">IF(S1439=1,OFFSET($W$634,$B837,S$631-1)/SUMPRODUCT(--($D$631:$V$631=S$631),--($D1439:$V1439=1)),0)+SUM(S836)+IF(COUNTIF(S$1237:S1439,1)=1,5,0)+IF(COUNTIF(T837:$W837,"&gt;"&amp;0)&lt;5,IF(AND(COUNTIF(S$1237:S1439,1)&gt;7,MOD(1+IFERROR(MATCH($C837,总览!$D$46:$D$345,1)+1,1),7)=0),$C$3,0),0)</f>
        <v>340.621428571428</v>
      </c>
      <c r="T837" s="131" cm="1">
        <f ca="1" t="array" ref="T837">IF(T1439=1,OFFSET($W$634,$B837,T$631-1)/SUMPRODUCT(--($D$631:$V$631=T$631),--($D1439:$V1439=1)),0)+SUM(T836)+IF(COUNTIF(T$1237:T1439,1)=1,5,0)+IF(COUNTIF(U837:$W837,"&gt;"&amp;0)&lt;5,IF(AND(COUNTIF(T$1237:T1439,1)&gt;7,MOD(1+IFERROR(MATCH($C837,总览!$D$46:$D$345,1)+1,1),7)=0),$C$3,0),0)</f>
        <v>248.300401619422</v>
      </c>
      <c r="U837" s="131" cm="1">
        <f ca="1" t="array" ref="U837">IF(U1439=1,OFFSET($W$634,$B837,U$631-1)/SUMPRODUCT(--($D$631:$V$631=U$631),--($D1439:$V1439=1)),0)+SUM(U836)+IF(COUNTIF(U$1237:U1439,1)=1,5,0)+IF(COUNTIF(V837:$W837,"&gt;"&amp;0)&lt;5,IF(AND(COUNTIF(U$1237:U1439,1)&gt;7,MOD(1+IFERROR(MATCH($C837,总览!$D$46:$D$345,1)+1,1),7)=0),$C$3,0),0)</f>
        <v>253.821187974722</v>
      </c>
      <c r="V837" s="131" cm="1">
        <f ca="1" t="array" ref="V837">IF(V1439=1,OFFSET($W$634,$B837,V$631-1)/SUMPRODUCT(--($D$631:$V$631=V$631),--($D1439:$V1439=1)),0)+SUM(V836)+IF(COUNTIF(V$1237:V1439,1)=1,5,0)+IF(COUNTIF(W837:$W837,"&gt;"&amp;0)&lt;5,IF(AND(COUNTIF(V$1237:V1439,1)&gt;7,MOD(1+IFERROR(MATCH($C837,总览!$D$46:$D$345,1)+1,1),7)=0),$C$3,0),0)</f>
        <v>273.648187687155</v>
      </c>
      <c r="W837" s="135" cm="1">
        <f ca="1" t="array" ref="W837">SUMPRODUCT(TRANSPOSE($AA837:$AG837),OFFSET($L$9:$L$15,0,W$631-1))</f>
        <v>16.8502200646615</v>
      </c>
      <c r="X837" s="135" cm="1">
        <f ca="1" t="array" ref="X837">SUMPRODUCT(TRANSPOSE($AA837:$AG837),OFFSET($L$9:$L$15,0,X$631-1))</f>
        <v>20</v>
      </c>
      <c r="Y837" s="135" cm="1">
        <f ca="1" t="array" ref="Y837">SUMPRODUCT(TRANSPOSE($AA837:$AG837),OFFSET($L$9:$L$15,0,Y$631-1))</f>
        <v>10</v>
      </c>
      <c r="Z837" s="135" cm="1">
        <f ca="1" t="array" ref="Z837">SUMPRODUCT(TRANSPOSE($AA837:$AG837),OFFSET($L$9:$L$15,0,Z$631-1))</f>
        <v>3.14977993533847</v>
      </c>
      <c r="AA837" s="136">
        <f ca="1" t="shared" ref="AA837:AG837" si="651">AH837-AH836</f>
        <v>0</v>
      </c>
      <c r="AB837" s="136">
        <f ca="1" t="shared" si="651"/>
        <v>0</v>
      </c>
      <c r="AC837" s="136">
        <f ca="1" t="shared" si="651"/>
        <v>0</v>
      </c>
      <c r="AD837" s="136">
        <f ca="1" t="shared" si="651"/>
        <v>0</v>
      </c>
      <c r="AE837" s="136">
        <f ca="1" t="shared" si="651"/>
        <v>0</v>
      </c>
      <c r="AF837" s="136">
        <f ca="1" t="shared" si="651"/>
        <v>0</v>
      </c>
      <c r="AG837" s="136">
        <f ca="1" t="shared" si="651"/>
        <v>100</v>
      </c>
      <c r="AH837" s="136">
        <f ca="1" t="shared" si="631"/>
        <v>450</v>
      </c>
      <c r="AI837" s="136">
        <f ca="1" t="shared" ref="AI837:AN837" si="652">IF($C837&gt;OFFSET($Q$8,MATCH(AI$634,$AH$634:$AN$634,0),0),OFFSET($P$8,MATCH(AI$634,$AH$634:$AN$634,0),0),MAX(0,$C837-OFFSET($Q$8,RIGHT(AI$634,1)-1,0)))</f>
        <v>909</v>
      </c>
      <c r="AJ837" s="136">
        <f ca="1" t="shared" si="652"/>
        <v>1818</v>
      </c>
      <c r="AK837" s="136">
        <f ca="1" t="shared" si="652"/>
        <v>2727</v>
      </c>
      <c r="AL837" s="136">
        <f ca="1" t="shared" si="652"/>
        <v>3636</v>
      </c>
      <c r="AM837" s="136">
        <f ca="1" t="shared" si="652"/>
        <v>4545</v>
      </c>
      <c r="AN837" s="136">
        <f ca="1" t="shared" si="652"/>
        <v>6215</v>
      </c>
    </row>
    <row r="838" s="106" customFormat="1" ht="16.5" spans="2:40">
      <c r="B838" s="117">
        <v>204</v>
      </c>
      <c r="C838" s="130">
        <f t="shared" si="629"/>
        <v>20400</v>
      </c>
      <c r="D838" s="131" cm="1">
        <f ca="1" t="array" ref="D838">IF(D1440=1,OFFSET($W$634,$B838,D$631-1)/SUMPRODUCT(--($D$631:$V$631=D$631),--($D1440:$V1440=1)),0)+SUM(D837)+IF(COUNTIF(D$1237:D1440,1)=1,5,0)+IF(COUNTIF(E838:$W838,"&gt;"&amp;0)&lt;5,IF(AND(COUNTIF(D$1237:D1440,1)&gt;7,MOD(1+IFERROR(MATCH($C838,总览!$D$46:$D$345,1)+1,1),7)=0),$C$3,0),0)</f>
        <v>1473.51848092779</v>
      </c>
      <c r="E838" s="131" cm="1">
        <f ca="1" t="array" ref="E838">IF(E1440=1,OFFSET($W$634,$B838,E$631-1)/SUMPRODUCT(--($D$631:$V$631=E$631),--($D1440:$V1440=1)),0)+SUM(E837)+IF(COUNTIF(E$1237:E1440,1)=1,5,0)+IF(COUNTIF(F838:$W838,"&gt;"&amp;0)&lt;5,IF(AND(COUNTIF(E$1237:E1440,1)&gt;7,MOD(1+IFERROR(MATCH($C838,总览!$D$46:$D$345,1)+1,1),7)=0),$C$3,0),0)</f>
        <v>1473.51848092779</v>
      </c>
      <c r="F838" s="131" cm="1">
        <f ca="1" t="array" ref="F838">IF(F1440=1,OFFSET($W$634,$B838,F$631-1)/SUMPRODUCT(--($D$631:$V$631=F$631),--($D1440:$V1440=1)),0)+SUM(F837)+IF(COUNTIF(F$1237:F1440,1)=1,5,0)+IF(COUNTIF(G838:$W838,"&gt;"&amp;0)&lt;5,IF(AND(COUNTIF(F$1237:F1440,1)&gt;7,MOD(1+IFERROR(MATCH($C838,总览!$D$46:$D$345,1)+1,1),7)=0),$C$3,0),0)</f>
        <v>1473.51848092779</v>
      </c>
      <c r="G838" s="131" cm="1">
        <f ca="1" t="array" ref="G838">IF(G1440=1,OFFSET($W$634,$B838,G$631-1)/SUMPRODUCT(--($D$631:$V$631=G$631),--($D1440:$V1440=1)),0)+SUM(G837)+IF(COUNTIF(G$1237:G1440,1)=1,5,0)+IF(COUNTIF(H838:$W838,"&gt;"&amp;0)&lt;5,IF(AND(COUNTIF(G$1237:G1440,1)&gt;7,MOD(1+IFERROR(MATCH($C838,总览!$D$46:$D$345,1)+1,1),7)=0),$C$3,0),0)</f>
        <v>619.4</v>
      </c>
      <c r="H838" s="131" cm="1">
        <f ca="1" t="array" ref="H838">IF(H1440=1,OFFSET($W$634,$B838,H$631-1)/SUMPRODUCT(--($D$631:$V$631=H$631),--($D1440:$V1440=1)),0)+SUM(H837)+IF(COUNTIF(H$1237:H1440,1)=1,5,0)+IF(COUNTIF(I838:$W838,"&gt;"&amp;0)&lt;5,IF(AND(COUNTIF(H$1237:H1440,1)&gt;7,MOD(1+IFERROR(MATCH($C838,总览!$D$46:$D$345,1)+1,1),7)=0),$C$3,0),0)</f>
        <v>619.4</v>
      </c>
      <c r="I838" s="131" cm="1">
        <f ca="1" t="array" ref="I838">IF(I1440=1,OFFSET($W$634,$B838,I$631-1)/SUMPRODUCT(--($D$631:$V$631=I$631),--($D1440:$V1440=1)),0)+SUM(I837)+IF(COUNTIF(I$1237:I1440,1)=1,5,0)+IF(COUNTIF(J838:$W838,"&gt;"&amp;0)&lt;5,IF(AND(COUNTIF(I$1237:I1440,1)&gt;7,MOD(1+IFERROR(MATCH($C838,总览!$D$46:$D$345,1)+1,1),7)=0),$C$3,0),0)</f>
        <v>619.4</v>
      </c>
      <c r="J838" s="131" cm="1">
        <f ca="1" t="array" ref="J838">IF(J1440=1,OFFSET($W$634,$B838,J$631-1)/SUMPRODUCT(--($D$631:$V$631=J$631),--($D1440:$V1440=1)),0)+SUM(J837)+IF(COUNTIF(J$1237:J1440,1)=1,5,0)+IF(COUNTIF(K838:$W838,"&gt;"&amp;0)&lt;5,IF(AND(COUNTIF(J$1237:J1440,1)&gt;7,MOD(1+IFERROR(MATCH($C838,总览!$D$46:$D$345,1)+1,1),7)=0),$C$3,0),0)</f>
        <v>616.066666666666</v>
      </c>
      <c r="K838" s="131" cm="1">
        <f ca="1" t="array" ref="K838">IF(K1440=1,OFFSET($W$634,$B838,K$631-1)/SUMPRODUCT(--($D$631:$V$631=K$631),--($D1440:$V1440=1)),0)+SUM(K837)+IF(COUNTIF(K$1237:K1440,1)=1,5,0)+IF(COUNTIF(L838:$W838,"&gt;"&amp;0)&lt;5,IF(AND(COUNTIF(K$1237:K1440,1)&gt;7,MOD(1+IFERROR(MATCH($C838,总览!$D$46:$D$345,1)+1,1),7)=0),$C$3,0),0)</f>
        <v>613.566666666666</v>
      </c>
      <c r="L838" s="131" cm="1">
        <f ca="1" t="array" ref="L838">IF(L1440=1,OFFSET($W$634,$B838,L$631-1)/SUMPRODUCT(--($D$631:$V$631=L$631),--($D1440:$V1440=1)),0)+SUM(L837)+IF(COUNTIF(L$1237:L1440,1)=1,5,0)+IF(COUNTIF(M838:$W838,"&gt;"&amp;0)&lt;5,IF(AND(COUNTIF(L$1237:L1440,1)&gt;7,MOD(1+IFERROR(MATCH($C838,总览!$D$46:$D$345,1)+1,1),7)=0),$C$3,0),0)</f>
        <v>613.566666666666</v>
      </c>
      <c r="M838" s="131" cm="1">
        <f ca="1" t="array" ref="M838">IF(M1440=1,OFFSET($W$634,$B838,M$631-1)/SUMPRODUCT(--($D$631:$V$631=M$631),--($D1440:$V1440=1)),0)+SUM(M837)+IF(COUNTIF(M$1237:M1440,1)=1,5,0)+IF(COUNTIF(N838:$W838,"&gt;"&amp;0)&lt;5,IF(AND(COUNTIF(M$1237:M1440,1)&gt;7,MOD(1+IFERROR(MATCH($C838,总览!$D$46:$D$345,1)+1,1),7)=0),$C$3,0),0)</f>
        <v>249.181249999999</v>
      </c>
      <c r="N838" s="131" cm="1">
        <f ca="1" t="array" ref="N838">IF(N1440=1,OFFSET($W$634,$B838,N$631-1)/SUMPRODUCT(--($D$631:$V$631=N$631),--($D1440:$V1440=1)),0)+SUM(N837)+IF(COUNTIF(N$1237:N1440,1)=1,5,0)+IF(COUNTIF(O838:$W838,"&gt;"&amp;0)&lt;5,IF(AND(COUNTIF(N$1237:N1440,1)&gt;7,MOD(1+IFERROR(MATCH($C838,总览!$D$46:$D$345,1)+1,1),7)=0),$C$3,0),0)</f>
        <v>250.431249999999</v>
      </c>
      <c r="O838" s="131" cm="1">
        <f ca="1" t="array" ref="O838">IF(O1440=1,OFFSET($W$634,$B838,O$631-1)/SUMPRODUCT(--($D$631:$V$631=O$631),--($D1440:$V1440=1)),0)+SUM(O837)+IF(COUNTIF(O$1237:O1440,1)=1,5,0)+IF(COUNTIF(P838:$W838,"&gt;"&amp;0)&lt;5,IF(AND(COUNTIF(O$1237:O1440,1)&gt;7,MOD(1+IFERROR(MATCH($C838,总览!$D$46:$D$345,1)+1,1),7)=0),$C$3,0),0)</f>
        <v>255.431249999999</v>
      </c>
      <c r="P838" s="131" cm="1">
        <f ca="1" t="array" ref="P838">IF(P1440=1,OFFSET($W$634,$B838,P$631-1)/SUMPRODUCT(--($D$631:$V$631=P$631),--($D1440:$V1440=1)),0)+SUM(P837)+IF(COUNTIF(P$1237:P1440,1)=1,5,0)+IF(COUNTIF(Q838:$W838,"&gt;"&amp;0)&lt;5,IF(AND(COUNTIF(P$1237:P1440,1)&gt;7,MOD(1+IFERROR(MATCH($C838,总览!$D$46:$D$345,1)+1,1),7)=0),$C$3,0),0)</f>
        <v>244.549999999999</v>
      </c>
      <c r="Q838" s="131" cm="1">
        <f ca="1" t="array" ref="Q838">IF(Q1440=1,OFFSET($W$634,$B838,Q$631-1)/SUMPRODUCT(--($D$631:$V$631=Q$631),--($D1440:$V1440=1)),0)+SUM(Q837)+IF(COUNTIF(Q$1237:Q1440,1)=1,5,0)+IF(COUNTIF(R838:$W838,"&gt;"&amp;0)&lt;5,IF(AND(COUNTIF(Q$1237:Q1440,1)&gt;7,MOD(1+IFERROR(MATCH($C838,总览!$D$46:$D$345,1)+1,1),7)=0),$C$3,0),0)</f>
        <v>257.931249999999</v>
      </c>
      <c r="R838" s="131" cm="1">
        <f ca="1" t="array" ref="R838">IF(R1440=1,OFFSET($W$634,$B838,R$631-1)/SUMPRODUCT(--($D$631:$V$631=R$631),--($D1440:$V1440=1)),0)+SUM(R837)+IF(COUNTIF(R$1237:R1440,1)=1,5,0)+IF(COUNTIF(S838:$W838,"&gt;"&amp;0)&lt;5,IF(AND(COUNTIF(R$1237:R1440,1)&gt;7,MOD(1+IFERROR(MATCH($C838,总览!$D$46:$D$345,1)+1,1),7)=0),$C$3,0),0)</f>
        <v>249.549999999999</v>
      </c>
      <c r="S838" s="131" cm="1">
        <f ca="1" t="array" ref="S838">IF(S1440=1,OFFSET($W$634,$B838,S$631-1)/SUMPRODUCT(--($D$631:$V$631=S$631),--($D1440:$V1440=1)),0)+SUM(S837)+IF(COUNTIF(S$1237:S1440,1)=1,5,0)+IF(COUNTIF(T838:$W838,"&gt;"&amp;0)&lt;5,IF(AND(COUNTIF(S$1237:S1440,1)&gt;7,MOD(1+IFERROR(MATCH($C838,总览!$D$46:$D$345,1)+1,1),7)=0),$C$3,0),0)</f>
        <v>342.05</v>
      </c>
      <c r="T838" s="131" cm="1">
        <f ca="1" t="array" ref="T838">IF(T1440=1,OFFSET($W$634,$B838,T$631-1)/SUMPRODUCT(--($D$631:$V$631=T$631),--($D1440:$V1440=1)),0)+SUM(T837)+IF(COUNTIF(T$1237:T1440,1)=1,5,0)+IF(COUNTIF(U838:$W838,"&gt;"&amp;0)&lt;5,IF(AND(COUNTIF(T$1237:T1440,1)&gt;7,MOD(1+IFERROR(MATCH($C838,总览!$D$46:$D$345,1)+1,1),7)=0),$C$3,0),0)</f>
        <v>249.350328264535</v>
      </c>
      <c r="U838" s="131" cm="1">
        <f ca="1" t="array" ref="U838">IF(U1440=1,OFFSET($W$634,$B838,U$631-1)/SUMPRODUCT(--($D$631:$V$631=U$631),--($D1440:$V1440=1)),0)+SUM(U837)+IF(COUNTIF(U$1237:U1440,1)=1,5,0)+IF(COUNTIF(V838:$W838,"&gt;"&amp;0)&lt;5,IF(AND(COUNTIF(U$1237:U1440,1)&gt;7,MOD(1+IFERROR(MATCH($C838,总览!$D$46:$D$345,1)+1,1),7)=0),$C$3,0),0)</f>
        <v>254.871114619835</v>
      </c>
      <c r="V838" s="131" cm="1">
        <f ca="1" t="array" ref="V838">IF(V1440=1,OFFSET($W$634,$B838,V$631-1)/SUMPRODUCT(--($D$631:$V$631=V$631),--($D1440:$V1440=1)),0)+SUM(V837)+IF(COUNTIF(V$1237:V1440,1)=1,5,0)+IF(COUNTIF(W838:$W838,"&gt;"&amp;0)&lt;5,IF(AND(COUNTIF(V$1237:V1440,1)&gt;7,MOD(1+IFERROR(MATCH($C838,总览!$D$46:$D$345,1)+1,1),7)=0),$C$3,0),0)</f>
        <v>274.698114332268</v>
      </c>
      <c r="W838" s="135" cm="1">
        <f ca="1" t="array" ref="W838">SUMPRODUCT(TRANSPOSE($AA838:$AG838),OFFSET($L$9:$L$15,0,W$631-1))</f>
        <v>16.8502200646615</v>
      </c>
      <c r="X838" s="135" cm="1">
        <f ca="1" t="array" ref="X838">SUMPRODUCT(TRANSPOSE($AA838:$AG838),OFFSET($L$9:$L$15,0,X$631-1))</f>
        <v>20</v>
      </c>
      <c r="Y838" s="135" cm="1">
        <f ca="1" t="array" ref="Y838">SUMPRODUCT(TRANSPOSE($AA838:$AG838),OFFSET($L$9:$L$15,0,Y$631-1))</f>
        <v>10</v>
      </c>
      <c r="Z838" s="135" cm="1">
        <f ca="1" t="array" ref="Z838">SUMPRODUCT(TRANSPOSE($AA838:$AG838),OFFSET($L$9:$L$15,0,Z$631-1))</f>
        <v>3.14977993533847</v>
      </c>
      <c r="AA838" s="136">
        <f ca="1" t="shared" ref="AA838:AG838" si="653">AH838-AH837</f>
        <v>0</v>
      </c>
      <c r="AB838" s="136">
        <f ca="1" t="shared" si="653"/>
        <v>0</v>
      </c>
      <c r="AC838" s="136">
        <f ca="1" t="shared" si="653"/>
        <v>0</v>
      </c>
      <c r="AD838" s="136">
        <f ca="1" t="shared" si="653"/>
        <v>0</v>
      </c>
      <c r="AE838" s="136">
        <f ca="1" t="shared" si="653"/>
        <v>0</v>
      </c>
      <c r="AF838" s="136">
        <f ca="1" t="shared" si="653"/>
        <v>0</v>
      </c>
      <c r="AG838" s="136">
        <f ca="1" t="shared" si="653"/>
        <v>100</v>
      </c>
      <c r="AH838" s="136">
        <f ca="1" t="shared" si="631"/>
        <v>450</v>
      </c>
      <c r="AI838" s="136">
        <f ca="1" t="shared" ref="AI838:AN838" si="654">IF($C838&gt;OFFSET($Q$8,MATCH(AI$634,$AH$634:$AN$634,0),0),OFFSET($P$8,MATCH(AI$634,$AH$634:$AN$634,0),0),MAX(0,$C838-OFFSET($Q$8,RIGHT(AI$634,1)-1,0)))</f>
        <v>909</v>
      </c>
      <c r="AJ838" s="136">
        <f ca="1" t="shared" si="654"/>
        <v>1818</v>
      </c>
      <c r="AK838" s="136">
        <f ca="1" t="shared" si="654"/>
        <v>2727</v>
      </c>
      <c r="AL838" s="136">
        <f ca="1" t="shared" si="654"/>
        <v>3636</v>
      </c>
      <c r="AM838" s="136">
        <f ca="1" t="shared" si="654"/>
        <v>4545</v>
      </c>
      <c r="AN838" s="136">
        <f ca="1" t="shared" si="654"/>
        <v>6315</v>
      </c>
    </row>
    <row r="839" s="106" customFormat="1" ht="16.5" spans="2:40">
      <c r="B839" s="117">
        <v>205</v>
      </c>
      <c r="C839" s="130">
        <f t="shared" si="629"/>
        <v>20500</v>
      </c>
      <c r="D839" s="131" cm="1">
        <f ca="1" t="array" ref="D839">IF(D1441=1,OFFSET($W$634,$B839,D$631-1)/SUMPRODUCT(--($D$631:$V$631=D$631),--($D1441:$V1441=1)),0)+SUM(D838)+IF(COUNTIF(D$1237:D1441,1)=1,5,0)+IF(COUNTIF(E839:$W839,"&gt;"&amp;0)&lt;5,IF(AND(COUNTIF(D$1237:D1441,1)&gt;7,MOD(1+IFERROR(MATCH($C839,总览!$D$46:$D$345,1)+1,1),7)=0),$C$3,0),0)</f>
        <v>1479.13522094934</v>
      </c>
      <c r="E839" s="131" cm="1">
        <f ca="1" t="array" ref="E839">IF(E1441=1,OFFSET($W$634,$B839,E$631-1)/SUMPRODUCT(--($D$631:$V$631=E$631),--($D1441:$V1441=1)),0)+SUM(E838)+IF(COUNTIF(E$1237:E1441,1)=1,5,0)+IF(COUNTIF(F839:$W839,"&gt;"&amp;0)&lt;5,IF(AND(COUNTIF(E$1237:E1441,1)&gt;7,MOD(1+IFERROR(MATCH($C839,总览!$D$46:$D$345,1)+1,1),7)=0),$C$3,0),0)</f>
        <v>1479.13522094934</v>
      </c>
      <c r="F839" s="131" cm="1">
        <f ca="1" t="array" ref="F839">IF(F1441=1,OFFSET($W$634,$B839,F$631-1)/SUMPRODUCT(--($D$631:$V$631=F$631),--($D1441:$V1441=1)),0)+SUM(F838)+IF(COUNTIF(F$1237:F1441,1)=1,5,0)+IF(COUNTIF(G839:$W839,"&gt;"&amp;0)&lt;5,IF(AND(COUNTIF(F$1237:F1441,1)&gt;7,MOD(1+IFERROR(MATCH($C839,总览!$D$46:$D$345,1)+1,1),7)=0),$C$3,0),0)</f>
        <v>1479.13522094934</v>
      </c>
      <c r="G839" s="131" cm="1">
        <f ca="1" t="array" ref="G839">IF(G1441=1,OFFSET($W$634,$B839,G$631-1)/SUMPRODUCT(--($D$631:$V$631=G$631),--($D1441:$V1441=1)),0)+SUM(G838)+IF(COUNTIF(G$1237:G1441,1)=1,5,0)+IF(COUNTIF(H839:$W839,"&gt;"&amp;0)&lt;5,IF(AND(COUNTIF(G$1237:G1441,1)&gt;7,MOD(1+IFERROR(MATCH($C839,总览!$D$46:$D$345,1)+1,1),7)=0),$C$3,0),0)</f>
        <v>622.733333333333</v>
      </c>
      <c r="H839" s="131" cm="1">
        <f ca="1" t="array" ref="H839">IF(H1441=1,OFFSET($W$634,$B839,H$631-1)/SUMPRODUCT(--($D$631:$V$631=H$631),--($D1441:$V1441=1)),0)+SUM(H838)+IF(COUNTIF(H$1237:H1441,1)=1,5,0)+IF(COUNTIF(I839:$W839,"&gt;"&amp;0)&lt;5,IF(AND(COUNTIF(H$1237:H1441,1)&gt;7,MOD(1+IFERROR(MATCH($C839,总览!$D$46:$D$345,1)+1,1),7)=0),$C$3,0),0)</f>
        <v>622.733333333333</v>
      </c>
      <c r="I839" s="131" cm="1">
        <f ca="1" t="array" ref="I839">IF(I1441=1,OFFSET($W$634,$B839,I$631-1)/SUMPRODUCT(--($D$631:$V$631=I$631),--($D1441:$V1441=1)),0)+SUM(I838)+IF(COUNTIF(I$1237:I1441,1)=1,5,0)+IF(COUNTIF(J839:$W839,"&gt;"&amp;0)&lt;5,IF(AND(COUNTIF(I$1237:I1441,1)&gt;7,MOD(1+IFERROR(MATCH($C839,总览!$D$46:$D$345,1)+1,1),7)=0),$C$3,0),0)</f>
        <v>622.733333333333</v>
      </c>
      <c r="J839" s="131" cm="1">
        <f ca="1" t="array" ref="J839">IF(J1441=1,OFFSET($W$634,$B839,J$631-1)/SUMPRODUCT(--($D$631:$V$631=J$631),--($D1441:$V1441=1)),0)+SUM(J838)+IF(COUNTIF(J$1237:J1441,1)=1,5,0)+IF(COUNTIF(K839:$W839,"&gt;"&amp;0)&lt;5,IF(AND(COUNTIF(J$1237:J1441,1)&gt;7,MOD(1+IFERROR(MATCH($C839,总览!$D$46:$D$345,1)+1,1),7)=0),$C$3,0),0)</f>
        <v>619.4</v>
      </c>
      <c r="K839" s="131" cm="1">
        <f ca="1" t="array" ref="K839">IF(K1441=1,OFFSET($W$634,$B839,K$631-1)/SUMPRODUCT(--($D$631:$V$631=K$631),--($D1441:$V1441=1)),0)+SUM(K838)+IF(COUNTIF(K$1237:K1441,1)=1,5,0)+IF(COUNTIF(L839:$W839,"&gt;"&amp;0)&lt;5,IF(AND(COUNTIF(K$1237:K1441,1)&gt;7,MOD(1+IFERROR(MATCH($C839,总览!$D$46:$D$345,1)+1,1),7)=0),$C$3,0),0)</f>
        <v>616.9</v>
      </c>
      <c r="L839" s="131" cm="1">
        <f ca="1" t="array" ref="L839">IF(L1441=1,OFFSET($W$634,$B839,L$631-1)/SUMPRODUCT(--($D$631:$V$631=L$631),--($D1441:$V1441=1)),0)+SUM(L838)+IF(COUNTIF(L$1237:L1441,1)=1,5,0)+IF(COUNTIF(M839:$W839,"&gt;"&amp;0)&lt;5,IF(AND(COUNTIF(L$1237:L1441,1)&gt;7,MOD(1+IFERROR(MATCH($C839,总览!$D$46:$D$345,1)+1,1),7)=0),$C$3,0),0)</f>
        <v>616.9</v>
      </c>
      <c r="M839" s="131" cm="1">
        <f ca="1" t="array" ref="M839">IF(M1441=1,OFFSET($W$634,$B839,M$631-1)/SUMPRODUCT(--($D$631:$V$631=M$631),--($D1441:$V1441=1)),0)+SUM(M838)+IF(COUNTIF(M$1237:M1441,1)=1,5,0)+IF(COUNTIF(N839:$W839,"&gt;"&amp;0)&lt;5,IF(AND(COUNTIF(M$1237:M1441,1)&gt;7,MOD(1+IFERROR(MATCH($C839,总览!$D$46:$D$345,1)+1,1),7)=0),$C$3,0),0)</f>
        <v>250.60982142857</v>
      </c>
      <c r="N839" s="131" cm="1">
        <f ca="1" t="array" ref="N839">IF(N1441=1,OFFSET($W$634,$B839,N$631-1)/SUMPRODUCT(--($D$631:$V$631=N$631),--($D1441:$V1441=1)),0)+SUM(N838)+IF(COUNTIF(N$1237:N1441,1)=1,5,0)+IF(COUNTIF(O839:$W839,"&gt;"&amp;0)&lt;5,IF(AND(COUNTIF(N$1237:N1441,1)&gt;7,MOD(1+IFERROR(MATCH($C839,总览!$D$46:$D$345,1)+1,1),7)=0),$C$3,0),0)</f>
        <v>251.85982142857</v>
      </c>
      <c r="O839" s="131" cm="1">
        <f ca="1" t="array" ref="O839">IF(O1441=1,OFFSET($W$634,$B839,O$631-1)/SUMPRODUCT(--($D$631:$V$631=O$631),--($D1441:$V1441=1)),0)+SUM(O838)+IF(COUNTIF(O$1237:O1441,1)=1,5,0)+IF(COUNTIF(P839:$W839,"&gt;"&amp;0)&lt;5,IF(AND(COUNTIF(O$1237:O1441,1)&gt;7,MOD(1+IFERROR(MATCH($C839,总览!$D$46:$D$345,1)+1,1),7)=0),$C$3,0),0)</f>
        <v>256.85982142857</v>
      </c>
      <c r="P839" s="131" cm="1">
        <f ca="1" t="array" ref="P839">IF(P1441=1,OFFSET($W$634,$B839,P$631-1)/SUMPRODUCT(--($D$631:$V$631=P$631),--($D1441:$V1441=1)),0)+SUM(P838)+IF(COUNTIF(P$1237:P1441,1)=1,5,0)+IF(COUNTIF(Q839:$W839,"&gt;"&amp;0)&lt;5,IF(AND(COUNTIF(P$1237:P1441,1)&gt;7,MOD(1+IFERROR(MATCH($C839,总览!$D$46:$D$345,1)+1,1),7)=0),$C$3,0),0)</f>
        <v>245.97857142857</v>
      </c>
      <c r="Q839" s="131" cm="1">
        <f ca="1" t="array" ref="Q839">IF(Q1441=1,OFFSET($W$634,$B839,Q$631-1)/SUMPRODUCT(--($D$631:$V$631=Q$631),--($D1441:$V1441=1)),0)+SUM(Q838)+IF(COUNTIF(Q$1237:Q1441,1)=1,5,0)+IF(COUNTIF(R839:$W839,"&gt;"&amp;0)&lt;5,IF(AND(COUNTIF(Q$1237:Q1441,1)&gt;7,MOD(1+IFERROR(MATCH($C839,总览!$D$46:$D$345,1)+1,1),7)=0),$C$3,0),0)</f>
        <v>259.35982142857</v>
      </c>
      <c r="R839" s="131" cm="1">
        <f ca="1" t="array" ref="R839">IF(R1441=1,OFFSET($W$634,$B839,R$631-1)/SUMPRODUCT(--($D$631:$V$631=R$631),--($D1441:$V1441=1)),0)+SUM(R838)+IF(COUNTIF(R$1237:R1441,1)=1,5,0)+IF(COUNTIF(S839:$W839,"&gt;"&amp;0)&lt;5,IF(AND(COUNTIF(R$1237:R1441,1)&gt;7,MOD(1+IFERROR(MATCH($C839,总览!$D$46:$D$345,1)+1,1),7)=0),$C$3,0),0)</f>
        <v>250.97857142857</v>
      </c>
      <c r="S839" s="131" cm="1">
        <f ca="1" t="array" ref="S839">IF(S1441=1,OFFSET($W$634,$B839,S$631-1)/SUMPRODUCT(--($D$631:$V$631=S$631),--($D1441:$V1441=1)),0)+SUM(S838)+IF(COUNTIF(S$1237:S1441,1)=1,5,0)+IF(COUNTIF(T839:$W839,"&gt;"&amp;0)&lt;5,IF(AND(COUNTIF(S$1237:S1441,1)&gt;7,MOD(1+IFERROR(MATCH($C839,总览!$D$46:$D$345,1)+1,1),7)=0),$C$3,0),0)</f>
        <v>343.478571428571</v>
      </c>
      <c r="T839" s="131" cm="1">
        <f ca="1" t="array" ref="T839">IF(T1441=1,OFFSET($W$634,$B839,T$631-1)/SUMPRODUCT(--($D$631:$V$631=T$631),--($D1441:$V1441=1)),0)+SUM(T838)+IF(COUNTIF(T$1237:T1441,1)=1,5,0)+IF(COUNTIF(U839:$W839,"&gt;"&amp;0)&lt;5,IF(AND(COUNTIF(T$1237:T1441,1)&gt;7,MOD(1+IFERROR(MATCH($C839,总览!$D$46:$D$345,1)+1,1),7)=0),$C$3,0),0)</f>
        <v>250.400254909648</v>
      </c>
      <c r="U839" s="131" cm="1">
        <f ca="1" t="array" ref="U839">IF(U1441=1,OFFSET($W$634,$B839,U$631-1)/SUMPRODUCT(--($D$631:$V$631=U$631),--($D1441:$V1441=1)),0)+SUM(U838)+IF(COUNTIF(U$1237:U1441,1)=1,5,0)+IF(COUNTIF(V839:$W839,"&gt;"&amp;0)&lt;5,IF(AND(COUNTIF(U$1237:U1441,1)&gt;7,MOD(1+IFERROR(MATCH($C839,总览!$D$46:$D$345,1)+1,1),7)=0),$C$3,0),0)</f>
        <v>255.921041264947</v>
      </c>
      <c r="V839" s="131" cm="1">
        <f ca="1" t="array" ref="V839">IF(V1441=1,OFFSET($W$634,$B839,V$631-1)/SUMPRODUCT(--($D$631:$V$631=V$631),--($D1441:$V1441=1)),0)+SUM(V838)+IF(COUNTIF(V$1237:V1441,1)=1,5,0)+IF(COUNTIF(W839:$W839,"&gt;"&amp;0)&lt;5,IF(AND(COUNTIF(V$1237:V1441,1)&gt;7,MOD(1+IFERROR(MATCH($C839,总览!$D$46:$D$345,1)+1,1),7)=0),$C$3,0),0)</f>
        <v>275.74804097738</v>
      </c>
      <c r="W839" s="135" cm="1">
        <f ca="1" t="array" ref="W839">SUMPRODUCT(TRANSPOSE($AA839:$AG839),OFFSET($L$9:$L$15,0,W$631-1))</f>
        <v>16.8502200646615</v>
      </c>
      <c r="X839" s="135" cm="1">
        <f ca="1" t="array" ref="X839">SUMPRODUCT(TRANSPOSE($AA839:$AG839),OFFSET($L$9:$L$15,0,X$631-1))</f>
        <v>20</v>
      </c>
      <c r="Y839" s="135" cm="1">
        <f ca="1" t="array" ref="Y839">SUMPRODUCT(TRANSPOSE($AA839:$AG839),OFFSET($L$9:$L$15,0,Y$631-1))</f>
        <v>10</v>
      </c>
      <c r="Z839" s="135" cm="1">
        <f ca="1" t="array" ref="Z839">SUMPRODUCT(TRANSPOSE($AA839:$AG839),OFFSET($L$9:$L$15,0,Z$631-1))</f>
        <v>3.14977993533847</v>
      </c>
      <c r="AA839" s="136">
        <f ca="1" t="shared" ref="AA839:AG839" si="655">AH839-AH838</f>
        <v>0</v>
      </c>
      <c r="AB839" s="136">
        <f ca="1" t="shared" si="655"/>
        <v>0</v>
      </c>
      <c r="AC839" s="136">
        <f ca="1" t="shared" si="655"/>
        <v>0</v>
      </c>
      <c r="AD839" s="136">
        <f ca="1" t="shared" si="655"/>
        <v>0</v>
      </c>
      <c r="AE839" s="136">
        <f ca="1" t="shared" si="655"/>
        <v>0</v>
      </c>
      <c r="AF839" s="136">
        <f ca="1" t="shared" si="655"/>
        <v>0</v>
      </c>
      <c r="AG839" s="136">
        <f ca="1" t="shared" si="655"/>
        <v>100</v>
      </c>
      <c r="AH839" s="136">
        <f ca="1" t="shared" si="631"/>
        <v>450</v>
      </c>
      <c r="AI839" s="136">
        <f ca="1" t="shared" ref="AI839:AN839" si="656">IF($C839&gt;OFFSET($Q$8,MATCH(AI$634,$AH$634:$AN$634,0),0),OFFSET($P$8,MATCH(AI$634,$AH$634:$AN$634,0),0),MAX(0,$C839-OFFSET($Q$8,RIGHT(AI$634,1)-1,0)))</f>
        <v>909</v>
      </c>
      <c r="AJ839" s="136">
        <f ca="1" t="shared" si="656"/>
        <v>1818</v>
      </c>
      <c r="AK839" s="136">
        <f ca="1" t="shared" si="656"/>
        <v>2727</v>
      </c>
      <c r="AL839" s="136">
        <f ca="1" t="shared" si="656"/>
        <v>3636</v>
      </c>
      <c r="AM839" s="136">
        <f ca="1" t="shared" si="656"/>
        <v>4545</v>
      </c>
      <c r="AN839" s="136">
        <f ca="1" t="shared" si="656"/>
        <v>6415</v>
      </c>
    </row>
    <row r="840" s="106" customFormat="1" ht="16.5" spans="2:40">
      <c r="B840" s="117">
        <v>206</v>
      </c>
      <c r="C840" s="130">
        <f t="shared" si="629"/>
        <v>20600</v>
      </c>
      <c r="D840" s="131" cm="1">
        <f ca="1" t="array" ref="D840">IF(D1442=1,OFFSET($W$634,$B840,D$631-1)/SUMPRODUCT(--($D$631:$V$631=D$631),--($D1442:$V1442=1)),0)+SUM(D839)+IF(COUNTIF(D$1237:D1442,1)=1,5,0)+IF(COUNTIF(E840:$W840,"&gt;"&amp;0)&lt;5,IF(AND(COUNTIF(D$1237:D1442,1)&gt;7,MOD(1+IFERROR(MATCH($C840,总览!$D$46:$D$345,1)+1,1),7)=0),$C$3,0),0)</f>
        <v>1484.75196097089</v>
      </c>
      <c r="E840" s="131" cm="1">
        <f ca="1" t="array" ref="E840">IF(E1442=1,OFFSET($W$634,$B840,E$631-1)/SUMPRODUCT(--($D$631:$V$631=E$631),--($D1442:$V1442=1)),0)+SUM(E839)+IF(COUNTIF(E$1237:E1442,1)=1,5,0)+IF(COUNTIF(F840:$W840,"&gt;"&amp;0)&lt;5,IF(AND(COUNTIF(E$1237:E1442,1)&gt;7,MOD(1+IFERROR(MATCH($C840,总览!$D$46:$D$345,1)+1,1),7)=0),$C$3,0),0)</f>
        <v>1484.75196097089</v>
      </c>
      <c r="F840" s="131" cm="1">
        <f ca="1" t="array" ref="F840">IF(F1442=1,OFFSET($W$634,$B840,F$631-1)/SUMPRODUCT(--($D$631:$V$631=F$631),--($D1442:$V1442=1)),0)+SUM(F839)+IF(COUNTIF(F$1237:F1442,1)=1,5,0)+IF(COUNTIF(G840:$W840,"&gt;"&amp;0)&lt;5,IF(AND(COUNTIF(F$1237:F1442,1)&gt;7,MOD(1+IFERROR(MATCH($C840,总览!$D$46:$D$345,1)+1,1),7)=0),$C$3,0),0)</f>
        <v>1484.75196097089</v>
      </c>
      <c r="G840" s="131" cm="1">
        <f ca="1" t="array" ref="G840">IF(G1442=1,OFFSET($W$634,$B840,G$631-1)/SUMPRODUCT(--($D$631:$V$631=G$631),--($D1442:$V1442=1)),0)+SUM(G839)+IF(COUNTIF(G$1237:G1442,1)=1,5,0)+IF(COUNTIF(H840:$W840,"&gt;"&amp;0)&lt;5,IF(AND(COUNTIF(G$1237:G1442,1)&gt;7,MOD(1+IFERROR(MATCH($C840,总览!$D$46:$D$345,1)+1,1),7)=0),$C$3,0),0)</f>
        <v>626.066666666667</v>
      </c>
      <c r="H840" s="131" cm="1">
        <f ca="1" t="array" ref="H840">IF(H1442=1,OFFSET($W$634,$B840,H$631-1)/SUMPRODUCT(--($D$631:$V$631=H$631),--($D1442:$V1442=1)),0)+SUM(H839)+IF(COUNTIF(H$1237:H1442,1)=1,5,0)+IF(COUNTIF(I840:$W840,"&gt;"&amp;0)&lt;5,IF(AND(COUNTIF(H$1237:H1442,1)&gt;7,MOD(1+IFERROR(MATCH($C840,总览!$D$46:$D$345,1)+1,1),7)=0),$C$3,0),0)</f>
        <v>626.066666666667</v>
      </c>
      <c r="I840" s="131" cm="1">
        <f ca="1" t="array" ref="I840">IF(I1442=1,OFFSET($W$634,$B840,I$631-1)/SUMPRODUCT(--($D$631:$V$631=I$631),--($D1442:$V1442=1)),0)+SUM(I839)+IF(COUNTIF(I$1237:I1442,1)=1,5,0)+IF(COUNTIF(J840:$W840,"&gt;"&amp;0)&lt;5,IF(AND(COUNTIF(I$1237:I1442,1)&gt;7,MOD(1+IFERROR(MATCH($C840,总览!$D$46:$D$345,1)+1,1),7)=0),$C$3,0),0)</f>
        <v>626.066666666667</v>
      </c>
      <c r="J840" s="131" cm="1">
        <f ca="1" t="array" ref="J840">IF(J1442=1,OFFSET($W$634,$B840,J$631-1)/SUMPRODUCT(--($D$631:$V$631=J$631),--($D1442:$V1442=1)),0)+SUM(J839)+IF(COUNTIF(J$1237:J1442,1)=1,5,0)+IF(COUNTIF(K840:$W840,"&gt;"&amp;0)&lt;5,IF(AND(COUNTIF(J$1237:J1442,1)&gt;7,MOD(1+IFERROR(MATCH($C840,总览!$D$46:$D$345,1)+1,1),7)=0),$C$3,0),0)</f>
        <v>622.733333333333</v>
      </c>
      <c r="K840" s="131" cm="1">
        <f ca="1" t="array" ref="K840">IF(K1442=1,OFFSET($W$634,$B840,K$631-1)/SUMPRODUCT(--($D$631:$V$631=K$631),--($D1442:$V1442=1)),0)+SUM(K839)+IF(COUNTIF(K$1237:K1442,1)=1,5,0)+IF(COUNTIF(L840:$W840,"&gt;"&amp;0)&lt;5,IF(AND(COUNTIF(K$1237:K1442,1)&gt;7,MOD(1+IFERROR(MATCH($C840,总览!$D$46:$D$345,1)+1,1),7)=0),$C$3,0),0)</f>
        <v>620.233333333333</v>
      </c>
      <c r="L840" s="131" cm="1">
        <f ca="1" t="array" ref="L840">IF(L1442=1,OFFSET($W$634,$B840,L$631-1)/SUMPRODUCT(--($D$631:$V$631=L$631),--($D1442:$V1442=1)),0)+SUM(L839)+IF(COUNTIF(L$1237:L1442,1)=1,5,0)+IF(COUNTIF(M840:$W840,"&gt;"&amp;0)&lt;5,IF(AND(COUNTIF(L$1237:L1442,1)&gt;7,MOD(1+IFERROR(MATCH($C840,总览!$D$46:$D$345,1)+1,1),7)=0),$C$3,0),0)</f>
        <v>620.233333333333</v>
      </c>
      <c r="M840" s="131" cm="1">
        <f ca="1" t="array" ref="M840">IF(M1442=1,OFFSET($W$634,$B840,M$631-1)/SUMPRODUCT(--($D$631:$V$631=M$631),--($D1442:$V1442=1)),0)+SUM(M839)+IF(COUNTIF(M$1237:M1442,1)=1,5,0)+IF(COUNTIF(N840:$W840,"&gt;"&amp;0)&lt;5,IF(AND(COUNTIF(M$1237:M1442,1)&gt;7,MOD(1+IFERROR(MATCH($C840,总览!$D$46:$D$345,1)+1,1),7)=0),$C$3,0),0)</f>
        <v>252.038392857142</v>
      </c>
      <c r="N840" s="131" cm="1">
        <f ca="1" t="array" ref="N840">IF(N1442=1,OFFSET($W$634,$B840,N$631-1)/SUMPRODUCT(--($D$631:$V$631=N$631),--($D1442:$V1442=1)),0)+SUM(N839)+IF(COUNTIF(N$1237:N1442,1)=1,5,0)+IF(COUNTIF(O840:$W840,"&gt;"&amp;0)&lt;5,IF(AND(COUNTIF(N$1237:N1442,1)&gt;7,MOD(1+IFERROR(MATCH($C840,总览!$D$46:$D$345,1)+1,1),7)=0),$C$3,0),0)</f>
        <v>253.288392857142</v>
      </c>
      <c r="O840" s="131" cm="1">
        <f ca="1" t="array" ref="O840">IF(O1442=1,OFFSET($W$634,$B840,O$631-1)/SUMPRODUCT(--($D$631:$V$631=O$631),--($D1442:$V1442=1)),0)+SUM(O839)+IF(COUNTIF(O$1237:O1442,1)=1,5,0)+IF(COUNTIF(P840:$W840,"&gt;"&amp;0)&lt;5,IF(AND(COUNTIF(O$1237:O1442,1)&gt;7,MOD(1+IFERROR(MATCH($C840,总览!$D$46:$D$345,1)+1,1),7)=0),$C$3,0),0)</f>
        <v>258.288392857142</v>
      </c>
      <c r="P840" s="131" cm="1">
        <f ca="1" t="array" ref="P840">IF(P1442=1,OFFSET($W$634,$B840,P$631-1)/SUMPRODUCT(--($D$631:$V$631=P$631),--($D1442:$V1442=1)),0)+SUM(P839)+IF(COUNTIF(P$1237:P1442,1)=1,5,0)+IF(COUNTIF(Q840:$W840,"&gt;"&amp;0)&lt;5,IF(AND(COUNTIF(P$1237:P1442,1)&gt;7,MOD(1+IFERROR(MATCH($C840,总览!$D$46:$D$345,1)+1,1),7)=0),$C$3,0),0)</f>
        <v>247.407142857142</v>
      </c>
      <c r="Q840" s="131" cm="1">
        <f ca="1" t="array" ref="Q840">IF(Q1442=1,OFFSET($W$634,$B840,Q$631-1)/SUMPRODUCT(--($D$631:$V$631=Q$631),--($D1442:$V1442=1)),0)+SUM(Q839)+IF(COUNTIF(Q$1237:Q1442,1)=1,5,0)+IF(COUNTIF(R840:$W840,"&gt;"&amp;0)&lt;5,IF(AND(COUNTIF(Q$1237:Q1442,1)&gt;7,MOD(1+IFERROR(MATCH($C840,总览!$D$46:$D$345,1)+1,1),7)=0),$C$3,0),0)</f>
        <v>260.788392857142</v>
      </c>
      <c r="R840" s="131" cm="1">
        <f ca="1" t="array" ref="R840">IF(R1442=1,OFFSET($W$634,$B840,R$631-1)/SUMPRODUCT(--($D$631:$V$631=R$631),--($D1442:$V1442=1)),0)+SUM(R839)+IF(COUNTIF(R$1237:R1442,1)=1,5,0)+IF(COUNTIF(S840:$W840,"&gt;"&amp;0)&lt;5,IF(AND(COUNTIF(R$1237:R1442,1)&gt;7,MOD(1+IFERROR(MATCH($C840,总览!$D$46:$D$345,1)+1,1),7)=0),$C$3,0),0)</f>
        <v>252.407142857142</v>
      </c>
      <c r="S840" s="131" cm="1">
        <f ca="1" t="array" ref="S840">IF(S1442=1,OFFSET($W$634,$B840,S$631-1)/SUMPRODUCT(--($D$631:$V$631=S$631),--($D1442:$V1442=1)),0)+SUM(S839)+IF(COUNTIF(S$1237:S1442,1)=1,5,0)+IF(COUNTIF(T840:$W840,"&gt;"&amp;0)&lt;5,IF(AND(COUNTIF(S$1237:S1442,1)&gt;7,MOD(1+IFERROR(MATCH($C840,总览!$D$46:$D$345,1)+1,1),7)=0),$C$3,0),0)</f>
        <v>344.907142857143</v>
      </c>
      <c r="T840" s="131" cm="1">
        <f ca="1" t="array" ref="T840">IF(T1442=1,OFFSET($W$634,$B840,T$631-1)/SUMPRODUCT(--($D$631:$V$631=T$631),--($D1442:$V1442=1)),0)+SUM(T839)+IF(COUNTIF(T$1237:T1442,1)=1,5,0)+IF(COUNTIF(U840:$W840,"&gt;"&amp;0)&lt;5,IF(AND(COUNTIF(T$1237:T1442,1)&gt;7,MOD(1+IFERROR(MATCH($C840,总览!$D$46:$D$345,1)+1,1),7)=0),$C$3,0),0)</f>
        <v>251.450181554761</v>
      </c>
      <c r="U840" s="131" cm="1">
        <f ca="1" t="array" ref="U840">IF(U1442=1,OFFSET($W$634,$B840,U$631-1)/SUMPRODUCT(--($D$631:$V$631=U$631),--($D1442:$V1442=1)),0)+SUM(U839)+IF(COUNTIF(U$1237:U1442,1)=1,5,0)+IF(COUNTIF(V840:$W840,"&gt;"&amp;0)&lt;5,IF(AND(COUNTIF(U$1237:U1442,1)&gt;7,MOD(1+IFERROR(MATCH($C840,总览!$D$46:$D$345,1)+1,1),7)=0),$C$3,0),0)</f>
        <v>256.97096791006</v>
      </c>
      <c r="V840" s="131" cm="1">
        <f ca="1" t="array" ref="V840">IF(V1442=1,OFFSET($W$634,$B840,V$631-1)/SUMPRODUCT(--($D$631:$V$631=V$631),--($D1442:$V1442=1)),0)+SUM(V839)+IF(COUNTIF(V$1237:V1442,1)=1,5,0)+IF(COUNTIF(W840:$W840,"&gt;"&amp;0)&lt;5,IF(AND(COUNTIF(V$1237:V1442,1)&gt;7,MOD(1+IFERROR(MATCH($C840,总览!$D$46:$D$345,1)+1,1),7)=0),$C$3,0),0)</f>
        <v>276.797967622493</v>
      </c>
      <c r="W840" s="135" cm="1">
        <f ca="1" t="array" ref="W840">SUMPRODUCT(TRANSPOSE($AA840:$AG840),OFFSET($L$9:$L$15,0,W$631-1))</f>
        <v>16.8502200646615</v>
      </c>
      <c r="X840" s="135" cm="1">
        <f ca="1" t="array" ref="X840">SUMPRODUCT(TRANSPOSE($AA840:$AG840),OFFSET($L$9:$L$15,0,X$631-1))</f>
        <v>20</v>
      </c>
      <c r="Y840" s="135" cm="1">
        <f ca="1" t="array" ref="Y840">SUMPRODUCT(TRANSPOSE($AA840:$AG840),OFFSET($L$9:$L$15,0,Y$631-1))</f>
        <v>10</v>
      </c>
      <c r="Z840" s="135" cm="1">
        <f ca="1" t="array" ref="Z840">SUMPRODUCT(TRANSPOSE($AA840:$AG840),OFFSET($L$9:$L$15,0,Z$631-1))</f>
        <v>3.14977993533847</v>
      </c>
      <c r="AA840" s="136">
        <f ca="1" t="shared" ref="AA840:AG840" si="657">AH840-AH839</f>
        <v>0</v>
      </c>
      <c r="AB840" s="136">
        <f ca="1" t="shared" si="657"/>
        <v>0</v>
      </c>
      <c r="AC840" s="136">
        <f ca="1" t="shared" si="657"/>
        <v>0</v>
      </c>
      <c r="AD840" s="136">
        <f ca="1" t="shared" si="657"/>
        <v>0</v>
      </c>
      <c r="AE840" s="136">
        <f ca="1" t="shared" si="657"/>
        <v>0</v>
      </c>
      <c r="AF840" s="136">
        <f ca="1" t="shared" si="657"/>
        <v>0</v>
      </c>
      <c r="AG840" s="136">
        <f ca="1" t="shared" si="657"/>
        <v>100</v>
      </c>
      <c r="AH840" s="136">
        <f ca="1" t="shared" si="631"/>
        <v>450</v>
      </c>
      <c r="AI840" s="136">
        <f ca="1" t="shared" ref="AI840:AN840" si="658">IF($C840&gt;OFFSET($Q$8,MATCH(AI$634,$AH$634:$AN$634,0),0),OFFSET($P$8,MATCH(AI$634,$AH$634:$AN$634,0),0),MAX(0,$C840-OFFSET($Q$8,RIGHT(AI$634,1)-1,0)))</f>
        <v>909</v>
      </c>
      <c r="AJ840" s="136">
        <f ca="1" t="shared" si="658"/>
        <v>1818</v>
      </c>
      <c r="AK840" s="136">
        <f ca="1" t="shared" si="658"/>
        <v>2727</v>
      </c>
      <c r="AL840" s="136">
        <f ca="1" t="shared" si="658"/>
        <v>3636</v>
      </c>
      <c r="AM840" s="136">
        <f ca="1" t="shared" si="658"/>
        <v>4545</v>
      </c>
      <c r="AN840" s="136">
        <f ca="1" t="shared" si="658"/>
        <v>6515</v>
      </c>
    </row>
    <row r="841" s="106" customFormat="1" ht="16.5" spans="2:40">
      <c r="B841" s="117">
        <v>207</v>
      </c>
      <c r="C841" s="130">
        <f t="shared" si="629"/>
        <v>20700</v>
      </c>
      <c r="D841" s="131" cm="1">
        <f ca="1" t="array" ref="D841">IF(D1443=1,OFFSET($W$634,$B841,D$631-1)/SUMPRODUCT(--($D$631:$V$631=D$631),--($D1443:$V1443=1)),0)+SUM(D840)+IF(COUNTIF(D$1237:D1443,1)=1,5,0)+IF(COUNTIF(E841:$W841,"&gt;"&amp;0)&lt;5,IF(AND(COUNTIF(D$1237:D1443,1)&gt;7,MOD(1+IFERROR(MATCH($C841,总览!$D$46:$D$345,1)+1,1),7)=0),$C$3,0),0)</f>
        <v>1490.36870099245</v>
      </c>
      <c r="E841" s="131" cm="1">
        <f ca="1" t="array" ref="E841">IF(E1443=1,OFFSET($W$634,$B841,E$631-1)/SUMPRODUCT(--($D$631:$V$631=E$631),--($D1443:$V1443=1)),0)+SUM(E840)+IF(COUNTIF(E$1237:E1443,1)=1,5,0)+IF(COUNTIF(F841:$W841,"&gt;"&amp;0)&lt;5,IF(AND(COUNTIF(E$1237:E1443,1)&gt;7,MOD(1+IFERROR(MATCH($C841,总览!$D$46:$D$345,1)+1,1),7)=0),$C$3,0),0)</f>
        <v>1490.36870099245</v>
      </c>
      <c r="F841" s="131" cm="1">
        <f ca="1" t="array" ref="F841">IF(F1443=1,OFFSET($W$634,$B841,F$631-1)/SUMPRODUCT(--($D$631:$V$631=F$631),--($D1443:$V1443=1)),0)+SUM(F840)+IF(COUNTIF(F$1237:F1443,1)=1,5,0)+IF(COUNTIF(G841:$W841,"&gt;"&amp;0)&lt;5,IF(AND(COUNTIF(F$1237:F1443,1)&gt;7,MOD(1+IFERROR(MATCH($C841,总览!$D$46:$D$345,1)+1,1),7)=0),$C$3,0),0)</f>
        <v>1490.36870099245</v>
      </c>
      <c r="G841" s="131" cm="1">
        <f ca="1" t="array" ref="G841">IF(G1443=1,OFFSET($W$634,$B841,G$631-1)/SUMPRODUCT(--($D$631:$V$631=G$631),--($D1443:$V1443=1)),0)+SUM(G840)+IF(COUNTIF(G$1237:G1443,1)=1,5,0)+IF(COUNTIF(H841:$W841,"&gt;"&amp;0)&lt;5,IF(AND(COUNTIF(G$1237:G1443,1)&gt;7,MOD(1+IFERROR(MATCH($C841,总览!$D$46:$D$345,1)+1,1),7)=0),$C$3,0),0)</f>
        <v>629.4</v>
      </c>
      <c r="H841" s="131" cm="1">
        <f ca="1" t="array" ref="H841">IF(H1443=1,OFFSET($W$634,$B841,H$631-1)/SUMPRODUCT(--($D$631:$V$631=H$631),--($D1443:$V1443=1)),0)+SUM(H840)+IF(COUNTIF(H$1237:H1443,1)=1,5,0)+IF(COUNTIF(I841:$W841,"&gt;"&amp;0)&lt;5,IF(AND(COUNTIF(H$1237:H1443,1)&gt;7,MOD(1+IFERROR(MATCH($C841,总览!$D$46:$D$345,1)+1,1),7)=0),$C$3,0),0)</f>
        <v>629.4</v>
      </c>
      <c r="I841" s="131" cm="1">
        <f ca="1" t="array" ref="I841">IF(I1443=1,OFFSET($W$634,$B841,I$631-1)/SUMPRODUCT(--($D$631:$V$631=I$631),--($D1443:$V1443=1)),0)+SUM(I840)+IF(COUNTIF(I$1237:I1443,1)=1,5,0)+IF(COUNTIF(J841:$W841,"&gt;"&amp;0)&lt;5,IF(AND(COUNTIF(I$1237:I1443,1)&gt;7,MOD(1+IFERROR(MATCH($C841,总览!$D$46:$D$345,1)+1,1),7)=0),$C$3,0),0)</f>
        <v>629.4</v>
      </c>
      <c r="J841" s="131" cm="1">
        <f ca="1" t="array" ref="J841">IF(J1443=1,OFFSET($W$634,$B841,J$631-1)/SUMPRODUCT(--($D$631:$V$631=J$631),--($D1443:$V1443=1)),0)+SUM(J840)+IF(COUNTIF(J$1237:J1443,1)=1,5,0)+IF(COUNTIF(K841:$W841,"&gt;"&amp;0)&lt;5,IF(AND(COUNTIF(J$1237:J1443,1)&gt;7,MOD(1+IFERROR(MATCH($C841,总览!$D$46:$D$345,1)+1,1),7)=0),$C$3,0),0)</f>
        <v>626.066666666667</v>
      </c>
      <c r="K841" s="131" cm="1">
        <f ca="1" t="array" ref="K841">IF(K1443=1,OFFSET($W$634,$B841,K$631-1)/SUMPRODUCT(--($D$631:$V$631=K$631),--($D1443:$V1443=1)),0)+SUM(K840)+IF(COUNTIF(K$1237:K1443,1)=1,5,0)+IF(COUNTIF(L841:$W841,"&gt;"&amp;0)&lt;5,IF(AND(COUNTIF(K$1237:K1443,1)&gt;7,MOD(1+IFERROR(MATCH($C841,总览!$D$46:$D$345,1)+1,1),7)=0),$C$3,0),0)</f>
        <v>623.566666666667</v>
      </c>
      <c r="L841" s="131" cm="1">
        <f ca="1" t="array" ref="L841">IF(L1443=1,OFFSET($W$634,$B841,L$631-1)/SUMPRODUCT(--($D$631:$V$631=L$631),--($D1443:$V1443=1)),0)+SUM(L840)+IF(COUNTIF(L$1237:L1443,1)=1,5,0)+IF(COUNTIF(M841:$W841,"&gt;"&amp;0)&lt;5,IF(AND(COUNTIF(L$1237:L1443,1)&gt;7,MOD(1+IFERROR(MATCH($C841,总览!$D$46:$D$345,1)+1,1),7)=0),$C$3,0),0)</f>
        <v>623.566666666667</v>
      </c>
      <c r="M841" s="131" cm="1">
        <f ca="1" t="array" ref="M841">IF(M1443=1,OFFSET($W$634,$B841,M$631-1)/SUMPRODUCT(--($D$631:$V$631=M$631),--($D1443:$V1443=1)),0)+SUM(M840)+IF(COUNTIF(M$1237:M1443,1)=1,5,0)+IF(COUNTIF(N841:$W841,"&gt;"&amp;0)&lt;5,IF(AND(COUNTIF(M$1237:M1443,1)&gt;7,MOD(1+IFERROR(MATCH($C841,总览!$D$46:$D$345,1)+1,1),7)=0),$C$3,0),0)</f>
        <v>253.466964285713</v>
      </c>
      <c r="N841" s="131" cm="1">
        <f ca="1" t="array" ref="N841">IF(N1443=1,OFFSET($W$634,$B841,N$631-1)/SUMPRODUCT(--($D$631:$V$631=N$631),--($D1443:$V1443=1)),0)+SUM(N840)+IF(COUNTIF(N$1237:N1443,1)=1,5,0)+IF(COUNTIF(O841:$W841,"&gt;"&amp;0)&lt;5,IF(AND(COUNTIF(N$1237:N1443,1)&gt;7,MOD(1+IFERROR(MATCH($C841,总览!$D$46:$D$345,1)+1,1),7)=0),$C$3,0),0)</f>
        <v>254.716964285713</v>
      </c>
      <c r="O841" s="131" cm="1">
        <f ca="1" t="array" ref="O841">IF(O1443=1,OFFSET($W$634,$B841,O$631-1)/SUMPRODUCT(--($D$631:$V$631=O$631),--($D1443:$V1443=1)),0)+SUM(O840)+IF(COUNTIF(O$1237:O1443,1)=1,5,0)+IF(COUNTIF(P841:$W841,"&gt;"&amp;0)&lt;5,IF(AND(COUNTIF(O$1237:O1443,1)&gt;7,MOD(1+IFERROR(MATCH($C841,总览!$D$46:$D$345,1)+1,1),7)=0),$C$3,0),0)</f>
        <v>259.716964285713</v>
      </c>
      <c r="P841" s="131" cm="1">
        <f ca="1" t="array" ref="P841">IF(P1443=1,OFFSET($W$634,$B841,P$631-1)/SUMPRODUCT(--($D$631:$V$631=P$631),--($D1443:$V1443=1)),0)+SUM(P840)+IF(COUNTIF(P$1237:P1443,1)=1,5,0)+IF(COUNTIF(Q841:$W841,"&gt;"&amp;0)&lt;5,IF(AND(COUNTIF(P$1237:P1443,1)&gt;7,MOD(1+IFERROR(MATCH($C841,总览!$D$46:$D$345,1)+1,1),7)=0),$C$3,0),0)</f>
        <v>248.835714285713</v>
      </c>
      <c r="Q841" s="131" cm="1">
        <f ca="1" t="array" ref="Q841">IF(Q1443=1,OFFSET($W$634,$B841,Q$631-1)/SUMPRODUCT(--($D$631:$V$631=Q$631),--($D1443:$V1443=1)),0)+SUM(Q840)+IF(COUNTIF(Q$1237:Q1443,1)=1,5,0)+IF(COUNTIF(R841:$W841,"&gt;"&amp;0)&lt;5,IF(AND(COUNTIF(Q$1237:Q1443,1)&gt;7,MOD(1+IFERROR(MATCH($C841,总览!$D$46:$D$345,1)+1,1),7)=0),$C$3,0),0)</f>
        <v>262.216964285713</v>
      </c>
      <c r="R841" s="131" cm="1">
        <f ca="1" t="array" ref="R841">IF(R1443=1,OFFSET($W$634,$B841,R$631-1)/SUMPRODUCT(--($D$631:$V$631=R$631),--($D1443:$V1443=1)),0)+SUM(R840)+IF(COUNTIF(R$1237:R1443,1)=1,5,0)+IF(COUNTIF(S841:$W841,"&gt;"&amp;0)&lt;5,IF(AND(COUNTIF(R$1237:R1443,1)&gt;7,MOD(1+IFERROR(MATCH($C841,总览!$D$46:$D$345,1)+1,1),7)=0),$C$3,0),0)</f>
        <v>253.835714285713</v>
      </c>
      <c r="S841" s="131" cm="1">
        <f ca="1" t="array" ref="S841">IF(S1443=1,OFFSET($W$634,$B841,S$631-1)/SUMPRODUCT(--($D$631:$V$631=S$631),--($D1443:$V1443=1)),0)+SUM(S840)+IF(COUNTIF(S$1237:S1443,1)=1,5,0)+IF(COUNTIF(T841:$W841,"&gt;"&amp;0)&lt;5,IF(AND(COUNTIF(S$1237:S1443,1)&gt;7,MOD(1+IFERROR(MATCH($C841,总览!$D$46:$D$345,1)+1,1),7)=0),$C$3,0),0)</f>
        <v>346.335714285714</v>
      </c>
      <c r="T841" s="131" cm="1">
        <f ca="1" t="array" ref="T841">IF(T1443=1,OFFSET($W$634,$B841,T$631-1)/SUMPRODUCT(--($D$631:$V$631=T$631),--($D1443:$V1443=1)),0)+SUM(T840)+IF(COUNTIF(T$1237:T1443,1)=1,5,0)+IF(COUNTIF(U841:$W841,"&gt;"&amp;0)&lt;5,IF(AND(COUNTIF(T$1237:T1443,1)&gt;7,MOD(1+IFERROR(MATCH($C841,总览!$D$46:$D$345,1)+1,1),7)=0),$C$3,0),0)</f>
        <v>252.500108199873</v>
      </c>
      <c r="U841" s="131" cm="1">
        <f ca="1" t="array" ref="U841">IF(U1443=1,OFFSET($W$634,$B841,U$631-1)/SUMPRODUCT(--($D$631:$V$631=U$631),--($D1443:$V1443=1)),0)+SUM(U840)+IF(COUNTIF(U$1237:U1443,1)=1,5,0)+IF(COUNTIF(V841:$W841,"&gt;"&amp;0)&lt;5,IF(AND(COUNTIF(U$1237:U1443,1)&gt;7,MOD(1+IFERROR(MATCH($C841,总览!$D$46:$D$345,1)+1,1),7)=0),$C$3,0),0)</f>
        <v>258.020894555173</v>
      </c>
      <c r="V841" s="131" cm="1">
        <f ca="1" t="array" ref="V841">IF(V1443=1,OFFSET($W$634,$B841,V$631-1)/SUMPRODUCT(--($D$631:$V$631=V$631),--($D1443:$V1443=1)),0)+SUM(V840)+IF(COUNTIF(V$1237:V1443,1)=1,5,0)+IF(COUNTIF(W841:$W841,"&gt;"&amp;0)&lt;5,IF(AND(COUNTIF(V$1237:V1443,1)&gt;7,MOD(1+IFERROR(MATCH($C841,总览!$D$46:$D$345,1)+1,1),7)=0),$C$3,0),0)</f>
        <v>277.847894267606</v>
      </c>
      <c r="W841" s="135" cm="1">
        <f ca="1" t="array" ref="W841">SUMPRODUCT(TRANSPOSE($AA841:$AG841),OFFSET($L$9:$L$15,0,W$631-1))</f>
        <v>16.8502200646615</v>
      </c>
      <c r="X841" s="135" cm="1">
        <f ca="1" t="array" ref="X841">SUMPRODUCT(TRANSPOSE($AA841:$AG841),OFFSET($L$9:$L$15,0,X$631-1))</f>
        <v>20</v>
      </c>
      <c r="Y841" s="135" cm="1">
        <f ca="1" t="array" ref="Y841">SUMPRODUCT(TRANSPOSE($AA841:$AG841),OFFSET($L$9:$L$15,0,Y$631-1))</f>
        <v>10</v>
      </c>
      <c r="Z841" s="135" cm="1">
        <f ca="1" t="array" ref="Z841">SUMPRODUCT(TRANSPOSE($AA841:$AG841),OFFSET($L$9:$L$15,0,Z$631-1))</f>
        <v>3.14977993533847</v>
      </c>
      <c r="AA841" s="136">
        <f ca="1" t="shared" ref="AA841:AG841" si="659">AH841-AH840</f>
        <v>0</v>
      </c>
      <c r="AB841" s="136">
        <f ca="1" t="shared" si="659"/>
        <v>0</v>
      </c>
      <c r="AC841" s="136">
        <f ca="1" t="shared" si="659"/>
        <v>0</v>
      </c>
      <c r="AD841" s="136">
        <f ca="1" t="shared" si="659"/>
        <v>0</v>
      </c>
      <c r="AE841" s="136">
        <f ca="1" t="shared" si="659"/>
        <v>0</v>
      </c>
      <c r="AF841" s="136">
        <f ca="1" t="shared" si="659"/>
        <v>0</v>
      </c>
      <c r="AG841" s="136">
        <f ca="1" t="shared" si="659"/>
        <v>100</v>
      </c>
      <c r="AH841" s="136">
        <f ca="1" t="shared" si="631"/>
        <v>450</v>
      </c>
      <c r="AI841" s="136">
        <f ca="1" t="shared" ref="AI841:AN841" si="660">IF($C841&gt;OFFSET($Q$8,MATCH(AI$634,$AH$634:$AN$634,0),0),OFFSET($P$8,MATCH(AI$634,$AH$634:$AN$634,0),0),MAX(0,$C841-OFFSET($Q$8,RIGHT(AI$634,1)-1,0)))</f>
        <v>909</v>
      </c>
      <c r="AJ841" s="136">
        <f ca="1" t="shared" si="660"/>
        <v>1818</v>
      </c>
      <c r="AK841" s="136">
        <f ca="1" t="shared" si="660"/>
        <v>2727</v>
      </c>
      <c r="AL841" s="136">
        <f ca="1" t="shared" si="660"/>
        <v>3636</v>
      </c>
      <c r="AM841" s="136">
        <f ca="1" t="shared" si="660"/>
        <v>4545</v>
      </c>
      <c r="AN841" s="136">
        <f ca="1" t="shared" si="660"/>
        <v>6615</v>
      </c>
    </row>
    <row r="842" s="106" customFormat="1" ht="16.5" spans="2:40">
      <c r="B842" s="117">
        <v>208</v>
      </c>
      <c r="C842" s="130">
        <f t="shared" si="629"/>
        <v>20800</v>
      </c>
      <c r="D842" s="131" cm="1">
        <f ca="1" t="array" ref="D842">IF(D1444=1,OFFSET($W$634,$B842,D$631-1)/SUMPRODUCT(--($D$631:$V$631=D$631),--($D1444:$V1444=1)),0)+SUM(D841)+IF(COUNTIF(D$1237:D1444,1)=1,5,0)+IF(COUNTIF(E842:$W842,"&gt;"&amp;0)&lt;5,IF(AND(COUNTIF(D$1237:D1444,1)&gt;7,MOD(1+IFERROR(MATCH($C842,总览!$D$46:$D$345,1)+1,1),7)=0),$C$3,0),0)</f>
        <v>1495.985441014</v>
      </c>
      <c r="E842" s="131" cm="1">
        <f ca="1" t="array" ref="E842">IF(E1444=1,OFFSET($W$634,$B842,E$631-1)/SUMPRODUCT(--($D$631:$V$631=E$631),--($D1444:$V1444=1)),0)+SUM(E841)+IF(COUNTIF(E$1237:E1444,1)=1,5,0)+IF(COUNTIF(F842:$W842,"&gt;"&amp;0)&lt;5,IF(AND(COUNTIF(E$1237:E1444,1)&gt;7,MOD(1+IFERROR(MATCH($C842,总览!$D$46:$D$345,1)+1,1),7)=0),$C$3,0),0)</f>
        <v>1495.985441014</v>
      </c>
      <c r="F842" s="131" cm="1">
        <f ca="1" t="array" ref="F842">IF(F1444=1,OFFSET($W$634,$B842,F$631-1)/SUMPRODUCT(--($D$631:$V$631=F$631),--($D1444:$V1444=1)),0)+SUM(F841)+IF(COUNTIF(F$1237:F1444,1)=1,5,0)+IF(COUNTIF(G842:$W842,"&gt;"&amp;0)&lt;5,IF(AND(COUNTIF(F$1237:F1444,1)&gt;7,MOD(1+IFERROR(MATCH($C842,总览!$D$46:$D$345,1)+1,1),7)=0),$C$3,0),0)</f>
        <v>1495.985441014</v>
      </c>
      <c r="G842" s="131" cm="1">
        <f ca="1" t="array" ref="G842">IF(G1444=1,OFFSET($W$634,$B842,G$631-1)/SUMPRODUCT(--($D$631:$V$631=G$631),--($D1444:$V1444=1)),0)+SUM(G841)+IF(COUNTIF(G$1237:G1444,1)=1,5,0)+IF(COUNTIF(H842:$W842,"&gt;"&amp;0)&lt;5,IF(AND(COUNTIF(G$1237:G1444,1)&gt;7,MOD(1+IFERROR(MATCH($C842,总览!$D$46:$D$345,1)+1,1),7)=0),$C$3,0),0)</f>
        <v>632.733333333333</v>
      </c>
      <c r="H842" s="131" cm="1">
        <f ca="1" t="array" ref="H842">IF(H1444=1,OFFSET($W$634,$B842,H$631-1)/SUMPRODUCT(--($D$631:$V$631=H$631),--($D1444:$V1444=1)),0)+SUM(H841)+IF(COUNTIF(H$1237:H1444,1)=1,5,0)+IF(COUNTIF(I842:$W842,"&gt;"&amp;0)&lt;5,IF(AND(COUNTIF(H$1237:H1444,1)&gt;7,MOD(1+IFERROR(MATCH($C842,总览!$D$46:$D$345,1)+1,1),7)=0),$C$3,0),0)</f>
        <v>632.733333333333</v>
      </c>
      <c r="I842" s="131" cm="1">
        <f ca="1" t="array" ref="I842">IF(I1444=1,OFFSET($W$634,$B842,I$631-1)/SUMPRODUCT(--($D$631:$V$631=I$631),--($D1444:$V1444=1)),0)+SUM(I841)+IF(COUNTIF(I$1237:I1444,1)=1,5,0)+IF(COUNTIF(J842:$W842,"&gt;"&amp;0)&lt;5,IF(AND(COUNTIF(I$1237:I1444,1)&gt;7,MOD(1+IFERROR(MATCH($C842,总览!$D$46:$D$345,1)+1,1),7)=0),$C$3,0),0)</f>
        <v>632.733333333333</v>
      </c>
      <c r="J842" s="131" cm="1">
        <f ca="1" t="array" ref="J842">IF(J1444=1,OFFSET($W$634,$B842,J$631-1)/SUMPRODUCT(--($D$631:$V$631=J$631),--($D1444:$V1444=1)),0)+SUM(J841)+IF(COUNTIF(J$1237:J1444,1)=1,5,0)+IF(COUNTIF(K842:$W842,"&gt;"&amp;0)&lt;5,IF(AND(COUNTIF(J$1237:J1444,1)&gt;7,MOD(1+IFERROR(MATCH($C842,总览!$D$46:$D$345,1)+1,1),7)=0),$C$3,0),0)</f>
        <v>629.4</v>
      </c>
      <c r="K842" s="131" cm="1">
        <f ca="1" t="array" ref="K842">IF(K1444=1,OFFSET($W$634,$B842,K$631-1)/SUMPRODUCT(--($D$631:$V$631=K$631),--($D1444:$V1444=1)),0)+SUM(K841)+IF(COUNTIF(K$1237:K1444,1)=1,5,0)+IF(COUNTIF(L842:$W842,"&gt;"&amp;0)&lt;5,IF(AND(COUNTIF(K$1237:K1444,1)&gt;7,MOD(1+IFERROR(MATCH($C842,总览!$D$46:$D$345,1)+1,1),7)=0),$C$3,0),0)</f>
        <v>626.9</v>
      </c>
      <c r="L842" s="131" cm="1">
        <f ca="1" t="array" ref="L842">IF(L1444=1,OFFSET($W$634,$B842,L$631-1)/SUMPRODUCT(--($D$631:$V$631=L$631),--($D1444:$V1444=1)),0)+SUM(L841)+IF(COUNTIF(L$1237:L1444,1)=1,5,0)+IF(COUNTIF(M842:$W842,"&gt;"&amp;0)&lt;5,IF(AND(COUNTIF(L$1237:L1444,1)&gt;7,MOD(1+IFERROR(MATCH($C842,总览!$D$46:$D$345,1)+1,1),7)=0),$C$3,0),0)</f>
        <v>626.9</v>
      </c>
      <c r="M842" s="131" cm="1">
        <f ca="1" t="array" ref="M842">IF(M1444=1,OFFSET($W$634,$B842,M$631-1)/SUMPRODUCT(--($D$631:$V$631=M$631),--($D1444:$V1444=1)),0)+SUM(M841)+IF(COUNTIF(M$1237:M1444,1)=1,5,0)+IF(COUNTIF(N842:$W842,"&gt;"&amp;0)&lt;5,IF(AND(COUNTIF(M$1237:M1444,1)&gt;7,MOD(1+IFERROR(MATCH($C842,总览!$D$46:$D$345,1)+1,1),7)=0),$C$3,0),0)</f>
        <v>254.895535714285</v>
      </c>
      <c r="N842" s="131" cm="1">
        <f ca="1" t="array" ref="N842">IF(N1444=1,OFFSET($W$634,$B842,N$631-1)/SUMPRODUCT(--($D$631:$V$631=N$631),--($D1444:$V1444=1)),0)+SUM(N841)+IF(COUNTIF(N$1237:N1444,1)=1,5,0)+IF(COUNTIF(O842:$W842,"&gt;"&amp;0)&lt;5,IF(AND(COUNTIF(N$1237:N1444,1)&gt;7,MOD(1+IFERROR(MATCH($C842,总览!$D$46:$D$345,1)+1,1),7)=0),$C$3,0),0)</f>
        <v>256.145535714285</v>
      </c>
      <c r="O842" s="131" cm="1">
        <f ca="1" t="array" ref="O842">IF(O1444=1,OFFSET($W$634,$B842,O$631-1)/SUMPRODUCT(--($D$631:$V$631=O$631),--($D1444:$V1444=1)),0)+SUM(O841)+IF(COUNTIF(O$1237:O1444,1)=1,5,0)+IF(COUNTIF(P842:$W842,"&gt;"&amp;0)&lt;5,IF(AND(COUNTIF(O$1237:O1444,1)&gt;7,MOD(1+IFERROR(MATCH($C842,总览!$D$46:$D$345,1)+1,1),7)=0),$C$3,0),0)</f>
        <v>261.145535714285</v>
      </c>
      <c r="P842" s="131" cm="1">
        <f ca="1" t="array" ref="P842">IF(P1444=1,OFFSET($W$634,$B842,P$631-1)/SUMPRODUCT(--($D$631:$V$631=P$631),--($D1444:$V1444=1)),0)+SUM(P841)+IF(COUNTIF(P$1237:P1444,1)=1,5,0)+IF(COUNTIF(Q842:$W842,"&gt;"&amp;0)&lt;5,IF(AND(COUNTIF(P$1237:P1444,1)&gt;7,MOD(1+IFERROR(MATCH($C842,总览!$D$46:$D$345,1)+1,1),7)=0),$C$3,0),0)</f>
        <v>250.264285714285</v>
      </c>
      <c r="Q842" s="131" cm="1">
        <f ca="1" t="array" ref="Q842">IF(Q1444=1,OFFSET($W$634,$B842,Q$631-1)/SUMPRODUCT(--($D$631:$V$631=Q$631),--($D1444:$V1444=1)),0)+SUM(Q841)+IF(COUNTIF(Q$1237:Q1444,1)=1,5,0)+IF(COUNTIF(R842:$W842,"&gt;"&amp;0)&lt;5,IF(AND(COUNTIF(Q$1237:Q1444,1)&gt;7,MOD(1+IFERROR(MATCH($C842,总览!$D$46:$D$345,1)+1,1),7)=0),$C$3,0),0)</f>
        <v>263.645535714285</v>
      </c>
      <c r="R842" s="131" cm="1">
        <f ca="1" t="array" ref="R842">IF(R1444=1,OFFSET($W$634,$B842,R$631-1)/SUMPRODUCT(--($D$631:$V$631=R$631),--($D1444:$V1444=1)),0)+SUM(R841)+IF(COUNTIF(R$1237:R1444,1)=1,5,0)+IF(COUNTIF(S842:$W842,"&gt;"&amp;0)&lt;5,IF(AND(COUNTIF(R$1237:R1444,1)&gt;7,MOD(1+IFERROR(MATCH($C842,总览!$D$46:$D$345,1)+1,1),7)=0),$C$3,0),0)</f>
        <v>255.264285714285</v>
      </c>
      <c r="S842" s="131" cm="1">
        <f ca="1" t="array" ref="S842">IF(S1444=1,OFFSET($W$634,$B842,S$631-1)/SUMPRODUCT(--($D$631:$V$631=S$631),--($D1444:$V1444=1)),0)+SUM(S841)+IF(COUNTIF(S$1237:S1444,1)=1,5,0)+IF(COUNTIF(T842:$W842,"&gt;"&amp;0)&lt;5,IF(AND(COUNTIF(S$1237:S1444,1)&gt;7,MOD(1+IFERROR(MATCH($C842,总览!$D$46:$D$345,1)+1,1),7)=0),$C$3,0),0)</f>
        <v>347.764285714286</v>
      </c>
      <c r="T842" s="131" cm="1">
        <f ca="1" t="array" ref="T842">IF(T1444=1,OFFSET($W$634,$B842,T$631-1)/SUMPRODUCT(--($D$631:$V$631=T$631),--($D1444:$V1444=1)),0)+SUM(T841)+IF(COUNTIF(T$1237:T1444,1)=1,5,0)+IF(COUNTIF(U842:$W842,"&gt;"&amp;0)&lt;5,IF(AND(COUNTIF(T$1237:T1444,1)&gt;7,MOD(1+IFERROR(MATCH($C842,总览!$D$46:$D$345,1)+1,1),7)=0),$C$3,0),0)</f>
        <v>253.550034844986</v>
      </c>
      <c r="U842" s="131" cm="1">
        <f ca="1" t="array" ref="U842">IF(U1444=1,OFFSET($W$634,$B842,U$631-1)/SUMPRODUCT(--($D$631:$V$631=U$631),--($D1444:$V1444=1)),0)+SUM(U841)+IF(COUNTIF(U$1237:U1444,1)=1,5,0)+IF(COUNTIF(V842:$W842,"&gt;"&amp;0)&lt;5,IF(AND(COUNTIF(U$1237:U1444,1)&gt;7,MOD(1+IFERROR(MATCH($C842,总览!$D$46:$D$345,1)+1,1),7)=0),$C$3,0),0)</f>
        <v>259.070821200286</v>
      </c>
      <c r="V842" s="131" cm="1">
        <f ca="1" t="array" ref="V842">IF(V1444=1,OFFSET($W$634,$B842,V$631-1)/SUMPRODUCT(--($D$631:$V$631=V$631),--($D1444:$V1444=1)),0)+SUM(V841)+IF(COUNTIF(V$1237:V1444,1)=1,5,0)+IF(COUNTIF(W842:$W842,"&gt;"&amp;0)&lt;5,IF(AND(COUNTIF(V$1237:V1444,1)&gt;7,MOD(1+IFERROR(MATCH($C842,总览!$D$46:$D$345,1)+1,1),7)=0),$C$3,0),0)</f>
        <v>278.897820912719</v>
      </c>
      <c r="W842" s="135" cm="1">
        <f ca="1" t="array" ref="W842">SUMPRODUCT(TRANSPOSE($AA842:$AG842),OFFSET($L$9:$L$15,0,W$631-1))</f>
        <v>16.8502200646615</v>
      </c>
      <c r="X842" s="135" cm="1">
        <f ca="1" t="array" ref="X842">SUMPRODUCT(TRANSPOSE($AA842:$AG842),OFFSET($L$9:$L$15,0,X$631-1))</f>
        <v>20</v>
      </c>
      <c r="Y842" s="135" cm="1">
        <f ca="1" t="array" ref="Y842">SUMPRODUCT(TRANSPOSE($AA842:$AG842),OFFSET($L$9:$L$15,0,Y$631-1))</f>
        <v>10</v>
      </c>
      <c r="Z842" s="135" cm="1">
        <f ca="1" t="array" ref="Z842">SUMPRODUCT(TRANSPOSE($AA842:$AG842),OFFSET($L$9:$L$15,0,Z$631-1))</f>
        <v>3.14977993533847</v>
      </c>
      <c r="AA842" s="136">
        <f ca="1" t="shared" ref="AA842:AG842" si="661">AH842-AH841</f>
        <v>0</v>
      </c>
      <c r="AB842" s="136">
        <f ca="1" t="shared" si="661"/>
        <v>0</v>
      </c>
      <c r="AC842" s="136">
        <f ca="1" t="shared" si="661"/>
        <v>0</v>
      </c>
      <c r="AD842" s="136">
        <f ca="1" t="shared" si="661"/>
        <v>0</v>
      </c>
      <c r="AE842" s="136">
        <f ca="1" t="shared" si="661"/>
        <v>0</v>
      </c>
      <c r="AF842" s="136">
        <f ca="1" t="shared" si="661"/>
        <v>0</v>
      </c>
      <c r="AG842" s="136">
        <f ca="1" t="shared" si="661"/>
        <v>100</v>
      </c>
      <c r="AH842" s="136">
        <f ca="1" t="shared" si="631"/>
        <v>450</v>
      </c>
      <c r="AI842" s="136">
        <f ca="1" t="shared" ref="AI842:AN842" si="662">IF($C842&gt;OFFSET($Q$8,MATCH(AI$634,$AH$634:$AN$634,0),0),OFFSET($P$8,MATCH(AI$634,$AH$634:$AN$634,0),0),MAX(0,$C842-OFFSET($Q$8,RIGHT(AI$634,1)-1,0)))</f>
        <v>909</v>
      </c>
      <c r="AJ842" s="136">
        <f ca="1" t="shared" si="662"/>
        <v>1818</v>
      </c>
      <c r="AK842" s="136">
        <f ca="1" t="shared" si="662"/>
        <v>2727</v>
      </c>
      <c r="AL842" s="136">
        <f ca="1" t="shared" si="662"/>
        <v>3636</v>
      </c>
      <c r="AM842" s="136">
        <f ca="1" t="shared" si="662"/>
        <v>4545</v>
      </c>
      <c r="AN842" s="136">
        <f ca="1" t="shared" si="662"/>
        <v>6715</v>
      </c>
    </row>
    <row r="843" s="106" customFormat="1" ht="16.5" spans="2:40">
      <c r="B843" s="117">
        <v>209</v>
      </c>
      <c r="C843" s="130">
        <f t="shared" si="629"/>
        <v>20900</v>
      </c>
      <c r="D843" s="131" cm="1">
        <f ca="1" t="array" ref="D843">IF(D1445=1,OFFSET($W$634,$B843,D$631-1)/SUMPRODUCT(--($D$631:$V$631=D$631),--($D1445:$V1445=1)),0)+SUM(D842)+IF(COUNTIF(D$1237:D1445,1)=1,5,0)+IF(COUNTIF(E843:$W843,"&gt;"&amp;0)&lt;5,IF(AND(COUNTIF(D$1237:D1445,1)&gt;7,MOD(1+IFERROR(MATCH($C843,总览!$D$46:$D$345,1)+1,1),7)=0),$C$3,0),0)</f>
        <v>1501.60218103556</v>
      </c>
      <c r="E843" s="131" cm="1">
        <f ca="1" t="array" ref="E843">IF(E1445=1,OFFSET($W$634,$B843,E$631-1)/SUMPRODUCT(--($D$631:$V$631=E$631),--($D1445:$V1445=1)),0)+SUM(E842)+IF(COUNTIF(E$1237:E1445,1)=1,5,0)+IF(COUNTIF(F843:$W843,"&gt;"&amp;0)&lt;5,IF(AND(COUNTIF(E$1237:E1445,1)&gt;7,MOD(1+IFERROR(MATCH($C843,总览!$D$46:$D$345,1)+1,1),7)=0),$C$3,0),0)</f>
        <v>1501.60218103556</v>
      </c>
      <c r="F843" s="131" cm="1">
        <f ca="1" t="array" ref="F843">IF(F1445=1,OFFSET($W$634,$B843,F$631-1)/SUMPRODUCT(--($D$631:$V$631=F$631),--($D1445:$V1445=1)),0)+SUM(F842)+IF(COUNTIF(F$1237:F1445,1)=1,5,0)+IF(COUNTIF(G843:$W843,"&gt;"&amp;0)&lt;5,IF(AND(COUNTIF(F$1237:F1445,1)&gt;7,MOD(1+IFERROR(MATCH($C843,总览!$D$46:$D$345,1)+1,1),7)=0),$C$3,0),0)</f>
        <v>1501.60218103556</v>
      </c>
      <c r="G843" s="131" cm="1">
        <f ca="1" t="array" ref="G843">IF(G1445=1,OFFSET($W$634,$B843,G$631-1)/SUMPRODUCT(--($D$631:$V$631=G$631),--($D1445:$V1445=1)),0)+SUM(G842)+IF(COUNTIF(G$1237:G1445,1)=1,5,0)+IF(COUNTIF(H843:$W843,"&gt;"&amp;0)&lt;5,IF(AND(COUNTIF(G$1237:G1445,1)&gt;7,MOD(1+IFERROR(MATCH($C843,总览!$D$46:$D$345,1)+1,1),7)=0),$C$3,0),0)</f>
        <v>636.066666666667</v>
      </c>
      <c r="H843" s="131" cm="1">
        <f ca="1" t="array" ref="H843">IF(H1445=1,OFFSET($W$634,$B843,H$631-1)/SUMPRODUCT(--($D$631:$V$631=H$631),--($D1445:$V1445=1)),0)+SUM(H842)+IF(COUNTIF(H$1237:H1445,1)=1,5,0)+IF(COUNTIF(I843:$W843,"&gt;"&amp;0)&lt;5,IF(AND(COUNTIF(H$1237:H1445,1)&gt;7,MOD(1+IFERROR(MATCH($C843,总览!$D$46:$D$345,1)+1,1),7)=0),$C$3,0),0)</f>
        <v>636.066666666667</v>
      </c>
      <c r="I843" s="131" cm="1">
        <f ca="1" t="array" ref="I843">IF(I1445=1,OFFSET($W$634,$B843,I$631-1)/SUMPRODUCT(--($D$631:$V$631=I$631),--($D1445:$V1445=1)),0)+SUM(I842)+IF(COUNTIF(I$1237:I1445,1)=1,5,0)+IF(COUNTIF(J843:$W843,"&gt;"&amp;0)&lt;5,IF(AND(COUNTIF(I$1237:I1445,1)&gt;7,MOD(1+IFERROR(MATCH($C843,总览!$D$46:$D$345,1)+1,1),7)=0),$C$3,0),0)</f>
        <v>636.066666666667</v>
      </c>
      <c r="J843" s="131" cm="1">
        <f ca="1" t="array" ref="J843">IF(J1445=1,OFFSET($W$634,$B843,J$631-1)/SUMPRODUCT(--($D$631:$V$631=J$631),--($D1445:$V1445=1)),0)+SUM(J842)+IF(COUNTIF(J$1237:J1445,1)=1,5,0)+IF(COUNTIF(K843:$W843,"&gt;"&amp;0)&lt;5,IF(AND(COUNTIF(J$1237:J1445,1)&gt;7,MOD(1+IFERROR(MATCH($C843,总览!$D$46:$D$345,1)+1,1),7)=0),$C$3,0),0)</f>
        <v>632.733333333333</v>
      </c>
      <c r="K843" s="131" cm="1">
        <f ca="1" t="array" ref="K843">IF(K1445=1,OFFSET($W$634,$B843,K$631-1)/SUMPRODUCT(--($D$631:$V$631=K$631),--($D1445:$V1445=1)),0)+SUM(K842)+IF(COUNTIF(K$1237:K1445,1)=1,5,0)+IF(COUNTIF(L843:$W843,"&gt;"&amp;0)&lt;5,IF(AND(COUNTIF(K$1237:K1445,1)&gt;7,MOD(1+IFERROR(MATCH($C843,总览!$D$46:$D$345,1)+1,1),7)=0),$C$3,0),0)</f>
        <v>630.233333333333</v>
      </c>
      <c r="L843" s="131" cm="1">
        <f ca="1" t="array" ref="L843">IF(L1445=1,OFFSET($W$634,$B843,L$631-1)/SUMPRODUCT(--($D$631:$V$631=L$631),--($D1445:$V1445=1)),0)+SUM(L842)+IF(COUNTIF(L$1237:L1445,1)=1,5,0)+IF(COUNTIF(M843:$W843,"&gt;"&amp;0)&lt;5,IF(AND(COUNTIF(L$1237:L1445,1)&gt;7,MOD(1+IFERROR(MATCH($C843,总览!$D$46:$D$345,1)+1,1),7)=0),$C$3,0),0)</f>
        <v>630.233333333333</v>
      </c>
      <c r="M843" s="131" cm="1">
        <f ca="1" t="array" ref="M843">IF(M1445=1,OFFSET($W$634,$B843,M$631-1)/SUMPRODUCT(--($D$631:$V$631=M$631),--($D1445:$V1445=1)),0)+SUM(M842)+IF(COUNTIF(M$1237:M1445,1)=1,5,0)+IF(COUNTIF(N843:$W843,"&gt;"&amp;0)&lt;5,IF(AND(COUNTIF(M$1237:M1445,1)&gt;7,MOD(1+IFERROR(MATCH($C843,总览!$D$46:$D$345,1)+1,1),7)=0),$C$3,0),0)</f>
        <v>256.324107142856</v>
      </c>
      <c r="N843" s="131" cm="1">
        <f ca="1" t="array" ref="N843">IF(N1445=1,OFFSET($W$634,$B843,N$631-1)/SUMPRODUCT(--($D$631:$V$631=N$631),--($D1445:$V1445=1)),0)+SUM(N842)+IF(COUNTIF(N$1237:N1445,1)=1,5,0)+IF(COUNTIF(O843:$W843,"&gt;"&amp;0)&lt;5,IF(AND(COUNTIF(N$1237:N1445,1)&gt;7,MOD(1+IFERROR(MATCH($C843,总览!$D$46:$D$345,1)+1,1),7)=0),$C$3,0),0)</f>
        <v>257.574107142856</v>
      </c>
      <c r="O843" s="131" cm="1">
        <f ca="1" t="array" ref="O843">IF(O1445=1,OFFSET($W$634,$B843,O$631-1)/SUMPRODUCT(--($D$631:$V$631=O$631),--($D1445:$V1445=1)),0)+SUM(O842)+IF(COUNTIF(O$1237:O1445,1)=1,5,0)+IF(COUNTIF(P843:$W843,"&gt;"&amp;0)&lt;5,IF(AND(COUNTIF(O$1237:O1445,1)&gt;7,MOD(1+IFERROR(MATCH($C843,总览!$D$46:$D$345,1)+1,1),7)=0),$C$3,0),0)</f>
        <v>262.574107142856</v>
      </c>
      <c r="P843" s="131" cm="1">
        <f ca="1" t="array" ref="P843">IF(P1445=1,OFFSET($W$634,$B843,P$631-1)/SUMPRODUCT(--($D$631:$V$631=P$631),--($D1445:$V1445=1)),0)+SUM(P842)+IF(COUNTIF(P$1237:P1445,1)=1,5,0)+IF(COUNTIF(Q843:$W843,"&gt;"&amp;0)&lt;5,IF(AND(COUNTIF(P$1237:P1445,1)&gt;7,MOD(1+IFERROR(MATCH($C843,总览!$D$46:$D$345,1)+1,1),7)=0),$C$3,0),0)</f>
        <v>251.692857142856</v>
      </c>
      <c r="Q843" s="131" cm="1">
        <f ca="1" t="array" ref="Q843">IF(Q1445=1,OFFSET($W$634,$B843,Q$631-1)/SUMPRODUCT(--($D$631:$V$631=Q$631),--($D1445:$V1445=1)),0)+SUM(Q842)+IF(COUNTIF(Q$1237:Q1445,1)=1,5,0)+IF(COUNTIF(R843:$W843,"&gt;"&amp;0)&lt;5,IF(AND(COUNTIF(Q$1237:Q1445,1)&gt;7,MOD(1+IFERROR(MATCH($C843,总览!$D$46:$D$345,1)+1,1),7)=0),$C$3,0),0)</f>
        <v>265.074107142856</v>
      </c>
      <c r="R843" s="131" cm="1">
        <f ca="1" t="array" ref="R843">IF(R1445=1,OFFSET($W$634,$B843,R$631-1)/SUMPRODUCT(--($D$631:$V$631=R$631),--($D1445:$V1445=1)),0)+SUM(R842)+IF(COUNTIF(R$1237:R1445,1)=1,5,0)+IF(COUNTIF(S843:$W843,"&gt;"&amp;0)&lt;5,IF(AND(COUNTIF(R$1237:R1445,1)&gt;7,MOD(1+IFERROR(MATCH($C843,总览!$D$46:$D$345,1)+1,1),7)=0),$C$3,0),0)</f>
        <v>256.692857142856</v>
      </c>
      <c r="S843" s="131" cm="1">
        <f ca="1" t="array" ref="S843">IF(S1445=1,OFFSET($W$634,$B843,S$631-1)/SUMPRODUCT(--($D$631:$V$631=S$631),--($D1445:$V1445=1)),0)+SUM(S842)+IF(COUNTIF(S$1237:S1445,1)=1,5,0)+IF(COUNTIF(T843:$W843,"&gt;"&amp;0)&lt;5,IF(AND(COUNTIF(S$1237:S1445,1)&gt;7,MOD(1+IFERROR(MATCH($C843,总览!$D$46:$D$345,1)+1,1),7)=0),$C$3,0),0)</f>
        <v>349.192857142857</v>
      </c>
      <c r="T843" s="131" cm="1">
        <f ca="1" t="array" ref="T843">IF(T1445=1,OFFSET($W$634,$B843,T$631-1)/SUMPRODUCT(--($D$631:$V$631=T$631),--($D1445:$V1445=1)),0)+SUM(T842)+IF(COUNTIF(T$1237:T1445,1)=1,5,0)+IF(COUNTIF(U843:$W843,"&gt;"&amp;0)&lt;5,IF(AND(COUNTIF(T$1237:T1445,1)&gt;7,MOD(1+IFERROR(MATCH($C843,总览!$D$46:$D$345,1)+1,1),7)=0),$C$3,0),0)</f>
        <v>254.599961490099</v>
      </c>
      <c r="U843" s="131" cm="1">
        <f ca="1" t="array" ref="U843">IF(U1445=1,OFFSET($W$634,$B843,U$631-1)/SUMPRODUCT(--($D$631:$V$631=U$631),--($D1445:$V1445=1)),0)+SUM(U842)+IF(COUNTIF(U$1237:U1445,1)=1,5,0)+IF(COUNTIF(V843:$W843,"&gt;"&amp;0)&lt;5,IF(AND(COUNTIF(U$1237:U1445,1)&gt;7,MOD(1+IFERROR(MATCH($C843,总览!$D$46:$D$345,1)+1,1),7)=0),$C$3,0),0)</f>
        <v>260.120747845399</v>
      </c>
      <c r="V843" s="131" cm="1">
        <f ca="1" t="array" ref="V843">IF(V1445=1,OFFSET($W$634,$B843,V$631-1)/SUMPRODUCT(--($D$631:$V$631=V$631),--($D1445:$V1445=1)),0)+SUM(V842)+IF(COUNTIF(V$1237:V1445,1)=1,5,0)+IF(COUNTIF(W843:$W843,"&gt;"&amp;0)&lt;5,IF(AND(COUNTIF(V$1237:V1445,1)&gt;7,MOD(1+IFERROR(MATCH($C843,总览!$D$46:$D$345,1)+1,1),7)=0),$C$3,0),0)</f>
        <v>279.947747557832</v>
      </c>
      <c r="W843" s="135" cm="1">
        <f ca="1" t="array" ref="W843">SUMPRODUCT(TRANSPOSE($AA843:$AG843),OFFSET($L$9:$L$15,0,W$631-1))</f>
        <v>16.8502200646615</v>
      </c>
      <c r="X843" s="135" cm="1">
        <f ca="1" t="array" ref="X843">SUMPRODUCT(TRANSPOSE($AA843:$AG843),OFFSET($L$9:$L$15,0,X$631-1))</f>
        <v>20</v>
      </c>
      <c r="Y843" s="135" cm="1">
        <f ca="1" t="array" ref="Y843">SUMPRODUCT(TRANSPOSE($AA843:$AG843),OFFSET($L$9:$L$15,0,Y$631-1))</f>
        <v>10</v>
      </c>
      <c r="Z843" s="135" cm="1">
        <f ca="1" t="array" ref="Z843">SUMPRODUCT(TRANSPOSE($AA843:$AG843),OFFSET($L$9:$L$15,0,Z$631-1))</f>
        <v>3.14977993533847</v>
      </c>
      <c r="AA843" s="136">
        <f ca="1" t="shared" ref="AA843:AG843" si="663">AH843-AH842</f>
        <v>0</v>
      </c>
      <c r="AB843" s="136">
        <f ca="1" t="shared" si="663"/>
        <v>0</v>
      </c>
      <c r="AC843" s="136">
        <f ca="1" t="shared" si="663"/>
        <v>0</v>
      </c>
      <c r="AD843" s="136">
        <f ca="1" t="shared" si="663"/>
        <v>0</v>
      </c>
      <c r="AE843" s="136">
        <f ca="1" t="shared" si="663"/>
        <v>0</v>
      </c>
      <c r="AF843" s="136">
        <f ca="1" t="shared" si="663"/>
        <v>0</v>
      </c>
      <c r="AG843" s="136">
        <f ca="1" t="shared" si="663"/>
        <v>100</v>
      </c>
      <c r="AH843" s="136">
        <f ca="1" t="shared" si="631"/>
        <v>450</v>
      </c>
      <c r="AI843" s="136">
        <f ca="1" t="shared" ref="AI843:AN843" si="664">IF($C843&gt;OFFSET($Q$8,MATCH(AI$634,$AH$634:$AN$634,0),0),OFFSET($P$8,MATCH(AI$634,$AH$634:$AN$634,0),0),MAX(0,$C843-OFFSET($Q$8,RIGHT(AI$634,1)-1,0)))</f>
        <v>909</v>
      </c>
      <c r="AJ843" s="136">
        <f ca="1" t="shared" si="664"/>
        <v>1818</v>
      </c>
      <c r="AK843" s="136">
        <f ca="1" t="shared" si="664"/>
        <v>2727</v>
      </c>
      <c r="AL843" s="136">
        <f ca="1" t="shared" si="664"/>
        <v>3636</v>
      </c>
      <c r="AM843" s="136">
        <f ca="1" t="shared" si="664"/>
        <v>4545</v>
      </c>
      <c r="AN843" s="136">
        <f ca="1" t="shared" si="664"/>
        <v>6815</v>
      </c>
    </row>
    <row r="844" s="106" customFormat="1" ht="16.5" spans="2:40">
      <c r="B844" s="117">
        <v>210</v>
      </c>
      <c r="C844" s="130">
        <f t="shared" si="629"/>
        <v>21000</v>
      </c>
      <c r="D844" s="131" cm="1">
        <f ca="1" t="array" ref="D844">IF(D1446=1,OFFSET($W$634,$B844,D$631-1)/SUMPRODUCT(--($D$631:$V$631=D$631),--($D1446:$V1446=1)),0)+SUM(D843)+IF(COUNTIF(D$1237:D1446,1)=1,5,0)+IF(COUNTIF(E844:$W844,"&gt;"&amp;0)&lt;5,IF(AND(COUNTIF(D$1237:D1446,1)&gt;7,MOD(1+IFERROR(MATCH($C844,总览!$D$46:$D$345,1)+1,1),7)=0),$C$3,0),0)</f>
        <v>1507.21892105711</v>
      </c>
      <c r="E844" s="131" cm="1">
        <f ca="1" t="array" ref="E844">IF(E1446=1,OFFSET($W$634,$B844,E$631-1)/SUMPRODUCT(--($D$631:$V$631=E$631),--($D1446:$V1446=1)),0)+SUM(E843)+IF(COUNTIF(E$1237:E1446,1)=1,5,0)+IF(COUNTIF(F844:$W844,"&gt;"&amp;0)&lt;5,IF(AND(COUNTIF(E$1237:E1446,1)&gt;7,MOD(1+IFERROR(MATCH($C844,总览!$D$46:$D$345,1)+1,1),7)=0),$C$3,0),0)</f>
        <v>1507.21892105711</v>
      </c>
      <c r="F844" s="131" cm="1">
        <f ca="1" t="array" ref="F844">IF(F1446=1,OFFSET($W$634,$B844,F$631-1)/SUMPRODUCT(--($D$631:$V$631=F$631),--($D1446:$V1446=1)),0)+SUM(F843)+IF(COUNTIF(F$1237:F1446,1)=1,5,0)+IF(COUNTIF(G844:$W844,"&gt;"&amp;0)&lt;5,IF(AND(COUNTIF(F$1237:F1446,1)&gt;7,MOD(1+IFERROR(MATCH($C844,总览!$D$46:$D$345,1)+1,1),7)=0),$C$3,0),0)</f>
        <v>1507.21892105711</v>
      </c>
      <c r="G844" s="131" cm="1">
        <f ca="1" t="array" ref="G844">IF(G1446=1,OFFSET($W$634,$B844,G$631-1)/SUMPRODUCT(--($D$631:$V$631=G$631),--($D1446:$V1446=1)),0)+SUM(G843)+IF(COUNTIF(G$1237:G1446,1)=1,5,0)+IF(COUNTIF(H844:$W844,"&gt;"&amp;0)&lt;5,IF(AND(COUNTIF(G$1237:G1446,1)&gt;7,MOD(1+IFERROR(MATCH($C844,总览!$D$46:$D$345,1)+1,1),7)=0),$C$3,0),0)</f>
        <v>639.4</v>
      </c>
      <c r="H844" s="131" cm="1">
        <f ca="1" t="array" ref="H844">IF(H1446=1,OFFSET($W$634,$B844,H$631-1)/SUMPRODUCT(--($D$631:$V$631=H$631),--($D1446:$V1446=1)),0)+SUM(H843)+IF(COUNTIF(H$1237:H1446,1)=1,5,0)+IF(COUNTIF(I844:$W844,"&gt;"&amp;0)&lt;5,IF(AND(COUNTIF(H$1237:H1446,1)&gt;7,MOD(1+IFERROR(MATCH($C844,总览!$D$46:$D$345,1)+1,1),7)=0),$C$3,0),0)</f>
        <v>639.4</v>
      </c>
      <c r="I844" s="131" cm="1">
        <f ca="1" t="array" ref="I844">IF(I1446=1,OFFSET($W$634,$B844,I$631-1)/SUMPRODUCT(--($D$631:$V$631=I$631),--($D1446:$V1446=1)),0)+SUM(I843)+IF(COUNTIF(I$1237:I1446,1)=1,5,0)+IF(COUNTIF(J844:$W844,"&gt;"&amp;0)&lt;5,IF(AND(COUNTIF(I$1237:I1446,1)&gt;7,MOD(1+IFERROR(MATCH($C844,总览!$D$46:$D$345,1)+1,1),7)=0),$C$3,0),0)</f>
        <v>639.4</v>
      </c>
      <c r="J844" s="131" cm="1">
        <f ca="1" t="array" ref="J844">IF(J1446=1,OFFSET($W$634,$B844,J$631-1)/SUMPRODUCT(--($D$631:$V$631=J$631),--($D1446:$V1446=1)),0)+SUM(J843)+IF(COUNTIF(J$1237:J1446,1)=1,5,0)+IF(COUNTIF(K844:$W844,"&gt;"&amp;0)&lt;5,IF(AND(COUNTIF(J$1237:J1446,1)&gt;7,MOD(1+IFERROR(MATCH($C844,总览!$D$46:$D$345,1)+1,1),7)=0),$C$3,0),0)</f>
        <v>636.066666666667</v>
      </c>
      <c r="K844" s="131" cm="1">
        <f ca="1" t="array" ref="K844">IF(K1446=1,OFFSET($W$634,$B844,K$631-1)/SUMPRODUCT(--($D$631:$V$631=K$631),--($D1446:$V1446=1)),0)+SUM(K843)+IF(COUNTIF(K$1237:K1446,1)=1,5,0)+IF(COUNTIF(L844:$W844,"&gt;"&amp;0)&lt;5,IF(AND(COUNTIF(K$1237:K1446,1)&gt;7,MOD(1+IFERROR(MATCH($C844,总览!$D$46:$D$345,1)+1,1),7)=0),$C$3,0),0)</f>
        <v>633.566666666667</v>
      </c>
      <c r="L844" s="131" cm="1">
        <f ca="1" t="array" ref="L844">IF(L1446=1,OFFSET($W$634,$B844,L$631-1)/SUMPRODUCT(--($D$631:$V$631=L$631),--($D1446:$V1446=1)),0)+SUM(L843)+IF(COUNTIF(L$1237:L1446,1)=1,5,0)+IF(COUNTIF(M844:$W844,"&gt;"&amp;0)&lt;5,IF(AND(COUNTIF(L$1237:L1446,1)&gt;7,MOD(1+IFERROR(MATCH($C844,总览!$D$46:$D$345,1)+1,1),7)=0),$C$3,0),0)</f>
        <v>633.566666666667</v>
      </c>
      <c r="M844" s="131" cm="1">
        <f ca="1" t="array" ref="M844">IF(M1446=1,OFFSET($W$634,$B844,M$631-1)/SUMPRODUCT(--($D$631:$V$631=M$631),--($D1446:$V1446=1)),0)+SUM(M843)+IF(COUNTIF(M$1237:M1446,1)=1,5,0)+IF(COUNTIF(N844:$W844,"&gt;"&amp;0)&lt;5,IF(AND(COUNTIF(M$1237:M1446,1)&gt;7,MOD(1+IFERROR(MATCH($C844,总览!$D$46:$D$345,1)+1,1),7)=0),$C$3,0),0)</f>
        <v>257.752678571427</v>
      </c>
      <c r="N844" s="131" cm="1">
        <f ca="1" t="array" ref="N844">IF(N1446=1,OFFSET($W$634,$B844,N$631-1)/SUMPRODUCT(--($D$631:$V$631=N$631),--($D1446:$V1446=1)),0)+SUM(N843)+IF(COUNTIF(N$1237:N1446,1)=1,5,0)+IF(COUNTIF(O844:$W844,"&gt;"&amp;0)&lt;5,IF(AND(COUNTIF(N$1237:N1446,1)&gt;7,MOD(1+IFERROR(MATCH($C844,总览!$D$46:$D$345,1)+1,1),7)=0),$C$3,0),0)</f>
        <v>259.002678571427</v>
      </c>
      <c r="O844" s="131" cm="1">
        <f ca="1" t="array" ref="O844">IF(O1446=1,OFFSET($W$634,$B844,O$631-1)/SUMPRODUCT(--($D$631:$V$631=O$631),--($D1446:$V1446=1)),0)+SUM(O843)+IF(COUNTIF(O$1237:O1446,1)=1,5,0)+IF(COUNTIF(P844:$W844,"&gt;"&amp;0)&lt;5,IF(AND(COUNTIF(O$1237:O1446,1)&gt;7,MOD(1+IFERROR(MATCH($C844,总览!$D$46:$D$345,1)+1,1),7)=0),$C$3,0),0)</f>
        <v>264.002678571427</v>
      </c>
      <c r="P844" s="131" cm="1">
        <f ca="1" t="array" ref="P844">IF(P1446=1,OFFSET($W$634,$B844,P$631-1)/SUMPRODUCT(--($D$631:$V$631=P$631),--($D1446:$V1446=1)),0)+SUM(P843)+IF(COUNTIF(P$1237:P1446,1)=1,5,0)+IF(COUNTIF(Q844:$W844,"&gt;"&amp;0)&lt;5,IF(AND(COUNTIF(P$1237:P1446,1)&gt;7,MOD(1+IFERROR(MATCH($C844,总览!$D$46:$D$345,1)+1,1),7)=0),$C$3,0),0)</f>
        <v>253.121428571427</v>
      </c>
      <c r="Q844" s="131" cm="1">
        <f ca="1" t="array" ref="Q844">IF(Q1446=1,OFFSET($W$634,$B844,Q$631-1)/SUMPRODUCT(--($D$631:$V$631=Q$631),--($D1446:$V1446=1)),0)+SUM(Q843)+IF(COUNTIF(Q$1237:Q1446,1)=1,5,0)+IF(COUNTIF(R844:$W844,"&gt;"&amp;0)&lt;5,IF(AND(COUNTIF(Q$1237:Q1446,1)&gt;7,MOD(1+IFERROR(MATCH($C844,总览!$D$46:$D$345,1)+1,1),7)=0),$C$3,0),0)</f>
        <v>266.502678571427</v>
      </c>
      <c r="R844" s="131" cm="1">
        <f ca="1" t="array" ref="R844">IF(R1446=1,OFFSET($W$634,$B844,R$631-1)/SUMPRODUCT(--($D$631:$V$631=R$631),--($D1446:$V1446=1)),0)+SUM(R843)+IF(COUNTIF(R$1237:R1446,1)=1,5,0)+IF(COUNTIF(S844:$W844,"&gt;"&amp;0)&lt;5,IF(AND(COUNTIF(R$1237:R1446,1)&gt;7,MOD(1+IFERROR(MATCH($C844,总览!$D$46:$D$345,1)+1,1),7)=0),$C$3,0),0)</f>
        <v>258.121428571427</v>
      </c>
      <c r="S844" s="131" cm="1">
        <f ca="1" t="array" ref="S844">IF(S1446=1,OFFSET($W$634,$B844,S$631-1)/SUMPRODUCT(--($D$631:$V$631=S$631),--($D1446:$V1446=1)),0)+SUM(S843)+IF(COUNTIF(S$1237:S1446,1)=1,5,0)+IF(COUNTIF(T844:$W844,"&gt;"&amp;0)&lt;5,IF(AND(COUNTIF(S$1237:S1446,1)&gt;7,MOD(1+IFERROR(MATCH($C844,总览!$D$46:$D$345,1)+1,1),7)=0),$C$3,0),0)</f>
        <v>350.621428571429</v>
      </c>
      <c r="T844" s="131" cm="1">
        <f ca="1" t="array" ref="T844">IF(T1446=1,OFFSET($W$634,$B844,T$631-1)/SUMPRODUCT(--($D$631:$V$631=T$631),--($D1446:$V1446=1)),0)+SUM(T843)+IF(COUNTIF(T$1237:T1446,1)=1,5,0)+IF(COUNTIF(U844:$W844,"&gt;"&amp;0)&lt;5,IF(AND(COUNTIF(T$1237:T1446,1)&gt;7,MOD(1+IFERROR(MATCH($C844,总览!$D$46:$D$345,1)+1,1),7)=0),$C$3,0),0)</f>
        <v>255.649888135212</v>
      </c>
      <c r="U844" s="131" cm="1">
        <f ca="1" t="array" ref="U844">IF(U1446=1,OFFSET($W$634,$B844,U$631-1)/SUMPRODUCT(--($D$631:$V$631=U$631),--($D1446:$V1446=1)),0)+SUM(U843)+IF(COUNTIF(U$1237:U1446,1)=1,5,0)+IF(COUNTIF(V844:$W844,"&gt;"&amp;0)&lt;5,IF(AND(COUNTIF(U$1237:U1446,1)&gt;7,MOD(1+IFERROR(MATCH($C844,总览!$D$46:$D$345,1)+1,1),7)=0),$C$3,0),0)</f>
        <v>261.170674490511</v>
      </c>
      <c r="V844" s="131" cm="1">
        <f ca="1" t="array" ref="V844">IF(V1446=1,OFFSET($W$634,$B844,V$631-1)/SUMPRODUCT(--($D$631:$V$631=V$631),--($D1446:$V1446=1)),0)+SUM(V843)+IF(COUNTIF(V$1237:V1446,1)=1,5,0)+IF(COUNTIF(W844:$W844,"&gt;"&amp;0)&lt;5,IF(AND(COUNTIF(V$1237:V1446,1)&gt;7,MOD(1+IFERROR(MATCH($C844,总览!$D$46:$D$345,1)+1,1),7)=0),$C$3,0),0)</f>
        <v>280.997674202944</v>
      </c>
      <c r="W844" s="135" cm="1">
        <f ca="1" t="array" ref="W844">SUMPRODUCT(TRANSPOSE($AA844:$AG844),OFFSET($L$9:$L$15,0,W$631-1))</f>
        <v>16.8502200646615</v>
      </c>
      <c r="X844" s="135" cm="1">
        <f ca="1" t="array" ref="X844">SUMPRODUCT(TRANSPOSE($AA844:$AG844),OFFSET($L$9:$L$15,0,X$631-1))</f>
        <v>20</v>
      </c>
      <c r="Y844" s="135" cm="1">
        <f ca="1" t="array" ref="Y844">SUMPRODUCT(TRANSPOSE($AA844:$AG844),OFFSET($L$9:$L$15,0,Y$631-1))</f>
        <v>10</v>
      </c>
      <c r="Z844" s="135" cm="1">
        <f ca="1" t="array" ref="Z844">SUMPRODUCT(TRANSPOSE($AA844:$AG844),OFFSET($L$9:$L$15,0,Z$631-1))</f>
        <v>3.14977993533847</v>
      </c>
      <c r="AA844" s="136">
        <f ca="1" t="shared" ref="AA844:AG844" si="665">AH844-AH843</f>
        <v>0</v>
      </c>
      <c r="AB844" s="136">
        <f ca="1" t="shared" si="665"/>
        <v>0</v>
      </c>
      <c r="AC844" s="136">
        <f ca="1" t="shared" si="665"/>
        <v>0</v>
      </c>
      <c r="AD844" s="136">
        <f ca="1" t="shared" si="665"/>
        <v>0</v>
      </c>
      <c r="AE844" s="136">
        <f ca="1" t="shared" si="665"/>
        <v>0</v>
      </c>
      <c r="AF844" s="136">
        <f ca="1" t="shared" si="665"/>
        <v>0</v>
      </c>
      <c r="AG844" s="136">
        <f ca="1" t="shared" si="665"/>
        <v>100</v>
      </c>
      <c r="AH844" s="136">
        <f ca="1" t="shared" si="631"/>
        <v>450</v>
      </c>
      <c r="AI844" s="136">
        <f ca="1" t="shared" ref="AI844:AN844" si="666">IF($C844&gt;OFFSET($Q$8,MATCH(AI$634,$AH$634:$AN$634,0),0),OFFSET($P$8,MATCH(AI$634,$AH$634:$AN$634,0),0),MAX(0,$C844-OFFSET($Q$8,RIGHT(AI$634,1)-1,0)))</f>
        <v>909</v>
      </c>
      <c r="AJ844" s="136">
        <f ca="1" t="shared" si="666"/>
        <v>1818</v>
      </c>
      <c r="AK844" s="136">
        <f ca="1" t="shared" si="666"/>
        <v>2727</v>
      </c>
      <c r="AL844" s="136">
        <f ca="1" t="shared" si="666"/>
        <v>3636</v>
      </c>
      <c r="AM844" s="136">
        <f ca="1" t="shared" si="666"/>
        <v>4545</v>
      </c>
      <c r="AN844" s="136">
        <f ca="1" t="shared" si="666"/>
        <v>6915</v>
      </c>
    </row>
    <row r="845" s="106" customFormat="1" ht="16.5" spans="2:40">
      <c r="B845" s="117">
        <v>211</v>
      </c>
      <c r="C845" s="130">
        <f t="shared" si="629"/>
        <v>21100</v>
      </c>
      <c r="D845" s="131" cm="1">
        <f ca="1" t="array" ref="D845">IF(D1447=1,OFFSET($W$634,$B845,D$631-1)/SUMPRODUCT(--($D$631:$V$631=D$631),--($D1447:$V1447=1)),0)+SUM(D844)+IF(COUNTIF(D$1237:D1447,1)=1,5,0)+IF(COUNTIF(E845:$W845,"&gt;"&amp;0)&lt;5,IF(AND(COUNTIF(D$1237:D1447,1)&gt;7,MOD(1+IFERROR(MATCH($C845,总览!$D$46:$D$345,1)+1,1),7)=0),$C$3,0),0)</f>
        <v>1512.83566107866</v>
      </c>
      <c r="E845" s="131" cm="1">
        <f ca="1" t="array" ref="E845">IF(E1447=1,OFFSET($W$634,$B845,E$631-1)/SUMPRODUCT(--($D$631:$V$631=E$631),--($D1447:$V1447=1)),0)+SUM(E844)+IF(COUNTIF(E$1237:E1447,1)=1,5,0)+IF(COUNTIF(F845:$W845,"&gt;"&amp;0)&lt;5,IF(AND(COUNTIF(E$1237:E1447,1)&gt;7,MOD(1+IFERROR(MATCH($C845,总览!$D$46:$D$345,1)+1,1),7)=0),$C$3,0),0)</f>
        <v>1512.83566107866</v>
      </c>
      <c r="F845" s="131" cm="1">
        <f ca="1" t="array" ref="F845">IF(F1447=1,OFFSET($W$634,$B845,F$631-1)/SUMPRODUCT(--($D$631:$V$631=F$631),--($D1447:$V1447=1)),0)+SUM(F844)+IF(COUNTIF(F$1237:F1447,1)=1,5,0)+IF(COUNTIF(G845:$W845,"&gt;"&amp;0)&lt;5,IF(AND(COUNTIF(F$1237:F1447,1)&gt;7,MOD(1+IFERROR(MATCH($C845,总览!$D$46:$D$345,1)+1,1),7)=0),$C$3,0),0)</f>
        <v>1512.83566107866</v>
      </c>
      <c r="G845" s="131" cm="1">
        <f ca="1" t="array" ref="G845">IF(G1447=1,OFFSET($W$634,$B845,G$631-1)/SUMPRODUCT(--($D$631:$V$631=G$631),--($D1447:$V1447=1)),0)+SUM(G844)+IF(COUNTIF(G$1237:G1447,1)=1,5,0)+IF(COUNTIF(H845:$W845,"&gt;"&amp;0)&lt;5,IF(AND(COUNTIF(G$1237:G1447,1)&gt;7,MOD(1+IFERROR(MATCH($C845,总览!$D$46:$D$345,1)+1,1),7)=0),$C$3,0),0)</f>
        <v>642.733333333333</v>
      </c>
      <c r="H845" s="131" cm="1">
        <f ca="1" t="array" ref="H845">IF(H1447=1,OFFSET($W$634,$B845,H$631-1)/SUMPRODUCT(--($D$631:$V$631=H$631),--($D1447:$V1447=1)),0)+SUM(H844)+IF(COUNTIF(H$1237:H1447,1)=1,5,0)+IF(COUNTIF(I845:$W845,"&gt;"&amp;0)&lt;5,IF(AND(COUNTIF(H$1237:H1447,1)&gt;7,MOD(1+IFERROR(MATCH($C845,总览!$D$46:$D$345,1)+1,1),7)=0),$C$3,0),0)</f>
        <v>642.733333333333</v>
      </c>
      <c r="I845" s="131" cm="1">
        <f ca="1" t="array" ref="I845">IF(I1447=1,OFFSET($W$634,$B845,I$631-1)/SUMPRODUCT(--($D$631:$V$631=I$631),--($D1447:$V1447=1)),0)+SUM(I844)+IF(COUNTIF(I$1237:I1447,1)=1,5,0)+IF(COUNTIF(J845:$W845,"&gt;"&amp;0)&lt;5,IF(AND(COUNTIF(I$1237:I1447,1)&gt;7,MOD(1+IFERROR(MATCH($C845,总览!$D$46:$D$345,1)+1,1),7)=0),$C$3,0),0)</f>
        <v>642.733333333333</v>
      </c>
      <c r="J845" s="131" cm="1">
        <f ca="1" t="array" ref="J845">IF(J1447=1,OFFSET($W$634,$B845,J$631-1)/SUMPRODUCT(--($D$631:$V$631=J$631),--($D1447:$V1447=1)),0)+SUM(J844)+IF(COUNTIF(J$1237:J1447,1)=1,5,0)+IF(COUNTIF(K845:$W845,"&gt;"&amp;0)&lt;5,IF(AND(COUNTIF(J$1237:J1447,1)&gt;7,MOD(1+IFERROR(MATCH($C845,总览!$D$46:$D$345,1)+1,1),7)=0),$C$3,0),0)</f>
        <v>639.4</v>
      </c>
      <c r="K845" s="131" cm="1">
        <f ca="1" t="array" ref="K845">IF(K1447=1,OFFSET($W$634,$B845,K$631-1)/SUMPRODUCT(--($D$631:$V$631=K$631),--($D1447:$V1447=1)),0)+SUM(K844)+IF(COUNTIF(K$1237:K1447,1)=1,5,0)+IF(COUNTIF(L845:$W845,"&gt;"&amp;0)&lt;5,IF(AND(COUNTIF(K$1237:K1447,1)&gt;7,MOD(1+IFERROR(MATCH($C845,总览!$D$46:$D$345,1)+1,1),7)=0),$C$3,0),0)</f>
        <v>636.9</v>
      </c>
      <c r="L845" s="131" cm="1">
        <f ca="1" t="array" ref="L845">IF(L1447=1,OFFSET($W$634,$B845,L$631-1)/SUMPRODUCT(--($D$631:$V$631=L$631),--($D1447:$V1447=1)),0)+SUM(L844)+IF(COUNTIF(L$1237:L1447,1)=1,5,0)+IF(COUNTIF(M845:$W845,"&gt;"&amp;0)&lt;5,IF(AND(COUNTIF(L$1237:L1447,1)&gt;7,MOD(1+IFERROR(MATCH($C845,总览!$D$46:$D$345,1)+1,1),7)=0),$C$3,0),0)</f>
        <v>636.9</v>
      </c>
      <c r="M845" s="131" cm="1">
        <f ca="1" t="array" ref="M845">IF(M1447=1,OFFSET($W$634,$B845,M$631-1)/SUMPRODUCT(--($D$631:$V$631=M$631),--($D1447:$V1447=1)),0)+SUM(M844)+IF(COUNTIF(M$1237:M1447,1)=1,5,0)+IF(COUNTIF(N845:$W845,"&gt;"&amp;0)&lt;5,IF(AND(COUNTIF(M$1237:M1447,1)&gt;7,MOD(1+IFERROR(MATCH($C845,总览!$D$46:$D$345,1)+1,1),7)=0),$C$3,0),0)</f>
        <v>259.181249999999</v>
      </c>
      <c r="N845" s="131" cm="1">
        <f ca="1" t="array" ref="N845">IF(N1447=1,OFFSET($W$634,$B845,N$631-1)/SUMPRODUCT(--($D$631:$V$631=N$631),--($D1447:$V1447=1)),0)+SUM(N844)+IF(COUNTIF(N$1237:N1447,1)=1,5,0)+IF(COUNTIF(O845:$W845,"&gt;"&amp;0)&lt;5,IF(AND(COUNTIF(N$1237:N1447,1)&gt;7,MOD(1+IFERROR(MATCH($C845,总览!$D$46:$D$345,1)+1,1),7)=0),$C$3,0),0)</f>
        <v>260.431249999999</v>
      </c>
      <c r="O845" s="131" cm="1">
        <f ca="1" t="array" ref="O845">IF(O1447=1,OFFSET($W$634,$B845,O$631-1)/SUMPRODUCT(--($D$631:$V$631=O$631),--($D1447:$V1447=1)),0)+SUM(O844)+IF(COUNTIF(O$1237:O1447,1)=1,5,0)+IF(COUNTIF(P845:$W845,"&gt;"&amp;0)&lt;5,IF(AND(COUNTIF(O$1237:O1447,1)&gt;7,MOD(1+IFERROR(MATCH($C845,总览!$D$46:$D$345,1)+1,1),7)=0),$C$3,0),0)</f>
        <v>265.431249999999</v>
      </c>
      <c r="P845" s="131" cm="1">
        <f ca="1" t="array" ref="P845">IF(P1447=1,OFFSET($W$634,$B845,P$631-1)/SUMPRODUCT(--($D$631:$V$631=P$631),--($D1447:$V1447=1)),0)+SUM(P844)+IF(COUNTIF(P$1237:P1447,1)=1,5,0)+IF(COUNTIF(Q845:$W845,"&gt;"&amp;0)&lt;5,IF(AND(COUNTIF(P$1237:P1447,1)&gt;7,MOD(1+IFERROR(MATCH($C845,总览!$D$46:$D$345,1)+1,1),7)=0),$C$3,0),0)</f>
        <v>254.549999999999</v>
      </c>
      <c r="Q845" s="131" cm="1">
        <f ca="1" t="array" ref="Q845">IF(Q1447=1,OFFSET($W$634,$B845,Q$631-1)/SUMPRODUCT(--($D$631:$V$631=Q$631),--($D1447:$V1447=1)),0)+SUM(Q844)+IF(COUNTIF(Q$1237:Q1447,1)=1,5,0)+IF(COUNTIF(R845:$W845,"&gt;"&amp;0)&lt;5,IF(AND(COUNTIF(Q$1237:Q1447,1)&gt;7,MOD(1+IFERROR(MATCH($C845,总览!$D$46:$D$345,1)+1,1),7)=0),$C$3,0),0)</f>
        <v>267.931249999999</v>
      </c>
      <c r="R845" s="131" cm="1">
        <f ca="1" t="array" ref="R845">IF(R1447=1,OFFSET($W$634,$B845,R$631-1)/SUMPRODUCT(--($D$631:$V$631=R$631),--($D1447:$V1447=1)),0)+SUM(R844)+IF(COUNTIF(R$1237:R1447,1)=1,5,0)+IF(COUNTIF(S845:$W845,"&gt;"&amp;0)&lt;5,IF(AND(COUNTIF(R$1237:R1447,1)&gt;7,MOD(1+IFERROR(MATCH($C845,总览!$D$46:$D$345,1)+1,1),7)=0),$C$3,0),0)</f>
        <v>259.549999999999</v>
      </c>
      <c r="S845" s="131" cm="1">
        <f ca="1" t="array" ref="S845">IF(S1447=1,OFFSET($W$634,$B845,S$631-1)/SUMPRODUCT(--($D$631:$V$631=S$631),--($D1447:$V1447=1)),0)+SUM(S844)+IF(COUNTIF(S$1237:S1447,1)=1,5,0)+IF(COUNTIF(T845:$W845,"&gt;"&amp;0)&lt;5,IF(AND(COUNTIF(S$1237:S1447,1)&gt;7,MOD(1+IFERROR(MATCH($C845,总览!$D$46:$D$345,1)+1,1),7)=0),$C$3,0),0)</f>
        <v>352.05</v>
      </c>
      <c r="T845" s="131" cm="1">
        <f ca="1" t="array" ref="T845">IF(T1447=1,OFFSET($W$634,$B845,T$631-1)/SUMPRODUCT(--($D$631:$V$631=T$631),--($D1447:$V1447=1)),0)+SUM(T844)+IF(COUNTIF(T$1237:T1447,1)=1,5,0)+IF(COUNTIF(U845:$W845,"&gt;"&amp;0)&lt;5,IF(AND(COUNTIF(T$1237:T1447,1)&gt;7,MOD(1+IFERROR(MATCH($C845,总览!$D$46:$D$345,1)+1,1),7)=0),$C$3,0),0)</f>
        <v>256.699814780325</v>
      </c>
      <c r="U845" s="131" cm="1">
        <f ca="1" t="array" ref="U845">IF(U1447=1,OFFSET($W$634,$B845,U$631-1)/SUMPRODUCT(--($D$631:$V$631=U$631),--($D1447:$V1447=1)),0)+SUM(U844)+IF(COUNTIF(U$1237:U1447,1)=1,5,0)+IF(COUNTIF(V845:$W845,"&gt;"&amp;0)&lt;5,IF(AND(COUNTIF(U$1237:U1447,1)&gt;7,MOD(1+IFERROR(MATCH($C845,总览!$D$46:$D$345,1)+1,1),7)=0),$C$3,0),0)</f>
        <v>262.220601135624</v>
      </c>
      <c r="V845" s="131" cm="1">
        <f ca="1" t="array" ref="V845">IF(V1447=1,OFFSET($W$634,$B845,V$631-1)/SUMPRODUCT(--($D$631:$V$631=V$631),--($D1447:$V1447=1)),0)+SUM(V844)+IF(COUNTIF(V$1237:V1447,1)=1,5,0)+IF(COUNTIF(W845:$W845,"&gt;"&amp;0)&lt;5,IF(AND(COUNTIF(V$1237:V1447,1)&gt;7,MOD(1+IFERROR(MATCH($C845,总览!$D$46:$D$345,1)+1,1),7)=0),$C$3,0),0)</f>
        <v>282.047600848057</v>
      </c>
      <c r="W845" s="135" cm="1">
        <f ca="1" t="array" ref="W845">SUMPRODUCT(TRANSPOSE($AA845:$AG845),OFFSET($L$9:$L$15,0,W$631-1))</f>
        <v>16.8502200646615</v>
      </c>
      <c r="X845" s="135" cm="1">
        <f ca="1" t="array" ref="X845">SUMPRODUCT(TRANSPOSE($AA845:$AG845),OFFSET($L$9:$L$15,0,X$631-1))</f>
        <v>20</v>
      </c>
      <c r="Y845" s="135" cm="1">
        <f ca="1" t="array" ref="Y845">SUMPRODUCT(TRANSPOSE($AA845:$AG845),OFFSET($L$9:$L$15,0,Y$631-1))</f>
        <v>10</v>
      </c>
      <c r="Z845" s="135" cm="1">
        <f ca="1" t="array" ref="Z845">SUMPRODUCT(TRANSPOSE($AA845:$AG845),OFFSET($L$9:$L$15,0,Z$631-1))</f>
        <v>3.14977993533847</v>
      </c>
      <c r="AA845" s="136">
        <f ca="1" t="shared" ref="AA845:AG845" si="667">AH845-AH844</f>
        <v>0</v>
      </c>
      <c r="AB845" s="136">
        <f ca="1" t="shared" si="667"/>
        <v>0</v>
      </c>
      <c r="AC845" s="136">
        <f ca="1" t="shared" si="667"/>
        <v>0</v>
      </c>
      <c r="AD845" s="136">
        <f ca="1" t="shared" si="667"/>
        <v>0</v>
      </c>
      <c r="AE845" s="136">
        <f ca="1" t="shared" si="667"/>
        <v>0</v>
      </c>
      <c r="AF845" s="136">
        <f ca="1" t="shared" si="667"/>
        <v>0</v>
      </c>
      <c r="AG845" s="136">
        <f ca="1" t="shared" si="667"/>
        <v>100</v>
      </c>
      <c r="AH845" s="136">
        <f ca="1" t="shared" si="631"/>
        <v>450</v>
      </c>
      <c r="AI845" s="136">
        <f ca="1" t="shared" ref="AI845:AN845" si="668">IF($C845&gt;OFFSET($Q$8,MATCH(AI$634,$AH$634:$AN$634,0),0),OFFSET($P$8,MATCH(AI$634,$AH$634:$AN$634,0),0),MAX(0,$C845-OFFSET($Q$8,RIGHT(AI$634,1)-1,0)))</f>
        <v>909</v>
      </c>
      <c r="AJ845" s="136">
        <f ca="1" t="shared" si="668"/>
        <v>1818</v>
      </c>
      <c r="AK845" s="136">
        <f ca="1" t="shared" si="668"/>
        <v>2727</v>
      </c>
      <c r="AL845" s="136">
        <f ca="1" t="shared" si="668"/>
        <v>3636</v>
      </c>
      <c r="AM845" s="136">
        <f ca="1" t="shared" si="668"/>
        <v>4545</v>
      </c>
      <c r="AN845" s="136">
        <f ca="1" t="shared" si="668"/>
        <v>7015</v>
      </c>
    </row>
    <row r="846" s="106" customFormat="1" ht="16.5" spans="2:40">
      <c r="B846" s="117">
        <v>212</v>
      </c>
      <c r="C846" s="130">
        <f t="shared" si="629"/>
        <v>21200</v>
      </c>
      <c r="D846" s="131" cm="1">
        <f ca="1" t="array" ref="D846">IF(D1448=1,OFFSET($W$634,$B846,D$631-1)/SUMPRODUCT(--($D$631:$V$631=D$631),--($D1448:$V1448=1)),0)+SUM(D845)+IF(COUNTIF(D$1237:D1448,1)=1,5,0)+IF(COUNTIF(E846:$W846,"&gt;"&amp;0)&lt;5,IF(AND(COUNTIF(D$1237:D1448,1)&gt;7,MOD(1+IFERROR(MATCH($C846,总览!$D$46:$D$345,1)+1,1),7)=0),$C$3,0),0)</f>
        <v>1518.45240110022</v>
      </c>
      <c r="E846" s="131" cm="1">
        <f ca="1" t="array" ref="E846">IF(E1448=1,OFFSET($W$634,$B846,E$631-1)/SUMPRODUCT(--($D$631:$V$631=E$631),--($D1448:$V1448=1)),0)+SUM(E845)+IF(COUNTIF(E$1237:E1448,1)=1,5,0)+IF(COUNTIF(F846:$W846,"&gt;"&amp;0)&lt;5,IF(AND(COUNTIF(E$1237:E1448,1)&gt;7,MOD(1+IFERROR(MATCH($C846,总览!$D$46:$D$345,1)+1,1),7)=0),$C$3,0),0)</f>
        <v>1518.45240110022</v>
      </c>
      <c r="F846" s="131" cm="1">
        <f ca="1" t="array" ref="F846">IF(F1448=1,OFFSET($W$634,$B846,F$631-1)/SUMPRODUCT(--($D$631:$V$631=F$631),--($D1448:$V1448=1)),0)+SUM(F845)+IF(COUNTIF(F$1237:F1448,1)=1,5,0)+IF(COUNTIF(G846:$W846,"&gt;"&amp;0)&lt;5,IF(AND(COUNTIF(F$1237:F1448,1)&gt;7,MOD(1+IFERROR(MATCH($C846,总览!$D$46:$D$345,1)+1,1),7)=0),$C$3,0),0)</f>
        <v>1518.45240110022</v>
      </c>
      <c r="G846" s="131" cm="1">
        <f ca="1" t="array" ref="G846">IF(G1448=1,OFFSET($W$634,$B846,G$631-1)/SUMPRODUCT(--($D$631:$V$631=G$631),--($D1448:$V1448=1)),0)+SUM(G845)+IF(COUNTIF(G$1237:G1448,1)=1,5,0)+IF(COUNTIF(H846:$W846,"&gt;"&amp;0)&lt;5,IF(AND(COUNTIF(G$1237:G1448,1)&gt;7,MOD(1+IFERROR(MATCH($C846,总览!$D$46:$D$345,1)+1,1),7)=0),$C$3,0),0)</f>
        <v>646.066666666667</v>
      </c>
      <c r="H846" s="131" cm="1">
        <f ca="1" t="array" ref="H846">IF(H1448=1,OFFSET($W$634,$B846,H$631-1)/SUMPRODUCT(--($D$631:$V$631=H$631),--($D1448:$V1448=1)),0)+SUM(H845)+IF(COUNTIF(H$1237:H1448,1)=1,5,0)+IF(COUNTIF(I846:$W846,"&gt;"&amp;0)&lt;5,IF(AND(COUNTIF(H$1237:H1448,1)&gt;7,MOD(1+IFERROR(MATCH($C846,总览!$D$46:$D$345,1)+1,1),7)=0),$C$3,0),0)</f>
        <v>646.066666666667</v>
      </c>
      <c r="I846" s="131" cm="1">
        <f ca="1" t="array" ref="I846">IF(I1448=1,OFFSET($W$634,$B846,I$631-1)/SUMPRODUCT(--($D$631:$V$631=I$631),--($D1448:$V1448=1)),0)+SUM(I845)+IF(COUNTIF(I$1237:I1448,1)=1,5,0)+IF(COUNTIF(J846:$W846,"&gt;"&amp;0)&lt;5,IF(AND(COUNTIF(I$1237:I1448,1)&gt;7,MOD(1+IFERROR(MATCH($C846,总览!$D$46:$D$345,1)+1,1),7)=0),$C$3,0),0)</f>
        <v>646.066666666667</v>
      </c>
      <c r="J846" s="131" cm="1">
        <f ca="1" t="array" ref="J846">IF(J1448=1,OFFSET($W$634,$B846,J$631-1)/SUMPRODUCT(--($D$631:$V$631=J$631),--($D1448:$V1448=1)),0)+SUM(J845)+IF(COUNTIF(J$1237:J1448,1)=1,5,0)+IF(COUNTIF(K846:$W846,"&gt;"&amp;0)&lt;5,IF(AND(COUNTIF(J$1237:J1448,1)&gt;7,MOD(1+IFERROR(MATCH($C846,总览!$D$46:$D$345,1)+1,1),7)=0),$C$3,0),0)</f>
        <v>642.733333333333</v>
      </c>
      <c r="K846" s="131" cm="1">
        <f ca="1" t="array" ref="K846">IF(K1448=1,OFFSET($W$634,$B846,K$631-1)/SUMPRODUCT(--($D$631:$V$631=K$631),--($D1448:$V1448=1)),0)+SUM(K845)+IF(COUNTIF(K$1237:K1448,1)=1,5,0)+IF(COUNTIF(L846:$W846,"&gt;"&amp;0)&lt;5,IF(AND(COUNTIF(K$1237:K1448,1)&gt;7,MOD(1+IFERROR(MATCH($C846,总览!$D$46:$D$345,1)+1,1),7)=0),$C$3,0),0)</f>
        <v>640.233333333333</v>
      </c>
      <c r="L846" s="131" cm="1">
        <f ca="1" t="array" ref="L846">IF(L1448=1,OFFSET($W$634,$B846,L$631-1)/SUMPRODUCT(--($D$631:$V$631=L$631),--($D1448:$V1448=1)),0)+SUM(L845)+IF(COUNTIF(L$1237:L1448,1)=1,5,0)+IF(COUNTIF(M846:$W846,"&gt;"&amp;0)&lt;5,IF(AND(COUNTIF(L$1237:L1448,1)&gt;7,MOD(1+IFERROR(MATCH($C846,总览!$D$46:$D$345,1)+1,1),7)=0),$C$3,0),0)</f>
        <v>640.233333333333</v>
      </c>
      <c r="M846" s="131" cm="1">
        <f ca="1" t="array" ref="M846">IF(M1448=1,OFFSET($W$634,$B846,M$631-1)/SUMPRODUCT(--($D$631:$V$631=M$631),--($D1448:$V1448=1)),0)+SUM(M845)+IF(COUNTIF(M$1237:M1448,1)=1,5,0)+IF(COUNTIF(N846:$W846,"&gt;"&amp;0)&lt;5,IF(AND(COUNTIF(M$1237:M1448,1)&gt;7,MOD(1+IFERROR(MATCH($C846,总览!$D$46:$D$345,1)+1,1),7)=0),$C$3,0),0)</f>
        <v>260.60982142857</v>
      </c>
      <c r="N846" s="131" cm="1">
        <f ca="1" t="array" ref="N846">IF(N1448=1,OFFSET($W$634,$B846,N$631-1)/SUMPRODUCT(--($D$631:$V$631=N$631),--($D1448:$V1448=1)),0)+SUM(N845)+IF(COUNTIF(N$1237:N1448,1)=1,5,0)+IF(COUNTIF(O846:$W846,"&gt;"&amp;0)&lt;5,IF(AND(COUNTIF(N$1237:N1448,1)&gt;7,MOD(1+IFERROR(MATCH($C846,总览!$D$46:$D$345,1)+1,1),7)=0),$C$3,0),0)</f>
        <v>261.85982142857</v>
      </c>
      <c r="O846" s="131" cm="1">
        <f ca="1" t="array" ref="O846">IF(O1448=1,OFFSET($W$634,$B846,O$631-1)/SUMPRODUCT(--($D$631:$V$631=O$631),--($D1448:$V1448=1)),0)+SUM(O845)+IF(COUNTIF(O$1237:O1448,1)=1,5,0)+IF(COUNTIF(P846:$W846,"&gt;"&amp;0)&lt;5,IF(AND(COUNTIF(O$1237:O1448,1)&gt;7,MOD(1+IFERROR(MATCH($C846,总览!$D$46:$D$345,1)+1,1),7)=0),$C$3,0),0)</f>
        <v>266.85982142857</v>
      </c>
      <c r="P846" s="131" cm="1">
        <f ca="1" t="array" ref="P846">IF(P1448=1,OFFSET($W$634,$B846,P$631-1)/SUMPRODUCT(--($D$631:$V$631=P$631),--($D1448:$V1448=1)),0)+SUM(P845)+IF(COUNTIF(P$1237:P1448,1)=1,5,0)+IF(COUNTIF(Q846:$W846,"&gt;"&amp;0)&lt;5,IF(AND(COUNTIF(P$1237:P1448,1)&gt;7,MOD(1+IFERROR(MATCH($C846,总览!$D$46:$D$345,1)+1,1),7)=0),$C$3,0),0)</f>
        <v>255.97857142857</v>
      </c>
      <c r="Q846" s="131" cm="1">
        <f ca="1" t="array" ref="Q846">IF(Q1448=1,OFFSET($W$634,$B846,Q$631-1)/SUMPRODUCT(--($D$631:$V$631=Q$631),--($D1448:$V1448=1)),0)+SUM(Q845)+IF(COUNTIF(Q$1237:Q1448,1)=1,5,0)+IF(COUNTIF(R846:$W846,"&gt;"&amp;0)&lt;5,IF(AND(COUNTIF(Q$1237:Q1448,1)&gt;7,MOD(1+IFERROR(MATCH($C846,总览!$D$46:$D$345,1)+1,1),7)=0),$C$3,0),0)</f>
        <v>269.35982142857</v>
      </c>
      <c r="R846" s="131" cm="1">
        <f ca="1" t="array" ref="R846">IF(R1448=1,OFFSET($W$634,$B846,R$631-1)/SUMPRODUCT(--($D$631:$V$631=R$631),--($D1448:$V1448=1)),0)+SUM(R845)+IF(COUNTIF(R$1237:R1448,1)=1,5,0)+IF(COUNTIF(S846:$W846,"&gt;"&amp;0)&lt;5,IF(AND(COUNTIF(R$1237:R1448,1)&gt;7,MOD(1+IFERROR(MATCH($C846,总览!$D$46:$D$345,1)+1,1),7)=0),$C$3,0),0)</f>
        <v>260.97857142857</v>
      </c>
      <c r="S846" s="131" cm="1">
        <f ca="1" t="array" ref="S846">IF(S1448=1,OFFSET($W$634,$B846,S$631-1)/SUMPRODUCT(--($D$631:$V$631=S$631),--($D1448:$V1448=1)),0)+SUM(S845)+IF(COUNTIF(S$1237:S1448,1)=1,5,0)+IF(COUNTIF(T846:$W846,"&gt;"&amp;0)&lt;5,IF(AND(COUNTIF(S$1237:S1448,1)&gt;7,MOD(1+IFERROR(MATCH($C846,总览!$D$46:$D$345,1)+1,1),7)=0),$C$3,0),0)</f>
        <v>353.478571428571</v>
      </c>
      <c r="T846" s="131" cm="1">
        <f ca="1" t="array" ref="T846">IF(T1448=1,OFFSET($W$634,$B846,T$631-1)/SUMPRODUCT(--($D$631:$V$631=T$631),--($D1448:$V1448=1)),0)+SUM(T845)+IF(COUNTIF(T$1237:T1448,1)=1,5,0)+IF(COUNTIF(U846:$W846,"&gt;"&amp;0)&lt;5,IF(AND(COUNTIF(T$1237:T1448,1)&gt;7,MOD(1+IFERROR(MATCH($C846,总览!$D$46:$D$345,1)+1,1),7)=0),$C$3,0),0)</f>
        <v>257.749741425438</v>
      </c>
      <c r="U846" s="131" cm="1">
        <f ca="1" t="array" ref="U846">IF(U1448=1,OFFSET($W$634,$B846,U$631-1)/SUMPRODUCT(--($D$631:$V$631=U$631),--($D1448:$V1448=1)),0)+SUM(U845)+IF(COUNTIF(U$1237:U1448,1)=1,5,0)+IF(COUNTIF(V846:$W846,"&gt;"&amp;0)&lt;5,IF(AND(COUNTIF(U$1237:U1448,1)&gt;7,MOD(1+IFERROR(MATCH($C846,总览!$D$46:$D$345,1)+1,1),7)=0),$C$3,0),0)</f>
        <v>263.270527780737</v>
      </c>
      <c r="V846" s="131" cm="1">
        <f ca="1" t="array" ref="V846">IF(V1448=1,OFFSET($W$634,$B846,V$631-1)/SUMPRODUCT(--($D$631:$V$631=V$631),--($D1448:$V1448=1)),0)+SUM(V845)+IF(COUNTIF(V$1237:V1448,1)=1,5,0)+IF(COUNTIF(W846:$W846,"&gt;"&amp;0)&lt;5,IF(AND(COUNTIF(V$1237:V1448,1)&gt;7,MOD(1+IFERROR(MATCH($C846,总览!$D$46:$D$345,1)+1,1),7)=0),$C$3,0),0)</f>
        <v>283.09752749317</v>
      </c>
      <c r="W846" s="135" cm="1">
        <f ca="1" t="array" ref="W846">SUMPRODUCT(TRANSPOSE($AA846:$AG846),OFFSET($L$9:$L$15,0,W$631-1))</f>
        <v>16.8502200646615</v>
      </c>
      <c r="X846" s="135" cm="1">
        <f ca="1" t="array" ref="X846">SUMPRODUCT(TRANSPOSE($AA846:$AG846),OFFSET($L$9:$L$15,0,X$631-1))</f>
        <v>20</v>
      </c>
      <c r="Y846" s="135" cm="1">
        <f ca="1" t="array" ref="Y846">SUMPRODUCT(TRANSPOSE($AA846:$AG846),OFFSET($L$9:$L$15,0,Y$631-1))</f>
        <v>10</v>
      </c>
      <c r="Z846" s="135" cm="1">
        <f ca="1" t="array" ref="Z846">SUMPRODUCT(TRANSPOSE($AA846:$AG846),OFFSET($L$9:$L$15,0,Z$631-1))</f>
        <v>3.14977993533847</v>
      </c>
      <c r="AA846" s="136">
        <f ca="1" t="shared" ref="AA846:AG846" si="669">AH846-AH845</f>
        <v>0</v>
      </c>
      <c r="AB846" s="136">
        <f ca="1" t="shared" si="669"/>
        <v>0</v>
      </c>
      <c r="AC846" s="136">
        <f ca="1" t="shared" si="669"/>
        <v>0</v>
      </c>
      <c r="AD846" s="136">
        <f ca="1" t="shared" si="669"/>
        <v>0</v>
      </c>
      <c r="AE846" s="136">
        <f ca="1" t="shared" si="669"/>
        <v>0</v>
      </c>
      <c r="AF846" s="136">
        <f ca="1" t="shared" si="669"/>
        <v>0</v>
      </c>
      <c r="AG846" s="136">
        <f ca="1" t="shared" si="669"/>
        <v>100</v>
      </c>
      <c r="AH846" s="136">
        <f ca="1" t="shared" si="631"/>
        <v>450</v>
      </c>
      <c r="AI846" s="136">
        <f ca="1" t="shared" ref="AI846:AN846" si="670">IF($C846&gt;OFFSET($Q$8,MATCH(AI$634,$AH$634:$AN$634,0),0),OFFSET($P$8,MATCH(AI$634,$AH$634:$AN$634,0),0),MAX(0,$C846-OFFSET($Q$8,RIGHT(AI$634,1)-1,0)))</f>
        <v>909</v>
      </c>
      <c r="AJ846" s="136">
        <f ca="1" t="shared" si="670"/>
        <v>1818</v>
      </c>
      <c r="AK846" s="136">
        <f ca="1" t="shared" si="670"/>
        <v>2727</v>
      </c>
      <c r="AL846" s="136">
        <f ca="1" t="shared" si="670"/>
        <v>3636</v>
      </c>
      <c r="AM846" s="136">
        <f ca="1" t="shared" si="670"/>
        <v>4545</v>
      </c>
      <c r="AN846" s="136">
        <f ca="1" t="shared" si="670"/>
        <v>7115</v>
      </c>
    </row>
    <row r="847" s="106" customFormat="1" ht="16.5" spans="2:40">
      <c r="B847" s="117">
        <v>213</v>
      </c>
      <c r="C847" s="130">
        <f t="shared" si="629"/>
        <v>21300</v>
      </c>
      <c r="D847" s="131" cm="1">
        <f ca="1" t="array" ref="D847">IF(D1449=1,OFFSET($W$634,$B847,D$631-1)/SUMPRODUCT(--($D$631:$V$631=D$631),--($D1449:$V1449=1)),0)+SUM(D846)+IF(COUNTIF(D$1237:D1449,1)=1,5,0)+IF(COUNTIF(E847:$W847,"&gt;"&amp;0)&lt;5,IF(AND(COUNTIF(D$1237:D1449,1)&gt;7,MOD(1+IFERROR(MATCH($C847,总览!$D$46:$D$345,1)+1,1),7)=0),$C$3,0),0)</f>
        <v>1524.06914112177</v>
      </c>
      <c r="E847" s="131" cm="1">
        <f ca="1" t="array" ref="E847">IF(E1449=1,OFFSET($W$634,$B847,E$631-1)/SUMPRODUCT(--($D$631:$V$631=E$631),--($D1449:$V1449=1)),0)+SUM(E846)+IF(COUNTIF(E$1237:E1449,1)=1,5,0)+IF(COUNTIF(F847:$W847,"&gt;"&amp;0)&lt;5,IF(AND(COUNTIF(E$1237:E1449,1)&gt;7,MOD(1+IFERROR(MATCH($C847,总览!$D$46:$D$345,1)+1,1),7)=0),$C$3,0),0)</f>
        <v>1524.06914112177</v>
      </c>
      <c r="F847" s="131" cm="1">
        <f ca="1" t="array" ref="F847">IF(F1449=1,OFFSET($W$634,$B847,F$631-1)/SUMPRODUCT(--($D$631:$V$631=F$631),--($D1449:$V1449=1)),0)+SUM(F846)+IF(COUNTIF(F$1237:F1449,1)=1,5,0)+IF(COUNTIF(G847:$W847,"&gt;"&amp;0)&lt;5,IF(AND(COUNTIF(F$1237:F1449,1)&gt;7,MOD(1+IFERROR(MATCH($C847,总览!$D$46:$D$345,1)+1,1),7)=0),$C$3,0),0)</f>
        <v>1524.06914112177</v>
      </c>
      <c r="G847" s="131" cm="1">
        <f ca="1" t="array" ref="G847">IF(G1449=1,OFFSET($W$634,$B847,G$631-1)/SUMPRODUCT(--($D$631:$V$631=G$631),--($D1449:$V1449=1)),0)+SUM(G846)+IF(COUNTIF(G$1237:G1449,1)=1,5,0)+IF(COUNTIF(H847:$W847,"&gt;"&amp;0)&lt;5,IF(AND(COUNTIF(G$1237:G1449,1)&gt;7,MOD(1+IFERROR(MATCH($C847,总览!$D$46:$D$345,1)+1,1),7)=0),$C$3,0),0)</f>
        <v>649.4</v>
      </c>
      <c r="H847" s="131" cm="1">
        <f ca="1" t="array" ref="H847">IF(H1449=1,OFFSET($W$634,$B847,H$631-1)/SUMPRODUCT(--($D$631:$V$631=H$631),--($D1449:$V1449=1)),0)+SUM(H846)+IF(COUNTIF(H$1237:H1449,1)=1,5,0)+IF(COUNTIF(I847:$W847,"&gt;"&amp;0)&lt;5,IF(AND(COUNTIF(H$1237:H1449,1)&gt;7,MOD(1+IFERROR(MATCH($C847,总览!$D$46:$D$345,1)+1,1),7)=0),$C$3,0),0)</f>
        <v>649.4</v>
      </c>
      <c r="I847" s="131" cm="1">
        <f ca="1" t="array" ref="I847">IF(I1449=1,OFFSET($W$634,$B847,I$631-1)/SUMPRODUCT(--($D$631:$V$631=I$631),--($D1449:$V1449=1)),0)+SUM(I846)+IF(COUNTIF(I$1237:I1449,1)=1,5,0)+IF(COUNTIF(J847:$W847,"&gt;"&amp;0)&lt;5,IF(AND(COUNTIF(I$1237:I1449,1)&gt;7,MOD(1+IFERROR(MATCH($C847,总览!$D$46:$D$345,1)+1,1),7)=0),$C$3,0),0)</f>
        <v>649.4</v>
      </c>
      <c r="J847" s="131" cm="1">
        <f ca="1" t="array" ref="J847">IF(J1449=1,OFFSET($W$634,$B847,J$631-1)/SUMPRODUCT(--($D$631:$V$631=J$631),--($D1449:$V1449=1)),0)+SUM(J846)+IF(COUNTIF(J$1237:J1449,1)=1,5,0)+IF(COUNTIF(K847:$W847,"&gt;"&amp;0)&lt;5,IF(AND(COUNTIF(J$1237:J1449,1)&gt;7,MOD(1+IFERROR(MATCH($C847,总览!$D$46:$D$345,1)+1,1),7)=0),$C$3,0),0)</f>
        <v>646.066666666667</v>
      </c>
      <c r="K847" s="131" cm="1">
        <f ca="1" t="array" ref="K847">IF(K1449=1,OFFSET($W$634,$B847,K$631-1)/SUMPRODUCT(--($D$631:$V$631=K$631),--($D1449:$V1449=1)),0)+SUM(K846)+IF(COUNTIF(K$1237:K1449,1)=1,5,0)+IF(COUNTIF(L847:$W847,"&gt;"&amp;0)&lt;5,IF(AND(COUNTIF(K$1237:K1449,1)&gt;7,MOD(1+IFERROR(MATCH($C847,总览!$D$46:$D$345,1)+1,1),7)=0),$C$3,0),0)</f>
        <v>643.566666666667</v>
      </c>
      <c r="L847" s="131" cm="1">
        <f ca="1" t="array" ref="L847">IF(L1449=1,OFFSET($W$634,$B847,L$631-1)/SUMPRODUCT(--($D$631:$V$631=L$631),--($D1449:$V1449=1)),0)+SUM(L846)+IF(COUNTIF(L$1237:L1449,1)=1,5,0)+IF(COUNTIF(M847:$W847,"&gt;"&amp;0)&lt;5,IF(AND(COUNTIF(L$1237:L1449,1)&gt;7,MOD(1+IFERROR(MATCH($C847,总览!$D$46:$D$345,1)+1,1),7)=0),$C$3,0),0)</f>
        <v>643.566666666667</v>
      </c>
      <c r="M847" s="131" cm="1">
        <f ca="1" t="array" ref="M847">IF(M1449=1,OFFSET($W$634,$B847,M$631-1)/SUMPRODUCT(--($D$631:$V$631=M$631),--($D1449:$V1449=1)),0)+SUM(M846)+IF(COUNTIF(M$1237:M1449,1)=1,5,0)+IF(COUNTIF(N847:$W847,"&gt;"&amp;0)&lt;5,IF(AND(COUNTIF(M$1237:M1449,1)&gt;7,MOD(1+IFERROR(MATCH($C847,总览!$D$46:$D$345,1)+1,1),7)=0),$C$3,0),0)</f>
        <v>262.038392857142</v>
      </c>
      <c r="N847" s="131" cm="1">
        <f ca="1" t="array" ref="N847">IF(N1449=1,OFFSET($W$634,$B847,N$631-1)/SUMPRODUCT(--($D$631:$V$631=N$631),--($D1449:$V1449=1)),0)+SUM(N846)+IF(COUNTIF(N$1237:N1449,1)=1,5,0)+IF(COUNTIF(O847:$W847,"&gt;"&amp;0)&lt;5,IF(AND(COUNTIF(N$1237:N1449,1)&gt;7,MOD(1+IFERROR(MATCH($C847,总览!$D$46:$D$345,1)+1,1),7)=0),$C$3,0),0)</f>
        <v>263.288392857142</v>
      </c>
      <c r="O847" s="131" cm="1">
        <f ca="1" t="array" ref="O847">IF(O1449=1,OFFSET($W$634,$B847,O$631-1)/SUMPRODUCT(--($D$631:$V$631=O$631),--($D1449:$V1449=1)),0)+SUM(O846)+IF(COUNTIF(O$1237:O1449,1)=1,5,0)+IF(COUNTIF(P847:$W847,"&gt;"&amp;0)&lt;5,IF(AND(COUNTIF(O$1237:O1449,1)&gt;7,MOD(1+IFERROR(MATCH($C847,总览!$D$46:$D$345,1)+1,1),7)=0),$C$3,0),0)</f>
        <v>268.288392857142</v>
      </c>
      <c r="P847" s="131" cm="1">
        <f ca="1" t="array" ref="P847">IF(P1449=1,OFFSET($W$634,$B847,P$631-1)/SUMPRODUCT(--($D$631:$V$631=P$631),--($D1449:$V1449=1)),0)+SUM(P846)+IF(COUNTIF(P$1237:P1449,1)=1,5,0)+IF(COUNTIF(Q847:$W847,"&gt;"&amp;0)&lt;5,IF(AND(COUNTIF(P$1237:P1449,1)&gt;7,MOD(1+IFERROR(MATCH($C847,总览!$D$46:$D$345,1)+1,1),7)=0),$C$3,0),0)</f>
        <v>257.407142857142</v>
      </c>
      <c r="Q847" s="131" cm="1">
        <f ca="1" t="array" ref="Q847">IF(Q1449=1,OFFSET($W$634,$B847,Q$631-1)/SUMPRODUCT(--($D$631:$V$631=Q$631),--($D1449:$V1449=1)),0)+SUM(Q846)+IF(COUNTIF(Q$1237:Q1449,1)=1,5,0)+IF(COUNTIF(R847:$W847,"&gt;"&amp;0)&lt;5,IF(AND(COUNTIF(Q$1237:Q1449,1)&gt;7,MOD(1+IFERROR(MATCH($C847,总览!$D$46:$D$345,1)+1,1),7)=0),$C$3,0),0)</f>
        <v>270.788392857142</v>
      </c>
      <c r="R847" s="131" cm="1">
        <f ca="1" t="array" ref="R847">IF(R1449=1,OFFSET($W$634,$B847,R$631-1)/SUMPRODUCT(--($D$631:$V$631=R$631),--($D1449:$V1449=1)),0)+SUM(R846)+IF(COUNTIF(R$1237:R1449,1)=1,5,0)+IF(COUNTIF(S847:$W847,"&gt;"&amp;0)&lt;5,IF(AND(COUNTIF(R$1237:R1449,1)&gt;7,MOD(1+IFERROR(MATCH($C847,总览!$D$46:$D$345,1)+1,1),7)=0),$C$3,0),0)</f>
        <v>262.407142857142</v>
      </c>
      <c r="S847" s="131" cm="1">
        <f ca="1" t="array" ref="S847">IF(S1449=1,OFFSET($W$634,$B847,S$631-1)/SUMPRODUCT(--($D$631:$V$631=S$631),--($D1449:$V1449=1)),0)+SUM(S846)+IF(COUNTIF(S$1237:S1449,1)=1,5,0)+IF(COUNTIF(T847:$W847,"&gt;"&amp;0)&lt;5,IF(AND(COUNTIF(S$1237:S1449,1)&gt;7,MOD(1+IFERROR(MATCH($C847,总览!$D$46:$D$345,1)+1,1),7)=0),$C$3,0),0)</f>
        <v>354.907142857143</v>
      </c>
      <c r="T847" s="131" cm="1">
        <f ca="1" t="array" ref="T847">IF(T1449=1,OFFSET($W$634,$B847,T$631-1)/SUMPRODUCT(--($D$631:$V$631=T$631),--($D1449:$V1449=1)),0)+SUM(T846)+IF(COUNTIF(T$1237:T1449,1)=1,5,0)+IF(COUNTIF(U847:$W847,"&gt;"&amp;0)&lt;5,IF(AND(COUNTIF(T$1237:T1449,1)&gt;7,MOD(1+IFERROR(MATCH($C847,总览!$D$46:$D$345,1)+1,1),7)=0),$C$3,0),0)</f>
        <v>258.79966807055</v>
      </c>
      <c r="U847" s="131" cm="1">
        <f ca="1" t="array" ref="U847">IF(U1449=1,OFFSET($W$634,$B847,U$631-1)/SUMPRODUCT(--($D$631:$V$631=U$631),--($D1449:$V1449=1)),0)+SUM(U846)+IF(COUNTIF(U$1237:U1449,1)=1,5,0)+IF(COUNTIF(V847:$W847,"&gt;"&amp;0)&lt;5,IF(AND(COUNTIF(U$1237:U1449,1)&gt;7,MOD(1+IFERROR(MATCH($C847,总览!$D$46:$D$345,1)+1,1),7)=0),$C$3,0),0)</f>
        <v>264.32045442585</v>
      </c>
      <c r="V847" s="131" cm="1">
        <f ca="1" t="array" ref="V847">IF(V1449=1,OFFSET($W$634,$B847,V$631-1)/SUMPRODUCT(--($D$631:$V$631=V$631),--($D1449:$V1449=1)),0)+SUM(V846)+IF(COUNTIF(V$1237:V1449,1)=1,5,0)+IF(COUNTIF(W847:$W847,"&gt;"&amp;0)&lt;5,IF(AND(COUNTIF(V$1237:V1449,1)&gt;7,MOD(1+IFERROR(MATCH($C847,总览!$D$46:$D$345,1)+1,1),7)=0),$C$3,0),0)</f>
        <v>284.147454138283</v>
      </c>
      <c r="W847" s="135" cm="1">
        <f ca="1" t="array" ref="W847">SUMPRODUCT(TRANSPOSE($AA847:$AG847),OFFSET($L$9:$L$15,0,W$631-1))</f>
        <v>16.8502200646615</v>
      </c>
      <c r="X847" s="135" cm="1">
        <f ca="1" t="array" ref="X847">SUMPRODUCT(TRANSPOSE($AA847:$AG847),OFFSET($L$9:$L$15,0,X$631-1))</f>
        <v>20</v>
      </c>
      <c r="Y847" s="135" cm="1">
        <f ca="1" t="array" ref="Y847">SUMPRODUCT(TRANSPOSE($AA847:$AG847),OFFSET($L$9:$L$15,0,Y$631-1))</f>
        <v>10</v>
      </c>
      <c r="Z847" s="135" cm="1">
        <f ca="1" t="array" ref="Z847">SUMPRODUCT(TRANSPOSE($AA847:$AG847),OFFSET($L$9:$L$15,0,Z$631-1))</f>
        <v>3.14977993533847</v>
      </c>
      <c r="AA847" s="136">
        <f ca="1" t="shared" ref="AA847:AG847" si="671">AH847-AH846</f>
        <v>0</v>
      </c>
      <c r="AB847" s="136">
        <f ca="1" t="shared" si="671"/>
        <v>0</v>
      </c>
      <c r="AC847" s="136">
        <f ca="1" t="shared" si="671"/>
        <v>0</v>
      </c>
      <c r="AD847" s="136">
        <f ca="1" t="shared" si="671"/>
        <v>0</v>
      </c>
      <c r="AE847" s="136">
        <f ca="1" t="shared" si="671"/>
        <v>0</v>
      </c>
      <c r="AF847" s="136">
        <f ca="1" t="shared" si="671"/>
        <v>0</v>
      </c>
      <c r="AG847" s="136">
        <f ca="1" t="shared" si="671"/>
        <v>100</v>
      </c>
      <c r="AH847" s="136">
        <f ca="1" t="shared" si="631"/>
        <v>450</v>
      </c>
      <c r="AI847" s="136">
        <f ca="1" t="shared" ref="AI847:AN847" si="672">IF($C847&gt;OFFSET($Q$8,MATCH(AI$634,$AH$634:$AN$634,0),0),OFFSET($P$8,MATCH(AI$634,$AH$634:$AN$634,0),0),MAX(0,$C847-OFFSET($Q$8,RIGHT(AI$634,1)-1,0)))</f>
        <v>909</v>
      </c>
      <c r="AJ847" s="136">
        <f ca="1" t="shared" si="672"/>
        <v>1818</v>
      </c>
      <c r="AK847" s="136">
        <f ca="1" t="shared" si="672"/>
        <v>2727</v>
      </c>
      <c r="AL847" s="136">
        <f ca="1" t="shared" si="672"/>
        <v>3636</v>
      </c>
      <c r="AM847" s="136">
        <f ca="1" t="shared" si="672"/>
        <v>4545</v>
      </c>
      <c r="AN847" s="136">
        <f ca="1" t="shared" si="672"/>
        <v>7215</v>
      </c>
    </row>
    <row r="848" s="106" customFormat="1" ht="16.5" spans="2:40">
      <c r="B848" s="117">
        <v>214</v>
      </c>
      <c r="C848" s="130">
        <f t="shared" si="629"/>
        <v>21400</v>
      </c>
      <c r="D848" s="131" cm="1">
        <f ca="1" t="array" ref="D848">IF(D1450=1,OFFSET($W$634,$B848,D$631-1)/SUMPRODUCT(--($D$631:$V$631=D$631),--($D1450:$V1450=1)),0)+SUM(D847)+IF(COUNTIF(D$1237:D1450,1)=1,5,0)+IF(COUNTIF(E848:$W848,"&gt;"&amp;0)&lt;5,IF(AND(COUNTIF(D$1237:D1450,1)&gt;7,MOD(1+IFERROR(MATCH($C848,总览!$D$46:$D$345,1)+1,1),7)=0),$C$3,0),0)</f>
        <v>1529.68588114332</v>
      </c>
      <c r="E848" s="131" cm="1">
        <f ca="1" t="array" ref="E848">IF(E1450=1,OFFSET($W$634,$B848,E$631-1)/SUMPRODUCT(--($D$631:$V$631=E$631),--($D1450:$V1450=1)),0)+SUM(E847)+IF(COUNTIF(E$1237:E1450,1)=1,5,0)+IF(COUNTIF(F848:$W848,"&gt;"&amp;0)&lt;5,IF(AND(COUNTIF(E$1237:E1450,1)&gt;7,MOD(1+IFERROR(MATCH($C848,总览!$D$46:$D$345,1)+1,1),7)=0),$C$3,0),0)</f>
        <v>1529.68588114332</v>
      </c>
      <c r="F848" s="131" cm="1">
        <f ca="1" t="array" ref="F848">IF(F1450=1,OFFSET($W$634,$B848,F$631-1)/SUMPRODUCT(--($D$631:$V$631=F$631),--($D1450:$V1450=1)),0)+SUM(F847)+IF(COUNTIF(F$1237:F1450,1)=1,5,0)+IF(COUNTIF(G848:$W848,"&gt;"&amp;0)&lt;5,IF(AND(COUNTIF(F$1237:F1450,1)&gt;7,MOD(1+IFERROR(MATCH($C848,总览!$D$46:$D$345,1)+1,1),7)=0),$C$3,0),0)</f>
        <v>1529.68588114332</v>
      </c>
      <c r="G848" s="131" cm="1">
        <f ca="1" t="array" ref="G848">IF(G1450=1,OFFSET($W$634,$B848,G$631-1)/SUMPRODUCT(--($D$631:$V$631=G$631),--($D1450:$V1450=1)),0)+SUM(G847)+IF(COUNTIF(G$1237:G1450,1)=1,5,0)+IF(COUNTIF(H848:$W848,"&gt;"&amp;0)&lt;5,IF(AND(COUNTIF(G$1237:G1450,1)&gt;7,MOD(1+IFERROR(MATCH($C848,总览!$D$46:$D$345,1)+1,1),7)=0),$C$3,0),0)</f>
        <v>652.733333333334</v>
      </c>
      <c r="H848" s="131" cm="1">
        <f ca="1" t="array" ref="H848">IF(H1450=1,OFFSET($W$634,$B848,H$631-1)/SUMPRODUCT(--($D$631:$V$631=H$631),--($D1450:$V1450=1)),0)+SUM(H847)+IF(COUNTIF(H$1237:H1450,1)=1,5,0)+IF(COUNTIF(I848:$W848,"&gt;"&amp;0)&lt;5,IF(AND(COUNTIF(H$1237:H1450,1)&gt;7,MOD(1+IFERROR(MATCH($C848,总览!$D$46:$D$345,1)+1,1),7)=0),$C$3,0),0)</f>
        <v>652.733333333334</v>
      </c>
      <c r="I848" s="131" cm="1">
        <f ca="1" t="array" ref="I848">IF(I1450=1,OFFSET($W$634,$B848,I$631-1)/SUMPRODUCT(--($D$631:$V$631=I$631),--($D1450:$V1450=1)),0)+SUM(I847)+IF(COUNTIF(I$1237:I1450,1)=1,5,0)+IF(COUNTIF(J848:$W848,"&gt;"&amp;0)&lt;5,IF(AND(COUNTIF(I$1237:I1450,1)&gt;7,MOD(1+IFERROR(MATCH($C848,总览!$D$46:$D$345,1)+1,1),7)=0),$C$3,0),0)</f>
        <v>652.733333333334</v>
      </c>
      <c r="J848" s="131" cm="1">
        <f ca="1" t="array" ref="J848">IF(J1450=1,OFFSET($W$634,$B848,J$631-1)/SUMPRODUCT(--($D$631:$V$631=J$631),--($D1450:$V1450=1)),0)+SUM(J847)+IF(COUNTIF(J$1237:J1450,1)=1,5,0)+IF(COUNTIF(K848:$W848,"&gt;"&amp;0)&lt;5,IF(AND(COUNTIF(J$1237:J1450,1)&gt;7,MOD(1+IFERROR(MATCH($C848,总览!$D$46:$D$345,1)+1,1),7)=0),$C$3,0),0)</f>
        <v>649.4</v>
      </c>
      <c r="K848" s="131" cm="1">
        <f ca="1" t="array" ref="K848">IF(K1450=1,OFFSET($W$634,$B848,K$631-1)/SUMPRODUCT(--($D$631:$V$631=K$631),--($D1450:$V1450=1)),0)+SUM(K847)+IF(COUNTIF(K$1237:K1450,1)=1,5,0)+IF(COUNTIF(L848:$W848,"&gt;"&amp;0)&lt;5,IF(AND(COUNTIF(K$1237:K1450,1)&gt;7,MOD(1+IFERROR(MATCH($C848,总览!$D$46:$D$345,1)+1,1),7)=0),$C$3,0),0)</f>
        <v>646.9</v>
      </c>
      <c r="L848" s="131" cm="1">
        <f ca="1" t="array" ref="L848">IF(L1450=1,OFFSET($W$634,$B848,L$631-1)/SUMPRODUCT(--($D$631:$V$631=L$631),--($D1450:$V1450=1)),0)+SUM(L847)+IF(COUNTIF(L$1237:L1450,1)=1,5,0)+IF(COUNTIF(M848:$W848,"&gt;"&amp;0)&lt;5,IF(AND(COUNTIF(L$1237:L1450,1)&gt;7,MOD(1+IFERROR(MATCH($C848,总览!$D$46:$D$345,1)+1,1),7)=0),$C$3,0),0)</f>
        <v>646.9</v>
      </c>
      <c r="M848" s="131" cm="1">
        <f ca="1" t="array" ref="M848">IF(M1450=1,OFFSET($W$634,$B848,M$631-1)/SUMPRODUCT(--($D$631:$V$631=M$631),--($D1450:$V1450=1)),0)+SUM(M847)+IF(COUNTIF(M$1237:M1450,1)=1,5,0)+IF(COUNTIF(N848:$W848,"&gt;"&amp;0)&lt;5,IF(AND(COUNTIF(M$1237:M1450,1)&gt;7,MOD(1+IFERROR(MATCH($C848,总览!$D$46:$D$345,1)+1,1),7)=0),$C$3,0),0)</f>
        <v>263.466964285713</v>
      </c>
      <c r="N848" s="131" cm="1">
        <f ca="1" t="array" ref="N848">IF(N1450=1,OFFSET($W$634,$B848,N$631-1)/SUMPRODUCT(--($D$631:$V$631=N$631),--($D1450:$V1450=1)),0)+SUM(N847)+IF(COUNTIF(N$1237:N1450,1)=1,5,0)+IF(COUNTIF(O848:$W848,"&gt;"&amp;0)&lt;5,IF(AND(COUNTIF(N$1237:N1450,1)&gt;7,MOD(1+IFERROR(MATCH($C848,总览!$D$46:$D$345,1)+1,1),7)=0),$C$3,0),0)</f>
        <v>264.716964285713</v>
      </c>
      <c r="O848" s="131" cm="1">
        <f ca="1" t="array" ref="O848">IF(O1450=1,OFFSET($W$634,$B848,O$631-1)/SUMPRODUCT(--($D$631:$V$631=O$631),--($D1450:$V1450=1)),0)+SUM(O847)+IF(COUNTIF(O$1237:O1450,1)=1,5,0)+IF(COUNTIF(P848:$W848,"&gt;"&amp;0)&lt;5,IF(AND(COUNTIF(O$1237:O1450,1)&gt;7,MOD(1+IFERROR(MATCH($C848,总览!$D$46:$D$345,1)+1,1),7)=0),$C$3,0),0)</f>
        <v>269.716964285713</v>
      </c>
      <c r="P848" s="131" cm="1">
        <f ca="1" t="array" ref="P848">IF(P1450=1,OFFSET($W$634,$B848,P$631-1)/SUMPRODUCT(--($D$631:$V$631=P$631),--($D1450:$V1450=1)),0)+SUM(P847)+IF(COUNTIF(P$1237:P1450,1)=1,5,0)+IF(COUNTIF(Q848:$W848,"&gt;"&amp;0)&lt;5,IF(AND(COUNTIF(P$1237:P1450,1)&gt;7,MOD(1+IFERROR(MATCH($C848,总览!$D$46:$D$345,1)+1,1),7)=0),$C$3,0),0)</f>
        <v>258.835714285713</v>
      </c>
      <c r="Q848" s="131" cm="1">
        <f ca="1" t="array" ref="Q848">IF(Q1450=1,OFFSET($W$634,$B848,Q$631-1)/SUMPRODUCT(--($D$631:$V$631=Q$631),--($D1450:$V1450=1)),0)+SUM(Q847)+IF(COUNTIF(Q$1237:Q1450,1)=1,5,0)+IF(COUNTIF(R848:$W848,"&gt;"&amp;0)&lt;5,IF(AND(COUNTIF(Q$1237:Q1450,1)&gt;7,MOD(1+IFERROR(MATCH($C848,总览!$D$46:$D$345,1)+1,1),7)=0),$C$3,0),0)</f>
        <v>272.216964285713</v>
      </c>
      <c r="R848" s="131" cm="1">
        <f ca="1" t="array" ref="R848">IF(R1450=1,OFFSET($W$634,$B848,R$631-1)/SUMPRODUCT(--($D$631:$V$631=R$631),--($D1450:$V1450=1)),0)+SUM(R847)+IF(COUNTIF(R$1237:R1450,1)=1,5,0)+IF(COUNTIF(S848:$W848,"&gt;"&amp;0)&lt;5,IF(AND(COUNTIF(R$1237:R1450,1)&gt;7,MOD(1+IFERROR(MATCH($C848,总览!$D$46:$D$345,1)+1,1),7)=0),$C$3,0),0)</f>
        <v>263.835714285713</v>
      </c>
      <c r="S848" s="131" cm="1">
        <f ca="1" t="array" ref="S848">IF(S1450=1,OFFSET($W$634,$B848,S$631-1)/SUMPRODUCT(--($D$631:$V$631=S$631),--($D1450:$V1450=1)),0)+SUM(S847)+IF(COUNTIF(S$1237:S1450,1)=1,5,0)+IF(COUNTIF(T848:$W848,"&gt;"&amp;0)&lt;5,IF(AND(COUNTIF(S$1237:S1450,1)&gt;7,MOD(1+IFERROR(MATCH($C848,总览!$D$46:$D$345,1)+1,1),7)=0),$C$3,0),0)</f>
        <v>356.335714285714</v>
      </c>
      <c r="T848" s="131" cm="1">
        <f ca="1" t="array" ref="T848">IF(T1450=1,OFFSET($W$634,$B848,T$631-1)/SUMPRODUCT(--($D$631:$V$631=T$631),--($D1450:$V1450=1)),0)+SUM(T847)+IF(COUNTIF(T$1237:T1450,1)=1,5,0)+IF(COUNTIF(U848:$W848,"&gt;"&amp;0)&lt;5,IF(AND(COUNTIF(T$1237:T1450,1)&gt;7,MOD(1+IFERROR(MATCH($C848,总览!$D$46:$D$345,1)+1,1),7)=0),$C$3,0),0)</f>
        <v>259.849594715663</v>
      </c>
      <c r="U848" s="131" cm="1">
        <f ca="1" t="array" ref="U848">IF(U1450=1,OFFSET($W$634,$B848,U$631-1)/SUMPRODUCT(--($D$631:$V$631=U$631),--($D1450:$V1450=1)),0)+SUM(U847)+IF(COUNTIF(U$1237:U1450,1)=1,5,0)+IF(COUNTIF(V848:$W848,"&gt;"&amp;0)&lt;5,IF(AND(COUNTIF(U$1237:U1450,1)&gt;7,MOD(1+IFERROR(MATCH($C848,总览!$D$46:$D$345,1)+1,1),7)=0),$C$3,0),0)</f>
        <v>265.370381070963</v>
      </c>
      <c r="V848" s="131" cm="1">
        <f ca="1" t="array" ref="V848">IF(V1450=1,OFFSET($W$634,$B848,V$631-1)/SUMPRODUCT(--($D$631:$V$631=V$631),--($D1450:$V1450=1)),0)+SUM(V847)+IF(COUNTIF(V$1237:V1450,1)=1,5,0)+IF(COUNTIF(W848:$W848,"&gt;"&amp;0)&lt;5,IF(AND(COUNTIF(V$1237:V1450,1)&gt;7,MOD(1+IFERROR(MATCH($C848,总览!$D$46:$D$345,1)+1,1),7)=0),$C$3,0),0)</f>
        <v>285.197380783396</v>
      </c>
      <c r="W848" s="135" cm="1">
        <f ca="1" t="array" ref="W848">SUMPRODUCT(TRANSPOSE($AA848:$AG848),OFFSET($L$9:$L$15,0,W$631-1))</f>
        <v>16.8502200646615</v>
      </c>
      <c r="X848" s="135" cm="1">
        <f ca="1" t="array" ref="X848">SUMPRODUCT(TRANSPOSE($AA848:$AG848),OFFSET($L$9:$L$15,0,X$631-1))</f>
        <v>20</v>
      </c>
      <c r="Y848" s="135" cm="1">
        <f ca="1" t="array" ref="Y848">SUMPRODUCT(TRANSPOSE($AA848:$AG848),OFFSET($L$9:$L$15,0,Y$631-1))</f>
        <v>10</v>
      </c>
      <c r="Z848" s="135" cm="1">
        <f ca="1" t="array" ref="Z848">SUMPRODUCT(TRANSPOSE($AA848:$AG848),OFFSET($L$9:$L$15,0,Z$631-1))</f>
        <v>3.14977993533847</v>
      </c>
      <c r="AA848" s="136">
        <f ca="1" t="shared" ref="AA848:AG848" si="673">AH848-AH847</f>
        <v>0</v>
      </c>
      <c r="AB848" s="136">
        <f ca="1" t="shared" si="673"/>
        <v>0</v>
      </c>
      <c r="AC848" s="136">
        <f ca="1" t="shared" si="673"/>
        <v>0</v>
      </c>
      <c r="AD848" s="136">
        <f ca="1" t="shared" si="673"/>
        <v>0</v>
      </c>
      <c r="AE848" s="136">
        <f ca="1" t="shared" si="673"/>
        <v>0</v>
      </c>
      <c r="AF848" s="136">
        <f ca="1" t="shared" si="673"/>
        <v>0</v>
      </c>
      <c r="AG848" s="136">
        <f ca="1" t="shared" si="673"/>
        <v>100</v>
      </c>
      <c r="AH848" s="136">
        <f ca="1" t="shared" si="631"/>
        <v>450</v>
      </c>
      <c r="AI848" s="136">
        <f ca="1" t="shared" ref="AI848:AN848" si="674">IF($C848&gt;OFFSET($Q$8,MATCH(AI$634,$AH$634:$AN$634,0),0),OFFSET($P$8,MATCH(AI$634,$AH$634:$AN$634,0),0),MAX(0,$C848-OFFSET($Q$8,RIGHT(AI$634,1)-1,0)))</f>
        <v>909</v>
      </c>
      <c r="AJ848" s="136">
        <f ca="1" t="shared" si="674"/>
        <v>1818</v>
      </c>
      <c r="AK848" s="136">
        <f ca="1" t="shared" si="674"/>
        <v>2727</v>
      </c>
      <c r="AL848" s="136">
        <f ca="1" t="shared" si="674"/>
        <v>3636</v>
      </c>
      <c r="AM848" s="136">
        <f ca="1" t="shared" si="674"/>
        <v>4545</v>
      </c>
      <c r="AN848" s="136">
        <f ca="1" t="shared" si="674"/>
        <v>7315</v>
      </c>
    </row>
    <row r="849" s="106" customFormat="1" ht="16.5" spans="2:40">
      <c r="B849" s="117">
        <v>215</v>
      </c>
      <c r="C849" s="130">
        <f t="shared" si="629"/>
        <v>21500</v>
      </c>
      <c r="D849" s="131" cm="1">
        <f ca="1" t="array" ref="D849">IF(D1451=1,OFFSET($W$634,$B849,D$631-1)/SUMPRODUCT(--($D$631:$V$631=D$631),--($D1451:$V1451=1)),0)+SUM(D848)+IF(COUNTIF(D$1237:D1451,1)=1,5,0)+IF(COUNTIF(E849:$W849,"&gt;"&amp;0)&lt;5,IF(AND(COUNTIF(D$1237:D1451,1)&gt;7,MOD(1+IFERROR(MATCH($C849,总览!$D$46:$D$345,1)+1,1),7)=0),$C$3,0),0)</f>
        <v>1535.30262116488</v>
      </c>
      <c r="E849" s="131" cm="1">
        <f ca="1" t="array" ref="E849">IF(E1451=1,OFFSET($W$634,$B849,E$631-1)/SUMPRODUCT(--($D$631:$V$631=E$631),--($D1451:$V1451=1)),0)+SUM(E848)+IF(COUNTIF(E$1237:E1451,1)=1,5,0)+IF(COUNTIF(F849:$W849,"&gt;"&amp;0)&lt;5,IF(AND(COUNTIF(E$1237:E1451,1)&gt;7,MOD(1+IFERROR(MATCH($C849,总览!$D$46:$D$345,1)+1,1),7)=0),$C$3,0),0)</f>
        <v>1535.30262116488</v>
      </c>
      <c r="F849" s="131" cm="1">
        <f ca="1" t="array" ref="F849">IF(F1451=1,OFFSET($W$634,$B849,F$631-1)/SUMPRODUCT(--($D$631:$V$631=F$631),--($D1451:$V1451=1)),0)+SUM(F848)+IF(COUNTIF(F$1237:F1451,1)=1,5,0)+IF(COUNTIF(G849:$W849,"&gt;"&amp;0)&lt;5,IF(AND(COUNTIF(F$1237:F1451,1)&gt;7,MOD(1+IFERROR(MATCH($C849,总览!$D$46:$D$345,1)+1,1),7)=0),$C$3,0),0)</f>
        <v>1535.30262116488</v>
      </c>
      <c r="G849" s="131" cm="1">
        <f ca="1" t="array" ref="G849">IF(G1451=1,OFFSET($W$634,$B849,G$631-1)/SUMPRODUCT(--($D$631:$V$631=G$631),--($D1451:$V1451=1)),0)+SUM(G848)+IF(COUNTIF(G$1237:G1451,1)=1,5,0)+IF(COUNTIF(H849:$W849,"&gt;"&amp;0)&lt;5,IF(AND(COUNTIF(G$1237:G1451,1)&gt;7,MOD(1+IFERROR(MATCH($C849,总览!$D$46:$D$345,1)+1,1),7)=0),$C$3,0),0)</f>
        <v>656.066666666667</v>
      </c>
      <c r="H849" s="131" cm="1">
        <f ca="1" t="array" ref="H849">IF(H1451=1,OFFSET($W$634,$B849,H$631-1)/SUMPRODUCT(--($D$631:$V$631=H$631),--($D1451:$V1451=1)),0)+SUM(H848)+IF(COUNTIF(H$1237:H1451,1)=1,5,0)+IF(COUNTIF(I849:$W849,"&gt;"&amp;0)&lt;5,IF(AND(COUNTIF(H$1237:H1451,1)&gt;7,MOD(1+IFERROR(MATCH($C849,总览!$D$46:$D$345,1)+1,1),7)=0),$C$3,0),0)</f>
        <v>656.066666666667</v>
      </c>
      <c r="I849" s="131" cm="1">
        <f ca="1" t="array" ref="I849">IF(I1451=1,OFFSET($W$634,$B849,I$631-1)/SUMPRODUCT(--($D$631:$V$631=I$631),--($D1451:$V1451=1)),0)+SUM(I848)+IF(COUNTIF(I$1237:I1451,1)=1,5,0)+IF(COUNTIF(J849:$W849,"&gt;"&amp;0)&lt;5,IF(AND(COUNTIF(I$1237:I1451,1)&gt;7,MOD(1+IFERROR(MATCH($C849,总览!$D$46:$D$345,1)+1,1),7)=0),$C$3,0),0)</f>
        <v>656.066666666667</v>
      </c>
      <c r="J849" s="131" cm="1">
        <f ca="1" t="array" ref="J849">IF(J1451=1,OFFSET($W$634,$B849,J$631-1)/SUMPRODUCT(--($D$631:$V$631=J$631),--($D1451:$V1451=1)),0)+SUM(J848)+IF(COUNTIF(J$1237:J1451,1)=1,5,0)+IF(COUNTIF(K849:$W849,"&gt;"&amp;0)&lt;5,IF(AND(COUNTIF(J$1237:J1451,1)&gt;7,MOD(1+IFERROR(MATCH($C849,总览!$D$46:$D$345,1)+1,1),7)=0),$C$3,0),0)</f>
        <v>652.733333333334</v>
      </c>
      <c r="K849" s="131" cm="1">
        <f ca="1" t="array" ref="K849">IF(K1451=1,OFFSET($W$634,$B849,K$631-1)/SUMPRODUCT(--($D$631:$V$631=K$631),--($D1451:$V1451=1)),0)+SUM(K848)+IF(COUNTIF(K$1237:K1451,1)=1,5,0)+IF(COUNTIF(L849:$W849,"&gt;"&amp;0)&lt;5,IF(AND(COUNTIF(K$1237:K1451,1)&gt;7,MOD(1+IFERROR(MATCH($C849,总览!$D$46:$D$345,1)+1,1),7)=0),$C$3,0),0)</f>
        <v>650.233333333334</v>
      </c>
      <c r="L849" s="131" cm="1">
        <f ca="1" t="array" ref="L849">IF(L1451=1,OFFSET($W$634,$B849,L$631-1)/SUMPRODUCT(--($D$631:$V$631=L$631),--($D1451:$V1451=1)),0)+SUM(L848)+IF(COUNTIF(L$1237:L1451,1)=1,5,0)+IF(COUNTIF(M849:$W849,"&gt;"&amp;0)&lt;5,IF(AND(COUNTIF(L$1237:L1451,1)&gt;7,MOD(1+IFERROR(MATCH($C849,总览!$D$46:$D$345,1)+1,1),7)=0),$C$3,0),0)</f>
        <v>650.233333333334</v>
      </c>
      <c r="M849" s="131" cm="1">
        <f ca="1" t="array" ref="M849">IF(M1451=1,OFFSET($W$634,$B849,M$631-1)/SUMPRODUCT(--($D$631:$V$631=M$631),--($D1451:$V1451=1)),0)+SUM(M848)+IF(COUNTIF(M$1237:M1451,1)=1,5,0)+IF(COUNTIF(N849:$W849,"&gt;"&amp;0)&lt;5,IF(AND(COUNTIF(M$1237:M1451,1)&gt;7,MOD(1+IFERROR(MATCH($C849,总览!$D$46:$D$345,1)+1,1),7)=0),$C$3,0),0)</f>
        <v>264.895535714285</v>
      </c>
      <c r="N849" s="131" cm="1">
        <f ca="1" t="array" ref="N849">IF(N1451=1,OFFSET($W$634,$B849,N$631-1)/SUMPRODUCT(--($D$631:$V$631=N$631),--($D1451:$V1451=1)),0)+SUM(N848)+IF(COUNTIF(N$1237:N1451,1)=1,5,0)+IF(COUNTIF(O849:$W849,"&gt;"&amp;0)&lt;5,IF(AND(COUNTIF(N$1237:N1451,1)&gt;7,MOD(1+IFERROR(MATCH($C849,总览!$D$46:$D$345,1)+1,1),7)=0),$C$3,0),0)</f>
        <v>266.145535714285</v>
      </c>
      <c r="O849" s="131" cm="1">
        <f ca="1" t="array" ref="O849">IF(O1451=1,OFFSET($W$634,$B849,O$631-1)/SUMPRODUCT(--($D$631:$V$631=O$631),--($D1451:$V1451=1)),0)+SUM(O848)+IF(COUNTIF(O$1237:O1451,1)=1,5,0)+IF(COUNTIF(P849:$W849,"&gt;"&amp;0)&lt;5,IF(AND(COUNTIF(O$1237:O1451,1)&gt;7,MOD(1+IFERROR(MATCH($C849,总览!$D$46:$D$345,1)+1,1),7)=0),$C$3,0),0)</f>
        <v>271.145535714285</v>
      </c>
      <c r="P849" s="131" cm="1">
        <f ca="1" t="array" ref="P849">IF(P1451=1,OFFSET($W$634,$B849,P$631-1)/SUMPRODUCT(--($D$631:$V$631=P$631),--($D1451:$V1451=1)),0)+SUM(P848)+IF(COUNTIF(P$1237:P1451,1)=1,5,0)+IF(COUNTIF(Q849:$W849,"&gt;"&amp;0)&lt;5,IF(AND(COUNTIF(P$1237:P1451,1)&gt;7,MOD(1+IFERROR(MATCH($C849,总览!$D$46:$D$345,1)+1,1),7)=0),$C$3,0),0)</f>
        <v>260.264285714285</v>
      </c>
      <c r="Q849" s="131" cm="1">
        <f ca="1" t="array" ref="Q849">IF(Q1451=1,OFFSET($W$634,$B849,Q$631-1)/SUMPRODUCT(--($D$631:$V$631=Q$631),--($D1451:$V1451=1)),0)+SUM(Q848)+IF(COUNTIF(Q$1237:Q1451,1)=1,5,0)+IF(COUNTIF(R849:$W849,"&gt;"&amp;0)&lt;5,IF(AND(COUNTIF(Q$1237:Q1451,1)&gt;7,MOD(1+IFERROR(MATCH($C849,总览!$D$46:$D$345,1)+1,1),7)=0),$C$3,0),0)</f>
        <v>273.645535714285</v>
      </c>
      <c r="R849" s="131" cm="1">
        <f ca="1" t="array" ref="R849">IF(R1451=1,OFFSET($W$634,$B849,R$631-1)/SUMPRODUCT(--($D$631:$V$631=R$631),--($D1451:$V1451=1)),0)+SUM(R848)+IF(COUNTIF(R$1237:R1451,1)=1,5,0)+IF(COUNTIF(S849:$W849,"&gt;"&amp;0)&lt;5,IF(AND(COUNTIF(R$1237:R1451,1)&gt;7,MOD(1+IFERROR(MATCH($C849,总览!$D$46:$D$345,1)+1,1),7)=0),$C$3,0),0)</f>
        <v>265.264285714285</v>
      </c>
      <c r="S849" s="131" cm="1">
        <f ca="1" t="array" ref="S849">IF(S1451=1,OFFSET($W$634,$B849,S$631-1)/SUMPRODUCT(--($D$631:$V$631=S$631),--($D1451:$V1451=1)),0)+SUM(S848)+IF(COUNTIF(S$1237:S1451,1)=1,5,0)+IF(COUNTIF(T849:$W849,"&gt;"&amp;0)&lt;5,IF(AND(COUNTIF(S$1237:S1451,1)&gt;7,MOD(1+IFERROR(MATCH($C849,总览!$D$46:$D$345,1)+1,1),7)=0),$C$3,0),0)</f>
        <v>357.764285714286</v>
      </c>
      <c r="T849" s="131" cm="1">
        <f ca="1" t="array" ref="T849">IF(T1451=1,OFFSET($W$634,$B849,T$631-1)/SUMPRODUCT(--($D$631:$V$631=T$631),--($D1451:$V1451=1)),0)+SUM(T848)+IF(COUNTIF(T$1237:T1451,1)=1,5,0)+IF(COUNTIF(U849:$W849,"&gt;"&amp;0)&lt;5,IF(AND(COUNTIF(T$1237:T1451,1)&gt;7,MOD(1+IFERROR(MATCH($C849,总览!$D$46:$D$345,1)+1,1),7)=0),$C$3,0),0)</f>
        <v>260.899521360776</v>
      </c>
      <c r="U849" s="131" cm="1">
        <f ca="1" t="array" ref="U849">IF(U1451=1,OFFSET($W$634,$B849,U$631-1)/SUMPRODUCT(--($D$631:$V$631=U$631),--($D1451:$V1451=1)),0)+SUM(U848)+IF(COUNTIF(U$1237:U1451,1)=1,5,0)+IF(COUNTIF(V849:$W849,"&gt;"&amp;0)&lt;5,IF(AND(COUNTIF(U$1237:U1451,1)&gt;7,MOD(1+IFERROR(MATCH($C849,总览!$D$46:$D$345,1)+1,1),7)=0),$C$3,0),0)</f>
        <v>266.420307716076</v>
      </c>
      <c r="V849" s="131" cm="1">
        <f ca="1" t="array" ref="V849">IF(V1451=1,OFFSET($W$634,$B849,V$631-1)/SUMPRODUCT(--($D$631:$V$631=V$631),--($D1451:$V1451=1)),0)+SUM(V848)+IF(COUNTIF(V$1237:V1451,1)=1,5,0)+IF(COUNTIF(W849:$W849,"&gt;"&amp;0)&lt;5,IF(AND(COUNTIF(V$1237:V1451,1)&gt;7,MOD(1+IFERROR(MATCH($C849,总览!$D$46:$D$345,1)+1,1),7)=0),$C$3,0),0)</f>
        <v>286.247307428509</v>
      </c>
      <c r="W849" s="135" cm="1">
        <f ca="1" t="array" ref="W849">SUMPRODUCT(TRANSPOSE($AA849:$AG849),OFFSET($L$9:$L$15,0,W$631-1))</f>
        <v>16.8502200646615</v>
      </c>
      <c r="X849" s="135" cm="1">
        <f ca="1" t="array" ref="X849">SUMPRODUCT(TRANSPOSE($AA849:$AG849),OFFSET($L$9:$L$15,0,X$631-1))</f>
        <v>20</v>
      </c>
      <c r="Y849" s="135" cm="1">
        <f ca="1" t="array" ref="Y849">SUMPRODUCT(TRANSPOSE($AA849:$AG849),OFFSET($L$9:$L$15,0,Y$631-1))</f>
        <v>10</v>
      </c>
      <c r="Z849" s="135" cm="1">
        <f ca="1" t="array" ref="Z849">SUMPRODUCT(TRANSPOSE($AA849:$AG849),OFFSET($L$9:$L$15,0,Z$631-1))</f>
        <v>3.14977993533847</v>
      </c>
      <c r="AA849" s="136">
        <f ca="1" t="shared" ref="AA849:AG849" si="675">AH849-AH848</f>
        <v>0</v>
      </c>
      <c r="AB849" s="136">
        <f ca="1" t="shared" si="675"/>
        <v>0</v>
      </c>
      <c r="AC849" s="136">
        <f ca="1" t="shared" si="675"/>
        <v>0</v>
      </c>
      <c r="AD849" s="136">
        <f ca="1" t="shared" si="675"/>
        <v>0</v>
      </c>
      <c r="AE849" s="136">
        <f ca="1" t="shared" si="675"/>
        <v>0</v>
      </c>
      <c r="AF849" s="136">
        <f ca="1" t="shared" si="675"/>
        <v>0</v>
      </c>
      <c r="AG849" s="136">
        <f ca="1" t="shared" si="675"/>
        <v>100</v>
      </c>
      <c r="AH849" s="136">
        <f ca="1" t="shared" si="631"/>
        <v>450</v>
      </c>
      <c r="AI849" s="136">
        <f ca="1" t="shared" ref="AI849:AN849" si="676">IF($C849&gt;OFFSET($Q$8,MATCH(AI$634,$AH$634:$AN$634,0),0),OFFSET($P$8,MATCH(AI$634,$AH$634:$AN$634,0),0),MAX(0,$C849-OFFSET($Q$8,RIGHT(AI$634,1)-1,0)))</f>
        <v>909</v>
      </c>
      <c r="AJ849" s="136">
        <f ca="1" t="shared" si="676"/>
        <v>1818</v>
      </c>
      <c r="AK849" s="136">
        <f ca="1" t="shared" si="676"/>
        <v>2727</v>
      </c>
      <c r="AL849" s="136">
        <f ca="1" t="shared" si="676"/>
        <v>3636</v>
      </c>
      <c r="AM849" s="136">
        <f ca="1" t="shared" si="676"/>
        <v>4545</v>
      </c>
      <c r="AN849" s="136">
        <f ca="1" t="shared" si="676"/>
        <v>7415</v>
      </c>
    </row>
    <row r="850" s="106" customFormat="1" ht="16.5" spans="2:40">
      <c r="B850" s="117">
        <v>216</v>
      </c>
      <c r="C850" s="130">
        <f t="shared" si="629"/>
        <v>21600</v>
      </c>
      <c r="D850" s="131" cm="1">
        <f ca="1" t="array" ref="D850">IF(D1452=1,OFFSET($W$634,$B850,D$631-1)/SUMPRODUCT(--($D$631:$V$631=D$631),--($D1452:$V1452=1)),0)+SUM(D849)+IF(COUNTIF(D$1237:D1452,1)=1,5,0)+IF(COUNTIF(E850:$W850,"&gt;"&amp;0)&lt;5,IF(AND(COUNTIF(D$1237:D1452,1)&gt;7,MOD(1+IFERROR(MATCH($C850,总览!$D$46:$D$345,1)+1,1),7)=0),$C$3,0),0)</f>
        <v>1540.91936118643</v>
      </c>
      <c r="E850" s="131" cm="1">
        <f ca="1" t="array" ref="E850">IF(E1452=1,OFFSET($W$634,$B850,E$631-1)/SUMPRODUCT(--($D$631:$V$631=E$631),--($D1452:$V1452=1)),0)+SUM(E849)+IF(COUNTIF(E$1237:E1452,1)=1,5,0)+IF(COUNTIF(F850:$W850,"&gt;"&amp;0)&lt;5,IF(AND(COUNTIF(E$1237:E1452,1)&gt;7,MOD(1+IFERROR(MATCH($C850,总览!$D$46:$D$345,1)+1,1),7)=0),$C$3,0),0)</f>
        <v>1540.91936118643</v>
      </c>
      <c r="F850" s="131" cm="1">
        <f ca="1" t="array" ref="F850">IF(F1452=1,OFFSET($W$634,$B850,F$631-1)/SUMPRODUCT(--($D$631:$V$631=F$631),--($D1452:$V1452=1)),0)+SUM(F849)+IF(COUNTIF(F$1237:F1452,1)=1,5,0)+IF(COUNTIF(G850:$W850,"&gt;"&amp;0)&lt;5,IF(AND(COUNTIF(F$1237:F1452,1)&gt;7,MOD(1+IFERROR(MATCH($C850,总览!$D$46:$D$345,1)+1,1),7)=0),$C$3,0),0)</f>
        <v>1540.91936118643</v>
      </c>
      <c r="G850" s="131" cm="1">
        <f ca="1" t="array" ref="G850">IF(G1452=1,OFFSET($W$634,$B850,G$631-1)/SUMPRODUCT(--($D$631:$V$631=G$631),--($D1452:$V1452=1)),0)+SUM(G849)+IF(COUNTIF(G$1237:G1452,1)=1,5,0)+IF(COUNTIF(H850:$W850,"&gt;"&amp;0)&lt;5,IF(AND(COUNTIF(G$1237:G1452,1)&gt;7,MOD(1+IFERROR(MATCH($C850,总览!$D$46:$D$345,1)+1,1),7)=0),$C$3,0),0)</f>
        <v>659.4</v>
      </c>
      <c r="H850" s="131" cm="1">
        <f ca="1" t="array" ref="H850">IF(H1452=1,OFFSET($W$634,$B850,H$631-1)/SUMPRODUCT(--($D$631:$V$631=H$631),--($D1452:$V1452=1)),0)+SUM(H849)+IF(COUNTIF(H$1237:H1452,1)=1,5,0)+IF(COUNTIF(I850:$W850,"&gt;"&amp;0)&lt;5,IF(AND(COUNTIF(H$1237:H1452,1)&gt;7,MOD(1+IFERROR(MATCH($C850,总览!$D$46:$D$345,1)+1,1),7)=0),$C$3,0),0)</f>
        <v>659.4</v>
      </c>
      <c r="I850" s="131" cm="1">
        <f ca="1" t="array" ref="I850">IF(I1452=1,OFFSET($W$634,$B850,I$631-1)/SUMPRODUCT(--($D$631:$V$631=I$631),--($D1452:$V1452=1)),0)+SUM(I849)+IF(COUNTIF(I$1237:I1452,1)=1,5,0)+IF(COUNTIF(J850:$W850,"&gt;"&amp;0)&lt;5,IF(AND(COUNTIF(I$1237:I1452,1)&gt;7,MOD(1+IFERROR(MATCH($C850,总览!$D$46:$D$345,1)+1,1),7)=0),$C$3,0),0)</f>
        <v>659.4</v>
      </c>
      <c r="J850" s="131" cm="1">
        <f ca="1" t="array" ref="J850">IF(J1452=1,OFFSET($W$634,$B850,J$631-1)/SUMPRODUCT(--($D$631:$V$631=J$631),--($D1452:$V1452=1)),0)+SUM(J849)+IF(COUNTIF(J$1237:J1452,1)=1,5,0)+IF(COUNTIF(K850:$W850,"&gt;"&amp;0)&lt;5,IF(AND(COUNTIF(J$1237:J1452,1)&gt;7,MOD(1+IFERROR(MATCH($C850,总览!$D$46:$D$345,1)+1,1),7)=0),$C$3,0),0)</f>
        <v>656.066666666667</v>
      </c>
      <c r="K850" s="131" cm="1">
        <f ca="1" t="array" ref="K850">IF(K1452=1,OFFSET($W$634,$B850,K$631-1)/SUMPRODUCT(--($D$631:$V$631=K$631),--($D1452:$V1452=1)),0)+SUM(K849)+IF(COUNTIF(K$1237:K1452,1)=1,5,0)+IF(COUNTIF(L850:$W850,"&gt;"&amp;0)&lt;5,IF(AND(COUNTIF(K$1237:K1452,1)&gt;7,MOD(1+IFERROR(MATCH($C850,总览!$D$46:$D$345,1)+1,1),7)=0),$C$3,0),0)</f>
        <v>653.566666666667</v>
      </c>
      <c r="L850" s="131" cm="1">
        <f ca="1" t="array" ref="L850">IF(L1452=1,OFFSET($W$634,$B850,L$631-1)/SUMPRODUCT(--($D$631:$V$631=L$631),--($D1452:$V1452=1)),0)+SUM(L849)+IF(COUNTIF(L$1237:L1452,1)=1,5,0)+IF(COUNTIF(M850:$W850,"&gt;"&amp;0)&lt;5,IF(AND(COUNTIF(L$1237:L1452,1)&gt;7,MOD(1+IFERROR(MATCH($C850,总览!$D$46:$D$345,1)+1,1),7)=0),$C$3,0),0)</f>
        <v>653.566666666667</v>
      </c>
      <c r="M850" s="131" cm="1">
        <f ca="1" t="array" ref="M850">IF(M1452=1,OFFSET($W$634,$B850,M$631-1)/SUMPRODUCT(--($D$631:$V$631=M$631),--($D1452:$V1452=1)),0)+SUM(M849)+IF(COUNTIF(M$1237:M1452,1)=1,5,0)+IF(COUNTIF(N850:$W850,"&gt;"&amp;0)&lt;5,IF(AND(COUNTIF(M$1237:M1452,1)&gt;7,MOD(1+IFERROR(MATCH($C850,总览!$D$46:$D$345,1)+1,1),7)=0),$C$3,0),0)</f>
        <v>266.324107142856</v>
      </c>
      <c r="N850" s="131" cm="1">
        <f ca="1" t="array" ref="N850">IF(N1452=1,OFFSET($W$634,$B850,N$631-1)/SUMPRODUCT(--($D$631:$V$631=N$631),--($D1452:$V1452=1)),0)+SUM(N849)+IF(COUNTIF(N$1237:N1452,1)=1,5,0)+IF(COUNTIF(O850:$W850,"&gt;"&amp;0)&lt;5,IF(AND(COUNTIF(N$1237:N1452,1)&gt;7,MOD(1+IFERROR(MATCH($C850,总览!$D$46:$D$345,1)+1,1),7)=0),$C$3,0),0)</f>
        <v>267.574107142856</v>
      </c>
      <c r="O850" s="131" cm="1">
        <f ca="1" t="array" ref="O850">IF(O1452=1,OFFSET($W$634,$B850,O$631-1)/SUMPRODUCT(--($D$631:$V$631=O$631),--($D1452:$V1452=1)),0)+SUM(O849)+IF(COUNTIF(O$1237:O1452,1)=1,5,0)+IF(COUNTIF(P850:$W850,"&gt;"&amp;0)&lt;5,IF(AND(COUNTIF(O$1237:O1452,1)&gt;7,MOD(1+IFERROR(MATCH($C850,总览!$D$46:$D$345,1)+1,1),7)=0),$C$3,0),0)</f>
        <v>272.574107142856</v>
      </c>
      <c r="P850" s="131" cm="1">
        <f ca="1" t="array" ref="P850">IF(P1452=1,OFFSET($W$634,$B850,P$631-1)/SUMPRODUCT(--($D$631:$V$631=P$631),--($D1452:$V1452=1)),0)+SUM(P849)+IF(COUNTIF(P$1237:P1452,1)=1,5,0)+IF(COUNTIF(Q850:$W850,"&gt;"&amp;0)&lt;5,IF(AND(COUNTIF(P$1237:P1452,1)&gt;7,MOD(1+IFERROR(MATCH($C850,总览!$D$46:$D$345,1)+1,1),7)=0),$C$3,0),0)</f>
        <v>261.692857142856</v>
      </c>
      <c r="Q850" s="131" cm="1">
        <f ca="1" t="array" ref="Q850">IF(Q1452=1,OFFSET($W$634,$B850,Q$631-1)/SUMPRODUCT(--($D$631:$V$631=Q$631),--($D1452:$V1452=1)),0)+SUM(Q849)+IF(COUNTIF(Q$1237:Q1452,1)=1,5,0)+IF(COUNTIF(R850:$W850,"&gt;"&amp;0)&lt;5,IF(AND(COUNTIF(Q$1237:Q1452,1)&gt;7,MOD(1+IFERROR(MATCH($C850,总览!$D$46:$D$345,1)+1,1),7)=0),$C$3,0),0)</f>
        <v>275.074107142856</v>
      </c>
      <c r="R850" s="131" cm="1">
        <f ca="1" t="array" ref="R850">IF(R1452=1,OFFSET($W$634,$B850,R$631-1)/SUMPRODUCT(--($D$631:$V$631=R$631),--($D1452:$V1452=1)),0)+SUM(R849)+IF(COUNTIF(R$1237:R1452,1)=1,5,0)+IF(COUNTIF(S850:$W850,"&gt;"&amp;0)&lt;5,IF(AND(COUNTIF(R$1237:R1452,1)&gt;7,MOD(1+IFERROR(MATCH($C850,总览!$D$46:$D$345,1)+1,1),7)=0),$C$3,0),0)</f>
        <v>266.692857142856</v>
      </c>
      <c r="S850" s="131" cm="1">
        <f ca="1" t="array" ref="S850">IF(S1452=1,OFFSET($W$634,$B850,S$631-1)/SUMPRODUCT(--($D$631:$V$631=S$631),--($D1452:$V1452=1)),0)+SUM(S849)+IF(COUNTIF(S$1237:S1452,1)=1,5,0)+IF(COUNTIF(T850:$W850,"&gt;"&amp;0)&lt;5,IF(AND(COUNTIF(S$1237:S1452,1)&gt;7,MOD(1+IFERROR(MATCH($C850,总览!$D$46:$D$345,1)+1,1),7)=0),$C$3,0),0)</f>
        <v>359.192857142857</v>
      </c>
      <c r="T850" s="131" cm="1">
        <f ca="1" t="array" ref="T850">IF(T1452=1,OFFSET($W$634,$B850,T$631-1)/SUMPRODUCT(--($D$631:$V$631=T$631),--($D1452:$V1452=1)),0)+SUM(T849)+IF(COUNTIF(T$1237:T1452,1)=1,5,0)+IF(COUNTIF(U850:$W850,"&gt;"&amp;0)&lt;5,IF(AND(COUNTIF(T$1237:T1452,1)&gt;7,MOD(1+IFERROR(MATCH($C850,总览!$D$46:$D$345,1)+1,1),7)=0),$C$3,0),0)</f>
        <v>261.949448005889</v>
      </c>
      <c r="U850" s="131" cm="1">
        <f ca="1" t="array" ref="U850">IF(U1452=1,OFFSET($W$634,$B850,U$631-1)/SUMPRODUCT(--($D$631:$V$631=U$631),--($D1452:$V1452=1)),0)+SUM(U849)+IF(COUNTIF(U$1237:U1452,1)=1,5,0)+IF(COUNTIF(V850:$W850,"&gt;"&amp;0)&lt;5,IF(AND(COUNTIF(U$1237:U1452,1)&gt;7,MOD(1+IFERROR(MATCH($C850,总览!$D$46:$D$345,1)+1,1),7)=0),$C$3,0),0)</f>
        <v>267.470234361188</v>
      </c>
      <c r="V850" s="131" cm="1">
        <f ca="1" t="array" ref="V850">IF(V1452=1,OFFSET($W$634,$B850,V$631-1)/SUMPRODUCT(--($D$631:$V$631=V$631),--($D1452:$V1452=1)),0)+SUM(V849)+IF(COUNTIF(V$1237:V1452,1)=1,5,0)+IF(COUNTIF(W850:$W850,"&gt;"&amp;0)&lt;5,IF(AND(COUNTIF(V$1237:V1452,1)&gt;7,MOD(1+IFERROR(MATCH($C850,总览!$D$46:$D$345,1)+1,1),7)=0),$C$3,0),0)</f>
        <v>287.297234073621</v>
      </c>
      <c r="W850" s="135" cm="1">
        <f ca="1" t="array" ref="W850">SUMPRODUCT(TRANSPOSE($AA850:$AG850),OFFSET($L$9:$L$15,0,W$631-1))</f>
        <v>16.8502200646615</v>
      </c>
      <c r="X850" s="135" cm="1">
        <f ca="1" t="array" ref="X850">SUMPRODUCT(TRANSPOSE($AA850:$AG850),OFFSET($L$9:$L$15,0,X$631-1))</f>
        <v>20</v>
      </c>
      <c r="Y850" s="135" cm="1">
        <f ca="1" t="array" ref="Y850">SUMPRODUCT(TRANSPOSE($AA850:$AG850),OFFSET($L$9:$L$15,0,Y$631-1))</f>
        <v>10</v>
      </c>
      <c r="Z850" s="135" cm="1">
        <f ca="1" t="array" ref="Z850">SUMPRODUCT(TRANSPOSE($AA850:$AG850),OFFSET($L$9:$L$15,0,Z$631-1))</f>
        <v>3.14977993533847</v>
      </c>
      <c r="AA850" s="136">
        <f ca="1" t="shared" ref="AA850:AG850" si="677">AH850-AH849</f>
        <v>0</v>
      </c>
      <c r="AB850" s="136">
        <f ca="1" t="shared" si="677"/>
        <v>0</v>
      </c>
      <c r="AC850" s="136">
        <f ca="1" t="shared" si="677"/>
        <v>0</v>
      </c>
      <c r="AD850" s="136">
        <f ca="1" t="shared" si="677"/>
        <v>0</v>
      </c>
      <c r="AE850" s="136">
        <f ca="1" t="shared" si="677"/>
        <v>0</v>
      </c>
      <c r="AF850" s="136">
        <f ca="1" t="shared" si="677"/>
        <v>0</v>
      </c>
      <c r="AG850" s="136">
        <f ca="1" t="shared" si="677"/>
        <v>100</v>
      </c>
      <c r="AH850" s="136">
        <f ca="1" t="shared" si="631"/>
        <v>450</v>
      </c>
      <c r="AI850" s="136">
        <f ca="1" t="shared" ref="AI850:AN850" si="678">IF($C850&gt;OFFSET($Q$8,MATCH(AI$634,$AH$634:$AN$634,0),0),OFFSET($P$8,MATCH(AI$634,$AH$634:$AN$634,0),0),MAX(0,$C850-OFFSET($Q$8,RIGHT(AI$634,1)-1,0)))</f>
        <v>909</v>
      </c>
      <c r="AJ850" s="136">
        <f ca="1" t="shared" si="678"/>
        <v>1818</v>
      </c>
      <c r="AK850" s="136">
        <f ca="1" t="shared" si="678"/>
        <v>2727</v>
      </c>
      <c r="AL850" s="136">
        <f ca="1" t="shared" si="678"/>
        <v>3636</v>
      </c>
      <c r="AM850" s="136">
        <f ca="1" t="shared" si="678"/>
        <v>4545</v>
      </c>
      <c r="AN850" s="136">
        <f ca="1" t="shared" si="678"/>
        <v>7515</v>
      </c>
    </row>
    <row r="851" s="106" customFormat="1" ht="16.5" spans="2:40">
      <c r="B851" s="117">
        <v>217</v>
      </c>
      <c r="C851" s="130">
        <f t="shared" si="629"/>
        <v>21700</v>
      </c>
      <c r="D851" s="131" cm="1">
        <f ca="1" t="array" ref="D851">IF(D1453=1,OFFSET($W$634,$B851,D$631-1)/SUMPRODUCT(--($D$631:$V$631=D$631),--($D1453:$V1453=1)),0)+SUM(D850)+IF(COUNTIF(D$1237:D1453,1)=1,5,0)+IF(COUNTIF(E851:$W851,"&gt;"&amp;0)&lt;5,IF(AND(COUNTIF(D$1237:D1453,1)&gt;7,MOD(1+IFERROR(MATCH($C851,总览!$D$46:$D$345,1)+1,1),7)=0),$C$3,0),0)</f>
        <v>1546.53610120799</v>
      </c>
      <c r="E851" s="131" cm="1">
        <f ca="1" t="array" ref="E851">IF(E1453=1,OFFSET($W$634,$B851,E$631-1)/SUMPRODUCT(--($D$631:$V$631=E$631),--($D1453:$V1453=1)),0)+SUM(E850)+IF(COUNTIF(E$1237:E1453,1)=1,5,0)+IF(COUNTIF(F851:$W851,"&gt;"&amp;0)&lt;5,IF(AND(COUNTIF(E$1237:E1453,1)&gt;7,MOD(1+IFERROR(MATCH($C851,总览!$D$46:$D$345,1)+1,1),7)=0),$C$3,0),0)</f>
        <v>1546.53610120799</v>
      </c>
      <c r="F851" s="131" cm="1">
        <f ca="1" t="array" ref="F851">IF(F1453=1,OFFSET($W$634,$B851,F$631-1)/SUMPRODUCT(--($D$631:$V$631=F$631),--($D1453:$V1453=1)),0)+SUM(F850)+IF(COUNTIF(F$1237:F1453,1)=1,5,0)+IF(COUNTIF(G851:$W851,"&gt;"&amp;0)&lt;5,IF(AND(COUNTIF(F$1237:F1453,1)&gt;7,MOD(1+IFERROR(MATCH($C851,总览!$D$46:$D$345,1)+1,1),7)=0),$C$3,0),0)</f>
        <v>1546.53610120799</v>
      </c>
      <c r="G851" s="131" cm="1">
        <f ca="1" t="array" ref="G851">IF(G1453=1,OFFSET($W$634,$B851,G$631-1)/SUMPRODUCT(--($D$631:$V$631=G$631),--($D1453:$V1453=1)),0)+SUM(G850)+IF(COUNTIF(G$1237:G1453,1)=1,5,0)+IF(COUNTIF(H851:$W851,"&gt;"&amp;0)&lt;5,IF(AND(COUNTIF(G$1237:G1453,1)&gt;7,MOD(1+IFERROR(MATCH($C851,总览!$D$46:$D$345,1)+1,1),7)=0),$C$3,0),0)</f>
        <v>662.733333333334</v>
      </c>
      <c r="H851" s="131" cm="1">
        <f ca="1" t="array" ref="H851">IF(H1453=1,OFFSET($W$634,$B851,H$631-1)/SUMPRODUCT(--($D$631:$V$631=H$631),--($D1453:$V1453=1)),0)+SUM(H850)+IF(COUNTIF(H$1237:H1453,1)=1,5,0)+IF(COUNTIF(I851:$W851,"&gt;"&amp;0)&lt;5,IF(AND(COUNTIF(H$1237:H1453,1)&gt;7,MOD(1+IFERROR(MATCH($C851,总览!$D$46:$D$345,1)+1,1),7)=0),$C$3,0),0)</f>
        <v>662.733333333334</v>
      </c>
      <c r="I851" s="131" cm="1">
        <f ca="1" t="array" ref="I851">IF(I1453=1,OFFSET($W$634,$B851,I$631-1)/SUMPRODUCT(--($D$631:$V$631=I$631),--($D1453:$V1453=1)),0)+SUM(I850)+IF(COUNTIF(I$1237:I1453,1)=1,5,0)+IF(COUNTIF(J851:$W851,"&gt;"&amp;0)&lt;5,IF(AND(COUNTIF(I$1237:I1453,1)&gt;7,MOD(1+IFERROR(MATCH($C851,总览!$D$46:$D$345,1)+1,1),7)=0),$C$3,0),0)</f>
        <v>662.733333333334</v>
      </c>
      <c r="J851" s="131" cm="1">
        <f ca="1" t="array" ref="J851">IF(J1453=1,OFFSET($W$634,$B851,J$631-1)/SUMPRODUCT(--($D$631:$V$631=J$631),--($D1453:$V1453=1)),0)+SUM(J850)+IF(COUNTIF(J$1237:J1453,1)=1,5,0)+IF(COUNTIF(K851:$W851,"&gt;"&amp;0)&lt;5,IF(AND(COUNTIF(J$1237:J1453,1)&gt;7,MOD(1+IFERROR(MATCH($C851,总览!$D$46:$D$345,1)+1,1),7)=0),$C$3,0),0)</f>
        <v>659.4</v>
      </c>
      <c r="K851" s="131" cm="1">
        <f ca="1" t="array" ref="K851">IF(K1453=1,OFFSET($W$634,$B851,K$631-1)/SUMPRODUCT(--($D$631:$V$631=K$631),--($D1453:$V1453=1)),0)+SUM(K850)+IF(COUNTIF(K$1237:K1453,1)=1,5,0)+IF(COUNTIF(L851:$W851,"&gt;"&amp;0)&lt;5,IF(AND(COUNTIF(K$1237:K1453,1)&gt;7,MOD(1+IFERROR(MATCH($C851,总览!$D$46:$D$345,1)+1,1),7)=0),$C$3,0),0)</f>
        <v>656.9</v>
      </c>
      <c r="L851" s="131" cm="1">
        <f ca="1" t="array" ref="L851">IF(L1453=1,OFFSET($W$634,$B851,L$631-1)/SUMPRODUCT(--($D$631:$V$631=L$631),--($D1453:$V1453=1)),0)+SUM(L850)+IF(COUNTIF(L$1237:L1453,1)=1,5,0)+IF(COUNTIF(M851:$W851,"&gt;"&amp;0)&lt;5,IF(AND(COUNTIF(L$1237:L1453,1)&gt;7,MOD(1+IFERROR(MATCH($C851,总览!$D$46:$D$345,1)+1,1),7)=0),$C$3,0),0)</f>
        <v>656.9</v>
      </c>
      <c r="M851" s="131" cm="1">
        <f ca="1" t="array" ref="M851">IF(M1453=1,OFFSET($W$634,$B851,M$631-1)/SUMPRODUCT(--($D$631:$V$631=M$631),--($D1453:$V1453=1)),0)+SUM(M850)+IF(COUNTIF(M$1237:M1453,1)=1,5,0)+IF(COUNTIF(N851:$W851,"&gt;"&amp;0)&lt;5,IF(AND(COUNTIF(M$1237:M1453,1)&gt;7,MOD(1+IFERROR(MATCH($C851,总览!$D$46:$D$345,1)+1,1),7)=0),$C$3,0),0)</f>
        <v>267.752678571428</v>
      </c>
      <c r="N851" s="131" cm="1">
        <f ca="1" t="array" ref="N851">IF(N1453=1,OFFSET($W$634,$B851,N$631-1)/SUMPRODUCT(--($D$631:$V$631=N$631),--($D1453:$V1453=1)),0)+SUM(N850)+IF(COUNTIF(N$1237:N1453,1)=1,5,0)+IF(COUNTIF(O851:$W851,"&gt;"&amp;0)&lt;5,IF(AND(COUNTIF(N$1237:N1453,1)&gt;7,MOD(1+IFERROR(MATCH($C851,总览!$D$46:$D$345,1)+1,1),7)=0),$C$3,0),0)</f>
        <v>269.002678571428</v>
      </c>
      <c r="O851" s="131" cm="1">
        <f ca="1" t="array" ref="O851">IF(O1453=1,OFFSET($W$634,$B851,O$631-1)/SUMPRODUCT(--($D$631:$V$631=O$631),--($D1453:$V1453=1)),0)+SUM(O850)+IF(COUNTIF(O$1237:O1453,1)=1,5,0)+IF(COUNTIF(P851:$W851,"&gt;"&amp;0)&lt;5,IF(AND(COUNTIF(O$1237:O1453,1)&gt;7,MOD(1+IFERROR(MATCH($C851,总览!$D$46:$D$345,1)+1,1),7)=0),$C$3,0),0)</f>
        <v>274.002678571428</v>
      </c>
      <c r="P851" s="131" cm="1">
        <f ca="1" t="array" ref="P851">IF(P1453=1,OFFSET($W$634,$B851,P$631-1)/SUMPRODUCT(--($D$631:$V$631=P$631),--($D1453:$V1453=1)),0)+SUM(P850)+IF(COUNTIF(P$1237:P1453,1)=1,5,0)+IF(COUNTIF(Q851:$W851,"&gt;"&amp;0)&lt;5,IF(AND(COUNTIF(P$1237:P1453,1)&gt;7,MOD(1+IFERROR(MATCH($C851,总览!$D$46:$D$345,1)+1,1),7)=0),$C$3,0),0)</f>
        <v>263.121428571428</v>
      </c>
      <c r="Q851" s="131" cm="1">
        <f ca="1" t="array" ref="Q851">IF(Q1453=1,OFFSET($W$634,$B851,Q$631-1)/SUMPRODUCT(--($D$631:$V$631=Q$631),--($D1453:$V1453=1)),0)+SUM(Q850)+IF(COUNTIF(Q$1237:Q1453,1)=1,5,0)+IF(COUNTIF(R851:$W851,"&gt;"&amp;0)&lt;5,IF(AND(COUNTIF(Q$1237:Q1453,1)&gt;7,MOD(1+IFERROR(MATCH($C851,总览!$D$46:$D$345,1)+1,1),7)=0),$C$3,0),0)</f>
        <v>276.502678571428</v>
      </c>
      <c r="R851" s="131" cm="1">
        <f ca="1" t="array" ref="R851">IF(R1453=1,OFFSET($W$634,$B851,R$631-1)/SUMPRODUCT(--($D$631:$V$631=R$631),--($D1453:$V1453=1)),0)+SUM(R850)+IF(COUNTIF(R$1237:R1453,1)=1,5,0)+IF(COUNTIF(S851:$W851,"&gt;"&amp;0)&lt;5,IF(AND(COUNTIF(R$1237:R1453,1)&gt;7,MOD(1+IFERROR(MATCH($C851,总览!$D$46:$D$345,1)+1,1),7)=0),$C$3,0),0)</f>
        <v>268.121428571428</v>
      </c>
      <c r="S851" s="131" cm="1">
        <f ca="1" t="array" ref="S851">IF(S1453=1,OFFSET($W$634,$B851,S$631-1)/SUMPRODUCT(--($D$631:$V$631=S$631),--($D1453:$V1453=1)),0)+SUM(S850)+IF(COUNTIF(S$1237:S1453,1)=1,5,0)+IF(COUNTIF(T851:$W851,"&gt;"&amp;0)&lt;5,IF(AND(COUNTIF(S$1237:S1453,1)&gt;7,MOD(1+IFERROR(MATCH($C851,总览!$D$46:$D$345,1)+1,1),7)=0),$C$3,0),0)</f>
        <v>360.621428571429</v>
      </c>
      <c r="T851" s="131" cm="1">
        <f ca="1" t="array" ref="T851">IF(T1453=1,OFFSET($W$634,$B851,T$631-1)/SUMPRODUCT(--($D$631:$V$631=T$631),--($D1453:$V1453=1)),0)+SUM(T850)+IF(COUNTIF(T$1237:T1453,1)=1,5,0)+IF(COUNTIF(U851:$W851,"&gt;"&amp;0)&lt;5,IF(AND(COUNTIF(T$1237:T1453,1)&gt;7,MOD(1+IFERROR(MATCH($C851,总览!$D$46:$D$345,1)+1,1),7)=0),$C$3,0),0)</f>
        <v>262.999374651002</v>
      </c>
      <c r="U851" s="131" cm="1">
        <f ca="1" t="array" ref="U851">IF(U1453=1,OFFSET($W$634,$B851,U$631-1)/SUMPRODUCT(--($D$631:$V$631=U$631),--($D1453:$V1453=1)),0)+SUM(U850)+IF(COUNTIF(U$1237:U1453,1)=1,5,0)+IF(COUNTIF(V851:$W851,"&gt;"&amp;0)&lt;5,IF(AND(COUNTIF(U$1237:U1453,1)&gt;7,MOD(1+IFERROR(MATCH($C851,总览!$D$46:$D$345,1)+1,1),7)=0),$C$3,0),0)</f>
        <v>268.520161006301</v>
      </c>
      <c r="V851" s="131" cm="1">
        <f ca="1" t="array" ref="V851">IF(V1453=1,OFFSET($W$634,$B851,V$631-1)/SUMPRODUCT(--($D$631:$V$631=V$631),--($D1453:$V1453=1)),0)+SUM(V850)+IF(COUNTIF(V$1237:V1453,1)=1,5,0)+IF(COUNTIF(W851:$W851,"&gt;"&amp;0)&lt;5,IF(AND(COUNTIF(V$1237:V1453,1)&gt;7,MOD(1+IFERROR(MATCH($C851,总览!$D$46:$D$345,1)+1,1),7)=0),$C$3,0),0)</f>
        <v>288.347160718734</v>
      </c>
      <c r="W851" s="135" cm="1">
        <f ca="1" t="array" ref="W851">SUMPRODUCT(TRANSPOSE($AA851:$AG851),OFFSET($L$9:$L$15,0,W$631-1))</f>
        <v>16.8502200646615</v>
      </c>
      <c r="X851" s="135" cm="1">
        <f ca="1" t="array" ref="X851">SUMPRODUCT(TRANSPOSE($AA851:$AG851),OFFSET($L$9:$L$15,0,X$631-1))</f>
        <v>20</v>
      </c>
      <c r="Y851" s="135" cm="1">
        <f ca="1" t="array" ref="Y851">SUMPRODUCT(TRANSPOSE($AA851:$AG851),OFFSET($L$9:$L$15,0,Y$631-1))</f>
        <v>10</v>
      </c>
      <c r="Z851" s="135" cm="1">
        <f ca="1" t="array" ref="Z851">SUMPRODUCT(TRANSPOSE($AA851:$AG851),OFFSET($L$9:$L$15,0,Z$631-1))</f>
        <v>3.14977993533847</v>
      </c>
      <c r="AA851" s="136">
        <f ca="1" t="shared" ref="AA851:AG851" si="679">AH851-AH850</f>
        <v>0</v>
      </c>
      <c r="AB851" s="136">
        <f ca="1" t="shared" si="679"/>
        <v>0</v>
      </c>
      <c r="AC851" s="136">
        <f ca="1" t="shared" si="679"/>
        <v>0</v>
      </c>
      <c r="AD851" s="136">
        <f ca="1" t="shared" si="679"/>
        <v>0</v>
      </c>
      <c r="AE851" s="136">
        <f ca="1" t="shared" si="679"/>
        <v>0</v>
      </c>
      <c r="AF851" s="136">
        <f ca="1" t="shared" si="679"/>
        <v>0</v>
      </c>
      <c r="AG851" s="136">
        <f ca="1" t="shared" si="679"/>
        <v>100</v>
      </c>
      <c r="AH851" s="136">
        <f ca="1" t="shared" si="631"/>
        <v>450</v>
      </c>
      <c r="AI851" s="136">
        <f ca="1" t="shared" ref="AI851:AN851" si="680">IF($C851&gt;OFFSET($Q$8,MATCH(AI$634,$AH$634:$AN$634,0),0),OFFSET($P$8,MATCH(AI$634,$AH$634:$AN$634,0),0),MAX(0,$C851-OFFSET($Q$8,RIGHT(AI$634,1)-1,0)))</f>
        <v>909</v>
      </c>
      <c r="AJ851" s="136">
        <f ca="1" t="shared" si="680"/>
        <v>1818</v>
      </c>
      <c r="AK851" s="136">
        <f ca="1" t="shared" si="680"/>
        <v>2727</v>
      </c>
      <c r="AL851" s="136">
        <f ca="1" t="shared" si="680"/>
        <v>3636</v>
      </c>
      <c r="AM851" s="136">
        <f ca="1" t="shared" si="680"/>
        <v>4545</v>
      </c>
      <c r="AN851" s="136">
        <f ca="1" t="shared" si="680"/>
        <v>7615</v>
      </c>
    </row>
    <row r="852" s="106" customFormat="1" ht="16.5" spans="2:40">
      <c r="B852" s="117">
        <v>218</v>
      </c>
      <c r="C852" s="130">
        <f t="shared" si="629"/>
        <v>21800</v>
      </c>
      <c r="D852" s="131" cm="1">
        <f ca="1" t="array" ref="D852">IF(D1454=1,OFFSET($W$634,$B852,D$631-1)/SUMPRODUCT(--($D$631:$V$631=D$631),--($D1454:$V1454=1)),0)+SUM(D851)+IF(COUNTIF(D$1237:D1454,1)=1,5,0)+IF(COUNTIF(E852:$W852,"&gt;"&amp;0)&lt;5,IF(AND(COUNTIF(D$1237:D1454,1)&gt;7,MOD(1+IFERROR(MATCH($C852,总览!$D$46:$D$345,1)+1,1),7)=0),$C$3,0),0)</f>
        <v>1552.15284122954</v>
      </c>
      <c r="E852" s="131" cm="1">
        <f ca="1" t="array" ref="E852">IF(E1454=1,OFFSET($W$634,$B852,E$631-1)/SUMPRODUCT(--($D$631:$V$631=E$631),--($D1454:$V1454=1)),0)+SUM(E851)+IF(COUNTIF(E$1237:E1454,1)=1,5,0)+IF(COUNTIF(F852:$W852,"&gt;"&amp;0)&lt;5,IF(AND(COUNTIF(E$1237:E1454,1)&gt;7,MOD(1+IFERROR(MATCH($C852,总览!$D$46:$D$345,1)+1,1),7)=0),$C$3,0),0)</f>
        <v>1552.15284122954</v>
      </c>
      <c r="F852" s="131" cm="1">
        <f ca="1" t="array" ref="F852">IF(F1454=1,OFFSET($W$634,$B852,F$631-1)/SUMPRODUCT(--($D$631:$V$631=F$631),--($D1454:$V1454=1)),0)+SUM(F851)+IF(COUNTIF(F$1237:F1454,1)=1,5,0)+IF(COUNTIF(G852:$W852,"&gt;"&amp;0)&lt;5,IF(AND(COUNTIF(F$1237:F1454,1)&gt;7,MOD(1+IFERROR(MATCH($C852,总览!$D$46:$D$345,1)+1,1),7)=0),$C$3,0),0)</f>
        <v>1552.15284122954</v>
      </c>
      <c r="G852" s="131" cm="1">
        <f ca="1" t="array" ref="G852">IF(G1454=1,OFFSET($W$634,$B852,G$631-1)/SUMPRODUCT(--($D$631:$V$631=G$631),--($D1454:$V1454=1)),0)+SUM(G851)+IF(COUNTIF(G$1237:G1454,1)=1,5,0)+IF(COUNTIF(H852:$W852,"&gt;"&amp;0)&lt;5,IF(AND(COUNTIF(G$1237:G1454,1)&gt;7,MOD(1+IFERROR(MATCH($C852,总览!$D$46:$D$345,1)+1,1),7)=0),$C$3,0),0)</f>
        <v>666.066666666667</v>
      </c>
      <c r="H852" s="131" cm="1">
        <f ca="1" t="array" ref="H852">IF(H1454=1,OFFSET($W$634,$B852,H$631-1)/SUMPRODUCT(--($D$631:$V$631=H$631),--($D1454:$V1454=1)),0)+SUM(H851)+IF(COUNTIF(H$1237:H1454,1)=1,5,0)+IF(COUNTIF(I852:$W852,"&gt;"&amp;0)&lt;5,IF(AND(COUNTIF(H$1237:H1454,1)&gt;7,MOD(1+IFERROR(MATCH($C852,总览!$D$46:$D$345,1)+1,1),7)=0),$C$3,0),0)</f>
        <v>666.066666666667</v>
      </c>
      <c r="I852" s="131" cm="1">
        <f ca="1" t="array" ref="I852">IF(I1454=1,OFFSET($W$634,$B852,I$631-1)/SUMPRODUCT(--($D$631:$V$631=I$631),--($D1454:$V1454=1)),0)+SUM(I851)+IF(COUNTIF(I$1237:I1454,1)=1,5,0)+IF(COUNTIF(J852:$W852,"&gt;"&amp;0)&lt;5,IF(AND(COUNTIF(I$1237:I1454,1)&gt;7,MOD(1+IFERROR(MATCH($C852,总览!$D$46:$D$345,1)+1,1),7)=0),$C$3,0),0)</f>
        <v>666.066666666667</v>
      </c>
      <c r="J852" s="131" cm="1">
        <f ca="1" t="array" ref="J852">IF(J1454=1,OFFSET($W$634,$B852,J$631-1)/SUMPRODUCT(--($D$631:$V$631=J$631),--($D1454:$V1454=1)),0)+SUM(J851)+IF(COUNTIF(J$1237:J1454,1)=1,5,0)+IF(COUNTIF(K852:$W852,"&gt;"&amp;0)&lt;5,IF(AND(COUNTIF(J$1237:J1454,1)&gt;7,MOD(1+IFERROR(MATCH($C852,总览!$D$46:$D$345,1)+1,1),7)=0),$C$3,0),0)</f>
        <v>662.733333333334</v>
      </c>
      <c r="K852" s="131" cm="1">
        <f ca="1" t="array" ref="K852">IF(K1454=1,OFFSET($W$634,$B852,K$631-1)/SUMPRODUCT(--($D$631:$V$631=K$631),--($D1454:$V1454=1)),0)+SUM(K851)+IF(COUNTIF(K$1237:K1454,1)=1,5,0)+IF(COUNTIF(L852:$W852,"&gt;"&amp;0)&lt;5,IF(AND(COUNTIF(K$1237:K1454,1)&gt;7,MOD(1+IFERROR(MATCH($C852,总览!$D$46:$D$345,1)+1,1),7)=0),$C$3,0),0)</f>
        <v>660.233333333334</v>
      </c>
      <c r="L852" s="131" cm="1">
        <f ca="1" t="array" ref="L852">IF(L1454=1,OFFSET($W$634,$B852,L$631-1)/SUMPRODUCT(--($D$631:$V$631=L$631),--($D1454:$V1454=1)),0)+SUM(L851)+IF(COUNTIF(L$1237:L1454,1)=1,5,0)+IF(COUNTIF(M852:$W852,"&gt;"&amp;0)&lt;5,IF(AND(COUNTIF(L$1237:L1454,1)&gt;7,MOD(1+IFERROR(MATCH($C852,总览!$D$46:$D$345,1)+1,1),7)=0),$C$3,0),0)</f>
        <v>660.233333333334</v>
      </c>
      <c r="M852" s="131" cm="1">
        <f ca="1" t="array" ref="M852">IF(M1454=1,OFFSET($W$634,$B852,M$631-1)/SUMPRODUCT(--($D$631:$V$631=M$631),--($D1454:$V1454=1)),0)+SUM(M851)+IF(COUNTIF(M$1237:M1454,1)=1,5,0)+IF(COUNTIF(N852:$W852,"&gt;"&amp;0)&lt;5,IF(AND(COUNTIF(M$1237:M1454,1)&gt;7,MOD(1+IFERROR(MATCH($C852,总览!$D$46:$D$345,1)+1,1),7)=0),$C$3,0),0)</f>
        <v>269.181249999999</v>
      </c>
      <c r="N852" s="131" cm="1">
        <f ca="1" t="array" ref="N852">IF(N1454=1,OFFSET($W$634,$B852,N$631-1)/SUMPRODUCT(--($D$631:$V$631=N$631),--($D1454:$V1454=1)),0)+SUM(N851)+IF(COUNTIF(N$1237:N1454,1)=1,5,0)+IF(COUNTIF(O852:$W852,"&gt;"&amp;0)&lt;5,IF(AND(COUNTIF(N$1237:N1454,1)&gt;7,MOD(1+IFERROR(MATCH($C852,总览!$D$46:$D$345,1)+1,1),7)=0),$C$3,0),0)</f>
        <v>270.431249999999</v>
      </c>
      <c r="O852" s="131" cm="1">
        <f ca="1" t="array" ref="O852">IF(O1454=1,OFFSET($W$634,$B852,O$631-1)/SUMPRODUCT(--($D$631:$V$631=O$631),--($D1454:$V1454=1)),0)+SUM(O851)+IF(COUNTIF(O$1237:O1454,1)=1,5,0)+IF(COUNTIF(P852:$W852,"&gt;"&amp;0)&lt;5,IF(AND(COUNTIF(O$1237:O1454,1)&gt;7,MOD(1+IFERROR(MATCH($C852,总览!$D$46:$D$345,1)+1,1),7)=0),$C$3,0),0)</f>
        <v>275.431249999999</v>
      </c>
      <c r="P852" s="131" cm="1">
        <f ca="1" t="array" ref="P852">IF(P1454=1,OFFSET($W$634,$B852,P$631-1)/SUMPRODUCT(--($D$631:$V$631=P$631),--($D1454:$V1454=1)),0)+SUM(P851)+IF(COUNTIF(P$1237:P1454,1)=1,5,0)+IF(COUNTIF(Q852:$W852,"&gt;"&amp;0)&lt;5,IF(AND(COUNTIF(P$1237:P1454,1)&gt;7,MOD(1+IFERROR(MATCH($C852,总览!$D$46:$D$345,1)+1,1),7)=0),$C$3,0),0)</f>
        <v>264.549999999999</v>
      </c>
      <c r="Q852" s="131" cm="1">
        <f ca="1" t="array" ref="Q852">IF(Q1454=1,OFFSET($W$634,$B852,Q$631-1)/SUMPRODUCT(--($D$631:$V$631=Q$631),--($D1454:$V1454=1)),0)+SUM(Q851)+IF(COUNTIF(Q$1237:Q1454,1)=1,5,0)+IF(COUNTIF(R852:$W852,"&gt;"&amp;0)&lt;5,IF(AND(COUNTIF(Q$1237:Q1454,1)&gt;7,MOD(1+IFERROR(MATCH($C852,总览!$D$46:$D$345,1)+1,1),7)=0),$C$3,0),0)</f>
        <v>277.931249999999</v>
      </c>
      <c r="R852" s="131" cm="1">
        <f ca="1" t="array" ref="R852">IF(R1454=1,OFFSET($W$634,$B852,R$631-1)/SUMPRODUCT(--($D$631:$V$631=R$631),--($D1454:$V1454=1)),0)+SUM(R851)+IF(COUNTIF(R$1237:R1454,1)=1,5,0)+IF(COUNTIF(S852:$W852,"&gt;"&amp;0)&lt;5,IF(AND(COUNTIF(R$1237:R1454,1)&gt;7,MOD(1+IFERROR(MATCH($C852,总览!$D$46:$D$345,1)+1,1),7)=0),$C$3,0),0)</f>
        <v>269.549999999999</v>
      </c>
      <c r="S852" s="131" cm="1">
        <f ca="1" t="array" ref="S852">IF(S1454=1,OFFSET($W$634,$B852,S$631-1)/SUMPRODUCT(--($D$631:$V$631=S$631),--($D1454:$V1454=1)),0)+SUM(S851)+IF(COUNTIF(S$1237:S1454,1)=1,5,0)+IF(COUNTIF(T852:$W852,"&gt;"&amp;0)&lt;5,IF(AND(COUNTIF(S$1237:S1454,1)&gt;7,MOD(1+IFERROR(MATCH($C852,总览!$D$46:$D$345,1)+1,1),7)=0),$C$3,0),0)</f>
        <v>362.05</v>
      </c>
      <c r="T852" s="131" cm="1">
        <f ca="1" t="array" ref="T852">IF(T1454=1,OFFSET($W$634,$B852,T$631-1)/SUMPRODUCT(--($D$631:$V$631=T$631),--($D1454:$V1454=1)),0)+SUM(T851)+IF(COUNTIF(T$1237:T1454,1)=1,5,0)+IF(COUNTIF(U852:$W852,"&gt;"&amp;0)&lt;5,IF(AND(COUNTIF(T$1237:T1454,1)&gt;7,MOD(1+IFERROR(MATCH($C852,总览!$D$46:$D$345,1)+1,1),7)=0),$C$3,0),0)</f>
        <v>264.049301296114</v>
      </c>
      <c r="U852" s="131" cm="1">
        <f ca="1" t="array" ref="U852">IF(U1454=1,OFFSET($W$634,$B852,U$631-1)/SUMPRODUCT(--($D$631:$V$631=U$631),--($D1454:$V1454=1)),0)+SUM(U851)+IF(COUNTIF(U$1237:U1454,1)=1,5,0)+IF(COUNTIF(V852:$W852,"&gt;"&amp;0)&lt;5,IF(AND(COUNTIF(U$1237:U1454,1)&gt;7,MOD(1+IFERROR(MATCH($C852,总览!$D$46:$D$345,1)+1,1),7)=0),$C$3,0),0)</f>
        <v>269.570087651414</v>
      </c>
      <c r="V852" s="131" cm="1">
        <f ca="1" t="array" ref="V852">IF(V1454=1,OFFSET($W$634,$B852,V$631-1)/SUMPRODUCT(--($D$631:$V$631=V$631),--($D1454:$V1454=1)),0)+SUM(V851)+IF(COUNTIF(V$1237:V1454,1)=1,5,0)+IF(COUNTIF(W852:$W852,"&gt;"&amp;0)&lt;5,IF(AND(COUNTIF(V$1237:V1454,1)&gt;7,MOD(1+IFERROR(MATCH($C852,总览!$D$46:$D$345,1)+1,1),7)=0),$C$3,0),0)</f>
        <v>289.397087363847</v>
      </c>
      <c r="W852" s="135" cm="1">
        <f ca="1" t="array" ref="W852">SUMPRODUCT(TRANSPOSE($AA852:$AG852),OFFSET($L$9:$L$15,0,W$631-1))</f>
        <v>16.8502200646615</v>
      </c>
      <c r="X852" s="135" cm="1">
        <f ca="1" t="array" ref="X852">SUMPRODUCT(TRANSPOSE($AA852:$AG852),OFFSET($L$9:$L$15,0,X$631-1))</f>
        <v>20</v>
      </c>
      <c r="Y852" s="135" cm="1">
        <f ca="1" t="array" ref="Y852">SUMPRODUCT(TRANSPOSE($AA852:$AG852),OFFSET($L$9:$L$15,0,Y$631-1))</f>
        <v>10</v>
      </c>
      <c r="Z852" s="135" cm="1">
        <f ca="1" t="array" ref="Z852">SUMPRODUCT(TRANSPOSE($AA852:$AG852),OFFSET($L$9:$L$15,0,Z$631-1))</f>
        <v>3.14977993533847</v>
      </c>
      <c r="AA852" s="136">
        <f ca="1" t="shared" ref="AA852:AG852" si="681">AH852-AH851</f>
        <v>0</v>
      </c>
      <c r="AB852" s="136">
        <f ca="1" t="shared" si="681"/>
        <v>0</v>
      </c>
      <c r="AC852" s="136">
        <f ca="1" t="shared" si="681"/>
        <v>0</v>
      </c>
      <c r="AD852" s="136">
        <f ca="1" t="shared" si="681"/>
        <v>0</v>
      </c>
      <c r="AE852" s="136">
        <f ca="1" t="shared" si="681"/>
        <v>0</v>
      </c>
      <c r="AF852" s="136">
        <f ca="1" t="shared" si="681"/>
        <v>0</v>
      </c>
      <c r="AG852" s="136">
        <f ca="1" t="shared" si="681"/>
        <v>100</v>
      </c>
      <c r="AH852" s="136">
        <f ca="1" t="shared" si="631"/>
        <v>450</v>
      </c>
      <c r="AI852" s="136">
        <f ca="1" t="shared" ref="AI852:AN852" si="682">IF($C852&gt;OFFSET($Q$8,MATCH(AI$634,$AH$634:$AN$634,0),0),OFFSET($P$8,MATCH(AI$634,$AH$634:$AN$634,0),0),MAX(0,$C852-OFFSET($Q$8,RIGHT(AI$634,1)-1,0)))</f>
        <v>909</v>
      </c>
      <c r="AJ852" s="136">
        <f ca="1" t="shared" si="682"/>
        <v>1818</v>
      </c>
      <c r="AK852" s="136">
        <f ca="1" t="shared" si="682"/>
        <v>2727</v>
      </c>
      <c r="AL852" s="136">
        <f ca="1" t="shared" si="682"/>
        <v>3636</v>
      </c>
      <c r="AM852" s="136">
        <f ca="1" t="shared" si="682"/>
        <v>4545</v>
      </c>
      <c r="AN852" s="136">
        <f ca="1" t="shared" si="682"/>
        <v>7715</v>
      </c>
    </row>
    <row r="853" s="106" customFormat="1" ht="16.5" spans="2:40">
      <c r="B853" s="117">
        <v>219</v>
      </c>
      <c r="C853" s="130">
        <f t="shared" si="629"/>
        <v>21900</v>
      </c>
      <c r="D853" s="131" cm="1">
        <f ca="1" t="array" ref="D853">IF(D1455=1,OFFSET($W$634,$B853,D$631-1)/SUMPRODUCT(--($D$631:$V$631=D$631),--($D1455:$V1455=1)),0)+SUM(D852)+IF(COUNTIF(D$1237:D1455,1)=1,5,0)+IF(COUNTIF(E853:$W853,"&gt;"&amp;0)&lt;5,IF(AND(COUNTIF(D$1237:D1455,1)&gt;7,MOD(1+IFERROR(MATCH($C853,总览!$D$46:$D$345,1)+1,1),7)=0),$C$3,0),0)</f>
        <v>1557.76958125109</v>
      </c>
      <c r="E853" s="131" cm="1">
        <f ca="1" t="array" ref="E853">IF(E1455=1,OFFSET($W$634,$B853,E$631-1)/SUMPRODUCT(--($D$631:$V$631=E$631),--($D1455:$V1455=1)),0)+SUM(E852)+IF(COUNTIF(E$1237:E1455,1)=1,5,0)+IF(COUNTIF(F853:$W853,"&gt;"&amp;0)&lt;5,IF(AND(COUNTIF(E$1237:E1455,1)&gt;7,MOD(1+IFERROR(MATCH($C853,总览!$D$46:$D$345,1)+1,1),7)=0),$C$3,0),0)</f>
        <v>1557.76958125109</v>
      </c>
      <c r="F853" s="131" cm="1">
        <f ca="1" t="array" ref="F853">IF(F1455=1,OFFSET($W$634,$B853,F$631-1)/SUMPRODUCT(--($D$631:$V$631=F$631),--($D1455:$V1455=1)),0)+SUM(F852)+IF(COUNTIF(F$1237:F1455,1)=1,5,0)+IF(COUNTIF(G853:$W853,"&gt;"&amp;0)&lt;5,IF(AND(COUNTIF(F$1237:F1455,1)&gt;7,MOD(1+IFERROR(MATCH($C853,总览!$D$46:$D$345,1)+1,1),7)=0),$C$3,0),0)</f>
        <v>1557.76958125109</v>
      </c>
      <c r="G853" s="131" cm="1">
        <f ca="1" t="array" ref="G853">IF(G1455=1,OFFSET($W$634,$B853,G$631-1)/SUMPRODUCT(--($D$631:$V$631=G$631),--($D1455:$V1455=1)),0)+SUM(G852)+IF(COUNTIF(G$1237:G1455,1)=1,5,0)+IF(COUNTIF(H853:$W853,"&gt;"&amp;0)&lt;5,IF(AND(COUNTIF(G$1237:G1455,1)&gt;7,MOD(1+IFERROR(MATCH($C853,总览!$D$46:$D$345,1)+1,1),7)=0),$C$3,0),0)</f>
        <v>669.4</v>
      </c>
      <c r="H853" s="131" cm="1">
        <f ca="1" t="array" ref="H853">IF(H1455=1,OFFSET($W$634,$B853,H$631-1)/SUMPRODUCT(--($D$631:$V$631=H$631),--($D1455:$V1455=1)),0)+SUM(H852)+IF(COUNTIF(H$1237:H1455,1)=1,5,0)+IF(COUNTIF(I853:$W853,"&gt;"&amp;0)&lt;5,IF(AND(COUNTIF(H$1237:H1455,1)&gt;7,MOD(1+IFERROR(MATCH($C853,总览!$D$46:$D$345,1)+1,1),7)=0),$C$3,0),0)</f>
        <v>669.4</v>
      </c>
      <c r="I853" s="131" cm="1">
        <f ca="1" t="array" ref="I853">IF(I1455=1,OFFSET($W$634,$B853,I$631-1)/SUMPRODUCT(--($D$631:$V$631=I$631),--($D1455:$V1455=1)),0)+SUM(I852)+IF(COUNTIF(I$1237:I1455,1)=1,5,0)+IF(COUNTIF(J853:$W853,"&gt;"&amp;0)&lt;5,IF(AND(COUNTIF(I$1237:I1455,1)&gt;7,MOD(1+IFERROR(MATCH($C853,总览!$D$46:$D$345,1)+1,1),7)=0),$C$3,0),0)</f>
        <v>669.4</v>
      </c>
      <c r="J853" s="131" cm="1">
        <f ca="1" t="array" ref="J853">IF(J1455=1,OFFSET($W$634,$B853,J$631-1)/SUMPRODUCT(--($D$631:$V$631=J$631),--($D1455:$V1455=1)),0)+SUM(J852)+IF(COUNTIF(J$1237:J1455,1)=1,5,0)+IF(COUNTIF(K853:$W853,"&gt;"&amp;0)&lt;5,IF(AND(COUNTIF(J$1237:J1455,1)&gt;7,MOD(1+IFERROR(MATCH($C853,总览!$D$46:$D$345,1)+1,1),7)=0),$C$3,0),0)</f>
        <v>666.066666666667</v>
      </c>
      <c r="K853" s="131" cm="1">
        <f ca="1" t="array" ref="K853">IF(K1455=1,OFFSET($W$634,$B853,K$631-1)/SUMPRODUCT(--($D$631:$V$631=K$631),--($D1455:$V1455=1)),0)+SUM(K852)+IF(COUNTIF(K$1237:K1455,1)=1,5,0)+IF(COUNTIF(L853:$W853,"&gt;"&amp;0)&lt;5,IF(AND(COUNTIF(K$1237:K1455,1)&gt;7,MOD(1+IFERROR(MATCH($C853,总览!$D$46:$D$345,1)+1,1),7)=0),$C$3,0),0)</f>
        <v>663.566666666667</v>
      </c>
      <c r="L853" s="131" cm="1">
        <f ca="1" t="array" ref="L853">IF(L1455=1,OFFSET($W$634,$B853,L$631-1)/SUMPRODUCT(--($D$631:$V$631=L$631),--($D1455:$V1455=1)),0)+SUM(L852)+IF(COUNTIF(L$1237:L1455,1)=1,5,0)+IF(COUNTIF(M853:$W853,"&gt;"&amp;0)&lt;5,IF(AND(COUNTIF(L$1237:L1455,1)&gt;7,MOD(1+IFERROR(MATCH($C853,总览!$D$46:$D$345,1)+1,1),7)=0),$C$3,0),0)</f>
        <v>663.566666666667</v>
      </c>
      <c r="M853" s="131" cm="1">
        <f ca="1" t="array" ref="M853">IF(M1455=1,OFFSET($W$634,$B853,M$631-1)/SUMPRODUCT(--($D$631:$V$631=M$631),--($D1455:$V1455=1)),0)+SUM(M852)+IF(COUNTIF(M$1237:M1455,1)=1,5,0)+IF(COUNTIF(N853:$W853,"&gt;"&amp;0)&lt;5,IF(AND(COUNTIF(M$1237:M1455,1)&gt;7,MOD(1+IFERROR(MATCH($C853,总览!$D$46:$D$345,1)+1,1),7)=0),$C$3,0),0)</f>
        <v>270.60982142857</v>
      </c>
      <c r="N853" s="131" cm="1">
        <f ca="1" t="array" ref="N853">IF(N1455=1,OFFSET($W$634,$B853,N$631-1)/SUMPRODUCT(--($D$631:$V$631=N$631),--($D1455:$V1455=1)),0)+SUM(N852)+IF(COUNTIF(N$1237:N1455,1)=1,5,0)+IF(COUNTIF(O853:$W853,"&gt;"&amp;0)&lt;5,IF(AND(COUNTIF(N$1237:N1455,1)&gt;7,MOD(1+IFERROR(MATCH($C853,总览!$D$46:$D$345,1)+1,1),7)=0),$C$3,0),0)</f>
        <v>271.85982142857</v>
      </c>
      <c r="O853" s="131" cm="1">
        <f ca="1" t="array" ref="O853">IF(O1455=1,OFFSET($W$634,$B853,O$631-1)/SUMPRODUCT(--($D$631:$V$631=O$631),--($D1455:$V1455=1)),0)+SUM(O852)+IF(COUNTIF(O$1237:O1455,1)=1,5,0)+IF(COUNTIF(P853:$W853,"&gt;"&amp;0)&lt;5,IF(AND(COUNTIF(O$1237:O1455,1)&gt;7,MOD(1+IFERROR(MATCH($C853,总览!$D$46:$D$345,1)+1,1),7)=0),$C$3,0),0)</f>
        <v>276.85982142857</v>
      </c>
      <c r="P853" s="131" cm="1">
        <f ca="1" t="array" ref="P853">IF(P1455=1,OFFSET($W$634,$B853,P$631-1)/SUMPRODUCT(--($D$631:$V$631=P$631),--($D1455:$V1455=1)),0)+SUM(P852)+IF(COUNTIF(P$1237:P1455,1)=1,5,0)+IF(COUNTIF(Q853:$W853,"&gt;"&amp;0)&lt;5,IF(AND(COUNTIF(P$1237:P1455,1)&gt;7,MOD(1+IFERROR(MATCH($C853,总览!$D$46:$D$345,1)+1,1),7)=0),$C$3,0),0)</f>
        <v>265.97857142857</v>
      </c>
      <c r="Q853" s="131" cm="1">
        <f ca="1" t="array" ref="Q853">IF(Q1455=1,OFFSET($W$634,$B853,Q$631-1)/SUMPRODUCT(--($D$631:$V$631=Q$631),--($D1455:$V1455=1)),0)+SUM(Q852)+IF(COUNTIF(Q$1237:Q1455,1)=1,5,0)+IF(COUNTIF(R853:$W853,"&gt;"&amp;0)&lt;5,IF(AND(COUNTIF(Q$1237:Q1455,1)&gt;7,MOD(1+IFERROR(MATCH($C853,总览!$D$46:$D$345,1)+1,1),7)=0),$C$3,0),0)</f>
        <v>279.35982142857</v>
      </c>
      <c r="R853" s="131" cm="1">
        <f ca="1" t="array" ref="R853">IF(R1455=1,OFFSET($W$634,$B853,R$631-1)/SUMPRODUCT(--($D$631:$V$631=R$631),--($D1455:$V1455=1)),0)+SUM(R852)+IF(COUNTIF(R$1237:R1455,1)=1,5,0)+IF(COUNTIF(S853:$W853,"&gt;"&amp;0)&lt;5,IF(AND(COUNTIF(R$1237:R1455,1)&gt;7,MOD(1+IFERROR(MATCH($C853,总览!$D$46:$D$345,1)+1,1),7)=0),$C$3,0),0)</f>
        <v>270.97857142857</v>
      </c>
      <c r="S853" s="131" cm="1">
        <f ca="1" t="array" ref="S853">IF(S1455=1,OFFSET($W$634,$B853,S$631-1)/SUMPRODUCT(--($D$631:$V$631=S$631),--($D1455:$V1455=1)),0)+SUM(S852)+IF(COUNTIF(S$1237:S1455,1)=1,5,0)+IF(COUNTIF(T853:$W853,"&gt;"&amp;0)&lt;5,IF(AND(COUNTIF(S$1237:S1455,1)&gt;7,MOD(1+IFERROR(MATCH($C853,总览!$D$46:$D$345,1)+1,1),7)=0),$C$3,0),0)</f>
        <v>363.478571428572</v>
      </c>
      <c r="T853" s="131" cm="1">
        <f ca="1" t="array" ref="T853">IF(T1455=1,OFFSET($W$634,$B853,T$631-1)/SUMPRODUCT(--($D$631:$V$631=T$631),--($D1455:$V1455=1)),0)+SUM(T852)+IF(COUNTIF(T$1237:T1455,1)=1,5,0)+IF(COUNTIF(U853:$W853,"&gt;"&amp;0)&lt;5,IF(AND(COUNTIF(T$1237:T1455,1)&gt;7,MOD(1+IFERROR(MATCH($C853,总览!$D$46:$D$345,1)+1,1),7)=0),$C$3,0),0)</f>
        <v>265.099227941227</v>
      </c>
      <c r="U853" s="131" cm="1">
        <f ca="1" t="array" ref="U853">IF(U1455=1,OFFSET($W$634,$B853,U$631-1)/SUMPRODUCT(--($D$631:$V$631=U$631),--($D1455:$V1455=1)),0)+SUM(U852)+IF(COUNTIF(U$1237:U1455,1)=1,5,0)+IF(COUNTIF(V853:$W853,"&gt;"&amp;0)&lt;5,IF(AND(COUNTIF(U$1237:U1455,1)&gt;7,MOD(1+IFERROR(MATCH($C853,总览!$D$46:$D$345,1)+1,1),7)=0),$C$3,0),0)</f>
        <v>270.620014296527</v>
      </c>
      <c r="V853" s="131" cm="1">
        <f ca="1" t="array" ref="V853">IF(V1455=1,OFFSET($W$634,$B853,V$631-1)/SUMPRODUCT(--($D$631:$V$631=V$631),--($D1455:$V1455=1)),0)+SUM(V852)+IF(COUNTIF(V$1237:V1455,1)=1,5,0)+IF(COUNTIF(W853:$W853,"&gt;"&amp;0)&lt;5,IF(AND(COUNTIF(V$1237:V1455,1)&gt;7,MOD(1+IFERROR(MATCH($C853,总览!$D$46:$D$345,1)+1,1),7)=0),$C$3,0),0)</f>
        <v>290.44701400896</v>
      </c>
      <c r="W853" s="135" cm="1">
        <f ca="1" t="array" ref="W853">SUMPRODUCT(TRANSPOSE($AA853:$AG853),OFFSET($L$9:$L$15,0,W$631-1))</f>
        <v>16.8502200646615</v>
      </c>
      <c r="X853" s="135" cm="1">
        <f ca="1" t="array" ref="X853">SUMPRODUCT(TRANSPOSE($AA853:$AG853),OFFSET($L$9:$L$15,0,X$631-1))</f>
        <v>20</v>
      </c>
      <c r="Y853" s="135" cm="1">
        <f ca="1" t="array" ref="Y853">SUMPRODUCT(TRANSPOSE($AA853:$AG853),OFFSET($L$9:$L$15,0,Y$631-1))</f>
        <v>10</v>
      </c>
      <c r="Z853" s="135" cm="1">
        <f ca="1" t="array" ref="Z853">SUMPRODUCT(TRANSPOSE($AA853:$AG853),OFFSET($L$9:$L$15,0,Z$631-1))</f>
        <v>3.14977993533847</v>
      </c>
      <c r="AA853" s="136">
        <f ca="1" t="shared" ref="AA853:AG853" si="683">AH853-AH852</f>
        <v>0</v>
      </c>
      <c r="AB853" s="136">
        <f ca="1" t="shared" si="683"/>
        <v>0</v>
      </c>
      <c r="AC853" s="136">
        <f ca="1" t="shared" si="683"/>
        <v>0</v>
      </c>
      <c r="AD853" s="136">
        <f ca="1" t="shared" si="683"/>
        <v>0</v>
      </c>
      <c r="AE853" s="136">
        <f ca="1" t="shared" si="683"/>
        <v>0</v>
      </c>
      <c r="AF853" s="136">
        <f ca="1" t="shared" si="683"/>
        <v>0</v>
      </c>
      <c r="AG853" s="136">
        <f ca="1" t="shared" si="683"/>
        <v>100</v>
      </c>
      <c r="AH853" s="136">
        <f ca="1" t="shared" si="631"/>
        <v>450</v>
      </c>
      <c r="AI853" s="136">
        <f ca="1" t="shared" ref="AI853:AN853" si="684">IF($C853&gt;OFFSET($Q$8,MATCH(AI$634,$AH$634:$AN$634,0),0),OFFSET($P$8,MATCH(AI$634,$AH$634:$AN$634,0),0),MAX(0,$C853-OFFSET($Q$8,RIGHT(AI$634,1)-1,0)))</f>
        <v>909</v>
      </c>
      <c r="AJ853" s="136">
        <f ca="1" t="shared" si="684"/>
        <v>1818</v>
      </c>
      <c r="AK853" s="136">
        <f ca="1" t="shared" si="684"/>
        <v>2727</v>
      </c>
      <c r="AL853" s="136">
        <f ca="1" t="shared" si="684"/>
        <v>3636</v>
      </c>
      <c r="AM853" s="136">
        <f ca="1" t="shared" si="684"/>
        <v>4545</v>
      </c>
      <c r="AN853" s="136">
        <f ca="1" t="shared" si="684"/>
        <v>7815</v>
      </c>
    </row>
    <row r="854" s="106" customFormat="1" ht="16.5" spans="2:40">
      <c r="B854" s="117">
        <v>220</v>
      </c>
      <c r="C854" s="130">
        <f t="shared" si="629"/>
        <v>22000</v>
      </c>
      <c r="D854" s="131" cm="1">
        <f ca="1" t="array" ref="D854">IF(D1456=1,OFFSET($W$634,$B854,D$631-1)/SUMPRODUCT(--($D$631:$V$631=D$631),--($D1456:$V1456=1)),0)+SUM(D853)+IF(COUNTIF(D$1237:D1456,1)=1,5,0)+IF(COUNTIF(E854:$W854,"&gt;"&amp;0)&lt;5,IF(AND(COUNTIF(D$1237:D1456,1)&gt;7,MOD(1+IFERROR(MATCH($C854,总览!$D$46:$D$345,1)+1,1),7)=0),$C$3,0),0)</f>
        <v>1563.38632127265</v>
      </c>
      <c r="E854" s="131" cm="1">
        <f ca="1" t="array" ref="E854">IF(E1456=1,OFFSET($W$634,$B854,E$631-1)/SUMPRODUCT(--($D$631:$V$631=E$631),--($D1456:$V1456=1)),0)+SUM(E853)+IF(COUNTIF(E$1237:E1456,1)=1,5,0)+IF(COUNTIF(F854:$W854,"&gt;"&amp;0)&lt;5,IF(AND(COUNTIF(E$1237:E1456,1)&gt;7,MOD(1+IFERROR(MATCH($C854,总览!$D$46:$D$345,1)+1,1),7)=0),$C$3,0),0)</f>
        <v>1563.38632127265</v>
      </c>
      <c r="F854" s="131" cm="1">
        <f ca="1" t="array" ref="F854">IF(F1456=1,OFFSET($W$634,$B854,F$631-1)/SUMPRODUCT(--($D$631:$V$631=F$631),--($D1456:$V1456=1)),0)+SUM(F853)+IF(COUNTIF(F$1237:F1456,1)=1,5,0)+IF(COUNTIF(G854:$W854,"&gt;"&amp;0)&lt;5,IF(AND(COUNTIF(F$1237:F1456,1)&gt;7,MOD(1+IFERROR(MATCH($C854,总览!$D$46:$D$345,1)+1,1),7)=0),$C$3,0),0)</f>
        <v>1563.38632127265</v>
      </c>
      <c r="G854" s="131" cm="1">
        <f ca="1" t="array" ref="G854">IF(G1456=1,OFFSET($W$634,$B854,G$631-1)/SUMPRODUCT(--($D$631:$V$631=G$631),--($D1456:$V1456=1)),0)+SUM(G853)+IF(COUNTIF(G$1237:G1456,1)=1,5,0)+IF(COUNTIF(H854:$W854,"&gt;"&amp;0)&lt;5,IF(AND(COUNTIF(G$1237:G1456,1)&gt;7,MOD(1+IFERROR(MATCH($C854,总览!$D$46:$D$345,1)+1,1),7)=0),$C$3,0),0)</f>
        <v>672.733333333334</v>
      </c>
      <c r="H854" s="131" cm="1">
        <f ca="1" t="array" ref="H854">IF(H1456=1,OFFSET($W$634,$B854,H$631-1)/SUMPRODUCT(--($D$631:$V$631=H$631),--($D1456:$V1456=1)),0)+SUM(H853)+IF(COUNTIF(H$1237:H1456,1)=1,5,0)+IF(COUNTIF(I854:$W854,"&gt;"&amp;0)&lt;5,IF(AND(COUNTIF(H$1237:H1456,1)&gt;7,MOD(1+IFERROR(MATCH($C854,总览!$D$46:$D$345,1)+1,1),7)=0),$C$3,0),0)</f>
        <v>672.733333333334</v>
      </c>
      <c r="I854" s="131" cm="1">
        <f ca="1" t="array" ref="I854">IF(I1456=1,OFFSET($W$634,$B854,I$631-1)/SUMPRODUCT(--($D$631:$V$631=I$631),--($D1456:$V1456=1)),0)+SUM(I853)+IF(COUNTIF(I$1237:I1456,1)=1,5,0)+IF(COUNTIF(J854:$W854,"&gt;"&amp;0)&lt;5,IF(AND(COUNTIF(I$1237:I1456,1)&gt;7,MOD(1+IFERROR(MATCH($C854,总览!$D$46:$D$345,1)+1,1),7)=0),$C$3,0),0)</f>
        <v>672.733333333334</v>
      </c>
      <c r="J854" s="131" cm="1">
        <f ca="1" t="array" ref="J854">IF(J1456=1,OFFSET($W$634,$B854,J$631-1)/SUMPRODUCT(--($D$631:$V$631=J$631),--($D1456:$V1456=1)),0)+SUM(J853)+IF(COUNTIF(J$1237:J1456,1)=1,5,0)+IF(COUNTIF(K854:$W854,"&gt;"&amp;0)&lt;5,IF(AND(COUNTIF(J$1237:J1456,1)&gt;7,MOD(1+IFERROR(MATCH($C854,总览!$D$46:$D$345,1)+1,1),7)=0),$C$3,0),0)</f>
        <v>669.4</v>
      </c>
      <c r="K854" s="131" cm="1">
        <f ca="1" t="array" ref="K854">IF(K1456=1,OFFSET($W$634,$B854,K$631-1)/SUMPRODUCT(--($D$631:$V$631=K$631),--($D1456:$V1456=1)),0)+SUM(K853)+IF(COUNTIF(K$1237:K1456,1)=1,5,0)+IF(COUNTIF(L854:$W854,"&gt;"&amp;0)&lt;5,IF(AND(COUNTIF(K$1237:K1456,1)&gt;7,MOD(1+IFERROR(MATCH($C854,总览!$D$46:$D$345,1)+1,1),7)=0),$C$3,0),0)</f>
        <v>666.9</v>
      </c>
      <c r="L854" s="131" cm="1">
        <f ca="1" t="array" ref="L854">IF(L1456=1,OFFSET($W$634,$B854,L$631-1)/SUMPRODUCT(--($D$631:$V$631=L$631),--($D1456:$V1456=1)),0)+SUM(L853)+IF(COUNTIF(L$1237:L1456,1)=1,5,0)+IF(COUNTIF(M854:$W854,"&gt;"&amp;0)&lt;5,IF(AND(COUNTIF(L$1237:L1456,1)&gt;7,MOD(1+IFERROR(MATCH($C854,总览!$D$46:$D$345,1)+1,1),7)=0),$C$3,0),0)</f>
        <v>666.9</v>
      </c>
      <c r="M854" s="131" cm="1">
        <f ca="1" t="array" ref="M854">IF(M1456=1,OFFSET($W$634,$B854,M$631-1)/SUMPRODUCT(--($D$631:$V$631=M$631),--($D1456:$V1456=1)),0)+SUM(M853)+IF(COUNTIF(M$1237:M1456,1)=1,5,0)+IF(COUNTIF(N854:$W854,"&gt;"&amp;0)&lt;5,IF(AND(COUNTIF(M$1237:M1456,1)&gt;7,MOD(1+IFERROR(MATCH($C854,总览!$D$46:$D$345,1)+1,1),7)=0),$C$3,0),0)</f>
        <v>272.038392857142</v>
      </c>
      <c r="N854" s="131" cm="1">
        <f ca="1" t="array" ref="N854">IF(N1456=1,OFFSET($W$634,$B854,N$631-1)/SUMPRODUCT(--($D$631:$V$631=N$631),--($D1456:$V1456=1)),0)+SUM(N853)+IF(COUNTIF(N$1237:N1456,1)=1,5,0)+IF(COUNTIF(O854:$W854,"&gt;"&amp;0)&lt;5,IF(AND(COUNTIF(N$1237:N1456,1)&gt;7,MOD(1+IFERROR(MATCH($C854,总览!$D$46:$D$345,1)+1,1),7)=0),$C$3,0),0)</f>
        <v>273.288392857142</v>
      </c>
      <c r="O854" s="131" cm="1">
        <f ca="1" t="array" ref="O854">IF(O1456=1,OFFSET($W$634,$B854,O$631-1)/SUMPRODUCT(--($D$631:$V$631=O$631),--($D1456:$V1456=1)),0)+SUM(O853)+IF(COUNTIF(O$1237:O1456,1)=1,5,0)+IF(COUNTIF(P854:$W854,"&gt;"&amp;0)&lt;5,IF(AND(COUNTIF(O$1237:O1456,1)&gt;7,MOD(1+IFERROR(MATCH($C854,总览!$D$46:$D$345,1)+1,1),7)=0),$C$3,0),0)</f>
        <v>278.288392857142</v>
      </c>
      <c r="P854" s="131" cm="1">
        <f ca="1" t="array" ref="P854">IF(P1456=1,OFFSET($W$634,$B854,P$631-1)/SUMPRODUCT(--($D$631:$V$631=P$631),--($D1456:$V1456=1)),0)+SUM(P853)+IF(COUNTIF(P$1237:P1456,1)=1,5,0)+IF(COUNTIF(Q854:$W854,"&gt;"&amp;0)&lt;5,IF(AND(COUNTIF(P$1237:P1456,1)&gt;7,MOD(1+IFERROR(MATCH($C854,总览!$D$46:$D$345,1)+1,1),7)=0),$C$3,0),0)</f>
        <v>267.407142857142</v>
      </c>
      <c r="Q854" s="131" cm="1">
        <f ca="1" t="array" ref="Q854">IF(Q1456=1,OFFSET($W$634,$B854,Q$631-1)/SUMPRODUCT(--($D$631:$V$631=Q$631),--($D1456:$V1456=1)),0)+SUM(Q853)+IF(COUNTIF(Q$1237:Q1456,1)=1,5,0)+IF(COUNTIF(R854:$W854,"&gt;"&amp;0)&lt;5,IF(AND(COUNTIF(Q$1237:Q1456,1)&gt;7,MOD(1+IFERROR(MATCH($C854,总览!$D$46:$D$345,1)+1,1),7)=0),$C$3,0),0)</f>
        <v>280.788392857142</v>
      </c>
      <c r="R854" s="131" cm="1">
        <f ca="1" t="array" ref="R854">IF(R1456=1,OFFSET($W$634,$B854,R$631-1)/SUMPRODUCT(--($D$631:$V$631=R$631),--($D1456:$V1456=1)),0)+SUM(R853)+IF(COUNTIF(R$1237:R1456,1)=1,5,0)+IF(COUNTIF(S854:$W854,"&gt;"&amp;0)&lt;5,IF(AND(COUNTIF(R$1237:R1456,1)&gt;7,MOD(1+IFERROR(MATCH($C854,总览!$D$46:$D$345,1)+1,1),7)=0),$C$3,0),0)</f>
        <v>272.407142857142</v>
      </c>
      <c r="S854" s="131" cm="1">
        <f ca="1" t="array" ref="S854">IF(S1456=1,OFFSET($W$634,$B854,S$631-1)/SUMPRODUCT(--($D$631:$V$631=S$631),--($D1456:$V1456=1)),0)+SUM(S853)+IF(COUNTIF(S$1237:S1456,1)=1,5,0)+IF(COUNTIF(T854:$W854,"&gt;"&amp;0)&lt;5,IF(AND(COUNTIF(S$1237:S1456,1)&gt;7,MOD(1+IFERROR(MATCH($C854,总览!$D$46:$D$345,1)+1,1),7)=0),$C$3,0),0)</f>
        <v>364.907142857143</v>
      </c>
      <c r="T854" s="131" cm="1">
        <f ca="1" t="array" ref="T854">IF(T1456=1,OFFSET($W$634,$B854,T$631-1)/SUMPRODUCT(--($D$631:$V$631=T$631),--($D1456:$V1456=1)),0)+SUM(T853)+IF(COUNTIF(T$1237:T1456,1)=1,5,0)+IF(COUNTIF(U854:$W854,"&gt;"&amp;0)&lt;5,IF(AND(COUNTIF(T$1237:T1456,1)&gt;7,MOD(1+IFERROR(MATCH($C854,总览!$D$46:$D$345,1)+1,1),7)=0),$C$3,0),0)</f>
        <v>266.14915458634</v>
      </c>
      <c r="U854" s="131" cm="1">
        <f ca="1" t="array" ref="U854">IF(U1456=1,OFFSET($W$634,$B854,U$631-1)/SUMPRODUCT(--($D$631:$V$631=U$631),--($D1456:$V1456=1)),0)+SUM(U853)+IF(COUNTIF(U$1237:U1456,1)=1,5,0)+IF(COUNTIF(V854:$W854,"&gt;"&amp;0)&lt;5,IF(AND(COUNTIF(U$1237:U1456,1)&gt;7,MOD(1+IFERROR(MATCH($C854,总览!$D$46:$D$345,1)+1,1),7)=0),$C$3,0),0)</f>
        <v>271.66994094164</v>
      </c>
      <c r="V854" s="131" cm="1">
        <f ca="1" t="array" ref="V854">IF(V1456=1,OFFSET($W$634,$B854,V$631-1)/SUMPRODUCT(--($D$631:$V$631=V$631),--($D1456:$V1456=1)),0)+SUM(V853)+IF(COUNTIF(V$1237:V1456,1)=1,5,0)+IF(COUNTIF(W854:$W854,"&gt;"&amp;0)&lt;5,IF(AND(COUNTIF(V$1237:V1456,1)&gt;7,MOD(1+IFERROR(MATCH($C854,总览!$D$46:$D$345,1)+1,1),7)=0),$C$3,0),0)</f>
        <v>291.496940654073</v>
      </c>
      <c r="W854" s="135" cm="1">
        <f ca="1" t="array" ref="W854">SUMPRODUCT(TRANSPOSE($AA854:$AG854),OFFSET($L$9:$L$15,0,W$631-1))</f>
        <v>16.8502200646615</v>
      </c>
      <c r="X854" s="135" cm="1">
        <f ca="1" t="array" ref="X854">SUMPRODUCT(TRANSPOSE($AA854:$AG854),OFFSET($L$9:$L$15,0,X$631-1))</f>
        <v>20</v>
      </c>
      <c r="Y854" s="135" cm="1">
        <f ca="1" t="array" ref="Y854">SUMPRODUCT(TRANSPOSE($AA854:$AG854),OFFSET($L$9:$L$15,0,Y$631-1))</f>
        <v>10</v>
      </c>
      <c r="Z854" s="135" cm="1">
        <f ca="1" t="array" ref="Z854">SUMPRODUCT(TRANSPOSE($AA854:$AG854),OFFSET($L$9:$L$15,0,Z$631-1))</f>
        <v>3.14977993533847</v>
      </c>
      <c r="AA854" s="136">
        <f ca="1" t="shared" ref="AA854:AG854" si="685">AH854-AH853</f>
        <v>0</v>
      </c>
      <c r="AB854" s="136">
        <f ca="1" t="shared" si="685"/>
        <v>0</v>
      </c>
      <c r="AC854" s="136">
        <f ca="1" t="shared" si="685"/>
        <v>0</v>
      </c>
      <c r="AD854" s="136">
        <f ca="1" t="shared" si="685"/>
        <v>0</v>
      </c>
      <c r="AE854" s="136">
        <f ca="1" t="shared" si="685"/>
        <v>0</v>
      </c>
      <c r="AF854" s="136">
        <f ca="1" t="shared" si="685"/>
        <v>0</v>
      </c>
      <c r="AG854" s="136">
        <f ca="1" t="shared" si="685"/>
        <v>100</v>
      </c>
      <c r="AH854" s="136">
        <f ca="1" t="shared" si="631"/>
        <v>450</v>
      </c>
      <c r="AI854" s="136">
        <f ca="1" t="shared" ref="AI854:AN854" si="686">IF($C854&gt;OFFSET($Q$8,MATCH(AI$634,$AH$634:$AN$634,0),0),OFFSET($P$8,MATCH(AI$634,$AH$634:$AN$634,0),0),MAX(0,$C854-OFFSET($Q$8,RIGHT(AI$634,1)-1,0)))</f>
        <v>909</v>
      </c>
      <c r="AJ854" s="136">
        <f ca="1" t="shared" si="686"/>
        <v>1818</v>
      </c>
      <c r="AK854" s="136">
        <f ca="1" t="shared" si="686"/>
        <v>2727</v>
      </c>
      <c r="AL854" s="136">
        <f ca="1" t="shared" si="686"/>
        <v>3636</v>
      </c>
      <c r="AM854" s="136">
        <f ca="1" t="shared" si="686"/>
        <v>4545</v>
      </c>
      <c r="AN854" s="136">
        <f ca="1" t="shared" si="686"/>
        <v>7915</v>
      </c>
    </row>
    <row r="855" s="106" customFormat="1" ht="16.5" spans="2:40">
      <c r="B855" s="117">
        <v>221</v>
      </c>
      <c r="C855" s="130">
        <f t="shared" si="629"/>
        <v>22100</v>
      </c>
      <c r="D855" s="131" cm="1">
        <f ca="1" t="array" ref="D855">IF(D1457=1,OFFSET($W$634,$B855,D$631-1)/SUMPRODUCT(--($D$631:$V$631=D$631),--($D1457:$V1457=1)),0)+SUM(D854)+IF(COUNTIF(D$1237:D1457,1)=1,5,0)+IF(COUNTIF(E855:$W855,"&gt;"&amp;0)&lt;5,IF(AND(COUNTIF(D$1237:D1457,1)&gt;7,MOD(1+IFERROR(MATCH($C855,总览!$D$46:$D$345,1)+1,1),7)=0),$C$3,0),0)</f>
        <v>1569.0030612942</v>
      </c>
      <c r="E855" s="131" cm="1">
        <f ca="1" t="array" ref="E855">IF(E1457=1,OFFSET($W$634,$B855,E$631-1)/SUMPRODUCT(--($D$631:$V$631=E$631),--($D1457:$V1457=1)),0)+SUM(E854)+IF(COUNTIF(E$1237:E1457,1)=1,5,0)+IF(COUNTIF(F855:$W855,"&gt;"&amp;0)&lt;5,IF(AND(COUNTIF(E$1237:E1457,1)&gt;7,MOD(1+IFERROR(MATCH($C855,总览!$D$46:$D$345,1)+1,1),7)=0),$C$3,0),0)</f>
        <v>1569.0030612942</v>
      </c>
      <c r="F855" s="131" cm="1">
        <f ca="1" t="array" ref="F855">IF(F1457=1,OFFSET($W$634,$B855,F$631-1)/SUMPRODUCT(--($D$631:$V$631=F$631),--($D1457:$V1457=1)),0)+SUM(F854)+IF(COUNTIF(F$1237:F1457,1)=1,5,0)+IF(COUNTIF(G855:$W855,"&gt;"&amp;0)&lt;5,IF(AND(COUNTIF(F$1237:F1457,1)&gt;7,MOD(1+IFERROR(MATCH($C855,总览!$D$46:$D$345,1)+1,1),7)=0),$C$3,0),0)</f>
        <v>1569.0030612942</v>
      </c>
      <c r="G855" s="131" cm="1">
        <f ca="1" t="array" ref="G855">IF(G1457=1,OFFSET($W$634,$B855,G$631-1)/SUMPRODUCT(--($D$631:$V$631=G$631),--($D1457:$V1457=1)),0)+SUM(G854)+IF(COUNTIF(G$1237:G1457,1)=1,5,0)+IF(COUNTIF(H855:$W855,"&gt;"&amp;0)&lt;5,IF(AND(COUNTIF(G$1237:G1457,1)&gt;7,MOD(1+IFERROR(MATCH($C855,总览!$D$46:$D$345,1)+1,1),7)=0),$C$3,0),0)</f>
        <v>676.066666666667</v>
      </c>
      <c r="H855" s="131" cm="1">
        <f ca="1" t="array" ref="H855">IF(H1457=1,OFFSET($W$634,$B855,H$631-1)/SUMPRODUCT(--($D$631:$V$631=H$631),--($D1457:$V1457=1)),0)+SUM(H854)+IF(COUNTIF(H$1237:H1457,1)=1,5,0)+IF(COUNTIF(I855:$W855,"&gt;"&amp;0)&lt;5,IF(AND(COUNTIF(H$1237:H1457,1)&gt;7,MOD(1+IFERROR(MATCH($C855,总览!$D$46:$D$345,1)+1,1),7)=0),$C$3,0),0)</f>
        <v>676.066666666667</v>
      </c>
      <c r="I855" s="131" cm="1">
        <f ca="1" t="array" ref="I855">IF(I1457=1,OFFSET($W$634,$B855,I$631-1)/SUMPRODUCT(--($D$631:$V$631=I$631),--($D1457:$V1457=1)),0)+SUM(I854)+IF(COUNTIF(I$1237:I1457,1)=1,5,0)+IF(COUNTIF(J855:$W855,"&gt;"&amp;0)&lt;5,IF(AND(COUNTIF(I$1237:I1457,1)&gt;7,MOD(1+IFERROR(MATCH($C855,总览!$D$46:$D$345,1)+1,1),7)=0),$C$3,0),0)</f>
        <v>676.066666666667</v>
      </c>
      <c r="J855" s="131" cm="1">
        <f ca="1" t="array" ref="J855">IF(J1457=1,OFFSET($W$634,$B855,J$631-1)/SUMPRODUCT(--($D$631:$V$631=J$631),--($D1457:$V1457=1)),0)+SUM(J854)+IF(COUNTIF(J$1237:J1457,1)=1,5,0)+IF(COUNTIF(K855:$W855,"&gt;"&amp;0)&lt;5,IF(AND(COUNTIF(J$1237:J1457,1)&gt;7,MOD(1+IFERROR(MATCH($C855,总览!$D$46:$D$345,1)+1,1),7)=0),$C$3,0),0)</f>
        <v>672.733333333334</v>
      </c>
      <c r="K855" s="131" cm="1">
        <f ca="1" t="array" ref="K855">IF(K1457=1,OFFSET($W$634,$B855,K$631-1)/SUMPRODUCT(--($D$631:$V$631=K$631),--($D1457:$V1457=1)),0)+SUM(K854)+IF(COUNTIF(K$1237:K1457,1)=1,5,0)+IF(COUNTIF(L855:$W855,"&gt;"&amp;0)&lt;5,IF(AND(COUNTIF(K$1237:K1457,1)&gt;7,MOD(1+IFERROR(MATCH($C855,总览!$D$46:$D$345,1)+1,1),7)=0),$C$3,0),0)</f>
        <v>670.233333333334</v>
      </c>
      <c r="L855" s="131" cm="1">
        <f ca="1" t="array" ref="L855">IF(L1457=1,OFFSET($W$634,$B855,L$631-1)/SUMPRODUCT(--($D$631:$V$631=L$631),--($D1457:$V1457=1)),0)+SUM(L854)+IF(COUNTIF(L$1237:L1457,1)=1,5,0)+IF(COUNTIF(M855:$W855,"&gt;"&amp;0)&lt;5,IF(AND(COUNTIF(L$1237:L1457,1)&gt;7,MOD(1+IFERROR(MATCH($C855,总览!$D$46:$D$345,1)+1,1),7)=0),$C$3,0),0)</f>
        <v>670.233333333334</v>
      </c>
      <c r="M855" s="131" cm="1">
        <f ca="1" t="array" ref="M855">IF(M1457=1,OFFSET($W$634,$B855,M$631-1)/SUMPRODUCT(--($D$631:$V$631=M$631),--($D1457:$V1457=1)),0)+SUM(M854)+IF(COUNTIF(M$1237:M1457,1)=1,5,0)+IF(COUNTIF(N855:$W855,"&gt;"&amp;0)&lt;5,IF(AND(COUNTIF(M$1237:M1457,1)&gt;7,MOD(1+IFERROR(MATCH($C855,总览!$D$46:$D$345,1)+1,1),7)=0),$C$3,0),0)</f>
        <v>273.466964285713</v>
      </c>
      <c r="N855" s="131" cm="1">
        <f ca="1" t="array" ref="N855">IF(N1457=1,OFFSET($W$634,$B855,N$631-1)/SUMPRODUCT(--($D$631:$V$631=N$631),--($D1457:$V1457=1)),0)+SUM(N854)+IF(COUNTIF(N$1237:N1457,1)=1,5,0)+IF(COUNTIF(O855:$W855,"&gt;"&amp;0)&lt;5,IF(AND(COUNTIF(N$1237:N1457,1)&gt;7,MOD(1+IFERROR(MATCH($C855,总览!$D$46:$D$345,1)+1,1),7)=0),$C$3,0),0)</f>
        <v>274.716964285713</v>
      </c>
      <c r="O855" s="131" cm="1">
        <f ca="1" t="array" ref="O855">IF(O1457=1,OFFSET($W$634,$B855,O$631-1)/SUMPRODUCT(--($D$631:$V$631=O$631),--($D1457:$V1457=1)),0)+SUM(O854)+IF(COUNTIF(O$1237:O1457,1)=1,5,0)+IF(COUNTIF(P855:$W855,"&gt;"&amp;0)&lt;5,IF(AND(COUNTIF(O$1237:O1457,1)&gt;7,MOD(1+IFERROR(MATCH($C855,总览!$D$46:$D$345,1)+1,1),7)=0),$C$3,0),0)</f>
        <v>279.716964285713</v>
      </c>
      <c r="P855" s="131" cm="1">
        <f ca="1" t="array" ref="P855">IF(P1457=1,OFFSET($W$634,$B855,P$631-1)/SUMPRODUCT(--($D$631:$V$631=P$631),--($D1457:$V1457=1)),0)+SUM(P854)+IF(COUNTIF(P$1237:P1457,1)=1,5,0)+IF(COUNTIF(Q855:$W855,"&gt;"&amp;0)&lt;5,IF(AND(COUNTIF(P$1237:P1457,1)&gt;7,MOD(1+IFERROR(MATCH($C855,总览!$D$46:$D$345,1)+1,1),7)=0),$C$3,0),0)</f>
        <v>268.835714285713</v>
      </c>
      <c r="Q855" s="131" cm="1">
        <f ca="1" t="array" ref="Q855">IF(Q1457=1,OFFSET($W$634,$B855,Q$631-1)/SUMPRODUCT(--($D$631:$V$631=Q$631),--($D1457:$V1457=1)),0)+SUM(Q854)+IF(COUNTIF(Q$1237:Q1457,1)=1,5,0)+IF(COUNTIF(R855:$W855,"&gt;"&amp;0)&lt;5,IF(AND(COUNTIF(Q$1237:Q1457,1)&gt;7,MOD(1+IFERROR(MATCH($C855,总览!$D$46:$D$345,1)+1,1),7)=0),$C$3,0),0)</f>
        <v>282.216964285713</v>
      </c>
      <c r="R855" s="131" cm="1">
        <f ca="1" t="array" ref="R855">IF(R1457=1,OFFSET($W$634,$B855,R$631-1)/SUMPRODUCT(--($D$631:$V$631=R$631),--($D1457:$V1457=1)),0)+SUM(R854)+IF(COUNTIF(R$1237:R1457,1)=1,5,0)+IF(COUNTIF(S855:$W855,"&gt;"&amp;0)&lt;5,IF(AND(COUNTIF(R$1237:R1457,1)&gt;7,MOD(1+IFERROR(MATCH($C855,总览!$D$46:$D$345,1)+1,1),7)=0),$C$3,0),0)</f>
        <v>273.835714285713</v>
      </c>
      <c r="S855" s="131" cm="1">
        <f ca="1" t="array" ref="S855">IF(S1457=1,OFFSET($W$634,$B855,S$631-1)/SUMPRODUCT(--($D$631:$V$631=S$631),--($D1457:$V1457=1)),0)+SUM(S854)+IF(COUNTIF(S$1237:S1457,1)=1,5,0)+IF(COUNTIF(T855:$W855,"&gt;"&amp;0)&lt;5,IF(AND(COUNTIF(S$1237:S1457,1)&gt;7,MOD(1+IFERROR(MATCH($C855,总览!$D$46:$D$345,1)+1,1),7)=0),$C$3,0),0)</f>
        <v>366.335714285714</v>
      </c>
      <c r="T855" s="131" cm="1">
        <f ca="1" t="array" ref="T855">IF(T1457=1,OFFSET($W$634,$B855,T$631-1)/SUMPRODUCT(--($D$631:$V$631=T$631),--($D1457:$V1457=1)),0)+SUM(T854)+IF(COUNTIF(T$1237:T1457,1)=1,5,0)+IF(COUNTIF(U855:$W855,"&gt;"&amp;0)&lt;5,IF(AND(COUNTIF(T$1237:T1457,1)&gt;7,MOD(1+IFERROR(MATCH($C855,总览!$D$46:$D$345,1)+1,1),7)=0),$C$3,0),0)</f>
        <v>267.199081231453</v>
      </c>
      <c r="U855" s="131" cm="1">
        <f ca="1" t="array" ref="U855">IF(U1457=1,OFFSET($W$634,$B855,U$631-1)/SUMPRODUCT(--($D$631:$V$631=U$631),--($D1457:$V1457=1)),0)+SUM(U854)+IF(COUNTIF(U$1237:U1457,1)=1,5,0)+IF(COUNTIF(V855:$W855,"&gt;"&amp;0)&lt;5,IF(AND(COUNTIF(U$1237:U1457,1)&gt;7,MOD(1+IFERROR(MATCH($C855,总览!$D$46:$D$345,1)+1,1),7)=0),$C$3,0),0)</f>
        <v>272.719867586752</v>
      </c>
      <c r="V855" s="131" cm="1">
        <f ca="1" t="array" ref="V855">IF(V1457=1,OFFSET($W$634,$B855,V$631-1)/SUMPRODUCT(--($D$631:$V$631=V$631),--($D1457:$V1457=1)),0)+SUM(V854)+IF(COUNTIF(V$1237:V1457,1)=1,5,0)+IF(COUNTIF(W855:$W855,"&gt;"&amp;0)&lt;5,IF(AND(COUNTIF(V$1237:V1457,1)&gt;7,MOD(1+IFERROR(MATCH($C855,总览!$D$46:$D$345,1)+1,1),7)=0),$C$3,0),0)</f>
        <v>292.546867299185</v>
      </c>
      <c r="W855" s="135" cm="1">
        <f ca="1" t="array" ref="W855">SUMPRODUCT(TRANSPOSE($AA855:$AG855),OFFSET($L$9:$L$15,0,W$631-1))</f>
        <v>16.8502200646615</v>
      </c>
      <c r="X855" s="135" cm="1">
        <f ca="1" t="array" ref="X855">SUMPRODUCT(TRANSPOSE($AA855:$AG855),OFFSET($L$9:$L$15,0,X$631-1))</f>
        <v>20</v>
      </c>
      <c r="Y855" s="135" cm="1">
        <f ca="1" t="array" ref="Y855">SUMPRODUCT(TRANSPOSE($AA855:$AG855),OFFSET($L$9:$L$15,0,Y$631-1))</f>
        <v>10</v>
      </c>
      <c r="Z855" s="135" cm="1">
        <f ca="1" t="array" ref="Z855">SUMPRODUCT(TRANSPOSE($AA855:$AG855),OFFSET($L$9:$L$15,0,Z$631-1))</f>
        <v>3.14977993533847</v>
      </c>
      <c r="AA855" s="136">
        <f ca="1" t="shared" ref="AA855:AG855" si="687">AH855-AH854</f>
        <v>0</v>
      </c>
      <c r="AB855" s="136">
        <f ca="1" t="shared" si="687"/>
        <v>0</v>
      </c>
      <c r="AC855" s="136">
        <f ca="1" t="shared" si="687"/>
        <v>0</v>
      </c>
      <c r="AD855" s="136">
        <f ca="1" t="shared" si="687"/>
        <v>0</v>
      </c>
      <c r="AE855" s="136">
        <f ca="1" t="shared" si="687"/>
        <v>0</v>
      </c>
      <c r="AF855" s="136">
        <f ca="1" t="shared" si="687"/>
        <v>0</v>
      </c>
      <c r="AG855" s="136">
        <f ca="1" t="shared" si="687"/>
        <v>100</v>
      </c>
      <c r="AH855" s="136">
        <f ca="1" t="shared" si="631"/>
        <v>450</v>
      </c>
      <c r="AI855" s="136">
        <f ca="1" t="shared" ref="AI855:AN855" si="688">IF($C855&gt;OFFSET($Q$8,MATCH(AI$634,$AH$634:$AN$634,0),0),OFFSET($P$8,MATCH(AI$634,$AH$634:$AN$634,0),0),MAX(0,$C855-OFFSET($Q$8,RIGHT(AI$634,1)-1,0)))</f>
        <v>909</v>
      </c>
      <c r="AJ855" s="136">
        <f ca="1" t="shared" si="688"/>
        <v>1818</v>
      </c>
      <c r="AK855" s="136">
        <f ca="1" t="shared" si="688"/>
        <v>2727</v>
      </c>
      <c r="AL855" s="136">
        <f ca="1" t="shared" si="688"/>
        <v>3636</v>
      </c>
      <c r="AM855" s="136">
        <f ca="1" t="shared" si="688"/>
        <v>4545</v>
      </c>
      <c r="AN855" s="136">
        <f ca="1" t="shared" si="688"/>
        <v>8015</v>
      </c>
    </row>
    <row r="856" s="106" customFormat="1" ht="16.5" spans="2:40">
      <c r="B856" s="117">
        <v>222</v>
      </c>
      <c r="C856" s="130">
        <f t="shared" si="629"/>
        <v>22200</v>
      </c>
      <c r="D856" s="131" cm="1">
        <f ca="1" t="array" ref="D856">IF(D1458=1,OFFSET($W$634,$B856,D$631-1)/SUMPRODUCT(--($D$631:$V$631=D$631),--($D1458:$V1458=1)),0)+SUM(D855)+IF(COUNTIF(D$1237:D1458,1)=1,5,0)+IF(COUNTIF(E856:$W856,"&gt;"&amp;0)&lt;5,IF(AND(COUNTIF(D$1237:D1458,1)&gt;7,MOD(1+IFERROR(MATCH($C856,总览!$D$46:$D$345,1)+1,1),7)=0),$C$3,0),0)</f>
        <v>1574.61980131576</v>
      </c>
      <c r="E856" s="131" cm="1">
        <f ca="1" t="array" ref="E856">IF(E1458=1,OFFSET($W$634,$B856,E$631-1)/SUMPRODUCT(--($D$631:$V$631=E$631),--($D1458:$V1458=1)),0)+SUM(E855)+IF(COUNTIF(E$1237:E1458,1)=1,5,0)+IF(COUNTIF(F856:$W856,"&gt;"&amp;0)&lt;5,IF(AND(COUNTIF(E$1237:E1458,1)&gt;7,MOD(1+IFERROR(MATCH($C856,总览!$D$46:$D$345,1)+1,1),7)=0),$C$3,0),0)</f>
        <v>1574.61980131576</v>
      </c>
      <c r="F856" s="131" cm="1">
        <f ca="1" t="array" ref="F856">IF(F1458=1,OFFSET($W$634,$B856,F$631-1)/SUMPRODUCT(--($D$631:$V$631=F$631),--($D1458:$V1458=1)),0)+SUM(F855)+IF(COUNTIF(F$1237:F1458,1)=1,5,0)+IF(COUNTIF(G856:$W856,"&gt;"&amp;0)&lt;5,IF(AND(COUNTIF(F$1237:F1458,1)&gt;7,MOD(1+IFERROR(MATCH($C856,总览!$D$46:$D$345,1)+1,1),7)=0),$C$3,0),0)</f>
        <v>1574.61980131576</v>
      </c>
      <c r="G856" s="131" cm="1">
        <f ca="1" t="array" ref="G856">IF(G1458=1,OFFSET($W$634,$B856,G$631-1)/SUMPRODUCT(--($D$631:$V$631=G$631),--($D1458:$V1458=1)),0)+SUM(G855)+IF(COUNTIF(G$1237:G1458,1)=1,5,0)+IF(COUNTIF(H856:$W856,"&gt;"&amp;0)&lt;5,IF(AND(COUNTIF(G$1237:G1458,1)&gt;7,MOD(1+IFERROR(MATCH($C856,总览!$D$46:$D$345,1)+1,1),7)=0),$C$3,0),0)</f>
        <v>679.400000000001</v>
      </c>
      <c r="H856" s="131" cm="1">
        <f ca="1" t="array" ref="H856">IF(H1458=1,OFFSET($W$634,$B856,H$631-1)/SUMPRODUCT(--($D$631:$V$631=H$631),--($D1458:$V1458=1)),0)+SUM(H855)+IF(COUNTIF(H$1237:H1458,1)=1,5,0)+IF(COUNTIF(I856:$W856,"&gt;"&amp;0)&lt;5,IF(AND(COUNTIF(H$1237:H1458,1)&gt;7,MOD(1+IFERROR(MATCH($C856,总览!$D$46:$D$345,1)+1,1),7)=0),$C$3,0),0)</f>
        <v>679.400000000001</v>
      </c>
      <c r="I856" s="131" cm="1">
        <f ca="1" t="array" ref="I856">IF(I1458=1,OFFSET($W$634,$B856,I$631-1)/SUMPRODUCT(--($D$631:$V$631=I$631),--($D1458:$V1458=1)),0)+SUM(I855)+IF(COUNTIF(I$1237:I1458,1)=1,5,0)+IF(COUNTIF(J856:$W856,"&gt;"&amp;0)&lt;5,IF(AND(COUNTIF(I$1237:I1458,1)&gt;7,MOD(1+IFERROR(MATCH($C856,总览!$D$46:$D$345,1)+1,1),7)=0),$C$3,0),0)</f>
        <v>679.400000000001</v>
      </c>
      <c r="J856" s="131" cm="1">
        <f ca="1" t="array" ref="J856">IF(J1458=1,OFFSET($W$634,$B856,J$631-1)/SUMPRODUCT(--($D$631:$V$631=J$631),--($D1458:$V1458=1)),0)+SUM(J855)+IF(COUNTIF(J$1237:J1458,1)=1,5,0)+IF(COUNTIF(K856:$W856,"&gt;"&amp;0)&lt;5,IF(AND(COUNTIF(J$1237:J1458,1)&gt;7,MOD(1+IFERROR(MATCH($C856,总览!$D$46:$D$345,1)+1,1),7)=0),$C$3,0),0)</f>
        <v>676.066666666667</v>
      </c>
      <c r="K856" s="131" cm="1">
        <f ca="1" t="array" ref="K856">IF(K1458=1,OFFSET($W$634,$B856,K$631-1)/SUMPRODUCT(--($D$631:$V$631=K$631),--($D1458:$V1458=1)),0)+SUM(K855)+IF(COUNTIF(K$1237:K1458,1)=1,5,0)+IF(COUNTIF(L856:$W856,"&gt;"&amp;0)&lt;5,IF(AND(COUNTIF(K$1237:K1458,1)&gt;7,MOD(1+IFERROR(MATCH($C856,总览!$D$46:$D$345,1)+1,1),7)=0),$C$3,0),0)</f>
        <v>673.566666666667</v>
      </c>
      <c r="L856" s="131" cm="1">
        <f ca="1" t="array" ref="L856">IF(L1458=1,OFFSET($W$634,$B856,L$631-1)/SUMPRODUCT(--($D$631:$V$631=L$631),--($D1458:$V1458=1)),0)+SUM(L855)+IF(COUNTIF(L$1237:L1458,1)=1,5,0)+IF(COUNTIF(M856:$W856,"&gt;"&amp;0)&lt;5,IF(AND(COUNTIF(L$1237:L1458,1)&gt;7,MOD(1+IFERROR(MATCH($C856,总览!$D$46:$D$345,1)+1,1),7)=0),$C$3,0),0)</f>
        <v>673.566666666667</v>
      </c>
      <c r="M856" s="131" cm="1">
        <f ca="1" t="array" ref="M856">IF(M1458=1,OFFSET($W$634,$B856,M$631-1)/SUMPRODUCT(--($D$631:$V$631=M$631),--($D1458:$V1458=1)),0)+SUM(M855)+IF(COUNTIF(M$1237:M1458,1)=1,5,0)+IF(COUNTIF(N856:$W856,"&gt;"&amp;0)&lt;5,IF(AND(COUNTIF(M$1237:M1458,1)&gt;7,MOD(1+IFERROR(MATCH($C856,总览!$D$46:$D$345,1)+1,1),7)=0),$C$3,0),0)</f>
        <v>274.895535714285</v>
      </c>
      <c r="N856" s="131" cm="1">
        <f ca="1" t="array" ref="N856">IF(N1458=1,OFFSET($W$634,$B856,N$631-1)/SUMPRODUCT(--($D$631:$V$631=N$631),--($D1458:$V1458=1)),0)+SUM(N855)+IF(COUNTIF(N$1237:N1458,1)=1,5,0)+IF(COUNTIF(O856:$W856,"&gt;"&amp;0)&lt;5,IF(AND(COUNTIF(N$1237:N1458,1)&gt;7,MOD(1+IFERROR(MATCH($C856,总览!$D$46:$D$345,1)+1,1),7)=0),$C$3,0),0)</f>
        <v>276.145535714285</v>
      </c>
      <c r="O856" s="131" cm="1">
        <f ca="1" t="array" ref="O856">IF(O1458=1,OFFSET($W$634,$B856,O$631-1)/SUMPRODUCT(--($D$631:$V$631=O$631),--($D1458:$V1458=1)),0)+SUM(O855)+IF(COUNTIF(O$1237:O1458,1)=1,5,0)+IF(COUNTIF(P856:$W856,"&gt;"&amp;0)&lt;5,IF(AND(COUNTIF(O$1237:O1458,1)&gt;7,MOD(1+IFERROR(MATCH($C856,总览!$D$46:$D$345,1)+1,1),7)=0),$C$3,0),0)</f>
        <v>281.145535714285</v>
      </c>
      <c r="P856" s="131" cm="1">
        <f ca="1" t="array" ref="P856">IF(P1458=1,OFFSET($W$634,$B856,P$631-1)/SUMPRODUCT(--($D$631:$V$631=P$631),--($D1458:$V1458=1)),0)+SUM(P855)+IF(COUNTIF(P$1237:P1458,1)=1,5,0)+IF(COUNTIF(Q856:$W856,"&gt;"&amp;0)&lt;5,IF(AND(COUNTIF(P$1237:P1458,1)&gt;7,MOD(1+IFERROR(MATCH($C856,总览!$D$46:$D$345,1)+1,1),7)=0),$C$3,0),0)</f>
        <v>270.264285714285</v>
      </c>
      <c r="Q856" s="131" cm="1">
        <f ca="1" t="array" ref="Q856">IF(Q1458=1,OFFSET($W$634,$B856,Q$631-1)/SUMPRODUCT(--($D$631:$V$631=Q$631),--($D1458:$V1458=1)),0)+SUM(Q855)+IF(COUNTIF(Q$1237:Q1458,1)=1,5,0)+IF(COUNTIF(R856:$W856,"&gt;"&amp;0)&lt;5,IF(AND(COUNTIF(Q$1237:Q1458,1)&gt;7,MOD(1+IFERROR(MATCH($C856,总览!$D$46:$D$345,1)+1,1),7)=0),$C$3,0),0)</f>
        <v>283.645535714285</v>
      </c>
      <c r="R856" s="131" cm="1">
        <f ca="1" t="array" ref="R856">IF(R1458=1,OFFSET($W$634,$B856,R$631-1)/SUMPRODUCT(--($D$631:$V$631=R$631),--($D1458:$V1458=1)),0)+SUM(R855)+IF(COUNTIF(R$1237:R1458,1)=1,5,0)+IF(COUNTIF(S856:$W856,"&gt;"&amp;0)&lt;5,IF(AND(COUNTIF(R$1237:R1458,1)&gt;7,MOD(1+IFERROR(MATCH($C856,总览!$D$46:$D$345,1)+1,1),7)=0),$C$3,0),0)</f>
        <v>275.264285714285</v>
      </c>
      <c r="S856" s="131" cm="1">
        <f ca="1" t="array" ref="S856">IF(S1458=1,OFFSET($W$634,$B856,S$631-1)/SUMPRODUCT(--($D$631:$V$631=S$631),--($D1458:$V1458=1)),0)+SUM(S855)+IF(COUNTIF(S$1237:S1458,1)=1,5,0)+IF(COUNTIF(T856:$W856,"&gt;"&amp;0)&lt;5,IF(AND(COUNTIF(S$1237:S1458,1)&gt;7,MOD(1+IFERROR(MATCH($C856,总览!$D$46:$D$345,1)+1,1),7)=0),$C$3,0),0)</f>
        <v>367.764285714286</v>
      </c>
      <c r="T856" s="131" cm="1">
        <f ca="1" t="array" ref="T856">IF(T1458=1,OFFSET($W$634,$B856,T$631-1)/SUMPRODUCT(--($D$631:$V$631=T$631),--($D1458:$V1458=1)),0)+SUM(T855)+IF(COUNTIF(T$1237:T1458,1)=1,5,0)+IF(COUNTIF(U856:$W856,"&gt;"&amp;0)&lt;5,IF(AND(COUNTIF(T$1237:T1458,1)&gt;7,MOD(1+IFERROR(MATCH($C856,总览!$D$46:$D$345,1)+1,1),7)=0),$C$3,0),0)</f>
        <v>268.249007876566</v>
      </c>
      <c r="U856" s="131" cm="1">
        <f ca="1" t="array" ref="U856">IF(U1458=1,OFFSET($W$634,$B856,U$631-1)/SUMPRODUCT(--($D$631:$V$631=U$631),--($D1458:$V1458=1)),0)+SUM(U855)+IF(COUNTIF(U$1237:U1458,1)=1,5,0)+IF(COUNTIF(V856:$W856,"&gt;"&amp;0)&lt;5,IF(AND(COUNTIF(U$1237:U1458,1)&gt;7,MOD(1+IFERROR(MATCH($C856,总览!$D$46:$D$345,1)+1,1),7)=0),$C$3,0),0)</f>
        <v>273.769794231865</v>
      </c>
      <c r="V856" s="131" cm="1">
        <f ca="1" t="array" ref="V856">IF(V1458=1,OFFSET($W$634,$B856,V$631-1)/SUMPRODUCT(--($D$631:$V$631=V$631),--($D1458:$V1458=1)),0)+SUM(V855)+IF(COUNTIF(V$1237:V1458,1)=1,5,0)+IF(COUNTIF(W856:$W856,"&gt;"&amp;0)&lt;5,IF(AND(COUNTIF(V$1237:V1458,1)&gt;7,MOD(1+IFERROR(MATCH($C856,总览!$D$46:$D$345,1)+1,1),7)=0),$C$3,0),0)</f>
        <v>293.596793944298</v>
      </c>
      <c r="W856" s="135" cm="1">
        <f ca="1" t="array" ref="W856">SUMPRODUCT(TRANSPOSE($AA856:$AG856),OFFSET($L$9:$L$15,0,W$631-1))</f>
        <v>16.8502200646615</v>
      </c>
      <c r="X856" s="135" cm="1">
        <f ca="1" t="array" ref="X856">SUMPRODUCT(TRANSPOSE($AA856:$AG856),OFFSET($L$9:$L$15,0,X$631-1))</f>
        <v>20</v>
      </c>
      <c r="Y856" s="135" cm="1">
        <f ca="1" t="array" ref="Y856">SUMPRODUCT(TRANSPOSE($AA856:$AG856),OFFSET($L$9:$L$15,0,Y$631-1))</f>
        <v>10</v>
      </c>
      <c r="Z856" s="135" cm="1">
        <f ca="1" t="array" ref="Z856">SUMPRODUCT(TRANSPOSE($AA856:$AG856),OFFSET($L$9:$L$15,0,Z$631-1))</f>
        <v>3.14977993533847</v>
      </c>
      <c r="AA856" s="136">
        <f ca="1" t="shared" ref="AA856:AG856" si="689">AH856-AH855</f>
        <v>0</v>
      </c>
      <c r="AB856" s="136">
        <f ca="1" t="shared" si="689"/>
        <v>0</v>
      </c>
      <c r="AC856" s="136">
        <f ca="1" t="shared" si="689"/>
        <v>0</v>
      </c>
      <c r="AD856" s="136">
        <f ca="1" t="shared" si="689"/>
        <v>0</v>
      </c>
      <c r="AE856" s="136">
        <f ca="1" t="shared" si="689"/>
        <v>0</v>
      </c>
      <c r="AF856" s="136">
        <f ca="1" t="shared" si="689"/>
        <v>0</v>
      </c>
      <c r="AG856" s="136">
        <f ca="1" t="shared" si="689"/>
        <v>100</v>
      </c>
      <c r="AH856" s="136">
        <f ca="1" t="shared" si="631"/>
        <v>450</v>
      </c>
      <c r="AI856" s="136">
        <f ca="1" t="shared" ref="AI856:AN856" si="690">IF($C856&gt;OFFSET($Q$8,MATCH(AI$634,$AH$634:$AN$634,0),0),OFFSET($P$8,MATCH(AI$634,$AH$634:$AN$634,0),0),MAX(0,$C856-OFFSET($Q$8,RIGHT(AI$634,1)-1,0)))</f>
        <v>909</v>
      </c>
      <c r="AJ856" s="136">
        <f ca="1" t="shared" si="690"/>
        <v>1818</v>
      </c>
      <c r="AK856" s="136">
        <f ca="1" t="shared" si="690"/>
        <v>2727</v>
      </c>
      <c r="AL856" s="136">
        <f ca="1" t="shared" si="690"/>
        <v>3636</v>
      </c>
      <c r="AM856" s="136">
        <f ca="1" t="shared" si="690"/>
        <v>4545</v>
      </c>
      <c r="AN856" s="136">
        <f ca="1" t="shared" si="690"/>
        <v>8115</v>
      </c>
    </row>
    <row r="857" s="106" customFormat="1" ht="16.5" spans="2:40">
      <c r="B857" s="117">
        <v>223</v>
      </c>
      <c r="C857" s="130">
        <f t="shared" si="629"/>
        <v>22300</v>
      </c>
      <c r="D857" s="131" cm="1">
        <f ca="1" t="array" ref="D857">IF(D1459=1,OFFSET($W$634,$B857,D$631-1)/SUMPRODUCT(--($D$631:$V$631=D$631),--($D1459:$V1459=1)),0)+SUM(D856)+IF(COUNTIF(D$1237:D1459,1)=1,5,0)+IF(COUNTIF(E857:$W857,"&gt;"&amp;0)&lt;5,IF(AND(COUNTIF(D$1237:D1459,1)&gt;7,MOD(1+IFERROR(MATCH($C857,总览!$D$46:$D$345,1)+1,1),7)=0),$C$3,0),0)</f>
        <v>1580.23654133731</v>
      </c>
      <c r="E857" s="131" cm="1">
        <f ca="1" t="array" ref="E857">IF(E1459=1,OFFSET($W$634,$B857,E$631-1)/SUMPRODUCT(--($D$631:$V$631=E$631),--($D1459:$V1459=1)),0)+SUM(E856)+IF(COUNTIF(E$1237:E1459,1)=1,5,0)+IF(COUNTIF(F857:$W857,"&gt;"&amp;0)&lt;5,IF(AND(COUNTIF(E$1237:E1459,1)&gt;7,MOD(1+IFERROR(MATCH($C857,总览!$D$46:$D$345,1)+1,1),7)=0),$C$3,0),0)</f>
        <v>1580.23654133731</v>
      </c>
      <c r="F857" s="131" cm="1">
        <f ca="1" t="array" ref="F857">IF(F1459=1,OFFSET($W$634,$B857,F$631-1)/SUMPRODUCT(--($D$631:$V$631=F$631),--($D1459:$V1459=1)),0)+SUM(F856)+IF(COUNTIF(F$1237:F1459,1)=1,5,0)+IF(COUNTIF(G857:$W857,"&gt;"&amp;0)&lt;5,IF(AND(COUNTIF(F$1237:F1459,1)&gt;7,MOD(1+IFERROR(MATCH($C857,总览!$D$46:$D$345,1)+1,1),7)=0),$C$3,0),0)</f>
        <v>1580.23654133731</v>
      </c>
      <c r="G857" s="131" cm="1">
        <f ca="1" t="array" ref="G857">IF(G1459=1,OFFSET($W$634,$B857,G$631-1)/SUMPRODUCT(--($D$631:$V$631=G$631),--($D1459:$V1459=1)),0)+SUM(G856)+IF(COUNTIF(G$1237:G1459,1)=1,5,0)+IF(COUNTIF(H857:$W857,"&gt;"&amp;0)&lt;5,IF(AND(COUNTIF(G$1237:G1459,1)&gt;7,MOD(1+IFERROR(MATCH($C857,总览!$D$46:$D$345,1)+1,1),7)=0),$C$3,0),0)</f>
        <v>682.733333333334</v>
      </c>
      <c r="H857" s="131" cm="1">
        <f ca="1" t="array" ref="H857">IF(H1459=1,OFFSET($W$634,$B857,H$631-1)/SUMPRODUCT(--($D$631:$V$631=H$631),--($D1459:$V1459=1)),0)+SUM(H856)+IF(COUNTIF(H$1237:H1459,1)=1,5,0)+IF(COUNTIF(I857:$W857,"&gt;"&amp;0)&lt;5,IF(AND(COUNTIF(H$1237:H1459,1)&gt;7,MOD(1+IFERROR(MATCH($C857,总览!$D$46:$D$345,1)+1,1),7)=0),$C$3,0),0)</f>
        <v>682.733333333334</v>
      </c>
      <c r="I857" s="131" cm="1">
        <f ca="1" t="array" ref="I857">IF(I1459=1,OFFSET($W$634,$B857,I$631-1)/SUMPRODUCT(--($D$631:$V$631=I$631),--($D1459:$V1459=1)),0)+SUM(I856)+IF(COUNTIF(I$1237:I1459,1)=1,5,0)+IF(COUNTIF(J857:$W857,"&gt;"&amp;0)&lt;5,IF(AND(COUNTIF(I$1237:I1459,1)&gt;7,MOD(1+IFERROR(MATCH($C857,总览!$D$46:$D$345,1)+1,1),7)=0),$C$3,0),0)</f>
        <v>682.733333333334</v>
      </c>
      <c r="J857" s="131" cm="1">
        <f ca="1" t="array" ref="J857">IF(J1459=1,OFFSET($W$634,$B857,J$631-1)/SUMPRODUCT(--($D$631:$V$631=J$631),--($D1459:$V1459=1)),0)+SUM(J856)+IF(COUNTIF(J$1237:J1459,1)=1,5,0)+IF(COUNTIF(K857:$W857,"&gt;"&amp;0)&lt;5,IF(AND(COUNTIF(J$1237:J1459,1)&gt;7,MOD(1+IFERROR(MATCH($C857,总览!$D$46:$D$345,1)+1,1),7)=0),$C$3,0),0)</f>
        <v>679.400000000001</v>
      </c>
      <c r="K857" s="131" cm="1">
        <f ca="1" t="array" ref="K857">IF(K1459=1,OFFSET($W$634,$B857,K$631-1)/SUMPRODUCT(--($D$631:$V$631=K$631),--($D1459:$V1459=1)),0)+SUM(K856)+IF(COUNTIF(K$1237:K1459,1)=1,5,0)+IF(COUNTIF(L857:$W857,"&gt;"&amp;0)&lt;5,IF(AND(COUNTIF(K$1237:K1459,1)&gt;7,MOD(1+IFERROR(MATCH($C857,总览!$D$46:$D$345,1)+1,1),7)=0),$C$3,0),0)</f>
        <v>676.900000000001</v>
      </c>
      <c r="L857" s="131" cm="1">
        <f ca="1" t="array" ref="L857">IF(L1459=1,OFFSET($W$634,$B857,L$631-1)/SUMPRODUCT(--($D$631:$V$631=L$631),--($D1459:$V1459=1)),0)+SUM(L856)+IF(COUNTIF(L$1237:L1459,1)=1,5,0)+IF(COUNTIF(M857:$W857,"&gt;"&amp;0)&lt;5,IF(AND(COUNTIF(L$1237:L1459,1)&gt;7,MOD(1+IFERROR(MATCH($C857,总览!$D$46:$D$345,1)+1,1),7)=0),$C$3,0),0)</f>
        <v>676.900000000001</v>
      </c>
      <c r="M857" s="131" cm="1">
        <f ca="1" t="array" ref="M857">IF(M1459=1,OFFSET($W$634,$B857,M$631-1)/SUMPRODUCT(--($D$631:$V$631=M$631),--($D1459:$V1459=1)),0)+SUM(M856)+IF(COUNTIF(M$1237:M1459,1)=1,5,0)+IF(COUNTIF(N857:$W857,"&gt;"&amp;0)&lt;5,IF(AND(COUNTIF(M$1237:M1459,1)&gt;7,MOD(1+IFERROR(MATCH($C857,总览!$D$46:$D$345,1)+1,1),7)=0),$C$3,0),0)</f>
        <v>276.324107142856</v>
      </c>
      <c r="N857" s="131" cm="1">
        <f ca="1" t="array" ref="N857">IF(N1459=1,OFFSET($W$634,$B857,N$631-1)/SUMPRODUCT(--($D$631:$V$631=N$631),--($D1459:$V1459=1)),0)+SUM(N856)+IF(COUNTIF(N$1237:N1459,1)=1,5,0)+IF(COUNTIF(O857:$W857,"&gt;"&amp;0)&lt;5,IF(AND(COUNTIF(N$1237:N1459,1)&gt;7,MOD(1+IFERROR(MATCH($C857,总览!$D$46:$D$345,1)+1,1),7)=0),$C$3,0),0)</f>
        <v>277.574107142856</v>
      </c>
      <c r="O857" s="131" cm="1">
        <f ca="1" t="array" ref="O857">IF(O1459=1,OFFSET($W$634,$B857,O$631-1)/SUMPRODUCT(--($D$631:$V$631=O$631),--($D1459:$V1459=1)),0)+SUM(O856)+IF(COUNTIF(O$1237:O1459,1)=1,5,0)+IF(COUNTIF(P857:$W857,"&gt;"&amp;0)&lt;5,IF(AND(COUNTIF(O$1237:O1459,1)&gt;7,MOD(1+IFERROR(MATCH($C857,总览!$D$46:$D$345,1)+1,1),7)=0),$C$3,0),0)</f>
        <v>282.574107142856</v>
      </c>
      <c r="P857" s="131" cm="1">
        <f ca="1" t="array" ref="P857">IF(P1459=1,OFFSET($W$634,$B857,P$631-1)/SUMPRODUCT(--($D$631:$V$631=P$631),--($D1459:$V1459=1)),0)+SUM(P856)+IF(COUNTIF(P$1237:P1459,1)=1,5,0)+IF(COUNTIF(Q857:$W857,"&gt;"&amp;0)&lt;5,IF(AND(COUNTIF(P$1237:P1459,1)&gt;7,MOD(1+IFERROR(MATCH($C857,总览!$D$46:$D$345,1)+1,1),7)=0),$C$3,0),0)</f>
        <v>271.692857142856</v>
      </c>
      <c r="Q857" s="131" cm="1">
        <f ca="1" t="array" ref="Q857">IF(Q1459=1,OFFSET($W$634,$B857,Q$631-1)/SUMPRODUCT(--($D$631:$V$631=Q$631),--($D1459:$V1459=1)),0)+SUM(Q856)+IF(COUNTIF(Q$1237:Q1459,1)=1,5,0)+IF(COUNTIF(R857:$W857,"&gt;"&amp;0)&lt;5,IF(AND(COUNTIF(Q$1237:Q1459,1)&gt;7,MOD(1+IFERROR(MATCH($C857,总览!$D$46:$D$345,1)+1,1),7)=0),$C$3,0),0)</f>
        <v>285.074107142856</v>
      </c>
      <c r="R857" s="131" cm="1">
        <f ca="1" t="array" ref="R857">IF(R1459=1,OFFSET($W$634,$B857,R$631-1)/SUMPRODUCT(--($D$631:$V$631=R$631),--($D1459:$V1459=1)),0)+SUM(R856)+IF(COUNTIF(R$1237:R1459,1)=1,5,0)+IF(COUNTIF(S857:$W857,"&gt;"&amp;0)&lt;5,IF(AND(COUNTIF(R$1237:R1459,1)&gt;7,MOD(1+IFERROR(MATCH($C857,总览!$D$46:$D$345,1)+1,1),7)=0),$C$3,0),0)</f>
        <v>276.692857142856</v>
      </c>
      <c r="S857" s="131" cm="1">
        <f ca="1" t="array" ref="S857">IF(S1459=1,OFFSET($W$634,$B857,S$631-1)/SUMPRODUCT(--($D$631:$V$631=S$631),--($D1459:$V1459=1)),0)+SUM(S856)+IF(COUNTIF(S$1237:S1459,1)=1,5,0)+IF(COUNTIF(T857:$W857,"&gt;"&amp;0)&lt;5,IF(AND(COUNTIF(S$1237:S1459,1)&gt;7,MOD(1+IFERROR(MATCH($C857,总览!$D$46:$D$345,1)+1,1),7)=0),$C$3,0),0)</f>
        <v>369.192857142857</v>
      </c>
      <c r="T857" s="131" cm="1">
        <f ca="1" t="array" ref="T857">IF(T1459=1,OFFSET($W$634,$B857,T$631-1)/SUMPRODUCT(--($D$631:$V$631=T$631),--($D1459:$V1459=1)),0)+SUM(T856)+IF(COUNTIF(T$1237:T1459,1)=1,5,0)+IF(COUNTIF(U857:$W857,"&gt;"&amp;0)&lt;5,IF(AND(COUNTIF(T$1237:T1459,1)&gt;7,MOD(1+IFERROR(MATCH($C857,总览!$D$46:$D$345,1)+1,1),7)=0),$C$3,0),0)</f>
        <v>269.298934521678</v>
      </c>
      <c r="U857" s="131" cm="1">
        <f ca="1" t="array" ref="U857">IF(U1459=1,OFFSET($W$634,$B857,U$631-1)/SUMPRODUCT(--($D$631:$V$631=U$631),--($D1459:$V1459=1)),0)+SUM(U856)+IF(COUNTIF(U$1237:U1459,1)=1,5,0)+IF(COUNTIF(V857:$W857,"&gt;"&amp;0)&lt;5,IF(AND(COUNTIF(U$1237:U1459,1)&gt;7,MOD(1+IFERROR(MATCH($C857,总览!$D$46:$D$345,1)+1,1),7)=0),$C$3,0),0)</f>
        <v>274.819720876978</v>
      </c>
      <c r="V857" s="131" cm="1">
        <f ca="1" t="array" ref="V857">IF(V1459=1,OFFSET($W$634,$B857,V$631-1)/SUMPRODUCT(--($D$631:$V$631=V$631),--($D1459:$V1459=1)),0)+SUM(V856)+IF(COUNTIF(V$1237:V1459,1)=1,5,0)+IF(COUNTIF(W857:$W857,"&gt;"&amp;0)&lt;5,IF(AND(COUNTIF(V$1237:V1459,1)&gt;7,MOD(1+IFERROR(MATCH($C857,总览!$D$46:$D$345,1)+1,1),7)=0),$C$3,0),0)</f>
        <v>294.646720589411</v>
      </c>
      <c r="W857" s="135" cm="1">
        <f ca="1" t="array" ref="W857">SUMPRODUCT(TRANSPOSE($AA857:$AG857),OFFSET($L$9:$L$15,0,W$631-1))</f>
        <v>16.8502200646615</v>
      </c>
      <c r="X857" s="135" cm="1">
        <f ca="1" t="array" ref="X857">SUMPRODUCT(TRANSPOSE($AA857:$AG857),OFFSET($L$9:$L$15,0,X$631-1))</f>
        <v>20</v>
      </c>
      <c r="Y857" s="135" cm="1">
        <f ca="1" t="array" ref="Y857">SUMPRODUCT(TRANSPOSE($AA857:$AG857),OFFSET($L$9:$L$15,0,Y$631-1))</f>
        <v>10</v>
      </c>
      <c r="Z857" s="135" cm="1">
        <f ca="1" t="array" ref="Z857">SUMPRODUCT(TRANSPOSE($AA857:$AG857),OFFSET($L$9:$L$15,0,Z$631-1))</f>
        <v>3.14977993533847</v>
      </c>
      <c r="AA857" s="136">
        <f ca="1" t="shared" ref="AA857:AG857" si="691">AH857-AH856</f>
        <v>0</v>
      </c>
      <c r="AB857" s="136">
        <f ca="1" t="shared" si="691"/>
        <v>0</v>
      </c>
      <c r="AC857" s="136">
        <f ca="1" t="shared" si="691"/>
        <v>0</v>
      </c>
      <c r="AD857" s="136">
        <f ca="1" t="shared" si="691"/>
        <v>0</v>
      </c>
      <c r="AE857" s="136">
        <f ca="1" t="shared" si="691"/>
        <v>0</v>
      </c>
      <c r="AF857" s="136">
        <f ca="1" t="shared" si="691"/>
        <v>0</v>
      </c>
      <c r="AG857" s="136">
        <f ca="1" t="shared" si="691"/>
        <v>100</v>
      </c>
      <c r="AH857" s="136">
        <f ca="1" t="shared" si="631"/>
        <v>450</v>
      </c>
      <c r="AI857" s="136">
        <f ca="1" t="shared" ref="AI857:AN857" si="692">IF($C857&gt;OFFSET($Q$8,MATCH(AI$634,$AH$634:$AN$634,0),0),OFFSET($P$8,MATCH(AI$634,$AH$634:$AN$634,0),0),MAX(0,$C857-OFFSET($Q$8,RIGHT(AI$634,1)-1,0)))</f>
        <v>909</v>
      </c>
      <c r="AJ857" s="136">
        <f ca="1" t="shared" si="692"/>
        <v>1818</v>
      </c>
      <c r="AK857" s="136">
        <f ca="1" t="shared" si="692"/>
        <v>2727</v>
      </c>
      <c r="AL857" s="136">
        <f ca="1" t="shared" si="692"/>
        <v>3636</v>
      </c>
      <c r="AM857" s="136">
        <f ca="1" t="shared" si="692"/>
        <v>4545</v>
      </c>
      <c r="AN857" s="136">
        <f ca="1" t="shared" si="692"/>
        <v>8215</v>
      </c>
    </row>
    <row r="858" s="106" customFormat="1" ht="16.5" spans="2:40">
      <c r="B858" s="117">
        <v>224</v>
      </c>
      <c r="C858" s="130">
        <f t="shared" si="629"/>
        <v>22400</v>
      </c>
      <c r="D858" s="131" cm="1">
        <f ca="1" t="array" ref="D858">IF(D1460=1,OFFSET($W$634,$B858,D$631-1)/SUMPRODUCT(--($D$631:$V$631=D$631),--($D1460:$V1460=1)),0)+SUM(D857)+IF(COUNTIF(D$1237:D1460,1)=1,5,0)+IF(COUNTIF(E858:$W858,"&gt;"&amp;0)&lt;5,IF(AND(COUNTIF(D$1237:D1460,1)&gt;7,MOD(1+IFERROR(MATCH($C858,总览!$D$46:$D$345,1)+1,1),7)=0),$C$3,0),0)</f>
        <v>1585.85328135886</v>
      </c>
      <c r="E858" s="131" cm="1">
        <f ca="1" t="array" ref="E858">IF(E1460=1,OFFSET($W$634,$B858,E$631-1)/SUMPRODUCT(--($D$631:$V$631=E$631),--($D1460:$V1460=1)),0)+SUM(E857)+IF(COUNTIF(E$1237:E1460,1)=1,5,0)+IF(COUNTIF(F858:$W858,"&gt;"&amp;0)&lt;5,IF(AND(COUNTIF(E$1237:E1460,1)&gt;7,MOD(1+IFERROR(MATCH($C858,总览!$D$46:$D$345,1)+1,1),7)=0),$C$3,0),0)</f>
        <v>1585.85328135886</v>
      </c>
      <c r="F858" s="131" cm="1">
        <f ca="1" t="array" ref="F858">IF(F1460=1,OFFSET($W$634,$B858,F$631-1)/SUMPRODUCT(--($D$631:$V$631=F$631),--($D1460:$V1460=1)),0)+SUM(F857)+IF(COUNTIF(F$1237:F1460,1)=1,5,0)+IF(COUNTIF(G858:$W858,"&gt;"&amp;0)&lt;5,IF(AND(COUNTIF(F$1237:F1460,1)&gt;7,MOD(1+IFERROR(MATCH($C858,总览!$D$46:$D$345,1)+1,1),7)=0),$C$3,0),0)</f>
        <v>1585.85328135886</v>
      </c>
      <c r="G858" s="131" cm="1">
        <f ca="1" t="array" ref="G858">IF(G1460=1,OFFSET($W$634,$B858,G$631-1)/SUMPRODUCT(--($D$631:$V$631=G$631),--($D1460:$V1460=1)),0)+SUM(G857)+IF(COUNTIF(G$1237:G1460,1)=1,5,0)+IF(COUNTIF(H858:$W858,"&gt;"&amp;0)&lt;5,IF(AND(COUNTIF(G$1237:G1460,1)&gt;7,MOD(1+IFERROR(MATCH($C858,总览!$D$46:$D$345,1)+1,1),7)=0),$C$3,0),0)</f>
        <v>686.066666666667</v>
      </c>
      <c r="H858" s="131" cm="1">
        <f ca="1" t="array" ref="H858">IF(H1460=1,OFFSET($W$634,$B858,H$631-1)/SUMPRODUCT(--($D$631:$V$631=H$631),--($D1460:$V1460=1)),0)+SUM(H857)+IF(COUNTIF(H$1237:H1460,1)=1,5,0)+IF(COUNTIF(I858:$W858,"&gt;"&amp;0)&lt;5,IF(AND(COUNTIF(H$1237:H1460,1)&gt;7,MOD(1+IFERROR(MATCH($C858,总览!$D$46:$D$345,1)+1,1),7)=0),$C$3,0),0)</f>
        <v>686.066666666667</v>
      </c>
      <c r="I858" s="131" cm="1">
        <f ca="1" t="array" ref="I858">IF(I1460=1,OFFSET($W$634,$B858,I$631-1)/SUMPRODUCT(--($D$631:$V$631=I$631),--($D1460:$V1460=1)),0)+SUM(I857)+IF(COUNTIF(I$1237:I1460,1)=1,5,0)+IF(COUNTIF(J858:$W858,"&gt;"&amp;0)&lt;5,IF(AND(COUNTIF(I$1237:I1460,1)&gt;7,MOD(1+IFERROR(MATCH($C858,总览!$D$46:$D$345,1)+1,1),7)=0),$C$3,0),0)</f>
        <v>686.066666666667</v>
      </c>
      <c r="J858" s="131" cm="1">
        <f ca="1" t="array" ref="J858">IF(J1460=1,OFFSET($W$634,$B858,J$631-1)/SUMPRODUCT(--($D$631:$V$631=J$631),--($D1460:$V1460=1)),0)+SUM(J857)+IF(COUNTIF(J$1237:J1460,1)=1,5,0)+IF(COUNTIF(K858:$W858,"&gt;"&amp;0)&lt;5,IF(AND(COUNTIF(J$1237:J1460,1)&gt;7,MOD(1+IFERROR(MATCH($C858,总览!$D$46:$D$345,1)+1,1),7)=0),$C$3,0),0)</f>
        <v>682.733333333334</v>
      </c>
      <c r="K858" s="131" cm="1">
        <f ca="1" t="array" ref="K858">IF(K1460=1,OFFSET($W$634,$B858,K$631-1)/SUMPRODUCT(--($D$631:$V$631=K$631),--($D1460:$V1460=1)),0)+SUM(K857)+IF(COUNTIF(K$1237:K1460,1)=1,5,0)+IF(COUNTIF(L858:$W858,"&gt;"&amp;0)&lt;5,IF(AND(COUNTIF(K$1237:K1460,1)&gt;7,MOD(1+IFERROR(MATCH($C858,总览!$D$46:$D$345,1)+1,1),7)=0),$C$3,0),0)</f>
        <v>680.233333333334</v>
      </c>
      <c r="L858" s="131" cm="1">
        <f ca="1" t="array" ref="L858">IF(L1460=1,OFFSET($W$634,$B858,L$631-1)/SUMPRODUCT(--($D$631:$V$631=L$631),--($D1460:$V1460=1)),0)+SUM(L857)+IF(COUNTIF(L$1237:L1460,1)=1,5,0)+IF(COUNTIF(M858:$W858,"&gt;"&amp;0)&lt;5,IF(AND(COUNTIF(L$1237:L1460,1)&gt;7,MOD(1+IFERROR(MATCH($C858,总览!$D$46:$D$345,1)+1,1),7)=0),$C$3,0),0)</f>
        <v>680.233333333334</v>
      </c>
      <c r="M858" s="131" cm="1">
        <f ca="1" t="array" ref="M858">IF(M1460=1,OFFSET($W$634,$B858,M$631-1)/SUMPRODUCT(--($D$631:$V$631=M$631),--($D1460:$V1460=1)),0)+SUM(M857)+IF(COUNTIF(M$1237:M1460,1)=1,5,0)+IF(COUNTIF(N858:$W858,"&gt;"&amp;0)&lt;5,IF(AND(COUNTIF(M$1237:M1460,1)&gt;7,MOD(1+IFERROR(MATCH($C858,总览!$D$46:$D$345,1)+1,1),7)=0),$C$3,0),0)</f>
        <v>277.752678571428</v>
      </c>
      <c r="N858" s="131" cm="1">
        <f ca="1" t="array" ref="N858">IF(N1460=1,OFFSET($W$634,$B858,N$631-1)/SUMPRODUCT(--($D$631:$V$631=N$631),--($D1460:$V1460=1)),0)+SUM(N857)+IF(COUNTIF(N$1237:N1460,1)=1,5,0)+IF(COUNTIF(O858:$W858,"&gt;"&amp;0)&lt;5,IF(AND(COUNTIF(N$1237:N1460,1)&gt;7,MOD(1+IFERROR(MATCH($C858,总览!$D$46:$D$345,1)+1,1),7)=0),$C$3,0),0)</f>
        <v>279.002678571428</v>
      </c>
      <c r="O858" s="131" cm="1">
        <f ca="1" t="array" ref="O858">IF(O1460=1,OFFSET($W$634,$B858,O$631-1)/SUMPRODUCT(--($D$631:$V$631=O$631),--($D1460:$V1460=1)),0)+SUM(O857)+IF(COUNTIF(O$1237:O1460,1)=1,5,0)+IF(COUNTIF(P858:$W858,"&gt;"&amp;0)&lt;5,IF(AND(COUNTIF(O$1237:O1460,1)&gt;7,MOD(1+IFERROR(MATCH($C858,总览!$D$46:$D$345,1)+1,1),7)=0),$C$3,0),0)</f>
        <v>284.002678571428</v>
      </c>
      <c r="P858" s="131" cm="1">
        <f ca="1" t="array" ref="P858">IF(P1460=1,OFFSET($W$634,$B858,P$631-1)/SUMPRODUCT(--($D$631:$V$631=P$631),--($D1460:$V1460=1)),0)+SUM(P857)+IF(COUNTIF(P$1237:P1460,1)=1,5,0)+IF(COUNTIF(Q858:$W858,"&gt;"&amp;0)&lt;5,IF(AND(COUNTIF(P$1237:P1460,1)&gt;7,MOD(1+IFERROR(MATCH($C858,总览!$D$46:$D$345,1)+1,1),7)=0),$C$3,0),0)</f>
        <v>273.121428571428</v>
      </c>
      <c r="Q858" s="131" cm="1">
        <f ca="1" t="array" ref="Q858">IF(Q1460=1,OFFSET($W$634,$B858,Q$631-1)/SUMPRODUCT(--($D$631:$V$631=Q$631),--($D1460:$V1460=1)),0)+SUM(Q857)+IF(COUNTIF(Q$1237:Q1460,1)=1,5,0)+IF(COUNTIF(R858:$W858,"&gt;"&amp;0)&lt;5,IF(AND(COUNTIF(Q$1237:Q1460,1)&gt;7,MOD(1+IFERROR(MATCH($C858,总览!$D$46:$D$345,1)+1,1),7)=0),$C$3,0),0)</f>
        <v>286.502678571428</v>
      </c>
      <c r="R858" s="131" cm="1">
        <f ca="1" t="array" ref="R858">IF(R1460=1,OFFSET($W$634,$B858,R$631-1)/SUMPRODUCT(--($D$631:$V$631=R$631),--($D1460:$V1460=1)),0)+SUM(R857)+IF(COUNTIF(R$1237:R1460,1)=1,5,0)+IF(COUNTIF(S858:$W858,"&gt;"&amp;0)&lt;5,IF(AND(COUNTIF(R$1237:R1460,1)&gt;7,MOD(1+IFERROR(MATCH($C858,总览!$D$46:$D$345,1)+1,1),7)=0),$C$3,0),0)</f>
        <v>278.121428571428</v>
      </c>
      <c r="S858" s="131" cm="1">
        <f ca="1" t="array" ref="S858">IF(S1460=1,OFFSET($W$634,$B858,S$631-1)/SUMPRODUCT(--($D$631:$V$631=S$631),--($D1460:$V1460=1)),0)+SUM(S857)+IF(COUNTIF(S$1237:S1460,1)=1,5,0)+IF(COUNTIF(T858:$W858,"&gt;"&amp;0)&lt;5,IF(AND(COUNTIF(S$1237:S1460,1)&gt;7,MOD(1+IFERROR(MATCH($C858,总览!$D$46:$D$345,1)+1,1),7)=0),$C$3,0),0)</f>
        <v>370.621428571429</v>
      </c>
      <c r="T858" s="131" cm="1">
        <f ca="1" t="array" ref="T858">IF(T1460=1,OFFSET($W$634,$B858,T$631-1)/SUMPRODUCT(--($D$631:$V$631=T$631),--($D1460:$V1460=1)),0)+SUM(T857)+IF(COUNTIF(T$1237:T1460,1)=1,5,0)+IF(COUNTIF(U858:$W858,"&gt;"&amp;0)&lt;5,IF(AND(COUNTIF(T$1237:T1460,1)&gt;7,MOD(1+IFERROR(MATCH($C858,总览!$D$46:$D$345,1)+1,1),7)=0),$C$3,0),0)</f>
        <v>270.348861166791</v>
      </c>
      <c r="U858" s="131" cm="1">
        <f ca="1" t="array" ref="U858">IF(U1460=1,OFFSET($W$634,$B858,U$631-1)/SUMPRODUCT(--($D$631:$V$631=U$631),--($D1460:$V1460=1)),0)+SUM(U857)+IF(COUNTIF(U$1237:U1460,1)=1,5,0)+IF(COUNTIF(V858:$W858,"&gt;"&amp;0)&lt;5,IF(AND(COUNTIF(U$1237:U1460,1)&gt;7,MOD(1+IFERROR(MATCH($C858,总览!$D$46:$D$345,1)+1,1),7)=0),$C$3,0),0)</f>
        <v>275.869647522091</v>
      </c>
      <c r="V858" s="131" cm="1">
        <f ca="1" t="array" ref="V858">IF(V1460=1,OFFSET($W$634,$B858,V$631-1)/SUMPRODUCT(--($D$631:$V$631=V$631),--($D1460:$V1460=1)),0)+SUM(V857)+IF(COUNTIF(V$1237:V1460,1)=1,5,0)+IF(COUNTIF(W858:$W858,"&gt;"&amp;0)&lt;5,IF(AND(COUNTIF(V$1237:V1460,1)&gt;7,MOD(1+IFERROR(MATCH($C858,总览!$D$46:$D$345,1)+1,1),7)=0),$C$3,0),0)</f>
        <v>295.696647234524</v>
      </c>
      <c r="W858" s="135" cm="1">
        <f ca="1" t="array" ref="W858">SUMPRODUCT(TRANSPOSE($AA858:$AG858),OFFSET($L$9:$L$15,0,W$631-1))</f>
        <v>16.8502200646615</v>
      </c>
      <c r="X858" s="135" cm="1">
        <f ca="1" t="array" ref="X858">SUMPRODUCT(TRANSPOSE($AA858:$AG858),OFFSET($L$9:$L$15,0,X$631-1))</f>
        <v>20</v>
      </c>
      <c r="Y858" s="135" cm="1">
        <f ca="1" t="array" ref="Y858">SUMPRODUCT(TRANSPOSE($AA858:$AG858),OFFSET($L$9:$L$15,0,Y$631-1))</f>
        <v>10</v>
      </c>
      <c r="Z858" s="135" cm="1">
        <f ca="1" t="array" ref="Z858">SUMPRODUCT(TRANSPOSE($AA858:$AG858),OFFSET($L$9:$L$15,0,Z$631-1))</f>
        <v>3.14977993533847</v>
      </c>
      <c r="AA858" s="136">
        <f ca="1" t="shared" ref="AA858:AG858" si="693">AH858-AH857</f>
        <v>0</v>
      </c>
      <c r="AB858" s="136">
        <f ca="1" t="shared" si="693"/>
        <v>0</v>
      </c>
      <c r="AC858" s="136">
        <f ca="1" t="shared" si="693"/>
        <v>0</v>
      </c>
      <c r="AD858" s="136">
        <f ca="1" t="shared" si="693"/>
        <v>0</v>
      </c>
      <c r="AE858" s="136">
        <f ca="1" t="shared" si="693"/>
        <v>0</v>
      </c>
      <c r="AF858" s="136">
        <f ca="1" t="shared" si="693"/>
        <v>0</v>
      </c>
      <c r="AG858" s="136">
        <f ca="1" t="shared" si="693"/>
        <v>100</v>
      </c>
      <c r="AH858" s="136">
        <f ca="1" t="shared" si="631"/>
        <v>450</v>
      </c>
      <c r="AI858" s="136">
        <f ca="1" t="shared" ref="AI858:AN858" si="694">IF($C858&gt;OFFSET($Q$8,MATCH(AI$634,$AH$634:$AN$634,0),0),OFFSET($P$8,MATCH(AI$634,$AH$634:$AN$634,0),0),MAX(0,$C858-OFFSET($Q$8,RIGHT(AI$634,1)-1,0)))</f>
        <v>909</v>
      </c>
      <c r="AJ858" s="136">
        <f ca="1" t="shared" si="694"/>
        <v>1818</v>
      </c>
      <c r="AK858" s="136">
        <f ca="1" t="shared" si="694"/>
        <v>2727</v>
      </c>
      <c r="AL858" s="136">
        <f ca="1" t="shared" si="694"/>
        <v>3636</v>
      </c>
      <c r="AM858" s="136">
        <f ca="1" t="shared" si="694"/>
        <v>4545</v>
      </c>
      <c r="AN858" s="136">
        <f ca="1" t="shared" si="694"/>
        <v>8315</v>
      </c>
    </row>
    <row r="859" s="106" customFormat="1" ht="16.5" spans="2:40">
      <c r="B859" s="117">
        <v>225</v>
      </c>
      <c r="C859" s="130">
        <f t="shared" si="629"/>
        <v>22500</v>
      </c>
      <c r="D859" s="131" cm="1">
        <f ca="1" t="array" ref="D859">IF(D1461=1,OFFSET($W$634,$B859,D$631-1)/SUMPRODUCT(--($D$631:$V$631=D$631),--($D1461:$V1461=1)),0)+SUM(D858)+IF(COUNTIF(D$1237:D1461,1)=1,5,0)+IF(COUNTIF(E859:$W859,"&gt;"&amp;0)&lt;5,IF(AND(COUNTIF(D$1237:D1461,1)&gt;7,MOD(1+IFERROR(MATCH($C859,总览!$D$46:$D$345,1)+1,1),7)=0),$C$3,0),0)</f>
        <v>1591.47002138042</v>
      </c>
      <c r="E859" s="131" cm="1">
        <f ca="1" t="array" ref="E859">IF(E1461=1,OFFSET($W$634,$B859,E$631-1)/SUMPRODUCT(--($D$631:$V$631=E$631),--($D1461:$V1461=1)),0)+SUM(E858)+IF(COUNTIF(E$1237:E1461,1)=1,5,0)+IF(COUNTIF(F859:$W859,"&gt;"&amp;0)&lt;5,IF(AND(COUNTIF(E$1237:E1461,1)&gt;7,MOD(1+IFERROR(MATCH($C859,总览!$D$46:$D$345,1)+1,1),7)=0),$C$3,0),0)</f>
        <v>1591.47002138042</v>
      </c>
      <c r="F859" s="131" cm="1">
        <f ca="1" t="array" ref="F859">IF(F1461=1,OFFSET($W$634,$B859,F$631-1)/SUMPRODUCT(--($D$631:$V$631=F$631),--($D1461:$V1461=1)),0)+SUM(F858)+IF(COUNTIF(F$1237:F1461,1)=1,5,0)+IF(COUNTIF(G859:$W859,"&gt;"&amp;0)&lt;5,IF(AND(COUNTIF(F$1237:F1461,1)&gt;7,MOD(1+IFERROR(MATCH($C859,总览!$D$46:$D$345,1)+1,1),7)=0),$C$3,0),0)</f>
        <v>1591.47002138042</v>
      </c>
      <c r="G859" s="131" cm="1">
        <f ca="1" t="array" ref="G859">IF(G1461=1,OFFSET($W$634,$B859,G$631-1)/SUMPRODUCT(--($D$631:$V$631=G$631),--($D1461:$V1461=1)),0)+SUM(G858)+IF(COUNTIF(G$1237:G1461,1)=1,5,0)+IF(COUNTIF(H859:$W859,"&gt;"&amp;0)&lt;5,IF(AND(COUNTIF(G$1237:G1461,1)&gt;7,MOD(1+IFERROR(MATCH($C859,总览!$D$46:$D$345,1)+1,1),7)=0),$C$3,0),0)</f>
        <v>689.400000000001</v>
      </c>
      <c r="H859" s="131" cm="1">
        <f ca="1" t="array" ref="H859">IF(H1461=1,OFFSET($W$634,$B859,H$631-1)/SUMPRODUCT(--($D$631:$V$631=H$631),--($D1461:$V1461=1)),0)+SUM(H858)+IF(COUNTIF(H$1237:H1461,1)=1,5,0)+IF(COUNTIF(I859:$W859,"&gt;"&amp;0)&lt;5,IF(AND(COUNTIF(H$1237:H1461,1)&gt;7,MOD(1+IFERROR(MATCH($C859,总览!$D$46:$D$345,1)+1,1),7)=0),$C$3,0),0)</f>
        <v>689.400000000001</v>
      </c>
      <c r="I859" s="131" cm="1">
        <f ca="1" t="array" ref="I859">IF(I1461=1,OFFSET($W$634,$B859,I$631-1)/SUMPRODUCT(--($D$631:$V$631=I$631),--($D1461:$V1461=1)),0)+SUM(I858)+IF(COUNTIF(I$1237:I1461,1)=1,5,0)+IF(COUNTIF(J859:$W859,"&gt;"&amp;0)&lt;5,IF(AND(COUNTIF(I$1237:I1461,1)&gt;7,MOD(1+IFERROR(MATCH($C859,总览!$D$46:$D$345,1)+1,1),7)=0),$C$3,0),0)</f>
        <v>689.400000000001</v>
      </c>
      <c r="J859" s="131" cm="1">
        <f ca="1" t="array" ref="J859">IF(J1461=1,OFFSET($W$634,$B859,J$631-1)/SUMPRODUCT(--($D$631:$V$631=J$631),--($D1461:$V1461=1)),0)+SUM(J858)+IF(COUNTIF(J$1237:J1461,1)=1,5,0)+IF(COUNTIF(K859:$W859,"&gt;"&amp;0)&lt;5,IF(AND(COUNTIF(J$1237:J1461,1)&gt;7,MOD(1+IFERROR(MATCH($C859,总览!$D$46:$D$345,1)+1,1),7)=0),$C$3,0),0)</f>
        <v>686.066666666667</v>
      </c>
      <c r="K859" s="131" cm="1">
        <f ca="1" t="array" ref="K859">IF(K1461=1,OFFSET($W$634,$B859,K$631-1)/SUMPRODUCT(--($D$631:$V$631=K$631),--($D1461:$V1461=1)),0)+SUM(K858)+IF(COUNTIF(K$1237:K1461,1)=1,5,0)+IF(COUNTIF(L859:$W859,"&gt;"&amp;0)&lt;5,IF(AND(COUNTIF(K$1237:K1461,1)&gt;7,MOD(1+IFERROR(MATCH($C859,总览!$D$46:$D$345,1)+1,1),7)=0),$C$3,0),0)</f>
        <v>683.566666666667</v>
      </c>
      <c r="L859" s="131" cm="1">
        <f ca="1" t="array" ref="L859">IF(L1461=1,OFFSET($W$634,$B859,L$631-1)/SUMPRODUCT(--($D$631:$V$631=L$631),--($D1461:$V1461=1)),0)+SUM(L858)+IF(COUNTIF(L$1237:L1461,1)=1,5,0)+IF(COUNTIF(M859:$W859,"&gt;"&amp;0)&lt;5,IF(AND(COUNTIF(L$1237:L1461,1)&gt;7,MOD(1+IFERROR(MATCH($C859,总览!$D$46:$D$345,1)+1,1),7)=0),$C$3,0),0)</f>
        <v>683.566666666667</v>
      </c>
      <c r="M859" s="131" cm="1">
        <f ca="1" t="array" ref="M859">IF(M1461=1,OFFSET($W$634,$B859,M$631-1)/SUMPRODUCT(--($D$631:$V$631=M$631),--($D1461:$V1461=1)),0)+SUM(M858)+IF(COUNTIF(M$1237:M1461,1)=1,5,0)+IF(COUNTIF(N859:$W859,"&gt;"&amp;0)&lt;5,IF(AND(COUNTIF(M$1237:M1461,1)&gt;7,MOD(1+IFERROR(MATCH($C859,总览!$D$46:$D$345,1)+1,1),7)=0),$C$3,0),0)</f>
        <v>279.181249999999</v>
      </c>
      <c r="N859" s="131" cm="1">
        <f ca="1" t="array" ref="N859">IF(N1461=1,OFFSET($W$634,$B859,N$631-1)/SUMPRODUCT(--($D$631:$V$631=N$631),--($D1461:$V1461=1)),0)+SUM(N858)+IF(COUNTIF(N$1237:N1461,1)=1,5,0)+IF(COUNTIF(O859:$W859,"&gt;"&amp;0)&lt;5,IF(AND(COUNTIF(N$1237:N1461,1)&gt;7,MOD(1+IFERROR(MATCH($C859,总览!$D$46:$D$345,1)+1,1),7)=0),$C$3,0),0)</f>
        <v>280.431249999999</v>
      </c>
      <c r="O859" s="131" cm="1">
        <f ca="1" t="array" ref="O859">IF(O1461=1,OFFSET($W$634,$B859,O$631-1)/SUMPRODUCT(--($D$631:$V$631=O$631),--($D1461:$V1461=1)),0)+SUM(O858)+IF(COUNTIF(O$1237:O1461,1)=1,5,0)+IF(COUNTIF(P859:$W859,"&gt;"&amp;0)&lt;5,IF(AND(COUNTIF(O$1237:O1461,1)&gt;7,MOD(1+IFERROR(MATCH($C859,总览!$D$46:$D$345,1)+1,1),7)=0),$C$3,0),0)</f>
        <v>285.431249999999</v>
      </c>
      <c r="P859" s="131" cm="1">
        <f ca="1" t="array" ref="P859">IF(P1461=1,OFFSET($W$634,$B859,P$631-1)/SUMPRODUCT(--($D$631:$V$631=P$631),--($D1461:$V1461=1)),0)+SUM(P858)+IF(COUNTIF(P$1237:P1461,1)=1,5,0)+IF(COUNTIF(Q859:$W859,"&gt;"&amp;0)&lt;5,IF(AND(COUNTIF(P$1237:P1461,1)&gt;7,MOD(1+IFERROR(MATCH($C859,总览!$D$46:$D$345,1)+1,1),7)=0),$C$3,0),0)</f>
        <v>274.549999999999</v>
      </c>
      <c r="Q859" s="131" cm="1">
        <f ca="1" t="array" ref="Q859">IF(Q1461=1,OFFSET($W$634,$B859,Q$631-1)/SUMPRODUCT(--($D$631:$V$631=Q$631),--($D1461:$V1461=1)),0)+SUM(Q858)+IF(COUNTIF(Q$1237:Q1461,1)=1,5,0)+IF(COUNTIF(R859:$W859,"&gt;"&amp;0)&lt;5,IF(AND(COUNTIF(Q$1237:Q1461,1)&gt;7,MOD(1+IFERROR(MATCH($C859,总览!$D$46:$D$345,1)+1,1),7)=0),$C$3,0),0)</f>
        <v>287.931249999999</v>
      </c>
      <c r="R859" s="131" cm="1">
        <f ca="1" t="array" ref="R859">IF(R1461=1,OFFSET($W$634,$B859,R$631-1)/SUMPRODUCT(--($D$631:$V$631=R$631),--($D1461:$V1461=1)),0)+SUM(R858)+IF(COUNTIF(R$1237:R1461,1)=1,5,0)+IF(COUNTIF(S859:$W859,"&gt;"&amp;0)&lt;5,IF(AND(COUNTIF(R$1237:R1461,1)&gt;7,MOD(1+IFERROR(MATCH($C859,总览!$D$46:$D$345,1)+1,1),7)=0),$C$3,0),0)</f>
        <v>279.549999999999</v>
      </c>
      <c r="S859" s="131" cm="1">
        <f ca="1" t="array" ref="S859">IF(S1461=1,OFFSET($W$634,$B859,S$631-1)/SUMPRODUCT(--($D$631:$V$631=S$631),--($D1461:$V1461=1)),0)+SUM(S858)+IF(COUNTIF(S$1237:S1461,1)=1,5,0)+IF(COUNTIF(T859:$W859,"&gt;"&amp;0)&lt;5,IF(AND(COUNTIF(S$1237:S1461,1)&gt;7,MOD(1+IFERROR(MATCH($C859,总览!$D$46:$D$345,1)+1,1),7)=0),$C$3,0),0)</f>
        <v>372.05</v>
      </c>
      <c r="T859" s="131" cm="1">
        <f ca="1" t="array" ref="T859">IF(T1461=1,OFFSET($W$634,$B859,T$631-1)/SUMPRODUCT(--($D$631:$V$631=T$631),--($D1461:$V1461=1)),0)+SUM(T858)+IF(COUNTIF(T$1237:T1461,1)=1,5,0)+IF(COUNTIF(U859:$W859,"&gt;"&amp;0)&lt;5,IF(AND(COUNTIF(T$1237:T1461,1)&gt;7,MOD(1+IFERROR(MATCH($C859,总览!$D$46:$D$345,1)+1,1),7)=0),$C$3,0),0)</f>
        <v>271.398787811904</v>
      </c>
      <c r="U859" s="131" cm="1">
        <f ca="1" t="array" ref="U859">IF(U1461=1,OFFSET($W$634,$B859,U$631-1)/SUMPRODUCT(--($D$631:$V$631=U$631),--($D1461:$V1461=1)),0)+SUM(U858)+IF(COUNTIF(U$1237:U1461,1)=1,5,0)+IF(COUNTIF(V859:$W859,"&gt;"&amp;0)&lt;5,IF(AND(COUNTIF(U$1237:U1461,1)&gt;7,MOD(1+IFERROR(MATCH($C859,总览!$D$46:$D$345,1)+1,1),7)=0),$C$3,0),0)</f>
        <v>276.919574167204</v>
      </c>
      <c r="V859" s="131" cm="1">
        <f ca="1" t="array" ref="V859">IF(V1461=1,OFFSET($W$634,$B859,V$631-1)/SUMPRODUCT(--($D$631:$V$631=V$631),--($D1461:$V1461=1)),0)+SUM(V858)+IF(COUNTIF(V$1237:V1461,1)=1,5,0)+IF(COUNTIF(W859:$W859,"&gt;"&amp;0)&lt;5,IF(AND(COUNTIF(V$1237:V1461,1)&gt;7,MOD(1+IFERROR(MATCH($C859,总览!$D$46:$D$345,1)+1,1),7)=0),$C$3,0),0)</f>
        <v>296.746573879637</v>
      </c>
      <c r="W859" s="135" cm="1">
        <f ca="1" t="array" ref="W859">SUMPRODUCT(TRANSPOSE($AA859:$AG859),OFFSET($L$9:$L$15,0,W$631-1))</f>
        <v>16.8502200646615</v>
      </c>
      <c r="X859" s="135" cm="1">
        <f ca="1" t="array" ref="X859">SUMPRODUCT(TRANSPOSE($AA859:$AG859),OFFSET($L$9:$L$15,0,X$631-1))</f>
        <v>20</v>
      </c>
      <c r="Y859" s="135" cm="1">
        <f ca="1" t="array" ref="Y859">SUMPRODUCT(TRANSPOSE($AA859:$AG859),OFFSET($L$9:$L$15,0,Y$631-1))</f>
        <v>10</v>
      </c>
      <c r="Z859" s="135" cm="1">
        <f ca="1" t="array" ref="Z859">SUMPRODUCT(TRANSPOSE($AA859:$AG859),OFFSET($L$9:$L$15,0,Z$631-1))</f>
        <v>3.14977993533847</v>
      </c>
      <c r="AA859" s="136">
        <f ca="1" t="shared" ref="AA859:AG859" si="695">AH859-AH858</f>
        <v>0</v>
      </c>
      <c r="AB859" s="136">
        <f ca="1" t="shared" si="695"/>
        <v>0</v>
      </c>
      <c r="AC859" s="136">
        <f ca="1" t="shared" si="695"/>
        <v>0</v>
      </c>
      <c r="AD859" s="136">
        <f ca="1" t="shared" si="695"/>
        <v>0</v>
      </c>
      <c r="AE859" s="136">
        <f ca="1" t="shared" si="695"/>
        <v>0</v>
      </c>
      <c r="AF859" s="136">
        <f ca="1" t="shared" si="695"/>
        <v>0</v>
      </c>
      <c r="AG859" s="136">
        <f ca="1" t="shared" si="695"/>
        <v>100</v>
      </c>
      <c r="AH859" s="136">
        <f ca="1" t="shared" si="631"/>
        <v>450</v>
      </c>
      <c r="AI859" s="136">
        <f ca="1" t="shared" ref="AI859:AN859" si="696">IF($C859&gt;OFFSET($Q$8,MATCH(AI$634,$AH$634:$AN$634,0),0),OFFSET($P$8,MATCH(AI$634,$AH$634:$AN$634,0),0),MAX(0,$C859-OFFSET($Q$8,RIGHT(AI$634,1)-1,0)))</f>
        <v>909</v>
      </c>
      <c r="AJ859" s="136">
        <f ca="1" t="shared" si="696"/>
        <v>1818</v>
      </c>
      <c r="AK859" s="136">
        <f ca="1" t="shared" si="696"/>
        <v>2727</v>
      </c>
      <c r="AL859" s="136">
        <f ca="1" t="shared" si="696"/>
        <v>3636</v>
      </c>
      <c r="AM859" s="136">
        <f ca="1" t="shared" si="696"/>
        <v>4545</v>
      </c>
      <c r="AN859" s="136">
        <f ca="1" t="shared" si="696"/>
        <v>8415</v>
      </c>
    </row>
    <row r="860" s="106" customFormat="1" ht="16.5" spans="2:40">
      <c r="B860" s="117">
        <v>226</v>
      </c>
      <c r="C860" s="130">
        <f t="shared" si="629"/>
        <v>22600</v>
      </c>
      <c r="D860" s="131" cm="1">
        <f ca="1" t="array" ref="D860">IF(D1462=1,OFFSET($W$634,$B860,D$631-1)/SUMPRODUCT(--($D$631:$V$631=D$631),--($D1462:$V1462=1)),0)+SUM(D859)+IF(COUNTIF(D$1237:D1462,1)=1,5,0)+IF(COUNTIF(E860:$W860,"&gt;"&amp;0)&lt;5,IF(AND(COUNTIF(D$1237:D1462,1)&gt;7,MOD(1+IFERROR(MATCH($C860,总览!$D$46:$D$345,1)+1,1),7)=0),$C$3,0),0)</f>
        <v>1597.08676140197</v>
      </c>
      <c r="E860" s="131" cm="1">
        <f ca="1" t="array" ref="E860">IF(E1462=1,OFFSET($W$634,$B860,E$631-1)/SUMPRODUCT(--($D$631:$V$631=E$631),--($D1462:$V1462=1)),0)+SUM(E859)+IF(COUNTIF(E$1237:E1462,1)=1,5,0)+IF(COUNTIF(F860:$W860,"&gt;"&amp;0)&lt;5,IF(AND(COUNTIF(E$1237:E1462,1)&gt;7,MOD(1+IFERROR(MATCH($C860,总览!$D$46:$D$345,1)+1,1),7)=0),$C$3,0),0)</f>
        <v>1597.08676140197</v>
      </c>
      <c r="F860" s="131" cm="1">
        <f ca="1" t="array" ref="F860">IF(F1462=1,OFFSET($W$634,$B860,F$631-1)/SUMPRODUCT(--($D$631:$V$631=F$631),--($D1462:$V1462=1)),0)+SUM(F859)+IF(COUNTIF(F$1237:F1462,1)=1,5,0)+IF(COUNTIF(G860:$W860,"&gt;"&amp;0)&lt;5,IF(AND(COUNTIF(F$1237:F1462,1)&gt;7,MOD(1+IFERROR(MATCH($C860,总览!$D$46:$D$345,1)+1,1),7)=0),$C$3,0),0)</f>
        <v>1597.08676140197</v>
      </c>
      <c r="G860" s="131" cm="1">
        <f ca="1" t="array" ref="G860">IF(G1462=1,OFFSET($W$634,$B860,G$631-1)/SUMPRODUCT(--($D$631:$V$631=G$631),--($D1462:$V1462=1)),0)+SUM(G859)+IF(COUNTIF(G$1237:G1462,1)=1,5,0)+IF(COUNTIF(H860:$W860,"&gt;"&amp;0)&lt;5,IF(AND(COUNTIF(G$1237:G1462,1)&gt;7,MOD(1+IFERROR(MATCH($C860,总览!$D$46:$D$345,1)+1,1),7)=0),$C$3,0),0)</f>
        <v>692.733333333334</v>
      </c>
      <c r="H860" s="131" cm="1">
        <f ca="1" t="array" ref="H860">IF(H1462=1,OFFSET($W$634,$B860,H$631-1)/SUMPRODUCT(--($D$631:$V$631=H$631),--($D1462:$V1462=1)),0)+SUM(H859)+IF(COUNTIF(H$1237:H1462,1)=1,5,0)+IF(COUNTIF(I860:$W860,"&gt;"&amp;0)&lt;5,IF(AND(COUNTIF(H$1237:H1462,1)&gt;7,MOD(1+IFERROR(MATCH($C860,总览!$D$46:$D$345,1)+1,1),7)=0),$C$3,0),0)</f>
        <v>692.733333333334</v>
      </c>
      <c r="I860" s="131" cm="1">
        <f ca="1" t="array" ref="I860">IF(I1462=1,OFFSET($W$634,$B860,I$631-1)/SUMPRODUCT(--($D$631:$V$631=I$631),--($D1462:$V1462=1)),0)+SUM(I859)+IF(COUNTIF(I$1237:I1462,1)=1,5,0)+IF(COUNTIF(J860:$W860,"&gt;"&amp;0)&lt;5,IF(AND(COUNTIF(I$1237:I1462,1)&gt;7,MOD(1+IFERROR(MATCH($C860,总览!$D$46:$D$345,1)+1,1),7)=0),$C$3,0),0)</f>
        <v>692.733333333334</v>
      </c>
      <c r="J860" s="131" cm="1">
        <f ca="1" t="array" ref="J860">IF(J1462=1,OFFSET($W$634,$B860,J$631-1)/SUMPRODUCT(--($D$631:$V$631=J$631),--($D1462:$V1462=1)),0)+SUM(J859)+IF(COUNTIF(J$1237:J1462,1)=1,5,0)+IF(COUNTIF(K860:$W860,"&gt;"&amp;0)&lt;5,IF(AND(COUNTIF(J$1237:J1462,1)&gt;7,MOD(1+IFERROR(MATCH($C860,总览!$D$46:$D$345,1)+1,1),7)=0),$C$3,0),0)</f>
        <v>689.400000000001</v>
      </c>
      <c r="K860" s="131" cm="1">
        <f ca="1" t="array" ref="K860">IF(K1462=1,OFFSET($W$634,$B860,K$631-1)/SUMPRODUCT(--($D$631:$V$631=K$631),--($D1462:$V1462=1)),0)+SUM(K859)+IF(COUNTIF(K$1237:K1462,1)=1,5,0)+IF(COUNTIF(L860:$W860,"&gt;"&amp;0)&lt;5,IF(AND(COUNTIF(K$1237:K1462,1)&gt;7,MOD(1+IFERROR(MATCH($C860,总览!$D$46:$D$345,1)+1,1),7)=0),$C$3,0),0)</f>
        <v>686.900000000001</v>
      </c>
      <c r="L860" s="131" cm="1">
        <f ca="1" t="array" ref="L860">IF(L1462=1,OFFSET($W$634,$B860,L$631-1)/SUMPRODUCT(--($D$631:$V$631=L$631),--($D1462:$V1462=1)),0)+SUM(L859)+IF(COUNTIF(L$1237:L1462,1)=1,5,0)+IF(COUNTIF(M860:$W860,"&gt;"&amp;0)&lt;5,IF(AND(COUNTIF(L$1237:L1462,1)&gt;7,MOD(1+IFERROR(MATCH($C860,总览!$D$46:$D$345,1)+1,1),7)=0),$C$3,0),0)</f>
        <v>686.900000000001</v>
      </c>
      <c r="M860" s="131" cm="1">
        <f ca="1" t="array" ref="M860">IF(M1462=1,OFFSET($W$634,$B860,M$631-1)/SUMPRODUCT(--($D$631:$V$631=M$631),--($D1462:$V1462=1)),0)+SUM(M859)+IF(COUNTIF(M$1237:M1462,1)=1,5,0)+IF(COUNTIF(N860:$W860,"&gt;"&amp;0)&lt;5,IF(AND(COUNTIF(M$1237:M1462,1)&gt;7,MOD(1+IFERROR(MATCH($C860,总览!$D$46:$D$345,1)+1,1),7)=0),$C$3,0),0)</f>
        <v>280.609821428571</v>
      </c>
      <c r="N860" s="131" cm="1">
        <f ca="1" t="array" ref="N860">IF(N1462=1,OFFSET($W$634,$B860,N$631-1)/SUMPRODUCT(--($D$631:$V$631=N$631),--($D1462:$V1462=1)),0)+SUM(N859)+IF(COUNTIF(N$1237:N1462,1)=1,5,0)+IF(COUNTIF(O860:$W860,"&gt;"&amp;0)&lt;5,IF(AND(COUNTIF(N$1237:N1462,1)&gt;7,MOD(1+IFERROR(MATCH($C860,总览!$D$46:$D$345,1)+1,1),7)=0),$C$3,0),0)</f>
        <v>281.859821428571</v>
      </c>
      <c r="O860" s="131" cm="1">
        <f ca="1" t="array" ref="O860">IF(O1462=1,OFFSET($W$634,$B860,O$631-1)/SUMPRODUCT(--($D$631:$V$631=O$631),--($D1462:$V1462=1)),0)+SUM(O859)+IF(COUNTIF(O$1237:O1462,1)=1,5,0)+IF(COUNTIF(P860:$W860,"&gt;"&amp;0)&lt;5,IF(AND(COUNTIF(O$1237:O1462,1)&gt;7,MOD(1+IFERROR(MATCH($C860,总览!$D$46:$D$345,1)+1,1),7)=0),$C$3,0),0)</f>
        <v>286.859821428571</v>
      </c>
      <c r="P860" s="131" cm="1">
        <f ca="1" t="array" ref="P860">IF(P1462=1,OFFSET($W$634,$B860,P$631-1)/SUMPRODUCT(--($D$631:$V$631=P$631),--($D1462:$V1462=1)),0)+SUM(P859)+IF(COUNTIF(P$1237:P1462,1)=1,5,0)+IF(COUNTIF(Q860:$W860,"&gt;"&amp;0)&lt;5,IF(AND(COUNTIF(P$1237:P1462,1)&gt;7,MOD(1+IFERROR(MATCH($C860,总览!$D$46:$D$345,1)+1,1),7)=0),$C$3,0),0)</f>
        <v>275.978571428571</v>
      </c>
      <c r="Q860" s="131" cm="1">
        <f ca="1" t="array" ref="Q860">IF(Q1462=1,OFFSET($W$634,$B860,Q$631-1)/SUMPRODUCT(--($D$631:$V$631=Q$631),--($D1462:$V1462=1)),0)+SUM(Q859)+IF(COUNTIF(Q$1237:Q1462,1)=1,5,0)+IF(COUNTIF(R860:$W860,"&gt;"&amp;0)&lt;5,IF(AND(COUNTIF(Q$1237:Q1462,1)&gt;7,MOD(1+IFERROR(MATCH($C860,总览!$D$46:$D$345,1)+1,1),7)=0),$C$3,0),0)</f>
        <v>289.359821428571</v>
      </c>
      <c r="R860" s="131" cm="1">
        <f ca="1" t="array" ref="R860">IF(R1462=1,OFFSET($W$634,$B860,R$631-1)/SUMPRODUCT(--($D$631:$V$631=R$631),--($D1462:$V1462=1)),0)+SUM(R859)+IF(COUNTIF(R$1237:R1462,1)=1,5,0)+IF(COUNTIF(S860:$W860,"&gt;"&amp;0)&lt;5,IF(AND(COUNTIF(R$1237:R1462,1)&gt;7,MOD(1+IFERROR(MATCH($C860,总览!$D$46:$D$345,1)+1,1),7)=0),$C$3,0),0)</f>
        <v>280.978571428571</v>
      </c>
      <c r="S860" s="131" cm="1">
        <f ca="1" t="array" ref="S860">IF(S1462=1,OFFSET($W$634,$B860,S$631-1)/SUMPRODUCT(--($D$631:$V$631=S$631),--($D1462:$V1462=1)),0)+SUM(S859)+IF(COUNTIF(S$1237:S1462,1)=1,5,0)+IF(COUNTIF(T860:$W860,"&gt;"&amp;0)&lt;5,IF(AND(COUNTIF(S$1237:S1462,1)&gt;7,MOD(1+IFERROR(MATCH($C860,总览!$D$46:$D$345,1)+1,1),7)=0),$C$3,0),0)</f>
        <v>373.478571428572</v>
      </c>
      <c r="T860" s="131" cm="1">
        <f ca="1" t="array" ref="T860">IF(T1462=1,OFFSET($W$634,$B860,T$631-1)/SUMPRODUCT(--($D$631:$V$631=T$631),--($D1462:$V1462=1)),0)+SUM(T859)+IF(COUNTIF(T$1237:T1462,1)=1,5,0)+IF(COUNTIF(U860:$W860,"&gt;"&amp;0)&lt;5,IF(AND(COUNTIF(T$1237:T1462,1)&gt;7,MOD(1+IFERROR(MATCH($C860,总览!$D$46:$D$345,1)+1,1),7)=0),$C$3,0),0)</f>
        <v>272.448714457017</v>
      </c>
      <c r="U860" s="131" cm="1">
        <f ca="1" t="array" ref="U860">IF(U1462=1,OFFSET($W$634,$B860,U$631-1)/SUMPRODUCT(--($D$631:$V$631=U$631),--($D1462:$V1462=1)),0)+SUM(U859)+IF(COUNTIF(U$1237:U1462,1)=1,5,0)+IF(COUNTIF(V860:$W860,"&gt;"&amp;0)&lt;5,IF(AND(COUNTIF(U$1237:U1462,1)&gt;7,MOD(1+IFERROR(MATCH($C860,总览!$D$46:$D$345,1)+1,1),7)=0),$C$3,0),0)</f>
        <v>277.969500812316</v>
      </c>
      <c r="V860" s="131" cm="1">
        <f ca="1" t="array" ref="V860">IF(V1462=1,OFFSET($W$634,$B860,V$631-1)/SUMPRODUCT(--($D$631:$V$631=V$631),--($D1462:$V1462=1)),0)+SUM(V859)+IF(COUNTIF(V$1237:V1462,1)=1,5,0)+IF(COUNTIF(W860:$W860,"&gt;"&amp;0)&lt;5,IF(AND(COUNTIF(V$1237:V1462,1)&gt;7,MOD(1+IFERROR(MATCH($C860,总览!$D$46:$D$345,1)+1,1),7)=0),$C$3,0),0)</f>
        <v>297.796500524749</v>
      </c>
      <c r="W860" s="135" cm="1">
        <f ca="1" t="array" ref="W860">SUMPRODUCT(TRANSPOSE($AA860:$AG860),OFFSET($L$9:$L$15,0,W$631-1))</f>
        <v>16.8502200646615</v>
      </c>
      <c r="X860" s="135" cm="1">
        <f ca="1" t="array" ref="X860">SUMPRODUCT(TRANSPOSE($AA860:$AG860),OFFSET($L$9:$L$15,0,X$631-1))</f>
        <v>20</v>
      </c>
      <c r="Y860" s="135" cm="1">
        <f ca="1" t="array" ref="Y860">SUMPRODUCT(TRANSPOSE($AA860:$AG860),OFFSET($L$9:$L$15,0,Y$631-1))</f>
        <v>10</v>
      </c>
      <c r="Z860" s="135" cm="1">
        <f ca="1" t="array" ref="Z860">SUMPRODUCT(TRANSPOSE($AA860:$AG860),OFFSET($L$9:$L$15,0,Z$631-1))</f>
        <v>3.14977993533847</v>
      </c>
      <c r="AA860" s="136">
        <f ca="1" t="shared" ref="AA860:AG860" si="697">AH860-AH859</f>
        <v>0</v>
      </c>
      <c r="AB860" s="136">
        <f ca="1" t="shared" si="697"/>
        <v>0</v>
      </c>
      <c r="AC860" s="136">
        <f ca="1" t="shared" si="697"/>
        <v>0</v>
      </c>
      <c r="AD860" s="136">
        <f ca="1" t="shared" si="697"/>
        <v>0</v>
      </c>
      <c r="AE860" s="136">
        <f ca="1" t="shared" si="697"/>
        <v>0</v>
      </c>
      <c r="AF860" s="136">
        <f ca="1" t="shared" si="697"/>
        <v>0</v>
      </c>
      <c r="AG860" s="136">
        <f ca="1" t="shared" si="697"/>
        <v>100</v>
      </c>
      <c r="AH860" s="136">
        <f ca="1" t="shared" si="631"/>
        <v>450</v>
      </c>
      <c r="AI860" s="136">
        <f ca="1" t="shared" ref="AI860:AN860" si="698">IF($C860&gt;OFFSET($Q$8,MATCH(AI$634,$AH$634:$AN$634,0),0),OFFSET($P$8,MATCH(AI$634,$AH$634:$AN$634,0),0),MAX(0,$C860-OFFSET($Q$8,RIGHT(AI$634,1)-1,0)))</f>
        <v>909</v>
      </c>
      <c r="AJ860" s="136">
        <f ca="1" t="shared" si="698"/>
        <v>1818</v>
      </c>
      <c r="AK860" s="136">
        <f ca="1" t="shared" si="698"/>
        <v>2727</v>
      </c>
      <c r="AL860" s="136">
        <f ca="1" t="shared" si="698"/>
        <v>3636</v>
      </c>
      <c r="AM860" s="136">
        <f ca="1" t="shared" si="698"/>
        <v>4545</v>
      </c>
      <c r="AN860" s="136">
        <f ca="1" t="shared" si="698"/>
        <v>8515</v>
      </c>
    </row>
    <row r="861" s="106" customFormat="1" ht="16.5" spans="2:40">
      <c r="B861" s="117">
        <v>227</v>
      </c>
      <c r="C861" s="130">
        <f t="shared" si="629"/>
        <v>22700</v>
      </c>
      <c r="D861" s="131" cm="1">
        <f ca="1" t="array" ref="D861">IF(D1463=1,OFFSET($W$634,$B861,D$631-1)/SUMPRODUCT(--($D$631:$V$631=D$631),--($D1463:$V1463=1)),0)+SUM(D860)+IF(COUNTIF(D$1237:D1463,1)=1,5,0)+IF(COUNTIF(E861:$W861,"&gt;"&amp;0)&lt;5,IF(AND(COUNTIF(D$1237:D1463,1)&gt;7,MOD(1+IFERROR(MATCH($C861,总览!$D$46:$D$345,1)+1,1),7)=0),$C$3,0),0)</f>
        <v>1602.70350142352</v>
      </c>
      <c r="E861" s="131" cm="1">
        <f ca="1" t="array" ref="E861">IF(E1463=1,OFFSET($W$634,$B861,E$631-1)/SUMPRODUCT(--($D$631:$V$631=E$631),--($D1463:$V1463=1)),0)+SUM(E860)+IF(COUNTIF(E$1237:E1463,1)=1,5,0)+IF(COUNTIF(F861:$W861,"&gt;"&amp;0)&lt;5,IF(AND(COUNTIF(E$1237:E1463,1)&gt;7,MOD(1+IFERROR(MATCH($C861,总览!$D$46:$D$345,1)+1,1),7)=0),$C$3,0),0)</f>
        <v>1602.70350142352</v>
      </c>
      <c r="F861" s="131" cm="1">
        <f ca="1" t="array" ref="F861">IF(F1463=1,OFFSET($W$634,$B861,F$631-1)/SUMPRODUCT(--($D$631:$V$631=F$631),--($D1463:$V1463=1)),0)+SUM(F860)+IF(COUNTIF(F$1237:F1463,1)=1,5,0)+IF(COUNTIF(G861:$W861,"&gt;"&amp;0)&lt;5,IF(AND(COUNTIF(F$1237:F1463,1)&gt;7,MOD(1+IFERROR(MATCH($C861,总览!$D$46:$D$345,1)+1,1),7)=0),$C$3,0),0)</f>
        <v>1602.70350142352</v>
      </c>
      <c r="G861" s="131" cm="1">
        <f ca="1" t="array" ref="G861">IF(G1463=1,OFFSET($W$634,$B861,G$631-1)/SUMPRODUCT(--($D$631:$V$631=G$631),--($D1463:$V1463=1)),0)+SUM(G860)+IF(COUNTIF(G$1237:G1463,1)=1,5,0)+IF(COUNTIF(H861:$W861,"&gt;"&amp;0)&lt;5,IF(AND(COUNTIF(G$1237:G1463,1)&gt;7,MOD(1+IFERROR(MATCH($C861,总览!$D$46:$D$345,1)+1,1),7)=0),$C$3,0),0)</f>
        <v>696.066666666667</v>
      </c>
      <c r="H861" s="131" cm="1">
        <f ca="1" t="array" ref="H861">IF(H1463=1,OFFSET($W$634,$B861,H$631-1)/SUMPRODUCT(--($D$631:$V$631=H$631),--($D1463:$V1463=1)),0)+SUM(H860)+IF(COUNTIF(H$1237:H1463,1)=1,5,0)+IF(COUNTIF(I861:$W861,"&gt;"&amp;0)&lt;5,IF(AND(COUNTIF(H$1237:H1463,1)&gt;7,MOD(1+IFERROR(MATCH($C861,总览!$D$46:$D$345,1)+1,1),7)=0),$C$3,0),0)</f>
        <v>696.066666666667</v>
      </c>
      <c r="I861" s="131" cm="1">
        <f ca="1" t="array" ref="I861">IF(I1463=1,OFFSET($W$634,$B861,I$631-1)/SUMPRODUCT(--($D$631:$V$631=I$631),--($D1463:$V1463=1)),0)+SUM(I860)+IF(COUNTIF(I$1237:I1463,1)=1,5,0)+IF(COUNTIF(J861:$W861,"&gt;"&amp;0)&lt;5,IF(AND(COUNTIF(I$1237:I1463,1)&gt;7,MOD(1+IFERROR(MATCH($C861,总览!$D$46:$D$345,1)+1,1),7)=0),$C$3,0),0)</f>
        <v>696.066666666667</v>
      </c>
      <c r="J861" s="131" cm="1">
        <f ca="1" t="array" ref="J861">IF(J1463=1,OFFSET($W$634,$B861,J$631-1)/SUMPRODUCT(--($D$631:$V$631=J$631),--($D1463:$V1463=1)),0)+SUM(J860)+IF(COUNTIF(J$1237:J1463,1)=1,5,0)+IF(COUNTIF(K861:$W861,"&gt;"&amp;0)&lt;5,IF(AND(COUNTIF(J$1237:J1463,1)&gt;7,MOD(1+IFERROR(MATCH($C861,总览!$D$46:$D$345,1)+1,1),7)=0),$C$3,0),0)</f>
        <v>692.733333333334</v>
      </c>
      <c r="K861" s="131" cm="1">
        <f ca="1" t="array" ref="K861">IF(K1463=1,OFFSET($W$634,$B861,K$631-1)/SUMPRODUCT(--($D$631:$V$631=K$631),--($D1463:$V1463=1)),0)+SUM(K860)+IF(COUNTIF(K$1237:K1463,1)=1,5,0)+IF(COUNTIF(L861:$W861,"&gt;"&amp;0)&lt;5,IF(AND(COUNTIF(K$1237:K1463,1)&gt;7,MOD(1+IFERROR(MATCH($C861,总览!$D$46:$D$345,1)+1,1),7)=0),$C$3,0),0)</f>
        <v>690.233333333334</v>
      </c>
      <c r="L861" s="131" cm="1">
        <f ca="1" t="array" ref="L861">IF(L1463=1,OFFSET($W$634,$B861,L$631-1)/SUMPRODUCT(--($D$631:$V$631=L$631),--($D1463:$V1463=1)),0)+SUM(L860)+IF(COUNTIF(L$1237:L1463,1)=1,5,0)+IF(COUNTIF(M861:$W861,"&gt;"&amp;0)&lt;5,IF(AND(COUNTIF(L$1237:L1463,1)&gt;7,MOD(1+IFERROR(MATCH($C861,总览!$D$46:$D$345,1)+1,1),7)=0),$C$3,0),0)</f>
        <v>690.233333333334</v>
      </c>
      <c r="M861" s="131" cm="1">
        <f ca="1" t="array" ref="M861">IF(M1463=1,OFFSET($W$634,$B861,M$631-1)/SUMPRODUCT(--($D$631:$V$631=M$631),--($D1463:$V1463=1)),0)+SUM(M860)+IF(COUNTIF(M$1237:M1463,1)=1,5,0)+IF(COUNTIF(N861:$W861,"&gt;"&amp;0)&lt;5,IF(AND(COUNTIF(M$1237:M1463,1)&gt;7,MOD(1+IFERROR(MATCH($C861,总览!$D$46:$D$345,1)+1,1),7)=0),$C$3,0),0)</f>
        <v>282.038392857142</v>
      </c>
      <c r="N861" s="131" cm="1">
        <f ca="1" t="array" ref="N861">IF(N1463=1,OFFSET($W$634,$B861,N$631-1)/SUMPRODUCT(--($D$631:$V$631=N$631),--($D1463:$V1463=1)),0)+SUM(N860)+IF(COUNTIF(N$1237:N1463,1)=1,5,0)+IF(COUNTIF(O861:$W861,"&gt;"&amp;0)&lt;5,IF(AND(COUNTIF(N$1237:N1463,1)&gt;7,MOD(1+IFERROR(MATCH($C861,总览!$D$46:$D$345,1)+1,1),7)=0),$C$3,0),0)</f>
        <v>283.288392857142</v>
      </c>
      <c r="O861" s="131" cm="1">
        <f ca="1" t="array" ref="O861">IF(O1463=1,OFFSET($W$634,$B861,O$631-1)/SUMPRODUCT(--($D$631:$V$631=O$631),--($D1463:$V1463=1)),0)+SUM(O860)+IF(COUNTIF(O$1237:O1463,1)=1,5,0)+IF(COUNTIF(P861:$W861,"&gt;"&amp;0)&lt;5,IF(AND(COUNTIF(O$1237:O1463,1)&gt;7,MOD(1+IFERROR(MATCH($C861,总览!$D$46:$D$345,1)+1,1),7)=0),$C$3,0),0)</f>
        <v>288.288392857142</v>
      </c>
      <c r="P861" s="131" cm="1">
        <f ca="1" t="array" ref="P861">IF(P1463=1,OFFSET($W$634,$B861,P$631-1)/SUMPRODUCT(--($D$631:$V$631=P$631),--($D1463:$V1463=1)),0)+SUM(P860)+IF(COUNTIF(P$1237:P1463,1)=1,5,0)+IF(COUNTIF(Q861:$W861,"&gt;"&amp;0)&lt;5,IF(AND(COUNTIF(P$1237:P1463,1)&gt;7,MOD(1+IFERROR(MATCH($C861,总览!$D$46:$D$345,1)+1,1),7)=0),$C$3,0),0)</f>
        <v>277.407142857142</v>
      </c>
      <c r="Q861" s="131" cm="1">
        <f ca="1" t="array" ref="Q861">IF(Q1463=1,OFFSET($W$634,$B861,Q$631-1)/SUMPRODUCT(--($D$631:$V$631=Q$631),--($D1463:$V1463=1)),0)+SUM(Q860)+IF(COUNTIF(Q$1237:Q1463,1)=1,5,0)+IF(COUNTIF(R861:$W861,"&gt;"&amp;0)&lt;5,IF(AND(COUNTIF(Q$1237:Q1463,1)&gt;7,MOD(1+IFERROR(MATCH($C861,总览!$D$46:$D$345,1)+1,1),7)=0),$C$3,0),0)</f>
        <v>290.788392857142</v>
      </c>
      <c r="R861" s="131" cm="1">
        <f ca="1" t="array" ref="R861">IF(R1463=1,OFFSET($W$634,$B861,R$631-1)/SUMPRODUCT(--($D$631:$V$631=R$631),--($D1463:$V1463=1)),0)+SUM(R860)+IF(COUNTIF(R$1237:R1463,1)=1,5,0)+IF(COUNTIF(S861:$W861,"&gt;"&amp;0)&lt;5,IF(AND(COUNTIF(R$1237:R1463,1)&gt;7,MOD(1+IFERROR(MATCH($C861,总览!$D$46:$D$345,1)+1,1),7)=0),$C$3,0),0)</f>
        <v>282.407142857142</v>
      </c>
      <c r="S861" s="131" cm="1">
        <f ca="1" t="array" ref="S861">IF(S1463=1,OFFSET($W$634,$B861,S$631-1)/SUMPRODUCT(--($D$631:$V$631=S$631),--($D1463:$V1463=1)),0)+SUM(S860)+IF(COUNTIF(S$1237:S1463,1)=1,5,0)+IF(COUNTIF(T861:$W861,"&gt;"&amp;0)&lt;5,IF(AND(COUNTIF(S$1237:S1463,1)&gt;7,MOD(1+IFERROR(MATCH($C861,总览!$D$46:$D$345,1)+1,1),7)=0),$C$3,0),0)</f>
        <v>374.907142857143</v>
      </c>
      <c r="T861" s="131" cm="1">
        <f ca="1" t="array" ref="T861">IF(T1463=1,OFFSET($W$634,$B861,T$631-1)/SUMPRODUCT(--($D$631:$V$631=T$631),--($D1463:$V1463=1)),0)+SUM(T860)+IF(COUNTIF(T$1237:T1463,1)=1,5,0)+IF(COUNTIF(U861:$W861,"&gt;"&amp;0)&lt;5,IF(AND(COUNTIF(T$1237:T1463,1)&gt;7,MOD(1+IFERROR(MATCH($C861,总览!$D$46:$D$345,1)+1,1),7)=0),$C$3,0),0)</f>
        <v>273.49864110213</v>
      </c>
      <c r="U861" s="131" cm="1">
        <f ca="1" t="array" ref="U861">IF(U1463=1,OFFSET($W$634,$B861,U$631-1)/SUMPRODUCT(--($D$631:$V$631=U$631),--($D1463:$V1463=1)),0)+SUM(U860)+IF(COUNTIF(U$1237:U1463,1)=1,5,0)+IF(COUNTIF(V861:$W861,"&gt;"&amp;0)&lt;5,IF(AND(COUNTIF(U$1237:U1463,1)&gt;7,MOD(1+IFERROR(MATCH($C861,总览!$D$46:$D$345,1)+1,1),7)=0),$C$3,0),0)</f>
        <v>279.019427457429</v>
      </c>
      <c r="V861" s="131" cm="1">
        <f ca="1" t="array" ref="V861">IF(V1463=1,OFFSET($W$634,$B861,V$631-1)/SUMPRODUCT(--($D$631:$V$631=V$631),--($D1463:$V1463=1)),0)+SUM(V860)+IF(COUNTIF(V$1237:V1463,1)=1,5,0)+IF(COUNTIF(W861:$W861,"&gt;"&amp;0)&lt;5,IF(AND(COUNTIF(V$1237:V1463,1)&gt;7,MOD(1+IFERROR(MATCH($C861,总览!$D$46:$D$345,1)+1,1),7)=0),$C$3,0),0)</f>
        <v>298.846427169862</v>
      </c>
      <c r="W861" s="135" cm="1">
        <f ca="1" t="array" ref="W861">SUMPRODUCT(TRANSPOSE($AA861:$AG861),OFFSET($L$9:$L$15,0,W$631-1))</f>
        <v>16.8502200646615</v>
      </c>
      <c r="X861" s="135" cm="1">
        <f ca="1" t="array" ref="X861">SUMPRODUCT(TRANSPOSE($AA861:$AG861),OFFSET($L$9:$L$15,0,X$631-1))</f>
        <v>20</v>
      </c>
      <c r="Y861" s="135" cm="1">
        <f ca="1" t="array" ref="Y861">SUMPRODUCT(TRANSPOSE($AA861:$AG861),OFFSET($L$9:$L$15,0,Y$631-1))</f>
        <v>10</v>
      </c>
      <c r="Z861" s="135" cm="1">
        <f ca="1" t="array" ref="Z861">SUMPRODUCT(TRANSPOSE($AA861:$AG861),OFFSET($L$9:$L$15,0,Z$631-1))</f>
        <v>3.14977993533847</v>
      </c>
      <c r="AA861" s="136">
        <f ca="1" t="shared" ref="AA861:AG861" si="699">AH861-AH860</f>
        <v>0</v>
      </c>
      <c r="AB861" s="136">
        <f ca="1" t="shared" si="699"/>
        <v>0</v>
      </c>
      <c r="AC861" s="136">
        <f ca="1" t="shared" si="699"/>
        <v>0</v>
      </c>
      <c r="AD861" s="136">
        <f ca="1" t="shared" si="699"/>
        <v>0</v>
      </c>
      <c r="AE861" s="136">
        <f ca="1" t="shared" si="699"/>
        <v>0</v>
      </c>
      <c r="AF861" s="136">
        <f ca="1" t="shared" si="699"/>
        <v>0</v>
      </c>
      <c r="AG861" s="136">
        <f ca="1" t="shared" si="699"/>
        <v>100</v>
      </c>
      <c r="AH861" s="136">
        <f ca="1" t="shared" si="631"/>
        <v>450</v>
      </c>
      <c r="AI861" s="136">
        <f ca="1" t="shared" ref="AI861:AN861" si="700">IF($C861&gt;OFFSET($Q$8,MATCH(AI$634,$AH$634:$AN$634,0),0),OFFSET($P$8,MATCH(AI$634,$AH$634:$AN$634,0),0),MAX(0,$C861-OFFSET($Q$8,RIGHT(AI$634,1)-1,0)))</f>
        <v>909</v>
      </c>
      <c r="AJ861" s="136">
        <f ca="1" t="shared" si="700"/>
        <v>1818</v>
      </c>
      <c r="AK861" s="136">
        <f ca="1" t="shared" si="700"/>
        <v>2727</v>
      </c>
      <c r="AL861" s="136">
        <f ca="1" t="shared" si="700"/>
        <v>3636</v>
      </c>
      <c r="AM861" s="136">
        <f ca="1" t="shared" si="700"/>
        <v>4545</v>
      </c>
      <c r="AN861" s="136">
        <f ca="1" t="shared" si="700"/>
        <v>8615</v>
      </c>
    </row>
    <row r="862" s="106" customFormat="1" ht="16.5" spans="2:40">
      <c r="B862" s="117">
        <v>228</v>
      </c>
      <c r="C862" s="130">
        <f t="shared" si="629"/>
        <v>22800</v>
      </c>
      <c r="D862" s="131" cm="1">
        <f ca="1" t="array" ref="D862">IF(D1464=1,OFFSET($W$634,$B862,D$631-1)/SUMPRODUCT(--($D$631:$V$631=D$631),--($D1464:$V1464=1)),0)+SUM(D861)+IF(COUNTIF(D$1237:D1464,1)=1,5,0)+IF(COUNTIF(E862:$W862,"&gt;"&amp;0)&lt;5,IF(AND(COUNTIF(D$1237:D1464,1)&gt;7,MOD(1+IFERROR(MATCH($C862,总览!$D$46:$D$345,1)+1,1),7)=0),$C$3,0),0)</f>
        <v>1608.32024144508</v>
      </c>
      <c r="E862" s="131" cm="1">
        <f ca="1" t="array" ref="E862">IF(E1464=1,OFFSET($W$634,$B862,E$631-1)/SUMPRODUCT(--($D$631:$V$631=E$631),--($D1464:$V1464=1)),0)+SUM(E861)+IF(COUNTIF(E$1237:E1464,1)=1,5,0)+IF(COUNTIF(F862:$W862,"&gt;"&amp;0)&lt;5,IF(AND(COUNTIF(E$1237:E1464,1)&gt;7,MOD(1+IFERROR(MATCH($C862,总览!$D$46:$D$345,1)+1,1),7)=0),$C$3,0),0)</f>
        <v>1608.32024144508</v>
      </c>
      <c r="F862" s="131" cm="1">
        <f ca="1" t="array" ref="F862">IF(F1464=1,OFFSET($W$634,$B862,F$631-1)/SUMPRODUCT(--($D$631:$V$631=F$631),--($D1464:$V1464=1)),0)+SUM(F861)+IF(COUNTIF(F$1237:F1464,1)=1,5,0)+IF(COUNTIF(G862:$W862,"&gt;"&amp;0)&lt;5,IF(AND(COUNTIF(F$1237:F1464,1)&gt;7,MOD(1+IFERROR(MATCH($C862,总览!$D$46:$D$345,1)+1,1),7)=0),$C$3,0),0)</f>
        <v>1608.32024144508</v>
      </c>
      <c r="G862" s="131" cm="1">
        <f ca="1" t="array" ref="G862">IF(G1464=1,OFFSET($W$634,$B862,G$631-1)/SUMPRODUCT(--($D$631:$V$631=G$631),--($D1464:$V1464=1)),0)+SUM(G861)+IF(COUNTIF(G$1237:G1464,1)=1,5,0)+IF(COUNTIF(H862:$W862,"&gt;"&amp;0)&lt;5,IF(AND(COUNTIF(G$1237:G1464,1)&gt;7,MOD(1+IFERROR(MATCH($C862,总览!$D$46:$D$345,1)+1,1),7)=0),$C$3,0),0)</f>
        <v>699.400000000001</v>
      </c>
      <c r="H862" s="131" cm="1">
        <f ca="1" t="array" ref="H862">IF(H1464=1,OFFSET($W$634,$B862,H$631-1)/SUMPRODUCT(--($D$631:$V$631=H$631),--($D1464:$V1464=1)),0)+SUM(H861)+IF(COUNTIF(H$1237:H1464,1)=1,5,0)+IF(COUNTIF(I862:$W862,"&gt;"&amp;0)&lt;5,IF(AND(COUNTIF(H$1237:H1464,1)&gt;7,MOD(1+IFERROR(MATCH($C862,总览!$D$46:$D$345,1)+1,1),7)=0),$C$3,0),0)</f>
        <v>699.400000000001</v>
      </c>
      <c r="I862" s="131" cm="1">
        <f ca="1" t="array" ref="I862">IF(I1464=1,OFFSET($W$634,$B862,I$631-1)/SUMPRODUCT(--($D$631:$V$631=I$631),--($D1464:$V1464=1)),0)+SUM(I861)+IF(COUNTIF(I$1237:I1464,1)=1,5,0)+IF(COUNTIF(J862:$W862,"&gt;"&amp;0)&lt;5,IF(AND(COUNTIF(I$1237:I1464,1)&gt;7,MOD(1+IFERROR(MATCH($C862,总览!$D$46:$D$345,1)+1,1),7)=0),$C$3,0),0)</f>
        <v>699.400000000001</v>
      </c>
      <c r="J862" s="131" cm="1">
        <f ca="1" t="array" ref="J862">IF(J1464=1,OFFSET($W$634,$B862,J$631-1)/SUMPRODUCT(--($D$631:$V$631=J$631),--($D1464:$V1464=1)),0)+SUM(J861)+IF(COUNTIF(J$1237:J1464,1)=1,5,0)+IF(COUNTIF(K862:$W862,"&gt;"&amp;0)&lt;5,IF(AND(COUNTIF(J$1237:J1464,1)&gt;7,MOD(1+IFERROR(MATCH($C862,总览!$D$46:$D$345,1)+1,1),7)=0),$C$3,0),0)</f>
        <v>696.066666666667</v>
      </c>
      <c r="K862" s="131" cm="1">
        <f ca="1" t="array" ref="K862">IF(K1464=1,OFFSET($W$634,$B862,K$631-1)/SUMPRODUCT(--($D$631:$V$631=K$631),--($D1464:$V1464=1)),0)+SUM(K861)+IF(COUNTIF(K$1237:K1464,1)=1,5,0)+IF(COUNTIF(L862:$W862,"&gt;"&amp;0)&lt;5,IF(AND(COUNTIF(K$1237:K1464,1)&gt;7,MOD(1+IFERROR(MATCH($C862,总览!$D$46:$D$345,1)+1,1),7)=0),$C$3,0),0)</f>
        <v>693.566666666667</v>
      </c>
      <c r="L862" s="131" cm="1">
        <f ca="1" t="array" ref="L862">IF(L1464=1,OFFSET($W$634,$B862,L$631-1)/SUMPRODUCT(--($D$631:$V$631=L$631),--($D1464:$V1464=1)),0)+SUM(L861)+IF(COUNTIF(L$1237:L1464,1)=1,5,0)+IF(COUNTIF(M862:$W862,"&gt;"&amp;0)&lt;5,IF(AND(COUNTIF(L$1237:L1464,1)&gt;7,MOD(1+IFERROR(MATCH($C862,总览!$D$46:$D$345,1)+1,1),7)=0),$C$3,0),0)</f>
        <v>693.566666666667</v>
      </c>
      <c r="M862" s="131" cm="1">
        <f ca="1" t="array" ref="M862">IF(M1464=1,OFFSET($W$634,$B862,M$631-1)/SUMPRODUCT(--($D$631:$V$631=M$631),--($D1464:$V1464=1)),0)+SUM(M861)+IF(COUNTIF(M$1237:M1464,1)=1,5,0)+IF(COUNTIF(N862:$W862,"&gt;"&amp;0)&lt;5,IF(AND(COUNTIF(M$1237:M1464,1)&gt;7,MOD(1+IFERROR(MATCH($C862,总览!$D$46:$D$345,1)+1,1),7)=0),$C$3,0),0)</f>
        <v>283.466964285713</v>
      </c>
      <c r="N862" s="131" cm="1">
        <f ca="1" t="array" ref="N862">IF(N1464=1,OFFSET($W$634,$B862,N$631-1)/SUMPRODUCT(--($D$631:$V$631=N$631),--($D1464:$V1464=1)),0)+SUM(N861)+IF(COUNTIF(N$1237:N1464,1)=1,5,0)+IF(COUNTIF(O862:$W862,"&gt;"&amp;0)&lt;5,IF(AND(COUNTIF(N$1237:N1464,1)&gt;7,MOD(1+IFERROR(MATCH($C862,总览!$D$46:$D$345,1)+1,1),7)=0),$C$3,0),0)</f>
        <v>284.716964285713</v>
      </c>
      <c r="O862" s="131" cm="1">
        <f ca="1" t="array" ref="O862">IF(O1464=1,OFFSET($W$634,$B862,O$631-1)/SUMPRODUCT(--($D$631:$V$631=O$631),--($D1464:$V1464=1)),0)+SUM(O861)+IF(COUNTIF(O$1237:O1464,1)=1,5,0)+IF(COUNTIF(P862:$W862,"&gt;"&amp;0)&lt;5,IF(AND(COUNTIF(O$1237:O1464,1)&gt;7,MOD(1+IFERROR(MATCH($C862,总览!$D$46:$D$345,1)+1,1),7)=0),$C$3,0),0)</f>
        <v>289.716964285713</v>
      </c>
      <c r="P862" s="131" cm="1">
        <f ca="1" t="array" ref="P862">IF(P1464=1,OFFSET($W$634,$B862,P$631-1)/SUMPRODUCT(--($D$631:$V$631=P$631),--($D1464:$V1464=1)),0)+SUM(P861)+IF(COUNTIF(P$1237:P1464,1)=1,5,0)+IF(COUNTIF(Q862:$W862,"&gt;"&amp;0)&lt;5,IF(AND(COUNTIF(P$1237:P1464,1)&gt;7,MOD(1+IFERROR(MATCH($C862,总览!$D$46:$D$345,1)+1,1),7)=0),$C$3,0),0)</f>
        <v>278.835714285713</v>
      </c>
      <c r="Q862" s="131" cm="1">
        <f ca="1" t="array" ref="Q862">IF(Q1464=1,OFFSET($W$634,$B862,Q$631-1)/SUMPRODUCT(--($D$631:$V$631=Q$631),--($D1464:$V1464=1)),0)+SUM(Q861)+IF(COUNTIF(Q$1237:Q1464,1)=1,5,0)+IF(COUNTIF(R862:$W862,"&gt;"&amp;0)&lt;5,IF(AND(COUNTIF(Q$1237:Q1464,1)&gt;7,MOD(1+IFERROR(MATCH($C862,总览!$D$46:$D$345,1)+1,1),7)=0),$C$3,0),0)</f>
        <v>292.216964285713</v>
      </c>
      <c r="R862" s="131" cm="1">
        <f ca="1" t="array" ref="R862">IF(R1464=1,OFFSET($W$634,$B862,R$631-1)/SUMPRODUCT(--($D$631:$V$631=R$631),--($D1464:$V1464=1)),0)+SUM(R861)+IF(COUNTIF(R$1237:R1464,1)=1,5,0)+IF(COUNTIF(S862:$W862,"&gt;"&amp;0)&lt;5,IF(AND(COUNTIF(R$1237:R1464,1)&gt;7,MOD(1+IFERROR(MATCH($C862,总览!$D$46:$D$345,1)+1,1),7)=0),$C$3,0),0)</f>
        <v>283.835714285713</v>
      </c>
      <c r="S862" s="131" cm="1">
        <f ca="1" t="array" ref="S862">IF(S1464=1,OFFSET($W$634,$B862,S$631-1)/SUMPRODUCT(--($D$631:$V$631=S$631),--($D1464:$V1464=1)),0)+SUM(S861)+IF(COUNTIF(S$1237:S1464,1)=1,5,0)+IF(COUNTIF(T862:$W862,"&gt;"&amp;0)&lt;5,IF(AND(COUNTIF(S$1237:S1464,1)&gt;7,MOD(1+IFERROR(MATCH($C862,总览!$D$46:$D$345,1)+1,1),7)=0),$C$3,0),0)</f>
        <v>376.335714285715</v>
      </c>
      <c r="T862" s="131" cm="1">
        <f ca="1" t="array" ref="T862">IF(T1464=1,OFFSET($W$634,$B862,T$631-1)/SUMPRODUCT(--($D$631:$V$631=T$631),--($D1464:$V1464=1)),0)+SUM(T861)+IF(COUNTIF(T$1237:T1464,1)=1,5,0)+IF(COUNTIF(U862:$W862,"&gt;"&amp;0)&lt;5,IF(AND(COUNTIF(T$1237:T1464,1)&gt;7,MOD(1+IFERROR(MATCH($C862,总览!$D$46:$D$345,1)+1,1),7)=0),$C$3,0),0)</f>
        <v>274.548567747242</v>
      </c>
      <c r="U862" s="131" cm="1">
        <f ca="1" t="array" ref="U862">IF(U1464=1,OFFSET($W$634,$B862,U$631-1)/SUMPRODUCT(--($D$631:$V$631=U$631),--($D1464:$V1464=1)),0)+SUM(U861)+IF(COUNTIF(U$1237:U1464,1)=1,5,0)+IF(COUNTIF(V862:$W862,"&gt;"&amp;0)&lt;5,IF(AND(COUNTIF(U$1237:U1464,1)&gt;7,MOD(1+IFERROR(MATCH($C862,总览!$D$46:$D$345,1)+1,1),7)=0),$C$3,0),0)</f>
        <v>280.069354102542</v>
      </c>
      <c r="V862" s="131" cm="1">
        <f ca="1" t="array" ref="V862">IF(V1464=1,OFFSET($W$634,$B862,V$631-1)/SUMPRODUCT(--($D$631:$V$631=V$631),--($D1464:$V1464=1)),0)+SUM(V861)+IF(COUNTIF(V$1237:V1464,1)=1,5,0)+IF(COUNTIF(W862:$W862,"&gt;"&amp;0)&lt;5,IF(AND(COUNTIF(V$1237:V1464,1)&gt;7,MOD(1+IFERROR(MATCH($C862,总览!$D$46:$D$345,1)+1,1),7)=0),$C$3,0),0)</f>
        <v>299.896353814975</v>
      </c>
      <c r="W862" s="135" cm="1">
        <f ca="1" t="array" ref="W862">SUMPRODUCT(TRANSPOSE($AA862:$AG862),OFFSET($L$9:$L$15,0,W$631-1))</f>
        <v>16.8502200646615</v>
      </c>
      <c r="X862" s="135" cm="1">
        <f ca="1" t="array" ref="X862">SUMPRODUCT(TRANSPOSE($AA862:$AG862),OFFSET($L$9:$L$15,0,X$631-1))</f>
        <v>20</v>
      </c>
      <c r="Y862" s="135" cm="1">
        <f ca="1" t="array" ref="Y862">SUMPRODUCT(TRANSPOSE($AA862:$AG862),OFFSET($L$9:$L$15,0,Y$631-1))</f>
        <v>10</v>
      </c>
      <c r="Z862" s="135" cm="1">
        <f ca="1" t="array" ref="Z862">SUMPRODUCT(TRANSPOSE($AA862:$AG862),OFFSET($L$9:$L$15,0,Z$631-1))</f>
        <v>3.14977993533847</v>
      </c>
      <c r="AA862" s="136">
        <f ca="1" t="shared" ref="AA862:AG862" si="701">AH862-AH861</f>
        <v>0</v>
      </c>
      <c r="AB862" s="136">
        <f ca="1" t="shared" si="701"/>
        <v>0</v>
      </c>
      <c r="AC862" s="136">
        <f ca="1" t="shared" si="701"/>
        <v>0</v>
      </c>
      <c r="AD862" s="136">
        <f ca="1" t="shared" si="701"/>
        <v>0</v>
      </c>
      <c r="AE862" s="136">
        <f ca="1" t="shared" si="701"/>
        <v>0</v>
      </c>
      <c r="AF862" s="136">
        <f ca="1" t="shared" si="701"/>
        <v>0</v>
      </c>
      <c r="AG862" s="136">
        <f ca="1" t="shared" si="701"/>
        <v>100</v>
      </c>
      <c r="AH862" s="136">
        <f ca="1" t="shared" si="631"/>
        <v>450</v>
      </c>
      <c r="AI862" s="136">
        <f ca="1" t="shared" ref="AI862:AN862" si="702">IF($C862&gt;OFFSET($Q$8,MATCH(AI$634,$AH$634:$AN$634,0),0),OFFSET($P$8,MATCH(AI$634,$AH$634:$AN$634,0),0),MAX(0,$C862-OFFSET($Q$8,RIGHT(AI$634,1)-1,0)))</f>
        <v>909</v>
      </c>
      <c r="AJ862" s="136">
        <f ca="1" t="shared" si="702"/>
        <v>1818</v>
      </c>
      <c r="AK862" s="136">
        <f ca="1" t="shared" si="702"/>
        <v>2727</v>
      </c>
      <c r="AL862" s="136">
        <f ca="1" t="shared" si="702"/>
        <v>3636</v>
      </c>
      <c r="AM862" s="136">
        <f ca="1" t="shared" si="702"/>
        <v>4545</v>
      </c>
      <c r="AN862" s="136">
        <f ca="1" t="shared" si="702"/>
        <v>8715</v>
      </c>
    </row>
    <row r="863" s="106" customFormat="1" ht="16.5" spans="2:40">
      <c r="B863" s="117">
        <v>229</v>
      </c>
      <c r="C863" s="130">
        <f t="shared" si="629"/>
        <v>22900</v>
      </c>
      <c r="D863" s="131" cm="1">
        <f ca="1" t="array" ref="D863">IF(D1465=1,OFFSET($W$634,$B863,D$631-1)/SUMPRODUCT(--($D$631:$V$631=D$631),--($D1465:$V1465=1)),0)+SUM(D862)+IF(COUNTIF(D$1237:D1465,1)=1,5,0)+IF(COUNTIF(E863:$W863,"&gt;"&amp;0)&lt;5,IF(AND(COUNTIF(D$1237:D1465,1)&gt;7,MOD(1+IFERROR(MATCH($C863,总览!$D$46:$D$345,1)+1,1),7)=0),$C$3,0),0)</f>
        <v>1613.93698146663</v>
      </c>
      <c r="E863" s="131" cm="1">
        <f ca="1" t="array" ref="E863">IF(E1465=1,OFFSET($W$634,$B863,E$631-1)/SUMPRODUCT(--($D$631:$V$631=E$631),--($D1465:$V1465=1)),0)+SUM(E862)+IF(COUNTIF(E$1237:E1465,1)=1,5,0)+IF(COUNTIF(F863:$W863,"&gt;"&amp;0)&lt;5,IF(AND(COUNTIF(E$1237:E1465,1)&gt;7,MOD(1+IFERROR(MATCH($C863,总览!$D$46:$D$345,1)+1,1),7)=0),$C$3,0),0)</f>
        <v>1613.93698146663</v>
      </c>
      <c r="F863" s="131" cm="1">
        <f ca="1" t="array" ref="F863">IF(F1465=1,OFFSET($W$634,$B863,F$631-1)/SUMPRODUCT(--($D$631:$V$631=F$631),--($D1465:$V1465=1)),0)+SUM(F862)+IF(COUNTIF(F$1237:F1465,1)=1,5,0)+IF(COUNTIF(G863:$W863,"&gt;"&amp;0)&lt;5,IF(AND(COUNTIF(F$1237:F1465,1)&gt;7,MOD(1+IFERROR(MATCH($C863,总览!$D$46:$D$345,1)+1,1),7)=0),$C$3,0),0)</f>
        <v>1613.93698146663</v>
      </c>
      <c r="G863" s="131" cm="1">
        <f ca="1" t="array" ref="G863">IF(G1465=1,OFFSET($W$634,$B863,G$631-1)/SUMPRODUCT(--($D$631:$V$631=G$631),--($D1465:$V1465=1)),0)+SUM(G862)+IF(COUNTIF(G$1237:G1465,1)=1,5,0)+IF(COUNTIF(H863:$W863,"&gt;"&amp;0)&lt;5,IF(AND(COUNTIF(G$1237:G1465,1)&gt;7,MOD(1+IFERROR(MATCH($C863,总览!$D$46:$D$345,1)+1,1),7)=0),$C$3,0),0)</f>
        <v>702.733333333334</v>
      </c>
      <c r="H863" s="131" cm="1">
        <f ca="1" t="array" ref="H863">IF(H1465=1,OFFSET($W$634,$B863,H$631-1)/SUMPRODUCT(--($D$631:$V$631=H$631),--($D1465:$V1465=1)),0)+SUM(H862)+IF(COUNTIF(H$1237:H1465,1)=1,5,0)+IF(COUNTIF(I863:$W863,"&gt;"&amp;0)&lt;5,IF(AND(COUNTIF(H$1237:H1465,1)&gt;7,MOD(1+IFERROR(MATCH($C863,总览!$D$46:$D$345,1)+1,1),7)=0),$C$3,0),0)</f>
        <v>702.733333333334</v>
      </c>
      <c r="I863" s="131" cm="1">
        <f ca="1" t="array" ref="I863">IF(I1465=1,OFFSET($W$634,$B863,I$631-1)/SUMPRODUCT(--($D$631:$V$631=I$631),--($D1465:$V1465=1)),0)+SUM(I862)+IF(COUNTIF(I$1237:I1465,1)=1,5,0)+IF(COUNTIF(J863:$W863,"&gt;"&amp;0)&lt;5,IF(AND(COUNTIF(I$1237:I1465,1)&gt;7,MOD(1+IFERROR(MATCH($C863,总览!$D$46:$D$345,1)+1,1),7)=0),$C$3,0),0)</f>
        <v>702.733333333334</v>
      </c>
      <c r="J863" s="131" cm="1">
        <f ca="1" t="array" ref="J863">IF(J1465=1,OFFSET($W$634,$B863,J$631-1)/SUMPRODUCT(--($D$631:$V$631=J$631),--($D1465:$V1465=1)),0)+SUM(J862)+IF(COUNTIF(J$1237:J1465,1)=1,5,0)+IF(COUNTIF(K863:$W863,"&gt;"&amp;0)&lt;5,IF(AND(COUNTIF(J$1237:J1465,1)&gt;7,MOD(1+IFERROR(MATCH($C863,总览!$D$46:$D$345,1)+1,1),7)=0),$C$3,0),0)</f>
        <v>699.400000000001</v>
      </c>
      <c r="K863" s="131" cm="1">
        <f ca="1" t="array" ref="K863">IF(K1465=1,OFFSET($W$634,$B863,K$631-1)/SUMPRODUCT(--($D$631:$V$631=K$631),--($D1465:$V1465=1)),0)+SUM(K862)+IF(COUNTIF(K$1237:K1465,1)=1,5,0)+IF(COUNTIF(L863:$W863,"&gt;"&amp;0)&lt;5,IF(AND(COUNTIF(K$1237:K1465,1)&gt;7,MOD(1+IFERROR(MATCH($C863,总览!$D$46:$D$345,1)+1,1),7)=0),$C$3,0),0)</f>
        <v>696.900000000001</v>
      </c>
      <c r="L863" s="131" cm="1">
        <f ca="1" t="array" ref="L863">IF(L1465=1,OFFSET($W$634,$B863,L$631-1)/SUMPRODUCT(--($D$631:$V$631=L$631),--($D1465:$V1465=1)),0)+SUM(L862)+IF(COUNTIF(L$1237:L1465,1)=1,5,0)+IF(COUNTIF(M863:$W863,"&gt;"&amp;0)&lt;5,IF(AND(COUNTIF(L$1237:L1465,1)&gt;7,MOD(1+IFERROR(MATCH($C863,总览!$D$46:$D$345,1)+1,1),7)=0),$C$3,0),0)</f>
        <v>696.900000000001</v>
      </c>
      <c r="M863" s="131" cm="1">
        <f ca="1" t="array" ref="M863">IF(M1465=1,OFFSET($W$634,$B863,M$631-1)/SUMPRODUCT(--($D$631:$V$631=M$631),--($D1465:$V1465=1)),0)+SUM(M862)+IF(COUNTIF(M$1237:M1465,1)=1,5,0)+IF(COUNTIF(N863:$W863,"&gt;"&amp;0)&lt;5,IF(AND(COUNTIF(M$1237:M1465,1)&gt;7,MOD(1+IFERROR(MATCH($C863,总览!$D$46:$D$345,1)+1,1),7)=0),$C$3,0),0)</f>
        <v>284.895535714285</v>
      </c>
      <c r="N863" s="131" cm="1">
        <f ca="1" t="array" ref="N863">IF(N1465=1,OFFSET($W$634,$B863,N$631-1)/SUMPRODUCT(--($D$631:$V$631=N$631),--($D1465:$V1465=1)),0)+SUM(N862)+IF(COUNTIF(N$1237:N1465,1)=1,5,0)+IF(COUNTIF(O863:$W863,"&gt;"&amp;0)&lt;5,IF(AND(COUNTIF(N$1237:N1465,1)&gt;7,MOD(1+IFERROR(MATCH($C863,总览!$D$46:$D$345,1)+1,1),7)=0),$C$3,0),0)</f>
        <v>286.145535714285</v>
      </c>
      <c r="O863" s="131" cm="1">
        <f ca="1" t="array" ref="O863">IF(O1465=1,OFFSET($W$634,$B863,O$631-1)/SUMPRODUCT(--($D$631:$V$631=O$631),--($D1465:$V1465=1)),0)+SUM(O862)+IF(COUNTIF(O$1237:O1465,1)=1,5,0)+IF(COUNTIF(P863:$W863,"&gt;"&amp;0)&lt;5,IF(AND(COUNTIF(O$1237:O1465,1)&gt;7,MOD(1+IFERROR(MATCH($C863,总览!$D$46:$D$345,1)+1,1),7)=0),$C$3,0),0)</f>
        <v>291.145535714285</v>
      </c>
      <c r="P863" s="131" cm="1">
        <f ca="1" t="array" ref="P863">IF(P1465=1,OFFSET($W$634,$B863,P$631-1)/SUMPRODUCT(--($D$631:$V$631=P$631),--($D1465:$V1465=1)),0)+SUM(P862)+IF(COUNTIF(P$1237:P1465,1)=1,5,0)+IF(COUNTIF(Q863:$W863,"&gt;"&amp;0)&lt;5,IF(AND(COUNTIF(P$1237:P1465,1)&gt;7,MOD(1+IFERROR(MATCH($C863,总览!$D$46:$D$345,1)+1,1),7)=0),$C$3,0),0)</f>
        <v>280.264285714285</v>
      </c>
      <c r="Q863" s="131" cm="1">
        <f ca="1" t="array" ref="Q863">IF(Q1465=1,OFFSET($W$634,$B863,Q$631-1)/SUMPRODUCT(--($D$631:$V$631=Q$631),--($D1465:$V1465=1)),0)+SUM(Q862)+IF(COUNTIF(Q$1237:Q1465,1)=1,5,0)+IF(COUNTIF(R863:$W863,"&gt;"&amp;0)&lt;5,IF(AND(COUNTIF(Q$1237:Q1465,1)&gt;7,MOD(1+IFERROR(MATCH($C863,总览!$D$46:$D$345,1)+1,1),7)=0),$C$3,0),0)</f>
        <v>293.645535714285</v>
      </c>
      <c r="R863" s="131" cm="1">
        <f ca="1" t="array" ref="R863">IF(R1465=1,OFFSET($W$634,$B863,R$631-1)/SUMPRODUCT(--($D$631:$V$631=R$631),--($D1465:$V1465=1)),0)+SUM(R862)+IF(COUNTIF(R$1237:R1465,1)=1,5,0)+IF(COUNTIF(S863:$W863,"&gt;"&amp;0)&lt;5,IF(AND(COUNTIF(R$1237:R1465,1)&gt;7,MOD(1+IFERROR(MATCH($C863,总览!$D$46:$D$345,1)+1,1),7)=0),$C$3,0),0)</f>
        <v>285.264285714285</v>
      </c>
      <c r="S863" s="131" cm="1">
        <f ca="1" t="array" ref="S863">IF(S1465=1,OFFSET($W$634,$B863,S$631-1)/SUMPRODUCT(--($D$631:$V$631=S$631),--($D1465:$V1465=1)),0)+SUM(S862)+IF(COUNTIF(S$1237:S1465,1)=1,5,0)+IF(COUNTIF(T863:$W863,"&gt;"&amp;0)&lt;5,IF(AND(COUNTIF(S$1237:S1465,1)&gt;7,MOD(1+IFERROR(MATCH($C863,总览!$D$46:$D$345,1)+1,1),7)=0),$C$3,0),0)</f>
        <v>377.764285714286</v>
      </c>
      <c r="T863" s="131" cm="1">
        <f ca="1" t="array" ref="T863">IF(T1465=1,OFFSET($W$634,$B863,T$631-1)/SUMPRODUCT(--($D$631:$V$631=T$631),--($D1465:$V1465=1)),0)+SUM(T862)+IF(COUNTIF(T$1237:T1465,1)=1,5,0)+IF(COUNTIF(U863:$W863,"&gt;"&amp;0)&lt;5,IF(AND(COUNTIF(T$1237:T1465,1)&gt;7,MOD(1+IFERROR(MATCH($C863,总览!$D$46:$D$345,1)+1,1),7)=0),$C$3,0),0)</f>
        <v>275.598494392355</v>
      </c>
      <c r="U863" s="131" cm="1">
        <f ca="1" t="array" ref="U863">IF(U1465=1,OFFSET($W$634,$B863,U$631-1)/SUMPRODUCT(--($D$631:$V$631=U$631),--($D1465:$V1465=1)),0)+SUM(U862)+IF(COUNTIF(U$1237:U1465,1)=1,5,0)+IF(COUNTIF(V863:$W863,"&gt;"&amp;0)&lt;5,IF(AND(COUNTIF(U$1237:U1465,1)&gt;7,MOD(1+IFERROR(MATCH($C863,总览!$D$46:$D$345,1)+1,1),7)=0),$C$3,0),0)</f>
        <v>281.119280747655</v>
      </c>
      <c r="V863" s="131" cm="1">
        <f ca="1" t="array" ref="V863">IF(V1465=1,OFFSET($W$634,$B863,V$631-1)/SUMPRODUCT(--($D$631:$V$631=V$631),--($D1465:$V1465=1)),0)+SUM(V862)+IF(COUNTIF(V$1237:V1465,1)=1,5,0)+IF(COUNTIF(W863:$W863,"&gt;"&amp;0)&lt;5,IF(AND(COUNTIF(V$1237:V1465,1)&gt;7,MOD(1+IFERROR(MATCH($C863,总览!$D$46:$D$345,1)+1,1),7)=0),$C$3,0),0)</f>
        <v>300.946280460088</v>
      </c>
      <c r="W863" s="135" cm="1">
        <f ca="1" t="array" ref="W863">SUMPRODUCT(TRANSPOSE($AA863:$AG863),OFFSET($L$9:$L$15,0,W$631-1))</f>
        <v>16.8502200646615</v>
      </c>
      <c r="X863" s="135" cm="1">
        <f ca="1" t="array" ref="X863">SUMPRODUCT(TRANSPOSE($AA863:$AG863),OFFSET($L$9:$L$15,0,X$631-1))</f>
        <v>20</v>
      </c>
      <c r="Y863" s="135" cm="1">
        <f ca="1" t="array" ref="Y863">SUMPRODUCT(TRANSPOSE($AA863:$AG863),OFFSET($L$9:$L$15,0,Y$631-1))</f>
        <v>10</v>
      </c>
      <c r="Z863" s="135" cm="1">
        <f ca="1" t="array" ref="Z863">SUMPRODUCT(TRANSPOSE($AA863:$AG863),OFFSET($L$9:$L$15,0,Z$631-1))</f>
        <v>3.14977993533847</v>
      </c>
      <c r="AA863" s="136">
        <f ca="1" t="shared" ref="AA863:AG863" si="703">AH863-AH862</f>
        <v>0</v>
      </c>
      <c r="AB863" s="136">
        <f ca="1" t="shared" si="703"/>
        <v>0</v>
      </c>
      <c r="AC863" s="136">
        <f ca="1" t="shared" si="703"/>
        <v>0</v>
      </c>
      <c r="AD863" s="136">
        <f ca="1" t="shared" si="703"/>
        <v>0</v>
      </c>
      <c r="AE863" s="136">
        <f ca="1" t="shared" si="703"/>
        <v>0</v>
      </c>
      <c r="AF863" s="136">
        <f ca="1" t="shared" si="703"/>
        <v>0</v>
      </c>
      <c r="AG863" s="136">
        <f ca="1" t="shared" si="703"/>
        <v>100</v>
      </c>
      <c r="AH863" s="136">
        <f ca="1" t="shared" si="631"/>
        <v>450</v>
      </c>
      <c r="AI863" s="136">
        <f ca="1" t="shared" ref="AI863:AN863" si="704">IF($C863&gt;OFFSET($Q$8,MATCH(AI$634,$AH$634:$AN$634,0),0),OFFSET($P$8,MATCH(AI$634,$AH$634:$AN$634,0),0),MAX(0,$C863-OFFSET($Q$8,RIGHT(AI$634,1)-1,0)))</f>
        <v>909</v>
      </c>
      <c r="AJ863" s="136">
        <f ca="1" t="shared" si="704"/>
        <v>1818</v>
      </c>
      <c r="AK863" s="136">
        <f ca="1" t="shared" si="704"/>
        <v>2727</v>
      </c>
      <c r="AL863" s="136">
        <f ca="1" t="shared" si="704"/>
        <v>3636</v>
      </c>
      <c r="AM863" s="136">
        <f ca="1" t="shared" si="704"/>
        <v>4545</v>
      </c>
      <c r="AN863" s="136">
        <f ca="1" t="shared" si="704"/>
        <v>8815</v>
      </c>
    </row>
    <row r="864" s="106" customFormat="1" ht="16.5" spans="2:40">
      <c r="B864" s="117">
        <v>230</v>
      </c>
      <c r="C864" s="130">
        <f t="shared" si="629"/>
        <v>23000</v>
      </c>
      <c r="D864" s="131" cm="1">
        <f ca="1" t="array" ref="D864">IF(D1466=1,OFFSET($W$634,$B864,D$631-1)/SUMPRODUCT(--($D$631:$V$631=D$631),--($D1466:$V1466=1)),0)+SUM(D863)+IF(COUNTIF(D$1237:D1466,1)=1,5,0)+IF(COUNTIF(E864:$W864,"&gt;"&amp;0)&lt;5,IF(AND(COUNTIF(D$1237:D1466,1)&gt;7,MOD(1+IFERROR(MATCH($C864,总览!$D$46:$D$345,1)+1,1),7)=0),$C$3,0),0)</f>
        <v>1619.55372148819</v>
      </c>
      <c r="E864" s="131" cm="1">
        <f ca="1" t="array" ref="E864">IF(E1466=1,OFFSET($W$634,$B864,E$631-1)/SUMPRODUCT(--($D$631:$V$631=E$631),--($D1466:$V1466=1)),0)+SUM(E863)+IF(COUNTIF(E$1237:E1466,1)=1,5,0)+IF(COUNTIF(F864:$W864,"&gt;"&amp;0)&lt;5,IF(AND(COUNTIF(E$1237:E1466,1)&gt;7,MOD(1+IFERROR(MATCH($C864,总览!$D$46:$D$345,1)+1,1),7)=0),$C$3,0),0)</f>
        <v>1619.55372148819</v>
      </c>
      <c r="F864" s="131" cm="1">
        <f ca="1" t="array" ref="F864">IF(F1466=1,OFFSET($W$634,$B864,F$631-1)/SUMPRODUCT(--($D$631:$V$631=F$631),--($D1466:$V1466=1)),0)+SUM(F863)+IF(COUNTIF(F$1237:F1466,1)=1,5,0)+IF(COUNTIF(G864:$W864,"&gt;"&amp;0)&lt;5,IF(AND(COUNTIF(F$1237:F1466,1)&gt;7,MOD(1+IFERROR(MATCH($C864,总览!$D$46:$D$345,1)+1,1),7)=0),$C$3,0),0)</f>
        <v>1619.55372148819</v>
      </c>
      <c r="G864" s="131" cm="1">
        <f ca="1" t="array" ref="G864">IF(G1466=1,OFFSET($W$634,$B864,G$631-1)/SUMPRODUCT(--($D$631:$V$631=G$631),--($D1466:$V1466=1)),0)+SUM(G863)+IF(COUNTIF(G$1237:G1466,1)=1,5,0)+IF(COUNTIF(H864:$W864,"&gt;"&amp;0)&lt;5,IF(AND(COUNTIF(G$1237:G1466,1)&gt;7,MOD(1+IFERROR(MATCH($C864,总览!$D$46:$D$345,1)+1,1),7)=0),$C$3,0),0)</f>
        <v>706.066666666668</v>
      </c>
      <c r="H864" s="131" cm="1">
        <f ca="1" t="array" ref="H864">IF(H1466=1,OFFSET($W$634,$B864,H$631-1)/SUMPRODUCT(--($D$631:$V$631=H$631),--($D1466:$V1466=1)),0)+SUM(H863)+IF(COUNTIF(H$1237:H1466,1)=1,5,0)+IF(COUNTIF(I864:$W864,"&gt;"&amp;0)&lt;5,IF(AND(COUNTIF(H$1237:H1466,1)&gt;7,MOD(1+IFERROR(MATCH($C864,总览!$D$46:$D$345,1)+1,1),7)=0),$C$3,0),0)</f>
        <v>706.066666666668</v>
      </c>
      <c r="I864" s="131" cm="1">
        <f ca="1" t="array" ref="I864">IF(I1466=1,OFFSET($W$634,$B864,I$631-1)/SUMPRODUCT(--($D$631:$V$631=I$631),--($D1466:$V1466=1)),0)+SUM(I863)+IF(COUNTIF(I$1237:I1466,1)=1,5,0)+IF(COUNTIF(J864:$W864,"&gt;"&amp;0)&lt;5,IF(AND(COUNTIF(I$1237:I1466,1)&gt;7,MOD(1+IFERROR(MATCH($C864,总览!$D$46:$D$345,1)+1,1),7)=0),$C$3,0),0)</f>
        <v>706.066666666668</v>
      </c>
      <c r="J864" s="131" cm="1">
        <f ca="1" t="array" ref="J864">IF(J1466=1,OFFSET($W$634,$B864,J$631-1)/SUMPRODUCT(--($D$631:$V$631=J$631),--($D1466:$V1466=1)),0)+SUM(J863)+IF(COUNTIF(J$1237:J1466,1)=1,5,0)+IF(COUNTIF(K864:$W864,"&gt;"&amp;0)&lt;5,IF(AND(COUNTIF(J$1237:J1466,1)&gt;7,MOD(1+IFERROR(MATCH($C864,总览!$D$46:$D$345,1)+1,1),7)=0),$C$3,0),0)</f>
        <v>702.733333333334</v>
      </c>
      <c r="K864" s="131" cm="1">
        <f ca="1" t="array" ref="K864">IF(K1466=1,OFFSET($W$634,$B864,K$631-1)/SUMPRODUCT(--($D$631:$V$631=K$631),--($D1466:$V1466=1)),0)+SUM(K863)+IF(COUNTIF(K$1237:K1466,1)=1,5,0)+IF(COUNTIF(L864:$W864,"&gt;"&amp;0)&lt;5,IF(AND(COUNTIF(K$1237:K1466,1)&gt;7,MOD(1+IFERROR(MATCH($C864,总览!$D$46:$D$345,1)+1,1),7)=0),$C$3,0),0)</f>
        <v>700.233333333334</v>
      </c>
      <c r="L864" s="131" cm="1">
        <f ca="1" t="array" ref="L864">IF(L1466=1,OFFSET($W$634,$B864,L$631-1)/SUMPRODUCT(--($D$631:$V$631=L$631),--($D1466:$V1466=1)),0)+SUM(L863)+IF(COUNTIF(L$1237:L1466,1)=1,5,0)+IF(COUNTIF(M864:$W864,"&gt;"&amp;0)&lt;5,IF(AND(COUNTIF(L$1237:L1466,1)&gt;7,MOD(1+IFERROR(MATCH($C864,总览!$D$46:$D$345,1)+1,1),7)=0),$C$3,0),0)</f>
        <v>700.233333333334</v>
      </c>
      <c r="M864" s="131" cm="1">
        <f ca="1" t="array" ref="M864">IF(M1466=1,OFFSET($W$634,$B864,M$631-1)/SUMPRODUCT(--($D$631:$V$631=M$631),--($D1466:$V1466=1)),0)+SUM(M863)+IF(COUNTIF(M$1237:M1466,1)=1,5,0)+IF(COUNTIF(N864:$W864,"&gt;"&amp;0)&lt;5,IF(AND(COUNTIF(M$1237:M1466,1)&gt;7,MOD(1+IFERROR(MATCH($C864,总览!$D$46:$D$345,1)+1,1),7)=0),$C$3,0),0)</f>
        <v>286.324107142856</v>
      </c>
      <c r="N864" s="131" cm="1">
        <f ca="1" t="array" ref="N864">IF(N1466=1,OFFSET($W$634,$B864,N$631-1)/SUMPRODUCT(--($D$631:$V$631=N$631),--($D1466:$V1466=1)),0)+SUM(N863)+IF(COUNTIF(N$1237:N1466,1)=1,5,0)+IF(COUNTIF(O864:$W864,"&gt;"&amp;0)&lt;5,IF(AND(COUNTIF(N$1237:N1466,1)&gt;7,MOD(1+IFERROR(MATCH($C864,总览!$D$46:$D$345,1)+1,1),7)=0),$C$3,0),0)</f>
        <v>287.574107142856</v>
      </c>
      <c r="O864" s="131" cm="1">
        <f ca="1" t="array" ref="O864">IF(O1466=1,OFFSET($W$634,$B864,O$631-1)/SUMPRODUCT(--($D$631:$V$631=O$631),--($D1466:$V1466=1)),0)+SUM(O863)+IF(COUNTIF(O$1237:O1466,1)=1,5,0)+IF(COUNTIF(P864:$W864,"&gt;"&amp;0)&lt;5,IF(AND(COUNTIF(O$1237:O1466,1)&gt;7,MOD(1+IFERROR(MATCH($C864,总览!$D$46:$D$345,1)+1,1),7)=0),$C$3,0),0)</f>
        <v>292.574107142856</v>
      </c>
      <c r="P864" s="131" cm="1">
        <f ca="1" t="array" ref="P864">IF(P1466=1,OFFSET($W$634,$B864,P$631-1)/SUMPRODUCT(--($D$631:$V$631=P$631),--($D1466:$V1466=1)),0)+SUM(P863)+IF(COUNTIF(P$1237:P1466,1)=1,5,0)+IF(COUNTIF(Q864:$W864,"&gt;"&amp;0)&lt;5,IF(AND(COUNTIF(P$1237:P1466,1)&gt;7,MOD(1+IFERROR(MATCH($C864,总览!$D$46:$D$345,1)+1,1),7)=0),$C$3,0),0)</f>
        <v>281.692857142856</v>
      </c>
      <c r="Q864" s="131" cm="1">
        <f ca="1" t="array" ref="Q864">IF(Q1466=1,OFFSET($W$634,$B864,Q$631-1)/SUMPRODUCT(--($D$631:$V$631=Q$631),--($D1466:$V1466=1)),0)+SUM(Q863)+IF(COUNTIF(Q$1237:Q1466,1)=1,5,0)+IF(COUNTIF(R864:$W864,"&gt;"&amp;0)&lt;5,IF(AND(COUNTIF(Q$1237:Q1466,1)&gt;7,MOD(1+IFERROR(MATCH($C864,总览!$D$46:$D$345,1)+1,1),7)=0),$C$3,0),0)</f>
        <v>295.074107142856</v>
      </c>
      <c r="R864" s="131" cm="1">
        <f ca="1" t="array" ref="R864">IF(R1466=1,OFFSET($W$634,$B864,R$631-1)/SUMPRODUCT(--($D$631:$V$631=R$631),--($D1466:$V1466=1)),0)+SUM(R863)+IF(COUNTIF(R$1237:R1466,1)=1,5,0)+IF(COUNTIF(S864:$W864,"&gt;"&amp;0)&lt;5,IF(AND(COUNTIF(R$1237:R1466,1)&gt;7,MOD(1+IFERROR(MATCH($C864,总览!$D$46:$D$345,1)+1,1),7)=0),$C$3,0),0)</f>
        <v>286.692857142856</v>
      </c>
      <c r="S864" s="131" cm="1">
        <f ca="1" t="array" ref="S864">IF(S1466=1,OFFSET($W$634,$B864,S$631-1)/SUMPRODUCT(--($D$631:$V$631=S$631),--($D1466:$V1466=1)),0)+SUM(S863)+IF(COUNTIF(S$1237:S1466,1)=1,5,0)+IF(COUNTIF(T864:$W864,"&gt;"&amp;0)&lt;5,IF(AND(COUNTIF(S$1237:S1466,1)&gt;7,MOD(1+IFERROR(MATCH($C864,总览!$D$46:$D$345,1)+1,1),7)=0),$C$3,0),0)</f>
        <v>379.192857142857</v>
      </c>
      <c r="T864" s="131" cm="1">
        <f ca="1" t="array" ref="T864">IF(T1466=1,OFFSET($W$634,$B864,T$631-1)/SUMPRODUCT(--($D$631:$V$631=T$631),--($D1466:$V1466=1)),0)+SUM(T863)+IF(COUNTIF(T$1237:T1466,1)=1,5,0)+IF(COUNTIF(U864:$W864,"&gt;"&amp;0)&lt;5,IF(AND(COUNTIF(T$1237:T1466,1)&gt;7,MOD(1+IFERROR(MATCH($C864,总览!$D$46:$D$345,1)+1,1),7)=0),$C$3,0),0)</f>
        <v>276.648421037468</v>
      </c>
      <c r="U864" s="131" cm="1">
        <f ca="1" t="array" ref="U864">IF(U1466=1,OFFSET($W$634,$B864,U$631-1)/SUMPRODUCT(--($D$631:$V$631=U$631),--($D1466:$V1466=1)),0)+SUM(U863)+IF(COUNTIF(U$1237:U1466,1)=1,5,0)+IF(COUNTIF(V864:$W864,"&gt;"&amp;0)&lt;5,IF(AND(COUNTIF(U$1237:U1466,1)&gt;7,MOD(1+IFERROR(MATCH($C864,总览!$D$46:$D$345,1)+1,1),7)=0),$C$3,0),0)</f>
        <v>282.169207392768</v>
      </c>
      <c r="V864" s="131" cm="1">
        <f ca="1" t="array" ref="V864">IF(V1466=1,OFFSET($W$634,$B864,V$631-1)/SUMPRODUCT(--($D$631:$V$631=V$631),--($D1466:$V1466=1)),0)+SUM(V863)+IF(COUNTIF(V$1237:V1466,1)=1,5,0)+IF(COUNTIF(W864:$W864,"&gt;"&amp;0)&lt;5,IF(AND(COUNTIF(V$1237:V1466,1)&gt;7,MOD(1+IFERROR(MATCH($C864,总览!$D$46:$D$345,1)+1,1),7)=0),$C$3,0),0)</f>
        <v>301.996207105201</v>
      </c>
      <c r="W864" s="135" cm="1">
        <f ca="1" t="array" ref="W864">SUMPRODUCT(TRANSPOSE($AA864:$AG864),OFFSET($L$9:$L$15,0,W$631-1))</f>
        <v>16.8502200646615</v>
      </c>
      <c r="X864" s="135" cm="1">
        <f ca="1" t="array" ref="X864">SUMPRODUCT(TRANSPOSE($AA864:$AG864),OFFSET($L$9:$L$15,0,X$631-1))</f>
        <v>20</v>
      </c>
      <c r="Y864" s="135" cm="1">
        <f ca="1" t="array" ref="Y864">SUMPRODUCT(TRANSPOSE($AA864:$AG864),OFFSET($L$9:$L$15,0,Y$631-1))</f>
        <v>10</v>
      </c>
      <c r="Z864" s="135" cm="1">
        <f ca="1" t="array" ref="Z864">SUMPRODUCT(TRANSPOSE($AA864:$AG864),OFFSET($L$9:$L$15,0,Z$631-1))</f>
        <v>3.14977993533847</v>
      </c>
      <c r="AA864" s="136">
        <f ca="1" t="shared" ref="AA864:AG864" si="705">AH864-AH863</f>
        <v>0</v>
      </c>
      <c r="AB864" s="136">
        <f ca="1" t="shared" si="705"/>
        <v>0</v>
      </c>
      <c r="AC864" s="136">
        <f ca="1" t="shared" si="705"/>
        <v>0</v>
      </c>
      <c r="AD864" s="136">
        <f ca="1" t="shared" si="705"/>
        <v>0</v>
      </c>
      <c r="AE864" s="136">
        <f ca="1" t="shared" si="705"/>
        <v>0</v>
      </c>
      <c r="AF864" s="136">
        <f ca="1" t="shared" si="705"/>
        <v>0</v>
      </c>
      <c r="AG864" s="136">
        <f ca="1" t="shared" si="705"/>
        <v>100</v>
      </c>
      <c r="AH864" s="136">
        <f ca="1" t="shared" si="631"/>
        <v>450</v>
      </c>
      <c r="AI864" s="136">
        <f ca="1" t="shared" ref="AI864:AN864" si="706">IF($C864&gt;OFFSET($Q$8,MATCH(AI$634,$AH$634:$AN$634,0),0),OFFSET($P$8,MATCH(AI$634,$AH$634:$AN$634,0),0),MAX(0,$C864-OFFSET($Q$8,RIGHT(AI$634,1)-1,0)))</f>
        <v>909</v>
      </c>
      <c r="AJ864" s="136">
        <f ca="1" t="shared" si="706"/>
        <v>1818</v>
      </c>
      <c r="AK864" s="136">
        <f ca="1" t="shared" si="706"/>
        <v>2727</v>
      </c>
      <c r="AL864" s="136">
        <f ca="1" t="shared" si="706"/>
        <v>3636</v>
      </c>
      <c r="AM864" s="136">
        <f ca="1" t="shared" si="706"/>
        <v>4545</v>
      </c>
      <c r="AN864" s="136">
        <f ca="1" t="shared" si="706"/>
        <v>8915</v>
      </c>
    </row>
    <row r="865" s="106" customFormat="1" ht="16.5" spans="2:40">
      <c r="B865" s="117">
        <v>231</v>
      </c>
      <c r="C865" s="130">
        <f t="shared" si="629"/>
        <v>23100</v>
      </c>
      <c r="D865" s="131" cm="1">
        <f ca="1" t="array" ref="D865">IF(D1467=1,OFFSET($W$634,$B865,D$631-1)/SUMPRODUCT(--($D$631:$V$631=D$631),--($D1467:$V1467=1)),0)+SUM(D864)+IF(COUNTIF(D$1237:D1467,1)=1,5,0)+IF(COUNTIF(E865:$W865,"&gt;"&amp;0)&lt;5,IF(AND(COUNTIF(D$1237:D1467,1)&gt;7,MOD(1+IFERROR(MATCH($C865,总览!$D$46:$D$345,1)+1,1),7)=0),$C$3,0),0)</f>
        <v>1625.17046150974</v>
      </c>
      <c r="E865" s="131" cm="1">
        <f ca="1" t="array" ref="E865">IF(E1467=1,OFFSET($W$634,$B865,E$631-1)/SUMPRODUCT(--($D$631:$V$631=E$631),--($D1467:$V1467=1)),0)+SUM(E864)+IF(COUNTIF(E$1237:E1467,1)=1,5,0)+IF(COUNTIF(F865:$W865,"&gt;"&amp;0)&lt;5,IF(AND(COUNTIF(E$1237:E1467,1)&gt;7,MOD(1+IFERROR(MATCH($C865,总览!$D$46:$D$345,1)+1,1),7)=0),$C$3,0),0)</f>
        <v>1625.17046150974</v>
      </c>
      <c r="F865" s="131" cm="1">
        <f ca="1" t="array" ref="F865">IF(F1467=1,OFFSET($W$634,$B865,F$631-1)/SUMPRODUCT(--($D$631:$V$631=F$631),--($D1467:$V1467=1)),0)+SUM(F864)+IF(COUNTIF(F$1237:F1467,1)=1,5,0)+IF(COUNTIF(G865:$W865,"&gt;"&amp;0)&lt;5,IF(AND(COUNTIF(F$1237:F1467,1)&gt;7,MOD(1+IFERROR(MATCH($C865,总览!$D$46:$D$345,1)+1,1),7)=0),$C$3,0),0)</f>
        <v>1625.17046150974</v>
      </c>
      <c r="G865" s="131" cm="1">
        <f ca="1" t="array" ref="G865">IF(G1467=1,OFFSET($W$634,$B865,G$631-1)/SUMPRODUCT(--($D$631:$V$631=G$631),--($D1467:$V1467=1)),0)+SUM(G864)+IF(COUNTIF(G$1237:G1467,1)=1,5,0)+IF(COUNTIF(H865:$W865,"&gt;"&amp;0)&lt;5,IF(AND(COUNTIF(G$1237:G1467,1)&gt;7,MOD(1+IFERROR(MATCH($C865,总览!$D$46:$D$345,1)+1,1),7)=0),$C$3,0),0)</f>
        <v>709.400000000001</v>
      </c>
      <c r="H865" s="131" cm="1">
        <f ca="1" t="array" ref="H865">IF(H1467=1,OFFSET($W$634,$B865,H$631-1)/SUMPRODUCT(--($D$631:$V$631=H$631),--($D1467:$V1467=1)),0)+SUM(H864)+IF(COUNTIF(H$1237:H1467,1)=1,5,0)+IF(COUNTIF(I865:$W865,"&gt;"&amp;0)&lt;5,IF(AND(COUNTIF(H$1237:H1467,1)&gt;7,MOD(1+IFERROR(MATCH($C865,总览!$D$46:$D$345,1)+1,1),7)=0),$C$3,0),0)</f>
        <v>709.400000000001</v>
      </c>
      <c r="I865" s="131" cm="1">
        <f ca="1" t="array" ref="I865">IF(I1467=1,OFFSET($W$634,$B865,I$631-1)/SUMPRODUCT(--($D$631:$V$631=I$631),--($D1467:$V1467=1)),0)+SUM(I864)+IF(COUNTIF(I$1237:I1467,1)=1,5,0)+IF(COUNTIF(J865:$W865,"&gt;"&amp;0)&lt;5,IF(AND(COUNTIF(I$1237:I1467,1)&gt;7,MOD(1+IFERROR(MATCH($C865,总览!$D$46:$D$345,1)+1,1),7)=0),$C$3,0),0)</f>
        <v>709.400000000001</v>
      </c>
      <c r="J865" s="131" cm="1">
        <f ca="1" t="array" ref="J865">IF(J1467=1,OFFSET($W$634,$B865,J$631-1)/SUMPRODUCT(--($D$631:$V$631=J$631),--($D1467:$V1467=1)),0)+SUM(J864)+IF(COUNTIF(J$1237:J1467,1)=1,5,0)+IF(COUNTIF(K865:$W865,"&gt;"&amp;0)&lt;5,IF(AND(COUNTIF(J$1237:J1467,1)&gt;7,MOD(1+IFERROR(MATCH($C865,总览!$D$46:$D$345,1)+1,1),7)=0),$C$3,0),0)</f>
        <v>706.066666666668</v>
      </c>
      <c r="K865" s="131" cm="1">
        <f ca="1" t="array" ref="K865">IF(K1467=1,OFFSET($W$634,$B865,K$631-1)/SUMPRODUCT(--($D$631:$V$631=K$631),--($D1467:$V1467=1)),0)+SUM(K864)+IF(COUNTIF(K$1237:K1467,1)=1,5,0)+IF(COUNTIF(L865:$W865,"&gt;"&amp;0)&lt;5,IF(AND(COUNTIF(K$1237:K1467,1)&gt;7,MOD(1+IFERROR(MATCH($C865,总览!$D$46:$D$345,1)+1,1),7)=0),$C$3,0),0)</f>
        <v>703.566666666668</v>
      </c>
      <c r="L865" s="131" cm="1">
        <f ca="1" t="array" ref="L865">IF(L1467=1,OFFSET($W$634,$B865,L$631-1)/SUMPRODUCT(--($D$631:$V$631=L$631),--($D1467:$V1467=1)),0)+SUM(L864)+IF(COUNTIF(L$1237:L1467,1)=1,5,0)+IF(COUNTIF(M865:$W865,"&gt;"&amp;0)&lt;5,IF(AND(COUNTIF(L$1237:L1467,1)&gt;7,MOD(1+IFERROR(MATCH($C865,总览!$D$46:$D$345,1)+1,1),7)=0),$C$3,0),0)</f>
        <v>703.566666666668</v>
      </c>
      <c r="M865" s="131" cm="1">
        <f ca="1" t="array" ref="M865">IF(M1467=1,OFFSET($W$634,$B865,M$631-1)/SUMPRODUCT(--($D$631:$V$631=M$631),--($D1467:$V1467=1)),0)+SUM(M864)+IF(COUNTIF(M$1237:M1467,1)=1,5,0)+IF(COUNTIF(N865:$W865,"&gt;"&amp;0)&lt;5,IF(AND(COUNTIF(M$1237:M1467,1)&gt;7,MOD(1+IFERROR(MATCH($C865,总览!$D$46:$D$345,1)+1,1),7)=0),$C$3,0),0)</f>
        <v>287.752678571428</v>
      </c>
      <c r="N865" s="131" cm="1">
        <f ca="1" t="array" ref="N865">IF(N1467=1,OFFSET($W$634,$B865,N$631-1)/SUMPRODUCT(--($D$631:$V$631=N$631),--($D1467:$V1467=1)),0)+SUM(N864)+IF(COUNTIF(N$1237:N1467,1)=1,5,0)+IF(COUNTIF(O865:$W865,"&gt;"&amp;0)&lt;5,IF(AND(COUNTIF(N$1237:N1467,1)&gt;7,MOD(1+IFERROR(MATCH($C865,总览!$D$46:$D$345,1)+1,1),7)=0),$C$3,0),0)</f>
        <v>289.002678571428</v>
      </c>
      <c r="O865" s="131" cm="1">
        <f ca="1" t="array" ref="O865">IF(O1467=1,OFFSET($W$634,$B865,O$631-1)/SUMPRODUCT(--($D$631:$V$631=O$631),--($D1467:$V1467=1)),0)+SUM(O864)+IF(COUNTIF(O$1237:O1467,1)=1,5,0)+IF(COUNTIF(P865:$W865,"&gt;"&amp;0)&lt;5,IF(AND(COUNTIF(O$1237:O1467,1)&gt;7,MOD(1+IFERROR(MATCH($C865,总览!$D$46:$D$345,1)+1,1),7)=0),$C$3,0),0)</f>
        <v>294.002678571428</v>
      </c>
      <c r="P865" s="131" cm="1">
        <f ca="1" t="array" ref="P865">IF(P1467=1,OFFSET($W$634,$B865,P$631-1)/SUMPRODUCT(--($D$631:$V$631=P$631),--($D1467:$V1467=1)),0)+SUM(P864)+IF(COUNTIF(P$1237:P1467,1)=1,5,0)+IF(COUNTIF(Q865:$W865,"&gt;"&amp;0)&lt;5,IF(AND(COUNTIF(P$1237:P1467,1)&gt;7,MOD(1+IFERROR(MATCH($C865,总览!$D$46:$D$345,1)+1,1),7)=0),$C$3,0),0)</f>
        <v>283.121428571428</v>
      </c>
      <c r="Q865" s="131" cm="1">
        <f ca="1" t="array" ref="Q865">IF(Q1467=1,OFFSET($W$634,$B865,Q$631-1)/SUMPRODUCT(--($D$631:$V$631=Q$631),--($D1467:$V1467=1)),0)+SUM(Q864)+IF(COUNTIF(Q$1237:Q1467,1)=1,5,0)+IF(COUNTIF(R865:$W865,"&gt;"&amp;0)&lt;5,IF(AND(COUNTIF(Q$1237:Q1467,1)&gt;7,MOD(1+IFERROR(MATCH($C865,总览!$D$46:$D$345,1)+1,1),7)=0),$C$3,0),0)</f>
        <v>296.502678571428</v>
      </c>
      <c r="R865" s="131" cm="1">
        <f ca="1" t="array" ref="R865">IF(R1467=1,OFFSET($W$634,$B865,R$631-1)/SUMPRODUCT(--($D$631:$V$631=R$631),--($D1467:$V1467=1)),0)+SUM(R864)+IF(COUNTIF(R$1237:R1467,1)=1,5,0)+IF(COUNTIF(S865:$W865,"&gt;"&amp;0)&lt;5,IF(AND(COUNTIF(R$1237:R1467,1)&gt;7,MOD(1+IFERROR(MATCH($C865,总览!$D$46:$D$345,1)+1,1),7)=0),$C$3,0),0)</f>
        <v>288.121428571428</v>
      </c>
      <c r="S865" s="131" cm="1">
        <f ca="1" t="array" ref="S865">IF(S1467=1,OFFSET($W$634,$B865,S$631-1)/SUMPRODUCT(--($D$631:$V$631=S$631),--($D1467:$V1467=1)),0)+SUM(S864)+IF(COUNTIF(S$1237:S1467,1)=1,5,0)+IF(COUNTIF(T865:$W865,"&gt;"&amp;0)&lt;5,IF(AND(COUNTIF(S$1237:S1467,1)&gt;7,MOD(1+IFERROR(MATCH($C865,总览!$D$46:$D$345,1)+1,1),7)=0),$C$3,0),0)</f>
        <v>380.621428571429</v>
      </c>
      <c r="T865" s="131" cm="1">
        <f ca="1" t="array" ref="T865">IF(T1467=1,OFFSET($W$634,$B865,T$631-1)/SUMPRODUCT(--($D$631:$V$631=T$631),--($D1467:$V1467=1)),0)+SUM(T864)+IF(COUNTIF(T$1237:T1467,1)=1,5,0)+IF(COUNTIF(U865:$W865,"&gt;"&amp;0)&lt;5,IF(AND(COUNTIF(T$1237:T1467,1)&gt;7,MOD(1+IFERROR(MATCH($C865,总览!$D$46:$D$345,1)+1,1),7)=0),$C$3,0),0)</f>
        <v>277.698347682581</v>
      </c>
      <c r="U865" s="131" cm="1">
        <f ca="1" t="array" ref="U865">IF(U1467=1,OFFSET($W$634,$B865,U$631-1)/SUMPRODUCT(--($D$631:$V$631=U$631),--($D1467:$V1467=1)),0)+SUM(U864)+IF(COUNTIF(U$1237:U1467,1)=1,5,0)+IF(COUNTIF(V865:$W865,"&gt;"&amp;0)&lt;5,IF(AND(COUNTIF(U$1237:U1467,1)&gt;7,MOD(1+IFERROR(MATCH($C865,总览!$D$46:$D$345,1)+1,1),7)=0),$C$3,0),0)</f>
        <v>283.21913403788</v>
      </c>
      <c r="V865" s="131" cm="1">
        <f ca="1" t="array" ref="V865">IF(V1467=1,OFFSET($W$634,$B865,V$631-1)/SUMPRODUCT(--($D$631:$V$631=V$631),--($D1467:$V1467=1)),0)+SUM(V864)+IF(COUNTIF(V$1237:V1467,1)=1,5,0)+IF(COUNTIF(W865:$W865,"&gt;"&amp;0)&lt;5,IF(AND(COUNTIF(V$1237:V1467,1)&gt;7,MOD(1+IFERROR(MATCH($C865,总览!$D$46:$D$345,1)+1,1),7)=0),$C$3,0),0)</f>
        <v>303.046133750313</v>
      </c>
      <c r="W865" s="135" cm="1">
        <f ca="1" t="array" ref="W865">SUMPRODUCT(TRANSPOSE($AA865:$AG865),OFFSET($L$9:$L$15,0,W$631-1))</f>
        <v>16.8502200646615</v>
      </c>
      <c r="X865" s="135" cm="1">
        <f ca="1" t="array" ref="X865">SUMPRODUCT(TRANSPOSE($AA865:$AG865),OFFSET($L$9:$L$15,0,X$631-1))</f>
        <v>20</v>
      </c>
      <c r="Y865" s="135" cm="1">
        <f ca="1" t="array" ref="Y865">SUMPRODUCT(TRANSPOSE($AA865:$AG865),OFFSET($L$9:$L$15,0,Y$631-1))</f>
        <v>10</v>
      </c>
      <c r="Z865" s="135" cm="1">
        <f ca="1" t="array" ref="Z865">SUMPRODUCT(TRANSPOSE($AA865:$AG865),OFFSET($L$9:$L$15,0,Z$631-1))</f>
        <v>3.14977993533847</v>
      </c>
      <c r="AA865" s="136">
        <f ca="1" t="shared" ref="AA865:AG865" si="707">AH865-AH864</f>
        <v>0</v>
      </c>
      <c r="AB865" s="136">
        <f ca="1" t="shared" si="707"/>
        <v>0</v>
      </c>
      <c r="AC865" s="136">
        <f ca="1" t="shared" si="707"/>
        <v>0</v>
      </c>
      <c r="AD865" s="136">
        <f ca="1" t="shared" si="707"/>
        <v>0</v>
      </c>
      <c r="AE865" s="136">
        <f ca="1" t="shared" si="707"/>
        <v>0</v>
      </c>
      <c r="AF865" s="136">
        <f ca="1" t="shared" si="707"/>
        <v>0</v>
      </c>
      <c r="AG865" s="136">
        <f ca="1" t="shared" si="707"/>
        <v>100</v>
      </c>
      <c r="AH865" s="136">
        <f ca="1" t="shared" si="631"/>
        <v>450</v>
      </c>
      <c r="AI865" s="136">
        <f ca="1" t="shared" ref="AI865:AN865" si="708">IF($C865&gt;OFFSET($Q$8,MATCH(AI$634,$AH$634:$AN$634,0),0),OFFSET($P$8,MATCH(AI$634,$AH$634:$AN$634,0),0),MAX(0,$C865-OFFSET($Q$8,RIGHT(AI$634,1)-1,0)))</f>
        <v>909</v>
      </c>
      <c r="AJ865" s="136">
        <f ca="1" t="shared" si="708"/>
        <v>1818</v>
      </c>
      <c r="AK865" s="136">
        <f ca="1" t="shared" si="708"/>
        <v>2727</v>
      </c>
      <c r="AL865" s="136">
        <f ca="1" t="shared" si="708"/>
        <v>3636</v>
      </c>
      <c r="AM865" s="136">
        <f ca="1" t="shared" si="708"/>
        <v>4545</v>
      </c>
      <c r="AN865" s="136">
        <f ca="1" t="shared" si="708"/>
        <v>9015</v>
      </c>
    </row>
    <row r="866" s="106" customFormat="1" ht="16.5" spans="2:40">
      <c r="B866" s="117">
        <v>232</v>
      </c>
      <c r="C866" s="130">
        <f t="shared" si="629"/>
        <v>23200</v>
      </c>
      <c r="D866" s="131" cm="1">
        <f ca="1" t="array" ref="D866">IF(D1468=1,OFFSET($W$634,$B866,D$631-1)/SUMPRODUCT(--($D$631:$V$631=D$631),--($D1468:$V1468=1)),0)+SUM(D865)+IF(COUNTIF(D$1237:D1468,1)=1,5,0)+IF(COUNTIF(E866:$W866,"&gt;"&amp;0)&lt;5,IF(AND(COUNTIF(D$1237:D1468,1)&gt;7,MOD(1+IFERROR(MATCH($C866,总览!$D$46:$D$345,1)+1,1),7)=0),$C$3,0),0)</f>
        <v>1630.78720153129</v>
      </c>
      <c r="E866" s="131" cm="1">
        <f ca="1" t="array" ref="E866">IF(E1468=1,OFFSET($W$634,$B866,E$631-1)/SUMPRODUCT(--($D$631:$V$631=E$631),--($D1468:$V1468=1)),0)+SUM(E865)+IF(COUNTIF(E$1237:E1468,1)=1,5,0)+IF(COUNTIF(F866:$W866,"&gt;"&amp;0)&lt;5,IF(AND(COUNTIF(E$1237:E1468,1)&gt;7,MOD(1+IFERROR(MATCH($C866,总览!$D$46:$D$345,1)+1,1),7)=0),$C$3,0),0)</f>
        <v>1630.78720153129</v>
      </c>
      <c r="F866" s="131" cm="1">
        <f ca="1" t="array" ref="F866">IF(F1468=1,OFFSET($W$634,$B866,F$631-1)/SUMPRODUCT(--($D$631:$V$631=F$631),--($D1468:$V1468=1)),0)+SUM(F865)+IF(COUNTIF(F$1237:F1468,1)=1,5,0)+IF(COUNTIF(G866:$W866,"&gt;"&amp;0)&lt;5,IF(AND(COUNTIF(F$1237:F1468,1)&gt;7,MOD(1+IFERROR(MATCH($C866,总览!$D$46:$D$345,1)+1,1),7)=0),$C$3,0),0)</f>
        <v>1630.78720153129</v>
      </c>
      <c r="G866" s="131" cm="1">
        <f ca="1" t="array" ref="G866">IF(G1468=1,OFFSET($W$634,$B866,G$631-1)/SUMPRODUCT(--($D$631:$V$631=G$631),--($D1468:$V1468=1)),0)+SUM(G865)+IF(COUNTIF(G$1237:G1468,1)=1,5,0)+IF(COUNTIF(H866:$W866,"&gt;"&amp;0)&lt;5,IF(AND(COUNTIF(G$1237:G1468,1)&gt;7,MOD(1+IFERROR(MATCH($C866,总览!$D$46:$D$345,1)+1,1),7)=0),$C$3,0),0)</f>
        <v>712.733333333334</v>
      </c>
      <c r="H866" s="131" cm="1">
        <f ca="1" t="array" ref="H866">IF(H1468=1,OFFSET($W$634,$B866,H$631-1)/SUMPRODUCT(--($D$631:$V$631=H$631),--($D1468:$V1468=1)),0)+SUM(H865)+IF(COUNTIF(H$1237:H1468,1)=1,5,0)+IF(COUNTIF(I866:$W866,"&gt;"&amp;0)&lt;5,IF(AND(COUNTIF(H$1237:H1468,1)&gt;7,MOD(1+IFERROR(MATCH($C866,总览!$D$46:$D$345,1)+1,1),7)=0),$C$3,0),0)</f>
        <v>712.733333333334</v>
      </c>
      <c r="I866" s="131" cm="1">
        <f ca="1" t="array" ref="I866">IF(I1468=1,OFFSET($W$634,$B866,I$631-1)/SUMPRODUCT(--($D$631:$V$631=I$631),--($D1468:$V1468=1)),0)+SUM(I865)+IF(COUNTIF(I$1237:I1468,1)=1,5,0)+IF(COUNTIF(J866:$W866,"&gt;"&amp;0)&lt;5,IF(AND(COUNTIF(I$1237:I1468,1)&gt;7,MOD(1+IFERROR(MATCH($C866,总览!$D$46:$D$345,1)+1,1),7)=0),$C$3,0),0)</f>
        <v>712.733333333334</v>
      </c>
      <c r="J866" s="131" cm="1">
        <f ca="1" t="array" ref="J866">IF(J1468=1,OFFSET($W$634,$B866,J$631-1)/SUMPRODUCT(--($D$631:$V$631=J$631),--($D1468:$V1468=1)),0)+SUM(J865)+IF(COUNTIF(J$1237:J1468,1)=1,5,0)+IF(COUNTIF(K866:$W866,"&gt;"&amp;0)&lt;5,IF(AND(COUNTIF(J$1237:J1468,1)&gt;7,MOD(1+IFERROR(MATCH($C866,总览!$D$46:$D$345,1)+1,1),7)=0),$C$3,0),0)</f>
        <v>709.400000000001</v>
      </c>
      <c r="K866" s="131" cm="1">
        <f ca="1" t="array" ref="K866">IF(K1468=1,OFFSET($W$634,$B866,K$631-1)/SUMPRODUCT(--($D$631:$V$631=K$631),--($D1468:$V1468=1)),0)+SUM(K865)+IF(COUNTIF(K$1237:K1468,1)=1,5,0)+IF(COUNTIF(L866:$W866,"&gt;"&amp;0)&lt;5,IF(AND(COUNTIF(K$1237:K1468,1)&gt;7,MOD(1+IFERROR(MATCH($C866,总览!$D$46:$D$345,1)+1,1),7)=0),$C$3,0),0)</f>
        <v>706.900000000001</v>
      </c>
      <c r="L866" s="131" cm="1">
        <f ca="1" t="array" ref="L866">IF(L1468=1,OFFSET($W$634,$B866,L$631-1)/SUMPRODUCT(--($D$631:$V$631=L$631),--($D1468:$V1468=1)),0)+SUM(L865)+IF(COUNTIF(L$1237:L1468,1)=1,5,0)+IF(COUNTIF(M866:$W866,"&gt;"&amp;0)&lt;5,IF(AND(COUNTIF(L$1237:L1468,1)&gt;7,MOD(1+IFERROR(MATCH($C866,总览!$D$46:$D$345,1)+1,1),7)=0),$C$3,0),0)</f>
        <v>706.900000000001</v>
      </c>
      <c r="M866" s="131" cm="1">
        <f ca="1" t="array" ref="M866">IF(M1468=1,OFFSET($W$634,$B866,M$631-1)/SUMPRODUCT(--($D$631:$V$631=M$631),--($D1468:$V1468=1)),0)+SUM(M865)+IF(COUNTIF(M$1237:M1468,1)=1,5,0)+IF(COUNTIF(N866:$W866,"&gt;"&amp;0)&lt;5,IF(AND(COUNTIF(M$1237:M1468,1)&gt;7,MOD(1+IFERROR(MATCH($C866,总览!$D$46:$D$345,1)+1,1),7)=0),$C$3,0),0)</f>
        <v>289.181249999999</v>
      </c>
      <c r="N866" s="131" cm="1">
        <f ca="1" t="array" ref="N866">IF(N1468=1,OFFSET($W$634,$B866,N$631-1)/SUMPRODUCT(--($D$631:$V$631=N$631),--($D1468:$V1468=1)),0)+SUM(N865)+IF(COUNTIF(N$1237:N1468,1)=1,5,0)+IF(COUNTIF(O866:$W866,"&gt;"&amp;0)&lt;5,IF(AND(COUNTIF(N$1237:N1468,1)&gt;7,MOD(1+IFERROR(MATCH($C866,总览!$D$46:$D$345,1)+1,1),7)=0),$C$3,0),0)</f>
        <v>290.431249999999</v>
      </c>
      <c r="O866" s="131" cm="1">
        <f ca="1" t="array" ref="O866">IF(O1468=1,OFFSET($W$634,$B866,O$631-1)/SUMPRODUCT(--($D$631:$V$631=O$631),--($D1468:$V1468=1)),0)+SUM(O865)+IF(COUNTIF(O$1237:O1468,1)=1,5,0)+IF(COUNTIF(P866:$W866,"&gt;"&amp;0)&lt;5,IF(AND(COUNTIF(O$1237:O1468,1)&gt;7,MOD(1+IFERROR(MATCH($C866,总览!$D$46:$D$345,1)+1,1),7)=0),$C$3,0),0)</f>
        <v>295.431249999999</v>
      </c>
      <c r="P866" s="131" cm="1">
        <f ca="1" t="array" ref="P866">IF(P1468=1,OFFSET($W$634,$B866,P$631-1)/SUMPRODUCT(--($D$631:$V$631=P$631),--($D1468:$V1468=1)),0)+SUM(P865)+IF(COUNTIF(P$1237:P1468,1)=1,5,0)+IF(COUNTIF(Q866:$W866,"&gt;"&amp;0)&lt;5,IF(AND(COUNTIF(P$1237:P1468,1)&gt;7,MOD(1+IFERROR(MATCH($C866,总览!$D$46:$D$345,1)+1,1),7)=0),$C$3,0),0)</f>
        <v>284.549999999999</v>
      </c>
      <c r="Q866" s="131" cm="1">
        <f ca="1" t="array" ref="Q866">IF(Q1468=1,OFFSET($W$634,$B866,Q$631-1)/SUMPRODUCT(--($D$631:$V$631=Q$631),--($D1468:$V1468=1)),0)+SUM(Q865)+IF(COUNTIF(Q$1237:Q1468,1)=1,5,0)+IF(COUNTIF(R866:$W866,"&gt;"&amp;0)&lt;5,IF(AND(COUNTIF(Q$1237:Q1468,1)&gt;7,MOD(1+IFERROR(MATCH($C866,总览!$D$46:$D$345,1)+1,1),7)=0),$C$3,0),0)</f>
        <v>297.931249999999</v>
      </c>
      <c r="R866" s="131" cm="1">
        <f ca="1" t="array" ref="R866">IF(R1468=1,OFFSET($W$634,$B866,R$631-1)/SUMPRODUCT(--($D$631:$V$631=R$631),--($D1468:$V1468=1)),0)+SUM(R865)+IF(COUNTIF(R$1237:R1468,1)=1,5,0)+IF(COUNTIF(S866:$W866,"&gt;"&amp;0)&lt;5,IF(AND(COUNTIF(R$1237:R1468,1)&gt;7,MOD(1+IFERROR(MATCH($C866,总览!$D$46:$D$345,1)+1,1),7)=0),$C$3,0),0)</f>
        <v>289.549999999999</v>
      </c>
      <c r="S866" s="131" cm="1">
        <f ca="1" t="array" ref="S866">IF(S1468=1,OFFSET($W$634,$B866,S$631-1)/SUMPRODUCT(--($D$631:$V$631=S$631),--($D1468:$V1468=1)),0)+SUM(S865)+IF(COUNTIF(S$1237:S1468,1)=1,5,0)+IF(COUNTIF(T866:$W866,"&gt;"&amp;0)&lt;5,IF(AND(COUNTIF(S$1237:S1468,1)&gt;7,MOD(1+IFERROR(MATCH($C866,总览!$D$46:$D$345,1)+1,1),7)=0),$C$3,0),0)</f>
        <v>382.05</v>
      </c>
      <c r="T866" s="131" cm="1">
        <f ca="1" t="array" ref="T866">IF(T1468=1,OFFSET($W$634,$B866,T$631-1)/SUMPRODUCT(--($D$631:$V$631=T$631),--($D1468:$V1468=1)),0)+SUM(T865)+IF(COUNTIF(T$1237:T1468,1)=1,5,0)+IF(COUNTIF(U866:$W866,"&gt;"&amp;0)&lt;5,IF(AND(COUNTIF(T$1237:T1468,1)&gt;7,MOD(1+IFERROR(MATCH($C866,总览!$D$46:$D$345,1)+1,1),7)=0),$C$3,0),0)</f>
        <v>278.748274327694</v>
      </c>
      <c r="U866" s="131" cm="1">
        <f ca="1" t="array" ref="U866">IF(U1468=1,OFFSET($W$634,$B866,U$631-1)/SUMPRODUCT(--($D$631:$V$631=U$631),--($D1468:$V1468=1)),0)+SUM(U865)+IF(COUNTIF(U$1237:U1468,1)=1,5,0)+IF(COUNTIF(V866:$W866,"&gt;"&amp;0)&lt;5,IF(AND(COUNTIF(U$1237:U1468,1)&gt;7,MOD(1+IFERROR(MATCH($C866,总览!$D$46:$D$345,1)+1,1),7)=0),$C$3,0),0)</f>
        <v>284.269060682993</v>
      </c>
      <c r="V866" s="131" cm="1">
        <f ca="1" t="array" ref="V866">IF(V1468=1,OFFSET($W$634,$B866,V$631-1)/SUMPRODUCT(--($D$631:$V$631=V$631),--($D1468:$V1468=1)),0)+SUM(V865)+IF(COUNTIF(V$1237:V1468,1)=1,5,0)+IF(COUNTIF(W866:$W866,"&gt;"&amp;0)&lt;5,IF(AND(COUNTIF(V$1237:V1468,1)&gt;7,MOD(1+IFERROR(MATCH($C866,总览!$D$46:$D$345,1)+1,1),7)=0),$C$3,0),0)</f>
        <v>304.096060395426</v>
      </c>
      <c r="W866" s="135" cm="1">
        <f ca="1" t="array" ref="W866">SUMPRODUCT(TRANSPOSE($AA866:$AG866),OFFSET($L$9:$L$15,0,W$631-1))</f>
        <v>16.8502200646615</v>
      </c>
      <c r="X866" s="135" cm="1">
        <f ca="1" t="array" ref="X866">SUMPRODUCT(TRANSPOSE($AA866:$AG866),OFFSET($L$9:$L$15,0,X$631-1))</f>
        <v>20</v>
      </c>
      <c r="Y866" s="135" cm="1">
        <f ca="1" t="array" ref="Y866">SUMPRODUCT(TRANSPOSE($AA866:$AG866),OFFSET($L$9:$L$15,0,Y$631-1))</f>
        <v>10</v>
      </c>
      <c r="Z866" s="135" cm="1">
        <f ca="1" t="array" ref="Z866">SUMPRODUCT(TRANSPOSE($AA866:$AG866),OFFSET($L$9:$L$15,0,Z$631-1))</f>
        <v>3.14977993533847</v>
      </c>
      <c r="AA866" s="136">
        <f ca="1" t="shared" ref="AA866:AG866" si="709">AH866-AH865</f>
        <v>0</v>
      </c>
      <c r="AB866" s="136">
        <f ca="1" t="shared" si="709"/>
        <v>0</v>
      </c>
      <c r="AC866" s="136">
        <f ca="1" t="shared" si="709"/>
        <v>0</v>
      </c>
      <c r="AD866" s="136">
        <f ca="1" t="shared" si="709"/>
        <v>0</v>
      </c>
      <c r="AE866" s="136">
        <f ca="1" t="shared" si="709"/>
        <v>0</v>
      </c>
      <c r="AF866" s="136">
        <f ca="1" t="shared" si="709"/>
        <v>0</v>
      </c>
      <c r="AG866" s="136">
        <f ca="1" t="shared" si="709"/>
        <v>100</v>
      </c>
      <c r="AH866" s="136">
        <f ca="1" t="shared" si="631"/>
        <v>450</v>
      </c>
      <c r="AI866" s="136">
        <f ca="1" t="shared" ref="AI866:AN866" si="710">IF($C866&gt;OFFSET($Q$8,MATCH(AI$634,$AH$634:$AN$634,0),0),OFFSET($P$8,MATCH(AI$634,$AH$634:$AN$634,0),0),MAX(0,$C866-OFFSET($Q$8,RIGHT(AI$634,1)-1,0)))</f>
        <v>909</v>
      </c>
      <c r="AJ866" s="136">
        <f ca="1" t="shared" si="710"/>
        <v>1818</v>
      </c>
      <c r="AK866" s="136">
        <f ca="1" t="shared" si="710"/>
        <v>2727</v>
      </c>
      <c r="AL866" s="136">
        <f ca="1" t="shared" si="710"/>
        <v>3636</v>
      </c>
      <c r="AM866" s="136">
        <f ca="1" t="shared" si="710"/>
        <v>4545</v>
      </c>
      <c r="AN866" s="136">
        <f ca="1" t="shared" si="710"/>
        <v>9115</v>
      </c>
    </row>
    <row r="867" s="106" customFormat="1" ht="16.5" spans="2:40">
      <c r="B867" s="117">
        <v>233</v>
      </c>
      <c r="C867" s="130">
        <f t="shared" si="629"/>
        <v>23300</v>
      </c>
      <c r="D867" s="131" cm="1">
        <f ca="1" t="array" ref="D867">IF(D1469=1,OFFSET($W$634,$B867,D$631-1)/SUMPRODUCT(--($D$631:$V$631=D$631),--($D1469:$V1469=1)),0)+SUM(D866)+IF(COUNTIF(D$1237:D1469,1)=1,5,0)+IF(COUNTIF(E867:$W867,"&gt;"&amp;0)&lt;5,IF(AND(COUNTIF(D$1237:D1469,1)&gt;7,MOD(1+IFERROR(MATCH($C867,总览!$D$46:$D$345,1)+1,1),7)=0),$C$3,0),0)</f>
        <v>1636.40394155285</v>
      </c>
      <c r="E867" s="131" cm="1">
        <f ca="1" t="array" ref="E867">IF(E1469=1,OFFSET($W$634,$B867,E$631-1)/SUMPRODUCT(--($D$631:$V$631=E$631),--($D1469:$V1469=1)),0)+SUM(E866)+IF(COUNTIF(E$1237:E1469,1)=1,5,0)+IF(COUNTIF(F867:$W867,"&gt;"&amp;0)&lt;5,IF(AND(COUNTIF(E$1237:E1469,1)&gt;7,MOD(1+IFERROR(MATCH($C867,总览!$D$46:$D$345,1)+1,1),7)=0),$C$3,0),0)</f>
        <v>1636.40394155285</v>
      </c>
      <c r="F867" s="131" cm="1">
        <f ca="1" t="array" ref="F867">IF(F1469=1,OFFSET($W$634,$B867,F$631-1)/SUMPRODUCT(--($D$631:$V$631=F$631),--($D1469:$V1469=1)),0)+SUM(F866)+IF(COUNTIF(F$1237:F1469,1)=1,5,0)+IF(COUNTIF(G867:$W867,"&gt;"&amp;0)&lt;5,IF(AND(COUNTIF(F$1237:F1469,1)&gt;7,MOD(1+IFERROR(MATCH($C867,总览!$D$46:$D$345,1)+1,1),7)=0),$C$3,0),0)</f>
        <v>1636.40394155285</v>
      </c>
      <c r="G867" s="131" cm="1">
        <f ca="1" t="array" ref="G867">IF(G1469=1,OFFSET($W$634,$B867,G$631-1)/SUMPRODUCT(--($D$631:$V$631=G$631),--($D1469:$V1469=1)),0)+SUM(G866)+IF(COUNTIF(G$1237:G1469,1)=1,5,0)+IF(COUNTIF(H867:$W867,"&gt;"&amp;0)&lt;5,IF(AND(COUNTIF(G$1237:G1469,1)&gt;7,MOD(1+IFERROR(MATCH($C867,总览!$D$46:$D$345,1)+1,1),7)=0),$C$3,0),0)</f>
        <v>716.066666666668</v>
      </c>
      <c r="H867" s="131" cm="1">
        <f ca="1" t="array" ref="H867">IF(H1469=1,OFFSET($W$634,$B867,H$631-1)/SUMPRODUCT(--($D$631:$V$631=H$631),--($D1469:$V1469=1)),0)+SUM(H866)+IF(COUNTIF(H$1237:H1469,1)=1,5,0)+IF(COUNTIF(I867:$W867,"&gt;"&amp;0)&lt;5,IF(AND(COUNTIF(H$1237:H1469,1)&gt;7,MOD(1+IFERROR(MATCH($C867,总览!$D$46:$D$345,1)+1,1),7)=0),$C$3,0),0)</f>
        <v>716.066666666668</v>
      </c>
      <c r="I867" s="131" cm="1">
        <f ca="1" t="array" ref="I867">IF(I1469=1,OFFSET($W$634,$B867,I$631-1)/SUMPRODUCT(--($D$631:$V$631=I$631),--($D1469:$V1469=1)),0)+SUM(I866)+IF(COUNTIF(I$1237:I1469,1)=1,5,0)+IF(COUNTIF(J867:$W867,"&gt;"&amp;0)&lt;5,IF(AND(COUNTIF(I$1237:I1469,1)&gt;7,MOD(1+IFERROR(MATCH($C867,总览!$D$46:$D$345,1)+1,1),7)=0),$C$3,0),0)</f>
        <v>716.066666666668</v>
      </c>
      <c r="J867" s="131" cm="1">
        <f ca="1" t="array" ref="J867">IF(J1469=1,OFFSET($W$634,$B867,J$631-1)/SUMPRODUCT(--($D$631:$V$631=J$631),--($D1469:$V1469=1)),0)+SUM(J866)+IF(COUNTIF(J$1237:J1469,1)=1,5,0)+IF(COUNTIF(K867:$W867,"&gt;"&amp;0)&lt;5,IF(AND(COUNTIF(J$1237:J1469,1)&gt;7,MOD(1+IFERROR(MATCH($C867,总览!$D$46:$D$345,1)+1,1),7)=0),$C$3,0),0)</f>
        <v>712.733333333334</v>
      </c>
      <c r="K867" s="131" cm="1">
        <f ca="1" t="array" ref="K867">IF(K1469=1,OFFSET($W$634,$B867,K$631-1)/SUMPRODUCT(--($D$631:$V$631=K$631),--($D1469:$V1469=1)),0)+SUM(K866)+IF(COUNTIF(K$1237:K1469,1)=1,5,0)+IF(COUNTIF(L867:$W867,"&gt;"&amp;0)&lt;5,IF(AND(COUNTIF(K$1237:K1469,1)&gt;7,MOD(1+IFERROR(MATCH($C867,总览!$D$46:$D$345,1)+1,1),7)=0),$C$3,0),0)</f>
        <v>710.233333333334</v>
      </c>
      <c r="L867" s="131" cm="1">
        <f ca="1" t="array" ref="L867">IF(L1469=1,OFFSET($W$634,$B867,L$631-1)/SUMPRODUCT(--($D$631:$V$631=L$631),--($D1469:$V1469=1)),0)+SUM(L866)+IF(COUNTIF(L$1237:L1469,1)=1,5,0)+IF(COUNTIF(M867:$W867,"&gt;"&amp;0)&lt;5,IF(AND(COUNTIF(L$1237:L1469,1)&gt;7,MOD(1+IFERROR(MATCH($C867,总览!$D$46:$D$345,1)+1,1),7)=0),$C$3,0),0)</f>
        <v>710.233333333334</v>
      </c>
      <c r="M867" s="131" cm="1">
        <f ca="1" t="array" ref="M867">IF(M1469=1,OFFSET($W$634,$B867,M$631-1)/SUMPRODUCT(--($D$631:$V$631=M$631),--($D1469:$V1469=1)),0)+SUM(M866)+IF(COUNTIF(M$1237:M1469,1)=1,5,0)+IF(COUNTIF(N867:$W867,"&gt;"&amp;0)&lt;5,IF(AND(COUNTIF(M$1237:M1469,1)&gt;7,MOD(1+IFERROR(MATCH($C867,总览!$D$46:$D$345,1)+1,1),7)=0),$C$3,0),0)</f>
        <v>290.609821428571</v>
      </c>
      <c r="N867" s="131" cm="1">
        <f ca="1" t="array" ref="N867">IF(N1469=1,OFFSET($W$634,$B867,N$631-1)/SUMPRODUCT(--($D$631:$V$631=N$631),--($D1469:$V1469=1)),0)+SUM(N866)+IF(COUNTIF(N$1237:N1469,1)=1,5,0)+IF(COUNTIF(O867:$W867,"&gt;"&amp;0)&lt;5,IF(AND(COUNTIF(N$1237:N1469,1)&gt;7,MOD(1+IFERROR(MATCH($C867,总览!$D$46:$D$345,1)+1,1),7)=0),$C$3,0),0)</f>
        <v>291.859821428571</v>
      </c>
      <c r="O867" s="131" cm="1">
        <f ca="1" t="array" ref="O867">IF(O1469=1,OFFSET($W$634,$B867,O$631-1)/SUMPRODUCT(--($D$631:$V$631=O$631),--($D1469:$V1469=1)),0)+SUM(O866)+IF(COUNTIF(O$1237:O1469,1)=1,5,0)+IF(COUNTIF(P867:$W867,"&gt;"&amp;0)&lt;5,IF(AND(COUNTIF(O$1237:O1469,1)&gt;7,MOD(1+IFERROR(MATCH($C867,总览!$D$46:$D$345,1)+1,1),7)=0),$C$3,0),0)</f>
        <v>296.859821428571</v>
      </c>
      <c r="P867" s="131" cm="1">
        <f ca="1" t="array" ref="P867">IF(P1469=1,OFFSET($W$634,$B867,P$631-1)/SUMPRODUCT(--($D$631:$V$631=P$631),--($D1469:$V1469=1)),0)+SUM(P866)+IF(COUNTIF(P$1237:P1469,1)=1,5,0)+IF(COUNTIF(Q867:$W867,"&gt;"&amp;0)&lt;5,IF(AND(COUNTIF(P$1237:P1469,1)&gt;7,MOD(1+IFERROR(MATCH($C867,总览!$D$46:$D$345,1)+1,1),7)=0),$C$3,0),0)</f>
        <v>285.978571428571</v>
      </c>
      <c r="Q867" s="131" cm="1">
        <f ca="1" t="array" ref="Q867">IF(Q1469=1,OFFSET($W$634,$B867,Q$631-1)/SUMPRODUCT(--($D$631:$V$631=Q$631),--($D1469:$V1469=1)),0)+SUM(Q866)+IF(COUNTIF(Q$1237:Q1469,1)=1,5,0)+IF(COUNTIF(R867:$W867,"&gt;"&amp;0)&lt;5,IF(AND(COUNTIF(Q$1237:Q1469,1)&gt;7,MOD(1+IFERROR(MATCH($C867,总览!$D$46:$D$345,1)+1,1),7)=0),$C$3,0),0)</f>
        <v>299.359821428571</v>
      </c>
      <c r="R867" s="131" cm="1">
        <f ca="1" t="array" ref="R867">IF(R1469=1,OFFSET($W$634,$B867,R$631-1)/SUMPRODUCT(--($D$631:$V$631=R$631),--($D1469:$V1469=1)),0)+SUM(R866)+IF(COUNTIF(R$1237:R1469,1)=1,5,0)+IF(COUNTIF(S867:$W867,"&gt;"&amp;0)&lt;5,IF(AND(COUNTIF(R$1237:R1469,1)&gt;7,MOD(1+IFERROR(MATCH($C867,总览!$D$46:$D$345,1)+1,1),7)=0),$C$3,0),0)</f>
        <v>290.978571428571</v>
      </c>
      <c r="S867" s="131" cm="1">
        <f ca="1" t="array" ref="S867">IF(S1469=1,OFFSET($W$634,$B867,S$631-1)/SUMPRODUCT(--($D$631:$V$631=S$631),--($D1469:$V1469=1)),0)+SUM(S866)+IF(COUNTIF(S$1237:S1469,1)=1,5,0)+IF(COUNTIF(T867:$W867,"&gt;"&amp;0)&lt;5,IF(AND(COUNTIF(S$1237:S1469,1)&gt;7,MOD(1+IFERROR(MATCH($C867,总览!$D$46:$D$345,1)+1,1),7)=0),$C$3,0),0)</f>
        <v>383.478571428572</v>
      </c>
      <c r="T867" s="131" cm="1">
        <f ca="1" t="array" ref="T867">IF(T1469=1,OFFSET($W$634,$B867,T$631-1)/SUMPRODUCT(--($D$631:$V$631=T$631),--($D1469:$V1469=1)),0)+SUM(T866)+IF(COUNTIF(T$1237:T1469,1)=1,5,0)+IF(COUNTIF(U867:$W867,"&gt;"&amp;0)&lt;5,IF(AND(COUNTIF(T$1237:T1469,1)&gt;7,MOD(1+IFERROR(MATCH($C867,总览!$D$46:$D$345,1)+1,1),7)=0),$C$3,0),0)</f>
        <v>279.798200972807</v>
      </c>
      <c r="U867" s="131" cm="1">
        <f ca="1" t="array" ref="U867">IF(U1469=1,OFFSET($W$634,$B867,U$631-1)/SUMPRODUCT(--($D$631:$V$631=U$631),--($D1469:$V1469=1)),0)+SUM(U866)+IF(COUNTIF(U$1237:U1469,1)=1,5,0)+IF(COUNTIF(V867:$W867,"&gt;"&amp;0)&lt;5,IF(AND(COUNTIF(U$1237:U1469,1)&gt;7,MOD(1+IFERROR(MATCH($C867,总览!$D$46:$D$345,1)+1,1),7)=0),$C$3,0),0)</f>
        <v>285.318987328106</v>
      </c>
      <c r="V867" s="131" cm="1">
        <f ca="1" t="array" ref="V867">IF(V1469=1,OFFSET($W$634,$B867,V$631-1)/SUMPRODUCT(--($D$631:$V$631=V$631),--($D1469:$V1469=1)),0)+SUM(V866)+IF(COUNTIF(V$1237:V1469,1)=1,5,0)+IF(COUNTIF(W867:$W867,"&gt;"&amp;0)&lt;5,IF(AND(COUNTIF(V$1237:V1469,1)&gt;7,MOD(1+IFERROR(MATCH($C867,总览!$D$46:$D$345,1)+1,1),7)=0),$C$3,0),0)</f>
        <v>305.145987040539</v>
      </c>
      <c r="W867" s="135" cm="1">
        <f ca="1" t="array" ref="W867">SUMPRODUCT(TRANSPOSE($AA867:$AG867),OFFSET($L$9:$L$15,0,W$631-1))</f>
        <v>16.8502200646615</v>
      </c>
      <c r="X867" s="135" cm="1">
        <f ca="1" t="array" ref="X867">SUMPRODUCT(TRANSPOSE($AA867:$AG867),OFFSET($L$9:$L$15,0,X$631-1))</f>
        <v>20</v>
      </c>
      <c r="Y867" s="135" cm="1">
        <f ca="1" t="array" ref="Y867">SUMPRODUCT(TRANSPOSE($AA867:$AG867),OFFSET($L$9:$L$15,0,Y$631-1))</f>
        <v>10</v>
      </c>
      <c r="Z867" s="135" cm="1">
        <f ca="1" t="array" ref="Z867">SUMPRODUCT(TRANSPOSE($AA867:$AG867),OFFSET($L$9:$L$15,0,Z$631-1))</f>
        <v>3.14977993533847</v>
      </c>
      <c r="AA867" s="136">
        <f ca="1" t="shared" ref="AA867:AG867" si="711">AH867-AH866</f>
        <v>0</v>
      </c>
      <c r="AB867" s="136">
        <f ca="1" t="shared" si="711"/>
        <v>0</v>
      </c>
      <c r="AC867" s="136">
        <f ca="1" t="shared" si="711"/>
        <v>0</v>
      </c>
      <c r="AD867" s="136">
        <f ca="1" t="shared" si="711"/>
        <v>0</v>
      </c>
      <c r="AE867" s="136">
        <f ca="1" t="shared" si="711"/>
        <v>0</v>
      </c>
      <c r="AF867" s="136">
        <f ca="1" t="shared" si="711"/>
        <v>0</v>
      </c>
      <c r="AG867" s="136">
        <f ca="1" t="shared" si="711"/>
        <v>100</v>
      </c>
      <c r="AH867" s="136">
        <f ca="1" t="shared" si="631"/>
        <v>450</v>
      </c>
      <c r="AI867" s="136">
        <f ca="1" t="shared" ref="AI867:AN867" si="712">IF($C867&gt;OFFSET($Q$8,MATCH(AI$634,$AH$634:$AN$634,0),0),OFFSET($P$8,MATCH(AI$634,$AH$634:$AN$634,0),0),MAX(0,$C867-OFFSET($Q$8,RIGHT(AI$634,1)-1,0)))</f>
        <v>909</v>
      </c>
      <c r="AJ867" s="136">
        <f ca="1" t="shared" si="712"/>
        <v>1818</v>
      </c>
      <c r="AK867" s="136">
        <f ca="1" t="shared" si="712"/>
        <v>2727</v>
      </c>
      <c r="AL867" s="136">
        <f ca="1" t="shared" si="712"/>
        <v>3636</v>
      </c>
      <c r="AM867" s="136">
        <f ca="1" t="shared" si="712"/>
        <v>4545</v>
      </c>
      <c r="AN867" s="136">
        <f ca="1" t="shared" si="712"/>
        <v>9215</v>
      </c>
    </row>
    <row r="868" s="106" customFormat="1" ht="16.5" spans="2:40">
      <c r="B868" s="117">
        <v>234</v>
      </c>
      <c r="C868" s="130">
        <f t="shared" si="629"/>
        <v>23400</v>
      </c>
      <c r="D868" s="131" cm="1">
        <f ca="1" t="array" ref="D868">IF(D1470=1,OFFSET($W$634,$B868,D$631-1)/SUMPRODUCT(--($D$631:$V$631=D$631),--($D1470:$V1470=1)),0)+SUM(D867)+IF(COUNTIF(D$1237:D1470,1)=1,5,0)+IF(COUNTIF(E868:$W868,"&gt;"&amp;0)&lt;5,IF(AND(COUNTIF(D$1237:D1470,1)&gt;7,MOD(1+IFERROR(MATCH($C868,总览!$D$46:$D$345,1)+1,1),7)=0),$C$3,0),0)</f>
        <v>1642.0206815744</v>
      </c>
      <c r="E868" s="131" cm="1">
        <f ca="1" t="array" ref="E868">IF(E1470=1,OFFSET($W$634,$B868,E$631-1)/SUMPRODUCT(--($D$631:$V$631=E$631),--($D1470:$V1470=1)),0)+SUM(E867)+IF(COUNTIF(E$1237:E1470,1)=1,5,0)+IF(COUNTIF(F868:$W868,"&gt;"&amp;0)&lt;5,IF(AND(COUNTIF(E$1237:E1470,1)&gt;7,MOD(1+IFERROR(MATCH($C868,总览!$D$46:$D$345,1)+1,1),7)=0),$C$3,0),0)</f>
        <v>1642.0206815744</v>
      </c>
      <c r="F868" s="131" cm="1">
        <f ca="1" t="array" ref="F868">IF(F1470=1,OFFSET($W$634,$B868,F$631-1)/SUMPRODUCT(--($D$631:$V$631=F$631),--($D1470:$V1470=1)),0)+SUM(F867)+IF(COUNTIF(F$1237:F1470,1)=1,5,0)+IF(COUNTIF(G868:$W868,"&gt;"&amp;0)&lt;5,IF(AND(COUNTIF(F$1237:F1470,1)&gt;7,MOD(1+IFERROR(MATCH($C868,总览!$D$46:$D$345,1)+1,1),7)=0),$C$3,0),0)</f>
        <v>1642.0206815744</v>
      </c>
      <c r="G868" s="131" cm="1">
        <f ca="1" t="array" ref="G868">IF(G1470=1,OFFSET($W$634,$B868,G$631-1)/SUMPRODUCT(--($D$631:$V$631=G$631),--($D1470:$V1470=1)),0)+SUM(G867)+IF(COUNTIF(G$1237:G1470,1)=1,5,0)+IF(COUNTIF(H868:$W868,"&gt;"&amp;0)&lt;5,IF(AND(COUNTIF(G$1237:G1470,1)&gt;7,MOD(1+IFERROR(MATCH($C868,总览!$D$46:$D$345,1)+1,1),7)=0),$C$3,0),0)</f>
        <v>719.400000000001</v>
      </c>
      <c r="H868" s="131" cm="1">
        <f ca="1" t="array" ref="H868">IF(H1470=1,OFFSET($W$634,$B868,H$631-1)/SUMPRODUCT(--($D$631:$V$631=H$631),--($D1470:$V1470=1)),0)+SUM(H867)+IF(COUNTIF(H$1237:H1470,1)=1,5,0)+IF(COUNTIF(I868:$W868,"&gt;"&amp;0)&lt;5,IF(AND(COUNTIF(H$1237:H1470,1)&gt;7,MOD(1+IFERROR(MATCH($C868,总览!$D$46:$D$345,1)+1,1),7)=0),$C$3,0),0)</f>
        <v>719.400000000001</v>
      </c>
      <c r="I868" s="131" cm="1">
        <f ca="1" t="array" ref="I868">IF(I1470=1,OFFSET($W$634,$B868,I$631-1)/SUMPRODUCT(--($D$631:$V$631=I$631),--($D1470:$V1470=1)),0)+SUM(I867)+IF(COUNTIF(I$1237:I1470,1)=1,5,0)+IF(COUNTIF(J868:$W868,"&gt;"&amp;0)&lt;5,IF(AND(COUNTIF(I$1237:I1470,1)&gt;7,MOD(1+IFERROR(MATCH($C868,总览!$D$46:$D$345,1)+1,1),7)=0),$C$3,0),0)</f>
        <v>719.400000000001</v>
      </c>
      <c r="J868" s="131" cm="1">
        <f ca="1" t="array" ref="J868">IF(J1470=1,OFFSET($W$634,$B868,J$631-1)/SUMPRODUCT(--($D$631:$V$631=J$631),--($D1470:$V1470=1)),0)+SUM(J867)+IF(COUNTIF(J$1237:J1470,1)=1,5,0)+IF(COUNTIF(K868:$W868,"&gt;"&amp;0)&lt;5,IF(AND(COUNTIF(J$1237:J1470,1)&gt;7,MOD(1+IFERROR(MATCH($C868,总览!$D$46:$D$345,1)+1,1),7)=0),$C$3,0),0)</f>
        <v>716.066666666668</v>
      </c>
      <c r="K868" s="131" cm="1">
        <f ca="1" t="array" ref="K868">IF(K1470=1,OFFSET($W$634,$B868,K$631-1)/SUMPRODUCT(--($D$631:$V$631=K$631),--($D1470:$V1470=1)),0)+SUM(K867)+IF(COUNTIF(K$1237:K1470,1)=1,5,0)+IF(COUNTIF(L868:$W868,"&gt;"&amp;0)&lt;5,IF(AND(COUNTIF(K$1237:K1470,1)&gt;7,MOD(1+IFERROR(MATCH($C868,总览!$D$46:$D$345,1)+1,1),7)=0),$C$3,0),0)</f>
        <v>713.566666666668</v>
      </c>
      <c r="L868" s="131" cm="1">
        <f ca="1" t="array" ref="L868">IF(L1470=1,OFFSET($W$634,$B868,L$631-1)/SUMPRODUCT(--($D$631:$V$631=L$631),--($D1470:$V1470=1)),0)+SUM(L867)+IF(COUNTIF(L$1237:L1470,1)=1,5,0)+IF(COUNTIF(M868:$W868,"&gt;"&amp;0)&lt;5,IF(AND(COUNTIF(L$1237:L1470,1)&gt;7,MOD(1+IFERROR(MATCH($C868,总览!$D$46:$D$345,1)+1,1),7)=0),$C$3,0),0)</f>
        <v>713.566666666668</v>
      </c>
      <c r="M868" s="131" cm="1">
        <f ca="1" t="array" ref="M868">IF(M1470=1,OFFSET($W$634,$B868,M$631-1)/SUMPRODUCT(--($D$631:$V$631=M$631),--($D1470:$V1470=1)),0)+SUM(M867)+IF(COUNTIF(M$1237:M1470,1)=1,5,0)+IF(COUNTIF(N868:$W868,"&gt;"&amp;0)&lt;5,IF(AND(COUNTIF(M$1237:M1470,1)&gt;7,MOD(1+IFERROR(MATCH($C868,总览!$D$46:$D$345,1)+1,1),7)=0),$C$3,0),0)</f>
        <v>292.038392857142</v>
      </c>
      <c r="N868" s="131" cm="1">
        <f ca="1" t="array" ref="N868">IF(N1470=1,OFFSET($W$634,$B868,N$631-1)/SUMPRODUCT(--($D$631:$V$631=N$631),--($D1470:$V1470=1)),0)+SUM(N867)+IF(COUNTIF(N$1237:N1470,1)=1,5,0)+IF(COUNTIF(O868:$W868,"&gt;"&amp;0)&lt;5,IF(AND(COUNTIF(N$1237:N1470,1)&gt;7,MOD(1+IFERROR(MATCH($C868,总览!$D$46:$D$345,1)+1,1),7)=0),$C$3,0),0)</f>
        <v>293.288392857142</v>
      </c>
      <c r="O868" s="131" cm="1">
        <f ca="1" t="array" ref="O868">IF(O1470=1,OFFSET($W$634,$B868,O$631-1)/SUMPRODUCT(--($D$631:$V$631=O$631),--($D1470:$V1470=1)),0)+SUM(O867)+IF(COUNTIF(O$1237:O1470,1)=1,5,0)+IF(COUNTIF(P868:$W868,"&gt;"&amp;0)&lt;5,IF(AND(COUNTIF(O$1237:O1470,1)&gt;7,MOD(1+IFERROR(MATCH($C868,总览!$D$46:$D$345,1)+1,1),7)=0),$C$3,0),0)</f>
        <v>298.288392857142</v>
      </c>
      <c r="P868" s="131" cm="1">
        <f ca="1" t="array" ref="P868">IF(P1470=1,OFFSET($W$634,$B868,P$631-1)/SUMPRODUCT(--($D$631:$V$631=P$631),--($D1470:$V1470=1)),0)+SUM(P867)+IF(COUNTIF(P$1237:P1470,1)=1,5,0)+IF(COUNTIF(Q868:$W868,"&gt;"&amp;0)&lt;5,IF(AND(COUNTIF(P$1237:P1470,1)&gt;7,MOD(1+IFERROR(MATCH($C868,总览!$D$46:$D$345,1)+1,1),7)=0),$C$3,0),0)</f>
        <v>287.407142857142</v>
      </c>
      <c r="Q868" s="131" cm="1">
        <f ca="1" t="array" ref="Q868">IF(Q1470=1,OFFSET($W$634,$B868,Q$631-1)/SUMPRODUCT(--($D$631:$V$631=Q$631),--($D1470:$V1470=1)),0)+SUM(Q867)+IF(COUNTIF(Q$1237:Q1470,1)=1,5,0)+IF(COUNTIF(R868:$W868,"&gt;"&amp;0)&lt;5,IF(AND(COUNTIF(Q$1237:Q1470,1)&gt;7,MOD(1+IFERROR(MATCH($C868,总览!$D$46:$D$345,1)+1,1),7)=0),$C$3,0),0)</f>
        <v>300.788392857142</v>
      </c>
      <c r="R868" s="131" cm="1">
        <f ca="1" t="array" ref="R868">IF(R1470=1,OFFSET($W$634,$B868,R$631-1)/SUMPRODUCT(--($D$631:$V$631=R$631),--($D1470:$V1470=1)),0)+SUM(R867)+IF(COUNTIF(R$1237:R1470,1)=1,5,0)+IF(COUNTIF(S868:$W868,"&gt;"&amp;0)&lt;5,IF(AND(COUNTIF(R$1237:R1470,1)&gt;7,MOD(1+IFERROR(MATCH($C868,总览!$D$46:$D$345,1)+1,1),7)=0),$C$3,0),0)</f>
        <v>292.407142857142</v>
      </c>
      <c r="S868" s="131" cm="1">
        <f ca="1" t="array" ref="S868">IF(S1470=1,OFFSET($W$634,$B868,S$631-1)/SUMPRODUCT(--($D$631:$V$631=S$631),--($D1470:$V1470=1)),0)+SUM(S867)+IF(COUNTIF(S$1237:S1470,1)=1,5,0)+IF(COUNTIF(T868:$W868,"&gt;"&amp;0)&lt;5,IF(AND(COUNTIF(S$1237:S1470,1)&gt;7,MOD(1+IFERROR(MATCH($C868,总览!$D$46:$D$345,1)+1,1),7)=0),$C$3,0),0)</f>
        <v>384.907142857143</v>
      </c>
      <c r="T868" s="131" cm="1">
        <f ca="1" t="array" ref="T868">IF(T1470=1,OFFSET($W$634,$B868,T$631-1)/SUMPRODUCT(--($D$631:$V$631=T$631),--($D1470:$V1470=1)),0)+SUM(T867)+IF(COUNTIF(T$1237:T1470,1)=1,5,0)+IF(COUNTIF(U868:$W868,"&gt;"&amp;0)&lt;5,IF(AND(COUNTIF(T$1237:T1470,1)&gt;7,MOD(1+IFERROR(MATCH($C868,总览!$D$46:$D$345,1)+1,1),7)=0),$C$3,0),0)</f>
        <v>280.848127617919</v>
      </c>
      <c r="U868" s="131" cm="1">
        <f ca="1" t="array" ref="U868">IF(U1470=1,OFFSET($W$634,$B868,U$631-1)/SUMPRODUCT(--($D$631:$V$631=U$631),--($D1470:$V1470=1)),0)+SUM(U867)+IF(COUNTIF(U$1237:U1470,1)=1,5,0)+IF(COUNTIF(V868:$W868,"&gt;"&amp;0)&lt;5,IF(AND(COUNTIF(U$1237:U1470,1)&gt;7,MOD(1+IFERROR(MATCH($C868,总览!$D$46:$D$345,1)+1,1),7)=0),$C$3,0),0)</f>
        <v>286.368913973219</v>
      </c>
      <c r="V868" s="131" cm="1">
        <f ca="1" t="array" ref="V868">IF(V1470=1,OFFSET($W$634,$B868,V$631-1)/SUMPRODUCT(--($D$631:$V$631=V$631),--($D1470:$V1470=1)),0)+SUM(V867)+IF(COUNTIF(V$1237:V1470,1)=1,5,0)+IF(COUNTIF(W868:$W868,"&gt;"&amp;0)&lt;5,IF(AND(COUNTIF(V$1237:V1470,1)&gt;7,MOD(1+IFERROR(MATCH($C868,总览!$D$46:$D$345,1)+1,1),7)=0),$C$3,0),0)</f>
        <v>306.195913685652</v>
      </c>
      <c r="W868" s="135" cm="1">
        <f ca="1" t="array" ref="W868">SUMPRODUCT(TRANSPOSE($AA868:$AG868),OFFSET($L$9:$L$15,0,W$631-1))</f>
        <v>16.8502200646615</v>
      </c>
      <c r="X868" s="135" cm="1">
        <f ca="1" t="array" ref="X868">SUMPRODUCT(TRANSPOSE($AA868:$AG868),OFFSET($L$9:$L$15,0,X$631-1))</f>
        <v>20</v>
      </c>
      <c r="Y868" s="135" cm="1">
        <f ca="1" t="array" ref="Y868">SUMPRODUCT(TRANSPOSE($AA868:$AG868),OFFSET($L$9:$L$15,0,Y$631-1))</f>
        <v>10</v>
      </c>
      <c r="Z868" s="135" cm="1">
        <f ca="1" t="array" ref="Z868">SUMPRODUCT(TRANSPOSE($AA868:$AG868),OFFSET($L$9:$L$15,0,Z$631-1))</f>
        <v>3.14977993533847</v>
      </c>
      <c r="AA868" s="136">
        <f ca="1" t="shared" ref="AA868:AG868" si="713">AH868-AH867</f>
        <v>0</v>
      </c>
      <c r="AB868" s="136">
        <f ca="1" t="shared" si="713"/>
        <v>0</v>
      </c>
      <c r="AC868" s="136">
        <f ca="1" t="shared" si="713"/>
        <v>0</v>
      </c>
      <c r="AD868" s="136">
        <f ca="1" t="shared" si="713"/>
        <v>0</v>
      </c>
      <c r="AE868" s="136">
        <f ca="1" t="shared" si="713"/>
        <v>0</v>
      </c>
      <c r="AF868" s="136">
        <f ca="1" t="shared" si="713"/>
        <v>0</v>
      </c>
      <c r="AG868" s="136">
        <f ca="1" t="shared" si="713"/>
        <v>100</v>
      </c>
      <c r="AH868" s="136">
        <f ca="1" t="shared" si="631"/>
        <v>450</v>
      </c>
      <c r="AI868" s="136">
        <f ca="1" t="shared" ref="AI868:AN868" si="714">IF($C868&gt;OFFSET($Q$8,MATCH(AI$634,$AH$634:$AN$634,0),0),OFFSET($P$8,MATCH(AI$634,$AH$634:$AN$634,0),0),MAX(0,$C868-OFFSET($Q$8,RIGHT(AI$634,1)-1,0)))</f>
        <v>909</v>
      </c>
      <c r="AJ868" s="136">
        <f ca="1" t="shared" si="714"/>
        <v>1818</v>
      </c>
      <c r="AK868" s="136">
        <f ca="1" t="shared" si="714"/>
        <v>2727</v>
      </c>
      <c r="AL868" s="136">
        <f ca="1" t="shared" si="714"/>
        <v>3636</v>
      </c>
      <c r="AM868" s="136">
        <f ca="1" t="shared" si="714"/>
        <v>4545</v>
      </c>
      <c r="AN868" s="136">
        <f ca="1" t="shared" si="714"/>
        <v>9315</v>
      </c>
    </row>
    <row r="869" s="106" customFormat="1" ht="16.5" spans="2:40">
      <c r="B869" s="117">
        <v>235</v>
      </c>
      <c r="C869" s="130">
        <f t="shared" si="629"/>
        <v>23500</v>
      </c>
      <c r="D869" s="131" cm="1">
        <f ca="1" t="array" ref="D869">IF(D1471=1,OFFSET($W$634,$B869,D$631-1)/SUMPRODUCT(--($D$631:$V$631=D$631),--($D1471:$V1471=1)),0)+SUM(D868)+IF(COUNTIF(D$1237:D1471,1)=1,5,0)+IF(COUNTIF(E869:$W869,"&gt;"&amp;0)&lt;5,IF(AND(COUNTIF(D$1237:D1471,1)&gt;7,MOD(1+IFERROR(MATCH($C869,总览!$D$46:$D$345,1)+1,1),7)=0),$C$3,0),0)</f>
        <v>1647.63742159596</v>
      </c>
      <c r="E869" s="131" cm="1">
        <f ca="1" t="array" ref="E869">IF(E1471=1,OFFSET($W$634,$B869,E$631-1)/SUMPRODUCT(--($D$631:$V$631=E$631),--($D1471:$V1471=1)),0)+SUM(E868)+IF(COUNTIF(E$1237:E1471,1)=1,5,0)+IF(COUNTIF(F869:$W869,"&gt;"&amp;0)&lt;5,IF(AND(COUNTIF(E$1237:E1471,1)&gt;7,MOD(1+IFERROR(MATCH($C869,总览!$D$46:$D$345,1)+1,1),7)=0),$C$3,0),0)</f>
        <v>1647.63742159596</v>
      </c>
      <c r="F869" s="131" cm="1">
        <f ca="1" t="array" ref="F869">IF(F1471=1,OFFSET($W$634,$B869,F$631-1)/SUMPRODUCT(--($D$631:$V$631=F$631),--($D1471:$V1471=1)),0)+SUM(F868)+IF(COUNTIF(F$1237:F1471,1)=1,5,0)+IF(COUNTIF(G869:$W869,"&gt;"&amp;0)&lt;5,IF(AND(COUNTIF(F$1237:F1471,1)&gt;7,MOD(1+IFERROR(MATCH($C869,总览!$D$46:$D$345,1)+1,1),7)=0),$C$3,0),0)</f>
        <v>1647.63742159596</v>
      </c>
      <c r="G869" s="131" cm="1">
        <f ca="1" t="array" ref="G869">IF(G1471=1,OFFSET($W$634,$B869,G$631-1)/SUMPRODUCT(--($D$631:$V$631=G$631),--($D1471:$V1471=1)),0)+SUM(G868)+IF(COUNTIF(G$1237:G1471,1)=1,5,0)+IF(COUNTIF(H869:$W869,"&gt;"&amp;0)&lt;5,IF(AND(COUNTIF(G$1237:G1471,1)&gt;7,MOD(1+IFERROR(MATCH($C869,总览!$D$46:$D$345,1)+1,1),7)=0),$C$3,0),0)</f>
        <v>722.733333333334</v>
      </c>
      <c r="H869" s="131" cm="1">
        <f ca="1" t="array" ref="H869">IF(H1471=1,OFFSET($W$634,$B869,H$631-1)/SUMPRODUCT(--($D$631:$V$631=H$631),--($D1471:$V1471=1)),0)+SUM(H868)+IF(COUNTIF(H$1237:H1471,1)=1,5,0)+IF(COUNTIF(I869:$W869,"&gt;"&amp;0)&lt;5,IF(AND(COUNTIF(H$1237:H1471,1)&gt;7,MOD(1+IFERROR(MATCH($C869,总览!$D$46:$D$345,1)+1,1),7)=0),$C$3,0),0)</f>
        <v>722.733333333334</v>
      </c>
      <c r="I869" s="131" cm="1">
        <f ca="1" t="array" ref="I869">IF(I1471=1,OFFSET($W$634,$B869,I$631-1)/SUMPRODUCT(--($D$631:$V$631=I$631),--($D1471:$V1471=1)),0)+SUM(I868)+IF(COUNTIF(I$1237:I1471,1)=1,5,0)+IF(COUNTIF(J869:$W869,"&gt;"&amp;0)&lt;5,IF(AND(COUNTIF(I$1237:I1471,1)&gt;7,MOD(1+IFERROR(MATCH($C869,总览!$D$46:$D$345,1)+1,1),7)=0),$C$3,0),0)</f>
        <v>722.733333333334</v>
      </c>
      <c r="J869" s="131" cm="1">
        <f ca="1" t="array" ref="J869">IF(J1471=1,OFFSET($W$634,$B869,J$631-1)/SUMPRODUCT(--($D$631:$V$631=J$631),--($D1471:$V1471=1)),0)+SUM(J868)+IF(COUNTIF(J$1237:J1471,1)=1,5,0)+IF(COUNTIF(K869:$W869,"&gt;"&amp;0)&lt;5,IF(AND(COUNTIF(J$1237:J1471,1)&gt;7,MOD(1+IFERROR(MATCH($C869,总览!$D$46:$D$345,1)+1,1),7)=0),$C$3,0),0)</f>
        <v>719.400000000001</v>
      </c>
      <c r="K869" s="131" cm="1">
        <f ca="1" t="array" ref="K869">IF(K1471=1,OFFSET($W$634,$B869,K$631-1)/SUMPRODUCT(--($D$631:$V$631=K$631),--($D1471:$V1471=1)),0)+SUM(K868)+IF(COUNTIF(K$1237:K1471,1)=1,5,0)+IF(COUNTIF(L869:$W869,"&gt;"&amp;0)&lt;5,IF(AND(COUNTIF(K$1237:K1471,1)&gt;7,MOD(1+IFERROR(MATCH($C869,总览!$D$46:$D$345,1)+1,1),7)=0),$C$3,0),0)</f>
        <v>716.900000000001</v>
      </c>
      <c r="L869" s="131" cm="1">
        <f ca="1" t="array" ref="L869">IF(L1471=1,OFFSET($W$634,$B869,L$631-1)/SUMPRODUCT(--($D$631:$V$631=L$631),--($D1471:$V1471=1)),0)+SUM(L868)+IF(COUNTIF(L$1237:L1471,1)=1,5,0)+IF(COUNTIF(M869:$W869,"&gt;"&amp;0)&lt;5,IF(AND(COUNTIF(L$1237:L1471,1)&gt;7,MOD(1+IFERROR(MATCH($C869,总览!$D$46:$D$345,1)+1,1),7)=0),$C$3,0),0)</f>
        <v>716.900000000001</v>
      </c>
      <c r="M869" s="131" cm="1">
        <f ca="1" t="array" ref="M869">IF(M1471=1,OFFSET($W$634,$B869,M$631-1)/SUMPRODUCT(--($D$631:$V$631=M$631),--($D1471:$V1471=1)),0)+SUM(M868)+IF(COUNTIF(M$1237:M1471,1)=1,5,0)+IF(COUNTIF(N869:$W869,"&gt;"&amp;0)&lt;5,IF(AND(COUNTIF(M$1237:M1471,1)&gt;7,MOD(1+IFERROR(MATCH($C869,总览!$D$46:$D$345,1)+1,1),7)=0),$C$3,0),0)</f>
        <v>293.466964285714</v>
      </c>
      <c r="N869" s="131" cm="1">
        <f ca="1" t="array" ref="N869">IF(N1471=1,OFFSET($W$634,$B869,N$631-1)/SUMPRODUCT(--($D$631:$V$631=N$631),--($D1471:$V1471=1)),0)+SUM(N868)+IF(COUNTIF(N$1237:N1471,1)=1,5,0)+IF(COUNTIF(O869:$W869,"&gt;"&amp;0)&lt;5,IF(AND(COUNTIF(N$1237:N1471,1)&gt;7,MOD(1+IFERROR(MATCH($C869,总览!$D$46:$D$345,1)+1,1),7)=0),$C$3,0),0)</f>
        <v>294.716964285714</v>
      </c>
      <c r="O869" s="131" cm="1">
        <f ca="1" t="array" ref="O869">IF(O1471=1,OFFSET($W$634,$B869,O$631-1)/SUMPRODUCT(--($D$631:$V$631=O$631),--($D1471:$V1471=1)),0)+SUM(O868)+IF(COUNTIF(O$1237:O1471,1)=1,5,0)+IF(COUNTIF(P869:$W869,"&gt;"&amp;0)&lt;5,IF(AND(COUNTIF(O$1237:O1471,1)&gt;7,MOD(1+IFERROR(MATCH($C869,总览!$D$46:$D$345,1)+1,1),7)=0),$C$3,0),0)</f>
        <v>299.716964285714</v>
      </c>
      <c r="P869" s="131" cm="1">
        <f ca="1" t="array" ref="P869">IF(P1471=1,OFFSET($W$634,$B869,P$631-1)/SUMPRODUCT(--($D$631:$V$631=P$631),--($D1471:$V1471=1)),0)+SUM(P868)+IF(COUNTIF(P$1237:P1471,1)=1,5,0)+IF(COUNTIF(Q869:$W869,"&gt;"&amp;0)&lt;5,IF(AND(COUNTIF(P$1237:P1471,1)&gt;7,MOD(1+IFERROR(MATCH($C869,总览!$D$46:$D$345,1)+1,1),7)=0),$C$3,0),0)</f>
        <v>288.835714285714</v>
      </c>
      <c r="Q869" s="131" cm="1">
        <f ca="1" t="array" ref="Q869">IF(Q1471=1,OFFSET($W$634,$B869,Q$631-1)/SUMPRODUCT(--($D$631:$V$631=Q$631),--($D1471:$V1471=1)),0)+SUM(Q868)+IF(COUNTIF(Q$1237:Q1471,1)=1,5,0)+IF(COUNTIF(R869:$W869,"&gt;"&amp;0)&lt;5,IF(AND(COUNTIF(Q$1237:Q1471,1)&gt;7,MOD(1+IFERROR(MATCH($C869,总览!$D$46:$D$345,1)+1,1),7)=0),$C$3,0),0)</f>
        <v>302.216964285714</v>
      </c>
      <c r="R869" s="131" cm="1">
        <f ca="1" t="array" ref="R869">IF(R1471=1,OFFSET($W$634,$B869,R$631-1)/SUMPRODUCT(--($D$631:$V$631=R$631),--($D1471:$V1471=1)),0)+SUM(R868)+IF(COUNTIF(R$1237:R1471,1)=1,5,0)+IF(COUNTIF(S869:$W869,"&gt;"&amp;0)&lt;5,IF(AND(COUNTIF(R$1237:R1471,1)&gt;7,MOD(1+IFERROR(MATCH($C869,总览!$D$46:$D$345,1)+1,1),7)=0),$C$3,0),0)</f>
        <v>293.835714285714</v>
      </c>
      <c r="S869" s="131" cm="1">
        <f ca="1" t="array" ref="S869">IF(S1471=1,OFFSET($W$634,$B869,S$631-1)/SUMPRODUCT(--($D$631:$V$631=S$631),--($D1471:$V1471=1)),0)+SUM(S868)+IF(COUNTIF(S$1237:S1471,1)=1,5,0)+IF(COUNTIF(T869:$W869,"&gt;"&amp;0)&lt;5,IF(AND(COUNTIF(S$1237:S1471,1)&gt;7,MOD(1+IFERROR(MATCH($C869,总览!$D$46:$D$345,1)+1,1),7)=0),$C$3,0),0)</f>
        <v>386.335714285715</v>
      </c>
      <c r="T869" s="131" cm="1">
        <f ca="1" t="array" ref="T869">IF(T1471=1,OFFSET($W$634,$B869,T$631-1)/SUMPRODUCT(--($D$631:$V$631=T$631),--($D1471:$V1471=1)),0)+SUM(T868)+IF(COUNTIF(T$1237:T1471,1)=1,5,0)+IF(COUNTIF(U869:$W869,"&gt;"&amp;0)&lt;5,IF(AND(COUNTIF(T$1237:T1471,1)&gt;7,MOD(1+IFERROR(MATCH($C869,总览!$D$46:$D$345,1)+1,1),7)=0),$C$3,0),0)</f>
        <v>281.898054263032</v>
      </c>
      <c r="U869" s="131" cm="1">
        <f ca="1" t="array" ref="U869">IF(U1471=1,OFFSET($W$634,$B869,U$631-1)/SUMPRODUCT(--($D$631:$V$631=U$631),--($D1471:$V1471=1)),0)+SUM(U868)+IF(COUNTIF(U$1237:U1471,1)=1,5,0)+IF(COUNTIF(V869:$W869,"&gt;"&amp;0)&lt;5,IF(AND(COUNTIF(U$1237:U1471,1)&gt;7,MOD(1+IFERROR(MATCH($C869,总览!$D$46:$D$345,1)+1,1),7)=0),$C$3,0),0)</f>
        <v>287.418840618332</v>
      </c>
      <c r="V869" s="131" cm="1">
        <f ca="1" t="array" ref="V869">IF(V1471=1,OFFSET($W$634,$B869,V$631-1)/SUMPRODUCT(--($D$631:$V$631=V$631),--($D1471:$V1471=1)),0)+SUM(V868)+IF(COUNTIF(V$1237:V1471,1)=1,5,0)+IF(COUNTIF(W869:$W869,"&gt;"&amp;0)&lt;5,IF(AND(COUNTIF(V$1237:V1471,1)&gt;7,MOD(1+IFERROR(MATCH($C869,总览!$D$46:$D$345,1)+1,1),7)=0),$C$3,0),0)</f>
        <v>307.245840330765</v>
      </c>
      <c r="W869" s="135" cm="1">
        <f ca="1" t="array" ref="W869">SUMPRODUCT(TRANSPOSE($AA869:$AG869),OFFSET($L$9:$L$15,0,W$631-1))</f>
        <v>16.8502200646615</v>
      </c>
      <c r="X869" s="135" cm="1">
        <f ca="1" t="array" ref="X869">SUMPRODUCT(TRANSPOSE($AA869:$AG869),OFFSET($L$9:$L$15,0,X$631-1))</f>
        <v>20</v>
      </c>
      <c r="Y869" s="135" cm="1">
        <f ca="1" t="array" ref="Y869">SUMPRODUCT(TRANSPOSE($AA869:$AG869),OFFSET($L$9:$L$15,0,Y$631-1))</f>
        <v>10</v>
      </c>
      <c r="Z869" s="135" cm="1">
        <f ca="1" t="array" ref="Z869">SUMPRODUCT(TRANSPOSE($AA869:$AG869),OFFSET($L$9:$L$15,0,Z$631-1))</f>
        <v>3.14977993533847</v>
      </c>
      <c r="AA869" s="136">
        <f ca="1" t="shared" ref="AA869:AG869" si="715">AH869-AH868</f>
        <v>0</v>
      </c>
      <c r="AB869" s="136">
        <f ca="1" t="shared" si="715"/>
        <v>0</v>
      </c>
      <c r="AC869" s="136">
        <f ca="1" t="shared" si="715"/>
        <v>0</v>
      </c>
      <c r="AD869" s="136">
        <f ca="1" t="shared" si="715"/>
        <v>0</v>
      </c>
      <c r="AE869" s="136">
        <f ca="1" t="shared" si="715"/>
        <v>0</v>
      </c>
      <c r="AF869" s="136">
        <f ca="1" t="shared" si="715"/>
        <v>0</v>
      </c>
      <c r="AG869" s="136">
        <f ca="1" t="shared" si="715"/>
        <v>100</v>
      </c>
      <c r="AH869" s="136">
        <f ca="1" t="shared" si="631"/>
        <v>450</v>
      </c>
      <c r="AI869" s="136">
        <f ca="1" t="shared" ref="AI869:AN869" si="716">IF($C869&gt;OFFSET($Q$8,MATCH(AI$634,$AH$634:$AN$634,0),0),OFFSET($P$8,MATCH(AI$634,$AH$634:$AN$634,0),0),MAX(0,$C869-OFFSET($Q$8,RIGHT(AI$634,1)-1,0)))</f>
        <v>909</v>
      </c>
      <c r="AJ869" s="136">
        <f ca="1" t="shared" si="716"/>
        <v>1818</v>
      </c>
      <c r="AK869" s="136">
        <f ca="1" t="shared" si="716"/>
        <v>2727</v>
      </c>
      <c r="AL869" s="136">
        <f ca="1" t="shared" si="716"/>
        <v>3636</v>
      </c>
      <c r="AM869" s="136">
        <f ca="1" t="shared" si="716"/>
        <v>4545</v>
      </c>
      <c r="AN869" s="136">
        <f ca="1" t="shared" si="716"/>
        <v>9415</v>
      </c>
    </row>
    <row r="870" s="106" customFormat="1" ht="16.5" spans="2:40">
      <c r="B870" s="117">
        <v>236</v>
      </c>
      <c r="C870" s="130">
        <f t="shared" si="629"/>
        <v>23600</v>
      </c>
      <c r="D870" s="131" cm="1">
        <f ca="1" t="array" ref="D870">IF(D1472=1,OFFSET($W$634,$B870,D$631-1)/SUMPRODUCT(--($D$631:$V$631=D$631),--($D1472:$V1472=1)),0)+SUM(D869)+IF(COUNTIF(D$1237:D1472,1)=1,5,0)+IF(COUNTIF(E870:$W870,"&gt;"&amp;0)&lt;5,IF(AND(COUNTIF(D$1237:D1472,1)&gt;7,MOD(1+IFERROR(MATCH($C870,总览!$D$46:$D$345,1)+1,1),7)=0),$C$3,0),0)</f>
        <v>1653.25416161751</v>
      </c>
      <c r="E870" s="131" cm="1">
        <f ca="1" t="array" ref="E870">IF(E1472=1,OFFSET($W$634,$B870,E$631-1)/SUMPRODUCT(--($D$631:$V$631=E$631),--($D1472:$V1472=1)),0)+SUM(E869)+IF(COUNTIF(E$1237:E1472,1)=1,5,0)+IF(COUNTIF(F870:$W870,"&gt;"&amp;0)&lt;5,IF(AND(COUNTIF(E$1237:E1472,1)&gt;7,MOD(1+IFERROR(MATCH($C870,总览!$D$46:$D$345,1)+1,1),7)=0),$C$3,0),0)</f>
        <v>1653.25416161751</v>
      </c>
      <c r="F870" s="131" cm="1">
        <f ca="1" t="array" ref="F870">IF(F1472=1,OFFSET($W$634,$B870,F$631-1)/SUMPRODUCT(--($D$631:$V$631=F$631),--($D1472:$V1472=1)),0)+SUM(F869)+IF(COUNTIF(F$1237:F1472,1)=1,5,0)+IF(COUNTIF(G870:$W870,"&gt;"&amp;0)&lt;5,IF(AND(COUNTIF(F$1237:F1472,1)&gt;7,MOD(1+IFERROR(MATCH($C870,总览!$D$46:$D$345,1)+1,1),7)=0),$C$3,0),0)</f>
        <v>1653.25416161751</v>
      </c>
      <c r="G870" s="131" cm="1">
        <f ca="1" t="array" ref="G870">IF(G1472=1,OFFSET($W$634,$B870,G$631-1)/SUMPRODUCT(--($D$631:$V$631=G$631),--($D1472:$V1472=1)),0)+SUM(G869)+IF(COUNTIF(G$1237:G1472,1)=1,5,0)+IF(COUNTIF(H870:$W870,"&gt;"&amp;0)&lt;5,IF(AND(COUNTIF(G$1237:G1472,1)&gt;7,MOD(1+IFERROR(MATCH($C870,总览!$D$46:$D$345,1)+1,1),7)=0),$C$3,0),0)</f>
        <v>726.066666666668</v>
      </c>
      <c r="H870" s="131" cm="1">
        <f ca="1" t="array" ref="H870">IF(H1472=1,OFFSET($W$634,$B870,H$631-1)/SUMPRODUCT(--($D$631:$V$631=H$631),--($D1472:$V1472=1)),0)+SUM(H869)+IF(COUNTIF(H$1237:H1472,1)=1,5,0)+IF(COUNTIF(I870:$W870,"&gt;"&amp;0)&lt;5,IF(AND(COUNTIF(H$1237:H1472,1)&gt;7,MOD(1+IFERROR(MATCH($C870,总览!$D$46:$D$345,1)+1,1),7)=0),$C$3,0),0)</f>
        <v>726.066666666668</v>
      </c>
      <c r="I870" s="131" cm="1">
        <f ca="1" t="array" ref="I870">IF(I1472=1,OFFSET($W$634,$B870,I$631-1)/SUMPRODUCT(--($D$631:$V$631=I$631),--($D1472:$V1472=1)),0)+SUM(I869)+IF(COUNTIF(I$1237:I1472,1)=1,5,0)+IF(COUNTIF(J870:$W870,"&gt;"&amp;0)&lt;5,IF(AND(COUNTIF(I$1237:I1472,1)&gt;7,MOD(1+IFERROR(MATCH($C870,总览!$D$46:$D$345,1)+1,1),7)=0),$C$3,0),0)</f>
        <v>726.066666666668</v>
      </c>
      <c r="J870" s="131" cm="1">
        <f ca="1" t="array" ref="J870">IF(J1472=1,OFFSET($W$634,$B870,J$631-1)/SUMPRODUCT(--($D$631:$V$631=J$631),--($D1472:$V1472=1)),0)+SUM(J869)+IF(COUNTIF(J$1237:J1472,1)=1,5,0)+IF(COUNTIF(K870:$W870,"&gt;"&amp;0)&lt;5,IF(AND(COUNTIF(J$1237:J1472,1)&gt;7,MOD(1+IFERROR(MATCH($C870,总览!$D$46:$D$345,1)+1,1),7)=0),$C$3,0),0)</f>
        <v>722.733333333334</v>
      </c>
      <c r="K870" s="131" cm="1">
        <f ca="1" t="array" ref="K870">IF(K1472=1,OFFSET($W$634,$B870,K$631-1)/SUMPRODUCT(--($D$631:$V$631=K$631),--($D1472:$V1472=1)),0)+SUM(K869)+IF(COUNTIF(K$1237:K1472,1)=1,5,0)+IF(COUNTIF(L870:$W870,"&gt;"&amp;0)&lt;5,IF(AND(COUNTIF(K$1237:K1472,1)&gt;7,MOD(1+IFERROR(MATCH($C870,总览!$D$46:$D$345,1)+1,1),7)=0),$C$3,0),0)</f>
        <v>720.233333333334</v>
      </c>
      <c r="L870" s="131" cm="1">
        <f ca="1" t="array" ref="L870">IF(L1472=1,OFFSET($W$634,$B870,L$631-1)/SUMPRODUCT(--($D$631:$V$631=L$631),--($D1472:$V1472=1)),0)+SUM(L869)+IF(COUNTIF(L$1237:L1472,1)=1,5,0)+IF(COUNTIF(M870:$W870,"&gt;"&amp;0)&lt;5,IF(AND(COUNTIF(L$1237:L1472,1)&gt;7,MOD(1+IFERROR(MATCH($C870,总览!$D$46:$D$345,1)+1,1),7)=0),$C$3,0),0)</f>
        <v>720.233333333334</v>
      </c>
      <c r="M870" s="131" cm="1">
        <f ca="1" t="array" ref="M870">IF(M1472=1,OFFSET($W$634,$B870,M$631-1)/SUMPRODUCT(--($D$631:$V$631=M$631),--($D1472:$V1472=1)),0)+SUM(M869)+IF(COUNTIF(M$1237:M1472,1)=1,5,0)+IF(COUNTIF(N870:$W870,"&gt;"&amp;0)&lt;5,IF(AND(COUNTIF(M$1237:M1472,1)&gt;7,MOD(1+IFERROR(MATCH($C870,总览!$D$46:$D$345,1)+1,1),7)=0),$C$3,0),0)</f>
        <v>294.895535714285</v>
      </c>
      <c r="N870" s="131" cm="1">
        <f ca="1" t="array" ref="N870">IF(N1472=1,OFFSET($W$634,$B870,N$631-1)/SUMPRODUCT(--($D$631:$V$631=N$631),--($D1472:$V1472=1)),0)+SUM(N869)+IF(COUNTIF(N$1237:N1472,1)=1,5,0)+IF(COUNTIF(O870:$W870,"&gt;"&amp;0)&lt;5,IF(AND(COUNTIF(N$1237:N1472,1)&gt;7,MOD(1+IFERROR(MATCH($C870,总览!$D$46:$D$345,1)+1,1),7)=0),$C$3,0),0)</f>
        <v>296.145535714285</v>
      </c>
      <c r="O870" s="131" cm="1">
        <f ca="1" t="array" ref="O870">IF(O1472=1,OFFSET($W$634,$B870,O$631-1)/SUMPRODUCT(--($D$631:$V$631=O$631),--($D1472:$V1472=1)),0)+SUM(O869)+IF(COUNTIF(O$1237:O1472,1)=1,5,0)+IF(COUNTIF(P870:$W870,"&gt;"&amp;0)&lt;5,IF(AND(COUNTIF(O$1237:O1472,1)&gt;7,MOD(1+IFERROR(MATCH($C870,总览!$D$46:$D$345,1)+1,1),7)=0),$C$3,0),0)</f>
        <v>301.145535714285</v>
      </c>
      <c r="P870" s="131" cm="1">
        <f ca="1" t="array" ref="P870">IF(P1472=1,OFFSET($W$634,$B870,P$631-1)/SUMPRODUCT(--($D$631:$V$631=P$631),--($D1472:$V1472=1)),0)+SUM(P869)+IF(COUNTIF(P$1237:P1472,1)=1,5,0)+IF(COUNTIF(Q870:$W870,"&gt;"&amp;0)&lt;5,IF(AND(COUNTIF(P$1237:P1472,1)&gt;7,MOD(1+IFERROR(MATCH($C870,总览!$D$46:$D$345,1)+1,1),7)=0),$C$3,0),0)</f>
        <v>290.264285714285</v>
      </c>
      <c r="Q870" s="131" cm="1">
        <f ca="1" t="array" ref="Q870">IF(Q1472=1,OFFSET($W$634,$B870,Q$631-1)/SUMPRODUCT(--($D$631:$V$631=Q$631),--($D1472:$V1472=1)),0)+SUM(Q869)+IF(COUNTIF(Q$1237:Q1472,1)=1,5,0)+IF(COUNTIF(R870:$W870,"&gt;"&amp;0)&lt;5,IF(AND(COUNTIF(Q$1237:Q1472,1)&gt;7,MOD(1+IFERROR(MATCH($C870,总览!$D$46:$D$345,1)+1,1),7)=0),$C$3,0),0)</f>
        <v>303.645535714285</v>
      </c>
      <c r="R870" s="131" cm="1">
        <f ca="1" t="array" ref="R870">IF(R1472=1,OFFSET($W$634,$B870,R$631-1)/SUMPRODUCT(--($D$631:$V$631=R$631),--($D1472:$V1472=1)),0)+SUM(R869)+IF(COUNTIF(R$1237:R1472,1)=1,5,0)+IF(COUNTIF(S870:$W870,"&gt;"&amp;0)&lt;5,IF(AND(COUNTIF(R$1237:R1472,1)&gt;7,MOD(1+IFERROR(MATCH($C870,总览!$D$46:$D$345,1)+1,1),7)=0),$C$3,0),0)</f>
        <v>295.264285714285</v>
      </c>
      <c r="S870" s="131" cm="1">
        <f ca="1" t="array" ref="S870">IF(S1472=1,OFFSET($W$634,$B870,S$631-1)/SUMPRODUCT(--($D$631:$V$631=S$631),--($D1472:$V1472=1)),0)+SUM(S869)+IF(COUNTIF(S$1237:S1472,1)=1,5,0)+IF(COUNTIF(T870:$W870,"&gt;"&amp;0)&lt;5,IF(AND(COUNTIF(S$1237:S1472,1)&gt;7,MOD(1+IFERROR(MATCH($C870,总览!$D$46:$D$345,1)+1,1),7)=0),$C$3,0),0)</f>
        <v>387.764285714286</v>
      </c>
      <c r="T870" s="131" cm="1">
        <f ca="1" t="array" ref="T870">IF(T1472=1,OFFSET($W$634,$B870,T$631-1)/SUMPRODUCT(--($D$631:$V$631=T$631),--($D1472:$V1472=1)),0)+SUM(T869)+IF(COUNTIF(T$1237:T1472,1)=1,5,0)+IF(COUNTIF(U870:$W870,"&gt;"&amp;0)&lt;5,IF(AND(COUNTIF(T$1237:T1472,1)&gt;7,MOD(1+IFERROR(MATCH($C870,总览!$D$46:$D$345,1)+1,1),7)=0),$C$3,0),0)</f>
        <v>282.947980908145</v>
      </c>
      <c r="U870" s="131" cm="1">
        <f ca="1" t="array" ref="U870">IF(U1472=1,OFFSET($W$634,$B870,U$631-1)/SUMPRODUCT(--($D$631:$V$631=U$631),--($D1472:$V1472=1)),0)+SUM(U869)+IF(COUNTIF(U$1237:U1472,1)=1,5,0)+IF(COUNTIF(V870:$W870,"&gt;"&amp;0)&lt;5,IF(AND(COUNTIF(U$1237:U1472,1)&gt;7,MOD(1+IFERROR(MATCH($C870,总览!$D$46:$D$345,1)+1,1),7)=0),$C$3,0),0)</f>
        <v>288.468767263444</v>
      </c>
      <c r="V870" s="131" cm="1">
        <f ca="1" t="array" ref="V870">IF(V1472=1,OFFSET($W$634,$B870,V$631-1)/SUMPRODUCT(--($D$631:$V$631=V$631),--($D1472:$V1472=1)),0)+SUM(V869)+IF(COUNTIF(V$1237:V1472,1)=1,5,0)+IF(COUNTIF(W870:$W870,"&gt;"&amp;0)&lt;5,IF(AND(COUNTIF(V$1237:V1472,1)&gt;7,MOD(1+IFERROR(MATCH($C870,总览!$D$46:$D$345,1)+1,1),7)=0),$C$3,0),0)</f>
        <v>308.295766975877</v>
      </c>
      <c r="W870" s="135" cm="1">
        <f ca="1" t="array" ref="W870">SUMPRODUCT(TRANSPOSE($AA870:$AG870),OFFSET($L$9:$L$15,0,W$631-1))</f>
        <v>16.8502200646615</v>
      </c>
      <c r="X870" s="135" cm="1">
        <f ca="1" t="array" ref="X870">SUMPRODUCT(TRANSPOSE($AA870:$AG870),OFFSET($L$9:$L$15,0,X$631-1))</f>
        <v>20</v>
      </c>
      <c r="Y870" s="135" cm="1">
        <f ca="1" t="array" ref="Y870">SUMPRODUCT(TRANSPOSE($AA870:$AG870),OFFSET($L$9:$L$15,0,Y$631-1))</f>
        <v>10</v>
      </c>
      <c r="Z870" s="135" cm="1">
        <f ca="1" t="array" ref="Z870">SUMPRODUCT(TRANSPOSE($AA870:$AG870),OFFSET($L$9:$L$15,0,Z$631-1))</f>
        <v>3.14977993533847</v>
      </c>
      <c r="AA870" s="136">
        <f ca="1" t="shared" ref="AA870:AG870" si="717">AH870-AH869</f>
        <v>0</v>
      </c>
      <c r="AB870" s="136">
        <f ca="1" t="shared" si="717"/>
        <v>0</v>
      </c>
      <c r="AC870" s="136">
        <f ca="1" t="shared" si="717"/>
        <v>0</v>
      </c>
      <c r="AD870" s="136">
        <f ca="1" t="shared" si="717"/>
        <v>0</v>
      </c>
      <c r="AE870" s="136">
        <f ca="1" t="shared" si="717"/>
        <v>0</v>
      </c>
      <c r="AF870" s="136">
        <f ca="1" t="shared" si="717"/>
        <v>0</v>
      </c>
      <c r="AG870" s="136">
        <f ca="1" t="shared" si="717"/>
        <v>100</v>
      </c>
      <c r="AH870" s="136">
        <f ca="1" t="shared" si="631"/>
        <v>450</v>
      </c>
      <c r="AI870" s="136">
        <f ca="1" t="shared" ref="AI870:AN870" si="718">IF($C870&gt;OFFSET($Q$8,MATCH(AI$634,$AH$634:$AN$634,0),0),OFFSET($P$8,MATCH(AI$634,$AH$634:$AN$634,0),0),MAX(0,$C870-OFFSET($Q$8,RIGHT(AI$634,1)-1,0)))</f>
        <v>909</v>
      </c>
      <c r="AJ870" s="136">
        <f ca="1" t="shared" si="718"/>
        <v>1818</v>
      </c>
      <c r="AK870" s="136">
        <f ca="1" t="shared" si="718"/>
        <v>2727</v>
      </c>
      <c r="AL870" s="136">
        <f ca="1" t="shared" si="718"/>
        <v>3636</v>
      </c>
      <c r="AM870" s="136">
        <f ca="1" t="shared" si="718"/>
        <v>4545</v>
      </c>
      <c r="AN870" s="136">
        <f ca="1" t="shared" si="718"/>
        <v>9515</v>
      </c>
    </row>
    <row r="871" s="106" customFormat="1" ht="16.5" spans="2:40">
      <c r="B871" s="117">
        <v>237</v>
      </c>
      <c r="C871" s="130">
        <f t="shared" si="629"/>
        <v>23700</v>
      </c>
      <c r="D871" s="131" cm="1">
        <f ca="1" t="array" ref="D871">IF(D1473=1,OFFSET($W$634,$B871,D$631-1)/SUMPRODUCT(--($D$631:$V$631=D$631),--($D1473:$V1473=1)),0)+SUM(D870)+IF(COUNTIF(D$1237:D1473,1)=1,5,0)+IF(COUNTIF(E871:$W871,"&gt;"&amp;0)&lt;5,IF(AND(COUNTIF(D$1237:D1473,1)&gt;7,MOD(1+IFERROR(MATCH($C871,总览!$D$46:$D$345,1)+1,1),7)=0),$C$3,0),0)</f>
        <v>1658.87090163906</v>
      </c>
      <c r="E871" s="131" cm="1">
        <f ca="1" t="array" ref="E871">IF(E1473=1,OFFSET($W$634,$B871,E$631-1)/SUMPRODUCT(--($D$631:$V$631=E$631),--($D1473:$V1473=1)),0)+SUM(E870)+IF(COUNTIF(E$1237:E1473,1)=1,5,0)+IF(COUNTIF(F871:$W871,"&gt;"&amp;0)&lt;5,IF(AND(COUNTIF(E$1237:E1473,1)&gt;7,MOD(1+IFERROR(MATCH($C871,总览!$D$46:$D$345,1)+1,1),7)=0),$C$3,0),0)</f>
        <v>1658.87090163906</v>
      </c>
      <c r="F871" s="131" cm="1">
        <f ca="1" t="array" ref="F871">IF(F1473=1,OFFSET($W$634,$B871,F$631-1)/SUMPRODUCT(--($D$631:$V$631=F$631),--($D1473:$V1473=1)),0)+SUM(F870)+IF(COUNTIF(F$1237:F1473,1)=1,5,0)+IF(COUNTIF(G871:$W871,"&gt;"&amp;0)&lt;5,IF(AND(COUNTIF(F$1237:F1473,1)&gt;7,MOD(1+IFERROR(MATCH($C871,总览!$D$46:$D$345,1)+1,1),7)=0),$C$3,0),0)</f>
        <v>1658.87090163906</v>
      </c>
      <c r="G871" s="131" cm="1">
        <f ca="1" t="array" ref="G871">IF(G1473=1,OFFSET($W$634,$B871,G$631-1)/SUMPRODUCT(--($D$631:$V$631=G$631),--($D1473:$V1473=1)),0)+SUM(G870)+IF(COUNTIF(G$1237:G1473,1)=1,5,0)+IF(COUNTIF(H871:$W871,"&gt;"&amp;0)&lt;5,IF(AND(COUNTIF(G$1237:G1473,1)&gt;7,MOD(1+IFERROR(MATCH($C871,总览!$D$46:$D$345,1)+1,1),7)=0),$C$3,0),0)</f>
        <v>729.400000000001</v>
      </c>
      <c r="H871" s="131" cm="1">
        <f ca="1" t="array" ref="H871">IF(H1473=1,OFFSET($W$634,$B871,H$631-1)/SUMPRODUCT(--($D$631:$V$631=H$631),--($D1473:$V1473=1)),0)+SUM(H870)+IF(COUNTIF(H$1237:H1473,1)=1,5,0)+IF(COUNTIF(I871:$W871,"&gt;"&amp;0)&lt;5,IF(AND(COUNTIF(H$1237:H1473,1)&gt;7,MOD(1+IFERROR(MATCH($C871,总览!$D$46:$D$345,1)+1,1),7)=0),$C$3,0),0)</f>
        <v>729.400000000001</v>
      </c>
      <c r="I871" s="131" cm="1">
        <f ca="1" t="array" ref="I871">IF(I1473=1,OFFSET($W$634,$B871,I$631-1)/SUMPRODUCT(--($D$631:$V$631=I$631),--($D1473:$V1473=1)),0)+SUM(I870)+IF(COUNTIF(I$1237:I1473,1)=1,5,0)+IF(COUNTIF(J871:$W871,"&gt;"&amp;0)&lt;5,IF(AND(COUNTIF(I$1237:I1473,1)&gt;7,MOD(1+IFERROR(MATCH($C871,总览!$D$46:$D$345,1)+1,1),7)=0),$C$3,0),0)</f>
        <v>729.400000000001</v>
      </c>
      <c r="J871" s="131" cm="1">
        <f ca="1" t="array" ref="J871">IF(J1473=1,OFFSET($W$634,$B871,J$631-1)/SUMPRODUCT(--($D$631:$V$631=J$631),--($D1473:$V1473=1)),0)+SUM(J870)+IF(COUNTIF(J$1237:J1473,1)=1,5,0)+IF(COUNTIF(K871:$W871,"&gt;"&amp;0)&lt;5,IF(AND(COUNTIF(J$1237:J1473,1)&gt;7,MOD(1+IFERROR(MATCH($C871,总览!$D$46:$D$345,1)+1,1),7)=0),$C$3,0),0)</f>
        <v>726.066666666668</v>
      </c>
      <c r="K871" s="131" cm="1">
        <f ca="1" t="array" ref="K871">IF(K1473=1,OFFSET($W$634,$B871,K$631-1)/SUMPRODUCT(--($D$631:$V$631=K$631),--($D1473:$V1473=1)),0)+SUM(K870)+IF(COUNTIF(K$1237:K1473,1)=1,5,0)+IF(COUNTIF(L871:$W871,"&gt;"&amp;0)&lt;5,IF(AND(COUNTIF(K$1237:K1473,1)&gt;7,MOD(1+IFERROR(MATCH($C871,总览!$D$46:$D$345,1)+1,1),7)=0),$C$3,0),0)</f>
        <v>723.566666666668</v>
      </c>
      <c r="L871" s="131" cm="1">
        <f ca="1" t="array" ref="L871">IF(L1473=1,OFFSET($W$634,$B871,L$631-1)/SUMPRODUCT(--($D$631:$V$631=L$631),--($D1473:$V1473=1)),0)+SUM(L870)+IF(COUNTIF(L$1237:L1473,1)=1,5,0)+IF(COUNTIF(M871:$W871,"&gt;"&amp;0)&lt;5,IF(AND(COUNTIF(L$1237:L1473,1)&gt;7,MOD(1+IFERROR(MATCH($C871,总览!$D$46:$D$345,1)+1,1),7)=0),$C$3,0),0)</f>
        <v>723.566666666668</v>
      </c>
      <c r="M871" s="131" cm="1">
        <f ca="1" t="array" ref="M871">IF(M1473=1,OFFSET($W$634,$B871,M$631-1)/SUMPRODUCT(--($D$631:$V$631=M$631),--($D1473:$V1473=1)),0)+SUM(M870)+IF(COUNTIF(M$1237:M1473,1)=1,5,0)+IF(COUNTIF(N871:$W871,"&gt;"&amp;0)&lt;5,IF(AND(COUNTIF(M$1237:M1473,1)&gt;7,MOD(1+IFERROR(MATCH($C871,总览!$D$46:$D$345,1)+1,1),7)=0),$C$3,0),0)</f>
        <v>296.324107142856</v>
      </c>
      <c r="N871" s="131" cm="1">
        <f ca="1" t="array" ref="N871">IF(N1473=1,OFFSET($W$634,$B871,N$631-1)/SUMPRODUCT(--($D$631:$V$631=N$631),--($D1473:$V1473=1)),0)+SUM(N870)+IF(COUNTIF(N$1237:N1473,1)=1,5,0)+IF(COUNTIF(O871:$W871,"&gt;"&amp;0)&lt;5,IF(AND(COUNTIF(N$1237:N1473,1)&gt;7,MOD(1+IFERROR(MATCH($C871,总览!$D$46:$D$345,1)+1,1),7)=0),$C$3,0),0)</f>
        <v>297.574107142856</v>
      </c>
      <c r="O871" s="131" cm="1">
        <f ca="1" t="array" ref="O871">IF(O1473=1,OFFSET($W$634,$B871,O$631-1)/SUMPRODUCT(--($D$631:$V$631=O$631),--($D1473:$V1473=1)),0)+SUM(O870)+IF(COUNTIF(O$1237:O1473,1)=1,5,0)+IF(COUNTIF(P871:$W871,"&gt;"&amp;0)&lt;5,IF(AND(COUNTIF(O$1237:O1473,1)&gt;7,MOD(1+IFERROR(MATCH($C871,总览!$D$46:$D$345,1)+1,1),7)=0),$C$3,0),0)</f>
        <v>302.574107142856</v>
      </c>
      <c r="P871" s="131" cm="1">
        <f ca="1" t="array" ref="P871">IF(P1473=1,OFFSET($W$634,$B871,P$631-1)/SUMPRODUCT(--($D$631:$V$631=P$631),--($D1473:$V1473=1)),0)+SUM(P870)+IF(COUNTIF(P$1237:P1473,1)=1,5,0)+IF(COUNTIF(Q871:$W871,"&gt;"&amp;0)&lt;5,IF(AND(COUNTIF(P$1237:P1473,1)&gt;7,MOD(1+IFERROR(MATCH($C871,总览!$D$46:$D$345,1)+1,1),7)=0),$C$3,0),0)</f>
        <v>291.692857142856</v>
      </c>
      <c r="Q871" s="131" cm="1">
        <f ca="1" t="array" ref="Q871">IF(Q1473=1,OFFSET($W$634,$B871,Q$631-1)/SUMPRODUCT(--($D$631:$V$631=Q$631),--($D1473:$V1473=1)),0)+SUM(Q870)+IF(COUNTIF(Q$1237:Q1473,1)=1,5,0)+IF(COUNTIF(R871:$W871,"&gt;"&amp;0)&lt;5,IF(AND(COUNTIF(Q$1237:Q1473,1)&gt;7,MOD(1+IFERROR(MATCH($C871,总览!$D$46:$D$345,1)+1,1),7)=0),$C$3,0),0)</f>
        <v>305.074107142856</v>
      </c>
      <c r="R871" s="131" cm="1">
        <f ca="1" t="array" ref="R871">IF(R1473=1,OFFSET($W$634,$B871,R$631-1)/SUMPRODUCT(--($D$631:$V$631=R$631),--($D1473:$V1473=1)),0)+SUM(R870)+IF(COUNTIF(R$1237:R1473,1)=1,5,0)+IF(COUNTIF(S871:$W871,"&gt;"&amp;0)&lt;5,IF(AND(COUNTIF(R$1237:R1473,1)&gt;7,MOD(1+IFERROR(MATCH($C871,总览!$D$46:$D$345,1)+1,1),7)=0),$C$3,0),0)</f>
        <v>296.692857142856</v>
      </c>
      <c r="S871" s="131" cm="1">
        <f ca="1" t="array" ref="S871">IF(S1473=1,OFFSET($W$634,$B871,S$631-1)/SUMPRODUCT(--($D$631:$V$631=S$631),--($D1473:$V1473=1)),0)+SUM(S870)+IF(COUNTIF(S$1237:S1473,1)=1,5,0)+IF(COUNTIF(T871:$W871,"&gt;"&amp;0)&lt;5,IF(AND(COUNTIF(S$1237:S1473,1)&gt;7,MOD(1+IFERROR(MATCH($C871,总览!$D$46:$D$345,1)+1,1),7)=0),$C$3,0),0)</f>
        <v>389.192857142858</v>
      </c>
      <c r="T871" s="131" cm="1">
        <f ca="1" t="array" ref="T871">IF(T1473=1,OFFSET($W$634,$B871,T$631-1)/SUMPRODUCT(--($D$631:$V$631=T$631),--($D1473:$V1473=1)),0)+SUM(T870)+IF(COUNTIF(T$1237:T1473,1)=1,5,0)+IF(COUNTIF(U871:$W871,"&gt;"&amp;0)&lt;5,IF(AND(COUNTIF(T$1237:T1473,1)&gt;7,MOD(1+IFERROR(MATCH($C871,总览!$D$46:$D$345,1)+1,1),7)=0),$C$3,0),0)</f>
        <v>283.997907553258</v>
      </c>
      <c r="U871" s="131" cm="1">
        <f ca="1" t="array" ref="U871">IF(U1473=1,OFFSET($W$634,$B871,U$631-1)/SUMPRODUCT(--($D$631:$V$631=U$631),--($D1473:$V1473=1)),0)+SUM(U870)+IF(COUNTIF(U$1237:U1473,1)=1,5,0)+IF(COUNTIF(V871:$W871,"&gt;"&amp;0)&lt;5,IF(AND(COUNTIF(U$1237:U1473,1)&gt;7,MOD(1+IFERROR(MATCH($C871,总览!$D$46:$D$345,1)+1,1),7)=0),$C$3,0),0)</f>
        <v>289.518693908557</v>
      </c>
      <c r="V871" s="131" cm="1">
        <f ca="1" t="array" ref="V871">IF(V1473=1,OFFSET($W$634,$B871,V$631-1)/SUMPRODUCT(--($D$631:$V$631=V$631),--($D1473:$V1473=1)),0)+SUM(V870)+IF(COUNTIF(V$1237:V1473,1)=1,5,0)+IF(COUNTIF(W871:$W871,"&gt;"&amp;0)&lt;5,IF(AND(COUNTIF(V$1237:V1473,1)&gt;7,MOD(1+IFERROR(MATCH($C871,总览!$D$46:$D$345,1)+1,1),7)=0),$C$3,0),0)</f>
        <v>309.34569362099</v>
      </c>
      <c r="W871" s="135" cm="1">
        <f ca="1" t="array" ref="W871">SUMPRODUCT(TRANSPOSE($AA871:$AG871),OFFSET($L$9:$L$15,0,W$631-1))</f>
        <v>16.8502200646615</v>
      </c>
      <c r="X871" s="135" cm="1">
        <f ca="1" t="array" ref="X871">SUMPRODUCT(TRANSPOSE($AA871:$AG871),OFFSET($L$9:$L$15,0,X$631-1))</f>
        <v>20</v>
      </c>
      <c r="Y871" s="135" cm="1">
        <f ca="1" t="array" ref="Y871">SUMPRODUCT(TRANSPOSE($AA871:$AG871),OFFSET($L$9:$L$15,0,Y$631-1))</f>
        <v>10</v>
      </c>
      <c r="Z871" s="135" cm="1">
        <f ca="1" t="array" ref="Z871">SUMPRODUCT(TRANSPOSE($AA871:$AG871),OFFSET($L$9:$L$15,0,Z$631-1))</f>
        <v>3.14977993533847</v>
      </c>
      <c r="AA871" s="136">
        <f ca="1" t="shared" ref="AA871:AG871" si="719">AH871-AH870</f>
        <v>0</v>
      </c>
      <c r="AB871" s="136">
        <f ca="1" t="shared" si="719"/>
        <v>0</v>
      </c>
      <c r="AC871" s="136">
        <f ca="1" t="shared" si="719"/>
        <v>0</v>
      </c>
      <c r="AD871" s="136">
        <f ca="1" t="shared" si="719"/>
        <v>0</v>
      </c>
      <c r="AE871" s="136">
        <f ca="1" t="shared" si="719"/>
        <v>0</v>
      </c>
      <c r="AF871" s="136">
        <f ca="1" t="shared" si="719"/>
        <v>0</v>
      </c>
      <c r="AG871" s="136">
        <f ca="1" t="shared" si="719"/>
        <v>100</v>
      </c>
      <c r="AH871" s="136">
        <f ca="1" t="shared" si="631"/>
        <v>450</v>
      </c>
      <c r="AI871" s="136">
        <f ca="1" t="shared" ref="AI871:AN871" si="720">IF($C871&gt;OFFSET($Q$8,MATCH(AI$634,$AH$634:$AN$634,0),0),OFFSET($P$8,MATCH(AI$634,$AH$634:$AN$634,0),0),MAX(0,$C871-OFFSET($Q$8,RIGHT(AI$634,1)-1,0)))</f>
        <v>909</v>
      </c>
      <c r="AJ871" s="136">
        <f ca="1" t="shared" si="720"/>
        <v>1818</v>
      </c>
      <c r="AK871" s="136">
        <f ca="1" t="shared" si="720"/>
        <v>2727</v>
      </c>
      <c r="AL871" s="136">
        <f ca="1" t="shared" si="720"/>
        <v>3636</v>
      </c>
      <c r="AM871" s="136">
        <f ca="1" t="shared" si="720"/>
        <v>4545</v>
      </c>
      <c r="AN871" s="136">
        <f ca="1" t="shared" si="720"/>
        <v>9615</v>
      </c>
    </row>
    <row r="872" s="106" customFormat="1" ht="16.5" spans="2:40">
      <c r="B872" s="117">
        <v>238</v>
      </c>
      <c r="C872" s="130">
        <f t="shared" si="629"/>
        <v>23800</v>
      </c>
      <c r="D872" s="131" cm="1">
        <f ca="1" t="array" ref="D872">IF(D1474=1,OFFSET($W$634,$B872,D$631-1)/SUMPRODUCT(--($D$631:$V$631=D$631),--($D1474:$V1474=1)),0)+SUM(D871)+IF(COUNTIF(D$1237:D1474,1)=1,5,0)+IF(COUNTIF(E872:$W872,"&gt;"&amp;0)&lt;5,IF(AND(COUNTIF(D$1237:D1474,1)&gt;7,MOD(1+IFERROR(MATCH($C872,总览!$D$46:$D$345,1)+1,1),7)=0),$C$3,0),0)</f>
        <v>1664.48764166062</v>
      </c>
      <c r="E872" s="131" cm="1">
        <f ca="1" t="array" ref="E872">IF(E1474=1,OFFSET($W$634,$B872,E$631-1)/SUMPRODUCT(--($D$631:$V$631=E$631),--($D1474:$V1474=1)),0)+SUM(E871)+IF(COUNTIF(E$1237:E1474,1)=1,5,0)+IF(COUNTIF(F872:$W872,"&gt;"&amp;0)&lt;5,IF(AND(COUNTIF(E$1237:E1474,1)&gt;7,MOD(1+IFERROR(MATCH($C872,总览!$D$46:$D$345,1)+1,1),7)=0),$C$3,0),0)</f>
        <v>1664.48764166062</v>
      </c>
      <c r="F872" s="131" cm="1">
        <f ca="1" t="array" ref="F872">IF(F1474=1,OFFSET($W$634,$B872,F$631-1)/SUMPRODUCT(--($D$631:$V$631=F$631),--($D1474:$V1474=1)),0)+SUM(F871)+IF(COUNTIF(F$1237:F1474,1)=1,5,0)+IF(COUNTIF(G872:$W872,"&gt;"&amp;0)&lt;5,IF(AND(COUNTIF(F$1237:F1474,1)&gt;7,MOD(1+IFERROR(MATCH($C872,总览!$D$46:$D$345,1)+1,1),7)=0),$C$3,0),0)</f>
        <v>1664.48764166062</v>
      </c>
      <c r="G872" s="131" cm="1">
        <f ca="1" t="array" ref="G872">IF(G1474=1,OFFSET($W$634,$B872,G$631-1)/SUMPRODUCT(--($D$631:$V$631=G$631),--($D1474:$V1474=1)),0)+SUM(G871)+IF(COUNTIF(G$1237:G1474,1)=1,5,0)+IF(COUNTIF(H872:$W872,"&gt;"&amp;0)&lt;5,IF(AND(COUNTIF(G$1237:G1474,1)&gt;7,MOD(1+IFERROR(MATCH($C872,总览!$D$46:$D$345,1)+1,1),7)=0),$C$3,0),0)</f>
        <v>732.733333333334</v>
      </c>
      <c r="H872" s="131" cm="1">
        <f ca="1" t="array" ref="H872">IF(H1474=1,OFFSET($W$634,$B872,H$631-1)/SUMPRODUCT(--($D$631:$V$631=H$631),--($D1474:$V1474=1)),0)+SUM(H871)+IF(COUNTIF(H$1237:H1474,1)=1,5,0)+IF(COUNTIF(I872:$W872,"&gt;"&amp;0)&lt;5,IF(AND(COUNTIF(H$1237:H1474,1)&gt;7,MOD(1+IFERROR(MATCH($C872,总览!$D$46:$D$345,1)+1,1),7)=0),$C$3,0),0)</f>
        <v>732.733333333334</v>
      </c>
      <c r="I872" s="131" cm="1">
        <f ca="1" t="array" ref="I872">IF(I1474=1,OFFSET($W$634,$B872,I$631-1)/SUMPRODUCT(--($D$631:$V$631=I$631),--($D1474:$V1474=1)),0)+SUM(I871)+IF(COUNTIF(I$1237:I1474,1)=1,5,0)+IF(COUNTIF(J872:$W872,"&gt;"&amp;0)&lt;5,IF(AND(COUNTIF(I$1237:I1474,1)&gt;7,MOD(1+IFERROR(MATCH($C872,总览!$D$46:$D$345,1)+1,1),7)=0),$C$3,0),0)</f>
        <v>732.733333333334</v>
      </c>
      <c r="J872" s="131" cm="1">
        <f ca="1" t="array" ref="J872">IF(J1474=1,OFFSET($W$634,$B872,J$631-1)/SUMPRODUCT(--($D$631:$V$631=J$631),--($D1474:$V1474=1)),0)+SUM(J871)+IF(COUNTIF(J$1237:J1474,1)=1,5,0)+IF(COUNTIF(K872:$W872,"&gt;"&amp;0)&lt;5,IF(AND(COUNTIF(J$1237:J1474,1)&gt;7,MOD(1+IFERROR(MATCH($C872,总览!$D$46:$D$345,1)+1,1),7)=0),$C$3,0),0)</f>
        <v>729.400000000001</v>
      </c>
      <c r="K872" s="131" cm="1">
        <f ca="1" t="array" ref="K872">IF(K1474=1,OFFSET($W$634,$B872,K$631-1)/SUMPRODUCT(--($D$631:$V$631=K$631),--($D1474:$V1474=1)),0)+SUM(K871)+IF(COUNTIF(K$1237:K1474,1)=1,5,0)+IF(COUNTIF(L872:$W872,"&gt;"&amp;0)&lt;5,IF(AND(COUNTIF(K$1237:K1474,1)&gt;7,MOD(1+IFERROR(MATCH($C872,总览!$D$46:$D$345,1)+1,1),7)=0),$C$3,0),0)</f>
        <v>726.900000000001</v>
      </c>
      <c r="L872" s="131" cm="1">
        <f ca="1" t="array" ref="L872">IF(L1474=1,OFFSET($W$634,$B872,L$631-1)/SUMPRODUCT(--($D$631:$V$631=L$631),--($D1474:$V1474=1)),0)+SUM(L871)+IF(COUNTIF(L$1237:L1474,1)=1,5,0)+IF(COUNTIF(M872:$W872,"&gt;"&amp;0)&lt;5,IF(AND(COUNTIF(L$1237:L1474,1)&gt;7,MOD(1+IFERROR(MATCH($C872,总览!$D$46:$D$345,1)+1,1),7)=0),$C$3,0),0)</f>
        <v>726.900000000001</v>
      </c>
      <c r="M872" s="131" cm="1">
        <f ca="1" t="array" ref="M872">IF(M1474=1,OFFSET($W$634,$B872,M$631-1)/SUMPRODUCT(--($D$631:$V$631=M$631),--($D1474:$V1474=1)),0)+SUM(M871)+IF(COUNTIF(M$1237:M1474,1)=1,5,0)+IF(COUNTIF(N872:$W872,"&gt;"&amp;0)&lt;5,IF(AND(COUNTIF(M$1237:M1474,1)&gt;7,MOD(1+IFERROR(MATCH($C872,总览!$D$46:$D$345,1)+1,1),7)=0),$C$3,0),0)</f>
        <v>297.752678571428</v>
      </c>
      <c r="N872" s="131" cm="1">
        <f ca="1" t="array" ref="N872">IF(N1474=1,OFFSET($W$634,$B872,N$631-1)/SUMPRODUCT(--($D$631:$V$631=N$631),--($D1474:$V1474=1)),0)+SUM(N871)+IF(COUNTIF(N$1237:N1474,1)=1,5,0)+IF(COUNTIF(O872:$W872,"&gt;"&amp;0)&lt;5,IF(AND(COUNTIF(N$1237:N1474,1)&gt;7,MOD(1+IFERROR(MATCH($C872,总览!$D$46:$D$345,1)+1,1),7)=0),$C$3,0),0)</f>
        <v>299.002678571428</v>
      </c>
      <c r="O872" s="131" cm="1">
        <f ca="1" t="array" ref="O872">IF(O1474=1,OFFSET($W$634,$B872,O$631-1)/SUMPRODUCT(--($D$631:$V$631=O$631),--($D1474:$V1474=1)),0)+SUM(O871)+IF(COUNTIF(O$1237:O1474,1)=1,5,0)+IF(COUNTIF(P872:$W872,"&gt;"&amp;0)&lt;5,IF(AND(COUNTIF(O$1237:O1474,1)&gt;7,MOD(1+IFERROR(MATCH($C872,总览!$D$46:$D$345,1)+1,1),7)=0),$C$3,0),0)</f>
        <v>304.002678571428</v>
      </c>
      <c r="P872" s="131" cm="1">
        <f ca="1" t="array" ref="P872">IF(P1474=1,OFFSET($W$634,$B872,P$631-1)/SUMPRODUCT(--($D$631:$V$631=P$631),--($D1474:$V1474=1)),0)+SUM(P871)+IF(COUNTIF(P$1237:P1474,1)=1,5,0)+IF(COUNTIF(Q872:$W872,"&gt;"&amp;0)&lt;5,IF(AND(COUNTIF(P$1237:P1474,1)&gt;7,MOD(1+IFERROR(MATCH($C872,总览!$D$46:$D$345,1)+1,1),7)=0),$C$3,0),0)</f>
        <v>293.121428571428</v>
      </c>
      <c r="Q872" s="131" cm="1">
        <f ca="1" t="array" ref="Q872">IF(Q1474=1,OFFSET($W$634,$B872,Q$631-1)/SUMPRODUCT(--($D$631:$V$631=Q$631),--($D1474:$V1474=1)),0)+SUM(Q871)+IF(COUNTIF(Q$1237:Q1474,1)=1,5,0)+IF(COUNTIF(R872:$W872,"&gt;"&amp;0)&lt;5,IF(AND(COUNTIF(Q$1237:Q1474,1)&gt;7,MOD(1+IFERROR(MATCH($C872,总览!$D$46:$D$345,1)+1,1),7)=0),$C$3,0),0)</f>
        <v>306.502678571428</v>
      </c>
      <c r="R872" s="131" cm="1">
        <f ca="1" t="array" ref="R872">IF(R1474=1,OFFSET($W$634,$B872,R$631-1)/SUMPRODUCT(--($D$631:$V$631=R$631),--($D1474:$V1474=1)),0)+SUM(R871)+IF(COUNTIF(R$1237:R1474,1)=1,5,0)+IF(COUNTIF(S872:$W872,"&gt;"&amp;0)&lt;5,IF(AND(COUNTIF(R$1237:R1474,1)&gt;7,MOD(1+IFERROR(MATCH($C872,总览!$D$46:$D$345,1)+1,1),7)=0),$C$3,0),0)</f>
        <v>298.121428571428</v>
      </c>
      <c r="S872" s="131" cm="1">
        <f ca="1" t="array" ref="S872">IF(S1474=1,OFFSET($W$634,$B872,S$631-1)/SUMPRODUCT(--($D$631:$V$631=S$631),--($D1474:$V1474=1)),0)+SUM(S871)+IF(COUNTIF(S$1237:S1474,1)=1,5,0)+IF(COUNTIF(T872:$W872,"&gt;"&amp;0)&lt;5,IF(AND(COUNTIF(S$1237:S1474,1)&gt;7,MOD(1+IFERROR(MATCH($C872,总览!$D$46:$D$345,1)+1,1),7)=0),$C$3,0),0)</f>
        <v>390.621428571429</v>
      </c>
      <c r="T872" s="131" cm="1">
        <f ca="1" t="array" ref="T872">IF(T1474=1,OFFSET($W$634,$B872,T$631-1)/SUMPRODUCT(--($D$631:$V$631=T$631),--($D1474:$V1474=1)),0)+SUM(T871)+IF(COUNTIF(T$1237:T1474,1)=1,5,0)+IF(COUNTIF(U872:$W872,"&gt;"&amp;0)&lt;5,IF(AND(COUNTIF(T$1237:T1474,1)&gt;7,MOD(1+IFERROR(MATCH($C872,总览!$D$46:$D$345,1)+1,1),7)=0),$C$3,0),0)</f>
        <v>285.047834198371</v>
      </c>
      <c r="U872" s="131" cm="1">
        <f ca="1" t="array" ref="U872">IF(U1474=1,OFFSET($W$634,$B872,U$631-1)/SUMPRODUCT(--($D$631:$V$631=U$631),--($D1474:$V1474=1)),0)+SUM(U871)+IF(COUNTIF(U$1237:U1474,1)=1,5,0)+IF(COUNTIF(V872:$W872,"&gt;"&amp;0)&lt;5,IF(AND(COUNTIF(U$1237:U1474,1)&gt;7,MOD(1+IFERROR(MATCH($C872,总览!$D$46:$D$345,1)+1,1),7)=0),$C$3,0),0)</f>
        <v>290.56862055367</v>
      </c>
      <c r="V872" s="131" cm="1">
        <f ca="1" t="array" ref="V872">IF(V1474=1,OFFSET($W$634,$B872,V$631-1)/SUMPRODUCT(--($D$631:$V$631=V$631),--($D1474:$V1474=1)),0)+SUM(V871)+IF(COUNTIF(V$1237:V1474,1)=1,5,0)+IF(COUNTIF(W872:$W872,"&gt;"&amp;0)&lt;5,IF(AND(COUNTIF(V$1237:V1474,1)&gt;7,MOD(1+IFERROR(MATCH($C872,总览!$D$46:$D$345,1)+1,1),7)=0),$C$3,0),0)</f>
        <v>310.395620266103</v>
      </c>
      <c r="W872" s="135" cm="1">
        <f ca="1" t="array" ref="W872">SUMPRODUCT(TRANSPOSE($AA872:$AG872),OFFSET($L$9:$L$15,0,W$631-1))</f>
        <v>16.8502200646615</v>
      </c>
      <c r="X872" s="135" cm="1">
        <f ca="1" t="array" ref="X872">SUMPRODUCT(TRANSPOSE($AA872:$AG872),OFFSET($L$9:$L$15,0,X$631-1))</f>
        <v>20</v>
      </c>
      <c r="Y872" s="135" cm="1">
        <f ca="1" t="array" ref="Y872">SUMPRODUCT(TRANSPOSE($AA872:$AG872),OFFSET($L$9:$L$15,0,Y$631-1))</f>
        <v>10</v>
      </c>
      <c r="Z872" s="135" cm="1">
        <f ca="1" t="array" ref="Z872">SUMPRODUCT(TRANSPOSE($AA872:$AG872),OFFSET($L$9:$L$15,0,Z$631-1))</f>
        <v>3.14977993533847</v>
      </c>
      <c r="AA872" s="136">
        <f ca="1" t="shared" ref="AA872:AG872" si="721">AH872-AH871</f>
        <v>0</v>
      </c>
      <c r="AB872" s="136">
        <f ca="1" t="shared" si="721"/>
        <v>0</v>
      </c>
      <c r="AC872" s="136">
        <f ca="1" t="shared" si="721"/>
        <v>0</v>
      </c>
      <c r="AD872" s="136">
        <f ca="1" t="shared" si="721"/>
        <v>0</v>
      </c>
      <c r="AE872" s="136">
        <f ca="1" t="shared" si="721"/>
        <v>0</v>
      </c>
      <c r="AF872" s="136">
        <f ca="1" t="shared" si="721"/>
        <v>0</v>
      </c>
      <c r="AG872" s="136">
        <f ca="1" t="shared" si="721"/>
        <v>100</v>
      </c>
      <c r="AH872" s="136">
        <f ca="1" t="shared" si="631"/>
        <v>450</v>
      </c>
      <c r="AI872" s="136">
        <f ca="1" t="shared" ref="AI872:AN872" si="722">IF($C872&gt;OFFSET($Q$8,MATCH(AI$634,$AH$634:$AN$634,0),0),OFFSET($P$8,MATCH(AI$634,$AH$634:$AN$634,0),0),MAX(0,$C872-OFFSET($Q$8,RIGHT(AI$634,1)-1,0)))</f>
        <v>909</v>
      </c>
      <c r="AJ872" s="136">
        <f ca="1" t="shared" si="722"/>
        <v>1818</v>
      </c>
      <c r="AK872" s="136">
        <f ca="1" t="shared" si="722"/>
        <v>2727</v>
      </c>
      <c r="AL872" s="136">
        <f ca="1" t="shared" si="722"/>
        <v>3636</v>
      </c>
      <c r="AM872" s="136">
        <f ca="1" t="shared" si="722"/>
        <v>4545</v>
      </c>
      <c r="AN872" s="136">
        <f ca="1" t="shared" si="722"/>
        <v>9715</v>
      </c>
    </row>
    <row r="873" s="106" customFormat="1" ht="16.5" spans="2:40">
      <c r="B873" s="117">
        <v>239</v>
      </c>
      <c r="C873" s="130">
        <f t="shared" si="629"/>
        <v>23900</v>
      </c>
      <c r="D873" s="131" cm="1">
        <f ca="1" t="array" ref="D873">IF(D1475=1,OFFSET($W$634,$B873,D$631-1)/SUMPRODUCT(--($D$631:$V$631=D$631),--($D1475:$V1475=1)),0)+SUM(D872)+IF(COUNTIF(D$1237:D1475,1)=1,5,0)+IF(COUNTIF(E873:$W873,"&gt;"&amp;0)&lt;5,IF(AND(COUNTIF(D$1237:D1475,1)&gt;7,MOD(1+IFERROR(MATCH($C873,总览!$D$46:$D$345,1)+1,1),7)=0),$C$3,0),0)</f>
        <v>1670.10438168217</v>
      </c>
      <c r="E873" s="131" cm="1">
        <f ca="1" t="array" ref="E873">IF(E1475=1,OFFSET($W$634,$B873,E$631-1)/SUMPRODUCT(--($D$631:$V$631=E$631),--($D1475:$V1475=1)),0)+SUM(E872)+IF(COUNTIF(E$1237:E1475,1)=1,5,0)+IF(COUNTIF(F873:$W873,"&gt;"&amp;0)&lt;5,IF(AND(COUNTIF(E$1237:E1475,1)&gt;7,MOD(1+IFERROR(MATCH($C873,总览!$D$46:$D$345,1)+1,1),7)=0),$C$3,0),0)</f>
        <v>1670.10438168217</v>
      </c>
      <c r="F873" s="131" cm="1">
        <f ca="1" t="array" ref="F873">IF(F1475=1,OFFSET($W$634,$B873,F$631-1)/SUMPRODUCT(--($D$631:$V$631=F$631),--($D1475:$V1475=1)),0)+SUM(F872)+IF(COUNTIF(F$1237:F1475,1)=1,5,0)+IF(COUNTIF(G873:$W873,"&gt;"&amp;0)&lt;5,IF(AND(COUNTIF(F$1237:F1475,1)&gt;7,MOD(1+IFERROR(MATCH($C873,总览!$D$46:$D$345,1)+1,1),7)=0),$C$3,0),0)</f>
        <v>1670.10438168217</v>
      </c>
      <c r="G873" s="131" cm="1">
        <f ca="1" t="array" ref="G873">IF(G1475=1,OFFSET($W$634,$B873,G$631-1)/SUMPRODUCT(--($D$631:$V$631=G$631),--($D1475:$V1475=1)),0)+SUM(G872)+IF(COUNTIF(G$1237:G1475,1)=1,5,0)+IF(COUNTIF(H873:$W873,"&gt;"&amp;0)&lt;5,IF(AND(COUNTIF(G$1237:G1475,1)&gt;7,MOD(1+IFERROR(MATCH($C873,总览!$D$46:$D$345,1)+1,1),7)=0),$C$3,0),0)</f>
        <v>736.066666666668</v>
      </c>
      <c r="H873" s="131" cm="1">
        <f ca="1" t="array" ref="H873">IF(H1475=1,OFFSET($W$634,$B873,H$631-1)/SUMPRODUCT(--($D$631:$V$631=H$631),--($D1475:$V1475=1)),0)+SUM(H872)+IF(COUNTIF(H$1237:H1475,1)=1,5,0)+IF(COUNTIF(I873:$W873,"&gt;"&amp;0)&lt;5,IF(AND(COUNTIF(H$1237:H1475,1)&gt;7,MOD(1+IFERROR(MATCH($C873,总览!$D$46:$D$345,1)+1,1),7)=0),$C$3,0),0)</f>
        <v>736.066666666668</v>
      </c>
      <c r="I873" s="131" cm="1">
        <f ca="1" t="array" ref="I873">IF(I1475=1,OFFSET($W$634,$B873,I$631-1)/SUMPRODUCT(--($D$631:$V$631=I$631),--($D1475:$V1475=1)),0)+SUM(I872)+IF(COUNTIF(I$1237:I1475,1)=1,5,0)+IF(COUNTIF(J873:$W873,"&gt;"&amp;0)&lt;5,IF(AND(COUNTIF(I$1237:I1475,1)&gt;7,MOD(1+IFERROR(MATCH($C873,总览!$D$46:$D$345,1)+1,1),7)=0),$C$3,0),0)</f>
        <v>736.066666666668</v>
      </c>
      <c r="J873" s="131" cm="1">
        <f ca="1" t="array" ref="J873">IF(J1475=1,OFFSET($W$634,$B873,J$631-1)/SUMPRODUCT(--($D$631:$V$631=J$631),--($D1475:$V1475=1)),0)+SUM(J872)+IF(COUNTIF(J$1237:J1475,1)=1,5,0)+IF(COUNTIF(K873:$W873,"&gt;"&amp;0)&lt;5,IF(AND(COUNTIF(J$1237:J1475,1)&gt;7,MOD(1+IFERROR(MATCH($C873,总览!$D$46:$D$345,1)+1,1),7)=0),$C$3,0),0)</f>
        <v>732.733333333334</v>
      </c>
      <c r="K873" s="131" cm="1">
        <f ca="1" t="array" ref="K873">IF(K1475=1,OFFSET($W$634,$B873,K$631-1)/SUMPRODUCT(--($D$631:$V$631=K$631),--($D1475:$V1475=1)),0)+SUM(K872)+IF(COUNTIF(K$1237:K1475,1)=1,5,0)+IF(COUNTIF(L873:$W873,"&gt;"&amp;0)&lt;5,IF(AND(COUNTIF(K$1237:K1475,1)&gt;7,MOD(1+IFERROR(MATCH($C873,总览!$D$46:$D$345,1)+1,1),7)=0),$C$3,0),0)</f>
        <v>730.233333333334</v>
      </c>
      <c r="L873" s="131" cm="1">
        <f ca="1" t="array" ref="L873">IF(L1475=1,OFFSET($W$634,$B873,L$631-1)/SUMPRODUCT(--($D$631:$V$631=L$631),--($D1475:$V1475=1)),0)+SUM(L872)+IF(COUNTIF(L$1237:L1475,1)=1,5,0)+IF(COUNTIF(M873:$W873,"&gt;"&amp;0)&lt;5,IF(AND(COUNTIF(L$1237:L1475,1)&gt;7,MOD(1+IFERROR(MATCH($C873,总览!$D$46:$D$345,1)+1,1),7)=0),$C$3,0),0)</f>
        <v>730.233333333334</v>
      </c>
      <c r="M873" s="131" cm="1">
        <f ca="1" t="array" ref="M873">IF(M1475=1,OFFSET($W$634,$B873,M$631-1)/SUMPRODUCT(--($D$631:$V$631=M$631),--($D1475:$V1475=1)),0)+SUM(M872)+IF(COUNTIF(M$1237:M1475,1)=1,5,0)+IF(COUNTIF(N873:$W873,"&gt;"&amp;0)&lt;5,IF(AND(COUNTIF(M$1237:M1475,1)&gt;7,MOD(1+IFERROR(MATCH($C873,总览!$D$46:$D$345,1)+1,1),7)=0),$C$3,0),0)</f>
        <v>299.181249999999</v>
      </c>
      <c r="N873" s="131" cm="1">
        <f ca="1" t="array" ref="N873">IF(N1475=1,OFFSET($W$634,$B873,N$631-1)/SUMPRODUCT(--($D$631:$V$631=N$631),--($D1475:$V1475=1)),0)+SUM(N872)+IF(COUNTIF(N$1237:N1475,1)=1,5,0)+IF(COUNTIF(O873:$W873,"&gt;"&amp;0)&lt;5,IF(AND(COUNTIF(N$1237:N1475,1)&gt;7,MOD(1+IFERROR(MATCH($C873,总览!$D$46:$D$345,1)+1,1),7)=0),$C$3,0),0)</f>
        <v>300.431249999999</v>
      </c>
      <c r="O873" s="131" cm="1">
        <f ca="1" t="array" ref="O873">IF(O1475=1,OFFSET($W$634,$B873,O$631-1)/SUMPRODUCT(--($D$631:$V$631=O$631),--($D1475:$V1475=1)),0)+SUM(O872)+IF(COUNTIF(O$1237:O1475,1)=1,5,0)+IF(COUNTIF(P873:$W873,"&gt;"&amp;0)&lt;5,IF(AND(COUNTIF(O$1237:O1475,1)&gt;7,MOD(1+IFERROR(MATCH($C873,总览!$D$46:$D$345,1)+1,1),7)=0),$C$3,0),0)</f>
        <v>305.431249999999</v>
      </c>
      <c r="P873" s="131" cm="1">
        <f ca="1" t="array" ref="P873">IF(P1475=1,OFFSET($W$634,$B873,P$631-1)/SUMPRODUCT(--($D$631:$V$631=P$631),--($D1475:$V1475=1)),0)+SUM(P872)+IF(COUNTIF(P$1237:P1475,1)=1,5,0)+IF(COUNTIF(Q873:$W873,"&gt;"&amp;0)&lt;5,IF(AND(COUNTIF(P$1237:P1475,1)&gt;7,MOD(1+IFERROR(MATCH($C873,总览!$D$46:$D$345,1)+1,1),7)=0),$C$3,0),0)</f>
        <v>294.549999999999</v>
      </c>
      <c r="Q873" s="131" cm="1">
        <f ca="1" t="array" ref="Q873">IF(Q1475=1,OFFSET($W$634,$B873,Q$631-1)/SUMPRODUCT(--($D$631:$V$631=Q$631),--($D1475:$V1475=1)),0)+SUM(Q872)+IF(COUNTIF(Q$1237:Q1475,1)=1,5,0)+IF(COUNTIF(R873:$W873,"&gt;"&amp;0)&lt;5,IF(AND(COUNTIF(Q$1237:Q1475,1)&gt;7,MOD(1+IFERROR(MATCH($C873,总览!$D$46:$D$345,1)+1,1),7)=0),$C$3,0),0)</f>
        <v>307.931249999999</v>
      </c>
      <c r="R873" s="131" cm="1">
        <f ca="1" t="array" ref="R873">IF(R1475=1,OFFSET($W$634,$B873,R$631-1)/SUMPRODUCT(--($D$631:$V$631=R$631),--($D1475:$V1475=1)),0)+SUM(R872)+IF(COUNTIF(R$1237:R1475,1)=1,5,0)+IF(COUNTIF(S873:$W873,"&gt;"&amp;0)&lt;5,IF(AND(COUNTIF(R$1237:R1475,1)&gt;7,MOD(1+IFERROR(MATCH($C873,总览!$D$46:$D$345,1)+1,1),7)=0),$C$3,0),0)</f>
        <v>299.549999999999</v>
      </c>
      <c r="S873" s="131" cm="1">
        <f ca="1" t="array" ref="S873">IF(S1475=1,OFFSET($W$634,$B873,S$631-1)/SUMPRODUCT(--($D$631:$V$631=S$631),--($D1475:$V1475=1)),0)+SUM(S872)+IF(COUNTIF(S$1237:S1475,1)=1,5,0)+IF(COUNTIF(T873:$W873,"&gt;"&amp;0)&lt;5,IF(AND(COUNTIF(S$1237:S1475,1)&gt;7,MOD(1+IFERROR(MATCH($C873,总览!$D$46:$D$345,1)+1,1),7)=0),$C$3,0),0)</f>
        <v>392.05</v>
      </c>
      <c r="T873" s="131" cm="1">
        <f ca="1" t="array" ref="T873">IF(T1475=1,OFFSET($W$634,$B873,T$631-1)/SUMPRODUCT(--($D$631:$V$631=T$631),--($D1475:$V1475=1)),0)+SUM(T872)+IF(COUNTIF(T$1237:T1475,1)=1,5,0)+IF(COUNTIF(U873:$W873,"&gt;"&amp;0)&lt;5,IF(AND(COUNTIF(T$1237:T1475,1)&gt;7,MOD(1+IFERROR(MATCH($C873,总览!$D$46:$D$345,1)+1,1),7)=0),$C$3,0),0)</f>
        <v>286.097760843483</v>
      </c>
      <c r="U873" s="131" cm="1">
        <f ca="1" t="array" ref="U873">IF(U1475=1,OFFSET($W$634,$B873,U$631-1)/SUMPRODUCT(--($D$631:$V$631=U$631),--($D1475:$V1475=1)),0)+SUM(U872)+IF(COUNTIF(U$1237:U1475,1)=1,5,0)+IF(COUNTIF(V873:$W873,"&gt;"&amp;0)&lt;5,IF(AND(COUNTIF(U$1237:U1475,1)&gt;7,MOD(1+IFERROR(MATCH($C873,总览!$D$46:$D$345,1)+1,1),7)=0),$C$3,0),0)</f>
        <v>291.618547198783</v>
      </c>
      <c r="V873" s="131" cm="1">
        <f ca="1" t="array" ref="V873">IF(V1475=1,OFFSET($W$634,$B873,V$631-1)/SUMPRODUCT(--($D$631:$V$631=V$631),--($D1475:$V1475=1)),0)+SUM(V872)+IF(COUNTIF(V$1237:V1475,1)=1,5,0)+IF(COUNTIF(W873:$W873,"&gt;"&amp;0)&lt;5,IF(AND(COUNTIF(V$1237:V1475,1)&gt;7,MOD(1+IFERROR(MATCH($C873,总览!$D$46:$D$345,1)+1,1),7)=0),$C$3,0),0)</f>
        <v>311.445546911216</v>
      </c>
      <c r="W873" s="135" cm="1">
        <f ca="1" t="array" ref="W873">SUMPRODUCT(TRANSPOSE($AA873:$AG873),OFFSET($L$9:$L$15,0,W$631-1))</f>
        <v>16.8502200646615</v>
      </c>
      <c r="X873" s="135" cm="1">
        <f ca="1" t="array" ref="X873">SUMPRODUCT(TRANSPOSE($AA873:$AG873),OFFSET($L$9:$L$15,0,X$631-1))</f>
        <v>20</v>
      </c>
      <c r="Y873" s="135" cm="1">
        <f ca="1" t="array" ref="Y873">SUMPRODUCT(TRANSPOSE($AA873:$AG873),OFFSET($L$9:$L$15,0,Y$631-1))</f>
        <v>10</v>
      </c>
      <c r="Z873" s="135" cm="1">
        <f ca="1" t="array" ref="Z873">SUMPRODUCT(TRANSPOSE($AA873:$AG873),OFFSET($L$9:$L$15,0,Z$631-1))</f>
        <v>3.14977993533847</v>
      </c>
      <c r="AA873" s="136">
        <f ca="1" t="shared" ref="AA873:AG873" si="723">AH873-AH872</f>
        <v>0</v>
      </c>
      <c r="AB873" s="136">
        <f ca="1" t="shared" si="723"/>
        <v>0</v>
      </c>
      <c r="AC873" s="136">
        <f ca="1" t="shared" si="723"/>
        <v>0</v>
      </c>
      <c r="AD873" s="136">
        <f ca="1" t="shared" si="723"/>
        <v>0</v>
      </c>
      <c r="AE873" s="136">
        <f ca="1" t="shared" si="723"/>
        <v>0</v>
      </c>
      <c r="AF873" s="136">
        <f ca="1" t="shared" si="723"/>
        <v>0</v>
      </c>
      <c r="AG873" s="136">
        <f ca="1" t="shared" si="723"/>
        <v>100</v>
      </c>
      <c r="AH873" s="136">
        <f ca="1" t="shared" si="631"/>
        <v>450</v>
      </c>
      <c r="AI873" s="136">
        <f ca="1" t="shared" ref="AI873:AN873" si="724">IF($C873&gt;OFFSET($Q$8,MATCH(AI$634,$AH$634:$AN$634,0),0),OFFSET($P$8,MATCH(AI$634,$AH$634:$AN$634,0),0),MAX(0,$C873-OFFSET($Q$8,RIGHT(AI$634,1)-1,0)))</f>
        <v>909</v>
      </c>
      <c r="AJ873" s="136">
        <f ca="1" t="shared" si="724"/>
        <v>1818</v>
      </c>
      <c r="AK873" s="136">
        <f ca="1" t="shared" si="724"/>
        <v>2727</v>
      </c>
      <c r="AL873" s="136">
        <f ca="1" t="shared" si="724"/>
        <v>3636</v>
      </c>
      <c r="AM873" s="136">
        <f ca="1" t="shared" si="724"/>
        <v>4545</v>
      </c>
      <c r="AN873" s="136">
        <f ca="1" t="shared" si="724"/>
        <v>9815</v>
      </c>
    </row>
    <row r="874" s="106" customFormat="1" ht="16.5" spans="2:40">
      <c r="B874" s="117">
        <v>240</v>
      </c>
      <c r="C874" s="130">
        <f t="shared" si="629"/>
        <v>24000</v>
      </c>
      <c r="D874" s="131" cm="1">
        <f ca="1" t="array" ref="D874">IF(D1476=1,OFFSET($W$634,$B874,D$631-1)/SUMPRODUCT(--($D$631:$V$631=D$631),--($D1476:$V1476=1)),0)+SUM(D873)+IF(COUNTIF(D$1237:D1476,1)=1,5,0)+IF(COUNTIF(E874:$W874,"&gt;"&amp;0)&lt;5,IF(AND(COUNTIF(D$1237:D1476,1)&gt;7,MOD(1+IFERROR(MATCH($C874,总览!$D$46:$D$345,1)+1,1),7)=0),$C$3,0),0)</f>
        <v>1675.72112170372</v>
      </c>
      <c r="E874" s="131" cm="1">
        <f ca="1" t="array" ref="E874">IF(E1476=1,OFFSET($W$634,$B874,E$631-1)/SUMPRODUCT(--($D$631:$V$631=E$631),--($D1476:$V1476=1)),0)+SUM(E873)+IF(COUNTIF(E$1237:E1476,1)=1,5,0)+IF(COUNTIF(F874:$W874,"&gt;"&amp;0)&lt;5,IF(AND(COUNTIF(E$1237:E1476,1)&gt;7,MOD(1+IFERROR(MATCH($C874,总览!$D$46:$D$345,1)+1,1),7)=0),$C$3,0),0)</f>
        <v>1675.72112170372</v>
      </c>
      <c r="F874" s="131" cm="1">
        <f ca="1" t="array" ref="F874">IF(F1476=1,OFFSET($W$634,$B874,F$631-1)/SUMPRODUCT(--($D$631:$V$631=F$631),--($D1476:$V1476=1)),0)+SUM(F873)+IF(COUNTIF(F$1237:F1476,1)=1,5,0)+IF(COUNTIF(G874:$W874,"&gt;"&amp;0)&lt;5,IF(AND(COUNTIF(F$1237:F1476,1)&gt;7,MOD(1+IFERROR(MATCH($C874,总览!$D$46:$D$345,1)+1,1),7)=0),$C$3,0),0)</f>
        <v>1675.72112170372</v>
      </c>
      <c r="G874" s="131" cm="1">
        <f ca="1" t="array" ref="G874">IF(G1476=1,OFFSET($W$634,$B874,G$631-1)/SUMPRODUCT(--($D$631:$V$631=G$631),--($D1476:$V1476=1)),0)+SUM(G873)+IF(COUNTIF(G$1237:G1476,1)=1,5,0)+IF(COUNTIF(H874:$W874,"&gt;"&amp;0)&lt;5,IF(AND(COUNTIF(G$1237:G1476,1)&gt;7,MOD(1+IFERROR(MATCH($C874,总览!$D$46:$D$345,1)+1,1),7)=0),$C$3,0),0)</f>
        <v>739.400000000001</v>
      </c>
      <c r="H874" s="131" cm="1">
        <f ca="1" t="array" ref="H874">IF(H1476=1,OFFSET($W$634,$B874,H$631-1)/SUMPRODUCT(--($D$631:$V$631=H$631),--($D1476:$V1476=1)),0)+SUM(H873)+IF(COUNTIF(H$1237:H1476,1)=1,5,0)+IF(COUNTIF(I874:$W874,"&gt;"&amp;0)&lt;5,IF(AND(COUNTIF(H$1237:H1476,1)&gt;7,MOD(1+IFERROR(MATCH($C874,总览!$D$46:$D$345,1)+1,1),7)=0),$C$3,0),0)</f>
        <v>739.400000000001</v>
      </c>
      <c r="I874" s="131" cm="1">
        <f ca="1" t="array" ref="I874">IF(I1476=1,OFFSET($W$634,$B874,I$631-1)/SUMPRODUCT(--($D$631:$V$631=I$631),--($D1476:$V1476=1)),0)+SUM(I873)+IF(COUNTIF(I$1237:I1476,1)=1,5,0)+IF(COUNTIF(J874:$W874,"&gt;"&amp;0)&lt;5,IF(AND(COUNTIF(I$1237:I1476,1)&gt;7,MOD(1+IFERROR(MATCH($C874,总览!$D$46:$D$345,1)+1,1),7)=0),$C$3,0),0)</f>
        <v>739.400000000001</v>
      </c>
      <c r="J874" s="131" cm="1">
        <f ca="1" t="array" ref="J874">IF(J1476=1,OFFSET($W$634,$B874,J$631-1)/SUMPRODUCT(--($D$631:$V$631=J$631),--($D1476:$V1476=1)),0)+SUM(J873)+IF(COUNTIF(J$1237:J1476,1)=1,5,0)+IF(COUNTIF(K874:$W874,"&gt;"&amp;0)&lt;5,IF(AND(COUNTIF(J$1237:J1476,1)&gt;7,MOD(1+IFERROR(MATCH($C874,总览!$D$46:$D$345,1)+1,1),7)=0),$C$3,0),0)</f>
        <v>736.066666666668</v>
      </c>
      <c r="K874" s="131" cm="1">
        <f ca="1" t="array" ref="K874">IF(K1476=1,OFFSET($W$634,$B874,K$631-1)/SUMPRODUCT(--($D$631:$V$631=K$631),--($D1476:$V1476=1)),0)+SUM(K873)+IF(COUNTIF(K$1237:K1476,1)=1,5,0)+IF(COUNTIF(L874:$W874,"&gt;"&amp;0)&lt;5,IF(AND(COUNTIF(K$1237:K1476,1)&gt;7,MOD(1+IFERROR(MATCH($C874,总览!$D$46:$D$345,1)+1,1),7)=0),$C$3,0),0)</f>
        <v>733.566666666668</v>
      </c>
      <c r="L874" s="131" cm="1">
        <f ca="1" t="array" ref="L874">IF(L1476=1,OFFSET($W$634,$B874,L$631-1)/SUMPRODUCT(--($D$631:$V$631=L$631),--($D1476:$V1476=1)),0)+SUM(L873)+IF(COUNTIF(L$1237:L1476,1)=1,5,0)+IF(COUNTIF(M874:$W874,"&gt;"&amp;0)&lt;5,IF(AND(COUNTIF(L$1237:L1476,1)&gt;7,MOD(1+IFERROR(MATCH($C874,总览!$D$46:$D$345,1)+1,1),7)=0),$C$3,0),0)</f>
        <v>733.566666666668</v>
      </c>
      <c r="M874" s="131" cm="1">
        <f ca="1" t="array" ref="M874">IF(M1476=1,OFFSET($W$634,$B874,M$631-1)/SUMPRODUCT(--($D$631:$V$631=M$631),--($D1476:$V1476=1)),0)+SUM(M873)+IF(COUNTIF(M$1237:M1476,1)=1,5,0)+IF(COUNTIF(N874:$W874,"&gt;"&amp;0)&lt;5,IF(AND(COUNTIF(M$1237:M1476,1)&gt;7,MOD(1+IFERROR(MATCH($C874,总览!$D$46:$D$345,1)+1,1),7)=0),$C$3,0),0)</f>
        <v>300.609821428571</v>
      </c>
      <c r="N874" s="131" cm="1">
        <f ca="1" t="array" ref="N874">IF(N1476=1,OFFSET($W$634,$B874,N$631-1)/SUMPRODUCT(--($D$631:$V$631=N$631),--($D1476:$V1476=1)),0)+SUM(N873)+IF(COUNTIF(N$1237:N1476,1)=1,5,0)+IF(COUNTIF(O874:$W874,"&gt;"&amp;0)&lt;5,IF(AND(COUNTIF(N$1237:N1476,1)&gt;7,MOD(1+IFERROR(MATCH($C874,总览!$D$46:$D$345,1)+1,1),7)=0),$C$3,0),0)</f>
        <v>301.859821428571</v>
      </c>
      <c r="O874" s="131" cm="1">
        <f ca="1" t="array" ref="O874">IF(O1476=1,OFFSET($W$634,$B874,O$631-1)/SUMPRODUCT(--($D$631:$V$631=O$631),--($D1476:$V1476=1)),0)+SUM(O873)+IF(COUNTIF(O$1237:O1476,1)=1,5,0)+IF(COUNTIF(P874:$W874,"&gt;"&amp;0)&lt;5,IF(AND(COUNTIF(O$1237:O1476,1)&gt;7,MOD(1+IFERROR(MATCH($C874,总览!$D$46:$D$345,1)+1,1),7)=0),$C$3,0),0)</f>
        <v>306.859821428571</v>
      </c>
      <c r="P874" s="131" cm="1">
        <f ca="1" t="array" ref="P874">IF(P1476=1,OFFSET($W$634,$B874,P$631-1)/SUMPRODUCT(--($D$631:$V$631=P$631),--($D1476:$V1476=1)),0)+SUM(P873)+IF(COUNTIF(P$1237:P1476,1)=1,5,0)+IF(COUNTIF(Q874:$W874,"&gt;"&amp;0)&lt;5,IF(AND(COUNTIF(P$1237:P1476,1)&gt;7,MOD(1+IFERROR(MATCH($C874,总览!$D$46:$D$345,1)+1,1),7)=0),$C$3,0),0)</f>
        <v>295.978571428571</v>
      </c>
      <c r="Q874" s="131" cm="1">
        <f ca="1" t="array" ref="Q874">IF(Q1476=1,OFFSET($W$634,$B874,Q$631-1)/SUMPRODUCT(--($D$631:$V$631=Q$631),--($D1476:$V1476=1)),0)+SUM(Q873)+IF(COUNTIF(Q$1237:Q1476,1)=1,5,0)+IF(COUNTIF(R874:$W874,"&gt;"&amp;0)&lt;5,IF(AND(COUNTIF(Q$1237:Q1476,1)&gt;7,MOD(1+IFERROR(MATCH($C874,总览!$D$46:$D$345,1)+1,1),7)=0),$C$3,0),0)</f>
        <v>309.359821428571</v>
      </c>
      <c r="R874" s="131" cm="1">
        <f ca="1" t="array" ref="R874">IF(R1476=1,OFFSET($W$634,$B874,R$631-1)/SUMPRODUCT(--($D$631:$V$631=R$631),--($D1476:$V1476=1)),0)+SUM(R873)+IF(COUNTIF(R$1237:R1476,1)=1,5,0)+IF(COUNTIF(S874:$W874,"&gt;"&amp;0)&lt;5,IF(AND(COUNTIF(R$1237:R1476,1)&gt;7,MOD(1+IFERROR(MATCH($C874,总览!$D$46:$D$345,1)+1,1),7)=0),$C$3,0),0)</f>
        <v>300.978571428571</v>
      </c>
      <c r="S874" s="131" cm="1">
        <f ca="1" t="array" ref="S874">IF(S1476=1,OFFSET($W$634,$B874,S$631-1)/SUMPRODUCT(--($D$631:$V$631=S$631),--($D1476:$V1476=1)),0)+SUM(S873)+IF(COUNTIF(S$1237:S1476,1)=1,5,0)+IF(COUNTIF(T874:$W874,"&gt;"&amp;0)&lt;5,IF(AND(COUNTIF(S$1237:S1476,1)&gt;7,MOD(1+IFERROR(MATCH($C874,总览!$D$46:$D$345,1)+1,1),7)=0),$C$3,0),0)</f>
        <v>393.478571428572</v>
      </c>
      <c r="T874" s="131" cm="1">
        <f ca="1" t="array" ref="T874">IF(T1476=1,OFFSET($W$634,$B874,T$631-1)/SUMPRODUCT(--($D$631:$V$631=T$631),--($D1476:$V1476=1)),0)+SUM(T873)+IF(COUNTIF(T$1237:T1476,1)=1,5,0)+IF(COUNTIF(U874:$W874,"&gt;"&amp;0)&lt;5,IF(AND(COUNTIF(T$1237:T1476,1)&gt;7,MOD(1+IFERROR(MATCH($C874,总览!$D$46:$D$345,1)+1,1),7)=0),$C$3,0),0)</f>
        <v>287.147687488596</v>
      </c>
      <c r="U874" s="131" cm="1">
        <f ca="1" t="array" ref="U874">IF(U1476=1,OFFSET($W$634,$B874,U$631-1)/SUMPRODUCT(--($D$631:$V$631=U$631),--($D1476:$V1476=1)),0)+SUM(U873)+IF(COUNTIF(U$1237:U1476,1)=1,5,0)+IF(COUNTIF(V874:$W874,"&gt;"&amp;0)&lt;5,IF(AND(COUNTIF(U$1237:U1476,1)&gt;7,MOD(1+IFERROR(MATCH($C874,总览!$D$46:$D$345,1)+1,1),7)=0),$C$3,0),0)</f>
        <v>292.668473843896</v>
      </c>
      <c r="V874" s="131" cm="1">
        <f ca="1" t="array" ref="V874">IF(V1476=1,OFFSET($W$634,$B874,V$631-1)/SUMPRODUCT(--($D$631:$V$631=V$631),--($D1476:$V1476=1)),0)+SUM(V873)+IF(COUNTIF(V$1237:V1476,1)=1,5,0)+IF(COUNTIF(W874:$W874,"&gt;"&amp;0)&lt;5,IF(AND(COUNTIF(V$1237:V1476,1)&gt;7,MOD(1+IFERROR(MATCH($C874,总览!$D$46:$D$345,1)+1,1),7)=0),$C$3,0),0)</f>
        <v>312.495473556329</v>
      </c>
      <c r="W874" s="135" cm="1">
        <f ca="1" t="array" ref="W874">SUMPRODUCT(TRANSPOSE($AA874:$AG874),OFFSET($L$9:$L$15,0,W$631-1))</f>
        <v>16.8502200646615</v>
      </c>
      <c r="X874" s="135" cm="1">
        <f ca="1" t="array" ref="X874">SUMPRODUCT(TRANSPOSE($AA874:$AG874),OFFSET($L$9:$L$15,0,X$631-1))</f>
        <v>20</v>
      </c>
      <c r="Y874" s="135" cm="1">
        <f ca="1" t="array" ref="Y874">SUMPRODUCT(TRANSPOSE($AA874:$AG874),OFFSET($L$9:$L$15,0,Y$631-1))</f>
        <v>10</v>
      </c>
      <c r="Z874" s="135" cm="1">
        <f ca="1" t="array" ref="Z874">SUMPRODUCT(TRANSPOSE($AA874:$AG874),OFFSET($L$9:$L$15,0,Z$631-1))</f>
        <v>3.14977993533847</v>
      </c>
      <c r="AA874" s="136">
        <f ca="1" t="shared" ref="AA874:AG874" si="725">AH874-AH873</f>
        <v>0</v>
      </c>
      <c r="AB874" s="136">
        <f ca="1" t="shared" si="725"/>
        <v>0</v>
      </c>
      <c r="AC874" s="136">
        <f ca="1" t="shared" si="725"/>
        <v>0</v>
      </c>
      <c r="AD874" s="136">
        <f ca="1" t="shared" si="725"/>
        <v>0</v>
      </c>
      <c r="AE874" s="136">
        <f ca="1" t="shared" si="725"/>
        <v>0</v>
      </c>
      <c r="AF874" s="136">
        <f ca="1" t="shared" si="725"/>
        <v>0</v>
      </c>
      <c r="AG874" s="136">
        <f ca="1" t="shared" si="725"/>
        <v>100</v>
      </c>
      <c r="AH874" s="136">
        <f ca="1" t="shared" si="631"/>
        <v>450</v>
      </c>
      <c r="AI874" s="136">
        <f ca="1" t="shared" ref="AI874:AN874" si="726">IF($C874&gt;OFFSET($Q$8,MATCH(AI$634,$AH$634:$AN$634,0),0),OFFSET($P$8,MATCH(AI$634,$AH$634:$AN$634,0),0),MAX(0,$C874-OFFSET($Q$8,RIGHT(AI$634,1)-1,0)))</f>
        <v>909</v>
      </c>
      <c r="AJ874" s="136">
        <f ca="1" t="shared" si="726"/>
        <v>1818</v>
      </c>
      <c r="AK874" s="136">
        <f ca="1" t="shared" si="726"/>
        <v>2727</v>
      </c>
      <c r="AL874" s="136">
        <f ca="1" t="shared" si="726"/>
        <v>3636</v>
      </c>
      <c r="AM874" s="136">
        <f ca="1" t="shared" si="726"/>
        <v>4545</v>
      </c>
      <c r="AN874" s="136">
        <f ca="1" t="shared" si="726"/>
        <v>9915</v>
      </c>
    </row>
    <row r="875" s="106" customFormat="1" ht="16.5" spans="2:40">
      <c r="B875" s="117">
        <v>241</v>
      </c>
      <c r="C875" s="130">
        <f t="shared" si="629"/>
        <v>24100</v>
      </c>
      <c r="D875" s="131" cm="1">
        <f ca="1" t="array" ref="D875">IF(D1477=1,OFFSET($W$634,$B875,D$631-1)/SUMPRODUCT(--($D$631:$V$631=D$631),--($D1477:$V1477=1)),0)+SUM(D874)+IF(COUNTIF(D$1237:D1477,1)=1,5,0)+IF(COUNTIF(E875:$W875,"&gt;"&amp;0)&lt;5,IF(AND(COUNTIF(D$1237:D1477,1)&gt;7,MOD(1+IFERROR(MATCH($C875,总览!$D$46:$D$345,1)+1,1),7)=0),$C$3,0),0)</f>
        <v>1681.33786172528</v>
      </c>
      <c r="E875" s="131" cm="1">
        <f ca="1" t="array" ref="E875">IF(E1477=1,OFFSET($W$634,$B875,E$631-1)/SUMPRODUCT(--($D$631:$V$631=E$631),--($D1477:$V1477=1)),0)+SUM(E874)+IF(COUNTIF(E$1237:E1477,1)=1,5,0)+IF(COUNTIF(F875:$W875,"&gt;"&amp;0)&lt;5,IF(AND(COUNTIF(E$1237:E1477,1)&gt;7,MOD(1+IFERROR(MATCH($C875,总览!$D$46:$D$345,1)+1,1),7)=0),$C$3,0),0)</f>
        <v>1681.33786172528</v>
      </c>
      <c r="F875" s="131" cm="1">
        <f ca="1" t="array" ref="F875">IF(F1477=1,OFFSET($W$634,$B875,F$631-1)/SUMPRODUCT(--($D$631:$V$631=F$631),--($D1477:$V1477=1)),0)+SUM(F874)+IF(COUNTIF(F$1237:F1477,1)=1,5,0)+IF(COUNTIF(G875:$W875,"&gt;"&amp;0)&lt;5,IF(AND(COUNTIF(F$1237:F1477,1)&gt;7,MOD(1+IFERROR(MATCH($C875,总览!$D$46:$D$345,1)+1,1),7)=0),$C$3,0),0)</f>
        <v>1681.33786172528</v>
      </c>
      <c r="G875" s="131" cm="1">
        <f ca="1" t="array" ref="G875">IF(G1477=1,OFFSET($W$634,$B875,G$631-1)/SUMPRODUCT(--($D$631:$V$631=G$631),--($D1477:$V1477=1)),0)+SUM(G874)+IF(COUNTIF(G$1237:G1477,1)=1,5,0)+IF(COUNTIF(H875:$W875,"&gt;"&amp;0)&lt;5,IF(AND(COUNTIF(G$1237:G1477,1)&gt;7,MOD(1+IFERROR(MATCH($C875,总览!$D$46:$D$345,1)+1,1),7)=0),$C$3,0),0)</f>
        <v>742.733333333335</v>
      </c>
      <c r="H875" s="131" cm="1">
        <f ca="1" t="array" ref="H875">IF(H1477=1,OFFSET($W$634,$B875,H$631-1)/SUMPRODUCT(--($D$631:$V$631=H$631),--($D1477:$V1477=1)),0)+SUM(H874)+IF(COUNTIF(H$1237:H1477,1)=1,5,0)+IF(COUNTIF(I875:$W875,"&gt;"&amp;0)&lt;5,IF(AND(COUNTIF(H$1237:H1477,1)&gt;7,MOD(1+IFERROR(MATCH($C875,总览!$D$46:$D$345,1)+1,1),7)=0),$C$3,0),0)</f>
        <v>742.733333333335</v>
      </c>
      <c r="I875" s="131" cm="1">
        <f ca="1" t="array" ref="I875">IF(I1477=1,OFFSET($W$634,$B875,I$631-1)/SUMPRODUCT(--($D$631:$V$631=I$631),--($D1477:$V1477=1)),0)+SUM(I874)+IF(COUNTIF(I$1237:I1477,1)=1,5,0)+IF(COUNTIF(J875:$W875,"&gt;"&amp;0)&lt;5,IF(AND(COUNTIF(I$1237:I1477,1)&gt;7,MOD(1+IFERROR(MATCH($C875,总览!$D$46:$D$345,1)+1,1),7)=0),$C$3,0),0)</f>
        <v>742.733333333335</v>
      </c>
      <c r="J875" s="131" cm="1">
        <f ca="1" t="array" ref="J875">IF(J1477=1,OFFSET($W$634,$B875,J$631-1)/SUMPRODUCT(--($D$631:$V$631=J$631),--($D1477:$V1477=1)),0)+SUM(J874)+IF(COUNTIF(J$1237:J1477,1)=1,5,0)+IF(COUNTIF(K875:$W875,"&gt;"&amp;0)&lt;5,IF(AND(COUNTIF(J$1237:J1477,1)&gt;7,MOD(1+IFERROR(MATCH($C875,总览!$D$46:$D$345,1)+1,1),7)=0),$C$3,0),0)</f>
        <v>739.400000000001</v>
      </c>
      <c r="K875" s="131" cm="1">
        <f ca="1" t="array" ref="K875">IF(K1477=1,OFFSET($W$634,$B875,K$631-1)/SUMPRODUCT(--($D$631:$V$631=K$631),--($D1477:$V1477=1)),0)+SUM(K874)+IF(COUNTIF(K$1237:K1477,1)=1,5,0)+IF(COUNTIF(L875:$W875,"&gt;"&amp;0)&lt;5,IF(AND(COUNTIF(K$1237:K1477,1)&gt;7,MOD(1+IFERROR(MATCH($C875,总览!$D$46:$D$345,1)+1,1),7)=0),$C$3,0),0)</f>
        <v>736.900000000001</v>
      </c>
      <c r="L875" s="131" cm="1">
        <f ca="1" t="array" ref="L875">IF(L1477=1,OFFSET($W$634,$B875,L$631-1)/SUMPRODUCT(--($D$631:$V$631=L$631),--($D1477:$V1477=1)),0)+SUM(L874)+IF(COUNTIF(L$1237:L1477,1)=1,5,0)+IF(COUNTIF(M875:$W875,"&gt;"&amp;0)&lt;5,IF(AND(COUNTIF(L$1237:L1477,1)&gt;7,MOD(1+IFERROR(MATCH($C875,总览!$D$46:$D$345,1)+1,1),7)=0),$C$3,0),0)</f>
        <v>736.900000000001</v>
      </c>
      <c r="M875" s="131" cm="1">
        <f ca="1" t="array" ref="M875">IF(M1477=1,OFFSET($W$634,$B875,M$631-1)/SUMPRODUCT(--($D$631:$V$631=M$631),--($D1477:$V1477=1)),0)+SUM(M874)+IF(COUNTIF(M$1237:M1477,1)=1,5,0)+IF(COUNTIF(N875:$W875,"&gt;"&amp;0)&lt;5,IF(AND(COUNTIF(M$1237:M1477,1)&gt;7,MOD(1+IFERROR(MATCH($C875,总览!$D$46:$D$345,1)+1,1),7)=0),$C$3,0),0)</f>
        <v>302.038392857142</v>
      </c>
      <c r="N875" s="131" cm="1">
        <f ca="1" t="array" ref="N875">IF(N1477=1,OFFSET($W$634,$B875,N$631-1)/SUMPRODUCT(--($D$631:$V$631=N$631),--($D1477:$V1477=1)),0)+SUM(N874)+IF(COUNTIF(N$1237:N1477,1)=1,5,0)+IF(COUNTIF(O875:$W875,"&gt;"&amp;0)&lt;5,IF(AND(COUNTIF(N$1237:N1477,1)&gt;7,MOD(1+IFERROR(MATCH($C875,总览!$D$46:$D$345,1)+1,1),7)=0),$C$3,0),0)</f>
        <v>303.288392857142</v>
      </c>
      <c r="O875" s="131" cm="1">
        <f ca="1" t="array" ref="O875">IF(O1477=1,OFFSET($W$634,$B875,O$631-1)/SUMPRODUCT(--($D$631:$V$631=O$631),--($D1477:$V1477=1)),0)+SUM(O874)+IF(COUNTIF(O$1237:O1477,1)=1,5,0)+IF(COUNTIF(P875:$W875,"&gt;"&amp;0)&lt;5,IF(AND(COUNTIF(O$1237:O1477,1)&gt;7,MOD(1+IFERROR(MATCH($C875,总览!$D$46:$D$345,1)+1,1),7)=0),$C$3,0),0)</f>
        <v>308.288392857142</v>
      </c>
      <c r="P875" s="131" cm="1">
        <f ca="1" t="array" ref="P875">IF(P1477=1,OFFSET($W$634,$B875,P$631-1)/SUMPRODUCT(--($D$631:$V$631=P$631),--($D1477:$V1477=1)),0)+SUM(P874)+IF(COUNTIF(P$1237:P1477,1)=1,5,0)+IF(COUNTIF(Q875:$W875,"&gt;"&amp;0)&lt;5,IF(AND(COUNTIF(P$1237:P1477,1)&gt;7,MOD(1+IFERROR(MATCH($C875,总览!$D$46:$D$345,1)+1,1),7)=0),$C$3,0),0)</f>
        <v>297.407142857142</v>
      </c>
      <c r="Q875" s="131" cm="1">
        <f ca="1" t="array" ref="Q875">IF(Q1477=1,OFFSET($W$634,$B875,Q$631-1)/SUMPRODUCT(--($D$631:$V$631=Q$631),--($D1477:$V1477=1)),0)+SUM(Q874)+IF(COUNTIF(Q$1237:Q1477,1)=1,5,0)+IF(COUNTIF(R875:$W875,"&gt;"&amp;0)&lt;5,IF(AND(COUNTIF(Q$1237:Q1477,1)&gt;7,MOD(1+IFERROR(MATCH($C875,总览!$D$46:$D$345,1)+1,1),7)=0),$C$3,0),0)</f>
        <v>310.788392857142</v>
      </c>
      <c r="R875" s="131" cm="1">
        <f ca="1" t="array" ref="R875">IF(R1477=1,OFFSET($W$634,$B875,R$631-1)/SUMPRODUCT(--($D$631:$V$631=R$631),--($D1477:$V1477=1)),0)+SUM(R874)+IF(COUNTIF(R$1237:R1477,1)=1,5,0)+IF(COUNTIF(S875:$W875,"&gt;"&amp;0)&lt;5,IF(AND(COUNTIF(R$1237:R1477,1)&gt;7,MOD(1+IFERROR(MATCH($C875,总览!$D$46:$D$345,1)+1,1),7)=0),$C$3,0),0)</f>
        <v>302.407142857142</v>
      </c>
      <c r="S875" s="131" cm="1">
        <f ca="1" t="array" ref="S875">IF(S1477=1,OFFSET($W$634,$B875,S$631-1)/SUMPRODUCT(--($D$631:$V$631=S$631),--($D1477:$V1477=1)),0)+SUM(S874)+IF(COUNTIF(S$1237:S1477,1)=1,5,0)+IF(COUNTIF(T875:$W875,"&gt;"&amp;0)&lt;5,IF(AND(COUNTIF(S$1237:S1477,1)&gt;7,MOD(1+IFERROR(MATCH($C875,总览!$D$46:$D$345,1)+1,1),7)=0),$C$3,0),0)</f>
        <v>394.907142857143</v>
      </c>
      <c r="T875" s="131" cm="1">
        <f ca="1" t="array" ref="T875">IF(T1477=1,OFFSET($W$634,$B875,T$631-1)/SUMPRODUCT(--($D$631:$V$631=T$631),--($D1477:$V1477=1)),0)+SUM(T874)+IF(COUNTIF(T$1237:T1477,1)=1,5,0)+IF(COUNTIF(U875:$W875,"&gt;"&amp;0)&lt;5,IF(AND(COUNTIF(T$1237:T1477,1)&gt;7,MOD(1+IFERROR(MATCH($C875,总览!$D$46:$D$345,1)+1,1),7)=0),$C$3,0),0)</f>
        <v>288.197614133709</v>
      </c>
      <c r="U875" s="131" cm="1">
        <f ca="1" t="array" ref="U875">IF(U1477=1,OFFSET($W$634,$B875,U$631-1)/SUMPRODUCT(--($D$631:$V$631=U$631),--($D1477:$V1477=1)),0)+SUM(U874)+IF(COUNTIF(U$1237:U1477,1)=1,5,0)+IF(COUNTIF(V875:$W875,"&gt;"&amp;0)&lt;5,IF(AND(COUNTIF(U$1237:U1477,1)&gt;7,MOD(1+IFERROR(MATCH($C875,总览!$D$46:$D$345,1)+1,1),7)=0),$C$3,0),0)</f>
        <v>293.718400489008</v>
      </c>
      <c r="V875" s="131" cm="1">
        <f ca="1" t="array" ref="V875">IF(V1477=1,OFFSET($W$634,$B875,V$631-1)/SUMPRODUCT(--($D$631:$V$631=V$631),--($D1477:$V1477=1)),0)+SUM(V874)+IF(COUNTIF(V$1237:V1477,1)=1,5,0)+IF(COUNTIF(W875:$W875,"&gt;"&amp;0)&lt;5,IF(AND(COUNTIF(V$1237:V1477,1)&gt;7,MOD(1+IFERROR(MATCH($C875,总览!$D$46:$D$345,1)+1,1),7)=0),$C$3,0),0)</f>
        <v>313.545400201441</v>
      </c>
      <c r="W875" s="135" cm="1">
        <f ca="1" t="array" ref="W875">SUMPRODUCT(TRANSPOSE($AA875:$AG875),OFFSET($L$9:$L$15,0,W$631-1))</f>
        <v>16.8502200646615</v>
      </c>
      <c r="X875" s="135" cm="1">
        <f ca="1" t="array" ref="X875">SUMPRODUCT(TRANSPOSE($AA875:$AG875),OFFSET($L$9:$L$15,0,X$631-1))</f>
        <v>20</v>
      </c>
      <c r="Y875" s="135" cm="1">
        <f ca="1" t="array" ref="Y875">SUMPRODUCT(TRANSPOSE($AA875:$AG875),OFFSET($L$9:$L$15,0,Y$631-1))</f>
        <v>10</v>
      </c>
      <c r="Z875" s="135" cm="1">
        <f ca="1" t="array" ref="Z875">SUMPRODUCT(TRANSPOSE($AA875:$AG875),OFFSET($L$9:$L$15,0,Z$631-1))</f>
        <v>3.14977993533847</v>
      </c>
      <c r="AA875" s="136">
        <f ca="1" t="shared" ref="AA875:AG875" si="727">AH875-AH874</f>
        <v>0</v>
      </c>
      <c r="AB875" s="136">
        <f ca="1" t="shared" si="727"/>
        <v>0</v>
      </c>
      <c r="AC875" s="136">
        <f ca="1" t="shared" si="727"/>
        <v>0</v>
      </c>
      <c r="AD875" s="136">
        <f ca="1" t="shared" si="727"/>
        <v>0</v>
      </c>
      <c r="AE875" s="136">
        <f ca="1" t="shared" si="727"/>
        <v>0</v>
      </c>
      <c r="AF875" s="136">
        <f ca="1" t="shared" si="727"/>
        <v>0</v>
      </c>
      <c r="AG875" s="136">
        <f ca="1" t="shared" si="727"/>
        <v>100</v>
      </c>
      <c r="AH875" s="136">
        <f ca="1" t="shared" si="631"/>
        <v>450</v>
      </c>
      <c r="AI875" s="136">
        <f ca="1" t="shared" ref="AI875:AN875" si="728">IF($C875&gt;OFFSET($Q$8,MATCH(AI$634,$AH$634:$AN$634,0),0),OFFSET($P$8,MATCH(AI$634,$AH$634:$AN$634,0),0),MAX(0,$C875-OFFSET($Q$8,RIGHT(AI$634,1)-1,0)))</f>
        <v>909</v>
      </c>
      <c r="AJ875" s="136">
        <f ca="1" t="shared" si="728"/>
        <v>1818</v>
      </c>
      <c r="AK875" s="136">
        <f ca="1" t="shared" si="728"/>
        <v>2727</v>
      </c>
      <c r="AL875" s="136">
        <f ca="1" t="shared" si="728"/>
        <v>3636</v>
      </c>
      <c r="AM875" s="136">
        <f ca="1" t="shared" si="728"/>
        <v>4545</v>
      </c>
      <c r="AN875" s="136">
        <f ca="1" t="shared" si="728"/>
        <v>10015</v>
      </c>
    </row>
    <row r="876" s="106" customFormat="1" ht="16.5" spans="2:40">
      <c r="B876" s="117">
        <v>242</v>
      </c>
      <c r="C876" s="130">
        <f t="shared" si="629"/>
        <v>24200</v>
      </c>
      <c r="D876" s="131" cm="1">
        <f ca="1" t="array" ref="D876">IF(D1478=1,OFFSET($W$634,$B876,D$631-1)/SUMPRODUCT(--($D$631:$V$631=D$631),--($D1478:$V1478=1)),0)+SUM(D875)+IF(COUNTIF(D$1237:D1478,1)=1,5,0)+IF(COUNTIF(E876:$W876,"&gt;"&amp;0)&lt;5,IF(AND(COUNTIF(D$1237:D1478,1)&gt;7,MOD(1+IFERROR(MATCH($C876,总览!$D$46:$D$345,1)+1,1),7)=0),$C$3,0),0)</f>
        <v>1686.95460174683</v>
      </c>
      <c r="E876" s="131" cm="1">
        <f ca="1" t="array" ref="E876">IF(E1478=1,OFFSET($W$634,$B876,E$631-1)/SUMPRODUCT(--($D$631:$V$631=E$631),--($D1478:$V1478=1)),0)+SUM(E875)+IF(COUNTIF(E$1237:E1478,1)=1,5,0)+IF(COUNTIF(F876:$W876,"&gt;"&amp;0)&lt;5,IF(AND(COUNTIF(E$1237:E1478,1)&gt;7,MOD(1+IFERROR(MATCH($C876,总览!$D$46:$D$345,1)+1,1),7)=0),$C$3,0),0)</f>
        <v>1686.95460174683</v>
      </c>
      <c r="F876" s="131" cm="1">
        <f ca="1" t="array" ref="F876">IF(F1478=1,OFFSET($W$634,$B876,F$631-1)/SUMPRODUCT(--($D$631:$V$631=F$631),--($D1478:$V1478=1)),0)+SUM(F875)+IF(COUNTIF(F$1237:F1478,1)=1,5,0)+IF(COUNTIF(G876:$W876,"&gt;"&amp;0)&lt;5,IF(AND(COUNTIF(F$1237:F1478,1)&gt;7,MOD(1+IFERROR(MATCH($C876,总览!$D$46:$D$345,1)+1,1),7)=0),$C$3,0),0)</f>
        <v>1686.95460174683</v>
      </c>
      <c r="G876" s="131" cm="1">
        <f ca="1" t="array" ref="G876">IF(G1478=1,OFFSET($W$634,$B876,G$631-1)/SUMPRODUCT(--($D$631:$V$631=G$631),--($D1478:$V1478=1)),0)+SUM(G875)+IF(COUNTIF(G$1237:G1478,1)=1,5,0)+IF(COUNTIF(H876:$W876,"&gt;"&amp;0)&lt;5,IF(AND(COUNTIF(G$1237:G1478,1)&gt;7,MOD(1+IFERROR(MATCH($C876,总览!$D$46:$D$345,1)+1,1),7)=0),$C$3,0),0)</f>
        <v>746.066666666668</v>
      </c>
      <c r="H876" s="131" cm="1">
        <f ca="1" t="array" ref="H876">IF(H1478=1,OFFSET($W$634,$B876,H$631-1)/SUMPRODUCT(--($D$631:$V$631=H$631),--($D1478:$V1478=1)),0)+SUM(H875)+IF(COUNTIF(H$1237:H1478,1)=1,5,0)+IF(COUNTIF(I876:$W876,"&gt;"&amp;0)&lt;5,IF(AND(COUNTIF(H$1237:H1478,1)&gt;7,MOD(1+IFERROR(MATCH($C876,总览!$D$46:$D$345,1)+1,1),7)=0),$C$3,0),0)</f>
        <v>746.066666666668</v>
      </c>
      <c r="I876" s="131" cm="1">
        <f ca="1" t="array" ref="I876">IF(I1478=1,OFFSET($W$634,$B876,I$631-1)/SUMPRODUCT(--($D$631:$V$631=I$631),--($D1478:$V1478=1)),0)+SUM(I875)+IF(COUNTIF(I$1237:I1478,1)=1,5,0)+IF(COUNTIF(J876:$W876,"&gt;"&amp;0)&lt;5,IF(AND(COUNTIF(I$1237:I1478,1)&gt;7,MOD(1+IFERROR(MATCH($C876,总览!$D$46:$D$345,1)+1,1),7)=0),$C$3,0),0)</f>
        <v>746.066666666668</v>
      </c>
      <c r="J876" s="131" cm="1">
        <f ca="1" t="array" ref="J876">IF(J1478=1,OFFSET($W$634,$B876,J$631-1)/SUMPRODUCT(--($D$631:$V$631=J$631),--($D1478:$V1478=1)),0)+SUM(J875)+IF(COUNTIF(J$1237:J1478,1)=1,5,0)+IF(COUNTIF(K876:$W876,"&gt;"&amp;0)&lt;5,IF(AND(COUNTIF(J$1237:J1478,1)&gt;7,MOD(1+IFERROR(MATCH($C876,总览!$D$46:$D$345,1)+1,1),7)=0),$C$3,0),0)</f>
        <v>742.733333333335</v>
      </c>
      <c r="K876" s="131" cm="1">
        <f ca="1" t="array" ref="K876">IF(K1478=1,OFFSET($W$634,$B876,K$631-1)/SUMPRODUCT(--($D$631:$V$631=K$631),--($D1478:$V1478=1)),0)+SUM(K875)+IF(COUNTIF(K$1237:K1478,1)=1,5,0)+IF(COUNTIF(L876:$W876,"&gt;"&amp;0)&lt;5,IF(AND(COUNTIF(K$1237:K1478,1)&gt;7,MOD(1+IFERROR(MATCH($C876,总览!$D$46:$D$345,1)+1,1),7)=0),$C$3,0),0)</f>
        <v>740.233333333335</v>
      </c>
      <c r="L876" s="131" cm="1">
        <f ca="1" t="array" ref="L876">IF(L1478=1,OFFSET($W$634,$B876,L$631-1)/SUMPRODUCT(--($D$631:$V$631=L$631),--($D1478:$V1478=1)),0)+SUM(L875)+IF(COUNTIF(L$1237:L1478,1)=1,5,0)+IF(COUNTIF(M876:$W876,"&gt;"&amp;0)&lt;5,IF(AND(COUNTIF(L$1237:L1478,1)&gt;7,MOD(1+IFERROR(MATCH($C876,总览!$D$46:$D$345,1)+1,1),7)=0),$C$3,0),0)</f>
        <v>740.233333333335</v>
      </c>
      <c r="M876" s="131" cm="1">
        <f ca="1" t="array" ref="M876">IF(M1478=1,OFFSET($W$634,$B876,M$631-1)/SUMPRODUCT(--($D$631:$V$631=M$631),--($D1478:$V1478=1)),0)+SUM(M875)+IF(COUNTIF(M$1237:M1478,1)=1,5,0)+IF(COUNTIF(N876:$W876,"&gt;"&amp;0)&lt;5,IF(AND(COUNTIF(M$1237:M1478,1)&gt;7,MOD(1+IFERROR(MATCH($C876,总览!$D$46:$D$345,1)+1,1),7)=0),$C$3,0),0)</f>
        <v>303.466964285714</v>
      </c>
      <c r="N876" s="131" cm="1">
        <f ca="1" t="array" ref="N876">IF(N1478=1,OFFSET($W$634,$B876,N$631-1)/SUMPRODUCT(--($D$631:$V$631=N$631),--($D1478:$V1478=1)),0)+SUM(N875)+IF(COUNTIF(N$1237:N1478,1)=1,5,0)+IF(COUNTIF(O876:$W876,"&gt;"&amp;0)&lt;5,IF(AND(COUNTIF(N$1237:N1478,1)&gt;7,MOD(1+IFERROR(MATCH($C876,总览!$D$46:$D$345,1)+1,1),7)=0),$C$3,0),0)</f>
        <v>304.716964285714</v>
      </c>
      <c r="O876" s="131" cm="1">
        <f ca="1" t="array" ref="O876">IF(O1478=1,OFFSET($W$634,$B876,O$631-1)/SUMPRODUCT(--($D$631:$V$631=O$631),--($D1478:$V1478=1)),0)+SUM(O875)+IF(COUNTIF(O$1237:O1478,1)=1,5,0)+IF(COUNTIF(P876:$W876,"&gt;"&amp;0)&lt;5,IF(AND(COUNTIF(O$1237:O1478,1)&gt;7,MOD(1+IFERROR(MATCH($C876,总览!$D$46:$D$345,1)+1,1),7)=0),$C$3,0),0)</f>
        <v>309.716964285714</v>
      </c>
      <c r="P876" s="131" cm="1">
        <f ca="1" t="array" ref="P876">IF(P1478=1,OFFSET($W$634,$B876,P$631-1)/SUMPRODUCT(--($D$631:$V$631=P$631),--($D1478:$V1478=1)),0)+SUM(P875)+IF(COUNTIF(P$1237:P1478,1)=1,5,0)+IF(COUNTIF(Q876:$W876,"&gt;"&amp;0)&lt;5,IF(AND(COUNTIF(P$1237:P1478,1)&gt;7,MOD(1+IFERROR(MATCH($C876,总览!$D$46:$D$345,1)+1,1),7)=0),$C$3,0),0)</f>
        <v>298.835714285714</v>
      </c>
      <c r="Q876" s="131" cm="1">
        <f ca="1" t="array" ref="Q876">IF(Q1478=1,OFFSET($W$634,$B876,Q$631-1)/SUMPRODUCT(--($D$631:$V$631=Q$631),--($D1478:$V1478=1)),0)+SUM(Q875)+IF(COUNTIF(Q$1237:Q1478,1)=1,5,0)+IF(COUNTIF(R876:$W876,"&gt;"&amp;0)&lt;5,IF(AND(COUNTIF(Q$1237:Q1478,1)&gt;7,MOD(1+IFERROR(MATCH($C876,总览!$D$46:$D$345,1)+1,1),7)=0),$C$3,0),0)</f>
        <v>312.216964285714</v>
      </c>
      <c r="R876" s="131" cm="1">
        <f ca="1" t="array" ref="R876">IF(R1478=1,OFFSET($W$634,$B876,R$631-1)/SUMPRODUCT(--($D$631:$V$631=R$631),--($D1478:$V1478=1)),0)+SUM(R875)+IF(COUNTIF(R$1237:R1478,1)=1,5,0)+IF(COUNTIF(S876:$W876,"&gt;"&amp;0)&lt;5,IF(AND(COUNTIF(R$1237:R1478,1)&gt;7,MOD(1+IFERROR(MATCH($C876,总览!$D$46:$D$345,1)+1,1),7)=0),$C$3,0),0)</f>
        <v>303.835714285714</v>
      </c>
      <c r="S876" s="131" cm="1">
        <f ca="1" t="array" ref="S876">IF(S1478=1,OFFSET($W$634,$B876,S$631-1)/SUMPRODUCT(--($D$631:$V$631=S$631),--($D1478:$V1478=1)),0)+SUM(S875)+IF(COUNTIF(S$1237:S1478,1)=1,5,0)+IF(COUNTIF(T876:$W876,"&gt;"&amp;0)&lt;5,IF(AND(COUNTIF(S$1237:S1478,1)&gt;7,MOD(1+IFERROR(MATCH($C876,总览!$D$46:$D$345,1)+1,1),7)=0),$C$3,0),0)</f>
        <v>396.335714285715</v>
      </c>
      <c r="T876" s="131" cm="1">
        <f ca="1" t="array" ref="T876">IF(T1478=1,OFFSET($W$634,$B876,T$631-1)/SUMPRODUCT(--($D$631:$V$631=T$631),--($D1478:$V1478=1)),0)+SUM(T875)+IF(COUNTIF(T$1237:T1478,1)=1,5,0)+IF(COUNTIF(U876:$W876,"&gt;"&amp;0)&lt;5,IF(AND(COUNTIF(T$1237:T1478,1)&gt;7,MOD(1+IFERROR(MATCH($C876,总览!$D$46:$D$345,1)+1,1),7)=0),$C$3,0),0)</f>
        <v>289.247540778822</v>
      </c>
      <c r="U876" s="131" cm="1">
        <f ca="1" t="array" ref="U876">IF(U1478=1,OFFSET($W$634,$B876,U$631-1)/SUMPRODUCT(--($D$631:$V$631=U$631),--($D1478:$V1478=1)),0)+SUM(U875)+IF(COUNTIF(U$1237:U1478,1)=1,5,0)+IF(COUNTIF(V876:$W876,"&gt;"&amp;0)&lt;5,IF(AND(COUNTIF(U$1237:U1478,1)&gt;7,MOD(1+IFERROR(MATCH($C876,总览!$D$46:$D$345,1)+1,1),7)=0),$C$3,0),0)</f>
        <v>294.768327134121</v>
      </c>
      <c r="V876" s="131" cm="1">
        <f ca="1" t="array" ref="V876">IF(V1478=1,OFFSET($W$634,$B876,V$631-1)/SUMPRODUCT(--($D$631:$V$631=V$631),--($D1478:$V1478=1)),0)+SUM(V875)+IF(COUNTIF(V$1237:V1478,1)=1,5,0)+IF(COUNTIF(W876:$W876,"&gt;"&amp;0)&lt;5,IF(AND(COUNTIF(V$1237:V1478,1)&gt;7,MOD(1+IFERROR(MATCH($C876,总览!$D$46:$D$345,1)+1,1),7)=0),$C$3,0),0)</f>
        <v>314.595326846554</v>
      </c>
      <c r="W876" s="135" cm="1">
        <f ca="1" t="array" ref="W876">SUMPRODUCT(TRANSPOSE($AA876:$AG876),OFFSET($L$9:$L$15,0,W$631-1))</f>
        <v>16.8502200646615</v>
      </c>
      <c r="X876" s="135" cm="1">
        <f ca="1" t="array" ref="X876">SUMPRODUCT(TRANSPOSE($AA876:$AG876),OFFSET($L$9:$L$15,0,X$631-1))</f>
        <v>20</v>
      </c>
      <c r="Y876" s="135" cm="1">
        <f ca="1" t="array" ref="Y876">SUMPRODUCT(TRANSPOSE($AA876:$AG876),OFFSET($L$9:$L$15,0,Y$631-1))</f>
        <v>10</v>
      </c>
      <c r="Z876" s="135" cm="1">
        <f ca="1" t="array" ref="Z876">SUMPRODUCT(TRANSPOSE($AA876:$AG876),OFFSET($L$9:$L$15,0,Z$631-1))</f>
        <v>3.14977993533847</v>
      </c>
      <c r="AA876" s="136">
        <f ca="1" t="shared" ref="AA876:AG876" si="729">AH876-AH875</f>
        <v>0</v>
      </c>
      <c r="AB876" s="136">
        <f ca="1" t="shared" si="729"/>
        <v>0</v>
      </c>
      <c r="AC876" s="136">
        <f ca="1" t="shared" si="729"/>
        <v>0</v>
      </c>
      <c r="AD876" s="136">
        <f ca="1" t="shared" si="729"/>
        <v>0</v>
      </c>
      <c r="AE876" s="136">
        <f ca="1" t="shared" si="729"/>
        <v>0</v>
      </c>
      <c r="AF876" s="136">
        <f ca="1" t="shared" si="729"/>
        <v>0</v>
      </c>
      <c r="AG876" s="136">
        <f ca="1" t="shared" si="729"/>
        <v>100</v>
      </c>
      <c r="AH876" s="136">
        <f ca="1" t="shared" si="631"/>
        <v>450</v>
      </c>
      <c r="AI876" s="136">
        <f ca="1" t="shared" ref="AI876:AN876" si="730">IF($C876&gt;OFFSET($Q$8,MATCH(AI$634,$AH$634:$AN$634,0),0),OFFSET($P$8,MATCH(AI$634,$AH$634:$AN$634,0),0),MAX(0,$C876-OFFSET($Q$8,RIGHT(AI$634,1)-1,0)))</f>
        <v>909</v>
      </c>
      <c r="AJ876" s="136">
        <f ca="1" t="shared" si="730"/>
        <v>1818</v>
      </c>
      <c r="AK876" s="136">
        <f ca="1" t="shared" si="730"/>
        <v>2727</v>
      </c>
      <c r="AL876" s="136">
        <f ca="1" t="shared" si="730"/>
        <v>3636</v>
      </c>
      <c r="AM876" s="136">
        <f ca="1" t="shared" si="730"/>
        <v>4545</v>
      </c>
      <c r="AN876" s="136">
        <f ca="1" t="shared" si="730"/>
        <v>10115</v>
      </c>
    </row>
    <row r="877" s="106" customFormat="1" ht="16.5" spans="2:40">
      <c r="B877" s="117">
        <v>243</v>
      </c>
      <c r="C877" s="130">
        <f t="shared" si="629"/>
        <v>24300</v>
      </c>
      <c r="D877" s="131" cm="1">
        <f ca="1" t="array" ref="D877">IF(D1479=1,OFFSET($W$634,$B877,D$631-1)/SUMPRODUCT(--($D$631:$V$631=D$631),--($D1479:$V1479=1)),0)+SUM(D876)+IF(COUNTIF(D$1237:D1479,1)=1,5,0)+IF(COUNTIF(E877:$W877,"&gt;"&amp;0)&lt;5,IF(AND(COUNTIF(D$1237:D1479,1)&gt;7,MOD(1+IFERROR(MATCH($C877,总览!$D$46:$D$345,1)+1,1),7)=0),$C$3,0),0)</f>
        <v>1692.57134176839</v>
      </c>
      <c r="E877" s="131" cm="1">
        <f ca="1" t="array" ref="E877">IF(E1479=1,OFFSET($W$634,$B877,E$631-1)/SUMPRODUCT(--($D$631:$V$631=E$631),--($D1479:$V1479=1)),0)+SUM(E876)+IF(COUNTIF(E$1237:E1479,1)=1,5,0)+IF(COUNTIF(F877:$W877,"&gt;"&amp;0)&lt;5,IF(AND(COUNTIF(E$1237:E1479,1)&gt;7,MOD(1+IFERROR(MATCH($C877,总览!$D$46:$D$345,1)+1,1),7)=0),$C$3,0),0)</f>
        <v>1692.57134176839</v>
      </c>
      <c r="F877" s="131" cm="1">
        <f ca="1" t="array" ref="F877">IF(F1479=1,OFFSET($W$634,$B877,F$631-1)/SUMPRODUCT(--($D$631:$V$631=F$631),--($D1479:$V1479=1)),0)+SUM(F876)+IF(COUNTIF(F$1237:F1479,1)=1,5,0)+IF(COUNTIF(G877:$W877,"&gt;"&amp;0)&lt;5,IF(AND(COUNTIF(F$1237:F1479,1)&gt;7,MOD(1+IFERROR(MATCH($C877,总览!$D$46:$D$345,1)+1,1),7)=0),$C$3,0),0)</f>
        <v>1692.57134176839</v>
      </c>
      <c r="G877" s="131" cm="1">
        <f ca="1" t="array" ref="G877">IF(G1479=1,OFFSET($W$634,$B877,G$631-1)/SUMPRODUCT(--($D$631:$V$631=G$631),--($D1479:$V1479=1)),0)+SUM(G876)+IF(COUNTIF(G$1237:G1479,1)=1,5,0)+IF(COUNTIF(H877:$W877,"&gt;"&amp;0)&lt;5,IF(AND(COUNTIF(G$1237:G1479,1)&gt;7,MOD(1+IFERROR(MATCH($C877,总览!$D$46:$D$345,1)+1,1),7)=0),$C$3,0),0)</f>
        <v>749.400000000001</v>
      </c>
      <c r="H877" s="131" cm="1">
        <f ca="1" t="array" ref="H877">IF(H1479=1,OFFSET($W$634,$B877,H$631-1)/SUMPRODUCT(--($D$631:$V$631=H$631),--($D1479:$V1479=1)),0)+SUM(H876)+IF(COUNTIF(H$1237:H1479,1)=1,5,0)+IF(COUNTIF(I877:$W877,"&gt;"&amp;0)&lt;5,IF(AND(COUNTIF(H$1237:H1479,1)&gt;7,MOD(1+IFERROR(MATCH($C877,总览!$D$46:$D$345,1)+1,1),7)=0),$C$3,0),0)</f>
        <v>749.400000000001</v>
      </c>
      <c r="I877" s="131" cm="1">
        <f ca="1" t="array" ref="I877">IF(I1479=1,OFFSET($W$634,$B877,I$631-1)/SUMPRODUCT(--($D$631:$V$631=I$631),--($D1479:$V1479=1)),0)+SUM(I876)+IF(COUNTIF(I$1237:I1479,1)=1,5,0)+IF(COUNTIF(J877:$W877,"&gt;"&amp;0)&lt;5,IF(AND(COUNTIF(I$1237:I1479,1)&gt;7,MOD(1+IFERROR(MATCH($C877,总览!$D$46:$D$345,1)+1,1),7)=0),$C$3,0),0)</f>
        <v>749.400000000001</v>
      </c>
      <c r="J877" s="131" cm="1">
        <f ca="1" t="array" ref="J877">IF(J1479=1,OFFSET($W$634,$B877,J$631-1)/SUMPRODUCT(--($D$631:$V$631=J$631),--($D1479:$V1479=1)),0)+SUM(J876)+IF(COUNTIF(J$1237:J1479,1)=1,5,0)+IF(COUNTIF(K877:$W877,"&gt;"&amp;0)&lt;5,IF(AND(COUNTIF(J$1237:J1479,1)&gt;7,MOD(1+IFERROR(MATCH($C877,总览!$D$46:$D$345,1)+1,1),7)=0),$C$3,0),0)</f>
        <v>746.066666666668</v>
      </c>
      <c r="K877" s="131" cm="1">
        <f ca="1" t="array" ref="K877">IF(K1479=1,OFFSET($W$634,$B877,K$631-1)/SUMPRODUCT(--($D$631:$V$631=K$631),--($D1479:$V1479=1)),0)+SUM(K876)+IF(COUNTIF(K$1237:K1479,1)=1,5,0)+IF(COUNTIF(L877:$W877,"&gt;"&amp;0)&lt;5,IF(AND(COUNTIF(K$1237:K1479,1)&gt;7,MOD(1+IFERROR(MATCH($C877,总览!$D$46:$D$345,1)+1,1),7)=0),$C$3,0),0)</f>
        <v>743.566666666668</v>
      </c>
      <c r="L877" s="131" cm="1">
        <f ca="1" t="array" ref="L877">IF(L1479=1,OFFSET($W$634,$B877,L$631-1)/SUMPRODUCT(--($D$631:$V$631=L$631),--($D1479:$V1479=1)),0)+SUM(L876)+IF(COUNTIF(L$1237:L1479,1)=1,5,0)+IF(COUNTIF(M877:$W877,"&gt;"&amp;0)&lt;5,IF(AND(COUNTIF(L$1237:L1479,1)&gt;7,MOD(1+IFERROR(MATCH($C877,总览!$D$46:$D$345,1)+1,1),7)=0),$C$3,0),0)</f>
        <v>743.566666666668</v>
      </c>
      <c r="M877" s="131" cm="1">
        <f ca="1" t="array" ref="M877">IF(M1479=1,OFFSET($W$634,$B877,M$631-1)/SUMPRODUCT(--($D$631:$V$631=M$631),--($D1479:$V1479=1)),0)+SUM(M876)+IF(COUNTIF(M$1237:M1479,1)=1,5,0)+IF(COUNTIF(N877:$W877,"&gt;"&amp;0)&lt;5,IF(AND(COUNTIF(M$1237:M1479,1)&gt;7,MOD(1+IFERROR(MATCH($C877,总览!$D$46:$D$345,1)+1,1),7)=0),$C$3,0),0)</f>
        <v>304.895535714285</v>
      </c>
      <c r="N877" s="131" cm="1">
        <f ca="1" t="array" ref="N877">IF(N1479=1,OFFSET($W$634,$B877,N$631-1)/SUMPRODUCT(--($D$631:$V$631=N$631),--($D1479:$V1479=1)),0)+SUM(N876)+IF(COUNTIF(N$1237:N1479,1)=1,5,0)+IF(COUNTIF(O877:$W877,"&gt;"&amp;0)&lt;5,IF(AND(COUNTIF(N$1237:N1479,1)&gt;7,MOD(1+IFERROR(MATCH($C877,总览!$D$46:$D$345,1)+1,1),7)=0),$C$3,0),0)</f>
        <v>306.145535714285</v>
      </c>
      <c r="O877" s="131" cm="1">
        <f ca="1" t="array" ref="O877">IF(O1479=1,OFFSET($W$634,$B877,O$631-1)/SUMPRODUCT(--($D$631:$V$631=O$631),--($D1479:$V1479=1)),0)+SUM(O876)+IF(COUNTIF(O$1237:O1479,1)=1,5,0)+IF(COUNTIF(P877:$W877,"&gt;"&amp;0)&lt;5,IF(AND(COUNTIF(O$1237:O1479,1)&gt;7,MOD(1+IFERROR(MATCH($C877,总览!$D$46:$D$345,1)+1,1),7)=0),$C$3,0),0)</f>
        <v>311.145535714285</v>
      </c>
      <c r="P877" s="131" cm="1">
        <f ca="1" t="array" ref="P877">IF(P1479=1,OFFSET($W$634,$B877,P$631-1)/SUMPRODUCT(--($D$631:$V$631=P$631),--($D1479:$V1479=1)),0)+SUM(P876)+IF(COUNTIF(P$1237:P1479,1)=1,5,0)+IF(COUNTIF(Q877:$W877,"&gt;"&amp;0)&lt;5,IF(AND(COUNTIF(P$1237:P1479,1)&gt;7,MOD(1+IFERROR(MATCH($C877,总览!$D$46:$D$345,1)+1,1),7)=0),$C$3,0),0)</f>
        <v>300.264285714285</v>
      </c>
      <c r="Q877" s="131" cm="1">
        <f ca="1" t="array" ref="Q877">IF(Q1479=1,OFFSET($W$634,$B877,Q$631-1)/SUMPRODUCT(--($D$631:$V$631=Q$631),--($D1479:$V1479=1)),0)+SUM(Q876)+IF(COUNTIF(Q$1237:Q1479,1)=1,5,0)+IF(COUNTIF(R877:$W877,"&gt;"&amp;0)&lt;5,IF(AND(COUNTIF(Q$1237:Q1479,1)&gt;7,MOD(1+IFERROR(MATCH($C877,总览!$D$46:$D$345,1)+1,1),7)=0),$C$3,0),0)</f>
        <v>313.645535714285</v>
      </c>
      <c r="R877" s="131" cm="1">
        <f ca="1" t="array" ref="R877">IF(R1479=1,OFFSET($W$634,$B877,R$631-1)/SUMPRODUCT(--($D$631:$V$631=R$631),--($D1479:$V1479=1)),0)+SUM(R876)+IF(COUNTIF(R$1237:R1479,1)=1,5,0)+IF(COUNTIF(S877:$W877,"&gt;"&amp;0)&lt;5,IF(AND(COUNTIF(R$1237:R1479,1)&gt;7,MOD(1+IFERROR(MATCH($C877,总览!$D$46:$D$345,1)+1,1),7)=0),$C$3,0),0)</f>
        <v>305.264285714285</v>
      </c>
      <c r="S877" s="131" cm="1">
        <f ca="1" t="array" ref="S877">IF(S1479=1,OFFSET($W$634,$B877,S$631-1)/SUMPRODUCT(--($D$631:$V$631=S$631),--($D1479:$V1479=1)),0)+SUM(S876)+IF(COUNTIF(S$1237:S1479,1)=1,5,0)+IF(COUNTIF(T877:$W877,"&gt;"&amp;0)&lt;5,IF(AND(COUNTIF(S$1237:S1479,1)&gt;7,MOD(1+IFERROR(MATCH($C877,总览!$D$46:$D$345,1)+1,1),7)=0),$C$3,0),0)</f>
        <v>397.764285714286</v>
      </c>
      <c r="T877" s="131" cm="1">
        <f ca="1" t="array" ref="T877">IF(T1479=1,OFFSET($W$634,$B877,T$631-1)/SUMPRODUCT(--($D$631:$V$631=T$631),--($D1479:$V1479=1)),0)+SUM(T876)+IF(COUNTIF(T$1237:T1479,1)=1,5,0)+IF(COUNTIF(U877:$W877,"&gt;"&amp;0)&lt;5,IF(AND(COUNTIF(T$1237:T1479,1)&gt;7,MOD(1+IFERROR(MATCH($C877,总览!$D$46:$D$345,1)+1,1),7)=0),$C$3,0),0)</f>
        <v>290.297467423935</v>
      </c>
      <c r="U877" s="131" cm="1">
        <f ca="1" t="array" ref="U877">IF(U1479=1,OFFSET($W$634,$B877,U$631-1)/SUMPRODUCT(--($D$631:$V$631=U$631),--($D1479:$V1479=1)),0)+SUM(U876)+IF(COUNTIF(U$1237:U1479,1)=1,5,0)+IF(COUNTIF(V877:$W877,"&gt;"&amp;0)&lt;5,IF(AND(COUNTIF(U$1237:U1479,1)&gt;7,MOD(1+IFERROR(MATCH($C877,总览!$D$46:$D$345,1)+1,1),7)=0),$C$3,0),0)</f>
        <v>295.818253779234</v>
      </c>
      <c r="V877" s="131" cm="1">
        <f ca="1" t="array" ref="V877">IF(V1479=1,OFFSET($W$634,$B877,V$631-1)/SUMPRODUCT(--($D$631:$V$631=V$631),--($D1479:$V1479=1)),0)+SUM(V876)+IF(COUNTIF(V$1237:V1479,1)=1,5,0)+IF(COUNTIF(W877:$W877,"&gt;"&amp;0)&lt;5,IF(AND(COUNTIF(V$1237:V1479,1)&gt;7,MOD(1+IFERROR(MATCH($C877,总览!$D$46:$D$345,1)+1,1),7)=0),$C$3,0),0)</f>
        <v>315.645253491667</v>
      </c>
      <c r="W877" s="135" cm="1">
        <f ca="1" t="array" ref="W877">SUMPRODUCT(TRANSPOSE($AA877:$AG877),OFFSET($L$9:$L$15,0,W$631-1))</f>
        <v>16.8502200646615</v>
      </c>
      <c r="X877" s="135" cm="1">
        <f ca="1" t="array" ref="X877">SUMPRODUCT(TRANSPOSE($AA877:$AG877),OFFSET($L$9:$L$15,0,X$631-1))</f>
        <v>20</v>
      </c>
      <c r="Y877" s="135" cm="1">
        <f ca="1" t="array" ref="Y877">SUMPRODUCT(TRANSPOSE($AA877:$AG877),OFFSET($L$9:$L$15,0,Y$631-1))</f>
        <v>10</v>
      </c>
      <c r="Z877" s="135" cm="1">
        <f ca="1" t="array" ref="Z877">SUMPRODUCT(TRANSPOSE($AA877:$AG877),OFFSET($L$9:$L$15,0,Z$631-1))</f>
        <v>3.14977993533847</v>
      </c>
      <c r="AA877" s="136">
        <f ca="1" t="shared" ref="AA877:AG877" si="731">AH877-AH876</f>
        <v>0</v>
      </c>
      <c r="AB877" s="136">
        <f ca="1" t="shared" si="731"/>
        <v>0</v>
      </c>
      <c r="AC877" s="136">
        <f ca="1" t="shared" si="731"/>
        <v>0</v>
      </c>
      <c r="AD877" s="136">
        <f ca="1" t="shared" si="731"/>
        <v>0</v>
      </c>
      <c r="AE877" s="136">
        <f ca="1" t="shared" si="731"/>
        <v>0</v>
      </c>
      <c r="AF877" s="136">
        <f ca="1" t="shared" si="731"/>
        <v>0</v>
      </c>
      <c r="AG877" s="136">
        <f ca="1" t="shared" si="731"/>
        <v>100</v>
      </c>
      <c r="AH877" s="136">
        <f ca="1" t="shared" si="631"/>
        <v>450</v>
      </c>
      <c r="AI877" s="136">
        <f ca="1" t="shared" ref="AI877:AN877" si="732">IF($C877&gt;OFFSET($Q$8,MATCH(AI$634,$AH$634:$AN$634,0),0),OFFSET($P$8,MATCH(AI$634,$AH$634:$AN$634,0),0),MAX(0,$C877-OFFSET($Q$8,RIGHT(AI$634,1)-1,0)))</f>
        <v>909</v>
      </c>
      <c r="AJ877" s="136">
        <f ca="1" t="shared" si="732"/>
        <v>1818</v>
      </c>
      <c r="AK877" s="136">
        <f ca="1" t="shared" si="732"/>
        <v>2727</v>
      </c>
      <c r="AL877" s="136">
        <f ca="1" t="shared" si="732"/>
        <v>3636</v>
      </c>
      <c r="AM877" s="136">
        <f ca="1" t="shared" si="732"/>
        <v>4545</v>
      </c>
      <c r="AN877" s="136">
        <f ca="1" t="shared" si="732"/>
        <v>10215</v>
      </c>
    </row>
    <row r="878" s="106" customFormat="1" ht="16.5" spans="2:40">
      <c r="B878" s="117">
        <v>244</v>
      </c>
      <c r="C878" s="130">
        <f t="shared" si="629"/>
        <v>24400</v>
      </c>
      <c r="D878" s="131" cm="1">
        <f ca="1" t="array" ref="D878">IF(D1480=1,OFFSET($W$634,$B878,D$631-1)/SUMPRODUCT(--($D$631:$V$631=D$631),--($D1480:$V1480=1)),0)+SUM(D877)+IF(COUNTIF(D$1237:D1480,1)=1,5,0)+IF(COUNTIF(E878:$W878,"&gt;"&amp;0)&lt;5,IF(AND(COUNTIF(D$1237:D1480,1)&gt;7,MOD(1+IFERROR(MATCH($C878,总览!$D$46:$D$345,1)+1,1),7)=0),$C$3,0),0)</f>
        <v>1698.18808178994</v>
      </c>
      <c r="E878" s="131" cm="1">
        <f ca="1" t="array" ref="E878">IF(E1480=1,OFFSET($W$634,$B878,E$631-1)/SUMPRODUCT(--($D$631:$V$631=E$631),--($D1480:$V1480=1)),0)+SUM(E877)+IF(COUNTIF(E$1237:E1480,1)=1,5,0)+IF(COUNTIF(F878:$W878,"&gt;"&amp;0)&lt;5,IF(AND(COUNTIF(E$1237:E1480,1)&gt;7,MOD(1+IFERROR(MATCH($C878,总览!$D$46:$D$345,1)+1,1),7)=0),$C$3,0),0)</f>
        <v>1698.18808178994</v>
      </c>
      <c r="F878" s="131" cm="1">
        <f ca="1" t="array" ref="F878">IF(F1480=1,OFFSET($W$634,$B878,F$631-1)/SUMPRODUCT(--($D$631:$V$631=F$631),--($D1480:$V1480=1)),0)+SUM(F877)+IF(COUNTIF(F$1237:F1480,1)=1,5,0)+IF(COUNTIF(G878:$W878,"&gt;"&amp;0)&lt;5,IF(AND(COUNTIF(F$1237:F1480,1)&gt;7,MOD(1+IFERROR(MATCH($C878,总览!$D$46:$D$345,1)+1,1),7)=0),$C$3,0),0)</f>
        <v>1698.18808178994</v>
      </c>
      <c r="G878" s="131" cm="1">
        <f ca="1" t="array" ref="G878">IF(G1480=1,OFFSET($W$634,$B878,G$631-1)/SUMPRODUCT(--($D$631:$V$631=G$631),--($D1480:$V1480=1)),0)+SUM(G877)+IF(COUNTIF(G$1237:G1480,1)=1,5,0)+IF(COUNTIF(H878:$W878,"&gt;"&amp;0)&lt;5,IF(AND(COUNTIF(G$1237:G1480,1)&gt;7,MOD(1+IFERROR(MATCH($C878,总览!$D$46:$D$345,1)+1,1),7)=0),$C$3,0),0)</f>
        <v>752.733333333335</v>
      </c>
      <c r="H878" s="131" cm="1">
        <f ca="1" t="array" ref="H878">IF(H1480=1,OFFSET($W$634,$B878,H$631-1)/SUMPRODUCT(--($D$631:$V$631=H$631),--($D1480:$V1480=1)),0)+SUM(H877)+IF(COUNTIF(H$1237:H1480,1)=1,5,0)+IF(COUNTIF(I878:$W878,"&gt;"&amp;0)&lt;5,IF(AND(COUNTIF(H$1237:H1480,1)&gt;7,MOD(1+IFERROR(MATCH($C878,总览!$D$46:$D$345,1)+1,1),7)=0),$C$3,0),0)</f>
        <v>752.733333333335</v>
      </c>
      <c r="I878" s="131" cm="1">
        <f ca="1" t="array" ref="I878">IF(I1480=1,OFFSET($W$634,$B878,I$631-1)/SUMPRODUCT(--($D$631:$V$631=I$631),--($D1480:$V1480=1)),0)+SUM(I877)+IF(COUNTIF(I$1237:I1480,1)=1,5,0)+IF(COUNTIF(J878:$W878,"&gt;"&amp;0)&lt;5,IF(AND(COUNTIF(I$1237:I1480,1)&gt;7,MOD(1+IFERROR(MATCH($C878,总览!$D$46:$D$345,1)+1,1),7)=0),$C$3,0),0)</f>
        <v>752.733333333335</v>
      </c>
      <c r="J878" s="131" cm="1">
        <f ca="1" t="array" ref="J878">IF(J1480=1,OFFSET($W$634,$B878,J$631-1)/SUMPRODUCT(--($D$631:$V$631=J$631),--($D1480:$V1480=1)),0)+SUM(J877)+IF(COUNTIF(J$1237:J1480,1)=1,5,0)+IF(COUNTIF(K878:$W878,"&gt;"&amp;0)&lt;5,IF(AND(COUNTIF(J$1237:J1480,1)&gt;7,MOD(1+IFERROR(MATCH($C878,总览!$D$46:$D$345,1)+1,1),7)=0),$C$3,0),0)</f>
        <v>749.400000000001</v>
      </c>
      <c r="K878" s="131" cm="1">
        <f ca="1" t="array" ref="K878">IF(K1480=1,OFFSET($W$634,$B878,K$631-1)/SUMPRODUCT(--($D$631:$V$631=K$631),--($D1480:$V1480=1)),0)+SUM(K877)+IF(COUNTIF(K$1237:K1480,1)=1,5,0)+IF(COUNTIF(L878:$W878,"&gt;"&amp;0)&lt;5,IF(AND(COUNTIF(K$1237:K1480,1)&gt;7,MOD(1+IFERROR(MATCH($C878,总览!$D$46:$D$345,1)+1,1),7)=0),$C$3,0),0)</f>
        <v>746.900000000001</v>
      </c>
      <c r="L878" s="131" cm="1">
        <f ca="1" t="array" ref="L878">IF(L1480=1,OFFSET($W$634,$B878,L$631-1)/SUMPRODUCT(--($D$631:$V$631=L$631),--($D1480:$V1480=1)),0)+SUM(L877)+IF(COUNTIF(L$1237:L1480,1)=1,5,0)+IF(COUNTIF(M878:$W878,"&gt;"&amp;0)&lt;5,IF(AND(COUNTIF(L$1237:L1480,1)&gt;7,MOD(1+IFERROR(MATCH($C878,总览!$D$46:$D$345,1)+1,1),7)=0),$C$3,0),0)</f>
        <v>746.900000000001</v>
      </c>
      <c r="M878" s="131" cm="1">
        <f ca="1" t="array" ref="M878">IF(M1480=1,OFFSET($W$634,$B878,M$631-1)/SUMPRODUCT(--($D$631:$V$631=M$631),--($D1480:$V1480=1)),0)+SUM(M877)+IF(COUNTIF(M$1237:M1480,1)=1,5,0)+IF(COUNTIF(N878:$W878,"&gt;"&amp;0)&lt;5,IF(AND(COUNTIF(M$1237:M1480,1)&gt;7,MOD(1+IFERROR(MATCH($C878,总览!$D$46:$D$345,1)+1,1),7)=0),$C$3,0),0)</f>
        <v>306.324107142857</v>
      </c>
      <c r="N878" s="131" cm="1">
        <f ca="1" t="array" ref="N878">IF(N1480=1,OFFSET($W$634,$B878,N$631-1)/SUMPRODUCT(--($D$631:$V$631=N$631),--($D1480:$V1480=1)),0)+SUM(N877)+IF(COUNTIF(N$1237:N1480,1)=1,5,0)+IF(COUNTIF(O878:$W878,"&gt;"&amp;0)&lt;5,IF(AND(COUNTIF(N$1237:N1480,1)&gt;7,MOD(1+IFERROR(MATCH($C878,总览!$D$46:$D$345,1)+1,1),7)=0),$C$3,0),0)</f>
        <v>307.574107142857</v>
      </c>
      <c r="O878" s="131" cm="1">
        <f ca="1" t="array" ref="O878">IF(O1480=1,OFFSET($W$634,$B878,O$631-1)/SUMPRODUCT(--($D$631:$V$631=O$631),--($D1480:$V1480=1)),0)+SUM(O877)+IF(COUNTIF(O$1237:O1480,1)=1,5,0)+IF(COUNTIF(P878:$W878,"&gt;"&amp;0)&lt;5,IF(AND(COUNTIF(O$1237:O1480,1)&gt;7,MOD(1+IFERROR(MATCH($C878,总览!$D$46:$D$345,1)+1,1),7)=0),$C$3,0),0)</f>
        <v>312.574107142857</v>
      </c>
      <c r="P878" s="131" cm="1">
        <f ca="1" t="array" ref="P878">IF(P1480=1,OFFSET($W$634,$B878,P$631-1)/SUMPRODUCT(--($D$631:$V$631=P$631),--($D1480:$V1480=1)),0)+SUM(P877)+IF(COUNTIF(P$1237:P1480,1)=1,5,0)+IF(COUNTIF(Q878:$W878,"&gt;"&amp;0)&lt;5,IF(AND(COUNTIF(P$1237:P1480,1)&gt;7,MOD(1+IFERROR(MATCH($C878,总览!$D$46:$D$345,1)+1,1),7)=0),$C$3,0),0)</f>
        <v>301.692857142857</v>
      </c>
      <c r="Q878" s="131" cm="1">
        <f ca="1" t="array" ref="Q878">IF(Q1480=1,OFFSET($W$634,$B878,Q$631-1)/SUMPRODUCT(--($D$631:$V$631=Q$631),--($D1480:$V1480=1)),0)+SUM(Q877)+IF(COUNTIF(Q$1237:Q1480,1)=1,5,0)+IF(COUNTIF(R878:$W878,"&gt;"&amp;0)&lt;5,IF(AND(COUNTIF(Q$1237:Q1480,1)&gt;7,MOD(1+IFERROR(MATCH($C878,总览!$D$46:$D$345,1)+1,1),7)=0),$C$3,0),0)</f>
        <v>315.074107142857</v>
      </c>
      <c r="R878" s="131" cm="1">
        <f ca="1" t="array" ref="R878">IF(R1480=1,OFFSET($W$634,$B878,R$631-1)/SUMPRODUCT(--($D$631:$V$631=R$631),--($D1480:$V1480=1)),0)+SUM(R877)+IF(COUNTIF(R$1237:R1480,1)=1,5,0)+IF(COUNTIF(S878:$W878,"&gt;"&amp;0)&lt;5,IF(AND(COUNTIF(R$1237:R1480,1)&gt;7,MOD(1+IFERROR(MATCH($C878,总览!$D$46:$D$345,1)+1,1),7)=0),$C$3,0),0)</f>
        <v>306.692857142857</v>
      </c>
      <c r="S878" s="131" cm="1">
        <f ca="1" t="array" ref="S878">IF(S1480=1,OFFSET($W$634,$B878,S$631-1)/SUMPRODUCT(--($D$631:$V$631=S$631),--($D1480:$V1480=1)),0)+SUM(S877)+IF(COUNTIF(S$1237:S1480,1)=1,5,0)+IF(COUNTIF(T878:$W878,"&gt;"&amp;0)&lt;5,IF(AND(COUNTIF(S$1237:S1480,1)&gt;7,MOD(1+IFERROR(MATCH($C878,总览!$D$46:$D$345,1)+1,1),7)=0),$C$3,0),0)</f>
        <v>399.192857142858</v>
      </c>
      <c r="T878" s="131" cm="1">
        <f ca="1" t="array" ref="T878">IF(T1480=1,OFFSET($W$634,$B878,T$631-1)/SUMPRODUCT(--($D$631:$V$631=T$631),--($D1480:$V1480=1)),0)+SUM(T877)+IF(COUNTIF(T$1237:T1480,1)=1,5,0)+IF(COUNTIF(U878:$W878,"&gt;"&amp;0)&lt;5,IF(AND(COUNTIF(T$1237:T1480,1)&gt;7,MOD(1+IFERROR(MATCH($C878,总览!$D$46:$D$345,1)+1,1),7)=0),$C$3,0),0)</f>
        <v>291.347394069047</v>
      </c>
      <c r="U878" s="131" cm="1">
        <f ca="1" t="array" ref="U878">IF(U1480=1,OFFSET($W$634,$B878,U$631-1)/SUMPRODUCT(--($D$631:$V$631=U$631),--($D1480:$V1480=1)),0)+SUM(U877)+IF(COUNTIF(U$1237:U1480,1)=1,5,0)+IF(COUNTIF(V878:$W878,"&gt;"&amp;0)&lt;5,IF(AND(COUNTIF(U$1237:U1480,1)&gt;7,MOD(1+IFERROR(MATCH($C878,总览!$D$46:$D$345,1)+1,1),7)=0),$C$3,0),0)</f>
        <v>296.868180424347</v>
      </c>
      <c r="V878" s="131" cm="1">
        <f ca="1" t="array" ref="V878">IF(V1480=1,OFFSET($W$634,$B878,V$631-1)/SUMPRODUCT(--($D$631:$V$631=V$631),--($D1480:$V1480=1)),0)+SUM(V877)+IF(COUNTIF(V$1237:V1480,1)=1,5,0)+IF(COUNTIF(W878:$W878,"&gt;"&amp;0)&lt;5,IF(AND(COUNTIF(V$1237:V1480,1)&gt;7,MOD(1+IFERROR(MATCH($C878,总览!$D$46:$D$345,1)+1,1),7)=0),$C$3,0),0)</f>
        <v>316.69518013678</v>
      </c>
      <c r="W878" s="135" cm="1">
        <f ca="1" t="array" ref="W878">SUMPRODUCT(TRANSPOSE($AA878:$AG878),OFFSET($L$9:$L$15,0,W$631-1))</f>
        <v>16.8502200646615</v>
      </c>
      <c r="X878" s="135" cm="1">
        <f ca="1" t="array" ref="X878">SUMPRODUCT(TRANSPOSE($AA878:$AG878),OFFSET($L$9:$L$15,0,X$631-1))</f>
        <v>20</v>
      </c>
      <c r="Y878" s="135" cm="1">
        <f ca="1" t="array" ref="Y878">SUMPRODUCT(TRANSPOSE($AA878:$AG878),OFFSET($L$9:$L$15,0,Y$631-1))</f>
        <v>10</v>
      </c>
      <c r="Z878" s="135" cm="1">
        <f ca="1" t="array" ref="Z878">SUMPRODUCT(TRANSPOSE($AA878:$AG878),OFFSET($L$9:$L$15,0,Z$631-1))</f>
        <v>3.14977993533847</v>
      </c>
      <c r="AA878" s="136">
        <f ca="1" t="shared" ref="AA878:AG878" si="733">AH878-AH877</f>
        <v>0</v>
      </c>
      <c r="AB878" s="136">
        <f ca="1" t="shared" si="733"/>
        <v>0</v>
      </c>
      <c r="AC878" s="136">
        <f ca="1" t="shared" si="733"/>
        <v>0</v>
      </c>
      <c r="AD878" s="136">
        <f ca="1" t="shared" si="733"/>
        <v>0</v>
      </c>
      <c r="AE878" s="136">
        <f ca="1" t="shared" si="733"/>
        <v>0</v>
      </c>
      <c r="AF878" s="136">
        <f ca="1" t="shared" si="733"/>
        <v>0</v>
      </c>
      <c r="AG878" s="136">
        <f ca="1" t="shared" si="733"/>
        <v>100</v>
      </c>
      <c r="AH878" s="136">
        <f ca="1" t="shared" si="631"/>
        <v>450</v>
      </c>
      <c r="AI878" s="136">
        <f ca="1" t="shared" ref="AI878:AN878" si="734">IF($C878&gt;OFFSET($Q$8,MATCH(AI$634,$AH$634:$AN$634,0),0),OFFSET($P$8,MATCH(AI$634,$AH$634:$AN$634,0),0),MAX(0,$C878-OFFSET($Q$8,RIGHT(AI$634,1)-1,0)))</f>
        <v>909</v>
      </c>
      <c r="AJ878" s="136">
        <f ca="1" t="shared" si="734"/>
        <v>1818</v>
      </c>
      <c r="AK878" s="136">
        <f ca="1" t="shared" si="734"/>
        <v>2727</v>
      </c>
      <c r="AL878" s="136">
        <f ca="1" t="shared" si="734"/>
        <v>3636</v>
      </c>
      <c r="AM878" s="136">
        <f ca="1" t="shared" si="734"/>
        <v>4545</v>
      </c>
      <c r="AN878" s="136">
        <f ca="1" t="shared" si="734"/>
        <v>10315</v>
      </c>
    </row>
    <row r="879" s="106" customFormat="1" ht="16.5" spans="2:40">
      <c r="B879" s="117">
        <v>245</v>
      </c>
      <c r="C879" s="130">
        <f t="shared" si="629"/>
        <v>24500</v>
      </c>
      <c r="D879" s="131" cm="1">
        <f ca="1" t="array" ref="D879">IF(D1481=1,OFFSET($W$634,$B879,D$631-1)/SUMPRODUCT(--($D$631:$V$631=D$631),--($D1481:$V1481=1)),0)+SUM(D878)+IF(COUNTIF(D$1237:D1481,1)=1,5,0)+IF(COUNTIF(E879:$W879,"&gt;"&amp;0)&lt;5,IF(AND(COUNTIF(D$1237:D1481,1)&gt;7,MOD(1+IFERROR(MATCH($C879,总览!$D$46:$D$345,1)+1,1),7)=0),$C$3,0),0)</f>
        <v>1703.80482181149</v>
      </c>
      <c r="E879" s="131" cm="1">
        <f ca="1" t="array" ref="E879">IF(E1481=1,OFFSET($W$634,$B879,E$631-1)/SUMPRODUCT(--($D$631:$V$631=E$631),--($D1481:$V1481=1)),0)+SUM(E878)+IF(COUNTIF(E$1237:E1481,1)=1,5,0)+IF(COUNTIF(F879:$W879,"&gt;"&amp;0)&lt;5,IF(AND(COUNTIF(E$1237:E1481,1)&gt;7,MOD(1+IFERROR(MATCH($C879,总览!$D$46:$D$345,1)+1,1),7)=0),$C$3,0),0)</f>
        <v>1703.80482181149</v>
      </c>
      <c r="F879" s="131" cm="1">
        <f ca="1" t="array" ref="F879">IF(F1481=1,OFFSET($W$634,$B879,F$631-1)/SUMPRODUCT(--($D$631:$V$631=F$631),--($D1481:$V1481=1)),0)+SUM(F878)+IF(COUNTIF(F$1237:F1481,1)=1,5,0)+IF(COUNTIF(G879:$W879,"&gt;"&amp;0)&lt;5,IF(AND(COUNTIF(F$1237:F1481,1)&gt;7,MOD(1+IFERROR(MATCH($C879,总览!$D$46:$D$345,1)+1,1),7)=0),$C$3,0),0)</f>
        <v>1703.80482181149</v>
      </c>
      <c r="G879" s="131" cm="1">
        <f ca="1" t="array" ref="G879">IF(G1481=1,OFFSET($W$634,$B879,G$631-1)/SUMPRODUCT(--($D$631:$V$631=G$631),--($D1481:$V1481=1)),0)+SUM(G878)+IF(COUNTIF(G$1237:G1481,1)=1,5,0)+IF(COUNTIF(H879:$W879,"&gt;"&amp;0)&lt;5,IF(AND(COUNTIF(G$1237:G1481,1)&gt;7,MOD(1+IFERROR(MATCH($C879,总览!$D$46:$D$345,1)+1,1),7)=0),$C$3,0),0)</f>
        <v>756.066666666668</v>
      </c>
      <c r="H879" s="131" cm="1">
        <f ca="1" t="array" ref="H879">IF(H1481=1,OFFSET($W$634,$B879,H$631-1)/SUMPRODUCT(--($D$631:$V$631=H$631),--($D1481:$V1481=1)),0)+SUM(H878)+IF(COUNTIF(H$1237:H1481,1)=1,5,0)+IF(COUNTIF(I879:$W879,"&gt;"&amp;0)&lt;5,IF(AND(COUNTIF(H$1237:H1481,1)&gt;7,MOD(1+IFERROR(MATCH($C879,总览!$D$46:$D$345,1)+1,1),7)=0),$C$3,0),0)</f>
        <v>756.066666666668</v>
      </c>
      <c r="I879" s="131" cm="1">
        <f ca="1" t="array" ref="I879">IF(I1481=1,OFFSET($W$634,$B879,I$631-1)/SUMPRODUCT(--($D$631:$V$631=I$631),--($D1481:$V1481=1)),0)+SUM(I878)+IF(COUNTIF(I$1237:I1481,1)=1,5,0)+IF(COUNTIF(J879:$W879,"&gt;"&amp;0)&lt;5,IF(AND(COUNTIF(I$1237:I1481,1)&gt;7,MOD(1+IFERROR(MATCH($C879,总览!$D$46:$D$345,1)+1,1),7)=0),$C$3,0),0)</f>
        <v>756.066666666668</v>
      </c>
      <c r="J879" s="131" cm="1">
        <f ca="1" t="array" ref="J879">IF(J1481=1,OFFSET($W$634,$B879,J$631-1)/SUMPRODUCT(--($D$631:$V$631=J$631),--($D1481:$V1481=1)),0)+SUM(J878)+IF(COUNTIF(J$1237:J1481,1)=1,5,0)+IF(COUNTIF(K879:$W879,"&gt;"&amp;0)&lt;5,IF(AND(COUNTIF(J$1237:J1481,1)&gt;7,MOD(1+IFERROR(MATCH($C879,总览!$D$46:$D$345,1)+1,1),7)=0),$C$3,0),0)</f>
        <v>752.733333333335</v>
      </c>
      <c r="K879" s="131" cm="1">
        <f ca="1" t="array" ref="K879">IF(K1481=1,OFFSET($W$634,$B879,K$631-1)/SUMPRODUCT(--($D$631:$V$631=K$631),--($D1481:$V1481=1)),0)+SUM(K878)+IF(COUNTIF(K$1237:K1481,1)=1,5,0)+IF(COUNTIF(L879:$W879,"&gt;"&amp;0)&lt;5,IF(AND(COUNTIF(K$1237:K1481,1)&gt;7,MOD(1+IFERROR(MATCH($C879,总览!$D$46:$D$345,1)+1,1),7)=0),$C$3,0),0)</f>
        <v>750.233333333335</v>
      </c>
      <c r="L879" s="131" cm="1">
        <f ca="1" t="array" ref="L879">IF(L1481=1,OFFSET($W$634,$B879,L$631-1)/SUMPRODUCT(--($D$631:$V$631=L$631),--($D1481:$V1481=1)),0)+SUM(L878)+IF(COUNTIF(L$1237:L1481,1)=1,5,0)+IF(COUNTIF(M879:$W879,"&gt;"&amp;0)&lt;5,IF(AND(COUNTIF(L$1237:L1481,1)&gt;7,MOD(1+IFERROR(MATCH($C879,总览!$D$46:$D$345,1)+1,1),7)=0),$C$3,0),0)</f>
        <v>750.233333333335</v>
      </c>
      <c r="M879" s="131" cm="1">
        <f ca="1" t="array" ref="M879">IF(M1481=1,OFFSET($W$634,$B879,M$631-1)/SUMPRODUCT(--($D$631:$V$631=M$631),--($D1481:$V1481=1)),0)+SUM(M878)+IF(COUNTIF(M$1237:M1481,1)=1,5,0)+IF(COUNTIF(N879:$W879,"&gt;"&amp;0)&lt;5,IF(AND(COUNTIF(M$1237:M1481,1)&gt;7,MOD(1+IFERROR(MATCH($C879,总览!$D$46:$D$345,1)+1,1),7)=0),$C$3,0),0)</f>
        <v>307.752678571428</v>
      </c>
      <c r="N879" s="131" cm="1">
        <f ca="1" t="array" ref="N879">IF(N1481=1,OFFSET($W$634,$B879,N$631-1)/SUMPRODUCT(--($D$631:$V$631=N$631),--($D1481:$V1481=1)),0)+SUM(N878)+IF(COUNTIF(N$1237:N1481,1)=1,5,0)+IF(COUNTIF(O879:$W879,"&gt;"&amp;0)&lt;5,IF(AND(COUNTIF(N$1237:N1481,1)&gt;7,MOD(1+IFERROR(MATCH($C879,总览!$D$46:$D$345,1)+1,1),7)=0),$C$3,0),0)</f>
        <v>309.002678571428</v>
      </c>
      <c r="O879" s="131" cm="1">
        <f ca="1" t="array" ref="O879">IF(O1481=1,OFFSET($W$634,$B879,O$631-1)/SUMPRODUCT(--($D$631:$V$631=O$631),--($D1481:$V1481=1)),0)+SUM(O878)+IF(COUNTIF(O$1237:O1481,1)=1,5,0)+IF(COUNTIF(P879:$W879,"&gt;"&amp;0)&lt;5,IF(AND(COUNTIF(O$1237:O1481,1)&gt;7,MOD(1+IFERROR(MATCH($C879,总览!$D$46:$D$345,1)+1,1),7)=0),$C$3,0),0)</f>
        <v>314.002678571428</v>
      </c>
      <c r="P879" s="131" cm="1">
        <f ca="1" t="array" ref="P879">IF(P1481=1,OFFSET($W$634,$B879,P$631-1)/SUMPRODUCT(--($D$631:$V$631=P$631),--($D1481:$V1481=1)),0)+SUM(P878)+IF(COUNTIF(P$1237:P1481,1)=1,5,0)+IF(COUNTIF(Q879:$W879,"&gt;"&amp;0)&lt;5,IF(AND(COUNTIF(P$1237:P1481,1)&gt;7,MOD(1+IFERROR(MATCH($C879,总览!$D$46:$D$345,1)+1,1),7)=0),$C$3,0),0)</f>
        <v>303.121428571428</v>
      </c>
      <c r="Q879" s="131" cm="1">
        <f ca="1" t="array" ref="Q879">IF(Q1481=1,OFFSET($W$634,$B879,Q$631-1)/SUMPRODUCT(--($D$631:$V$631=Q$631),--($D1481:$V1481=1)),0)+SUM(Q878)+IF(COUNTIF(Q$1237:Q1481,1)=1,5,0)+IF(COUNTIF(R879:$W879,"&gt;"&amp;0)&lt;5,IF(AND(COUNTIF(Q$1237:Q1481,1)&gt;7,MOD(1+IFERROR(MATCH($C879,总览!$D$46:$D$345,1)+1,1),7)=0),$C$3,0),0)</f>
        <v>316.502678571428</v>
      </c>
      <c r="R879" s="131" cm="1">
        <f ca="1" t="array" ref="R879">IF(R1481=1,OFFSET($W$634,$B879,R$631-1)/SUMPRODUCT(--($D$631:$V$631=R$631),--($D1481:$V1481=1)),0)+SUM(R878)+IF(COUNTIF(R$1237:R1481,1)=1,5,0)+IF(COUNTIF(S879:$W879,"&gt;"&amp;0)&lt;5,IF(AND(COUNTIF(R$1237:R1481,1)&gt;7,MOD(1+IFERROR(MATCH($C879,总览!$D$46:$D$345,1)+1,1),7)=0),$C$3,0),0)</f>
        <v>308.121428571428</v>
      </c>
      <c r="S879" s="131" cm="1">
        <f ca="1" t="array" ref="S879">IF(S1481=1,OFFSET($W$634,$B879,S$631-1)/SUMPRODUCT(--($D$631:$V$631=S$631),--($D1481:$V1481=1)),0)+SUM(S878)+IF(COUNTIF(S$1237:S1481,1)=1,5,0)+IF(COUNTIF(T879:$W879,"&gt;"&amp;0)&lt;5,IF(AND(COUNTIF(S$1237:S1481,1)&gt;7,MOD(1+IFERROR(MATCH($C879,总览!$D$46:$D$345,1)+1,1),7)=0),$C$3,0),0)</f>
        <v>400.621428571429</v>
      </c>
      <c r="T879" s="131" cm="1">
        <f ca="1" t="array" ref="T879">IF(T1481=1,OFFSET($W$634,$B879,T$631-1)/SUMPRODUCT(--($D$631:$V$631=T$631),--($D1481:$V1481=1)),0)+SUM(T878)+IF(COUNTIF(T$1237:T1481,1)=1,5,0)+IF(COUNTIF(U879:$W879,"&gt;"&amp;0)&lt;5,IF(AND(COUNTIF(T$1237:T1481,1)&gt;7,MOD(1+IFERROR(MATCH($C879,总览!$D$46:$D$345,1)+1,1),7)=0),$C$3,0),0)</f>
        <v>292.39732071416</v>
      </c>
      <c r="U879" s="131" cm="1">
        <f ca="1" t="array" ref="U879">IF(U1481=1,OFFSET($W$634,$B879,U$631-1)/SUMPRODUCT(--($D$631:$V$631=U$631),--($D1481:$V1481=1)),0)+SUM(U878)+IF(COUNTIF(U$1237:U1481,1)=1,5,0)+IF(COUNTIF(V879:$W879,"&gt;"&amp;0)&lt;5,IF(AND(COUNTIF(U$1237:U1481,1)&gt;7,MOD(1+IFERROR(MATCH($C879,总览!$D$46:$D$345,1)+1,1),7)=0),$C$3,0),0)</f>
        <v>297.91810706946</v>
      </c>
      <c r="V879" s="131" cm="1">
        <f ca="1" t="array" ref="V879">IF(V1481=1,OFFSET($W$634,$B879,V$631-1)/SUMPRODUCT(--($D$631:$V$631=V$631),--($D1481:$V1481=1)),0)+SUM(V878)+IF(COUNTIF(V$1237:V1481,1)=1,5,0)+IF(COUNTIF(W879:$W879,"&gt;"&amp;0)&lt;5,IF(AND(COUNTIF(V$1237:V1481,1)&gt;7,MOD(1+IFERROR(MATCH($C879,总览!$D$46:$D$345,1)+1,1),7)=0),$C$3,0),0)</f>
        <v>317.745106781893</v>
      </c>
      <c r="W879" s="135" cm="1">
        <f ca="1" t="array" ref="W879">SUMPRODUCT(TRANSPOSE($AA879:$AG879),OFFSET($L$9:$L$15,0,W$631-1))</f>
        <v>16.8502200646615</v>
      </c>
      <c r="X879" s="135" cm="1">
        <f ca="1" t="array" ref="X879">SUMPRODUCT(TRANSPOSE($AA879:$AG879),OFFSET($L$9:$L$15,0,X$631-1))</f>
        <v>20</v>
      </c>
      <c r="Y879" s="135" cm="1">
        <f ca="1" t="array" ref="Y879">SUMPRODUCT(TRANSPOSE($AA879:$AG879),OFFSET($L$9:$L$15,0,Y$631-1))</f>
        <v>10</v>
      </c>
      <c r="Z879" s="135" cm="1">
        <f ca="1" t="array" ref="Z879">SUMPRODUCT(TRANSPOSE($AA879:$AG879),OFFSET($L$9:$L$15,0,Z$631-1))</f>
        <v>3.14977993533847</v>
      </c>
      <c r="AA879" s="136">
        <f ca="1" t="shared" ref="AA879:AG879" si="735">AH879-AH878</f>
        <v>0</v>
      </c>
      <c r="AB879" s="136">
        <f ca="1" t="shared" si="735"/>
        <v>0</v>
      </c>
      <c r="AC879" s="136">
        <f ca="1" t="shared" si="735"/>
        <v>0</v>
      </c>
      <c r="AD879" s="136">
        <f ca="1" t="shared" si="735"/>
        <v>0</v>
      </c>
      <c r="AE879" s="136">
        <f ca="1" t="shared" si="735"/>
        <v>0</v>
      </c>
      <c r="AF879" s="136">
        <f ca="1" t="shared" si="735"/>
        <v>0</v>
      </c>
      <c r="AG879" s="136">
        <f ca="1" t="shared" si="735"/>
        <v>100</v>
      </c>
      <c r="AH879" s="136">
        <f ca="1" t="shared" si="631"/>
        <v>450</v>
      </c>
      <c r="AI879" s="136">
        <f ca="1" t="shared" ref="AI879:AN879" si="736">IF($C879&gt;OFFSET($Q$8,MATCH(AI$634,$AH$634:$AN$634,0),0),OFFSET($P$8,MATCH(AI$634,$AH$634:$AN$634,0),0),MAX(0,$C879-OFFSET($Q$8,RIGHT(AI$634,1)-1,0)))</f>
        <v>909</v>
      </c>
      <c r="AJ879" s="136">
        <f ca="1" t="shared" si="736"/>
        <v>1818</v>
      </c>
      <c r="AK879" s="136">
        <f ca="1" t="shared" si="736"/>
        <v>2727</v>
      </c>
      <c r="AL879" s="136">
        <f ca="1" t="shared" si="736"/>
        <v>3636</v>
      </c>
      <c r="AM879" s="136">
        <f ca="1" t="shared" si="736"/>
        <v>4545</v>
      </c>
      <c r="AN879" s="136">
        <f ca="1" t="shared" si="736"/>
        <v>10415</v>
      </c>
    </row>
    <row r="880" s="106" customFormat="1" ht="16.5" spans="2:40">
      <c r="B880" s="117">
        <v>246</v>
      </c>
      <c r="C880" s="130">
        <f t="shared" si="629"/>
        <v>24600</v>
      </c>
      <c r="D880" s="131" cm="1">
        <f ca="1" t="array" ref="D880">IF(D1482=1,OFFSET($W$634,$B880,D$631-1)/SUMPRODUCT(--($D$631:$V$631=D$631),--($D1482:$V1482=1)),0)+SUM(D879)+IF(COUNTIF(D$1237:D1482,1)=1,5,0)+IF(COUNTIF(E880:$W880,"&gt;"&amp;0)&lt;5,IF(AND(COUNTIF(D$1237:D1482,1)&gt;7,MOD(1+IFERROR(MATCH($C880,总览!$D$46:$D$345,1)+1,1),7)=0),$C$3,0),0)</f>
        <v>1709.42156183305</v>
      </c>
      <c r="E880" s="131" cm="1">
        <f ca="1" t="array" ref="E880">IF(E1482=1,OFFSET($W$634,$B880,E$631-1)/SUMPRODUCT(--($D$631:$V$631=E$631),--($D1482:$V1482=1)),0)+SUM(E879)+IF(COUNTIF(E$1237:E1482,1)=1,5,0)+IF(COUNTIF(F880:$W880,"&gt;"&amp;0)&lt;5,IF(AND(COUNTIF(E$1237:E1482,1)&gt;7,MOD(1+IFERROR(MATCH($C880,总览!$D$46:$D$345,1)+1,1),7)=0),$C$3,0),0)</f>
        <v>1709.42156183305</v>
      </c>
      <c r="F880" s="131" cm="1">
        <f ca="1" t="array" ref="F880">IF(F1482=1,OFFSET($W$634,$B880,F$631-1)/SUMPRODUCT(--($D$631:$V$631=F$631),--($D1482:$V1482=1)),0)+SUM(F879)+IF(COUNTIF(F$1237:F1482,1)=1,5,0)+IF(COUNTIF(G880:$W880,"&gt;"&amp;0)&lt;5,IF(AND(COUNTIF(F$1237:F1482,1)&gt;7,MOD(1+IFERROR(MATCH($C880,总览!$D$46:$D$345,1)+1,1),7)=0),$C$3,0),0)</f>
        <v>1709.42156183305</v>
      </c>
      <c r="G880" s="131" cm="1">
        <f ca="1" t="array" ref="G880">IF(G1482=1,OFFSET($W$634,$B880,G$631-1)/SUMPRODUCT(--($D$631:$V$631=G$631),--($D1482:$V1482=1)),0)+SUM(G879)+IF(COUNTIF(G$1237:G1482,1)=1,5,0)+IF(COUNTIF(H880:$W880,"&gt;"&amp;0)&lt;5,IF(AND(COUNTIF(G$1237:G1482,1)&gt;7,MOD(1+IFERROR(MATCH($C880,总览!$D$46:$D$345,1)+1,1),7)=0),$C$3,0),0)</f>
        <v>759.400000000001</v>
      </c>
      <c r="H880" s="131" cm="1">
        <f ca="1" t="array" ref="H880">IF(H1482=1,OFFSET($W$634,$B880,H$631-1)/SUMPRODUCT(--($D$631:$V$631=H$631),--($D1482:$V1482=1)),0)+SUM(H879)+IF(COUNTIF(H$1237:H1482,1)=1,5,0)+IF(COUNTIF(I880:$W880,"&gt;"&amp;0)&lt;5,IF(AND(COUNTIF(H$1237:H1482,1)&gt;7,MOD(1+IFERROR(MATCH($C880,总览!$D$46:$D$345,1)+1,1),7)=0),$C$3,0),0)</f>
        <v>759.400000000001</v>
      </c>
      <c r="I880" s="131" cm="1">
        <f ca="1" t="array" ref="I880">IF(I1482=1,OFFSET($W$634,$B880,I$631-1)/SUMPRODUCT(--($D$631:$V$631=I$631),--($D1482:$V1482=1)),0)+SUM(I879)+IF(COUNTIF(I$1237:I1482,1)=1,5,0)+IF(COUNTIF(J880:$W880,"&gt;"&amp;0)&lt;5,IF(AND(COUNTIF(I$1237:I1482,1)&gt;7,MOD(1+IFERROR(MATCH($C880,总览!$D$46:$D$345,1)+1,1),7)=0),$C$3,0),0)</f>
        <v>759.400000000001</v>
      </c>
      <c r="J880" s="131" cm="1">
        <f ca="1" t="array" ref="J880">IF(J1482=1,OFFSET($W$634,$B880,J$631-1)/SUMPRODUCT(--($D$631:$V$631=J$631),--($D1482:$V1482=1)),0)+SUM(J879)+IF(COUNTIF(J$1237:J1482,1)=1,5,0)+IF(COUNTIF(K880:$W880,"&gt;"&amp;0)&lt;5,IF(AND(COUNTIF(J$1237:J1482,1)&gt;7,MOD(1+IFERROR(MATCH($C880,总览!$D$46:$D$345,1)+1,1),7)=0),$C$3,0),0)</f>
        <v>756.066666666668</v>
      </c>
      <c r="K880" s="131" cm="1">
        <f ca="1" t="array" ref="K880">IF(K1482=1,OFFSET($W$634,$B880,K$631-1)/SUMPRODUCT(--($D$631:$V$631=K$631),--($D1482:$V1482=1)),0)+SUM(K879)+IF(COUNTIF(K$1237:K1482,1)=1,5,0)+IF(COUNTIF(L880:$W880,"&gt;"&amp;0)&lt;5,IF(AND(COUNTIF(K$1237:K1482,1)&gt;7,MOD(1+IFERROR(MATCH($C880,总览!$D$46:$D$345,1)+1,1),7)=0),$C$3,0),0)</f>
        <v>753.566666666668</v>
      </c>
      <c r="L880" s="131" cm="1">
        <f ca="1" t="array" ref="L880">IF(L1482=1,OFFSET($W$634,$B880,L$631-1)/SUMPRODUCT(--($D$631:$V$631=L$631),--($D1482:$V1482=1)),0)+SUM(L879)+IF(COUNTIF(L$1237:L1482,1)=1,5,0)+IF(COUNTIF(M880:$W880,"&gt;"&amp;0)&lt;5,IF(AND(COUNTIF(L$1237:L1482,1)&gt;7,MOD(1+IFERROR(MATCH($C880,总览!$D$46:$D$345,1)+1,1),7)=0),$C$3,0),0)</f>
        <v>753.566666666668</v>
      </c>
      <c r="M880" s="131" cm="1">
        <f ca="1" t="array" ref="M880">IF(M1482=1,OFFSET($W$634,$B880,M$631-1)/SUMPRODUCT(--($D$631:$V$631=M$631),--($D1482:$V1482=1)),0)+SUM(M879)+IF(COUNTIF(M$1237:M1482,1)=1,5,0)+IF(COUNTIF(N880:$W880,"&gt;"&amp;0)&lt;5,IF(AND(COUNTIF(M$1237:M1482,1)&gt;7,MOD(1+IFERROR(MATCH($C880,总览!$D$46:$D$345,1)+1,1),7)=0),$C$3,0),0)</f>
        <v>309.181249999999</v>
      </c>
      <c r="N880" s="131" cm="1">
        <f ca="1" t="array" ref="N880">IF(N1482=1,OFFSET($W$634,$B880,N$631-1)/SUMPRODUCT(--($D$631:$V$631=N$631),--($D1482:$V1482=1)),0)+SUM(N879)+IF(COUNTIF(N$1237:N1482,1)=1,5,0)+IF(COUNTIF(O880:$W880,"&gt;"&amp;0)&lt;5,IF(AND(COUNTIF(N$1237:N1482,1)&gt;7,MOD(1+IFERROR(MATCH($C880,总览!$D$46:$D$345,1)+1,1),7)=0),$C$3,0),0)</f>
        <v>310.431249999999</v>
      </c>
      <c r="O880" s="131" cm="1">
        <f ca="1" t="array" ref="O880">IF(O1482=1,OFFSET($W$634,$B880,O$631-1)/SUMPRODUCT(--($D$631:$V$631=O$631),--($D1482:$V1482=1)),0)+SUM(O879)+IF(COUNTIF(O$1237:O1482,1)=1,5,0)+IF(COUNTIF(P880:$W880,"&gt;"&amp;0)&lt;5,IF(AND(COUNTIF(O$1237:O1482,1)&gt;7,MOD(1+IFERROR(MATCH($C880,总览!$D$46:$D$345,1)+1,1),7)=0),$C$3,0),0)</f>
        <v>315.431249999999</v>
      </c>
      <c r="P880" s="131" cm="1">
        <f ca="1" t="array" ref="P880">IF(P1482=1,OFFSET($W$634,$B880,P$631-1)/SUMPRODUCT(--($D$631:$V$631=P$631),--($D1482:$V1482=1)),0)+SUM(P879)+IF(COUNTIF(P$1237:P1482,1)=1,5,0)+IF(COUNTIF(Q880:$W880,"&gt;"&amp;0)&lt;5,IF(AND(COUNTIF(P$1237:P1482,1)&gt;7,MOD(1+IFERROR(MATCH($C880,总览!$D$46:$D$345,1)+1,1),7)=0),$C$3,0),0)</f>
        <v>304.549999999999</v>
      </c>
      <c r="Q880" s="131" cm="1">
        <f ca="1" t="array" ref="Q880">IF(Q1482=1,OFFSET($W$634,$B880,Q$631-1)/SUMPRODUCT(--($D$631:$V$631=Q$631),--($D1482:$V1482=1)),0)+SUM(Q879)+IF(COUNTIF(Q$1237:Q1482,1)=1,5,0)+IF(COUNTIF(R880:$W880,"&gt;"&amp;0)&lt;5,IF(AND(COUNTIF(Q$1237:Q1482,1)&gt;7,MOD(1+IFERROR(MATCH($C880,总览!$D$46:$D$345,1)+1,1),7)=0),$C$3,0),0)</f>
        <v>317.931249999999</v>
      </c>
      <c r="R880" s="131" cm="1">
        <f ca="1" t="array" ref="R880">IF(R1482=1,OFFSET($W$634,$B880,R$631-1)/SUMPRODUCT(--($D$631:$V$631=R$631),--($D1482:$V1482=1)),0)+SUM(R879)+IF(COUNTIF(R$1237:R1482,1)=1,5,0)+IF(COUNTIF(S880:$W880,"&gt;"&amp;0)&lt;5,IF(AND(COUNTIF(R$1237:R1482,1)&gt;7,MOD(1+IFERROR(MATCH($C880,总览!$D$46:$D$345,1)+1,1),7)=0),$C$3,0),0)</f>
        <v>309.549999999999</v>
      </c>
      <c r="S880" s="131" cm="1">
        <f ca="1" t="array" ref="S880">IF(S1482=1,OFFSET($W$634,$B880,S$631-1)/SUMPRODUCT(--($D$631:$V$631=S$631),--($D1482:$V1482=1)),0)+SUM(S879)+IF(COUNTIF(S$1237:S1482,1)=1,5,0)+IF(COUNTIF(T880:$W880,"&gt;"&amp;0)&lt;5,IF(AND(COUNTIF(S$1237:S1482,1)&gt;7,MOD(1+IFERROR(MATCH($C880,总览!$D$46:$D$345,1)+1,1),7)=0),$C$3,0),0)</f>
        <v>402.050000000001</v>
      </c>
      <c r="T880" s="131" cm="1">
        <f ca="1" t="array" ref="T880">IF(T1482=1,OFFSET($W$634,$B880,T$631-1)/SUMPRODUCT(--($D$631:$V$631=T$631),--($D1482:$V1482=1)),0)+SUM(T879)+IF(COUNTIF(T$1237:T1482,1)=1,5,0)+IF(COUNTIF(U880:$W880,"&gt;"&amp;0)&lt;5,IF(AND(COUNTIF(T$1237:T1482,1)&gt;7,MOD(1+IFERROR(MATCH($C880,总览!$D$46:$D$345,1)+1,1),7)=0),$C$3,0),0)</f>
        <v>293.447247359273</v>
      </c>
      <c r="U880" s="131" cm="1">
        <f ca="1" t="array" ref="U880">IF(U1482=1,OFFSET($W$634,$B880,U$631-1)/SUMPRODUCT(--($D$631:$V$631=U$631),--($D1482:$V1482=1)),0)+SUM(U879)+IF(COUNTIF(U$1237:U1482,1)=1,5,0)+IF(COUNTIF(V880:$W880,"&gt;"&amp;0)&lt;5,IF(AND(COUNTIF(U$1237:U1482,1)&gt;7,MOD(1+IFERROR(MATCH($C880,总览!$D$46:$D$345,1)+1,1),7)=0),$C$3,0),0)</f>
        <v>298.968033714572</v>
      </c>
      <c r="V880" s="131" cm="1">
        <f ca="1" t="array" ref="V880">IF(V1482=1,OFFSET($W$634,$B880,V$631-1)/SUMPRODUCT(--($D$631:$V$631=V$631),--($D1482:$V1482=1)),0)+SUM(V879)+IF(COUNTIF(V$1237:V1482,1)=1,5,0)+IF(COUNTIF(W880:$W880,"&gt;"&amp;0)&lt;5,IF(AND(COUNTIF(V$1237:V1482,1)&gt;7,MOD(1+IFERROR(MATCH($C880,总览!$D$46:$D$345,1)+1,1),7)=0),$C$3,0),0)</f>
        <v>318.795033427005</v>
      </c>
      <c r="W880" s="135" cm="1">
        <f ca="1" t="array" ref="W880">SUMPRODUCT(TRANSPOSE($AA880:$AG880),OFFSET($L$9:$L$15,0,W$631-1))</f>
        <v>16.8502200646615</v>
      </c>
      <c r="X880" s="135" cm="1">
        <f ca="1" t="array" ref="X880">SUMPRODUCT(TRANSPOSE($AA880:$AG880),OFFSET($L$9:$L$15,0,X$631-1))</f>
        <v>20</v>
      </c>
      <c r="Y880" s="135" cm="1">
        <f ca="1" t="array" ref="Y880">SUMPRODUCT(TRANSPOSE($AA880:$AG880),OFFSET($L$9:$L$15,0,Y$631-1))</f>
        <v>10</v>
      </c>
      <c r="Z880" s="135" cm="1">
        <f ca="1" t="array" ref="Z880">SUMPRODUCT(TRANSPOSE($AA880:$AG880),OFFSET($L$9:$L$15,0,Z$631-1))</f>
        <v>3.14977993533847</v>
      </c>
      <c r="AA880" s="136">
        <f ca="1" t="shared" ref="AA880:AG880" si="737">AH880-AH879</f>
        <v>0</v>
      </c>
      <c r="AB880" s="136">
        <f ca="1" t="shared" si="737"/>
        <v>0</v>
      </c>
      <c r="AC880" s="136">
        <f ca="1" t="shared" si="737"/>
        <v>0</v>
      </c>
      <c r="AD880" s="136">
        <f ca="1" t="shared" si="737"/>
        <v>0</v>
      </c>
      <c r="AE880" s="136">
        <f ca="1" t="shared" si="737"/>
        <v>0</v>
      </c>
      <c r="AF880" s="136">
        <f ca="1" t="shared" si="737"/>
        <v>0</v>
      </c>
      <c r="AG880" s="136">
        <f ca="1" t="shared" si="737"/>
        <v>100</v>
      </c>
      <c r="AH880" s="136">
        <f ca="1" t="shared" si="631"/>
        <v>450</v>
      </c>
      <c r="AI880" s="136">
        <f ca="1" t="shared" ref="AI880:AN880" si="738">IF($C880&gt;OFFSET($Q$8,MATCH(AI$634,$AH$634:$AN$634,0),0),OFFSET($P$8,MATCH(AI$634,$AH$634:$AN$634,0),0),MAX(0,$C880-OFFSET($Q$8,RIGHT(AI$634,1)-1,0)))</f>
        <v>909</v>
      </c>
      <c r="AJ880" s="136">
        <f ca="1" t="shared" si="738"/>
        <v>1818</v>
      </c>
      <c r="AK880" s="136">
        <f ca="1" t="shared" si="738"/>
        <v>2727</v>
      </c>
      <c r="AL880" s="136">
        <f ca="1" t="shared" si="738"/>
        <v>3636</v>
      </c>
      <c r="AM880" s="136">
        <f ca="1" t="shared" si="738"/>
        <v>4545</v>
      </c>
      <c r="AN880" s="136">
        <f ca="1" t="shared" si="738"/>
        <v>10515</v>
      </c>
    </row>
    <row r="881" s="106" customFormat="1" ht="16.5" spans="2:40">
      <c r="B881" s="117">
        <v>247</v>
      </c>
      <c r="C881" s="130">
        <f t="shared" si="629"/>
        <v>24700</v>
      </c>
      <c r="D881" s="131" cm="1">
        <f ca="1" t="array" ref="D881">IF(D1483=1,OFFSET($W$634,$B881,D$631-1)/SUMPRODUCT(--($D$631:$V$631=D$631),--($D1483:$V1483=1)),0)+SUM(D880)+IF(COUNTIF(D$1237:D1483,1)=1,5,0)+IF(COUNTIF(E881:$W881,"&gt;"&amp;0)&lt;5,IF(AND(COUNTIF(D$1237:D1483,1)&gt;7,MOD(1+IFERROR(MATCH($C881,总览!$D$46:$D$345,1)+1,1),7)=0),$C$3,0),0)</f>
        <v>1715.0383018546</v>
      </c>
      <c r="E881" s="131" cm="1">
        <f ca="1" t="array" ref="E881">IF(E1483=1,OFFSET($W$634,$B881,E$631-1)/SUMPRODUCT(--($D$631:$V$631=E$631),--($D1483:$V1483=1)),0)+SUM(E880)+IF(COUNTIF(E$1237:E1483,1)=1,5,0)+IF(COUNTIF(F881:$W881,"&gt;"&amp;0)&lt;5,IF(AND(COUNTIF(E$1237:E1483,1)&gt;7,MOD(1+IFERROR(MATCH($C881,总览!$D$46:$D$345,1)+1,1),7)=0),$C$3,0),0)</f>
        <v>1715.0383018546</v>
      </c>
      <c r="F881" s="131" cm="1">
        <f ca="1" t="array" ref="F881">IF(F1483=1,OFFSET($W$634,$B881,F$631-1)/SUMPRODUCT(--($D$631:$V$631=F$631),--($D1483:$V1483=1)),0)+SUM(F880)+IF(COUNTIF(F$1237:F1483,1)=1,5,0)+IF(COUNTIF(G881:$W881,"&gt;"&amp;0)&lt;5,IF(AND(COUNTIF(F$1237:F1483,1)&gt;7,MOD(1+IFERROR(MATCH($C881,总览!$D$46:$D$345,1)+1,1),7)=0),$C$3,0),0)</f>
        <v>1715.0383018546</v>
      </c>
      <c r="G881" s="131" cm="1">
        <f ca="1" t="array" ref="G881">IF(G1483=1,OFFSET($W$634,$B881,G$631-1)/SUMPRODUCT(--($D$631:$V$631=G$631),--($D1483:$V1483=1)),0)+SUM(G880)+IF(COUNTIF(G$1237:G1483,1)=1,5,0)+IF(COUNTIF(H881:$W881,"&gt;"&amp;0)&lt;5,IF(AND(COUNTIF(G$1237:G1483,1)&gt;7,MOD(1+IFERROR(MATCH($C881,总览!$D$46:$D$345,1)+1,1),7)=0),$C$3,0),0)</f>
        <v>762.733333333335</v>
      </c>
      <c r="H881" s="131" cm="1">
        <f ca="1" t="array" ref="H881">IF(H1483=1,OFFSET($W$634,$B881,H$631-1)/SUMPRODUCT(--($D$631:$V$631=H$631),--($D1483:$V1483=1)),0)+SUM(H880)+IF(COUNTIF(H$1237:H1483,1)=1,5,0)+IF(COUNTIF(I881:$W881,"&gt;"&amp;0)&lt;5,IF(AND(COUNTIF(H$1237:H1483,1)&gt;7,MOD(1+IFERROR(MATCH($C881,总览!$D$46:$D$345,1)+1,1),7)=0),$C$3,0),0)</f>
        <v>762.733333333335</v>
      </c>
      <c r="I881" s="131" cm="1">
        <f ca="1" t="array" ref="I881">IF(I1483=1,OFFSET($W$634,$B881,I$631-1)/SUMPRODUCT(--($D$631:$V$631=I$631),--($D1483:$V1483=1)),0)+SUM(I880)+IF(COUNTIF(I$1237:I1483,1)=1,5,0)+IF(COUNTIF(J881:$W881,"&gt;"&amp;0)&lt;5,IF(AND(COUNTIF(I$1237:I1483,1)&gt;7,MOD(1+IFERROR(MATCH($C881,总览!$D$46:$D$345,1)+1,1),7)=0),$C$3,0),0)</f>
        <v>762.733333333335</v>
      </c>
      <c r="J881" s="131" cm="1">
        <f ca="1" t="array" ref="J881">IF(J1483=1,OFFSET($W$634,$B881,J$631-1)/SUMPRODUCT(--($D$631:$V$631=J$631),--($D1483:$V1483=1)),0)+SUM(J880)+IF(COUNTIF(J$1237:J1483,1)=1,5,0)+IF(COUNTIF(K881:$W881,"&gt;"&amp;0)&lt;5,IF(AND(COUNTIF(J$1237:J1483,1)&gt;7,MOD(1+IFERROR(MATCH($C881,总览!$D$46:$D$345,1)+1,1),7)=0),$C$3,0),0)</f>
        <v>759.400000000001</v>
      </c>
      <c r="K881" s="131" cm="1">
        <f ca="1" t="array" ref="K881">IF(K1483=1,OFFSET($W$634,$B881,K$631-1)/SUMPRODUCT(--($D$631:$V$631=K$631),--($D1483:$V1483=1)),0)+SUM(K880)+IF(COUNTIF(K$1237:K1483,1)=1,5,0)+IF(COUNTIF(L881:$W881,"&gt;"&amp;0)&lt;5,IF(AND(COUNTIF(K$1237:K1483,1)&gt;7,MOD(1+IFERROR(MATCH($C881,总览!$D$46:$D$345,1)+1,1),7)=0),$C$3,0),0)</f>
        <v>756.900000000001</v>
      </c>
      <c r="L881" s="131" cm="1">
        <f ca="1" t="array" ref="L881">IF(L1483=1,OFFSET($W$634,$B881,L$631-1)/SUMPRODUCT(--($D$631:$V$631=L$631),--($D1483:$V1483=1)),0)+SUM(L880)+IF(COUNTIF(L$1237:L1483,1)=1,5,0)+IF(COUNTIF(M881:$W881,"&gt;"&amp;0)&lt;5,IF(AND(COUNTIF(L$1237:L1483,1)&gt;7,MOD(1+IFERROR(MATCH($C881,总览!$D$46:$D$345,1)+1,1),7)=0),$C$3,0),0)</f>
        <v>756.900000000001</v>
      </c>
      <c r="M881" s="131" cm="1">
        <f ca="1" t="array" ref="M881">IF(M1483=1,OFFSET($W$634,$B881,M$631-1)/SUMPRODUCT(--($D$631:$V$631=M$631),--($D1483:$V1483=1)),0)+SUM(M880)+IF(COUNTIF(M$1237:M1483,1)=1,5,0)+IF(COUNTIF(N881:$W881,"&gt;"&amp;0)&lt;5,IF(AND(COUNTIF(M$1237:M1483,1)&gt;7,MOD(1+IFERROR(MATCH($C881,总览!$D$46:$D$345,1)+1,1),7)=0),$C$3,0),0)</f>
        <v>310.609821428571</v>
      </c>
      <c r="N881" s="131" cm="1">
        <f ca="1" t="array" ref="N881">IF(N1483=1,OFFSET($W$634,$B881,N$631-1)/SUMPRODUCT(--($D$631:$V$631=N$631),--($D1483:$V1483=1)),0)+SUM(N880)+IF(COUNTIF(N$1237:N1483,1)=1,5,0)+IF(COUNTIF(O881:$W881,"&gt;"&amp;0)&lt;5,IF(AND(COUNTIF(N$1237:N1483,1)&gt;7,MOD(1+IFERROR(MATCH($C881,总览!$D$46:$D$345,1)+1,1),7)=0),$C$3,0),0)</f>
        <v>311.859821428571</v>
      </c>
      <c r="O881" s="131" cm="1">
        <f ca="1" t="array" ref="O881">IF(O1483=1,OFFSET($W$634,$B881,O$631-1)/SUMPRODUCT(--($D$631:$V$631=O$631),--($D1483:$V1483=1)),0)+SUM(O880)+IF(COUNTIF(O$1237:O1483,1)=1,5,0)+IF(COUNTIF(P881:$W881,"&gt;"&amp;0)&lt;5,IF(AND(COUNTIF(O$1237:O1483,1)&gt;7,MOD(1+IFERROR(MATCH($C881,总览!$D$46:$D$345,1)+1,1),7)=0),$C$3,0),0)</f>
        <v>316.859821428571</v>
      </c>
      <c r="P881" s="131" cm="1">
        <f ca="1" t="array" ref="P881">IF(P1483=1,OFFSET($W$634,$B881,P$631-1)/SUMPRODUCT(--($D$631:$V$631=P$631),--($D1483:$V1483=1)),0)+SUM(P880)+IF(COUNTIF(P$1237:P1483,1)=1,5,0)+IF(COUNTIF(Q881:$W881,"&gt;"&amp;0)&lt;5,IF(AND(COUNTIF(P$1237:P1483,1)&gt;7,MOD(1+IFERROR(MATCH($C881,总览!$D$46:$D$345,1)+1,1),7)=0),$C$3,0),0)</f>
        <v>305.978571428571</v>
      </c>
      <c r="Q881" s="131" cm="1">
        <f ca="1" t="array" ref="Q881">IF(Q1483=1,OFFSET($W$634,$B881,Q$631-1)/SUMPRODUCT(--($D$631:$V$631=Q$631),--($D1483:$V1483=1)),0)+SUM(Q880)+IF(COUNTIF(Q$1237:Q1483,1)=1,5,0)+IF(COUNTIF(R881:$W881,"&gt;"&amp;0)&lt;5,IF(AND(COUNTIF(Q$1237:Q1483,1)&gt;7,MOD(1+IFERROR(MATCH($C881,总览!$D$46:$D$345,1)+1,1),7)=0),$C$3,0),0)</f>
        <v>319.359821428571</v>
      </c>
      <c r="R881" s="131" cm="1">
        <f ca="1" t="array" ref="R881">IF(R1483=1,OFFSET($W$634,$B881,R$631-1)/SUMPRODUCT(--($D$631:$V$631=R$631),--($D1483:$V1483=1)),0)+SUM(R880)+IF(COUNTIF(R$1237:R1483,1)=1,5,0)+IF(COUNTIF(S881:$W881,"&gt;"&amp;0)&lt;5,IF(AND(COUNTIF(R$1237:R1483,1)&gt;7,MOD(1+IFERROR(MATCH($C881,总览!$D$46:$D$345,1)+1,1),7)=0),$C$3,0),0)</f>
        <v>310.978571428571</v>
      </c>
      <c r="S881" s="131" cm="1">
        <f ca="1" t="array" ref="S881">IF(S1483=1,OFFSET($W$634,$B881,S$631-1)/SUMPRODUCT(--($D$631:$V$631=S$631),--($D1483:$V1483=1)),0)+SUM(S880)+IF(COUNTIF(S$1237:S1483,1)=1,5,0)+IF(COUNTIF(T881:$W881,"&gt;"&amp;0)&lt;5,IF(AND(COUNTIF(S$1237:S1483,1)&gt;7,MOD(1+IFERROR(MATCH($C881,总览!$D$46:$D$345,1)+1,1),7)=0),$C$3,0),0)</f>
        <v>403.478571428572</v>
      </c>
      <c r="T881" s="131" cm="1">
        <f ca="1" t="array" ref="T881">IF(T1483=1,OFFSET($W$634,$B881,T$631-1)/SUMPRODUCT(--($D$631:$V$631=T$631),--($D1483:$V1483=1)),0)+SUM(T880)+IF(COUNTIF(T$1237:T1483,1)=1,5,0)+IF(COUNTIF(U881:$W881,"&gt;"&amp;0)&lt;5,IF(AND(COUNTIF(T$1237:T1483,1)&gt;7,MOD(1+IFERROR(MATCH($C881,总览!$D$46:$D$345,1)+1,1),7)=0),$C$3,0),0)</f>
        <v>294.497174004386</v>
      </c>
      <c r="U881" s="131" cm="1">
        <f ca="1" t="array" ref="U881">IF(U1483=1,OFFSET($W$634,$B881,U$631-1)/SUMPRODUCT(--($D$631:$V$631=U$631),--($D1483:$V1483=1)),0)+SUM(U880)+IF(COUNTIF(U$1237:U1483,1)=1,5,0)+IF(COUNTIF(V881:$W881,"&gt;"&amp;0)&lt;5,IF(AND(COUNTIF(U$1237:U1483,1)&gt;7,MOD(1+IFERROR(MATCH($C881,总览!$D$46:$D$345,1)+1,1),7)=0),$C$3,0),0)</f>
        <v>300.017960359685</v>
      </c>
      <c r="V881" s="131" cm="1">
        <f ca="1" t="array" ref="V881">IF(V1483=1,OFFSET($W$634,$B881,V$631-1)/SUMPRODUCT(--($D$631:$V$631=V$631),--($D1483:$V1483=1)),0)+SUM(V880)+IF(COUNTIF(V$1237:V1483,1)=1,5,0)+IF(COUNTIF(W881:$W881,"&gt;"&amp;0)&lt;5,IF(AND(COUNTIF(V$1237:V1483,1)&gt;7,MOD(1+IFERROR(MATCH($C881,总览!$D$46:$D$345,1)+1,1),7)=0),$C$3,0),0)</f>
        <v>319.844960072118</v>
      </c>
      <c r="W881" s="135" cm="1">
        <f ca="1" t="array" ref="W881">SUMPRODUCT(TRANSPOSE($AA881:$AG881),OFFSET($L$9:$L$15,0,W$631-1))</f>
        <v>16.8502200646615</v>
      </c>
      <c r="X881" s="135" cm="1">
        <f ca="1" t="array" ref="X881">SUMPRODUCT(TRANSPOSE($AA881:$AG881),OFFSET($L$9:$L$15,0,X$631-1))</f>
        <v>20</v>
      </c>
      <c r="Y881" s="135" cm="1">
        <f ca="1" t="array" ref="Y881">SUMPRODUCT(TRANSPOSE($AA881:$AG881),OFFSET($L$9:$L$15,0,Y$631-1))</f>
        <v>10</v>
      </c>
      <c r="Z881" s="135" cm="1">
        <f ca="1" t="array" ref="Z881">SUMPRODUCT(TRANSPOSE($AA881:$AG881),OFFSET($L$9:$L$15,0,Z$631-1))</f>
        <v>3.14977993533847</v>
      </c>
      <c r="AA881" s="136">
        <f ca="1" t="shared" ref="AA881:AG881" si="739">AH881-AH880</f>
        <v>0</v>
      </c>
      <c r="AB881" s="136">
        <f ca="1" t="shared" si="739"/>
        <v>0</v>
      </c>
      <c r="AC881" s="136">
        <f ca="1" t="shared" si="739"/>
        <v>0</v>
      </c>
      <c r="AD881" s="136">
        <f ca="1" t="shared" si="739"/>
        <v>0</v>
      </c>
      <c r="AE881" s="136">
        <f ca="1" t="shared" si="739"/>
        <v>0</v>
      </c>
      <c r="AF881" s="136">
        <f ca="1" t="shared" si="739"/>
        <v>0</v>
      </c>
      <c r="AG881" s="136">
        <f ca="1" t="shared" si="739"/>
        <v>100</v>
      </c>
      <c r="AH881" s="136">
        <f ca="1" t="shared" si="631"/>
        <v>450</v>
      </c>
      <c r="AI881" s="136">
        <f ca="1" t="shared" ref="AI881:AN881" si="740">IF($C881&gt;OFFSET($Q$8,MATCH(AI$634,$AH$634:$AN$634,0),0),OFFSET($P$8,MATCH(AI$634,$AH$634:$AN$634,0),0),MAX(0,$C881-OFFSET($Q$8,RIGHT(AI$634,1)-1,0)))</f>
        <v>909</v>
      </c>
      <c r="AJ881" s="136">
        <f ca="1" t="shared" si="740"/>
        <v>1818</v>
      </c>
      <c r="AK881" s="136">
        <f ca="1" t="shared" si="740"/>
        <v>2727</v>
      </c>
      <c r="AL881" s="136">
        <f ca="1" t="shared" si="740"/>
        <v>3636</v>
      </c>
      <c r="AM881" s="136">
        <f ca="1" t="shared" si="740"/>
        <v>4545</v>
      </c>
      <c r="AN881" s="136">
        <f ca="1" t="shared" si="740"/>
        <v>10615</v>
      </c>
    </row>
    <row r="882" s="106" customFormat="1" ht="16.5" spans="2:40">
      <c r="B882" s="117">
        <v>248</v>
      </c>
      <c r="C882" s="130">
        <f t="shared" si="629"/>
        <v>24800</v>
      </c>
      <c r="D882" s="131" cm="1">
        <f ca="1" t="array" ref="D882">IF(D1484=1,OFFSET($W$634,$B882,D$631-1)/SUMPRODUCT(--($D$631:$V$631=D$631),--($D1484:$V1484=1)),0)+SUM(D881)+IF(COUNTIF(D$1237:D1484,1)=1,5,0)+IF(COUNTIF(E882:$W882,"&gt;"&amp;0)&lt;5,IF(AND(COUNTIF(D$1237:D1484,1)&gt;7,MOD(1+IFERROR(MATCH($C882,总览!$D$46:$D$345,1)+1,1),7)=0),$C$3,0),0)</f>
        <v>1720.65504187615</v>
      </c>
      <c r="E882" s="131" cm="1">
        <f ca="1" t="array" ref="E882">IF(E1484=1,OFFSET($W$634,$B882,E$631-1)/SUMPRODUCT(--($D$631:$V$631=E$631),--($D1484:$V1484=1)),0)+SUM(E881)+IF(COUNTIF(E$1237:E1484,1)=1,5,0)+IF(COUNTIF(F882:$W882,"&gt;"&amp;0)&lt;5,IF(AND(COUNTIF(E$1237:E1484,1)&gt;7,MOD(1+IFERROR(MATCH($C882,总览!$D$46:$D$345,1)+1,1),7)=0),$C$3,0),0)</f>
        <v>1720.65504187615</v>
      </c>
      <c r="F882" s="131" cm="1">
        <f ca="1" t="array" ref="F882">IF(F1484=1,OFFSET($W$634,$B882,F$631-1)/SUMPRODUCT(--($D$631:$V$631=F$631),--($D1484:$V1484=1)),0)+SUM(F881)+IF(COUNTIF(F$1237:F1484,1)=1,5,0)+IF(COUNTIF(G882:$W882,"&gt;"&amp;0)&lt;5,IF(AND(COUNTIF(F$1237:F1484,1)&gt;7,MOD(1+IFERROR(MATCH($C882,总览!$D$46:$D$345,1)+1,1),7)=0),$C$3,0),0)</f>
        <v>1720.65504187615</v>
      </c>
      <c r="G882" s="131" cm="1">
        <f ca="1" t="array" ref="G882">IF(G1484=1,OFFSET($W$634,$B882,G$631-1)/SUMPRODUCT(--($D$631:$V$631=G$631),--($D1484:$V1484=1)),0)+SUM(G881)+IF(COUNTIF(G$1237:G1484,1)=1,5,0)+IF(COUNTIF(H882:$W882,"&gt;"&amp;0)&lt;5,IF(AND(COUNTIF(G$1237:G1484,1)&gt;7,MOD(1+IFERROR(MATCH($C882,总览!$D$46:$D$345,1)+1,1),7)=0),$C$3,0),0)</f>
        <v>766.066666666668</v>
      </c>
      <c r="H882" s="131" cm="1">
        <f ca="1" t="array" ref="H882">IF(H1484=1,OFFSET($W$634,$B882,H$631-1)/SUMPRODUCT(--($D$631:$V$631=H$631),--($D1484:$V1484=1)),0)+SUM(H881)+IF(COUNTIF(H$1237:H1484,1)=1,5,0)+IF(COUNTIF(I882:$W882,"&gt;"&amp;0)&lt;5,IF(AND(COUNTIF(H$1237:H1484,1)&gt;7,MOD(1+IFERROR(MATCH($C882,总览!$D$46:$D$345,1)+1,1),7)=0),$C$3,0),0)</f>
        <v>766.066666666668</v>
      </c>
      <c r="I882" s="131" cm="1">
        <f ca="1" t="array" ref="I882">IF(I1484=1,OFFSET($W$634,$B882,I$631-1)/SUMPRODUCT(--($D$631:$V$631=I$631),--($D1484:$V1484=1)),0)+SUM(I881)+IF(COUNTIF(I$1237:I1484,1)=1,5,0)+IF(COUNTIF(J882:$W882,"&gt;"&amp;0)&lt;5,IF(AND(COUNTIF(I$1237:I1484,1)&gt;7,MOD(1+IFERROR(MATCH($C882,总览!$D$46:$D$345,1)+1,1),7)=0),$C$3,0),0)</f>
        <v>766.066666666668</v>
      </c>
      <c r="J882" s="131" cm="1">
        <f ca="1" t="array" ref="J882">IF(J1484=1,OFFSET($W$634,$B882,J$631-1)/SUMPRODUCT(--($D$631:$V$631=J$631),--($D1484:$V1484=1)),0)+SUM(J881)+IF(COUNTIF(J$1237:J1484,1)=1,5,0)+IF(COUNTIF(K882:$W882,"&gt;"&amp;0)&lt;5,IF(AND(COUNTIF(J$1237:J1484,1)&gt;7,MOD(1+IFERROR(MATCH($C882,总览!$D$46:$D$345,1)+1,1),7)=0),$C$3,0),0)</f>
        <v>762.733333333335</v>
      </c>
      <c r="K882" s="131" cm="1">
        <f ca="1" t="array" ref="K882">IF(K1484=1,OFFSET($W$634,$B882,K$631-1)/SUMPRODUCT(--($D$631:$V$631=K$631),--($D1484:$V1484=1)),0)+SUM(K881)+IF(COUNTIF(K$1237:K1484,1)=1,5,0)+IF(COUNTIF(L882:$W882,"&gt;"&amp;0)&lt;5,IF(AND(COUNTIF(K$1237:K1484,1)&gt;7,MOD(1+IFERROR(MATCH($C882,总览!$D$46:$D$345,1)+1,1),7)=0),$C$3,0),0)</f>
        <v>760.233333333335</v>
      </c>
      <c r="L882" s="131" cm="1">
        <f ca="1" t="array" ref="L882">IF(L1484=1,OFFSET($W$634,$B882,L$631-1)/SUMPRODUCT(--($D$631:$V$631=L$631),--($D1484:$V1484=1)),0)+SUM(L881)+IF(COUNTIF(L$1237:L1484,1)=1,5,0)+IF(COUNTIF(M882:$W882,"&gt;"&amp;0)&lt;5,IF(AND(COUNTIF(L$1237:L1484,1)&gt;7,MOD(1+IFERROR(MATCH($C882,总览!$D$46:$D$345,1)+1,1),7)=0),$C$3,0),0)</f>
        <v>760.233333333335</v>
      </c>
      <c r="M882" s="131" cm="1">
        <f ca="1" t="array" ref="M882">IF(M1484=1,OFFSET($W$634,$B882,M$631-1)/SUMPRODUCT(--($D$631:$V$631=M$631),--($D1484:$V1484=1)),0)+SUM(M881)+IF(COUNTIF(M$1237:M1484,1)=1,5,0)+IF(COUNTIF(N882:$W882,"&gt;"&amp;0)&lt;5,IF(AND(COUNTIF(M$1237:M1484,1)&gt;7,MOD(1+IFERROR(MATCH($C882,总览!$D$46:$D$345,1)+1,1),7)=0),$C$3,0),0)</f>
        <v>312.038392857142</v>
      </c>
      <c r="N882" s="131" cm="1">
        <f ca="1" t="array" ref="N882">IF(N1484=1,OFFSET($W$634,$B882,N$631-1)/SUMPRODUCT(--($D$631:$V$631=N$631),--($D1484:$V1484=1)),0)+SUM(N881)+IF(COUNTIF(N$1237:N1484,1)=1,5,0)+IF(COUNTIF(O882:$W882,"&gt;"&amp;0)&lt;5,IF(AND(COUNTIF(N$1237:N1484,1)&gt;7,MOD(1+IFERROR(MATCH($C882,总览!$D$46:$D$345,1)+1,1),7)=0),$C$3,0),0)</f>
        <v>313.288392857142</v>
      </c>
      <c r="O882" s="131" cm="1">
        <f ca="1" t="array" ref="O882">IF(O1484=1,OFFSET($W$634,$B882,O$631-1)/SUMPRODUCT(--($D$631:$V$631=O$631),--($D1484:$V1484=1)),0)+SUM(O881)+IF(COUNTIF(O$1237:O1484,1)=1,5,0)+IF(COUNTIF(P882:$W882,"&gt;"&amp;0)&lt;5,IF(AND(COUNTIF(O$1237:O1484,1)&gt;7,MOD(1+IFERROR(MATCH($C882,总览!$D$46:$D$345,1)+1,1),7)=0),$C$3,0),0)</f>
        <v>318.288392857142</v>
      </c>
      <c r="P882" s="131" cm="1">
        <f ca="1" t="array" ref="P882">IF(P1484=1,OFFSET($W$634,$B882,P$631-1)/SUMPRODUCT(--($D$631:$V$631=P$631),--($D1484:$V1484=1)),0)+SUM(P881)+IF(COUNTIF(P$1237:P1484,1)=1,5,0)+IF(COUNTIF(Q882:$W882,"&gt;"&amp;0)&lt;5,IF(AND(COUNTIF(P$1237:P1484,1)&gt;7,MOD(1+IFERROR(MATCH($C882,总览!$D$46:$D$345,1)+1,1),7)=0),$C$3,0),0)</f>
        <v>307.407142857142</v>
      </c>
      <c r="Q882" s="131" cm="1">
        <f ca="1" t="array" ref="Q882">IF(Q1484=1,OFFSET($W$634,$B882,Q$631-1)/SUMPRODUCT(--($D$631:$V$631=Q$631),--($D1484:$V1484=1)),0)+SUM(Q881)+IF(COUNTIF(Q$1237:Q1484,1)=1,5,0)+IF(COUNTIF(R882:$W882,"&gt;"&amp;0)&lt;5,IF(AND(COUNTIF(Q$1237:Q1484,1)&gt;7,MOD(1+IFERROR(MATCH($C882,总览!$D$46:$D$345,1)+1,1),7)=0),$C$3,0),0)</f>
        <v>320.788392857142</v>
      </c>
      <c r="R882" s="131" cm="1">
        <f ca="1" t="array" ref="R882">IF(R1484=1,OFFSET($W$634,$B882,R$631-1)/SUMPRODUCT(--($D$631:$V$631=R$631),--($D1484:$V1484=1)),0)+SUM(R881)+IF(COUNTIF(R$1237:R1484,1)=1,5,0)+IF(COUNTIF(S882:$W882,"&gt;"&amp;0)&lt;5,IF(AND(COUNTIF(R$1237:R1484,1)&gt;7,MOD(1+IFERROR(MATCH($C882,总览!$D$46:$D$345,1)+1,1),7)=0),$C$3,0),0)</f>
        <v>312.407142857142</v>
      </c>
      <c r="S882" s="131" cm="1">
        <f ca="1" t="array" ref="S882">IF(S1484=1,OFFSET($W$634,$B882,S$631-1)/SUMPRODUCT(--($D$631:$V$631=S$631),--($D1484:$V1484=1)),0)+SUM(S881)+IF(COUNTIF(S$1237:S1484,1)=1,5,0)+IF(COUNTIF(T882:$W882,"&gt;"&amp;0)&lt;5,IF(AND(COUNTIF(S$1237:S1484,1)&gt;7,MOD(1+IFERROR(MATCH($C882,总览!$D$46:$D$345,1)+1,1),7)=0),$C$3,0),0)</f>
        <v>404.907142857143</v>
      </c>
      <c r="T882" s="131" cm="1">
        <f ca="1" t="array" ref="T882">IF(T1484=1,OFFSET($W$634,$B882,T$631-1)/SUMPRODUCT(--($D$631:$V$631=T$631),--($D1484:$V1484=1)),0)+SUM(T881)+IF(COUNTIF(T$1237:T1484,1)=1,5,0)+IF(COUNTIF(U882:$W882,"&gt;"&amp;0)&lt;5,IF(AND(COUNTIF(T$1237:T1484,1)&gt;7,MOD(1+IFERROR(MATCH($C882,总览!$D$46:$D$345,1)+1,1),7)=0),$C$3,0),0)</f>
        <v>295.547100649499</v>
      </c>
      <c r="U882" s="131" cm="1">
        <f ca="1" t="array" ref="U882">IF(U1484=1,OFFSET($W$634,$B882,U$631-1)/SUMPRODUCT(--($D$631:$V$631=U$631),--($D1484:$V1484=1)),0)+SUM(U881)+IF(COUNTIF(U$1237:U1484,1)=1,5,0)+IF(COUNTIF(V882:$W882,"&gt;"&amp;0)&lt;5,IF(AND(COUNTIF(U$1237:U1484,1)&gt;7,MOD(1+IFERROR(MATCH($C882,总览!$D$46:$D$345,1)+1,1),7)=0),$C$3,0),0)</f>
        <v>301.067887004798</v>
      </c>
      <c r="V882" s="131" cm="1">
        <f ca="1" t="array" ref="V882">IF(V1484=1,OFFSET($W$634,$B882,V$631-1)/SUMPRODUCT(--($D$631:$V$631=V$631),--($D1484:$V1484=1)),0)+SUM(V881)+IF(COUNTIF(V$1237:V1484,1)=1,5,0)+IF(COUNTIF(W882:$W882,"&gt;"&amp;0)&lt;5,IF(AND(COUNTIF(V$1237:V1484,1)&gt;7,MOD(1+IFERROR(MATCH($C882,总览!$D$46:$D$345,1)+1,1),7)=0),$C$3,0),0)</f>
        <v>320.894886717231</v>
      </c>
      <c r="W882" s="135" cm="1">
        <f ca="1" t="array" ref="W882">SUMPRODUCT(TRANSPOSE($AA882:$AG882),OFFSET($L$9:$L$15,0,W$631-1))</f>
        <v>16.8502200646615</v>
      </c>
      <c r="X882" s="135" cm="1">
        <f ca="1" t="array" ref="X882">SUMPRODUCT(TRANSPOSE($AA882:$AG882),OFFSET($L$9:$L$15,0,X$631-1))</f>
        <v>20</v>
      </c>
      <c r="Y882" s="135" cm="1">
        <f ca="1" t="array" ref="Y882">SUMPRODUCT(TRANSPOSE($AA882:$AG882),OFFSET($L$9:$L$15,0,Y$631-1))</f>
        <v>10</v>
      </c>
      <c r="Z882" s="135" cm="1">
        <f ca="1" t="array" ref="Z882">SUMPRODUCT(TRANSPOSE($AA882:$AG882),OFFSET($L$9:$L$15,0,Z$631-1))</f>
        <v>3.14977993533847</v>
      </c>
      <c r="AA882" s="136">
        <f ca="1" t="shared" ref="AA882:AG882" si="741">AH882-AH881</f>
        <v>0</v>
      </c>
      <c r="AB882" s="136">
        <f ca="1" t="shared" si="741"/>
        <v>0</v>
      </c>
      <c r="AC882" s="136">
        <f ca="1" t="shared" si="741"/>
        <v>0</v>
      </c>
      <c r="AD882" s="136">
        <f ca="1" t="shared" si="741"/>
        <v>0</v>
      </c>
      <c r="AE882" s="136">
        <f ca="1" t="shared" si="741"/>
        <v>0</v>
      </c>
      <c r="AF882" s="136">
        <f ca="1" t="shared" si="741"/>
        <v>0</v>
      </c>
      <c r="AG882" s="136">
        <f ca="1" t="shared" si="741"/>
        <v>100</v>
      </c>
      <c r="AH882" s="136">
        <f ca="1" t="shared" si="631"/>
        <v>450</v>
      </c>
      <c r="AI882" s="136">
        <f ca="1" t="shared" ref="AI882:AN882" si="742">IF($C882&gt;OFFSET($Q$8,MATCH(AI$634,$AH$634:$AN$634,0),0),OFFSET($P$8,MATCH(AI$634,$AH$634:$AN$634,0),0),MAX(0,$C882-OFFSET($Q$8,RIGHT(AI$634,1)-1,0)))</f>
        <v>909</v>
      </c>
      <c r="AJ882" s="136">
        <f ca="1" t="shared" si="742"/>
        <v>1818</v>
      </c>
      <c r="AK882" s="136">
        <f ca="1" t="shared" si="742"/>
        <v>2727</v>
      </c>
      <c r="AL882" s="136">
        <f ca="1" t="shared" si="742"/>
        <v>3636</v>
      </c>
      <c r="AM882" s="136">
        <f ca="1" t="shared" si="742"/>
        <v>4545</v>
      </c>
      <c r="AN882" s="136">
        <f ca="1" t="shared" si="742"/>
        <v>10715</v>
      </c>
    </row>
    <row r="883" s="106" customFormat="1" ht="16.5" spans="2:40">
      <c r="B883" s="117">
        <v>249</v>
      </c>
      <c r="C883" s="130">
        <f t="shared" si="629"/>
        <v>24900</v>
      </c>
      <c r="D883" s="131" cm="1">
        <f ca="1" t="array" ref="D883">IF(D1485=1,OFFSET($W$634,$B883,D$631-1)/SUMPRODUCT(--($D$631:$V$631=D$631),--($D1485:$V1485=1)),0)+SUM(D882)+IF(COUNTIF(D$1237:D1485,1)=1,5,0)+IF(COUNTIF(E883:$W883,"&gt;"&amp;0)&lt;5,IF(AND(COUNTIF(D$1237:D1485,1)&gt;7,MOD(1+IFERROR(MATCH($C883,总览!$D$46:$D$345,1)+1,1),7)=0),$C$3,0),0)</f>
        <v>1726.27178189771</v>
      </c>
      <c r="E883" s="131" cm="1">
        <f ca="1" t="array" ref="E883">IF(E1485=1,OFFSET($W$634,$B883,E$631-1)/SUMPRODUCT(--($D$631:$V$631=E$631),--($D1485:$V1485=1)),0)+SUM(E882)+IF(COUNTIF(E$1237:E1485,1)=1,5,0)+IF(COUNTIF(F883:$W883,"&gt;"&amp;0)&lt;5,IF(AND(COUNTIF(E$1237:E1485,1)&gt;7,MOD(1+IFERROR(MATCH($C883,总览!$D$46:$D$345,1)+1,1),7)=0),$C$3,0),0)</f>
        <v>1726.27178189771</v>
      </c>
      <c r="F883" s="131" cm="1">
        <f ca="1" t="array" ref="F883">IF(F1485=1,OFFSET($W$634,$B883,F$631-1)/SUMPRODUCT(--($D$631:$V$631=F$631),--($D1485:$V1485=1)),0)+SUM(F882)+IF(COUNTIF(F$1237:F1485,1)=1,5,0)+IF(COUNTIF(G883:$W883,"&gt;"&amp;0)&lt;5,IF(AND(COUNTIF(F$1237:F1485,1)&gt;7,MOD(1+IFERROR(MATCH($C883,总览!$D$46:$D$345,1)+1,1),7)=0),$C$3,0),0)</f>
        <v>1726.27178189771</v>
      </c>
      <c r="G883" s="131" cm="1">
        <f ca="1" t="array" ref="G883">IF(G1485=1,OFFSET($W$634,$B883,G$631-1)/SUMPRODUCT(--($D$631:$V$631=G$631),--($D1485:$V1485=1)),0)+SUM(G882)+IF(COUNTIF(G$1237:G1485,1)=1,5,0)+IF(COUNTIF(H883:$W883,"&gt;"&amp;0)&lt;5,IF(AND(COUNTIF(G$1237:G1485,1)&gt;7,MOD(1+IFERROR(MATCH($C883,总览!$D$46:$D$345,1)+1,1),7)=0),$C$3,0),0)</f>
        <v>769.400000000002</v>
      </c>
      <c r="H883" s="131" cm="1">
        <f ca="1" t="array" ref="H883">IF(H1485=1,OFFSET($W$634,$B883,H$631-1)/SUMPRODUCT(--($D$631:$V$631=H$631),--($D1485:$V1485=1)),0)+SUM(H882)+IF(COUNTIF(H$1237:H1485,1)=1,5,0)+IF(COUNTIF(I883:$W883,"&gt;"&amp;0)&lt;5,IF(AND(COUNTIF(H$1237:H1485,1)&gt;7,MOD(1+IFERROR(MATCH($C883,总览!$D$46:$D$345,1)+1,1),7)=0),$C$3,0),0)</f>
        <v>769.400000000002</v>
      </c>
      <c r="I883" s="131" cm="1">
        <f ca="1" t="array" ref="I883">IF(I1485=1,OFFSET($W$634,$B883,I$631-1)/SUMPRODUCT(--($D$631:$V$631=I$631),--($D1485:$V1485=1)),0)+SUM(I882)+IF(COUNTIF(I$1237:I1485,1)=1,5,0)+IF(COUNTIF(J883:$W883,"&gt;"&amp;0)&lt;5,IF(AND(COUNTIF(I$1237:I1485,1)&gt;7,MOD(1+IFERROR(MATCH($C883,总览!$D$46:$D$345,1)+1,1),7)=0),$C$3,0),0)</f>
        <v>769.400000000002</v>
      </c>
      <c r="J883" s="131" cm="1">
        <f ca="1" t="array" ref="J883">IF(J1485=1,OFFSET($W$634,$B883,J$631-1)/SUMPRODUCT(--($D$631:$V$631=J$631),--($D1485:$V1485=1)),0)+SUM(J882)+IF(COUNTIF(J$1237:J1485,1)=1,5,0)+IF(COUNTIF(K883:$W883,"&gt;"&amp;0)&lt;5,IF(AND(COUNTIF(J$1237:J1485,1)&gt;7,MOD(1+IFERROR(MATCH($C883,总览!$D$46:$D$345,1)+1,1),7)=0),$C$3,0),0)</f>
        <v>766.066666666668</v>
      </c>
      <c r="K883" s="131" cm="1">
        <f ca="1" t="array" ref="K883">IF(K1485=1,OFFSET($W$634,$B883,K$631-1)/SUMPRODUCT(--($D$631:$V$631=K$631),--($D1485:$V1485=1)),0)+SUM(K882)+IF(COUNTIF(K$1237:K1485,1)=1,5,0)+IF(COUNTIF(L883:$W883,"&gt;"&amp;0)&lt;5,IF(AND(COUNTIF(K$1237:K1485,1)&gt;7,MOD(1+IFERROR(MATCH($C883,总览!$D$46:$D$345,1)+1,1),7)=0),$C$3,0),0)</f>
        <v>763.566666666668</v>
      </c>
      <c r="L883" s="131" cm="1">
        <f ca="1" t="array" ref="L883">IF(L1485=1,OFFSET($W$634,$B883,L$631-1)/SUMPRODUCT(--($D$631:$V$631=L$631),--($D1485:$V1485=1)),0)+SUM(L882)+IF(COUNTIF(L$1237:L1485,1)=1,5,0)+IF(COUNTIF(M883:$W883,"&gt;"&amp;0)&lt;5,IF(AND(COUNTIF(L$1237:L1485,1)&gt;7,MOD(1+IFERROR(MATCH($C883,总览!$D$46:$D$345,1)+1,1),7)=0),$C$3,0),0)</f>
        <v>763.566666666668</v>
      </c>
      <c r="M883" s="131" cm="1">
        <f ca="1" t="array" ref="M883">IF(M1485=1,OFFSET($W$634,$B883,M$631-1)/SUMPRODUCT(--($D$631:$V$631=M$631),--($D1485:$V1485=1)),0)+SUM(M882)+IF(COUNTIF(M$1237:M1485,1)=1,5,0)+IF(COUNTIF(N883:$W883,"&gt;"&amp;0)&lt;5,IF(AND(COUNTIF(M$1237:M1485,1)&gt;7,MOD(1+IFERROR(MATCH($C883,总览!$D$46:$D$345,1)+1,1),7)=0),$C$3,0),0)</f>
        <v>313.466964285714</v>
      </c>
      <c r="N883" s="131" cm="1">
        <f ca="1" t="array" ref="N883">IF(N1485=1,OFFSET($W$634,$B883,N$631-1)/SUMPRODUCT(--($D$631:$V$631=N$631),--($D1485:$V1485=1)),0)+SUM(N882)+IF(COUNTIF(N$1237:N1485,1)=1,5,0)+IF(COUNTIF(O883:$W883,"&gt;"&amp;0)&lt;5,IF(AND(COUNTIF(N$1237:N1485,1)&gt;7,MOD(1+IFERROR(MATCH($C883,总览!$D$46:$D$345,1)+1,1),7)=0),$C$3,0),0)</f>
        <v>314.716964285714</v>
      </c>
      <c r="O883" s="131" cm="1">
        <f ca="1" t="array" ref="O883">IF(O1485=1,OFFSET($W$634,$B883,O$631-1)/SUMPRODUCT(--($D$631:$V$631=O$631),--($D1485:$V1485=1)),0)+SUM(O882)+IF(COUNTIF(O$1237:O1485,1)=1,5,0)+IF(COUNTIF(P883:$W883,"&gt;"&amp;0)&lt;5,IF(AND(COUNTIF(O$1237:O1485,1)&gt;7,MOD(1+IFERROR(MATCH($C883,总览!$D$46:$D$345,1)+1,1),7)=0),$C$3,0),0)</f>
        <v>319.716964285714</v>
      </c>
      <c r="P883" s="131" cm="1">
        <f ca="1" t="array" ref="P883">IF(P1485=1,OFFSET($W$634,$B883,P$631-1)/SUMPRODUCT(--($D$631:$V$631=P$631),--($D1485:$V1485=1)),0)+SUM(P882)+IF(COUNTIF(P$1237:P1485,1)=1,5,0)+IF(COUNTIF(Q883:$W883,"&gt;"&amp;0)&lt;5,IF(AND(COUNTIF(P$1237:P1485,1)&gt;7,MOD(1+IFERROR(MATCH($C883,总览!$D$46:$D$345,1)+1,1),7)=0),$C$3,0),0)</f>
        <v>308.835714285714</v>
      </c>
      <c r="Q883" s="131" cm="1">
        <f ca="1" t="array" ref="Q883">IF(Q1485=1,OFFSET($W$634,$B883,Q$631-1)/SUMPRODUCT(--($D$631:$V$631=Q$631),--($D1485:$V1485=1)),0)+SUM(Q882)+IF(COUNTIF(Q$1237:Q1485,1)=1,5,0)+IF(COUNTIF(R883:$W883,"&gt;"&amp;0)&lt;5,IF(AND(COUNTIF(Q$1237:Q1485,1)&gt;7,MOD(1+IFERROR(MATCH($C883,总览!$D$46:$D$345,1)+1,1),7)=0),$C$3,0),0)</f>
        <v>322.216964285714</v>
      </c>
      <c r="R883" s="131" cm="1">
        <f ca="1" t="array" ref="R883">IF(R1485=1,OFFSET($W$634,$B883,R$631-1)/SUMPRODUCT(--($D$631:$V$631=R$631),--($D1485:$V1485=1)),0)+SUM(R882)+IF(COUNTIF(R$1237:R1485,1)=1,5,0)+IF(COUNTIF(S883:$W883,"&gt;"&amp;0)&lt;5,IF(AND(COUNTIF(R$1237:R1485,1)&gt;7,MOD(1+IFERROR(MATCH($C883,总览!$D$46:$D$345,1)+1,1),7)=0),$C$3,0),0)</f>
        <v>313.835714285714</v>
      </c>
      <c r="S883" s="131" cm="1">
        <f ca="1" t="array" ref="S883">IF(S1485=1,OFFSET($W$634,$B883,S$631-1)/SUMPRODUCT(--($D$631:$V$631=S$631),--($D1485:$V1485=1)),0)+SUM(S882)+IF(COUNTIF(S$1237:S1485,1)=1,5,0)+IF(COUNTIF(T883:$W883,"&gt;"&amp;0)&lt;5,IF(AND(COUNTIF(S$1237:S1485,1)&gt;7,MOD(1+IFERROR(MATCH($C883,总览!$D$46:$D$345,1)+1,1),7)=0),$C$3,0),0)</f>
        <v>406.335714285715</v>
      </c>
      <c r="T883" s="131" cm="1">
        <f ca="1" t="array" ref="T883">IF(T1485=1,OFFSET($W$634,$B883,T$631-1)/SUMPRODUCT(--($D$631:$V$631=T$631),--($D1485:$V1485=1)),0)+SUM(T882)+IF(COUNTIF(T$1237:T1485,1)=1,5,0)+IF(COUNTIF(U883:$W883,"&gt;"&amp;0)&lt;5,IF(AND(COUNTIF(T$1237:T1485,1)&gt;7,MOD(1+IFERROR(MATCH($C883,总览!$D$46:$D$345,1)+1,1),7)=0),$C$3,0),0)</f>
        <v>296.597027294611</v>
      </c>
      <c r="U883" s="131" cm="1">
        <f ca="1" t="array" ref="U883">IF(U1485=1,OFFSET($W$634,$B883,U$631-1)/SUMPRODUCT(--($D$631:$V$631=U$631),--($D1485:$V1485=1)),0)+SUM(U882)+IF(COUNTIF(U$1237:U1485,1)=1,5,0)+IF(COUNTIF(V883:$W883,"&gt;"&amp;0)&lt;5,IF(AND(COUNTIF(U$1237:U1485,1)&gt;7,MOD(1+IFERROR(MATCH($C883,总览!$D$46:$D$345,1)+1,1),7)=0),$C$3,0),0)</f>
        <v>302.117813649911</v>
      </c>
      <c r="V883" s="131" cm="1">
        <f ca="1" t="array" ref="V883">IF(V1485=1,OFFSET($W$634,$B883,V$631-1)/SUMPRODUCT(--($D$631:$V$631=V$631),--($D1485:$V1485=1)),0)+SUM(V882)+IF(COUNTIF(V$1237:V1485,1)=1,5,0)+IF(COUNTIF(W883:$W883,"&gt;"&amp;0)&lt;5,IF(AND(COUNTIF(V$1237:V1485,1)&gt;7,MOD(1+IFERROR(MATCH($C883,总览!$D$46:$D$345,1)+1,1),7)=0),$C$3,0),0)</f>
        <v>321.944813362344</v>
      </c>
      <c r="W883" s="135" cm="1">
        <f ca="1" t="array" ref="W883">SUMPRODUCT(TRANSPOSE($AA883:$AG883),OFFSET($L$9:$L$15,0,W$631-1))</f>
        <v>16.8502200646615</v>
      </c>
      <c r="X883" s="135" cm="1">
        <f ca="1" t="array" ref="X883">SUMPRODUCT(TRANSPOSE($AA883:$AG883),OFFSET($L$9:$L$15,0,X$631-1))</f>
        <v>20</v>
      </c>
      <c r="Y883" s="135" cm="1">
        <f ca="1" t="array" ref="Y883">SUMPRODUCT(TRANSPOSE($AA883:$AG883),OFFSET($L$9:$L$15,0,Y$631-1))</f>
        <v>10</v>
      </c>
      <c r="Z883" s="135" cm="1">
        <f ca="1" t="array" ref="Z883">SUMPRODUCT(TRANSPOSE($AA883:$AG883),OFFSET($L$9:$L$15,0,Z$631-1))</f>
        <v>3.14977993533847</v>
      </c>
      <c r="AA883" s="136">
        <f ca="1" t="shared" ref="AA883:AG883" si="743">AH883-AH882</f>
        <v>0</v>
      </c>
      <c r="AB883" s="136">
        <f ca="1" t="shared" si="743"/>
        <v>0</v>
      </c>
      <c r="AC883" s="136">
        <f ca="1" t="shared" si="743"/>
        <v>0</v>
      </c>
      <c r="AD883" s="136">
        <f ca="1" t="shared" si="743"/>
        <v>0</v>
      </c>
      <c r="AE883" s="136">
        <f ca="1" t="shared" si="743"/>
        <v>0</v>
      </c>
      <c r="AF883" s="136">
        <f ca="1" t="shared" si="743"/>
        <v>0</v>
      </c>
      <c r="AG883" s="136">
        <f ca="1" t="shared" si="743"/>
        <v>100</v>
      </c>
      <c r="AH883" s="136">
        <f ca="1" t="shared" si="631"/>
        <v>450</v>
      </c>
      <c r="AI883" s="136">
        <f ca="1" t="shared" ref="AI883:AN883" si="744">IF($C883&gt;OFFSET($Q$8,MATCH(AI$634,$AH$634:$AN$634,0),0),OFFSET($P$8,MATCH(AI$634,$AH$634:$AN$634,0),0),MAX(0,$C883-OFFSET($Q$8,RIGHT(AI$634,1)-1,0)))</f>
        <v>909</v>
      </c>
      <c r="AJ883" s="136">
        <f ca="1" t="shared" si="744"/>
        <v>1818</v>
      </c>
      <c r="AK883" s="136">
        <f ca="1" t="shared" si="744"/>
        <v>2727</v>
      </c>
      <c r="AL883" s="136">
        <f ca="1" t="shared" si="744"/>
        <v>3636</v>
      </c>
      <c r="AM883" s="136">
        <f ca="1" t="shared" si="744"/>
        <v>4545</v>
      </c>
      <c r="AN883" s="136">
        <f ca="1" t="shared" si="744"/>
        <v>10815</v>
      </c>
    </row>
    <row r="884" s="106" customFormat="1" ht="16.5" spans="2:40">
      <c r="B884" s="117">
        <v>250</v>
      </c>
      <c r="C884" s="130">
        <f t="shared" si="629"/>
        <v>25000</v>
      </c>
      <c r="D884" s="131" cm="1">
        <f ca="1" t="array" ref="D884">IF(D1486=1,OFFSET($W$634,$B884,D$631-1)/SUMPRODUCT(--($D$631:$V$631=D$631),--($D1486:$V1486=1)),0)+SUM(D883)+IF(COUNTIF(D$1237:D1486,1)=1,5,0)+IF(COUNTIF(E884:$W884,"&gt;"&amp;0)&lt;5,IF(AND(COUNTIF(D$1237:D1486,1)&gt;7,MOD(1+IFERROR(MATCH($C884,总览!$D$46:$D$345,1)+1,1),7)=0),$C$3,0),0)</f>
        <v>1731.88852191926</v>
      </c>
      <c r="E884" s="131" cm="1">
        <f ca="1" t="array" ref="E884">IF(E1486=1,OFFSET($W$634,$B884,E$631-1)/SUMPRODUCT(--($D$631:$V$631=E$631),--($D1486:$V1486=1)),0)+SUM(E883)+IF(COUNTIF(E$1237:E1486,1)=1,5,0)+IF(COUNTIF(F884:$W884,"&gt;"&amp;0)&lt;5,IF(AND(COUNTIF(E$1237:E1486,1)&gt;7,MOD(1+IFERROR(MATCH($C884,总览!$D$46:$D$345,1)+1,1),7)=0),$C$3,0),0)</f>
        <v>1731.88852191926</v>
      </c>
      <c r="F884" s="131" cm="1">
        <f ca="1" t="array" ref="F884">IF(F1486=1,OFFSET($W$634,$B884,F$631-1)/SUMPRODUCT(--($D$631:$V$631=F$631),--($D1486:$V1486=1)),0)+SUM(F883)+IF(COUNTIF(F$1237:F1486,1)=1,5,0)+IF(COUNTIF(G884:$W884,"&gt;"&amp;0)&lt;5,IF(AND(COUNTIF(F$1237:F1486,1)&gt;7,MOD(1+IFERROR(MATCH($C884,总览!$D$46:$D$345,1)+1,1),7)=0),$C$3,0),0)</f>
        <v>1731.88852191926</v>
      </c>
      <c r="G884" s="131" cm="1">
        <f ca="1" t="array" ref="G884">IF(G1486=1,OFFSET($W$634,$B884,G$631-1)/SUMPRODUCT(--($D$631:$V$631=G$631),--($D1486:$V1486=1)),0)+SUM(G883)+IF(COUNTIF(G$1237:G1486,1)=1,5,0)+IF(COUNTIF(H884:$W884,"&gt;"&amp;0)&lt;5,IF(AND(COUNTIF(G$1237:G1486,1)&gt;7,MOD(1+IFERROR(MATCH($C884,总览!$D$46:$D$345,1)+1,1),7)=0),$C$3,0),0)</f>
        <v>772.733333333335</v>
      </c>
      <c r="H884" s="131" cm="1">
        <f ca="1" t="array" ref="H884">IF(H1486=1,OFFSET($W$634,$B884,H$631-1)/SUMPRODUCT(--($D$631:$V$631=H$631),--($D1486:$V1486=1)),0)+SUM(H883)+IF(COUNTIF(H$1237:H1486,1)=1,5,0)+IF(COUNTIF(I884:$W884,"&gt;"&amp;0)&lt;5,IF(AND(COUNTIF(H$1237:H1486,1)&gt;7,MOD(1+IFERROR(MATCH($C884,总览!$D$46:$D$345,1)+1,1),7)=0),$C$3,0),0)</f>
        <v>772.733333333335</v>
      </c>
      <c r="I884" s="131" cm="1">
        <f ca="1" t="array" ref="I884">IF(I1486=1,OFFSET($W$634,$B884,I$631-1)/SUMPRODUCT(--($D$631:$V$631=I$631),--($D1486:$V1486=1)),0)+SUM(I883)+IF(COUNTIF(I$1237:I1486,1)=1,5,0)+IF(COUNTIF(J884:$W884,"&gt;"&amp;0)&lt;5,IF(AND(COUNTIF(I$1237:I1486,1)&gt;7,MOD(1+IFERROR(MATCH($C884,总览!$D$46:$D$345,1)+1,1),7)=0),$C$3,0),0)</f>
        <v>772.733333333335</v>
      </c>
      <c r="J884" s="131" cm="1">
        <f ca="1" t="array" ref="J884">IF(J1486=1,OFFSET($W$634,$B884,J$631-1)/SUMPRODUCT(--($D$631:$V$631=J$631),--($D1486:$V1486=1)),0)+SUM(J883)+IF(COUNTIF(J$1237:J1486,1)=1,5,0)+IF(COUNTIF(K884:$W884,"&gt;"&amp;0)&lt;5,IF(AND(COUNTIF(J$1237:J1486,1)&gt;7,MOD(1+IFERROR(MATCH($C884,总览!$D$46:$D$345,1)+1,1),7)=0),$C$3,0),0)</f>
        <v>769.400000000002</v>
      </c>
      <c r="K884" s="131" cm="1">
        <f ca="1" t="array" ref="K884">IF(K1486=1,OFFSET($W$634,$B884,K$631-1)/SUMPRODUCT(--($D$631:$V$631=K$631),--($D1486:$V1486=1)),0)+SUM(K883)+IF(COUNTIF(K$1237:K1486,1)=1,5,0)+IF(COUNTIF(L884:$W884,"&gt;"&amp;0)&lt;5,IF(AND(COUNTIF(K$1237:K1486,1)&gt;7,MOD(1+IFERROR(MATCH($C884,总览!$D$46:$D$345,1)+1,1),7)=0),$C$3,0),0)</f>
        <v>766.900000000002</v>
      </c>
      <c r="L884" s="131" cm="1">
        <f ca="1" t="array" ref="L884">IF(L1486=1,OFFSET($W$634,$B884,L$631-1)/SUMPRODUCT(--($D$631:$V$631=L$631),--($D1486:$V1486=1)),0)+SUM(L883)+IF(COUNTIF(L$1237:L1486,1)=1,5,0)+IF(COUNTIF(M884:$W884,"&gt;"&amp;0)&lt;5,IF(AND(COUNTIF(L$1237:L1486,1)&gt;7,MOD(1+IFERROR(MATCH($C884,总览!$D$46:$D$345,1)+1,1),7)=0),$C$3,0),0)</f>
        <v>766.900000000002</v>
      </c>
      <c r="M884" s="131" cm="1">
        <f ca="1" t="array" ref="M884">IF(M1486=1,OFFSET($W$634,$B884,M$631-1)/SUMPRODUCT(--($D$631:$V$631=M$631),--($D1486:$V1486=1)),0)+SUM(M883)+IF(COUNTIF(M$1237:M1486,1)=1,5,0)+IF(COUNTIF(N884:$W884,"&gt;"&amp;0)&lt;5,IF(AND(COUNTIF(M$1237:M1486,1)&gt;7,MOD(1+IFERROR(MATCH($C884,总览!$D$46:$D$345,1)+1,1),7)=0),$C$3,0),0)</f>
        <v>314.895535714285</v>
      </c>
      <c r="N884" s="131" cm="1">
        <f ca="1" t="array" ref="N884">IF(N1486=1,OFFSET($W$634,$B884,N$631-1)/SUMPRODUCT(--($D$631:$V$631=N$631),--($D1486:$V1486=1)),0)+SUM(N883)+IF(COUNTIF(N$1237:N1486,1)=1,5,0)+IF(COUNTIF(O884:$W884,"&gt;"&amp;0)&lt;5,IF(AND(COUNTIF(N$1237:N1486,1)&gt;7,MOD(1+IFERROR(MATCH($C884,总览!$D$46:$D$345,1)+1,1),7)=0),$C$3,0),0)</f>
        <v>316.145535714285</v>
      </c>
      <c r="O884" s="131" cm="1">
        <f ca="1" t="array" ref="O884">IF(O1486=1,OFFSET($W$634,$B884,O$631-1)/SUMPRODUCT(--($D$631:$V$631=O$631),--($D1486:$V1486=1)),0)+SUM(O883)+IF(COUNTIF(O$1237:O1486,1)=1,5,0)+IF(COUNTIF(P884:$W884,"&gt;"&amp;0)&lt;5,IF(AND(COUNTIF(O$1237:O1486,1)&gt;7,MOD(1+IFERROR(MATCH($C884,总览!$D$46:$D$345,1)+1,1),7)=0),$C$3,0),0)</f>
        <v>321.145535714285</v>
      </c>
      <c r="P884" s="131" cm="1">
        <f ca="1" t="array" ref="P884">IF(P1486=1,OFFSET($W$634,$B884,P$631-1)/SUMPRODUCT(--($D$631:$V$631=P$631),--($D1486:$V1486=1)),0)+SUM(P883)+IF(COUNTIF(P$1237:P1486,1)=1,5,0)+IF(COUNTIF(Q884:$W884,"&gt;"&amp;0)&lt;5,IF(AND(COUNTIF(P$1237:P1486,1)&gt;7,MOD(1+IFERROR(MATCH($C884,总览!$D$46:$D$345,1)+1,1),7)=0),$C$3,0),0)</f>
        <v>310.264285714285</v>
      </c>
      <c r="Q884" s="131" cm="1">
        <f ca="1" t="array" ref="Q884">IF(Q1486=1,OFFSET($W$634,$B884,Q$631-1)/SUMPRODUCT(--($D$631:$V$631=Q$631),--($D1486:$V1486=1)),0)+SUM(Q883)+IF(COUNTIF(Q$1237:Q1486,1)=1,5,0)+IF(COUNTIF(R884:$W884,"&gt;"&amp;0)&lt;5,IF(AND(COUNTIF(Q$1237:Q1486,1)&gt;7,MOD(1+IFERROR(MATCH($C884,总览!$D$46:$D$345,1)+1,1),7)=0),$C$3,0),0)</f>
        <v>323.645535714285</v>
      </c>
      <c r="R884" s="131" cm="1">
        <f ca="1" t="array" ref="R884">IF(R1486=1,OFFSET($W$634,$B884,R$631-1)/SUMPRODUCT(--($D$631:$V$631=R$631),--($D1486:$V1486=1)),0)+SUM(R883)+IF(COUNTIF(R$1237:R1486,1)=1,5,0)+IF(COUNTIF(S884:$W884,"&gt;"&amp;0)&lt;5,IF(AND(COUNTIF(R$1237:R1486,1)&gt;7,MOD(1+IFERROR(MATCH($C884,总览!$D$46:$D$345,1)+1,1),7)=0),$C$3,0),0)</f>
        <v>315.264285714285</v>
      </c>
      <c r="S884" s="131" cm="1">
        <f ca="1" t="array" ref="S884">IF(S1486=1,OFFSET($W$634,$B884,S$631-1)/SUMPRODUCT(--($D$631:$V$631=S$631),--($D1486:$V1486=1)),0)+SUM(S883)+IF(COUNTIF(S$1237:S1486,1)=1,5,0)+IF(COUNTIF(T884:$W884,"&gt;"&amp;0)&lt;5,IF(AND(COUNTIF(S$1237:S1486,1)&gt;7,MOD(1+IFERROR(MATCH($C884,总览!$D$46:$D$345,1)+1,1),7)=0),$C$3,0),0)</f>
        <v>407.764285714286</v>
      </c>
      <c r="T884" s="131" cm="1">
        <f ca="1" t="array" ref="T884">IF(T1486=1,OFFSET($W$634,$B884,T$631-1)/SUMPRODUCT(--($D$631:$V$631=T$631),--($D1486:$V1486=1)),0)+SUM(T883)+IF(COUNTIF(T$1237:T1486,1)=1,5,0)+IF(COUNTIF(U884:$W884,"&gt;"&amp;0)&lt;5,IF(AND(COUNTIF(T$1237:T1486,1)&gt;7,MOD(1+IFERROR(MATCH($C884,总览!$D$46:$D$345,1)+1,1),7)=0),$C$3,0),0)</f>
        <v>297.646953939724</v>
      </c>
      <c r="U884" s="131" cm="1">
        <f ca="1" t="array" ref="U884">IF(U1486=1,OFFSET($W$634,$B884,U$631-1)/SUMPRODUCT(--($D$631:$V$631=U$631),--($D1486:$V1486=1)),0)+SUM(U883)+IF(COUNTIF(U$1237:U1486,1)=1,5,0)+IF(COUNTIF(V884:$W884,"&gt;"&amp;0)&lt;5,IF(AND(COUNTIF(U$1237:U1486,1)&gt;7,MOD(1+IFERROR(MATCH($C884,总览!$D$46:$D$345,1)+1,1),7)=0),$C$3,0),0)</f>
        <v>303.167740295024</v>
      </c>
      <c r="V884" s="131" cm="1">
        <f ca="1" t="array" ref="V884">IF(V1486=1,OFFSET($W$634,$B884,V$631-1)/SUMPRODUCT(--($D$631:$V$631=V$631),--($D1486:$V1486=1)),0)+SUM(V883)+IF(COUNTIF(V$1237:V1486,1)=1,5,0)+IF(COUNTIF(W884:$W884,"&gt;"&amp;0)&lt;5,IF(AND(COUNTIF(V$1237:V1486,1)&gt;7,MOD(1+IFERROR(MATCH($C884,总览!$D$46:$D$345,1)+1,1),7)=0),$C$3,0),0)</f>
        <v>322.994740007457</v>
      </c>
      <c r="W884" s="135" cm="1">
        <f ca="1" t="array" ref="W884">SUMPRODUCT(TRANSPOSE($AA884:$AG884),OFFSET($L$9:$L$15,0,W$631-1))</f>
        <v>16.8502200646615</v>
      </c>
      <c r="X884" s="135" cm="1">
        <f ca="1" t="array" ref="X884">SUMPRODUCT(TRANSPOSE($AA884:$AG884),OFFSET($L$9:$L$15,0,X$631-1))</f>
        <v>20</v>
      </c>
      <c r="Y884" s="135" cm="1">
        <f ca="1" t="array" ref="Y884">SUMPRODUCT(TRANSPOSE($AA884:$AG884),OFFSET($L$9:$L$15,0,Y$631-1))</f>
        <v>10</v>
      </c>
      <c r="Z884" s="135" cm="1">
        <f ca="1" t="array" ref="Z884">SUMPRODUCT(TRANSPOSE($AA884:$AG884),OFFSET($L$9:$L$15,0,Z$631-1))</f>
        <v>3.14977993533847</v>
      </c>
      <c r="AA884" s="136">
        <f ca="1" t="shared" ref="AA884:AG884" si="745">AH884-AH883</f>
        <v>0</v>
      </c>
      <c r="AB884" s="136">
        <f ca="1" t="shared" si="745"/>
        <v>0</v>
      </c>
      <c r="AC884" s="136">
        <f ca="1" t="shared" si="745"/>
        <v>0</v>
      </c>
      <c r="AD884" s="136">
        <f ca="1" t="shared" si="745"/>
        <v>0</v>
      </c>
      <c r="AE884" s="136">
        <f ca="1" t="shared" si="745"/>
        <v>0</v>
      </c>
      <c r="AF884" s="136">
        <f ca="1" t="shared" si="745"/>
        <v>0</v>
      </c>
      <c r="AG884" s="136">
        <f ca="1" t="shared" si="745"/>
        <v>100</v>
      </c>
      <c r="AH884" s="136">
        <f ca="1" t="shared" si="631"/>
        <v>450</v>
      </c>
      <c r="AI884" s="136">
        <f ca="1" t="shared" ref="AI884:AN884" si="746">IF($C884&gt;OFFSET($Q$8,MATCH(AI$634,$AH$634:$AN$634,0),0),OFFSET($P$8,MATCH(AI$634,$AH$634:$AN$634,0),0),MAX(0,$C884-OFFSET($Q$8,RIGHT(AI$634,1)-1,0)))</f>
        <v>909</v>
      </c>
      <c r="AJ884" s="136">
        <f ca="1" t="shared" si="746"/>
        <v>1818</v>
      </c>
      <c r="AK884" s="136">
        <f ca="1" t="shared" si="746"/>
        <v>2727</v>
      </c>
      <c r="AL884" s="136">
        <f ca="1" t="shared" si="746"/>
        <v>3636</v>
      </c>
      <c r="AM884" s="136">
        <f ca="1" t="shared" si="746"/>
        <v>4545</v>
      </c>
      <c r="AN884" s="136">
        <f ca="1" t="shared" si="746"/>
        <v>10915</v>
      </c>
    </row>
    <row r="885" s="106" customFormat="1" ht="16.5" spans="2:40">
      <c r="B885" s="117">
        <v>251</v>
      </c>
      <c r="C885" s="130">
        <f t="shared" si="629"/>
        <v>25100</v>
      </c>
      <c r="D885" s="131" cm="1">
        <f ca="1" t="array" ref="D885">IF(D1487=1,OFFSET($W$634,$B885,D$631-1)/SUMPRODUCT(--($D$631:$V$631=D$631),--($D1487:$V1487=1)),0)+SUM(D884)+IF(COUNTIF(D$1237:D1487,1)=1,5,0)+IF(COUNTIF(E885:$W885,"&gt;"&amp;0)&lt;5,IF(AND(COUNTIF(D$1237:D1487,1)&gt;7,MOD(1+IFERROR(MATCH($C885,总览!$D$46:$D$345,1)+1,1),7)=0),$C$3,0),0)</f>
        <v>1737.50526194082</v>
      </c>
      <c r="E885" s="131" cm="1">
        <f ca="1" t="array" ref="E885">IF(E1487=1,OFFSET($W$634,$B885,E$631-1)/SUMPRODUCT(--($D$631:$V$631=E$631),--($D1487:$V1487=1)),0)+SUM(E884)+IF(COUNTIF(E$1237:E1487,1)=1,5,0)+IF(COUNTIF(F885:$W885,"&gt;"&amp;0)&lt;5,IF(AND(COUNTIF(E$1237:E1487,1)&gt;7,MOD(1+IFERROR(MATCH($C885,总览!$D$46:$D$345,1)+1,1),7)=0),$C$3,0),0)</f>
        <v>1737.50526194082</v>
      </c>
      <c r="F885" s="131" cm="1">
        <f ca="1" t="array" ref="F885">IF(F1487=1,OFFSET($W$634,$B885,F$631-1)/SUMPRODUCT(--($D$631:$V$631=F$631),--($D1487:$V1487=1)),0)+SUM(F884)+IF(COUNTIF(F$1237:F1487,1)=1,5,0)+IF(COUNTIF(G885:$W885,"&gt;"&amp;0)&lt;5,IF(AND(COUNTIF(F$1237:F1487,1)&gt;7,MOD(1+IFERROR(MATCH($C885,总览!$D$46:$D$345,1)+1,1),7)=0),$C$3,0),0)</f>
        <v>1737.50526194082</v>
      </c>
      <c r="G885" s="131" cm="1">
        <f ca="1" t="array" ref="G885">IF(G1487=1,OFFSET($W$634,$B885,G$631-1)/SUMPRODUCT(--($D$631:$V$631=G$631),--($D1487:$V1487=1)),0)+SUM(G884)+IF(COUNTIF(G$1237:G1487,1)=1,5,0)+IF(COUNTIF(H885:$W885,"&gt;"&amp;0)&lt;5,IF(AND(COUNTIF(G$1237:G1487,1)&gt;7,MOD(1+IFERROR(MATCH($C885,总览!$D$46:$D$345,1)+1,1),7)=0),$C$3,0),0)</f>
        <v>776.066666666668</v>
      </c>
      <c r="H885" s="131" cm="1">
        <f ca="1" t="array" ref="H885">IF(H1487=1,OFFSET($W$634,$B885,H$631-1)/SUMPRODUCT(--($D$631:$V$631=H$631),--($D1487:$V1487=1)),0)+SUM(H884)+IF(COUNTIF(H$1237:H1487,1)=1,5,0)+IF(COUNTIF(I885:$W885,"&gt;"&amp;0)&lt;5,IF(AND(COUNTIF(H$1237:H1487,1)&gt;7,MOD(1+IFERROR(MATCH($C885,总览!$D$46:$D$345,1)+1,1),7)=0),$C$3,0),0)</f>
        <v>776.066666666668</v>
      </c>
      <c r="I885" s="131" cm="1">
        <f ca="1" t="array" ref="I885">IF(I1487=1,OFFSET($W$634,$B885,I$631-1)/SUMPRODUCT(--($D$631:$V$631=I$631),--($D1487:$V1487=1)),0)+SUM(I884)+IF(COUNTIF(I$1237:I1487,1)=1,5,0)+IF(COUNTIF(J885:$W885,"&gt;"&amp;0)&lt;5,IF(AND(COUNTIF(I$1237:I1487,1)&gt;7,MOD(1+IFERROR(MATCH($C885,总览!$D$46:$D$345,1)+1,1),7)=0),$C$3,0),0)</f>
        <v>776.066666666668</v>
      </c>
      <c r="J885" s="131" cm="1">
        <f ca="1" t="array" ref="J885">IF(J1487=1,OFFSET($W$634,$B885,J$631-1)/SUMPRODUCT(--($D$631:$V$631=J$631),--($D1487:$V1487=1)),0)+SUM(J884)+IF(COUNTIF(J$1237:J1487,1)=1,5,0)+IF(COUNTIF(K885:$W885,"&gt;"&amp;0)&lt;5,IF(AND(COUNTIF(J$1237:J1487,1)&gt;7,MOD(1+IFERROR(MATCH($C885,总览!$D$46:$D$345,1)+1,1),7)=0),$C$3,0),0)</f>
        <v>772.733333333335</v>
      </c>
      <c r="K885" s="131" cm="1">
        <f ca="1" t="array" ref="K885">IF(K1487=1,OFFSET($W$634,$B885,K$631-1)/SUMPRODUCT(--($D$631:$V$631=K$631),--($D1487:$V1487=1)),0)+SUM(K884)+IF(COUNTIF(K$1237:K1487,1)=1,5,0)+IF(COUNTIF(L885:$W885,"&gt;"&amp;0)&lt;5,IF(AND(COUNTIF(K$1237:K1487,1)&gt;7,MOD(1+IFERROR(MATCH($C885,总览!$D$46:$D$345,1)+1,1),7)=0),$C$3,0),0)</f>
        <v>770.233333333335</v>
      </c>
      <c r="L885" s="131" cm="1">
        <f ca="1" t="array" ref="L885">IF(L1487=1,OFFSET($W$634,$B885,L$631-1)/SUMPRODUCT(--($D$631:$V$631=L$631),--($D1487:$V1487=1)),0)+SUM(L884)+IF(COUNTIF(L$1237:L1487,1)=1,5,0)+IF(COUNTIF(M885:$W885,"&gt;"&amp;0)&lt;5,IF(AND(COUNTIF(L$1237:L1487,1)&gt;7,MOD(1+IFERROR(MATCH($C885,总览!$D$46:$D$345,1)+1,1),7)=0),$C$3,0),0)</f>
        <v>770.233333333335</v>
      </c>
      <c r="M885" s="131" cm="1">
        <f ca="1" t="array" ref="M885">IF(M1487=1,OFFSET($W$634,$B885,M$631-1)/SUMPRODUCT(--($D$631:$V$631=M$631),--($D1487:$V1487=1)),0)+SUM(M884)+IF(COUNTIF(M$1237:M1487,1)=1,5,0)+IF(COUNTIF(N885:$W885,"&gt;"&amp;0)&lt;5,IF(AND(COUNTIF(M$1237:M1487,1)&gt;7,MOD(1+IFERROR(MATCH($C885,总览!$D$46:$D$345,1)+1,1),7)=0),$C$3,0),0)</f>
        <v>316.324107142857</v>
      </c>
      <c r="N885" s="131" cm="1">
        <f ca="1" t="array" ref="N885">IF(N1487=1,OFFSET($W$634,$B885,N$631-1)/SUMPRODUCT(--($D$631:$V$631=N$631),--($D1487:$V1487=1)),0)+SUM(N884)+IF(COUNTIF(N$1237:N1487,1)=1,5,0)+IF(COUNTIF(O885:$W885,"&gt;"&amp;0)&lt;5,IF(AND(COUNTIF(N$1237:N1487,1)&gt;7,MOD(1+IFERROR(MATCH($C885,总览!$D$46:$D$345,1)+1,1),7)=0),$C$3,0),0)</f>
        <v>317.574107142857</v>
      </c>
      <c r="O885" s="131" cm="1">
        <f ca="1" t="array" ref="O885">IF(O1487=1,OFFSET($W$634,$B885,O$631-1)/SUMPRODUCT(--($D$631:$V$631=O$631),--($D1487:$V1487=1)),0)+SUM(O884)+IF(COUNTIF(O$1237:O1487,1)=1,5,0)+IF(COUNTIF(P885:$W885,"&gt;"&amp;0)&lt;5,IF(AND(COUNTIF(O$1237:O1487,1)&gt;7,MOD(1+IFERROR(MATCH($C885,总览!$D$46:$D$345,1)+1,1),7)=0),$C$3,0),0)</f>
        <v>322.574107142857</v>
      </c>
      <c r="P885" s="131" cm="1">
        <f ca="1" t="array" ref="P885">IF(P1487=1,OFFSET($W$634,$B885,P$631-1)/SUMPRODUCT(--($D$631:$V$631=P$631),--($D1487:$V1487=1)),0)+SUM(P884)+IF(COUNTIF(P$1237:P1487,1)=1,5,0)+IF(COUNTIF(Q885:$W885,"&gt;"&amp;0)&lt;5,IF(AND(COUNTIF(P$1237:P1487,1)&gt;7,MOD(1+IFERROR(MATCH($C885,总览!$D$46:$D$345,1)+1,1),7)=0),$C$3,0),0)</f>
        <v>311.692857142857</v>
      </c>
      <c r="Q885" s="131" cm="1">
        <f ca="1" t="array" ref="Q885">IF(Q1487=1,OFFSET($W$634,$B885,Q$631-1)/SUMPRODUCT(--($D$631:$V$631=Q$631),--($D1487:$V1487=1)),0)+SUM(Q884)+IF(COUNTIF(Q$1237:Q1487,1)=1,5,0)+IF(COUNTIF(R885:$W885,"&gt;"&amp;0)&lt;5,IF(AND(COUNTIF(Q$1237:Q1487,1)&gt;7,MOD(1+IFERROR(MATCH($C885,总览!$D$46:$D$345,1)+1,1),7)=0),$C$3,0),0)</f>
        <v>325.074107142857</v>
      </c>
      <c r="R885" s="131" cm="1">
        <f ca="1" t="array" ref="R885">IF(R1487=1,OFFSET($W$634,$B885,R$631-1)/SUMPRODUCT(--($D$631:$V$631=R$631),--($D1487:$V1487=1)),0)+SUM(R884)+IF(COUNTIF(R$1237:R1487,1)=1,5,0)+IF(COUNTIF(S885:$W885,"&gt;"&amp;0)&lt;5,IF(AND(COUNTIF(R$1237:R1487,1)&gt;7,MOD(1+IFERROR(MATCH($C885,总览!$D$46:$D$345,1)+1,1),7)=0),$C$3,0),0)</f>
        <v>316.692857142857</v>
      </c>
      <c r="S885" s="131" cm="1">
        <f ca="1" t="array" ref="S885">IF(S1487=1,OFFSET($W$634,$B885,S$631-1)/SUMPRODUCT(--($D$631:$V$631=S$631),--($D1487:$V1487=1)),0)+SUM(S884)+IF(COUNTIF(S$1237:S1487,1)=1,5,0)+IF(COUNTIF(T885:$W885,"&gt;"&amp;0)&lt;5,IF(AND(COUNTIF(S$1237:S1487,1)&gt;7,MOD(1+IFERROR(MATCH($C885,总览!$D$46:$D$345,1)+1,1),7)=0),$C$3,0),0)</f>
        <v>409.192857142858</v>
      </c>
      <c r="T885" s="131" cm="1">
        <f ca="1" t="array" ref="T885">IF(T1487=1,OFFSET($W$634,$B885,T$631-1)/SUMPRODUCT(--($D$631:$V$631=T$631),--($D1487:$V1487=1)),0)+SUM(T884)+IF(COUNTIF(T$1237:T1487,1)=1,5,0)+IF(COUNTIF(U885:$W885,"&gt;"&amp;0)&lt;5,IF(AND(COUNTIF(T$1237:T1487,1)&gt;7,MOD(1+IFERROR(MATCH($C885,总览!$D$46:$D$345,1)+1,1),7)=0),$C$3,0),0)</f>
        <v>298.696880584837</v>
      </c>
      <c r="U885" s="131" cm="1">
        <f ca="1" t="array" ref="U885">IF(U1487=1,OFFSET($W$634,$B885,U$631-1)/SUMPRODUCT(--($D$631:$V$631=U$631),--($D1487:$V1487=1)),0)+SUM(U884)+IF(COUNTIF(U$1237:U1487,1)=1,5,0)+IF(COUNTIF(V885:$W885,"&gt;"&amp;0)&lt;5,IF(AND(COUNTIF(U$1237:U1487,1)&gt;7,MOD(1+IFERROR(MATCH($C885,总览!$D$46:$D$345,1)+1,1),7)=0),$C$3,0),0)</f>
        <v>304.217666940136</v>
      </c>
      <c r="V885" s="131" cm="1">
        <f ca="1" t="array" ref="V885">IF(V1487=1,OFFSET($W$634,$B885,V$631-1)/SUMPRODUCT(--($D$631:$V$631=V$631),--($D1487:$V1487=1)),0)+SUM(V884)+IF(COUNTIF(V$1237:V1487,1)=1,5,0)+IF(COUNTIF(W885:$W885,"&gt;"&amp;0)&lt;5,IF(AND(COUNTIF(V$1237:V1487,1)&gt;7,MOD(1+IFERROR(MATCH($C885,总览!$D$46:$D$345,1)+1,1),7)=0),$C$3,0),0)</f>
        <v>324.04466665257</v>
      </c>
      <c r="W885" s="135" cm="1">
        <f ca="1" t="array" ref="W885">SUMPRODUCT(TRANSPOSE($AA885:$AG885),OFFSET($L$9:$L$15,0,W$631-1))</f>
        <v>16.8502200646615</v>
      </c>
      <c r="X885" s="135" cm="1">
        <f ca="1" t="array" ref="X885">SUMPRODUCT(TRANSPOSE($AA885:$AG885),OFFSET($L$9:$L$15,0,X$631-1))</f>
        <v>20</v>
      </c>
      <c r="Y885" s="135" cm="1">
        <f ca="1" t="array" ref="Y885">SUMPRODUCT(TRANSPOSE($AA885:$AG885),OFFSET($L$9:$L$15,0,Y$631-1))</f>
        <v>10</v>
      </c>
      <c r="Z885" s="135" cm="1">
        <f ca="1" t="array" ref="Z885">SUMPRODUCT(TRANSPOSE($AA885:$AG885),OFFSET($L$9:$L$15,0,Z$631-1))</f>
        <v>3.14977993533847</v>
      </c>
      <c r="AA885" s="136">
        <f ca="1" t="shared" ref="AA885:AG885" si="747">AH885-AH884</f>
        <v>0</v>
      </c>
      <c r="AB885" s="136">
        <f ca="1" t="shared" si="747"/>
        <v>0</v>
      </c>
      <c r="AC885" s="136">
        <f ca="1" t="shared" si="747"/>
        <v>0</v>
      </c>
      <c r="AD885" s="136">
        <f ca="1" t="shared" si="747"/>
        <v>0</v>
      </c>
      <c r="AE885" s="136">
        <f ca="1" t="shared" si="747"/>
        <v>0</v>
      </c>
      <c r="AF885" s="136">
        <f ca="1" t="shared" si="747"/>
        <v>0</v>
      </c>
      <c r="AG885" s="136">
        <f ca="1" t="shared" si="747"/>
        <v>100</v>
      </c>
      <c r="AH885" s="136">
        <f ca="1" t="shared" si="631"/>
        <v>450</v>
      </c>
      <c r="AI885" s="136">
        <f ca="1" t="shared" ref="AI885:AN885" si="748">IF($C885&gt;OFFSET($Q$8,MATCH(AI$634,$AH$634:$AN$634,0),0),OFFSET($P$8,MATCH(AI$634,$AH$634:$AN$634,0),0),MAX(0,$C885-OFFSET($Q$8,RIGHT(AI$634,1)-1,0)))</f>
        <v>909</v>
      </c>
      <c r="AJ885" s="136">
        <f ca="1" t="shared" si="748"/>
        <v>1818</v>
      </c>
      <c r="AK885" s="136">
        <f ca="1" t="shared" si="748"/>
        <v>2727</v>
      </c>
      <c r="AL885" s="136">
        <f ca="1" t="shared" si="748"/>
        <v>3636</v>
      </c>
      <c r="AM885" s="136">
        <f ca="1" t="shared" si="748"/>
        <v>4545</v>
      </c>
      <c r="AN885" s="136">
        <f ca="1" t="shared" si="748"/>
        <v>11015</v>
      </c>
    </row>
    <row r="886" s="106" customFormat="1" ht="16.5" spans="2:40">
      <c r="B886" s="117">
        <v>252</v>
      </c>
      <c r="C886" s="130">
        <f t="shared" si="629"/>
        <v>25200</v>
      </c>
      <c r="D886" s="131" cm="1">
        <f ca="1" t="array" ref="D886">IF(D1488=1,OFFSET($W$634,$B886,D$631-1)/SUMPRODUCT(--($D$631:$V$631=D$631),--($D1488:$V1488=1)),0)+SUM(D885)+IF(COUNTIF(D$1237:D1488,1)=1,5,0)+IF(COUNTIF(E886:$W886,"&gt;"&amp;0)&lt;5,IF(AND(COUNTIF(D$1237:D1488,1)&gt;7,MOD(1+IFERROR(MATCH($C886,总览!$D$46:$D$345,1)+1,1),7)=0),$C$3,0),0)</f>
        <v>1743.12200196237</v>
      </c>
      <c r="E886" s="131" cm="1">
        <f ca="1" t="array" ref="E886">IF(E1488=1,OFFSET($W$634,$B886,E$631-1)/SUMPRODUCT(--($D$631:$V$631=E$631),--($D1488:$V1488=1)),0)+SUM(E885)+IF(COUNTIF(E$1237:E1488,1)=1,5,0)+IF(COUNTIF(F886:$W886,"&gt;"&amp;0)&lt;5,IF(AND(COUNTIF(E$1237:E1488,1)&gt;7,MOD(1+IFERROR(MATCH($C886,总览!$D$46:$D$345,1)+1,1),7)=0),$C$3,0),0)</f>
        <v>1743.12200196237</v>
      </c>
      <c r="F886" s="131" cm="1">
        <f ca="1" t="array" ref="F886">IF(F1488=1,OFFSET($W$634,$B886,F$631-1)/SUMPRODUCT(--($D$631:$V$631=F$631),--($D1488:$V1488=1)),0)+SUM(F885)+IF(COUNTIF(F$1237:F1488,1)=1,5,0)+IF(COUNTIF(G886:$W886,"&gt;"&amp;0)&lt;5,IF(AND(COUNTIF(F$1237:F1488,1)&gt;7,MOD(1+IFERROR(MATCH($C886,总览!$D$46:$D$345,1)+1,1),7)=0),$C$3,0),0)</f>
        <v>1743.12200196237</v>
      </c>
      <c r="G886" s="131" cm="1">
        <f ca="1" t="array" ref="G886">IF(G1488=1,OFFSET($W$634,$B886,G$631-1)/SUMPRODUCT(--($D$631:$V$631=G$631),--($D1488:$V1488=1)),0)+SUM(G885)+IF(COUNTIF(G$1237:G1488,1)=1,5,0)+IF(COUNTIF(H886:$W886,"&gt;"&amp;0)&lt;5,IF(AND(COUNTIF(G$1237:G1488,1)&gt;7,MOD(1+IFERROR(MATCH($C886,总览!$D$46:$D$345,1)+1,1),7)=0),$C$3,0),0)</f>
        <v>779.400000000002</v>
      </c>
      <c r="H886" s="131" cm="1">
        <f ca="1" t="array" ref="H886">IF(H1488=1,OFFSET($W$634,$B886,H$631-1)/SUMPRODUCT(--($D$631:$V$631=H$631),--($D1488:$V1488=1)),0)+SUM(H885)+IF(COUNTIF(H$1237:H1488,1)=1,5,0)+IF(COUNTIF(I886:$W886,"&gt;"&amp;0)&lt;5,IF(AND(COUNTIF(H$1237:H1488,1)&gt;7,MOD(1+IFERROR(MATCH($C886,总览!$D$46:$D$345,1)+1,1),7)=0),$C$3,0),0)</f>
        <v>779.400000000002</v>
      </c>
      <c r="I886" s="131" cm="1">
        <f ca="1" t="array" ref="I886">IF(I1488=1,OFFSET($W$634,$B886,I$631-1)/SUMPRODUCT(--($D$631:$V$631=I$631),--($D1488:$V1488=1)),0)+SUM(I885)+IF(COUNTIF(I$1237:I1488,1)=1,5,0)+IF(COUNTIF(J886:$W886,"&gt;"&amp;0)&lt;5,IF(AND(COUNTIF(I$1237:I1488,1)&gt;7,MOD(1+IFERROR(MATCH($C886,总览!$D$46:$D$345,1)+1,1),7)=0),$C$3,0),0)</f>
        <v>779.400000000002</v>
      </c>
      <c r="J886" s="131" cm="1">
        <f ca="1" t="array" ref="J886">IF(J1488=1,OFFSET($W$634,$B886,J$631-1)/SUMPRODUCT(--($D$631:$V$631=J$631),--($D1488:$V1488=1)),0)+SUM(J885)+IF(COUNTIF(J$1237:J1488,1)=1,5,0)+IF(COUNTIF(K886:$W886,"&gt;"&amp;0)&lt;5,IF(AND(COUNTIF(J$1237:J1488,1)&gt;7,MOD(1+IFERROR(MATCH($C886,总览!$D$46:$D$345,1)+1,1),7)=0),$C$3,0),0)</f>
        <v>776.066666666668</v>
      </c>
      <c r="K886" s="131" cm="1">
        <f ca="1" t="array" ref="K886">IF(K1488=1,OFFSET($W$634,$B886,K$631-1)/SUMPRODUCT(--($D$631:$V$631=K$631),--($D1488:$V1488=1)),0)+SUM(K885)+IF(COUNTIF(K$1237:K1488,1)=1,5,0)+IF(COUNTIF(L886:$W886,"&gt;"&amp;0)&lt;5,IF(AND(COUNTIF(K$1237:K1488,1)&gt;7,MOD(1+IFERROR(MATCH($C886,总览!$D$46:$D$345,1)+1,1),7)=0),$C$3,0),0)</f>
        <v>773.566666666668</v>
      </c>
      <c r="L886" s="131" cm="1">
        <f ca="1" t="array" ref="L886">IF(L1488=1,OFFSET($W$634,$B886,L$631-1)/SUMPRODUCT(--($D$631:$V$631=L$631),--($D1488:$V1488=1)),0)+SUM(L885)+IF(COUNTIF(L$1237:L1488,1)=1,5,0)+IF(COUNTIF(M886:$W886,"&gt;"&amp;0)&lt;5,IF(AND(COUNTIF(L$1237:L1488,1)&gt;7,MOD(1+IFERROR(MATCH($C886,总览!$D$46:$D$345,1)+1,1),7)=0),$C$3,0),0)</f>
        <v>773.566666666668</v>
      </c>
      <c r="M886" s="131" cm="1">
        <f ca="1" t="array" ref="M886">IF(M1488=1,OFFSET($W$634,$B886,M$631-1)/SUMPRODUCT(--($D$631:$V$631=M$631),--($D1488:$V1488=1)),0)+SUM(M885)+IF(COUNTIF(M$1237:M1488,1)=1,5,0)+IF(COUNTIF(N886:$W886,"&gt;"&amp;0)&lt;5,IF(AND(COUNTIF(M$1237:M1488,1)&gt;7,MOD(1+IFERROR(MATCH($C886,总览!$D$46:$D$345,1)+1,1),7)=0),$C$3,0),0)</f>
        <v>317.752678571428</v>
      </c>
      <c r="N886" s="131" cm="1">
        <f ca="1" t="array" ref="N886">IF(N1488=1,OFFSET($W$634,$B886,N$631-1)/SUMPRODUCT(--($D$631:$V$631=N$631),--($D1488:$V1488=1)),0)+SUM(N885)+IF(COUNTIF(N$1237:N1488,1)=1,5,0)+IF(COUNTIF(O886:$W886,"&gt;"&amp;0)&lt;5,IF(AND(COUNTIF(N$1237:N1488,1)&gt;7,MOD(1+IFERROR(MATCH($C886,总览!$D$46:$D$345,1)+1,1),7)=0),$C$3,0),0)</f>
        <v>319.002678571428</v>
      </c>
      <c r="O886" s="131" cm="1">
        <f ca="1" t="array" ref="O886">IF(O1488=1,OFFSET($W$634,$B886,O$631-1)/SUMPRODUCT(--($D$631:$V$631=O$631),--($D1488:$V1488=1)),0)+SUM(O885)+IF(COUNTIF(O$1237:O1488,1)=1,5,0)+IF(COUNTIF(P886:$W886,"&gt;"&amp;0)&lt;5,IF(AND(COUNTIF(O$1237:O1488,1)&gt;7,MOD(1+IFERROR(MATCH($C886,总览!$D$46:$D$345,1)+1,1),7)=0),$C$3,0),0)</f>
        <v>324.002678571428</v>
      </c>
      <c r="P886" s="131" cm="1">
        <f ca="1" t="array" ref="P886">IF(P1488=1,OFFSET($W$634,$B886,P$631-1)/SUMPRODUCT(--($D$631:$V$631=P$631),--($D1488:$V1488=1)),0)+SUM(P885)+IF(COUNTIF(P$1237:P1488,1)=1,5,0)+IF(COUNTIF(Q886:$W886,"&gt;"&amp;0)&lt;5,IF(AND(COUNTIF(P$1237:P1488,1)&gt;7,MOD(1+IFERROR(MATCH($C886,总览!$D$46:$D$345,1)+1,1),7)=0),$C$3,0),0)</f>
        <v>313.121428571428</v>
      </c>
      <c r="Q886" s="131" cm="1">
        <f ca="1" t="array" ref="Q886">IF(Q1488=1,OFFSET($W$634,$B886,Q$631-1)/SUMPRODUCT(--($D$631:$V$631=Q$631),--($D1488:$V1488=1)),0)+SUM(Q885)+IF(COUNTIF(Q$1237:Q1488,1)=1,5,0)+IF(COUNTIF(R886:$W886,"&gt;"&amp;0)&lt;5,IF(AND(COUNTIF(Q$1237:Q1488,1)&gt;7,MOD(1+IFERROR(MATCH($C886,总览!$D$46:$D$345,1)+1,1),7)=0),$C$3,0),0)</f>
        <v>326.502678571428</v>
      </c>
      <c r="R886" s="131" cm="1">
        <f ca="1" t="array" ref="R886">IF(R1488=1,OFFSET($W$634,$B886,R$631-1)/SUMPRODUCT(--($D$631:$V$631=R$631),--($D1488:$V1488=1)),0)+SUM(R885)+IF(COUNTIF(R$1237:R1488,1)=1,5,0)+IF(COUNTIF(S886:$W886,"&gt;"&amp;0)&lt;5,IF(AND(COUNTIF(R$1237:R1488,1)&gt;7,MOD(1+IFERROR(MATCH($C886,总览!$D$46:$D$345,1)+1,1),7)=0),$C$3,0),0)</f>
        <v>318.121428571428</v>
      </c>
      <c r="S886" s="131" cm="1">
        <f ca="1" t="array" ref="S886">IF(S1488=1,OFFSET($W$634,$B886,S$631-1)/SUMPRODUCT(--($D$631:$V$631=S$631),--($D1488:$V1488=1)),0)+SUM(S885)+IF(COUNTIF(S$1237:S1488,1)=1,5,0)+IF(COUNTIF(T886:$W886,"&gt;"&amp;0)&lt;5,IF(AND(COUNTIF(S$1237:S1488,1)&gt;7,MOD(1+IFERROR(MATCH($C886,总览!$D$46:$D$345,1)+1,1),7)=0),$C$3,0),0)</f>
        <v>410.621428571429</v>
      </c>
      <c r="T886" s="131" cm="1">
        <f ca="1" t="array" ref="T886">IF(T1488=1,OFFSET($W$634,$B886,T$631-1)/SUMPRODUCT(--($D$631:$V$631=T$631),--($D1488:$V1488=1)),0)+SUM(T885)+IF(COUNTIF(T$1237:T1488,1)=1,5,0)+IF(COUNTIF(U886:$W886,"&gt;"&amp;0)&lt;5,IF(AND(COUNTIF(T$1237:T1488,1)&gt;7,MOD(1+IFERROR(MATCH($C886,总览!$D$46:$D$345,1)+1,1),7)=0),$C$3,0),0)</f>
        <v>299.74680722995</v>
      </c>
      <c r="U886" s="131" cm="1">
        <f ca="1" t="array" ref="U886">IF(U1488=1,OFFSET($W$634,$B886,U$631-1)/SUMPRODUCT(--($D$631:$V$631=U$631),--($D1488:$V1488=1)),0)+SUM(U885)+IF(COUNTIF(U$1237:U1488,1)=1,5,0)+IF(COUNTIF(V886:$W886,"&gt;"&amp;0)&lt;5,IF(AND(COUNTIF(U$1237:U1488,1)&gt;7,MOD(1+IFERROR(MATCH($C886,总览!$D$46:$D$345,1)+1,1),7)=0),$C$3,0),0)</f>
        <v>305.267593585249</v>
      </c>
      <c r="V886" s="131" cm="1">
        <f ca="1" t="array" ref="V886">IF(V1488=1,OFFSET($W$634,$B886,V$631-1)/SUMPRODUCT(--($D$631:$V$631=V$631),--($D1488:$V1488=1)),0)+SUM(V885)+IF(COUNTIF(V$1237:V1488,1)=1,5,0)+IF(COUNTIF(W886:$W886,"&gt;"&amp;0)&lt;5,IF(AND(COUNTIF(V$1237:V1488,1)&gt;7,MOD(1+IFERROR(MATCH($C886,总览!$D$46:$D$345,1)+1,1),7)=0),$C$3,0),0)</f>
        <v>325.094593297682</v>
      </c>
      <c r="W886" s="135" cm="1">
        <f ca="1" t="array" ref="W886">SUMPRODUCT(TRANSPOSE($AA886:$AG886),OFFSET($L$9:$L$15,0,W$631-1))</f>
        <v>16.8502200646615</v>
      </c>
      <c r="X886" s="135" cm="1">
        <f ca="1" t="array" ref="X886">SUMPRODUCT(TRANSPOSE($AA886:$AG886),OFFSET($L$9:$L$15,0,X$631-1))</f>
        <v>20</v>
      </c>
      <c r="Y886" s="135" cm="1">
        <f ca="1" t="array" ref="Y886">SUMPRODUCT(TRANSPOSE($AA886:$AG886),OFFSET($L$9:$L$15,0,Y$631-1))</f>
        <v>10</v>
      </c>
      <c r="Z886" s="135" cm="1">
        <f ca="1" t="array" ref="Z886">SUMPRODUCT(TRANSPOSE($AA886:$AG886),OFFSET($L$9:$L$15,0,Z$631-1))</f>
        <v>3.14977993533847</v>
      </c>
      <c r="AA886" s="136">
        <f ca="1" t="shared" ref="AA886:AG886" si="749">AH886-AH885</f>
        <v>0</v>
      </c>
      <c r="AB886" s="136">
        <f ca="1" t="shared" si="749"/>
        <v>0</v>
      </c>
      <c r="AC886" s="136">
        <f ca="1" t="shared" si="749"/>
        <v>0</v>
      </c>
      <c r="AD886" s="136">
        <f ca="1" t="shared" si="749"/>
        <v>0</v>
      </c>
      <c r="AE886" s="136">
        <f ca="1" t="shared" si="749"/>
        <v>0</v>
      </c>
      <c r="AF886" s="136">
        <f ca="1" t="shared" si="749"/>
        <v>0</v>
      </c>
      <c r="AG886" s="136">
        <f ca="1" t="shared" si="749"/>
        <v>100</v>
      </c>
      <c r="AH886" s="136">
        <f ca="1" t="shared" si="631"/>
        <v>450</v>
      </c>
      <c r="AI886" s="136">
        <f ca="1" t="shared" ref="AI886:AN886" si="750">IF($C886&gt;OFFSET($Q$8,MATCH(AI$634,$AH$634:$AN$634,0),0),OFFSET($P$8,MATCH(AI$634,$AH$634:$AN$634,0),0),MAX(0,$C886-OFFSET($Q$8,RIGHT(AI$634,1)-1,0)))</f>
        <v>909</v>
      </c>
      <c r="AJ886" s="136">
        <f ca="1" t="shared" si="750"/>
        <v>1818</v>
      </c>
      <c r="AK886" s="136">
        <f ca="1" t="shared" si="750"/>
        <v>2727</v>
      </c>
      <c r="AL886" s="136">
        <f ca="1" t="shared" si="750"/>
        <v>3636</v>
      </c>
      <c r="AM886" s="136">
        <f ca="1" t="shared" si="750"/>
        <v>4545</v>
      </c>
      <c r="AN886" s="136">
        <f ca="1" t="shared" si="750"/>
        <v>11115</v>
      </c>
    </row>
    <row r="887" s="106" customFormat="1" ht="16.5" spans="2:40">
      <c r="B887" s="117">
        <v>253</v>
      </c>
      <c r="C887" s="130">
        <f t="shared" si="629"/>
        <v>25300</v>
      </c>
      <c r="D887" s="131" cm="1">
        <f ca="1" t="array" ref="D887">IF(D1489=1,OFFSET($W$634,$B887,D$631-1)/SUMPRODUCT(--($D$631:$V$631=D$631),--($D1489:$V1489=1)),0)+SUM(D886)+IF(COUNTIF(D$1237:D1489,1)=1,5,0)+IF(COUNTIF(E887:$W887,"&gt;"&amp;0)&lt;5,IF(AND(COUNTIF(D$1237:D1489,1)&gt;7,MOD(1+IFERROR(MATCH($C887,总览!$D$46:$D$345,1)+1,1),7)=0),$C$3,0),0)</f>
        <v>1748.73874198392</v>
      </c>
      <c r="E887" s="131" cm="1">
        <f ca="1" t="array" ref="E887">IF(E1489=1,OFFSET($W$634,$B887,E$631-1)/SUMPRODUCT(--($D$631:$V$631=E$631),--($D1489:$V1489=1)),0)+SUM(E886)+IF(COUNTIF(E$1237:E1489,1)=1,5,0)+IF(COUNTIF(F887:$W887,"&gt;"&amp;0)&lt;5,IF(AND(COUNTIF(E$1237:E1489,1)&gt;7,MOD(1+IFERROR(MATCH($C887,总览!$D$46:$D$345,1)+1,1),7)=0),$C$3,0),0)</f>
        <v>1748.73874198392</v>
      </c>
      <c r="F887" s="131" cm="1">
        <f ca="1" t="array" ref="F887">IF(F1489=1,OFFSET($W$634,$B887,F$631-1)/SUMPRODUCT(--($D$631:$V$631=F$631),--($D1489:$V1489=1)),0)+SUM(F886)+IF(COUNTIF(F$1237:F1489,1)=1,5,0)+IF(COUNTIF(G887:$W887,"&gt;"&amp;0)&lt;5,IF(AND(COUNTIF(F$1237:F1489,1)&gt;7,MOD(1+IFERROR(MATCH($C887,总览!$D$46:$D$345,1)+1,1),7)=0),$C$3,0),0)</f>
        <v>1748.73874198392</v>
      </c>
      <c r="G887" s="131" cm="1">
        <f ca="1" t="array" ref="G887">IF(G1489=1,OFFSET($W$634,$B887,G$631-1)/SUMPRODUCT(--($D$631:$V$631=G$631),--($D1489:$V1489=1)),0)+SUM(G886)+IF(COUNTIF(G$1237:G1489,1)=1,5,0)+IF(COUNTIF(H887:$W887,"&gt;"&amp;0)&lt;5,IF(AND(COUNTIF(G$1237:G1489,1)&gt;7,MOD(1+IFERROR(MATCH($C887,总览!$D$46:$D$345,1)+1,1),7)=0),$C$3,0),0)</f>
        <v>782.733333333335</v>
      </c>
      <c r="H887" s="131" cm="1">
        <f ca="1" t="array" ref="H887">IF(H1489=1,OFFSET($W$634,$B887,H$631-1)/SUMPRODUCT(--($D$631:$V$631=H$631),--($D1489:$V1489=1)),0)+SUM(H886)+IF(COUNTIF(H$1237:H1489,1)=1,5,0)+IF(COUNTIF(I887:$W887,"&gt;"&amp;0)&lt;5,IF(AND(COUNTIF(H$1237:H1489,1)&gt;7,MOD(1+IFERROR(MATCH($C887,总览!$D$46:$D$345,1)+1,1),7)=0),$C$3,0),0)</f>
        <v>782.733333333335</v>
      </c>
      <c r="I887" s="131" cm="1">
        <f ca="1" t="array" ref="I887">IF(I1489=1,OFFSET($W$634,$B887,I$631-1)/SUMPRODUCT(--($D$631:$V$631=I$631),--($D1489:$V1489=1)),0)+SUM(I886)+IF(COUNTIF(I$1237:I1489,1)=1,5,0)+IF(COUNTIF(J887:$W887,"&gt;"&amp;0)&lt;5,IF(AND(COUNTIF(I$1237:I1489,1)&gt;7,MOD(1+IFERROR(MATCH($C887,总览!$D$46:$D$345,1)+1,1),7)=0),$C$3,0),0)</f>
        <v>782.733333333335</v>
      </c>
      <c r="J887" s="131" cm="1">
        <f ca="1" t="array" ref="J887">IF(J1489=1,OFFSET($W$634,$B887,J$631-1)/SUMPRODUCT(--($D$631:$V$631=J$631),--($D1489:$V1489=1)),0)+SUM(J886)+IF(COUNTIF(J$1237:J1489,1)=1,5,0)+IF(COUNTIF(K887:$W887,"&gt;"&amp;0)&lt;5,IF(AND(COUNTIF(J$1237:J1489,1)&gt;7,MOD(1+IFERROR(MATCH($C887,总览!$D$46:$D$345,1)+1,1),7)=0),$C$3,0),0)</f>
        <v>779.400000000002</v>
      </c>
      <c r="K887" s="131" cm="1">
        <f ca="1" t="array" ref="K887">IF(K1489=1,OFFSET($W$634,$B887,K$631-1)/SUMPRODUCT(--($D$631:$V$631=K$631),--($D1489:$V1489=1)),0)+SUM(K886)+IF(COUNTIF(K$1237:K1489,1)=1,5,0)+IF(COUNTIF(L887:$W887,"&gt;"&amp;0)&lt;5,IF(AND(COUNTIF(K$1237:K1489,1)&gt;7,MOD(1+IFERROR(MATCH($C887,总览!$D$46:$D$345,1)+1,1),7)=0),$C$3,0),0)</f>
        <v>776.900000000002</v>
      </c>
      <c r="L887" s="131" cm="1">
        <f ca="1" t="array" ref="L887">IF(L1489=1,OFFSET($W$634,$B887,L$631-1)/SUMPRODUCT(--($D$631:$V$631=L$631),--($D1489:$V1489=1)),0)+SUM(L886)+IF(COUNTIF(L$1237:L1489,1)=1,5,0)+IF(COUNTIF(M887:$W887,"&gt;"&amp;0)&lt;5,IF(AND(COUNTIF(L$1237:L1489,1)&gt;7,MOD(1+IFERROR(MATCH($C887,总览!$D$46:$D$345,1)+1,1),7)=0),$C$3,0),0)</f>
        <v>776.900000000002</v>
      </c>
      <c r="M887" s="131" cm="1">
        <f ca="1" t="array" ref="M887">IF(M1489=1,OFFSET($W$634,$B887,M$631-1)/SUMPRODUCT(--($D$631:$V$631=M$631),--($D1489:$V1489=1)),0)+SUM(M886)+IF(COUNTIF(M$1237:M1489,1)=1,5,0)+IF(COUNTIF(N887:$W887,"&gt;"&amp;0)&lt;5,IF(AND(COUNTIF(M$1237:M1489,1)&gt;7,MOD(1+IFERROR(MATCH($C887,总览!$D$46:$D$345,1)+1,1),7)=0),$C$3,0),0)</f>
        <v>319.18125</v>
      </c>
      <c r="N887" s="131" cm="1">
        <f ca="1" t="array" ref="N887">IF(N1489=1,OFFSET($W$634,$B887,N$631-1)/SUMPRODUCT(--($D$631:$V$631=N$631),--($D1489:$V1489=1)),0)+SUM(N886)+IF(COUNTIF(N$1237:N1489,1)=1,5,0)+IF(COUNTIF(O887:$W887,"&gt;"&amp;0)&lt;5,IF(AND(COUNTIF(N$1237:N1489,1)&gt;7,MOD(1+IFERROR(MATCH($C887,总览!$D$46:$D$345,1)+1,1),7)=0),$C$3,0),0)</f>
        <v>320.43125</v>
      </c>
      <c r="O887" s="131" cm="1">
        <f ca="1" t="array" ref="O887">IF(O1489=1,OFFSET($W$634,$B887,O$631-1)/SUMPRODUCT(--($D$631:$V$631=O$631),--($D1489:$V1489=1)),0)+SUM(O886)+IF(COUNTIF(O$1237:O1489,1)=1,5,0)+IF(COUNTIF(P887:$W887,"&gt;"&amp;0)&lt;5,IF(AND(COUNTIF(O$1237:O1489,1)&gt;7,MOD(1+IFERROR(MATCH($C887,总览!$D$46:$D$345,1)+1,1),7)=0),$C$3,0),0)</f>
        <v>325.43125</v>
      </c>
      <c r="P887" s="131" cm="1">
        <f ca="1" t="array" ref="P887">IF(P1489=1,OFFSET($W$634,$B887,P$631-1)/SUMPRODUCT(--($D$631:$V$631=P$631),--($D1489:$V1489=1)),0)+SUM(P886)+IF(COUNTIF(P$1237:P1489,1)=1,5,0)+IF(COUNTIF(Q887:$W887,"&gt;"&amp;0)&lt;5,IF(AND(COUNTIF(P$1237:P1489,1)&gt;7,MOD(1+IFERROR(MATCH($C887,总览!$D$46:$D$345,1)+1,1),7)=0),$C$3,0),0)</f>
        <v>314.55</v>
      </c>
      <c r="Q887" s="131" cm="1">
        <f ca="1" t="array" ref="Q887">IF(Q1489=1,OFFSET($W$634,$B887,Q$631-1)/SUMPRODUCT(--($D$631:$V$631=Q$631),--($D1489:$V1489=1)),0)+SUM(Q886)+IF(COUNTIF(Q$1237:Q1489,1)=1,5,0)+IF(COUNTIF(R887:$W887,"&gt;"&amp;0)&lt;5,IF(AND(COUNTIF(Q$1237:Q1489,1)&gt;7,MOD(1+IFERROR(MATCH($C887,总览!$D$46:$D$345,1)+1,1),7)=0),$C$3,0),0)</f>
        <v>327.93125</v>
      </c>
      <c r="R887" s="131" cm="1">
        <f ca="1" t="array" ref="R887">IF(R1489=1,OFFSET($W$634,$B887,R$631-1)/SUMPRODUCT(--($D$631:$V$631=R$631),--($D1489:$V1489=1)),0)+SUM(R886)+IF(COUNTIF(R$1237:R1489,1)=1,5,0)+IF(COUNTIF(S887:$W887,"&gt;"&amp;0)&lt;5,IF(AND(COUNTIF(R$1237:R1489,1)&gt;7,MOD(1+IFERROR(MATCH($C887,总览!$D$46:$D$345,1)+1,1),7)=0),$C$3,0),0)</f>
        <v>319.55</v>
      </c>
      <c r="S887" s="131" cm="1">
        <f ca="1" t="array" ref="S887">IF(S1489=1,OFFSET($W$634,$B887,S$631-1)/SUMPRODUCT(--($D$631:$V$631=S$631),--($D1489:$V1489=1)),0)+SUM(S886)+IF(COUNTIF(S$1237:S1489,1)=1,5,0)+IF(COUNTIF(T887:$W887,"&gt;"&amp;0)&lt;5,IF(AND(COUNTIF(S$1237:S1489,1)&gt;7,MOD(1+IFERROR(MATCH($C887,总览!$D$46:$D$345,1)+1,1),7)=0),$C$3,0),0)</f>
        <v>412.050000000001</v>
      </c>
      <c r="T887" s="131" cm="1">
        <f ca="1" t="array" ref="T887">IF(T1489=1,OFFSET($W$634,$B887,T$631-1)/SUMPRODUCT(--($D$631:$V$631=T$631),--($D1489:$V1489=1)),0)+SUM(T886)+IF(COUNTIF(T$1237:T1489,1)=1,5,0)+IF(COUNTIF(U887:$W887,"&gt;"&amp;0)&lt;5,IF(AND(COUNTIF(T$1237:T1489,1)&gt;7,MOD(1+IFERROR(MATCH($C887,总览!$D$46:$D$345,1)+1,1),7)=0),$C$3,0),0)</f>
        <v>300.796733875063</v>
      </c>
      <c r="U887" s="131" cm="1">
        <f ca="1" t="array" ref="U887">IF(U1489=1,OFFSET($W$634,$B887,U$631-1)/SUMPRODUCT(--($D$631:$V$631=U$631),--($D1489:$V1489=1)),0)+SUM(U886)+IF(COUNTIF(U$1237:U1489,1)=1,5,0)+IF(COUNTIF(V887:$W887,"&gt;"&amp;0)&lt;5,IF(AND(COUNTIF(U$1237:U1489,1)&gt;7,MOD(1+IFERROR(MATCH($C887,总览!$D$46:$D$345,1)+1,1),7)=0),$C$3,0),0)</f>
        <v>306.317520230362</v>
      </c>
      <c r="V887" s="131" cm="1">
        <f ca="1" t="array" ref="V887">IF(V1489=1,OFFSET($W$634,$B887,V$631-1)/SUMPRODUCT(--($D$631:$V$631=V$631),--($D1489:$V1489=1)),0)+SUM(V886)+IF(COUNTIF(V$1237:V1489,1)=1,5,0)+IF(COUNTIF(W887:$W887,"&gt;"&amp;0)&lt;5,IF(AND(COUNTIF(V$1237:V1489,1)&gt;7,MOD(1+IFERROR(MATCH($C887,总览!$D$46:$D$345,1)+1,1),7)=0),$C$3,0),0)</f>
        <v>326.144519942795</v>
      </c>
      <c r="W887" s="135" cm="1">
        <f ca="1" t="array" ref="W887">SUMPRODUCT(TRANSPOSE($AA887:$AG887),OFFSET($L$9:$L$15,0,W$631-1))</f>
        <v>16.8502200646615</v>
      </c>
      <c r="X887" s="135" cm="1">
        <f ca="1" t="array" ref="X887">SUMPRODUCT(TRANSPOSE($AA887:$AG887),OFFSET($L$9:$L$15,0,X$631-1))</f>
        <v>20</v>
      </c>
      <c r="Y887" s="135" cm="1">
        <f ca="1" t="array" ref="Y887">SUMPRODUCT(TRANSPOSE($AA887:$AG887),OFFSET($L$9:$L$15,0,Y$631-1))</f>
        <v>10</v>
      </c>
      <c r="Z887" s="135" cm="1">
        <f ca="1" t="array" ref="Z887">SUMPRODUCT(TRANSPOSE($AA887:$AG887),OFFSET($L$9:$L$15,0,Z$631-1))</f>
        <v>3.14977993533847</v>
      </c>
      <c r="AA887" s="136">
        <f ca="1" t="shared" ref="AA887:AG887" si="751">AH887-AH886</f>
        <v>0</v>
      </c>
      <c r="AB887" s="136">
        <f ca="1" t="shared" si="751"/>
        <v>0</v>
      </c>
      <c r="AC887" s="136">
        <f ca="1" t="shared" si="751"/>
        <v>0</v>
      </c>
      <c r="AD887" s="136">
        <f ca="1" t="shared" si="751"/>
        <v>0</v>
      </c>
      <c r="AE887" s="136">
        <f ca="1" t="shared" si="751"/>
        <v>0</v>
      </c>
      <c r="AF887" s="136">
        <f ca="1" t="shared" si="751"/>
        <v>0</v>
      </c>
      <c r="AG887" s="136">
        <f ca="1" t="shared" si="751"/>
        <v>100</v>
      </c>
      <c r="AH887" s="136">
        <f ca="1" t="shared" si="631"/>
        <v>450</v>
      </c>
      <c r="AI887" s="136">
        <f ca="1" t="shared" ref="AI887:AN887" si="752">IF($C887&gt;OFFSET($Q$8,MATCH(AI$634,$AH$634:$AN$634,0),0),OFFSET($P$8,MATCH(AI$634,$AH$634:$AN$634,0),0),MAX(0,$C887-OFFSET($Q$8,RIGHT(AI$634,1)-1,0)))</f>
        <v>909</v>
      </c>
      <c r="AJ887" s="136">
        <f ca="1" t="shared" si="752"/>
        <v>1818</v>
      </c>
      <c r="AK887" s="136">
        <f ca="1" t="shared" si="752"/>
        <v>2727</v>
      </c>
      <c r="AL887" s="136">
        <f ca="1" t="shared" si="752"/>
        <v>3636</v>
      </c>
      <c r="AM887" s="136">
        <f ca="1" t="shared" si="752"/>
        <v>4545</v>
      </c>
      <c r="AN887" s="136">
        <f ca="1" t="shared" si="752"/>
        <v>11215</v>
      </c>
    </row>
    <row r="888" s="106" customFormat="1" ht="16.5" spans="2:40">
      <c r="B888" s="117">
        <v>254</v>
      </c>
      <c r="C888" s="130">
        <f t="shared" si="629"/>
        <v>25400</v>
      </c>
      <c r="D888" s="131" cm="1">
        <f ca="1" t="array" ref="D888">IF(D1490=1,OFFSET($W$634,$B888,D$631-1)/SUMPRODUCT(--($D$631:$V$631=D$631),--($D1490:$V1490=1)),0)+SUM(D887)+IF(COUNTIF(D$1237:D1490,1)=1,5,0)+IF(COUNTIF(E888:$W888,"&gt;"&amp;0)&lt;5,IF(AND(COUNTIF(D$1237:D1490,1)&gt;7,MOD(1+IFERROR(MATCH($C888,总览!$D$46:$D$345,1)+1,1),7)=0),$C$3,0),0)</f>
        <v>1754.35548200548</v>
      </c>
      <c r="E888" s="131" cm="1">
        <f ca="1" t="array" ref="E888">IF(E1490=1,OFFSET($W$634,$B888,E$631-1)/SUMPRODUCT(--($D$631:$V$631=E$631),--($D1490:$V1490=1)),0)+SUM(E887)+IF(COUNTIF(E$1237:E1490,1)=1,5,0)+IF(COUNTIF(F888:$W888,"&gt;"&amp;0)&lt;5,IF(AND(COUNTIF(E$1237:E1490,1)&gt;7,MOD(1+IFERROR(MATCH($C888,总览!$D$46:$D$345,1)+1,1),7)=0),$C$3,0),0)</f>
        <v>1754.35548200548</v>
      </c>
      <c r="F888" s="131" cm="1">
        <f ca="1" t="array" ref="F888">IF(F1490=1,OFFSET($W$634,$B888,F$631-1)/SUMPRODUCT(--($D$631:$V$631=F$631),--($D1490:$V1490=1)),0)+SUM(F887)+IF(COUNTIF(F$1237:F1490,1)=1,5,0)+IF(COUNTIF(G888:$W888,"&gt;"&amp;0)&lt;5,IF(AND(COUNTIF(F$1237:F1490,1)&gt;7,MOD(1+IFERROR(MATCH($C888,总览!$D$46:$D$345,1)+1,1),7)=0),$C$3,0),0)</f>
        <v>1754.35548200548</v>
      </c>
      <c r="G888" s="131" cm="1">
        <f ca="1" t="array" ref="G888">IF(G1490=1,OFFSET($W$634,$B888,G$631-1)/SUMPRODUCT(--($D$631:$V$631=G$631),--($D1490:$V1490=1)),0)+SUM(G887)+IF(COUNTIF(G$1237:G1490,1)=1,5,0)+IF(COUNTIF(H888:$W888,"&gt;"&amp;0)&lt;5,IF(AND(COUNTIF(G$1237:G1490,1)&gt;7,MOD(1+IFERROR(MATCH($C888,总览!$D$46:$D$345,1)+1,1),7)=0),$C$3,0),0)</f>
        <v>786.066666666668</v>
      </c>
      <c r="H888" s="131" cm="1">
        <f ca="1" t="array" ref="H888">IF(H1490=1,OFFSET($W$634,$B888,H$631-1)/SUMPRODUCT(--($D$631:$V$631=H$631),--($D1490:$V1490=1)),0)+SUM(H887)+IF(COUNTIF(H$1237:H1490,1)=1,5,0)+IF(COUNTIF(I888:$W888,"&gt;"&amp;0)&lt;5,IF(AND(COUNTIF(H$1237:H1490,1)&gt;7,MOD(1+IFERROR(MATCH($C888,总览!$D$46:$D$345,1)+1,1),7)=0),$C$3,0),0)</f>
        <v>786.066666666668</v>
      </c>
      <c r="I888" s="131" cm="1">
        <f ca="1" t="array" ref="I888">IF(I1490=1,OFFSET($W$634,$B888,I$631-1)/SUMPRODUCT(--($D$631:$V$631=I$631),--($D1490:$V1490=1)),0)+SUM(I887)+IF(COUNTIF(I$1237:I1490,1)=1,5,0)+IF(COUNTIF(J888:$W888,"&gt;"&amp;0)&lt;5,IF(AND(COUNTIF(I$1237:I1490,1)&gt;7,MOD(1+IFERROR(MATCH($C888,总览!$D$46:$D$345,1)+1,1),7)=0),$C$3,0),0)</f>
        <v>786.066666666668</v>
      </c>
      <c r="J888" s="131" cm="1">
        <f ca="1" t="array" ref="J888">IF(J1490=1,OFFSET($W$634,$B888,J$631-1)/SUMPRODUCT(--($D$631:$V$631=J$631),--($D1490:$V1490=1)),0)+SUM(J887)+IF(COUNTIF(J$1237:J1490,1)=1,5,0)+IF(COUNTIF(K888:$W888,"&gt;"&amp;0)&lt;5,IF(AND(COUNTIF(J$1237:J1490,1)&gt;7,MOD(1+IFERROR(MATCH($C888,总览!$D$46:$D$345,1)+1,1),7)=0),$C$3,0),0)</f>
        <v>782.733333333335</v>
      </c>
      <c r="K888" s="131" cm="1">
        <f ca="1" t="array" ref="K888">IF(K1490=1,OFFSET($W$634,$B888,K$631-1)/SUMPRODUCT(--($D$631:$V$631=K$631),--($D1490:$V1490=1)),0)+SUM(K887)+IF(COUNTIF(K$1237:K1490,1)=1,5,0)+IF(COUNTIF(L888:$W888,"&gt;"&amp;0)&lt;5,IF(AND(COUNTIF(K$1237:K1490,1)&gt;7,MOD(1+IFERROR(MATCH($C888,总览!$D$46:$D$345,1)+1,1),7)=0),$C$3,0),0)</f>
        <v>780.233333333335</v>
      </c>
      <c r="L888" s="131" cm="1">
        <f ca="1" t="array" ref="L888">IF(L1490=1,OFFSET($W$634,$B888,L$631-1)/SUMPRODUCT(--($D$631:$V$631=L$631),--($D1490:$V1490=1)),0)+SUM(L887)+IF(COUNTIF(L$1237:L1490,1)=1,5,0)+IF(COUNTIF(M888:$W888,"&gt;"&amp;0)&lt;5,IF(AND(COUNTIF(L$1237:L1490,1)&gt;7,MOD(1+IFERROR(MATCH($C888,总览!$D$46:$D$345,1)+1,1),7)=0),$C$3,0),0)</f>
        <v>780.233333333335</v>
      </c>
      <c r="M888" s="131" cm="1">
        <f ca="1" t="array" ref="M888">IF(M1490=1,OFFSET($W$634,$B888,M$631-1)/SUMPRODUCT(--($D$631:$V$631=M$631),--($D1490:$V1490=1)),0)+SUM(M887)+IF(COUNTIF(M$1237:M1490,1)=1,5,0)+IF(COUNTIF(N888:$W888,"&gt;"&amp;0)&lt;5,IF(AND(COUNTIF(M$1237:M1490,1)&gt;7,MOD(1+IFERROR(MATCH($C888,总览!$D$46:$D$345,1)+1,1),7)=0),$C$3,0),0)</f>
        <v>320.609821428571</v>
      </c>
      <c r="N888" s="131" cm="1">
        <f ca="1" t="array" ref="N888">IF(N1490=1,OFFSET($W$634,$B888,N$631-1)/SUMPRODUCT(--($D$631:$V$631=N$631),--($D1490:$V1490=1)),0)+SUM(N887)+IF(COUNTIF(N$1237:N1490,1)=1,5,0)+IF(COUNTIF(O888:$W888,"&gt;"&amp;0)&lt;5,IF(AND(COUNTIF(N$1237:N1490,1)&gt;7,MOD(1+IFERROR(MATCH($C888,总览!$D$46:$D$345,1)+1,1),7)=0),$C$3,0),0)</f>
        <v>321.859821428571</v>
      </c>
      <c r="O888" s="131" cm="1">
        <f ca="1" t="array" ref="O888">IF(O1490=1,OFFSET($W$634,$B888,O$631-1)/SUMPRODUCT(--($D$631:$V$631=O$631),--($D1490:$V1490=1)),0)+SUM(O887)+IF(COUNTIF(O$1237:O1490,1)=1,5,0)+IF(COUNTIF(P888:$W888,"&gt;"&amp;0)&lt;5,IF(AND(COUNTIF(O$1237:O1490,1)&gt;7,MOD(1+IFERROR(MATCH($C888,总览!$D$46:$D$345,1)+1,1),7)=0),$C$3,0),0)</f>
        <v>326.859821428571</v>
      </c>
      <c r="P888" s="131" cm="1">
        <f ca="1" t="array" ref="P888">IF(P1490=1,OFFSET($W$634,$B888,P$631-1)/SUMPRODUCT(--($D$631:$V$631=P$631),--($D1490:$V1490=1)),0)+SUM(P887)+IF(COUNTIF(P$1237:P1490,1)=1,5,0)+IF(COUNTIF(Q888:$W888,"&gt;"&amp;0)&lt;5,IF(AND(COUNTIF(P$1237:P1490,1)&gt;7,MOD(1+IFERROR(MATCH($C888,总览!$D$46:$D$345,1)+1,1),7)=0),$C$3,0),0)</f>
        <v>315.978571428571</v>
      </c>
      <c r="Q888" s="131" cm="1">
        <f ca="1" t="array" ref="Q888">IF(Q1490=1,OFFSET($W$634,$B888,Q$631-1)/SUMPRODUCT(--($D$631:$V$631=Q$631),--($D1490:$V1490=1)),0)+SUM(Q887)+IF(COUNTIF(Q$1237:Q1490,1)=1,5,0)+IF(COUNTIF(R888:$W888,"&gt;"&amp;0)&lt;5,IF(AND(COUNTIF(Q$1237:Q1490,1)&gt;7,MOD(1+IFERROR(MATCH($C888,总览!$D$46:$D$345,1)+1,1),7)=0),$C$3,0),0)</f>
        <v>329.359821428571</v>
      </c>
      <c r="R888" s="131" cm="1">
        <f ca="1" t="array" ref="R888">IF(R1490=1,OFFSET($W$634,$B888,R$631-1)/SUMPRODUCT(--($D$631:$V$631=R$631),--($D1490:$V1490=1)),0)+SUM(R887)+IF(COUNTIF(R$1237:R1490,1)=1,5,0)+IF(COUNTIF(S888:$W888,"&gt;"&amp;0)&lt;5,IF(AND(COUNTIF(R$1237:R1490,1)&gt;7,MOD(1+IFERROR(MATCH($C888,总览!$D$46:$D$345,1)+1,1),7)=0),$C$3,0),0)</f>
        <v>320.978571428571</v>
      </c>
      <c r="S888" s="131" cm="1">
        <f ca="1" t="array" ref="S888">IF(S1490=1,OFFSET($W$634,$B888,S$631-1)/SUMPRODUCT(--($D$631:$V$631=S$631),--($D1490:$V1490=1)),0)+SUM(S887)+IF(COUNTIF(S$1237:S1490,1)=1,5,0)+IF(COUNTIF(T888:$W888,"&gt;"&amp;0)&lt;5,IF(AND(COUNTIF(S$1237:S1490,1)&gt;7,MOD(1+IFERROR(MATCH($C888,总览!$D$46:$D$345,1)+1,1),7)=0),$C$3,0),0)</f>
        <v>413.478571428572</v>
      </c>
      <c r="T888" s="131" cm="1">
        <f ca="1" t="array" ref="T888">IF(T1490=1,OFFSET($W$634,$B888,T$631-1)/SUMPRODUCT(--($D$631:$V$631=T$631),--($D1490:$V1490=1)),0)+SUM(T887)+IF(COUNTIF(T$1237:T1490,1)=1,5,0)+IF(COUNTIF(U888:$W888,"&gt;"&amp;0)&lt;5,IF(AND(COUNTIF(T$1237:T1490,1)&gt;7,MOD(1+IFERROR(MATCH($C888,总览!$D$46:$D$345,1)+1,1),7)=0),$C$3,0),0)</f>
        <v>301.846660520175</v>
      </c>
      <c r="U888" s="131" cm="1">
        <f ca="1" t="array" ref="U888">IF(U1490=1,OFFSET($W$634,$B888,U$631-1)/SUMPRODUCT(--($D$631:$V$631=U$631),--($D1490:$V1490=1)),0)+SUM(U887)+IF(COUNTIF(U$1237:U1490,1)=1,5,0)+IF(COUNTIF(V888:$W888,"&gt;"&amp;0)&lt;5,IF(AND(COUNTIF(U$1237:U1490,1)&gt;7,MOD(1+IFERROR(MATCH($C888,总览!$D$46:$D$345,1)+1,1),7)=0),$C$3,0),0)</f>
        <v>307.367446875475</v>
      </c>
      <c r="V888" s="131" cm="1">
        <f ca="1" t="array" ref="V888">IF(V1490=1,OFFSET($W$634,$B888,V$631-1)/SUMPRODUCT(--($D$631:$V$631=V$631),--($D1490:$V1490=1)),0)+SUM(V887)+IF(COUNTIF(V$1237:V1490,1)=1,5,0)+IF(COUNTIF(W888:$W888,"&gt;"&amp;0)&lt;5,IF(AND(COUNTIF(V$1237:V1490,1)&gt;7,MOD(1+IFERROR(MATCH($C888,总览!$D$46:$D$345,1)+1,1),7)=0),$C$3,0),0)</f>
        <v>327.194446587908</v>
      </c>
      <c r="W888" s="135" cm="1">
        <f ca="1" t="array" ref="W888">SUMPRODUCT(TRANSPOSE($AA888:$AG888),OFFSET($L$9:$L$15,0,W$631-1))</f>
        <v>16.8502200646615</v>
      </c>
      <c r="X888" s="135" cm="1">
        <f ca="1" t="array" ref="X888">SUMPRODUCT(TRANSPOSE($AA888:$AG888),OFFSET($L$9:$L$15,0,X$631-1))</f>
        <v>20</v>
      </c>
      <c r="Y888" s="135" cm="1">
        <f ca="1" t="array" ref="Y888">SUMPRODUCT(TRANSPOSE($AA888:$AG888),OFFSET($L$9:$L$15,0,Y$631-1))</f>
        <v>10</v>
      </c>
      <c r="Z888" s="135" cm="1">
        <f ca="1" t="array" ref="Z888">SUMPRODUCT(TRANSPOSE($AA888:$AG888),OFFSET($L$9:$L$15,0,Z$631-1))</f>
        <v>3.14977993533847</v>
      </c>
      <c r="AA888" s="136">
        <f ca="1" t="shared" ref="AA888:AG888" si="753">AH888-AH887</f>
        <v>0</v>
      </c>
      <c r="AB888" s="136">
        <f ca="1" t="shared" si="753"/>
        <v>0</v>
      </c>
      <c r="AC888" s="136">
        <f ca="1" t="shared" si="753"/>
        <v>0</v>
      </c>
      <c r="AD888" s="136">
        <f ca="1" t="shared" si="753"/>
        <v>0</v>
      </c>
      <c r="AE888" s="136">
        <f ca="1" t="shared" si="753"/>
        <v>0</v>
      </c>
      <c r="AF888" s="136">
        <f ca="1" t="shared" si="753"/>
        <v>0</v>
      </c>
      <c r="AG888" s="136">
        <f ca="1" t="shared" si="753"/>
        <v>100</v>
      </c>
      <c r="AH888" s="136">
        <f ca="1" t="shared" si="631"/>
        <v>450</v>
      </c>
      <c r="AI888" s="136">
        <f ca="1" t="shared" ref="AI888:AN888" si="754">IF($C888&gt;OFFSET($Q$8,MATCH(AI$634,$AH$634:$AN$634,0),0),OFFSET($P$8,MATCH(AI$634,$AH$634:$AN$634,0),0),MAX(0,$C888-OFFSET($Q$8,RIGHT(AI$634,1)-1,0)))</f>
        <v>909</v>
      </c>
      <c r="AJ888" s="136">
        <f ca="1" t="shared" si="754"/>
        <v>1818</v>
      </c>
      <c r="AK888" s="136">
        <f ca="1" t="shared" si="754"/>
        <v>2727</v>
      </c>
      <c r="AL888" s="136">
        <f ca="1" t="shared" si="754"/>
        <v>3636</v>
      </c>
      <c r="AM888" s="136">
        <f ca="1" t="shared" si="754"/>
        <v>4545</v>
      </c>
      <c r="AN888" s="136">
        <f ca="1" t="shared" si="754"/>
        <v>11315</v>
      </c>
    </row>
    <row r="889" s="106" customFormat="1" ht="16.5" spans="2:40">
      <c r="B889" s="117">
        <v>255</v>
      </c>
      <c r="C889" s="130">
        <f t="shared" si="629"/>
        <v>25500</v>
      </c>
      <c r="D889" s="131" cm="1">
        <f ca="1" t="array" ref="D889">IF(D1491=1,OFFSET($W$634,$B889,D$631-1)/SUMPRODUCT(--($D$631:$V$631=D$631),--($D1491:$V1491=1)),0)+SUM(D888)+IF(COUNTIF(D$1237:D1491,1)=1,5,0)+IF(COUNTIF(E889:$W889,"&gt;"&amp;0)&lt;5,IF(AND(COUNTIF(D$1237:D1491,1)&gt;7,MOD(1+IFERROR(MATCH($C889,总览!$D$46:$D$345,1)+1,1),7)=0),$C$3,0),0)</f>
        <v>1759.97222202703</v>
      </c>
      <c r="E889" s="131" cm="1">
        <f ca="1" t="array" ref="E889">IF(E1491=1,OFFSET($W$634,$B889,E$631-1)/SUMPRODUCT(--($D$631:$V$631=E$631),--($D1491:$V1491=1)),0)+SUM(E888)+IF(COUNTIF(E$1237:E1491,1)=1,5,0)+IF(COUNTIF(F889:$W889,"&gt;"&amp;0)&lt;5,IF(AND(COUNTIF(E$1237:E1491,1)&gt;7,MOD(1+IFERROR(MATCH($C889,总览!$D$46:$D$345,1)+1,1),7)=0),$C$3,0),0)</f>
        <v>1759.97222202703</v>
      </c>
      <c r="F889" s="131" cm="1">
        <f ca="1" t="array" ref="F889">IF(F1491=1,OFFSET($W$634,$B889,F$631-1)/SUMPRODUCT(--($D$631:$V$631=F$631),--($D1491:$V1491=1)),0)+SUM(F888)+IF(COUNTIF(F$1237:F1491,1)=1,5,0)+IF(COUNTIF(G889:$W889,"&gt;"&amp;0)&lt;5,IF(AND(COUNTIF(F$1237:F1491,1)&gt;7,MOD(1+IFERROR(MATCH($C889,总览!$D$46:$D$345,1)+1,1),7)=0),$C$3,0),0)</f>
        <v>1759.97222202703</v>
      </c>
      <c r="G889" s="131" cm="1">
        <f ca="1" t="array" ref="G889">IF(G1491=1,OFFSET($W$634,$B889,G$631-1)/SUMPRODUCT(--($D$631:$V$631=G$631),--($D1491:$V1491=1)),0)+SUM(G888)+IF(COUNTIF(G$1237:G1491,1)=1,5,0)+IF(COUNTIF(H889:$W889,"&gt;"&amp;0)&lt;5,IF(AND(COUNTIF(G$1237:G1491,1)&gt;7,MOD(1+IFERROR(MATCH($C889,总览!$D$46:$D$345,1)+1,1),7)=0),$C$3,0),0)</f>
        <v>789.400000000002</v>
      </c>
      <c r="H889" s="131" cm="1">
        <f ca="1" t="array" ref="H889">IF(H1491=1,OFFSET($W$634,$B889,H$631-1)/SUMPRODUCT(--($D$631:$V$631=H$631),--($D1491:$V1491=1)),0)+SUM(H888)+IF(COUNTIF(H$1237:H1491,1)=1,5,0)+IF(COUNTIF(I889:$W889,"&gt;"&amp;0)&lt;5,IF(AND(COUNTIF(H$1237:H1491,1)&gt;7,MOD(1+IFERROR(MATCH($C889,总览!$D$46:$D$345,1)+1,1),7)=0),$C$3,0),0)</f>
        <v>789.400000000002</v>
      </c>
      <c r="I889" s="131" cm="1">
        <f ca="1" t="array" ref="I889">IF(I1491=1,OFFSET($W$634,$B889,I$631-1)/SUMPRODUCT(--($D$631:$V$631=I$631),--($D1491:$V1491=1)),0)+SUM(I888)+IF(COUNTIF(I$1237:I1491,1)=1,5,0)+IF(COUNTIF(J889:$W889,"&gt;"&amp;0)&lt;5,IF(AND(COUNTIF(I$1237:I1491,1)&gt;7,MOD(1+IFERROR(MATCH($C889,总览!$D$46:$D$345,1)+1,1),7)=0),$C$3,0),0)</f>
        <v>789.400000000002</v>
      </c>
      <c r="J889" s="131" cm="1">
        <f ca="1" t="array" ref="J889">IF(J1491=1,OFFSET($W$634,$B889,J$631-1)/SUMPRODUCT(--($D$631:$V$631=J$631),--($D1491:$V1491=1)),0)+SUM(J888)+IF(COUNTIF(J$1237:J1491,1)=1,5,0)+IF(COUNTIF(K889:$W889,"&gt;"&amp;0)&lt;5,IF(AND(COUNTIF(J$1237:J1491,1)&gt;7,MOD(1+IFERROR(MATCH($C889,总览!$D$46:$D$345,1)+1,1),7)=0),$C$3,0),0)</f>
        <v>786.066666666668</v>
      </c>
      <c r="K889" s="131" cm="1">
        <f ca="1" t="array" ref="K889">IF(K1491=1,OFFSET($W$634,$B889,K$631-1)/SUMPRODUCT(--($D$631:$V$631=K$631),--($D1491:$V1491=1)),0)+SUM(K888)+IF(COUNTIF(K$1237:K1491,1)=1,5,0)+IF(COUNTIF(L889:$W889,"&gt;"&amp;0)&lt;5,IF(AND(COUNTIF(K$1237:K1491,1)&gt;7,MOD(1+IFERROR(MATCH($C889,总览!$D$46:$D$345,1)+1,1),7)=0),$C$3,0),0)</f>
        <v>783.566666666668</v>
      </c>
      <c r="L889" s="131" cm="1">
        <f ca="1" t="array" ref="L889">IF(L1491=1,OFFSET($W$634,$B889,L$631-1)/SUMPRODUCT(--($D$631:$V$631=L$631),--($D1491:$V1491=1)),0)+SUM(L888)+IF(COUNTIF(L$1237:L1491,1)=1,5,0)+IF(COUNTIF(M889:$W889,"&gt;"&amp;0)&lt;5,IF(AND(COUNTIF(L$1237:L1491,1)&gt;7,MOD(1+IFERROR(MATCH($C889,总览!$D$46:$D$345,1)+1,1),7)=0),$C$3,0),0)</f>
        <v>783.566666666668</v>
      </c>
      <c r="M889" s="131" cm="1">
        <f ca="1" t="array" ref="M889">IF(M1491=1,OFFSET($W$634,$B889,M$631-1)/SUMPRODUCT(--($D$631:$V$631=M$631),--($D1491:$V1491=1)),0)+SUM(M888)+IF(COUNTIF(M$1237:M1491,1)=1,5,0)+IF(COUNTIF(N889:$W889,"&gt;"&amp;0)&lt;5,IF(AND(COUNTIF(M$1237:M1491,1)&gt;7,MOD(1+IFERROR(MATCH($C889,总览!$D$46:$D$345,1)+1,1),7)=0),$C$3,0),0)</f>
        <v>322.038392857142</v>
      </c>
      <c r="N889" s="131" cm="1">
        <f ca="1" t="array" ref="N889">IF(N1491=1,OFFSET($W$634,$B889,N$631-1)/SUMPRODUCT(--($D$631:$V$631=N$631),--($D1491:$V1491=1)),0)+SUM(N888)+IF(COUNTIF(N$1237:N1491,1)=1,5,0)+IF(COUNTIF(O889:$W889,"&gt;"&amp;0)&lt;5,IF(AND(COUNTIF(N$1237:N1491,1)&gt;7,MOD(1+IFERROR(MATCH($C889,总览!$D$46:$D$345,1)+1,1),7)=0),$C$3,0),0)</f>
        <v>323.288392857142</v>
      </c>
      <c r="O889" s="131" cm="1">
        <f ca="1" t="array" ref="O889">IF(O1491=1,OFFSET($W$634,$B889,O$631-1)/SUMPRODUCT(--($D$631:$V$631=O$631),--($D1491:$V1491=1)),0)+SUM(O888)+IF(COUNTIF(O$1237:O1491,1)=1,5,0)+IF(COUNTIF(P889:$W889,"&gt;"&amp;0)&lt;5,IF(AND(COUNTIF(O$1237:O1491,1)&gt;7,MOD(1+IFERROR(MATCH($C889,总览!$D$46:$D$345,1)+1,1),7)=0),$C$3,0),0)</f>
        <v>328.288392857142</v>
      </c>
      <c r="P889" s="131" cm="1">
        <f ca="1" t="array" ref="P889">IF(P1491=1,OFFSET($W$634,$B889,P$631-1)/SUMPRODUCT(--($D$631:$V$631=P$631),--($D1491:$V1491=1)),0)+SUM(P888)+IF(COUNTIF(P$1237:P1491,1)=1,5,0)+IF(COUNTIF(Q889:$W889,"&gt;"&amp;0)&lt;5,IF(AND(COUNTIF(P$1237:P1491,1)&gt;7,MOD(1+IFERROR(MATCH($C889,总览!$D$46:$D$345,1)+1,1),7)=0),$C$3,0),0)</f>
        <v>317.407142857142</v>
      </c>
      <c r="Q889" s="131" cm="1">
        <f ca="1" t="array" ref="Q889">IF(Q1491=1,OFFSET($W$634,$B889,Q$631-1)/SUMPRODUCT(--($D$631:$V$631=Q$631),--($D1491:$V1491=1)),0)+SUM(Q888)+IF(COUNTIF(Q$1237:Q1491,1)=1,5,0)+IF(COUNTIF(R889:$W889,"&gt;"&amp;0)&lt;5,IF(AND(COUNTIF(Q$1237:Q1491,1)&gt;7,MOD(1+IFERROR(MATCH($C889,总览!$D$46:$D$345,1)+1,1),7)=0),$C$3,0),0)</f>
        <v>330.788392857142</v>
      </c>
      <c r="R889" s="131" cm="1">
        <f ca="1" t="array" ref="R889">IF(R1491=1,OFFSET($W$634,$B889,R$631-1)/SUMPRODUCT(--($D$631:$V$631=R$631),--($D1491:$V1491=1)),0)+SUM(R888)+IF(COUNTIF(R$1237:R1491,1)=1,5,0)+IF(COUNTIF(S889:$W889,"&gt;"&amp;0)&lt;5,IF(AND(COUNTIF(R$1237:R1491,1)&gt;7,MOD(1+IFERROR(MATCH($C889,总览!$D$46:$D$345,1)+1,1),7)=0),$C$3,0),0)</f>
        <v>322.407142857142</v>
      </c>
      <c r="S889" s="131" cm="1">
        <f ca="1" t="array" ref="S889">IF(S1491=1,OFFSET($W$634,$B889,S$631-1)/SUMPRODUCT(--($D$631:$V$631=S$631),--($D1491:$V1491=1)),0)+SUM(S888)+IF(COUNTIF(S$1237:S1491,1)=1,5,0)+IF(COUNTIF(T889:$W889,"&gt;"&amp;0)&lt;5,IF(AND(COUNTIF(S$1237:S1491,1)&gt;7,MOD(1+IFERROR(MATCH($C889,总览!$D$46:$D$345,1)+1,1),7)=0),$C$3,0),0)</f>
        <v>414.907142857144</v>
      </c>
      <c r="T889" s="131" cm="1">
        <f ca="1" t="array" ref="T889">IF(T1491=1,OFFSET($W$634,$B889,T$631-1)/SUMPRODUCT(--($D$631:$V$631=T$631),--($D1491:$V1491=1)),0)+SUM(T888)+IF(COUNTIF(T$1237:T1491,1)=1,5,0)+IF(COUNTIF(U889:$W889,"&gt;"&amp;0)&lt;5,IF(AND(COUNTIF(T$1237:T1491,1)&gt;7,MOD(1+IFERROR(MATCH($C889,总览!$D$46:$D$345,1)+1,1),7)=0),$C$3,0),0)</f>
        <v>302.896587165288</v>
      </c>
      <c r="U889" s="131" cm="1">
        <f ca="1" t="array" ref="U889">IF(U1491=1,OFFSET($W$634,$B889,U$631-1)/SUMPRODUCT(--($D$631:$V$631=U$631),--($D1491:$V1491=1)),0)+SUM(U888)+IF(COUNTIF(U$1237:U1491,1)=1,5,0)+IF(COUNTIF(V889:$W889,"&gt;"&amp;0)&lt;5,IF(AND(COUNTIF(U$1237:U1491,1)&gt;7,MOD(1+IFERROR(MATCH($C889,总览!$D$46:$D$345,1)+1,1),7)=0),$C$3,0),0)</f>
        <v>308.417373520588</v>
      </c>
      <c r="V889" s="131" cm="1">
        <f ca="1" t="array" ref="V889">IF(V1491=1,OFFSET($W$634,$B889,V$631-1)/SUMPRODUCT(--($D$631:$V$631=V$631),--($D1491:$V1491=1)),0)+SUM(V888)+IF(COUNTIF(V$1237:V1491,1)=1,5,0)+IF(COUNTIF(W889:$W889,"&gt;"&amp;0)&lt;5,IF(AND(COUNTIF(V$1237:V1491,1)&gt;7,MOD(1+IFERROR(MATCH($C889,总览!$D$46:$D$345,1)+1,1),7)=0),$C$3,0),0)</f>
        <v>328.244373233021</v>
      </c>
      <c r="W889" s="135" cm="1">
        <f ca="1" t="array" ref="W889">SUMPRODUCT(TRANSPOSE($AA889:$AG889),OFFSET($L$9:$L$15,0,W$631-1))</f>
        <v>16.8502200646615</v>
      </c>
      <c r="X889" s="135" cm="1">
        <f ca="1" t="array" ref="X889">SUMPRODUCT(TRANSPOSE($AA889:$AG889),OFFSET($L$9:$L$15,0,X$631-1))</f>
        <v>20</v>
      </c>
      <c r="Y889" s="135" cm="1">
        <f ca="1" t="array" ref="Y889">SUMPRODUCT(TRANSPOSE($AA889:$AG889),OFFSET($L$9:$L$15,0,Y$631-1))</f>
        <v>10</v>
      </c>
      <c r="Z889" s="135" cm="1">
        <f ca="1" t="array" ref="Z889">SUMPRODUCT(TRANSPOSE($AA889:$AG889),OFFSET($L$9:$L$15,0,Z$631-1))</f>
        <v>3.14977993533847</v>
      </c>
      <c r="AA889" s="136">
        <f ca="1" t="shared" ref="AA889:AG889" si="755">AH889-AH888</f>
        <v>0</v>
      </c>
      <c r="AB889" s="136">
        <f ca="1" t="shared" si="755"/>
        <v>0</v>
      </c>
      <c r="AC889" s="136">
        <f ca="1" t="shared" si="755"/>
        <v>0</v>
      </c>
      <c r="AD889" s="136">
        <f ca="1" t="shared" si="755"/>
        <v>0</v>
      </c>
      <c r="AE889" s="136">
        <f ca="1" t="shared" si="755"/>
        <v>0</v>
      </c>
      <c r="AF889" s="136">
        <f ca="1" t="shared" si="755"/>
        <v>0</v>
      </c>
      <c r="AG889" s="136">
        <f ca="1" t="shared" si="755"/>
        <v>100</v>
      </c>
      <c r="AH889" s="136">
        <f ca="1" t="shared" si="631"/>
        <v>450</v>
      </c>
      <c r="AI889" s="136">
        <f ca="1" t="shared" ref="AI889:AN889" si="756">IF($C889&gt;OFFSET($Q$8,MATCH(AI$634,$AH$634:$AN$634,0),0),OFFSET($P$8,MATCH(AI$634,$AH$634:$AN$634,0),0),MAX(0,$C889-OFFSET($Q$8,RIGHT(AI$634,1)-1,0)))</f>
        <v>909</v>
      </c>
      <c r="AJ889" s="136">
        <f ca="1" t="shared" si="756"/>
        <v>1818</v>
      </c>
      <c r="AK889" s="136">
        <f ca="1" t="shared" si="756"/>
        <v>2727</v>
      </c>
      <c r="AL889" s="136">
        <f ca="1" t="shared" si="756"/>
        <v>3636</v>
      </c>
      <c r="AM889" s="136">
        <f ca="1" t="shared" si="756"/>
        <v>4545</v>
      </c>
      <c r="AN889" s="136">
        <f ca="1" t="shared" si="756"/>
        <v>11415</v>
      </c>
    </row>
    <row r="890" s="106" customFormat="1" ht="16.5" spans="2:40">
      <c r="B890" s="117">
        <v>256</v>
      </c>
      <c r="C890" s="130">
        <f t="shared" si="629"/>
        <v>25600</v>
      </c>
      <c r="D890" s="131" cm="1">
        <f ca="1" t="array" ref="D890">IF(D1492=1,OFFSET($W$634,$B890,D$631-1)/SUMPRODUCT(--($D$631:$V$631=D$631),--($D1492:$V1492=1)),0)+SUM(D889)+IF(COUNTIF(D$1237:D1492,1)=1,5,0)+IF(COUNTIF(E890:$W890,"&gt;"&amp;0)&lt;5,IF(AND(COUNTIF(D$1237:D1492,1)&gt;7,MOD(1+IFERROR(MATCH($C890,总览!$D$46:$D$345,1)+1,1),7)=0),$C$3,0),0)</f>
        <v>1765.58896204859</v>
      </c>
      <c r="E890" s="131" cm="1">
        <f ca="1" t="array" ref="E890">IF(E1492=1,OFFSET($W$634,$B890,E$631-1)/SUMPRODUCT(--($D$631:$V$631=E$631),--($D1492:$V1492=1)),0)+SUM(E889)+IF(COUNTIF(E$1237:E1492,1)=1,5,0)+IF(COUNTIF(F890:$W890,"&gt;"&amp;0)&lt;5,IF(AND(COUNTIF(E$1237:E1492,1)&gt;7,MOD(1+IFERROR(MATCH($C890,总览!$D$46:$D$345,1)+1,1),7)=0),$C$3,0),0)</f>
        <v>1765.58896204859</v>
      </c>
      <c r="F890" s="131" cm="1">
        <f ca="1" t="array" ref="F890">IF(F1492=1,OFFSET($W$634,$B890,F$631-1)/SUMPRODUCT(--($D$631:$V$631=F$631),--($D1492:$V1492=1)),0)+SUM(F889)+IF(COUNTIF(F$1237:F1492,1)=1,5,0)+IF(COUNTIF(G890:$W890,"&gt;"&amp;0)&lt;5,IF(AND(COUNTIF(F$1237:F1492,1)&gt;7,MOD(1+IFERROR(MATCH($C890,总览!$D$46:$D$345,1)+1,1),7)=0),$C$3,0),0)</f>
        <v>1765.58896204859</v>
      </c>
      <c r="G890" s="131" cm="1">
        <f ca="1" t="array" ref="G890">IF(G1492=1,OFFSET($W$634,$B890,G$631-1)/SUMPRODUCT(--($D$631:$V$631=G$631),--($D1492:$V1492=1)),0)+SUM(G889)+IF(COUNTIF(G$1237:G1492,1)=1,5,0)+IF(COUNTIF(H890:$W890,"&gt;"&amp;0)&lt;5,IF(AND(COUNTIF(G$1237:G1492,1)&gt;7,MOD(1+IFERROR(MATCH($C890,总览!$D$46:$D$345,1)+1,1),7)=0),$C$3,0),0)</f>
        <v>792.733333333335</v>
      </c>
      <c r="H890" s="131" cm="1">
        <f ca="1" t="array" ref="H890">IF(H1492=1,OFFSET($W$634,$B890,H$631-1)/SUMPRODUCT(--($D$631:$V$631=H$631),--($D1492:$V1492=1)),0)+SUM(H889)+IF(COUNTIF(H$1237:H1492,1)=1,5,0)+IF(COUNTIF(I890:$W890,"&gt;"&amp;0)&lt;5,IF(AND(COUNTIF(H$1237:H1492,1)&gt;7,MOD(1+IFERROR(MATCH($C890,总览!$D$46:$D$345,1)+1,1),7)=0),$C$3,0),0)</f>
        <v>792.733333333335</v>
      </c>
      <c r="I890" s="131" cm="1">
        <f ca="1" t="array" ref="I890">IF(I1492=1,OFFSET($W$634,$B890,I$631-1)/SUMPRODUCT(--($D$631:$V$631=I$631),--($D1492:$V1492=1)),0)+SUM(I889)+IF(COUNTIF(I$1237:I1492,1)=1,5,0)+IF(COUNTIF(J890:$W890,"&gt;"&amp;0)&lt;5,IF(AND(COUNTIF(I$1237:I1492,1)&gt;7,MOD(1+IFERROR(MATCH($C890,总览!$D$46:$D$345,1)+1,1),7)=0),$C$3,0),0)</f>
        <v>792.733333333335</v>
      </c>
      <c r="J890" s="131" cm="1">
        <f ca="1" t="array" ref="J890">IF(J1492=1,OFFSET($W$634,$B890,J$631-1)/SUMPRODUCT(--($D$631:$V$631=J$631),--($D1492:$V1492=1)),0)+SUM(J889)+IF(COUNTIF(J$1237:J1492,1)=1,5,0)+IF(COUNTIF(K890:$W890,"&gt;"&amp;0)&lt;5,IF(AND(COUNTIF(J$1237:J1492,1)&gt;7,MOD(1+IFERROR(MATCH($C890,总览!$D$46:$D$345,1)+1,1),7)=0),$C$3,0),0)</f>
        <v>789.400000000002</v>
      </c>
      <c r="K890" s="131" cm="1">
        <f ca="1" t="array" ref="K890">IF(K1492=1,OFFSET($W$634,$B890,K$631-1)/SUMPRODUCT(--($D$631:$V$631=K$631),--($D1492:$V1492=1)),0)+SUM(K889)+IF(COUNTIF(K$1237:K1492,1)=1,5,0)+IF(COUNTIF(L890:$W890,"&gt;"&amp;0)&lt;5,IF(AND(COUNTIF(K$1237:K1492,1)&gt;7,MOD(1+IFERROR(MATCH($C890,总览!$D$46:$D$345,1)+1,1),7)=0),$C$3,0),0)</f>
        <v>786.900000000002</v>
      </c>
      <c r="L890" s="131" cm="1">
        <f ca="1" t="array" ref="L890">IF(L1492=1,OFFSET($W$634,$B890,L$631-1)/SUMPRODUCT(--($D$631:$V$631=L$631),--($D1492:$V1492=1)),0)+SUM(L889)+IF(COUNTIF(L$1237:L1492,1)=1,5,0)+IF(COUNTIF(M890:$W890,"&gt;"&amp;0)&lt;5,IF(AND(COUNTIF(L$1237:L1492,1)&gt;7,MOD(1+IFERROR(MATCH($C890,总览!$D$46:$D$345,1)+1,1),7)=0),$C$3,0),0)</f>
        <v>786.900000000002</v>
      </c>
      <c r="M890" s="131" cm="1">
        <f ca="1" t="array" ref="M890">IF(M1492=1,OFFSET($W$634,$B890,M$631-1)/SUMPRODUCT(--($D$631:$V$631=M$631),--($D1492:$V1492=1)),0)+SUM(M889)+IF(COUNTIF(M$1237:M1492,1)=1,5,0)+IF(COUNTIF(N890:$W890,"&gt;"&amp;0)&lt;5,IF(AND(COUNTIF(M$1237:M1492,1)&gt;7,MOD(1+IFERROR(MATCH($C890,总览!$D$46:$D$345,1)+1,1),7)=0),$C$3,0),0)</f>
        <v>323.466964285714</v>
      </c>
      <c r="N890" s="131" cm="1">
        <f ca="1" t="array" ref="N890">IF(N1492=1,OFFSET($W$634,$B890,N$631-1)/SUMPRODUCT(--($D$631:$V$631=N$631),--($D1492:$V1492=1)),0)+SUM(N889)+IF(COUNTIF(N$1237:N1492,1)=1,5,0)+IF(COUNTIF(O890:$W890,"&gt;"&amp;0)&lt;5,IF(AND(COUNTIF(N$1237:N1492,1)&gt;7,MOD(1+IFERROR(MATCH($C890,总览!$D$46:$D$345,1)+1,1),7)=0),$C$3,0),0)</f>
        <v>324.716964285714</v>
      </c>
      <c r="O890" s="131" cm="1">
        <f ca="1" t="array" ref="O890">IF(O1492=1,OFFSET($W$634,$B890,O$631-1)/SUMPRODUCT(--($D$631:$V$631=O$631),--($D1492:$V1492=1)),0)+SUM(O889)+IF(COUNTIF(O$1237:O1492,1)=1,5,0)+IF(COUNTIF(P890:$W890,"&gt;"&amp;0)&lt;5,IF(AND(COUNTIF(O$1237:O1492,1)&gt;7,MOD(1+IFERROR(MATCH($C890,总览!$D$46:$D$345,1)+1,1),7)=0),$C$3,0),0)</f>
        <v>329.716964285714</v>
      </c>
      <c r="P890" s="131" cm="1">
        <f ca="1" t="array" ref="P890">IF(P1492=1,OFFSET($W$634,$B890,P$631-1)/SUMPRODUCT(--($D$631:$V$631=P$631),--($D1492:$V1492=1)),0)+SUM(P889)+IF(COUNTIF(P$1237:P1492,1)=1,5,0)+IF(COUNTIF(Q890:$W890,"&gt;"&amp;0)&lt;5,IF(AND(COUNTIF(P$1237:P1492,1)&gt;7,MOD(1+IFERROR(MATCH($C890,总览!$D$46:$D$345,1)+1,1),7)=0),$C$3,0),0)</f>
        <v>318.835714285714</v>
      </c>
      <c r="Q890" s="131" cm="1">
        <f ca="1" t="array" ref="Q890">IF(Q1492=1,OFFSET($W$634,$B890,Q$631-1)/SUMPRODUCT(--($D$631:$V$631=Q$631),--($D1492:$V1492=1)),0)+SUM(Q889)+IF(COUNTIF(Q$1237:Q1492,1)=1,5,0)+IF(COUNTIF(R890:$W890,"&gt;"&amp;0)&lt;5,IF(AND(COUNTIF(Q$1237:Q1492,1)&gt;7,MOD(1+IFERROR(MATCH($C890,总览!$D$46:$D$345,1)+1,1),7)=0),$C$3,0),0)</f>
        <v>332.216964285714</v>
      </c>
      <c r="R890" s="131" cm="1">
        <f ca="1" t="array" ref="R890">IF(R1492=1,OFFSET($W$634,$B890,R$631-1)/SUMPRODUCT(--($D$631:$V$631=R$631),--($D1492:$V1492=1)),0)+SUM(R889)+IF(COUNTIF(R$1237:R1492,1)=1,5,0)+IF(COUNTIF(S890:$W890,"&gt;"&amp;0)&lt;5,IF(AND(COUNTIF(R$1237:R1492,1)&gt;7,MOD(1+IFERROR(MATCH($C890,总览!$D$46:$D$345,1)+1,1),7)=0),$C$3,0),0)</f>
        <v>323.835714285714</v>
      </c>
      <c r="S890" s="131" cm="1">
        <f ca="1" t="array" ref="S890">IF(S1492=1,OFFSET($W$634,$B890,S$631-1)/SUMPRODUCT(--($D$631:$V$631=S$631),--($D1492:$V1492=1)),0)+SUM(S889)+IF(COUNTIF(S$1237:S1492,1)=1,5,0)+IF(COUNTIF(T890:$W890,"&gt;"&amp;0)&lt;5,IF(AND(COUNTIF(S$1237:S1492,1)&gt;7,MOD(1+IFERROR(MATCH($C890,总览!$D$46:$D$345,1)+1,1),7)=0),$C$3,0),0)</f>
        <v>416.335714285715</v>
      </c>
      <c r="T890" s="131" cm="1">
        <f ca="1" t="array" ref="T890">IF(T1492=1,OFFSET($W$634,$B890,T$631-1)/SUMPRODUCT(--($D$631:$V$631=T$631),--($D1492:$V1492=1)),0)+SUM(T889)+IF(COUNTIF(T$1237:T1492,1)=1,5,0)+IF(COUNTIF(U890:$W890,"&gt;"&amp;0)&lt;5,IF(AND(COUNTIF(T$1237:T1492,1)&gt;7,MOD(1+IFERROR(MATCH($C890,总览!$D$46:$D$345,1)+1,1),7)=0),$C$3,0),0)</f>
        <v>303.946513810401</v>
      </c>
      <c r="U890" s="131" cm="1">
        <f ca="1" t="array" ref="U890">IF(U1492=1,OFFSET($W$634,$B890,U$631-1)/SUMPRODUCT(--($D$631:$V$631=U$631),--($D1492:$V1492=1)),0)+SUM(U889)+IF(COUNTIF(U$1237:U1492,1)=1,5,0)+IF(COUNTIF(V890:$W890,"&gt;"&amp;0)&lt;5,IF(AND(COUNTIF(U$1237:U1492,1)&gt;7,MOD(1+IFERROR(MATCH($C890,总览!$D$46:$D$345,1)+1,1),7)=0),$C$3,0),0)</f>
        <v>309.467300165701</v>
      </c>
      <c r="V890" s="131" cm="1">
        <f ca="1" t="array" ref="V890">IF(V1492=1,OFFSET($W$634,$B890,V$631-1)/SUMPRODUCT(--($D$631:$V$631=V$631),--($D1492:$V1492=1)),0)+SUM(V889)+IF(COUNTIF(V$1237:V1492,1)=1,5,0)+IF(COUNTIF(W890:$W890,"&gt;"&amp;0)&lt;5,IF(AND(COUNTIF(V$1237:V1492,1)&gt;7,MOD(1+IFERROR(MATCH($C890,总览!$D$46:$D$345,1)+1,1),7)=0),$C$3,0),0)</f>
        <v>329.294299878134</v>
      </c>
      <c r="W890" s="135" cm="1">
        <f ca="1" t="array" ref="W890">SUMPRODUCT(TRANSPOSE($AA890:$AG890),OFFSET($L$9:$L$15,0,W$631-1))</f>
        <v>16.8502200646615</v>
      </c>
      <c r="X890" s="135" cm="1">
        <f ca="1" t="array" ref="X890">SUMPRODUCT(TRANSPOSE($AA890:$AG890),OFFSET($L$9:$L$15,0,X$631-1))</f>
        <v>20</v>
      </c>
      <c r="Y890" s="135" cm="1">
        <f ca="1" t="array" ref="Y890">SUMPRODUCT(TRANSPOSE($AA890:$AG890),OFFSET($L$9:$L$15,0,Y$631-1))</f>
        <v>10</v>
      </c>
      <c r="Z890" s="135" cm="1">
        <f ca="1" t="array" ref="Z890">SUMPRODUCT(TRANSPOSE($AA890:$AG890),OFFSET($L$9:$L$15,0,Z$631-1))</f>
        <v>3.14977993533847</v>
      </c>
      <c r="AA890" s="136">
        <f ca="1" t="shared" ref="AA890:AG890" si="757">AH890-AH889</f>
        <v>0</v>
      </c>
      <c r="AB890" s="136">
        <f ca="1" t="shared" si="757"/>
        <v>0</v>
      </c>
      <c r="AC890" s="136">
        <f ca="1" t="shared" si="757"/>
        <v>0</v>
      </c>
      <c r="AD890" s="136">
        <f ca="1" t="shared" si="757"/>
        <v>0</v>
      </c>
      <c r="AE890" s="136">
        <f ca="1" t="shared" si="757"/>
        <v>0</v>
      </c>
      <c r="AF890" s="136">
        <f ca="1" t="shared" si="757"/>
        <v>0</v>
      </c>
      <c r="AG890" s="136">
        <f ca="1" t="shared" si="757"/>
        <v>100</v>
      </c>
      <c r="AH890" s="136">
        <f ca="1" t="shared" si="631"/>
        <v>450</v>
      </c>
      <c r="AI890" s="136">
        <f ca="1" t="shared" ref="AI890:AN890" si="758">IF($C890&gt;OFFSET($Q$8,MATCH(AI$634,$AH$634:$AN$634,0),0),OFFSET($P$8,MATCH(AI$634,$AH$634:$AN$634,0),0),MAX(0,$C890-OFFSET($Q$8,RIGHT(AI$634,1)-1,0)))</f>
        <v>909</v>
      </c>
      <c r="AJ890" s="136">
        <f ca="1" t="shared" si="758"/>
        <v>1818</v>
      </c>
      <c r="AK890" s="136">
        <f ca="1" t="shared" si="758"/>
        <v>2727</v>
      </c>
      <c r="AL890" s="136">
        <f ca="1" t="shared" si="758"/>
        <v>3636</v>
      </c>
      <c r="AM890" s="136">
        <f ca="1" t="shared" si="758"/>
        <v>4545</v>
      </c>
      <c r="AN890" s="136">
        <f ca="1" t="shared" si="758"/>
        <v>11515</v>
      </c>
    </row>
    <row r="891" s="106" customFormat="1" ht="16.5" spans="2:40">
      <c r="B891" s="117">
        <v>257</v>
      </c>
      <c r="C891" s="130">
        <f t="shared" ref="C891:C954" si="759">C286</f>
        <v>25700</v>
      </c>
      <c r="D891" s="131" cm="1">
        <f ca="1" t="array" ref="D891">IF(D1493=1,OFFSET($W$634,$B891,D$631-1)/SUMPRODUCT(--($D$631:$V$631=D$631),--($D1493:$V1493=1)),0)+SUM(D890)+IF(COUNTIF(D$1237:D1493,1)=1,5,0)+IF(COUNTIF(E891:$W891,"&gt;"&amp;0)&lt;5,IF(AND(COUNTIF(D$1237:D1493,1)&gt;7,MOD(1+IFERROR(MATCH($C891,总览!$D$46:$D$345,1)+1,1),7)=0),$C$3,0),0)</f>
        <v>1771.20570207014</v>
      </c>
      <c r="E891" s="131" cm="1">
        <f ca="1" t="array" ref="E891">IF(E1493=1,OFFSET($W$634,$B891,E$631-1)/SUMPRODUCT(--($D$631:$V$631=E$631),--($D1493:$V1493=1)),0)+SUM(E890)+IF(COUNTIF(E$1237:E1493,1)=1,5,0)+IF(COUNTIF(F891:$W891,"&gt;"&amp;0)&lt;5,IF(AND(COUNTIF(E$1237:E1493,1)&gt;7,MOD(1+IFERROR(MATCH($C891,总览!$D$46:$D$345,1)+1,1),7)=0),$C$3,0),0)</f>
        <v>1771.20570207014</v>
      </c>
      <c r="F891" s="131" cm="1">
        <f ca="1" t="array" ref="F891">IF(F1493=1,OFFSET($W$634,$B891,F$631-1)/SUMPRODUCT(--($D$631:$V$631=F$631),--($D1493:$V1493=1)),0)+SUM(F890)+IF(COUNTIF(F$1237:F1493,1)=1,5,0)+IF(COUNTIF(G891:$W891,"&gt;"&amp;0)&lt;5,IF(AND(COUNTIF(F$1237:F1493,1)&gt;7,MOD(1+IFERROR(MATCH($C891,总览!$D$46:$D$345,1)+1,1),7)=0),$C$3,0),0)</f>
        <v>1771.20570207014</v>
      </c>
      <c r="G891" s="131" cm="1">
        <f ca="1" t="array" ref="G891">IF(G1493=1,OFFSET($W$634,$B891,G$631-1)/SUMPRODUCT(--($D$631:$V$631=G$631),--($D1493:$V1493=1)),0)+SUM(G890)+IF(COUNTIF(G$1237:G1493,1)=1,5,0)+IF(COUNTIF(H891:$W891,"&gt;"&amp;0)&lt;5,IF(AND(COUNTIF(G$1237:G1493,1)&gt;7,MOD(1+IFERROR(MATCH($C891,总览!$D$46:$D$345,1)+1,1),7)=0),$C$3,0),0)</f>
        <v>796.066666666669</v>
      </c>
      <c r="H891" s="131" cm="1">
        <f ca="1" t="array" ref="H891">IF(H1493=1,OFFSET($W$634,$B891,H$631-1)/SUMPRODUCT(--($D$631:$V$631=H$631),--($D1493:$V1493=1)),0)+SUM(H890)+IF(COUNTIF(H$1237:H1493,1)=1,5,0)+IF(COUNTIF(I891:$W891,"&gt;"&amp;0)&lt;5,IF(AND(COUNTIF(H$1237:H1493,1)&gt;7,MOD(1+IFERROR(MATCH($C891,总览!$D$46:$D$345,1)+1,1),7)=0),$C$3,0),0)</f>
        <v>796.066666666669</v>
      </c>
      <c r="I891" s="131" cm="1">
        <f ca="1" t="array" ref="I891">IF(I1493=1,OFFSET($W$634,$B891,I$631-1)/SUMPRODUCT(--($D$631:$V$631=I$631),--($D1493:$V1493=1)),0)+SUM(I890)+IF(COUNTIF(I$1237:I1493,1)=1,5,0)+IF(COUNTIF(J891:$W891,"&gt;"&amp;0)&lt;5,IF(AND(COUNTIF(I$1237:I1493,1)&gt;7,MOD(1+IFERROR(MATCH($C891,总览!$D$46:$D$345,1)+1,1),7)=0),$C$3,0),0)</f>
        <v>796.066666666669</v>
      </c>
      <c r="J891" s="131" cm="1">
        <f ca="1" t="array" ref="J891">IF(J1493=1,OFFSET($W$634,$B891,J$631-1)/SUMPRODUCT(--($D$631:$V$631=J$631),--($D1493:$V1493=1)),0)+SUM(J890)+IF(COUNTIF(J$1237:J1493,1)=1,5,0)+IF(COUNTIF(K891:$W891,"&gt;"&amp;0)&lt;5,IF(AND(COUNTIF(J$1237:J1493,1)&gt;7,MOD(1+IFERROR(MATCH($C891,总览!$D$46:$D$345,1)+1,1),7)=0),$C$3,0),0)</f>
        <v>792.733333333335</v>
      </c>
      <c r="K891" s="131" cm="1">
        <f ca="1" t="array" ref="K891">IF(K1493=1,OFFSET($W$634,$B891,K$631-1)/SUMPRODUCT(--($D$631:$V$631=K$631),--($D1493:$V1493=1)),0)+SUM(K890)+IF(COUNTIF(K$1237:K1493,1)=1,5,0)+IF(COUNTIF(L891:$W891,"&gt;"&amp;0)&lt;5,IF(AND(COUNTIF(K$1237:K1493,1)&gt;7,MOD(1+IFERROR(MATCH($C891,总览!$D$46:$D$345,1)+1,1),7)=0),$C$3,0),0)</f>
        <v>790.233333333335</v>
      </c>
      <c r="L891" s="131" cm="1">
        <f ca="1" t="array" ref="L891">IF(L1493=1,OFFSET($W$634,$B891,L$631-1)/SUMPRODUCT(--($D$631:$V$631=L$631),--($D1493:$V1493=1)),0)+SUM(L890)+IF(COUNTIF(L$1237:L1493,1)=1,5,0)+IF(COUNTIF(M891:$W891,"&gt;"&amp;0)&lt;5,IF(AND(COUNTIF(L$1237:L1493,1)&gt;7,MOD(1+IFERROR(MATCH($C891,总览!$D$46:$D$345,1)+1,1),7)=0),$C$3,0),0)</f>
        <v>790.233333333335</v>
      </c>
      <c r="M891" s="131" cm="1">
        <f ca="1" t="array" ref="M891">IF(M1493=1,OFFSET($W$634,$B891,M$631-1)/SUMPRODUCT(--($D$631:$V$631=M$631),--($D1493:$V1493=1)),0)+SUM(M890)+IF(COUNTIF(M$1237:M1493,1)=1,5,0)+IF(COUNTIF(N891:$W891,"&gt;"&amp;0)&lt;5,IF(AND(COUNTIF(M$1237:M1493,1)&gt;7,MOD(1+IFERROR(MATCH($C891,总览!$D$46:$D$345,1)+1,1),7)=0),$C$3,0),0)</f>
        <v>324.895535714285</v>
      </c>
      <c r="N891" s="131" cm="1">
        <f ca="1" t="array" ref="N891">IF(N1493=1,OFFSET($W$634,$B891,N$631-1)/SUMPRODUCT(--($D$631:$V$631=N$631),--($D1493:$V1493=1)),0)+SUM(N890)+IF(COUNTIF(N$1237:N1493,1)=1,5,0)+IF(COUNTIF(O891:$W891,"&gt;"&amp;0)&lt;5,IF(AND(COUNTIF(N$1237:N1493,1)&gt;7,MOD(1+IFERROR(MATCH($C891,总览!$D$46:$D$345,1)+1,1),7)=0),$C$3,0),0)</f>
        <v>326.145535714285</v>
      </c>
      <c r="O891" s="131" cm="1">
        <f ca="1" t="array" ref="O891">IF(O1493=1,OFFSET($W$634,$B891,O$631-1)/SUMPRODUCT(--($D$631:$V$631=O$631),--($D1493:$V1493=1)),0)+SUM(O890)+IF(COUNTIF(O$1237:O1493,1)=1,5,0)+IF(COUNTIF(P891:$W891,"&gt;"&amp;0)&lt;5,IF(AND(COUNTIF(O$1237:O1493,1)&gt;7,MOD(1+IFERROR(MATCH($C891,总览!$D$46:$D$345,1)+1,1),7)=0),$C$3,0),0)</f>
        <v>331.145535714285</v>
      </c>
      <c r="P891" s="131" cm="1">
        <f ca="1" t="array" ref="P891">IF(P1493=1,OFFSET($W$634,$B891,P$631-1)/SUMPRODUCT(--($D$631:$V$631=P$631),--($D1493:$V1493=1)),0)+SUM(P890)+IF(COUNTIF(P$1237:P1493,1)=1,5,0)+IF(COUNTIF(Q891:$W891,"&gt;"&amp;0)&lt;5,IF(AND(COUNTIF(P$1237:P1493,1)&gt;7,MOD(1+IFERROR(MATCH($C891,总览!$D$46:$D$345,1)+1,1),7)=0),$C$3,0),0)</f>
        <v>320.264285714285</v>
      </c>
      <c r="Q891" s="131" cm="1">
        <f ca="1" t="array" ref="Q891">IF(Q1493=1,OFFSET($W$634,$B891,Q$631-1)/SUMPRODUCT(--($D$631:$V$631=Q$631),--($D1493:$V1493=1)),0)+SUM(Q890)+IF(COUNTIF(Q$1237:Q1493,1)=1,5,0)+IF(COUNTIF(R891:$W891,"&gt;"&amp;0)&lt;5,IF(AND(COUNTIF(Q$1237:Q1493,1)&gt;7,MOD(1+IFERROR(MATCH($C891,总览!$D$46:$D$345,1)+1,1),7)=0),$C$3,0),0)</f>
        <v>333.645535714285</v>
      </c>
      <c r="R891" s="131" cm="1">
        <f ca="1" t="array" ref="R891">IF(R1493=1,OFFSET($W$634,$B891,R$631-1)/SUMPRODUCT(--($D$631:$V$631=R$631),--($D1493:$V1493=1)),0)+SUM(R890)+IF(COUNTIF(R$1237:R1493,1)=1,5,0)+IF(COUNTIF(S891:$W891,"&gt;"&amp;0)&lt;5,IF(AND(COUNTIF(R$1237:R1493,1)&gt;7,MOD(1+IFERROR(MATCH($C891,总览!$D$46:$D$345,1)+1,1),7)=0),$C$3,0),0)</f>
        <v>325.264285714285</v>
      </c>
      <c r="S891" s="131" cm="1">
        <f ca="1" t="array" ref="S891">IF(S1493=1,OFFSET($W$634,$B891,S$631-1)/SUMPRODUCT(--($D$631:$V$631=S$631),--($D1493:$V1493=1)),0)+SUM(S890)+IF(COUNTIF(S$1237:S1493,1)=1,5,0)+IF(COUNTIF(T891:$W891,"&gt;"&amp;0)&lt;5,IF(AND(COUNTIF(S$1237:S1493,1)&gt;7,MOD(1+IFERROR(MATCH($C891,总览!$D$46:$D$345,1)+1,1),7)=0),$C$3,0),0)</f>
        <v>417.764285714286</v>
      </c>
      <c r="T891" s="131" cm="1">
        <f ca="1" t="array" ref="T891">IF(T1493=1,OFFSET($W$634,$B891,T$631-1)/SUMPRODUCT(--($D$631:$V$631=T$631),--($D1493:$V1493=1)),0)+SUM(T890)+IF(COUNTIF(T$1237:T1493,1)=1,5,0)+IF(COUNTIF(U891:$W891,"&gt;"&amp;0)&lt;5,IF(AND(COUNTIF(T$1237:T1493,1)&gt;7,MOD(1+IFERROR(MATCH($C891,总览!$D$46:$D$345,1)+1,1),7)=0),$C$3,0),0)</f>
        <v>304.996440455514</v>
      </c>
      <c r="U891" s="131" cm="1">
        <f ca="1" t="array" ref="U891">IF(U1493=1,OFFSET($W$634,$B891,U$631-1)/SUMPRODUCT(--($D$631:$V$631=U$631),--($D1493:$V1493=1)),0)+SUM(U890)+IF(COUNTIF(U$1237:U1493,1)=1,5,0)+IF(COUNTIF(V891:$W891,"&gt;"&amp;0)&lt;5,IF(AND(COUNTIF(U$1237:U1493,1)&gt;7,MOD(1+IFERROR(MATCH($C891,总览!$D$46:$D$345,1)+1,1),7)=0),$C$3,0),0)</f>
        <v>310.517226810813</v>
      </c>
      <c r="V891" s="131" cm="1">
        <f ca="1" t="array" ref="V891">IF(V1493=1,OFFSET($W$634,$B891,V$631-1)/SUMPRODUCT(--($D$631:$V$631=V$631),--($D1493:$V1493=1)),0)+SUM(V890)+IF(COUNTIF(V$1237:V1493,1)=1,5,0)+IF(COUNTIF(W891:$W891,"&gt;"&amp;0)&lt;5,IF(AND(COUNTIF(V$1237:V1493,1)&gt;7,MOD(1+IFERROR(MATCH($C891,总览!$D$46:$D$345,1)+1,1),7)=0),$C$3,0),0)</f>
        <v>330.344226523246</v>
      </c>
      <c r="W891" s="135" cm="1">
        <f ca="1" t="array" ref="W891">SUMPRODUCT(TRANSPOSE($AA891:$AG891),OFFSET($L$9:$L$15,0,W$631-1))</f>
        <v>16.8502200646615</v>
      </c>
      <c r="X891" s="135" cm="1">
        <f ca="1" t="array" ref="X891">SUMPRODUCT(TRANSPOSE($AA891:$AG891),OFFSET($L$9:$L$15,0,X$631-1))</f>
        <v>20</v>
      </c>
      <c r="Y891" s="135" cm="1">
        <f ca="1" t="array" ref="Y891">SUMPRODUCT(TRANSPOSE($AA891:$AG891),OFFSET($L$9:$L$15,0,Y$631-1))</f>
        <v>10</v>
      </c>
      <c r="Z891" s="135" cm="1">
        <f ca="1" t="array" ref="Z891">SUMPRODUCT(TRANSPOSE($AA891:$AG891),OFFSET($L$9:$L$15,0,Z$631-1))</f>
        <v>3.14977993533847</v>
      </c>
      <c r="AA891" s="136">
        <f ca="1" t="shared" ref="AA891:AG891" si="760">AH891-AH890</f>
        <v>0</v>
      </c>
      <c r="AB891" s="136">
        <f ca="1" t="shared" si="760"/>
        <v>0</v>
      </c>
      <c r="AC891" s="136">
        <f ca="1" t="shared" si="760"/>
        <v>0</v>
      </c>
      <c r="AD891" s="136">
        <f ca="1" t="shared" si="760"/>
        <v>0</v>
      </c>
      <c r="AE891" s="136">
        <f ca="1" t="shared" si="760"/>
        <v>0</v>
      </c>
      <c r="AF891" s="136">
        <f ca="1" t="shared" si="760"/>
        <v>0</v>
      </c>
      <c r="AG891" s="136">
        <f ca="1" t="shared" si="760"/>
        <v>100</v>
      </c>
      <c r="AH891" s="136">
        <f ca="1" t="shared" ref="AH891:AH954" si="761">IF($C891&gt;OFFSET($Q$8,MATCH(AH$634,$AH$634:$AN$634,0),0),OFFSET($P$8,MATCH(AH$634,$AH$634:$AN$634,0),0),$C891)</f>
        <v>450</v>
      </c>
      <c r="AI891" s="136">
        <f ca="1" t="shared" ref="AI891:AN891" si="762">IF($C891&gt;OFFSET($Q$8,MATCH(AI$634,$AH$634:$AN$634,0),0),OFFSET($P$8,MATCH(AI$634,$AH$634:$AN$634,0),0),MAX(0,$C891-OFFSET($Q$8,RIGHT(AI$634,1)-1,0)))</f>
        <v>909</v>
      </c>
      <c r="AJ891" s="136">
        <f ca="1" t="shared" si="762"/>
        <v>1818</v>
      </c>
      <c r="AK891" s="136">
        <f ca="1" t="shared" si="762"/>
        <v>2727</v>
      </c>
      <c r="AL891" s="136">
        <f ca="1" t="shared" si="762"/>
        <v>3636</v>
      </c>
      <c r="AM891" s="136">
        <f ca="1" t="shared" si="762"/>
        <v>4545</v>
      </c>
      <c r="AN891" s="136">
        <f ca="1" t="shared" si="762"/>
        <v>11615</v>
      </c>
    </row>
    <row r="892" s="106" customFormat="1" ht="16.5" spans="2:40">
      <c r="B892" s="117">
        <v>258</v>
      </c>
      <c r="C892" s="130">
        <f t="shared" si="759"/>
        <v>25800</v>
      </c>
      <c r="D892" s="131" cm="1">
        <f ca="1" t="array" ref="D892">IF(D1494=1,OFFSET($W$634,$B892,D$631-1)/SUMPRODUCT(--($D$631:$V$631=D$631),--($D1494:$V1494=1)),0)+SUM(D891)+IF(COUNTIF(D$1237:D1494,1)=1,5,0)+IF(COUNTIF(E892:$W892,"&gt;"&amp;0)&lt;5,IF(AND(COUNTIF(D$1237:D1494,1)&gt;7,MOD(1+IFERROR(MATCH($C892,总览!$D$46:$D$345,1)+1,1),7)=0),$C$3,0),0)</f>
        <v>1776.82244209169</v>
      </c>
      <c r="E892" s="131" cm="1">
        <f ca="1" t="array" ref="E892">IF(E1494=1,OFFSET($W$634,$B892,E$631-1)/SUMPRODUCT(--($D$631:$V$631=E$631),--($D1494:$V1494=1)),0)+SUM(E891)+IF(COUNTIF(E$1237:E1494,1)=1,5,0)+IF(COUNTIF(F892:$W892,"&gt;"&amp;0)&lt;5,IF(AND(COUNTIF(E$1237:E1494,1)&gt;7,MOD(1+IFERROR(MATCH($C892,总览!$D$46:$D$345,1)+1,1),7)=0),$C$3,0),0)</f>
        <v>1776.82244209169</v>
      </c>
      <c r="F892" s="131" cm="1">
        <f ca="1" t="array" ref="F892">IF(F1494=1,OFFSET($W$634,$B892,F$631-1)/SUMPRODUCT(--($D$631:$V$631=F$631),--($D1494:$V1494=1)),0)+SUM(F891)+IF(COUNTIF(F$1237:F1494,1)=1,5,0)+IF(COUNTIF(G892:$W892,"&gt;"&amp;0)&lt;5,IF(AND(COUNTIF(F$1237:F1494,1)&gt;7,MOD(1+IFERROR(MATCH($C892,总览!$D$46:$D$345,1)+1,1),7)=0),$C$3,0),0)</f>
        <v>1776.82244209169</v>
      </c>
      <c r="G892" s="131" cm="1">
        <f ca="1" t="array" ref="G892">IF(G1494=1,OFFSET($W$634,$B892,G$631-1)/SUMPRODUCT(--($D$631:$V$631=G$631),--($D1494:$V1494=1)),0)+SUM(G891)+IF(COUNTIF(G$1237:G1494,1)=1,5,0)+IF(COUNTIF(H892:$W892,"&gt;"&amp;0)&lt;5,IF(AND(COUNTIF(G$1237:G1494,1)&gt;7,MOD(1+IFERROR(MATCH($C892,总览!$D$46:$D$345,1)+1,1),7)=0),$C$3,0),0)</f>
        <v>799.400000000002</v>
      </c>
      <c r="H892" s="131" cm="1">
        <f ca="1" t="array" ref="H892">IF(H1494=1,OFFSET($W$634,$B892,H$631-1)/SUMPRODUCT(--($D$631:$V$631=H$631),--($D1494:$V1494=1)),0)+SUM(H891)+IF(COUNTIF(H$1237:H1494,1)=1,5,0)+IF(COUNTIF(I892:$W892,"&gt;"&amp;0)&lt;5,IF(AND(COUNTIF(H$1237:H1494,1)&gt;7,MOD(1+IFERROR(MATCH($C892,总览!$D$46:$D$345,1)+1,1),7)=0),$C$3,0),0)</f>
        <v>799.400000000002</v>
      </c>
      <c r="I892" s="131" cm="1">
        <f ca="1" t="array" ref="I892">IF(I1494=1,OFFSET($W$634,$B892,I$631-1)/SUMPRODUCT(--($D$631:$V$631=I$631),--($D1494:$V1494=1)),0)+SUM(I891)+IF(COUNTIF(I$1237:I1494,1)=1,5,0)+IF(COUNTIF(J892:$W892,"&gt;"&amp;0)&lt;5,IF(AND(COUNTIF(I$1237:I1494,1)&gt;7,MOD(1+IFERROR(MATCH($C892,总览!$D$46:$D$345,1)+1,1),7)=0),$C$3,0),0)</f>
        <v>799.400000000002</v>
      </c>
      <c r="J892" s="131" cm="1">
        <f ca="1" t="array" ref="J892">IF(J1494=1,OFFSET($W$634,$B892,J$631-1)/SUMPRODUCT(--($D$631:$V$631=J$631),--($D1494:$V1494=1)),0)+SUM(J891)+IF(COUNTIF(J$1237:J1494,1)=1,5,0)+IF(COUNTIF(K892:$W892,"&gt;"&amp;0)&lt;5,IF(AND(COUNTIF(J$1237:J1494,1)&gt;7,MOD(1+IFERROR(MATCH($C892,总览!$D$46:$D$345,1)+1,1),7)=0),$C$3,0),0)</f>
        <v>796.066666666669</v>
      </c>
      <c r="K892" s="131" cm="1">
        <f ca="1" t="array" ref="K892">IF(K1494=1,OFFSET($W$634,$B892,K$631-1)/SUMPRODUCT(--($D$631:$V$631=K$631),--($D1494:$V1494=1)),0)+SUM(K891)+IF(COUNTIF(K$1237:K1494,1)=1,5,0)+IF(COUNTIF(L892:$W892,"&gt;"&amp;0)&lt;5,IF(AND(COUNTIF(K$1237:K1494,1)&gt;7,MOD(1+IFERROR(MATCH($C892,总览!$D$46:$D$345,1)+1,1),7)=0),$C$3,0),0)</f>
        <v>793.566666666669</v>
      </c>
      <c r="L892" s="131" cm="1">
        <f ca="1" t="array" ref="L892">IF(L1494=1,OFFSET($W$634,$B892,L$631-1)/SUMPRODUCT(--($D$631:$V$631=L$631),--($D1494:$V1494=1)),0)+SUM(L891)+IF(COUNTIF(L$1237:L1494,1)=1,5,0)+IF(COUNTIF(M892:$W892,"&gt;"&amp;0)&lt;5,IF(AND(COUNTIF(L$1237:L1494,1)&gt;7,MOD(1+IFERROR(MATCH($C892,总览!$D$46:$D$345,1)+1,1),7)=0),$C$3,0),0)</f>
        <v>793.566666666669</v>
      </c>
      <c r="M892" s="131" cm="1">
        <f ca="1" t="array" ref="M892">IF(M1494=1,OFFSET($W$634,$B892,M$631-1)/SUMPRODUCT(--($D$631:$V$631=M$631),--($D1494:$V1494=1)),0)+SUM(M891)+IF(COUNTIF(M$1237:M1494,1)=1,5,0)+IF(COUNTIF(N892:$W892,"&gt;"&amp;0)&lt;5,IF(AND(COUNTIF(M$1237:M1494,1)&gt;7,MOD(1+IFERROR(MATCH($C892,总览!$D$46:$D$345,1)+1,1),7)=0),$C$3,0),0)</f>
        <v>326.324107142857</v>
      </c>
      <c r="N892" s="131" cm="1">
        <f ca="1" t="array" ref="N892">IF(N1494=1,OFFSET($W$634,$B892,N$631-1)/SUMPRODUCT(--($D$631:$V$631=N$631),--($D1494:$V1494=1)),0)+SUM(N891)+IF(COUNTIF(N$1237:N1494,1)=1,5,0)+IF(COUNTIF(O892:$W892,"&gt;"&amp;0)&lt;5,IF(AND(COUNTIF(N$1237:N1494,1)&gt;7,MOD(1+IFERROR(MATCH($C892,总览!$D$46:$D$345,1)+1,1),7)=0),$C$3,0),0)</f>
        <v>327.574107142857</v>
      </c>
      <c r="O892" s="131" cm="1">
        <f ca="1" t="array" ref="O892">IF(O1494=1,OFFSET($W$634,$B892,O$631-1)/SUMPRODUCT(--($D$631:$V$631=O$631),--($D1494:$V1494=1)),0)+SUM(O891)+IF(COUNTIF(O$1237:O1494,1)=1,5,0)+IF(COUNTIF(P892:$W892,"&gt;"&amp;0)&lt;5,IF(AND(COUNTIF(O$1237:O1494,1)&gt;7,MOD(1+IFERROR(MATCH($C892,总览!$D$46:$D$345,1)+1,1),7)=0),$C$3,0),0)</f>
        <v>332.574107142857</v>
      </c>
      <c r="P892" s="131" cm="1">
        <f ca="1" t="array" ref="P892">IF(P1494=1,OFFSET($W$634,$B892,P$631-1)/SUMPRODUCT(--($D$631:$V$631=P$631),--($D1494:$V1494=1)),0)+SUM(P891)+IF(COUNTIF(P$1237:P1494,1)=1,5,0)+IF(COUNTIF(Q892:$W892,"&gt;"&amp;0)&lt;5,IF(AND(COUNTIF(P$1237:P1494,1)&gt;7,MOD(1+IFERROR(MATCH($C892,总览!$D$46:$D$345,1)+1,1),7)=0),$C$3,0),0)</f>
        <v>321.692857142857</v>
      </c>
      <c r="Q892" s="131" cm="1">
        <f ca="1" t="array" ref="Q892">IF(Q1494=1,OFFSET($W$634,$B892,Q$631-1)/SUMPRODUCT(--($D$631:$V$631=Q$631),--($D1494:$V1494=1)),0)+SUM(Q891)+IF(COUNTIF(Q$1237:Q1494,1)=1,5,0)+IF(COUNTIF(R892:$W892,"&gt;"&amp;0)&lt;5,IF(AND(COUNTIF(Q$1237:Q1494,1)&gt;7,MOD(1+IFERROR(MATCH($C892,总览!$D$46:$D$345,1)+1,1),7)=0),$C$3,0),0)</f>
        <v>335.074107142857</v>
      </c>
      <c r="R892" s="131" cm="1">
        <f ca="1" t="array" ref="R892">IF(R1494=1,OFFSET($W$634,$B892,R$631-1)/SUMPRODUCT(--($D$631:$V$631=R$631),--($D1494:$V1494=1)),0)+SUM(R891)+IF(COUNTIF(R$1237:R1494,1)=1,5,0)+IF(COUNTIF(S892:$W892,"&gt;"&amp;0)&lt;5,IF(AND(COUNTIF(R$1237:R1494,1)&gt;7,MOD(1+IFERROR(MATCH($C892,总览!$D$46:$D$345,1)+1,1),7)=0),$C$3,0),0)</f>
        <v>326.692857142857</v>
      </c>
      <c r="S892" s="131" cm="1">
        <f ca="1" t="array" ref="S892">IF(S1494=1,OFFSET($W$634,$B892,S$631-1)/SUMPRODUCT(--($D$631:$V$631=S$631),--($D1494:$V1494=1)),0)+SUM(S891)+IF(COUNTIF(S$1237:S1494,1)=1,5,0)+IF(COUNTIF(T892:$W892,"&gt;"&amp;0)&lt;5,IF(AND(COUNTIF(S$1237:S1494,1)&gt;7,MOD(1+IFERROR(MATCH($C892,总览!$D$46:$D$345,1)+1,1),7)=0),$C$3,0),0)</f>
        <v>419.192857142858</v>
      </c>
      <c r="T892" s="131" cm="1">
        <f ca="1" t="array" ref="T892">IF(T1494=1,OFFSET($W$634,$B892,T$631-1)/SUMPRODUCT(--($D$631:$V$631=T$631),--($D1494:$V1494=1)),0)+SUM(T891)+IF(COUNTIF(T$1237:T1494,1)=1,5,0)+IF(COUNTIF(U892:$W892,"&gt;"&amp;0)&lt;5,IF(AND(COUNTIF(T$1237:T1494,1)&gt;7,MOD(1+IFERROR(MATCH($C892,总览!$D$46:$D$345,1)+1,1),7)=0),$C$3,0),0)</f>
        <v>306.046367100627</v>
      </c>
      <c r="U892" s="131" cm="1">
        <f ca="1" t="array" ref="U892">IF(U1494=1,OFFSET($W$634,$B892,U$631-1)/SUMPRODUCT(--($D$631:$V$631=U$631),--($D1494:$V1494=1)),0)+SUM(U891)+IF(COUNTIF(U$1237:U1494,1)=1,5,0)+IF(COUNTIF(V892:$W892,"&gt;"&amp;0)&lt;5,IF(AND(COUNTIF(U$1237:U1494,1)&gt;7,MOD(1+IFERROR(MATCH($C892,总览!$D$46:$D$345,1)+1,1),7)=0),$C$3,0),0)</f>
        <v>311.567153455926</v>
      </c>
      <c r="V892" s="131" cm="1">
        <f ca="1" t="array" ref="V892">IF(V1494=1,OFFSET($W$634,$B892,V$631-1)/SUMPRODUCT(--($D$631:$V$631=V$631),--($D1494:$V1494=1)),0)+SUM(V891)+IF(COUNTIF(V$1237:V1494,1)=1,5,0)+IF(COUNTIF(W892:$W892,"&gt;"&amp;0)&lt;5,IF(AND(COUNTIF(V$1237:V1494,1)&gt;7,MOD(1+IFERROR(MATCH($C892,总览!$D$46:$D$345,1)+1,1),7)=0),$C$3,0),0)</f>
        <v>331.394153168359</v>
      </c>
      <c r="W892" s="135" cm="1">
        <f ca="1" t="array" ref="W892">SUMPRODUCT(TRANSPOSE($AA892:$AG892),OFFSET($L$9:$L$15,0,W$631-1))</f>
        <v>16.8502200646615</v>
      </c>
      <c r="X892" s="135" cm="1">
        <f ca="1" t="array" ref="X892">SUMPRODUCT(TRANSPOSE($AA892:$AG892),OFFSET($L$9:$L$15,0,X$631-1))</f>
        <v>20</v>
      </c>
      <c r="Y892" s="135" cm="1">
        <f ca="1" t="array" ref="Y892">SUMPRODUCT(TRANSPOSE($AA892:$AG892),OFFSET($L$9:$L$15,0,Y$631-1))</f>
        <v>10</v>
      </c>
      <c r="Z892" s="135" cm="1">
        <f ca="1" t="array" ref="Z892">SUMPRODUCT(TRANSPOSE($AA892:$AG892),OFFSET($L$9:$L$15,0,Z$631-1))</f>
        <v>3.14977993533847</v>
      </c>
      <c r="AA892" s="136">
        <f ca="1" t="shared" ref="AA892:AG892" si="763">AH892-AH891</f>
        <v>0</v>
      </c>
      <c r="AB892" s="136">
        <f ca="1" t="shared" si="763"/>
        <v>0</v>
      </c>
      <c r="AC892" s="136">
        <f ca="1" t="shared" si="763"/>
        <v>0</v>
      </c>
      <c r="AD892" s="136">
        <f ca="1" t="shared" si="763"/>
        <v>0</v>
      </c>
      <c r="AE892" s="136">
        <f ca="1" t="shared" si="763"/>
        <v>0</v>
      </c>
      <c r="AF892" s="136">
        <f ca="1" t="shared" si="763"/>
        <v>0</v>
      </c>
      <c r="AG892" s="136">
        <f ca="1" t="shared" si="763"/>
        <v>100</v>
      </c>
      <c r="AH892" s="136">
        <f ca="1" t="shared" si="761"/>
        <v>450</v>
      </c>
      <c r="AI892" s="136">
        <f ca="1" t="shared" ref="AI892:AN892" si="764">IF($C892&gt;OFFSET($Q$8,MATCH(AI$634,$AH$634:$AN$634,0),0),OFFSET($P$8,MATCH(AI$634,$AH$634:$AN$634,0),0),MAX(0,$C892-OFFSET($Q$8,RIGHT(AI$634,1)-1,0)))</f>
        <v>909</v>
      </c>
      <c r="AJ892" s="136">
        <f ca="1" t="shared" si="764"/>
        <v>1818</v>
      </c>
      <c r="AK892" s="136">
        <f ca="1" t="shared" si="764"/>
        <v>2727</v>
      </c>
      <c r="AL892" s="136">
        <f ca="1" t="shared" si="764"/>
        <v>3636</v>
      </c>
      <c r="AM892" s="136">
        <f ca="1" t="shared" si="764"/>
        <v>4545</v>
      </c>
      <c r="AN892" s="136">
        <f ca="1" t="shared" si="764"/>
        <v>11715</v>
      </c>
    </row>
    <row r="893" s="106" customFormat="1" ht="16.5" spans="2:40">
      <c r="B893" s="117">
        <v>259</v>
      </c>
      <c r="C893" s="130">
        <f t="shared" si="759"/>
        <v>25900</v>
      </c>
      <c r="D893" s="131" cm="1">
        <f ca="1" t="array" ref="D893">IF(D1495=1,OFFSET($W$634,$B893,D$631-1)/SUMPRODUCT(--($D$631:$V$631=D$631),--($D1495:$V1495=1)),0)+SUM(D892)+IF(COUNTIF(D$1237:D1495,1)=1,5,0)+IF(COUNTIF(E893:$W893,"&gt;"&amp;0)&lt;5,IF(AND(COUNTIF(D$1237:D1495,1)&gt;7,MOD(1+IFERROR(MATCH($C893,总览!$D$46:$D$345,1)+1,1),7)=0),$C$3,0),0)</f>
        <v>1782.43918211325</v>
      </c>
      <c r="E893" s="131" cm="1">
        <f ca="1" t="array" ref="E893">IF(E1495=1,OFFSET($W$634,$B893,E$631-1)/SUMPRODUCT(--($D$631:$V$631=E$631),--($D1495:$V1495=1)),0)+SUM(E892)+IF(COUNTIF(E$1237:E1495,1)=1,5,0)+IF(COUNTIF(F893:$W893,"&gt;"&amp;0)&lt;5,IF(AND(COUNTIF(E$1237:E1495,1)&gt;7,MOD(1+IFERROR(MATCH($C893,总览!$D$46:$D$345,1)+1,1),7)=0),$C$3,0),0)</f>
        <v>1782.43918211325</v>
      </c>
      <c r="F893" s="131" cm="1">
        <f ca="1" t="array" ref="F893">IF(F1495=1,OFFSET($W$634,$B893,F$631-1)/SUMPRODUCT(--($D$631:$V$631=F$631),--($D1495:$V1495=1)),0)+SUM(F892)+IF(COUNTIF(F$1237:F1495,1)=1,5,0)+IF(COUNTIF(G893:$W893,"&gt;"&amp;0)&lt;5,IF(AND(COUNTIF(F$1237:F1495,1)&gt;7,MOD(1+IFERROR(MATCH($C893,总览!$D$46:$D$345,1)+1,1),7)=0),$C$3,0),0)</f>
        <v>1782.43918211325</v>
      </c>
      <c r="G893" s="131" cm="1">
        <f ca="1" t="array" ref="G893">IF(G1495=1,OFFSET($W$634,$B893,G$631-1)/SUMPRODUCT(--($D$631:$V$631=G$631),--($D1495:$V1495=1)),0)+SUM(G892)+IF(COUNTIF(G$1237:G1495,1)=1,5,0)+IF(COUNTIF(H893:$W893,"&gt;"&amp;0)&lt;5,IF(AND(COUNTIF(G$1237:G1495,1)&gt;7,MOD(1+IFERROR(MATCH($C893,总览!$D$46:$D$345,1)+1,1),7)=0),$C$3,0),0)</f>
        <v>802.733333333335</v>
      </c>
      <c r="H893" s="131" cm="1">
        <f ca="1" t="array" ref="H893">IF(H1495=1,OFFSET($W$634,$B893,H$631-1)/SUMPRODUCT(--($D$631:$V$631=H$631),--($D1495:$V1495=1)),0)+SUM(H892)+IF(COUNTIF(H$1237:H1495,1)=1,5,0)+IF(COUNTIF(I893:$W893,"&gt;"&amp;0)&lt;5,IF(AND(COUNTIF(H$1237:H1495,1)&gt;7,MOD(1+IFERROR(MATCH($C893,总览!$D$46:$D$345,1)+1,1),7)=0),$C$3,0),0)</f>
        <v>802.733333333335</v>
      </c>
      <c r="I893" s="131" cm="1">
        <f ca="1" t="array" ref="I893">IF(I1495=1,OFFSET($W$634,$B893,I$631-1)/SUMPRODUCT(--($D$631:$V$631=I$631),--($D1495:$V1495=1)),0)+SUM(I892)+IF(COUNTIF(I$1237:I1495,1)=1,5,0)+IF(COUNTIF(J893:$W893,"&gt;"&amp;0)&lt;5,IF(AND(COUNTIF(I$1237:I1495,1)&gt;7,MOD(1+IFERROR(MATCH($C893,总览!$D$46:$D$345,1)+1,1),7)=0),$C$3,0),0)</f>
        <v>802.733333333335</v>
      </c>
      <c r="J893" s="131" cm="1">
        <f ca="1" t="array" ref="J893">IF(J1495=1,OFFSET($W$634,$B893,J$631-1)/SUMPRODUCT(--($D$631:$V$631=J$631),--($D1495:$V1495=1)),0)+SUM(J892)+IF(COUNTIF(J$1237:J1495,1)=1,5,0)+IF(COUNTIF(K893:$W893,"&gt;"&amp;0)&lt;5,IF(AND(COUNTIF(J$1237:J1495,1)&gt;7,MOD(1+IFERROR(MATCH($C893,总览!$D$46:$D$345,1)+1,1),7)=0),$C$3,0),0)</f>
        <v>799.400000000002</v>
      </c>
      <c r="K893" s="131" cm="1">
        <f ca="1" t="array" ref="K893">IF(K1495=1,OFFSET($W$634,$B893,K$631-1)/SUMPRODUCT(--($D$631:$V$631=K$631),--($D1495:$V1495=1)),0)+SUM(K892)+IF(COUNTIF(K$1237:K1495,1)=1,5,0)+IF(COUNTIF(L893:$W893,"&gt;"&amp;0)&lt;5,IF(AND(COUNTIF(K$1237:K1495,1)&gt;7,MOD(1+IFERROR(MATCH($C893,总览!$D$46:$D$345,1)+1,1),7)=0),$C$3,0),0)</f>
        <v>796.900000000002</v>
      </c>
      <c r="L893" s="131" cm="1">
        <f ca="1" t="array" ref="L893">IF(L1495=1,OFFSET($W$634,$B893,L$631-1)/SUMPRODUCT(--($D$631:$V$631=L$631),--($D1495:$V1495=1)),0)+SUM(L892)+IF(COUNTIF(L$1237:L1495,1)=1,5,0)+IF(COUNTIF(M893:$W893,"&gt;"&amp;0)&lt;5,IF(AND(COUNTIF(L$1237:L1495,1)&gt;7,MOD(1+IFERROR(MATCH($C893,总览!$D$46:$D$345,1)+1,1),7)=0),$C$3,0),0)</f>
        <v>796.900000000002</v>
      </c>
      <c r="M893" s="131" cm="1">
        <f ca="1" t="array" ref="M893">IF(M1495=1,OFFSET($W$634,$B893,M$631-1)/SUMPRODUCT(--($D$631:$V$631=M$631),--($D1495:$V1495=1)),0)+SUM(M892)+IF(COUNTIF(M$1237:M1495,1)=1,5,0)+IF(COUNTIF(N893:$W893,"&gt;"&amp;0)&lt;5,IF(AND(COUNTIF(M$1237:M1495,1)&gt;7,MOD(1+IFERROR(MATCH($C893,总览!$D$46:$D$345,1)+1,1),7)=0),$C$3,0),0)</f>
        <v>327.752678571428</v>
      </c>
      <c r="N893" s="131" cm="1">
        <f ca="1" t="array" ref="N893">IF(N1495=1,OFFSET($W$634,$B893,N$631-1)/SUMPRODUCT(--($D$631:$V$631=N$631),--($D1495:$V1495=1)),0)+SUM(N892)+IF(COUNTIF(N$1237:N1495,1)=1,5,0)+IF(COUNTIF(O893:$W893,"&gt;"&amp;0)&lt;5,IF(AND(COUNTIF(N$1237:N1495,1)&gt;7,MOD(1+IFERROR(MATCH($C893,总览!$D$46:$D$345,1)+1,1),7)=0),$C$3,0),0)</f>
        <v>329.002678571428</v>
      </c>
      <c r="O893" s="131" cm="1">
        <f ca="1" t="array" ref="O893">IF(O1495=1,OFFSET($W$634,$B893,O$631-1)/SUMPRODUCT(--($D$631:$V$631=O$631),--($D1495:$V1495=1)),0)+SUM(O892)+IF(COUNTIF(O$1237:O1495,1)=1,5,0)+IF(COUNTIF(P893:$W893,"&gt;"&amp;0)&lt;5,IF(AND(COUNTIF(O$1237:O1495,1)&gt;7,MOD(1+IFERROR(MATCH($C893,总览!$D$46:$D$345,1)+1,1),7)=0),$C$3,0),0)</f>
        <v>334.002678571428</v>
      </c>
      <c r="P893" s="131" cm="1">
        <f ca="1" t="array" ref="P893">IF(P1495=1,OFFSET($W$634,$B893,P$631-1)/SUMPRODUCT(--($D$631:$V$631=P$631),--($D1495:$V1495=1)),0)+SUM(P892)+IF(COUNTIF(P$1237:P1495,1)=1,5,0)+IF(COUNTIF(Q893:$W893,"&gt;"&amp;0)&lt;5,IF(AND(COUNTIF(P$1237:P1495,1)&gt;7,MOD(1+IFERROR(MATCH($C893,总览!$D$46:$D$345,1)+1,1),7)=0),$C$3,0),0)</f>
        <v>323.121428571428</v>
      </c>
      <c r="Q893" s="131" cm="1">
        <f ca="1" t="array" ref="Q893">IF(Q1495=1,OFFSET($W$634,$B893,Q$631-1)/SUMPRODUCT(--($D$631:$V$631=Q$631),--($D1495:$V1495=1)),0)+SUM(Q892)+IF(COUNTIF(Q$1237:Q1495,1)=1,5,0)+IF(COUNTIF(R893:$W893,"&gt;"&amp;0)&lt;5,IF(AND(COUNTIF(Q$1237:Q1495,1)&gt;7,MOD(1+IFERROR(MATCH($C893,总览!$D$46:$D$345,1)+1,1),7)=0),$C$3,0),0)</f>
        <v>336.502678571428</v>
      </c>
      <c r="R893" s="131" cm="1">
        <f ca="1" t="array" ref="R893">IF(R1495=1,OFFSET($W$634,$B893,R$631-1)/SUMPRODUCT(--($D$631:$V$631=R$631),--($D1495:$V1495=1)),0)+SUM(R892)+IF(COUNTIF(R$1237:R1495,1)=1,5,0)+IF(COUNTIF(S893:$W893,"&gt;"&amp;0)&lt;5,IF(AND(COUNTIF(R$1237:R1495,1)&gt;7,MOD(1+IFERROR(MATCH($C893,总览!$D$46:$D$345,1)+1,1),7)=0),$C$3,0),0)</f>
        <v>328.121428571428</v>
      </c>
      <c r="S893" s="131" cm="1">
        <f ca="1" t="array" ref="S893">IF(S1495=1,OFFSET($W$634,$B893,S$631-1)/SUMPRODUCT(--($D$631:$V$631=S$631),--($D1495:$V1495=1)),0)+SUM(S892)+IF(COUNTIF(S$1237:S1495,1)=1,5,0)+IF(COUNTIF(T893:$W893,"&gt;"&amp;0)&lt;5,IF(AND(COUNTIF(S$1237:S1495,1)&gt;7,MOD(1+IFERROR(MATCH($C893,总览!$D$46:$D$345,1)+1,1),7)=0),$C$3,0),0)</f>
        <v>420.621428571429</v>
      </c>
      <c r="T893" s="131" cm="1">
        <f ca="1" t="array" ref="T893">IF(T1495=1,OFFSET($W$634,$B893,T$631-1)/SUMPRODUCT(--($D$631:$V$631=T$631),--($D1495:$V1495=1)),0)+SUM(T892)+IF(COUNTIF(T$1237:T1495,1)=1,5,0)+IF(COUNTIF(U893:$W893,"&gt;"&amp;0)&lt;5,IF(AND(COUNTIF(T$1237:T1495,1)&gt;7,MOD(1+IFERROR(MATCH($C893,总览!$D$46:$D$345,1)+1,1),7)=0),$C$3,0),0)</f>
        <v>307.096293745739</v>
      </c>
      <c r="U893" s="131" cm="1">
        <f ca="1" t="array" ref="U893">IF(U1495=1,OFFSET($W$634,$B893,U$631-1)/SUMPRODUCT(--($D$631:$V$631=U$631),--($D1495:$V1495=1)),0)+SUM(U892)+IF(COUNTIF(U$1237:U1495,1)=1,5,0)+IF(COUNTIF(V893:$W893,"&gt;"&amp;0)&lt;5,IF(AND(COUNTIF(U$1237:U1495,1)&gt;7,MOD(1+IFERROR(MATCH($C893,总览!$D$46:$D$345,1)+1,1),7)=0),$C$3,0),0)</f>
        <v>312.617080101039</v>
      </c>
      <c r="V893" s="131" cm="1">
        <f ca="1" t="array" ref="V893">IF(V1495=1,OFFSET($W$634,$B893,V$631-1)/SUMPRODUCT(--($D$631:$V$631=V$631),--($D1495:$V1495=1)),0)+SUM(V892)+IF(COUNTIF(V$1237:V1495,1)=1,5,0)+IF(COUNTIF(W893:$W893,"&gt;"&amp;0)&lt;5,IF(AND(COUNTIF(V$1237:V1495,1)&gt;7,MOD(1+IFERROR(MATCH($C893,总览!$D$46:$D$345,1)+1,1),7)=0),$C$3,0),0)</f>
        <v>332.444079813472</v>
      </c>
      <c r="W893" s="135" cm="1">
        <f ca="1" t="array" ref="W893">SUMPRODUCT(TRANSPOSE($AA893:$AG893),OFFSET($L$9:$L$15,0,W$631-1))</f>
        <v>16.8502200646615</v>
      </c>
      <c r="X893" s="135" cm="1">
        <f ca="1" t="array" ref="X893">SUMPRODUCT(TRANSPOSE($AA893:$AG893),OFFSET($L$9:$L$15,0,X$631-1))</f>
        <v>20</v>
      </c>
      <c r="Y893" s="135" cm="1">
        <f ca="1" t="array" ref="Y893">SUMPRODUCT(TRANSPOSE($AA893:$AG893),OFFSET($L$9:$L$15,0,Y$631-1))</f>
        <v>10</v>
      </c>
      <c r="Z893" s="135" cm="1">
        <f ca="1" t="array" ref="Z893">SUMPRODUCT(TRANSPOSE($AA893:$AG893),OFFSET($L$9:$L$15,0,Z$631-1))</f>
        <v>3.14977993533847</v>
      </c>
      <c r="AA893" s="136">
        <f ca="1" t="shared" ref="AA893:AG893" si="765">AH893-AH892</f>
        <v>0</v>
      </c>
      <c r="AB893" s="136">
        <f ca="1" t="shared" si="765"/>
        <v>0</v>
      </c>
      <c r="AC893" s="136">
        <f ca="1" t="shared" si="765"/>
        <v>0</v>
      </c>
      <c r="AD893" s="136">
        <f ca="1" t="shared" si="765"/>
        <v>0</v>
      </c>
      <c r="AE893" s="136">
        <f ca="1" t="shared" si="765"/>
        <v>0</v>
      </c>
      <c r="AF893" s="136">
        <f ca="1" t="shared" si="765"/>
        <v>0</v>
      </c>
      <c r="AG893" s="136">
        <f ca="1" t="shared" si="765"/>
        <v>100</v>
      </c>
      <c r="AH893" s="136">
        <f ca="1" t="shared" si="761"/>
        <v>450</v>
      </c>
      <c r="AI893" s="136">
        <f ca="1" t="shared" ref="AI893:AN893" si="766">IF($C893&gt;OFFSET($Q$8,MATCH(AI$634,$AH$634:$AN$634,0),0),OFFSET($P$8,MATCH(AI$634,$AH$634:$AN$634,0),0),MAX(0,$C893-OFFSET($Q$8,RIGHT(AI$634,1)-1,0)))</f>
        <v>909</v>
      </c>
      <c r="AJ893" s="136">
        <f ca="1" t="shared" si="766"/>
        <v>1818</v>
      </c>
      <c r="AK893" s="136">
        <f ca="1" t="shared" si="766"/>
        <v>2727</v>
      </c>
      <c r="AL893" s="136">
        <f ca="1" t="shared" si="766"/>
        <v>3636</v>
      </c>
      <c r="AM893" s="136">
        <f ca="1" t="shared" si="766"/>
        <v>4545</v>
      </c>
      <c r="AN893" s="136">
        <f ca="1" t="shared" si="766"/>
        <v>11815</v>
      </c>
    </row>
    <row r="894" s="106" customFormat="1" ht="16.5" spans="2:40">
      <c r="B894" s="117">
        <v>260</v>
      </c>
      <c r="C894" s="130">
        <f t="shared" si="759"/>
        <v>26000</v>
      </c>
      <c r="D894" s="131" cm="1">
        <f ca="1" t="array" ref="D894">IF(D1496=1,OFFSET($W$634,$B894,D$631-1)/SUMPRODUCT(--($D$631:$V$631=D$631),--($D1496:$V1496=1)),0)+SUM(D893)+IF(COUNTIF(D$1237:D1496,1)=1,5,0)+IF(COUNTIF(E894:$W894,"&gt;"&amp;0)&lt;5,IF(AND(COUNTIF(D$1237:D1496,1)&gt;7,MOD(1+IFERROR(MATCH($C894,总览!$D$46:$D$345,1)+1,1),7)=0),$C$3,0),0)</f>
        <v>1788.0559221348</v>
      </c>
      <c r="E894" s="131" cm="1">
        <f ca="1" t="array" ref="E894">IF(E1496=1,OFFSET($W$634,$B894,E$631-1)/SUMPRODUCT(--($D$631:$V$631=E$631),--($D1496:$V1496=1)),0)+SUM(E893)+IF(COUNTIF(E$1237:E1496,1)=1,5,0)+IF(COUNTIF(F894:$W894,"&gt;"&amp;0)&lt;5,IF(AND(COUNTIF(E$1237:E1496,1)&gt;7,MOD(1+IFERROR(MATCH($C894,总览!$D$46:$D$345,1)+1,1),7)=0),$C$3,0),0)</f>
        <v>1788.0559221348</v>
      </c>
      <c r="F894" s="131" cm="1">
        <f ca="1" t="array" ref="F894">IF(F1496=1,OFFSET($W$634,$B894,F$631-1)/SUMPRODUCT(--($D$631:$V$631=F$631),--($D1496:$V1496=1)),0)+SUM(F893)+IF(COUNTIF(F$1237:F1496,1)=1,5,0)+IF(COUNTIF(G894:$W894,"&gt;"&amp;0)&lt;5,IF(AND(COUNTIF(F$1237:F1496,1)&gt;7,MOD(1+IFERROR(MATCH($C894,总览!$D$46:$D$345,1)+1,1),7)=0),$C$3,0),0)</f>
        <v>1788.0559221348</v>
      </c>
      <c r="G894" s="131" cm="1">
        <f ca="1" t="array" ref="G894">IF(G1496=1,OFFSET($W$634,$B894,G$631-1)/SUMPRODUCT(--($D$631:$V$631=G$631),--($D1496:$V1496=1)),0)+SUM(G893)+IF(COUNTIF(G$1237:G1496,1)=1,5,0)+IF(COUNTIF(H894:$W894,"&gt;"&amp;0)&lt;5,IF(AND(COUNTIF(G$1237:G1496,1)&gt;7,MOD(1+IFERROR(MATCH($C894,总览!$D$46:$D$345,1)+1,1),7)=0),$C$3,0),0)</f>
        <v>806.066666666669</v>
      </c>
      <c r="H894" s="131" cm="1">
        <f ca="1" t="array" ref="H894">IF(H1496=1,OFFSET($W$634,$B894,H$631-1)/SUMPRODUCT(--($D$631:$V$631=H$631),--($D1496:$V1496=1)),0)+SUM(H893)+IF(COUNTIF(H$1237:H1496,1)=1,5,0)+IF(COUNTIF(I894:$W894,"&gt;"&amp;0)&lt;5,IF(AND(COUNTIF(H$1237:H1496,1)&gt;7,MOD(1+IFERROR(MATCH($C894,总览!$D$46:$D$345,1)+1,1),7)=0),$C$3,0),0)</f>
        <v>806.066666666669</v>
      </c>
      <c r="I894" s="131" cm="1">
        <f ca="1" t="array" ref="I894">IF(I1496=1,OFFSET($W$634,$B894,I$631-1)/SUMPRODUCT(--($D$631:$V$631=I$631),--($D1496:$V1496=1)),0)+SUM(I893)+IF(COUNTIF(I$1237:I1496,1)=1,5,0)+IF(COUNTIF(J894:$W894,"&gt;"&amp;0)&lt;5,IF(AND(COUNTIF(I$1237:I1496,1)&gt;7,MOD(1+IFERROR(MATCH($C894,总览!$D$46:$D$345,1)+1,1),7)=0),$C$3,0),0)</f>
        <v>806.066666666669</v>
      </c>
      <c r="J894" s="131" cm="1">
        <f ca="1" t="array" ref="J894">IF(J1496=1,OFFSET($W$634,$B894,J$631-1)/SUMPRODUCT(--($D$631:$V$631=J$631),--($D1496:$V1496=1)),0)+SUM(J893)+IF(COUNTIF(J$1237:J1496,1)=1,5,0)+IF(COUNTIF(K894:$W894,"&gt;"&amp;0)&lt;5,IF(AND(COUNTIF(J$1237:J1496,1)&gt;7,MOD(1+IFERROR(MATCH($C894,总览!$D$46:$D$345,1)+1,1),7)=0),$C$3,0),0)</f>
        <v>802.733333333335</v>
      </c>
      <c r="K894" s="131" cm="1">
        <f ca="1" t="array" ref="K894">IF(K1496=1,OFFSET($W$634,$B894,K$631-1)/SUMPRODUCT(--($D$631:$V$631=K$631),--($D1496:$V1496=1)),0)+SUM(K893)+IF(COUNTIF(K$1237:K1496,1)=1,5,0)+IF(COUNTIF(L894:$W894,"&gt;"&amp;0)&lt;5,IF(AND(COUNTIF(K$1237:K1496,1)&gt;7,MOD(1+IFERROR(MATCH($C894,总览!$D$46:$D$345,1)+1,1),7)=0),$C$3,0),0)</f>
        <v>800.233333333335</v>
      </c>
      <c r="L894" s="131" cm="1">
        <f ca="1" t="array" ref="L894">IF(L1496=1,OFFSET($W$634,$B894,L$631-1)/SUMPRODUCT(--($D$631:$V$631=L$631),--($D1496:$V1496=1)),0)+SUM(L893)+IF(COUNTIF(L$1237:L1496,1)=1,5,0)+IF(COUNTIF(M894:$W894,"&gt;"&amp;0)&lt;5,IF(AND(COUNTIF(L$1237:L1496,1)&gt;7,MOD(1+IFERROR(MATCH($C894,总览!$D$46:$D$345,1)+1,1),7)=0),$C$3,0),0)</f>
        <v>800.233333333335</v>
      </c>
      <c r="M894" s="131" cm="1">
        <f ca="1" t="array" ref="M894">IF(M1496=1,OFFSET($W$634,$B894,M$631-1)/SUMPRODUCT(--($D$631:$V$631=M$631),--($D1496:$V1496=1)),0)+SUM(M893)+IF(COUNTIF(M$1237:M1496,1)=1,5,0)+IF(COUNTIF(N894:$W894,"&gt;"&amp;0)&lt;5,IF(AND(COUNTIF(M$1237:M1496,1)&gt;7,MOD(1+IFERROR(MATCH($C894,总览!$D$46:$D$345,1)+1,1),7)=0),$C$3,0),0)</f>
        <v>329.18125</v>
      </c>
      <c r="N894" s="131" cm="1">
        <f ca="1" t="array" ref="N894">IF(N1496=1,OFFSET($W$634,$B894,N$631-1)/SUMPRODUCT(--($D$631:$V$631=N$631),--($D1496:$V1496=1)),0)+SUM(N893)+IF(COUNTIF(N$1237:N1496,1)=1,5,0)+IF(COUNTIF(O894:$W894,"&gt;"&amp;0)&lt;5,IF(AND(COUNTIF(N$1237:N1496,1)&gt;7,MOD(1+IFERROR(MATCH($C894,总览!$D$46:$D$345,1)+1,1),7)=0),$C$3,0),0)</f>
        <v>330.43125</v>
      </c>
      <c r="O894" s="131" cm="1">
        <f ca="1" t="array" ref="O894">IF(O1496=1,OFFSET($W$634,$B894,O$631-1)/SUMPRODUCT(--($D$631:$V$631=O$631),--($D1496:$V1496=1)),0)+SUM(O893)+IF(COUNTIF(O$1237:O1496,1)=1,5,0)+IF(COUNTIF(P894:$W894,"&gt;"&amp;0)&lt;5,IF(AND(COUNTIF(O$1237:O1496,1)&gt;7,MOD(1+IFERROR(MATCH($C894,总览!$D$46:$D$345,1)+1,1),7)=0),$C$3,0),0)</f>
        <v>335.43125</v>
      </c>
      <c r="P894" s="131" cm="1">
        <f ca="1" t="array" ref="P894">IF(P1496=1,OFFSET($W$634,$B894,P$631-1)/SUMPRODUCT(--($D$631:$V$631=P$631),--($D1496:$V1496=1)),0)+SUM(P893)+IF(COUNTIF(P$1237:P1496,1)=1,5,0)+IF(COUNTIF(Q894:$W894,"&gt;"&amp;0)&lt;5,IF(AND(COUNTIF(P$1237:P1496,1)&gt;7,MOD(1+IFERROR(MATCH($C894,总览!$D$46:$D$345,1)+1,1),7)=0),$C$3,0),0)</f>
        <v>324.55</v>
      </c>
      <c r="Q894" s="131" cm="1">
        <f ca="1" t="array" ref="Q894">IF(Q1496=1,OFFSET($W$634,$B894,Q$631-1)/SUMPRODUCT(--($D$631:$V$631=Q$631),--($D1496:$V1496=1)),0)+SUM(Q893)+IF(COUNTIF(Q$1237:Q1496,1)=1,5,0)+IF(COUNTIF(R894:$W894,"&gt;"&amp;0)&lt;5,IF(AND(COUNTIF(Q$1237:Q1496,1)&gt;7,MOD(1+IFERROR(MATCH($C894,总览!$D$46:$D$345,1)+1,1),7)=0),$C$3,0),0)</f>
        <v>337.93125</v>
      </c>
      <c r="R894" s="131" cm="1">
        <f ca="1" t="array" ref="R894">IF(R1496=1,OFFSET($W$634,$B894,R$631-1)/SUMPRODUCT(--($D$631:$V$631=R$631),--($D1496:$V1496=1)),0)+SUM(R893)+IF(COUNTIF(R$1237:R1496,1)=1,5,0)+IF(COUNTIF(S894:$W894,"&gt;"&amp;0)&lt;5,IF(AND(COUNTIF(R$1237:R1496,1)&gt;7,MOD(1+IFERROR(MATCH($C894,总览!$D$46:$D$345,1)+1,1),7)=0),$C$3,0),0)</f>
        <v>329.55</v>
      </c>
      <c r="S894" s="131" cm="1">
        <f ca="1" t="array" ref="S894">IF(S1496=1,OFFSET($W$634,$B894,S$631-1)/SUMPRODUCT(--($D$631:$V$631=S$631),--($D1496:$V1496=1)),0)+SUM(S893)+IF(COUNTIF(S$1237:S1496,1)=1,5,0)+IF(COUNTIF(T894:$W894,"&gt;"&amp;0)&lt;5,IF(AND(COUNTIF(S$1237:S1496,1)&gt;7,MOD(1+IFERROR(MATCH($C894,总览!$D$46:$D$345,1)+1,1),7)=0),$C$3,0),0)</f>
        <v>422.050000000001</v>
      </c>
      <c r="T894" s="131" cm="1">
        <f ca="1" t="array" ref="T894">IF(T1496=1,OFFSET($W$634,$B894,T$631-1)/SUMPRODUCT(--($D$631:$V$631=T$631),--($D1496:$V1496=1)),0)+SUM(T893)+IF(COUNTIF(T$1237:T1496,1)=1,5,0)+IF(COUNTIF(U894:$W894,"&gt;"&amp;0)&lt;5,IF(AND(COUNTIF(T$1237:T1496,1)&gt;7,MOD(1+IFERROR(MATCH($C894,总览!$D$46:$D$345,1)+1,1),7)=0),$C$3,0),0)</f>
        <v>308.146220390852</v>
      </c>
      <c r="U894" s="131" cm="1">
        <f ca="1" t="array" ref="U894">IF(U1496=1,OFFSET($W$634,$B894,U$631-1)/SUMPRODUCT(--($D$631:$V$631=U$631),--($D1496:$V1496=1)),0)+SUM(U893)+IF(COUNTIF(U$1237:U1496,1)=1,5,0)+IF(COUNTIF(V894:$W894,"&gt;"&amp;0)&lt;5,IF(AND(COUNTIF(U$1237:U1496,1)&gt;7,MOD(1+IFERROR(MATCH($C894,总览!$D$46:$D$345,1)+1,1),7)=0),$C$3,0),0)</f>
        <v>313.667006746152</v>
      </c>
      <c r="V894" s="131" cm="1">
        <f ca="1" t="array" ref="V894">IF(V1496=1,OFFSET($W$634,$B894,V$631-1)/SUMPRODUCT(--($D$631:$V$631=V$631),--($D1496:$V1496=1)),0)+SUM(V893)+IF(COUNTIF(V$1237:V1496,1)=1,5,0)+IF(COUNTIF(W894:$W894,"&gt;"&amp;0)&lt;5,IF(AND(COUNTIF(V$1237:V1496,1)&gt;7,MOD(1+IFERROR(MATCH($C894,总览!$D$46:$D$345,1)+1,1),7)=0),$C$3,0),0)</f>
        <v>333.494006458585</v>
      </c>
      <c r="W894" s="135" cm="1">
        <f ca="1" t="array" ref="W894">SUMPRODUCT(TRANSPOSE($AA894:$AG894),OFFSET($L$9:$L$15,0,W$631-1))</f>
        <v>16.8502200646615</v>
      </c>
      <c r="X894" s="135" cm="1">
        <f ca="1" t="array" ref="X894">SUMPRODUCT(TRANSPOSE($AA894:$AG894),OFFSET($L$9:$L$15,0,X$631-1))</f>
        <v>20</v>
      </c>
      <c r="Y894" s="135" cm="1">
        <f ca="1" t="array" ref="Y894">SUMPRODUCT(TRANSPOSE($AA894:$AG894),OFFSET($L$9:$L$15,0,Y$631-1))</f>
        <v>10</v>
      </c>
      <c r="Z894" s="135" cm="1">
        <f ca="1" t="array" ref="Z894">SUMPRODUCT(TRANSPOSE($AA894:$AG894),OFFSET($L$9:$L$15,0,Z$631-1))</f>
        <v>3.14977993533847</v>
      </c>
      <c r="AA894" s="136">
        <f ca="1" t="shared" ref="AA894:AG894" si="767">AH894-AH893</f>
        <v>0</v>
      </c>
      <c r="AB894" s="136">
        <f ca="1" t="shared" si="767"/>
        <v>0</v>
      </c>
      <c r="AC894" s="136">
        <f ca="1" t="shared" si="767"/>
        <v>0</v>
      </c>
      <c r="AD894" s="136">
        <f ca="1" t="shared" si="767"/>
        <v>0</v>
      </c>
      <c r="AE894" s="136">
        <f ca="1" t="shared" si="767"/>
        <v>0</v>
      </c>
      <c r="AF894" s="136">
        <f ca="1" t="shared" si="767"/>
        <v>0</v>
      </c>
      <c r="AG894" s="136">
        <f ca="1" t="shared" si="767"/>
        <v>100</v>
      </c>
      <c r="AH894" s="136">
        <f ca="1" t="shared" si="761"/>
        <v>450</v>
      </c>
      <c r="AI894" s="136">
        <f ca="1" t="shared" ref="AI894:AN894" si="768">IF($C894&gt;OFFSET($Q$8,MATCH(AI$634,$AH$634:$AN$634,0),0),OFFSET($P$8,MATCH(AI$634,$AH$634:$AN$634,0),0),MAX(0,$C894-OFFSET($Q$8,RIGHT(AI$634,1)-1,0)))</f>
        <v>909</v>
      </c>
      <c r="AJ894" s="136">
        <f ca="1" t="shared" si="768"/>
        <v>1818</v>
      </c>
      <c r="AK894" s="136">
        <f ca="1" t="shared" si="768"/>
        <v>2727</v>
      </c>
      <c r="AL894" s="136">
        <f ca="1" t="shared" si="768"/>
        <v>3636</v>
      </c>
      <c r="AM894" s="136">
        <f ca="1" t="shared" si="768"/>
        <v>4545</v>
      </c>
      <c r="AN894" s="136">
        <f ca="1" t="shared" si="768"/>
        <v>11915</v>
      </c>
    </row>
    <row r="895" s="106" customFormat="1" ht="16.5" spans="2:40">
      <c r="B895" s="117">
        <v>261</v>
      </c>
      <c r="C895" s="130">
        <f t="shared" si="759"/>
        <v>26100</v>
      </c>
      <c r="D895" s="131" cm="1">
        <f ca="1" t="array" ref="D895">IF(D1497=1,OFFSET($W$634,$B895,D$631-1)/SUMPRODUCT(--($D$631:$V$631=D$631),--($D1497:$V1497=1)),0)+SUM(D894)+IF(COUNTIF(D$1237:D1497,1)=1,5,0)+IF(COUNTIF(E895:$W895,"&gt;"&amp;0)&lt;5,IF(AND(COUNTIF(D$1237:D1497,1)&gt;7,MOD(1+IFERROR(MATCH($C895,总览!$D$46:$D$345,1)+1,1),7)=0),$C$3,0),0)</f>
        <v>1793.67266215635</v>
      </c>
      <c r="E895" s="131" cm="1">
        <f ca="1" t="array" ref="E895">IF(E1497=1,OFFSET($W$634,$B895,E$631-1)/SUMPRODUCT(--($D$631:$V$631=E$631),--($D1497:$V1497=1)),0)+SUM(E894)+IF(COUNTIF(E$1237:E1497,1)=1,5,0)+IF(COUNTIF(F895:$W895,"&gt;"&amp;0)&lt;5,IF(AND(COUNTIF(E$1237:E1497,1)&gt;7,MOD(1+IFERROR(MATCH($C895,总览!$D$46:$D$345,1)+1,1),7)=0),$C$3,0),0)</f>
        <v>1793.67266215635</v>
      </c>
      <c r="F895" s="131" cm="1">
        <f ca="1" t="array" ref="F895">IF(F1497=1,OFFSET($W$634,$B895,F$631-1)/SUMPRODUCT(--($D$631:$V$631=F$631),--($D1497:$V1497=1)),0)+SUM(F894)+IF(COUNTIF(F$1237:F1497,1)=1,5,0)+IF(COUNTIF(G895:$W895,"&gt;"&amp;0)&lt;5,IF(AND(COUNTIF(F$1237:F1497,1)&gt;7,MOD(1+IFERROR(MATCH($C895,总览!$D$46:$D$345,1)+1,1),7)=0),$C$3,0),0)</f>
        <v>1793.67266215635</v>
      </c>
      <c r="G895" s="131" cm="1">
        <f ca="1" t="array" ref="G895">IF(G1497=1,OFFSET($W$634,$B895,G$631-1)/SUMPRODUCT(--($D$631:$V$631=G$631),--($D1497:$V1497=1)),0)+SUM(G894)+IF(COUNTIF(G$1237:G1497,1)=1,5,0)+IF(COUNTIF(H895:$W895,"&gt;"&amp;0)&lt;5,IF(AND(COUNTIF(G$1237:G1497,1)&gt;7,MOD(1+IFERROR(MATCH($C895,总览!$D$46:$D$345,1)+1,1),7)=0),$C$3,0),0)</f>
        <v>809.400000000002</v>
      </c>
      <c r="H895" s="131" cm="1">
        <f ca="1" t="array" ref="H895">IF(H1497=1,OFFSET($W$634,$B895,H$631-1)/SUMPRODUCT(--($D$631:$V$631=H$631),--($D1497:$V1497=1)),0)+SUM(H894)+IF(COUNTIF(H$1237:H1497,1)=1,5,0)+IF(COUNTIF(I895:$W895,"&gt;"&amp;0)&lt;5,IF(AND(COUNTIF(H$1237:H1497,1)&gt;7,MOD(1+IFERROR(MATCH($C895,总览!$D$46:$D$345,1)+1,1),7)=0),$C$3,0),0)</f>
        <v>809.400000000002</v>
      </c>
      <c r="I895" s="131" cm="1">
        <f ca="1" t="array" ref="I895">IF(I1497=1,OFFSET($W$634,$B895,I$631-1)/SUMPRODUCT(--($D$631:$V$631=I$631),--($D1497:$V1497=1)),0)+SUM(I894)+IF(COUNTIF(I$1237:I1497,1)=1,5,0)+IF(COUNTIF(J895:$W895,"&gt;"&amp;0)&lt;5,IF(AND(COUNTIF(I$1237:I1497,1)&gt;7,MOD(1+IFERROR(MATCH($C895,总览!$D$46:$D$345,1)+1,1),7)=0),$C$3,0),0)</f>
        <v>809.400000000002</v>
      </c>
      <c r="J895" s="131" cm="1">
        <f ca="1" t="array" ref="J895">IF(J1497=1,OFFSET($W$634,$B895,J$631-1)/SUMPRODUCT(--($D$631:$V$631=J$631),--($D1497:$V1497=1)),0)+SUM(J894)+IF(COUNTIF(J$1237:J1497,1)=1,5,0)+IF(COUNTIF(K895:$W895,"&gt;"&amp;0)&lt;5,IF(AND(COUNTIF(J$1237:J1497,1)&gt;7,MOD(1+IFERROR(MATCH($C895,总览!$D$46:$D$345,1)+1,1),7)=0),$C$3,0),0)</f>
        <v>806.066666666669</v>
      </c>
      <c r="K895" s="131" cm="1">
        <f ca="1" t="array" ref="K895">IF(K1497=1,OFFSET($W$634,$B895,K$631-1)/SUMPRODUCT(--($D$631:$V$631=K$631),--($D1497:$V1497=1)),0)+SUM(K894)+IF(COUNTIF(K$1237:K1497,1)=1,5,0)+IF(COUNTIF(L895:$W895,"&gt;"&amp;0)&lt;5,IF(AND(COUNTIF(K$1237:K1497,1)&gt;7,MOD(1+IFERROR(MATCH($C895,总览!$D$46:$D$345,1)+1,1),7)=0),$C$3,0),0)</f>
        <v>803.566666666669</v>
      </c>
      <c r="L895" s="131" cm="1">
        <f ca="1" t="array" ref="L895">IF(L1497=1,OFFSET($W$634,$B895,L$631-1)/SUMPRODUCT(--($D$631:$V$631=L$631),--($D1497:$V1497=1)),0)+SUM(L894)+IF(COUNTIF(L$1237:L1497,1)=1,5,0)+IF(COUNTIF(M895:$W895,"&gt;"&amp;0)&lt;5,IF(AND(COUNTIF(L$1237:L1497,1)&gt;7,MOD(1+IFERROR(MATCH($C895,总览!$D$46:$D$345,1)+1,1),7)=0),$C$3,0),0)</f>
        <v>803.566666666669</v>
      </c>
      <c r="M895" s="131" cm="1">
        <f ca="1" t="array" ref="M895">IF(M1497=1,OFFSET($W$634,$B895,M$631-1)/SUMPRODUCT(--($D$631:$V$631=M$631),--($D1497:$V1497=1)),0)+SUM(M894)+IF(COUNTIF(M$1237:M1497,1)=1,5,0)+IF(COUNTIF(N895:$W895,"&gt;"&amp;0)&lt;5,IF(AND(COUNTIF(M$1237:M1497,1)&gt;7,MOD(1+IFERROR(MATCH($C895,总览!$D$46:$D$345,1)+1,1),7)=0),$C$3,0),0)</f>
        <v>330.609821428571</v>
      </c>
      <c r="N895" s="131" cm="1">
        <f ca="1" t="array" ref="N895">IF(N1497=1,OFFSET($W$634,$B895,N$631-1)/SUMPRODUCT(--($D$631:$V$631=N$631),--($D1497:$V1497=1)),0)+SUM(N894)+IF(COUNTIF(N$1237:N1497,1)=1,5,0)+IF(COUNTIF(O895:$W895,"&gt;"&amp;0)&lt;5,IF(AND(COUNTIF(N$1237:N1497,1)&gt;7,MOD(1+IFERROR(MATCH($C895,总览!$D$46:$D$345,1)+1,1),7)=0),$C$3,0),0)</f>
        <v>331.859821428571</v>
      </c>
      <c r="O895" s="131" cm="1">
        <f ca="1" t="array" ref="O895">IF(O1497=1,OFFSET($W$634,$B895,O$631-1)/SUMPRODUCT(--($D$631:$V$631=O$631),--($D1497:$V1497=1)),0)+SUM(O894)+IF(COUNTIF(O$1237:O1497,1)=1,5,0)+IF(COUNTIF(P895:$W895,"&gt;"&amp;0)&lt;5,IF(AND(COUNTIF(O$1237:O1497,1)&gt;7,MOD(1+IFERROR(MATCH($C895,总览!$D$46:$D$345,1)+1,1),7)=0),$C$3,0),0)</f>
        <v>336.859821428571</v>
      </c>
      <c r="P895" s="131" cm="1">
        <f ca="1" t="array" ref="P895">IF(P1497=1,OFFSET($W$634,$B895,P$631-1)/SUMPRODUCT(--($D$631:$V$631=P$631),--($D1497:$V1497=1)),0)+SUM(P894)+IF(COUNTIF(P$1237:P1497,1)=1,5,0)+IF(COUNTIF(Q895:$W895,"&gt;"&amp;0)&lt;5,IF(AND(COUNTIF(P$1237:P1497,1)&gt;7,MOD(1+IFERROR(MATCH($C895,总览!$D$46:$D$345,1)+1,1),7)=0),$C$3,0),0)</f>
        <v>325.978571428571</v>
      </c>
      <c r="Q895" s="131" cm="1">
        <f ca="1" t="array" ref="Q895">IF(Q1497=1,OFFSET($W$634,$B895,Q$631-1)/SUMPRODUCT(--($D$631:$V$631=Q$631),--($D1497:$V1497=1)),0)+SUM(Q894)+IF(COUNTIF(Q$1237:Q1497,1)=1,5,0)+IF(COUNTIF(R895:$W895,"&gt;"&amp;0)&lt;5,IF(AND(COUNTIF(Q$1237:Q1497,1)&gt;7,MOD(1+IFERROR(MATCH($C895,总览!$D$46:$D$345,1)+1,1),7)=0),$C$3,0),0)</f>
        <v>339.359821428571</v>
      </c>
      <c r="R895" s="131" cm="1">
        <f ca="1" t="array" ref="R895">IF(R1497=1,OFFSET($W$634,$B895,R$631-1)/SUMPRODUCT(--($D$631:$V$631=R$631),--($D1497:$V1497=1)),0)+SUM(R894)+IF(COUNTIF(R$1237:R1497,1)=1,5,0)+IF(COUNTIF(S895:$W895,"&gt;"&amp;0)&lt;5,IF(AND(COUNTIF(R$1237:R1497,1)&gt;7,MOD(1+IFERROR(MATCH($C895,总览!$D$46:$D$345,1)+1,1),7)=0),$C$3,0),0)</f>
        <v>330.978571428571</v>
      </c>
      <c r="S895" s="131" cm="1">
        <f ca="1" t="array" ref="S895">IF(S1497=1,OFFSET($W$634,$B895,S$631-1)/SUMPRODUCT(--($D$631:$V$631=S$631),--($D1497:$V1497=1)),0)+SUM(S894)+IF(COUNTIF(S$1237:S1497,1)=1,5,0)+IF(COUNTIF(T895:$W895,"&gt;"&amp;0)&lt;5,IF(AND(COUNTIF(S$1237:S1497,1)&gt;7,MOD(1+IFERROR(MATCH($C895,总览!$D$46:$D$345,1)+1,1),7)=0),$C$3,0),0)</f>
        <v>423.478571428572</v>
      </c>
      <c r="T895" s="131" cm="1">
        <f ca="1" t="array" ref="T895">IF(T1497=1,OFFSET($W$634,$B895,T$631-1)/SUMPRODUCT(--($D$631:$V$631=T$631),--($D1497:$V1497=1)),0)+SUM(T894)+IF(COUNTIF(T$1237:T1497,1)=1,5,0)+IF(COUNTIF(U895:$W895,"&gt;"&amp;0)&lt;5,IF(AND(COUNTIF(T$1237:T1497,1)&gt;7,MOD(1+IFERROR(MATCH($C895,总览!$D$46:$D$345,1)+1,1),7)=0),$C$3,0),0)</f>
        <v>309.196147035965</v>
      </c>
      <c r="U895" s="131" cm="1">
        <f ca="1" t="array" ref="U895">IF(U1497=1,OFFSET($W$634,$B895,U$631-1)/SUMPRODUCT(--($D$631:$V$631=U$631),--($D1497:$V1497=1)),0)+SUM(U894)+IF(COUNTIF(U$1237:U1497,1)=1,5,0)+IF(COUNTIF(V895:$W895,"&gt;"&amp;0)&lt;5,IF(AND(COUNTIF(U$1237:U1497,1)&gt;7,MOD(1+IFERROR(MATCH($C895,总览!$D$46:$D$345,1)+1,1),7)=0),$C$3,0),0)</f>
        <v>314.716933391265</v>
      </c>
      <c r="V895" s="131" cm="1">
        <f ca="1" t="array" ref="V895">IF(V1497=1,OFFSET($W$634,$B895,V$631-1)/SUMPRODUCT(--($D$631:$V$631=V$631),--($D1497:$V1497=1)),0)+SUM(V894)+IF(COUNTIF(V$1237:V1497,1)=1,5,0)+IF(COUNTIF(W895:$W895,"&gt;"&amp;0)&lt;5,IF(AND(COUNTIF(V$1237:V1497,1)&gt;7,MOD(1+IFERROR(MATCH($C895,总览!$D$46:$D$345,1)+1,1),7)=0),$C$3,0),0)</f>
        <v>334.543933103698</v>
      </c>
      <c r="W895" s="135" cm="1">
        <f ca="1" t="array" ref="W895">SUMPRODUCT(TRANSPOSE($AA895:$AG895),OFFSET($L$9:$L$15,0,W$631-1))</f>
        <v>16.8502200646615</v>
      </c>
      <c r="X895" s="135" cm="1">
        <f ca="1" t="array" ref="X895">SUMPRODUCT(TRANSPOSE($AA895:$AG895),OFFSET($L$9:$L$15,0,X$631-1))</f>
        <v>20</v>
      </c>
      <c r="Y895" s="135" cm="1">
        <f ca="1" t="array" ref="Y895">SUMPRODUCT(TRANSPOSE($AA895:$AG895),OFFSET($L$9:$L$15,0,Y$631-1))</f>
        <v>10</v>
      </c>
      <c r="Z895" s="135" cm="1">
        <f ca="1" t="array" ref="Z895">SUMPRODUCT(TRANSPOSE($AA895:$AG895),OFFSET($L$9:$L$15,0,Z$631-1))</f>
        <v>3.14977993533847</v>
      </c>
      <c r="AA895" s="136">
        <f ca="1" t="shared" ref="AA895:AG895" si="769">AH895-AH894</f>
        <v>0</v>
      </c>
      <c r="AB895" s="136">
        <f ca="1" t="shared" si="769"/>
        <v>0</v>
      </c>
      <c r="AC895" s="136">
        <f ca="1" t="shared" si="769"/>
        <v>0</v>
      </c>
      <c r="AD895" s="136">
        <f ca="1" t="shared" si="769"/>
        <v>0</v>
      </c>
      <c r="AE895" s="136">
        <f ca="1" t="shared" si="769"/>
        <v>0</v>
      </c>
      <c r="AF895" s="136">
        <f ca="1" t="shared" si="769"/>
        <v>0</v>
      </c>
      <c r="AG895" s="136">
        <f ca="1" t="shared" si="769"/>
        <v>100</v>
      </c>
      <c r="AH895" s="136">
        <f ca="1" t="shared" si="761"/>
        <v>450</v>
      </c>
      <c r="AI895" s="136">
        <f ca="1" t="shared" ref="AI895:AN895" si="770">IF($C895&gt;OFFSET($Q$8,MATCH(AI$634,$AH$634:$AN$634,0),0),OFFSET($P$8,MATCH(AI$634,$AH$634:$AN$634,0),0),MAX(0,$C895-OFFSET($Q$8,RIGHT(AI$634,1)-1,0)))</f>
        <v>909</v>
      </c>
      <c r="AJ895" s="136">
        <f ca="1" t="shared" si="770"/>
        <v>1818</v>
      </c>
      <c r="AK895" s="136">
        <f ca="1" t="shared" si="770"/>
        <v>2727</v>
      </c>
      <c r="AL895" s="136">
        <f ca="1" t="shared" si="770"/>
        <v>3636</v>
      </c>
      <c r="AM895" s="136">
        <f ca="1" t="shared" si="770"/>
        <v>4545</v>
      </c>
      <c r="AN895" s="136">
        <f ca="1" t="shared" si="770"/>
        <v>12015</v>
      </c>
    </row>
    <row r="896" s="106" customFormat="1" ht="16.5" spans="2:40">
      <c r="B896" s="117">
        <v>262</v>
      </c>
      <c r="C896" s="130">
        <f t="shared" si="759"/>
        <v>26200</v>
      </c>
      <c r="D896" s="131" cm="1">
        <f ca="1" t="array" ref="D896">IF(D1498=1,OFFSET($W$634,$B896,D$631-1)/SUMPRODUCT(--($D$631:$V$631=D$631),--($D1498:$V1498=1)),0)+SUM(D895)+IF(COUNTIF(D$1237:D1498,1)=1,5,0)+IF(COUNTIF(E896:$W896,"&gt;"&amp;0)&lt;5,IF(AND(COUNTIF(D$1237:D1498,1)&gt;7,MOD(1+IFERROR(MATCH($C896,总览!$D$46:$D$345,1)+1,1),7)=0),$C$3,0),0)</f>
        <v>1799.28940217791</v>
      </c>
      <c r="E896" s="131" cm="1">
        <f ca="1" t="array" ref="E896">IF(E1498=1,OFFSET($W$634,$B896,E$631-1)/SUMPRODUCT(--($D$631:$V$631=E$631),--($D1498:$V1498=1)),0)+SUM(E895)+IF(COUNTIF(E$1237:E1498,1)=1,5,0)+IF(COUNTIF(F896:$W896,"&gt;"&amp;0)&lt;5,IF(AND(COUNTIF(E$1237:E1498,1)&gt;7,MOD(1+IFERROR(MATCH($C896,总览!$D$46:$D$345,1)+1,1),7)=0),$C$3,0),0)</f>
        <v>1799.28940217791</v>
      </c>
      <c r="F896" s="131" cm="1">
        <f ca="1" t="array" ref="F896">IF(F1498=1,OFFSET($W$634,$B896,F$631-1)/SUMPRODUCT(--($D$631:$V$631=F$631),--($D1498:$V1498=1)),0)+SUM(F895)+IF(COUNTIF(F$1237:F1498,1)=1,5,0)+IF(COUNTIF(G896:$W896,"&gt;"&amp;0)&lt;5,IF(AND(COUNTIF(F$1237:F1498,1)&gt;7,MOD(1+IFERROR(MATCH($C896,总览!$D$46:$D$345,1)+1,1),7)=0),$C$3,0),0)</f>
        <v>1799.28940217791</v>
      </c>
      <c r="G896" s="131" cm="1">
        <f ca="1" t="array" ref="G896">IF(G1498=1,OFFSET($W$634,$B896,G$631-1)/SUMPRODUCT(--($D$631:$V$631=G$631),--($D1498:$V1498=1)),0)+SUM(G895)+IF(COUNTIF(G$1237:G1498,1)=1,5,0)+IF(COUNTIF(H896:$W896,"&gt;"&amp;0)&lt;5,IF(AND(COUNTIF(G$1237:G1498,1)&gt;7,MOD(1+IFERROR(MATCH($C896,总览!$D$46:$D$345,1)+1,1),7)=0),$C$3,0),0)</f>
        <v>812.733333333335</v>
      </c>
      <c r="H896" s="131" cm="1">
        <f ca="1" t="array" ref="H896">IF(H1498=1,OFFSET($W$634,$B896,H$631-1)/SUMPRODUCT(--($D$631:$V$631=H$631),--($D1498:$V1498=1)),0)+SUM(H895)+IF(COUNTIF(H$1237:H1498,1)=1,5,0)+IF(COUNTIF(I896:$W896,"&gt;"&amp;0)&lt;5,IF(AND(COUNTIF(H$1237:H1498,1)&gt;7,MOD(1+IFERROR(MATCH($C896,总览!$D$46:$D$345,1)+1,1),7)=0),$C$3,0),0)</f>
        <v>812.733333333335</v>
      </c>
      <c r="I896" s="131" cm="1">
        <f ca="1" t="array" ref="I896">IF(I1498=1,OFFSET($W$634,$B896,I$631-1)/SUMPRODUCT(--($D$631:$V$631=I$631),--($D1498:$V1498=1)),0)+SUM(I895)+IF(COUNTIF(I$1237:I1498,1)=1,5,0)+IF(COUNTIF(J896:$W896,"&gt;"&amp;0)&lt;5,IF(AND(COUNTIF(I$1237:I1498,1)&gt;7,MOD(1+IFERROR(MATCH($C896,总览!$D$46:$D$345,1)+1,1),7)=0),$C$3,0),0)</f>
        <v>812.733333333335</v>
      </c>
      <c r="J896" s="131" cm="1">
        <f ca="1" t="array" ref="J896">IF(J1498=1,OFFSET($W$634,$B896,J$631-1)/SUMPRODUCT(--($D$631:$V$631=J$631),--($D1498:$V1498=1)),0)+SUM(J895)+IF(COUNTIF(J$1237:J1498,1)=1,5,0)+IF(COUNTIF(K896:$W896,"&gt;"&amp;0)&lt;5,IF(AND(COUNTIF(J$1237:J1498,1)&gt;7,MOD(1+IFERROR(MATCH($C896,总览!$D$46:$D$345,1)+1,1),7)=0),$C$3,0),0)</f>
        <v>809.400000000002</v>
      </c>
      <c r="K896" s="131" cm="1">
        <f ca="1" t="array" ref="K896">IF(K1498=1,OFFSET($W$634,$B896,K$631-1)/SUMPRODUCT(--($D$631:$V$631=K$631),--($D1498:$V1498=1)),0)+SUM(K895)+IF(COUNTIF(K$1237:K1498,1)=1,5,0)+IF(COUNTIF(L896:$W896,"&gt;"&amp;0)&lt;5,IF(AND(COUNTIF(K$1237:K1498,1)&gt;7,MOD(1+IFERROR(MATCH($C896,总览!$D$46:$D$345,1)+1,1),7)=0),$C$3,0),0)</f>
        <v>806.900000000002</v>
      </c>
      <c r="L896" s="131" cm="1">
        <f ca="1" t="array" ref="L896">IF(L1498=1,OFFSET($W$634,$B896,L$631-1)/SUMPRODUCT(--($D$631:$V$631=L$631),--($D1498:$V1498=1)),0)+SUM(L895)+IF(COUNTIF(L$1237:L1498,1)=1,5,0)+IF(COUNTIF(M896:$W896,"&gt;"&amp;0)&lt;5,IF(AND(COUNTIF(L$1237:L1498,1)&gt;7,MOD(1+IFERROR(MATCH($C896,总览!$D$46:$D$345,1)+1,1),7)=0),$C$3,0),0)</f>
        <v>806.900000000002</v>
      </c>
      <c r="M896" s="131" cm="1">
        <f ca="1" t="array" ref="M896">IF(M1498=1,OFFSET($W$634,$B896,M$631-1)/SUMPRODUCT(--($D$631:$V$631=M$631),--($D1498:$V1498=1)),0)+SUM(M895)+IF(COUNTIF(M$1237:M1498,1)=1,5,0)+IF(COUNTIF(N896:$W896,"&gt;"&amp;0)&lt;5,IF(AND(COUNTIF(M$1237:M1498,1)&gt;7,MOD(1+IFERROR(MATCH($C896,总览!$D$46:$D$345,1)+1,1),7)=0),$C$3,0),0)</f>
        <v>332.038392857143</v>
      </c>
      <c r="N896" s="131" cm="1">
        <f ca="1" t="array" ref="N896">IF(N1498=1,OFFSET($W$634,$B896,N$631-1)/SUMPRODUCT(--($D$631:$V$631=N$631),--($D1498:$V1498=1)),0)+SUM(N895)+IF(COUNTIF(N$1237:N1498,1)=1,5,0)+IF(COUNTIF(O896:$W896,"&gt;"&amp;0)&lt;5,IF(AND(COUNTIF(N$1237:N1498,1)&gt;7,MOD(1+IFERROR(MATCH($C896,总览!$D$46:$D$345,1)+1,1),7)=0),$C$3,0),0)</f>
        <v>333.288392857143</v>
      </c>
      <c r="O896" s="131" cm="1">
        <f ca="1" t="array" ref="O896">IF(O1498=1,OFFSET($W$634,$B896,O$631-1)/SUMPRODUCT(--($D$631:$V$631=O$631),--($D1498:$V1498=1)),0)+SUM(O895)+IF(COUNTIF(O$1237:O1498,1)=1,5,0)+IF(COUNTIF(P896:$W896,"&gt;"&amp;0)&lt;5,IF(AND(COUNTIF(O$1237:O1498,1)&gt;7,MOD(1+IFERROR(MATCH($C896,总览!$D$46:$D$345,1)+1,1),7)=0),$C$3,0),0)</f>
        <v>338.288392857143</v>
      </c>
      <c r="P896" s="131" cm="1">
        <f ca="1" t="array" ref="P896">IF(P1498=1,OFFSET($W$634,$B896,P$631-1)/SUMPRODUCT(--($D$631:$V$631=P$631),--($D1498:$V1498=1)),0)+SUM(P895)+IF(COUNTIF(P$1237:P1498,1)=1,5,0)+IF(COUNTIF(Q896:$W896,"&gt;"&amp;0)&lt;5,IF(AND(COUNTIF(P$1237:P1498,1)&gt;7,MOD(1+IFERROR(MATCH($C896,总览!$D$46:$D$345,1)+1,1),7)=0),$C$3,0),0)</f>
        <v>327.407142857143</v>
      </c>
      <c r="Q896" s="131" cm="1">
        <f ca="1" t="array" ref="Q896">IF(Q1498=1,OFFSET($W$634,$B896,Q$631-1)/SUMPRODUCT(--($D$631:$V$631=Q$631),--($D1498:$V1498=1)),0)+SUM(Q895)+IF(COUNTIF(Q$1237:Q1498,1)=1,5,0)+IF(COUNTIF(R896:$W896,"&gt;"&amp;0)&lt;5,IF(AND(COUNTIF(Q$1237:Q1498,1)&gt;7,MOD(1+IFERROR(MATCH($C896,总览!$D$46:$D$345,1)+1,1),7)=0),$C$3,0),0)</f>
        <v>340.788392857143</v>
      </c>
      <c r="R896" s="131" cm="1">
        <f ca="1" t="array" ref="R896">IF(R1498=1,OFFSET($W$634,$B896,R$631-1)/SUMPRODUCT(--($D$631:$V$631=R$631),--($D1498:$V1498=1)),0)+SUM(R895)+IF(COUNTIF(R$1237:R1498,1)=1,5,0)+IF(COUNTIF(S896:$W896,"&gt;"&amp;0)&lt;5,IF(AND(COUNTIF(R$1237:R1498,1)&gt;7,MOD(1+IFERROR(MATCH($C896,总览!$D$46:$D$345,1)+1,1),7)=0),$C$3,0),0)</f>
        <v>332.407142857143</v>
      </c>
      <c r="S896" s="131" cm="1">
        <f ca="1" t="array" ref="S896">IF(S1498=1,OFFSET($W$634,$B896,S$631-1)/SUMPRODUCT(--($D$631:$V$631=S$631),--($D1498:$V1498=1)),0)+SUM(S895)+IF(COUNTIF(S$1237:S1498,1)=1,5,0)+IF(COUNTIF(T896:$W896,"&gt;"&amp;0)&lt;5,IF(AND(COUNTIF(S$1237:S1498,1)&gt;7,MOD(1+IFERROR(MATCH($C896,总览!$D$46:$D$345,1)+1,1),7)=0),$C$3,0),0)</f>
        <v>424.907142857144</v>
      </c>
      <c r="T896" s="131" cm="1">
        <f ca="1" t="array" ref="T896">IF(T1498=1,OFFSET($W$634,$B896,T$631-1)/SUMPRODUCT(--($D$631:$V$631=T$631),--($D1498:$V1498=1)),0)+SUM(T895)+IF(COUNTIF(T$1237:T1498,1)=1,5,0)+IF(COUNTIF(U896:$W896,"&gt;"&amp;0)&lt;5,IF(AND(COUNTIF(T$1237:T1498,1)&gt;7,MOD(1+IFERROR(MATCH($C896,总览!$D$46:$D$345,1)+1,1),7)=0),$C$3,0),0)</f>
        <v>310.246073681078</v>
      </c>
      <c r="U896" s="131" cm="1">
        <f ca="1" t="array" ref="U896">IF(U1498=1,OFFSET($W$634,$B896,U$631-1)/SUMPRODUCT(--($D$631:$V$631=U$631),--($D1498:$V1498=1)),0)+SUM(U895)+IF(COUNTIF(U$1237:U1498,1)=1,5,0)+IF(COUNTIF(V896:$W896,"&gt;"&amp;0)&lt;5,IF(AND(COUNTIF(U$1237:U1498,1)&gt;7,MOD(1+IFERROR(MATCH($C896,总览!$D$46:$D$345,1)+1,1),7)=0),$C$3,0),0)</f>
        <v>315.766860036377</v>
      </c>
      <c r="V896" s="131" cm="1">
        <f ca="1" t="array" ref="V896">IF(V1498=1,OFFSET($W$634,$B896,V$631-1)/SUMPRODUCT(--($D$631:$V$631=V$631),--($D1498:$V1498=1)),0)+SUM(V895)+IF(COUNTIF(V$1237:V1498,1)=1,5,0)+IF(COUNTIF(W896:$W896,"&gt;"&amp;0)&lt;5,IF(AND(COUNTIF(V$1237:V1498,1)&gt;7,MOD(1+IFERROR(MATCH($C896,总览!$D$46:$D$345,1)+1,1),7)=0),$C$3,0),0)</f>
        <v>335.59385974881</v>
      </c>
      <c r="W896" s="135" cm="1">
        <f ca="1" t="array" ref="W896">SUMPRODUCT(TRANSPOSE($AA896:$AG896),OFFSET($L$9:$L$15,0,W$631-1))</f>
        <v>16.8502200646615</v>
      </c>
      <c r="X896" s="135" cm="1">
        <f ca="1" t="array" ref="X896">SUMPRODUCT(TRANSPOSE($AA896:$AG896),OFFSET($L$9:$L$15,0,X$631-1))</f>
        <v>20</v>
      </c>
      <c r="Y896" s="135" cm="1">
        <f ca="1" t="array" ref="Y896">SUMPRODUCT(TRANSPOSE($AA896:$AG896),OFFSET($L$9:$L$15,0,Y$631-1))</f>
        <v>10</v>
      </c>
      <c r="Z896" s="135" cm="1">
        <f ca="1" t="array" ref="Z896">SUMPRODUCT(TRANSPOSE($AA896:$AG896),OFFSET($L$9:$L$15,0,Z$631-1))</f>
        <v>3.14977993533847</v>
      </c>
      <c r="AA896" s="136">
        <f ca="1" t="shared" ref="AA896:AG896" si="771">AH896-AH895</f>
        <v>0</v>
      </c>
      <c r="AB896" s="136">
        <f ca="1" t="shared" si="771"/>
        <v>0</v>
      </c>
      <c r="AC896" s="136">
        <f ca="1" t="shared" si="771"/>
        <v>0</v>
      </c>
      <c r="AD896" s="136">
        <f ca="1" t="shared" si="771"/>
        <v>0</v>
      </c>
      <c r="AE896" s="136">
        <f ca="1" t="shared" si="771"/>
        <v>0</v>
      </c>
      <c r="AF896" s="136">
        <f ca="1" t="shared" si="771"/>
        <v>0</v>
      </c>
      <c r="AG896" s="136">
        <f ca="1" t="shared" si="771"/>
        <v>100</v>
      </c>
      <c r="AH896" s="136">
        <f ca="1" t="shared" si="761"/>
        <v>450</v>
      </c>
      <c r="AI896" s="136">
        <f ca="1" t="shared" ref="AI896:AN896" si="772">IF($C896&gt;OFFSET($Q$8,MATCH(AI$634,$AH$634:$AN$634,0),0),OFFSET($P$8,MATCH(AI$634,$AH$634:$AN$634,0),0),MAX(0,$C896-OFFSET($Q$8,RIGHT(AI$634,1)-1,0)))</f>
        <v>909</v>
      </c>
      <c r="AJ896" s="136">
        <f ca="1" t="shared" si="772"/>
        <v>1818</v>
      </c>
      <c r="AK896" s="136">
        <f ca="1" t="shared" si="772"/>
        <v>2727</v>
      </c>
      <c r="AL896" s="136">
        <f ca="1" t="shared" si="772"/>
        <v>3636</v>
      </c>
      <c r="AM896" s="136">
        <f ca="1" t="shared" si="772"/>
        <v>4545</v>
      </c>
      <c r="AN896" s="136">
        <f ca="1" t="shared" si="772"/>
        <v>12115</v>
      </c>
    </row>
    <row r="897" s="106" customFormat="1" ht="16.5" spans="2:40">
      <c r="B897" s="117">
        <v>263</v>
      </c>
      <c r="C897" s="130">
        <f t="shared" si="759"/>
        <v>26300</v>
      </c>
      <c r="D897" s="131" cm="1">
        <f ca="1" t="array" ref="D897">IF(D1499=1,OFFSET($W$634,$B897,D$631-1)/SUMPRODUCT(--($D$631:$V$631=D$631),--($D1499:$V1499=1)),0)+SUM(D896)+IF(COUNTIF(D$1237:D1499,1)=1,5,0)+IF(COUNTIF(E897:$W897,"&gt;"&amp;0)&lt;5,IF(AND(COUNTIF(D$1237:D1499,1)&gt;7,MOD(1+IFERROR(MATCH($C897,总览!$D$46:$D$345,1)+1,1),7)=0),$C$3,0),0)</f>
        <v>1804.90614219946</v>
      </c>
      <c r="E897" s="131" cm="1">
        <f ca="1" t="array" ref="E897">IF(E1499=1,OFFSET($W$634,$B897,E$631-1)/SUMPRODUCT(--($D$631:$V$631=E$631),--($D1499:$V1499=1)),0)+SUM(E896)+IF(COUNTIF(E$1237:E1499,1)=1,5,0)+IF(COUNTIF(F897:$W897,"&gt;"&amp;0)&lt;5,IF(AND(COUNTIF(E$1237:E1499,1)&gt;7,MOD(1+IFERROR(MATCH($C897,总览!$D$46:$D$345,1)+1,1),7)=0),$C$3,0),0)</f>
        <v>1804.90614219946</v>
      </c>
      <c r="F897" s="131" cm="1">
        <f ca="1" t="array" ref="F897">IF(F1499=1,OFFSET($W$634,$B897,F$631-1)/SUMPRODUCT(--($D$631:$V$631=F$631),--($D1499:$V1499=1)),0)+SUM(F896)+IF(COUNTIF(F$1237:F1499,1)=1,5,0)+IF(COUNTIF(G897:$W897,"&gt;"&amp;0)&lt;5,IF(AND(COUNTIF(F$1237:F1499,1)&gt;7,MOD(1+IFERROR(MATCH($C897,总览!$D$46:$D$345,1)+1,1),7)=0),$C$3,0),0)</f>
        <v>1804.90614219946</v>
      </c>
      <c r="G897" s="131" cm="1">
        <f ca="1" t="array" ref="G897">IF(G1499=1,OFFSET($W$634,$B897,G$631-1)/SUMPRODUCT(--($D$631:$V$631=G$631),--($D1499:$V1499=1)),0)+SUM(G896)+IF(COUNTIF(G$1237:G1499,1)=1,5,0)+IF(COUNTIF(H897:$W897,"&gt;"&amp;0)&lt;5,IF(AND(COUNTIF(G$1237:G1499,1)&gt;7,MOD(1+IFERROR(MATCH($C897,总览!$D$46:$D$345,1)+1,1),7)=0),$C$3,0),0)</f>
        <v>816.066666666669</v>
      </c>
      <c r="H897" s="131" cm="1">
        <f ca="1" t="array" ref="H897">IF(H1499=1,OFFSET($W$634,$B897,H$631-1)/SUMPRODUCT(--($D$631:$V$631=H$631),--($D1499:$V1499=1)),0)+SUM(H896)+IF(COUNTIF(H$1237:H1499,1)=1,5,0)+IF(COUNTIF(I897:$W897,"&gt;"&amp;0)&lt;5,IF(AND(COUNTIF(H$1237:H1499,1)&gt;7,MOD(1+IFERROR(MATCH($C897,总览!$D$46:$D$345,1)+1,1),7)=0),$C$3,0),0)</f>
        <v>816.066666666669</v>
      </c>
      <c r="I897" s="131" cm="1">
        <f ca="1" t="array" ref="I897">IF(I1499=1,OFFSET($W$634,$B897,I$631-1)/SUMPRODUCT(--($D$631:$V$631=I$631),--($D1499:$V1499=1)),0)+SUM(I896)+IF(COUNTIF(I$1237:I1499,1)=1,5,0)+IF(COUNTIF(J897:$W897,"&gt;"&amp;0)&lt;5,IF(AND(COUNTIF(I$1237:I1499,1)&gt;7,MOD(1+IFERROR(MATCH($C897,总览!$D$46:$D$345,1)+1,1),7)=0),$C$3,0),0)</f>
        <v>816.066666666669</v>
      </c>
      <c r="J897" s="131" cm="1">
        <f ca="1" t="array" ref="J897">IF(J1499=1,OFFSET($W$634,$B897,J$631-1)/SUMPRODUCT(--($D$631:$V$631=J$631),--($D1499:$V1499=1)),0)+SUM(J896)+IF(COUNTIF(J$1237:J1499,1)=1,5,0)+IF(COUNTIF(K897:$W897,"&gt;"&amp;0)&lt;5,IF(AND(COUNTIF(J$1237:J1499,1)&gt;7,MOD(1+IFERROR(MATCH($C897,总览!$D$46:$D$345,1)+1,1),7)=0),$C$3,0),0)</f>
        <v>812.733333333335</v>
      </c>
      <c r="K897" s="131" cm="1">
        <f ca="1" t="array" ref="K897">IF(K1499=1,OFFSET($W$634,$B897,K$631-1)/SUMPRODUCT(--($D$631:$V$631=K$631),--($D1499:$V1499=1)),0)+SUM(K896)+IF(COUNTIF(K$1237:K1499,1)=1,5,0)+IF(COUNTIF(L897:$W897,"&gt;"&amp;0)&lt;5,IF(AND(COUNTIF(K$1237:K1499,1)&gt;7,MOD(1+IFERROR(MATCH($C897,总览!$D$46:$D$345,1)+1,1),7)=0),$C$3,0),0)</f>
        <v>810.233333333335</v>
      </c>
      <c r="L897" s="131" cm="1">
        <f ca="1" t="array" ref="L897">IF(L1499=1,OFFSET($W$634,$B897,L$631-1)/SUMPRODUCT(--($D$631:$V$631=L$631),--($D1499:$V1499=1)),0)+SUM(L896)+IF(COUNTIF(L$1237:L1499,1)=1,5,0)+IF(COUNTIF(M897:$W897,"&gt;"&amp;0)&lt;5,IF(AND(COUNTIF(L$1237:L1499,1)&gt;7,MOD(1+IFERROR(MATCH($C897,总览!$D$46:$D$345,1)+1,1),7)=0),$C$3,0),0)</f>
        <v>810.233333333335</v>
      </c>
      <c r="M897" s="131" cm="1">
        <f ca="1" t="array" ref="M897">IF(M1499=1,OFFSET($W$634,$B897,M$631-1)/SUMPRODUCT(--($D$631:$V$631=M$631),--($D1499:$V1499=1)),0)+SUM(M896)+IF(COUNTIF(M$1237:M1499,1)=1,5,0)+IF(COUNTIF(N897:$W897,"&gt;"&amp;0)&lt;5,IF(AND(COUNTIF(M$1237:M1499,1)&gt;7,MOD(1+IFERROR(MATCH($C897,总览!$D$46:$D$345,1)+1,1),7)=0),$C$3,0),0)</f>
        <v>333.466964285714</v>
      </c>
      <c r="N897" s="131" cm="1">
        <f ca="1" t="array" ref="N897">IF(N1499=1,OFFSET($W$634,$B897,N$631-1)/SUMPRODUCT(--($D$631:$V$631=N$631),--($D1499:$V1499=1)),0)+SUM(N896)+IF(COUNTIF(N$1237:N1499,1)=1,5,0)+IF(COUNTIF(O897:$W897,"&gt;"&amp;0)&lt;5,IF(AND(COUNTIF(N$1237:N1499,1)&gt;7,MOD(1+IFERROR(MATCH($C897,总览!$D$46:$D$345,1)+1,1),7)=0),$C$3,0),0)</f>
        <v>334.716964285714</v>
      </c>
      <c r="O897" s="131" cm="1">
        <f ca="1" t="array" ref="O897">IF(O1499=1,OFFSET($W$634,$B897,O$631-1)/SUMPRODUCT(--($D$631:$V$631=O$631),--($D1499:$V1499=1)),0)+SUM(O896)+IF(COUNTIF(O$1237:O1499,1)=1,5,0)+IF(COUNTIF(P897:$W897,"&gt;"&amp;0)&lt;5,IF(AND(COUNTIF(O$1237:O1499,1)&gt;7,MOD(1+IFERROR(MATCH($C897,总览!$D$46:$D$345,1)+1,1),7)=0),$C$3,0),0)</f>
        <v>339.716964285714</v>
      </c>
      <c r="P897" s="131" cm="1">
        <f ca="1" t="array" ref="P897">IF(P1499=1,OFFSET($W$634,$B897,P$631-1)/SUMPRODUCT(--($D$631:$V$631=P$631),--($D1499:$V1499=1)),0)+SUM(P896)+IF(COUNTIF(P$1237:P1499,1)=1,5,0)+IF(COUNTIF(Q897:$W897,"&gt;"&amp;0)&lt;5,IF(AND(COUNTIF(P$1237:P1499,1)&gt;7,MOD(1+IFERROR(MATCH($C897,总览!$D$46:$D$345,1)+1,1),7)=0),$C$3,0),0)</f>
        <v>328.835714285714</v>
      </c>
      <c r="Q897" s="131" cm="1">
        <f ca="1" t="array" ref="Q897">IF(Q1499=1,OFFSET($W$634,$B897,Q$631-1)/SUMPRODUCT(--($D$631:$V$631=Q$631),--($D1499:$V1499=1)),0)+SUM(Q896)+IF(COUNTIF(Q$1237:Q1499,1)=1,5,0)+IF(COUNTIF(R897:$W897,"&gt;"&amp;0)&lt;5,IF(AND(COUNTIF(Q$1237:Q1499,1)&gt;7,MOD(1+IFERROR(MATCH($C897,总览!$D$46:$D$345,1)+1,1),7)=0),$C$3,0),0)</f>
        <v>342.216964285714</v>
      </c>
      <c r="R897" s="131" cm="1">
        <f ca="1" t="array" ref="R897">IF(R1499=1,OFFSET($W$634,$B897,R$631-1)/SUMPRODUCT(--($D$631:$V$631=R$631),--($D1499:$V1499=1)),0)+SUM(R896)+IF(COUNTIF(R$1237:R1499,1)=1,5,0)+IF(COUNTIF(S897:$W897,"&gt;"&amp;0)&lt;5,IF(AND(COUNTIF(R$1237:R1499,1)&gt;7,MOD(1+IFERROR(MATCH($C897,总览!$D$46:$D$345,1)+1,1),7)=0),$C$3,0),0)</f>
        <v>333.835714285714</v>
      </c>
      <c r="S897" s="131" cm="1">
        <f ca="1" t="array" ref="S897">IF(S1499=1,OFFSET($W$634,$B897,S$631-1)/SUMPRODUCT(--($D$631:$V$631=S$631),--($D1499:$V1499=1)),0)+SUM(S896)+IF(COUNTIF(S$1237:S1499,1)=1,5,0)+IF(COUNTIF(T897:$W897,"&gt;"&amp;0)&lt;5,IF(AND(COUNTIF(S$1237:S1499,1)&gt;7,MOD(1+IFERROR(MATCH($C897,总览!$D$46:$D$345,1)+1,1),7)=0),$C$3,0),0)</f>
        <v>426.335714285715</v>
      </c>
      <c r="T897" s="131" cm="1">
        <f ca="1" t="array" ref="T897">IF(T1499=1,OFFSET($W$634,$B897,T$631-1)/SUMPRODUCT(--($D$631:$V$631=T$631),--($D1499:$V1499=1)),0)+SUM(T896)+IF(COUNTIF(T$1237:T1499,1)=1,5,0)+IF(COUNTIF(U897:$W897,"&gt;"&amp;0)&lt;5,IF(AND(COUNTIF(T$1237:T1499,1)&gt;7,MOD(1+IFERROR(MATCH($C897,总览!$D$46:$D$345,1)+1,1),7)=0),$C$3,0),0)</f>
        <v>311.296000326191</v>
      </c>
      <c r="U897" s="131" cm="1">
        <f ca="1" t="array" ref="U897">IF(U1499=1,OFFSET($W$634,$B897,U$631-1)/SUMPRODUCT(--($D$631:$V$631=U$631),--($D1499:$V1499=1)),0)+SUM(U896)+IF(COUNTIF(U$1237:U1499,1)=1,5,0)+IF(COUNTIF(V897:$W897,"&gt;"&amp;0)&lt;5,IF(AND(COUNTIF(U$1237:U1499,1)&gt;7,MOD(1+IFERROR(MATCH($C897,总览!$D$46:$D$345,1)+1,1),7)=0),$C$3,0),0)</f>
        <v>316.81678668149</v>
      </c>
      <c r="V897" s="131" cm="1">
        <f ca="1" t="array" ref="V897">IF(V1499=1,OFFSET($W$634,$B897,V$631-1)/SUMPRODUCT(--($D$631:$V$631=V$631),--($D1499:$V1499=1)),0)+SUM(V896)+IF(COUNTIF(V$1237:V1499,1)=1,5,0)+IF(COUNTIF(W897:$W897,"&gt;"&amp;0)&lt;5,IF(AND(COUNTIF(V$1237:V1499,1)&gt;7,MOD(1+IFERROR(MATCH($C897,总览!$D$46:$D$345,1)+1,1),7)=0),$C$3,0),0)</f>
        <v>336.643786393923</v>
      </c>
      <c r="W897" s="135" cm="1">
        <f ca="1" t="array" ref="W897">SUMPRODUCT(TRANSPOSE($AA897:$AG897),OFFSET($L$9:$L$15,0,W$631-1))</f>
        <v>16.8502200646615</v>
      </c>
      <c r="X897" s="135" cm="1">
        <f ca="1" t="array" ref="X897">SUMPRODUCT(TRANSPOSE($AA897:$AG897),OFFSET($L$9:$L$15,0,X$631-1))</f>
        <v>20</v>
      </c>
      <c r="Y897" s="135" cm="1">
        <f ca="1" t="array" ref="Y897">SUMPRODUCT(TRANSPOSE($AA897:$AG897),OFFSET($L$9:$L$15,0,Y$631-1))</f>
        <v>10</v>
      </c>
      <c r="Z897" s="135" cm="1">
        <f ca="1" t="array" ref="Z897">SUMPRODUCT(TRANSPOSE($AA897:$AG897),OFFSET($L$9:$L$15,0,Z$631-1))</f>
        <v>3.14977993533847</v>
      </c>
      <c r="AA897" s="136">
        <f ca="1" t="shared" ref="AA897:AG897" si="773">AH897-AH896</f>
        <v>0</v>
      </c>
      <c r="AB897" s="136">
        <f ca="1" t="shared" si="773"/>
        <v>0</v>
      </c>
      <c r="AC897" s="136">
        <f ca="1" t="shared" si="773"/>
        <v>0</v>
      </c>
      <c r="AD897" s="136">
        <f ca="1" t="shared" si="773"/>
        <v>0</v>
      </c>
      <c r="AE897" s="136">
        <f ca="1" t="shared" si="773"/>
        <v>0</v>
      </c>
      <c r="AF897" s="136">
        <f ca="1" t="shared" si="773"/>
        <v>0</v>
      </c>
      <c r="AG897" s="136">
        <f ca="1" t="shared" si="773"/>
        <v>100</v>
      </c>
      <c r="AH897" s="136">
        <f ca="1" t="shared" si="761"/>
        <v>450</v>
      </c>
      <c r="AI897" s="136">
        <f ca="1" t="shared" ref="AI897:AN897" si="774">IF($C897&gt;OFFSET($Q$8,MATCH(AI$634,$AH$634:$AN$634,0),0),OFFSET($P$8,MATCH(AI$634,$AH$634:$AN$634,0),0),MAX(0,$C897-OFFSET($Q$8,RIGHT(AI$634,1)-1,0)))</f>
        <v>909</v>
      </c>
      <c r="AJ897" s="136">
        <f ca="1" t="shared" si="774"/>
        <v>1818</v>
      </c>
      <c r="AK897" s="136">
        <f ca="1" t="shared" si="774"/>
        <v>2727</v>
      </c>
      <c r="AL897" s="136">
        <f ca="1" t="shared" si="774"/>
        <v>3636</v>
      </c>
      <c r="AM897" s="136">
        <f ca="1" t="shared" si="774"/>
        <v>4545</v>
      </c>
      <c r="AN897" s="136">
        <f ca="1" t="shared" si="774"/>
        <v>12215</v>
      </c>
    </row>
    <row r="898" s="106" customFormat="1" ht="16.5" spans="2:40">
      <c r="B898" s="117">
        <v>264</v>
      </c>
      <c r="C898" s="130">
        <f t="shared" si="759"/>
        <v>26400</v>
      </c>
      <c r="D898" s="131" cm="1">
        <f ca="1" t="array" ref="D898">IF(D1500=1,OFFSET($W$634,$B898,D$631-1)/SUMPRODUCT(--($D$631:$V$631=D$631),--($D1500:$V1500=1)),0)+SUM(D897)+IF(COUNTIF(D$1237:D1500,1)=1,5,0)+IF(COUNTIF(E898:$W898,"&gt;"&amp;0)&lt;5,IF(AND(COUNTIF(D$1237:D1500,1)&gt;7,MOD(1+IFERROR(MATCH($C898,总览!$D$46:$D$345,1)+1,1),7)=0),$C$3,0),0)</f>
        <v>1810.52288222102</v>
      </c>
      <c r="E898" s="131" cm="1">
        <f ca="1" t="array" ref="E898">IF(E1500=1,OFFSET($W$634,$B898,E$631-1)/SUMPRODUCT(--($D$631:$V$631=E$631),--($D1500:$V1500=1)),0)+SUM(E897)+IF(COUNTIF(E$1237:E1500,1)=1,5,0)+IF(COUNTIF(F898:$W898,"&gt;"&amp;0)&lt;5,IF(AND(COUNTIF(E$1237:E1500,1)&gt;7,MOD(1+IFERROR(MATCH($C898,总览!$D$46:$D$345,1)+1,1),7)=0),$C$3,0),0)</f>
        <v>1810.52288222102</v>
      </c>
      <c r="F898" s="131" cm="1">
        <f ca="1" t="array" ref="F898">IF(F1500=1,OFFSET($W$634,$B898,F$631-1)/SUMPRODUCT(--($D$631:$V$631=F$631),--($D1500:$V1500=1)),0)+SUM(F897)+IF(COUNTIF(F$1237:F1500,1)=1,5,0)+IF(COUNTIF(G898:$W898,"&gt;"&amp;0)&lt;5,IF(AND(COUNTIF(F$1237:F1500,1)&gt;7,MOD(1+IFERROR(MATCH($C898,总览!$D$46:$D$345,1)+1,1),7)=0),$C$3,0),0)</f>
        <v>1810.52288222102</v>
      </c>
      <c r="G898" s="131" cm="1">
        <f ca="1" t="array" ref="G898">IF(G1500=1,OFFSET($W$634,$B898,G$631-1)/SUMPRODUCT(--($D$631:$V$631=G$631),--($D1500:$V1500=1)),0)+SUM(G897)+IF(COUNTIF(G$1237:G1500,1)=1,5,0)+IF(COUNTIF(H898:$W898,"&gt;"&amp;0)&lt;5,IF(AND(COUNTIF(G$1237:G1500,1)&gt;7,MOD(1+IFERROR(MATCH($C898,总览!$D$46:$D$345,1)+1,1),7)=0),$C$3,0),0)</f>
        <v>819.400000000002</v>
      </c>
      <c r="H898" s="131" cm="1">
        <f ca="1" t="array" ref="H898">IF(H1500=1,OFFSET($W$634,$B898,H$631-1)/SUMPRODUCT(--($D$631:$V$631=H$631),--($D1500:$V1500=1)),0)+SUM(H897)+IF(COUNTIF(H$1237:H1500,1)=1,5,0)+IF(COUNTIF(I898:$W898,"&gt;"&amp;0)&lt;5,IF(AND(COUNTIF(H$1237:H1500,1)&gt;7,MOD(1+IFERROR(MATCH($C898,总览!$D$46:$D$345,1)+1,1),7)=0),$C$3,0),0)</f>
        <v>819.400000000002</v>
      </c>
      <c r="I898" s="131" cm="1">
        <f ca="1" t="array" ref="I898">IF(I1500=1,OFFSET($W$634,$B898,I$631-1)/SUMPRODUCT(--($D$631:$V$631=I$631),--($D1500:$V1500=1)),0)+SUM(I897)+IF(COUNTIF(I$1237:I1500,1)=1,5,0)+IF(COUNTIF(J898:$W898,"&gt;"&amp;0)&lt;5,IF(AND(COUNTIF(I$1237:I1500,1)&gt;7,MOD(1+IFERROR(MATCH($C898,总览!$D$46:$D$345,1)+1,1),7)=0),$C$3,0),0)</f>
        <v>819.400000000002</v>
      </c>
      <c r="J898" s="131" cm="1">
        <f ca="1" t="array" ref="J898">IF(J1500=1,OFFSET($W$634,$B898,J$631-1)/SUMPRODUCT(--($D$631:$V$631=J$631),--($D1500:$V1500=1)),0)+SUM(J897)+IF(COUNTIF(J$1237:J1500,1)=1,5,0)+IF(COUNTIF(K898:$W898,"&gt;"&amp;0)&lt;5,IF(AND(COUNTIF(J$1237:J1500,1)&gt;7,MOD(1+IFERROR(MATCH($C898,总览!$D$46:$D$345,1)+1,1),7)=0),$C$3,0),0)</f>
        <v>816.066666666669</v>
      </c>
      <c r="K898" s="131" cm="1">
        <f ca="1" t="array" ref="K898">IF(K1500=1,OFFSET($W$634,$B898,K$631-1)/SUMPRODUCT(--($D$631:$V$631=K$631),--($D1500:$V1500=1)),0)+SUM(K897)+IF(COUNTIF(K$1237:K1500,1)=1,5,0)+IF(COUNTIF(L898:$W898,"&gt;"&amp;0)&lt;5,IF(AND(COUNTIF(K$1237:K1500,1)&gt;7,MOD(1+IFERROR(MATCH($C898,总览!$D$46:$D$345,1)+1,1),7)=0),$C$3,0),0)</f>
        <v>813.566666666669</v>
      </c>
      <c r="L898" s="131" cm="1">
        <f ca="1" t="array" ref="L898">IF(L1500=1,OFFSET($W$634,$B898,L$631-1)/SUMPRODUCT(--($D$631:$V$631=L$631),--($D1500:$V1500=1)),0)+SUM(L897)+IF(COUNTIF(L$1237:L1500,1)=1,5,0)+IF(COUNTIF(M898:$W898,"&gt;"&amp;0)&lt;5,IF(AND(COUNTIF(L$1237:L1500,1)&gt;7,MOD(1+IFERROR(MATCH($C898,总览!$D$46:$D$345,1)+1,1),7)=0),$C$3,0),0)</f>
        <v>813.566666666669</v>
      </c>
      <c r="M898" s="131" cm="1">
        <f ca="1" t="array" ref="M898">IF(M1500=1,OFFSET($W$634,$B898,M$631-1)/SUMPRODUCT(--($D$631:$V$631=M$631),--($D1500:$V1500=1)),0)+SUM(M897)+IF(COUNTIF(M$1237:M1500,1)=1,5,0)+IF(COUNTIF(N898:$W898,"&gt;"&amp;0)&lt;5,IF(AND(COUNTIF(M$1237:M1500,1)&gt;7,MOD(1+IFERROR(MATCH($C898,总览!$D$46:$D$345,1)+1,1),7)=0),$C$3,0),0)</f>
        <v>334.895535714285</v>
      </c>
      <c r="N898" s="131" cm="1">
        <f ca="1" t="array" ref="N898">IF(N1500=1,OFFSET($W$634,$B898,N$631-1)/SUMPRODUCT(--($D$631:$V$631=N$631),--($D1500:$V1500=1)),0)+SUM(N897)+IF(COUNTIF(N$1237:N1500,1)=1,5,0)+IF(COUNTIF(O898:$W898,"&gt;"&amp;0)&lt;5,IF(AND(COUNTIF(N$1237:N1500,1)&gt;7,MOD(1+IFERROR(MATCH($C898,总览!$D$46:$D$345,1)+1,1),7)=0),$C$3,0),0)</f>
        <v>336.145535714285</v>
      </c>
      <c r="O898" s="131" cm="1">
        <f ca="1" t="array" ref="O898">IF(O1500=1,OFFSET($W$634,$B898,O$631-1)/SUMPRODUCT(--($D$631:$V$631=O$631),--($D1500:$V1500=1)),0)+SUM(O897)+IF(COUNTIF(O$1237:O1500,1)=1,5,0)+IF(COUNTIF(P898:$W898,"&gt;"&amp;0)&lt;5,IF(AND(COUNTIF(O$1237:O1500,1)&gt;7,MOD(1+IFERROR(MATCH($C898,总览!$D$46:$D$345,1)+1,1),7)=0),$C$3,0),0)</f>
        <v>341.145535714285</v>
      </c>
      <c r="P898" s="131" cm="1">
        <f ca="1" t="array" ref="P898">IF(P1500=1,OFFSET($W$634,$B898,P$631-1)/SUMPRODUCT(--($D$631:$V$631=P$631),--($D1500:$V1500=1)),0)+SUM(P897)+IF(COUNTIF(P$1237:P1500,1)=1,5,0)+IF(COUNTIF(Q898:$W898,"&gt;"&amp;0)&lt;5,IF(AND(COUNTIF(P$1237:P1500,1)&gt;7,MOD(1+IFERROR(MATCH($C898,总览!$D$46:$D$345,1)+1,1),7)=0),$C$3,0),0)</f>
        <v>330.264285714285</v>
      </c>
      <c r="Q898" s="131" cm="1">
        <f ca="1" t="array" ref="Q898">IF(Q1500=1,OFFSET($W$634,$B898,Q$631-1)/SUMPRODUCT(--($D$631:$V$631=Q$631),--($D1500:$V1500=1)),0)+SUM(Q897)+IF(COUNTIF(Q$1237:Q1500,1)=1,5,0)+IF(COUNTIF(R898:$W898,"&gt;"&amp;0)&lt;5,IF(AND(COUNTIF(Q$1237:Q1500,1)&gt;7,MOD(1+IFERROR(MATCH($C898,总览!$D$46:$D$345,1)+1,1),7)=0),$C$3,0),0)</f>
        <v>343.645535714285</v>
      </c>
      <c r="R898" s="131" cm="1">
        <f ca="1" t="array" ref="R898">IF(R1500=1,OFFSET($W$634,$B898,R$631-1)/SUMPRODUCT(--($D$631:$V$631=R$631),--($D1500:$V1500=1)),0)+SUM(R897)+IF(COUNTIF(R$1237:R1500,1)=1,5,0)+IF(COUNTIF(S898:$W898,"&gt;"&amp;0)&lt;5,IF(AND(COUNTIF(R$1237:R1500,1)&gt;7,MOD(1+IFERROR(MATCH($C898,总览!$D$46:$D$345,1)+1,1),7)=0),$C$3,0),0)</f>
        <v>335.264285714285</v>
      </c>
      <c r="S898" s="131" cm="1">
        <f ca="1" t="array" ref="S898">IF(S1500=1,OFFSET($W$634,$B898,S$631-1)/SUMPRODUCT(--($D$631:$V$631=S$631),--($D1500:$V1500=1)),0)+SUM(S897)+IF(COUNTIF(S$1237:S1500,1)=1,5,0)+IF(COUNTIF(T898:$W898,"&gt;"&amp;0)&lt;5,IF(AND(COUNTIF(S$1237:S1500,1)&gt;7,MOD(1+IFERROR(MATCH($C898,总览!$D$46:$D$345,1)+1,1),7)=0),$C$3,0),0)</f>
        <v>427.764285714287</v>
      </c>
      <c r="T898" s="131" cm="1">
        <f ca="1" t="array" ref="T898">IF(T1500=1,OFFSET($W$634,$B898,T$631-1)/SUMPRODUCT(--($D$631:$V$631=T$631),--($D1500:$V1500=1)),0)+SUM(T897)+IF(COUNTIF(T$1237:T1500,1)=1,5,0)+IF(COUNTIF(U898:$W898,"&gt;"&amp;0)&lt;5,IF(AND(COUNTIF(T$1237:T1500,1)&gt;7,MOD(1+IFERROR(MATCH($C898,总览!$D$46:$D$345,1)+1,1),7)=0),$C$3,0),0)</f>
        <v>312.345926971303</v>
      </c>
      <c r="U898" s="131" cm="1">
        <f ca="1" t="array" ref="U898">IF(U1500=1,OFFSET($W$634,$B898,U$631-1)/SUMPRODUCT(--($D$631:$V$631=U$631),--($D1500:$V1500=1)),0)+SUM(U897)+IF(COUNTIF(U$1237:U1500,1)=1,5,0)+IF(COUNTIF(V898:$W898,"&gt;"&amp;0)&lt;5,IF(AND(COUNTIF(U$1237:U1500,1)&gt;7,MOD(1+IFERROR(MATCH($C898,总览!$D$46:$D$345,1)+1,1),7)=0),$C$3,0),0)</f>
        <v>317.866713326603</v>
      </c>
      <c r="V898" s="131" cm="1">
        <f ca="1" t="array" ref="V898">IF(V1500=1,OFFSET($W$634,$B898,V$631-1)/SUMPRODUCT(--($D$631:$V$631=V$631),--($D1500:$V1500=1)),0)+SUM(V897)+IF(COUNTIF(V$1237:V1500,1)=1,5,0)+IF(COUNTIF(W898:$W898,"&gt;"&amp;0)&lt;5,IF(AND(COUNTIF(V$1237:V1500,1)&gt;7,MOD(1+IFERROR(MATCH($C898,总览!$D$46:$D$345,1)+1,1),7)=0),$C$3,0),0)</f>
        <v>337.693713039036</v>
      </c>
      <c r="W898" s="135" cm="1">
        <f ca="1" t="array" ref="W898">SUMPRODUCT(TRANSPOSE($AA898:$AG898),OFFSET($L$9:$L$15,0,W$631-1))</f>
        <v>16.8502200646615</v>
      </c>
      <c r="X898" s="135" cm="1">
        <f ca="1" t="array" ref="X898">SUMPRODUCT(TRANSPOSE($AA898:$AG898),OFFSET($L$9:$L$15,0,X$631-1))</f>
        <v>20</v>
      </c>
      <c r="Y898" s="135" cm="1">
        <f ca="1" t="array" ref="Y898">SUMPRODUCT(TRANSPOSE($AA898:$AG898),OFFSET($L$9:$L$15,0,Y$631-1))</f>
        <v>10</v>
      </c>
      <c r="Z898" s="135" cm="1">
        <f ca="1" t="array" ref="Z898">SUMPRODUCT(TRANSPOSE($AA898:$AG898),OFFSET($L$9:$L$15,0,Z$631-1))</f>
        <v>3.14977993533847</v>
      </c>
      <c r="AA898" s="136">
        <f ca="1" t="shared" ref="AA898:AG898" si="775">AH898-AH897</f>
        <v>0</v>
      </c>
      <c r="AB898" s="136">
        <f ca="1" t="shared" si="775"/>
        <v>0</v>
      </c>
      <c r="AC898" s="136">
        <f ca="1" t="shared" si="775"/>
        <v>0</v>
      </c>
      <c r="AD898" s="136">
        <f ca="1" t="shared" si="775"/>
        <v>0</v>
      </c>
      <c r="AE898" s="136">
        <f ca="1" t="shared" si="775"/>
        <v>0</v>
      </c>
      <c r="AF898" s="136">
        <f ca="1" t="shared" si="775"/>
        <v>0</v>
      </c>
      <c r="AG898" s="136">
        <f ca="1" t="shared" si="775"/>
        <v>100</v>
      </c>
      <c r="AH898" s="136">
        <f ca="1" t="shared" si="761"/>
        <v>450</v>
      </c>
      <c r="AI898" s="136">
        <f ca="1" t="shared" ref="AI898:AN898" si="776">IF($C898&gt;OFFSET($Q$8,MATCH(AI$634,$AH$634:$AN$634,0),0),OFFSET($P$8,MATCH(AI$634,$AH$634:$AN$634,0),0),MAX(0,$C898-OFFSET($Q$8,RIGHT(AI$634,1)-1,0)))</f>
        <v>909</v>
      </c>
      <c r="AJ898" s="136">
        <f ca="1" t="shared" si="776"/>
        <v>1818</v>
      </c>
      <c r="AK898" s="136">
        <f ca="1" t="shared" si="776"/>
        <v>2727</v>
      </c>
      <c r="AL898" s="136">
        <f ca="1" t="shared" si="776"/>
        <v>3636</v>
      </c>
      <c r="AM898" s="136">
        <f ca="1" t="shared" si="776"/>
        <v>4545</v>
      </c>
      <c r="AN898" s="136">
        <f ca="1" t="shared" si="776"/>
        <v>12315</v>
      </c>
    </row>
    <row r="899" s="106" customFormat="1" ht="16.5" spans="2:40">
      <c r="B899" s="117">
        <v>265</v>
      </c>
      <c r="C899" s="130">
        <f t="shared" si="759"/>
        <v>26500</v>
      </c>
      <c r="D899" s="131" cm="1">
        <f ca="1" t="array" ref="D899">IF(D1501=1,OFFSET($W$634,$B899,D$631-1)/SUMPRODUCT(--($D$631:$V$631=D$631),--($D1501:$V1501=1)),0)+SUM(D898)+IF(COUNTIF(D$1237:D1501,1)=1,5,0)+IF(COUNTIF(E899:$W899,"&gt;"&amp;0)&lt;5,IF(AND(COUNTIF(D$1237:D1501,1)&gt;7,MOD(1+IFERROR(MATCH($C899,总览!$D$46:$D$345,1)+1,1),7)=0),$C$3,0),0)</f>
        <v>1816.13962224257</v>
      </c>
      <c r="E899" s="131" cm="1">
        <f ca="1" t="array" ref="E899">IF(E1501=1,OFFSET($W$634,$B899,E$631-1)/SUMPRODUCT(--($D$631:$V$631=E$631),--($D1501:$V1501=1)),0)+SUM(E898)+IF(COUNTIF(E$1237:E1501,1)=1,5,0)+IF(COUNTIF(F899:$W899,"&gt;"&amp;0)&lt;5,IF(AND(COUNTIF(E$1237:E1501,1)&gt;7,MOD(1+IFERROR(MATCH($C899,总览!$D$46:$D$345,1)+1,1),7)=0),$C$3,0),0)</f>
        <v>1816.13962224257</v>
      </c>
      <c r="F899" s="131" cm="1">
        <f ca="1" t="array" ref="F899">IF(F1501=1,OFFSET($W$634,$B899,F$631-1)/SUMPRODUCT(--($D$631:$V$631=F$631),--($D1501:$V1501=1)),0)+SUM(F898)+IF(COUNTIF(F$1237:F1501,1)=1,5,0)+IF(COUNTIF(G899:$W899,"&gt;"&amp;0)&lt;5,IF(AND(COUNTIF(F$1237:F1501,1)&gt;7,MOD(1+IFERROR(MATCH($C899,总览!$D$46:$D$345,1)+1,1),7)=0),$C$3,0),0)</f>
        <v>1816.13962224257</v>
      </c>
      <c r="G899" s="131" cm="1">
        <f ca="1" t="array" ref="G899">IF(G1501=1,OFFSET($W$634,$B899,G$631-1)/SUMPRODUCT(--($D$631:$V$631=G$631),--($D1501:$V1501=1)),0)+SUM(G898)+IF(COUNTIF(G$1237:G1501,1)=1,5,0)+IF(COUNTIF(H899:$W899,"&gt;"&amp;0)&lt;5,IF(AND(COUNTIF(G$1237:G1501,1)&gt;7,MOD(1+IFERROR(MATCH($C899,总览!$D$46:$D$345,1)+1,1),7)=0),$C$3,0),0)</f>
        <v>822.733333333336</v>
      </c>
      <c r="H899" s="131" cm="1">
        <f ca="1" t="array" ref="H899">IF(H1501=1,OFFSET($W$634,$B899,H$631-1)/SUMPRODUCT(--($D$631:$V$631=H$631),--($D1501:$V1501=1)),0)+SUM(H898)+IF(COUNTIF(H$1237:H1501,1)=1,5,0)+IF(COUNTIF(I899:$W899,"&gt;"&amp;0)&lt;5,IF(AND(COUNTIF(H$1237:H1501,1)&gt;7,MOD(1+IFERROR(MATCH($C899,总览!$D$46:$D$345,1)+1,1),7)=0),$C$3,0),0)</f>
        <v>822.733333333336</v>
      </c>
      <c r="I899" s="131" cm="1">
        <f ca="1" t="array" ref="I899">IF(I1501=1,OFFSET($W$634,$B899,I$631-1)/SUMPRODUCT(--($D$631:$V$631=I$631),--($D1501:$V1501=1)),0)+SUM(I898)+IF(COUNTIF(I$1237:I1501,1)=1,5,0)+IF(COUNTIF(J899:$W899,"&gt;"&amp;0)&lt;5,IF(AND(COUNTIF(I$1237:I1501,1)&gt;7,MOD(1+IFERROR(MATCH($C899,总览!$D$46:$D$345,1)+1,1),7)=0),$C$3,0),0)</f>
        <v>822.733333333336</v>
      </c>
      <c r="J899" s="131" cm="1">
        <f ca="1" t="array" ref="J899">IF(J1501=1,OFFSET($W$634,$B899,J$631-1)/SUMPRODUCT(--($D$631:$V$631=J$631),--($D1501:$V1501=1)),0)+SUM(J898)+IF(COUNTIF(J$1237:J1501,1)=1,5,0)+IF(COUNTIF(K899:$W899,"&gt;"&amp;0)&lt;5,IF(AND(COUNTIF(J$1237:J1501,1)&gt;7,MOD(1+IFERROR(MATCH($C899,总览!$D$46:$D$345,1)+1,1),7)=0),$C$3,0),0)</f>
        <v>819.400000000002</v>
      </c>
      <c r="K899" s="131" cm="1">
        <f ca="1" t="array" ref="K899">IF(K1501=1,OFFSET($W$634,$B899,K$631-1)/SUMPRODUCT(--($D$631:$V$631=K$631),--($D1501:$V1501=1)),0)+SUM(K898)+IF(COUNTIF(K$1237:K1501,1)=1,5,0)+IF(COUNTIF(L899:$W899,"&gt;"&amp;0)&lt;5,IF(AND(COUNTIF(K$1237:K1501,1)&gt;7,MOD(1+IFERROR(MATCH($C899,总览!$D$46:$D$345,1)+1,1),7)=0),$C$3,0),0)</f>
        <v>816.900000000002</v>
      </c>
      <c r="L899" s="131" cm="1">
        <f ca="1" t="array" ref="L899">IF(L1501=1,OFFSET($W$634,$B899,L$631-1)/SUMPRODUCT(--($D$631:$V$631=L$631),--($D1501:$V1501=1)),0)+SUM(L898)+IF(COUNTIF(L$1237:L1501,1)=1,5,0)+IF(COUNTIF(M899:$W899,"&gt;"&amp;0)&lt;5,IF(AND(COUNTIF(L$1237:L1501,1)&gt;7,MOD(1+IFERROR(MATCH($C899,总览!$D$46:$D$345,1)+1,1),7)=0),$C$3,0),0)</f>
        <v>816.900000000002</v>
      </c>
      <c r="M899" s="131" cm="1">
        <f ca="1" t="array" ref="M899">IF(M1501=1,OFFSET($W$634,$B899,M$631-1)/SUMPRODUCT(--($D$631:$V$631=M$631),--($D1501:$V1501=1)),0)+SUM(M898)+IF(COUNTIF(M$1237:M1501,1)=1,5,0)+IF(COUNTIF(N899:$W899,"&gt;"&amp;0)&lt;5,IF(AND(COUNTIF(M$1237:M1501,1)&gt;7,MOD(1+IFERROR(MATCH($C899,总览!$D$46:$D$345,1)+1,1),7)=0),$C$3,0),0)</f>
        <v>336.324107142857</v>
      </c>
      <c r="N899" s="131" cm="1">
        <f ca="1" t="array" ref="N899">IF(N1501=1,OFFSET($W$634,$B899,N$631-1)/SUMPRODUCT(--($D$631:$V$631=N$631),--($D1501:$V1501=1)),0)+SUM(N898)+IF(COUNTIF(N$1237:N1501,1)=1,5,0)+IF(COUNTIF(O899:$W899,"&gt;"&amp;0)&lt;5,IF(AND(COUNTIF(N$1237:N1501,1)&gt;7,MOD(1+IFERROR(MATCH($C899,总览!$D$46:$D$345,1)+1,1),7)=0),$C$3,0),0)</f>
        <v>337.574107142857</v>
      </c>
      <c r="O899" s="131" cm="1">
        <f ca="1" t="array" ref="O899">IF(O1501=1,OFFSET($W$634,$B899,O$631-1)/SUMPRODUCT(--($D$631:$V$631=O$631),--($D1501:$V1501=1)),0)+SUM(O898)+IF(COUNTIF(O$1237:O1501,1)=1,5,0)+IF(COUNTIF(P899:$W899,"&gt;"&amp;0)&lt;5,IF(AND(COUNTIF(O$1237:O1501,1)&gt;7,MOD(1+IFERROR(MATCH($C899,总览!$D$46:$D$345,1)+1,1),7)=0),$C$3,0),0)</f>
        <v>342.574107142857</v>
      </c>
      <c r="P899" s="131" cm="1">
        <f ca="1" t="array" ref="P899">IF(P1501=1,OFFSET($W$634,$B899,P$631-1)/SUMPRODUCT(--($D$631:$V$631=P$631),--($D1501:$V1501=1)),0)+SUM(P898)+IF(COUNTIF(P$1237:P1501,1)=1,5,0)+IF(COUNTIF(Q899:$W899,"&gt;"&amp;0)&lt;5,IF(AND(COUNTIF(P$1237:P1501,1)&gt;7,MOD(1+IFERROR(MATCH($C899,总览!$D$46:$D$345,1)+1,1),7)=0),$C$3,0),0)</f>
        <v>331.692857142857</v>
      </c>
      <c r="Q899" s="131" cm="1">
        <f ca="1" t="array" ref="Q899">IF(Q1501=1,OFFSET($W$634,$B899,Q$631-1)/SUMPRODUCT(--($D$631:$V$631=Q$631),--($D1501:$V1501=1)),0)+SUM(Q898)+IF(COUNTIF(Q$1237:Q1501,1)=1,5,0)+IF(COUNTIF(R899:$W899,"&gt;"&amp;0)&lt;5,IF(AND(COUNTIF(Q$1237:Q1501,1)&gt;7,MOD(1+IFERROR(MATCH($C899,总览!$D$46:$D$345,1)+1,1),7)=0),$C$3,0),0)</f>
        <v>345.074107142857</v>
      </c>
      <c r="R899" s="131" cm="1">
        <f ca="1" t="array" ref="R899">IF(R1501=1,OFFSET($W$634,$B899,R$631-1)/SUMPRODUCT(--($D$631:$V$631=R$631),--($D1501:$V1501=1)),0)+SUM(R898)+IF(COUNTIF(R$1237:R1501,1)=1,5,0)+IF(COUNTIF(S899:$W899,"&gt;"&amp;0)&lt;5,IF(AND(COUNTIF(R$1237:R1501,1)&gt;7,MOD(1+IFERROR(MATCH($C899,总览!$D$46:$D$345,1)+1,1),7)=0),$C$3,0),0)</f>
        <v>336.692857142857</v>
      </c>
      <c r="S899" s="131" cm="1">
        <f ca="1" t="array" ref="S899">IF(S1501=1,OFFSET($W$634,$B899,S$631-1)/SUMPRODUCT(--($D$631:$V$631=S$631),--($D1501:$V1501=1)),0)+SUM(S898)+IF(COUNTIF(S$1237:S1501,1)=1,5,0)+IF(COUNTIF(T899:$W899,"&gt;"&amp;0)&lt;5,IF(AND(COUNTIF(S$1237:S1501,1)&gt;7,MOD(1+IFERROR(MATCH($C899,总览!$D$46:$D$345,1)+1,1),7)=0),$C$3,0),0)</f>
        <v>429.192857142858</v>
      </c>
      <c r="T899" s="131" cm="1">
        <f ca="1" t="array" ref="T899">IF(T1501=1,OFFSET($W$634,$B899,T$631-1)/SUMPRODUCT(--($D$631:$V$631=T$631),--($D1501:$V1501=1)),0)+SUM(T898)+IF(COUNTIF(T$1237:T1501,1)=1,5,0)+IF(COUNTIF(U899:$W899,"&gt;"&amp;0)&lt;5,IF(AND(COUNTIF(T$1237:T1501,1)&gt;7,MOD(1+IFERROR(MATCH($C899,总览!$D$46:$D$345,1)+1,1),7)=0),$C$3,0),0)</f>
        <v>313.395853616416</v>
      </c>
      <c r="U899" s="131" cm="1">
        <f ca="1" t="array" ref="U899">IF(U1501=1,OFFSET($W$634,$B899,U$631-1)/SUMPRODUCT(--($D$631:$V$631=U$631),--($D1501:$V1501=1)),0)+SUM(U898)+IF(COUNTIF(U$1237:U1501,1)=1,5,0)+IF(COUNTIF(V899:$W899,"&gt;"&amp;0)&lt;5,IF(AND(COUNTIF(U$1237:U1501,1)&gt;7,MOD(1+IFERROR(MATCH($C899,总览!$D$46:$D$345,1)+1,1),7)=0),$C$3,0),0)</f>
        <v>318.916639971716</v>
      </c>
      <c r="V899" s="131" cm="1">
        <f ca="1" t="array" ref="V899">IF(V1501=1,OFFSET($W$634,$B899,V$631-1)/SUMPRODUCT(--($D$631:$V$631=V$631),--($D1501:$V1501=1)),0)+SUM(V898)+IF(COUNTIF(V$1237:V1501,1)=1,5,0)+IF(COUNTIF(W899:$W899,"&gt;"&amp;0)&lt;5,IF(AND(COUNTIF(V$1237:V1501,1)&gt;7,MOD(1+IFERROR(MATCH($C899,总览!$D$46:$D$345,1)+1,1),7)=0),$C$3,0),0)</f>
        <v>338.743639684149</v>
      </c>
      <c r="W899" s="135" cm="1">
        <f ca="1" t="array" ref="W899">SUMPRODUCT(TRANSPOSE($AA899:$AG899),OFFSET($L$9:$L$15,0,W$631-1))</f>
        <v>16.8502200646615</v>
      </c>
      <c r="X899" s="135" cm="1">
        <f ca="1" t="array" ref="X899">SUMPRODUCT(TRANSPOSE($AA899:$AG899),OFFSET($L$9:$L$15,0,X$631-1))</f>
        <v>20</v>
      </c>
      <c r="Y899" s="135" cm="1">
        <f ca="1" t="array" ref="Y899">SUMPRODUCT(TRANSPOSE($AA899:$AG899),OFFSET($L$9:$L$15,0,Y$631-1))</f>
        <v>10</v>
      </c>
      <c r="Z899" s="135" cm="1">
        <f ca="1" t="array" ref="Z899">SUMPRODUCT(TRANSPOSE($AA899:$AG899),OFFSET($L$9:$L$15,0,Z$631-1))</f>
        <v>3.14977993533847</v>
      </c>
      <c r="AA899" s="136">
        <f ca="1" t="shared" ref="AA899:AG899" si="777">AH899-AH898</f>
        <v>0</v>
      </c>
      <c r="AB899" s="136">
        <f ca="1" t="shared" si="777"/>
        <v>0</v>
      </c>
      <c r="AC899" s="136">
        <f ca="1" t="shared" si="777"/>
        <v>0</v>
      </c>
      <c r="AD899" s="136">
        <f ca="1" t="shared" si="777"/>
        <v>0</v>
      </c>
      <c r="AE899" s="136">
        <f ca="1" t="shared" si="777"/>
        <v>0</v>
      </c>
      <c r="AF899" s="136">
        <f ca="1" t="shared" si="777"/>
        <v>0</v>
      </c>
      <c r="AG899" s="136">
        <f ca="1" t="shared" si="777"/>
        <v>100</v>
      </c>
      <c r="AH899" s="136">
        <f ca="1" t="shared" si="761"/>
        <v>450</v>
      </c>
      <c r="AI899" s="136">
        <f ca="1" t="shared" ref="AI899:AN899" si="778">IF($C899&gt;OFFSET($Q$8,MATCH(AI$634,$AH$634:$AN$634,0),0),OFFSET($P$8,MATCH(AI$634,$AH$634:$AN$634,0),0),MAX(0,$C899-OFFSET($Q$8,RIGHT(AI$634,1)-1,0)))</f>
        <v>909</v>
      </c>
      <c r="AJ899" s="136">
        <f ca="1" t="shared" si="778"/>
        <v>1818</v>
      </c>
      <c r="AK899" s="136">
        <f ca="1" t="shared" si="778"/>
        <v>2727</v>
      </c>
      <c r="AL899" s="136">
        <f ca="1" t="shared" si="778"/>
        <v>3636</v>
      </c>
      <c r="AM899" s="136">
        <f ca="1" t="shared" si="778"/>
        <v>4545</v>
      </c>
      <c r="AN899" s="136">
        <f ca="1" t="shared" si="778"/>
        <v>12415</v>
      </c>
    </row>
    <row r="900" s="106" customFormat="1" ht="16.5" spans="2:40">
      <c r="B900" s="117">
        <v>266</v>
      </c>
      <c r="C900" s="130">
        <f t="shared" si="759"/>
        <v>26600</v>
      </c>
      <c r="D900" s="131" cm="1">
        <f ca="1" t="array" ref="D900">IF(D1502=1,OFFSET($W$634,$B900,D$631-1)/SUMPRODUCT(--($D$631:$V$631=D$631),--($D1502:$V1502=1)),0)+SUM(D899)+IF(COUNTIF(D$1237:D1502,1)=1,5,0)+IF(COUNTIF(E900:$W900,"&gt;"&amp;0)&lt;5,IF(AND(COUNTIF(D$1237:D1502,1)&gt;7,MOD(1+IFERROR(MATCH($C900,总览!$D$46:$D$345,1)+1,1),7)=0),$C$3,0),0)</f>
        <v>1821.75636226412</v>
      </c>
      <c r="E900" s="131" cm="1">
        <f ca="1" t="array" ref="E900">IF(E1502=1,OFFSET($W$634,$B900,E$631-1)/SUMPRODUCT(--($D$631:$V$631=E$631),--($D1502:$V1502=1)),0)+SUM(E899)+IF(COUNTIF(E$1237:E1502,1)=1,5,0)+IF(COUNTIF(F900:$W900,"&gt;"&amp;0)&lt;5,IF(AND(COUNTIF(E$1237:E1502,1)&gt;7,MOD(1+IFERROR(MATCH($C900,总览!$D$46:$D$345,1)+1,1),7)=0),$C$3,0),0)</f>
        <v>1821.75636226412</v>
      </c>
      <c r="F900" s="131" cm="1">
        <f ca="1" t="array" ref="F900">IF(F1502=1,OFFSET($W$634,$B900,F$631-1)/SUMPRODUCT(--($D$631:$V$631=F$631),--($D1502:$V1502=1)),0)+SUM(F899)+IF(COUNTIF(F$1237:F1502,1)=1,5,0)+IF(COUNTIF(G900:$W900,"&gt;"&amp;0)&lt;5,IF(AND(COUNTIF(F$1237:F1502,1)&gt;7,MOD(1+IFERROR(MATCH($C900,总览!$D$46:$D$345,1)+1,1),7)=0),$C$3,0),0)</f>
        <v>1821.75636226412</v>
      </c>
      <c r="G900" s="131" cm="1">
        <f ca="1" t="array" ref="G900">IF(G1502=1,OFFSET($W$634,$B900,G$631-1)/SUMPRODUCT(--($D$631:$V$631=G$631),--($D1502:$V1502=1)),0)+SUM(G899)+IF(COUNTIF(G$1237:G1502,1)=1,5,0)+IF(COUNTIF(H900:$W900,"&gt;"&amp;0)&lt;5,IF(AND(COUNTIF(G$1237:G1502,1)&gt;7,MOD(1+IFERROR(MATCH($C900,总览!$D$46:$D$345,1)+1,1),7)=0),$C$3,0),0)</f>
        <v>826.066666666669</v>
      </c>
      <c r="H900" s="131" cm="1">
        <f ca="1" t="array" ref="H900">IF(H1502=1,OFFSET($W$634,$B900,H$631-1)/SUMPRODUCT(--($D$631:$V$631=H$631),--($D1502:$V1502=1)),0)+SUM(H899)+IF(COUNTIF(H$1237:H1502,1)=1,5,0)+IF(COUNTIF(I900:$W900,"&gt;"&amp;0)&lt;5,IF(AND(COUNTIF(H$1237:H1502,1)&gt;7,MOD(1+IFERROR(MATCH($C900,总览!$D$46:$D$345,1)+1,1),7)=0),$C$3,0),0)</f>
        <v>826.066666666669</v>
      </c>
      <c r="I900" s="131" cm="1">
        <f ca="1" t="array" ref="I900">IF(I1502=1,OFFSET($W$634,$B900,I$631-1)/SUMPRODUCT(--($D$631:$V$631=I$631),--($D1502:$V1502=1)),0)+SUM(I899)+IF(COUNTIF(I$1237:I1502,1)=1,5,0)+IF(COUNTIF(J900:$W900,"&gt;"&amp;0)&lt;5,IF(AND(COUNTIF(I$1237:I1502,1)&gt;7,MOD(1+IFERROR(MATCH($C900,总览!$D$46:$D$345,1)+1,1),7)=0),$C$3,0),0)</f>
        <v>826.066666666669</v>
      </c>
      <c r="J900" s="131" cm="1">
        <f ca="1" t="array" ref="J900">IF(J1502=1,OFFSET($W$634,$B900,J$631-1)/SUMPRODUCT(--($D$631:$V$631=J$631),--($D1502:$V1502=1)),0)+SUM(J899)+IF(COUNTIF(J$1237:J1502,1)=1,5,0)+IF(COUNTIF(K900:$W900,"&gt;"&amp;0)&lt;5,IF(AND(COUNTIF(J$1237:J1502,1)&gt;7,MOD(1+IFERROR(MATCH($C900,总览!$D$46:$D$345,1)+1,1),7)=0),$C$3,0),0)</f>
        <v>822.733333333336</v>
      </c>
      <c r="K900" s="131" cm="1">
        <f ca="1" t="array" ref="K900">IF(K1502=1,OFFSET($W$634,$B900,K$631-1)/SUMPRODUCT(--($D$631:$V$631=K$631),--($D1502:$V1502=1)),0)+SUM(K899)+IF(COUNTIF(K$1237:K1502,1)=1,5,0)+IF(COUNTIF(L900:$W900,"&gt;"&amp;0)&lt;5,IF(AND(COUNTIF(K$1237:K1502,1)&gt;7,MOD(1+IFERROR(MATCH($C900,总览!$D$46:$D$345,1)+1,1),7)=0),$C$3,0),0)</f>
        <v>820.233333333336</v>
      </c>
      <c r="L900" s="131" cm="1">
        <f ca="1" t="array" ref="L900">IF(L1502=1,OFFSET($W$634,$B900,L$631-1)/SUMPRODUCT(--($D$631:$V$631=L$631),--($D1502:$V1502=1)),0)+SUM(L899)+IF(COUNTIF(L$1237:L1502,1)=1,5,0)+IF(COUNTIF(M900:$W900,"&gt;"&amp;0)&lt;5,IF(AND(COUNTIF(L$1237:L1502,1)&gt;7,MOD(1+IFERROR(MATCH($C900,总览!$D$46:$D$345,1)+1,1),7)=0),$C$3,0),0)</f>
        <v>820.233333333336</v>
      </c>
      <c r="M900" s="131" cm="1">
        <f ca="1" t="array" ref="M900">IF(M1502=1,OFFSET($W$634,$B900,M$631-1)/SUMPRODUCT(--($D$631:$V$631=M$631),--($D1502:$V1502=1)),0)+SUM(M899)+IF(COUNTIF(M$1237:M1502,1)=1,5,0)+IF(COUNTIF(N900:$W900,"&gt;"&amp;0)&lt;5,IF(AND(COUNTIF(M$1237:M1502,1)&gt;7,MOD(1+IFERROR(MATCH($C900,总览!$D$46:$D$345,1)+1,1),7)=0),$C$3,0),0)</f>
        <v>337.752678571428</v>
      </c>
      <c r="N900" s="131" cm="1">
        <f ca="1" t="array" ref="N900">IF(N1502=1,OFFSET($W$634,$B900,N$631-1)/SUMPRODUCT(--($D$631:$V$631=N$631),--($D1502:$V1502=1)),0)+SUM(N899)+IF(COUNTIF(N$1237:N1502,1)=1,5,0)+IF(COUNTIF(O900:$W900,"&gt;"&amp;0)&lt;5,IF(AND(COUNTIF(N$1237:N1502,1)&gt;7,MOD(1+IFERROR(MATCH($C900,总览!$D$46:$D$345,1)+1,1),7)=0),$C$3,0),0)</f>
        <v>339.002678571428</v>
      </c>
      <c r="O900" s="131" cm="1">
        <f ca="1" t="array" ref="O900">IF(O1502=1,OFFSET($W$634,$B900,O$631-1)/SUMPRODUCT(--($D$631:$V$631=O$631),--($D1502:$V1502=1)),0)+SUM(O899)+IF(COUNTIF(O$1237:O1502,1)=1,5,0)+IF(COUNTIF(P900:$W900,"&gt;"&amp;0)&lt;5,IF(AND(COUNTIF(O$1237:O1502,1)&gt;7,MOD(1+IFERROR(MATCH($C900,总览!$D$46:$D$345,1)+1,1),7)=0),$C$3,0),0)</f>
        <v>344.002678571428</v>
      </c>
      <c r="P900" s="131" cm="1">
        <f ca="1" t="array" ref="P900">IF(P1502=1,OFFSET($W$634,$B900,P$631-1)/SUMPRODUCT(--($D$631:$V$631=P$631),--($D1502:$V1502=1)),0)+SUM(P899)+IF(COUNTIF(P$1237:P1502,1)=1,5,0)+IF(COUNTIF(Q900:$W900,"&gt;"&amp;0)&lt;5,IF(AND(COUNTIF(P$1237:P1502,1)&gt;7,MOD(1+IFERROR(MATCH($C900,总览!$D$46:$D$345,1)+1,1),7)=0),$C$3,0),0)</f>
        <v>333.121428571428</v>
      </c>
      <c r="Q900" s="131" cm="1">
        <f ca="1" t="array" ref="Q900">IF(Q1502=1,OFFSET($W$634,$B900,Q$631-1)/SUMPRODUCT(--($D$631:$V$631=Q$631),--($D1502:$V1502=1)),0)+SUM(Q899)+IF(COUNTIF(Q$1237:Q1502,1)=1,5,0)+IF(COUNTIF(R900:$W900,"&gt;"&amp;0)&lt;5,IF(AND(COUNTIF(Q$1237:Q1502,1)&gt;7,MOD(1+IFERROR(MATCH($C900,总览!$D$46:$D$345,1)+1,1),7)=0),$C$3,0),0)</f>
        <v>346.502678571428</v>
      </c>
      <c r="R900" s="131" cm="1">
        <f ca="1" t="array" ref="R900">IF(R1502=1,OFFSET($W$634,$B900,R$631-1)/SUMPRODUCT(--($D$631:$V$631=R$631),--($D1502:$V1502=1)),0)+SUM(R899)+IF(COUNTIF(R$1237:R1502,1)=1,5,0)+IF(COUNTIF(S900:$W900,"&gt;"&amp;0)&lt;5,IF(AND(COUNTIF(R$1237:R1502,1)&gt;7,MOD(1+IFERROR(MATCH($C900,总览!$D$46:$D$345,1)+1,1),7)=0),$C$3,0),0)</f>
        <v>338.121428571428</v>
      </c>
      <c r="S900" s="131" cm="1">
        <f ca="1" t="array" ref="S900">IF(S1502=1,OFFSET($W$634,$B900,S$631-1)/SUMPRODUCT(--($D$631:$V$631=S$631),--($D1502:$V1502=1)),0)+SUM(S899)+IF(COUNTIF(S$1237:S1502,1)=1,5,0)+IF(COUNTIF(T900:$W900,"&gt;"&amp;0)&lt;5,IF(AND(COUNTIF(S$1237:S1502,1)&gt;7,MOD(1+IFERROR(MATCH($C900,总览!$D$46:$D$345,1)+1,1),7)=0),$C$3,0),0)</f>
        <v>430.621428571429</v>
      </c>
      <c r="T900" s="131" cm="1">
        <f ca="1" t="array" ref="T900">IF(T1502=1,OFFSET($W$634,$B900,T$631-1)/SUMPRODUCT(--($D$631:$V$631=T$631),--($D1502:$V1502=1)),0)+SUM(T899)+IF(COUNTIF(T$1237:T1502,1)=1,5,0)+IF(COUNTIF(U900:$W900,"&gt;"&amp;0)&lt;5,IF(AND(COUNTIF(T$1237:T1502,1)&gt;7,MOD(1+IFERROR(MATCH($C900,总览!$D$46:$D$345,1)+1,1),7)=0),$C$3,0),0)</f>
        <v>314.445780261529</v>
      </c>
      <c r="U900" s="131" cm="1">
        <f ca="1" t="array" ref="U900">IF(U1502=1,OFFSET($W$634,$B900,U$631-1)/SUMPRODUCT(--($D$631:$V$631=U$631),--($D1502:$V1502=1)),0)+SUM(U899)+IF(COUNTIF(U$1237:U1502,1)=1,5,0)+IF(COUNTIF(V900:$W900,"&gt;"&amp;0)&lt;5,IF(AND(COUNTIF(U$1237:U1502,1)&gt;7,MOD(1+IFERROR(MATCH($C900,总览!$D$46:$D$345,1)+1,1),7)=0),$C$3,0),0)</f>
        <v>319.966566616829</v>
      </c>
      <c r="V900" s="131" cm="1">
        <f ca="1" t="array" ref="V900">IF(V1502=1,OFFSET($W$634,$B900,V$631-1)/SUMPRODUCT(--($D$631:$V$631=V$631),--($D1502:$V1502=1)),0)+SUM(V899)+IF(COUNTIF(V$1237:V1502,1)=1,5,0)+IF(COUNTIF(W900:$W900,"&gt;"&amp;0)&lt;5,IF(AND(COUNTIF(V$1237:V1502,1)&gt;7,MOD(1+IFERROR(MATCH($C900,总览!$D$46:$D$345,1)+1,1),7)=0),$C$3,0),0)</f>
        <v>339.793566329262</v>
      </c>
      <c r="W900" s="135" cm="1">
        <f ca="1" t="array" ref="W900">SUMPRODUCT(TRANSPOSE($AA900:$AG900),OFFSET($L$9:$L$15,0,W$631-1))</f>
        <v>16.8502200646615</v>
      </c>
      <c r="X900" s="135" cm="1">
        <f ca="1" t="array" ref="X900">SUMPRODUCT(TRANSPOSE($AA900:$AG900),OFFSET($L$9:$L$15,0,X$631-1))</f>
        <v>20</v>
      </c>
      <c r="Y900" s="135" cm="1">
        <f ca="1" t="array" ref="Y900">SUMPRODUCT(TRANSPOSE($AA900:$AG900),OFFSET($L$9:$L$15,0,Y$631-1))</f>
        <v>10</v>
      </c>
      <c r="Z900" s="135" cm="1">
        <f ca="1" t="array" ref="Z900">SUMPRODUCT(TRANSPOSE($AA900:$AG900),OFFSET($L$9:$L$15,0,Z$631-1))</f>
        <v>3.14977993533847</v>
      </c>
      <c r="AA900" s="136">
        <f ca="1" t="shared" ref="AA900:AG900" si="779">AH900-AH899</f>
        <v>0</v>
      </c>
      <c r="AB900" s="136">
        <f ca="1" t="shared" si="779"/>
        <v>0</v>
      </c>
      <c r="AC900" s="136">
        <f ca="1" t="shared" si="779"/>
        <v>0</v>
      </c>
      <c r="AD900" s="136">
        <f ca="1" t="shared" si="779"/>
        <v>0</v>
      </c>
      <c r="AE900" s="136">
        <f ca="1" t="shared" si="779"/>
        <v>0</v>
      </c>
      <c r="AF900" s="136">
        <f ca="1" t="shared" si="779"/>
        <v>0</v>
      </c>
      <c r="AG900" s="136">
        <f ca="1" t="shared" si="779"/>
        <v>100</v>
      </c>
      <c r="AH900" s="136">
        <f ca="1" t="shared" si="761"/>
        <v>450</v>
      </c>
      <c r="AI900" s="136">
        <f ca="1" t="shared" ref="AI900:AN900" si="780">IF($C900&gt;OFFSET($Q$8,MATCH(AI$634,$AH$634:$AN$634,0),0),OFFSET($P$8,MATCH(AI$634,$AH$634:$AN$634,0),0),MAX(0,$C900-OFFSET($Q$8,RIGHT(AI$634,1)-1,0)))</f>
        <v>909</v>
      </c>
      <c r="AJ900" s="136">
        <f ca="1" t="shared" si="780"/>
        <v>1818</v>
      </c>
      <c r="AK900" s="136">
        <f ca="1" t="shared" si="780"/>
        <v>2727</v>
      </c>
      <c r="AL900" s="136">
        <f ca="1" t="shared" si="780"/>
        <v>3636</v>
      </c>
      <c r="AM900" s="136">
        <f ca="1" t="shared" si="780"/>
        <v>4545</v>
      </c>
      <c r="AN900" s="136">
        <f ca="1" t="shared" si="780"/>
        <v>12515</v>
      </c>
    </row>
    <row r="901" s="106" customFormat="1" ht="16.5" spans="2:40">
      <c r="B901" s="117">
        <v>267</v>
      </c>
      <c r="C901" s="130">
        <f t="shared" si="759"/>
        <v>26700</v>
      </c>
      <c r="D901" s="131" cm="1">
        <f ca="1" t="array" ref="D901">IF(D1503=1,OFFSET($W$634,$B901,D$631-1)/SUMPRODUCT(--($D$631:$V$631=D$631),--($D1503:$V1503=1)),0)+SUM(D900)+IF(COUNTIF(D$1237:D1503,1)=1,5,0)+IF(COUNTIF(E901:$W901,"&gt;"&amp;0)&lt;5,IF(AND(COUNTIF(D$1237:D1503,1)&gt;7,MOD(1+IFERROR(MATCH($C901,总览!$D$46:$D$345,1)+1,1),7)=0),$C$3,0),0)</f>
        <v>1827.37310228568</v>
      </c>
      <c r="E901" s="131" cm="1">
        <f ca="1" t="array" ref="E901">IF(E1503=1,OFFSET($W$634,$B901,E$631-1)/SUMPRODUCT(--($D$631:$V$631=E$631),--($D1503:$V1503=1)),0)+SUM(E900)+IF(COUNTIF(E$1237:E1503,1)=1,5,0)+IF(COUNTIF(F901:$W901,"&gt;"&amp;0)&lt;5,IF(AND(COUNTIF(E$1237:E1503,1)&gt;7,MOD(1+IFERROR(MATCH($C901,总览!$D$46:$D$345,1)+1,1),7)=0),$C$3,0),0)</f>
        <v>1827.37310228568</v>
      </c>
      <c r="F901" s="131" cm="1">
        <f ca="1" t="array" ref="F901">IF(F1503=1,OFFSET($W$634,$B901,F$631-1)/SUMPRODUCT(--($D$631:$V$631=F$631),--($D1503:$V1503=1)),0)+SUM(F900)+IF(COUNTIF(F$1237:F1503,1)=1,5,0)+IF(COUNTIF(G901:$W901,"&gt;"&amp;0)&lt;5,IF(AND(COUNTIF(F$1237:F1503,1)&gt;7,MOD(1+IFERROR(MATCH($C901,总览!$D$46:$D$345,1)+1,1),7)=0),$C$3,0),0)</f>
        <v>1827.37310228568</v>
      </c>
      <c r="G901" s="131" cm="1">
        <f ca="1" t="array" ref="G901">IF(G1503=1,OFFSET($W$634,$B901,G$631-1)/SUMPRODUCT(--($D$631:$V$631=G$631),--($D1503:$V1503=1)),0)+SUM(G900)+IF(COUNTIF(G$1237:G1503,1)=1,5,0)+IF(COUNTIF(H901:$W901,"&gt;"&amp;0)&lt;5,IF(AND(COUNTIF(G$1237:G1503,1)&gt;7,MOD(1+IFERROR(MATCH($C901,总览!$D$46:$D$345,1)+1,1),7)=0),$C$3,0),0)</f>
        <v>829.400000000002</v>
      </c>
      <c r="H901" s="131" cm="1">
        <f ca="1" t="array" ref="H901">IF(H1503=1,OFFSET($W$634,$B901,H$631-1)/SUMPRODUCT(--($D$631:$V$631=H$631),--($D1503:$V1503=1)),0)+SUM(H900)+IF(COUNTIF(H$1237:H1503,1)=1,5,0)+IF(COUNTIF(I901:$W901,"&gt;"&amp;0)&lt;5,IF(AND(COUNTIF(H$1237:H1503,1)&gt;7,MOD(1+IFERROR(MATCH($C901,总览!$D$46:$D$345,1)+1,1),7)=0),$C$3,0),0)</f>
        <v>829.400000000002</v>
      </c>
      <c r="I901" s="131" cm="1">
        <f ca="1" t="array" ref="I901">IF(I1503=1,OFFSET($W$634,$B901,I$631-1)/SUMPRODUCT(--($D$631:$V$631=I$631),--($D1503:$V1503=1)),0)+SUM(I900)+IF(COUNTIF(I$1237:I1503,1)=1,5,0)+IF(COUNTIF(J901:$W901,"&gt;"&amp;0)&lt;5,IF(AND(COUNTIF(I$1237:I1503,1)&gt;7,MOD(1+IFERROR(MATCH($C901,总览!$D$46:$D$345,1)+1,1),7)=0),$C$3,0),0)</f>
        <v>829.400000000002</v>
      </c>
      <c r="J901" s="131" cm="1">
        <f ca="1" t="array" ref="J901">IF(J1503=1,OFFSET($W$634,$B901,J$631-1)/SUMPRODUCT(--($D$631:$V$631=J$631),--($D1503:$V1503=1)),0)+SUM(J900)+IF(COUNTIF(J$1237:J1503,1)=1,5,0)+IF(COUNTIF(K901:$W901,"&gt;"&amp;0)&lt;5,IF(AND(COUNTIF(J$1237:J1503,1)&gt;7,MOD(1+IFERROR(MATCH($C901,总览!$D$46:$D$345,1)+1,1),7)=0),$C$3,0),0)</f>
        <v>826.066666666669</v>
      </c>
      <c r="K901" s="131" cm="1">
        <f ca="1" t="array" ref="K901">IF(K1503=1,OFFSET($W$634,$B901,K$631-1)/SUMPRODUCT(--($D$631:$V$631=K$631),--($D1503:$V1503=1)),0)+SUM(K900)+IF(COUNTIF(K$1237:K1503,1)=1,5,0)+IF(COUNTIF(L901:$W901,"&gt;"&amp;0)&lt;5,IF(AND(COUNTIF(K$1237:K1503,1)&gt;7,MOD(1+IFERROR(MATCH($C901,总览!$D$46:$D$345,1)+1,1),7)=0),$C$3,0),0)</f>
        <v>823.566666666669</v>
      </c>
      <c r="L901" s="131" cm="1">
        <f ca="1" t="array" ref="L901">IF(L1503=1,OFFSET($W$634,$B901,L$631-1)/SUMPRODUCT(--($D$631:$V$631=L$631),--($D1503:$V1503=1)),0)+SUM(L900)+IF(COUNTIF(L$1237:L1503,1)=1,5,0)+IF(COUNTIF(M901:$W901,"&gt;"&amp;0)&lt;5,IF(AND(COUNTIF(L$1237:L1503,1)&gt;7,MOD(1+IFERROR(MATCH($C901,总览!$D$46:$D$345,1)+1,1),7)=0),$C$3,0),0)</f>
        <v>823.566666666669</v>
      </c>
      <c r="M901" s="131" cm="1">
        <f ca="1" t="array" ref="M901">IF(M1503=1,OFFSET($W$634,$B901,M$631-1)/SUMPRODUCT(--($D$631:$V$631=M$631),--($D1503:$V1503=1)),0)+SUM(M900)+IF(COUNTIF(M$1237:M1503,1)=1,5,0)+IF(COUNTIF(N901:$W901,"&gt;"&amp;0)&lt;5,IF(AND(COUNTIF(M$1237:M1503,1)&gt;7,MOD(1+IFERROR(MATCH($C901,总览!$D$46:$D$345,1)+1,1),7)=0),$C$3,0),0)</f>
        <v>339.18125</v>
      </c>
      <c r="N901" s="131" cm="1">
        <f ca="1" t="array" ref="N901">IF(N1503=1,OFFSET($W$634,$B901,N$631-1)/SUMPRODUCT(--($D$631:$V$631=N$631),--($D1503:$V1503=1)),0)+SUM(N900)+IF(COUNTIF(N$1237:N1503,1)=1,5,0)+IF(COUNTIF(O901:$W901,"&gt;"&amp;0)&lt;5,IF(AND(COUNTIF(N$1237:N1503,1)&gt;7,MOD(1+IFERROR(MATCH($C901,总览!$D$46:$D$345,1)+1,1),7)=0),$C$3,0),0)</f>
        <v>340.43125</v>
      </c>
      <c r="O901" s="131" cm="1">
        <f ca="1" t="array" ref="O901">IF(O1503=1,OFFSET($W$634,$B901,O$631-1)/SUMPRODUCT(--($D$631:$V$631=O$631),--($D1503:$V1503=1)),0)+SUM(O900)+IF(COUNTIF(O$1237:O1503,1)=1,5,0)+IF(COUNTIF(P901:$W901,"&gt;"&amp;0)&lt;5,IF(AND(COUNTIF(O$1237:O1503,1)&gt;7,MOD(1+IFERROR(MATCH($C901,总览!$D$46:$D$345,1)+1,1),7)=0),$C$3,0),0)</f>
        <v>345.43125</v>
      </c>
      <c r="P901" s="131" cm="1">
        <f ca="1" t="array" ref="P901">IF(P1503=1,OFFSET($W$634,$B901,P$631-1)/SUMPRODUCT(--($D$631:$V$631=P$631),--($D1503:$V1503=1)),0)+SUM(P900)+IF(COUNTIF(P$1237:P1503,1)=1,5,0)+IF(COUNTIF(Q901:$W901,"&gt;"&amp;0)&lt;5,IF(AND(COUNTIF(P$1237:P1503,1)&gt;7,MOD(1+IFERROR(MATCH($C901,总览!$D$46:$D$345,1)+1,1),7)=0),$C$3,0),0)</f>
        <v>334.55</v>
      </c>
      <c r="Q901" s="131" cm="1">
        <f ca="1" t="array" ref="Q901">IF(Q1503=1,OFFSET($W$634,$B901,Q$631-1)/SUMPRODUCT(--($D$631:$V$631=Q$631),--($D1503:$V1503=1)),0)+SUM(Q900)+IF(COUNTIF(Q$1237:Q1503,1)=1,5,0)+IF(COUNTIF(R901:$W901,"&gt;"&amp;0)&lt;5,IF(AND(COUNTIF(Q$1237:Q1503,1)&gt;7,MOD(1+IFERROR(MATCH($C901,总览!$D$46:$D$345,1)+1,1),7)=0),$C$3,0),0)</f>
        <v>347.93125</v>
      </c>
      <c r="R901" s="131" cm="1">
        <f ca="1" t="array" ref="R901">IF(R1503=1,OFFSET($W$634,$B901,R$631-1)/SUMPRODUCT(--($D$631:$V$631=R$631),--($D1503:$V1503=1)),0)+SUM(R900)+IF(COUNTIF(R$1237:R1503,1)=1,5,0)+IF(COUNTIF(S901:$W901,"&gt;"&amp;0)&lt;5,IF(AND(COUNTIF(R$1237:R1503,1)&gt;7,MOD(1+IFERROR(MATCH($C901,总览!$D$46:$D$345,1)+1,1),7)=0),$C$3,0),0)</f>
        <v>339.55</v>
      </c>
      <c r="S901" s="131" cm="1">
        <f ca="1" t="array" ref="S901">IF(S1503=1,OFFSET($W$634,$B901,S$631-1)/SUMPRODUCT(--($D$631:$V$631=S$631),--($D1503:$V1503=1)),0)+SUM(S900)+IF(COUNTIF(S$1237:S1503,1)=1,5,0)+IF(COUNTIF(T901:$W901,"&gt;"&amp;0)&lt;5,IF(AND(COUNTIF(S$1237:S1503,1)&gt;7,MOD(1+IFERROR(MATCH($C901,总览!$D$46:$D$345,1)+1,1),7)=0),$C$3,0),0)</f>
        <v>432.050000000001</v>
      </c>
      <c r="T901" s="131" cm="1">
        <f ca="1" t="array" ref="T901">IF(T1503=1,OFFSET($W$634,$B901,T$631-1)/SUMPRODUCT(--($D$631:$V$631=T$631),--($D1503:$V1503=1)),0)+SUM(T900)+IF(COUNTIF(T$1237:T1503,1)=1,5,0)+IF(COUNTIF(U901:$W901,"&gt;"&amp;0)&lt;5,IF(AND(COUNTIF(T$1237:T1503,1)&gt;7,MOD(1+IFERROR(MATCH($C901,总览!$D$46:$D$345,1)+1,1),7)=0),$C$3,0),0)</f>
        <v>315.495706906642</v>
      </c>
      <c r="U901" s="131" cm="1">
        <f ca="1" t="array" ref="U901">IF(U1503=1,OFFSET($W$634,$B901,U$631-1)/SUMPRODUCT(--($D$631:$V$631=U$631),--($D1503:$V1503=1)),0)+SUM(U900)+IF(COUNTIF(U$1237:U1503,1)=1,5,0)+IF(COUNTIF(V901:$W901,"&gt;"&amp;0)&lt;5,IF(AND(COUNTIF(U$1237:U1503,1)&gt;7,MOD(1+IFERROR(MATCH($C901,总览!$D$46:$D$345,1)+1,1),7)=0),$C$3,0),0)</f>
        <v>321.016493261941</v>
      </c>
      <c r="V901" s="131" cm="1">
        <f ca="1" t="array" ref="V901">IF(V1503=1,OFFSET($W$634,$B901,V$631-1)/SUMPRODUCT(--($D$631:$V$631=V$631),--($D1503:$V1503=1)),0)+SUM(V900)+IF(COUNTIF(V$1237:V1503,1)=1,5,0)+IF(COUNTIF(W901:$W901,"&gt;"&amp;0)&lt;5,IF(AND(COUNTIF(V$1237:V1503,1)&gt;7,MOD(1+IFERROR(MATCH($C901,总览!$D$46:$D$345,1)+1,1),7)=0),$C$3,0),0)</f>
        <v>340.843492974374</v>
      </c>
      <c r="W901" s="135" cm="1">
        <f ca="1" t="array" ref="W901">SUMPRODUCT(TRANSPOSE($AA901:$AG901),OFFSET($L$9:$L$15,0,W$631-1))</f>
        <v>16.8502200646615</v>
      </c>
      <c r="X901" s="135" cm="1">
        <f ca="1" t="array" ref="X901">SUMPRODUCT(TRANSPOSE($AA901:$AG901),OFFSET($L$9:$L$15,0,X$631-1))</f>
        <v>20</v>
      </c>
      <c r="Y901" s="135" cm="1">
        <f ca="1" t="array" ref="Y901">SUMPRODUCT(TRANSPOSE($AA901:$AG901),OFFSET($L$9:$L$15,0,Y$631-1))</f>
        <v>10</v>
      </c>
      <c r="Z901" s="135" cm="1">
        <f ca="1" t="array" ref="Z901">SUMPRODUCT(TRANSPOSE($AA901:$AG901),OFFSET($L$9:$L$15,0,Z$631-1))</f>
        <v>3.14977993533847</v>
      </c>
      <c r="AA901" s="136">
        <f ca="1" t="shared" ref="AA901:AG901" si="781">AH901-AH900</f>
        <v>0</v>
      </c>
      <c r="AB901" s="136">
        <f ca="1" t="shared" si="781"/>
        <v>0</v>
      </c>
      <c r="AC901" s="136">
        <f ca="1" t="shared" si="781"/>
        <v>0</v>
      </c>
      <c r="AD901" s="136">
        <f ca="1" t="shared" si="781"/>
        <v>0</v>
      </c>
      <c r="AE901" s="136">
        <f ca="1" t="shared" si="781"/>
        <v>0</v>
      </c>
      <c r="AF901" s="136">
        <f ca="1" t="shared" si="781"/>
        <v>0</v>
      </c>
      <c r="AG901" s="136">
        <f ca="1" t="shared" si="781"/>
        <v>100</v>
      </c>
      <c r="AH901" s="136">
        <f ca="1" t="shared" si="761"/>
        <v>450</v>
      </c>
      <c r="AI901" s="136">
        <f ca="1" t="shared" ref="AI901:AN901" si="782">IF($C901&gt;OFFSET($Q$8,MATCH(AI$634,$AH$634:$AN$634,0),0),OFFSET($P$8,MATCH(AI$634,$AH$634:$AN$634,0),0),MAX(0,$C901-OFFSET($Q$8,RIGHT(AI$634,1)-1,0)))</f>
        <v>909</v>
      </c>
      <c r="AJ901" s="136">
        <f ca="1" t="shared" si="782"/>
        <v>1818</v>
      </c>
      <c r="AK901" s="136">
        <f ca="1" t="shared" si="782"/>
        <v>2727</v>
      </c>
      <c r="AL901" s="136">
        <f ca="1" t="shared" si="782"/>
        <v>3636</v>
      </c>
      <c r="AM901" s="136">
        <f ca="1" t="shared" si="782"/>
        <v>4545</v>
      </c>
      <c r="AN901" s="136">
        <f ca="1" t="shared" si="782"/>
        <v>12615</v>
      </c>
    </row>
    <row r="902" s="106" customFormat="1" ht="16.5" spans="2:40">
      <c r="B902" s="117">
        <v>268</v>
      </c>
      <c r="C902" s="130">
        <f t="shared" si="759"/>
        <v>26800</v>
      </c>
      <c r="D902" s="131" cm="1">
        <f ca="1" t="array" ref="D902">IF(D1504=1,OFFSET($W$634,$B902,D$631-1)/SUMPRODUCT(--($D$631:$V$631=D$631),--($D1504:$V1504=1)),0)+SUM(D901)+IF(COUNTIF(D$1237:D1504,1)=1,5,0)+IF(COUNTIF(E902:$W902,"&gt;"&amp;0)&lt;5,IF(AND(COUNTIF(D$1237:D1504,1)&gt;7,MOD(1+IFERROR(MATCH($C902,总览!$D$46:$D$345,1)+1,1),7)=0),$C$3,0),0)</f>
        <v>1832.98984230723</v>
      </c>
      <c r="E902" s="131" cm="1">
        <f ca="1" t="array" ref="E902">IF(E1504=1,OFFSET($W$634,$B902,E$631-1)/SUMPRODUCT(--($D$631:$V$631=E$631),--($D1504:$V1504=1)),0)+SUM(E901)+IF(COUNTIF(E$1237:E1504,1)=1,5,0)+IF(COUNTIF(F902:$W902,"&gt;"&amp;0)&lt;5,IF(AND(COUNTIF(E$1237:E1504,1)&gt;7,MOD(1+IFERROR(MATCH($C902,总览!$D$46:$D$345,1)+1,1),7)=0),$C$3,0),0)</f>
        <v>1832.98984230723</v>
      </c>
      <c r="F902" s="131" cm="1">
        <f ca="1" t="array" ref="F902">IF(F1504=1,OFFSET($W$634,$B902,F$631-1)/SUMPRODUCT(--($D$631:$V$631=F$631),--($D1504:$V1504=1)),0)+SUM(F901)+IF(COUNTIF(F$1237:F1504,1)=1,5,0)+IF(COUNTIF(G902:$W902,"&gt;"&amp;0)&lt;5,IF(AND(COUNTIF(F$1237:F1504,1)&gt;7,MOD(1+IFERROR(MATCH($C902,总览!$D$46:$D$345,1)+1,1),7)=0),$C$3,0),0)</f>
        <v>1832.98984230723</v>
      </c>
      <c r="G902" s="131" cm="1">
        <f ca="1" t="array" ref="G902">IF(G1504=1,OFFSET($W$634,$B902,G$631-1)/SUMPRODUCT(--($D$631:$V$631=G$631),--($D1504:$V1504=1)),0)+SUM(G901)+IF(COUNTIF(G$1237:G1504,1)=1,5,0)+IF(COUNTIF(H902:$W902,"&gt;"&amp;0)&lt;5,IF(AND(COUNTIF(G$1237:G1504,1)&gt;7,MOD(1+IFERROR(MATCH($C902,总览!$D$46:$D$345,1)+1,1),7)=0),$C$3,0),0)</f>
        <v>832.733333333336</v>
      </c>
      <c r="H902" s="131" cm="1">
        <f ca="1" t="array" ref="H902">IF(H1504=1,OFFSET($W$634,$B902,H$631-1)/SUMPRODUCT(--($D$631:$V$631=H$631),--($D1504:$V1504=1)),0)+SUM(H901)+IF(COUNTIF(H$1237:H1504,1)=1,5,0)+IF(COUNTIF(I902:$W902,"&gt;"&amp;0)&lt;5,IF(AND(COUNTIF(H$1237:H1504,1)&gt;7,MOD(1+IFERROR(MATCH($C902,总览!$D$46:$D$345,1)+1,1),7)=0),$C$3,0),0)</f>
        <v>832.733333333336</v>
      </c>
      <c r="I902" s="131" cm="1">
        <f ca="1" t="array" ref="I902">IF(I1504=1,OFFSET($W$634,$B902,I$631-1)/SUMPRODUCT(--($D$631:$V$631=I$631),--($D1504:$V1504=1)),0)+SUM(I901)+IF(COUNTIF(I$1237:I1504,1)=1,5,0)+IF(COUNTIF(J902:$W902,"&gt;"&amp;0)&lt;5,IF(AND(COUNTIF(I$1237:I1504,1)&gt;7,MOD(1+IFERROR(MATCH($C902,总览!$D$46:$D$345,1)+1,1),7)=0),$C$3,0),0)</f>
        <v>832.733333333336</v>
      </c>
      <c r="J902" s="131" cm="1">
        <f ca="1" t="array" ref="J902">IF(J1504=1,OFFSET($W$634,$B902,J$631-1)/SUMPRODUCT(--($D$631:$V$631=J$631),--($D1504:$V1504=1)),0)+SUM(J901)+IF(COUNTIF(J$1237:J1504,1)=1,5,0)+IF(COUNTIF(K902:$W902,"&gt;"&amp;0)&lt;5,IF(AND(COUNTIF(J$1237:J1504,1)&gt;7,MOD(1+IFERROR(MATCH($C902,总览!$D$46:$D$345,1)+1,1),7)=0),$C$3,0),0)</f>
        <v>829.400000000002</v>
      </c>
      <c r="K902" s="131" cm="1">
        <f ca="1" t="array" ref="K902">IF(K1504=1,OFFSET($W$634,$B902,K$631-1)/SUMPRODUCT(--($D$631:$V$631=K$631),--($D1504:$V1504=1)),0)+SUM(K901)+IF(COUNTIF(K$1237:K1504,1)=1,5,0)+IF(COUNTIF(L902:$W902,"&gt;"&amp;0)&lt;5,IF(AND(COUNTIF(K$1237:K1504,1)&gt;7,MOD(1+IFERROR(MATCH($C902,总览!$D$46:$D$345,1)+1,1),7)=0),$C$3,0),0)</f>
        <v>826.900000000002</v>
      </c>
      <c r="L902" s="131" cm="1">
        <f ca="1" t="array" ref="L902">IF(L1504=1,OFFSET($W$634,$B902,L$631-1)/SUMPRODUCT(--($D$631:$V$631=L$631),--($D1504:$V1504=1)),0)+SUM(L901)+IF(COUNTIF(L$1237:L1504,1)=1,5,0)+IF(COUNTIF(M902:$W902,"&gt;"&amp;0)&lt;5,IF(AND(COUNTIF(L$1237:L1504,1)&gt;7,MOD(1+IFERROR(MATCH($C902,总览!$D$46:$D$345,1)+1,1),7)=0),$C$3,0),0)</f>
        <v>826.900000000002</v>
      </c>
      <c r="M902" s="131" cm="1">
        <f ca="1" t="array" ref="M902">IF(M1504=1,OFFSET($W$634,$B902,M$631-1)/SUMPRODUCT(--($D$631:$V$631=M$631),--($D1504:$V1504=1)),0)+SUM(M901)+IF(COUNTIF(M$1237:M1504,1)=1,5,0)+IF(COUNTIF(N902:$W902,"&gt;"&amp;0)&lt;5,IF(AND(COUNTIF(M$1237:M1504,1)&gt;7,MOD(1+IFERROR(MATCH($C902,总览!$D$46:$D$345,1)+1,1),7)=0),$C$3,0),0)</f>
        <v>340.609821428571</v>
      </c>
      <c r="N902" s="131" cm="1">
        <f ca="1" t="array" ref="N902">IF(N1504=1,OFFSET($W$634,$B902,N$631-1)/SUMPRODUCT(--($D$631:$V$631=N$631),--($D1504:$V1504=1)),0)+SUM(N901)+IF(COUNTIF(N$1237:N1504,1)=1,5,0)+IF(COUNTIF(O902:$W902,"&gt;"&amp;0)&lt;5,IF(AND(COUNTIF(N$1237:N1504,1)&gt;7,MOD(1+IFERROR(MATCH($C902,总览!$D$46:$D$345,1)+1,1),7)=0),$C$3,0),0)</f>
        <v>341.859821428571</v>
      </c>
      <c r="O902" s="131" cm="1">
        <f ca="1" t="array" ref="O902">IF(O1504=1,OFFSET($W$634,$B902,O$631-1)/SUMPRODUCT(--($D$631:$V$631=O$631),--($D1504:$V1504=1)),0)+SUM(O901)+IF(COUNTIF(O$1237:O1504,1)=1,5,0)+IF(COUNTIF(P902:$W902,"&gt;"&amp;0)&lt;5,IF(AND(COUNTIF(O$1237:O1504,1)&gt;7,MOD(1+IFERROR(MATCH($C902,总览!$D$46:$D$345,1)+1,1),7)=0),$C$3,0),0)</f>
        <v>346.859821428571</v>
      </c>
      <c r="P902" s="131" cm="1">
        <f ca="1" t="array" ref="P902">IF(P1504=1,OFFSET($W$634,$B902,P$631-1)/SUMPRODUCT(--($D$631:$V$631=P$631),--($D1504:$V1504=1)),0)+SUM(P901)+IF(COUNTIF(P$1237:P1504,1)=1,5,0)+IF(COUNTIF(Q902:$W902,"&gt;"&amp;0)&lt;5,IF(AND(COUNTIF(P$1237:P1504,1)&gt;7,MOD(1+IFERROR(MATCH($C902,总览!$D$46:$D$345,1)+1,1),7)=0),$C$3,0),0)</f>
        <v>335.978571428571</v>
      </c>
      <c r="Q902" s="131" cm="1">
        <f ca="1" t="array" ref="Q902">IF(Q1504=1,OFFSET($W$634,$B902,Q$631-1)/SUMPRODUCT(--($D$631:$V$631=Q$631),--($D1504:$V1504=1)),0)+SUM(Q901)+IF(COUNTIF(Q$1237:Q1504,1)=1,5,0)+IF(COUNTIF(R902:$W902,"&gt;"&amp;0)&lt;5,IF(AND(COUNTIF(Q$1237:Q1504,1)&gt;7,MOD(1+IFERROR(MATCH($C902,总览!$D$46:$D$345,1)+1,1),7)=0),$C$3,0),0)</f>
        <v>349.359821428571</v>
      </c>
      <c r="R902" s="131" cm="1">
        <f ca="1" t="array" ref="R902">IF(R1504=1,OFFSET($W$634,$B902,R$631-1)/SUMPRODUCT(--($D$631:$V$631=R$631),--($D1504:$V1504=1)),0)+SUM(R901)+IF(COUNTIF(R$1237:R1504,1)=1,5,0)+IF(COUNTIF(S902:$W902,"&gt;"&amp;0)&lt;5,IF(AND(COUNTIF(R$1237:R1504,1)&gt;7,MOD(1+IFERROR(MATCH($C902,总览!$D$46:$D$345,1)+1,1),7)=0),$C$3,0),0)</f>
        <v>340.978571428571</v>
      </c>
      <c r="S902" s="131" cm="1">
        <f ca="1" t="array" ref="S902">IF(S1504=1,OFFSET($W$634,$B902,S$631-1)/SUMPRODUCT(--($D$631:$V$631=S$631),--($D1504:$V1504=1)),0)+SUM(S901)+IF(COUNTIF(S$1237:S1504,1)=1,5,0)+IF(COUNTIF(T902:$W902,"&gt;"&amp;0)&lt;5,IF(AND(COUNTIF(S$1237:S1504,1)&gt;7,MOD(1+IFERROR(MATCH($C902,总览!$D$46:$D$345,1)+1,1),7)=0),$C$3,0),0)</f>
        <v>433.478571428572</v>
      </c>
      <c r="T902" s="131" cm="1">
        <f ca="1" t="array" ref="T902">IF(T1504=1,OFFSET($W$634,$B902,T$631-1)/SUMPRODUCT(--($D$631:$V$631=T$631),--($D1504:$V1504=1)),0)+SUM(T901)+IF(COUNTIF(T$1237:T1504,1)=1,5,0)+IF(COUNTIF(U902:$W902,"&gt;"&amp;0)&lt;5,IF(AND(COUNTIF(T$1237:T1504,1)&gt;7,MOD(1+IFERROR(MATCH($C902,总览!$D$46:$D$345,1)+1,1),7)=0),$C$3,0),0)</f>
        <v>316.545633551755</v>
      </c>
      <c r="U902" s="131" cm="1">
        <f ca="1" t="array" ref="U902">IF(U1504=1,OFFSET($W$634,$B902,U$631-1)/SUMPRODUCT(--($D$631:$V$631=U$631),--($D1504:$V1504=1)),0)+SUM(U901)+IF(COUNTIF(U$1237:U1504,1)=1,5,0)+IF(COUNTIF(V902:$W902,"&gt;"&amp;0)&lt;5,IF(AND(COUNTIF(U$1237:U1504,1)&gt;7,MOD(1+IFERROR(MATCH($C902,总览!$D$46:$D$345,1)+1,1),7)=0),$C$3,0),0)</f>
        <v>322.066419907054</v>
      </c>
      <c r="V902" s="131" cm="1">
        <f ca="1" t="array" ref="V902">IF(V1504=1,OFFSET($W$634,$B902,V$631-1)/SUMPRODUCT(--($D$631:$V$631=V$631),--($D1504:$V1504=1)),0)+SUM(V901)+IF(COUNTIF(V$1237:V1504,1)=1,5,0)+IF(COUNTIF(W902:$W902,"&gt;"&amp;0)&lt;5,IF(AND(COUNTIF(V$1237:V1504,1)&gt;7,MOD(1+IFERROR(MATCH($C902,总览!$D$46:$D$345,1)+1,1),7)=0),$C$3,0),0)</f>
        <v>341.893419619487</v>
      </c>
      <c r="W902" s="135" cm="1">
        <f ca="1" t="array" ref="W902">SUMPRODUCT(TRANSPOSE($AA902:$AG902),OFFSET($L$9:$L$15,0,W$631-1))</f>
        <v>16.8502200646615</v>
      </c>
      <c r="X902" s="135" cm="1">
        <f ca="1" t="array" ref="X902">SUMPRODUCT(TRANSPOSE($AA902:$AG902),OFFSET($L$9:$L$15,0,X$631-1))</f>
        <v>20</v>
      </c>
      <c r="Y902" s="135" cm="1">
        <f ca="1" t="array" ref="Y902">SUMPRODUCT(TRANSPOSE($AA902:$AG902),OFFSET($L$9:$L$15,0,Y$631-1))</f>
        <v>10</v>
      </c>
      <c r="Z902" s="135" cm="1">
        <f ca="1" t="array" ref="Z902">SUMPRODUCT(TRANSPOSE($AA902:$AG902),OFFSET($L$9:$L$15,0,Z$631-1))</f>
        <v>3.14977993533847</v>
      </c>
      <c r="AA902" s="136">
        <f ca="1" t="shared" ref="AA902:AG902" si="783">AH902-AH901</f>
        <v>0</v>
      </c>
      <c r="AB902" s="136">
        <f ca="1" t="shared" si="783"/>
        <v>0</v>
      </c>
      <c r="AC902" s="136">
        <f ca="1" t="shared" si="783"/>
        <v>0</v>
      </c>
      <c r="AD902" s="136">
        <f ca="1" t="shared" si="783"/>
        <v>0</v>
      </c>
      <c r="AE902" s="136">
        <f ca="1" t="shared" si="783"/>
        <v>0</v>
      </c>
      <c r="AF902" s="136">
        <f ca="1" t="shared" si="783"/>
        <v>0</v>
      </c>
      <c r="AG902" s="136">
        <f ca="1" t="shared" si="783"/>
        <v>100</v>
      </c>
      <c r="AH902" s="136">
        <f ca="1" t="shared" si="761"/>
        <v>450</v>
      </c>
      <c r="AI902" s="136">
        <f ca="1" t="shared" ref="AI902:AN902" si="784">IF($C902&gt;OFFSET($Q$8,MATCH(AI$634,$AH$634:$AN$634,0),0),OFFSET($P$8,MATCH(AI$634,$AH$634:$AN$634,0),0),MAX(0,$C902-OFFSET($Q$8,RIGHT(AI$634,1)-1,0)))</f>
        <v>909</v>
      </c>
      <c r="AJ902" s="136">
        <f ca="1" t="shared" si="784"/>
        <v>1818</v>
      </c>
      <c r="AK902" s="136">
        <f ca="1" t="shared" si="784"/>
        <v>2727</v>
      </c>
      <c r="AL902" s="136">
        <f ca="1" t="shared" si="784"/>
        <v>3636</v>
      </c>
      <c r="AM902" s="136">
        <f ca="1" t="shared" si="784"/>
        <v>4545</v>
      </c>
      <c r="AN902" s="136">
        <f ca="1" t="shared" si="784"/>
        <v>12715</v>
      </c>
    </row>
    <row r="903" s="106" customFormat="1" ht="16.5" spans="2:40">
      <c r="B903" s="117">
        <v>269</v>
      </c>
      <c r="C903" s="130">
        <f t="shared" si="759"/>
        <v>26900</v>
      </c>
      <c r="D903" s="131" cm="1">
        <f ca="1" t="array" ref="D903">IF(D1505=1,OFFSET($W$634,$B903,D$631-1)/SUMPRODUCT(--($D$631:$V$631=D$631),--($D1505:$V1505=1)),0)+SUM(D902)+IF(COUNTIF(D$1237:D1505,1)=1,5,0)+IF(COUNTIF(E903:$W903,"&gt;"&amp;0)&lt;5,IF(AND(COUNTIF(D$1237:D1505,1)&gt;7,MOD(1+IFERROR(MATCH($C903,总览!$D$46:$D$345,1)+1,1),7)=0),$C$3,0),0)</f>
        <v>1838.60658232879</v>
      </c>
      <c r="E903" s="131" cm="1">
        <f ca="1" t="array" ref="E903">IF(E1505=1,OFFSET($W$634,$B903,E$631-1)/SUMPRODUCT(--($D$631:$V$631=E$631),--($D1505:$V1505=1)),0)+SUM(E902)+IF(COUNTIF(E$1237:E1505,1)=1,5,0)+IF(COUNTIF(F903:$W903,"&gt;"&amp;0)&lt;5,IF(AND(COUNTIF(E$1237:E1505,1)&gt;7,MOD(1+IFERROR(MATCH($C903,总览!$D$46:$D$345,1)+1,1),7)=0),$C$3,0),0)</f>
        <v>1838.60658232879</v>
      </c>
      <c r="F903" s="131" cm="1">
        <f ca="1" t="array" ref="F903">IF(F1505=1,OFFSET($W$634,$B903,F$631-1)/SUMPRODUCT(--($D$631:$V$631=F$631),--($D1505:$V1505=1)),0)+SUM(F902)+IF(COUNTIF(F$1237:F1505,1)=1,5,0)+IF(COUNTIF(G903:$W903,"&gt;"&amp;0)&lt;5,IF(AND(COUNTIF(F$1237:F1505,1)&gt;7,MOD(1+IFERROR(MATCH($C903,总览!$D$46:$D$345,1)+1,1),7)=0),$C$3,0),0)</f>
        <v>1838.60658232879</v>
      </c>
      <c r="G903" s="131" cm="1">
        <f ca="1" t="array" ref="G903">IF(G1505=1,OFFSET($W$634,$B903,G$631-1)/SUMPRODUCT(--($D$631:$V$631=G$631),--($D1505:$V1505=1)),0)+SUM(G902)+IF(COUNTIF(G$1237:G1505,1)=1,5,0)+IF(COUNTIF(H903:$W903,"&gt;"&amp;0)&lt;5,IF(AND(COUNTIF(G$1237:G1505,1)&gt;7,MOD(1+IFERROR(MATCH($C903,总览!$D$46:$D$345,1)+1,1),7)=0),$C$3,0),0)</f>
        <v>836.066666666669</v>
      </c>
      <c r="H903" s="131" cm="1">
        <f ca="1" t="array" ref="H903">IF(H1505=1,OFFSET($W$634,$B903,H$631-1)/SUMPRODUCT(--($D$631:$V$631=H$631),--($D1505:$V1505=1)),0)+SUM(H902)+IF(COUNTIF(H$1237:H1505,1)=1,5,0)+IF(COUNTIF(I903:$W903,"&gt;"&amp;0)&lt;5,IF(AND(COUNTIF(H$1237:H1505,1)&gt;7,MOD(1+IFERROR(MATCH($C903,总览!$D$46:$D$345,1)+1,1),7)=0),$C$3,0),0)</f>
        <v>836.066666666669</v>
      </c>
      <c r="I903" s="131" cm="1">
        <f ca="1" t="array" ref="I903">IF(I1505=1,OFFSET($W$634,$B903,I$631-1)/SUMPRODUCT(--($D$631:$V$631=I$631),--($D1505:$V1505=1)),0)+SUM(I902)+IF(COUNTIF(I$1237:I1505,1)=1,5,0)+IF(COUNTIF(J903:$W903,"&gt;"&amp;0)&lt;5,IF(AND(COUNTIF(I$1237:I1505,1)&gt;7,MOD(1+IFERROR(MATCH($C903,总览!$D$46:$D$345,1)+1,1),7)=0),$C$3,0),0)</f>
        <v>836.066666666669</v>
      </c>
      <c r="J903" s="131" cm="1">
        <f ca="1" t="array" ref="J903">IF(J1505=1,OFFSET($W$634,$B903,J$631-1)/SUMPRODUCT(--($D$631:$V$631=J$631),--($D1505:$V1505=1)),0)+SUM(J902)+IF(COUNTIF(J$1237:J1505,1)=1,5,0)+IF(COUNTIF(K903:$W903,"&gt;"&amp;0)&lt;5,IF(AND(COUNTIF(J$1237:J1505,1)&gt;7,MOD(1+IFERROR(MATCH($C903,总览!$D$46:$D$345,1)+1,1),7)=0),$C$3,0),0)</f>
        <v>832.733333333336</v>
      </c>
      <c r="K903" s="131" cm="1">
        <f ca="1" t="array" ref="K903">IF(K1505=1,OFFSET($W$634,$B903,K$631-1)/SUMPRODUCT(--($D$631:$V$631=K$631),--($D1505:$V1505=1)),0)+SUM(K902)+IF(COUNTIF(K$1237:K1505,1)=1,5,0)+IF(COUNTIF(L903:$W903,"&gt;"&amp;0)&lt;5,IF(AND(COUNTIF(K$1237:K1505,1)&gt;7,MOD(1+IFERROR(MATCH($C903,总览!$D$46:$D$345,1)+1,1),7)=0),$C$3,0),0)</f>
        <v>830.233333333336</v>
      </c>
      <c r="L903" s="131" cm="1">
        <f ca="1" t="array" ref="L903">IF(L1505=1,OFFSET($W$634,$B903,L$631-1)/SUMPRODUCT(--($D$631:$V$631=L$631),--($D1505:$V1505=1)),0)+SUM(L902)+IF(COUNTIF(L$1237:L1505,1)=1,5,0)+IF(COUNTIF(M903:$W903,"&gt;"&amp;0)&lt;5,IF(AND(COUNTIF(L$1237:L1505,1)&gt;7,MOD(1+IFERROR(MATCH($C903,总览!$D$46:$D$345,1)+1,1),7)=0),$C$3,0),0)</f>
        <v>830.233333333336</v>
      </c>
      <c r="M903" s="131" cm="1">
        <f ca="1" t="array" ref="M903">IF(M1505=1,OFFSET($W$634,$B903,M$631-1)/SUMPRODUCT(--($D$631:$V$631=M$631),--($D1505:$V1505=1)),0)+SUM(M902)+IF(COUNTIF(M$1237:M1505,1)=1,5,0)+IF(COUNTIF(N903:$W903,"&gt;"&amp;0)&lt;5,IF(AND(COUNTIF(M$1237:M1505,1)&gt;7,MOD(1+IFERROR(MATCH($C903,总览!$D$46:$D$345,1)+1,1),7)=0),$C$3,0),0)</f>
        <v>342.038392857143</v>
      </c>
      <c r="N903" s="131" cm="1">
        <f ca="1" t="array" ref="N903">IF(N1505=1,OFFSET($W$634,$B903,N$631-1)/SUMPRODUCT(--($D$631:$V$631=N$631),--($D1505:$V1505=1)),0)+SUM(N902)+IF(COUNTIF(N$1237:N1505,1)=1,5,0)+IF(COUNTIF(O903:$W903,"&gt;"&amp;0)&lt;5,IF(AND(COUNTIF(N$1237:N1505,1)&gt;7,MOD(1+IFERROR(MATCH($C903,总览!$D$46:$D$345,1)+1,1),7)=0),$C$3,0),0)</f>
        <v>343.288392857143</v>
      </c>
      <c r="O903" s="131" cm="1">
        <f ca="1" t="array" ref="O903">IF(O1505=1,OFFSET($W$634,$B903,O$631-1)/SUMPRODUCT(--($D$631:$V$631=O$631),--($D1505:$V1505=1)),0)+SUM(O902)+IF(COUNTIF(O$1237:O1505,1)=1,5,0)+IF(COUNTIF(P903:$W903,"&gt;"&amp;0)&lt;5,IF(AND(COUNTIF(O$1237:O1505,1)&gt;7,MOD(1+IFERROR(MATCH($C903,总览!$D$46:$D$345,1)+1,1),7)=0),$C$3,0),0)</f>
        <v>348.288392857143</v>
      </c>
      <c r="P903" s="131" cm="1">
        <f ca="1" t="array" ref="P903">IF(P1505=1,OFFSET($W$634,$B903,P$631-1)/SUMPRODUCT(--($D$631:$V$631=P$631),--($D1505:$V1505=1)),0)+SUM(P902)+IF(COUNTIF(P$1237:P1505,1)=1,5,0)+IF(COUNTIF(Q903:$W903,"&gt;"&amp;0)&lt;5,IF(AND(COUNTIF(P$1237:P1505,1)&gt;7,MOD(1+IFERROR(MATCH($C903,总览!$D$46:$D$345,1)+1,1),7)=0),$C$3,0),0)</f>
        <v>337.407142857143</v>
      </c>
      <c r="Q903" s="131" cm="1">
        <f ca="1" t="array" ref="Q903">IF(Q1505=1,OFFSET($W$634,$B903,Q$631-1)/SUMPRODUCT(--($D$631:$V$631=Q$631),--($D1505:$V1505=1)),0)+SUM(Q902)+IF(COUNTIF(Q$1237:Q1505,1)=1,5,0)+IF(COUNTIF(R903:$W903,"&gt;"&amp;0)&lt;5,IF(AND(COUNTIF(Q$1237:Q1505,1)&gt;7,MOD(1+IFERROR(MATCH($C903,总览!$D$46:$D$345,1)+1,1),7)=0),$C$3,0),0)</f>
        <v>350.788392857143</v>
      </c>
      <c r="R903" s="131" cm="1">
        <f ca="1" t="array" ref="R903">IF(R1505=1,OFFSET($W$634,$B903,R$631-1)/SUMPRODUCT(--($D$631:$V$631=R$631),--($D1505:$V1505=1)),0)+SUM(R902)+IF(COUNTIF(R$1237:R1505,1)=1,5,0)+IF(COUNTIF(S903:$W903,"&gt;"&amp;0)&lt;5,IF(AND(COUNTIF(R$1237:R1505,1)&gt;7,MOD(1+IFERROR(MATCH($C903,总览!$D$46:$D$345,1)+1,1),7)=0),$C$3,0),0)</f>
        <v>342.407142857143</v>
      </c>
      <c r="S903" s="131" cm="1">
        <f ca="1" t="array" ref="S903">IF(S1505=1,OFFSET($W$634,$B903,S$631-1)/SUMPRODUCT(--($D$631:$V$631=S$631),--($D1505:$V1505=1)),0)+SUM(S902)+IF(COUNTIF(S$1237:S1505,1)=1,5,0)+IF(COUNTIF(T903:$W903,"&gt;"&amp;0)&lt;5,IF(AND(COUNTIF(S$1237:S1505,1)&gt;7,MOD(1+IFERROR(MATCH($C903,总览!$D$46:$D$345,1)+1,1),7)=0),$C$3,0),0)</f>
        <v>434.907142857144</v>
      </c>
      <c r="T903" s="131" cm="1">
        <f ca="1" t="array" ref="T903">IF(T1505=1,OFFSET($W$634,$B903,T$631-1)/SUMPRODUCT(--($D$631:$V$631=T$631),--($D1505:$V1505=1)),0)+SUM(T902)+IF(COUNTIF(T$1237:T1505,1)=1,5,0)+IF(COUNTIF(U903:$W903,"&gt;"&amp;0)&lt;5,IF(AND(COUNTIF(T$1237:T1505,1)&gt;7,MOD(1+IFERROR(MATCH($C903,总览!$D$46:$D$345,1)+1,1),7)=0),$C$3,0),0)</f>
        <v>317.595560196867</v>
      </c>
      <c r="U903" s="131" cm="1">
        <f ca="1" t="array" ref="U903">IF(U1505=1,OFFSET($W$634,$B903,U$631-1)/SUMPRODUCT(--($D$631:$V$631=U$631),--($D1505:$V1505=1)),0)+SUM(U902)+IF(COUNTIF(U$1237:U1505,1)=1,5,0)+IF(COUNTIF(V903:$W903,"&gt;"&amp;0)&lt;5,IF(AND(COUNTIF(U$1237:U1505,1)&gt;7,MOD(1+IFERROR(MATCH($C903,总览!$D$46:$D$345,1)+1,1),7)=0),$C$3,0),0)</f>
        <v>323.116346552167</v>
      </c>
      <c r="V903" s="131" cm="1">
        <f ca="1" t="array" ref="V903">IF(V1505=1,OFFSET($W$634,$B903,V$631-1)/SUMPRODUCT(--($D$631:$V$631=V$631),--($D1505:$V1505=1)),0)+SUM(V902)+IF(COUNTIF(V$1237:V1505,1)=1,5,0)+IF(COUNTIF(W903:$W903,"&gt;"&amp;0)&lt;5,IF(AND(COUNTIF(V$1237:V1505,1)&gt;7,MOD(1+IFERROR(MATCH($C903,总览!$D$46:$D$345,1)+1,1),7)=0),$C$3,0),0)</f>
        <v>342.9433462646</v>
      </c>
      <c r="W903" s="135" cm="1">
        <f ca="1" t="array" ref="W903">SUMPRODUCT(TRANSPOSE($AA903:$AG903),OFFSET($L$9:$L$15,0,W$631-1))</f>
        <v>16.8502200646615</v>
      </c>
      <c r="X903" s="135" cm="1">
        <f ca="1" t="array" ref="X903">SUMPRODUCT(TRANSPOSE($AA903:$AG903),OFFSET($L$9:$L$15,0,X$631-1))</f>
        <v>20</v>
      </c>
      <c r="Y903" s="135" cm="1">
        <f ca="1" t="array" ref="Y903">SUMPRODUCT(TRANSPOSE($AA903:$AG903),OFFSET($L$9:$L$15,0,Y$631-1))</f>
        <v>10</v>
      </c>
      <c r="Z903" s="135" cm="1">
        <f ca="1" t="array" ref="Z903">SUMPRODUCT(TRANSPOSE($AA903:$AG903),OFFSET($L$9:$L$15,0,Z$631-1))</f>
        <v>3.14977993533847</v>
      </c>
      <c r="AA903" s="136">
        <f ca="1" t="shared" ref="AA903:AG903" si="785">AH903-AH902</f>
        <v>0</v>
      </c>
      <c r="AB903" s="136">
        <f ca="1" t="shared" si="785"/>
        <v>0</v>
      </c>
      <c r="AC903" s="136">
        <f ca="1" t="shared" si="785"/>
        <v>0</v>
      </c>
      <c r="AD903" s="136">
        <f ca="1" t="shared" si="785"/>
        <v>0</v>
      </c>
      <c r="AE903" s="136">
        <f ca="1" t="shared" si="785"/>
        <v>0</v>
      </c>
      <c r="AF903" s="136">
        <f ca="1" t="shared" si="785"/>
        <v>0</v>
      </c>
      <c r="AG903" s="136">
        <f ca="1" t="shared" si="785"/>
        <v>100</v>
      </c>
      <c r="AH903" s="136">
        <f ca="1" t="shared" si="761"/>
        <v>450</v>
      </c>
      <c r="AI903" s="136">
        <f ca="1" t="shared" ref="AI903:AN903" si="786">IF($C903&gt;OFFSET($Q$8,MATCH(AI$634,$AH$634:$AN$634,0),0),OFFSET($P$8,MATCH(AI$634,$AH$634:$AN$634,0),0),MAX(0,$C903-OFFSET($Q$8,RIGHT(AI$634,1)-1,0)))</f>
        <v>909</v>
      </c>
      <c r="AJ903" s="136">
        <f ca="1" t="shared" si="786"/>
        <v>1818</v>
      </c>
      <c r="AK903" s="136">
        <f ca="1" t="shared" si="786"/>
        <v>2727</v>
      </c>
      <c r="AL903" s="136">
        <f ca="1" t="shared" si="786"/>
        <v>3636</v>
      </c>
      <c r="AM903" s="136">
        <f ca="1" t="shared" si="786"/>
        <v>4545</v>
      </c>
      <c r="AN903" s="136">
        <f ca="1" t="shared" si="786"/>
        <v>12815</v>
      </c>
    </row>
    <row r="904" s="106" customFormat="1" ht="16.5" spans="2:40">
      <c r="B904" s="117">
        <v>270</v>
      </c>
      <c r="C904" s="130">
        <f t="shared" si="759"/>
        <v>27000</v>
      </c>
      <c r="D904" s="131" cm="1">
        <f ca="1" t="array" ref="D904">IF(D1506=1,OFFSET($W$634,$B904,D$631-1)/SUMPRODUCT(--($D$631:$V$631=D$631),--($D1506:$V1506=1)),0)+SUM(D903)+IF(COUNTIF(D$1237:D1506,1)=1,5,0)+IF(COUNTIF(E904:$W904,"&gt;"&amp;0)&lt;5,IF(AND(COUNTIF(D$1237:D1506,1)&gt;7,MOD(1+IFERROR(MATCH($C904,总览!$D$46:$D$345,1)+1,1),7)=0),$C$3,0),0)</f>
        <v>1844.22332235034</v>
      </c>
      <c r="E904" s="131" cm="1">
        <f ca="1" t="array" ref="E904">IF(E1506=1,OFFSET($W$634,$B904,E$631-1)/SUMPRODUCT(--($D$631:$V$631=E$631),--($D1506:$V1506=1)),0)+SUM(E903)+IF(COUNTIF(E$1237:E1506,1)=1,5,0)+IF(COUNTIF(F904:$W904,"&gt;"&amp;0)&lt;5,IF(AND(COUNTIF(E$1237:E1506,1)&gt;7,MOD(1+IFERROR(MATCH($C904,总览!$D$46:$D$345,1)+1,1),7)=0),$C$3,0),0)</f>
        <v>1844.22332235034</v>
      </c>
      <c r="F904" s="131" cm="1">
        <f ca="1" t="array" ref="F904">IF(F1506=1,OFFSET($W$634,$B904,F$631-1)/SUMPRODUCT(--($D$631:$V$631=F$631),--($D1506:$V1506=1)),0)+SUM(F903)+IF(COUNTIF(F$1237:F1506,1)=1,5,0)+IF(COUNTIF(G904:$W904,"&gt;"&amp;0)&lt;5,IF(AND(COUNTIF(F$1237:F1506,1)&gt;7,MOD(1+IFERROR(MATCH($C904,总览!$D$46:$D$345,1)+1,1),7)=0),$C$3,0),0)</f>
        <v>1844.22332235034</v>
      </c>
      <c r="G904" s="131" cm="1">
        <f ca="1" t="array" ref="G904">IF(G1506=1,OFFSET($W$634,$B904,G$631-1)/SUMPRODUCT(--($D$631:$V$631=G$631),--($D1506:$V1506=1)),0)+SUM(G903)+IF(COUNTIF(G$1237:G1506,1)=1,5,0)+IF(COUNTIF(H904:$W904,"&gt;"&amp;0)&lt;5,IF(AND(COUNTIF(G$1237:G1506,1)&gt;7,MOD(1+IFERROR(MATCH($C904,总览!$D$46:$D$345,1)+1,1),7)=0),$C$3,0),0)</f>
        <v>839.400000000002</v>
      </c>
      <c r="H904" s="131" cm="1">
        <f ca="1" t="array" ref="H904">IF(H1506=1,OFFSET($W$634,$B904,H$631-1)/SUMPRODUCT(--($D$631:$V$631=H$631),--($D1506:$V1506=1)),0)+SUM(H903)+IF(COUNTIF(H$1237:H1506,1)=1,5,0)+IF(COUNTIF(I904:$W904,"&gt;"&amp;0)&lt;5,IF(AND(COUNTIF(H$1237:H1506,1)&gt;7,MOD(1+IFERROR(MATCH($C904,总览!$D$46:$D$345,1)+1,1),7)=0),$C$3,0),0)</f>
        <v>839.400000000002</v>
      </c>
      <c r="I904" s="131" cm="1">
        <f ca="1" t="array" ref="I904">IF(I1506=1,OFFSET($W$634,$B904,I$631-1)/SUMPRODUCT(--($D$631:$V$631=I$631),--($D1506:$V1506=1)),0)+SUM(I903)+IF(COUNTIF(I$1237:I1506,1)=1,5,0)+IF(COUNTIF(J904:$W904,"&gt;"&amp;0)&lt;5,IF(AND(COUNTIF(I$1237:I1506,1)&gt;7,MOD(1+IFERROR(MATCH($C904,总览!$D$46:$D$345,1)+1,1),7)=0),$C$3,0),0)</f>
        <v>839.400000000002</v>
      </c>
      <c r="J904" s="131" cm="1">
        <f ca="1" t="array" ref="J904">IF(J1506=1,OFFSET($W$634,$B904,J$631-1)/SUMPRODUCT(--($D$631:$V$631=J$631),--($D1506:$V1506=1)),0)+SUM(J903)+IF(COUNTIF(J$1237:J1506,1)=1,5,0)+IF(COUNTIF(K904:$W904,"&gt;"&amp;0)&lt;5,IF(AND(COUNTIF(J$1237:J1506,1)&gt;7,MOD(1+IFERROR(MATCH($C904,总览!$D$46:$D$345,1)+1,1),7)=0),$C$3,0),0)</f>
        <v>836.066666666669</v>
      </c>
      <c r="K904" s="131" cm="1">
        <f ca="1" t="array" ref="K904">IF(K1506=1,OFFSET($W$634,$B904,K$631-1)/SUMPRODUCT(--($D$631:$V$631=K$631),--($D1506:$V1506=1)),0)+SUM(K903)+IF(COUNTIF(K$1237:K1506,1)=1,5,0)+IF(COUNTIF(L904:$W904,"&gt;"&amp;0)&lt;5,IF(AND(COUNTIF(K$1237:K1506,1)&gt;7,MOD(1+IFERROR(MATCH($C904,总览!$D$46:$D$345,1)+1,1),7)=0),$C$3,0),0)</f>
        <v>833.566666666669</v>
      </c>
      <c r="L904" s="131" cm="1">
        <f ca="1" t="array" ref="L904">IF(L1506=1,OFFSET($W$634,$B904,L$631-1)/SUMPRODUCT(--($D$631:$V$631=L$631),--($D1506:$V1506=1)),0)+SUM(L903)+IF(COUNTIF(L$1237:L1506,1)=1,5,0)+IF(COUNTIF(M904:$W904,"&gt;"&amp;0)&lt;5,IF(AND(COUNTIF(L$1237:L1506,1)&gt;7,MOD(1+IFERROR(MATCH($C904,总览!$D$46:$D$345,1)+1,1),7)=0),$C$3,0),0)</f>
        <v>833.566666666669</v>
      </c>
      <c r="M904" s="131" cm="1">
        <f ca="1" t="array" ref="M904">IF(M1506=1,OFFSET($W$634,$B904,M$631-1)/SUMPRODUCT(--($D$631:$V$631=M$631),--($D1506:$V1506=1)),0)+SUM(M903)+IF(COUNTIF(M$1237:M1506,1)=1,5,0)+IF(COUNTIF(N904:$W904,"&gt;"&amp;0)&lt;5,IF(AND(COUNTIF(M$1237:M1506,1)&gt;7,MOD(1+IFERROR(MATCH($C904,总览!$D$46:$D$345,1)+1,1),7)=0),$C$3,0),0)</f>
        <v>343.466964285714</v>
      </c>
      <c r="N904" s="131" cm="1">
        <f ca="1" t="array" ref="N904">IF(N1506=1,OFFSET($W$634,$B904,N$631-1)/SUMPRODUCT(--($D$631:$V$631=N$631),--($D1506:$V1506=1)),0)+SUM(N903)+IF(COUNTIF(N$1237:N1506,1)=1,5,0)+IF(COUNTIF(O904:$W904,"&gt;"&amp;0)&lt;5,IF(AND(COUNTIF(N$1237:N1506,1)&gt;7,MOD(1+IFERROR(MATCH($C904,总览!$D$46:$D$345,1)+1,1),7)=0),$C$3,0),0)</f>
        <v>344.716964285714</v>
      </c>
      <c r="O904" s="131" cm="1">
        <f ca="1" t="array" ref="O904">IF(O1506=1,OFFSET($W$634,$B904,O$631-1)/SUMPRODUCT(--($D$631:$V$631=O$631),--($D1506:$V1506=1)),0)+SUM(O903)+IF(COUNTIF(O$1237:O1506,1)=1,5,0)+IF(COUNTIF(P904:$W904,"&gt;"&amp;0)&lt;5,IF(AND(COUNTIF(O$1237:O1506,1)&gt;7,MOD(1+IFERROR(MATCH($C904,总览!$D$46:$D$345,1)+1,1),7)=0),$C$3,0),0)</f>
        <v>349.716964285714</v>
      </c>
      <c r="P904" s="131" cm="1">
        <f ca="1" t="array" ref="P904">IF(P1506=1,OFFSET($W$634,$B904,P$631-1)/SUMPRODUCT(--($D$631:$V$631=P$631),--($D1506:$V1506=1)),0)+SUM(P903)+IF(COUNTIF(P$1237:P1506,1)=1,5,0)+IF(COUNTIF(Q904:$W904,"&gt;"&amp;0)&lt;5,IF(AND(COUNTIF(P$1237:P1506,1)&gt;7,MOD(1+IFERROR(MATCH($C904,总览!$D$46:$D$345,1)+1,1),7)=0),$C$3,0),0)</f>
        <v>338.835714285714</v>
      </c>
      <c r="Q904" s="131" cm="1">
        <f ca="1" t="array" ref="Q904">IF(Q1506=1,OFFSET($W$634,$B904,Q$631-1)/SUMPRODUCT(--($D$631:$V$631=Q$631),--($D1506:$V1506=1)),0)+SUM(Q903)+IF(COUNTIF(Q$1237:Q1506,1)=1,5,0)+IF(COUNTIF(R904:$W904,"&gt;"&amp;0)&lt;5,IF(AND(COUNTIF(Q$1237:Q1506,1)&gt;7,MOD(1+IFERROR(MATCH($C904,总览!$D$46:$D$345,1)+1,1),7)=0),$C$3,0),0)</f>
        <v>352.216964285714</v>
      </c>
      <c r="R904" s="131" cm="1">
        <f ca="1" t="array" ref="R904">IF(R1506=1,OFFSET($W$634,$B904,R$631-1)/SUMPRODUCT(--($D$631:$V$631=R$631),--($D1506:$V1506=1)),0)+SUM(R903)+IF(COUNTIF(R$1237:R1506,1)=1,5,0)+IF(COUNTIF(S904:$W904,"&gt;"&amp;0)&lt;5,IF(AND(COUNTIF(R$1237:R1506,1)&gt;7,MOD(1+IFERROR(MATCH($C904,总览!$D$46:$D$345,1)+1,1),7)=0),$C$3,0),0)</f>
        <v>343.835714285714</v>
      </c>
      <c r="S904" s="131" cm="1">
        <f ca="1" t="array" ref="S904">IF(S1506=1,OFFSET($W$634,$B904,S$631-1)/SUMPRODUCT(--($D$631:$V$631=S$631),--($D1506:$V1506=1)),0)+SUM(S903)+IF(COUNTIF(S$1237:S1506,1)=1,5,0)+IF(COUNTIF(T904:$W904,"&gt;"&amp;0)&lt;5,IF(AND(COUNTIF(S$1237:S1506,1)&gt;7,MOD(1+IFERROR(MATCH($C904,总览!$D$46:$D$345,1)+1,1),7)=0),$C$3,0),0)</f>
        <v>436.335714285715</v>
      </c>
      <c r="T904" s="131" cm="1">
        <f ca="1" t="array" ref="T904">IF(T1506=1,OFFSET($W$634,$B904,T$631-1)/SUMPRODUCT(--($D$631:$V$631=T$631),--($D1506:$V1506=1)),0)+SUM(T903)+IF(COUNTIF(T$1237:T1506,1)=1,5,0)+IF(COUNTIF(U904:$W904,"&gt;"&amp;0)&lt;5,IF(AND(COUNTIF(T$1237:T1506,1)&gt;7,MOD(1+IFERROR(MATCH($C904,总览!$D$46:$D$345,1)+1,1),7)=0),$C$3,0),0)</f>
        <v>318.64548684198</v>
      </c>
      <c r="U904" s="131" cm="1">
        <f ca="1" t="array" ref="U904">IF(U1506=1,OFFSET($W$634,$B904,U$631-1)/SUMPRODUCT(--($D$631:$V$631=U$631),--($D1506:$V1506=1)),0)+SUM(U903)+IF(COUNTIF(U$1237:U1506,1)=1,5,0)+IF(COUNTIF(V904:$W904,"&gt;"&amp;0)&lt;5,IF(AND(COUNTIF(U$1237:U1506,1)&gt;7,MOD(1+IFERROR(MATCH($C904,总览!$D$46:$D$345,1)+1,1),7)=0),$C$3,0),0)</f>
        <v>324.16627319728</v>
      </c>
      <c r="V904" s="131" cm="1">
        <f ca="1" t="array" ref="V904">IF(V1506=1,OFFSET($W$634,$B904,V$631-1)/SUMPRODUCT(--($D$631:$V$631=V$631),--($D1506:$V1506=1)),0)+SUM(V903)+IF(COUNTIF(V$1237:V1506,1)=1,5,0)+IF(COUNTIF(W904:$W904,"&gt;"&amp;0)&lt;5,IF(AND(COUNTIF(V$1237:V1506,1)&gt;7,MOD(1+IFERROR(MATCH($C904,总览!$D$46:$D$345,1)+1,1),7)=0),$C$3,0),0)</f>
        <v>343.993272909713</v>
      </c>
      <c r="W904" s="135" cm="1">
        <f ca="1" t="array" ref="W904">SUMPRODUCT(TRANSPOSE($AA904:$AG904),OFFSET($L$9:$L$15,0,W$631-1))</f>
        <v>16.8502200646615</v>
      </c>
      <c r="X904" s="135" cm="1">
        <f ca="1" t="array" ref="X904">SUMPRODUCT(TRANSPOSE($AA904:$AG904),OFFSET($L$9:$L$15,0,X$631-1))</f>
        <v>20</v>
      </c>
      <c r="Y904" s="135" cm="1">
        <f ca="1" t="array" ref="Y904">SUMPRODUCT(TRANSPOSE($AA904:$AG904),OFFSET($L$9:$L$15,0,Y$631-1))</f>
        <v>10</v>
      </c>
      <c r="Z904" s="135" cm="1">
        <f ca="1" t="array" ref="Z904">SUMPRODUCT(TRANSPOSE($AA904:$AG904),OFFSET($L$9:$L$15,0,Z$631-1))</f>
        <v>3.14977993533847</v>
      </c>
      <c r="AA904" s="136">
        <f ca="1" t="shared" ref="AA904:AG904" si="787">AH904-AH903</f>
        <v>0</v>
      </c>
      <c r="AB904" s="136">
        <f ca="1" t="shared" si="787"/>
        <v>0</v>
      </c>
      <c r="AC904" s="136">
        <f ca="1" t="shared" si="787"/>
        <v>0</v>
      </c>
      <c r="AD904" s="136">
        <f ca="1" t="shared" si="787"/>
        <v>0</v>
      </c>
      <c r="AE904" s="136">
        <f ca="1" t="shared" si="787"/>
        <v>0</v>
      </c>
      <c r="AF904" s="136">
        <f ca="1" t="shared" si="787"/>
        <v>0</v>
      </c>
      <c r="AG904" s="136">
        <f ca="1" t="shared" si="787"/>
        <v>100</v>
      </c>
      <c r="AH904" s="136">
        <f ca="1" t="shared" si="761"/>
        <v>450</v>
      </c>
      <c r="AI904" s="136">
        <f ca="1" t="shared" ref="AI904:AN904" si="788">IF($C904&gt;OFFSET($Q$8,MATCH(AI$634,$AH$634:$AN$634,0),0),OFFSET($P$8,MATCH(AI$634,$AH$634:$AN$634,0),0),MAX(0,$C904-OFFSET($Q$8,RIGHT(AI$634,1)-1,0)))</f>
        <v>909</v>
      </c>
      <c r="AJ904" s="136">
        <f ca="1" t="shared" si="788"/>
        <v>1818</v>
      </c>
      <c r="AK904" s="136">
        <f ca="1" t="shared" si="788"/>
        <v>2727</v>
      </c>
      <c r="AL904" s="136">
        <f ca="1" t="shared" si="788"/>
        <v>3636</v>
      </c>
      <c r="AM904" s="136">
        <f ca="1" t="shared" si="788"/>
        <v>4545</v>
      </c>
      <c r="AN904" s="136">
        <f ca="1" t="shared" si="788"/>
        <v>12915</v>
      </c>
    </row>
    <row r="905" s="106" customFormat="1" ht="16.5" spans="2:40">
      <c r="B905" s="117">
        <v>271</v>
      </c>
      <c r="C905" s="130">
        <f t="shared" si="759"/>
        <v>27100</v>
      </c>
      <c r="D905" s="131" cm="1">
        <f ca="1" t="array" ref="D905">IF(D1507=1,OFFSET($W$634,$B905,D$631-1)/SUMPRODUCT(--($D$631:$V$631=D$631),--($D1507:$V1507=1)),0)+SUM(D904)+IF(COUNTIF(D$1237:D1507,1)=1,5,0)+IF(COUNTIF(E905:$W905,"&gt;"&amp;0)&lt;5,IF(AND(COUNTIF(D$1237:D1507,1)&gt;7,MOD(1+IFERROR(MATCH($C905,总览!$D$46:$D$345,1)+1,1),7)=0),$C$3,0),0)</f>
        <v>1849.84006237189</v>
      </c>
      <c r="E905" s="131" cm="1">
        <f ca="1" t="array" ref="E905">IF(E1507=1,OFFSET($W$634,$B905,E$631-1)/SUMPRODUCT(--($D$631:$V$631=E$631),--($D1507:$V1507=1)),0)+SUM(E904)+IF(COUNTIF(E$1237:E1507,1)=1,5,0)+IF(COUNTIF(F905:$W905,"&gt;"&amp;0)&lt;5,IF(AND(COUNTIF(E$1237:E1507,1)&gt;7,MOD(1+IFERROR(MATCH($C905,总览!$D$46:$D$345,1)+1,1),7)=0),$C$3,0),0)</f>
        <v>1849.84006237189</v>
      </c>
      <c r="F905" s="131" cm="1">
        <f ca="1" t="array" ref="F905">IF(F1507=1,OFFSET($W$634,$B905,F$631-1)/SUMPRODUCT(--($D$631:$V$631=F$631),--($D1507:$V1507=1)),0)+SUM(F904)+IF(COUNTIF(F$1237:F1507,1)=1,5,0)+IF(COUNTIF(G905:$W905,"&gt;"&amp;0)&lt;5,IF(AND(COUNTIF(F$1237:F1507,1)&gt;7,MOD(1+IFERROR(MATCH($C905,总览!$D$46:$D$345,1)+1,1),7)=0),$C$3,0),0)</f>
        <v>1849.84006237189</v>
      </c>
      <c r="G905" s="131" cm="1">
        <f ca="1" t="array" ref="G905">IF(G1507=1,OFFSET($W$634,$B905,G$631-1)/SUMPRODUCT(--($D$631:$V$631=G$631),--($D1507:$V1507=1)),0)+SUM(G904)+IF(COUNTIF(G$1237:G1507,1)=1,5,0)+IF(COUNTIF(H905:$W905,"&gt;"&amp;0)&lt;5,IF(AND(COUNTIF(G$1237:G1507,1)&gt;7,MOD(1+IFERROR(MATCH($C905,总览!$D$46:$D$345,1)+1,1),7)=0),$C$3,0),0)</f>
        <v>842.733333333336</v>
      </c>
      <c r="H905" s="131" cm="1">
        <f ca="1" t="array" ref="H905">IF(H1507=1,OFFSET($W$634,$B905,H$631-1)/SUMPRODUCT(--($D$631:$V$631=H$631),--($D1507:$V1507=1)),0)+SUM(H904)+IF(COUNTIF(H$1237:H1507,1)=1,5,0)+IF(COUNTIF(I905:$W905,"&gt;"&amp;0)&lt;5,IF(AND(COUNTIF(H$1237:H1507,1)&gt;7,MOD(1+IFERROR(MATCH($C905,总览!$D$46:$D$345,1)+1,1),7)=0),$C$3,0),0)</f>
        <v>842.733333333336</v>
      </c>
      <c r="I905" s="131" cm="1">
        <f ca="1" t="array" ref="I905">IF(I1507=1,OFFSET($W$634,$B905,I$631-1)/SUMPRODUCT(--($D$631:$V$631=I$631),--($D1507:$V1507=1)),0)+SUM(I904)+IF(COUNTIF(I$1237:I1507,1)=1,5,0)+IF(COUNTIF(J905:$W905,"&gt;"&amp;0)&lt;5,IF(AND(COUNTIF(I$1237:I1507,1)&gt;7,MOD(1+IFERROR(MATCH($C905,总览!$D$46:$D$345,1)+1,1),7)=0),$C$3,0),0)</f>
        <v>842.733333333336</v>
      </c>
      <c r="J905" s="131" cm="1">
        <f ca="1" t="array" ref="J905">IF(J1507=1,OFFSET($W$634,$B905,J$631-1)/SUMPRODUCT(--($D$631:$V$631=J$631),--($D1507:$V1507=1)),0)+SUM(J904)+IF(COUNTIF(J$1237:J1507,1)=1,5,0)+IF(COUNTIF(K905:$W905,"&gt;"&amp;0)&lt;5,IF(AND(COUNTIF(J$1237:J1507,1)&gt;7,MOD(1+IFERROR(MATCH($C905,总览!$D$46:$D$345,1)+1,1),7)=0),$C$3,0),0)</f>
        <v>839.400000000002</v>
      </c>
      <c r="K905" s="131" cm="1">
        <f ca="1" t="array" ref="K905">IF(K1507=1,OFFSET($W$634,$B905,K$631-1)/SUMPRODUCT(--($D$631:$V$631=K$631),--($D1507:$V1507=1)),0)+SUM(K904)+IF(COUNTIF(K$1237:K1507,1)=1,5,0)+IF(COUNTIF(L905:$W905,"&gt;"&amp;0)&lt;5,IF(AND(COUNTIF(K$1237:K1507,1)&gt;7,MOD(1+IFERROR(MATCH($C905,总览!$D$46:$D$345,1)+1,1),7)=0),$C$3,0),0)</f>
        <v>836.900000000002</v>
      </c>
      <c r="L905" s="131" cm="1">
        <f ca="1" t="array" ref="L905">IF(L1507=1,OFFSET($W$634,$B905,L$631-1)/SUMPRODUCT(--($D$631:$V$631=L$631),--($D1507:$V1507=1)),0)+SUM(L904)+IF(COUNTIF(L$1237:L1507,1)=1,5,0)+IF(COUNTIF(M905:$W905,"&gt;"&amp;0)&lt;5,IF(AND(COUNTIF(L$1237:L1507,1)&gt;7,MOD(1+IFERROR(MATCH($C905,总览!$D$46:$D$345,1)+1,1),7)=0),$C$3,0),0)</f>
        <v>836.900000000002</v>
      </c>
      <c r="M905" s="131" cm="1">
        <f ca="1" t="array" ref="M905">IF(M1507=1,OFFSET($W$634,$B905,M$631-1)/SUMPRODUCT(--($D$631:$V$631=M$631),--($D1507:$V1507=1)),0)+SUM(M904)+IF(COUNTIF(M$1237:M1507,1)=1,5,0)+IF(COUNTIF(N905:$W905,"&gt;"&amp;0)&lt;5,IF(AND(COUNTIF(M$1237:M1507,1)&gt;7,MOD(1+IFERROR(MATCH($C905,总览!$D$46:$D$345,1)+1,1),7)=0),$C$3,0),0)</f>
        <v>344.895535714286</v>
      </c>
      <c r="N905" s="131" cm="1">
        <f ca="1" t="array" ref="N905">IF(N1507=1,OFFSET($W$634,$B905,N$631-1)/SUMPRODUCT(--($D$631:$V$631=N$631),--($D1507:$V1507=1)),0)+SUM(N904)+IF(COUNTIF(N$1237:N1507,1)=1,5,0)+IF(COUNTIF(O905:$W905,"&gt;"&amp;0)&lt;5,IF(AND(COUNTIF(N$1237:N1507,1)&gt;7,MOD(1+IFERROR(MATCH($C905,总览!$D$46:$D$345,1)+1,1),7)=0),$C$3,0),0)</f>
        <v>346.145535714286</v>
      </c>
      <c r="O905" s="131" cm="1">
        <f ca="1" t="array" ref="O905">IF(O1507=1,OFFSET($W$634,$B905,O$631-1)/SUMPRODUCT(--($D$631:$V$631=O$631),--($D1507:$V1507=1)),0)+SUM(O904)+IF(COUNTIF(O$1237:O1507,1)=1,5,0)+IF(COUNTIF(P905:$W905,"&gt;"&amp;0)&lt;5,IF(AND(COUNTIF(O$1237:O1507,1)&gt;7,MOD(1+IFERROR(MATCH($C905,总览!$D$46:$D$345,1)+1,1),7)=0),$C$3,0),0)</f>
        <v>351.145535714286</v>
      </c>
      <c r="P905" s="131" cm="1">
        <f ca="1" t="array" ref="P905">IF(P1507=1,OFFSET($W$634,$B905,P$631-1)/SUMPRODUCT(--($D$631:$V$631=P$631),--($D1507:$V1507=1)),0)+SUM(P904)+IF(COUNTIF(P$1237:P1507,1)=1,5,0)+IF(COUNTIF(Q905:$W905,"&gt;"&amp;0)&lt;5,IF(AND(COUNTIF(P$1237:P1507,1)&gt;7,MOD(1+IFERROR(MATCH($C905,总览!$D$46:$D$345,1)+1,1),7)=0),$C$3,0),0)</f>
        <v>340.264285714286</v>
      </c>
      <c r="Q905" s="131" cm="1">
        <f ca="1" t="array" ref="Q905">IF(Q1507=1,OFFSET($W$634,$B905,Q$631-1)/SUMPRODUCT(--($D$631:$V$631=Q$631),--($D1507:$V1507=1)),0)+SUM(Q904)+IF(COUNTIF(Q$1237:Q1507,1)=1,5,0)+IF(COUNTIF(R905:$W905,"&gt;"&amp;0)&lt;5,IF(AND(COUNTIF(Q$1237:Q1507,1)&gt;7,MOD(1+IFERROR(MATCH($C905,总览!$D$46:$D$345,1)+1,1),7)=0),$C$3,0),0)</f>
        <v>353.645535714286</v>
      </c>
      <c r="R905" s="131" cm="1">
        <f ca="1" t="array" ref="R905">IF(R1507=1,OFFSET($W$634,$B905,R$631-1)/SUMPRODUCT(--($D$631:$V$631=R$631),--($D1507:$V1507=1)),0)+SUM(R904)+IF(COUNTIF(R$1237:R1507,1)=1,5,0)+IF(COUNTIF(S905:$W905,"&gt;"&amp;0)&lt;5,IF(AND(COUNTIF(R$1237:R1507,1)&gt;7,MOD(1+IFERROR(MATCH($C905,总览!$D$46:$D$345,1)+1,1),7)=0),$C$3,0),0)</f>
        <v>345.264285714286</v>
      </c>
      <c r="S905" s="131" cm="1">
        <f ca="1" t="array" ref="S905">IF(S1507=1,OFFSET($W$634,$B905,S$631-1)/SUMPRODUCT(--($D$631:$V$631=S$631),--($D1507:$V1507=1)),0)+SUM(S904)+IF(COUNTIF(S$1237:S1507,1)=1,5,0)+IF(COUNTIF(T905:$W905,"&gt;"&amp;0)&lt;5,IF(AND(COUNTIF(S$1237:S1507,1)&gt;7,MOD(1+IFERROR(MATCH($C905,总览!$D$46:$D$345,1)+1,1),7)=0),$C$3,0),0)</f>
        <v>437.764285714287</v>
      </c>
      <c r="T905" s="131" cm="1">
        <f ca="1" t="array" ref="T905">IF(T1507=1,OFFSET($W$634,$B905,T$631-1)/SUMPRODUCT(--($D$631:$V$631=T$631),--($D1507:$V1507=1)),0)+SUM(T904)+IF(COUNTIF(T$1237:T1507,1)=1,5,0)+IF(COUNTIF(U905:$W905,"&gt;"&amp;0)&lt;5,IF(AND(COUNTIF(T$1237:T1507,1)&gt;7,MOD(1+IFERROR(MATCH($C905,总览!$D$46:$D$345,1)+1,1),7)=0),$C$3,0),0)</f>
        <v>319.695413487093</v>
      </c>
      <c r="U905" s="131" cm="1">
        <f ca="1" t="array" ref="U905">IF(U1507=1,OFFSET($W$634,$B905,U$631-1)/SUMPRODUCT(--($D$631:$V$631=U$631),--($D1507:$V1507=1)),0)+SUM(U904)+IF(COUNTIF(U$1237:U1507,1)=1,5,0)+IF(COUNTIF(V905:$W905,"&gt;"&amp;0)&lt;5,IF(AND(COUNTIF(U$1237:U1507,1)&gt;7,MOD(1+IFERROR(MATCH($C905,总览!$D$46:$D$345,1)+1,1),7)=0),$C$3,0),0)</f>
        <v>325.216199842393</v>
      </c>
      <c r="V905" s="131" cm="1">
        <f ca="1" t="array" ref="V905">IF(V1507=1,OFFSET($W$634,$B905,V$631-1)/SUMPRODUCT(--($D$631:$V$631=V$631),--($D1507:$V1507=1)),0)+SUM(V904)+IF(COUNTIF(V$1237:V1507,1)=1,5,0)+IF(COUNTIF(W905:$W905,"&gt;"&amp;0)&lt;5,IF(AND(COUNTIF(V$1237:V1507,1)&gt;7,MOD(1+IFERROR(MATCH($C905,总览!$D$46:$D$345,1)+1,1),7)=0),$C$3,0),0)</f>
        <v>345.043199554826</v>
      </c>
      <c r="W905" s="135" cm="1">
        <f ca="1" t="array" ref="W905">SUMPRODUCT(TRANSPOSE($AA905:$AG905),OFFSET($L$9:$L$15,0,W$631-1))</f>
        <v>16.8502200646615</v>
      </c>
      <c r="X905" s="135" cm="1">
        <f ca="1" t="array" ref="X905">SUMPRODUCT(TRANSPOSE($AA905:$AG905),OFFSET($L$9:$L$15,0,X$631-1))</f>
        <v>20</v>
      </c>
      <c r="Y905" s="135" cm="1">
        <f ca="1" t="array" ref="Y905">SUMPRODUCT(TRANSPOSE($AA905:$AG905),OFFSET($L$9:$L$15,0,Y$631-1))</f>
        <v>10</v>
      </c>
      <c r="Z905" s="135" cm="1">
        <f ca="1" t="array" ref="Z905">SUMPRODUCT(TRANSPOSE($AA905:$AG905),OFFSET($L$9:$L$15,0,Z$631-1))</f>
        <v>3.14977993533847</v>
      </c>
      <c r="AA905" s="136">
        <f ca="1" t="shared" ref="AA905:AG905" si="789">AH905-AH904</f>
        <v>0</v>
      </c>
      <c r="AB905" s="136">
        <f ca="1" t="shared" si="789"/>
        <v>0</v>
      </c>
      <c r="AC905" s="136">
        <f ca="1" t="shared" si="789"/>
        <v>0</v>
      </c>
      <c r="AD905" s="136">
        <f ca="1" t="shared" si="789"/>
        <v>0</v>
      </c>
      <c r="AE905" s="136">
        <f ca="1" t="shared" si="789"/>
        <v>0</v>
      </c>
      <c r="AF905" s="136">
        <f ca="1" t="shared" si="789"/>
        <v>0</v>
      </c>
      <c r="AG905" s="136">
        <f ca="1" t="shared" si="789"/>
        <v>100</v>
      </c>
      <c r="AH905" s="136">
        <f ca="1" t="shared" si="761"/>
        <v>450</v>
      </c>
      <c r="AI905" s="136">
        <f ca="1" t="shared" ref="AI905:AN905" si="790">IF($C905&gt;OFFSET($Q$8,MATCH(AI$634,$AH$634:$AN$634,0),0),OFFSET($P$8,MATCH(AI$634,$AH$634:$AN$634,0),0),MAX(0,$C905-OFFSET($Q$8,RIGHT(AI$634,1)-1,0)))</f>
        <v>909</v>
      </c>
      <c r="AJ905" s="136">
        <f ca="1" t="shared" si="790"/>
        <v>1818</v>
      </c>
      <c r="AK905" s="136">
        <f ca="1" t="shared" si="790"/>
        <v>2727</v>
      </c>
      <c r="AL905" s="136">
        <f ca="1" t="shared" si="790"/>
        <v>3636</v>
      </c>
      <c r="AM905" s="136">
        <f ca="1" t="shared" si="790"/>
        <v>4545</v>
      </c>
      <c r="AN905" s="136">
        <f ca="1" t="shared" si="790"/>
        <v>13015</v>
      </c>
    </row>
    <row r="906" s="106" customFormat="1" ht="16.5" spans="2:40">
      <c r="B906" s="117">
        <v>272</v>
      </c>
      <c r="C906" s="130">
        <f t="shared" si="759"/>
        <v>27200</v>
      </c>
      <c r="D906" s="131" cm="1">
        <f ca="1" t="array" ref="D906">IF(D1508=1,OFFSET($W$634,$B906,D$631-1)/SUMPRODUCT(--($D$631:$V$631=D$631),--($D1508:$V1508=1)),0)+SUM(D905)+IF(COUNTIF(D$1237:D1508,1)=1,5,0)+IF(COUNTIF(E906:$W906,"&gt;"&amp;0)&lt;5,IF(AND(COUNTIF(D$1237:D1508,1)&gt;7,MOD(1+IFERROR(MATCH($C906,总览!$D$46:$D$345,1)+1,1),7)=0),$C$3,0),0)</f>
        <v>1855.45680239345</v>
      </c>
      <c r="E906" s="131" cm="1">
        <f ca="1" t="array" ref="E906">IF(E1508=1,OFFSET($W$634,$B906,E$631-1)/SUMPRODUCT(--($D$631:$V$631=E$631),--($D1508:$V1508=1)),0)+SUM(E905)+IF(COUNTIF(E$1237:E1508,1)=1,5,0)+IF(COUNTIF(F906:$W906,"&gt;"&amp;0)&lt;5,IF(AND(COUNTIF(E$1237:E1508,1)&gt;7,MOD(1+IFERROR(MATCH($C906,总览!$D$46:$D$345,1)+1,1),7)=0),$C$3,0),0)</f>
        <v>1855.45680239345</v>
      </c>
      <c r="F906" s="131" cm="1">
        <f ca="1" t="array" ref="F906">IF(F1508=1,OFFSET($W$634,$B906,F$631-1)/SUMPRODUCT(--($D$631:$V$631=F$631),--($D1508:$V1508=1)),0)+SUM(F905)+IF(COUNTIF(F$1237:F1508,1)=1,5,0)+IF(COUNTIF(G906:$W906,"&gt;"&amp;0)&lt;5,IF(AND(COUNTIF(F$1237:F1508,1)&gt;7,MOD(1+IFERROR(MATCH($C906,总览!$D$46:$D$345,1)+1,1),7)=0),$C$3,0),0)</f>
        <v>1855.45680239345</v>
      </c>
      <c r="G906" s="131" cm="1">
        <f ca="1" t="array" ref="G906">IF(G1508=1,OFFSET($W$634,$B906,G$631-1)/SUMPRODUCT(--($D$631:$V$631=G$631),--($D1508:$V1508=1)),0)+SUM(G905)+IF(COUNTIF(G$1237:G1508,1)=1,5,0)+IF(COUNTIF(H906:$W906,"&gt;"&amp;0)&lt;5,IF(AND(COUNTIF(G$1237:G1508,1)&gt;7,MOD(1+IFERROR(MATCH($C906,总览!$D$46:$D$345,1)+1,1),7)=0),$C$3,0),0)</f>
        <v>846.066666666669</v>
      </c>
      <c r="H906" s="131" cm="1">
        <f ca="1" t="array" ref="H906">IF(H1508=1,OFFSET($W$634,$B906,H$631-1)/SUMPRODUCT(--($D$631:$V$631=H$631),--($D1508:$V1508=1)),0)+SUM(H905)+IF(COUNTIF(H$1237:H1508,1)=1,5,0)+IF(COUNTIF(I906:$W906,"&gt;"&amp;0)&lt;5,IF(AND(COUNTIF(H$1237:H1508,1)&gt;7,MOD(1+IFERROR(MATCH($C906,总览!$D$46:$D$345,1)+1,1),7)=0),$C$3,0),0)</f>
        <v>846.066666666669</v>
      </c>
      <c r="I906" s="131" cm="1">
        <f ca="1" t="array" ref="I906">IF(I1508=1,OFFSET($W$634,$B906,I$631-1)/SUMPRODUCT(--($D$631:$V$631=I$631),--($D1508:$V1508=1)),0)+SUM(I905)+IF(COUNTIF(I$1237:I1508,1)=1,5,0)+IF(COUNTIF(J906:$W906,"&gt;"&amp;0)&lt;5,IF(AND(COUNTIF(I$1237:I1508,1)&gt;7,MOD(1+IFERROR(MATCH($C906,总览!$D$46:$D$345,1)+1,1),7)=0),$C$3,0),0)</f>
        <v>846.066666666669</v>
      </c>
      <c r="J906" s="131" cm="1">
        <f ca="1" t="array" ref="J906">IF(J1508=1,OFFSET($W$634,$B906,J$631-1)/SUMPRODUCT(--($D$631:$V$631=J$631),--($D1508:$V1508=1)),0)+SUM(J905)+IF(COUNTIF(J$1237:J1508,1)=1,5,0)+IF(COUNTIF(K906:$W906,"&gt;"&amp;0)&lt;5,IF(AND(COUNTIF(J$1237:J1508,1)&gt;7,MOD(1+IFERROR(MATCH($C906,总览!$D$46:$D$345,1)+1,1),7)=0),$C$3,0),0)</f>
        <v>842.733333333336</v>
      </c>
      <c r="K906" s="131" cm="1">
        <f ca="1" t="array" ref="K906">IF(K1508=1,OFFSET($W$634,$B906,K$631-1)/SUMPRODUCT(--($D$631:$V$631=K$631),--($D1508:$V1508=1)),0)+SUM(K905)+IF(COUNTIF(K$1237:K1508,1)=1,5,0)+IF(COUNTIF(L906:$W906,"&gt;"&amp;0)&lt;5,IF(AND(COUNTIF(K$1237:K1508,1)&gt;7,MOD(1+IFERROR(MATCH($C906,总览!$D$46:$D$345,1)+1,1),7)=0),$C$3,0),0)</f>
        <v>840.233333333336</v>
      </c>
      <c r="L906" s="131" cm="1">
        <f ca="1" t="array" ref="L906">IF(L1508=1,OFFSET($W$634,$B906,L$631-1)/SUMPRODUCT(--($D$631:$V$631=L$631),--($D1508:$V1508=1)),0)+SUM(L905)+IF(COUNTIF(L$1237:L1508,1)=1,5,0)+IF(COUNTIF(M906:$W906,"&gt;"&amp;0)&lt;5,IF(AND(COUNTIF(L$1237:L1508,1)&gt;7,MOD(1+IFERROR(MATCH($C906,总览!$D$46:$D$345,1)+1,1),7)=0),$C$3,0),0)</f>
        <v>840.233333333336</v>
      </c>
      <c r="M906" s="131" cm="1">
        <f ca="1" t="array" ref="M906">IF(M1508=1,OFFSET($W$634,$B906,M$631-1)/SUMPRODUCT(--($D$631:$V$631=M$631),--($D1508:$V1508=1)),0)+SUM(M905)+IF(COUNTIF(M$1237:M1508,1)=1,5,0)+IF(COUNTIF(N906:$W906,"&gt;"&amp;0)&lt;5,IF(AND(COUNTIF(M$1237:M1508,1)&gt;7,MOD(1+IFERROR(MATCH($C906,总览!$D$46:$D$345,1)+1,1),7)=0),$C$3,0),0)</f>
        <v>346.324107142857</v>
      </c>
      <c r="N906" s="131" cm="1">
        <f ca="1" t="array" ref="N906">IF(N1508=1,OFFSET($W$634,$B906,N$631-1)/SUMPRODUCT(--($D$631:$V$631=N$631),--($D1508:$V1508=1)),0)+SUM(N905)+IF(COUNTIF(N$1237:N1508,1)=1,5,0)+IF(COUNTIF(O906:$W906,"&gt;"&amp;0)&lt;5,IF(AND(COUNTIF(N$1237:N1508,1)&gt;7,MOD(1+IFERROR(MATCH($C906,总览!$D$46:$D$345,1)+1,1),7)=0),$C$3,0),0)</f>
        <v>347.574107142857</v>
      </c>
      <c r="O906" s="131" cm="1">
        <f ca="1" t="array" ref="O906">IF(O1508=1,OFFSET($W$634,$B906,O$631-1)/SUMPRODUCT(--($D$631:$V$631=O$631),--($D1508:$V1508=1)),0)+SUM(O905)+IF(COUNTIF(O$1237:O1508,1)=1,5,0)+IF(COUNTIF(P906:$W906,"&gt;"&amp;0)&lt;5,IF(AND(COUNTIF(O$1237:O1508,1)&gt;7,MOD(1+IFERROR(MATCH($C906,总览!$D$46:$D$345,1)+1,1),7)=0),$C$3,0),0)</f>
        <v>352.574107142857</v>
      </c>
      <c r="P906" s="131" cm="1">
        <f ca="1" t="array" ref="P906">IF(P1508=1,OFFSET($W$634,$B906,P$631-1)/SUMPRODUCT(--($D$631:$V$631=P$631),--($D1508:$V1508=1)),0)+SUM(P905)+IF(COUNTIF(P$1237:P1508,1)=1,5,0)+IF(COUNTIF(Q906:$W906,"&gt;"&amp;0)&lt;5,IF(AND(COUNTIF(P$1237:P1508,1)&gt;7,MOD(1+IFERROR(MATCH($C906,总览!$D$46:$D$345,1)+1,1),7)=0),$C$3,0),0)</f>
        <v>341.692857142857</v>
      </c>
      <c r="Q906" s="131" cm="1">
        <f ca="1" t="array" ref="Q906">IF(Q1508=1,OFFSET($W$634,$B906,Q$631-1)/SUMPRODUCT(--($D$631:$V$631=Q$631),--($D1508:$V1508=1)),0)+SUM(Q905)+IF(COUNTIF(Q$1237:Q1508,1)=1,5,0)+IF(COUNTIF(R906:$W906,"&gt;"&amp;0)&lt;5,IF(AND(COUNTIF(Q$1237:Q1508,1)&gt;7,MOD(1+IFERROR(MATCH($C906,总览!$D$46:$D$345,1)+1,1),7)=0),$C$3,0),0)</f>
        <v>355.074107142857</v>
      </c>
      <c r="R906" s="131" cm="1">
        <f ca="1" t="array" ref="R906">IF(R1508=1,OFFSET($W$634,$B906,R$631-1)/SUMPRODUCT(--($D$631:$V$631=R$631),--($D1508:$V1508=1)),0)+SUM(R905)+IF(COUNTIF(R$1237:R1508,1)=1,5,0)+IF(COUNTIF(S906:$W906,"&gt;"&amp;0)&lt;5,IF(AND(COUNTIF(R$1237:R1508,1)&gt;7,MOD(1+IFERROR(MATCH($C906,总览!$D$46:$D$345,1)+1,1),7)=0),$C$3,0),0)</f>
        <v>346.692857142857</v>
      </c>
      <c r="S906" s="131" cm="1">
        <f ca="1" t="array" ref="S906">IF(S1508=1,OFFSET($W$634,$B906,S$631-1)/SUMPRODUCT(--($D$631:$V$631=S$631),--($D1508:$V1508=1)),0)+SUM(S905)+IF(COUNTIF(S$1237:S1508,1)=1,5,0)+IF(COUNTIF(T906:$W906,"&gt;"&amp;0)&lt;5,IF(AND(COUNTIF(S$1237:S1508,1)&gt;7,MOD(1+IFERROR(MATCH($C906,总览!$D$46:$D$345,1)+1,1),7)=0),$C$3,0),0)</f>
        <v>439.192857142858</v>
      </c>
      <c r="T906" s="131" cm="1">
        <f ca="1" t="array" ref="T906">IF(T1508=1,OFFSET($W$634,$B906,T$631-1)/SUMPRODUCT(--($D$631:$V$631=T$631),--($D1508:$V1508=1)),0)+SUM(T905)+IF(COUNTIF(T$1237:T1508,1)=1,5,0)+IF(COUNTIF(U906:$W906,"&gt;"&amp;0)&lt;5,IF(AND(COUNTIF(T$1237:T1508,1)&gt;7,MOD(1+IFERROR(MATCH($C906,总览!$D$46:$D$345,1)+1,1),7)=0),$C$3,0),0)</f>
        <v>320.745340132206</v>
      </c>
      <c r="U906" s="131" cm="1">
        <f ca="1" t="array" ref="U906">IF(U1508=1,OFFSET($W$634,$B906,U$631-1)/SUMPRODUCT(--($D$631:$V$631=U$631),--($D1508:$V1508=1)),0)+SUM(U905)+IF(COUNTIF(U$1237:U1508,1)=1,5,0)+IF(COUNTIF(V906:$W906,"&gt;"&amp;0)&lt;5,IF(AND(COUNTIF(U$1237:U1508,1)&gt;7,MOD(1+IFERROR(MATCH($C906,总览!$D$46:$D$345,1)+1,1),7)=0),$C$3,0),0)</f>
        <v>326.266126487505</v>
      </c>
      <c r="V906" s="131" cm="1">
        <f ca="1" t="array" ref="V906">IF(V1508=1,OFFSET($W$634,$B906,V$631-1)/SUMPRODUCT(--($D$631:$V$631=V$631),--($D1508:$V1508=1)),0)+SUM(V905)+IF(COUNTIF(V$1237:V1508,1)=1,5,0)+IF(COUNTIF(W906:$W906,"&gt;"&amp;0)&lt;5,IF(AND(COUNTIF(V$1237:V1508,1)&gt;7,MOD(1+IFERROR(MATCH($C906,总览!$D$46:$D$345,1)+1,1),7)=0),$C$3,0),0)</f>
        <v>346.093126199938</v>
      </c>
      <c r="W906" s="135" cm="1">
        <f ca="1" t="array" ref="W906">SUMPRODUCT(TRANSPOSE($AA906:$AG906),OFFSET($L$9:$L$15,0,W$631-1))</f>
        <v>16.8502200646615</v>
      </c>
      <c r="X906" s="135" cm="1">
        <f ca="1" t="array" ref="X906">SUMPRODUCT(TRANSPOSE($AA906:$AG906),OFFSET($L$9:$L$15,0,X$631-1))</f>
        <v>20</v>
      </c>
      <c r="Y906" s="135" cm="1">
        <f ca="1" t="array" ref="Y906">SUMPRODUCT(TRANSPOSE($AA906:$AG906),OFFSET($L$9:$L$15,0,Y$631-1))</f>
        <v>10</v>
      </c>
      <c r="Z906" s="135" cm="1">
        <f ca="1" t="array" ref="Z906">SUMPRODUCT(TRANSPOSE($AA906:$AG906),OFFSET($L$9:$L$15,0,Z$631-1))</f>
        <v>3.14977993533847</v>
      </c>
      <c r="AA906" s="136">
        <f ca="1" t="shared" ref="AA906:AG906" si="791">AH906-AH905</f>
        <v>0</v>
      </c>
      <c r="AB906" s="136">
        <f ca="1" t="shared" si="791"/>
        <v>0</v>
      </c>
      <c r="AC906" s="136">
        <f ca="1" t="shared" si="791"/>
        <v>0</v>
      </c>
      <c r="AD906" s="136">
        <f ca="1" t="shared" si="791"/>
        <v>0</v>
      </c>
      <c r="AE906" s="136">
        <f ca="1" t="shared" si="791"/>
        <v>0</v>
      </c>
      <c r="AF906" s="136">
        <f ca="1" t="shared" si="791"/>
        <v>0</v>
      </c>
      <c r="AG906" s="136">
        <f ca="1" t="shared" si="791"/>
        <v>100</v>
      </c>
      <c r="AH906" s="136">
        <f ca="1" t="shared" si="761"/>
        <v>450</v>
      </c>
      <c r="AI906" s="136">
        <f ca="1" t="shared" ref="AI906:AN906" si="792">IF($C906&gt;OFFSET($Q$8,MATCH(AI$634,$AH$634:$AN$634,0),0),OFFSET($P$8,MATCH(AI$634,$AH$634:$AN$634,0),0),MAX(0,$C906-OFFSET($Q$8,RIGHT(AI$634,1)-1,0)))</f>
        <v>909</v>
      </c>
      <c r="AJ906" s="136">
        <f ca="1" t="shared" si="792"/>
        <v>1818</v>
      </c>
      <c r="AK906" s="136">
        <f ca="1" t="shared" si="792"/>
        <v>2727</v>
      </c>
      <c r="AL906" s="136">
        <f ca="1" t="shared" si="792"/>
        <v>3636</v>
      </c>
      <c r="AM906" s="136">
        <f ca="1" t="shared" si="792"/>
        <v>4545</v>
      </c>
      <c r="AN906" s="136">
        <f ca="1" t="shared" si="792"/>
        <v>13115</v>
      </c>
    </row>
    <row r="907" s="106" customFormat="1" ht="16.5" spans="2:40">
      <c r="B907" s="117">
        <v>273</v>
      </c>
      <c r="C907" s="130">
        <f t="shared" si="759"/>
        <v>27300</v>
      </c>
      <c r="D907" s="131" cm="1">
        <f ca="1" t="array" ref="D907">IF(D1509=1,OFFSET($W$634,$B907,D$631-1)/SUMPRODUCT(--($D$631:$V$631=D$631),--($D1509:$V1509=1)),0)+SUM(D906)+IF(COUNTIF(D$1237:D1509,1)=1,5,0)+IF(COUNTIF(E907:$W907,"&gt;"&amp;0)&lt;5,IF(AND(COUNTIF(D$1237:D1509,1)&gt;7,MOD(1+IFERROR(MATCH($C907,总览!$D$46:$D$345,1)+1,1),7)=0),$C$3,0),0)</f>
        <v>1861.073542415</v>
      </c>
      <c r="E907" s="131" cm="1">
        <f ca="1" t="array" ref="E907">IF(E1509=1,OFFSET($W$634,$B907,E$631-1)/SUMPRODUCT(--($D$631:$V$631=E$631),--($D1509:$V1509=1)),0)+SUM(E906)+IF(COUNTIF(E$1237:E1509,1)=1,5,0)+IF(COUNTIF(F907:$W907,"&gt;"&amp;0)&lt;5,IF(AND(COUNTIF(E$1237:E1509,1)&gt;7,MOD(1+IFERROR(MATCH($C907,总览!$D$46:$D$345,1)+1,1),7)=0),$C$3,0),0)</f>
        <v>1861.073542415</v>
      </c>
      <c r="F907" s="131" cm="1">
        <f ca="1" t="array" ref="F907">IF(F1509=1,OFFSET($W$634,$B907,F$631-1)/SUMPRODUCT(--($D$631:$V$631=F$631),--($D1509:$V1509=1)),0)+SUM(F906)+IF(COUNTIF(F$1237:F1509,1)=1,5,0)+IF(COUNTIF(G907:$W907,"&gt;"&amp;0)&lt;5,IF(AND(COUNTIF(F$1237:F1509,1)&gt;7,MOD(1+IFERROR(MATCH($C907,总览!$D$46:$D$345,1)+1,1),7)=0),$C$3,0),0)</f>
        <v>1861.073542415</v>
      </c>
      <c r="G907" s="131" cm="1">
        <f ca="1" t="array" ref="G907">IF(G1509=1,OFFSET($W$634,$B907,G$631-1)/SUMPRODUCT(--($D$631:$V$631=G$631),--($D1509:$V1509=1)),0)+SUM(G906)+IF(COUNTIF(G$1237:G1509,1)=1,5,0)+IF(COUNTIF(H907:$W907,"&gt;"&amp;0)&lt;5,IF(AND(COUNTIF(G$1237:G1509,1)&gt;7,MOD(1+IFERROR(MATCH($C907,总览!$D$46:$D$345,1)+1,1),7)=0),$C$3,0),0)</f>
        <v>849.400000000002</v>
      </c>
      <c r="H907" s="131" cm="1">
        <f ca="1" t="array" ref="H907">IF(H1509=1,OFFSET($W$634,$B907,H$631-1)/SUMPRODUCT(--($D$631:$V$631=H$631),--($D1509:$V1509=1)),0)+SUM(H906)+IF(COUNTIF(H$1237:H1509,1)=1,5,0)+IF(COUNTIF(I907:$W907,"&gt;"&amp;0)&lt;5,IF(AND(COUNTIF(H$1237:H1509,1)&gt;7,MOD(1+IFERROR(MATCH($C907,总览!$D$46:$D$345,1)+1,1),7)=0),$C$3,0),0)</f>
        <v>849.400000000002</v>
      </c>
      <c r="I907" s="131" cm="1">
        <f ca="1" t="array" ref="I907">IF(I1509=1,OFFSET($W$634,$B907,I$631-1)/SUMPRODUCT(--($D$631:$V$631=I$631),--($D1509:$V1509=1)),0)+SUM(I906)+IF(COUNTIF(I$1237:I1509,1)=1,5,0)+IF(COUNTIF(J907:$W907,"&gt;"&amp;0)&lt;5,IF(AND(COUNTIF(I$1237:I1509,1)&gt;7,MOD(1+IFERROR(MATCH($C907,总览!$D$46:$D$345,1)+1,1),7)=0),$C$3,0),0)</f>
        <v>849.400000000002</v>
      </c>
      <c r="J907" s="131" cm="1">
        <f ca="1" t="array" ref="J907">IF(J1509=1,OFFSET($W$634,$B907,J$631-1)/SUMPRODUCT(--($D$631:$V$631=J$631),--($D1509:$V1509=1)),0)+SUM(J906)+IF(COUNTIF(J$1237:J1509,1)=1,5,0)+IF(COUNTIF(K907:$W907,"&gt;"&amp;0)&lt;5,IF(AND(COUNTIF(J$1237:J1509,1)&gt;7,MOD(1+IFERROR(MATCH($C907,总览!$D$46:$D$345,1)+1,1),7)=0),$C$3,0),0)</f>
        <v>846.066666666669</v>
      </c>
      <c r="K907" s="131" cm="1">
        <f ca="1" t="array" ref="K907">IF(K1509=1,OFFSET($W$634,$B907,K$631-1)/SUMPRODUCT(--($D$631:$V$631=K$631),--($D1509:$V1509=1)),0)+SUM(K906)+IF(COUNTIF(K$1237:K1509,1)=1,5,0)+IF(COUNTIF(L907:$W907,"&gt;"&amp;0)&lt;5,IF(AND(COUNTIF(K$1237:K1509,1)&gt;7,MOD(1+IFERROR(MATCH($C907,总览!$D$46:$D$345,1)+1,1),7)=0),$C$3,0),0)</f>
        <v>843.566666666669</v>
      </c>
      <c r="L907" s="131" cm="1">
        <f ca="1" t="array" ref="L907">IF(L1509=1,OFFSET($W$634,$B907,L$631-1)/SUMPRODUCT(--($D$631:$V$631=L$631),--($D1509:$V1509=1)),0)+SUM(L906)+IF(COUNTIF(L$1237:L1509,1)=1,5,0)+IF(COUNTIF(M907:$W907,"&gt;"&amp;0)&lt;5,IF(AND(COUNTIF(L$1237:L1509,1)&gt;7,MOD(1+IFERROR(MATCH($C907,总览!$D$46:$D$345,1)+1,1),7)=0),$C$3,0),0)</f>
        <v>843.566666666669</v>
      </c>
      <c r="M907" s="131" cm="1">
        <f ca="1" t="array" ref="M907">IF(M1509=1,OFFSET($W$634,$B907,M$631-1)/SUMPRODUCT(--($D$631:$V$631=M$631),--($D1509:$V1509=1)),0)+SUM(M906)+IF(COUNTIF(M$1237:M1509,1)=1,5,0)+IF(COUNTIF(N907:$W907,"&gt;"&amp;0)&lt;5,IF(AND(COUNTIF(M$1237:M1509,1)&gt;7,MOD(1+IFERROR(MATCH($C907,总览!$D$46:$D$345,1)+1,1),7)=0),$C$3,0),0)</f>
        <v>347.752678571428</v>
      </c>
      <c r="N907" s="131" cm="1">
        <f ca="1" t="array" ref="N907">IF(N1509=1,OFFSET($W$634,$B907,N$631-1)/SUMPRODUCT(--($D$631:$V$631=N$631),--($D1509:$V1509=1)),0)+SUM(N906)+IF(COUNTIF(N$1237:N1509,1)=1,5,0)+IF(COUNTIF(O907:$W907,"&gt;"&amp;0)&lt;5,IF(AND(COUNTIF(N$1237:N1509,1)&gt;7,MOD(1+IFERROR(MATCH($C907,总览!$D$46:$D$345,1)+1,1),7)=0),$C$3,0),0)</f>
        <v>349.002678571428</v>
      </c>
      <c r="O907" s="131" cm="1">
        <f ca="1" t="array" ref="O907">IF(O1509=1,OFFSET($W$634,$B907,O$631-1)/SUMPRODUCT(--($D$631:$V$631=O$631),--($D1509:$V1509=1)),0)+SUM(O906)+IF(COUNTIF(O$1237:O1509,1)=1,5,0)+IF(COUNTIF(P907:$W907,"&gt;"&amp;0)&lt;5,IF(AND(COUNTIF(O$1237:O1509,1)&gt;7,MOD(1+IFERROR(MATCH($C907,总览!$D$46:$D$345,1)+1,1),7)=0),$C$3,0),0)</f>
        <v>354.002678571428</v>
      </c>
      <c r="P907" s="131" cm="1">
        <f ca="1" t="array" ref="P907">IF(P1509=1,OFFSET($W$634,$B907,P$631-1)/SUMPRODUCT(--($D$631:$V$631=P$631),--($D1509:$V1509=1)),0)+SUM(P906)+IF(COUNTIF(P$1237:P1509,1)=1,5,0)+IF(COUNTIF(Q907:$W907,"&gt;"&amp;0)&lt;5,IF(AND(COUNTIF(P$1237:P1509,1)&gt;7,MOD(1+IFERROR(MATCH($C907,总览!$D$46:$D$345,1)+1,1),7)=0),$C$3,0),0)</f>
        <v>343.121428571428</v>
      </c>
      <c r="Q907" s="131" cm="1">
        <f ca="1" t="array" ref="Q907">IF(Q1509=1,OFFSET($W$634,$B907,Q$631-1)/SUMPRODUCT(--($D$631:$V$631=Q$631),--($D1509:$V1509=1)),0)+SUM(Q906)+IF(COUNTIF(Q$1237:Q1509,1)=1,5,0)+IF(COUNTIF(R907:$W907,"&gt;"&amp;0)&lt;5,IF(AND(COUNTIF(Q$1237:Q1509,1)&gt;7,MOD(1+IFERROR(MATCH($C907,总览!$D$46:$D$345,1)+1,1),7)=0),$C$3,0),0)</f>
        <v>356.502678571428</v>
      </c>
      <c r="R907" s="131" cm="1">
        <f ca="1" t="array" ref="R907">IF(R1509=1,OFFSET($W$634,$B907,R$631-1)/SUMPRODUCT(--($D$631:$V$631=R$631),--($D1509:$V1509=1)),0)+SUM(R906)+IF(COUNTIF(R$1237:R1509,1)=1,5,0)+IF(COUNTIF(S907:$W907,"&gt;"&amp;0)&lt;5,IF(AND(COUNTIF(R$1237:R1509,1)&gt;7,MOD(1+IFERROR(MATCH($C907,总览!$D$46:$D$345,1)+1,1),7)=0),$C$3,0),0)</f>
        <v>348.121428571428</v>
      </c>
      <c r="S907" s="131" cm="1">
        <f ca="1" t="array" ref="S907">IF(S1509=1,OFFSET($W$634,$B907,S$631-1)/SUMPRODUCT(--($D$631:$V$631=S$631),--($D1509:$V1509=1)),0)+SUM(S906)+IF(COUNTIF(S$1237:S1509,1)=1,5,0)+IF(COUNTIF(T907:$W907,"&gt;"&amp;0)&lt;5,IF(AND(COUNTIF(S$1237:S1509,1)&gt;7,MOD(1+IFERROR(MATCH($C907,总览!$D$46:$D$345,1)+1,1),7)=0),$C$3,0),0)</f>
        <v>440.62142857143</v>
      </c>
      <c r="T907" s="131" cm="1">
        <f ca="1" t="array" ref="T907">IF(T1509=1,OFFSET($W$634,$B907,T$631-1)/SUMPRODUCT(--($D$631:$V$631=T$631),--($D1509:$V1509=1)),0)+SUM(T906)+IF(COUNTIF(T$1237:T1509,1)=1,5,0)+IF(COUNTIF(U907:$W907,"&gt;"&amp;0)&lt;5,IF(AND(COUNTIF(T$1237:T1509,1)&gt;7,MOD(1+IFERROR(MATCH($C907,总览!$D$46:$D$345,1)+1,1),7)=0),$C$3,0),0)</f>
        <v>321.795266777319</v>
      </c>
      <c r="U907" s="131" cm="1">
        <f ca="1" t="array" ref="U907">IF(U1509=1,OFFSET($W$634,$B907,U$631-1)/SUMPRODUCT(--($D$631:$V$631=U$631),--($D1509:$V1509=1)),0)+SUM(U906)+IF(COUNTIF(U$1237:U1509,1)=1,5,0)+IF(COUNTIF(V907:$W907,"&gt;"&amp;0)&lt;5,IF(AND(COUNTIF(U$1237:U1509,1)&gt;7,MOD(1+IFERROR(MATCH($C907,总览!$D$46:$D$345,1)+1,1),7)=0),$C$3,0),0)</f>
        <v>327.316053132618</v>
      </c>
      <c r="V907" s="131" cm="1">
        <f ca="1" t="array" ref="V907">IF(V1509=1,OFFSET($W$634,$B907,V$631-1)/SUMPRODUCT(--($D$631:$V$631=V$631),--($D1509:$V1509=1)),0)+SUM(V906)+IF(COUNTIF(V$1237:V1509,1)=1,5,0)+IF(COUNTIF(W907:$W907,"&gt;"&amp;0)&lt;5,IF(AND(COUNTIF(V$1237:V1509,1)&gt;7,MOD(1+IFERROR(MATCH($C907,总览!$D$46:$D$345,1)+1,1),7)=0),$C$3,0),0)</f>
        <v>347.143052845051</v>
      </c>
      <c r="W907" s="135" cm="1">
        <f ca="1" t="array" ref="W907">SUMPRODUCT(TRANSPOSE($AA907:$AG907),OFFSET($L$9:$L$15,0,W$631-1))</f>
        <v>16.8502200646615</v>
      </c>
      <c r="X907" s="135" cm="1">
        <f ca="1" t="array" ref="X907">SUMPRODUCT(TRANSPOSE($AA907:$AG907),OFFSET($L$9:$L$15,0,X$631-1))</f>
        <v>20</v>
      </c>
      <c r="Y907" s="135" cm="1">
        <f ca="1" t="array" ref="Y907">SUMPRODUCT(TRANSPOSE($AA907:$AG907),OFFSET($L$9:$L$15,0,Y$631-1))</f>
        <v>10</v>
      </c>
      <c r="Z907" s="135" cm="1">
        <f ca="1" t="array" ref="Z907">SUMPRODUCT(TRANSPOSE($AA907:$AG907),OFFSET($L$9:$L$15,0,Z$631-1))</f>
        <v>3.14977993533847</v>
      </c>
      <c r="AA907" s="136">
        <f ca="1" t="shared" ref="AA907:AG907" si="793">AH907-AH906</f>
        <v>0</v>
      </c>
      <c r="AB907" s="136">
        <f ca="1" t="shared" si="793"/>
        <v>0</v>
      </c>
      <c r="AC907" s="136">
        <f ca="1" t="shared" si="793"/>
        <v>0</v>
      </c>
      <c r="AD907" s="136">
        <f ca="1" t="shared" si="793"/>
        <v>0</v>
      </c>
      <c r="AE907" s="136">
        <f ca="1" t="shared" si="793"/>
        <v>0</v>
      </c>
      <c r="AF907" s="136">
        <f ca="1" t="shared" si="793"/>
        <v>0</v>
      </c>
      <c r="AG907" s="136">
        <f ca="1" t="shared" si="793"/>
        <v>100</v>
      </c>
      <c r="AH907" s="136">
        <f ca="1" t="shared" si="761"/>
        <v>450</v>
      </c>
      <c r="AI907" s="136">
        <f ca="1" t="shared" ref="AI907:AN907" si="794">IF($C907&gt;OFFSET($Q$8,MATCH(AI$634,$AH$634:$AN$634,0),0),OFFSET($P$8,MATCH(AI$634,$AH$634:$AN$634,0),0),MAX(0,$C907-OFFSET($Q$8,RIGHT(AI$634,1)-1,0)))</f>
        <v>909</v>
      </c>
      <c r="AJ907" s="136">
        <f ca="1" t="shared" si="794"/>
        <v>1818</v>
      </c>
      <c r="AK907" s="136">
        <f ca="1" t="shared" si="794"/>
        <v>2727</v>
      </c>
      <c r="AL907" s="136">
        <f ca="1" t="shared" si="794"/>
        <v>3636</v>
      </c>
      <c r="AM907" s="136">
        <f ca="1" t="shared" si="794"/>
        <v>4545</v>
      </c>
      <c r="AN907" s="136">
        <f ca="1" t="shared" si="794"/>
        <v>13215</v>
      </c>
    </row>
    <row r="908" s="106" customFormat="1" ht="16.5" spans="2:40">
      <c r="B908" s="117">
        <v>274</v>
      </c>
      <c r="C908" s="130">
        <f t="shared" si="759"/>
        <v>27400</v>
      </c>
      <c r="D908" s="131" cm="1">
        <f ca="1" t="array" ref="D908">IF(D1510=1,OFFSET($W$634,$B908,D$631-1)/SUMPRODUCT(--($D$631:$V$631=D$631),--($D1510:$V1510=1)),0)+SUM(D907)+IF(COUNTIF(D$1237:D1510,1)=1,5,0)+IF(COUNTIF(E908:$W908,"&gt;"&amp;0)&lt;5,IF(AND(COUNTIF(D$1237:D1510,1)&gt;7,MOD(1+IFERROR(MATCH($C908,总览!$D$46:$D$345,1)+1,1),7)=0),$C$3,0),0)</f>
        <v>1866.69028243655</v>
      </c>
      <c r="E908" s="131" cm="1">
        <f ca="1" t="array" ref="E908">IF(E1510=1,OFFSET($W$634,$B908,E$631-1)/SUMPRODUCT(--($D$631:$V$631=E$631),--($D1510:$V1510=1)),0)+SUM(E907)+IF(COUNTIF(E$1237:E1510,1)=1,5,0)+IF(COUNTIF(F908:$W908,"&gt;"&amp;0)&lt;5,IF(AND(COUNTIF(E$1237:E1510,1)&gt;7,MOD(1+IFERROR(MATCH($C908,总览!$D$46:$D$345,1)+1,1),7)=0),$C$3,0),0)</f>
        <v>1866.69028243655</v>
      </c>
      <c r="F908" s="131" cm="1">
        <f ca="1" t="array" ref="F908">IF(F1510=1,OFFSET($W$634,$B908,F$631-1)/SUMPRODUCT(--($D$631:$V$631=F$631),--($D1510:$V1510=1)),0)+SUM(F907)+IF(COUNTIF(F$1237:F1510,1)=1,5,0)+IF(COUNTIF(G908:$W908,"&gt;"&amp;0)&lt;5,IF(AND(COUNTIF(F$1237:F1510,1)&gt;7,MOD(1+IFERROR(MATCH($C908,总览!$D$46:$D$345,1)+1,1),7)=0),$C$3,0),0)</f>
        <v>1866.69028243655</v>
      </c>
      <c r="G908" s="131" cm="1">
        <f ca="1" t="array" ref="G908">IF(G1510=1,OFFSET($W$634,$B908,G$631-1)/SUMPRODUCT(--($D$631:$V$631=G$631),--($D1510:$V1510=1)),0)+SUM(G907)+IF(COUNTIF(G$1237:G1510,1)=1,5,0)+IF(COUNTIF(H908:$W908,"&gt;"&amp;0)&lt;5,IF(AND(COUNTIF(G$1237:G1510,1)&gt;7,MOD(1+IFERROR(MATCH($C908,总览!$D$46:$D$345,1)+1,1),7)=0),$C$3,0),0)</f>
        <v>852.733333333336</v>
      </c>
      <c r="H908" s="131" cm="1">
        <f ca="1" t="array" ref="H908">IF(H1510=1,OFFSET($W$634,$B908,H$631-1)/SUMPRODUCT(--($D$631:$V$631=H$631),--($D1510:$V1510=1)),0)+SUM(H907)+IF(COUNTIF(H$1237:H1510,1)=1,5,0)+IF(COUNTIF(I908:$W908,"&gt;"&amp;0)&lt;5,IF(AND(COUNTIF(H$1237:H1510,1)&gt;7,MOD(1+IFERROR(MATCH($C908,总览!$D$46:$D$345,1)+1,1),7)=0),$C$3,0),0)</f>
        <v>852.733333333336</v>
      </c>
      <c r="I908" s="131" cm="1">
        <f ca="1" t="array" ref="I908">IF(I1510=1,OFFSET($W$634,$B908,I$631-1)/SUMPRODUCT(--($D$631:$V$631=I$631),--($D1510:$V1510=1)),0)+SUM(I907)+IF(COUNTIF(I$1237:I1510,1)=1,5,0)+IF(COUNTIF(J908:$W908,"&gt;"&amp;0)&lt;5,IF(AND(COUNTIF(I$1237:I1510,1)&gt;7,MOD(1+IFERROR(MATCH($C908,总览!$D$46:$D$345,1)+1,1),7)=0),$C$3,0),0)</f>
        <v>852.733333333336</v>
      </c>
      <c r="J908" s="131" cm="1">
        <f ca="1" t="array" ref="J908">IF(J1510=1,OFFSET($W$634,$B908,J$631-1)/SUMPRODUCT(--($D$631:$V$631=J$631),--($D1510:$V1510=1)),0)+SUM(J907)+IF(COUNTIF(J$1237:J1510,1)=1,5,0)+IF(COUNTIF(K908:$W908,"&gt;"&amp;0)&lt;5,IF(AND(COUNTIF(J$1237:J1510,1)&gt;7,MOD(1+IFERROR(MATCH($C908,总览!$D$46:$D$345,1)+1,1),7)=0),$C$3,0),0)</f>
        <v>849.400000000002</v>
      </c>
      <c r="K908" s="131" cm="1">
        <f ca="1" t="array" ref="K908">IF(K1510=1,OFFSET($W$634,$B908,K$631-1)/SUMPRODUCT(--($D$631:$V$631=K$631),--($D1510:$V1510=1)),0)+SUM(K907)+IF(COUNTIF(K$1237:K1510,1)=1,5,0)+IF(COUNTIF(L908:$W908,"&gt;"&amp;0)&lt;5,IF(AND(COUNTIF(K$1237:K1510,1)&gt;7,MOD(1+IFERROR(MATCH($C908,总览!$D$46:$D$345,1)+1,1),7)=0),$C$3,0),0)</f>
        <v>846.900000000002</v>
      </c>
      <c r="L908" s="131" cm="1">
        <f ca="1" t="array" ref="L908">IF(L1510=1,OFFSET($W$634,$B908,L$631-1)/SUMPRODUCT(--($D$631:$V$631=L$631),--($D1510:$V1510=1)),0)+SUM(L907)+IF(COUNTIF(L$1237:L1510,1)=1,5,0)+IF(COUNTIF(M908:$W908,"&gt;"&amp;0)&lt;5,IF(AND(COUNTIF(L$1237:L1510,1)&gt;7,MOD(1+IFERROR(MATCH($C908,总览!$D$46:$D$345,1)+1,1),7)=0),$C$3,0),0)</f>
        <v>846.900000000002</v>
      </c>
      <c r="M908" s="131" cm="1">
        <f ca="1" t="array" ref="M908">IF(M1510=1,OFFSET($W$634,$B908,M$631-1)/SUMPRODUCT(--($D$631:$V$631=M$631),--($D1510:$V1510=1)),0)+SUM(M907)+IF(COUNTIF(M$1237:M1510,1)=1,5,0)+IF(COUNTIF(N908:$W908,"&gt;"&amp;0)&lt;5,IF(AND(COUNTIF(M$1237:M1510,1)&gt;7,MOD(1+IFERROR(MATCH($C908,总览!$D$46:$D$345,1)+1,1),7)=0),$C$3,0),0)</f>
        <v>349.18125</v>
      </c>
      <c r="N908" s="131" cm="1">
        <f ca="1" t="array" ref="N908">IF(N1510=1,OFFSET($W$634,$B908,N$631-1)/SUMPRODUCT(--($D$631:$V$631=N$631),--($D1510:$V1510=1)),0)+SUM(N907)+IF(COUNTIF(N$1237:N1510,1)=1,5,0)+IF(COUNTIF(O908:$W908,"&gt;"&amp;0)&lt;5,IF(AND(COUNTIF(N$1237:N1510,1)&gt;7,MOD(1+IFERROR(MATCH($C908,总览!$D$46:$D$345,1)+1,1),7)=0),$C$3,0),0)</f>
        <v>350.43125</v>
      </c>
      <c r="O908" s="131" cm="1">
        <f ca="1" t="array" ref="O908">IF(O1510=1,OFFSET($W$634,$B908,O$631-1)/SUMPRODUCT(--($D$631:$V$631=O$631),--($D1510:$V1510=1)),0)+SUM(O907)+IF(COUNTIF(O$1237:O1510,1)=1,5,0)+IF(COUNTIF(P908:$W908,"&gt;"&amp;0)&lt;5,IF(AND(COUNTIF(O$1237:O1510,1)&gt;7,MOD(1+IFERROR(MATCH($C908,总览!$D$46:$D$345,1)+1,1),7)=0),$C$3,0),0)</f>
        <v>355.43125</v>
      </c>
      <c r="P908" s="131" cm="1">
        <f ca="1" t="array" ref="P908">IF(P1510=1,OFFSET($W$634,$B908,P$631-1)/SUMPRODUCT(--($D$631:$V$631=P$631),--($D1510:$V1510=1)),0)+SUM(P907)+IF(COUNTIF(P$1237:P1510,1)=1,5,0)+IF(COUNTIF(Q908:$W908,"&gt;"&amp;0)&lt;5,IF(AND(COUNTIF(P$1237:P1510,1)&gt;7,MOD(1+IFERROR(MATCH($C908,总览!$D$46:$D$345,1)+1,1),7)=0),$C$3,0),0)</f>
        <v>344.55</v>
      </c>
      <c r="Q908" s="131" cm="1">
        <f ca="1" t="array" ref="Q908">IF(Q1510=1,OFFSET($W$634,$B908,Q$631-1)/SUMPRODUCT(--($D$631:$V$631=Q$631),--($D1510:$V1510=1)),0)+SUM(Q907)+IF(COUNTIF(Q$1237:Q1510,1)=1,5,0)+IF(COUNTIF(R908:$W908,"&gt;"&amp;0)&lt;5,IF(AND(COUNTIF(Q$1237:Q1510,1)&gt;7,MOD(1+IFERROR(MATCH($C908,总览!$D$46:$D$345,1)+1,1),7)=0),$C$3,0),0)</f>
        <v>357.93125</v>
      </c>
      <c r="R908" s="131" cm="1">
        <f ca="1" t="array" ref="R908">IF(R1510=1,OFFSET($W$634,$B908,R$631-1)/SUMPRODUCT(--($D$631:$V$631=R$631),--($D1510:$V1510=1)),0)+SUM(R907)+IF(COUNTIF(R$1237:R1510,1)=1,5,0)+IF(COUNTIF(S908:$W908,"&gt;"&amp;0)&lt;5,IF(AND(COUNTIF(R$1237:R1510,1)&gt;7,MOD(1+IFERROR(MATCH($C908,总览!$D$46:$D$345,1)+1,1),7)=0),$C$3,0),0)</f>
        <v>349.55</v>
      </c>
      <c r="S908" s="131" cm="1">
        <f ca="1" t="array" ref="S908">IF(S1510=1,OFFSET($W$634,$B908,S$631-1)/SUMPRODUCT(--($D$631:$V$631=S$631),--($D1510:$V1510=1)),0)+SUM(S907)+IF(COUNTIF(S$1237:S1510,1)=1,5,0)+IF(COUNTIF(T908:$W908,"&gt;"&amp;0)&lt;5,IF(AND(COUNTIF(S$1237:S1510,1)&gt;7,MOD(1+IFERROR(MATCH($C908,总览!$D$46:$D$345,1)+1,1),7)=0),$C$3,0),0)</f>
        <v>442.050000000001</v>
      </c>
      <c r="T908" s="131" cm="1">
        <f ca="1" t="array" ref="T908">IF(T1510=1,OFFSET($W$634,$B908,T$631-1)/SUMPRODUCT(--($D$631:$V$631=T$631),--($D1510:$V1510=1)),0)+SUM(T907)+IF(COUNTIF(T$1237:T1510,1)=1,5,0)+IF(COUNTIF(U908:$W908,"&gt;"&amp;0)&lt;5,IF(AND(COUNTIF(T$1237:T1510,1)&gt;7,MOD(1+IFERROR(MATCH($C908,总览!$D$46:$D$345,1)+1,1),7)=0),$C$3,0),0)</f>
        <v>322.845193422432</v>
      </c>
      <c r="U908" s="131" cm="1">
        <f ca="1" t="array" ref="U908">IF(U1510=1,OFFSET($W$634,$B908,U$631-1)/SUMPRODUCT(--($D$631:$V$631=U$631),--($D1510:$V1510=1)),0)+SUM(U907)+IF(COUNTIF(U$1237:U1510,1)=1,5,0)+IF(COUNTIF(V908:$W908,"&gt;"&amp;0)&lt;5,IF(AND(COUNTIF(U$1237:U1510,1)&gt;7,MOD(1+IFERROR(MATCH($C908,总览!$D$46:$D$345,1)+1,1),7)=0),$C$3,0),0)</f>
        <v>328.365979777731</v>
      </c>
      <c r="V908" s="131" cm="1">
        <f ca="1" t="array" ref="V908">IF(V1510=1,OFFSET($W$634,$B908,V$631-1)/SUMPRODUCT(--($D$631:$V$631=V$631),--($D1510:$V1510=1)),0)+SUM(V907)+IF(COUNTIF(V$1237:V1510,1)=1,5,0)+IF(COUNTIF(W908:$W908,"&gt;"&amp;0)&lt;5,IF(AND(COUNTIF(V$1237:V1510,1)&gt;7,MOD(1+IFERROR(MATCH($C908,总览!$D$46:$D$345,1)+1,1),7)=0),$C$3,0),0)</f>
        <v>348.192979490164</v>
      </c>
      <c r="W908" s="135" cm="1">
        <f ca="1" t="array" ref="W908">SUMPRODUCT(TRANSPOSE($AA908:$AG908),OFFSET($L$9:$L$15,0,W$631-1))</f>
        <v>16.8502200646615</v>
      </c>
      <c r="X908" s="135" cm="1">
        <f ca="1" t="array" ref="X908">SUMPRODUCT(TRANSPOSE($AA908:$AG908),OFFSET($L$9:$L$15,0,X$631-1))</f>
        <v>20</v>
      </c>
      <c r="Y908" s="135" cm="1">
        <f ca="1" t="array" ref="Y908">SUMPRODUCT(TRANSPOSE($AA908:$AG908),OFFSET($L$9:$L$15,0,Y$631-1))</f>
        <v>10</v>
      </c>
      <c r="Z908" s="135" cm="1">
        <f ca="1" t="array" ref="Z908">SUMPRODUCT(TRANSPOSE($AA908:$AG908),OFFSET($L$9:$L$15,0,Z$631-1))</f>
        <v>3.14977993533847</v>
      </c>
      <c r="AA908" s="136">
        <f ca="1" t="shared" ref="AA908:AG908" si="795">AH908-AH907</f>
        <v>0</v>
      </c>
      <c r="AB908" s="136">
        <f ca="1" t="shared" si="795"/>
        <v>0</v>
      </c>
      <c r="AC908" s="136">
        <f ca="1" t="shared" si="795"/>
        <v>0</v>
      </c>
      <c r="AD908" s="136">
        <f ca="1" t="shared" si="795"/>
        <v>0</v>
      </c>
      <c r="AE908" s="136">
        <f ca="1" t="shared" si="795"/>
        <v>0</v>
      </c>
      <c r="AF908" s="136">
        <f ca="1" t="shared" si="795"/>
        <v>0</v>
      </c>
      <c r="AG908" s="136">
        <f ca="1" t="shared" si="795"/>
        <v>100</v>
      </c>
      <c r="AH908" s="136">
        <f ca="1" t="shared" si="761"/>
        <v>450</v>
      </c>
      <c r="AI908" s="136">
        <f ca="1" t="shared" ref="AI908:AN908" si="796">IF($C908&gt;OFFSET($Q$8,MATCH(AI$634,$AH$634:$AN$634,0),0),OFFSET($P$8,MATCH(AI$634,$AH$634:$AN$634,0),0),MAX(0,$C908-OFFSET($Q$8,RIGHT(AI$634,1)-1,0)))</f>
        <v>909</v>
      </c>
      <c r="AJ908" s="136">
        <f ca="1" t="shared" si="796"/>
        <v>1818</v>
      </c>
      <c r="AK908" s="136">
        <f ca="1" t="shared" si="796"/>
        <v>2727</v>
      </c>
      <c r="AL908" s="136">
        <f ca="1" t="shared" si="796"/>
        <v>3636</v>
      </c>
      <c r="AM908" s="136">
        <f ca="1" t="shared" si="796"/>
        <v>4545</v>
      </c>
      <c r="AN908" s="136">
        <f ca="1" t="shared" si="796"/>
        <v>13315</v>
      </c>
    </row>
    <row r="909" s="106" customFormat="1" ht="16.5" spans="2:40">
      <c r="B909" s="117">
        <v>275</v>
      </c>
      <c r="C909" s="130">
        <f t="shared" si="759"/>
        <v>27500</v>
      </c>
      <c r="D909" s="131" cm="1">
        <f ca="1" t="array" ref="D909">IF(D1511=1,OFFSET($W$634,$B909,D$631-1)/SUMPRODUCT(--($D$631:$V$631=D$631),--($D1511:$V1511=1)),0)+SUM(D908)+IF(COUNTIF(D$1237:D1511,1)=1,5,0)+IF(COUNTIF(E909:$W909,"&gt;"&amp;0)&lt;5,IF(AND(COUNTIF(D$1237:D1511,1)&gt;7,MOD(1+IFERROR(MATCH($C909,总览!$D$46:$D$345,1)+1,1),7)=0),$C$3,0),0)</f>
        <v>1872.30702245811</v>
      </c>
      <c r="E909" s="131" cm="1">
        <f ca="1" t="array" ref="E909">IF(E1511=1,OFFSET($W$634,$B909,E$631-1)/SUMPRODUCT(--($D$631:$V$631=E$631),--($D1511:$V1511=1)),0)+SUM(E908)+IF(COUNTIF(E$1237:E1511,1)=1,5,0)+IF(COUNTIF(F909:$W909,"&gt;"&amp;0)&lt;5,IF(AND(COUNTIF(E$1237:E1511,1)&gt;7,MOD(1+IFERROR(MATCH($C909,总览!$D$46:$D$345,1)+1,1),7)=0),$C$3,0),0)</f>
        <v>1872.30702245811</v>
      </c>
      <c r="F909" s="131" cm="1">
        <f ca="1" t="array" ref="F909">IF(F1511=1,OFFSET($W$634,$B909,F$631-1)/SUMPRODUCT(--($D$631:$V$631=F$631),--($D1511:$V1511=1)),0)+SUM(F908)+IF(COUNTIF(F$1237:F1511,1)=1,5,0)+IF(COUNTIF(G909:$W909,"&gt;"&amp;0)&lt;5,IF(AND(COUNTIF(F$1237:F1511,1)&gt;7,MOD(1+IFERROR(MATCH($C909,总览!$D$46:$D$345,1)+1,1),7)=0),$C$3,0),0)</f>
        <v>1872.30702245811</v>
      </c>
      <c r="G909" s="131" cm="1">
        <f ca="1" t="array" ref="G909">IF(G1511=1,OFFSET($W$634,$B909,G$631-1)/SUMPRODUCT(--($D$631:$V$631=G$631),--($D1511:$V1511=1)),0)+SUM(G908)+IF(COUNTIF(G$1237:G1511,1)=1,5,0)+IF(COUNTIF(H909:$W909,"&gt;"&amp;0)&lt;5,IF(AND(COUNTIF(G$1237:G1511,1)&gt;7,MOD(1+IFERROR(MATCH($C909,总览!$D$46:$D$345,1)+1,1),7)=0),$C$3,0),0)</f>
        <v>856.066666666669</v>
      </c>
      <c r="H909" s="131" cm="1">
        <f ca="1" t="array" ref="H909">IF(H1511=1,OFFSET($W$634,$B909,H$631-1)/SUMPRODUCT(--($D$631:$V$631=H$631),--($D1511:$V1511=1)),0)+SUM(H908)+IF(COUNTIF(H$1237:H1511,1)=1,5,0)+IF(COUNTIF(I909:$W909,"&gt;"&amp;0)&lt;5,IF(AND(COUNTIF(H$1237:H1511,1)&gt;7,MOD(1+IFERROR(MATCH($C909,总览!$D$46:$D$345,1)+1,1),7)=0),$C$3,0),0)</f>
        <v>856.066666666669</v>
      </c>
      <c r="I909" s="131" cm="1">
        <f ca="1" t="array" ref="I909">IF(I1511=1,OFFSET($W$634,$B909,I$631-1)/SUMPRODUCT(--($D$631:$V$631=I$631),--($D1511:$V1511=1)),0)+SUM(I908)+IF(COUNTIF(I$1237:I1511,1)=1,5,0)+IF(COUNTIF(J909:$W909,"&gt;"&amp;0)&lt;5,IF(AND(COUNTIF(I$1237:I1511,1)&gt;7,MOD(1+IFERROR(MATCH($C909,总览!$D$46:$D$345,1)+1,1),7)=0),$C$3,0),0)</f>
        <v>856.066666666669</v>
      </c>
      <c r="J909" s="131" cm="1">
        <f ca="1" t="array" ref="J909">IF(J1511=1,OFFSET($W$634,$B909,J$631-1)/SUMPRODUCT(--($D$631:$V$631=J$631),--($D1511:$V1511=1)),0)+SUM(J908)+IF(COUNTIF(J$1237:J1511,1)=1,5,0)+IF(COUNTIF(K909:$W909,"&gt;"&amp;0)&lt;5,IF(AND(COUNTIF(J$1237:J1511,1)&gt;7,MOD(1+IFERROR(MATCH($C909,总览!$D$46:$D$345,1)+1,1),7)=0),$C$3,0),0)</f>
        <v>852.733333333336</v>
      </c>
      <c r="K909" s="131" cm="1">
        <f ca="1" t="array" ref="K909">IF(K1511=1,OFFSET($W$634,$B909,K$631-1)/SUMPRODUCT(--($D$631:$V$631=K$631),--($D1511:$V1511=1)),0)+SUM(K908)+IF(COUNTIF(K$1237:K1511,1)=1,5,0)+IF(COUNTIF(L909:$W909,"&gt;"&amp;0)&lt;5,IF(AND(COUNTIF(K$1237:K1511,1)&gt;7,MOD(1+IFERROR(MATCH($C909,总览!$D$46:$D$345,1)+1,1),7)=0),$C$3,0),0)</f>
        <v>850.233333333336</v>
      </c>
      <c r="L909" s="131" cm="1">
        <f ca="1" t="array" ref="L909">IF(L1511=1,OFFSET($W$634,$B909,L$631-1)/SUMPRODUCT(--($D$631:$V$631=L$631),--($D1511:$V1511=1)),0)+SUM(L908)+IF(COUNTIF(L$1237:L1511,1)=1,5,0)+IF(COUNTIF(M909:$W909,"&gt;"&amp;0)&lt;5,IF(AND(COUNTIF(L$1237:L1511,1)&gt;7,MOD(1+IFERROR(MATCH($C909,总览!$D$46:$D$345,1)+1,1),7)=0),$C$3,0),0)</f>
        <v>850.233333333336</v>
      </c>
      <c r="M909" s="131" cm="1">
        <f ca="1" t="array" ref="M909">IF(M1511=1,OFFSET($W$634,$B909,M$631-1)/SUMPRODUCT(--($D$631:$V$631=M$631),--($D1511:$V1511=1)),0)+SUM(M908)+IF(COUNTIF(M$1237:M1511,1)=1,5,0)+IF(COUNTIF(N909:$W909,"&gt;"&amp;0)&lt;5,IF(AND(COUNTIF(M$1237:M1511,1)&gt;7,MOD(1+IFERROR(MATCH($C909,总览!$D$46:$D$345,1)+1,1),7)=0),$C$3,0),0)</f>
        <v>350.609821428571</v>
      </c>
      <c r="N909" s="131" cm="1">
        <f ca="1" t="array" ref="N909">IF(N1511=1,OFFSET($W$634,$B909,N$631-1)/SUMPRODUCT(--($D$631:$V$631=N$631),--($D1511:$V1511=1)),0)+SUM(N908)+IF(COUNTIF(N$1237:N1511,1)=1,5,0)+IF(COUNTIF(O909:$W909,"&gt;"&amp;0)&lt;5,IF(AND(COUNTIF(N$1237:N1511,1)&gt;7,MOD(1+IFERROR(MATCH($C909,总览!$D$46:$D$345,1)+1,1),7)=0),$C$3,0),0)</f>
        <v>351.859821428571</v>
      </c>
      <c r="O909" s="131" cm="1">
        <f ca="1" t="array" ref="O909">IF(O1511=1,OFFSET($W$634,$B909,O$631-1)/SUMPRODUCT(--($D$631:$V$631=O$631),--($D1511:$V1511=1)),0)+SUM(O908)+IF(COUNTIF(O$1237:O1511,1)=1,5,0)+IF(COUNTIF(P909:$W909,"&gt;"&amp;0)&lt;5,IF(AND(COUNTIF(O$1237:O1511,1)&gt;7,MOD(1+IFERROR(MATCH($C909,总览!$D$46:$D$345,1)+1,1),7)=0),$C$3,0),0)</f>
        <v>356.859821428571</v>
      </c>
      <c r="P909" s="131" cm="1">
        <f ca="1" t="array" ref="P909">IF(P1511=1,OFFSET($W$634,$B909,P$631-1)/SUMPRODUCT(--($D$631:$V$631=P$631),--($D1511:$V1511=1)),0)+SUM(P908)+IF(COUNTIF(P$1237:P1511,1)=1,5,0)+IF(COUNTIF(Q909:$W909,"&gt;"&amp;0)&lt;5,IF(AND(COUNTIF(P$1237:P1511,1)&gt;7,MOD(1+IFERROR(MATCH($C909,总览!$D$46:$D$345,1)+1,1),7)=0),$C$3,0),0)</f>
        <v>345.978571428571</v>
      </c>
      <c r="Q909" s="131" cm="1">
        <f ca="1" t="array" ref="Q909">IF(Q1511=1,OFFSET($W$634,$B909,Q$631-1)/SUMPRODUCT(--($D$631:$V$631=Q$631),--($D1511:$V1511=1)),0)+SUM(Q908)+IF(COUNTIF(Q$1237:Q1511,1)=1,5,0)+IF(COUNTIF(R909:$W909,"&gt;"&amp;0)&lt;5,IF(AND(COUNTIF(Q$1237:Q1511,1)&gt;7,MOD(1+IFERROR(MATCH($C909,总览!$D$46:$D$345,1)+1,1),7)=0),$C$3,0),0)</f>
        <v>359.359821428571</v>
      </c>
      <c r="R909" s="131" cm="1">
        <f ca="1" t="array" ref="R909">IF(R1511=1,OFFSET($W$634,$B909,R$631-1)/SUMPRODUCT(--($D$631:$V$631=R$631),--($D1511:$V1511=1)),0)+SUM(R908)+IF(COUNTIF(R$1237:R1511,1)=1,5,0)+IF(COUNTIF(S909:$W909,"&gt;"&amp;0)&lt;5,IF(AND(COUNTIF(R$1237:R1511,1)&gt;7,MOD(1+IFERROR(MATCH($C909,总览!$D$46:$D$345,1)+1,1),7)=0),$C$3,0),0)</f>
        <v>350.978571428571</v>
      </c>
      <c r="S909" s="131" cm="1">
        <f ca="1" t="array" ref="S909">IF(S1511=1,OFFSET($W$634,$B909,S$631-1)/SUMPRODUCT(--($D$631:$V$631=S$631),--($D1511:$V1511=1)),0)+SUM(S908)+IF(COUNTIF(S$1237:S1511,1)=1,5,0)+IF(COUNTIF(T909:$W909,"&gt;"&amp;0)&lt;5,IF(AND(COUNTIF(S$1237:S1511,1)&gt;7,MOD(1+IFERROR(MATCH($C909,总览!$D$46:$D$345,1)+1,1),7)=0),$C$3,0),0)</f>
        <v>443.478571428572</v>
      </c>
      <c r="T909" s="131" cm="1">
        <f ca="1" t="array" ref="T909">IF(T1511=1,OFFSET($W$634,$B909,T$631-1)/SUMPRODUCT(--($D$631:$V$631=T$631),--($D1511:$V1511=1)),0)+SUM(T908)+IF(COUNTIF(T$1237:T1511,1)=1,5,0)+IF(COUNTIF(U909:$W909,"&gt;"&amp;0)&lt;5,IF(AND(COUNTIF(T$1237:T1511,1)&gt;7,MOD(1+IFERROR(MATCH($C909,总览!$D$46:$D$345,1)+1,1),7)=0),$C$3,0),0)</f>
        <v>323.895120067544</v>
      </c>
      <c r="U909" s="131" cm="1">
        <f ca="1" t="array" ref="U909">IF(U1511=1,OFFSET($W$634,$B909,U$631-1)/SUMPRODUCT(--($D$631:$V$631=U$631),--($D1511:$V1511=1)),0)+SUM(U908)+IF(COUNTIF(U$1237:U1511,1)=1,5,0)+IF(COUNTIF(V909:$W909,"&gt;"&amp;0)&lt;5,IF(AND(COUNTIF(U$1237:U1511,1)&gt;7,MOD(1+IFERROR(MATCH($C909,总览!$D$46:$D$345,1)+1,1),7)=0),$C$3,0),0)</f>
        <v>329.415906422844</v>
      </c>
      <c r="V909" s="131" cm="1">
        <f ca="1" t="array" ref="V909">IF(V1511=1,OFFSET($W$634,$B909,V$631-1)/SUMPRODUCT(--($D$631:$V$631=V$631),--($D1511:$V1511=1)),0)+SUM(V908)+IF(COUNTIF(V$1237:V1511,1)=1,5,0)+IF(COUNTIF(W909:$W909,"&gt;"&amp;0)&lt;5,IF(AND(COUNTIF(V$1237:V1511,1)&gt;7,MOD(1+IFERROR(MATCH($C909,总览!$D$46:$D$345,1)+1,1),7)=0),$C$3,0),0)</f>
        <v>349.242906135277</v>
      </c>
      <c r="W909" s="135" cm="1">
        <f ca="1" t="array" ref="W909">SUMPRODUCT(TRANSPOSE($AA909:$AG909),OFFSET($L$9:$L$15,0,W$631-1))</f>
        <v>16.8502200646615</v>
      </c>
      <c r="X909" s="135" cm="1">
        <f ca="1" t="array" ref="X909">SUMPRODUCT(TRANSPOSE($AA909:$AG909),OFFSET($L$9:$L$15,0,X$631-1))</f>
        <v>20</v>
      </c>
      <c r="Y909" s="135" cm="1">
        <f ca="1" t="array" ref="Y909">SUMPRODUCT(TRANSPOSE($AA909:$AG909),OFFSET($L$9:$L$15,0,Y$631-1))</f>
        <v>10</v>
      </c>
      <c r="Z909" s="135" cm="1">
        <f ca="1" t="array" ref="Z909">SUMPRODUCT(TRANSPOSE($AA909:$AG909),OFFSET($L$9:$L$15,0,Z$631-1))</f>
        <v>3.14977993533847</v>
      </c>
      <c r="AA909" s="136">
        <f ca="1" t="shared" ref="AA909:AG909" si="797">AH909-AH908</f>
        <v>0</v>
      </c>
      <c r="AB909" s="136">
        <f ca="1" t="shared" si="797"/>
        <v>0</v>
      </c>
      <c r="AC909" s="136">
        <f ca="1" t="shared" si="797"/>
        <v>0</v>
      </c>
      <c r="AD909" s="136">
        <f ca="1" t="shared" si="797"/>
        <v>0</v>
      </c>
      <c r="AE909" s="136">
        <f ca="1" t="shared" si="797"/>
        <v>0</v>
      </c>
      <c r="AF909" s="136">
        <f ca="1" t="shared" si="797"/>
        <v>0</v>
      </c>
      <c r="AG909" s="136">
        <f ca="1" t="shared" si="797"/>
        <v>100</v>
      </c>
      <c r="AH909" s="136">
        <f ca="1" t="shared" si="761"/>
        <v>450</v>
      </c>
      <c r="AI909" s="136">
        <f ca="1" t="shared" ref="AI909:AN909" si="798">IF($C909&gt;OFFSET($Q$8,MATCH(AI$634,$AH$634:$AN$634,0),0),OFFSET($P$8,MATCH(AI$634,$AH$634:$AN$634,0),0),MAX(0,$C909-OFFSET($Q$8,RIGHT(AI$634,1)-1,0)))</f>
        <v>909</v>
      </c>
      <c r="AJ909" s="136">
        <f ca="1" t="shared" si="798"/>
        <v>1818</v>
      </c>
      <c r="AK909" s="136">
        <f ca="1" t="shared" si="798"/>
        <v>2727</v>
      </c>
      <c r="AL909" s="136">
        <f ca="1" t="shared" si="798"/>
        <v>3636</v>
      </c>
      <c r="AM909" s="136">
        <f ca="1" t="shared" si="798"/>
        <v>4545</v>
      </c>
      <c r="AN909" s="136">
        <f ca="1" t="shared" si="798"/>
        <v>13415</v>
      </c>
    </row>
    <row r="910" s="106" customFormat="1" ht="16.5" spans="2:40">
      <c r="B910" s="117">
        <v>276</v>
      </c>
      <c r="C910" s="130">
        <f t="shared" si="759"/>
        <v>27600</v>
      </c>
      <c r="D910" s="131" cm="1">
        <f ca="1" t="array" ref="D910">IF(D1512=1,OFFSET($W$634,$B910,D$631-1)/SUMPRODUCT(--($D$631:$V$631=D$631),--($D1512:$V1512=1)),0)+SUM(D909)+IF(COUNTIF(D$1237:D1512,1)=1,5,0)+IF(COUNTIF(E910:$W910,"&gt;"&amp;0)&lt;5,IF(AND(COUNTIF(D$1237:D1512,1)&gt;7,MOD(1+IFERROR(MATCH($C910,总览!$D$46:$D$345,1)+1,1),7)=0),$C$3,0),0)</f>
        <v>1877.92376247966</v>
      </c>
      <c r="E910" s="131" cm="1">
        <f ca="1" t="array" ref="E910">IF(E1512=1,OFFSET($W$634,$B910,E$631-1)/SUMPRODUCT(--($D$631:$V$631=E$631),--($D1512:$V1512=1)),0)+SUM(E909)+IF(COUNTIF(E$1237:E1512,1)=1,5,0)+IF(COUNTIF(F910:$W910,"&gt;"&amp;0)&lt;5,IF(AND(COUNTIF(E$1237:E1512,1)&gt;7,MOD(1+IFERROR(MATCH($C910,总览!$D$46:$D$345,1)+1,1),7)=0),$C$3,0),0)</f>
        <v>1877.92376247966</v>
      </c>
      <c r="F910" s="131" cm="1">
        <f ca="1" t="array" ref="F910">IF(F1512=1,OFFSET($W$634,$B910,F$631-1)/SUMPRODUCT(--($D$631:$V$631=F$631),--($D1512:$V1512=1)),0)+SUM(F909)+IF(COUNTIF(F$1237:F1512,1)=1,5,0)+IF(COUNTIF(G910:$W910,"&gt;"&amp;0)&lt;5,IF(AND(COUNTIF(F$1237:F1512,1)&gt;7,MOD(1+IFERROR(MATCH($C910,总览!$D$46:$D$345,1)+1,1),7)=0),$C$3,0),0)</f>
        <v>1877.92376247966</v>
      </c>
      <c r="G910" s="131" cm="1">
        <f ca="1" t="array" ref="G910">IF(G1512=1,OFFSET($W$634,$B910,G$631-1)/SUMPRODUCT(--($D$631:$V$631=G$631),--($D1512:$V1512=1)),0)+SUM(G909)+IF(COUNTIF(G$1237:G1512,1)=1,5,0)+IF(COUNTIF(H910:$W910,"&gt;"&amp;0)&lt;5,IF(AND(COUNTIF(G$1237:G1512,1)&gt;7,MOD(1+IFERROR(MATCH($C910,总览!$D$46:$D$345,1)+1,1),7)=0),$C$3,0),0)</f>
        <v>859.400000000003</v>
      </c>
      <c r="H910" s="131" cm="1">
        <f ca="1" t="array" ref="H910">IF(H1512=1,OFFSET($W$634,$B910,H$631-1)/SUMPRODUCT(--($D$631:$V$631=H$631),--($D1512:$V1512=1)),0)+SUM(H909)+IF(COUNTIF(H$1237:H1512,1)=1,5,0)+IF(COUNTIF(I910:$W910,"&gt;"&amp;0)&lt;5,IF(AND(COUNTIF(H$1237:H1512,1)&gt;7,MOD(1+IFERROR(MATCH($C910,总览!$D$46:$D$345,1)+1,1),7)=0),$C$3,0),0)</f>
        <v>859.400000000003</v>
      </c>
      <c r="I910" s="131" cm="1">
        <f ca="1" t="array" ref="I910">IF(I1512=1,OFFSET($W$634,$B910,I$631-1)/SUMPRODUCT(--($D$631:$V$631=I$631),--($D1512:$V1512=1)),0)+SUM(I909)+IF(COUNTIF(I$1237:I1512,1)=1,5,0)+IF(COUNTIF(J910:$W910,"&gt;"&amp;0)&lt;5,IF(AND(COUNTIF(I$1237:I1512,1)&gt;7,MOD(1+IFERROR(MATCH($C910,总览!$D$46:$D$345,1)+1,1),7)=0),$C$3,0),0)</f>
        <v>859.400000000003</v>
      </c>
      <c r="J910" s="131" cm="1">
        <f ca="1" t="array" ref="J910">IF(J1512=1,OFFSET($W$634,$B910,J$631-1)/SUMPRODUCT(--($D$631:$V$631=J$631),--($D1512:$V1512=1)),0)+SUM(J909)+IF(COUNTIF(J$1237:J1512,1)=1,5,0)+IF(COUNTIF(K910:$W910,"&gt;"&amp;0)&lt;5,IF(AND(COUNTIF(J$1237:J1512,1)&gt;7,MOD(1+IFERROR(MATCH($C910,总览!$D$46:$D$345,1)+1,1),7)=0),$C$3,0),0)</f>
        <v>856.066666666669</v>
      </c>
      <c r="K910" s="131" cm="1">
        <f ca="1" t="array" ref="K910">IF(K1512=1,OFFSET($W$634,$B910,K$631-1)/SUMPRODUCT(--($D$631:$V$631=K$631),--($D1512:$V1512=1)),0)+SUM(K909)+IF(COUNTIF(K$1237:K1512,1)=1,5,0)+IF(COUNTIF(L910:$W910,"&gt;"&amp;0)&lt;5,IF(AND(COUNTIF(K$1237:K1512,1)&gt;7,MOD(1+IFERROR(MATCH($C910,总览!$D$46:$D$345,1)+1,1),7)=0),$C$3,0),0)</f>
        <v>853.566666666669</v>
      </c>
      <c r="L910" s="131" cm="1">
        <f ca="1" t="array" ref="L910">IF(L1512=1,OFFSET($W$634,$B910,L$631-1)/SUMPRODUCT(--($D$631:$V$631=L$631),--($D1512:$V1512=1)),0)+SUM(L909)+IF(COUNTIF(L$1237:L1512,1)=1,5,0)+IF(COUNTIF(M910:$W910,"&gt;"&amp;0)&lt;5,IF(AND(COUNTIF(L$1237:L1512,1)&gt;7,MOD(1+IFERROR(MATCH($C910,总览!$D$46:$D$345,1)+1,1),7)=0),$C$3,0),0)</f>
        <v>853.566666666669</v>
      </c>
      <c r="M910" s="131" cm="1">
        <f ca="1" t="array" ref="M910">IF(M1512=1,OFFSET($W$634,$B910,M$631-1)/SUMPRODUCT(--($D$631:$V$631=M$631),--($D1512:$V1512=1)),0)+SUM(M909)+IF(COUNTIF(M$1237:M1512,1)=1,5,0)+IF(COUNTIF(N910:$W910,"&gt;"&amp;0)&lt;5,IF(AND(COUNTIF(M$1237:M1512,1)&gt;7,MOD(1+IFERROR(MATCH($C910,总览!$D$46:$D$345,1)+1,1),7)=0),$C$3,0),0)</f>
        <v>352.038392857143</v>
      </c>
      <c r="N910" s="131" cm="1">
        <f ca="1" t="array" ref="N910">IF(N1512=1,OFFSET($W$634,$B910,N$631-1)/SUMPRODUCT(--($D$631:$V$631=N$631),--($D1512:$V1512=1)),0)+SUM(N909)+IF(COUNTIF(N$1237:N1512,1)=1,5,0)+IF(COUNTIF(O910:$W910,"&gt;"&amp;0)&lt;5,IF(AND(COUNTIF(N$1237:N1512,1)&gt;7,MOD(1+IFERROR(MATCH($C910,总览!$D$46:$D$345,1)+1,1),7)=0),$C$3,0),0)</f>
        <v>353.288392857143</v>
      </c>
      <c r="O910" s="131" cm="1">
        <f ca="1" t="array" ref="O910">IF(O1512=1,OFFSET($W$634,$B910,O$631-1)/SUMPRODUCT(--($D$631:$V$631=O$631),--($D1512:$V1512=1)),0)+SUM(O909)+IF(COUNTIF(O$1237:O1512,1)=1,5,0)+IF(COUNTIF(P910:$W910,"&gt;"&amp;0)&lt;5,IF(AND(COUNTIF(O$1237:O1512,1)&gt;7,MOD(1+IFERROR(MATCH($C910,总览!$D$46:$D$345,1)+1,1),7)=0),$C$3,0),0)</f>
        <v>358.288392857143</v>
      </c>
      <c r="P910" s="131" cm="1">
        <f ca="1" t="array" ref="P910">IF(P1512=1,OFFSET($W$634,$B910,P$631-1)/SUMPRODUCT(--($D$631:$V$631=P$631),--($D1512:$V1512=1)),0)+SUM(P909)+IF(COUNTIF(P$1237:P1512,1)=1,5,0)+IF(COUNTIF(Q910:$W910,"&gt;"&amp;0)&lt;5,IF(AND(COUNTIF(P$1237:P1512,1)&gt;7,MOD(1+IFERROR(MATCH($C910,总览!$D$46:$D$345,1)+1,1),7)=0),$C$3,0),0)</f>
        <v>347.407142857143</v>
      </c>
      <c r="Q910" s="131" cm="1">
        <f ca="1" t="array" ref="Q910">IF(Q1512=1,OFFSET($W$634,$B910,Q$631-1)/SUMPRODUCT(--($D$631:$V$631=Q$631),--($D1512:$V1512=1)),0)+SUM(Q909)+IF(COUNTIF(Q$1237:Q1512,1)=1,5,0)+IF(COUNTIF(R910:$W910,"&gt;"&amp;0)&lt;5,IF(AND(COUNTIF(Q$1237:Q1512,1)&gt;7,MOD(1+IFERROR(MATCH($C910,总览!$D$46:$D$345,1)+1,1),7)=0),$C$3,0),0)</f>
        <v>360.788392857143</v>
      </c>
      <c r="R910" s="131" cm="1">
        <f ca="1" t="array" ref="R910">IF(R1512=1,OFFSET($W$634,$B910,R$631-1)/SUMPRODUCT(--($D$631:$V$631=R$631),--($D1512:$V1512=1)),0)+SUM(R909)+IF(COUNTIF(R$1237:R1512,1)=1,5,0)+IF(COUNTIF(S910:$W910,"&gt;"&amp;0)&lt;5,IF(AND(COUNTIF(R$1237:R1512,1)&gt;7,MOD(1+IFERROR(MATCH($C910,总览!$D$46:$D$345,1)+1,1),7)=0),$C$3,0),0)</f>
        <v>352.407142857143</v>
      </c>
      <c r="S910" s="131" cm="1">
        <f ca="1" t="array" ref="S910">IF(S1512=1,OFFSET($W$634,$B910,S$631-1)/SUMPRODUCT(--($D$631:$V$631=S$631),--($D1512:$V1512=1)),0)+SUM(S909)+IF(COUNTIF(S$1237:S1512,1)=1,5,0)+IF(COUNTIF(T910:$W910,"&gt;"&amp;0)&lt;5,IF(AND(COUNTIF(S$1237:S1512,1)&gt;7,MOD(1+IFERROR(MATCH($C910,总览!$D$46:$D$345,1)+1,1),7)=0),$C$3,0),0)</f>
        <v>444.907142857144</v>
      </c>
      <c r="T910" s="131" cm="1">
        <f ca="1" t="array" ref="T910">IF(T1512=1,OFFSET($W$634,$B910,T$631-1)/SUMPRODUCT(--($D$631:$V$631=T$631),--($D1512:$V1512=1)),0)+SUM(T909)+IF(COUNTIF(T$1237:T1512,1)=1,5,0)+IF(COUNTIF(U910:$W910,"&gt;"&amp;0)&lt;5,IF(AND(COUNTIF(T$1237:T1512,1)&gt;7,MOD(1+IFERROR(MATCH($C910,总览!$D$46:$D$345,1)+1,1),7)=0),$C$3,0),0)</f>
        <v>324.945046712657</v>
      </c>
      <c r="U910" s="131" cm="1">
        <f ca="1" t="array" ref="U910">IF(U1512=1,OFFSET($W$634,$B910,U$631-1)/SUMPRODUCT(--($D$631:$V$631=U$631),--($D1512:$V1512=1)),0)+SUM(U909)+IF(COUNTIF(U$1237:U1512,1)=1,5,0)+IF(COUNTIF(V910:$W910,"&gt;"&amp;0)&lt;5,IF(AND(COUNTIF(U$1237:U1512,1)&gt;7,MOD(1+IFERROR(MATCH($C910,总览!$D$46:$D$345,1)+1,1),7)=0),$C$3,0),0)</f>
        <v>330.465833067957</v>
      </c>
      <c r="V910" s="131" cm="1">
        <f ca="1" t="array" ref="V910">IF(V1512=1,OFFSET($W$634,$B910,V$631-1)/SUMPRODUCT(--($D$631:$V$631=V$631),--($D1512:$V1512=1)),0)+SUM(V909)+IF(COUNTIF(V$1237:V1512,1)=1,5,0)+IF(COUNTIF(W910:$W910,"&gt;"&amp;0)&lt;5,IF(AND(COUNTIF(V$1237:V1512,1)&gt;7,MOD(1+IFERROR(MATCH($C910,总览!$D$46:$D$345,1)+1,1),7)=0),$C$3,0),0)</f>
        <v>350.29283278039</v>
      </c>
      <c r="W910" s="135" cm="1">
        <f ca="1" t="array" ref="W910">SUMPRODUCT(TRANSPOSE($AA910:$AG910),OFFSET($L$9:$L$15,0,W$631-1))</f>
        <v>16.8502200646615</v>
      </c>
      <c r="X910" s="135" cm="1">
        <f ca="1" t="array" ref="X910">SUMPRODUCT(TRANSPOSE($AA910:$AG910),OFFSET($L$9:$L$15,0,X$631-1))</f>
        <v>20</v>
      </c>
      <c r="Y910" s="135" cm="1">
        <f ca="1" t="array" ref="Y910">SUMPRODUCT(TRANSPOSE($AA910:$AG910),OFFSET($L$9:$L$15,0,Y$631-1))</f>
        <v>10</v>
      </c>
      <c r="Z910" s="135" cm="1">
        <f ca="1" t="array" ref="Z910">SUMPRODUCT(TRANSPOSE($AA910:$AG910),OFFSET($L$9:$L$15,0,Z$631-1))</f>
        <v>3.14977993533847</v>
      </c>
      <c r="AA910" s="136">
        <f ca="1" t="shared" ref="AA910:AG910" si="799">AH910-AH909</f>
        <v>0</v>
      </c>
      <c r="AB910" s="136">
        <f ca="1" t="shared" si="799"/>
        <v>0</v>
      </c>
      <c r="AC910" s="136">
        <f ca="1" t="shared" si="799"/>
        <v>0</v>
      </c>
      <c r="AD910" s="136">
        <f ca="1" t="shared" si="799"/>
        <v>0</v>
      </c>
      <c r="AE910" s="136">
        <f ca="1" t="shared" si="799"/>
        <v>0</v>
      </c>
      <c r="AF910" s="136">
        <f ca="1" t="shared" si="799"/>
        <v>0</v>
      </c>
      <c r="AG910" s="136">
        <f ca="1" t="shared" si="799"/>
        <v>100</v>
      </c>
      <c r="AH910" s="136">
        <f ca="1" t="shared" si="761"/>
        <v>450</v>
      </c>
      <c r="AI910" s="136">
        <f ca="1" t="shared" ref="AI910:AN910" si="800">IF($C910&gt;OFFSET($Q$8,MATCH(AI$634,$AH$634:$AN$634,0),0),OFFSET($P$8,MATCH(AI$634,$AH$634:$AN$634,0),0),MAX(0,$C910-OFFSET($Q$8,RIGHT(AI$634,1)-1,0)))</f>
        <v>909</v>
      </c>
      <c r="AJ910" s="136">
        <f ca="1" t="shared" si="800"/>
        <v>1818</v>
      </c>
      <c r="AK910" s="136">
        <f ca="1" t="shared" si="800"/>
        <v>2727</v>
      </c>
      <c r="AL910" s="136">
        <f ca="1" t="shared" si="800"/>
        <v>3636</v>
      </c>
      <c r="AM910" s="136">
        <f ca="1" t="shared" si="800"/>
        <v>4545</v>
      </c>
      <c r="AN910" s="136">
        <f ca="1" t="shared" si="800"/>
        <v>13515</v>
      </c>
    </row>
    <row r="911" s="106" customFormat="1" ht="16.5" spans="2:40">
      <c r="B911" s="117">
        <v>277</v>
      </c>
      <c r="C911" s="130">
        <f t="shared" si="759"/>
        <v>27700</v>
      </c>
      <c r="D911" s="131" cm="1">
        <f ca="1" t="array" ref="D911">IF(D1513=1,OFFSET($W$634,$B911,D$631-1)/SUMPRODUCT(--($D$631:$V$631=D$631),--($D1513:$V1513=1)),0)+SUM(D910)+IF(COUNTIF(D$1237:D1513,1)=1,5,0)+IF(COUNTIF(E911:$W911,"&gt;"&amp;0)&lt;5,IF(AND(COUNTIF(D$1237:D1513,1)&gt;7,MOD(1+IFERROR(MATCH($C911,总览!$D$46:$D$345,1)+1,1),7)=0),$C$3,0),0)</f>
        <v>1883.54050250122</v>
      </c>
      <c r="E911" s="131" cm="1">
        <f ca="1" t="array" ref="E911">IF(E1513=1,OFFSET($W$634,$B911,E$631-1)/SUMPRODUCT(--($D$631:$V$631=E$631),--($D1513:$V1513=1)),0)+SUM(E910)+IF(COUNTIF(E$1237:E1513,1)=1,5,0)+IF(COUNTIF(F911:$W911,"&gt;"&amp;0)&lt;5,IF(AND(COUNTIF(E$1237:E1513,1)&gt;7,MOD(1+IFERROR(MATCH($C911,总览!$D$46:$D$345,1)+1,1),7)=0),$C$3,0),0)</f>
        <v>1883.54050250122</v>
      </c>
      <c r="F911" s="131" cm="1">
        <f ca="1" t="array" ref="F911">IF(F1513=1,OFFSET($W$634,$B911,F$631-1)/SUMPRODUCT(--($D$631:$V$631=F$631),--($D1513:$V1513=1)),0)+SUM(F910)+IF(COUNTIF(F$1237:F1513,1)=1,5,0)+IF(COUNTIF(G911:$W911,"&gt;"&amp;0)&lt;5,IF(AND(COUNTIF(F$1237:F1513,1)&gt;7,MOD(1+IFERROR(MATCH($C911,总览!$D$46:$D$345,1)+1,1),7)=0),$C$3,0),0)</f>
        <v>1883.54050250122</v>
      </c>
      <c r="G911" s="131" cm="1">
        <f ca="1" t="array" ref="G911">IF(G1513=1,OFFSET($W$634,$B911,G$631-1)/SUMPRODUCT(--($D$631:$V$631=G$631),--($D1513:$V1513=1)),0)+SUM(G910)+IF(COUNTIF(G$1237:G1513,1)=1,5,0)+IF(COUNTIF(H911:$W911,"&gt;"&amp;0)&lt;5,IF(AND(COUNTIF(G$1237:G1513,1)&gt;7,MOD(1+IFERROR(MATCH($C911,总览!$D$46:$D$345,1)+1,1),7)=0),$C$3,0),0)</f>
        <v>862.733333333336</v>
      </c>
      <c r="H911" s="131" cm="1">
        <f ca="1" t="array" ref="H911">IF(H1513=1,OFFSET($W$634,$B911,H$631-1)/SUMPRODUCT(--($D$631:$V$631=H$631),--($D1513:$V1513=1)),0)+SUM(H910)+IF(COUNTIF(H$1237:H1513,1)=1,5,0)+IF(COUNTIF(I911:$W911,"&gt;"&amp;0)&lt;5,IF(AND(COUNTIF(H$1237:H1513,1)&gt;7,MOD(1+IFERROR(MATCH($C911,总览!$D$46:$D$345,1)+1,1),7)=0),$C$3,0),0)</f>
        <v>862.733333333336</v>
      </c>
      <c r="I911" s="131" cm="1">
        <f ca="1" t="array" ref="I911">IF(I1513=1,OFFSET($W$634,$B911,I$631-1)/SUMPRODUCT(--($D$631:$V$631=I$631),--($D1513:$V1513=1)),0)+SUM(I910)+IF(COUNTIF(I$1237:I1513,1)=1,5,0)+IF(COUNTIF(J911:$W911,"&gt;"&amp;0)&lt;5,IF(AND(COUNTIF(I$1237:I1513,1)&gt;7,MOD(1+IFERROR(MATCH($C911,总览!$D$46:$D$345,1)+1,1),7)=0),$C$3,0),0)</f>
        <v>862.733333333336</v>
      </c>
      <c r="J911" s="131" cm="1">
        <f ca="1" t="array" ref="J911">IF(J1513=1,OFFSET($W$634,$B911,J$631-1)/SUMPRODUCT(--($D$631:$V$631=J$631),--($D1513:$V1513=1)),0)+SUM(J910)+IF(COUNTIF(J$1237:J1513,1)=1,5,0)+IF(COUNTIF(K911:$W911,"&gt;"&amp;0)&lt;5,IF(AND(COUNTIF(J$1237:J1513,1)&gt;7,MOD(1+IFERROR(MATCH($C911,总览!$D$46:$D$345,1)+1,1),7)=0),$C$3,0),0)</f>
        <v>859.400000000003</v>
      </c>
      <c r="K911" s="131" cm="1">
        <f ca="1" t="array" ref="K911">IF(K1513=1,OFFSET($W$634,$B911,K$631-1)/SUMPRODUCT(--($D$631:$V$631=K$631),--($D1513:$V1513=1)),0)+SUM(K910)+IF(COUNTIF(K$1237:K1513,1)=1,5,0)+IF(COUNTIF(L911:$W911,"&gt;"&amp;0)&lt;5,IF(AND(COUNTIF(K$1237:K1513,1)&gt;7,MOD(1+IFERROR(MATCH($C911,总览!$D$46:$D$345,1)+1,1),7)=0),$C$3,0),0)</f>
        <v>856.900000000003</v>
      </c>
      <c r="L911" s="131" cm="1">
        <f ca="1" t="array" ref="L911">IF(L1513=1,OFFSET($W$634,$B911,L$631-1)/SUMPRODUCT(--($D$631:$V$631=L$631),--($D1513:$V1513=1)),0)+SUM(L910)+IF(COUNTIF(L$1237:L1513,1)=1,5,0)+IF(COUNTIF(M911:$W911,"&gt;"&amp;0)&lt;5,IF(AND(COUNTIF(L$1237:L1513,1)&gt;7,MOD(1+IFERROR(MATCH($C911,总览!$D$46:$D$345,1)+1,1),7)=0),$C$3,0),0)</f>
        <v>856.900000000003</v>
      </c>
      <c r="M911" s="131" cm="1">
        <f ca="1" t="array" ref="M911">IF(M1513=1,OFFSET($W$634,$B911,M$631-1)/SUMPRODUCT(--($D$631:$V$631=M$631),--($D1513:$V1513=1)),0)+SUM(M910)+IF(COUNTIF(M$1237:M1513,1)=1,5,0)+IF(COUNTIF(N911:$W911,"&gt;"&amp;0)&lt;5,IF(AND(COUNTIF(M$1237:M1513,1)&gt;7,MOD(1+IFERROR(MATCH($C911,总览!$D$46:$D$345,1)+1,1),7)=0),$C$3,0),0)</f>
        <v>353.466964285714</v>
      </c>
      <c r="N911" s="131" cm="1">
        <f ca="1" t="array" ref="N911">IF(N1513=1,OFFSET($W$634,$B911,N$631-1)/SUMPRODUCT(--($D$631:$V$631=N$631),--($D1513:$V1513=1)),0)+SUM(N910)+IF(COUNTIF(N$1237:N1513,1)=1,5,0)+IF(COUNTIF(O911:$W911,"&gt;"&amp;0)&lt;5,IF(AND(COUNTIF(N$1237:N1513,1)&gt;7,MOD(1+IFERROR(MATCH($C911,总览!$D$46:$D$345,1)+1,1),7)=0),$C$3,0),0)</f>
        <v>354.716964285714</v>
      </c>
      <c r="O911" s="131" cm="1">
        <f ca="1" t="array" ref="O911">IF(O1513=1,OFFSET($W$634,$B911,O$631-1)/SUMPRODUCT(--($D$631:$V$631=O$631),--($D1513:$V1513=1)),0)+SUM(O910)+IF(COUNTIF(O$1237:O1513,1)=1,5,0)+IF(COUNTIF(P911:$W911,"&gt;"&amp;0)&lt;5,IF(AND(COUNTIF(O$1237:O1513,1)&gt;7,MOD(1+IFERROR(MATCH($C911,总览!$D$46:$D$345,1)+1,1),7)=0),$C$3,0),0)</f>
        <v>359.716964285714</v>
      </c>
      <c r="P911" s="131" cm="1">
        <f ca="1" t="array" ref="P911">IF(P1513=1,OFFSET($W$634,$B911,P$631-1)/SUMPRODUCT(--($D$631:$V$631=P$631),--($D1513:$V1513=1)),0)+SUM(P910)+IF(COUNTIF(P$1237:P1513,1)=1,5,0)+IF(COUNTIF(Q911:$W911,"&gt;"&amp;0)&lt;5,IF(AND(COUNTIF(P$1237:P1513,1)&gt;7,MOD(1+IFERROR(MATCH($C911,总览!$D$46:$D$345,1)+1,1),7)=0),$C$3,0),0)</f>
        <v>348.835714285714</v>
      </c>
      <c r="Q911" s="131" cm="1">
        <f ca="1" t="array" ref="Q911">IF(Q1513=1,OFFSET($W$634,$B911,Q$631-1)/SUMPRODUCT(--($D$631:$V$631=Q$631),--($D1513:$V1513=1)),0)+SUM(Q910)+IF(COUNTIF(Q$1237:Q1513,1)=1,5,0)+IF(COUNTIF(R911:$W911,"&gt;"&amp;0)&lt;5,IF(AND(COUNTIF(Q$1237:Q1513,1)&gt;7,MOD(1+IFERROR(MATCH($C911,总览!$D$46:$D$345,1)+1,1),7)=0),$C$3,0),0)</f>
        <v>362.216964285714</v>
      </c>
      <c r="R911" s="131" cm="1">
        <f ca="1" t="array" ref="R911">IF(R1513=1,OFFSET($W$634,$B911,R$631-1)/SUMPRODUCT(--($D$631:$V$631=R$631),--($D1513:$V1513=1)),0)+SUM(R910)+IF(COUNTIF(R$1237:R1513,1)=1,5,0)+IF(COUNTIF(S911:$W911,"&gt;"&amp;0)&lt;5,IF(AND(COUNTIF(R$1237:R1513,1)&gt;7,MOD(1+IFERROR(MATCH($C911,总览!$D$46:$D$345,1)+1,1),7)=0),$C$3,0),0)</f>
        <v>353.835714285714</v>
      </c>
      <c r="S911" s="131" cm="1">
        <f ca="1" t="array" ref="S911">IF(S1513=1,OFFSET($W$634,$B911,S$631-1)/SUMPRODUCT(--($D$631:$V$631=S$631),--($D1513:$V1513=1)),0)+SUM(S910)+IF(COUNTIF(S$1237:S1513,1)=1,5,0)+IF(COUNTIF(T911:$W911,"&gt;"&amp;0)&lt;5,IF(AND(COUNTIF(S$1237:S1513,1)&gt;7,MOD(1+IFERROR(MATCH($C911,总览!$D$46:$D$345,1)+1,1),7)=0),$C$3,0),0)</f>
        <v>446.335714285715</v>
      </c>
      <c r="T911" s="131" cm="1">
        <f ca="1" t="array" ref="T911">IF(T1513=1,OFFSET($W$634,$B911,T$631-1)/SUMPRODUCT(--($D$631:$V$631=T$631),--($D1513:$V1513=1)),0)+SUM(T910)+IF(COUNTIF(T$1237:T1513,1)=1,5,0)+IF(COUNTIF(U911:$W911,"&gt;"&amp;0)&lt;5,IF(AND(COUNTIF(T$1237:T1513,1)&gt;7,MOD(1+IFERROR(MATCH($C911,总览!$D$46:$D$345,1)+1,1),7)=0),$C$3,0),0)</f>
        <v>325.99497335777</v>
      </c>
      <c r="U911" s="131" cm="1">
        <f ca="1" t="array" ref="U911">IF(U1513=1,OFFSET($W$634,$B911,U$631-1)/SUMPRODUCT(--($D$631:$V$631=U$631),--($D1513:$V1513=1)),0)+SUM(U910)+IF(COUNTIF(U$1237:U1513,1)=1,5,0)+IF(COUNTIF(V911:$W911,"&gt;"&amp;0)&lt;5,IF(AND(COUNTIF(U$1237:U1513,1)&gt;7,MOD(1+IFERROR(MATCH($C911,总览!$D$46:$D$345,1)+1,1),7)=0),$C$3,0),0)</f>
        <v>331.515759713069</v>
      </c>
      <c r="V911" s="131" cm="1">
        <f ca="1" t="array" ref="V911">IF(V1513=1,OFFSET($W$634,$B911,V$631-1)/SUMPRODUCT(--($D$631:$V$631=V$631),--($D1513:$V1513=1)),0)+SUM(V910)+IF(COUNTIF(V$1237:V1513,1)=1,5,0)+IF(COUNTIF(W911:$W911,"&gt;"&amp;0)&lt;5,IF(AND(COUNTIF(V$1237:V1513,1)&gt;7,MOD(1+IFERROR(MATCH($C911,总览!$D$46:$D$345,1)+1,1),7)=0),$C$3,0),0)</f>
        <v>351.342759425502</v>
      </c>
      <c r="W911" s="135" cm="1">
        <f ca="1" t="array" ref="W911">SUMPRODUCT(TRANSPOSE($AA911:$AG911),OFFSET($L$9:$L$15,0,W$631-1))</f>
        <v>16.8502200646615</v>
      </c>
      <c r="X911" s="135" cm="1">
        <f ca="1" t="array" ref="X911">SUMPRODUCT(TRANSPOSE($AA911:$AG911),OFFSET($L$9:$L$15,0,X$631-1))</f>
        <v>20</v>
      </c>
      <c r="Y911" s="135" cm="1">
        <f ca="1" t="array" ref="Y911">SUMPRODUCT(TRANSPOSE($AA911:$AG911),OFFSET($L$9:$L$15,0,Y$631-1))</f>
        <v>10</v>
      </c>
      <c r="Z911" s="135" cm="1">
        <f ca="1" t="array" ref="Z911">SUMPRODUCT(TRANSPOSE($AA911:$AG911),OFFSET($L$9:$L$15,0,Z$631-1))</f>
        <v>3.14977993533847</v>
      </c>
      <c r="AA911" s="136">
        <f ca="1" t="shared" ref="AA911:AG911" si="801">AH911-AH910</f>
        <v>0</v>
      </c>
      <c r="AB911" s="136">
        <f ca="1" t="shared" si="801"/>
        <v>0</v>
      </c>
      <c r="AC911" s="136">
        <f ca="1" t="shared" si="801"/>
        <v>0</v>
      </c>
      <c r="AD911" s="136">
        <f ca="1" t="shared" si="801"/>
        <v>0</v>
      </c>
      <c r="AE911" s="136">
        <f ca="1" t="shared" si="801"/>
        <v>0</v>
      </c>
      <c r="AF911" s="136">
        <f ca="1" t="shared" si="801"/>
        <v>0</v>
      </c>
      <c r="AG911" s="136">
        <f ca="1" t="shared" si="801"/>
        <v>100</v>
      </c>
      <c r="AH911" s="136">
        <f ca="1" t="shared" si="761"/>
        <v>450</v>
      </c>
      <c r="AI911" s="136">
        <f ca="1" t="shared" ref="AI911:AN911" si="802">IF($C911&gt;OFFSET($Q$8,MATCH(AI$634,$AH$634:$AN$634,0),0),OFFSET($P$8,MATCH(AI$634,$AH$634:$AN$634,0),0),MAX(0,$C911-OFFSET($Q$8,RIGHT(AI$634,1)-1,0)))</f>
        <v>909</v>
      </c>
      <c r="AJ911" s="136">
        <f ca="1" t="shared" si="802"/>
        <v>1818</v>
      </c>
      <c r="AK911" s="136">
        <f ca="1" t="shared" si="802"/>
        <v>2727</v>
      </c>
      <c r="AL911" s="136">
        <f ca="1" t="shared" si="802"/>
        <v>3636</v>
      </c>
      <c r="AM911" s="136">
        <f ca="1" t="shared" si="802"/>
        <v>4545</v>
      </c>
      <c r="AN911" s="136">
        <f ca="1" t="shared" si="802"/>
        <v>13615</v>
      </c>
    </row>
    <row r="912" s="106" customFormat="1" ht="16.5" spans="2:40">
      <c r="B912" s="117">
        <v>278</v>
      </c>
      <c r="C912" s="130">
        <f t="shared" si="759"/>
        <v>27800</v>
      </c>
      <c r="D912" s="131" cm="1">
        <f ca="1" t="array" ref="D912">IF(D1514=1,OFFSET($W$634,$B912,D$631-1)/SUMPRODUCT(--($D$631:$V$631=D$631),--($D1514:$V1514=1)),0)+SUM(D911)+IF(COUNTIF(D$1237:D1514,1)=1,5,0)+IF(COUNTIF(E912:$W912,"&gt;"&amp;0)&lt;5,IF(AND(COUNTIF(D$1237:D1514,1)&gt;7,MOD(1+IFERROR(MATCH($C912,总览!$D$46:$D$345,1)+1,1),7)=0),$C$3,0),0)</f>
        <v>1889.15724252277</v>
      </c>
      <c r="E912" s="131" cm="1">
        <f ca="1" t="array" ref="E912">IF(E1514=1,OFFSET($W$634,$B912,E$631-1)/SUMPRODUCT(--($D$631:$V$631=E$631),--($D1514:$V1514=1)),0)+SUM(E911)+IF(COUNTIF(E$1237:E1514,1)=1,5,0)+IF(COUNTIF(F912:$W912,"&gt;"&amp;0)&lt;5,IF(AND(COUNTIF(E$1237:E1514,1)&gt;7,MOD(1+IFERROR(MATCH($C912,总览!$D$46:$D$345,1)+1,1),7)=0),$C$3,0),0)</f>
        <v>1889.15724252277</v>
      </c>
      <c r="F912" s="131" cm="1">
        <f ca="1" t="array" ref="F912">IF(F1514=1,OFFSET($W$634,$B912,F$631-1)/SUMPRODUCT(--($D$631:$V$631=F$631),--($D1514:$V1514=1)),0)+SUM(F911)+IF(COUNTIF(F$1237:F1514,1)=1,5,0)+IF(COUNTIF(G912:$W912,"&gt;"&amp;0)&lt;5,IF(AND(COUNTIF(F$1237:F1514,1)&gt;7,MOD(1+IFERROR(MATCH($C912,总览!$D$46:$D$345,1)+1,1),7)=0),$C$3,0),0)</f>
        <v>1889.15724252277</v>
      </c>
      <c r="G912" s="131" cm="1">
        <f ca="1" t="array" ref="G912">IF(G1514=1,OFFSET($W$634,$B912,G$631-1)/SUMPRODUCT(--($D$631:$V$631=G$631),--($D1514:$V1514=1)),0)+SUM(G911)+IF(COUNTIF(G$1237:G1514,1)=1,5,0)+IF(COUNTIF(H912:$W912,"&gt;"&amp;0)&lt;5,IF(AND(COUNTIF(G$1237:G1514,1)&gt;7,MOD(1+IFERROR(MATCH($C912,总览!$D$46:$D$345,1)+1,1),7)=0),$C$3,0),0)</f>
        <v>866.066666666669</v>
      </c>
      <c r="H912" s="131" cm="1">
        <f ca="1" t="array" ref="H912">IF(H1514=1,OFFSET($W$634,$B912,H$631-1)/SUMPRODUCT(--($D$631:$V$631=H$631),--($D1514:$V1514=1)),0)+SUM(H911)+IF(COUNTIF(H$1237:H1514,1)=1,5,0)+IF(COUNTIF(I912:$W912,"&gt;"&amp;0)&lt;5,IF(AND(COUNTIF(H$1237:H1514,1)&gt;7,MOD(1+IFERROR(MATCH($C912,总览!$D$46:$D$345,1)+1,1),7)=0),$C$3,0),0)</f>
        <v>866.066666666669</v>
      </c>
      <c r="I912" s="131" cm="1">
        <f ca="1" t="array" ref="I912">IF(I1514=1,OFFSET($W$634,$B912,I$631-1)/SUMPRODUCT(--($D$631:$V$631=I$631),--($D1514:$V1514=1)),0)+SUM(I911)+IF(COUNTIF(I$1237:I1514,1)=1,5,0)+IF(COUNTIF(J912:$W912,"&gt;"&amp;0)&lt;5,IF(AND(COUNTIF(I$1237:I1514,1)&gt;7,MOD(1+IFERROR(MATCH($C912,总览!$D$46:$D$345,1)+1,1),7)=0),$C$3,0),0)</f>
        <v>866.066666666669</v>
      </c>
      <c r="J912" s="131" cm="1">
        <f ca="1" t="array" ref="J912">IF(J1514=1,OFFSET($W$634,$B912,J$631-1)/SUMPRODUCT(--($D$631:$V$631=J$631),--($D1514:$V1514=1)),0)+SUM(J911)+IF(COUNTIF(J$1237:J1514,1)=1,5,0)+IF(COUNTIF(K912:$W912,"&gt;"&amp;0)&lt;5,IF(AND(COUNTIF(J$1237:J1514,1)&gt;7,MOD(1+IFERROR(MATCH($C912,总览!$D$46:$D$345,1)+1,1),7)=0),$C$3,0),0)</f>
        <v>862.733333333336</v>
      </c>
      <c r="K912" s="131" cm="1">
        <f ca="1" t="array" ref="K912">IF(K1514=1,OFFSET($W$634,$B912,K$631-1)/SUMPRODUCT(--($D$631:$V$631=K$631),--($D1514:$V1514=1)),0)+SUM(K911)+IF(COUNTIF(K$1237:K1514,1)=1,5,0)+IF(COUNTIF(L912:$W912,"&gt;"&amp;0)&lt;5,IF(AND(COUNTIF(K$1237:K1514,1)&gt;7,MOD(1+IFERROR(MATCH($C912,总览!$D$46:$D$345,1)+1,1),7)=0),$C$3,0),0)</f>
        <v>860.233333333336</v>
      </c>
      <c r="L912" s="131" cm="1">
        <f ca="1" t="array" ref="L912">IF(L1514=1,OFFSET($W$634,$B912,L$631-1)/SUMPRODUCT(--($D$631:$V$631=L$631),--($D1514:$V1514=1)),0)+SUM(L911)+IF(COUNTIF(L$1237:L1514,1)=1,5,0)+IF(COUNTIF(M912:$W912,"&gt;"&amp;0)&lt;5,IF(AND(COUNTIF(L$1237:L1514,1)&gt;7,MOD(1+IFERROR(MATCH($C912,总览!$D$46:$D$345,1)+1,1),7)=0),$C$3,0),0)</f>
        <v>860.233333333336</v>
      </c>
      <c r="M912" s="131" cm="1">
        <f ca="1" t="array" ref="M912">IF(M1514=1,OFFSET($W$634,$B912,M$631-1)/SUMPRODUCT(--($D$631:$V$631=M$631),--($D1514:$V1514=1)),0)+SUM(M911)+IF(COUNTIF(M$1237:M1514,1)=1,5,0)+IF(COUNTIF(N912:$W912,"&gt;"&amp;0)&lt;5,IF(AND(COUNTIF(M$1237:M1514,1)&gt;7,MOD(1+IFERROR(MATCH($C912,总览!$D$46:$D$345,1)+1,1),7)=0),$C$3,0),0)</f>
        <v>354.895535714286</v>
      </c>
      <c r="N912" s="131" cm="1">
        <f ca="1" t="array" ref="N912">IF(N1514=1,OFFSET($W$634,$B912,N$631-1)/SUMPRODUCT(--($D$631:$V$631=N$631),--($D1514:$V1514=1)),0)+SUM(N911)+IF(COUNTIF(N$1237:N1514,1)=1,5,0)+IF(COUNTIF(O912:$W912,"&gt;"&amp;0)&lt;5,IF(AND(COUNTIF(N$1237:N1514,1)&gt;7,MOD(1+IFERROR(MATCH($C912,总览!$D$46:$D$345,1)+1,1),7)=0),$C$3,0),0)</f>
        <v>356.145535714286</v>
      </c>
      <c r="O912" s="131" cm="1">
        <f ca="1" t="array" ref="O912">IF(O1514=1,OFFSET($W$634,$B912,O$631-1)/SUMPRODUCT(--($D$631:$V$631=O$631),--($D1514:$V1514=1)),0)+SUM(O911)+IF(COUNTIF(O$1237:O1514,1)=1,5,0)+IF(COUNTIF(P912:$W912,"&gt;"&amp;0)&lt;5,IF(AND(COUNTIF(O$1237:O1514,1)&gt;7,MOD(1+IFERROR(MATCH($C912,总览!$D$46:$D$345,1)+1,1),7)=0),$C$3,0),0)</f>
        <v>361.145535714286</v>
      </c>
      <c r="P912" s="131" cm="1">
        <f ca="1" t="array" ref="P912">IF(P1514=1,OFFSET($W$634,$B912,P$631-1)/SUMPRODUCT(--($D$631:$V$631=P$631),--($D1514:$V1514=1)),0)+SUM(P911)+IF(COUNTIF(P$1237:P1514,1)=1,5,0)+IF(COUNTIF(Q912:$W912,"&gt;"&amp;0)&lt;5,IF(AND(COUNTIF(P$1237:P1514,1)&gt;7,MOD(1+IFERROR(MATCH($C912,总览!$D$46:$D$345,1)+1,1),7)=0),$C$3,0),0)</f>
        <v>350.264285714286</v>
      </c>
      <c r="Q912" s="131" cm="1">
        <f ca="1" t="array" ref="Q912">IF(Q1514=1,OFFSET($W$634,$B912,Q$631-1)/SUMPRODUCT(--($D$631:$V$631=Q$631),--($D1514:$V1514=1)),0)+SUM(Q911)+IF(COUNTIF(Q$1237:Q1514,1)=1,5,0)+IF(COUNTIF(R912:$W912,"&gt;"&amp;0)&lt;5,IF(AND(COUNTIF(Q$1237:Q1514,1)&gt;7,MOD(1+IFERROR(MATCH($C912,总览!$D$46:$D$345,1)+1,1),7)=0),$C$3,0),0)</f>
        <v>363.645535714286</v>
      </c>
      <c r="R912" s="131" cm="1">
        <f ca="1" t="array" ref="R912">IF(R1514=1,OFFSET($W$634,$B912,R$631-1)/SUMPRODUCT(--($D$631:$V$631=R$631),--($D1514:$V1514=1)),0)+SUM(R911)+IF(COUNTIF(R$1237:R1514,1)=1,5,0)+IF(COUNTIF(S912:$W912,"&gt;"&amp;0)&lt;5,IF(AND(COUNTIF(R$1237:R1514,1)&gt;7,MOD(1+IFERROR(MATCH($C912,总览!$D$46:$D$345,1)+1,1),7)=0),$C$3,0),0)</f>
        <v>355.264285714286</v>
      </c>
      <c r="S912" s="131" cm="1">
        <f ca="1" t="array" ref="S912">IF(S1514=1,OFFSET($W$634,$B912,S$631-1)/SUMPRODUCT(--($D$631:$V$631=S$631),--($D1514:$V1514=1)),0)+SUM(S911)+IF(COUNTIF(S$1237:S1514,1)=1,5,0)+IF(COUNTIF(T912:$W912,"&gt;"&amp;0)&lt;5,IF(AND(COUNTIF(S$1237:S1514,1)&gt;7,MOD(1+IFERROR(MATCH($C912,总览!$D$46:$D$345,1)+1,1),7)=0),$C$3,0),0)</f>
        <v>447.764285714287</v>
      </c>
      <c r="T912" s="131" cm="1">
        <f ca="1" t="array" ref="T912">IF(T1514=1,OFFSET($W$634,$B912,T$631-1)/SUMPRODUCT(--($D$631:$V$631=T$631),--($D1514:$V1514=1)),0)+SUM(T911)+IF(COUNTIF(T$1237:T1514,1)=1,5,0)+IF(COUNTIF(U912:$W912,"&gt;"&amp;0)&lt;5,IF(AND(COUNTIF(T$1237:T1514,1)&gt;7,MOD(1+IFERROR(MATCH($C912,总览!$D$46:$D$345,1)+1,1),7)=0),$C$3,0),0)</f>
        <v>327.044900002883</v>
      </c>
      <c r="U912" s="131" cm="1">
        <f ca="1" t="array" ref="U912">IF(U1514=1,OFFSET($W$634,$B912,U$631-1)/SUMPRODUCT(--($D$631:$V$631=U$631),--($D1514:$V1514=1)),0)+SUM(U911)+IF(COUNTIF(U$1237:U1514,1)=1,5,0)+IF(COUNTIF(V912:$W912,"&gt;"&amp;0)&lt;5,IF(AND(COUNTIF(U$1237:U1514,1)&gt;7,MOD(1+IFERROR(MATCH($C912,总览!$D$46:$D$345,1)+1,1),7)=0),$C$3,0),0)</f>
        <v>332.565686358182</v>
      </c>
      <c r="V912" s="131" cm="1">
        <f ca="1" t="array" ref="V912">IF(V1514=1,OFFSET($W$634,$B912,V$631-1)/SUMPRODUCT(--($D$631:$V$631=V$631),--($D1514:$V1514=1)),0)+SUM(V911)+IF(COUNTIF(V$1237:V1514,1)=1,5,0)+IF(COUNTIF(W912:$W912,"&gt;"&amp;0)&lt;5,IF(AND(COUNTIF(V$1237:V1514,1)&gt;7,MOD(1+IFERROR(MATCH($C912,总览!$D$46:$D$345,1)+1,1),7)=0),$C$3,0),0)</f>
        <v>352.392686070615</v>
      </c>
      <c r="W912" s="135" cm="1">
        <f ca="1" t="array" ref="W912">SUMPRODUCT(TRANSPOSE($AA912:$AG912),OFFSET($L$9:$L$15,0,W$631-1))</f>
        <v>16.8502200646615</v>
      </c>
      <c r="X912" s="135" cm="1">
        <f ca="1" t="array" ref="X912">SUMPRODUCT(TRANSPOSE($AA912:$AG912),OFFSET($L$9:$L$15,0,X$631-1))</f>
        <v>20</v>
      </c>
      <c r="Y912" s="135" cm="1">
        <f ca="1" t="array" ref="Y912">SUMPRODUCT(TRANSPOSE($AA912:$AG912),OFFSET($L$9:$L$15,0,Y$631-1))</f>
        <v>10</v>
      </c>
      <c r="Z912" s="135" cm="1">
        <f ca="1" t="array" ref="Z912">SUMPRODUCT(TRANSPOSE($AA912:$AG912),OFFSET($L$9:$L$15,0,Z$631-1))</f>
        <v>3.14977993533847</v>
      </c>
      <c r="AA912" s="136">
        <f ca="1" t="shared" ref="AA912:AG912" si="803">AH912-AH911</f>
        <v>0</v>
      </c>
      <c r="AB912" s="136">
        <f ca="1" t="shared" si="803"/>
        <v>0</v>
      </c>
      <c r="AC912" s="136">
        <f ca="1" t="shared" si="803"/>
        <v>0</v>
      </c>
      <c r="AD912" s="136">
        <f ca="1" t="shared" si="803"/>
        <v>0</v>
      </c>
      <c r="AE912" s="136">
        <f ca="1" t="shared" si="803"/>
        <v>0</v>
      </c>
      <c r="AF912" s="136">
        <f ca="1" t="shared" si="803"/>
        <v>0</v>
      </c>
      <c r="AG912" s="136">
        <f ca="1" t="shared" si="803"/>
        <v>100</v>
      </c>
      <c r="AH912" s="136">
        <f ca="1" t="shared" si="761"/>
        <v>450</v>
      </c>
      <c r="AI912" s="136">
        <f ca="1" t="shared" ref="AI912:AN912" si="804">IF($C912&gt;OFFSET($Q$8,MATCH(AI$634,$AH$634:$AN$634,0),0),OFFSET($P$8,MATCH(AI$634,$AH$634:$AN$634,0),0),MAX(0,$C912-OFFSET($Q$8,RIGHT(AI$634,1)-1,0)))</f>
        <v>909</v>
      </c>
      <c r="AJ912" s="136">
        <f ca="1" t="shared" si="804"/>
        <v>1818</v>
      </c>
      <c r="AK912" s="136">
        <f ca="1" t="shared" si="804"/>
        <v>2727</v>
      </c>
      <c r="AL912" s="136">
        <f ca="1" t="shared" si="804"/>
        <v>3636</v>
      </c>
      <c r="AM912" s="136">
        <f ca="1" t="shared" si="804"/>
        <v>4545</v>
      </c>
      <c r="AN912" s="136">
        <f ca="1" t="shared" si="804"/>
        <v>13715</v>
      </c>
    </row>
    <row r="913" s="106" customFormat="1" ht="16.5" spans="2:40">
      <c r="B913" s="117">
        <v>279</v>
      </c>
      <c r="C913" s="130">
        <f t="shared" si="759"/>
        <v>27900</v>
      </c>
      <c r="D913" s="131" cm="1">
        <f ca="1" t="array" ref="D913">IF(D1515=1,OFFSET($W$634,$B913,D$631-1)/SUMPRODUCT(--($D$631:$V$631=D$631),--($D1515:$V1515=1)),0)+SUM(D912)+IF(COUNTIF(D$1237:D1515,1)=1,5,0)+IF(COUNTIF(E913:$W913,"&gt;"&amp;0)&lt;5,IF(AND(COUNTIF(D$1237:D1515,1)&gt;7,MOD(1+IFERROR(MATCH($C913,总览!$D$46:$D$345,1)+1,1),7)=0),$C$3,0),0)</f>
        <v>1894.77398254432</v>
      </c>
      <c r="E913" s="131" cm="1">
        <f ca="1" t="array" ref="E913">IF(E1515=1,OFFSET($W$634,$B913,E$631-1)/SUMPRODUCT(--($D$631:$V$631=E$631),--($D1515:$V1515=1)),0)+SUM(E912)+IF(COUNTIF(E$1237:E1515,1)=1,5,0)+IF(COUNTIF(F913:$W913,"&gt;"&amp;0)&lt;5,IF(AND(COUNTIF(E$1237:E1515,1)&gt;7,MOD(1+IFERROR(MATCH($C913,总览!$D$46:$D$345,1)+1,1),7)=0),$C$3,0),0)</f>
        <v>1894.77398254432</v>
      </c>
      <c r="F913" s="131" cm="1">
        <f ca="1" t="array" ref="F913">IF(F1515=1,OFFSET($W$634,$B913,F$631-1)/SUMPRODUCT(--($D$631:$V$631=F$631),--($D1515:$V1515=1)),0)+SUM(F912)+IF(COUNTIF(F$1237:F1515,1)=1,5,0)+IF(COUNTIF(G913:$W913,"&gt;"&amp;0)&lt;5,IF(AND(COUNTIF(F$1237:F1515,1)&gt;7,MOD(1+IFERROR(MATCH($C913,总览!$D$46:$D$345,1)+1,1),7)=0),$C$3,0),0)</f>
        <v>1894.77398254432</v>
      </c>
      <c r="G913" s="131" cm="1">
        <f ca="1" t="array" ref="G913">IF(G1515=1,OFFSET($W$634,$B913,G$631-1)/SUMPRODUCT(--($D$631:$V$631=G$631),--($D1515:$V1515=1)),0)+SUM(G912)+IF(COUNTIF(G$1237:G1515,1)=1,5,0)+IF(COUNTIF(H913:$W913,"&gt;"&amp;0)&lt;5,IF(AND(COUNTIF(G$1237:G1515,1)&gt;7,MOD(1+IFERROR(MATCH($C913,总览!$D$46:$D$345,1)+1,1),7)=0),$C$3,0),0)</f>
        <v>869.400000000003</v>
      </c>
      <c r="H913" s="131" cm="1">
        <f ca="1" t="array" ref="H913">IF(H1515=1,OFFSET($W$634,$B913,H$631-1)/SUMPRODUCT(--($D$631:$V$631=H$631),--($D1515:$V1515=1)),0)+SUM(H912)+IF(COUNTIF(H$1237:H1515,1)=1,5,0)+IF(COUNTIF(I913:$W913,"&gt;"&amp;0)&lt;5,IF(AND(COUNTIF(H$1237:H1515,1)&gt;7,MOD(1+IFERROR(MATCH($C913,总览!$D$46:$D$345,1)+1,1),7)=0),$C$3,0),0)</f>
        <v>869.400000000003</v>
      </c>
      <c r="I913" s="131" cm="1">
        <f ca="1" t="array" ref="I913">IF(I1515=1,OFFSET($W$634,$B913,I$631-1)/SUMPRODUCT(--($D$631:$V$631=I$631),--($D1515:$V1515=1)),0)+SUM(I912)+IF(COUNTIF(I$1237:I1515,1)=1,5,0)+IF(COUNTIF(J913:$W913,"&gt;"&amp;0)&lt;5,IF(AND(COUNTIF(I$1237:I1515,1)&gt;7,MOD(1+IFERROR(MATCH($C913,总览!$D$46:$D$345,1)+1,1),7)=0),$C$3,0),0)</f>
        <v>869.400000000003</v>
      </c>
      <c r="J913" s="131" cm="1">
        <f ca="1" t="array" ref="J913">IF(J1515=1,OFFSET($W$634,$B913,J$631-1)/SUMPRODUCT(--($D$631:$V$631=J$631),--($D1515:$V1515=1)),0)+SUM(J912)+IF(COUNTIF(J$1237:J1515,1)=1,5,0)+IF(COUNTIF(K913:$W913,"&gt;"&amp;0)&lt;5,IF(AND(COUNTIF(J$1237:J1515,1)&gt;7,MOD(1+IFERROR(MATCH($C913,总览!$D$46:$D$345,1)+1,1),7)=0),$C$3,0),0)</f>
        <v>866.066666666669</v>
      </c>
      <c r="K913" s="131" cm="1">
        <f ca="1" t="array" ref="K913">IF(K1515=1,OFFSET($W$634,$B913,K$631-1)/SUMPRODUCT(--($D$631:$V$631=K$631),--($D1515:$V1515=1)),0)+SUM(K912)+IF(COUNTIF(K$1237:K1515,1)=1,5,0)+IF(COUNTIF(L913:$W913,"&gt;"&amp;0)&lt;5,IF(AND(COUNTIF(K$1237:K1515,1)&gt;7,MOD(1+IFERROR(MATCH($C913,总览!$D$46:$D$345,1)+1,1),7)=0),$C$3,0),0)</f>
        <v>863.566666666669</v>
      </c>
      <c r="L913" s="131" cm="1">
        <f ca="1" t="array" ref="L913">IF(L1515=1,OFFSET($W$634,$B913,L$631-1)/SUMPRODUCT(--($D$631:$V$631=L$631),--($D1515:$V1515=1)),0)+SUM(L912)+IF(COUNTIF(L$1237:L1515,1)=1,5,0)+IF(COUNTIF(M913:$W913,"&gt;"&amp;0)&lt;5,IF(AND(COUNTIF(L$1237:L1515,1)&gt;7,MOD(1+IFERROR(MATCH($C913,总览!$D$46:$D$345,1)+1,1),7)=0),$C$3,0),0)</f>
        <v>863.566666666669</v>
      </c>
      <c r="M913" s="131" cm="1">
        <f ca="1" t="array" ref="M913">IF(M1515=1,OFFSET($W$634,$B913,M$631-1)/SUMPRODUCT(--($D$631:$V$631=M$631),--($D1515:$V1515=1)),0)+SUM(M912)+IF(COUNTIF(M$1237:M1515,1)=1,5,0)+IF(COUNTIF(N913:$W913,"&gt;"&amp;0)&lt;5,IF(AND(COUNTIF(M$1237:M1515,1)&gt;7,MOD(1+IFERROR(MATCH($C913,总览!$D$46:$D$345,1)+1,1),7)=0),$C$3,0),0)</f>
        <v>356.324107142857</v>
      </c>
      <c r="N913" s="131" cm="1">
        <f ca="1" t="array" ref="N913">IF(N1515=1,OFFSET($W$634,$B913,N$631-1)/SUMPRODUCT(--($D$631:$V$631=N$631),--($D1515:$V1515=1)),0)+SUM(N912)+IF(COUNTIF(N$1237:N1515,1)=1,5,0)+IF(COUNTIF(O913:$W913,"&gt;"&amp;0)&lt;5,IF(AND(COUNTIF(N$1237:N1515,1)&gt;7,MOD(1+IFERROR(MATCH($C913,总览!$D$46:$D$345,1)+1,1),7)=0),$C$3,0),0)</f>
        <v>357.574107142857</v>
      </c>
      <c r="O913" s="131" cm="1">
        <f ca="1" t="array" ref="O913">IF(O1515=1,OFFSET($W$634,$B913,O$631-1)/SUMPRODUCT(--($D$631:$V$631=O$631),--($D1515:$V1515=1)),0)+SUM(O912)+IF(COUNTIF(O$1237:O1515,1)=1,5,0)+IF(COUNTIF(P913:$W913,"&gt;"&amp;0)&lt;5,IF(AND(COUNTIF(O$1237:O1515,1)&gt;7,MOD(1+IFERROR(MATCH($C913,总览!$D$46:$D$345,1)+1,1),7)=0),$C$3,0),0)</f>
        <v>362.574107142857</v>
      </c>
      <c r="P913" s="131" cm="1">
        <f ca="1" t="array" ref="P913">IF(P1515=1,OFFSET($W$634,$B913,P$631-1)/SUMPRODUCT(--($D$631:$V$631=P$631),--($D1515:$V1515=1)),0)+SUM(P912)+IF(COUNTIF(P$1237:P1515,1)=1,5,0)+IF(COUNTIF(Q913:$W913,"&gt;"&amp;0)&lt;5,IF(AND(COUNTIF(P$1237:P1515,1)&gt;7,MOD(1+IFERROR(MATCH($C913,总览!$D$46:$D$345,1)+1,1),7)=0),$C$3,0),0)</f>
        <v>351.692857142857</v>
      </c>
      <c r="Q913" s="131" cm="1">
        <f ca="1" t="array" ref="Q913">IF(Q1515=1,OFFSET($W$634,$B913,Q$631-1)/SUMPRODUCT(--($D$631:$V$631=Q$631),--($D1515:$V1515=1)),0)+SUM(Q912)+IF(COUNTIF(Q$1237:Q1515,1)=1,5,0)+IF(COUNTIF(R913:$W913,"&gt;"&amp;0)&lt;5,IF(AND(COUNTIF(Q$1237:Q1515,1)&gt;7,MOD(1+IFERROR(MATCH($C913,总览!$D$46:$D$345,1)+1,1),7)=0),$C$3,0),0)</f>
        <v>365.074107142857</v>
      </c>
      <c r="R913" s="131" cm="1">
        <f ca="1" t="array" ref="R913">IF(R1515=1,OFFSET($W$634,$B913,R$631-1)/SUMPRODUCT(--($D$631:$V$631=R$631),--($D1515:$V1515=1)),0)+SUM(R912)+IF(COUNTIF(R$1237:R1515,1)=1,5,0)+IF(COUNTIF(S913:$W913,"&gt;"&amp;0)&lt;5,IF(AND(COUNTIF(R$1237:R1515,1)&gt;7,MOD(1+IFERROR(MATCH($C913,总览!$D$46:$D$345,1)+1,1),7)=0),$C$3,0),0)</f>
        <v>356.692857142857</v>
      </c>
      <c r="S913" s="131" cm="1">
        <f ca="1" t="array" ref="S913">IF(S1515=1,OFFSET($W$634,$B913,S$631-1)/SUMPRODUCT(--($D$631:$V$631=S$631),--($D1515:$V1515=1)),0)+SUM(S912)+IF(COUNTIF(S$1237:S1515,1)=1,5,0)+IF(COUNTIF(T913:$W913,"&gt;"&amp;0)&lt;5,IF(AND(COUNTIF(S$1237:S1515,1)&gt;7,MOD(1+IFERROR(MATCH($C913,总览!$D$46:$D$345,1)+1,1),7)=0),$C$3,0),0)</f>
        <v>449.192857142858</v>
      </c>
      <c r="T913" s="131" cm="1">
        <f ca="1" t="array" ref="T913">IF(T1515=1,OFFSET($W$634,$B913,T$631-1)/SUMPRODUCT(--($D$631:$V$631=T$631),--($D1515:$V1515=1)),0)+SUM(T912)+IF(COUNTIF(T$1237:T1515,1)=1,5,0)+IF(COUNTIF(U913:$W913,"&gt;"&amp;0)&lt;5,IF(AND(COUNTIF(T$1237:T1515,1)&gt;7,MOD(1+IFERROR(MATCH($C913,总览!$D$46:$D$345,1)+1,1),7)=0),$C$3,0),0)</f>
        <v>328.094826647996</v>
      </c>
      <c r="U913" s="131" cm="1">
        <f ca="1" t="array" ref="U913">IF(U1515=1,OFFSET($W$634,$B913,U$631-1)/SUMPRODUCT(--($D$631:$V$631=U$631),--($D1515:$V1515=1)),0)+SUM(U912)+IF(COUNTIF(U$1237:U1515,1)=1,5,0)+IF(COUNTIF(V913:$W913,"&gt;"&amp;0)&lt;5,IF(AND(COUNTIF(U$1237:U1515,1)&gt;7,MOD(1+IFERROR(MATCH($C913,总览!$D$46:$D$345,1)+1,1),7)=0),$C$3,0),0)</f>
        <v>333.615613003295</v>
      </c>
      <c r="V913" s="131" cm="1">
        <f ca="1" t="array" ref="V913">IF(V1515=1,OFFSET($W$634,$B913,V$631-1)/SUMPRODUCT(--($D$631:$V$631=V$631),--($D1515:$V1515=1)),0)+SUM(V912)+IF(COUNTIF(V$1237:V1515,1)=1,5,0)+IF(COUNTIF(W913:$W913,"&gt;"&amp;0)&lt;5,IF(AND(COUNTIF(V$1237:V1515,1)&gt;7,MOD(1+IFERROR(MATCH($C913,总览!$D$46:$D$345,1)+1,1),7)=0),$C$3,0),0)</f>
        <v>353.442612715728</v>
      </c>
      <c r="W913" s="135" cm="1">
        <f ca="1" t="array" ref="W913">SUMPRODUCT(TRANSPOSE($AA913:$AG913),OFFSET($L$9:$L$15,0,W$631-1))</f>
        <v>16.8502200646615</v>
      </c>
      <c r="X913" s="135" cm="1">
        <f ca="1" t="array" ref="X913">SUMPRODUCT(TRANSPOSE($AA913:$AG913),OFFSET($L$9:$L$15,0,X$631-1))</f>
        <v>20</v>
      </c>
      <c r="Y913" s="135" cm="1">
        <f ca="1" t="array" ref="Y913">SUMPRODUCT(TRANSPOSE($AA913:$AG913),OFFSET($L$9:$L$15,0,Y$631-1))</f>
        <v>10</v>
      </c>
      <c r="Z913" s="135" cm="1">
        <f ca="1" t="array" ref="Z913">SUMPRODUCT(TRANSPOSE($AA913:$AG913),OFFSET($L$9:$L$15,0,Z$631-1))</f>
        <v>3.14977993533847</v>
      </c>
      <c r="AA913" s="136">
        <f ca="1" t="shared" ref="AA913:AG913" si="805">AH913-AH912</f>
        <v>0</v>
      </c>
      <c r="AB913" s="136">
        <f ca="1" t="shared" si="805"/>
        <v>0</v>
      </c>
      <c r="AC913" s="136">
        <f ca="1" t="shared" si="805"/>
        <v>0</v>
      </c>
      <c r="AD913" s="136">
        <f ca="1" t="shared" si="805"/>
        <v>0</v>
      </c>
      <c r="AE913" s="136">
        <f ca="1" t="shared" si="805"/>
        <v>0</v>
      </c>
      <c r="AF913" s="136">
        <f ca="1" t="shared" si="805"/>
        <v>0</v>
      </c>
      <c r="AG913" s="136">
        <f ca="1" t="shared" si="805"/>
        <v>100</v>
      </c>
      <c r="AH913" s="136">
        <f ca="1" t="shared" si="761"/>
        <v>450</v>
      </c>
      <c r="AI913" s="136">
        <f ca="1" t="shared" ref="AI913:AN913" si="806">IF($C913&gt;OFFSET($Q$8,MATCH(AI$634,$AH$634:$AN$634,0),0),OFFSET($P$8,MATCH(AI$634,$AH$634:$AN$634,0),0),MAX(0,$C913-OFFSET($Q$8,RIGHT(AI$634,1)-1,0)))</f>
        <v>909</v>
      </c>
      <c r="AJ913" s="136">
        <f ca="1" t="shared" si="806"/>
        <v>1818</v>
      </c>
      <c r="AK913" s="136">
        <f ca="1" t="shared" si="806"/>
        <v>2727</v>
      </c>
      <c r="AL913" s="136">
        <f ca="1" t="shared" si="806"/>
        <v>3636</v>
      </c>
      <c r="AM913" s="136">
        <f ca="1" t="shared" si="806"/>
        <v>4545</v>
      </c>
      <c r="AN913" s="136">
        <f ca="1" t="shared" si="806"/>
        <v>13815</v>
      </c>
    </row>
    <row r="914" s="106" customFormat="1" ht="16.5" spans="2:40">
      <c r="B914" s="117">
        <v>280</v>
      </c>
      <c r="C914" s="130">
        <f t="shared" si="759"/>
        <v>28000</v>
      </c>
      <c r="D914" s="131" cm="1">
        <f ca="1" t="array" ref="D914">IF(D1516=1,OFFSET($W$634,$B914,D$631-1)/SUMPRODUCT(--($D$631:$V$631=D$631),--($D1516:$V1516=1)),0)+SUM(D913)+IF(COUNTIF(D$1237:D1516,1)=1,5,0)+IF(COUNTIF(E914:$W914,"&gt;"&amp;0)&lt;5,IF(AND(COUNTIF(D$1237:D1516,1)&gt;7,MOD(1+IFERROR(MATCH($C914,总览!$D$46:$D$345,1)+1,1),7)=0),$C$3,0),0)</f>
        <v>1900.39072256588</v>
      </c>
      <c r="E914" s="131" cm="1">
        <f ca="1" t="array" ref="E914">IF(E1516=1,OFFSET($W$634,$B914,E$631-1)/SUMPRODUCT(--($D$631:$V$631=E$631),--($D1516:$V1516=1)),0)+SUM(E913)+IF(COUNTIF(E$1237:E1516,1)=1,5,0)+IF(COUNTIF(F914:$W914,"&gt;"&amp;0)&lt;5,IF(AND(COUNTIF(E$1237:E1516,1)&gt;7,MOD(1+IFERROR(MATCH($C914,总览!$D$46:$D$345,1)+1,1),7)=0),$C$3,0),0)</f>
        <v>1900.39072256588</v>
      </c>
      <c r="F914" s="131" cm="1">
        <f ca="1" t="array" ref="F914">IF(F1516=1,OFFSET($W$634,$B914,F$631-1)/SUMPRODUCT(--($D$631:$V$631=F$631),--($D1516:$V1516=1)),0)+SUM(F913)+IF(COUNTIF(F$1237:F1516,1)=1,5,0)+IF(COUNTIF(G914:$W914,"&gt;"&amp;0)&lt;5,IF(AND(COUNTIF(F$1237:F1516,1)&gt;7,MOD(1+IFERROR(MATCH($C914,总览!$D$46:$D$345,1)+1,1),7)=0),$C$3,0),0)</f>
        <v>1900.39072256588</v>
      </c>
      <c r="G914" s="131" cm="1">
        <f ca="1" t="array" ref="G914">IF(G1516=1,OFFSET($W$634,$B914,G$631-1)/SUMPRODUCT(--($D$631:$V$631=G$631),--($D1516:$V1516=1)),0)+SUM(G913)+IF(COUNTIF(G$1237:G1516,1)=1,5,0)+IF(COUNTIF(H914:$W914,"&gt;"&amp;0)&lt;5,IF(AND(COUNTIF(G$1237:G1516,1)&gt;7,MOD(1+IFERROR(MATCH($C914,总览!$D$46:$D$345,1)+1,1),7)=0),$C$3,0),0)</f>
        <v>872.733333333336</v>
      </c>
      <c r="H914" s="131" cm="1">
        <f ca="1" t="array" ref="H914">IF(H1516=1,OFFSET($W$634,$B914,H$631-1)/SUMPRODUCT(--($D$631:$V$631=H$631),--($D1516:$V1516=1)),0)+SUM(H913)+IF(COUNTIF(H$1237:H1516,1)=1,5,0)+IF(COUNTIF(I914:$W914,"&gt;"&amp;0)&lt;5,IF(AND(COUNTIF(H$1237:H1516,1)&gt;7,MOD(1+IFERROR(MATCH($C914,总览!$D$46:$D$345,1)+1,1),7)=0),$C$3,0),0)</f>
        <v>872.733333333336</v>
      </c>
      <c r="I914" s="131" cm="1">
        <f ca="1" t="array" ref="I914">IF(I1516=1,OFFSET($W$634,$B914,I$631-1)/SUMPRODUCT(--($D$631:$V$631=I$631),--($D1516:$V1516=1)),0)+SUM(I913)+IF(COUNTIF(I$1237:I1516,1)=1,5,0)+IF(COUNTIF(J914:$W914,"&gt;"&amp;0)&lt;5,IF(AND(COUNTIF(I$1237:I1516,1)&gt;7,MOD(1+IFERROR(MATCH($C914,总览!$D$46:$D$345,1)+1,1),7)=0),$C$3,0),0)</f>
        <v>872.733333333336</v>
      </c>
      <c r="J914" s="131" cm="1">
        <f ca="1" t="array" ref="J914">IF(J1516=1,OFFSET($W$634,$B914,J$631-1)/SUMPRODUCT(--($D$631:$V$631=J$631),--($D1516:$V1516=1)),0)+SUM(J913)+IF(COUNTIF(J$1237:J1516,1)=1,5,0)+IF(COUNTIF(K914:$W914,"&gt;"&amp;0)&lt;5,IF(AND(COUNTIF(J$1237:J1516,1)&gt;7,MOD(1+IFERROR(MATCH($C914,总览!$D$46:$D$345,1)+1,1),7)=0),$C$3,0),0)</f>
        <v>869.400000000003</v>
      </c>
      <c r="K914" s="131" cm="1">
        <f ca="1" t="array" ref="K914">IF(K1516=1,OFFSET($W$634,$B914,K$631-1)/SUMPRODUCT(--($D$631:$V$631=K$631),--($D1516:$V1516=1)),0)+SUM(K913)+IF(COUNTIF(K$1237:K1516,1)=1,5,0)+IF(COUNTIF(L914:$W914,"&gt;"&amp;0)&lt;5,IF(AND(COUNTIF(K$1237:K1516,1)&gt;7,MOD(1+IFERROR(MATCH($C914,总览!$D$46:$D$345,1)+1,1),7)=0),$C$3,0),0)</f>
        <v>866.900000000003</v>
      </c>
      <c r="L914" s="131" cm="1">
        <f ca="1" t="array" ref="L914">IF(L1516=1,OFFSET($W$634,$B914,L$631-1)/SUMPRODUCT(--($D$631:$V$631=L$631),--($D1516:$V1516=1)),0)+SUM(L913)+IF(COUNTIF(L$1237:L1516,1)=1,5,0)+IF(COUNTIF(M914:$W914,"&gt;"&amp;0)&lt;5,IF(AND(COUNTIF(L$1237:L1516,1)&gt;7,MOD(1+IFERROR(MATCH($C914,总览!$D$46:$D$345,1)+1,1),7)=0),$C$3,0),0)</f>
        <v>866.900000000003</v>
      </c>
      <c r="M914" s="131" cm="1">
        <f ca="1" t="array" ref="M914">IF(M1516=1,OFFSET($W$634,$B914,M$631-1)/SUMPRODUCT(--($D$631:$V$631=M$631),--($D1516:$V1516=1)),0)+SUM(M913)+IF(COUNTIF(M$1237:M1516,1)=1,5,0)+IF(COUNTIF(N914:$W914,"&gt;"&amp;0)&lt;5,IF(AND(COUNTIF(M$1237:M1516,1)&gt;7,MOD(1+IFERROR(MATCH($C914,总览!$D$46:$D$345,1)+1,1),7)=0),$C$3,0),0)</f>
        <v>357.752678571429</v>
      </c>
      <c r="N914" s="131" cm="1">
        <f ca="1" t="array" ref="N914">IF(N1516=1,OFFSET($W$634,$B914,N$631-1)/SUMPRODUCT(--($D$631:$V$631=N$631),--($D1516:$V1516=1)),0)+SUM(N913)+IF(COUNTIF(N$1237:N1516,1)=1,5,0)+IF(COUNTIF(O914:$W914,"&gt;"&amp;0)&lt;5,IF(AND(COUNTIF(N$1237:N1516,1)&gt;7,MOD(1+IFERROR(MATCH($C914,总览!$D$46:$D$345,1)+1,1),7)=0),$C$3,0),0)</f>
        <v>359.002678571429</v>
      </c>
      <c r="O914" s="131" cm="1">
        <f ca="1" t="array" ref="O914">IF(O1516=1,OFFSET($W$634,$B914,O$631-1)/SUMPRODUCT(--($D$631:$V$631=O$631),--($D1516:$V1516=1)),0)+SUM(O913)+IF(COUNTIF(O$1237:O1516,1)=1,5,0)+IF(COUNTIF(P914:$W914,"&gt;"&amp;0)&lt;5,IF(AND(COUNTIF(O$1237:O1516,1)&gt;7,MOD(1+IFERROR(MATCH($C914,总览!$D$46:$D$345,1)+1,1),7)=0),$C$3,0),0)</f>
        <v>364.002678571429</v>
      </c>
      <c r="P914" s="131" cm="1">
        <f ca="1" t="array" ref="P914">IF(P1516=1,OFFSET($W$634,$B914,P$631-1)/SUMPRODUCT(--($D$631:$V$631=P$631),--($D1516:$V1516=1)),0)+SUM(P913)+IF(COUNTIF(P$1237:P1516,1)=1,5,0)+IF(COUNTIF(Q914:$W914,"&gt;"&amp;0)&lt;5,IF(AND(COUNTIF(P$1237:P1516,1)&gt;7,MOD(1+IFERROR(MATCH($C914,总览!$D$46:$D$345,1)+1,1),7)=0),$C$3,0),0)</f>
        <v>353.121428571429</v>
      </c>
      <c r="Q914" s="131" cm="1">
        <f ca="1" t="array" ref="Q914">IF(Q1516=1,OFFSET($W$634,$B914,Q$631-1)/SUMPRODUCT(--($D$631:$V$631=Q$631),--($D1516:$V1516=1)),0)+SUM(Q913)+IF(COUNTIF(Q$1237:Q1516,1)=1,5,0)+IF(COUNTIF(R914:$W914,"&gt;"&amp;0)&lt;5,IF(AND(COUNTIF(Q$1237:Q1516,1)&gt;7,MOD(1+IFERROR(MATCH($C914,总览!$D$46:$D$345,1)+1,1),7)=0),$C$3,0),0)</f>
        <v>366.502678571429</v>
      </c>
      <c r="R914" s="131" cm="1">
        <f ca="1" t="array" ref="R914">IF(R1516=1,OFFSET($W$634,$B914,R$631-1)/SUMPRODUCT(--($D$631:$V$631=R$631),--($D1516:$V1516=1)),0)+SUM(R913)+IF(COUNTIF(R$1237:R1516,1)=1,5,0)+IF(COUNTIF(S914:$W914,"&gt;"&amp;0)&lt;5,IF(AND(COUNTIF(R$1237:R1516,1)&gt;7,MOD(1+IFERROR(MATCH($C914,总览!$D$46:$D$345,1)+1,1),7)=0),$C$3,0),0)</f>
        <v>358.121428571429</v>
      </c>
      <c r="S914" s="131" cm="1">
        <f ca="1" t="array" ref="S914">IF(S1516=1,OFFSET($W$634,$B914,S$631-1)/SUMPRODUCT(--($D$631:$V$631=S$631),--($D1516:$V1516=1)),0)+SUM(S913)+IF(COUNTIF(S$1237:S1516,1)=1,5,0)+IF(COUNTIF(T914:$W914,"&gt;"&amp;0)&lt;5,IF(AND(COUNTIF(S$1237:S1516,1)&gt;7,MOD(1+IFERROR(MATCH($C914,总览!$D$46:$D$345,1)+1,1),7)=0),$C$3,0),0)</f>
        <v>450.62142857143</v>
      </c>
      <c r="T914" s="131" cm="1">
        <f ca="1" t="array" ref="T914">IF(T1516=1,OFFSET($W$634,$B914,T$631-1)/SUMPRODUCT(--($D$631:$V$631=T$631),--($D1516:$V1516=1)),0)+SUM(T913)+IF(COUNTIF(T$1237:T1516,1)=1,5,0)+IF(COUNTIF(U914:$W914,"&gt;"&amp;0)&lt;5,IF(AND(COUNTIF(T$1237:T1516,1)&gt;7,MOD(1+IFERROR(MATCH($C914,总览!$D$46:$D$345,1)+1,1),7)=0),$C$3,0),0)</f>
        <v>329.144753293108</v>
      </c>
      <c r="U914" s="131" cm="1">
        <f ca="1" t="array" ref="U914">IF(U1516=1,OFFSET($W$634,$B914,U$631-1)/SUMPRODUCT(--($D$631:$V$631=U$631),--($D1516:$V1516=1)),0)+SUM(U913)+IF(COUNTIF(U$1237:U1516,1)=1,5,0)+IF(COUNTIF(V914:$W914,"&gt;"&amp;0)&lt;5,IF(AND(COUNTIF(U$1237:U1516,1)&gt;7,MOD(1+IFERROR(MATCH($C914,总览!$D$46:$D$345,1)+1,1),7)=0),$C$3,0),0)</f>
        <v>334.665539648408</v>
      </c>
      <c r="V914" s="131" cm="1">
        <f ca="1" t="array" ref="V914">IF(V1516=1,OFFSET($W$634,$B914,V$631-1)/SUMPRODUCT(--($D$631:$V$631=V$631),--($D1516:$V1516=1)),0)+SUM(V913)+IF(COUNTIF(V$1237:V1516,1)=1,5,0)+IF(COUNTIF(W914:$W914,"&gt;"&amp;0)&lt;5,IF(AND(COUNTIF(V$1237:V1516,1)&gt;7,MOD(1+IFERROR(MATCH($C914,总览!$D$46:$D$345,1)+1,1),7)=0),$C$3,0),0)</f>
        <v>354.492539360841</v>
      </c>
      <c r="W914" s="135" cm="1">
        <f ca="1" t="array" ref="W914">SUMPRODUCT(TRANSPOSE($AA914:$AG914),OFFSET($L$9:$L$15,0,W$631-1))</f>
        <v>16.8502200646615</v>
      </c>
      <c r="X914" s="135" cm="1">
        <f ca="1" t="array" ref="X914">SUMPRODUCT(TRANSPOSE($AA914:$AG914),OFFSET($L$9:$L$15,0,X$631-1))</f>
        <v>20</v>
      </c>
      <c r="Y914" s="135" cm="1">
        <f ca="1" t="array" ref="Y914">SUMPRODUCT(TRANSPOSE($AA914:$AG914),OFFSET($L$9:$L$15,0,Y$631-1))</f>
        <v>10</v>
      </c>
      <c r="Z914" s="135" cm="1">
        <f ca="1" t="array" ref="Z914">SUMPRODUCT(TRANSPOSE($AA914:$AG914),OFFSET($L$9:$L$15,0,Z$631-1))</f>
        <v>3.14977993533847</v>
      </c>
      <c r="AA914" s="136">
        <f ca="1" t="shared" ref="AA914:AG914" si="807">AH914-AH913</f>
        <v>0</v>
      </c>
      <c r="AB914" s="136">
        <f ca="1" t="shared" si="807"/>
        <v>0</v>
      </c>
      <c r="AC914" s="136">
        <f ca="1" t="shared" si="807"/>
        <v>0</v>
      </c>
      <c r="AD914" s="136">
        <f ca="1" t="shared" si="807"/>
        <v>0</v>
      </c>
      <c r="AE914" s="136">
        <f ca="1" t="shared" si="807"/>
        <v>0</v>
      </c>
      <c r="AF914" s="136">
        <f ca="1" t="shared" si="807"/>
        <v>0</v>
      </c>
      <c r="AG914" s="136">
        <f ca="1" t="shared" si="807"/>
        <v>100</v>
      </c>
      <c r="AH914" s="136">
        <f ca="1" t="shared" si="761"/>
        <v>450</v>
      </c>
      <c r="AI914" s="136">
        <f ca="1" t="shared" ref="AI914:AN914" si="808">IF($C914&gt;OFFSET($Q$8,MATCH(AI$634,$AH$634:$AN$634,0),0),OFFSET($P$8,MATCH(AI$634,$AH$634:$AN$634,0),0),MAX(0,$C914-OFFSET($Q$8,RIGHT(AI$634,1)-1,0)))</f>
        <v>909</v>
      </c>
      <c r="AJ914" s="136">
        <f ca="1" t="shared" si="808"/>
        <v>1818</v>
      </c>
      <c r="AK914" s="136">
        <f ca="1" t="shared" si="808"/>
        <v>2727</v>
      </c>
      <c r="AL914" s="136">
        <f ca="1" t="shared" si="808"/>
        <v>3636</v>
      </c>
      <c r="AM914" s="136">
        <f ca="1" t="shared" si="808"/>
        <v>4545</v>
      </c>
      <c r="AN914" s="136">
        <f ca="1" t="shared" si="808"/>
        <v>13915</v>
      </c>
    </row>
    <row r="915" s="106" customFormat="1" ht="16.5" spans="2:40">
      <c r="B915" s="117">
        <v>281</v>
      </c>
      <c r="C915" s="130">
        <f t="shared" si="759"/>
        <v>28100</v>
      </c>
      <c r="D915" s="131" cm="1">
        <f ca="1" t="array" ref="D915">IF(D1517=1,OFFSET($W$634,$B915,D$631-1)/SUMPRODUCT(--($D$631:$V$631=D$631),--($D1517:$V1517=1)),0)+SUM(D914)+IF(COUNTIF(D$1237:D1517,1)=1,5,0)+IF(COUNTIF(E915:$W915,"&gt;"&amp;0)&lt;5,IF(AND(COUNTIF(D$1237:D1517,1)&gt;7,MOD(1+IFERROR(MATCH($C915,总览!$D$46:$D$345,1)+1,1),7)=0),$C$3,0),0)</f>
        <v>1906.00746258743</v>
      </c>
      <c r="E915" s="131" cm="1">
        <f ca="1" t="array" ref="E915">IF(E1517=1,OFFSET($W$634,$B915,E$631-1)/SUMPRODUCT(--($D$631:$V$631=E$631),--($D1517:$V1517=1)),0)+SUM(E914)+IF(COUNTIF(E$1237:E1517,1)=1,5,0)+IF(COUNTIF(F915:$W915,"&gt;"&amp;0)&lt;5,IF(AND(COUNTIF(E$1237:E1517,1)&gt;7,MOD(1+IFERROR(MATCH($C915,总览!$D$46:$D$345,1)+1,1),7)=0),$C$3,0),0)</f>
        <v>1906.00746258743</v>
      </c>
      <c r="F915" s="131" cm="1">
        <f ca="1" t="array" ref="F915">IF(F1517=1,OFFSET($W$634,$B915,F$631-1)/SUMPRODUCT(--($D$631:$V$631=F$631),--($D1517:$V1517=1)),0)+SUM(F914)+IF(COUNTIF(F$1237:F1517,1)=1,5,0)+IF(COUNTIF(G915:$W915,"&gt;"&amp;0)&lt;5,IF(AND(COUNTIF(F$1237:F1517,1)&gt;7,MOD(1+IFERROR(MATCH($C915,总览!$D$46:$D$345,1)+1,1),7)=0),$C$3,0),0)</f>
        <v>1906.00746258743</v>
      </c>
      <c r="G915" s="131" cm="1">
        <f ca="1" t="array" ref="G915">IF(G1517=1,OFFSET($W$634,$B915,G$631-1)/SUMPRODUCT(--($D$631:$V$631=G$631),--($D1517:$V1517=1)),0)+SUM(G914)+IF(COUNTIF(G$1237:G1517,1)=1,5,0)+IF(COUNTIF(H915:$W915,"&gt;"&amp;0)&lt;5,IF(AND(COUNTIF(G$1237:G1517,1)&gt;7,MOD(1+IFERROR(MATCH($C915,总览!$D$46:$D$345,1)+1,1),7)=0),$C$3,0),0)</f>
        <v>876.066666666669</v>
      </c>
      <c r="H915" s="131" cm="1">
        <f ca="1" t="array" ref="H915">IF(H1517=1,OFFSET($W$634,$B915,H$631-1)/SUMPRODUCT(--($D$631:$V$631=H$631),--($D1517:$V1517=1)),0)+SUM(H914)+IF(COUNTIF(H$1237:H1517,1)=1,5,0)+IF(COUNTIF(I915:$W915,"&gt;"&amp;0)&lt;5,IF(AND(COUNTIF(H$1237:H1517,1)&gt;7,MOD(1+IFERROR(MATCH($C915,总览!$D$46:$D$345,1)+1,1),7)=0),$C$3,0),0)</f>
        <v>876.066666666669</v>
      </c>
      <c r="I915" s="131" cm="1">
        <f ca="1" t="array" ref="I915">IF(I1517=1,OFFSET($W$634,$B915,I$631-1)/SUMPRODUCT(--($D$631:$V$631=I$631),--($D1517:$V1517=1)),0)+SUM(I914)+IF(COUNTIF(I$1237:I1517,1)=1,5,0)+IF(COUNTIF(J915:$W915,"&gt;"&amp;0)&lt;5,IF(AND(COUNTIF(I$1237:I1517,1)&gt;7,MOD(1+IFERROR(MATCH($C915,总览!$D$46:$D$345,1)+1,1),7)=0),$C$3,0),0)</f>
        <v>876.066666666669</v>
      </c>
      <c r="J915" s="131" cm="1">
        <f ca="1" t="array" ref="J915">IF(J1517=1,OFFSET($W$634,$B915,J$631-1)/SUMPRODUCT(--($D$631:$V$631=J$631),--($D1517:$V1517=1)),0)+SUM(J914)+IF(COUNTIF(J$1237:J1517,1)=1,5,0)+IF(COUNTIF(K915:$W915,"&gt;"&amp;0)&lt;5,IF(AND(COUNTIF(J$1237:J1517,1)&gt;7,MOD(1+IFERROR(MATCH($C915,总览!$D$46:$D$345,1)+1,1),7)=0),$C$3,0),0)</f>
        <v>872.733333333336</v>
      </c>
      <c r="K915" s="131" cm="1">
        <f ca="1" t="array" ref="K915">IF(K1517=1,OFFSET($W$634,$B915,K$631-1)/SUMPRODUCT(--($D$631:$V$631=K$631),--($D1517:$V1517=1)),0)+SUM(K914)+IF(COUNTIF(K$1237:K1517,1)=1,5,0)+IF(COUNTIF(L915:$W915,"&gt;"&amp;0)&lt;5,IF(AND(COUNTIF(K$1237:K1517,1)&gt;7,MOD(1+IFERROR(MATCH($C915,总览!$D$46:$D$345,1)+1,1),7)=0),$C$3,0),0)</f>
        <v>870.233333333336</v>
      </c>
      <c r="L915" s="131" cm="1">
        <f ca="1" t="array" ref="L915">IF(L1517=1,OFFSET($W$634,$B915,L$631-1)/SUMPRODUCT(--($D$631:$V$631=L$631),--($D1517:$V1517=1)),0)+SUM(L914)+IF(COUNTIF(L$1237:L1517,1)=1,5,0)+IF(COUNTIF(M915:$W915,"&gt;"&amp;0)&lt;5,IF(AND(COUNTIF(L$1237:L1517,1)&gt;7,MOD(1+IFERROR(MATCH($C915,总览!$D$46:$D$345,1)+1,1),7)=0),$C$3,0),0)</f>
        <v>870.233333333336</v>
      </c>
      <c r="M915" s="131" cm="1">
        <f ca="1" t="array" ref="M915">IF(M1517=1,OFFSET($W$634,$B915,M$631-1)/SUMPRODUCT(--($D$631:$V$631=M$631),--($D1517:$V1517=1)),0)+SUM(M914)+IF(COUNTIF(M$1237:M1517,1)=1,5,0)+IF(COUNTIF(N915:$W915,"&gt;"&amp;0)&lt;5,IF(AND(COUNTIF(M$1237:M1517,1)&gt;7,MOD(1+IFERROR(MATCH($C915,总览!$D$46:$D$345,1)+1,1),7)=0),$C$3,0),0)</f>
        <v>359.18125</v>
      </c>
      <c r="N915" s="131" cm="1">
        <f ca="1" t="array" ref="N915">IF(N1517=1,OFFSET($W$634,$B915,N$631-1)/SUMPRODUCT(--($D$631:$V$631=N$631),--($D1517:$V1517=1)),0)+SUM(N914)+IF(COUNTIF(N$1237:N1517,1)=1,5,0)+IF(COUNTIF(O915:$W915,"&gt;"&amp;0)&lt;5,IF(AND(COUNTIF(N$1237:N1517,1)&gt;7,MOD(1+IFERROR(MATCH($C915,总览!$D$46:$D$345,1)+1,1),7)=0),$C$3,0),0)</f>
        <v>360.43125</v>
      </c>
      <c r="O915" s="131" cm="1">
        <f ca="1" t="array" ref="O915">IF(O1517=1,OFFSET($W$634,$B915,O$631-1)/SUMPRODUCT(--($D$631:$V$631=O$631),--($D1517:$V1517=1)),0)+SUM(O914)+IF(COUNTIF(O$1237:O1517,1)=1,5,0)+IF(COUNTIF(P915:$W915,"&gt;"&amp;0)&lt;5,IF(AND(COUNTIF(O$1237:O1517,1)&gt;7,MOD(1+IFERROR(MATCH($C915,总览!$D$46:$D$345,1)+1,1),7)=0),$C$3,0),0)</f>
        <v>365.43125</v>
      </c>
      <c r="P915" s="131" cm="1">
        <f ca="1" t="array" ref="P915">IF(P1517=1,OFFSET($W$634,$B915,P$631-1)/SUMPRODUCT(--($D$631:$V$631=P$631),--($D1517:$V1517=1)),0)+SUM(P914)+IF(COUNTIF(P$1237:P1517,1)=1,5,0)+IF(COUNTIF(Q915:$W915,"&gt;"&amp;0)&lt;5,IF(AND(COUNTIF(P$1237:P1517,1)&gt;7,MOD(1+IFERROR(MATCH($C915,总览!$D$46:$D$345,1)+1,1),7)=0),$C$3,0),0)</f>
        <v>354.55</v>
      </c>
      <c r="Q915" s="131" cm="1">
        <f ca="1" t="array" ref="Q915">IF(Q1517=1,OFFSET($W$634,$B915,Q$631-1)/SUMPRODUCT(--($D$631:$V$631=Q$631),--($D1517:$V1517=1)),0)+SUM(Q914)+IF(COUNTIF(Q$1237:Q1517,1)=1,5,0)+IF(COUNTIF(R915:$W915,"&gt;"&amp;0)&lt;5,IF(AND(COUNTIF(Q$1237:Q1517,1)&gt;7,MOD(1+IFERROR(MATCH($C915,总览!$D$46:$D$345,1)+1,1),7)=0),$C$3,0),0)</f>
        <v>367.93125</v>
      </c>
      <c r="R915" s="131" cm="1">
        <f ca="1" t="array" ref="R915">IF(R1517=1,OFFSET($W$634,$B915,R$631-1)/SUMPRODUCT(--($D$631:$V$631=R$631),--($D1517:$V1517=1)),0)+SUM(R914)+IF(COUNTIF(R$1237:R1517,1)=1,5,0)+IF(COUNTIF(S915:$W915,"&gt;"&amp;0)&lt;5,IF(AND(COUNTIF(R$1237:R1517,1)&gt;7,MOD(1+IFERROR(MATCH($C915,总览!$D$46:$D$345,1)+1,1),7)=0),$C$3,0),0)</f>
        <v>359.55</v>
      </c>
      <c r="S915" s="131" cm="1">
        <f ca="1" t="array" ref="S915">IF(S1517=1,OFFSET($W$634,$B915,S$631-1)/SUMPRODUCT(--($D$631:$V$631=S$631),--($D1517:$V1517=1)),0)+SUM(S914)+IF(COUNTIF(S$1237:S1517,1)=1,5,0)+IF(COUNTIF(T915:$W915,"&gt;"&amp;0)&lt;5,IF(AND(COUNTIF(S$1237:S1517,1)&gt;7,MOD(1+IFERROR(MATCH($C915,总览!$D$46:$D$345,1)+1,1),7)=0),$C$3,0),0)</f>
        <v>452.050000000001</v>
      </c>
      <c r="T915" s="131" cm="1">
        <f ca="1" t="array" ref="T915">IF(T1517=1,OFFSET($W$634,$B915,T$631-1)/SUMPRODUCT(--($D$631:$V$631=T$631),--($D1517:$V1517=1)),0)+SUM(T914)+IF(COUNTIF(T$1237:T1517,1)=1,5,0)+IF(COUNTIF(U915:$W915,"&gt;"&amp;0)&lt;5,IF(AND(COUNTIF(T$1237:T1517,1)&gt;7,MOD(1+IFERROR(MATCH($C915,总览!$D$46:$D$345,1)+1,1),7)=0),$C$3,0),0)</f>
        <v>330.194679938221</v>
      </c>
      <c r="U915" s="131" cm="1">
        <f ca="1" t="array" ref="U915">IF(U1517=1,OFFSET($W$634,$B915,U$631-1)/SUMPRODUCT(--($D$631:$V$631=U$631),--($D1517:$V1517=1)),0)+SUM(U914)+IF(COUNTIF(U$1237:U1517,1)=1,5,0)+IF(COUNTIF(V915:$W915,"&gt;"&amp;0)&lt;5,IF(AND(COUNTIF(U$1237:U1517,1)&gt;7,MOD(1+IFERROR(MATCH($C915,总览!$D$46:$D$345,1)+1,1),7)=0),$C$3,0),0)</f>
        <v>335.715466293521</v>
      </c>
      <c r="V915" s="131" cm="1">
        <f ca="1" t="array" ref="V915">IF(V1517=1,OFFSET($W$634,$B915,V$631-1)/SUMPRODUCT(--($D$631:$V$631=V$631),--($D1517:$V1517=1)),0)+SUM(V914)+IF(COUNTIF(V$1237:V1517,1)=1,5,0)+IF(COUNTIF(W915:$W915,"&gt;"&amp;0)&lt;5,IF(AND(COUNTIF(V$1237:V1517,1)&gt;7,MOD(1+IFERROR(MATCH($C915,总览!$D$46:$D$345,1)+1,1),7)=0),$C$3,0),0)</f>
        <v>355.542466005954</v>
      </c>
      <c r="W915" s="135" cm="1">
        <f ca="1" t="array" ref="W915">SUMPRODUCT(TRANSPOSE($AA915:$AG915),OFFSET($L$9:$L$15,0,W$631-1))</f>
        <v>16.8502200646615</v>
      </c>
      <c r="X915" s="135" cm="1">
        <f ca="1" t="array" ref="X915">SUMPRODUCT(TRANSPOSE($AA915:$AG915),OFFSET($L$9:$L$15,0,X$631-1))</f>
        <v>20</v>
      </c>
      <c r="Y915" s="135" cm="1">
        <f ca="1" t="array" ref="Y915">SUMPRODUCT(TRANSPOSE($AA915:$AG915),OFFSET($L$9:$L$15,0,Y$631-1))</f>
        <v>10</v>
      </c>
      <c r="Z915" s="135" cm="1">
        <f ca="1" t="array" ref="Z915">SUMPRODUCT(TRANSPOSE($AA915:$AG915),OFFSET($L$9:$L$15,0,Z$631-1))</f>
        <v>3.14977993533847</v>
      </c>
      <c r="AA915" s="136">
        <f ca="1" t="shared" ref="AA915:AG915" si="809">AH915-AH914</f>
        <v>0</v>
      </c>
      <c r="AB915" s="136">
        <f ca="1" t="shared" si="809"/>
        <v>0</v>
      </c>
      <c r="AC915" s="136">
        <f ca="1" t="shared" si="809"/>
        <v>0</v>
      </c>
      <c r="AD915" s="136">
        <f ca="1" t="shared" si="809"/>
        <v>0</v>
      </c>
      <c r="AE915" s="136">
        <f ca="1" t="shared" si="809"/>
        <v>0</v>
      </c>
      <c r="AF915" s="136">
        <f ca="1" t="shared" si="809"/>
        <v>0</v>
      </c>
      <c r="AG915" s="136">
        <f ca="1" t="shared" si="809"/>
        <v>100</v>
      </c>
      <c r="AH915" s="136">
        <f ca="1" t="shared" si="761"/>
        <v>450</v>
      </c>
      <c r="AI915" s="136">
        <f ca="1" t="shared" ref="AI915:AN915" si="810">IF($C915&gt;OFFSET($Q$8,MATCH(AI$634,$AH$634:$AN$634,0),0),OFFSET($P$8,MATCH(AI$634,$AH$634:$AN$634,0),0),MAX(0,$C915-OFFSET($Q$8,RIGHT(AI$634,1)-1,0)))</f>
        <v>909</v>
      </c>
      <c r="AJ915" s="136">
        <f ca="1" t="shared" si="810"/>
        <v>1818</v>
      </c>
      <c r="AK915" s="136">
        <f ca="1" t="shared" si="810"/>
        <v>2727</v>
      </c>
      <c r="AL915" s="136">
        <f ca="1" t="shared" si="810"/>
        <v>3636</v>
      </c>
      <c r="AM915" s="136">
        <f ca="1" t="shared" si="810"/>
        <v>4545</v>
      </c>
      <c r="AN915" s="136">
        <f ca="1" t="shared" si="810"/>
        <v>14015</v>
      </c>
    </row>
    <row r="916" s="106" customFormat="1" ht="16.5" spans="2:40">
      <c r="B916" s="117">
        <v>282</v>
      </c>
      <c r="C916" s="130">
        <f t="shared" si="759"/>
        <v>28200</v>
      </c>
      <c r="D916" s="131" cm="1">
        <f ca="1" t="array" ref="D916">IF(D1518=1,OFFSET($W$634,$B916,D$631-1)/SUMPRODUCT(--($D$631:$V$631=D$631),--($D1518:$V1518=1)),0)+SUM(D915)+IF(COUNTIF(D$1237:D1518,1)=1,5,0)+IF(COUNTIF(E916:$W916,"&gt;"&amp;0)&lt;5,IF(AND(COUNTIF(D$1237:D1518,1)&gt;7,MOD(1+IFERROR(MATCH($C916,总览!$D$46:$D$345,1)+1,1),7)=0),$C$3,0),0)</f>
        <v>1911.62420260898</v>
      </c>
      <c r="E916" s="131" cm="1">
        <f ca="1" t="array" ref="E916">IF(E1518=1,OFFSET($W$634,$B916,E$631-1)/SUMPRODUCT(--($D$631:$V$631=E$631),--($D1518:$V1518=1)),0)+SUM(E915)+IF(COUNTIF(E$1237:E1518,1)=1,5,0)+IF(COUNTIF(F916:$W916,"&gt;"&amp;0)&lt;5,IF(AND(COUNTIF(E$1237:E1518,1)&gt;7,MOD(1+IFERROR(MATCH($C916,总览!$D$46:$D$345,1)+1,1),7)=0),$C$3,0),0)</f>
        <v>1911.62420260898</v>
      </c>
      <c r="F916" s="131" cm="1">
        <f ca="1" t="array" ref="F916">IF(F1518=1,OFFSET($W$634,$B916,F$631-1)/SUMPRODUCT(--($D$631:$V$631=F$631),--($D1518:$V1518=1)),0)+SUM(F915)+IF(COUNTIF(F$1237:F1518,1)=1,5,0)+IF(COUNTIF(G916:$W916,"&gt;"&amp;0)&lt;5,IF(AND(COUNTIF(F$1237:F1518,1)&gt;7,MOD(1+IFERROR(MATCH($C916,总览!$D$46:$D$345,1)+1,1),7)=0),$C$3,0),0)</f>
        <v>1911.62420260898</v>
      </c>
      <c r="G916" s="131" cm="1">
        <f ca="1" t="array" ref="G916">IF(G1518=1,OFFSET($W$634,$B916,G$631-1)/SUMPRODUCT(--($D$631:$V$631=G$631),--($D1518:$V1518=1)),0)+SUM(G915)+IF(COUNTIF(G$1237:G1518,1)=1,5,0)+IF(COUNTIF(H916:$W916,"&gt;"&amp;0)&lt;5,IF(AND(COUNTIF(G$1237:G1518,1)&gt;7,MOD(1+IFERROR(MATCH($C916,总览!$D$46:$D$345,1)+1,1),7)=0),$C$3,0),0)</f>
        <v>879.400000000003</v>
      </c>
      <c r="H916" s="131" cm="1">
        <f ca="1" t="array" ref="H916">IF(H1518=1,OFFSET($W$634,$B916,H$631-1)/SUMPRODUCT(--($D$631:$V$631=H$631),--($D1518:$V1518=1)),0)+SUM(H915)+IF(COUNTIF(H$1237:H1518,1)=1,5,0)+IF(COUNTIF(I916:$W916,"&gt;"&amp;0)&lt;5,IF(AND(COUNTIF(H$1237:H1518,1)&gt;7,MOD(1+IFERROR(MATCH($C916,总览!$D$46:$D$345,1)+1,1),7)=0),$C$3,0),0)</f>
        <v>879.400000000003</v>
      </c>
      <c r="I916" s="131" cm="1">
        <f ca="1" t="array" ref="I916">IF(I1518=1,OFFSET($W$634,$B916,I$631-1)/SUMPRODUCT(--($D$631:$V$631=I$631),--($D1518:$V1518=1)),0)+SUM(I915)+IF(COUNTIF(I$1237:I1518,1)=1,5,0)+IF(COUNTIF(J916:$W916,"&gt;"&amp;0)&lt;5,IF(AND(COUNTIF(I$1237:I1518,1)&gt;7,MOD(1+IFERROR(MATCH($C916,总览!$D$46:$D$345,1)+1,1),7)=0),$C$3,0),0)</f>
        <v>879.400000000003</v>
      </c>
      <c r="J916" s="131" cm="1">
        <f ca="1" t="array" ref="J916">IF(J1518=1,OFFSET($W$634,$B916,J$631-1)/SUMPRODUCT(--($D$631:$V$631=J$631),--($D1518:$V1518=1)),0)+SUM(J915)+IF(COUNTIF(J$1237:J1518,1)=1,5,0)+IF(COUNTIF(K916:$W916,"&gt;"&amp;0)&lt;5,IF(AND(COUNTIF(J$1237:J1518,1)&gt;7,MOD(1+IFERROR(MATCH($C916,总览!$D$46:$D$345,1)+1,1),7)=0),$C$3,0),0)</f>
        <v>876.066666666669</v>
      </c>
      <c r="K916" s="131" cm="1">
        <f ca="1" t="array" ref="K916">IF(K1518=1,OFFSET($W$634,$B916,K$631-1)/SUMPRODUCT(--($D$631:$V$631=K$631),--($D1518:$V1518=1)),0)+SUM(K915)+IF(COUNTIF(K$1237:K1518,1)=1,5,0)+IF(COUNTIF(L916:$W916,"&gt;"&amp;0)&lt;5,IF(AND(COUNTIF(K$1237:K1518,1)&gt;7,MOD(1+IFERROR(MATCH($C916,总览!$D$46:$D$345,1)+1,1),7)=0),$C$3,0),0)</f>
        <v>873.566666666669</v>
      </c>
      <c r="L916" s="131" cm="1">
        <f ca="1" t="array" ref="L916">IF(L1518=1,OFFSET($W$634,$B916,L$631-1)/SUMPRODUCT(--($D$631:$V$631=L$631),--($D1518:$V1518=1)),0)+SUM(L915)+IF(COUNTIF(L$1237:L1518,1)=1,5,0)+IF(COUNTIF(M916:$W916,"&gt;"&amp;0)&lt;5,IF(AND(COUNTIF(L$1237:L1518,1)&gt;7,MOD(1+IFERROR(MATCH($C916,总览!$D$46:$D$345,1)+1,1),7)=0),$C$3,0),0)</f>
        <v>873.566666666669</v>
      </c>
      <c r="M916" s="131" cm="1">
        <f ca="1" t="array" ref="M916">IF(M1518=1,OFFSET($W$634,$B916,M$631-1)/SUMPRODUCT(--($D$631:$V$631=M$631),--($D1518:$V1518=1)),0)+SUM(M915)+IF(COUNTIF(M$1237:M1518,1)=1,5,0)+IF(COUNTIF(N916:$W916,"&gt;"&amp;0)&lt;5,IF(AND(COUNTIF(M$1237:M1518,1)&gt;7,MOD(1+IFERROR(MATCH($C916,总览!$D$46:$D$345,1)+1,1),7)=0),$C$3,0),0)</f>
        <v>360.609821428571</v>
      </c>
      <c r="N916" s="131" cm="1">
        <f ca="1" t="array" ref="N916">IF(N1518=1,OFFSET($W$634,$B916,N$631-1)/SUMPRODUCT(--($D$631:$V$631=N$631),--($D1518:$V1518=1)),0)+SUM(N915)+IF(COUNTIF(N$1237:N1518,1)=1,5,0)+IF(COUNTIF(O916:$W916,"&gt;"&amp;0)&lt;5,IF(AND(COUNTIF(N$1237:N1518,1)&gt;7,MOD(1+IFERROR(MATCH($C916,总览!$D$46:$D$345,1)+1,1),7)=0),$C$3,0),0)</f>
        <v>361.859821428571</v>
      </c>
      <c r="O916" s="131" cm="1">
        <f ca="1" t="array" ref="O916">IF(O1518=1,OFFSET($W$634,$B916,O$631-1)/SUMPRODUCT(--($D$631:$V$631=O$631),--($D1518:$V1518=1)),0)+SUM(O915)+IF(COUNTIF(O$1237:O1518,1)=1,5,0)+IF(COUNTIF(P916:$W916,"&gt;"&amp;0)&lt;5,IF(AND(COUNTIF(O$1237:O1518,1)&gt;7,MOD(1+IFERROR(MATCH($C916,总览!$D$46:$D$345,1)+1,1),7)=0),$C$3,0),0)</f>
        <v>366.859821428571</v>
      </c>
      <c r="P916" s="131" cm="1">
        <f ca="1" t="array" ref="P916">IF(P1518=1,OFFSET($W$634,$B916,P$631-1)/SUMPRODUCT(--($D$631:$V$631=P$631),--($D1518:$V1518=1)),0)+SUM(P915)+IF(COUNTIF(P$1237:P1518,1)=1,5,0)+IF(COUNTIF(Q916:$W916,"&gt;"&amp;0)&lt;5,IF(AND(COUNTIF(P$1237:P1518,1)&gt;7,MOD(1+IFERROR(MATCH($C916,总览!$D$46:$D$345,1)+1,1),7)=0),$C$3,0),0)</f>
        <v>355.978571428571</v>
      </c>
      <c r="Q916" s="131" cm="1">
        <f ca="1" t="array" ref="Q916">IF(Q1518=1,OFFSET($W$634,$B916,Q$631-1)/SUMPRODUCT(--($D$631:$V$631=Q$631),--($D1518:$V1518=1)),0)+SUM(Q915)+IF(COUNTIF(Q$1237:Q1518,1)=1,5,0)+IF(COUNTIF(R916:$W916,"&gt;"&amp;0)&lt;5,IF(AND(COUNTIF(Q$1237:Q1518,1)&gt;7,MOD(1+IFERROR(MATCH($C916,总览!$D$46:$D$345,1)+1,1),7)=0),$C$3,0),0)</f>
        <v>369.359821428571</v>
      </c>
      <c r="R916" s="131" cm="1">
        <f ca="1" t="array" ref="R916">IF(R1518=1,OFFSET($W$634,$B916,R$631-1)/SUMPRODUCT(--($D$631:$V$631=R$631),--($D1518:$V1518=1)),0)+SUM(R915)+IF(COUNTIF(R$1237:R1518,1)=1,5,0)+IF(COUNTIF(S916:$W916,"&gt;"&amp;0)&lt;5,IF(AND(COUNTIF(R$1237:R1518,1)&gt;7,MOD(1+IFERROR(MATCH($C916,总览!$D$46:$D$345,1)+1,1),7)=0),$C$3,0),0)</f>
        <v>360.978571428571</v>
      </c>
      <c r="S916" s="131" cm="1">
        <f ca="1" t="array" ref="S916">IF(S1518=1,OFFSET($W$634,$B916,S$631-1)/SUMPRODUCT(--($D$631:$V$631=S$631),--($D1518:$V1518=1)),0)+SUM(S915)+IF(COUNTIF(S$1237:S1518,1)=1,5,0)+IF(COUNTIF(T916:$W916,"&gt;"&amp;0)&lt;5,IF(AND(COUNTIF(S$1237:S1518,1)&gt;7,MOD(1+IFERROR(MATCH($C916,总览!$D$46:$D$345,1)+1,1),7)=0),$C$3,0),0)</f>
        <v>453.478571428573</v>
      </c>
      <c r="T916" s="131" cm="1">
        <f ca="1" t="array" ref="T916">IF(T1518=1,OFFSET($W$634,$B916,T$631-1)/SUMPRODUCT(--($D$631:$V$631=T$631),--($D1518:$V1518=1)),0)+SUM(T915)+IF(COUNTIF(T$1237:T1518,1)=1,5,0)+IF(COUNTIF(U916:$W916,"&gt;"&amp;0)&lt;5,IF(AND(COUNTIF(T$1237:T1518,1)&gt;7,MOD(1+IFERROR(MATCH($C916,总览!$D$46:$D$345,1)+1,1),7)=0),$C$3,0),0)</f>
        <v>331.244606583334</v>
      </c>
      <c r="U916" s="131" cm="1">
        <f ca="1" t="array" ref="U916">IF(U1518=1,OFFSET($W$634,$B916,U$631-1)/SUMPRODUCT(--($D$631:$V$631=U$631),--($D1518:$V1518=1)),0)+SUM(U915)+IF(COUNTIF(U$1237:U1518,1)=1,5,0)+IF(COUNTIF(V916:$W916,"&gt;"&amp;0)&lt;5,IF(AND(COUNTIF(U$1237:U1518,1)&gt;7,MOD(1+IFERROR(MATCH($C916,总览!$D$46:$D$345,1)+1,1),7)=0),$C$3,0),0)</f>
        <v>336.765392938633</v>
      </c>
      <c r="V916" s="131" cm="1">
        <f ca="1" t="array" ref="V916">IF(V1518=1,OFFSET($W$634,$B916,V$631-1)/SUMPRODUCT(--($D$631:$V$631=V$631),--($D1518:$V1518=1)),0)+SUM(V915)+IF(COUNTIF(V$1237:V1518,1)=1,5,0)+IF(COUNTIF(W916:$W916,"&gt;"&amp;0)&lt;5,IF(AND(COUNTIF(V$1237:V1518,1)&gt;7,MOD(1+IFERROR(MATCH($C916,总览!$D$46:$D$345,1)+1,1),7)=0),$C$3,0),0)</f>
        <v>356.592392651066</v>
      </c>
      <c r="W916" s="135" cm="1">
        <f ca="1" t="array" ref="W916">SUMPRODUCT(TRANSPOSE($AA916:$AG916),OFFSET($L$9:$L$15,0,W$631-1))</f>
        <v>16.8502200646615</v>
      </c>
      <c r="X916" s="135" cm="1">
        <f ca="1" t="array" ref="X916">SUMPRODUCT(TRANSPOSE($AA916:$AG916),OFFSET($L$9:$L$15,0,X$631-1))</f>
        <v>20</v>
      </c>
      <c r="Y916" s="135" cm="1">
        <f ca="1" t="array" ref="Y916">SUMPRODUCT(TRANSPOSE($AA916:$AG916),OFFSET($L$9:$L$15,0,Y$631-1))</f>
        <v>10</v>
      </c>
      <c r="Z916" s="135" cm="1">
        <f ca="1" t="array" ref="Z916">SUMPRODUCT(TRANSPOSE($AA916:$AG916),OFFSET($L$9:$L$15,0,Z$631-1))</f>
        <v>3.14977993533847</v>
      </c>
      <c r="AA916" s="136">
        <f ca="1" t="shared" ref="AA916:AG916" si="811">AH916-AH915</f>
        <v>0</v>
      </c>
      <c r="AB916" s="136">
        <f ca="1" t="shared" si="811"/>
        <v>0</v>
      </c>
      <c r="AC916" s="136">
        <f ca="1" t="shared" si="811"/>
        <v>0</v>
      </c>
      <c r="AD916" s="136">
        <f ca="1" t="shared" si="811"/>
        <v>0</v>
      </c>
      <c r="AE916" s="136">
        <f ca="1" t="shared" si="811"/>
        <v>0</v>
      </c>
      <c r="AF916" s="136">
        <f ca="1" t="shared" si="811"/>
        <v>0</v>
      </c>
      <c r="AG916" s="136">
        <f ca="1" t="shared" si="811"/>
        <v>100</v>
      </c>
      <c r="AH916" s="136">
        <f ca="1" t="shared" si="761"/>
        <v>450</v>
      </c>
      <c r="AI916" s="136">
        <f ca="1" t="shared" ref="AI916:AN916" si="812">IF($C916&gt;OFFSET($Q$8,MATCH(AI$634,$AH$634:$AN$634,0),0),OFFSET($P$8,MATCH(AI$634,$AH$634:$AN$634,0),0),MAX(0,$C916-OFFSET($Q$8,RIGHT(AI$634,1)-1,0)))</f>
        <v>909</v>
      </c>
      <c r="AJ916" s="136">
        <f ca="1" t="shared" si="812"/>
        <v>1818</v>
      </c>
      <c r="AK916" s="136">
        <f ca="1" t="shared" si="812"/>
        <v>2727</v>
      </c>
      <c r="AL916" s="136">
        <f ca="1" t="shared" si="812"/>
        <v>3636</v>
      </c>
      <c r="AM916" s="136">
        <f ca="1" t="shared" si="812"/>
        <v>4545</v>
      </c>
      <c r="AN916" s="136">
        <f ca="1" t="shared" si="812"/>
        <v>14115</v>
      </c>
    </row>
    <row r="917" s="106" customFormat="1" ht="16.5" spans="2:40">
      <c r="B917" s="117">
        <v>283</v>
      </c>
      <c r="C917" s="130">
        <f t="shared" si="759"/>
        <v>28300</v>
      </c>
      <c r="D917" s="131" cm="1">
        <f ca="1" t="array" ref="D917">IF(D1519=1,OFFSET($W$634,$B917,D$631-1)/SUMPRODUCT(--($D$631:$V$631=D$631),--($D1519:$V1519=1)),0)+SUM(D916)+IF(COUNTIF(D$1237:D1519,1)=1,5,0)+IF(COUNTIF(E917:$W917,"&gt;"&amp;0)&lt;5,IF(AND(COUNTIF(D$1237:D1519,1)&gt;7,MOD(1+IFERROR(MATCH($C917,总览!$D$46:$D$345,1)+1,1),7)=0),$C$3,0),0)</f>
        <v>1917.24094263054</v>
      </c>
      <c r="E917" s="131" cm="1">
        <f ca="1" t="array" ref="E917">IF(E1519=1,OFFSET($W$634,$B917,E$631-1)/SUMPRODUCT(--($D$631:$V$631=E$631),--($D1519:$V1519=1)),0)+SUM(E916)+IF(COUNTIF(E$1237:E1519,1)=1,5,0)+IF(COUNTIF(F917:$W917,"&gt;"&amp;0)&lt;5,IF(AND(COUNTIF(E$1237:E1519,1)&gt;7,MOD(1+IFERROR(MATCH($C917,总览!$D$46:$D$345,1)+1,1),7)=0),$C$3,0),0)</f>
        <v>1917.24094263054</v>
      </c>
      <c r="F917" s="131" cm="1">
        <f ca="1" t="array" ref="F917">IF(F1519=1,OFFSET($W$634,$B917,F$631-1)/SUMPRODUCT(--($D$631:$V$631=F$631),--($D1519:$V1519=1)),0)+SUM(F916)+IF(COUNTIF(F$1237:F1519,1)=1,5,0)+IF(COUNTIF(G917:$W917,"&gt;"&amp;0)&lt;5,IF(AND(COUNTIF(F$1237:F1519,1)&gt;7,MOD(1+IFERROR(MATCH($C917,总览!$D$46:$D$345,1)+1,1),7)=0),$C$3,0),0)</f>
        <v>1917.24094263054</v>
      </c>
      <c r="G917" s="131" cm="1">
        <f ca="1" t="array" ref="G917">IF(G1519=1,OFFSET($W$634,$B917,G$631-1)/SUMPRODUCT(--($D$631:$V$631=G$631),--($D1519:$V1519=1)),0)+SUM(G916)+IF(COUNTIF(G$1237:G1519,1)=1,5,0)+IF(COUNTIF(H917:$W917,"&gt;"&amp;0)&lt;5,IF(AND(COUNTIF(G$1237:G1519,1)&gt;7,MOD(1+IFERROR(MATCH($C917,总览!$D$46:$D$345,1)+1,1),7)=0),$C$3,0),0)</f>
        <v>882.733333333336</v>
      </c>
      <c r="H917" s="131" cm="1">
        <f ca="1" t="array" ref="H917">IF(H1519=1,OFFSET($W$634,$B917,H$631-1)/SUMPRODUCT(--($D$631:$V$631=H$631),--($D1519:$V1519=1)),0)+SUM(H916)+IF(COUNTIF(H$1237:H1519,1)=1,5,0)+IF(COUNTIF(I917:$W917,"&gt;"&amp;0)&lt;5,IF(AND(COUNTIF(H$1237:H1519,1)&gt;7,MOD(1+IFERROR(MATCH($C917,总览!$D$46:$D$345,1)+1,1),7)=0),$C$3,0),0)</f>
        <v>882.733333333336</v>
      </c>
      <c r="I917" s="131" cm="1">
        <f ca="1" t="array" ref="I917">IF(I1519=1,OFFSET($W$634,$B917,I$631-1)/SUMPRODUCT(--($D$631:$V$631=I$631),--($D1519:$V1519=1)),0)+SUM(I916)+IF(COUNTIF(I$1237:I1519,1)=1,5,0)+IF(COUNTIF(J917:$W917,"&gt;"&amp;0)&lt;5,IF(AND(COUNTIF(I$1237:I1519,1)&gt;7,MOD(1+IFERROR(MATCH($C917,总览!$D$46:$D$345,1)+1,1),7)=0),$C$3,0),0)</f>
        <v>882.733333333336</v>
      </c>
      <c r="J917" s="131" cm="1">
        <f ca="1" t="array" ref="J917">IF(J1519=1,OFFSET($W$634,$B917,J$631-1)/SUMPRODUCT(--($D$631:$V$631=J$631),--($D1519:$V1519=1)),0)+SUM(J916)+IF(COUNTIF(J$1237:J1519,1)=1,5,0)+IF(COUNTIF(K917:$W917,"&gt;"&amp;0)&lt;5,IF(AND(COUNTIF(J$1237:J1519,1)&gt;7,MOD(1+IFERROR(MATCH($C917,总览!$D$46:$D$345,1)+1,1),7)=0),$C$3,0),0)</f>
        <v>879.400000000003</v>
      </c>
      <c r="K917" s="131" cm="1">
        <f ca="1" t="array" ref="K917">IF(K1519=1,OFFSET($W$634,$B917,K$631-1)/SUMPRODUCT(--($D$631:$V$631=K$631),--($D1519:$V1519=1)),0)+SUM(K916)+IF(COUNTIF(K$1237:K1519,1)=1,5,0)+IF(COUNTIF(L917:$W917,"&gt;"&amp;0)&lt;5,IF(AND(COUNTIF(K$1237:K1519,1)&gt;7,MOD(1+IFERROR(MATCH($C917,总览!$D$46:$D$345,1)+1,1),7)=0),$C$3,0),0)</f>
        <v>876.900000000003</v>
      </c>
      <c r="L917" s="131" cm="1">
        <f ca="1" t="array" ref="L917">IF(L1519=1,OFFSET($W$634,$B917,L$631-1)/SUMPRODUCT(--($D$631:$V$631=L$631),--($D1519:$V1519=1)),0)+SUM(L916)+IF(COUNTIF(L$1237:L1519,1)=1,5,0)+IF(COUNTIF(M917:$W917,"&gt;"&amp;0)&lt;5,IF(AND(COUNTIF(L$1237:L1519,1)&gt;7,MOD(1+IFERROR(MATCH($C917,总览!$D$46:$D$345,1)+1,1),7)=0),$C$3,0),0)</f>
        <v>876.900000000003</v>
      </c>
      <c r="M917" s="131" cm="1">
        <f ca="1" t="array" ref="M917">IF(M1519=1,OFFSET($W$634,$B917,M$631-1)/SUMPRODUCT(--($D$631:$V$631=M$631),--($D1519:$V1519=1)),0)+SUM(M916)+IF(COUNTIF(M$1237:M1519,1)=1,5,0)+IF(COUNTIF(N917:$W917,"&gt;"&amp;0)&lt;5,IF(AND(COUNTIF(M$1237:M1519,1)&gt;7,MOD(1+IFERROR(MATCH($C917,总览!$D$46:$D$345,1)+1,1),7)=0),$C$3,0),0)</f>
        <v>362.038392857143</v>
      </c>
      <c r="N917" s="131" cm="1">
        <f ca="1" t="array" ref="N917">IF(N1519=1,OFFSET($W$634,$B917,N$631-1)/SUMPRODUCT(--($D$631:$V$631=N$631),--($D1519:$V1519=1)),0)+SUM(N916)+IF(COUNTIF(N$1237:N1519,1)=1,5,0)+IF(COUNTIF(O917:$W917,"&gt;"&amp;0)&lt;5,IF(AND(COUNTIF(N$1237:N1519,1)&gt;7,MOD(1+IFERROR(MATCH($C917,总览!$D$46:$D$345,1)+1,1),7)=0),$C$3,0),0)</f>
        <v>363.288392857143</v>
      </c>
      <c r="O917" s="131" cm="1">
        <f ca="1" t="array" ref="O917">IF(O1519=1,OFFSET($W$634,$B917,O$631-1)/SUMPRODUCT(--($D$631:$V$631=O$631),--($D1519:$V1519=1)),0)+SUM(O916)+IF(COUNTIF(O$1237:O1519,1)=1,5,0)+IF(COUNTIF(P917:$W917,"&gt;"&amp;0)&lt;5,IF(AND(COUNTIF(O$1237:O1519,1)&gt;7,MOD(1+IFERROR(MATCH($C917,总览!$D$46:$D$345,1)+1,1),7)=0),$C$3,0),0)</f>
        <v>368.288392857143</v>
      </c>
      <c r="P917" s="131" cm="1">
        <f ca="1" t="array" ref="P917">IF(P1519=1,OFFSET($W$634,$B917,P$631-1)/SUMPRODUCT(--($D$631:$V$631=P$631),--($D1519:$V1519=1)),0)+SUM(P916)+IF(COUNTIF(P$1237:P1519,1)=1,5,0)+IF(COUNTIF(Q917:$W917,"&gt;"&amp;0)&lt;5,IF(AND(COUNTIF(P$1237:P1519,1)&gt;7,MOD(1+IFERROR(MATCH($C917,总览!$D$46:$D$345,1)+1,1),7)=0),$C$3,0),0)</f>
        <v>357.407142857143</v>
      </c>
      <c r="Q917" s="131" cm="1">
        <f ca="1" t="array" ref="Q917">IF(Q1519=1,OFFSET($W$634,$B917,Q$631-1)/SUMPRODUCT(--($D$631:$V$631=Q$631),--($D1519:$V1519=1)),0)+SUM(Q916)+IF(COUNTIF(Q$1237:Q1519,1)=1,5,0)+IF(COUNTIF(R917:$W917,"&gt;"&amp;0)&lt;5,IF(AND(COUNTIF(Q$1237:Q1519,1)&gt;7,MOD(1+IFERROR(MATCH($C917,总览!$D$46:$D$345,1)+1,1),7)=0),$C$3,0),0)</f>
        <v>370.788392857143</v>
      </c>
      <c r="R917" s="131" cm="1">
        <f ca="1" t="array" ref="R917">IF(R1519=1,OFFSET($W$634,$B917,R$631-1)/SUMPRODUCT(--($D$631:$V$631=R$631),--($D1519:$V1519=1)),0)+SUM(R916)+IF(COUNTIF(R$1237:R1519,1)=1,5,0)+IF(COUNTIF(S917:$W917,"&gt;"&amp;0)&lt;5,IF(AND(COUNTIF(R$1237:R1519,1)&gt;7,MOD(1+IFERROR(MATCH($C917,总览!$D$46:$D$345,1)+1,1),7)=0),$C$3,0),0)</f>
        <v>362.407142857143</v>
      </c>
      <c r="S917" s="131" cm="1">
        <f ca="1" t="array" ref="S917">IF(S1519=1,OFFSET($W$634,$B917,S$631-1)/SUMPRODUCT(--($D$631:$V$631=S$631),--($D1519:$V1519=1)),0)+SUM(S916)+IF(COUNTIF(S$1237:S1519,1)=1,5,0)+IF(COUNTIF(T917:$W917,"&gt;"&amp;0)&lt;5,IF(AND(COUNTIF(S$1237:S1519,1)&gt;7,MOD(1+IFERROR(MATCH($C917,总览!$D$46:$D$345,1)+1,1),7)=0),$C$3,0),0)</f>
        <v>454.907142857144</v>
      </c>
      <c r="T917" s="131" cm="1">
        <f ca="1" t="array" ref="T917">IF(T1519=1,OFFSET($W$634,$B917,T$631-1)/SUMPRODUCT(--($D$631:$V$631=T$631),--($D1519:$V1519=1)),0)+SUM(T916)+IF(COUNTIF(T$1237:T1519,1)=1,5,0)+IF(COUNTIF(U917:$W917,"&gt;"&amp;0)&lt;5,IF(AND(COUNTIF(T$1237:T1519,1)&gt;7,MOD(1+IFERROR(MATCH($C917,总览!$D$46:$D$345,1)+1,1),7)=0),$C$3,0),0)</f>
        <v>332.294533228447</v>
      </c>
      <c r="U917" s="131" cm="1">
        <f ca="1" t="array" ref="U917">IF(U1519=1,OFFSET($W$634,$B917,U$631-1)/SUMPRODUCT(--($D$631:$V$631=U$631),--($D1519:$V1519=1)),0)+SUM(U916)+IF(COUNTIF(U$1237:U1519,1)=1,5,0)+IF(COUNTIF(V917:$W917,"&gt;"&amp;0)&lt;5,IF(AND(COUNTIF(U$1237:U1519,1)&gt;7,MOD(1+IFERROR(MATCH($C917,总览!$D$46:$D$345,1)+1,1),7)=0),$C$3,0),0)</f>
        <v>337.815319583746</v>
      </c>
      <c r="V917" s="131" cm="1">
        <f ca="1" t="array" ref="V917">IF(V1519=1,OFFSET($W$634,$B917,V$631-1)/SUMPRODUCT(--($D$631:$V$631=V$631),--($D1519:$V1519=1)),0)+SUM(V916)+IF(COUNTIF(V$1237:V1519,1)=1,5,0)+IF(COUNTIF(W917:$W917,"&gt;"&amp;0)&lt;5,IF(AND(COUNTIF(V$1237:V1519,1)&gt;7,MOD(1+IFERROR(MATCH($C917,总览!$D$46:$D$345,1)+1,1),7)=0),$C$3,0),0)</f>
        <v>357.642319296179</v>
      </c>
      <c r="W917" s="135" cm="1">
        <f ca="1" t="array" ref="W917">SUMPRODUCT(TRANSPOSE($AA917:$AG917),OFFSET($L$9:$L$15,0,W$631-1))</f>
        <v>16.8502200646615</v>
      </c>
      <c r="X917" s="135" cm="1">
        <f ca="1" t="array" ref="X917">SUMPRODUCT(TRANSPOSE($AA917:$AG917),OFFSET($L$9:$L$15,0,X$631-1))</f>
        <v>20</v>
      </c>
      <c r="Y917" s="135" cm="1">
        <f ca="1" t="array" ref="Y917">SUMPRODUCT(TRANSPOSE($AA917:$AG917),OFFSET($L$9:$L$15,0,Y$631-1))</f>
        <v>10</v>
      </c>
      <c r="Z917" s="135" cm="1">
        <f ca="1" t="array" ref="Z917">SUMPRODUCT(TRANSPOSE($AA917:$AG917),OFFSET($L$9:$L$15,0,Z$631-1))</f>
        <v>3.14977993533847</v>
      </c>
      <c r="AA917" s="136">
        <f ca="1" t="shared" ref="AA917:AG917" si="813">AH917-AH916</f>
        <v>0</v>
      </c>
      <c r="AB917" s="136">
        <f ca="1" t="shared" si="813"/>
        <v>0</v>
      </c>
      <c r="AC917" s="136">
        <f ca="1" t="shared" si="813"/>
        <v>0</v>
      </c>
      <c r="AD917" s="136">
        <f ca="1" t="shared" si="813"/>
        <v>0</v>
      </c>
      <c r="AE917" s="136">
        <f ca="1" t="shared" si="813"/>
        <v>0</v>
      </c>
      <c r="AF917" s="136">
        <f ca="1" t="shared" si="813"/>
        <v>0</v>
      </c>
      <c r="AG917" s="136">
        <f ca="1" t="shared" si="813"/>
        <v>100</v>
      </c>
      <c r="AH917" s="136">
        <f ca="1" t="shared" si="761"/>
        <v>450</v>
      </c>
      <c r="AI917" s="136">
        <f ca="1" t="shared" ref="AI917:AN917" si="814">IF($C917&gt;OFFSET($Q$8,MATCH(AI$634,$AH$634:$AN$634,0),0),OFFSET($P$8,MATCH(AI$634,$AH$634:$AN$634,0),0),MAX(0,$C917-OFFSET($Q$8,RIGHT(AI$634,1)-1,0)))</f>
        <v>909</v>
      </c>
      <c r="AJ917" s="136">
        <f ca="1" t="shared" si="814"/>
        <v>1818</v>
      </c>
      <c r="AK917" s="136">
        <f ca="1" t="shared" si="814"/>
        <v>2727</v>
      </c>
      <c r="AL917" s="136">
        <f ca="1" t="shared" si="814"/>
        <v>3636</v>
      </c>
      <c r="AM917" s="136">
        <f ca="1" t="shared" si="814"/>
        <v>4545</v>
      </c>
      <c r="AN917" s="136">
        <f ca="1" t="shared" si="814"/>
        <v>14215</v>
      </c>
    </row>
    <row r="918" s="106" customFormat="1" ht="16.5" spans="2:40">
      <c r="B918" s="117">
        <v>284</v>
      </c>
      <c r="C918" s="130">
        <f t="shared" si="759"/>
        <v>28400</v>
      </c>
      <c r="D918" s="131" cm="1">
        <f ca="1" t="array" ref="D918">IF(D1520=1,OFFSET($W$634,$B918,D$631-1)/SUMPRODUCT(--($D$631:$V$631=D$631),--($D1520:$V1520=1)),0)+SUM(D917)+IF(COUNTIF(D$1237:D1520,1)=1,5,0)+IF(COUNTIF(E918:$W918,"&gt;"&amp;0)&lt;5,IF(AND(COUNTIF(D$1237:D1520,1)&gt;7,MOD(1+IFERROR(MATCH($C918,总览!$D$46:$D$345,1)+1,1),7)=0),$C$3,0),0)</f>
        <v>1922.85768265209</v>
      </c>
      <c r="E918" s="131" cm="1">
        <f ca="1" t="array" ref="E918">IF(E1520=1,OFFSET($W$634,$B918,E$631-1)/SUMPRODUCT(--($D$631:$V$631=E$631),--($D1520:$V1520=1)),0)+SUM(E917)+IF(COUNTIF(E$1237:E1520,1)=1,5,0)+IF(COUNTIF(F918:$W918,"&gt;"&amp;0)&lt;5,IF(AND(COUNTIF(E$1237:E1520,1)&gt;7,MOD(1+IFERROR(MATCH($C918,总览!$D$46:$D$345,1)+1,1),7)=0),$C$3,0),0)</f>
        <v>1922.85768265209</v>
      </c>
      <c r="F918" s="131" cm="1">
        <f ca="1" t="array" ref="F918">IF(F1520=1,OFFSET($W$634,$B918,F$631-1)/SUMPRODUCT(--($D$631:$V$631=F$631),--($D1520:$V1520=1)),0)+SUM(F917)+IF(COUNTIF(F$1237:F1520,1)=1,5,0)+IF(COUNTIF(G918:$W918,"&gt;"&amp;0)&lt;5,IF(AND(COUNTIF(F$1237:F1520,1)&gt;7,MOD(1+IFERROR(MATCH($C918,总览!$D$46:$D$345,1)+1,1),7)=0),$C$3,0),0)</f>
        <v>1922.85768265209</v>
      </c>
      <c r="G918" s="131" cm="1">
        <f ca="1" t="array" ref="G918">IF(G1520=1,OFFSET($W$634,$B918,G$631-1)/SUMPRODUCT(--($D$631:$V$631=G$631),--($D1520:$V1520=1)),0)+SUM(G917)+IF(COUNTIF(G$1237:G1520,1)=1,5,0)+IF(COUNTIF(H918:$W918,"&gt;"&amp;0)&lt;5,IF(AND(COUNTIF(G$1237:G1520,1)&gt;7,MOD(1+IFERROR(MATCH($C918,总览!$D$46:$D$345,1)+1,1),7)=0),$C$3,0),0)</f>
        <v>886.06666666667</v>
      </c>
      <c r="H918" s="131" cm="1">
        <f ca="1" t="array" ref="H918">IF(H1520=1,OFFSET($W$634,$B918,H$631-1)/SUMPRODUCT(--($D$631:$V$631=H$631),--($D1520:$V1520=1)),0)+SUM(H917)+IF(COUNTIF(H$1237:H1520,1)=1,5,0)+IF(COUNTIF(I918:$W918,"&gt;"&amp;0)&lt;5,IF(AND(COUNTIF(H$1237:H1520,1)&gt;7,MOD(1+IFERROR(MATCH($C918,总览!$D$46:$D$345,1)+1,1),7)=0),$C$3,0),0)</f>
        <v>886.06666666667</v>
      </c>
      <c r="I918" s="131" cm="1">
        <f ca="1" t="array" ref="I918">IF(I1520=1,OFFSET($W$634,$B918,I$631-1)/SUMPRODUCT(--($D$631:$V$631=I$631),--($D1520:$V1520=1)),0)+SUM(I917)+IF(COUNTIF(I$1237:I1520,1)=1,5,0)+IF(COUNTIF(J918:$W918,"&gt;"&amp;0)&lt;5,IF(AND(COUNTIF(I$1237:I1520,1)&gt;7,MOD(1+IFERROR(MATCH($C918,总览!$D$46:$D$345,1)+1,1),7)=0),$C$3,0),0)</f>
        <v>886.06666666667</v>
      </c>
      <c r="J918" s="131" cm="1">
        <f ca="1" t="array" ref="J918">IF(J1520=1,OFFSET($W$634,$B918,J$631-1)/SUMPRODUCT(--($D$631:$V$631=J$631),--($D1520:$V1520=1)),0)+SUM(J917)+IF(COUNTIF(J$1237:J1520,1)=1,5,0)+IF(COUNTIF(K918:$W918,"&gt;"&amp;0)&lt;5,IF(AND(COUNTIF(J$1237:J1520,1)&gt;7,MOD(1+IFERROR(MATCH($C918,总览!$D$46:$D$345,1)+1,1),7)=0),$C$3,0),0)</f>
        <v>882.733333333336</v>
      </c>
      <c r="K918" s="131" cm="1">
        <f ca="1" t="array" ref="K918">IF(K1520=1,OFFSET($W$634,$B918,K$631-1)/SUMPRODUCT(--($D$631:$V$631=K$631),--($D1520:$V1520=1)),0)+SUM(K917)+IF(COUNTIF(K$1237:K1520,1)=1,5,0)+IF(COUNTIF(L918:$W918,"&gt;"&amp;0)&lt;5,IF(AND(COUNTIF(K$1237:K1520,1)&gt;7,MOD(1+IFERROR(MATCH($C918,总览!$D$46:$D$345,1)+1,1),7)=0),$C$3,0),0)</f>
        <v>880.233333333336</v>
      </c>
      <c r="L918" s="131" cm="1">
        <f ca="1" t="array" ref="L918">IF(L1520=1,OFFSET($W$634,$B918,L$631-1)/SUMPRODUCT(--($D$631:$V$631=L$631),--($D1520:$V1520=1)),0)+SUM(L917)+IF(COUNTIF(L$1237:L1520,1)=1,5,0)+IF(COUNTIF(M918:$W918,"&gt;"&amp;0)&lt;5,IF(AND(COUNTIF(L$1237:L1520,1)&gt;7,MOD(1+IFERROR(MATCH($C918,总览!$D$46:$D$345,1)+1,1),7)=0),$C$3,0),0)</f>
        <v>880.233333333336</v>
      </c>
      <c r="M918" s="131" cm="1">
        <f ca="1" t="array" ref="M918">IF(M1520=1,OFFSET($W$634,$B918,M$631-1)/SUMPRODUCT(--($D$631:$V$631=M$631),--($D1520:$V1520=1)),0)+SUM(M917)+IF(COUNTIF(M$1237:M1520,1)=1,5,0)+IF(COUNTIF(N918:$W918,"&gt;"&amp;0)&lt;5,IF(AND(COUNTIF(M$1237:M1520,1)&gt;7,MOD(1+IFERROR(MATCH($C918,总览!$D$46:$D$345,1)+1,1),7)=0),$C$3,0),0)</f>
        <v>363.466964285714</v>
      </c>
      <c r="N918" s="131" cm="1">
        <f ca="1" t="array" ref="N918">IF(N1520=1,OFFSET($W$634,$B918,N$631-1)/SUMPRODUCT(--($D$631:$V$631=N$631),--($D1520:$V1520=1)),0)+SUM(N917)+IF(COUNTIF(N$1237:N1520,1)=1,5,0)+IF(COUNTIF(O918:$W918,"&gt;"&amp;0)&lt;5,IF(AND(COUNTIF(N$1237:N1520,1)&gt;7,MOD(1+IFERROR(MATCH($C918,总览!$D$46:$D$345,1)+1,1),7)=0),$C$3,0),0)</f>
        <v>364.716964285714</v>
      </c>
      <c r="O918" s="131" cm="1">
        <f ca="1" t="array" ref="O918">IF(O1520=1,OFFSET($W$634,$B918,O$631-1)/SUMPRODUCT(--($D$631:$V$631=O$631),--($D1520:$V1520=1)),0)+SUM(O917)+IF(COUNTIF(O$1237:O1520,1)=1,5,0)+IF(COUNTIF(P918:$W918,"&gt;"&amp;0)&lt;5,IF(AND(COUNTIF(O$1237:O1520,1)&gt;7,MOD(1+IFERROR(MATCH($C918,总览!$D$46:$D$345,1)+1,1),7)=0),$C$3,0),0)</f>
        <v>369.716964285714</v>
      </c>
      <c r="P918" s="131" cm="1">
        <f ca="1" t="array" ref="P918">IF(P1520=1,OFFSET($W$634,$B918,P$631-1)/SUMPRODUCT(--($D$631:$V$631=P$631),--($D1520:$V1520=1)),0)+SUM(P917)+IF(COUNTIF(P$1237:P1520,1)=1,5,0)+IF(COUNTIF(Q918:$W918,"&gt;"&amp;0)&lt;5,IF(AND(COUNTIF(P$1237:P1520,1)&gt;7,MOD(1+IFERROR(MATCH($C918,总览!$D$46:$D$345,1)+1,1),7)=0),$C$3,0),0)</f>
        <v>358.835714285714</v>
      </c>
      <c r="Q918" s="131" cm="1">
        <f ca="1" t="array" ref="Q918">IF(Q1520=1,OFFSET($W$634,$B918,Q$631-1)/SUMPRODUCT(--($D$631:$V$631=Q$631),--($D1520:$V1520=1)),0)+SUM(Q917)+IF(COUNTIF(Q$1237:Q1520,1)=1,5,0)+IF(COUNTIF(R918:$W918,"&gt;"&amp;0)&lt;5,IF(AND(COUNTIF(Q$1237:Q1520,1)&gt;7,MOD(1+IFERROR(MATCH($C918,总览!$D$46:$D$345,1)+1,1),7)=0),$C$3,0),0)</f>
        <v>372.216964285714</v>
      </c>
      <c r="R918" s="131" cm="1">
        <f ca="1" t="array" ref="R918">IF(R1520=1,OFFSET($W$634,$B918,R$631-1)/SUMPRODUCT(--($D$631:$V$631=R$631),--($D1520:$V1520=1)),0)+SUM(R917)+IF(COUNTIF(R$1237:R1520,1)=1,5,0)+IF(COUNTIF(S918:$W918,"&gt;"&amp;0)&lt;5,IF(AND(COUNTIF(R$1237:R1520,1)&gt;7,MOD(1+IFERROR(MATCH($C918,总览!$D$46:$D$345,1)+1,1),7)=0),$C$3,0),0)</f>
        <v>363.835714285714</v>
      </c>
      <c r="S918" s="131" cm="1">
        <f ca="1" t="array" ref="S918">IF(S1520=1,OFFSET($W$634,$B918,S$631-1)/SUMPRODUCT(--($D$631:$V$631=S$631),--($D1520:$V1520=1)),0)+SUM(S917)+IF(COUNTIF(S$1237:S1520,1)=1,5,0)+IF(COUNTIF(T918:$W918,"&gt;"&amp;0)&lt;5,IF(AND(COUNTIF(S$1237:S1520,1)&gt;7,MOD(1+IFERROR(MATCH($C918,总览!$D$46:$D$345,1)+1,1),7)=0),$C$3,0),0)</f>
        <v>456.335714285715</v>
      </c>
      <c r="T918" s="131" cm="1">
        <f ca="1" t="array" ref="T918">IF(T1520=1,OFFSET($W$634,$B918,T$631-1)/SUMPRODUCT(--($D$631:$V$631=T$631),--($D1520:$V1520=1)),0)+SUM(T917)+IF(COUNTIF(T$1237:T1520,1)=1,5,0)+IF(COUNTIF(U918:$W918,"&gt;"&amp;0)&lt;5,IF(AND(COUNTIF(T$1237:T1520,1)&gt;7,MOD(1+IFERROR(MATCH($C918,总览!$D$46:$D$345,1)+1,1),7)=0),$C$3,0),0)</f>
        <v>333.34445987356</v>
      </c>
      <c r="U918" s="131" cm="1">
        <f ca="1" t="array" ref="U918">IF(U1520=1,OFFSET($W$634,$B918,U$631-1)/SUMPRODUCT(--($D$631:$V$631=U$631),--($D1520:$V1520=1)),0)+SUM(U917)+IF(COUNTIF(U$1237:U1520,1)=1,5,0)+IF(COUNTIF(V918:$W918,"&gt;"&amp;0)&lt;5,IF(AND(COUNTIF(U$1237:U1520,1)&gt;7,MOD(1+IFERROR(MATCH($C918,总览!$D$46:$D$345,1)+1,1),7)=0),$C$3,0),0)</f>
        <v>338.865246228859</v>
      </c>
      <c r="V918" s="131" cm="1">
        <f ca="1" t="array" ref="V918">IF(V1520=1,OFFSET($W$634,$B918,V$631-1)/SUMPRODUCT(--($D$631:$V$631=V$631),--($D1520:$V1520=1)),0)+SUM(V917)+IF(COUNTIF(V$1237:V1520,1)=1,5,0)+IF(COUNTIF(W918:$W918,"&gt;"&amp;0)&lt;5,IF(AND(COUNTIF(V$1237:V1520,1)&gt;7,MOD(1+IFERROR(MATCH($C918,总览!$D$46:$D$345,1)+1,1),7)=0),$C$3,0),0)</f>
        <v>358.692245941292</v>
      </c>
      <c r="W918" s="135" cm="1">
        <f ca="1" t="array" ref="W918">SUMPRODUCT(TRANSPOSE($AA918:$AG918),OFFSET($L$9:$L$15,0,W$631-1))</f>
        <v>16.8502200646615</v>
      </c>
      <c r="X918" s="135" cm="1">
        <f ca="1" t="array" ref="X918">SUMPRODUCT(TRANSPOSE($AA918:$AG918),OFFSET($L$9:$L$15,0,X$631-1))</f>
        <v>20</v>
      </c>
      <c r="Y918" s="135" cm="1">
        <f ca="1" t="array" ref="Y918">SUMPRODUCT(TRANSPOSE($AA918:$AG918),OFFSET($L$9:$L$15,0,Y$631-1))</f>
        <v>10</v>
      </c>
      <c r="Z918" s="135" cm="1">
        <f ca="1" t="array" ref="Z918">SUMPRODUCT(TRANSPOSE($AA918:$AG918),OFFSET($L$9:$L$15,0,Z$631-1))</f>
        <v>3.14977993533847</v>
      </c>
      <c r="AA918" s="136">
        <f ca="1" t="shared" ref="AA918:AG918" si="815">AH918-AH917</f>
        <v>0</v>
      </c>
      <c r="AB918" s="136">
        <f ca="1" t="shared" si="815"/>
        <v>0</v>
      </c>
      <c r="AC918" s="136">
        <f ca="1" t="shared" si="815"/>
        <v>0</v>
      </c>
      <c r="AD918" s="136">
        <f ca="1" t="shared" si="815"/>
        <v>0</v>
      </c>
      <c r="AE918" s="136">
        <f ca="1" t="shared" si="815"/>
        <v>0</v>
      </c>
      <c r="AF918" s="136">
        <f ca="1" t="shared" si="815"/>
        <v>0</v>
      </c>
      <c r="AG918" s="136">
        <f ca="1" t="shared" si="815"/>
        <v>100</v>
      </c>
      <c r="AH918" s="136">
        <f ca="1" t="shared" si="761"/>
        <v>450</v>
      </c>
      <c r="AI918" s="136">
        <f ca="1" t="shared" ref="AI918:AN918" si="816">IF($C918&gt;OFFSET($Q$8,MATCH(AI$634,$AH$634:$AN$634,0),0),OFFSET($P$8,MATCH(AI$634,$AH$634:$AN$634,0),0),MAX(0,$C918-OFFSET($Q$8,RIGHT(AI$634,1)-1,0)))</f>
        <v>909</v>
      </c>
      <c r="AJ918" s="136">
        <f ca="1" t="shared" si="816"/>
        <v>1818</v>
      </c>
      <c r="AK918" s="136">
        <f ca="1" t="shared" si="816"/>
        <v>2727</v>
      </c>
      <c r="AL918" s="136">
        <f ca="1" t="shared" si="816"/>
        <v>3636</v>
      </c>
      <c r="AM918" s="136">
        <f ca="1" t="shared" si="816"/>
        <v>4545</v>
      </c>
      <c r="AN918" s="136">
        <f ca="1" t="shared" si="816"/>
        <v>14315</v>
      </c>
    </row>
    <row r="919" s="106" customFormat="1" ht="16.5" spans="2:40">
      <c r="B919" s="117">
        <v>285</v>
      </c>
      <c r="C919" s="130">
        <f t="shared" si="759"/>
        <v>28500</v>
      </c>
      <c r="D919" s="131" cm="1">
        <f ca="1" t="array" ref="D919">IF(D1521=1,OFFSET($W$634,$B919,D$631-1)/SUMPRODUCT(--($D$631:$V$631=D$631),--($D1521:$V1521=1)),0)+SUM(D918)+IF(COUNTIF(D$1237:D1521,1)=1,5,0)+IF(COUNTIF(E919:$W919,"&gt;"&amp;0)&lt;5,IF(AND(COUNTIF(D$1237:D1521,1)&gt;7,MOD(1+IFERROR(MATCH($C919,总览!$D$46:$D$345,1)+1,1),7)=0),$C$3,0),0)</f>
        <v>1928.47442267365</v>
      </c>
      <c r="E919" s="131" cm="1">
        <f ca="1" t="array" ref="E919">IF(E1521=1,OFFSET($W$634,$B919,E$631-1)/SUMPRODUCT(--($D$631:$V$631=E$631),--($D1521:$V1521=1)),0)+SUM(E918)+IF(COUNTIF(E$1237:E1521,1)=1,5,0)+IF(COUNTIF(F919:$W919,"&gt;"&amp;0)&lt;5,IF(AND(COUNTIF(E$1237:E1521,1)&gt;7,MOD(1+IFERROR(MATCH($C919,总览!$D$46:$D$345,1)+1,1),7)=0),$C$3,0),0)</f>
        <v>1928.47442267365</v>
      </c>
      <c r="F919" s="131" cm="1">
        <f ca="1" t="array" ref="F919">IF(F1521=1,OFFSET($W$634,$B919,F$631-1)/SUMPRODUCT(--($D$631:$V$631=F$631),--($D1521:$V1521=1)),0)+SUM(F918)+IF(COUNTIF(F$1237:F1521,1)=1,5,0)+IF(COUNTIF(G919:$W919,"&gt;"&amp;0)&lt;5,IF(AND(COUNTIF(F$1237:F1521,1)&gt;7,MOD(1+IFERROR(MATCH($C919,总览!$D$46:$D$345,1)+1,1),7)=0),$C$3,0),0)</f>
        <v>1928.47442267365</v>
      </c>
      <c r="G919" s="131" cm="1">
        <f ca="1" t="array" ref="G919">IF(G1521=1,OFFSET($W$634,$B919,G$631-1)/SUMPRODUCT(--($D$631:$V$631=G$631),--($D1521:$V1521=1)),0)+SUM(G918)+IF(COUNTIF(G$1237:G1521,1)=1,5,0)+IF(COUNTIF(H919:$W919,"&gt;"&amp;0)&lt;5,IF(AND(COUNTIF(G$1237:G1521,1)&gt;7,MOD(1+IFERROR(MATCH($C919,总览!$D$46:$D$345,1)+1,1),7)=0),$C$3,0),0)</f>
        <v>889.400000000003</v>
      </c>
      <c r="H919" s="131" cm="1">
        <f ca="1" t="array" ref="H919">IF(H1521=1,OFFSET($W$634,$B919,H$631-1)/SUMPRODUCT(--($D$631:$V$631=H$631),--($D1521:$V1521=1)),0)+SUM(H918)+IF(COUNTIF(H$1237:H1521,1)=1,5,0)+IF(COUNTIF(I919:$W919,"&gt;"&amp;0)&lt;5,IF(AND(COUNTIF(H$1237:H1521,1)&gt;7,MOD(1+IFERROR(MATCH($C919,总览!$D$46:$D$345,1)+1,1),7)=0),$C$3,0),0)</f>
        <v>889.400000000003</v>
      </c>
      <c r="I919" s="131" cm="1">
        <f ca="1" t="array" ref="I919">IF(I1521=1,OFFSET($W$634,$B919,I$631-1)/SUMPRODUCT(--($D$631:$V$631=I$631),--($D1521:$V1521=1)),0)+SUM(I918)+IF(COUNTIF(I$1237:I1521,1)=1,5,0)+IF(COUNTIF(J919:$W919,"&gt;"&amp;0)&lt;5,IF(AND(COUNTIF(I$1237:I1521,1)&gt;7,MOD(1+IFERROR(MATCH($C919,总览!$D$46:$D$345,1)+1,1),7)=0),$C$3,0),0)</f>
        <v>889.400000000003</v>
      </c>
      <c r="J919" s="131" cm="1">
        <f ca="1" t="array" ref="J919">IF(J1521=1,OFFSET($W$634,$B919,J$631-1)/SUMPRODUCT(--($D$631:$V$631=J$631),--($D1521:$V1521=1)),0)+SUM(J918)+IF(COUNTIF(J$1237:J1521,1)=1,5,0)+IF(COUNTIF(K919:$W919,"&gt;"&amp;0)&lt;5,IF(AND(COUNTIF(J$1237:J1521,1)&gt;7,MOD(1+IFERROR(MATCH($C919,总览!$D$46:$D$345,1)+1,1),7)=0),$C$3,0),0)</f>
        <v>886.06666666667</v>
      </c>
      <c r="K919" s="131" cm="1">
        <f ca="1" t="array" ref="K919">IF(K1521=1,OFFSET($W$634,$B919,K$631-1)/SUMPRODUCT(--($D$631:$V$631=K$631),--($D1521:$V1521=1)),0)+SUM(K918)+IF(COUNTIF(K$1237:K1521,1)=1,5,0)+IF(COUNTIF(L919:$W919,"&gt;"&amp;0)&lt;5,IF(AND(COUNTIF(K$1237:K1521,1)&gt;7,MOD(1+IFERROR(MATCH($C919,总览!$D$46:$D$345,1)+1,1),7)=0),$C$3,0),0)</f>
        <v>883.56666666667</v>
      </c>
      <c r="L919" s="131" cm="1">
        <f ca="1" t="array" ref="L919">IF(L1521=1,OFFSET($W$634,$B919,L$631-1)/SUMPRODUCT(--($D$631:$V$631=L$631),--($D1521:$V1521=1)),0)+SUM(L918)+IF(COUNTIF(L$1237:L1521,1)=1,5,0)+IF(COUNTIF(M919:$W919,"&gt;"&amp;0)&lt;5,IF(AND(COUNTIF(L$1237:L1521,1)&gt;7,MOD(1+IFERROR(MATCH($C919,总览!$D$46:$D$345,1)+1,1),7)=0),$C$3,0),0)</f>
        <v>883.56666666667</v>
      </c>
      <c r="M919" s="131" cm="1">
        <f ca="1" t="array" ref="M919">IF(M1521=1,OFFSET($W$634,$B919,M$631-1)/SUMPRODUCT(--($D$631:$V$631=M$631),--($D1521:$V1521=1)),0)+SUM(M918)+IF(COUNTIF(M$1237:M1521,1)=1,5,0)+IF(COUNTIF(N919:$W919,"&gt;"&amp;0)&lt;5,IF(AND(COUNTIF(M$1237:M1521,1)&gt;7,MOD(1+IFERROR(MATCH($C919,总览!$D$46:$D$345,1)+1,1),7)=0),$C$3,0),0)</f>
        <v>364.895535714286</v>
      </c>
      <c r="N919" s="131" cm="1">
        <f ca="1" t="array" ref="N919">IF(N1521=1,OFFSET($W$634,$B919,N$631-1)/SUMPRODUCT(--($D$631:$V$631=N$631),--($D1521:$V1521=1)),0)+SUM(N918)+IF(COUNTIF(N$1237:N1521,1)=1,5,0)+IF(COUNTIF(O919:$W919,"&gt;"&amp;0)&lt;5,IF(AND(COUNTIF(N$1237:N1521,1)&gt;7,MOD(1+IFERROR(MATCH($C919,总览!$D$46:$D$345,1)+1,1),7)=0),$C$3,0),0)</f>
        <v>366.145535714286</v>
      </c>
      <c r="O919" s="131" cm="1">
        <f ca="1" t="array" ref="O919">IF(O1521=1,OFFSET($W$634,$B919,O$631-1)/SUMPRODUCT(--($D$631:$V$631=O$631),--($D1521:$V1521=1)),0)+SUM(O918)+IF(COUNTIF(O$1237:O1521,1)=1,5,0)+IF(COUNTIF(P919:$W919,"&gt;"&amp;0)&lt;5,IF(AND(COUNTIF(O$1237:O1521,1)&gt;7,MOD(1+IFERROR(MATCH($C919,总览!$D$46:$D$345,1)+1,1),7)=0),$C$3,0),0)</f>
        <v>371.145535714286</v>
      </c>
      <c r="P919" s="131" cm="1">
        <f ca="1" t="array" ref="P919">IF(P1521=1,OFFSET($W$634,$B919,P$631-1)/SUMPRODUCT(--($D$631:$V$631=P$631),--($D1521:$V1521=1)),0)+SUM(P918)+IF(COUNTIF(P$1237:P1521,1)=1,5,0)+IF(COUNTIF(Q919:$W919,"&gt;"&amp;0)&lt;5,IF(AND(COUNTIF(P$1237:P1521,1)&gt;7,MOD(1+IFERROR(MATCH($C919,总览!$D$46:$D$345,1)+1,1),7)=0),$C$3,0),0)</f>
        <v>360.264285714286</v>
      </c>
      <c r="Q919" s="131" cm="1">
        <f ca="1" t="array" ref="Q919">IF(Q1521=1,OFFSET($W$634,$B919,Q$631-1)/SUMPRODUCT(--($D$631:$V$631=Q$631),--($D1521:$V1521=1)),0)+SUM(Q918)+IF(COUNTIF(Q$1237:Q1521,1)=1,5,0)+IF(COUNTIF(R919:$W919,"&gt;"&amp;0)&lt;5,IF(AND(COUNTIF(Q$1237:Q1521,1)&gt;7,MOD(1+IFERROR(MATCH($C919,总览!$D$46:$D$345,1)+1,1),7)=0),$C$3,0),0)</f>
        <v>373.645535714286</v>
      </c>
      <c r="R919" s="131" cm="1">
        <f ca="1" t="array" ref="R919">IF(R1521=1,OFFSET($W$634,$B919,R$631-1)/SUMPRODUCT(--($D$631:$V$631=R$631),--($D1521:$V1521=1)),0)+SUM(R918)+IF(COUNTIF(R$1237:R1521,1)=1,5,0)+IF(COUNTIF(S919:$W919,"&gt;"&amp;0)&lt;5,IF(AND(COUNTIF(R$1237:R1521,1)&gt;7,MOD(1+IFERROR(MATCH($C919,总览!$D$46:$D$345,1)+1,1),7)=0),$C$3,0),0)</f>
        <v>365.264285714286</v>
      </c>
      <c r="S919" s="131" cm="1">
        <f ca="1" t="array" ref="S919">IF(S1521=1,OFFSET($W$634,$B919,S$631-1)/SUMPRODUCT(--($D$631:$V$631=S$631),--($D1521:$V1521=1)),0)+SUM(S918)+IF(COUNTIF(S$1237:S1521,1)=1,5,0)+IF(COUNTIF(T919:$W919,"&gt;"&amp;0)&lt;5,IF(AND(COUNTIF(S$1237:S1521,1)&gt;7,MOD(1+IFERROR(MATCH($C919,总览!$D$46:$D$345,1)+1,1),7)=0),$C$3,0),0)</f>
        <v>457.764285714287</v>
      </c>
      <c r="T919" s="131" cm="1">
        <f ca="1" t="array" ref="T919">IF(T1521=1,OFFSET($W$634,$B919,T$631-1)/SUMPRODUCT(--($D$631:$V$631=T$631),--($D1521:$V1521=1)),0)+SUM(T918)+IF(COUNTIF(T$1237:T1521,1)=1,5,0)+IF(COUNTIF(U919:$W919,"&gt;"&amp;0)&lt;5,IF(AND(COUNTIF(T$1237:T1521,1)&gt;7,MOD(1+IFERROR(MATCH($C919,总览!$D$46:$D$345,1)+1,1),7)=0),$C$3,0),0)</f>
        <v>334.394386518672</v>
      </c>
      <c r="U919" s="131" cm="1">
        <f ca="1" t="array" ref="U919">IF(U1521=1,OFFSET($W$634,$B919,U$631-1)/SUMPRODUCT(--($D$631:$V$631=U$631),--($D1521:$V1521=1)),0)+SUM(U918)+IF(COUNTIF(U$1237:U1521,1)=1,5,0)+IF(COUNTIF(V919:$W919,"&gt;"&amp;0)&lt;5,IF(AND(COUNTIF(U$1237:U1521,1)&gt;7,MOD(1+IFERROR(MATCH($C919,总览!$D$46:$D$345,1)+1,1),7)=0),$C$3,0),0)</f>
        <v>339.915172873972</v>
      </c>
      <c r="V919" s="131" cm="1">
        <f ca="1" t="array" ref="V919">IF(V1521=1,OFFSET($W$634,$B919,V$631-1)/SUMPRODUCT(--($D$631:$V$631=V$631),--($D1521:$V1521=1)),0)+SUM(V918)+IF(COUNTIF(V$1237:V1521,1)=1,5,0)+IF(COUNTIF(W919:$W919,"&gt;"&amp;0)&lt;5,IF(AND(COUNTIF(V$1237:V1521,1)&gt;7,MOD(1+IFERROR(MATCH($C919,总览!$D$46:$D$345,1)+1,1),7)=0),$C$3,0),0)</f>
        <v>359.742172586405</v>
      </c>
      <c r="W919" s="135" cm="1">
        <f ca="1" t="array" ref="W919">SUMPRODUCT(TRANSPOSE($AA919:$AG919),OFFSET($L$9:$L$15,0,W$631-1))</f>
        <v>16.8502200646615</v>
      </c>
      <c r="X919" s="135" cm="1">
        <f ca="1" t="array" ref="X919">SUMPRODUCT(TRANSPOSE($AA919:$AG919),OFFSET($L$9:$L$15,0,X$631-1))</f>
        <v>20</v>
      </c>
      <c r="Y919" s="135" cm="1">
        <f ca="1" t="array" ref="Y919">SUMPRODUCT(TRANSPOSE($AA919:$AG919),OFFSET($L$9:$L$15,0,Y$631-1))</f>
        <v>10</v>
      </c>
      <c r="Z919" s="135" cm="1">
        <f ca="1" t="array" ref="Z919">SUMPRODUCT(TRANSPOSE($AA919:$AG919),OFFSET($L$9:$L$15,0,Z$631-1))</f>
        <v>3.14977993533847</v>
      </c>
      <c r="AA919" s="136">
        <f ca="1" t="shared" ref="AA919:AG919" si="817">AH919-AH918</f>
        <v>0</v>
      </c>
      <c r="AB919" s="136">
        <f ca="1" t="shared" si="817"/>
        <v>0</v>
      </c>
      <c r="AC919" s="136">
        <f ca="1" t="shared" si="817"/>
        <v>0</v>
      </c>
      <c r="AD919" s="136">
        <f ca="1" t="shared" si="817"/>
        <v>0</v>
      </c>
      <c r="AE919" s="136">
        <f ca="1" t="shared" si="817"/>
        <v>0</v>
      </c>
      <c r="AF919" s="136">
        <f ca="1" t="shared" si="817"/>
        <v>0</v>
      </c>
      <c r="AG919" s="136">
        <f ca="1" t="shared" si="817"/>
        <v>100</v>
      </c>
      <c r="AH919" s="136">
        <f ca="1" t="shared" si="761"/>
        <v>450</v>
      </c>
      <c r="AI919" s="136">
        <f ca="1" t="shared" ref="AI919:AN919" si="818">IF($C919&gt;OFFSET($Q$8,MATCH(AI$634,$AH$634:$AN$634,0),0),OFFSET($P$8,MATCH(AI$634,$AH$634:$AN$634,0),0),MAX(0,$C919-OFFSET($Q$8,RIGHT(AI$634,1)-1,0)))</f>
        <v>909</v>
      </c>
      <c r="AJ919" s="136">
        <f ca="1" t="shared" si="818"/>
        <v>1818</v>
      </c>
      <c r="AK919" s="136">
        <f ca="1" t="shared" si="818"/>
        <v>2727</v>
      </c>
      <c r="AL919" s="136">
        <f ca="1" t="shared" si="818"/>
        <v>3636</v>
      </c>
      <c r="AM919" s="136">
        <f ca="1" t="shared" si="818"/>
        <v>4545</v>
      </c>
      <c r="AN919" s="136">
        <f ca="1" t="shared" si="818"/>
        <v>14415</v>
      </c>
    </row>
    <row r="920" s="106" customFormat="1" ht="16.5" spans="2:40">
      <c r="B920" s="117">
        <v>286</v>
      </c>
      <c r="C920" s="130">
        <f t="shared" si="759"/>
        <v>28600</v>
      </c>
      <c r="D920" s="131" cm="1">
        <f ca="1" t="array" ref="D920">IF(D1522=1,OFFSET($W$634,$B920,D$631-1)/SUMPRODUCT(--($D$631:$V$631=D$631),--($D1522:$V1522=1)),0)+SUM(D919)+IF(COUNTIF(D$1237:D1522,1)=1,5,0)+IF(COUNTIF(E920:$W920,"&gt;"&amp;0)&lt;5,IF(AND(COUNTIF(D$1237:D1522,1)&gt;7,MOD(1+IFERROR(MATCH($C920,总览!$D$46:$D$345,1)+1,1),7)=0),$C$3,0),0)</f>
        <v>1934.0911626952</v>
      </c>
      <c r="E920" s="131" cm="1">
        <f ca="1" t="array" ref="E920">IF(E1522=1,OFFSET($W$634,$B920,E$631-1)/SUMPRODUCT(--($D$631:$V$631=E$631),--($D1522:$V1522=1)),0)+SUM(E919)+IF(COUNTIF(E$1237:E1522,1)=1,5,0)+IF(COUNTIF(F920:$W920,"&gt;"&amp;0)&lt;5,IF(AND(COUNTIF(E$1237:E1522,1)&gt;7,MOD(1+IFERROR(MATCH($C920,总览!$D$46:$D$345,1)+1,1),7)=0),$C$3,0),0)</f>
        <v>1934.0911626952</v>
      </c>
      <c r="F920" s="131" cm="1">
        <f ca="1" t="array" ref="F920">IF(F1522=1,OFFSET($W$634,$B920,F$631-1)/SUMPRODUCT(--($D$631:$V$631=F$631),--($D1522:$V1522=1)),0)+SUM(F919)+IF(COUNTIF(F$1237:F1522,1)=1,5,0)+IF(COUNTIF(G920:$W920,"&gt;"&amp;0)&lt;5,IF(AND(COUNTIF(F$1237:F1522,1)&gt;7,MOD(1+IFERROR(MATCH($C920,总览!$D$46:$D$345,1)+1,1),7)=0),$C$3,0),0)</f>
        <v>1934.0911626952</v>
      </c>
      <c r="G920" s="131" cm="1">
        <f ca="1" t="array" ref="G920">IF(G1522=1,OFFSET($W$634,$B920,G$631-1)/SUMPRODUCT(--($D$631:$V$631=G$631),--($D1522:$V1522=1)),0)+SUM(G919)+IF(COUNTIF(G$1237:G1522,1)=1,5,0)+IF(COUNTIF(H920:$W920,"&gt;"&amp;0)&lt;5,IF(AND(COUNTIF(G$1237:G1522,1)&gt;7,MOD(1+IFERROR(MATCH($C920,总览!$D$46:$D$345,1)+1,1),7)=0),$C$3,0),0)</f>
        <v>892.733333333336</v>
      </c>
      <c r="H920" s="131" cm="1">
        <f ca="1" t="array" ref="H920">IF(H1522=1,OFFSET($W$634,$B920,H$631-1)/SUMPRODUCT(--($D$631:$V$631=H$631),--($D1522:$V1522=1)),0)+SUM(H919)+IF(COUNTIF(H$1237:H1522,1)=1,5,0)+IF(COUNTIF(I920:$W920,"&gt;"&amp;0)&lt;5,IF(AND(COUNTIF(H$1237:H1522,1)&gt;7,MOD(1+IFERROR(MATCH($C920,总览!$D$46:$D$345,1)+1,1),7)=0),$C$3,0),0)</f>
        <v>892.733333333336</v>
      </c>
      <c r="I920" s="131" cm="1">
        <f ca="1" t="array" ref="I920">IF(I1522=1,OFFSET($W$634,$B920,I$631-1)/SUMPRODUCT(--($D$631:$V$631=I$631),--($D1522:$V1522=1)),0)+SUM(I919)+IF(COUNTIF(I$1237:I1522,1)=1,5,0)+IF(COUNTIF(J920:$W920,"&gt;"&amp;0)&lt;5,IF(AND(COUNTIF(I$1237:I1522,1)&gt;7,MOD(1+IFERROR(MATCH($C920,总览!$D$46:$D$345,1)+1,1),7)=0),$C$3,0),0)</f>
        <v>892.733333333336</v>
      </c>
      <c r="J920" s="131" cm="1">
        <f ca="1" t="array" ref="J920">IF(J1522=1,OFFSET($W$634,$B920,J$631-1)/SUMPRODUCT(--($D$631:$V$631=J$631),--($D1522:$V1522=1)),0)+SUM(J919)+IF(COUNTIF(J$1237:J1522,1)=1,5,0)+IF(COUNTIF(K920:$W920,"&gt;"&amp;0)&lt;5,IF(AND(COUNTIF(J$1237:J1522,1)&gt;7,MOD(1+IFERROR(MATCH($C920,总览!$D$46:$D$345,1)+1,1),7)=0),$C$3,0),0)</f>
        <v>889.400000000003</v>
      </c>
      <c r="K920" s="131" cm="1">
        <f ca="1" t="array" ref="K920">IF(K1522=1,OFFSET($W$634,$B920,K$631-1)/SUMPRODUCT(--($D$631:$V$631=K$631),--($D1522:$V1522=1)),0)+SUM(K919)+IF(COUNTIF(K$1237:K1522,1)=1,5,0)+IF(COUNTIF(L920:$W920,"&gt;"&amp;0)&lt;5,IF(AND(COUNTIF(K$1237:K1522,1)&gt;7,MOD(1+IFERROR(MATCH($C920,总览!$D$46:$D$345,1)+1,1),7)=0),$C$3,0),0)</f>
        <v>886.900000000003</v>
      </c>
      <c r="L920" s="131" cm="1">
        <f ca="1" t="array" ref="L920">IF(L1522=1,OFFSET($W$634,$B920,L$631-1)/SUMPRODUCT(--($D$631:$V$631=L$631),--($D1522:$V1522=1)),0)+SUM(L919)+IF(COUNTIF(L$1237:L1522,1)=1,5,0)+IF(COUNTIF(M920:$W920,"&gt;"&amp;0)&lt;5,IF(AND(COUNTIF(L$1237:L1522,1)&gt;7,MOD(1+IFERROR(MATCH($C920,总览!$D$46:$D$345,1)+1,1),7)=0),$C$3,0),0)</f>
        <v>886.900000000003</v>
      </c>
      <c r="M920" s="131" cm="1">
        <f ca="1" t="array" ref="M920">IF(M1522=1,OFFSET($W$634,$B920,M$631-1)/SUMPRODUCT(--($D$631:$V$631=M$631),--($D1522:$V1522=1)),0)+SUM(M919)+IF(COUNTIF(M$1237:M1522,1)=1,5,0)+IF(COUNTIF(N920:$W920,"&gt;"&amp;0)&lt;5,IF(AND(COUNTIF(M$1237:M1522,1)&gt;7,MOD(1+IFERROR(MATCH($C920,总览!$D$46:$D$345,1)+1,1),7)=0),$C$3,0),0)</f>
        <v>366.324107142857</v>
      </c>
      <c r="N920" s="131" cm="1">
        <f ca="1" t="array" ref="N920">IF(N1522=1,OFFSET($W$634,$B920,N$631-1)/SUMPRODUCT(--($D$631:$V$631=N$631),--($D1522:$V1522=1)),0)+SUM(N919)+IF(COUNTIF(N$1237:N1522,1)=1,5,0)+IF(COUNTIF(O920:$W920,"&gt;"&amp;0)&lt;5,IF(AND(COUNTIF(N$1237:N1522,1)&gt;7,MOD(1+IFERROR(MATCH($C920,总览!$D$46:$D$345,1)+1,1),7)=0),$C$3,0),0)</f>
        <v>367.574107142857</v>
      </c>
      <c r="O920" s="131" cm="1">
        <f ca="1" t="array" ref="O920">IF(O1522=1,OFFSET($W$634,$B920,O$631-1)/SUMPRODUCT(--($D$631:$V$631=O$631),--($D1522:$V1522=1)),0)+SUM(O919)+IF(COUNTIF(O$1237:O1522,1)=1,5,0)+IF(COUNTIF(P920:$W920,"&gt;"&amp;0)&lt;5,IF(AND(COUNTIF(O$1237:O1522,1)&gt;7,MOD(1+IFERROR(MATCH($C920,总览!$D$46:$D$345,1)+1,1),7)=0),$C$3,0),0)</f>
        <v>372.574107142857</v>
      </c>
      <c r="P920" s="131" cm="1">
        <f ca="1" t="array" ref="P920">IF(P1522=1,OFFSET($W$634,$B920,P$631-1)/SUMPRODUCT(--($D$631:$V$631=P$631),--($D1522:$V1522=1)),0)+SUM(P919)+IF(COUNTIF(P$1237:P1522,1)=1,5,0)+IF(COUNTIF(Q920:$W920,"&gt;"&amp;0)&lt;5,IF(AND(COUNTIF(P$1237:P1522,1)&gt;7,MOD(1+IFERROR(MATCH($C920,总览!$D$46:$D$345,1)+1,1),7)=0),$C$3,0),0)</f>
        <v>361.692857142857</v>
      </c>
      <c r="Q920" s="131" cm="1">
        <f ca="1" t="array" ref="Q920">IF(Q1522=1,OFFSET($W$634,$B920,Q$631-1)/SUMPRODUCT(--($D$631:$V$631=Q$631),--($D1522:$V1522=1)),0)+SUM(Q919)+IF(COUNTIF(Q$1237:Q1522,1)=1,5,0)+IF(COUNTIF(R920:$W920,"&gt;"&amp;0)&lt;5,IF(AND(COUNTIF(Q$1237:Q1522,1)&gt;7,MOD(1+IFERROR(MATCH($C920,总览!$D$46:$D$345,1)+1,1),7)=0),$C$3,0),0)</f>
        <v>375.074107142857</v>
      </c>
      <c r="R920" s="131" cm="1">
        <f ca="1" t="array" ref="R920">IF(R1522=1,OFFSET($W$634,$B920,R$631-1)/SUMPRODUCT(--($D$631:$V$631=R$631),--($D1522:$V1522=1)),0)+SUM(R919)+IF(COUNTIF(R$1237:R1522,1)=1,5,0)+IF(COUNTIF(S920:$W920,"&gt;"&amp;0)&lt;5,IF(AND(COUNTIF(R$1237:R1522,1)&gt;7,MOD(1+IFERROR(MATCH($C920,总览!$D$46:$D$345,1)+1,1),7)=0),$C$3,0),0)</f>
        <v>366.692857142857</v>
      </c>
      <c r="S920" s="131" cm="1">
        <f ca="1" t="array" ref="S920">IF(S1522=1,OFFSET($W$634,$B920,S$631-1)/SUMPRODUCT(--($D$631:$V$631=S$631),--($D1522:$V1522=1)),0)+SUM(S919)+IF(COUNTIF(S$1237:S1522,1)=1,5,0)+IF(COUNTIF(T920:$W920,"&gt;"&amp;0)&lt;5,IF(AND(COUNTIF(S$1237:S1522,1)&gt;7,MOD(1+IFERROR(MATCH($C920,总览!$D$46:$D$345,1)+1,1),7)=0),$C$3,0),0)</f>
        <v>459.192857142858</v>
      </c>
      <c r="T920" s="131" cm="1">
        <f ca="1" t="array" ref="T920">IF(T1522=1,OFFSET($W$634,$B920,T$631-1)/SUMPRODUCT(--($D$631:$V$631=T$631),--($D1522:$V1522=1)),0)+SUM(T919)+IF(COUNTIF(T$1237:T1522,1)=1,5,0)+IF(COUNTIF(U920:$W920,"&gt;"&amp;0)&lt;5,IF(AND(COUNTIF(T$1237:T1522,1)&gt;7,MOD(1+IFERROR(MATCH($C920,总览!$D$46:$D$345,1)+1,1),7)=0),$C$3,0),0)</f>
        <v>335.444313163785</v>
      </c>
      <c r="U920" s="131" cm="1">
        <f ca="1" t="array" ref="U920">IF(U1522=1,OFFSET($W$634,$B920,U$631-1)/SUMPRODUCT(--($D$631:$V$631=U$631),--($D1522:$V1522=1)),0)+SUM(U919)+IF(COUNTIF(U$1237:U1522,1)=1,5,0)+IF(COUNTIF(V920:$W920,"&gt;"&amp;0)&lt;5,IF(AND(COUNTIF(U$1237:U1522,1)&gt;7,MOD(1+IFERROR(MATCH($C920,总览!$D$46:$D$345,1)+1,1),7)=0),$C$3,0),0)</f>
        <v>340.965099519085</v>
      </c>
      <c r="V920" s="131" cm="1">
        <f ca="1" t="array" ref="V920">IF(V1522=1,OFFSET($W$634,$B920,V$631-1)/SUMPRODUCT(--($D$631:$V$631=V$631),--($D1522:$V1522=1)),0)+SUM(V919)+IF(COUNTIF(V$1237:V1522,1)=1,5,0)+IF(COUNTIF(W920:$W920,"&gt;"&amp;0)&lt;5,IF(AND(COUNTIF(V$1237:V1522,1)&gt;7,MOD(1+IFERROR(MATCH($C920,总览!$D$46:$D$345,1)+1,1),7)=0),$C$3,0),0)</f>
        <v>360.792099231518</v>
      </c>
      <c r="W920" s="135" cm="1">
        <f ca="1" t="array" ref="W920">SUMPRODUCT(TRANSPOSE($AA920:$AG920),OFFSET($L$9:$L$15,0,W$631-1))</f>
        <v>16.8502200646615</v>
      </c>
      <c r="X920" s="135" cm="1">
        <f ca="1" t="array" ref="X920">SUMPRODUCT(TRANSPOSE($AA920:$AG920),OFFSET($L$9:$L$15,0,X$631-1))</f>
        <v>20</v>
      </c>
      <c r="Y920" s="135" cm="1">
        <f ca="1" t="array" ref="Y920">SUMPRODUCT(TRANSPOSE($AA920:$AG920),OFFSET($L$9:$L$15,0,Y$631-1))</f>
        <v>10</v>
      </c>
      <c r="Z920" s="135" cm="1">
        <f ca="1" t="array" ref="Z920">SUMPRODUCT(TRANSPOSE($AA920:$AG920),OFFSET($L$9:$L$15,0,Z$631-1))</f>
        <v>3.14977993533847</v>
      </c>
      <c r="AA920" s="136">
        <f ca="1" t="shared" ref="AA920:AG920" si="819">AH920-AH919</f>
        <v>0</v>
      </c>
      <c r="AB920" s="136">
        <f ca="1" t="shared" si="819"/>
        <v>0</v>
      </c>
      <c r="AC920" s="136">
        <f ca="1" t="shared" si="819"/>
        <v>0</v>
      </c>
      <c r="AD920" s="136">
        <f ca="1" t="shared" si="819"/>
        <v>0</v>
      </c>
      <c r="AE920" s="136">
        <f ca="1" t="shared" si="819"/>
        <v>0</v>
      </c>
      <c r="AF920" s="136">
        <f ca="1" t="shared" si="819"/>
        <v>0</v>
      </c>
      <c r="AG920" s="136">
        <f ca="1" t="shared" si="819"/>
        <v>100</v>
      </c>
      <c r="AH920" s="136">
        <f ca="1" t="shared" si="761"/>
        <v>450</v>
      </c>
      <c r="AI920" s="136">
        <f ca="1" t="shared" ref="AI920:AN920" si="820">IF($C920&gt;OFFSET($Q$8,MATCH(AI$634,$AH$634:$AN$634,0),0),OFFSET($P$8,MATCH(AI$634,$AH$634:$AN$634,0),0),MAX(0,$C920-OFFSET($Q$8,RIGHT(AI$634,1)-1,0)))</f>
        <v>909</v>
      </c>
      <c r="AJ920" s="136">
        <f ca="1" t="shared" si="820"/>
        <v>1818</v>
      </c>
      <c r="AK920" s="136">
        <f ca="1" t="shared" si="820"/>
        <v>2727</v>
      </c>
      <c r="AL920" s="136">
        <f ca="1" t="shared" si="820"/>
        <v>3636</v>
      </c>
      <c r="AM920" s="136">
        <f ca="1" t="shared" si="820"/>
        <v>4545</v>
      </c>
      <c r="AN920" s="136">
        <f ca="1" t="shared" si="820"/>
        <v>14515</v>
      </c>
    </row>
    <row r="921" s="106" customFormat="1" ht="16.5" spans="2:40">
      <c r="B921" s="117">
        <v>287</v>
      </c>
      <c r="C921" s="130">
        <f t="shared" si="759"/>
        <v>28700</v>
      </c>
      <c r="D921" s="131" cm="1">
        <f ca="1" t="array" ref="D921">IF(D1523=1,OFFSET($W$634,$B921,D$631-1)/SUMPRODUCT(--($D$631:$V$631=D$631),--($D1523:$V1523=1)),0)+SUM(D920)+IF(COUNTIF(D$1237:D1523,1)=1,5,0)+IF(COUNTIF(E921:$W921,"&gt;"&amp;0)&lt;5,IF(AND(COUNTIF(D$1237:D1523,1)&gt;7,MOD(1+IFERROR(MATCH($C921,总览!$D$46:$D$345,1)+1,1),7)=0),$C$3,0),0)</f>
        <v>1939.70790271675</v>
      </c>
      <c r="E921" s="131" cm="1">
        <f ca="1" t="array" ref="E921">IF(E1523=1,OFFSET($W$634,$B921,E$631-1)/SUMPRODUCT(--($D$631:$V$631=E$631),--($D1523:$V1523=1)),0)+SUM(E920)+IF(COUNTIF(E$1237:E1523,1)=1,5,0)+IF(COUNTIF(F921:$W921,"&gt;"&amp;0)&lt;5,IF(AND(COUNTIF(E$1237:E1523,1)&gt;7,MOD(1+IFERROR(MATCH($C921,总览!$D$46:$D$345,1)+1,1),7)=0),$C$3,0),0)</f>
        <v>1939.70790271675</v>
      </c>
      <c r="F921" s="131" cm="1">
        <f ca="1" t="array" ref="F921">IF(F1523=1,OFFSET($W$634,$B921,F$631-1)/SUMPRODUCT(--($D$631:$V$631=F$631),--($D1523:$V1523=1)),0)+SUM(F920)+IF(COUNTIF(F$1237:F1523,1)=1,5,0)+IF(COUNTIF(G921:$W921,"&gt;"&amp;0)&lt;5,IF(AND(COUNTIF(F$1237:F1523,1)&gt;7,MOD(1+IFERROR(MATCH($C921,总览!$D$46:$D$345,1)+1,1),7)=0),$C$3,0),0)</f>
        <v>1939.70790271675</v>
      </c>
      <c r="G921" s="131" cm="1">
        <f ca="1" t="array" ref="G921">IF(G1523=1,OFFSET($W$634,$B921,G$631-1)/SUMPRODUCT(--($D$631:$V$631=G$631),--($D1523:$V1523=1)),0)+SUM(G920)+IF(COUNTIF(G$1237:G1523,1)=1,5,0)+IF(COUNTIF(H921:$W921,"&gt;"&amp;0)&lt;5,IF(AND(COUNTIF(G$1237:G1523,1)&gt;7,MOD(1+IFERROR(MATCH($C921,总览!$D$46:$D$345,1)+1,1),7)=0),$C$3,0),0)</f>
        <v>896.06666666667</v>
      </c>
      <c r="H921" s="131" cm="1">
        <f ca="1" t="array" ref="H921">IF(H1523=1,OFFSET($W$634,$B921,H$631-1)/SUMPRODUCT(--($D$631:$V$631=H$631),--($D1523:$V1523=1)),0)+SUM(H920)+IF(COUNTIF(H$1237:H1523,1)=1,5,0)+IF(COUNTIF(I921:$W921,"&gt;"&amp;0)&lt;5,IF(AND(COUNTIF(H$1237:H1523,1)&gt;7,MOD(1+IFERROR(MATCH($C921,总览!$D$46:$D$345,1)+1,1),7)=0),$C$3,0),0)</f>
        <v>896.06666666667</v>
      </c>
      <c r="I921" s="131" cm="1">
        <f ca="1" t="array" ref="I921">IF(I1523=1,OFFSET($W$634,$B921,I$631-1)/SUMPRODUCT(--($D$631:$V$631=I$631),--($D1523:$V1523=1)),0)+SUM(I920)+IF(COUNTIF(I$1237:I1523,1)=1,5,0)+IF(COUNTIF(J921:$W921,"&gt;"&amp;0)&lt;5,IF(AND(COUNTIF(I$1237:I1523,1)&gt;7,MOD(1+IFERROR(MATCH($C921,总览!$D$46:$D$345,1)+1,1),7)=0),$C$3,0),0)</f>
        <v>896.06666666667</v>
      </c>
      <c r="J921" s="131" cm="1">
        <f ca="1" t="array" ref="J921">IF(J1523=1,OFFSET($W$634,$B921,J$631-1)/SUMPRODUCT(--($D$631:$V$631=J$631),--($D1523:$V1523=1)),0)+SUM(J920)+IF(COUNTIF(J$1237:J1523,1)=1,5,0)+IF(COUNTIF(K921:$W921,"&gt;"&amp;0)&lt;5,IF(AND(COUNTIF(J$1237:J1523,1)&gt;7,MOD(1+IFERROR(MATCH($C921,总览!$D$46:$D$345,1)+1,1),7)=0),$C$3,0),0)</f>
        <v>892.733333333336</v>
      </c>
      <c r="K921" s="131" cm="1">
        <f ca="1" t="array" ref="K921">IF(K1523=1,OFFSET($W$634,$B921,K$631-1)/SUMPRODUCT(--($D$631:$V$631=K$631),--($D1523:$V1523=1)),0)+SUM(K920)+IF(COUNTIF(K$1237:K1523,1)=1,5,0)+IF(COUNTIF(L921:$W921,"&gt;"&amp;0)&lt;5,IF(AND(COUNTIF(K$1237:K1523,1)&gt;7,MOD(1+IFERROR(MATCH($C921,总览!$D$46:$D$345,1)+1,1),7)=0),$C$3,0),0)</f>
        <v>890.233333333336</v>
      </c>
      <c r="L921" s="131" cm="1">
        <f ca="1" t="array" ref="L921">IF(L1523=1,OFFSET($W$634,$B921,L$631-1)/SUMPRODUCT(--($D$631:$V$631=L$631),--($D1523:$V1523=1)),0)+SUM(L920)+IF(COUNTIF(L$1237:L1523,1)=1,5,0)+IF(COUNTIF(M921:$W921,"&gt;"&amp;0)&lt;5,IF(AND(COUNTIF(L$1237:L1523,1)&gt;7,MOD(1+IFERROR(MATCH($C921,总览!$D$46:$D$345,1)+1,1),7)=0),$C$3,0),0)</f>
        <v>890.233333333336</v>
      </c>
      <c r="M921" s="131" cm="1">
        <f ca="1" t="array" ref="M921">IF(M1523=1,OFFSET($W$634,$B921,M$631-1)/SUMPRODUCT(--($D$631:$V$631=M$631),--($D1523:$V1523=1)),0)+SUM(M920)+IF(COUNTIF(M$1237:M1523,1)=1,5,0)+IF(COUNTIF(N921:$W921,"&gt;"&amp;0)&lt;5,IF(AND(COUNTIF(M$1237:M1523,1)&gt;7,MOD(1+IFERROR(MATCH($C921,总览!$D$46:$D$345,1)+1,1),7)=0),$C$3,0),0)</f>
        <v>367.752678571429</v>
      </c>
      <c r="N921" s="131" cm="1">
        <f ca="1" t="array" ref="N921">IF(N1523=1,OFFSET($W$634,$B921,N$631-1)/SUMPRODUCT(--($D$631:$V$631=N$631),--($D1523:$V1523=1)),0)+SUM(N920)+IF(COUNTIF(N$1237:N1523,1)=1,5,0)+IF(COUNTIF(O921:$W921,"&gt;"&amp;0)&lt;5,IF(AND(COUNTIF(N$1237:N1523,1)&gt;7,MOD(1+IFERROR(MATCH($C921,总览!$D$46:$D$345,1)+1,1),7)=0),$C$3,0),0)</f>
        <v>369.002678571429</v>
      </c>
      <c r="O921" s="131" cm="1">
        <f ca="1" t="array" ref="O921">IF(O1523=1,OFFSET($W$634,$B921,O$631-1)/SUMPRODUCT(--($D$631:$V$631=O$631),--($D1523:$V1523=1)),0)+SUM(O920)+IF(COUNTIF(O$1237:O1523,1)=1,5,0)+IF(COUNTIF(P921:$W921,"&gt;"&amp;0)&lt;5,IF(AND(COUNTIF(O$1237:O1523,1)&gt;7,MOD(1+IFERROR(MATCH($C921,总览!$D$46:$D$345,1)+1,1),7)=0),$C$3,0),0)</f>
        <v>374.002678571429</v>
      </c>
      <c r="P921" s="131" cm="1">
        <f ca="1" t="array" ref="P921">IF(P1523=1,OFFSET($W$634,$B921,P$631-1)/SUMPRODUCT(--($D$631:$V$631=P$631),--($D1523:$V1523=1)),0)+SUM(P920)+IF(COUNTIF(P$1237:P1523,1)=1,5,0)+IF(COUNTIF(Q921:$W921,"&gt;"&amp;0)&lt;5,IF(AND(COUNTIF(P$1237:P1523,1)&gt;7,MOD(1+IFERROR(MATCH($C921,总览!$D$46:$D$345,1)+1,1),7)=0),$C$3,0),0)</f>
        <v>363.121428571429</v>
      </c>
      <c r="Q921" s="131" cm="1">
        <f ca="1" t="array" ref="Q921">IF(Q1523=1,OFFSET($W$634,$B921,Q$631-1)/SUMPRODUCT(--($D$631:$V$631=Q$631),--($D1523:$V1523=1)),0)+SUM(Q920)+IF(COUNTIF(Q$1237:Q1523,1)=1,5,0)+IF(COUNTIF(R921:$W921,"&gt;"&amp;0)&lt;5,IF(AND(COUNTIF(Q$1237:Q1523,1)&gt;7,MOD(1+IFERROR(MATCH($C921,总览!$D$46:$D$345,1)+1,1),7)=0),$C$3,0),0)</f>
        <v>376.502678571429</v>
      </c>
      <c r="R921" s="131" cm="1">
        <f ca="1" t="array" ref="R921">IF(R1523=1,OFFSET($W$634,$B921,R$631-1)/SUMPRODUCT(--($D$631:$V$631=R$631),--($D1523:$V1523=1)),0)+SUM(R920)+IF(COUNTIF(R$1237:R1523,1)=1,5,0)+IF(COUNTIF(S921:$W921,"&gt;"&amp;0)&lt;5,IF(AND(COUNTIF(R$1237:R1523,1)&gt;7,MOD(1+IFERROR(MATCH($C921,总览!$D$46:$D$345,1)+1,1),7)=0),$C$3,0),0)</f>
        <v>368.121428571429</v>
      </c>
      <c r="S921" s="131" cm="1">
        <f ca="1" t="array" ref="S921">IF(S1523=1,OFFSET($W$634,$B921,S$631-1)/SUMPRODUCT(--($D$631:$V$631=S$631),--($D1523:$V1523=1)),0)+SUM(S920)+IF(COUNTIF(S$1237:S1523,1)=1,5,0)+IF(COUNTIF(T921:$W921,"&gt;"&amp;0)&lt;5,IF(AND(COUNTIF(S$1237:S1523,1)&gt;7,MOD(1+IFERROR(MATCH($C921,总览!$D$46:$D$345,1)+1,1),7)=0),$C$3,0),0)</f>
        <v>460.62142857143</v>
      </c>
      <c r="T921" s="131" cm="1">
        <f ca="1" t="array" ref="T921">IF(T1523=1,OFFSET($W$634,$B921,T$631-1)/SUMPRODUCT(--($D$631:$V$631=T$631),--($D1523:$V1523=1)),0)+SUM(T920)+IF(COUNTIF(T$1237:T1523,1)=1,5,0)+IF(COUNTIF(U921:$W921,"&gt;"&amp;0)&lt;5,IF(AND(COUNTIF(T$1237:T1523,1)&gt;7,MOD(1+IFERROR(MATCH($C921,总览!$D$46:$D$345,1)+1,1),7)=0),$C$3,0),0)</f>
        <v>336.494239808898</v>
      </c>
      <c r="U921" s="131" cm="1">
        <f ca="1" t="array" ref="U921">IF(U1523=1,OFFSET($W$634,$B921,U$631-1)/SUMPRODUCT(--($D$631:$V$631=U$631),--($D1523:$V1523=1)),0)+SUM(U920)+IF(COUNTIF(U$1237:U1523,1)=1,5,0)+IF(COUNTIF(V921:$W921,"&gt;"&amp;0)&lt;5,IF(AND(COUNTIF(U$1237:U1523,1)&gt;7,MOD(1+IFERROR(MATCH($C921,总览!$D$46:$D$345,1)+1,1),7)=0),$C$3,0),0)</f>
        <v>342.015026164197</v>
      </c>
      <c r="V921" s="131" cm="1">
        <f ca="1" t="array" ref="V921">IF(V1523=1,OFFSET($W$634,$B921,V$631-1)/SUMPRODUCT(--($D$631:$V$631=V$631),--($D1523:$V1523=1)),0)+SUM(V920)+IF(COUNTIF(V$1237:V1523,1)=1,5,0)+IF(COUNTIF(W921:$W921,"&gt;"&amp;0)&lt;5,IF(AND(COUNTIF(V$1237:V1523,1)&gt;7,MOD(1+IFERROR(MATCH($C921,总览!$D$46:$D$345,1)+1,1),7)=0),$C$3,0),0)</f>
        <v>361.84202587663</v>
      </c>
      <c r="W921" s="135" cm="1">
        <f ca="1" t="array" ref="W921">SUMPRODUCT(TRANSPOSE($AA921:$AG921),OFFSET($L$9:$L$15,0,W$631-1))</f>
        <v>16.8502200646615</v>
      </c>
      <c r="X921" s="135" cm="1">
        <f ca="1" t="array" ref="X921">SUMPRODUCT(TRANSPOSE($AA921:$AG921),OFFSET($L$9:$L$15,0,X$631-1))</f>
        <v>20</v>
      </c>
      <c r="Y921" s="135" cm="1">
        <f ca="1" t="array" ref="Y921">SUMPRODUCT(TRANSPOSE($AA921:$AG921),OFFSET($L$9:$L$15,0,Y$631-1))</f>
        <v>10</v>
      </c>
      <c r="Z921" s="135" cm="1">
        <f ca="1" t="array" ref="Z921">SUMPRODUCT(TRANSPOSE($AA921:$AG921),OFFSET($L$9:$L$15,0,Z$631-1))</f>
        <v>3.14977993533847</v>
      </c>
      <c r="AA921" s="136">
        <f ca="1" t="shared" ref="AA921:AG921" si="821">AH921-AH920</f>
        <v>0</v>
      </c>
      <c r="AB921" s="136">
        <f ca="1" t="shared" si="821"/>
        <v>0</v>
      </c>
      <c r="AC921" s="136">
        <f ca="1" t="shared" si="821"/>
        <v>0</v>
      </c>
      <c r="AD921" s="136">
        <f ca="1" t="shared" si="821"/>
        <v>0</v>
      </c>
      <c r="AE921" s="136">
        <f ca="1" t="shared" si="821"/>
        <v>0</v>
      </c>
      <c r="AF921" s="136">
        <f ca="1" t="shared" si="821"/>
        <v>0</v>
      </c>
      <c r="AG921" s="136">
        <f ca="1" t="shared" si="821"/>
        <v>100</v>
      </c>
      <c r="AH921" s="136">
        <f ca="1" t="shared" si="761"/>
        <v>450</v>
      </c>
      <c r="AI921" s="136">
        <f ca="1" t="shared" ref="AI921:AN921" si="822">IF($C921&gt;OFFSET($Q$8,MATCH(AI$634,$AH$634:$AN$634,0),0),OFFSET($P$8,MATCH(AI$634,$AH$634:$AN$634,0),0),MAX(0,$C921-OFFSET($Q$8,RIGHT(AI$634,1)-1,0)))</f>
        <v>909</v>
      </c>
      <c r="AJ921" s="136">
        <f ca="1" t="shared" si="822"/>
        <v>1818</v>
      </c>
      <c r="AK921" s="136">
        <f ca="1" t="shared" si="822"/>
        <v>2727</v>
      </c>
      <c r="AL921" s="136">
        <f ca="1" t="shared" si="822"/>
        <v>3636</v>
      </c>
      <c r="AM921" s="136">
        <f ca="1" t="shared" si="822"/>
        <v>4545</v>
      </c>
      <c r="AN921" s="136">
        <f ca="1" t="shared" si="822"/>
        <v>14615</v>
      </c>
    </row>
    <row r="922" s="106" customFormat="1" ht="16.5" spans="2:40">
      <c r="B922" s="117">
        <v>288</v>
      </c>
      <c r="C922" s="130">
        <f t="shared" si="759"/>
        <v>28800</v>
      </c>
      <c r="D922" s="131" cm="1">
        <f ca="1" t="array" ref="D922">IF(D1524=1,OFFSET($W$634,$B922,D$631-1)/SUMPRODUCT(--($D$631:$V$631=D$631),--($D1524:$V1524=1)),0)+SUM(D921)+IF(COUNTIF(D$1237:D1524,1)=1,5,0)+IF(COUNTIF(E922:$W922,"&gt;"&amp;0)&lt;5,IF(AND(COUNTIF(D$1237:D1524,1)&gt;7,MOD(1+IFERROR(MATCH($C922,总览!$D$46:$D$345,1)+1,1),7)=0),$C$3,0),0)</f>
        <v>1945.32464273831</v>
      </c>
      <c r="E922" s="131" cm="1">
        <f ca="1" t="array" ref="E922">IF(E1524=1,OFFSET($W$634,$B922,E$631-1)/SUMPRODUCT(--($D$631:$V$631=E$631),--($D1524:$V1524=1)),0)+SUM(E921)+IF(COUNTIF(E$1237:E1524,1)=1,5,0)+IF(COUNTIF(F922:$W922,"&gt;"&amp;0)&lt;5,IF(AND(COUNTIF(E$1237:E1524,1)&gt;7,MOD(1+IFERROR(MATCH($C922,总览!$D$46:$D$345,1)+1,1),7)=0),$C$3,0),0)</f>
        <v>1945.32464273831</v>
      </c>
      <c r="F922" s="131" cm="1">
        <f ca="1" t="array" ref="F922">IF(F1524=1,OFFSET($W$634,$B922,F$631-1)/SUMPRODUCT(--($D$631:$V$631=F$631),--($D1524:$V1524=1)),0)+SUM(F921)+IF(COUNTIF(F$1237:F1524,1)=1,5,0)+IF(COUNTIF(G922:$W922,"&gt;"&amp;0)&lt;5,IF(AND(COUNTIF(F$1237:F1524,1)&gt;7,MOD(1+IFERROR(MATCH($C922,总览!$D$46:$D$345,1)+1,1),7)=0),$C$3,0),0)</f>
        <v>1945.32464273831</v>
      </c>
      <c r="G922" s="131" cm="1">
        <f ca="1" t="array" ref="G922">IF(G1524=1,OFFSET($W$634,$B922,G$631-1)/SUMPRODUCT(--($D$631:$V$631=G$631),--($D1524:$V1524=1)),0)+SUM(G921)+IF(COUNTIF(G$1237:G1524,1)=1,5,0)+IF(COUNTIF(H922:$W922,"&gt;"&amp;0)&lt;5,IF(AND(COUNTIF(G$1237:G1524,1)&gt;7,MOD(1+IFERROR(MATCH($C922,总览!$D$46:$D$345,1)+1,1),7)=0),$C$3,0),0)</f>
        <v>899.400000000003</v>
      </c>
      <c r="H922" s="131" cm="1">
        <f ca="1" t="array" ref="H922">IF(H1524=1,OFFSET($W$634,$B922,H$631-1)/SUMPRODUCT(--($D$631:$V$631=H$631),--($D1524:$V1524=1)),0)+SUM(H921)+IF(COUNTIF(H$1237:H1524,1)=1,5,0)+IF(COUNTIF(I922:$W922,"&gt;"&amp;0)&lt;5,IF(AND(COUNTIF(H$1237:H1524,1)&gt;7,MOD(1+IFERROR(MATCH($C922,总览!$D$46:$D$345,1)+1,1),7)=0),$C$3,0),0)</f>
        <v>899.400000000003</v>
      </c>
      <c r="I922" s="131" cm="1">
        <f ca="1" t="array" ref="I922">IF(I1524=1,OFFSET($W$634,$B922,I$631-1)/SUMPRODUCT(--($D$631:$V$631=I$631),--($D1524:$V1524=1)),0)+SUM(I921)+IF(COUNTIF(I$1237:I1524,1)=1,5,0)+IF(COUNTIF(J922:$W922,"&gt;"&amp;0)&lt;5,IF(AND(COUNTIF(I$1237:I1524,1)&gt;7,MOD(1+IFERROR(MATCH($C922,总览!$D$46:$D$345,1)+1,1),7)=0),$C$3,0),0)</f>
        <v>899.400000000003</v>
      </c>
      <c r="J922" s="131" cm="1">
        <f ca="1" t="array" ref="J922">IF(J1524=1,OFFSET($W$634,$B922,J$631-1)/SUMPRODUCT(--($D$631:$V$631=J$631),--($D1524:$V1524=1)),0)+SUM(J921)+IF(COUNTIF(J$1237:J1524,1)=1,5,0)+IF(COUNTIF(K922:$W922,"&gt;"&amp;0)&lt;5,IF(AND(COUNTIF(J$1237:J1524,1)&gt;7,MOD(1+IFERROR(MATCH($C922,总览!$D$46:$D$345,1)+1,1),7)=0),$C$3,0),0)</f>
        <v>896.06666666667</v>
      </c>
      <c r="K922" s="131" cm="1">
        <f ca="1" t="array" ref="K922">IF(K1524=1,OFFSET($W$634,$B922,K$631-1)/SUMPRODUCT(--($D$631:$V$631=K$631),--($D1524:$V1524=1)),0)+SUM(K921)+IF(COUNTIF(K$1237:K1524,1)=1,5,0)+IF(COUNTIF(L922:$W922,"&gt;"&amp;0)&lt;5,IF(AND(COUNTIF(K$1237:K1524,1)&gt;7,MOD(1+IFERROR(MATCH($C922,总览!$D$46:$D$345,1)+1,1),7)=0),$C$3,0),0)</f>
        <v>893.56666666667</v>
      </c>
      <c r="L922" s="131" cm="1">
        <f ca="1" t="array" ref="L922">IF(L1524=1,OFFSET($W$634,$B922,L$631-1)/SUMPRODUCT(--($D$631:$V$631=L$631),--($D1524:$V1524=1)),0)+SUM(L921)+IF(COUNTIF(L$1237:L1524,1)=1,5,0)+IF(COUNTIF(M922:$W922,"&gt;"&amp;0)&lt;5,IF(AND(COUNTIF(L$1237:L1524,1)&gt;7,MOD(1+IFERROR(MATCH($C922,总览!$D$46:$D$345,1)+1,1),7)=0),$C$3,0),0)</f>
        <v>893.56666666667</v>
      </c>
      <c r="M922" s="131" cm="1">
        <f ca="1" t="array" ref="M922">IF(M1524=1,OFFSET($W$634,$B922,M$631-1)/SUMPRODUCT(--($D$631:$V$631=M$631),--($D1524:$V1524=1)),0)+SUM(M921)+IF(COUNTIF(M$1237:M1524,1)=1,5,0)+IF(COUNTIF(N922:$W922,"&gt;"&amp;0)&lt;5,IF(AND(COUNTIF(M$1237:M1524,1)&gt;7,MOD(1+IFERROR(MATCH($C922,总览!$D$46:$D$345,1)+1,1),7)=0),$C$3,0),0)</f>
        <v>369.18125</v>
      </c>
      <c r="N922" s="131" cm="1">
        <f ca="1" t="array" ref="N922">IF(N1524=1,OFFSET($W$634,$B922,N$631-1)/SUMPRODUCT(--($D$631:$V$631=N$631),--($D1524:$V1524=1)),0)+SUM(N921)+IF(COUNTIF(N$1237:N1524,1)=1,5,0)+IF(COUNTIF(O922:$W922,"&gt;"&amp;0)&lt;5,IF(AND(COUNTIF(N$1237:N1524,1)&gt;7,MOD(1+IFERROR(MATCH($C922,总览!$D$46:$D$345,1)+1,1),7)=0),$C$3,0),0)</f>
        <v>370.43125</v>
      </c>
      <c r="O922" s="131" cm="1">
        <f ca="1" t="array" ref="O922">IF(O1524=1,OFFSET($W$634,$B922,O$631-1)/SUMPRODUCT(--($D$631:$V$631=O$631),--($D1524:$V1524=1)),0)+SUM(O921)+IF(COUNTIF(O$1237:O1524,1)=1,5,0)+IF(COUNTIF(P922:$W922,"&gt;"&amp;0)&lt;5,IF(AND(COUNTIF(O$1237:O1524,1)&gt;7,MOD(1+IFERROR(MATCH($C922,总览!$D$46:$D$345,1)+1,1),7)=0),$C$3,0),0)</f>
        <v>375.43125</v>
      </c>
      <c r="P922" s="131" cm="1">
        <f ca="1" t="array" ref="P922">IF(P1524=1,OFFSET($W$634,$B922,P$631-1)/SUMPRODUCT(--($D$631:$V$631=P$631),--($D1524:$V1524=1)),0)+SUM(P921)+IF(COUNTIF(P$1237:P1524,1)=1,5,0)+IF(COUNTIF(Q922:$W922,"&gt;"&amp;0)&lt;5,IF(AND(COUNTIF(P$1237:P1524,1)&gt;7,MOD(1+IFERROR(MATCH($C922,总览!$D$46:$D$345,1)+1,1),7)=0),$C$3,0),0)</f>
        <v>364.55</v>
      </c>
      <c r="Q922" s="131" cm="1">
        <f ca="1" t="array" ref="Q922">IF(Q1524=1,OFFSET($W$634,$B922,Q$631-1)/SUMPRODUCT(--($D$631:$V$631=Q$631),--($D1524:$V1524=1)),0)+SUM(Q921)+IF(COUNTIF(Q$1237:Q1524,1)=1,5,0)+IF(COUNTIF(R922:$W922,"&gt;"&amp;0)&lt;5,IF(AND(COUNTIF(Q$1237:Q1524,1)&gt;7,MOD(1+IFERROR(MATCH($C922,总览!$D$46:$D$345,1)+1,1),7)=0),$C$3,0),0)</f>
        <v>377.93125</v>
      </c>
      <c r="R922" s="131" cm="1">
        <f ca="1" t="array" ref="R922">IF(R1524=1,OFFSET($W$634,$B922,R$631-1)/SUMPRODUCT(--($D$631:$V$631=R$631),--($D1524:$V1524=1)),0)+SUM(R921)+IF(COUNTIF(R$1237:R1524,1)=1,5,0)+IF(COUNTIF(S922:$W922,"&gt;"&amp;0)&lt;5,IF(AND(COUNTIF(R$1237:R1524,1)&gt;7,MOD(1+IFERROR(MATCH($C922,总览!$D$46:$D$345,1)+1,1),7)=0),$C$3,0),0)</f>
        <v>369.55</v>
      </c>
      <c r="S922" s="131" cm="1">
        <f ca="1" t="array" ref="S922">IF(S1524=1,OFFSET($W$634,$B922,S$631-1)/SUMPRODUCT(--($D$631:$V$631=S$631),--($D1524:$V1524=1)),0)+SUM(S921)+IF(COUNTIF(S$1237:S1524,1)=1,5,0)+IF(COUNTIF(T922:$W922,"&gt;"&amp;0)&lt;5,IF(AND(COUNTIF(S$1237:S1524,1)&gt;7,MOD(1+IFERROR(MATCH($C922,总览!$D$46:$D$345,1)+1,1),7)=0),$C$3,0),0)</f>
        <v>462.050000000001</v>
      </c>
      <c r="T922" s="131" cm="1">
        <f ca="1" t="array" ref="T922">IF(T1524=1,OFFSET($W$634,$B922,T$631-1)/SUMPRODUCT(--($D$631:$V$631=T$631),--($D1524:$V1524=1)),0)+SUM(T921)+IF(COUNTIF(T$1237:T1524,1)=1,5,0)+IF(COUNTIF(U922:$W922,"&gt;"&amp;0)&lt;5,IF(AND(COUNTIF(T$1237:T1524,1)&gt;7,MOD(1+IFERROR(MATCH($C922,总览!$D$46:$D$345,1)+1,1),7)=0),$C$3,0),0)</f>
        <v>337.544166454011</v>
      </c>
      <c r="U922" s="131" cm="1">
        <f ca="1" t="array" ref="U922">IF(U1524=1,OFFSET($W$634,$B922,U$631-1)/SUMPRODUCT(--($D$631:$V$631=U$631),--($D1524:$V1524=1)),0)+SUM(U921)+IF(COUNTIF(U$1237:U1524,1)=1,5,0)+IF(COUNTIF(V922:$W922,"&gt;"&amp;0)&lt;5,IF(AND(COUNTIF(U$1237:U1524,1)&gt;7,MOD(1+IFERROR(MATCH($C922,总览!$D$46:$D$345,1)+1,1),7)=0),$C$3,0),0)</f>
        <v>343.06495280931</v>
      </c>
      <c r="V922" s="131" cm="1">
        <f ca="1" t="array" ref="V922">IF(V1524=1,OFFSET($W$634,$B922,V$631-1)/SUMPRODUCT(--($D$631:$V$631=V$631),--($D1524:$V1524=1)),0)+SUM(V921)+IF(COUNTIF(V$1237:V1524,1)=1,5,0)+IF(COUNTIF(W922:$W922,"&gt;"&amp;0)&lt;5,IF(AND(COUNTIF(V$1237:V1524,1)&gt;7,MOD(1+IFERROR(MATCH($C922,总览!$D$46:$D$345,1)+1,1),7)=0),$C$3,0),0)</f>
        <v>362.891952521743</v>
      </c>
      <c r="W922" s="135" cm="1">
        <f ca="1" t="array" ref="W922">SUMPRODUCT(TRANSPOSE($AA922:$AG922),OFFSET($L$9:$L$15,0,W$631-1))</f>
        <v>16.8502200646615</v>
      </c>
      <c r="X922" s="135" cm="1">
        <f ca="1" t="array" ref="X922">SUMPRODUCT(TRANSPOSE($AA922:$AG922),OFFSET($L$9:$L$15,0,X$631-1))</f>
        <v>20</v>
      </c>
      <c r="Y922" s="135" cm="1">
        <f ca="1" t="array" ref="Y922">SUMPRODUCT(TRANSPOSE($AA922:$AG922),OFFSET($L$9:$L$15,0,Y$631-1))</f>
        <v>10</v>
      </c>
      <c r="Z922" s="135" cm="1">
        <f ca="1" t="array" ref="Z922">SUMPRODUCT(TRANSPOSE($AA922:$AG922),OFFSET($L$9:$L$15,0,Z$631-1))</f>
        <v>3.14977993533847</v>
      </c>
      <c r="AA922" s="136">
        <f ca="1" t="shared" ref="AA922:AG922" si="823">AH922-AH921</f>
        <v>0</v>
      </c>
      <c r="AB922" s="136">
        <f ca="1" t="shared" si="823"/>
        <v>0</v>
      </c>
      <c r="AC922" s="136">
        <f ca="1" t="shared" si="823"/>
        <v>0</v>
      </c>
      <c r="AD922" s="136">
        <f ca="1" t="shared" si="823"/>
        <v>0</v>
      </c>
      <c r="AE922" s="136">
        <f ca="1" t="shared" si="823"/>
        <v>0</v>
      </c>
      <c r="AF922" s="136">
        <f ca="1" t="shared" si="823"/>
        <v>0</v>
      </c>
      <c r="AG922" s="136">
        <f ca="1" t="shared" si="823"/>
        <v>100</v>
      </c>
      <c r="AH922" s="136">
        <f ca="1" t="shared" si="761"/>
        <v>450</v>
      </c>
      <c r="AI922" s="136">
        <f ca="1" t="shared" ref="AI922:AN922" si="824">IF($C922&gt;OFFSET($Q$8,MATCH(AI$634,$AH$634:$AN$634,0),0),OFFSET($P$8,MATCH(AI$634,$AH$634:$AN$634,0),0),MAX(0,$C922-OFFSET($Q$8,RIGHT(AI$634,1)-1,0)))</f>
        <v>909</v>
      </c>
      <c r="AJ922" s="136">
        <f ca="1" t="shared" si="824"/>
        <v>1818</v>
      </c>
      <c r="AK922" s="136">
        <f ca="1" t="shared" si="824"/>
        <v>2727</v>
      </c>
      <c r="AL922" s="136">
        <f ca="1" t="shared" si="824"/>
        <v>3636</v>
      </c>
      <c r="AM922" s="136">
        <f ca="1" t="shared" si="824"/>
        <v>4545</v>
      </c>
      <c r="AN922" s="136">
        <f ca="1" t="shared" si="824"/>
        <v>14715</v>
      </c>
    </row>
    <row r="923" s="106" customFormat="1" ht="16.5" spans="2:40">
      <c r="B923" s="117">
        <v>289</v>
      </c>
      <c r="C923" s="130">
        <f t="shared" si="759"/>
        <v>28900</v>
      </c>
      <c r="D923" s="131" cm="1">
        <f ca="1" t="array" ref="D923">IF(D1525=1,OFFSET($W$634,$B923,D$631-1)/SUMPRODUCT(--($D$631:$V$631=D$631),--($D1525:$V1525=1)),0)+SUM(D922)+IF(COUNTIF(D$1237:D1525,1)=1,5,0)+IF(COUNTIF(E923:$W923,"&gt;"&amp;0)&lt;5,IF(AND(COUNTIF(D$1237:D1525,1)&gt;7,MOD(1+IFERROR(MATCH($C923,总览!$D$46:$D$345,1)+1,1),7)=0),$C$3,0),0)</f>
        <v>1950.94138275986</v>
      </c>
      <c r="E923" s="131" cm="1">
        <f ca="1" t="array" ref="E923">IF(E1525=1,OFFSET($W$634,$B923,E$631-1)/SUMPRODUCT(--($D$631:$V$631=E$631),--($D1525:$V1525=1)),0)+SUM(E922)+IF(COUNTIF(E$1237:E1525,1)=1,5,0)+IF(COUNTIF(F923:$W923,"&gt;"&amp;0)&lt;5,IF(AND(COUNTIF(E$1237:E1525,1)&gt;7,MOD(1+IFERROR(MATCH($C923,总览!$D$46:$D$345,1)+1,1),7)=0),$C$3,0),0)</f>
        <v>1950.94138275986</v>
      </c>
      <c r="F923" s="131" cm="1">
        <f ca="1" t="array" ref="F923">IF(F1525=1,OFFSET($W$634,$B923,F$631-1)/SUMPRODUCT(--($D$631:$V$631=F$631),--($D1525:$V1525=1)),0)+SUM(F922)+IF(COUNTIF(F$1237:F1525,1)=1,5,0)+IF(COUNTIF(G923:$W923,"&gt;"&amp;0)&lt;5,IF(AND(COUNTIF(F$1237:F1525,1)&gt;7,MOD(1+IFERROR(MATCH($C923,总览!$D$46:$D$345,1)+1,1),7)=0),$C$3,0),0)</f>
        <v>1950.94138275986</v>
      </c>
      <c r="G923" s="131" cm="1">
        <f ca="1" t="array" ref="G923">IF(G1525=1,OFFSET($W$634,$B923,G$631-1)/SUMPRODUCT(--($D$631:$V$631=G$631),--($D1525:$V1525=1)),0)+SUM(G922)+IF(COUNTIF(G$1237:G1525,1)=1,5,0)+IF(COUNTIF(H923:$W923,"&gt;"&amp;0)&lt;5,IF(AND(COUNTIF(G$1237:G1525,1)&gt;7,MOD(1+IFERROR(MATCH($C923,总览!$D$46:$D$345,1)+1,1),7)=0),$C$3,0),0)</f>
        <v>902.733333333336</v>
      </c>
      <c r="H923" s="131" cm="1">
        <f ca="1" t="array" ref="H923">IF(H1525=1,OFFSET($W$634,$B923,H$631-1)/SUMPRODUCT(--($D$631:$V$631=H$631),--($D1525:$V1525=1)),0)+SUM(H922)+IF(COUNTIF(H$1237:H1525,1)=1,5,0)+IF(COUNTIF(I923:$W923,"&gt;"&amp;0)&lt;5,IF(AND(COUNTIF(H$1237:H1525,1)&gt;7,MOD(1+IFERROR(MATCH($C923,总览!$D$46:$D$345,1)+1,1),7)=0),$C$3,0),0)</f>
        <v>902.733333333336</v>
      </c>
      <c r="I923" s="131" cm="1">
        <f ca="1" t="array" ref="I923">IF(I1525=1,OFFSET($W$634,$B923,I$631-1)/SUMPRODUCT(--($D$631:$V$631=I$631),--($D1525:$V1525=1)),0)+SUM(I922)+IF(COUNTIF(I$1237:I1525,1)=1,5,0)+IF(COUNTIF(J923:$W923,"&gt;"&amp;0)&lt;5,IF(AND(COUNTIF(I$1237:I1525,1)&gt;7,MOD(1+IFERROR(MATCH($C923,总览!$D$46:$D$345,1)+1,1),7)=0),$C$3,0),0)</f>
        <v>902.733333333336</v>
      </c>
      <c r="J923" s="131" cm="1">
        <f ca="1" t="array" ref="J923">IF(J1525=1,OFFSET($W$634,$B923,J$631-1)/SUMPRODUCT(--($D$631:$V$631=J$631),--($D1525:$V1525=1)),0)+SUM(J922)+IF(COUNTIF(J$1237:J1525,1)=1,5,0)+IF(COUNTIF(K923:$W923,"&gt;"&amp;0)&lt;5,IF(AND(COUNTIF(J$1237:J1525,1)&gt;7,MOD(1+IFERROR(MATCH($C923,总览!$D$46:$D$345,1)+1,1),7)=0),$C$3,0),0)</f>
        <v>899.400000000003</v>
      </c>
      <c r="K923" s="131" cm="1">
        <f ca="1" t="array" ref="K923">IF(K1525=1,OFFSET($W$634,$B923,K$631-1)/SUMPRODUCT(--($D$631:$V$631=K$631),--($D1525:$V1525=1)),0)+SUM(K922)+IF(COUNTIF(K$1237:K1525,1)=1,5,0)+IF(COUNTIF(L923:$W923,"&gt;"&amp;0)&lt;5,IF(AND(COUNTIF(K$1237:K1525,1)&gt;7,MOD(1+IFERROR(MATCH($C923,总览!$D$46:$D$345,1)+1,1),7)=0),$C$3,0),0)</f>
        <v>896.900000000003</v>
      </c>
      <c r="L923" s="131" cm="1">
        <f ca="1" t="array" ref="L923">IF(L1525=1,OFFSET($W$634,$B923,L$631-1)/SUMPRODUCT(--($D$631:$V$631=L$631),--($D1525:$V1525=1)),0)+SUM(L922)+IF(COUNTIF(L$1237:L1525,1)=1,5,0)+IF(COUNTIF(M923:$W923,"&gt;"&amp;0)&lt;5,IF(AND(COUNTIF(L$1237:L1525,1)&gt;7,MOD(1+IFERROR(MATCH($C923,总览!$D$46:$D$345,1)+1,1),7)=0),$C$3,0),0)</f>
        <v>896.900000000003</v>
      </c>
      <c r="M923" s="131" cm="1">
        <f ca="1" t="array" ref="M923">IF(M1525=1,OFFSET($W$634,$B923,M$631-1)/SUMPRODUCT(--($D$631:$V$631=M$631),--($D1525:$V1525=1)),0)+SUM(M922)+IF(COUNTIF(M$1237:M1525,1)=1,5,0)+IF(COUNTIF(N923:$W923,"&gt;"&amp;0)&lt;5,IF(AND(COUNTIF(M$1237:M1525,1)&gt;7,MOD(1+IFERROR(MATCH($C923,总览!$D$46:$D$345,1)+1,1),7)=0),$C$3,0),0)</f>
        <v>370.609821428572</v>
      </c>
      <c r="N923" s="131" cm="1">
        <f ca="1" t="array" ref="N923">IF(N1525=1,OFFSET($W$634,$B923,N$631-1)/SUMPRODUCT(--($D$631:$V$631=N$631),--($D1525:$V1525=1)),0)+SUM(N922)+IF(COUNTIF(N$1237:N1525,1)=1,5,0)+IF(COUNTIF(O923:$W923,"&gt;"&amp;0)&lt;5,IF(AND(COUNTIF(N$1237:N1525,1)&gt;7,MOD(1+IFERROR(MATCH($C923,总览!$D$46:$D$345,1)+1,1),7)=0),$C$3,0),0)</f>
        <v>371.859821428572</v>
      </c>
      <c r="O923" s="131" cm="1">
        <f ca="1" t="array" ref="O923">IF(O1525=1,OFFSET($W$634,$B923,O$631-1)/SUMPRODUCT(--($D$631:$V$631=O$631),--($D1525:$V1525=1)),0)+SUM(O922)+IF(COUNTIF(O$1237:O1525,1)=1,5,0)+IF(COUNTIF(P923:$W923,"&gt;"&amp;0)&lt;5,IF(AND(COUNTIF(O$1237:O1525,1)&gt;7,MOD(1+IFERROR(MATCH($C923,总览!$D$46:$D$345,1)+1,1),7)=0),$C$3,0),0)</f>
        <v>376.859821428572</v>
      </c>
      <c r="P923" s="131" cm="1">
        <f ca="1" t="array" ref="P923">IF(P1525=1,OFFSET($W$634,$B923,P$631-1)/SUMPRODUCT(--($D$631:$V$631=P$631),--($D1525:$V1525=1)),0)+SUM(P922)+IF(COUNTIF(P$1237:P1525,1)=1,5,0)+IF(COUNTIF(Q923:$W923,"&gt;"&amp;0)&lt;5,IF(AND(COUNTIF(P$1237:P1525,1)&gt;7,MOD(1+IFERROR(MATCH($C923,总览!$D$46:$D$345,1)+1,1),7)=0),$C$3,0),0)</f>
        <v>365.978571428572</v>
      </c>
      <c r="Q923" s="131" cm="1">
        <f ca="1" t="array" ref="Q923">IF(Q1525=1,OFFSET($W$634,$B923,Q$631-1)/SUMPRODUCT(--($D$631:$V$631=Q$631),--($D1525:$V1525=1)),0)+SUM(Q922)+IF(COUNTIF(Q$1237:Q1525,1)=1,5,0)+IF(COUNTIF(R923:$W923,"&gt;"&amp;0)&lt;5,IF(AND(COUNTIF(Q$1237:Q1525,1)&gt;7,MOD(1+IFERROR(MATCH($C923,总览!$D$46:$D$345,1)+1,1),7)=0),$C$3,0),0)</f>
        <v>379.359821428572</v>
      </c>
      <c r="R923" s="131" cm="1">
        <f ca="1" t="array" ref="R923">IF(R1525=1,OFFSET($W$634,$B923,R$631-1)/SUMPRODUCT(--($D$631:$V$631=R$631),--($D1525:$V1525=1)),0)+SUM(R922)+IF(COUNTIF(R$1237:R1525,1)=1,5,0)+IF(COUNTIF(S923:$W923,"&gt;"&amp;0)&lt;5,IF(AND(COUNTIF(R$1237:R1525,1)&gt;7,MOD(1+IFERROR(MATCH($C923,总览!$D$46:$D$345,1)+1,1),7)=0),$C$3,0),0)</f>
        <v>370.978571428572</v>
      </c>
      <c r="S923" s="131" cm="1">
        <f ca="1" t="array" ref="S923">IF(S1525=1,OFFSET($W$634,$B923,S$631-1)/SUMPRODUCT(--($D$631:$V$631=S$631),--($D1525:$V1525=1)),0)+SUM(S922)+IF(COUNTIF(S$1237:S1525,1)=1,5,0)+IF(COUNTIF(T923:$W923,"&gt;"&amp;0)&lt;5,IF(AND(COUNTIF(S$1237:S1525,1)&gt;7,MOD(1+IFERROR(MATCH($C923,总览!$D$46:$D$345,1)+1,1),7)=0),$C$3,0),0)</f>
        <v>463.478571428573</v>
      </c>
      <c r="T923" s="131" cm="1">
        <f ca="1" t="array" ref="T923">IF(T1525=1,OFFSET($W$634,$B923,T$631-1)/SUMPRODUCT(--($D$631:$V$631=T$631),--($D1525:$V1525=1)),0)+SUM(T922)+IF(COUNTIF(T$1237:T1525,1)=1,5,0)+IF(COUNTIF(U923:$W923,"&gt;"&amp;0)&lt;5,IF(AND(COUNTIF(T$1237:T1525,1)&gt;7,MOD(1+IFERROR(MATCH($C923,总览!$D$46:$D$345,1)+1,1),7)=0),$C$3,0),0)</f>
        <v>338.594093099124</v>
      </c>
      <c r="U923" s="131" cm="1">
        <f ca="1" t="array" ref="U923">IF(U1525=1,OFFSET($W$634,$B923,U$631-1)/SUMPRODUCT(--($D$631:$V$631=U$631),--($D1525:$V1525=1)),0)+SUM(U922)+IF(COUNTIF(U$1237:U1525,1)=1,5,0)+IF(COUNTIF(V923:$W923,"&gt;"&amp;0)&lt;5,IF(AND(COUNTIF(U$1237:U1525,1)&gt;7,MOD(1+IFERROR(MATCH($C923,总览!$D$46:$D$345,1)+1,1),7)=0),$C$3,0),0)</f>
        <v>344.114879454423</v>
      </c>
      <c r="V923" s="131" cm="1">
        <f ca="1" t="array" ref="V923">IF(V1525=1,OFFSET($W$634,$B923,V$631-1)/SUMPRODUCT(--($D$631:$V$631=V$631),--($D1525:$V1525=1)),0)+SUM(V922)+IF(COUNTIF(V$1237:V1525,1)=1,5,0)+IF(COUNTIF(W923:$W923,"&gt;"&amp;0)&lt;5,IF(AND(COUNTIF(V$1237:V1525,1)&gt;7,MOD(1+IFERROR(MATCH($C923,总览!$D$46:$D$345,1)+1,1),7)=0),$C$3,0),0)</f>
        <v>363.941879166856</v>
      </c>
      <c r="W923" s="135" cm="1">
        <f ca="1" t="array" ref="W923">SUMPRODUCT(TRANSPOSE($AA923:$AG923),OFFSET($L$9:$L$15,0,W$631-1))</f>
        <v>16.8502200646615</v>
      </c>
      <c r="X923" s="135" cm="1">
        <f ca="1" t="array" ref="X923">SUMPRODUCT(TRANSPOSE($AA923:$AG923),OFFSET($L$9:$L$15,0,X$631-1))</f>
        <v>20</v>
      </c>
      <c r="Y923" s="135" cm="1">
        <f ca="1" t="array" ref="Y923">SUMPRODUCT(TRANSPOSE($AA923:$AG923),OFFSET($L$9:$L$15,0,Y$631-1))</f>
        <v>10</v>
      </c>
      <c r="Z923" s="135" cm="1">
        <f ca="1" t="array" ref="Z923">SUMPRODUCT(TRANSPOSE($AA923:$AG923),OFFSET($L$9:$L$15,0,Z$631-1))</f>
        <v>3.14977993533847</v>
      </c>
      <c r="AA923" s="136">
        <f ca="1" t="shared" ref="AA923:AG923" si="825">AH923-AH922</f>
        <v>0</v>
      </c>
      <c r="AB923" s="136">
        <f ca="1" t="shared" si="825"/>
        <v>0</v>
      </c>
      <c r="AC923" s="136">
        <f ca="1" t="shared" si="825"/>
        <v>0</v>
      </c>
      <c r="AD923" s="136">
        <f ca="1" t="shared" si="825"/>
        <v>0</v>
      </c>
      <c r="AE923" s="136">
        <f ca="1" t="shared" si="825"/>
        <v>0</v>
      </c>
      <c r="AF923" s="136">
        <f ca="1" t="shared" si="825"/>
        <v>0</v>
      </c>
      <c r="AG923" s="136">
        <f ca="1" t="shared" si="825"/>
        <v>100</v>
      </c>
      <c r="AH923" s="136">
        <f ca="1" t="shared" si="761"/>
        <v>450</v>
      </c>
      <c r="AI923" s="136">
        <f ca="1" t="shared" ref="AI923:AN923" si="826">IF($C923&gt;OFFSET($Q$8,MATCH(AI$634,$AH$634:$AN$634,0),0),OFFSET($P$8,MATCH(AI$634,$AH$634:$AN$634,0),0),MAX(0,$C923-OFFSET($Q$8,RIGHT(AI$634,1)-1,0)))</f>
        <v>909</v>
      </c>
      <c r="AJ923" s="136">
        <f ca="1" t="shared" si="826"/>
        <v>1818</v>
      </c>
      <c r="AK923" s="136">
        <f ca="1" t="shared" si="826"/>
        <v>2727</v>
      </c>
      <c r="AL923" s="136">
        <f ca="1" t="shared" si="826"/>
        <v>3636</v>
      </c>
      <c r="AM923" s="136">
        <f ca="1" t="shared" si="826"/>
        <v>4545</v>
      </c>
      <c r="AN923" s="136">
        <f ca="1" t="shared" si="826"/>
        <v>14815</v>
      </c>
    </row>
    <row r="924" s="106" customFormat="1" ht="16.5" spans="2:40">
      <c r="B924" s="117">
        <v>290</v>
      </c>
      <c r="C924" s="130">
        <f t="shared" si="759"/>
        <v>29000</v>
      </c>
      <c r="D924" s="131" cm="1">
        <f ca="1" t="array" ref="D924">IF(D1526=1,OFFSET($W$634,$B924,D$631-1)/SUMPRODUCT(--($D$631:$V$631=D$631),--($D1526:$V1526=1)),0)+SUM(D923)+IF(COUNTIF(D$1237:D1526,1)=1,5,0)+IF(COUNTIF(E924:$W924,"&gt;"&amp;0)&lt;5,IF(AND(COUNTIF(D$1237:D1526,1)&gt;7,MOD(1+IFERROR(MATCH($C924,总览!$D$46:$D$345,1)+1,1),7)=0),$C$3,0),0)</f>
        <v>1956.55812278142</v>
      </c>
      <c r="E924" s="131" cm="1">
        <f ca="1" t="array" ref="E924">IF(E1526=1,OFFSET($W$634,$B924,E$631-1)/SUMPRODUCT(--($D$631:$V$631=E$631),--($D1526:$V1526=1)),0)+SUM(E923)+IF(COUNTIF(E$1237:E1526,1)=1,5,0)+IF(COUNTIF(F924:$W924,"&gt;"&amp;0)&lt;5,IF(AND(COUNTIF(E$1237:E1526,1)&gt;7,MOD(1+IFERROR(MATCH($C924,总览!$D$46:$D$345,1)+1,1),7)=0),$C$3,0),0)</f>
        <v>1956.55812278142</v>
      </c>
      <c r="F924" s="131" cm="1">
        <f ca="1" t="array" ref="F924">IF(F1526=1,OFFSET($W$634,$B924,F$631-1)/SUMPRODUCT(--($D$631:$V$631=F$631),--($D1526:$V1526=1)),0)+SUM(F923)+IF(COUNTIF(F$1237:F1526,1)=1,5,0)+IF(COUNTIF(G924:$W924,"&gt;"&amp;0)&lt;5,IF(AND(COUNTIF(F$1237:F1526,1)&gt;7,MOD(1+IFERROR(MATCH($C924,总览!$D$46:$D$345,1)+1,1),7)=0),$C$3,0),0)</f>
        <v>1956.55812278142</v>
      </c>
      <c r="G924" s="131" cm="1">
        <f ca="1" t="array" ref="G924">IF(G1526=1,OFFSET($W$634,$B924,G$631-1)/SUMPRODUCT(--($D$631:$V$631=G$631),--($D1526:$V1526=1)),0)+SUM(G923)+IF(COUNTIF(G$1237:G1526,1)=1,5,0)+IF(COUNTIF(H924:$W924,"&gt;"&amp;0)&lt;5,IF(AND(COUNTIF(G$1237:G1526,1)&gt;7,MOD(1+IFERROR(MATCH($C924,总览!$D$46:$D$345,1)+1,1),7)=0),$C$3,0),0)</f>
        <v>906.06666666667</v>
      </c>
      <c r="H924" s="131" cm="1">
        <f ca="1" t="array" ref="H924">IF(H1526=1,OFFSET($W$634,$B924,H$631-1)/SUMPRODUCT(--($D$631:$V$631=H$631),--($D1526:$V1526=1)),0)+SUM(H923)+IF(COUNTIF(H$1237:H1526,1)=1,5,0)+IF(COUNTIF(I924:$W924,"&gt;"&amp;0)&lt;5,IF(AND(COUNTIF(H$1237:H1526,1)&gt;7,MOD(1+IFERROR(MATCH($C924,总览!$D$46:$D$345,1)+1,1),7)=0),$C$3,0),0)</f>
        <v>906.06666666667</v>
      </c>
      <c r="I924" s="131" cm="1">
        <f ca="1" t="array" ref="I924">IF(I1526=1,OFFSET($W$634,$B924,I$631-1)/SUMPRODUCT(--($D$631:$V$631=I$631),--($D1526:$V1526=1)),0)+SUM(I923)+IF(COUNTIF(I$1237:I1526,1)=1,5,0)+IF(COUNTIF(J924:$W924,"&gt;"&amp;0)&lt;5,IF(AND(COUNTIF(I$1237:I1526,1)&gt;7,MOD(1+IFERROR(MATCH($C924,总览!$D$46:$D$345,1)+1,1),7)=0),$C$3,0),0)</f>
        <v>906.06666666667</v>
      </c>
      <c r="J924" s="131" cm="1">
        <f ca="1" t="array" ref="J924">IF(J1526=1,OFFSET($W$634,$B924,J$631-1)/SUMPRODUCT(--($D$631:$V$631=J$631),--($D1526:$V1526=1)),0)+SUM(J923)+IF(COUNTIF(J$1237:J1526,1)=1,5,0)+IF(COUNTIF(K924:$W924,"&gt;"&amp;0)&lt;5,IF(AND(COUNTIF(J$1237:J1526,1)&gt;7,MOD(1+IFERROR(MATCH($C924,总览!$D$46:$D$345,1)+1,1),7)=0),$C$3,0),0)</f>
        <v>902.733333333336</v>
      </c>
      <c r="K924" s="131" cm="1">
        <f ca="1" t="array" ref="K924">IF(K1526=1,OFFSET($W$634,$B924,K$631-1)/SUMPRODUCT(--($D$631:$V$631=K$631),--($D1526:$V1526=1)),0)+SUM(K923)+IF(COUNTIF(K$1237:K1526,1)=1,5,0)+IF(COUNTIF(L924:$W924,"&gt;"&amp;0)&lt;5,IF(AND(COUNTIF(K$1237:K1526,1)&gt;7,MOD(1+IFERROR(MATCH($C924,总览!$D$46:$D$345,1)+1,1),7)=0),$C$3,0),0)</f>
        <v>900.233333333336</v>
      </c>
      <c r="L924" s="131" cm="1">
        <f ca="1" t="array" ref="L924">IF(L1526=1,OFFSET($W$634,$B924,L$631-1)/SUMPRODUCT(--($D$631:$V$631=L$631),--($D1526:$V1526=1)),0)+SUM(L923)+IF(COUNTIF(L$1237:L1526,1)=1,5,0)+IF(COUNTIF(M924:$W924,"&gt;"&amp;0)&lt;5,IF(AND(COUNTIF(L$1237:L1526,1)&gt;7,MOD(1+IFERROR(MATCH($C924,总览!$D$46:$D$345,1)+1,1),7)=0),$C$3,0),0)</f>
        <v>900.233333333336</v>
      </c>
      <c r="M924" s="131" cm="1">
        <f ca="1" t="array" ref="M924">IF(M1526=1,OFFSET($W$634,$B924,M$631-1)/SUMPRODUCT(--($D$631:$V$631=M$631),--($D1526:$V1526=1)),0)+SUM(M923)+IF(COUNTIF(M$1237:M1526,1)=1,5,0)+IF(COUNTIF(N924:$W924,"&gt;"&amp;0)&lt;5,IF(AND(COUNTIF(M$1237:M1526,1)&gt;7,MOD(1+IFERROR(MATCH($C924,总览!$D$46:$D$345,1)+1,1),7)=0),$C$3,0),0)</f>
        <v>372.038392857143</v>
      </c>
      <c r="N924" s="131" cm="1">
        <f ca="1" t="array" ref="N924">IF(N1526=1,OFFSET($W$634,$B924,N$631-1)/SUMPRODUCT(--($D$631:$V$631=N$631),--($D1526:$V1526=1)),0)+SUM(N923)+IF(COUNTIF(N$1237:N1526,1)=1,5,0)+IF(COUNTIF(O924:$W924,"&gt;"&amp;0)&lt;5,IF(AND(COUNTIF(N$1237:N1526,1)&gt;7,MOD(1+IFERROR(MATCH($C924,总览!$D$46:$D$345,1)+1,1),7)=0),$C$3,0),0)</f>
        <v>373.288392857143</v>
      </c>
      <c r="O924" s="131" cm="1">
        <f ca="1" t="array" ref="O924">IF(O1526=1,OFFSET($W$634,$B924,O$631-1)/SUMPRODUCT(--($D$631:$V$631=O$631),--($D1526:$V1526=1)),0)+SUM(O923)+IF(COUNTIF(O$1237:O1526,1)=1,5,0)+IF(COUNTIF(P924:$W924,"&gt;"&amp;0)&lt;5,IF(AND(COUNTIF(O$1237:O1526,1)&gt;7,MOD(1+IFERROR(MATCH($C924,总览!$D$46:$D$345,1)+1,1),7)=0),$C$3,0),0)</f>
        <v>378.288392857143</v>
      </c>
      <c r="P924" s="131" cm="1">
        <f ca="1" t="array" ref="P924">IF(P1526=1,OFFSET($W$634,$B924,P$631-1)/SUMPRODUCT(--($D$631:$V$631=P$631),--($D1526:$V1526=1)),0)+SUM(P923)+IF(COUNTIF(P$1237:P1526,1)=1,5,0)+IF(COUNTIF(Q924:$W924,"&gt;"&amp;0)&lt;5,IF(AND(COUNTIF(P$1237:P1526,1)&gt;7,MOD(1+IFERROR(MATCH($C924,总览!$D$46:$D$345,1)+1,1),7)=0),$C$3,0),0)</f>
        <v>367.407142857143</v>
      </c>
      <c r="Q924" s="131" cm="1">
        <f ca="1" t="array" ref="Q924">IF(Q1526=1,OFFSET($W$634,$B924,Q$631-1)/SUMPRODUCT(--($D$631:$V$631=Q$631),--($D1526:$V1526=1)),0)+SUM(Q923)+IF(COUNTIF(Q$1237:Q1526,1)=1,5,0)+IF(COUNTIF(R924:$W924,"&gt;"&amp;0)&lt;5,IF(AND(COUNTIF(Q$1237:Q1526,1)&gt;7,MOD(1+IFERROR(MATCH($C924,总览!$D$46:$D$345,1)+1,1),7)=0),$C$3,0),0)</f>
        <v>380.788392857143</v>
      </c>
      <c r="R924" s="131" cm="1">
        <f ca="1" t="array" ref="R924">IF(R1526=1,OFFSET($W$634,$B924,R$631-1)/SUMPRODUCT(--($D$631:$V$631=R$631),--($D1526:$V1526=1)),0)+SUM(R923)+IF(COUNTIF(R$1237:R1526,1)=1,5,0)+IF(COUNTIF(S924:$W924,"&gt;"&amp;0)&lt;5,IF(AND(COUNTIF(R$1237:R1526,1)&gt;7,MOD(1+IFERROR(MATCH($C924,总览!$D$46:$D$345,1)+1,1),7)=0),$C$3,0),0)</f>
        <v>372.407142857143</v>
      </c>
      <c r="S924" s="131" cm="1">
        <f ca="1" t="array" ref="S924">IF(S1526=1,OFFSET($W$634,$B924,S$631-1)/SUMPRODUCT(--($D$631:$V$631=S$631),--($D1526:$V1526=1)),0)+SUM(S923)+IF(COUNTIF(S$1237:S1526,1)=1,5,0)+IF(COUNTIF(T924:$W924,"&gt;"&amp;0)&lt;5,IF(AND(COUNTIF(S$1237:S1526,1)&gt;7,MOD(1+IFERROR(MATCH($C924,总览!$D$46:$D$345,1)+1,1),7)=0),$C$3,0),0)</f>
        <v>464.907142857144</v>
      </c>
      <c r="T924" s="131" cm="1">
        <f ca="1" t="array" ref="T924">IF(T1526=1,OFFSET($W$634,$B924,T$631-1)/SUMPRODUCT(--($D$631:$V$631=T$631),--($D1526:$V1526=1)),0)+SUM(T923)+IF(COUNTIF(T$1237:T1526,1)=1,5,0)+IF(COUNTIF(U924:$W924,"&gt;"&amp;0)&lt;5,IF(AND(COUNTIF(T$1237:T1526,1)&gt;7,MOD(1+IFERROR(MATCH($C924,总览!$D$46:$D$345,1)+1,1),7)=0),$C$3,0),0)</f>
        <v>339.644019744236</v>
      </c>
      <c r="U924" s="131" cm="1">
        <f ca="1" t="array" ref="U924">IF(U1526=1,OFFSET($W$634,$B924,U$631-1)/SUMPRODUCT(--($D$631:$V$631=U$631),--($D1526:$V1526=1)),0)+SUM(U923)+IF(COUNTIF(U$1237:U1526,1)=1,5,0)+IF(COUNTIF(V924:$W924,"&gt;"&amp;0)&lt;5,IF(AND(COUNTIF(U$1237:U1526,1)&gt;7,MOD(1+IFERROR(MATCH($C924,总览!$D$46:$D$345,1)+1,1),7)=0),$C$3,0),0)</f>
        <v>345.164806099536</v>
      </c>
      <c r="V924" s="131" cm="1">
        <f ca="1" t="array" ref="V924">IF(V1526=1,OFFSET($W$634,$B924,V$631-1)/SUMPRODUCT(--($D$631:$V$631=V$631),--($D1526:$V1526=1)),0)+SUM(V923)+IF(COUNTIF(V$1237:V1526,1)=1,5,0)+IF(COUNTIF(W924:$W924,"&gt;"&amp;0)&lt;5,IF(AND(COUNTIF(V$1237:V1526,1)&gt;7,MOD(1+IFERROR(MATCH($C924,总览!$D$46:$D$345,1)+1,1),7)=0),$C$3,0),0)</f>
        <v>364.991805811969</v>
      </c>
      <c r="W924" s="135" cm="1">
        <f ca="1" t="array" ref="W924">SUMPRODUCT(TRANSPOSE($AA924:$AG924),OFFSET($L$9:$L$15,0,W$631-1))</f>
        <v>16.8502200646615</v>
      </c>
      <c r="X924" s="135" cm="1">
        <f ca="1" t="array" ref="X924">SUMPRODUCT(TRANSPOSE($AA924:$AG924),OFFSET($L$9:$L$15,0,X$631-1))</f>
        <v>20</v>
      </c>
      <c r="Y924" s="135" cm="1">
        <f ca="1" t="array" ref="Y924">SUMPRODUCT(TRANSPOSE($AA924:$AG924),OFFSET($L$9:$L$15,0,Y$631-1))</f>
        <v>10</v>
      </c>
      <c r="Z924" s="135" cm="1">
        <f ca="1" t="array" ref="Z924">SUMPRODUCT(TRANSPOSE($AA924:$AG924),OFFSET($L$9:$L$15,0,Z$631-1))</f>
        <v>3.14977993533847</v>
      </c>
      <c r="AA924" s="136">
        <f ca="1" t="shared" ref="AA924:AG924" si="827">AH924-AH923</f>
        <v>0</v>
      </c>
      <c r="AB924" s="136">
        <f ca="1" t="shared" si="827"/>
        <v>0</v>
      </c>
      <c r="AC924" s="136">
        <f ca="1" t="shared" si="827"/>
        <v>0</v>
      </c>
      <c r="AD924" s="136">
        <f ca="1" t="shared" si="827"/>
        <v>0</v>
      </c>
      <c r="AE924" s="136">
        <f ca="1" t="shared" si="827"/>
        <v>0</v>
      </c>
      <c r="AF924" s="136">
        <f ca="1" t="shared" si="827"/>
        <v>0</v>
      </c>
      <c r="AG924" s="136">
        <f ca="1" t="shared" si="827"/>
        <v>100</v>
      </c>
      <c r="AH924" s="136">
        <f ca="1" t="shared" si="761"/>
        <v>450</v>
      </c>
      <c r="AI924" s="136">
        <f ca="1" t="shared" ref="AI924:AN924" si="828">IF($C924&gt;OFFSET($Q$8,MATCH(AI$634,$AH$634:$AN$634,0),0),OFFSET($P$8,MATCH(AI$634,$AH$634:$AN$634,0),0),MAX(0,$C924-OFFSET($Q$8,RIGHT(AI$634,1)-1,0)))</f>
        <v>909</v>
      </c>
      <c r="AJ924" s="136">
        <f ca="1" t="shared" si="828"/>
        <v>1818</v>
      </c>
      <c r="AK924" s="136">
        <f ca="1" t="shared" si="828"/>
        <v>2727</v>
      </c>
      <c r="AL924" s="136">
        <f ca="1" t="shared" si="828"/>
        <v>3636</v>
      </c>
      <c r="AM924" s="136">
        <f ca="1" t="shared" si="828"/>
        <v>4545</v>
      </c>
      <c r="AN924" s="136">
        <f ca="1" t="shared" si="828"/>
        <v>14915</v>
      </c>
    </row>
    <row r="925" s="106" customFormat="1" ht="16.5" spans="2:40">
      <c r="B925" s="117">
        <v>291</v>
      </c>
      <c r="C925" s="130">
        <f t="shared" si="759"/>
        <v>29100</v>
      </c>
      <c r="D925" s="131" cm="1">
        <f ca="1" t="array" ref="D925">IF(D1527=1,OFFSET($W$634,$B925,D$631-1)/SUMPRODUCT(--($D$631:$V$631=D$631),--($D1527:$V1527=1)),0)+SUM(D924)+IF(COUNTIF(D$1237:D1527,1)=1,5,0)+IF(COUNTIF(E925:$W925,"&gt;"&amp;0)&lt;5,IF(AND(COUNTIF(D$1237:D1527,1)&gt;7,MOD(1+IFERROR(MATCH($C925,总览!$D$46:$D$345,1)+1,1),7)=0),$C$3,0),0)</f>
        <v>1962.17486280297</v>
      </c>
      <c r="E925" s="131" cm="1">
        <f ca="1" t="array" ref="E925">IF(E1527=1,OFFSET($W$634,$B925,E$631-1)/SUMPRODUCT(--($D$631:$V$631=E$631),--($D1527:$V1527=1)),0)+SUM(E924)+IF(COUNTIF(E$1237:E1527,1)=1,5,0)+IF(COUNTIF(F925:$W925,"&gt;"&amp;0)&lt;5,IF(AND(COUNTIF(E$1237:E1527,1)&gt;7,MOD(1+IFERROR(MATCH($C925,总览!$D$46:$D$345,1)+1,1),7)=0),$C$3,0),0)</f>
        <v>1962.17486280297</v>
      </c>
      <c r="F925" s="131" cm="1">
        <f ca="1" t="array" ref="F925">IF(F1527=1,OFFSET($W$634,$B925,F$631-1)/SUMPRODUCT(--($D$631:$V$631=F$631),--($D1527:$V1527=1)),0)+SUM(F924)+IF(COUNTIF(F$1237:F1527,1)=1,5,0)+IF(COUNTIF(G925:$W925,"&gt;"&amp;0)&lt;5,IF(AND(COUNTIF(F$1237:F1527,1)&gt;7,MOD(1+IFERROR(MATCH($C925,总览!$D$46:$D$345,1)+1,1),7)=0),$C$3,0),0)</f>
        <v>1962.17486280297</v>
      </c>
      <c r="G925" s="131" cm="1">
        <f ca="1" t="array" ref="G925">IF(G1527=1,OFFSET($W$634,$B925,G$631-1)/SUMPRODUCT(--($D$631:$V$631=G$631),--($D1527:$V1527=1)),0)+SUM(G924)+IF(COUNTIF(G$1237:G1527,1)=1,5,0)+IF(COUNTIF(H925:$W925,"&gt;"&amp;0)&lt;5,IF(AND(COUNTIF(G$1237:G1527,1)&gt;7,MOD(1+IFERROR(MATCH($C925,总览!$D$46:$D$345,1)+1,1),7)=0),$C$3,0),0)</f>
        <v>909.400000000003</v>
      </c>
      <c r="H925" s="131" cm="1">
        <f ca="1" t="array" ref="H925">IF(H1527=1,OFFSET($W$634,$B925,H$631-1)/SUMPRODUCT(--($D$631:$V$631=H$631),--($D1527:$V1527=1)),0)+SUM(H924)+IF(COUNTIF(H$1237:H1527,1)=1,5,0)+IF(COUNTIF(I925:$W925,"&gt;"&amp;0)&lt;5,IF(AND(COUNTIF(H$1237:H1527,1)&gt;7,MOD(1+IFERROR(MATCH($C925,总览!$D$46:$D$345,1)+1,1),7)=0),$C$3,0),0)</f>
        <v>909.400000000003</v>
      </c>
      <c r="I925" s="131" cm="1">
        <f ca="1" t="array" ref="I925">IF(I1527=1,OFFSET($W$634,$B925,I$631-1)/SUMPRODUCT(--($D$631:$V$631=I$631),--($D1527:$V1527=1)),0)+SUM(I924)+IF(COUNTIF(I$1237:I1527,1)=1,5,0)+IF(COUNTIF(J925:$W925,"&gt;"&amp;0)&lt;5,IF(AND(COUNTIF(I$1237:I1527,1)&gt;7,MOD(1+IFERROR(MATCH($C925,总览!$D$46:$D$345,1)+1,1),7)=0),$C$3,0),0)</f>
        <v>909.400000000003</v>
      </c>
      <c r="J925" s="131" cm="1">
        <f ca="1" t="array" ref="J925">IF(J1527=1,OFFSET($W$634,$B925,J$631-1)/SUMPRODUCT(--($D$631:$V$631=J$631),--($D1527:$V1527=1)),0)+SUM(J924)+IF(COUNTIF(J$1237:J1527,1)=1,5,0)+IF(COUNTIF(K925:$W925,"&gt;"&amp;0)&lt;5,IF(AND(COUNTIF(J$1237:J1527,1)&gt;7,MOD(1+IFERROR(MATCH($C925,总览!$D$46:$D$345,1)+1,1),7)=0),$C$3,0),0)</f>
        <v>906.06666666667</v>
      </c>
      <c r="K925" s="131" cm="1">
        <f ca="1" t="array" ref="K925">IF(K1527=1,OFFSET($W$634,$B925,K$631-1)/SUMPRODUCT(--($D$631:$V$631=K$631),--($D1527:$V1527=1)),0)+SUM(K924)+IF(COUNTIF(K$1237:K1527,1)=1,5,0)+IF(COUNTIF(L925:$W925,"&gt;"&amp;0)&lt;5,IF(AND(COUNTIF(K$1237:K1527,1)&gt;7,MOD(1+IFERROR(MATCH($C925,总览!$D$46:$D$345,1)+1,1),7)=0),$C$3,0),0)</f>
        <v>903.56666666667</v>
      </c>
      <c r="L925" s="131" cm="1">
        <f ca="1" t="array" ref="L925">IF(L1527=1,OFFSET($W$634,$B925,L$631-1)/SUMPRODUCT(--($D$631:$V$631=L$631),--($D1527:$V1527=1)),0)+SUM(L924)+IF(COUNTIF(L$1237:L1527,1)=1,5,0)+IF(COUNTIF(M925:$W925,"&gt;"&amp;0)&lt;5,IF(AND(COUNTIF(L$1237:L1527,1)&gt;7,MOD(1+IFERROR(MATCH($C925,总览!$D$46:$D$345,1)+1,1),7)=0),$C$3,0),0)</f>
        <v>903.56666666667</v>
      </c>
      <c r="M925" s="131" cm="1">
        <f ca="1" t="array" ref="M925">IF(M1527=1,OFFSET($W$634,$B925,M$631-1)/SUMPRODUCT(--($D$631:$V$631=M$631),--($D1527:$V1527=1)),0)+SUM(M924)+IF(COUNTIF(M$1237:M1527,1)=1,5,0)+IF(COUNTIF(N925:$W925,"&gt;"&amp;0)&lt;5,IF(AND(COUNTIF(M$1237:M1527,1)&gt;7,MOD(1+IFERROR(MATCH($C925,总览!$D$46:$D$345,1)+1,1),7)=0),$C$3,0),0)</f>
        <v>373.466964285714</v>
      </c>
      <c r="N925" s="131" cm="1">
        <f ca="1" t="array" ref="N925">IF(N1527=1,OFFSET($W$634,$B925,N$631-1)/SUMPRODUCT(--($D$631:$V$631=N$631),--($D1527:$V1527=1)),0)+SUM(N924)+IF(COUNTIF(N$1237:N1527,1)=1,5,0)+IF(COUNTIF(O925:$W925,"&gt;"&amp;0)&lt;5,IF(AND(COUNTIF(N$1237:N1527,1)&gt;7,MOD(1+IFERROR(MATCH($C925,总览!$D$46:$D$345,1)+1,1),7)=0),$C$3,0),0)</f>
        <v>374.716964285714</v>
      </c>
      <c r="O925" s="131" cm="1">
        <f ca="1" t="array" ref="O925">IF(O1527=1,OFFSET($W$634,$B925,O$631-1)/SUMPRODUCT(--($D$631:$V$631=O$631),--($D1527:$V1527=1)),0)+SUM(O924)+IF(COUNTIF(O$1237:O1527,1)=1,5,0)+IF(COUNTIF(P925:$W925,"&gt;"&amp;0)&lt;5,IF(AND(COUNTIF(O$1237:O1527,1)&gt;7,MOD(1+IFERROR(MATCH($C925,总览!$D$46:$D$345,1)+1,1),7)=0),$C$3,0),0)</f>
        <v>379.716964285714</v>
      </c>
      <c r="P925" s="131" cm="1">
        <f ca="1" t="array" ref="P925">IF(P1527=1,OFFSET($W$634,$B925,P$631-1)/SUMPRODUCT(--($D$631:$V$631=P$631),--($D1527:$V1527=1)),0)+SUM(P924)+IF(COUNTIF(P$1237:P1527,1)=1,5,0)+IF(COUNTIF(Q925:$W925,"&gt;"&amp;0)&lt;5,IF(AND(COUNTIF(P$1237:P1527,1)&gt;7,MOD(1+IFERROR(MATCH($C925,总览!$D$46:$D$345,1)+1,1),7)=0),$C$3,0),0)</f>
        <v>368.835714285714</v>
      </c>
      <c r="Q925" s="131" cm="1">
        <f ca="1" t="array" ref="Q925">IF(Q1527=1,OFFSET($W$634,$B925,Q$631-1)/SUMPRODUCT(--($D$631:$V$631=Q$631),--($D1527:$V1527=1)),0)+SUM(Q924)+IF(COUNTIF(Q$1237:Q1527,1)=1,5,0)+IF(COUNTIF(R925:$W925,"&gt;"&amp;0)&lt;5,IF(AND(COUNTIF(Q$1237:Q1527,1)&gt;7,MOD(1+IFERROR(MATCH($C925,总览!$D$46:$D$345,1)+1,1),7)=0),$C$3,0),0)</f>
        <v>382.216964285714</v>
      </c>
      <c r="R925" s="131" cm="1">
        <f ca="1" t="array" ref="R925">IF(R1527=1,OFFSET($W$634,$B925,R$631-1)/SUMPRODUCT(--($D$631:$V$631=R$631),--($D1527:$V1527=1)),0)+SUM(R924)+IF(COUNTIF(R$1237:R1527,1)=1,5,0)+IF(COUNTIF(S925:$W925,"&gt;"&amp;0)&lt;5,IF(AND(COUNTIF(R$1237:R1527,1)&gt;7,MOD(1+IFERROR(MATCH($C925,总览!$D$46:$D$345,1)+1,1),7)=0),$C$3,0),0)</f>
        <v>373.835714285714</v>
      </c>
      <c r="S925" s="131" cm="1">
        <f ca="1" t="array" ref="S925">IF(S1527=1,OFFSET($W$634,$B925,S$631-1)/SUMPRODUCT(--($D$631:$V$631=S$631),--($D1527:$V1527=1)),0)+SUM(S924)+IF(COUNTIF(S$1237:S1527,1)=1,5,0)+IF(COUNTIF(T925:$W925,"&gt;"&amp;0)&lt;5,IF(AND(COUNTIF(S$1237:S1527,1)&gt;7,MOD(1+IFERROR(MATCH($C925,总览!$D$46:$D$345,1)+1,1),7)=0),$C$3,0),0)</f>
        <v>466.335714285716</v>
      </c>
      <c r="T925" s="131" cm="1">
        <f ca="1" t="array" ref="T925">IF(T1527=1,OFFSET($W$634,$B925,T$631-1)/SUMPRODUCT(--($D$631:$V$631=T$631),--($D1527:$V1527=1)),0)+SUM(T924)+IF(COUNTIF(T$1237:T1527,1)=1,5,0)+IF(COUNTIF(U925:$W925,"&gt;"&amp;0)&lt;5,IF(AND(COUNTIF(T$1237:T1527,1)&gt;7,MOD(1+IFERROR(MATCH($C925,总览!$D$46:$D$345,1)+1,1),7)=0),$C$3,0),0)</f>
        <v>340.693946389349</v>
      </c>
      <c r="U925" s="131" cm="1">
        <f ca="1" t="array" ref="U925">IF(U1527=1,OFFSET($W$634,$B925,U$631-1)/SUMPRODUCT(--($D$631:$V$631=U$631),--($D1527:$V1527=1)),0)+SUM(U924)+IF(COUNTIF(U$1237:U1527,1)=1,5,0)+IF(COUNTIF(V925:$W925,"&gt;"&amp;0)&lt;5,IF(AND(COUNTIF(U$1237:U1527,1)&gt;7,MOD(1+IFERROR(MATCH($C925,总览!$D$46:$D$345,1)+1,1),7)=0),$C$3,0),0)</f>
        <v>346.214732744649</v>
      </c>
      <c r="V925" s="131" cm="1">
        <f ca="1" t="array" ref="V925">IF(V1527=1,OFFSET($W$634,$B925,V$631-1)/SUMPRODUCT(--($D$631:$V$631=V$631),--($D1527:$V1527=1)),0)+SUM(V924)+IF(COUNTIF(V$1237:V1527,1)=1,5,0)+IF(COUNTIF(W925:$W925,"&gt;"&amp;0)&lt;5,IF(AND(COUNTIF(V$1237:V1527,1)&gt;7,MOD(1+IFERROR(MATCH($C925,总览!$D$46:$D$345,1)+1,1),7)=0),$C$3,0),0)</f>
        <v>366.041732457082</v>
      </c>
      <c r="W925" s="135" cm="1">
        <f ca="1" t="array" ref="W925">SUMPRODUCT(TRANSPOSE($AA925:$AG925),OFFSET($L$9:$L$15,0,W$631-1))</f>
        <v>16.8502200646615</v>
      </c>
      <c r="X925" s="135" cm="1">
        <f ca="1" t="array" ref="X925">SUMPRODUCT(TRANSPOSE($AA925:$AG925),OFFSET($L$9:$L$15,0,X$631-1))</f>
        <v>20</v>
      </c>
      <c r="Y925" s="135" cm="1">
        <f ca="1" t="array" ref="Y925">SUMPRODUCT(TRANSPOSE($AA925:$AG925),OFFSET($L$9:$L$15,0,Y$631-1))</f>
        <v>10</v>
      </c>
      <c r="Z925" s="135" cm="1">
        <f ca="1" t="array" ref="Z925">SUMPRODUCT(TRANSPOSE($AA925:$AG925),OFFSET($L$9:$L$15,0,Z$631-1))</f>
        <v>3.14977993533847</v>
      </c>
      <c r="AA925" s="136">
        <f ca="1" t="shared" ref="AA925:AG925" si="829">AH925-AH924</f>
        <v>0</v>
      </c>
      <c r="AB925" s="136">
        <f ca="1" t="shared" si="829"/>
        <v>0</v>
      </c>
      <c r="AC925" s="136">
        <f ca="1" t="shared" si="829"/>
        <v>0</v>
      </c>
      <c r="AD925" s="136">
        <f ca="1" t="shared" si="829"/>
        <v>0</v>
      </c>
      <c r="AE925" s="136">
        <f ca="1" t="shared" si="829"/>
        <v>0</v>
      </c>
      <c r="AF925" s="136">
        <f ca="1" t="shared" si="829"/>
        <v>0</v>
      </c>
      <c r="AG925" s="136">
        <f ca="1" t="shared" si="829"/>
        <v>100</v>
      </c>
      <c r="AH925" s="136">
        <f ca="1" t="shared" si="761"/>
        <v>450</v>
      </c>
      <c r="AI925" s="136">
        <f ca="1" t="shared" ref="AI925:AN925" si="830">IF($C925&gt;OFFSET($Q$8,MATCH(AI$634,$AH$634:$AN$634,0),0),OFFSET($P$8,MATCH(AI$634,$AH$634:$AN$634,0),0),MAX(0,$C925-OFFSET($Q$8,RIGHT(AI$634,1)-1,0)))</f>
        <v>909</v>
      </c>
      <c r="AJ925" s="136">
        <f ca="1" t="shared" si="830"/>
        <v>1818</v>
      </c>
      <c r="AK925" s="136">
        <f ca="1" t="shared" si="830"/>
        <v>2727</v>
      </c>
      <c r="AL925" s="136">
        <f ca="1" t="shared" si="830"/>
        <v>3636</v>
      </c>
      <c r="AM925" s="136">
        <f ca="1" t="shared" si="830"/>
        <v>4545</v>
      </c>
      <c r="AN925" s="136">
        <f ca="1" t="shared" si="830"/>
        <v>15015</v>
      </c>
    </row>
    <row r="926" s="106" customFormat="1" ht="16.5" spans="2:40">
      <c r="B926" s="117">
        <v>292</v>
      </c>
      <c r="C926" s="130">
        <f t="shared" si="759"/>
        <v>29200</v>
      </c>
      <c r="D926" s="131" cm="1">
        <f ca="1" t="array" ref="D926">IF(D1528=1,OFFSET($W$634,$B926,D$631-1)/SUMPRODUCT(--($D$631:$V$631=D$631),--($D1528:$V1528=1)),0)+SUM(D925)+IF(COUNTIF(D$1237:D1528,1)=1,5,0)+IF(COUNTIF(E926:$W926,"&gt;"&amp;0)&lt;5,IF(AND(COUNTIF(D$1237:D1528,1)&gt;7,MOD(1+IFERROR(MATCH($C926,总览!$D$46:$D$345,1)+1,1),7)=0),$C$3,0),0)</f>
        <v>1967.79160282452</v>
      </c>
      <c r="E926" s="131" cm="1">
        <f ca="1" t="array" ref="E926">IF(E1528=1,OFFSET($W$634,$B926,E$631-1)/SUMPRODUCT(--($D$631:$V$631=E$631),--($D1528:$V1528=1)),0)+SUM(E925)+IF(COUNTIF(E$1237:E1528,1)=1,5,0)+IF(COUNTIF(F926:$W926,"&gt;"&amp;0)&lt;5,IF(AND(COUNTIF(E$1237:E1528,1)&gt;7,MOD(1+IFERROR(MATCH($C926,总览!$D$46:$D$345,1)+1,1),7)=0),$C$3,0),0)</f>
        <v>1967.79160282452</v>
      </c>
      <c r="F926" s="131" cm="1">
        <f ca="1" t="array" ref="F926">IF(F1528=1,OFFSET($W$634,$B926,F$631-1)/SUMPRODUCT(--($D$631:$V$631=F$631),--($D1528:$V1528=1)),0)+SUM(F925)+IF(COUNTIF(F$1237:F1528,1)=1,5,0)+IF(COUNTIF(G926:$W926,"&gt;"&amp;0)&lt;5,IF(AND(COUNTIF(F$1237:F1528,1)&gt;7,MOD(1+IFERROR(MATCH($C926,总览!$D$46:$D$345,1)+1,1),7)=0),$C$3,0),0)</f>
        <v>1967.79160282452</v>
      </c>
      <c r="G926" s="131" cm="1">
        <f ca="1" t="array" ref="G926">IF(G1528=1,OFFSET($W$634,$B926,G$631-1)/SUMPRODUCT(--($D$631:$V$631=G$631),--($D1528:$V1528=1)),0)+SUM(G925)+IF(COUNTIF(G$1237:G1528,1)=1,5,0)+IF(COUNTIF(H926:$W926,"&gt;"&amp;0)&lt;5,IF(AND(COUNTIF(G$1237:G1528,1)&gt;7,MOD(1+IFERROR(MATCH($C926,总览!$D$46:$D$345,1)+1,1),7)=0),$C$3,0),0)</f>
        <v>912.733333333337</v>
      </c>
      <c r="H926" s="131" cm="1">
        <f ca="1" t="array" ref="H926">IF(H1528=1,OFFSET($W$634,$B926,H$631-1)/SUMPRODUCT(--($D$631:$V$631=H$631),--($D1528:$V1528=1)),0)+SUM(H925)+IF(COUNTIF(H$1237:H1528,1)=1,5,0)+IF(COUNTIF(I926:$W926,"&gt;"&amp;0)&lt;5,IF(AND(COUNTIF(H$1237:H1528,1)&gt;7,MOD(1+IFERROR(MATCH($C926,总览!$D$46:$D$345,1)+1,1),7)=0),$C$3,0),0)</f>
        <v>912.733333333337</v>
      </c>
      <c r="I926" s="131" cm="1">
        <f ca="1" t="array" ref="I926">IF(I1528=1,OFFSET($W$634,$B926,I$631-1)/SUMPRODUCT(--($D$631:$V$631=I$631),--($D1528:$V1528=1)),0)+SUM(I925)+IF(COUNTIF(I$1237:I1528,1)=1,5,0)+IF(COUNTIF(J926:$W926,"&gt;"&amp;0)&lt;5,IF(AND(COUNTIF(I$1237:I1528,1)&gt;7,MOD(1+IFERROR(MATCH($C926,总览!$D$46:$D$345,1)+1,1),7)=0),$C$3,0),0)</f>
        <v>912.733333333337</v>
      </c>
      <c r="J926" s="131" cm="1">
        <f ca="1" t="array" ref="J926">IF(J1528=1,OFFSET($W$634,$B926,J$631-1)/SUMPRODUCT(--($D$631:$V$631=J$631),--($D1528:$V1528=1)),0)+SUM(J925)+IF(COUNTIF(J$1237:J1528,1)=1,5,0)+IF(COUNTIF(K926:$W926,"&gt;"&amp;0)&lt;5,IF(AND(COUNTIF(J$1237:J1528,1)&gt;7,MOD(1+IFERROR(MATCH($C926,总览!$D$46:$D$345,1)+1,1),7)=0),$C$3,0),0)</f>
        <v>909.400000000003</v>
      </c>
      <c r="K926" s="131" cm="1">
        <f ca="1" t="array" ref="K926">IF(K1528=1,OFFSET($W$634,$B926,K$631-1)/SUMPRODUCT(--($D$631:$V$631=K$631),--($D1528:$V1528=1)),0)+SUM(K925)+IF(COUNTIF(K$1237:K1528,1)=1,5,0)+IF(COUNTIF(L926:$W926,"&gt;"&amp;0)&lt;5,IF(AND(COUNTIF(K$1237:K1528,1)&gt;7,MOD(1+IFERROR(MATCH($C926,总览!$D$46:$D$345,1)+1,1),7)=0),$C$3,0),0)</f>
        <v>906.900000000003</v>
      </c>
      <c r="L926" s="131" cm="1">
        <f ca="1" t="array" ref="L926">IF(L1528=1,OFFSET($W$634,$B926,L$631-1)/SUMPRODUCT(--($D$631:$V$631=L$631),--($D1528:$V1528=1)),0)+SUM(L925)+IF(COUNTIF(L$1237:L1528,1)=1,5,0)+IF(COUNTIF(M926:$W926,"&gt;"&amp;0)&lt;5,IF(AND(COUNTIF(L$1237:L1528,1)&gt;7,MOD(1+IFERROR(MATCH($C926,总览!$D$46:$D$345,1)+1,1),7)=0),$C$3,0),0)</f>
        <v>906.900000000003</v>
      </c>
      <c r="M926" s="131" cm="1">
        <f ca="1" t="array" ref="M926">IF(M1528=1,OFFSET($W$634,$B926,M$631-1)/SUMPRODUCT(--($D$631:$V$631=M$631),--($D1528:$V1528=1)),0)+SUM(M925)+IF(COUNTIF(M$1237:M1528,1)=1,5,0)+IF(COUNTIF(N926:$W926,"&gt;"&amp;0)&lt;5,IF(AND(COUNTIF(M$1237:M1528,1)&gt;7,MOD(1+IFERROR(MATCH($C926,总览!$D$46:$D$345,1)+1,1),7)=0),$C$3,0),0)</f>
        <v>374.895535714286</v>
      </c>
      <c r="N926" s="131" cm="1">
        <f ca="1" t="array" ref="N926">IF(N1528=1,OFFSET($W$634,$B926,N$631-1)/SUMPRODUCT(--($D$631:$V$631=N$631),--($D1528:$V1528=1)),0)+SUM(N925)+IF(COUNTIF(N$1237:N1528,1)=1,5,0)+IF(COUNTIF(O926:$W926,"&gt;"&amp;0)&lt;5,IF(AND(COUNTIF(N$1237:N1528,1)&gt;7,MOD(1+IFERROR(MATCH($C926,总览!$D$46:$D$345,1)+1,1),7)=0),$C$3,0),0)</f>
        <v>376.145535714286</v>
      </c>
      <c r="O926" s="131" cm="1">
        <f ca="1" t="array" ref="O926">IF(O1528=1,OFFSET($W$634,$B926,O$631-1)/SUMPRODUCT(--($D$631:$V$631=O$631),--($D1528:$V1528=1)),0)+SUM(O925)+IF(COUNTIF(O$1237:O1528,1)=1,5,0)+IF(COUNTIF(P926:$W926,"&gt;"&amp;0)&lt;5,IF(AND(COUNTIF(O$1237:O1528,1)&gt;7,MOD(1+IFERROR(MATCH($C926,总览!$D$46:$D$345,1)+1,1),7)=0),$C$3,0),0)</f>
        <v>381.145535714286</v>
      </c>
      <c r="P926" s="131" cm="1">
        <f ca="1" t="array" ref="P926">IF(P1528=1,OFFSET($W$634,$B926,P$631-1)/SUMPRODUCT(--($D$631:$V$631=P$631),--($D1528:$V1528=1)),0)+SUM(P925)+IF(COUNTIF(P$1237:P1528,1)=1,5,0)+IF(COUNTIF(Q926:$W926,"&gt;"&amp;0)&lt;5,IF(AND(COUNTIF(P$1237:P1528,1)&gt;7,MOD(1+IFERROR(MATCH($C926,总览!$D$46:$D$345,1)+1,1),7)=0),$C$3,0),0)</f>
        <v>370.264285714286</v>
      </c>
      <c r="Q926" s="131" cm="1">
        <f ca="1" t="array" ref="Q926">IF(Q1528=1,OFFSET($W$634,$B926,Q$631-1)/SUMPRODUCT(--($D$631:$V$631=Q$631),--($D1528:$V1528=1)),0)+SUM(Q925)+IF(COUNTIF(Q$1237:Q1528,1)=1,5,0)+IF(COUNTIF(R926:$W926,"&gt;"&amp;0)&lt;5,IF(AND(COUNTIF(Q$1237:Q1528,1)&gt;7,MOD(1+IFERROR(MATCH($C926,总览!$D$46:$D$345,1)+1,1),7)=0),$C$3,0),0)</f>
        <v>383.645535714286</v>
      </c>
      <c r="R926" s="131" cm="1">
        <f ca="1" t="array" ref="R926">IF(R1528=1,OFFSET($W$634,$B926,R$631-1)/SUMPRODUCT(--($D$631:$V$631=R$631),--($D1528:$V1528=1)),0)+SUM(R925)+IF(COUNTIF(R$1237:R1528,1)=1,5,0)+IF(COUNTIF(S926:$W926,"&gt;"&amp;0)&lt;5,IF(AND(COUNTIF(R$1237:R1528,1)&gt;7,MOD(1+IFERROR(MATCH($C926,总览!$D$46:$D$345,1)+1,1),7)=0),$C$3,0),0)</f>
        <v>375.264285714286</v>
      </c>
      <c r="S926" s="131" cm="1">
        <f ca="1" t="array" ref="S926">IF(S1528=1,OFFSET($W$634,$B926,S$631-1)/SUMPRODUCT(--($D$631:$V$631=S$631),--($D1528:$V1528=1)),0)+SUM(S925)+IF(COUNTIF(S$1237:S1528,1)=1,5,0)+IF(COUNTIF(T926:$W926,"&gt;"&amp;0)&lt;5,IF(AND(COUNTIF(S$1237:S1528,1)&gt;7,MOD(1+IFERROR(MATCH($C926,总览!$D$46:$D$345,1)+1,1),7)=0),$C$3,0),0)</f>
        <v>467.764285714287</v>
      </c>
      <c r="T926" s="131" cm="1">
        <f ca="1" t="array" ref="T926">IF(T1528=1,OFFSET($W$634,$B926,T$631-1)/SUMPRODUCT(--($D$631:$V$631=T$631),--($D1528:$V1528=1)),0)+SUM(T925)+IF(COUNTIF(T$1237:T1528,1)=1,5,0)+IF(COUNTIF(U926:$W926,"&gt;"&amp;0)&lt;5,IF(AND(COUNTIF(T$1237:T1528,1)&gt;7,MOD(1+IFERROR(MATCH($C926,总览!$D$46:$D$345,1)+1,1),7)=0),$C$3,0),0)</f>
        <v>341.743873034462</v>
      </c>
      <c r="U926" s="131" cm="1">
        <f ca="1" t="array" ref="U926">IF(U1528=1,OFFSET($W$634,$B926,U$631-1)/SUMPRODUCT(--($D$631:$V$631=U$631),--($D1528:$V1528=1)),0)+SUM(U925)+IF(COUNTIF(U$1237:U1528,1)=1,5,0)+IF(COUNTIF(V926:$W926,"&gt;"&amp;0)&lt;5,IF(AND(COUNTIF(U$1237:U1528,1)&gt;7,MOD(1+IFERROR(MATCH($C926,总览!$D$46:$D$345,1)+1,1),7)=0),$C$3,0),0)</f>
        <v>347.264659389762</v>
      </c>
      <c r="V926" s="131" cm="1">
        <f ca="1" t="array" ref="V926">IF(V1528=1,OFFSET($W$634,$B926,V$631-1)/SUMPRODUCT(--($D$631:$V$631=V$631),--($D1528:$V1528=1)),0)+SUM(V925)+IF(COUNTIF(V$1237:V1528,1)=1,5,0)+IF(COUNTIF(W926:$W926,"&gt;"&amp;0)&lt;5,IF(AND(COUNTIF(V$1237:V1528,1)&gt;7,MOD(1+IFERROR(MATCH($C926,总览!$D$46:$D$345,1)+1,1),7)=0),$C$3,0),0)</f>
        <v>367.091659102195</v>
      </c>
      <c r="W926" s="135" cm="1">
        <f ca="1" t="array" ref="W926">SUMPRODUCT(TRANSPOSE($AA926:$AG926),OFFSET($L$9:$L$15,0,W$631-1))</f>
        <v>16.8502200646615</v>
      </c>
      <c r="X926" s="135" cm="1">
        <f ca="1" t="array" ref="X926">SUMPRODUCT(TRANSPOSE($AA926:$AG926),OFFSET($L$9:$L$15,0,X$631-1))</f>
        <v>20</v>
      </c>
      <c r="Y926" s="135" cm="1">
        <f ca="1" t="array" ref="Y926">SUMPRODUCT(TRANSPOSE($AA926:$AG926),OFFSET($L$9:$L$15,0,Y$631-1))</f>
        <v>10</v>
      </c>
      <c r="Z926" s="135" cm="1">
        <f ca="1" t="array" ref="Z926">SUMPRODUCT(TRANSPOSE($AA926:$AG926),OFFSET($L$9:$L$15,0,Z$631-1))</f>
        <v>3.14977993533847</v>
      </c>
      <c r="AA926" s="136">
        <f ca="1" t="shared" ref="AA926:AG926" si="831">AH926-AH925</f>
        <v>0</v>
      </c>
      <c r="AB926" s="136">
        <f ca="1" t="shared" si="831"/>
        <v>0</v>
      </c>
      <c r="AC926" s="136">
        <f ca="1" t="shared" si="831"/>
        <v>0</v>
      </c>
      <c r="AD926" s="136">
        <f ca="1" t="shared" si="831"/>
        <v>0</v>
      </c>
      <c r="AE926" s="136">
        <f ca="1" t="shared" si="831"/>
        <v>0</v>
      </c>
      <c r="AF926" s="136">
        <f ca="1" t="shared" si="831"/>
        <v>0</v>
      </c>
      <c r="AG926" s="136">
        <f ca="1" t="shared" si="831"/>
        <v>100</v>
      </c>
      <c r="AH926" s="136">
        <f ca="1" t="shared" si="761"/>
        <v>450</v>
      </c>
      <c r="AI926" s="136">
        <f ca="1" t="shared" ref="AI926:AN926" si="832">IF($C926&gt;OFFSET($Q$8,MATCH(AI$634,$AH$634:$AN$634,0),0),OFFSET($P$8,MATCH(AI$634,$AH$634:$AN$634,0),0),MAX(0,$C926-OFFSET($Q$8,RIGHT(AI$634,1)-1,0)))</f>
        <v>909</v>
      </c>
      <c r="AJ926" s="136">
        <f ca="1" t="shared" si="832"/>
        <v>1818</v>
      </c>
      <c r="AK926" s="136">
        <f ca="1" t="shared" si="832"/>
        <v>2727</v>
      </c>
      <c r="AL926" s="136">
        <f ca="1" t="shared" si="832"/>
        <v>3636</v>
      </c>
      <c r="AM926" s="136">
        <f ca="1" t="shared" si="832"/>
        <v>4545</v>
      </c>
      <c r="AN926" s="136">
        <f ca="1" t="shared" si="832"/>
        <v>15115</v>
      </c>
    </row>
    <row r="927" s="106" customFormat="1" ht="16.5" spans="2:40">
      <c r="B927" s="117">
        <v>293</v>
      </c>
      <c r="C927" s="130">
        <f t="shared" si="759"/>
        <v>29300</v>
      </c>
      <c r="D927" s="131" cm="1">
        <f ca="1" t="array" ref="D927">IF(D1529=1,OFFSET($W$634,$B927,D$631-1)/SUMPRODUCT(--($D$631:$V$631=D$631),--($D1529:$V1529=1)),0)+SUM(D926)+IF(COUNTIF(D$1237:D1529,1)=1,5,0)+IF(COUNTIF(E927:$W927,"&gt;"&amp;0)&lt;5,IF(AND(COUNTIF(D$1237:D1529,1)&gt;7,MOD(1+IFERROR(MATCH($C927,总览!$D$46:$D$345,1)+1,1),7)=0),$C$3,0),0)</f>
        <v>1973.40834284608</v>
      </c>
      <c r="E927" s="131" cm="1">
        <f ca="1" t="array" ref="E927">IF(E1529=1,OFFSET($W$634,$B927,E$631-1)/SUMPRODUCT(--($D$631:$V$631=E$631),--($D1529:$V1529=1)),0)+SUM(E926)+IF(COUNTIF(E$1237:E1529,1)=1,5,0)+IF(COUNTIF(F927:$W927,"&gt;"&amp;0)&lt;5,IF(AND(COUNTIF(E$1237:E1529,1)&gt;7,MOD(1+IFERROR(MATCH($C927,总览!$D$46:$D$345,1)+1,1),7)=0),$C$3,0),0)</f>
        <v>1973.40834284608</v>
      </c>
      <c r="F927" s="131" cm="1">
        <f ca="1" t="array" ref="F927">IF(F1529=1,OFFSET($W$634,$B927,F$631-1)/SUMPRODUCT(--($D$631:$V$631=F$631),--($D1529:$V1529=1)),0)+SUM(F926)+IF(COUNTIF(F$1237:F1529,1)=1,5,0)+IF(COUNTIF(G927:$W927,"&gt;"&amp;0)&lt;5,IF(AND(COUNTIF(F$1237:F1529,1)&gt;7,MOD(1+IFERROR(MATCH($C927,总览!$D$46:$D$345,1)+1,1),7)=0),$C$3,0),0)</f>
        <v>1973.40834284608</v>
      </c>
      <c r="G927" s="131" cm="1">
        <f ca="1" t="array" ref="G927">IF(G1529=1,OFFSET($W$634,$B927,G$631-1)/SUMPRODUCT(--($D$631:$V$631=G$631),--($D1529:$V1529=1)),0)+SUM(G926)+IF(COUNTIF(G$1237:G1529,1)=1,5,0)+IF(COUNTIF(H927:$W927,"&gt;"&amp;0)&lt;5,IF(AND(COUNTIF(G$1237:G1529,1)&gt;7,MOD(1+IFERROR(MATCH($C927,总览!$D$46:$D$345,1)+1,1),7)=0),$C$3,0),0)</f>
        <v>916.06666666667</v>
      </c>
      <c r="H927" s="131" cm="1">
        <f ca="1" t="array" ref="H927">IF(H1529=1,OFFSET($W$634,$B927,H$631-1)/SUMPRODUCT(--($D$631:$V$631=H$631),--($D1529:$V1529=1)),0)+SUM(H926)+IF(COUNTIF(H$1237:H1529,1)=1,5,0)+IF(COUNTIF(I927:$W927,"&gt;"&amp;0)&lt;5,IF(AND(COUNTIF(H$1237:H1529,1)&gt;7,MOD(1+IFERROR(MATCH($C927,总览!$D$46:$D$345,1)+1,1),7)=0),$C$3,0),0)</f>
        <v>916.06666666667</v>
      </c>
      <c r="I927" s="131" cm="1">
        <f ca="1" t="array" ref="I927">IF(I1529=1,OFFSET($W$634,$B927,I$631-1)/SUMPRODUCT(--($D$631:$V$631=I$631),--($D1529:$V1529=1)),0)+SUM(I926)+IF(COUNTIF(I$1237:I1529,1)=1,5,0)+IF(COUNTIF(J927:$W927,"&gt;"&amp;0)&lt;5,IF(AND(COUNTIF(I$1237:I1529,1)&gt;7,MOD(1+IFERROR(MATCH($C927,总览!$D$46:$D$345,1)+1,1),7)=0),$C$3,0),0)</f>
        <v>916.06666666667</v>
      </c>
      <c r="J927" s="131" cm="1">
        <f ca="1" t="array" ref="J927">IF(J1529=1,OFFSET($W$634,$B927,J$631-1)/SUMPRODUCT(--($D$631:$V$631=J$631),--($D1529:$V1529=1)),0)+SUM(J926)+IF(COUNTIF(J$1237:J1529,1)=1,5,0)+IF(COUNTIF(K927:$W927,"&gt;"&amp;0)&lt;5,IF(AND(COUNTIF(J$1237:J1529,1)&gt;7,MOD(1+IFERROR(MATCH($C927,总览!$D$46:$D$345,1)+1,1),7)=0),$C$3,0),0)</f>
        <v>912.733333333337</v>
      </c>
      <c r="K927" s="131" cm="1">
        <f ca="1" t="array" ref="K927">IF(K1529=1,OFFSET($W$634,$B927,K$631-1)/SUMPRODUCT(--($D$631:$V$631=K$631),--($D1529:$V1529=1)),0)+SUM(K926)+IF(COUNTIF(K$1237:K1529,1)=1,5,0)+IF(COUNTIF(L927:$W927,"&gt;"&amp;0)&lt;5,IF(AND(COUNTIF(K$1237:K1529,1)&gt;7,MOD(1+IFERROR(MATCH($C927,总览!$D$46:$D$345,1)+1,1),7)=0),$C$3,0),0)</f>
        <v>910.233333333337</v>
      </c>
      <c r="L927" s="131" cm="1">
        <f ca="1" t="array" ref="L927">IF(L1529=1,OFFSET($W$634,$B927,L$631-1)/SUMPRODUCT(--($D$631:$V$631=L$631),--($D1529:$V1529=1)),0)+SUM(L926)+IF(COUNTIF(L$1237:L1529,1)=1,5,0)+IF(COUNTIF(M927:$W927,"&gt;"&amp;0)&lt;5,IF(AND(COUNTIF(L$1237:L1529,1)&gt;7,MOD(1+IFERROR(MATCH($C927,总览!$D$46:$D$345,1)+1,1),7)=0),$C$3,0),0)</f>
        <v>910.233333333337</v>
      </c>
      <c r="M927" s="131" cm="1">
        <f ca="1" t="array" ref="M927">IF(M1529=1,OFFSET($W$634,$B927,M$631-1)/SUMPRODUCT(--($D$631:$V$631=M$631),--($D1529:$V1529=1)),0)+SUM(M926)+IF(COUNTIF(M$1237:M1529,1)=1,5,0)+IF(COUNTIF(N927:$W927,"&gt;"&amp;0)&lt;5,IF(AND(COUNTIF(M$1237:M1529,1)&gt;7,MOD(1+IFERROR(MATCH($C927,总览!$D$46:$D$345,1)+1,1),7)=0),$C$3,0),0)</f>
        <v>376.324107142857</v>
      </c>
      <c r="N927" s="131" cm="1">
        <f ca="1" t="array" ref="N927">IF(N1529=1,OFFSET($W$634,$B927,N$631-1)/SUMPRODUCT(--($D$631:$V$631=N$631),--($D1529:$V1529=1)),0)+SUM(N926)+IF(COUNTIF(N$1237:N1529,1)=1,5,0)+IF(COUNTIF(O927:$W927,"&gt;"&amp;0)&lt;5,IF(AND(COUNTIF(N$1237:N1529,1)&gt;7,MOD(1+IFERROR(MATCH($C927,总览!$D$46:$D$345,1)+1,1),7)=0),$C$3,0),0)</f>
        <v>377.574107142857</v>
      </c>
      <c r="O927" s="131" cm="1">
        <f ca="1" t="array" ref="O927">IF(O1529=1,OFFSET($W$634,$B927,O$631-1)/SUMPRODUCT(--($D$631:$V$631=O$631),--($D1529:$V1529=1)),0)+SUM(O926)+IF(COUNTIF(O$1237:O1529,1)=1,5,0)+IF(COUNTIF(P927:$W927,"&gt;"&amp;0)&lt;5,IF(AND(COUNTIF(O$1237:O1529,1)&gt;7,MOD(1+IFERROR(MATCH($C927,总览!$D$46:$D$345,1)+1,1),7)=0),$C$3,0),0)</f>
        <v>382.574107142857</v>
      </c>
      <c r="P927" s="131" cm="1">
        <f ca="1" t="array" ref="P927">IF(P1529=1,OFFSET($W$634,$B927,P$631-1)/SUMPRODUCT(--($D$631:$V$631=P$631),--($D1529:$V1529=1)),0)+SUM(P926)+IF(COUNTIF(P$1237:P1529,1)=1,5,0)+IF(COUNTIF(Q927:$W927,"&gt;"&amp;0)&lt;5,IF(AND(COUNTIF(P$1237:P1529,1)&gt;7,MOD(1+IFERROR(MATCH($C927,总览!$D$46:$D$345,1)+1,1),7)=0),$C$3,0),0)</f>
        <v>371.692857142857</v>
      </c>
      <c r="Q927" s="131" cm="1">
        <f ca="1" t="array" ref="Q927">IF(Q1529=1,OFFSET($W$634,$B927,Q$631-1)/SUMPRODUCT(--($D$631:$V$631=Q$631),--($D1529:$V1529=1)),0)+SUM(Q926)+IF(COUNTIF(Q$1237:Q1529,1)=1,5,0)+IF(COUNTIF(R927:$W927,"&gt;"&amp;0)&lt;5,IF(AND(COUNTIF(Q$1237:Q1529,1)&gt;7,MOD(1+IFERROR(MATCH($C927,总览!$D$46:$D$345,1)+1,1),7)=0),$C$3,0),0)</f>
        <v>385.074107142857</v>
      </c>
      <c r="R927" s="131" cm="1">
        <f ca="1" t="array" ref="R927">IF(R1529=1,OFFSET($W$634,$B927,R$631-1)/SUMPRODUCT(--($D$631:$V$631=R$631),--($D1529:$V1529=1)),0)+SUM(R926)+IF(COUNTIF(R$1237:R1529,1)=1,5,0)+IF(COUNTIF(S927:$W927,"&gt;"&amp;0)&lt;5,IF(AND(COUNTIF(R$1237:R1529,1)&gt;7,MOD(1+IFERROR(MATCH($C927,总览!$D$46:$D$345,1)+1,1),7)=0),$C$3,0),0)</f>
        <v>376.692857142857</v>
      </c>
      <c r="S927" s="131" cm="1">
        <f ca="1" t="array" ref="S927">IF(S1529=1,OFFSET($W$634,$B927,S$631-1)/SUMPRODUCT(--($D$631:$V$631=S$631),--($D1529:$V1529=1)),0)+SUM(S926)+IF(COUNTIF(S$1237:S1529,1)=1,5,0)+IF(COUNTIF(T927:$W927,"&gt;"&amp;0)&lt;5,IF(AND(COUNTIF(S$1237:S1529,1)&gt;7,MOD(1+IFERROR(MATCH($C927,总览!$D$46:$D$345,1)+1,1),7)=0),$C$3,0),0)</f>
        <v>469.192857142858</v>
      </c>
      <c r="T927" s="131" cm="1">
        <f ca="1" t="array" ref="T927">IF(T1529=1,OFFSET($W$634,$B927,T$631-1)/SUMPRODUCT(--($D$631:$V$631=T$631),--($D1529:$V1529=1)),0)+SUM(T926)+IF(COUNTIF(T$1237:T1529,1)=1,5,0)+IF(COUNTIF(U927:$W927,"&gt;"&amp;0)&lt;5,IF(AND(COUNTIF(T$1237:T1529,1)&gt;7,MOD(1+IFERROR(MATCH($C927,总览!$D$46:$D$345,1)+1,1),7)=0),$C$3,0),0)</f>
        <v>342.793799679575</v>
      </c>
      <c r="U927" s="131" cm="1">
        <f ca="1" t="array" ref="U927">IF(U1529=1,OFFSET($W$634,$B927,U$631-1)/SUMPRODUCT(--($D$631:$V$631=U$631),--($D1529:$V1529=1)),0)+SUM(U926)+IF(COUNTIF(U$1237:U1529,1)=1,5,0)+IF(COUNTIF(V927:$W927,"&gt;"&amp;0)&lt;5,IF(AND(COUNTIF(U$1237:U1529,1)&gt;7,MOD(1+IFERROR(MATCH($C927,总览!$D$46:$D$345,1)+1,1),7)=0),$C$3,0),0)</f>
        <v>348.314586034874</v>
      </c>
      <c r="V927" s="131" cm="1">
        <f ca="1" t="array" ref="V927">IF(V1529=1,OFFSET($W$634,$B927,V$631-1)/SUMPRODUCT(--($D$631:$V$631=V$631),--($D1529:$V1529=1)),0)+SUM(V926)+IF(COUNTIF(V$1237:V1529,1)=1,5,0)+IF(COUNTIF(W927:$W927,"&gt;"&amp;0)&lt;5,IF(AND(COUNTIF(V$1237:V1529,1)&gt;7,MOD(1+IFERROR(MATCH($C927,总览!$D$46:$D$345,1)+1,1),7)=0),$C$3,0),0)</f>
        <v>368.141585747307</v>
      </c>
      <c r="W927" s="135" cm="1">
        <f ca="1" t="array" ref="W927">SUMPRODUCT(TRANSPOSE($AA927:$AG927),OFFSET($L$9:$L$15,0,W$631-1))</f>
        <v>16.8502200646615</v>
      </c>
      <c r="X927" s="135" cm="1">
        <f ca="1" t="array" ref="X927">SUMPRODUCT(TRANSPOSE($AA927:$AG927),OFFSET($L$9:$L$15,0,X$631-1))</f>
        <v>20</v>
      </c>
      <c r="Y927" s="135" cm="1">
        <f ca="1" t="array" ref="Y927">SUMPRODUCT(TRANSPOSE($AA927:$AG927),OFFSET($L$9:$L$15,0,Y$631-1))</f>
        <v>10</v>
      </c>
      <c r="Z927" s="135" cm="1">
        <f ca="1" t="array" ref="Z927">SUMPRODUCT(TRANSPOSE($AA927:$AG927),OFFSET($L$9:$L$15,0,Z$631-1))</f>
        <v>3.14977993533847</v>
      </c>
      <c r="AA927" s="136">
        <f ca="1" t="shared" ref="AA927:AG927" si="833">AH927-AH926</f>
        <v>0</v>
      </c>
      <c r="AB927" s="136">
        <f ca="1" t="shared" si="833"/>
        <v>0</v>
      </c>
      <c r="AC927" s="136">
        <f ca="1" t="shared" si="833"/>
        <v>0</v>
      </c>
      <c r="AD927" s="136">
        <f ca="1" t="shared" si="833"/>
        <v>0</v>
      </c>
      <c r="AE927" s="136">
        <f ca="1" t="shared" si="833"/>
        <v>0</v>
      </c>
      <c r="AF927" s="136">
        <f ca="1" t="shared" si="833"/>
        <v>0</v>
      </c>
      <c r="AG927" s="136">
        <f ca="1" t="shared" si="833"/>
        <v>100</v>
      </c>
      <c r="AH927" s="136">
        <f ca="1" t="shared" si="761"/>
        <v>450</v>
      </c>
      <c r="AI927" s="136">
        <f ca="1" t="shared" ref="AI927:AN927" si="834">IF($C927&gt;OFFSET($Q$8,MATCH(AI$634,$AH$634:$AN$634,0),0),OFFSET($P$8,MATCH(AI$634,$AH$634:$AN$634,0),0),MAX(0,$C927-OFFSET($Q$8,RIGHT(AI$634,1)-1,0)))</f>
        <v>909</v>
      </c>
      <c r="AJ927" s="136">
        <f ca="1" t="shared" si="834"/>
        <v>1818</v>
      </c>
      <c r="AK927" s="136">
        <f ca="1" t="shared" si="834"/>
        <v>2727</v>
      </c>
      <c r="AL927" s="136">
        <f ca="1" t="shared" si="834"/>
        <v>3636</v>
      </c>
      <c r="AM927" s="136">
        <f ca="1" t="shared" si="834"/>
        <v>4545</v>
      </c>
      <c r="AN927" s="136">
        <f ca="1" t="shared" si="834"/>
        <v>15215</v>
      </c>
    </row>
    <row r="928" s="106" customFormat="1" ht="16.5" spans="2:40">
      <c r="B928" s="117">
        <v>294</v>
      </c>
      <c r="C928" s="130">
        <f t="shared" si="759"/>
        <v>29400</v>
      </c>
      <c r="D928" s="131" cm="1">
        <f ca="1" t="array" ref="D928">IF(D1530=1,OFFSET($W$634,$B928,D$631-1)/SUMPRODUCT(--($D$631:$V$631=D$631),--($D1530:$V1530=1)),0)+SUM(D927)+IF(COUNTIF(D$1237:D1530,1)=1,5,0)+IF(COUNTIF(E928:$W928,"&gt;"&amp;0)&lt;5,IF(AND(COUNTIF(D$1237:D1530,1)&gt;7,MOD(1+IFERROR(MATCH($C928,总览!$D$46:$D$345,1)+1,1),7)=0),$C$3,0),0)</f>
        <v>1979.02508286763</v>
      </c>
      <c r="E928" s="131" cm="1">
        <f ca="1" t="array" ref="E928">IF(E1530=1,OFFSET($W$634,$B928,E$631-1)/SUMPRODUCT(--($D$631:$V$631=E$631),--($D1530:$V1530=1)),0)+SUM(E927)+IF(COUNTIF(E$1237:E1530,1)=1,5,0)+IF(COUNTIF(F928:$W928,"&gt;"&amp;0)&lt;5,IF(AND(COUNTIF(E$1237:E1530,1)&gt;7,MOD(1+IFERROR(MATCH($C928,总览!$D$46:$D$345,1)+1,1),7)=0),$C$3,0),0)</f>
        <v>1979.02508286763</v>
      </c>
      <c r="F928" s="131" cm="1">
        <f ca="1" t="array" ref="F928">IF(F1530=1,OFFSET($W$634,$B928,F$631-1)/SUMPRODUCT(--($D$631:$V$631=F$631),--($D1530:$V1530=1)),0)+SUM(F927)+IF(COUNTIF(F$1237:F1530,1)=1,5,0)+IF(COUNTIF(G928:$W928,"&gt;"&amp;0)&lt;5,IF(AND(COUNTIF(F$1237:F1530,1)&gt;7,MOD(1+IFERROR(MATCH($C928,总览!$D$46:$D$345,1)+1,1),7)=0),$C$3,0),0)</f>
        <v>1979.02508286763</v>
      </c>
      <c r="G928" s="131" cm="1">
        <f ca="1" t="array" ref="G928">IF(G1530=1,OFFSET($W$634,$B928,G$631-1)/SUMPRODUCT(--($D$631:$V$631=G$631),--($D1530:$V1530=1)),0)+SUM(G927)+IF(COUNTIF(G$1237:G1530,1)=1,5,0)+IF(COUNTIF(H928:$W928,"&gt;"&amp;0)&lt;5,IF(AND(COUNTIF(G$1237:G1530,1)&gt;7,MOD(1+IFERROR(MATCH($C928,总览!$D$46:$D$345,1)+1,1),7)=0),$C$3,0),0)</f>
        <v>919.400000000003</v>
      </c>
      <c r="H928" s="131" cm="1">
        <f ca="1" t="array" ref="H928">IF(H1530=1,OFFSET($W$634,$B928,H$631-1)/SUMPRODUCT(--($D$631:$V$631=H$631),--($D1530:$V1530=1)),0)+SUM(H927)+IF(COUNTIF(H$1237:H1530,1)=1,5,0)+IF(COUNTIF(I928:$W928,"&gt;"&amp;0)&lt;5,IF(AND(COUNTIF(H$1237:H1530,1)&gt;7,MOD(1+IFERROR(MATCH($C928,总览!$D$46:$D$345,1)+1,1),7)=0),$C$3,0),0)</f>
        <v>919.400000000003</v>
      </c>
      <c r="I928" s="131" cm="1">
        <f ca="1" t="array" ref="I928">IF(I1530=1,OFFSET($W$634,$B928,I$631-1)/SUMPRODUCT(--($D$631:$V$631=I$631),--($D1530:$V1530=1)),0)+SUM(I927)+IF(COUNTIF(I$1237:I1530,1)=1,5,0)+IF(COUNTIF(J928:$W928,"&gt;"&amp;0)&lt;5,IF(AND(COUNTIF(I$1237:I1530,1)&gt;7,MOD(1+IFERROR(MATCH($C928,总览!$D$46:$D$345,1)+1,1),7)=0),$C$3,0),0)</f>
        <v>919.400000000003</v>
      </c>
      <c r="J928" s="131" cm="1">
        <f ca="1" t="array" ref="J928">IF(J1530=1,OFFSET($W$634,$B928,J$631-1)/SUMPRODUCT(--($D$631:$V$631=J$631),--($D1530:$V1530=1)),0)+SUM(J927)+IF(COUNTIF(J$1237:J1530,1)=1,5,0)+IF(COUNTIF(K928:$W928,"&gt;"&amp;0)&lt;5,IF(AND(COUNTIF(J$1237:J1530,1)&gt;7,MOD(1+IFERROR(MATCH($C928,总览!$D$46:$D$345,1)+1,1),7)=0),$C$3,0),0)</f>
        <v>916.06666666667</v>
      </c>
      <c r="K928" s="131" cm="1">
        <f ca="1" t="array" ref="K928">IF(K1530=1,OFFSET($W$634,$B928,K$631-1)/SUMPRODUCT(--($D$631:$V$631=K$631),--($D1530:$V1530=1)),0)+SUM(K927)+IF(COUNTIF(K$1237:K1530,1)=1,5,0)+IF(COUNTIF(L928:$W928,"&gt;"&amp;0)&lt;5,IF(AND(COUNTIF(K$1237:K1530,1)&gt;7,MOD(1+IFERROR(MATCH($C928,总览!$D$46:$D$345,1)+1,1),7)=0),$C$3,0),0)</f>
        <v>913.56666666667</v>
      </c>
      <c r="L928" s="131" cm="1">
        <f ca="1" t="array" ref="L928">IF(L1530=1,OFFSET($W$634,$B928,L$631-1)/SUMPRODUCT(--($D$631:$V$631=L$631),--($D1530:$V1530=1)),0)+SUM(L927)+IF(COUNTIF(L$1237:L1530,1)=1,5,0)+IF(COUNTIF(M928:$W928,"&gt;"&amp;0)&lt;5,IF(AND(COUNTIF(L$1237:L1530,1)&gt;7,MOD(1+IFERROR(MATCH($C928,总览!$D$46:$D$345,1)+1,1),7)=0),$C$3,0),0)</f>
        <v>913.56666666667</v>
      </c>
      <c r="M928" s="131" cm="1">
        <f ca="1" t="array" ref="M928">IF(M1530=1,OFFSET($W$634,$B928,M$631-1)/SUMPRODUCT(--($D$631:$V$631=M$631),--($D1530:$V1530=1)),0)+SUM(M927)+IF(COUNTIF(M$1237:M1530,1)=1,5,0)+IF(COUNTIF(N928:$W928,"&gt;"&amp;0)&lt;5,IF(AND(COUNTIF(M$1237:M1530,1)&gt;7,MOD(1+IFERROR(MATCH($C928,总览!$D$46:$D$345,1)+1,1),7)=0),$C$3,0),0)</f>
        <v>377.752678571429</v>
      </c>
      <c r="N928" s="131" cm="1">
        <f ca="1" t="array" ref="N928">IF(N1530=1,OFFSET($W$634,$B928,N$631-1)/SUMPRODUCT(--($D$631:$V$631=N$631),--($D1530:$V1530=1)),0)+SUM(N927)+IF(COUNTIF(N$1237:N1530,1)=1,5,0)+IF(COUNTIF(O928:$W928,"&gt;"&amp;0)&lt;5,IF(AND(COUNTIF(N$1237:N1530,1)&gt;7,MOD(1+IFERROR(MATCH($C928,总览!$D$46:$D$345,1)+1,1),7)=0),$C$3,0),0)</f>
        <v>379.002678571429</v>
      </c>
      <c r="O928" s="131" cm="1">
        <f ca="1" t="array" ref="O928">IF(O1530=1,OFFSET($W$634,$B928,O$631-1)/SUMPRODUCT(--($D$631:$V$631=O$631),--($D1530:$V1530=1)),0)+SUM(O927)+IF(COUNTIF(O$1237:O1530,1)=1,5,0)+IF(COUNTIF(P928:$W928,"&gt;"&amp;0)&lt;5,IF(AND(COUNTIF(O$1237:O1530,1)&gt;7,MOD(1+IFERROR(MATCH($C928,总览!$D$46:$D$345,1)+1,1),7)=0),$C$3,0),0)</f>
        <v>384.002678571429</v>
      </c>
      <c r="P928" s="131" cm="1">
        <f ca="1" t="array" ref="P928">IF(P1530=1,OFFSET($W$634,$B928,P$631-1)/SUMPRODUCT(--($D$631:$V$631=P$631),--($D1530:$V1530=1)),0)+SUM(P927)+IF(COUNTIF(P$1237:P1530,1)=1,5,0)+IF(COUNTIF(Q928:$W928,"&gt;"&amp;0)&lt;5,IF(AND(COUNTIF(P$1237:P1530,1)&gt;7,MOD(1+IFERROR(MATCH($C928,总览!$D$46:$D$345,1)+1,1),7)=0),$C$3,0),0)</f>
        <v>373.121428571429</v>
      </c>
      <c r="Q928" s="131" cm="1">
        <f ca="1" t="array" ref="Q928">IF(Q1530=1,OFFSET($W$634,$B928,Q$631-1)/SUMPRODUCT(--($D$631:$V$631=Q$631),--($D1530:$V1530=1)),0)+SUM(Q927)+IF(COUNTIF(Q$1237:Q1530,1)=1,5,0)+IF(COUNTIF(R928:$W928,"&gt;"&amp;0)&lt;5,IF(AND(COUNTIF(Q$1237:Q1530,1)&gt;7,MOD(1+IFERROR(MATCH($C928,总览!$D$46:$D$345,1)+1,1),7)=0),$C$3,0),0)</f>
        <v>386.502678571429</v>
      </c>
      <c r="R928" s="131" cm="1">
        <f ca="1" t="array" ref="R928">IF(R1530=1,OFFSET($W$634,$B928,R$631-1)/SUMPRODUCT(--($D$631:$V$631=R$631),--($D1530:$V1530=1)),0)+SUM(R927)+IF(COUNTIF(R$1237:R1530,1)=1,5,0)+IF(COUNTIF(S928:$W928,"&gt;"&amp;0)&lt;5,IF(AND(COUNTIF(R$1237:R1530,1)&gt;7,MOD(1+IFERROR(MATCH($C928,总览!$D$46:$D$345,1)+1,1),7)=0),$C$3,0),0)</f>
        <v>378.121428571429</v>
      </c>
      <c r="S928" s="131" cm="1">
        <f ca="1" t="array" ref="S928">IF(S1530=1,OFFSET($W$634,$B928,S$631-1)/SUMPRODUCT(--($D$631:$V$631=S$631),--($D1530:$V1530=1)),0)+SUM(S927)+IF(COUNTIF(S$1237:S1530,1)=1,5,0)+IF(COUNTIF(T928:$W928,"&gt;"&amp;0)&lt;5,IF(AND(COUNTIF(S$1237:S1530,1)&gt;7,MOD(1+IFERROR(MATCH($C928,总览!$D$46:$D$345,1)+1,1),7)=0),$C$3,0),0)</f>
        <v>470.62142857143</v>
      </c>
      <c r="T928" s="131" cm="1">
        <f ca="1" t="array" ref="T928">IF(T1530=1,OFFSET($W$634,$B928,T$631-1)/SUMPRODUCT(--($D$631:$V$631=T$631),--($D1530:$V1530=1)),0)+SUM(T927)+IF(COUNTIF(T$1237:T1530,1)=1,5,0)+IF(COUNTIF(U928:$W928,"&gt;"&amp;0)&lt;5,IF(AND(COUNTIF(T$1237:T1530,1)&gt;7,MOD(1+IFERROR(MATCH($C928,总览!$D$46:$D$345,1)+1,1),7)=0),$C$3,0),0)</f>
        <v>343.843726324688</v>
      </c>
      <c r="U928" s="131" cm="1">
        <f ca="1" t="array" ref="U928">IF(U1530=1,OFFSET($W$634,$B928,U$631-1)/SUMPRODUCT(--($D$631:$V$631=U$631),--($D1530:$V1530=1)),0)+SUM(U927)+IF(COUNTIF(U$1237:U1530,1)=1,5,0)+IF(COUNTIF(V928:$W928,"&gt;"&amp;0)&lt;5,IF(AND(COUNTIF(U$1237:U1530,1)&gt;7,MOD(1+IFERROR(MATCH($C928,总览!$D$46:$D$345,1)+1,1),7)=0),$C$3,0),0)</f>
        <v>349.364512679987</v>
      </c>
      <c r="V928" s="131" cm="1">
        <f ca="1" t="array" ref="V928">IF(V1530=1,OFFSET($W$634,$B928,V$631-1)/SUMPRODUCT(--($D$631:$V$631=V$631),--($D1530:$V1530=1)),0)+SUM(V927)+IF(COUNTIF(V$1237:V1530,1)=1,5,0)+IF(COUNTIF(W928:$W928,"&gt;"&amp;0)&lt;5,IF(AND(COUNTIF(V$1237:V1530,1)&gt;7,MOD(1+IFERROR(MATCH($C928,总览!$D$46:$D$345,1)+1,1),7)=0),$C$3,0),0)</f>
        <v>369.19151239242</v>
      </c>
      <c r="W928" s="135" cm="1">
        <f ca="1" t="array" ref="W928">SUMPRODUCT(TRANSPOSE($AA928:$AG928),OFFSET($L$9:$L$15,0,W$631-1))</f>
        <v>16.8502200646615</v>
      </c>
      <c r="X928" s="135" cm="1">
        <f ca="1" t="array" ref="X928">SUMPRODUCT(TRANSPOSE($AA928:$AG928),OFFSET($L$9:$L$15,0,X$631-1))</f>
        <v>20</v>
      </c>
      <c r="Y928" s="135" cm="1">
        <f ca="1" t="array" ref="Y928">SUMPRODUCT(TRANSPOSE($AA928:$AG928),OFFSET($L$9:$L$15,0,Y$631-1))</f>
        <v>10</v>
      </c>
      <c r="Z928" s="135" cm="1">
        <f ca="1" t="array" ref="Z928">SUMPRODUCT(TRANSPOSE($AA928:$AG928),OFFSET($L$9:$L$15,0,Z$631-1))</f>
        <v>3.14977993533847</v>
      </c>
      <c r="AA928" s="136">
        <f ca="1" t="shared" ref="AA928:AG928" si="835">AH928-AH927</f>
        <v>0</v>
      </c>
      <c r="AB928" s="136">
        <f ca="1" t="shared" si="835"/>
        <v>0</v>
      </c>
      <c r="AC928" s="136">
        <f ca="1" t="shared" si="835"/>
        <v>0</v>
      </c>
      <c r="AD928" s="136">
        <f ca="1" t="shared" si="835"/>
        <v>0</v>
      </c>
      <c r="AE928" s="136">
        <f ca="1" t="shared" si="835"/>
        <v>0</v>
      </c>
      <c r="AF928" s="136">
        <f ca="1" t="shared" si="835"/>
        <v>0</v>
      </c>
      <c r="AG928" s="136">
        <f ca="1" t="shared" si="835"/>
        <v>100</v>
      </c>
      <c r="AH928" s="136">
        <f ca="1" t="shared" si="761"/>
        <v>450</v>
      </c>
      <c r="AI928" s="136">
        <f ca="1" t="shared" ref="AI928:AN928" si="836">IF($C928&gt;OFFSET($Q$8,MATCH(AI$634,$AH$634:$AN$634,0),0),OFFSET($P$8,MATCH(AI$634,$AH$634:$AN$634,0),0),MAX(0,$C928-OFFSET($Q$8,RIGHT(AI$634,1)-1,0)))</f>
        <v>909</v>
      </c>
      <c r="AJ928" s="136">
        <f ca="1" t="shared" si="836"/>
        <v>1818</v>
      </c>
      <c r="AK928" s="136">
        <f ca="1" t="shared" si="836"/>
        <v>2727</v>
      </c>
      <c r="AL928" s="136">
        <f ca="1" t="shared" si="836"/>
        <v>3636</v>
      </c>
      <c r="AM928" s="136">
        <f ca="1" t="shared" si="836"/>
        <v>4545</v>
      </c>
      <c r="AN928" s="136">
        <f ca="1" t="shared" si="836"/>
        <v>15315</v>
      </c>
    </row>
    <row r="929" s="106" customFormat="1" ht="16.5" spans="2:40">
      <c r="B929" s="117">
        <v>295</v>
      </c>
      <c r="C929" s="130">
        <f t="shared" si="759"/>
        <v>29500</v>
      </c>
      <c r="D929" s="131" cm="1">
        <f ca="1" t="array" ref="D929">IF(D1531=1,OFFSET($W$634,$B929,D$631-1)/SUMPRODUCT(--($D$631:$V$631=D$631),--($D1531:$V1531=1)),0)+SUM(D928)+IF(COUNTIF(D$1237:D1531,1)=1,5,0)+IF(COUNTIF(E929:$W929,"&gt;"&amp;0)&lt;5,IF(AND(COUNTIF(D$1237:D1531,1)&gt;7,MOD(1+IFERROR(MATCH($C929,总览!$D$46:$D$345,1)+1,1),7)=0),$C$3,0),0)</f>
        <v>1984.64182288918</v>
      </c>
      <c r="E929" s="131" cm="1">
        <f ca="1" t="array" ref="E929">IF(E1531=1,OFFSET($W$634,$B929,E$631-1)/SUMPRODUCT(--($D$631:$V$631=E$631),--($D1531:$V1531=1)),0)+SUM(E928)+IF(COUNTIF(E$1237:E1531,1)=1,5,0)+IF(COUNTIF(F929:$W929,"&gt;"&amp;0)&lt;5,IF(AND(COUNTIF(E$1237:E1531,1)&gt;7,MOD(1+IFERROR(MATCH($C929,总览!$D$46:$D$345,1)+1,1),7)=0),$C$3,0),0)</f>
        <v>1984.64182288918</v>
      </c>
      <c r="F929" s="131" cm="1">
        <f ca="1" t="array" ref="F929">IF(F1531=1,OFFSET($W$634,$B929,F$631-1)/SUMPRODUCT(--($D$631:$V$631=F$631),--($D1531:$V1531=1)),0)+SUM(F928)+IF(COUNTIF(F$1237:F1531,1)=1,5,0)+IF(COUNTIF(G929:$W929,"&gt;"&amp;0)&lt;5,IF(AND(COUNTIF(F$1237:F1531,1)&gt;7,MOD(1+IFERROR(MATCH($C929,总览!$D$46:$D$345,1)+1,1),7)=0),$C$3,0),0)</f>
        <v>1984.64182288918</v>
      </c>
      <c r="G929" s="131" cm="1">
        <f ca="1" t="array" ref="G929">IF(G1531=1,OFFSET($W$634,$B929,G$631-1)/SUMPRODUCT(--($D$631:$V$631=G$631),--($D1531:$V1531=1)),0)+SUM(G928)+IF(COUNTIF(G$1237:G1531,1)=1,5,0)+IF(COUNTIF(H929:$W929,"&gt;"&amp;0)&lt;5,IF(AND(COUNTIF(G$1237:G1531,1)&gt;7,MOD(1+IFERROR(MATCH($C929,总览!$D$46:$D$345,1)+1,1),7)=0),$C$3,0),0)</f>
        <v>922.733333333337</v>
      </c>
      <c r="H929" s="131" cm="1">
        <f ca="1" t="array" ref="H929">IF(H1531=1,OFFSET($W$634,$B929,H$631-1)/SUMPRODUCT(--($D$631:$V$631=H$631),--($D1531:$V1531=1)),0)+SUM(H928)+IF(COUNTIF(H$1237:H1531,1)=1,5,0)+IF(COUNTIF(I929:$W929,"&gt;"&amp;0)&lt;5,IF(AND(COUNTIF(H$1237:H1531,1)&gt;7,MOD(1+IFERROR(MATCH($C929,总览!$D$46:$D$345,1)+1,1),7)=0),$C$3,0),0)</f>
        <v>922.733333333337</v>
      </c>
      <c r="I929" s="131" cm="1">
        <f ca="1" t="array" ref="I929">IF(I1531=1,OFFSET($W$634,$B929,I$631-1)/SUMPRODUCT(--($D$631:$V$631=I$631),--($D1531:$V1531=1)),0)+SUM(I928)+IF(COUNTIF(I$1237:I1531,1)=1,5,0)+IF(COUNTIF(J929:$W929,"&gt;"&amp;0)&lt;5,IF(AND(COUNTIF(I$1237:I1531,1)&gt;7,MOD(1+IFERROR(MATCH($C929,总览!$D$46:$D$345,1)+1,1),7)=0),$C$3,0),0)</f>
        <v>922.733333333337</v>
      </c>
      <c r="J929" s="131" cm="1">
        <f ca="1" t="array" ref="J929">IF(J1531=1,OFFSET($W$634,$B929,J$631-1)/SUMPRODUCT(--($D$631:$V$631=J$631),--($D1531:$V1531=1)),0)+SUM(J928)+IF(COUNTIF(J$1237:J1531,1)=1,5,0)+IF(COUNTIF(K929:$W929,"&gt;"&amp;0)&lt;5,IF(AND(COUNTIF(J$1237:J1531,1)&gt;7,MOD(1+IFERROR(MATCH($C929,总览!$D$46:$D$345,1)+1,1),7)=0),$C$3,0),0)</f>
        <v>919.400000000003</v>
      </c>
      <c r="K929" s="131" cm="1">
        <f ca="1" t="array" ref="K929">IF(K1531=1,OFFSET($W$634,$B929,K$631-1)/SUMPRODUCT(--($D$631:$V$631=K$631),--($D1531:$V1531=1)),0)+SUM(K928)+IF(COUNTIF(K$1237:K1531,1)=1,5,0)+IF(COUNTIF(L929:$W929,"&gt;"&amp;0)&lt;5,IF(AND(COUNTIF(K$1237:K1531,1)&gt;7,MOD(1+IFERROR(MATCH($C929,总览!$D$46:$D$345,1)+1,1),7)=0),$C$3,0),0)</f>
        <v>916.900000000003</v>
      </c>
      <c r="L929" s="131" cm="1">
        <f ca="1" t="array" ref="L929">IF(L1531=1,OFFSET($W$634,$B929,L$631-1)/SUMPRODUCT(--($D$631:$V$631=L$631),--($D1531:$V1531=1)),0)+SUM(L928)+IF(COUNTIF(L$1237:L1531,1)=1,5,0)+IF(COUNTIF(M929:$W929,"&gt;"&amp;0)&lt;5,IF(AND(COUNTIF(L$1237:L1531,1)&gt;7,MOD(1+IFERROR(MATCH($C929,总览!$D$46:$D$345,1)+1,1),7)=0),$C$3,0),0)</f>
        <v>916.900000000003</v>
      </c>
      <c r="M929" s="131" cm="1">
        <f ca="1" t="array" ref="M929">IF(M1531=1,OFFSET($W$634,$B929,M$631-1)/SUMPRODUCT(--($D$631:$V$631=M$631),--($D1531:$V1531=1)),0)+SUM(M928)+IF(COUNTIF(M$1237:M1531,1)=1,5,0)+IF(COUNTIF(N929:$W929,"&gt;"&amp;0)&lt;5,IF(AND(COUNTIF(M$1237:M1531,1)&gt;7,MOD(1+IFERROR(MATCH($C929,总览!$D$46:$D$345,1)+1,1),7)=0),$C$3,0),0)</f>
        <v>379.18125</v>
      </c>
      <c r="N929" s="131" cm="1">
        <f ca="1" t="array" ref="N929">IF(N1531=1,OFFSET($W$634,$B929,N$631-1)/SUMPRODUCT(--($D$631:$V$631=N$631),--($D1531:$V1531=1)),0)+SUM(N928)+IF(COUNTIF(N$1237:N1531,1)=1,5,0)+IF(COUNTIF(O929:$W929,"&gt;"&amp;0)&lt;5,IF(AND(COUNTIF(N$1237:N1531,1)&gt;7,MOD(1+IFERROR(MATCH($C929,总览!$D$46:$D$345,1)+1,1),7)=0),$C$3,0),0)</f>
        <v>380.43125</v>
      </c>
      <c r="O929" s="131" cm="1">
        <f ca="1" t="array" ref="O929">IF(O1531=1,OFFSET($W$634,$B929,O$631-1)/SUMPRODUCT(--($D$631:$V$631=O$631),--($D1531:$V1531=1)),0)+SUM(O928)+IF(COUNTIF(O$1237:O1531,1)=1,5,0)+IF(COUNTIF(P929:$W929,"&gt;"&amp;0)&lt;5,IF(AND(COUNTIF(O$1237:O1531,1)&gt;7,MOD(1+IFERROR(MATCH($C929,总览!$D$46:$D$345,1)+1,1),7)=0),$C$3,0),0)</f>
        <v>385.43125</v>
      </c>
      <c r="P929" s="131" cm="1">
        <f ca="1" t="array" ref="P929">IF(P1531=1,OFFSET($W$634,$B929,P$631-1)/SUMPRODUCT(--($D$631:$V$631=P$631),--($D1531:$V1531=1)),0)+SUM(P928)+IF(COUNTIF(P$1237:P1531,1)=1,5,0)+IF(COUNTIF(Q929:$W929,"&gt;"&amp;0)&lt;5,IF(AND(COUNTIF(P$1237:P1531,1)&gt;7,MOD(1+IFERROR(MATCH($C929,总览!$D$46:$D$345,1)+1,1),7)=0),$C$3,0),0)</f>
        <v>374.55</v>
      </c>
      <c r="Q929" s="131" cm="1">
        <f ca="1" t="array" ref="Q929">IF(Q1531=1,OFFSET($W$634,$B929,Q$631-1)/SUMPRODUCT(--($D$631:$V$631=Q$631),--($D1531:$V1531=1)),0)+SUM(Q928)+IF(COUNTIF(Q$1237:Q1531,1)=1,5,0)+IF(COUNTIF(R929:$W929,"&gt;"&amp;0)&lt;5,IF(AND(COUNTIF(Q$1237:Q1531,1)&gt;7,MOD(1+IFERROR(MATCH($C929,总览!$D$46:$D$345,1)+1,1),7)=0),$C$3,0),0)</f>
        <v>387.93125</v>
      </c>
      <c r="R929" s="131" cm="1">
        <f ca="1" t="array" ref="R929">IF(R1531=1,OFFSET($W$634,$B929,R$631-1)/SUMPRODUCT(--($D$631:$V$631=R$631),--($D1531:$V1531=1)),0)+SUM(R928)+IF(COUNTIF(R$1237:R1531,1)=1,5,0)+IF(COUNTIF(S929:$W929,"&gt;"&amp;0)&lt;5,IF(AND(COUNTIF(R$1237:R1531,1)&gt;7,MOD(1+IFERROR(MATCH($C929,总览!$D$46:$D$345,1)+1,1),7)=0),$C$3,0),0)</f>
        <v>379.55</v>
      </c>
      <c r="S929" s="131" cm="1">
        <f ca="1" t="array" ref="S929">IF(S1531=1,OFFSET($W$634,$B929,S$631-1)/SUMPRODUCT(--($D$631:$V$631=S$631),--($D1531:$V1531=1)),0)+SUM(S928)+IF(COUNTIF(S$1237:S1531,1)=1,5,0)+IF(COUNTIF(T929:$W929,"&gt;"&amp;0)&lt;5,IF(AND(COUNTIF(S$1237:S1531,1)&gt;7,MOD(1+IFERROR(MATCH($C929,总览!$D$46:$D$345,1)+1,1),7)=0),$C$3,0),0)</f>
        <v>472.050000000001</v>
      </c>
      <c r="T929" s="131" cm="1">
        <f ca="1" t="array" ref="T929">IF(T1531=1,OFFSET($W$634,$B929,T$631-1)/SUMPRODUCT(--($D$631:$V$631=T$631),--($D1531:$V1531=1)),0)+SUM(T928)+IF(COUNTIF(T$1237:T1531,1)=1,5,0)+IF(COUNTIF(U929:$W929,"&gt;"&amp;0)&lt;5,IF(AND(COUNTIF(T$1237:T1531,1)&gt;7,MOD(1+IFERROR(MATCH($C929,总览!$D$46:$D$345,1)+1,1),7)=0),$C$3,0),0)</f>
        <v>344.8936529698</v>
      </c>
      <c r="U929" s="131" cm="1">
        <f ca="1" t="array" ref="U929">IF(U1531=1,OFFSET($W$634,$B929,U$631-1)/SUMPRODUCT(--($D$631:$V$631=U$631),--($D1531:$V1531=1)),0)+SUM(U928)+IF(COUNTIF(U$1237:U1531,1)=1,5,0)+IF(COUNTIF(V929:$W929,"&gt;"&amp;0)&lt;5,IF(AND(COUNTIF(U$1237:U1531,1)&gt;7,MOD(1+IFERROR(MATCH($C929,总览!$D$46:$D$345,1)+1,1),7)=0),$C$3,0),0)</f>
        <v>350.4144393251</v>
      </c>
      <c r="V929" s="131" cm="1">
        <f ca="1" t="array" ref="V929">IF(V1531=1,OFFSET($W$634,$B929,V$631-1)/SUMPRODUCT(--($D$631:$V$631=V$631),--($D1531:$V1531=1)),0)+SUM(V928)+IF(COUNTIF(V$1237:V1531,1)=1,5,0)+IF(COUNTIF(W929:$W929,"&gt;"&amp;0)&lt;5,IF(AND(COUNTIF(V$1237:V1531,1)&gt;7,MOD(1+IFERROR(MATCH($C929,总览!$D$46:$D$345,1)+1,1),7)=0),$C$3,0),0)</f>
        <v>370.241439037533</v>
      </c>
      <c r="W929" s="135" cm="1">
        <f ca="1" t="array" ref="W929">SUMPRODUCT(TRANSPOSE($AA929:$AG929),OFFSET($L$9:$L$15,0,W$631-1))</f>
        <v>16.8502200646615</v>
      </c>
      <c r="X929" s="135" cm="1">
        <f ca="1" t="array" ref="X929">SUMPRODUCT(TRANSPOSE($AA929:$AG929),OFFSET($L$9:$L$15,0,X$631-1))</f>
        <v>20</v>
      </c>
      <c r="Y929" s="135" cm="1">
        <f ca="1" t="array" ref="Y929">SUMPRODUCT(TRANSPOSE($AA929:$AG929),OFFSET($L$9:$L$15,0,Y$631-1))</f>
        <v>10</v>
      </c>
      <c r="Z929" s="135" cm="1">
        <f ca="1" t="array" ref="Z929">SUMPRODUCT(TRANSPOSE($AA929:$AG929),OFFSET($L$9:$L$15,0,Z$631-1))</f>
        <v>3.14977993533847</v>
      </c>
      <c r="AA929" s="136">
        <f ca="1" t="shared" ref="AA929:AG929" si="837">AH929-AH928</f>
        <v>0</v>
      </c>
      <c r="AB929" s="136">
        <f ca="1" t="shared" si="837"/>
        <v>0</v>
      </c>
      <c r="AC929" s="136">
        <f ca="1" t="shared" si="837"/>
        <v>0</v>
      </c>
      <c r="AD929" s="136">
        <f ca="1" t="shared" si="837"/>
        <v>0</v>
      </c>
      <c r="AE929" s="136">
        <f ca="1" t="shared" si="837"/>
        <v>0</v>
      </c>
      <c r="AF929" s="136">
        <f ca="1" t="shared" si="837"/>
        <v>0</v>
      </c>
      <c r="AG929" s="136">
        <f ca="1" t="shared" si="837"/>
        <v>100</v>
      </c>
      <c r="AH929" s="136">
        <f ca="1" t="shared" si="761"/>
        <v>450</v>
      </c>
      <c r="AI929" s="136">
        <f ca="1" t="shared" ref="AI929:AN929" si="838">IF($C929&gt;OFFSET($Q$8,MATCH(AI$634,$AH$634:$AN$634,0),0),OFFSET($P$8,MATCH(AI$634,$AH$634:$AN$634,0),0),MAX(0,$C929-OFFSET($Q$8,RIGHT(AI$634,1)-1,0)))</f>
        <v>909</v>
      </c>
      <c r="AJ929" s="136">
        <f ca="1" t="shared" si="838"/>
        <v>1818</v>
      </c>
      <c r="AK929" s="136">
        <f ca="1" t="shared" si="838"/>
        <v>2727</v>
      </c>
      <c r="AL929" s="136">
        <f ca="1" t="shared" si="838"/>
        <v>3636</v>
      </c>
      <c r="AM929" s="136">
        <f ca="1" t="shared" si="838"/>
        <v>4545</v>
      </c>
      <c r="AN929" s="136">
        <f ca="1" t="shared" si="838"/>
        <v>15415</v>
      </c>
    </row>
    <row r="930" s="106" customFormat="1" ht="16.5" spans="2:40">
      <c r="B930" s="117">
        <v>296</v>
      </c>
      <c r="C930" s="130">
        <f t="shared" si="759"/>
        <v>29600</v>
      </c>
      <c r="D930" s="131" cm="1">
        <f ca="1" t="array" ref="D930">IF(D1532=1,OFFSET($W$634,$B930,D$631-1)/SUMPRODUCT(--($D$631:$V$631=D$631),--($D1532:$V1532=1)),0)+SUM(D929)+IF(COUNTIF(D$1237:D1532,1)=1,5,0)+IF(COUNTIF(E930:$W930,"&gt;"&amp;0)&lt;5,IF(AND(COUNTIF(D$1237:D1532,1)&gt;7,MOD(1+IFERROR(MATCH($C930,总览!$D$46:$D$345,1)+1,1),7)=0),$C$3,0),0)</f>
        <v>1990.25856291074</v>
      </c>
      <c r="E930" s="131" cm="1">
        <f ca="1" t="array" ref="E930">IF(E1532=1,OFFSET($W$634,$B930,E$631-1)/SUMPRODUCT(--($D$631:$V$631=E$631),--($D1532:$V1532=1)),0)+SUM(E929)+IF(COUNTIF(E$1237:E1532,1)=1,5,0)+IF(COUNTIF(F930:$W930,"&gt;"&amp;0)&lt;5,IF(AND(COUNTIF(E$1237:E1532,1)&gt;7,MOD(1+IFERROR(MATCH($C930,总览!$D$46:$D$345,1)+1,1),7)=0),$C$3,0),0)</f>
        <v>1990.25856291074</v>
      </c>
      <c r="F930" s="131" cm="1">
        <f ca="1" t="array" ref="F930">IF(F1532=1,OFFSET($W$634,$B930,F$631-1)/SUMPRODUCT(--($D$631:$V$631=F$631),--($D1532:$V1532=1)),0)+SUM(F929)+IF(COUNTIF(F$1237:F1532,1)=1,5,0)+IF(COUNTIF(G930:$W930,"&gt;"&amp;0)&lt;5,IF(AND(COUNTIF(F$1237:F1532,1)&gt;7,MOD(1+IFERROR(MATCH($C930,总览!$D$46:$D$345,1)+1,1),7)=0),$C$3,0),0)</f>
        <v>1990.25856291074</v>
      </c>
      <c r="G930" s="131" cm="1">
        <f ca="1" t="array" ref="G930">IF(G1532=1,OFFSET($W$634,$B930,G$631-1)/SUMPRODUCT(--($D$631:$V$631=G$631),--($D1532:$V1532=1)),0)+SUM(G929)+IF(COUNTIF(G$1237:G1532,1)=1,5,0)+IF(COUNTIF(H930:$W930,"&gt;"&amp;0)&lt;5,IF(AND(COUNTIF(G$1237:G1532,1)&gt;7,MOD(1+IFERROR(MATCH($C930,总览!$D$46:$D$345,1)+1,1),7)=0),$C$3,0),0)</f>
        <v>926.06666666667</v>
      </c>
      <c r="H930" s="131" cm="1">
        <f ca="1" t="array" ref="H930">IF(H1532=1,OFFSET($W$634,$B930,H$631-1)/SUMPRODUCT(--($D$631:$V$631=H$631),--($D1532:$V1532=1)),0)+SUM(H929)+IF(COUNTIF(H$1237:H1532,1)=1,5,0)+IF(COUNTIF(I930:$W930,"&gt;"&amp;0)&lt;5,IF(AND(COUNTIF(H$1237:H1532,1)&gt;7,MOD(1+IFERROR(MATCH($C930,总览!$D$46:$D$345,1)+1,1),7)=0),$C$3,0),0)</f>
        <v>926.06666666667</v>
      </c>
      <c r="I930" s="131" cm="1">
        <f ca="1" t="array" ref="I930">IF(I1532=1,OFFSET($W$634,$B930,I$631-1)/SUMPRODUCT(--($D$631:$V$631=I$631),--($D1532:$V1532=1)),0)+SUM(I929)+IF(COUNTIF(I$1237:I1532,1)=1,5,0)+IF(COUNTIF(J930:$W930,"&gt;"&amp;0)&lt;5,IF(AND(COUNTIF(I$1237:I1532,1)&gt;7,MOD(1+IFERROR(MATCH($C930,总览!$D$46:$D$345,1)+1,1),7)=0),$C$3,0),0)</f>
        <v>926.06666666667</v>
      </c>
      <c r="J930" s="131" cm="1">
        <f ca="1" t="array" ref="J930">IF(J1532=1,OFFSET($W$634,$B930,J$631-1)/SUMPRODUCT(--($D$631:$V$631=J$631),--($D1532:$V1532=1)),0)+SUM(J929)+IF(COUNTIF(J$1237:J1532,1)=1,5,0)+IF(COUNTIF(K930:$W930,"&gt;"&amp;0)&lt;5,IF(AND(COUNTIF(J$1237:J1532,1)&gt;7,MOD(1+IFERROR(MATCH($C930,总览!$D$46:$D$345,1)+1,1),7)=0),$C$3,0),0)</f>
        <v>922.733333333337</v>
      </c>
      <c r="K930" s="131" cm="1">
        <f ca="1" t="array" ref="K930">IF(K1532=1,OFFSET($W$634,$B930,K$631-1)/SUMPRODUCT(--($D$631:$V$631=K$631),--($D1532:$V1532=1)),0)+SUM(K929)+IF(COUNTIF(K$1237:K1532,1)=1,5,0)+IF(COUNTIF(L930:$W930,"&gt;"&amp;0)&lt;5,IF(AND(COUNTIF(K$1237:K1532,1)&gt;7,MOD(1+IFERROR(MATCH($C930,总览!$D$46:$D$345,1)+1,1),7)=0),$C$3,0),0)</f>
        <v>920.233333333337</v>
      </c>
      <c r="L930" s="131" cm="1">
        <f ca="1" t="array" ref="L930">IF(L1532=1,OFFSET($W$634,$B930,L$631-1)/SUMPRODUCT(--($D$631:$V$631=L$631),--($D1532:$V1532=1)),0)+SUM(L929)+IF(COUNTIF(L$1237:L1532,1)=1,5,0)+IF(COUNTIF(M930:$W930,"&gt;"&amp;0)&lt;5,IF(AND(COUNTIF(L$1237:L1532,1)&gt;7,MOD(1+IFERROR(MATCH($C930,总览!$D$46:$D$345,1)+1,1),7)=0),$C$3,0),0)</f>
        <v>920.233333333337</v>
      </c>
      <c r="M930" s="131" cm="1">
        <f ca="1" t="array" ref="M930">IF(M1532=1,OFFSET($W$634,$B930,M$631-1)/SUMPRODUCT(--($D$631:$V$631=M$631),--($D1532:$V1532=1)),0)+SUM(M929)+IF(COUNTIF(M$1237:M1532,1)=1,5,0)+IF(COUNTIF(N930:$W930,"&gt;"&amp;0)&lt;5,IF(AND(COUNTIF(M$1237:M1532,1)&gt;7,MOD(1+IFERROR(MATCH($C930,总览!$D$46:$D$345,1)+1,1),7)=0),$C$3,0),0)</f>
        <v>380.609821428572</v>
      </c>
      <c r="N930" s="131" cm="1">
        <f ca="1" t="array" ref="N930">IF(N1532=1,OFFSET($W$634,$B930,N$631-1)/SUMPRODUCT(--($D$631:$V$631=N$631),--($D1532:$V1532=1)),0)+SUM(N929)+IF(COUNTIF(N$1237:N1532,1)=1,5,0)+IF(COUNTIF(O930:$W930,"&gt;"&amp;0)&lt;5,IF(AND(COUNTIF(N$1237:N1532,1)&gt;7,MOD(1+IFERROR(MATCH($C930,总览!$D$46:$D$345,1)+1,1),7)=0),$C$3,0),0)</f>
        <v>381.859821428572</v>
      </c>
      <c r="O930" s="131" cm="1">
        <f ca="1" t="array" ref="O930">IF(O1532=1,OFFSET($W$634,$B930,O$631-1)/SUMPRODUCT(--($D$631:$V$631=O$631),--($D1532:$V1532=1)),0)+SUM(O929)+IF(COUNTIF(O$1237:O1532,1)=1,5,0)+IF(COUNTIF(P930:$W930,"&gt;"&amp;0)&lt;5,IF(AND(COUNTIF(O$1237:O1532,1)&gt;7,MOD(1+IFERROR(MATCH($C930,总览!$D$46:$D$345,1)+1,1),7)=0),$C$3,0),0)</f>
        <v>386.859821428572</v>
      </c>
      <c r="P930" s="131" cm="1">
        <f ca="1" t="array" ref="P930">IF(P1532=1,OFFSET($W$634,$B930,P$631-1)/SUMPRODUCT(--($D$631:$V$631=P$631),--($D1532:$V1532=1)),0)+SUM(P929)+IF(COUNTIF(P$1237:P1532,1)=1,5,0)+IF(COUNTIF(Q930:$W930,"&gt;"&amp;0)&lt;5,IF(AND(COUNTIF(P$1237:P1532,1)&gt;7,MOD(1+IFERROR(MATCH($C930,总览!$D$46:$D$345,1)+1,1),7)=0),$C$3,0),0)</f>
        <v>375.978571428572</v>
      </c>
      <c r="Q930" s="131" cm="1">
        <f ca="1" t="array" ref="Q930">IF(Q1532=1,OFFSET($W$634,$B930,Q$631-1)/SUMPRODUCT(--($D$631:$V$631=Q$631),--($D1532:$V1532=1)),0)+SUM(Q929)+IF(COUNTIF(Q$1237:Q1532,1)=1,5,0)+IF(COUNTIF(R930:$W930,"&gt;"&amp;0)&lt;5,IF(AND(COUNTIF(Q$1237:Q1532,1)&gt;7,MOD(1+IFERROR(MATCH($C930,总览!$D$46:$D$345,1)+1,1),7)=0),$C$3,0),0)</f>
        <v>389.359821428572</v>
      </c>
      <c r="R930" s="131" cm="1">
        <f ca="1" t="array" ref="R930">IF(R1532=1,OFFSET($W$634,$B930,R$631-1)/SUMPRODUCT(--($D$631:$V$631=R$631),--($D1532:$V1532=1)),0)+SUM(R929)+IF(COUNTIF(R$1237:R1532,1)=1,5,0)+IF(COUNTIF(S930:$W930,"&gt;"&amp;0)&lt;5,IF(AND(COUNTIF(R$1237:R1532,1)&gt;7,MOD(1+IFERROR(MATCH($C930,总览!$D$46:$D$345,1)+1,1),7)=0),$C$3,0),0)</f>
        <v>380.978571428572</v>
      </c>
      <c r="S930" s="131" cm="1">
        <f ca="1" t="array" ref="S930">IF(S1532=1,OFFSET($W$634,$B930,S$631-1)/SUMPRODUCT(--($D$631:$V$631=S$631),--($D1532:$V1532=1)),0)+SUM(S929)+IF(COUNTIF(S$1237:S1532,1)=1,5,0)+IF(COUNTIF(T930:$W930,"&gt;"&amp;0)&lt;5,IF(AND(COUNTIF(S$1237:S1532,1)&gt;7,MOD(1+IFERROR(MATCH($C930,总览!$D$46:$D$345,1)+1,1),7)=0),$C$3,0),0)</f>
        <v>473.478571428573</v>
      </c>
      <c r="T930" s="131" cm="1">
        <f ca="1" t="array" ref="T930">IF(T1532=1,OFFSET($W$634,$B930,T$631-1)/SUMPRODUCT(--($D$631:$V$631=T$631),--($D1532:$V1532=1)),0)+SUM(T929)+IF(COUNTIF(T$1237:T1532,1)=1,5,0)+IF(COUNTIF(U930:$W930,"&gt;"&amp;0)&lt;5,IF(AND(COUNTIF(T$1237:T1532,1)&gt;7,MOD(1+IFERROR(MATCH($C930,总览!$D$46:$D$345,1)+1,1),7)=0),$C$3,0),0)</f>
        <v>345.943579614913</v>
      </c>
      <c r="U930" s="131" cm="1">
        <f ca="1" t="array" ref="U930">IF(U1532=1,OFFSET($W$634,$B930,U$631-1)/SUMPRODUCT(--($D$631:$V$631=U$631),--($D1532:$V1532=1)),0)+SUM(U929)+IF(COUNTIF(U$1237:U1532,1)=1,5,0)+IF(COUNTIF(V930:$W930,"&gt;"&amp;0)&lt;5,IF(AND(COUNTIF(U$1237:U1532,1)&gt;7,MOD(1+IFERROR(MATCH($C930,总览!$D$46:$D$345,1)+1,1),7)=0),$C$3,0),0)</f>
        <v>351.464365970213</v>
      </c>
      <c r="V930" s="131" cm="1">
        <f ca="1" t="array" ref="V930">IF(V1532=1,OFFSET($W$634,$B930,V$631-1)/SUMPRODUCT(--($D$631:$V$631=V$631),--($D1532:$V1532=1)),0)+SUM(V929)+IF(COUNTIF(V$1237:V1532,1)=1,5,0)+IF(COUNTIF(W930:$W930,"&gt;"&amp;0)&lt;5,IF(AND(COUNTIF(V$1237:V1532,1)&gt;7,MOD(1+IFERROR(MATCH($C930,总览!$D$46:$D$345,1)+1,1),7)=0),$C$3,0),0)</f>
        <v>371.291365682646</v>
      </c>
      <c r="W930" s="135" cm="1">
        <f ca="1" t="array" ref="W930">SUMPRODUCT(TRANSPOSE($AA930:$AG930),OFFSET($L$9:$L$15,0,W$631-1))</f>
        <v>16.8502200646615</v>
      </c>
      <c r="X930" s="135" cm="1">
        <f ca="1" t="array" ref="X930">SUMPRODUCT(TRANSPOSE($AA930:$AG930),OFFSET($L$9:$L$15,0,X$631-1))</f>
        <v>20</v>
      </c>
      <c r="Y930" s="135" cm="1">
        <f ca="1" t="array" ref="Y930">SUMPRODUCT(TRANSPOSE($AA930:$AG930),OFFSET($L$9:$L$15,0,Y$631-1))</f>
        <v>10</v>
      </c>
      <c r="Z930" s="135" cm="1">
        <f ca="1" t="array" ref="Z930">SUMPRODUCT(TRANSPOSE($AA930:$AG930),OFFSET($L$9:$L$15,0,Z$631-1))</f>
        <v>3.14977993533847</v>
      </c>
      <c r="AA930" s="136">
        <f ca="1" t="shared" ref="AA930:AG930" si="839">AH930-AH929</f>
        <v>0</v>
      </c>
      <c r="AB930" s="136">
        <f ca="1" t="shared" si="839"/>
        <v>0</v>
      </c>
      <c r="AC930" s="136">
        <f ca="1" t="shared" si="839"/>
        <v>0</v>
      </c>
      <c r="AD930" s="136">
        <f ca="1" t="shared" si="839"/>
        <v>0</v>
      </c>
      <c r="AE930" s="136">
        <f ca="1" t="shared" si="839"/>
        <v>0</v>
      </c>
      <c r="AF930" s="136">
        <f ca="1" t="shared" si="839"/>
        <v>0</v>
      </c>
      <c r="AG930" s="136">
        <f ca="1" t="shared" si="839"/>
        <v>100</v>
      </c>
      <c r="AH930" s="136">
        <f ca="1" t="shared" si="761"/>
        <v>450</v>
      </c>
      <c r="AI930" s="136">
        <f ca="1" t="shared" ref="AI930:AN930" si="840">IF($C930&gt;OFFSET($Q$8,MATCH(AI$634,$AH$634:$AN$634,0),0),OFFSET($P$8,MATCH(AI$634,$AH$634:$AN$634,0),0),MAX(0,$C930-OFFSET($Q$8,RIGHT(AI$634,1)-1,0)))</f>
        <v>909</v>
      </c>
      <c r="AJ930" s="136">
        <f ca="1" t="shared" si="840"/>
        <v>1818</v>
      </c>
      <c r="AK930" s="136">
        <f ca="1" t="shared" si="840"/>
        <v>2727</v>
      </c>
      <c r="AL930" s="136">
        <f ca="1" t="shared" si="840"/>
        <v>3636</v>
      </c>
      <c r="AM930" s="136">
        <f ca="1" t="shared" si="840"/>
        <v>4545</v>
      </c>
      <c r="AN930" s="136">
        <f ca="1" t="shared" si="840"/>
        <v>15515</v>
      </c>
    </row>
    <row r="931" s="106" customFormat="1" ht="16.5" spans="2:40">
      <c r="B931" s="117">
        <v>297</v>
      </c>
      <c r="C931" s="130">
        <f t="shared" si="759"/>
        <v>29700</v>
      </c>
      <c r="D931" s="131" cm="1">
        <f ca="1" t="array" ref="D931">IF(D1533=1,OFFSET($W$634,$B931,D$631-1)/SUMPRODUCT(--($D$631:$V$631=D$631),--($D1533:$V1533=1)),0)+SUM(D930)+IF(COUNTIF(D$1237:D1533,1)=1,5,0)+IF(COUNTIF(E931:$W931,"&gt;"&amp;0)&lt;5,IF(AND(COUNTIF(D$1237:D1533,1)&gt;7,MOD(1+IFERROR(MATCH($C931,总览!$D$46:$D$345,1)+1,1),7)=0),$C$3,0),0)</f>
        <v>1995.87530293229</v>
      </c>
      <c r="E931" s="131" cm="1">
        <f ca="1" t="array" ref="E931">IF(E1533=1,OFFSET($W$634,$B931,E$631-1)/SUMPRODUCT(--($D$631:$V$631=E$631),--($D1533:$V1533=1)),0)+SUM(E930)+IF(COUNTIF(E$1237:E1533,1)=1,5,0)+IF(COUNTIF(F931:$W931,"&gt;"&amp;0)&lt;5,IF(AND(COUNTIF(E$1237:E1533,1)&gt;7,MOD(1+IFERROR(MATCH($C931,总览!$D$46:$D$345,1)+1,1),7)=0),$C$3,0),0)</f>
        <v>1995.87530293229</v>
      </c>
      <c r="F931" s="131" cm="1">
        <f ca="1" t="array" ref="F931">IF(F1533=1,OFFSET($W$634,$B931,F$631-1)/SUMPRODUCT(--($D$631:$V$631=F$631),--($D1533:$V1533=1)),0)+SUM(F930)+IF(COUNTIF(F$1237:F1533,1)=1,5,0)+IF(COUNTIF(G931:$W931,"&gt;"&amp;0)&lt;5,IF(AND(COUNTIF(F$1237:F1533,1)&gt;7,MOD(1+IFERROR(MATCH($C931,总览!$D$46:$D$345,1)+1,1),7)=0),$C$3,0),0)</f>
        <v>1995.87530293229</v>
      </c>
      <c r="G931" s="131" cm="1">
        <f ca="1" t="array" ref="G931">IF(G1533=1,OFFSET($W$634,$B931,G$631-1)/SUMPRODUCT(--($D$631:$V$631=G$631),--($D1533:$V1533=1)),0)+SUM(G930)+IF(COUNTIF(G$1237:G1533,1)=1,5,0)+IF(COUNTIF(H931:$W931,"&gt;"&amp;0)&lt;5,IF(AND(COUNTIF(G$1237:G1533,1)&gt;7,MOD(1+IFERROR(MATCH($C931,总览!$D$46:$D$345,1)+1,1),7)=0),$C$3,0),0)</f>
        <v>929.400000000003</v>
      </c>
      <c r="H931" s="131" cm="1">
        <f ca="1" t="array" ref="H931">IF(H1533=1,OFFSET($W$634,$B931,H$631-1)/SUMPRODUCT(--($D$631:$V$631=H$631),--($D1533:$V1533=1)),0)+SUM(H930)+IF(COUNTIF(H$1237:H1533,1)=1,5,0)+IF(COUNTIF(I931:$W931,"&gt;"&amp;0)&lt;5,IF(AND(COUNTIF(H$1237:H1533,1)&gt;7,MOD(1+IFERROR(MATCH($C931,总览!$D$46:$D$345,1)+1,1),7)=0),$C$3,0),0)</f>
        <v>929.400000000003</v>
      </c>
      <c r="I931" s="131" cm="1">
        <f ca="1" t="array" ref="I931">IF(I1533=1,OFFSET($W$634,$B931,I$631-1)/SUMPRODUCT(--($D$631:$V$631=I$631),--($D1533:$V1533=1)),0)+SUM(I930)+IF(COUNTIF(I$1237:I1533,1)=1,5,0)+IF(COUNTIF(J931:$W931,"&gt;"&amp;0)&lt;5,IF(AND(COUNTIF(I$1237:I1533,1)&gt;7,MOD(1+IFERROR(MATCH($C931,总览!$D$46:$D$345,1)+1,1),7)=0),$C$3,0),0)</f>
        <v>929.400000000003</v>
      </c>
      <c r="J931" s="131" cm="1">
        <f ca="1" t="array" ref="J931">IF(J1533=1,OFFSET($W$634,$B931,J$631-1)/SUMPRODUCT(--($D$631:$V$631=J$631),--($D1533:$V1533=1)),0)+SUM(J930)+IF(COUNTIF(J$1237:J1533,1)=1,5,0)+IF(COUNTIF(K931:$W931,"&gt;"&amp;0)&lt;5,IF(AND(COUNTIF(J$1237:J1533,1)&gt;7,MOD(1+IFERROR(MATCH($C931,总览!$D$46:$D$345,1)+1,1),7)=0),$C$3,0),0)</f>
        <v>926.06666666667</v>
      </c>
      <c r="K931" s="131" cm="1">
        <f ca="1" t="array" ref="K931">IF(K1533=1,OFFSET($W$634,$B931,K$631-1)/SUMPRODUCT(--($D$631:$V$631=K$631),--($D1533:$V1533=1)),0)+SUM(K930)+IF(COUNTIF(K$1237:K1533,1)=1,5,0)+IF(COUNTIF(L931:$W931,"&gt;"&amp;0)&lt;5,IF(AND(COUNTIF(K$1237:K1533,1)&gt;7,MOD(1+IFERROR(MATCH($C931,总览!$D$46:$D$345,1)+1,1),7)=0),$C$3,0),0)</f>
        <v>923.56666666667</v>
      </c>
      <c r="L931" s="131" cm="1">
        <f ca="1" t="array" ref="L931">IF(L1533=1,OFFSET($W$634,$B931,L$631-1)/SUMPRODUCT(--($D$631:$V$631=L$631),--($D1533:$V1533=1)),0)+SUM(L930)+IF(COUNTIF(L$1237:L1533,1)=1,5,0)+IF(COUNTIF(M931:$W931,"&gt;"&amp;0)&lt;5,IF(AND(COUNTIF(L$1237:L1533,1)&gt;7,MOD(1+IFERROR(MATCH($C931,总览!$D$46:$D$345,1)+1,1),7)=0),$C$3,0),0)</f>
        <v>923.56666666667</v>
      </c>
      <c r="M931" s="131" cm="1">
        <f ca="1" t="array" ref="M931">IF(M1533=1,OFFSET($W$634,$B931,M$631-1)/SUMPRODUCT(--($D$631:$V$631=M$631),--($D1533:$V1533=1)),0)+SUM(M930)+IF(COUNTIF(M$1237:M1533,1)=1,5,0)+IF(COUNTIF(N931:$W931,"&gt;"&amp;0)&lt;5,IF(AND(COUNTIF(M$1237:M1533,1)&gt;7,MOD(1+IFERROR(MATCH($C931,总览!$D$46:$D$345,1)+1,1),7)=0),$C$3,0),0)</f>
        <v>382.038392857143</v>
      </c>
      <c r="N931" s="131" cm="1">
        <f ca="1" t="array" ref="N931">IF(N1533=1,OFFSET($W$634,$B931,N$631-1)/SUMPRODUCT(--($D$631:$V$631=N$631),--($D1533:$V1533=1)),0)+SUM(N930)+IF(COUNTIF(N$1237:N1533,1)=1,5,0)+IF(COUNTIF(O931:$W931,"&gt;"&amp;0)&lt;5,IF(AND(COUNTIF(N$1237:N1533,1)&gt;7,MOD(1+IFERROR(MATCH($C931,总览!$D$46:$D$345,1)+1,1),7)=0),$C$3,0),0)</f>
        <v>383.288392857143</v>
      </c>
      <c r="O931" s="131" cm="1">
        <f ca="1" t="array" ref="O931">IF(O1533=1,OFFSET($W$634,$B931,O$631-1)/SUMPRODUCT(--($D$631:$V$631=O$631),--($D1533:$V1533=1)),0)+SUM(O930)+IF(COUNTIF(O$1237:O1533,1)=1,5,0)+IF(COUNTIF(P931:$W931,"&gt;"&amp;0)&lt;5,IF(AND(COUNTIF(O$1237:O1533,1)&gt;7,MOD(1+IFERROR(MATCH($C931,总览!$D$46:$D$345,1)+1,1),7)=0),$C$3,0),0)</f>
        <v>388.288392857143</v>
      </c>
      <c r="P931" s="131" cm="1">
        <f ca="1" t="array" ref="P931">IF(P1533=1,OFFSET($W$634,$B931,P$631-1)/SUMPRODUCT(--($D$631:$V$631=P$631),--($D1533:$V1533=1)),0)+SUM(P930)+IF(COUNTIF(P$1237:P1533,1)=1,5,0)+IF(COUNTIF(Q931:$W931,"&gt;"&amp;0)&lt;5,IF(AND(COUNTIF(P$1237:P1533,1)&gt;7,MOD(1+IFERROR(MATCH($C931,总览!$D$46:$D$345,1)+1,1),7)=0),$C$3,0),0)</f>
        <v>377.407142857143</v>
      </c>
      <c r="Q931" s="131" cm="1">
        <f ca="1" t="array" ref="Q931">IF(Q1533=1,OFFSET($W$634,$B931,Q$631-1)/SUMPRODUCT(--($D$631:$V$631=Q$631),--($D1533:$V1533=1)),0)+SUM(Q930)+IF(COUNTIF(Q$1237:Q1533,1)=1,5,0)+IF(COUNTIF(R931:$W931,"&gt;"&amp;0)&lt;5,IF(AND(COUNTIF(Q$1237:Q1533,1)&gt;7,MOD(1+IFERROR(MATCH($C931,总览!$D$46:$D$345,1)+1,1),7)=0),$C$3,0),0)</f>
        <v>390.788392857143</v>
      </c>
      <c r="R931" s="131" cm="1">
        <f ca="1" t="array" ref="R931">IF(R1533=1,OFFSET($W$634,$B931,R$631-1)/SUMPRODUCT(--($D$631:$V$631=R$631),--($D1533:$V1533=1)),0)+SUM(R930)+IF(COUNTIF(R$1237:R1533,1)=1,5,0)+IF(COUNTIF(S931:$W931,"&gt;"&amp;0)&lt;5,IF(AND(COUNTIF(R$1237:R1533,1)&gt;7,MOD(1+IFERROR(MATCH($C931,总览!$D$46:$D$345,1)+1,1),7)=0),$C$3,0),0)</f>
        <v>382.407142857143</v>
      </c>
      <c r="S931" s="131" cm="1">
        <f ca="1" t="array" ref="S931">IF(S1533=1,OFFSET($W$634,$B931,S$631-1)/SUMPRODUCT(--($D$631:$V$631=S$631),--($D1533:$V1533=1)),0)+SUM(S930)+IF(COUNTIF(S$1237:S1533,1)=1,5,0)+IF(COUNTIF(T931:$W931,"&gt;"&amp;0)&lt;5,IF(AND(COUNTIF(S$1237:S1533,1)&gt;7,MOD(1+IFERROR(MATCH($C931,总览!$D$46:$D$345,1)+1,1),7)=0),$C$3,0),0)</f>
        <v>474.907142857144</v>
      </c>
      <c r="T931" s="131" cm="1">
        <f ca="1" t="array" ref="T931">IF(T1533=1,OFFSET($W$634,$B931,T$631-1)/SUMPRODUCT(--($D$631:$V$631=T$631),--($D1533:$V1533=1)),0)+SUM(T930)+IF(COUNTIF(T$1237:T1533,1)=1,5,0)+IF(COUNTIF(U931:$W931,"&gt;"&amp;0)&lt;5,IF(AND(COUNTIF(T$1237:T1533,1)&gt;7,MOD(1+IFERROR(MATCH($C931,总览!$D$46:$D$345,1)+1,1),7)=0),$C$3,0),0)</f>
        <v>346.993506260026</v>
      </c>
      <c r="U931" s="131" cm="1">
        <f ca="1" t="array" ref="U931">IF(U1533=1,OFFSET($W$634,$B931,U$631-1)/SUMPRODUCT(--($D$631:$V$631=U$631),--($D1533:$V1533=1)),0)+SUM(U930)+IF(COUNTIF(U$1237:U1533,1)=1,5,0)+IF(COUNTIF(V931:$W931,"&gt;"&amp;0)&lt;5,IF(AND(COUNTIF(U$1237:U1533,1)&gt;7,MOD(1+IFERROR(MATCH($C931,总览!$D$46:$D$345,1)+1,1),7)=0),$C$3,0),0)</f>
        <v>352.514292615326</v>
      </c>
      <c r="V931" s="131" cm="1">
        <f ca="1" t="array" ref="V931">IF(V1533=1,OFFSET($W$634,$B931,V$631-1)/SUMPRODUCT(--($D$631:$V$631=V$631),--($D1533:$V1533=1)),0)+SUM(V930)+IF(COUNTIF(V$1237:V1533,1)=1,5,0)+IF(COUNTIF(W931:$W931,"&gt;"&amp;0)&lt;5,IF(AND(COUNTIF(V$1237:V1533,1)&gt;7,MOD(1+IFERROR(MATCH($C931,总览!$D$46:$D$345,1)+1,1),7)=0),$C$3,0),0)</f>
        <v>372.341292327759</v>
      </c>
      <c r="W931" s="135" cm="1">
        <f ca="1" t="array" ref="W931">SUMPRODUCT(TRANSPOSE($AA931:$AG931),OFFSET($L$9:$L$15,0,W$631-1))</f>
        <v>16.8502200646615</v>
      </c>
      <c r="X931" s="135" cm="1">
        <f ca="1" t="array" ref="X931">SUMPRODUCT(TRANSPOSE($AA931:$AG931),OFFSET($L$9:$L$15,0,X$631-1))</f>
        <v>20</v>
      </c>
      <c r="Y931" s="135" cm="1">
        <f ca="1" t="array" ref="Y931">SUMPRODUCT(TRANSPOSE($AA931:$AG931),OFFSET($L$9:$L$15,0,Y$631-1))</f>
        <v>10</v>
      </c>
      <c r="Z931" s="135" cm="1">
        <f ca="1" t="array" ref="Z931">SUMPRODUCT(TRANSPOSE($AA931:$AG931),OFFSET($L$9:$L$15,0,Z$631-1))</f>
        <v>3.14977993533847</v>
      </c>
      <c r="AA931" s="136">
        <f ca="1" t="shared" ref="AA931:AG931" si="841">AH931-AH930</f>
        <v>0</v>
      </c>
      <c r="AB931" s="136">
        <f ca="1" t="shared" si="841"/>
        <v>0</v>
      </c>
      <c r="AC931" s="136">
        <f ca="1" t="shared" si="841"/>
        <v>0</v>
      </c>
      <c r="AD931" s="136">
        <f ca="1" t="shared" si="841"/>
        <v>0</v>
      </c>
      <c r="AE931" s="136">
        <f ca="1" t="shared" si="841"/>
        <v>0</v>
      </c>
      <c r="AF931" s="136">
        <f ca="1" t="shared" si="841"/>
        <v>0</v>
      </c>
      <c r="AG931" s="136">
        <f ca="1" t="shared" si="841"/>
        <v>100</v>
      </c>
      <c r="AH931" s="136">
        <f ca="1" t="shared" si="761"/>
        <v>450</v>
      </c>
      <c r="AI931" s="136">
        <f ca="1" t="shared" ref="AI931:AN931" si="842">IF($C931&gt;OFFSET($Q$8,MATCH(AI$634,$AH$634:$AN$634,0),0),OFFSET($P$8,MATCH(AI$634,$AH$634:$AN$634,0),0),MAX(0,$C931-OFFSET($Q$8,RIGHT(AI$634,1)-1,0)))</f>
        <v>909</v>
      </c>
      <c r="AJ931" s="136">
        <f ca="1" t="shared" si="842"/>
        <v>1818</v>
      </c>
      <c r="AK931" s="136">
        <f ca="1" t="shared" si="842"/>
        <v>2727</v>
      </c>
      <c r="AL931" s="136">
        <f ca="1" t="shared" si="842"/>
        <v>3636</v>
      </c>
      <c r="AM931" s="136">
        <f ca="1" t="shared" si="842"/>
        <v>4545</v>
      </c>
      <c r="AN931" s="136">
        <f ca="1" t="shared" si="842"/>
        <v>15615</v>
      </c>
    </row>
    <row r="932" s="106" customFormat="1" ht="16.5" spans="2:40">
      <c r="B932" s="117">
        <v>298</v>
      </c>
      <c r="C932" s="130">
        <f t="shared" si="759"/>
        <v>29800</v>
      </c>
      <c r="D932" s="131" cm="1">
        <f ca="1" t="array" ref="D932">IF(D1534=1,OFFSET($W$634,$B932,D$631-1)/SUMPRODUCT(--($D$631:$V$631=D$631),--($D1534:$V1534=1)),0)+SUM(D931)+IF(COUNTIF(D$1237:D1534,1)=1,5,0)+IF(COUNTIF(E932:$W932,"&gt;"&amp;0)&lt;5,IF(AND(COUNTIF(D$1237:D1534,1)&gt;7,MOD(1+IFERROR(MATCH($C932,总览!$D$46:$D$345,1)+1,1),7)=0),$C$3,0),0)</f>
        <v>2001.49204295385</v>
      </c>
      <c r="E932" s="131" cm="1">
        <f ca="1" t="array" ref="E932">IF(E1534=1,OFFSET($W$634,$B932,E$631-1)/SUMPRODUCT(--($D$631:$V$631=E$631),--($D1534:$V1534=1)),0)+SUM(E931)+IF(COUNTIF(E$1237:E1534,1)=1,5,0)+IF(COUNTIF(F932:$W932,"&gt;"&amp;0)&lt;5,IF(AND(COUNTIF(E$1237:E1534,1)&gt;7,MOD(1+IFERROR(MATCH($C932,总览!$D$46:$D$345,1)+1,1),7)=0),$C$3,0),0)</f>
        <v>2001.49204295385</v>
      </c>
      <c r="F932" s="131" cm="1">
        <f ca="1" t="array" ref="F932">IF(F1534=1,OFFSET($W$634,$B932,F$631-1)/SUMPRODUCT(--($D$631:$V$631=F$631),--($D1534:$V1534=1)),0)+SUM(F931)+IF(COUNTIF(F$1237:F1534,1)=1,5,0)+IF(COUNTIF(G932:$W932,"&gt;"&amp;0)&lt;5,IF(AND(COUNTIF(F$1237:F1534,1)&gt;7,MOD(1+IFERROR(MATCH($C932,总览!$D$46:$D$345,1)+1,1),7)=0),$C$3,0),0)</f>
        <v>2001.49204295385</v>
      </c>
      <c r="G932" s="131" cm="1">
        <f ca="1" t="array" ref="G932">IF(G1534=1,OFFSET($W$634,$B932,G$631-1)/SUMPRODUCT(--($D$631:$V$631=G$631),--($D1534:$V1534=1)),0)+SUM(G931)+IF(COUNTIF(G$1237:G1534,1)=1,5,0)+IF(COUNTIF(H932:$W932,"&gt;"&amp;0)&lt;5,IF(AND(COUNTIF(G$1237:G1534,1)&gt;7,MOD(1+IFERROR(MATCH($C932,总览!$D$46:$D$345,1)+1,1),7)=0),$C$3,0),0)</f>
        <v>932.733333333337</v>
      </c>
      <c r="H932" s="131" cm="1">
        <f ca="1" t="array" ref="H932">IF(H1534=1,OFFSET($W$634,$B932,H$631-1)/SUMPRODUCT(--($D$631:$V$631=H$631),--($D1534:$V1534=1)),0)+SUM(H931)+IF(COUNTIF(H$1237:H1534,1)=1,5,0)+IF(COUNTIF(I932:$W932,"&gt;"&amp;0)&lt;5,IF(AND(COUNTIF(H$1237:H1534,1)&gt;7,MOD(1+IFERROR(MATCH($C932,总览!$D$46:$D$345,1)+1,1),7)=0),$C$3,0),0)</f>
        <v>932.733333333337</v>
      </c>
      <c r="I932" s="131" cm="1">
        <f ca="1" t="array" ref="I932">IF(I1534=1,OFFSET($W$634,$B932,I$631-1)/SUMPRODUCT(--($D$631:$V$631=I$631),--($D1534:$V1534=1)),0)+SUM(I931)+IF(COUNTIF(I$1237:I1534,1)=1,5,0)+IF(COUNTIF(J932:$W932,"&gt;"&amp;0)&lt;5,IF(AND(COUNTIF(I$1237:I1534,1)&gt;7,MOD(1+IFERROR(MATCH($C932,总览!$D$46:$D$345,1)+1,1),7)=0),$C$3,0),0)</f>
        <v>932.733333333337</v>
      </c>
      <c r="J932" s="131" cm="1">
        <f ca="1" t="array" ref="J932">IF(J1534=1,OFFSET($W$634,$B932,J$631-1)/SUMPRODUCT(--($D$631:$V$631=J$631),--($D1534:$V1534=1)),0)+SUM(J931)+IF(COUNTIF(J$1237:J1534,1)=1,5,0)+IF(COUNTIF(K932:$W932,"&gt;"&amp;0)&lt;5,IF(AND(COUNTIF(J$1237:J1534,1)&gt;7,MOD(1+IFERROR(MATCH($C932,总览!$D$46:$D$345,1)+1,1),7)=0),$C$3,0),0)</f>
        <v>929.400000000003</v>
      </c>
      <c r="K932" s="131" cm="1">
        <f ca="1" t="array" ref="K932">IF(K1534=1,OFFSET($W$634,$B932,K$631-1)/SUMPRODUCT(--($D$631:$V$631=K$631),--($D1534:$V1534=1)),0)+SUM(K931)+IF(COUNTIF(K$1237:K1534,1)=1,5,0)+IF(COUNTIF(L932:$W932,"&gt;"&amp;0)&lt;5,IF(AND(COUNTIF(K$1237:K1534,1)&gt;7,MOD(1+IFERROR(MATCH($C932,总览!$D$46:$D$345,1)+1,1),7)=0),$C$3,0),0)</f>
        <v>926.900000000003</v>
      </c>
      <c r="L932" s="131" cm="1">
        <f ca="1" t="array" ref="L932">IF(L1534=1,OFFSET($W$634,$B932,L$631-1)/SUMPRODUCT(--($D$631:$V$631=L$631),--($D1534:$V1534=1)),0)+SUM(L931)+IF(COUNTIF(L$1237:L1534,1)=1,5,0)+IF(COUNTIF(M932:$W932,"&gt;"&amp;0)&lt;5,IF(AND(COUNTIF(L$1237:L1534,1)&gt;7,MOD(1+IFERROR(MATCH($C932,总览!$D$46:$D$345,1)+1,1),7)=0),$C$3,0),0)</f>
        <v>926.900000000003</v>
      </c>
      <c r="M932" s="131" cm="1">
        <f ca="1" t="array" ref="M932">IF(M1534=1,OFFSET($W$634,$B932,M$631-1)/SUMPRODUCT(--($D$631:$V$631=M$631),--($D1534:$V1534=1)),0)+SUM(M931)+IF(COUNTIF(M$1237:M1534,1)=1,5,0)+IF(COUNTIF(N932:$W932,"&gt;"&amp;0)&lt;5,IF(AND(COUNTIF(M$1237:M1534,1)&gt;7,MOD(1+IFERROR(MATCH($C932,总览!$D$46:$D$345,1)+1,1),7)=0),$C$3,0),0)</f>
        <v>383.466964285715</v>
      </c>
      <c r="N932" s="131" cm="1">
        <f ca="1" t="array" ref="N932">IF(N1534=1,OFFSET($W$634,$B932,N$631-1)/SUMPRODUCT(--($D$631:$V$631=N$631),--($D1534:$V1534=1)),0)+SUM(N931)+IF(COUNTIF(N$1237:N1534,1)=1,5,0)+IF(COUNTIF(O932:$W932,"&gt;"&amp;0)&lt;5,IF(AND(COUNTIF(N$1237:N1534,1)&gt;7,MOD(1+IFERROR(MATCH($C932,总览!$D$46:$D$345,1)+1,1),7)=0),$C$3,0),0)</f>
        <v>384.716964285715</v>
      </c>
      <c r="O932" s="131" cm="1">
        <f ca="1" t="array" ref="O932">IF(O1534=1,OFFSET($W$634,$B932,O$631-1)/SUMPRODUCT(--($D$631:$V$631=O$631),--($D1534:$V1534=1)),0)+SUM(O931)+IF(COUNTIF(O$1237:O1534,1)=1,5,0)+IF(COUNTIF(P932:$W932,"&gt;"&amp;0)&lt;5,IF(AND(COUNTIF(O$1237:O1534,1)&gt;7,MOD(1+IFERROR(MATCH($C932,总览!$D$46:$D$345,1)+1,1),7)=0),$C$3,0),0)</f>
        <v>389.716964285715</v>
      </c>
      <c r="P932" s="131" cm="1">
        <f ca="1" t="array" ref="P932">IF(P1534=1,OFFSET($W$634,$B932,P$631-1)/SUMPRODUCT(--($D$631:$V$631=P$631),--($D1534:$V1534=1)),0)+SUM(P931)+IF(COUNTIF(P$1237:P1534,1)=1,5,0)+IF(COUNTIF(Q932:$W932,"&gt;"&amp;0)&lt;5,IF(AND(COUNTIF(P$1237:P1534,1)&gt;7,MOD(1+IFERROR(MATCH($C932,总览!$D$46:$D$345,1)+1,1),7)=0),$C$3,0),0)</f>
        <v>378.835714285715</v>
      </c>
      <c r="Q932" s="131" cm="1">
        <f ca="1" t="array" ref="Q932">IF(Q1534=1,OFFSET($W$634,$B932,Q$631-1)/SUMPRODUCT(--($D$631:$V$631=Q$631),--($D1534:$V1534=1)),0)+SUM(Q931)+IF(COUNTIF(Q$1237:Q1534,1)=1,5,0)+IF(COUNTIF(R932:$W932,"&gt;"&amp;0)&lt;5,IF(AND(COUNTIF(Q$1237:Q1534,1)&gt;7,MOD(1+IFERROR(MATCH($C932,总览!$D$46:$D$345,1)+1,1),7)=0),$C$3,0),0)</f>
        <v>392.216964285715</v>
      </c>
      <c r="R932" s="131" cm="1">
        <f ca="1" t="array" ref="R932">IF(R1534=1,OFFSET($W$634,$B932,R$631-1)/SUMPRODUCT(--($D$631:$V$631=R$631),--($D1534:$V1534=1)),0)+SUM(R931)+IF(COUNTIF(R$1237:R1534,1)=1,5,0)+IF(COUNTIF(S932:$W932,"&gt;"&amp;0)&lt;5,IF(AND(COUNTIF(R$1237:R1534,1)&gt;7,MOD(1+IFERROR(MATCH($C932,总览!$D$46:$D$345,1)+1,1),7)=0),$C$3,0),0)</f>
        <v>383.835714285715</v>
      </c>
      <c r="S932" s="131" cm="1">
        <f ca="1" t="array" ref="S932">IF(S1534=1,OFFSET($W$634,$B932,S$631-1)/SUMPRODUCT(--($D$631:$V$631=S$631),--($D1534:$V1534=1)),0)+SUM(S931)+IF(COUNTIF(S$1237:S1534,1)=1,5,0)+IF(COUNTIF(T932:$W932,"&gt;"&amp;0)&lt;5,IF(AND(COUNTIF(S$1237:S1534,1)&gt;7,MOD(1+IFERROR(MATCH($C932,总览!$D$46:$D$345,1)+1,1),7)=0),$C$3,0),0)</f>
        <v>476.335714285716</v>
      </c>
      <c r="T932" s="131" cm="1">
        <f ca="1" t="array" ref="T932">IF(T1534=1,OFFSET($W$634,$B932,T$631-1)/SUMPRODUCT(--($D$631:$V$631=T$631),--($D1534:$V1534=1)),0)+SUM(T931)+IF(COUNTIF(T$1237:T1534,1)=1,5,0)+IF(COUNTIF(U932:$W932,"&gt;"&amp;0)&lt;5,IF(AND(COUNTIF(T$1237:T1534,1)&gt;7,MOD(1+IFERROR(MATCH($C932,总览!$D$46:$D$345,1)+1,1),7)=0),$C$3,0),0)</f>
        <v>348.043432905139</v>
      </c>
      <c r="U932" s="131" cm="1">
        <f ca="1" t="array" ref="U932">IF(U1534=1,OFFSET($W$634,$B932,U$631-1)/SUMPRODUCT(--($D$631:$V$631=U$631),--($D1534:$V1534=1)),0)+SUM(U931)+IF(COUNTIF(U$1237:U1534,1)=1,5,0)+IF(COUNTIF(V932:$W932,"&gt;"&amp;0)&lt;5,IF(AND(COUNTIF(U$1237:U1534,1)&gt;7,MOD(1+IFERROR(MATCH($C932,总览!$D$46:$D$345,1)+1,1),7)=0),$C$3,0),0)</f>
        <v>353.564219260438</v>
      </c>
      <c r="V932" s="131" cm="1">
        <f ca="1" t="array" ref="V932">IF(V1534=1,OFFSET($W$634,$B932,V$631-1)/SUMPRODUCT(--($D$631:$V$631=V$631),--($D1534:$V1534=1)),0)+SUM(V931)+IF(COUNTIF(V$1237:V1534,1)=1,5,0)+IF(COUNTIF(W932:$W932,"&gt;"&amp;0)&lt;5,IF(AND(COUNTIF(V$1237:V1534,1)&gt;7,MOD(1+IFERROR(MATCH($C932,总览!$D$46:$D$345,1)+1,1),7)=0),$C$3,0),0)</f>
        <v>373.391218972871</v>
      </c>
      <c r="W932" s="135" cm="1">
        <f ca="1" t="array" ref="W932">SUMPRODUCT(TRANSPOSE($AA932:$AG932),OFFSET($L$9:$L$15,0,W$631-1))</f>
        <v>16.8502200646615</v>
      </c>
      <c r="X932" s="135" cm="1">
        <f ca="1" t="array" ref="X932">SUMPRODUCT(TRANSPOSE($AA932:$AG932),OFFSET($L$9:$L$15,0,X$631-1))</f>
        <v>20</v>
      </c>
      <c r="Y932" s="135" cm="1">
        <f ca="1" t="array" ref="Y932">SUMPRODUCT(TRANSPOSE($AA932:$AG932),OFFSET($L$9:$L$15,0,Y$631-1))</f>
        <v>10</v>
      </c>
      <c r="Z932" s="135" cm="1">
        <f ca="1" t="array" ref="Z932">SUMPRODUCT(TRANSPOSE($AA932:$AG932),OFFSET($L$9:$L$15,0,Z$631-1))</f>
        <v>3.14977993533847</v>
      </c>
      <c r="AA932" s="136">
        <f ca="1" t="shared" ref="AA932:AG932" si="843">AH932-AH931</f>
        <v>0</v>
      </c>
      <c r="AB932" s="136">
        <f ca="1" t="shared" si="843"/>
        <v>0</v>
      </c>
      <c r="AC932" s="136">
        <f ca="1" t="shared" si="843"/>
        <v>0</v>
      </c>
      <c r="AD932" s="136">
        <f ca="1" t="shared" si="843"/>
        <v>0</v>
      </c>
      <c r="AE932" s="136">
        <f ca="1" t="shared" si="843"/>
        <v>0</v>
      </c>
      <c r="AF932" s="136">
        <f ca="1" t="shared" si="843"/>
        <v>0</v>
      </c>
      <c r="AG932" s="136">
        <f ca="1" t="shared" si="843"/>
        <v>100</v>
      </c>
      <c r="AH932" s="136">
        <f ca="1" t="shared" si="761"/>
        <v>450</v>
      </c>
      <c r="AI932" s="136">
        <f ca="1" t="shared" ref="AI932:AN932" si="844">IF($C932&gt;OFFSET($Q$8,MATCH(AI$634,$AH$634:$AN$634,0),0),OFFSET($P$8,MATCH(AI$634,$AH$634:$AN$634,0),0),MAX(0,$C932-OFFSET($Q$8,RIGHT(AI$634,1)-1,0)))</f>
        <v>909</v>
      </c>
      <c r="AJ932" s="136">
        <f ca="1" t="shared" si="844"/>
        <v>1818</v>
      </c>
      <c r="AK932" s="136">
        <f ca="1" t="shared" si="844"/>
        <v>2727</v>
      </c>
      <c r="AL932" s="136">
        <f ca="1" t="shared" si="844"/>
        <v>3636</v>
      </c>
      <c r="AM932" s="136">
        <f ca="1" t="shared" si="844"/>
        <v>4545</v>
      </c>
      <c r="AN932" s="136">
        <f ca="1" t="shared" si="844"/>
        <v>15715</v>
      </c>
    </row>
    <row r="933" s="106" customFormat="1" ht="16.5" spans="2:40">
      <c r="B933" s="117">
        <v>299</v>
      </c>
      <c r="C933" s="130">
        <f t="shared" si="759"/>
        <v>29900</v>
      </c>
      <c r="D933" s="131" cm="1">
        <f ca="1" t="array" ref="D933">IF(D1535=1,OFFSET($W$634,$B933,D$631-1)/SUMPRODUCT(--($D$631:$V$631=D$631),--($D1535:$V1535=1)),0)+SUM(D932)+IF(COUNTIF(D$1237:D1535,1)=1,5,0)+IF(COUNTIF(E933:$W933,"&gt;"&amp;0)&lt;5,IF(AND(COUNTIF(D$1237:D1535,1)&gt;7,MOD(1+IFERROR(MATCH($C933,总览!$D$46:$D$345,1)+1,1),7)=0),$C$3,0),0)</f>
        <v>2007.1087829754</v>
      </c>
      <c r="E933" s="131" cm="1">
        <f ca="1" t="array" ref="E933">IF(E1535=1,OFFSET($W$634,$B933,E$631-1)/SUMPRODUCT(--($D$631:$V$631=E$631),--($D1535:$V1535=1)),0)+SUM(E932)+IF(COUNTIF(E$1237:E1535,1)=1,5,0)+IF(COUNTIF(F933:$W933,"&gt;"&amp;0)&lt;5,IF(AND(COUNTIF(E$1237:E1535,1)&gt;7,MOD(1+IFERROR(MATCH($C933,总览!$D$46:$D$345,1)+1,1),7)=0),$C$3,0),0)</f>
        <v>2007.1087829754</v>
      </c>
      <c r="F933" s="131" cm="1">
        <f ca="1" t="array" ref="F933">IF(F1535=1,OFFSET($W$634,$B933,F$631-1)/SUMPRODUCT(--($D$631:$V$631=F$631),--($D1535:$V1535=1)),0)+SUM(F932)+IF(COUNTIF(F$1237:F1535,1)=1,5,0)+IF(COUNTIF(G933:$W933,"&gt;"&amp;0)&lt;5,IF(AND(COUNTIF(F$1237:F1535,1)&gt;7,MOD(1+IFERROR(MATCH($C933,总览!$D$46:$D$345,1)+1,1),7)=0),$C$3,0),0)</f>
        <v>2007.1087829754</v>
      </c>
      <c r="G933" s="131" cm="1">
        <f ca="1" t="array" ref="G933">IF(G1535=1,OFFSET($W$634,$B933,G$631-1)/SUMPRODUCT(--($D$631:$V$631=G$631),--($D1535:$V1535=1)),0)+SUM(G932)+IF(COUNTIF(G$1237:G1535,1)=1,5,0)+IF(COUNTIF(H933:$W933,"&gt;"&amp;0)&lt;5,IF(AND(COUNTIF(G$1237:G1535,1)&gt;7,MOD(1+IFERROR(MATCH($C933,总览!$D$46:$D$345,1)+1,1),7)=0),$C$3,0),0)</f>
        <v>936.06666666667</v>
      </c>
      <c r="H933" s="131" cm="1">
        <f ca="1" t="array" ref="H933">IF(H1535=1,OFFSET($W$634,$B933,H$631-1)/SUMPRODUCT(--($D$631:$V$631=H$631),--($D1535:$V1535=1)),0)+SUM(H932)+IF(COUNTIF(H$1237:H1535,1)=1,5,0)+IF(COUNTIF(I933:$W933,"&gt;"&amp;0)&lt;5,IF(AND(COUNTIF(H$1237:H1535,1)&gt;7,MOD(1+IFERROR(MATCH($C933,总览!$D$46:$D$345,1)+1,1),7)=0),$C$3,0),0)</f>
        <v>936.06666666667</v>
      </c>
      <c r="I933" s="131" cm="1">
        <f ca="1" t="array" ref="I933">IF(I1535=1,OFFSET($W$634,$B933,I$631-1)/SUMPRODUCT(--($D$631:$V$631=I$631),--($D1535:$V1535=1)),0)+SUM(I932)+IF(COUNTIF(I$1237:I1535,1)=1,5,0)+IF(COUNTIF(J933:$W933,"&gt;"&amp;0)&lt;5,IF(AND(COUNTIF(I$1237:I1535,1)&gt;7,MOD(1+IFERROR(MATCH($C933,总览!$D$46:$D$345,1)+1,1),7)=0),$C$3,0),0)</f>
        <v>936.06666666667</v>
      </c>
      <c r="J933" s="131" cm="1">
        <f ca="1" t="array" ref="J933">IF(J1535=1,OFFSET($W$634,$B933,J$631-1)/SUMPRODUCT(--($D$631:$V$631=J$631),--($D1535:$V1535=1)),0)+SUM(J932)+IF(COUNTIF(J$1237:J1535,1)=1,5,0)+IF(COUNTIF(K933:$W933,"&gt;"&amp;0)&lt;5,IF(AND(COUNTIF(J$1237:J1535,1)&gt;7,MOD(1+IFERROR(MATCH($C933,总览!$D$46:$D$345,1)+1,1),7)=0),$C$3,0),0)</f>
        <v>932.733333333337</v>
      </c>
      <c r="K933" s="131" cm="1">
        <f ca="1" t="array" ref="K933">IF(K1535=1,OFFSET($W$634,$B933,K$631-1)/SUMPRODUCT(--($D$631:$V$631=K$631),--($D1535:$V1535=1)),0)+SUM(K932)+IF(COUNTIF(K$1237:K1535,1)=1,5,0)+IF(COUNTIF(L933:$W933,"&gt;"&amp;0)&lt;5,IF(AND(COUNTIF(K$1237:K1535,1)&gt;7,MOD(1+IFERROR(MATCH($C933,总览!$D$46:$D$345,1)+1,1),7)=0),$C$3,0),0)</f>
        <v>930.233333333337</v>
      </c>
      <c r="L933" s="131" cm="1">
        <f ca="1" t="array" ref="L933">IF(L1535=1,OFFSET($W$634,$B933,L$631-1)/SUMPRODUCT(--($D$631:$V$631=L$631),--($D1535:$V1535=1)),0)+SUM(L932)+IF(COUNTIF(L$1237:L1535,1)=1,5,0)+IF(COUNTIF(M933:$W933,"&gt;"&amp;0)&lt;5,IF(AND(COUNTIF(L$1237:L1535,1)&gt;7,MOD(1+IFERROR(MATCH($C933,总览!$D$46:$D$345,1)+1,1),7)=0),$C$3,0),0)</f>
        <v>930.233333333337</v>
      </c>
      <c r="M933" s="131" cm="1">
        <f ca="1" t="array" ref="M933">IF(M1535=1,OFFSET($W$634,$B933,M$631-1)/SUMPRODUCT(--($D$631:$V$631=M$631),--($D1535:$V1535=1)),0)+SUM(M932)+IF(COUNTIF(M$1237:M1535,1)=1,5,0)+IF(COUNTIF(N933:$W933,"&gt;"&amp;0)&lt;5,IF(AND(COUNTIF(M$1237:M1535,1)&gt;7,MOD(1+IFERROR(MATCH($C933,总览!$D$46:$D$345,1)+1,1),7)=0),$C$3,0),0)</f>
        <v>384.895535714286</v>
      </c>
      <c r="N933" s="131" cm="1">
        <f ca="1" t="array" ref="N933">IF(N1535=1,OFFSET($W$634,$B933,N$631-1)/SUMPRODUCT(--($D$631:$V$631=N$631),--($D1535:$V1535=1)),0)+SUM(N932)+IF(COUNTIF(N$1237:N1535,1)=1,5,0)+IF(COUNTIF(O933:$W933,"&gt;"&amp;0)&lt;5,IF(AND(COUNTIF(N$1237:N1535,1)&gt;7,MOD(1+IFERROR(MATCH($C933,总览!$D$46:$D$345,1)+1,1),7)=0),$C$3,0),0)</f>
        <v>386.145535714286</v>
      </c>
      <c r="O933" s="131" cm="1">
        <f ca="1" t="array" ref="O933">IF(O1535=1,OFFSET($W$634,$B933,O$631-1)/SUMPRODUCT(--($D$631:$V$631=O$631),--($D1535:$V1535=1)),0)+SUM(O932)+IF(COUNTIF(O$1237:O1535,1)=1,5,0)+IF(COUNTIF(P933:$W933,"&gt;"&amp;0)&lt;5,IF(AND(COUNTIF(O$1237:O1535,1)&gt;7,MOD(1+IFERROR(MATCH($C933,总览!$D$46:$D$345,1)+1,1),7)=0),$C$3,0),0)</f>
        <v>391.145535714286</v>
      </c>
      <c r="P933" s="131" cm="1">
        <f ca="1" t="array" ref="P933">IF(P1535=1,OFFSET($W$634,$B933,P$631-1)/SUMPRODUCT(--($D$631:$V$631=P$631),--($D1535:$V1535=1)),0)+SUM(P932)+IF(COUNTIF(P$1237:P1535,1)=1,5,0)+IF(COUNTIF(Q933:$W933,"&gt;"&amp;0)&lt;5,IF(AND(COUNTIF(P$1237:P1535,1)&gt;7,MOD(1+IFERROR(MATCH($C933,总览!$D$46:$D$345,1)+1,1),7)=0),$C$3,0),0)</f>
        <v>380.264285714286</v>
      </c>
      <c r="Q933" s="131" cm="1">
        <f ca="1" t="array" ref="Q933">IF(Q1535=1,OFFSET($W$634,$B933,Q$631-1)/SUMPRODUCT(--($D$631:$V$631=Q$631),--($D1535:$V1535=1)),0)+SUM(Q932)+IF(COUNTIF(Q$1237:Q1535,1)=1,5,0)+IF(COUNTIF(R933:$W933,"&gt;"&amp;0)&lt;5,IF(AND(COUNTIF(Q$1237:Q1535,1)&gt;7,MOD(1+IFERROR(MATCH($C933,总览!$D$46:$D$345,1)+1,1),7)=0),$C$3,0),0)</f>
        <v>393.645535714286</v>
      </c>
      <c r="R933" s="131" cm="1">
        <f ca="1" t="array" ref="R933">IF(R1535=1,OFFSET($W$634,$B933,R$631-1)/SUMPRODUCT(--($D$631:$V$631=R$631),--($D1535:$V1535=1)),0)+SUM(R932)+IF(COUNTIF(R$1237:R1535,1)=1,5,0)+IF(COUNTIF(S933:$W933,"&gt;"&amp;0)&lt;5,IF(AND(COUNTIF(R$1237:R1535,1)&gt;7,MOD(1+IFERROR(MATCH($C933,总览!$D$46:$D$345,1)+1,1),7)=0),$C$3,0),0)</f>
        <v>385.264285714286</v>
      </c>
      <c r="S933" s="131" cm="1">
        <f ca="1" t="array" ref="S933">IF(S1535=1,OFFSET($W$634,$B933,S$631-1)/SUMPRODUCT(--($D$631:$V$631=S$631),--($D1535:$V1535=1)),0)+SUM(S932)+IF(COUNTIF(S$1237:S1535,1)=1,5,0)+IF(COUNTIF(T933:$W933,"&gt;"&amp;0)&lt;5,IF(AND(COUNTIF(S$1237:S1535,1)&gt;7,MOD(1+IFERROR(MATCH($C933,总览!$D$46:$D$345,1)+1,1),7)=0),$C$3,0),0)</f>
        <v>477.764285714287</v>
      </c>
      <c r="T933" s="131" cm="1">
        <f ca="1" t="array" ref="T933">IF(T1535=1,OFFSET($W$634,$B933,T$631-1)/SUMPRODUCT(--($D$631:$V$631=T$631),--($D1535:$V1535=1)),0)+SUM(T932)+IF(COUNTIF(T$1237:T1535,1)=1,5,0)+IF(COUNTIF(U933:$W933,"&gt;"&amp;0)&lt;5,IF(AND(COUNTIF(T$1237:T1535,1)&gt;7,MOD(1+IFERROR(MATCH($C933,总览!$D$46:$D$345,1)+1,1),7)=0),$C$3,0),0)</f>
        <v>349.093359550252</v>
      </c>
      <c r="U933" s="131" cm="1">
        <f ca="1" t="array" ref="U933">IF(U1535=1,OFFSET($W$634,$B933,U$631-1)/SUMPRODUCT(--($D$631:$V$631=U$631),--($D1535:$V1535=1)),0)+SUM(U932)+IF(COUNTIF(U$1237:U1535,1)=1,5,0)+IF(COUNTIF(V933:$W933,"&gt;"&amp;0)&lt;5,IF(AND(COUNTIF(U$1237:U1535,1)&gt;7,MOD(1+IFERROR(MATCH($C933,总览!$D$46:$D$345,1)+1,1),7)=0),$C$3,0),0)</f>
        <v>354.614145905551</v>
      </c>
      <c r="V933" s="131" cm="1">
        <f ca="1" t="array" ref="V933">IF(V1535=1,OFFSET($W$634,$B933,V$631-1)/SUMPRODUCT(--($D$631:$V$631=V$631),--($D1535:$V1535=1)),0)+SUM(V932)+IF(COUNTIF(V$1237:V1535,1)=1,5,0)+IF(COUNTIF(W933:$W933,"&gt;"&amp;0)&lt;5,IF(AND(COUNTIF(V$1237:V1535,1)&gt;7,MOD(1+IFERROR(MATCH($C933,总览!$D$46:$D$345,1)+1,1),7)=0),$C$3,0),0)</f>
        <v>374.441145617984</v>
      </c>
      <c r="W933" s="135" cm="1">
        <f ca="1" t="array" ref="W933">SUMPRODUCT(TRANSPOSE($AA933:$AG933),OFFSET($L$9:$L$15,0,W$631-1))</f>
        <v>16.8502200646615</v>
      </c>
      <c r="X933" s="135" cm="1">
        <f ca="1" t="array" ref="X933">SUMPRODUCT(TRANSPOSE($AA933:$AG933),OFFSET($L$9:$L$15,0,X$631-1))</f>
        <v>20</v>
      </c>
      <c r="Y933" s="135" cm="1">
        <f ca="1" t="array" ref="Y933">SUMPRODUCT(TRANSPOSE($AA933:$AG933),OFFSET($L$9:$L$15,0,Y$631-1))</f>
        <v>10</v>
      </c>
      <c r="Z933" s="135" cm="1">
        <f ca="1" t="array" ref="Z933">SUMPRODUCT(TRANSPOSE($AA933:$AG933),OFFSET($L$9:$L$15,0,Z$631-1))</f>
        <v>3.14977993533847</v>
      </c>
      <c r="AA933" s="136">
        <f ca="1" t="shared" ref="AA933:AG933" si="845">AH933-AH932</f>
        <v>0</v>
      </c>
      <c r="AB933" s="136">
        <f ca="1" t="shared" si="845"/>
        <v>0</v>
      </c>
      <c r="AC933" s="136">
        <f ca="1" t="shared" si="845"/>
        <v>0</v>
      </c>
      <c r="AD933" s="136">
        <f ca="1" t="shared" si="845"/>
        <v>0</v>
      </c>
      <c r="AE933" s="136">
        <f ca="1" t="shared" si="845"/>
        <v>0</v>
      </c>
      <c r="AF933" s="136">
        <f ca="1" t="shared" si="845"/>
        <v>0</v>
      </c>
      <c r="AG933" s="136">
        <f ca="1" t="shared" si="845"/>
        <v>100</v>
      </c>
      <c r="AH933" s="136">
        <f ca="1" t="shared" si="761"/>
        <v>450</v>
      </c>
      <c r="AI933" s="136">
        <f ca="1" t="shared" ref="AI933:AN933" si="846">IF($C933&gt;OFFSET($Q$8,MATCH(AI$634,$AH$634:$AN$634,0),0),OFFSET($P$8,MATCH(AI$634,$AH$634:$AN$634,0),0),MAX(0,$C933-OFFSET($Q$8,RIGHT(AI$634,1)-1,0)))</f>
        <v>909</v>
      </c>
      <c r="AJ933" s="136">
        <f ca="1" t="shared" si="846"/>
        <v>1818</v>
      </c>
      <c r="AK933" s="136">
        <f ca="1" t="shared" si="846"/>
        <v>2727</v>
      </c>
      <c r="AL933" s="136">
        <f ca="1" t="shared" si="846"/>
        <v>3636</v>
      </c>
      <c r="AM933" s="136">
        <f ca="1" t="shared" si="846"/>
        <v>4545</v>
      </c>
      <c r="AN933" s="136">
        <f ca="1" t="shared" si="846"/>
        <v>15815</v>
      </c>
    </row>
    <row r="934" s="106" customFormat="1" ht="16.5" spans="2:40">
      <c r="B934" s="117">
        <v>300</v>
      </c>
      <c r="C934" s="130">
        <f t="shared" si="759"/>
        <v>30000</v>
      </c>
      <c r="D934" s="131" cm="1">
        <f ca="1" t="array" ref="D934">IF(D1536=1,OFFSET($W$634,$B934,D$631-1)/SUMPRODUCT(--($D$631:$V$631=D$631),--($D1536:$V1536=1)),0)+SUM(D933)+IF(COUNTIF(D$1237:D1536,1)=1,5,0)+IF(COUNTIF(E934:$W934,"&gt;"&amp;0)&lt;5,IF(AND(COUNTIF(D$1237:D1536,1)&gt;7,MOD(1+IFERROR(MATCH($C934,总览!$D$46:$D$345,1)+1,1),7)=0),$C$3,0),0)</f>
        <v>2012.72552299695</v>
      </c>
      <c r="E934" s="131" cm="1">
        <f ca="1" t="array" ref="E934">IF(E1536=1,OFFSET($W$634,$B934,E$631-1)/SUMPRODUCT(--($D$631:$V$631=E$631),--($D1536:$V1536=1)),0)+SUM(E933)+IF(COUNTIF(E$1237:E1536,1)=1,5,0)+IF(COUNTIF(F934:$W934,"&gt;"&amp;0)&lt;5,IF(AND(COUNTIF(E$1237:E1536,1)&gt;7,MOD(1+IFERROR(MATCH($C934,总览!$D$46:$D$345,1)+1,1),7)=0),$C$3,0),0)</f>
        <v>2012.72552299695</v>
      </c>
      <c r="F934" s="131" cm="1">
        <f ca="1" t="array" ref="F934">IF(F1536=1,OFFSET($W$634,$B934,F$631-1)/SUMPRODUCT(--($D$631:$V$631=F$631),--($D1536:$V1536=1)),0)+SUM(F933)+IF(COUNTIF(F$1237:F1536,1)=1,5,0)+IF(COUNTIF(G934:$W934,"&gt;"&amp;0)&lt;5,IF(AND(COUNTIF(F$1237:F1536,1)&gt;7,MOD(1+IFERROR(MATCH($C934,总览!$D$46:$D$345,1)+1,1),7)=0),$C$3,0),0)</f>
        <v>2012.72552299695</v>
      </c>
      <c r="G934" s="131" cm="1">
        <f ca="1" t="array" ref="G934">IF(G1536=1,OFFSET($W$634,$B934,G$631-1)/SUMPRODUCT(--($D$631:$V$631=G$631),--($D1536:$V1536=1)),0)+SUM(G933)+IF(COUNTIF(G$1237:G1536,1)=1,5,0)+IF(COUNTIF(H934:$W934,"&gt;"&amp;0)&lt;5,IF(AND(COUNTIF(G$1237:G1536,1)&gt;7,MOD(1+IFERROR(MATCH($C934,总览!$D$46:$D$345,1)+1,1),7)=0),$C$3,0),0)</f>
        <v>939.400000000004</v>
      </c>
      <c r="H934" s="131" cm="1">
        <f ca="1" t="array" ref="H934">IF(H1536=1,OFFSET($W$634,$B934,H$631-1)/SUMPRODUCT(--($D$631:$V$631=H$631),--($D1536:$V1536=1)),0)+SUM(H933)+IF(COUNTIF(H$1237:H1536,1)=1,5,0)+IF(COUNTIF(I934:$W934,"&gt;"&amp;0)&lt;5,IF(AND(COUNTIF(H$1237:H1536,1)&gt;7,MOD(1+IFERROR(MATCH($C934,总览!$D$46:$D$345,1)+1,1),7)=0),$C$3,0),0)</f>
        <v>939.400000000004</v>
      </c>
      <c r="I934" s="131" cm="1">
        <f ca="1" t="array" ref="I934">IF(I1536=1,OFFSET($W$634,$B934,I$631-1)/SUMPRODUCT(--($D$631:$V$631=I$631),--($D1536:$V1536=1)),0)+SUM(I933)+IF(COUNTIF(I$1237:I1536,1)=1,5,0)+IF(COUNTIF(J934:$W934,"&gt;"&amp;0)&lt;5,IF(AND(COUNTIF(I$1237:I1536,1)&gt;7,MOD(1+IFERROR(MATCH($C934,总览!$D$46:$D$345,1)+1,1),7)=0),$C$3,0),0)</f>
        <v>939.400000000004</v>
      </c>
      <c r="J934" s="131" cm="1">
        <f ca="1" t="array" ref="J934">IF(J1536=1,OFFSET($W$634,$B934,J$631-1)/SUMPRODUCT(--($D$631:$V$631=J$631),--($D1536:$V1536=1)),0)+SUM(J933)+IF(COUNTIF(J$1237:J1536,1)=1,5,0)+IF(COUNTIF(K934:$W934,"&gt;"&amp;0)&lt;5,IF(AND(COUNTIF(J$1237:J1536,1)&gt;7,MOD(1+IFERROR(MATCH($C934,总览!$D$46:$D$345,1)+1,1),7)=0),$C$3,0),0)</f>
        <v>936.06666666667</v>
      </c>
      <c r="K934" s="131" cm="1">
        <f ca="1" t="array" ref="K934">IF(K1536=1,OFFSET($W$634,$B934,K$631-1)/SUMPRODUCT(--($D$631:$V$631=K$631),--($D1536:$V1536=1)),0)+SUM(K933)+IF(COUNTIF(K$1237:K1536,1)=1,5,0)+IF(COUNTIF(L934:$W934,"&gt;"&amp;0)&lt;5,IF(AND(COUNTIF(K$1237:K1536,1)&gt;7,MOD(1+IFERROR(MATCH($C934,总览!$D$46:$D$345,1)+1,1),7)=0),$C$3,0),0)</f>
        <v>933.56666666667</v>
      </c>
      <c r="L934" s="131" cm="1">
        <f ca="1" t="array" ref="L934">IF(L1536=1,OFFSET($W$634,$B934,L$631-1)/SUMPRODUCT(--($D$631:$V$631=L$631),--($D1536:$V1536=1)),0)+SUM(L933)+IF(COUNTIF(L$1237:L1536,1)=1,5,0)+IF(COUNTIF(M934:$W934,"&gt;"&amp;0)&lt;5,IF(AND(COUNTIF(L$1237:L1536,1)&gt;7,MOD(1+IFERROR(MATCH($C934,总览!$D$46:$D$345,1)+1,1),7)=0),$C$3,0),0)</f>
        <v>933.56666666667</v>
      </c>
      <c r="M934" s="131" cm="1">
        <f ca="1" t="array" ref="M934">IF(M1536=1,OFFSET($W$634,$B934,M$631-1)/SUMPRODUCT(--($D$631:$V$631=M$631),--($D1536:$V1536=1)),0)+SUM(M933)+IF(COUNTIF(M$1237:M1536,1)=1,5,0)+IF(COUNTIF(N934:$W934,"&gt;"&amp;0)&lt;5,IF(AND(COUNTIF(M$1237:M1536,1)&gt;7,MOD(1+IFERROR(MATCH($C934,总览!$D$46:$D$345,1)+1,1),7)=0),$C$3,0),0)</f>
        <v>386.324107142857</v>
      </c>
      <c r="N934" s="131" cm="1">
        <f ca="1" t="array" ref="N934">IF(N1536=1,OFFSET($W$634,$B934,N$631-1)/SUMPRODUCT(--($D$631:$V$631=N$631),--($D1536:$V1536=1)),0)+SUM(N933)+IF(COUNTIF(N$1237:N1536,1)=1,5,0)+IF(COUNTIF(O934:$W934,"&gt;"&amp;0)&lt;5,IF(AND(COUNTIF(N$1237:N1536,1)&gt;7,MOD(1+IFERROR(MATCH($C934,总览!$D$46:$D$345,1)+1,1),7)=0),$C$3,0),0)</f>
        <v>387.574107142857</v>
      </c>
      <c r="O934" s="131" cm="1">
        <f ca="1" t="array" ref="O934">IF(O1536=1,OFFSET($W$634,$B934,O$631-1)/SUMPRODUCT(--($D$631:$V$631=O$631),--($D1536:$V1536=1)),0)+SUM(O933)+IF(COUNTIF(O$1237:O1536,1)=1,5,0)+IF(COUNTIF(P934:$W934,"&gt;"&amp;0)&lt;5,IF(AND(COUNTIF(O$1237:O1536,1)&gt;7,MOD(1+IFERROR(MATCH($C934,总览!$D$46:$D$345,1)+1,1),7)=0),$C$3,0),0)</f>
        <v>392.574107142857</v>
      </c>
      <c r="P934" s="131" cm="1">
        <f ca="1" t="array" ref="P934">IF(P1536=1,OFFSET($W$634,$B934,P$631-1)/SUMPRODUCT(--($D$631:$V$631=P$631),--($D1536:$V1536=1)),0)+SUM(P933)+IF(COUNTIF(P$1237:P1536,1)=1,5,0)+IF(COUNTIF(Q934:$W934,"&gt;"&amp;0)&lt;5,IF(AND(COUNTIF(P$1237:P1536,1)&gt;7,MOD(1+IFERROR(MATCH($C934,总览!$D$46:$D$345,1)+1,1),7)=0),$C$3,0),0)</f>
        <v>381.692857142857</v>
      </c>
      <c r="Q934" s="131" cm="1">
        <f ca="1" t="array" ref="Q934">IF(Q1536=1,OFFSET($W$634,$B934,Q$631-1)/SUMPRODUCT(--($D$631:$V$631=Q$631),--($D1536:$V1536=1)),0)+SUM(Q933)+IF(COUNTIF(Q$1237:Q1536,1)=1,5,0)+IF(COUNTIF(R934:$W934,"&gt;"&amp;0)&lt;5,IF(AND(COUNTIF(Q$1237:Q1536,1)&gt;7,MOD(1+IFERROR(MATCH($C934,总览!$D$46:$D$345,1)+1,1),7)=0),$C$3,0),0)</f>
        <v>395.074107142857</v>
      </c>
      <c r="R934" s="131" cm="1">
        <f ca="1" t="array" ref="R934">IF(R1536=1,OFFSET($W$634,$B934,R$631-1)/SUMPRODUCT(--($D$631:$V$631=R$631),--($D1536:$V1536=1)),0)+SUM(R933)+IF(COUNTIF(R$1237:R1536,1)=1,5,0)+IF(COUNTIF(S934:$W934,"&gt;"&amp;0)&lt;5,IF(AND(COUNTIF(R$1237:R1536,1)&gt;7,MOD(1+IFERROR(MATCH($C934,总览!$D$46:$D$345,1)+1,1),7)=0),$C$3,0),0)</f>
        <v>386.692857142857</v>
      </c>
      <c r="S934" s="131" cm="1">
        <f ca="1" t="array" ref="S934">IF(S1536=1,OFFSET($W$634,$B934,S$631-1)/SUMPRODUCT(--($D$631:$V$631=S$631),--($D1536:$V1536=1)),0)+SUM(S933)+IF(COUNTIF(S$1237:S1536,1)=1,5,0)+IF(COUNTIF(T934:$W934,"&gt;"&amp;0)&lt;5,IF(AND(COUNTIF(S$1237:S1536,1)&gt;7,MOD(1+IFERROR(MATCH($C934,总览!$D$46:$D$345,1)+1,1),7)=0),$C$3,0),0)</f>
        <v>479.192857142859</v>
      </c>
      <c r="T934" s="131" cm="1">
        <f ca="1" t="array" ref="T934">IF(T1536=1,OFFSET($W$634,$B934,T$631-1)/SUMPRODUCT(--($D$631:$V$631=T$631),--($D1536:$V1536=1)),0)+SUM(T933)+IF(COUNTIF(T$1237:T1536,1)=1,5,0)+IF(COUNTIF(U934:$W934,"&gt;"&amp;0)&lt;5,IF(AND(COUNTIF(T$1237:T1536,1)&gt;7,MOD(1+IFERROR(MATCH($C934,总览!$D$46:$D$345,1)+1,1),7)=0),$C$3,0),0)</f>
        <v>350.143286195364</v>
      </c>
      <c r="U934" s="131" cm="1">
        <f ca="1" t="array" ref="U934">IF(U1536=1,OFFSET($W$634,$B934,U$631-1)/SUMPRODUCT(--($D$631:$V$631=U$631),--($D1536:$V1536=1)),0)+SUM(U933)+IF(COUNTIF(U$1237:U1536,1)=1,5,0)+IF(COUNTIF(V934:$W934,"&gt;"&amp;0)&lt;5,IF(AND(COUNTIF(U$1237:U1536,1)&gt;7,MOD(1+IFERROR(MATCH($C934,总览!$D$46:$D$345,1)+1,1),7)=0),$C$3,0),0)</f>
        <v>355.664072550664</v>
      </c>
      <c r="V934" s="131" cm="1">
        <f ca="1" t="array" ref="V934">IF(V1536=1,OFFSET($W$634,$B934,V$631-1)/SUMPRODUCT(--($D$631:$V$631=V$631),--($D1536:$V1536=1)),0)+SUM(V933)+IF(COUNTIF(V$1237:V1536,1)=1,5,0)+IF(COUNTIF(W934:$W934,"&gt;"&amp;0)&lt;5,IF(AND(COUNTIF(V$1237:V1536,1)&gt;7,MOD(1+IFERROR(MATCH($C934,总览!$D$46:$D$345,1)+1,1),7)=0),$C$3,0),0)</f>
        <v>375.491072263097</v>
      </c>
      <c r="W934" s="135" cm="1">
        <f ca="1" t="array" ref="W934">SUMPRODUCT(TRANSPOSE($AA934:$AG934),OFFSET($L$9:$L$15,0,W$631-1))</f>
        <v>16.8502200646615</v>
      </c>
      <c r="X934" s="135" cm="1">
        <f ca="1" t="array" ref="X934">SUMPRODUCT(TRANSPOSE($AA934:$AG934),OFFSET($L$9:$L$15,0,X$631-1))</f>
        <v>20</v>
      </c>
      <c r="Y934" s="135" cm="1">
        <f ca="1" t="array" ref="Y934">SUMPRODUCT(TRANSPOSE($AA934:$AG934),OFFSET($L$9:$L$15,0,Y$631-1))</f>
        <v>10</v>
      </c>
      <c r="Z934" s="135" cm="1">
        <f ca="1" t="array" ref="Z934">SUMPRODUCT(TRANSPOSE($AA934:$AG934),OFFSET($L$9:$L$15,0,Z$631-1))</f>
        <v>3.14977993533847</v>
      </c>
      <c r="AA934" s="136">
        <f ca="1" t="shared" ref="AA934:AG934" si="847">AH934-AH933</f>
        <v>0</v>
      </c>
      <c r="AB934" s="136">
        <f ca="1" t="shared" si="847"/>
        <v>0</v>
      </c>
      <c r="AC934" s="136">
        <f ca="1" t="shared" si="847"/>
        <v>0</v>
      </c>
      <c r="AD934" s="136">
        <f ca="1" t="shared" si="847"/>
        <v>0</v>
      </c>
      <c r="AE934" s="136">
        <f ca="1" t="shared" si="847"/>
        <v>0</v>
      </c>
      <c r="AF934" s="136">
        <f ca="1" t="shared" si="847"/>
        <v>0</v>
      </c>
      <c r="AG934" s="136">
        <f ca="1" t="shared" si="847"/>
        <v>100</v>
      </c>
      <c r="AH934" s="136">
        <f ca="1" t="shared" si="761"/>
        <v>450</v>
      </c>
      <c r="AI934" s="136">
        <f ca="1" t="shared" ref="AI934:AN934" si="848">IF($C934&gt;OFFSET($Q$8,MATCH(AI$634,$AH$634:$AN$634,0),0),OFFSET($P$8,MATCH(AI$634,$AH$634:$AN$634,0),0),MAX(0,$C934-OFFSET($Q$8,RIGHT(AI$634,1)-1,0)))</f>
        <v>909</v>
      </c>
      <c r="AJ934" s="136">
        <f ca="1" t="shared" si="848"/>
        <v>1818</v>
      </c>
      <c r="AK934" s="136">
        <f ca="1" t="shared" si="848"/>
        <v>2727</v>
      </c>
      <c r="AL934" s="136">
        <f ca="1" t="shared" si="848"/>
        <v>3636</v>
      </c>
      <c r="AM934" s="136">
        <f ca="1" t="shared" si="848"/>
        <v>4545</v>
      </c>
      <c r="AN934" s="136">
        <f ca="1" t="shared" si="848"/>
        <v>15915</v>
      </c>
    </row>
    <row r="935" s="106" customFormat="1" ht="16.5" spans="2:40">
      <c r="B935" s="117">
        <v>301</v>
      </c>
      <c r="C935" s="130">
        <f t="shared" si="759"/>
        <v>30100</v>
      </c>
      <c r="D935" s="131" cm="1">
        <f ca="1" t="array" ref="D935">IF(D1537=1,OFFSET($W$634,$B935,D$631-1)/SUMPRODUCT(--($D$631:$V$631=D$631),--($D1537:$V1537=1)),0)+SUM(D934)+IF(COUNTIF(D$1237:D1537,1)=1,5,0)+IF(COUNTIF(E935:$W935,"&gt;"&amp;0)&lt;5,IF(AND(COUNTIF(D$1237:D1537,1)&gt;7,MOD(1+IFERROR(MATCH($C935,总览!$D$46:$D$345,1)+1,1),7)=0),$C$3,0),0)</f>
        <v>2018.34226301851</v>
      </c>
      <c r="E935" s="131" cm="1">
        <f ca="1" t="array" ref="E935">IF(E1537=1,OFFSET($W$634,$B935,E$631-1)/SUMPRODUCT(--($D$631:$V$631=E$631),--($D1537:$V1537=1)),0)+SUM(E934)+IF(COUNTIF(E$1237:E1537,1)=1,5,0)+IF(COUNTIF(F935:$W935,"&gt;"&amp;0)&lt;5,IF(AND(COUNTIF(E$1237:E1537,1)&gt;7,MOD(1+IFERROR(MATCH($C935,总览!$D$46:$D$345,1)+1,1),7)=0),$C$3,0),0)</f>
        <v>2018.34226301851</v>
      </c>
      <c r="F935" s="131" cm="1">
        <f ca="1" t="array" ref="F935">IF(F1537=1,OFFSET($W$634,$B935,F$631-1)/SUMPRODUCT(--($D$631:$V$631=F$631),--($D1537:$V1537=1)),0)+SUM(F934)+IF(COUNTIF(F$1237:F1537,1)=1,5,0)+IF(COUNTIF(G935:$W935,"&gt;"&amp;0)&lt;5,IF(AND(COUNTIF(F$1237:F1537,1)&gt;7,MOD(1+IFERROR(MATCH($C935,总览!$D$46:$D$345,1)+1,1),7)=0),$C$3,0),0)</f>
        <v>2018.34226301851</v>
      </c>
      <c r="G935" s="131" cm="1">
        <f ca="1" t="array" ref="G935">IF(G1537=1,OFFSET($W$634,$B935,G$631-1)/SUMPRODUCT(--($D$631:$V$631=G$631),--($D1537:$V1537=1)),0)+SUM(G934)+IF(COUNTIF(G$1237:G1537,1)=1,5,0)+IF(COUNTIF(H935:$W935,"&gt;"&amp;0)&lt;5,IF(AND(COUNTIF(G$1237:G1537,1)&gt;7,MOD(1+IFERROR(MATCH($C935,总览!$D$46:$D$345,1)+1,1),7)=0),$C$3,0),0)</f>
        <v>942.733333333337</v>
      </c>
      <c r="H935" s="131" cm="1">
        <f ca="1" t="array" ref="H935">IF(H1537=1,OFFSET($W$634,$B935,H$631-1)/SUMPRODUCT(--($D$631:$V$631=H$631),--($D1537:$V1537=1)),0)+SUM(H934)+IF(COUNTIF(H$1237:H1537,1)=1,5,0)+IF(COUNTIF(I935:$W935,"&gt;"&amp;0)&lt;5,IF(AND(COUNTIF(H$1237:H1537,1)&gt;7,MOD(1+IFERROR(MATCH($C935,总览!$D$46:$D$345,1)+1,1),7)=0),$C$3,0),0)</f>
        <v>942.733333333337</v>
      </c>
      <c r="I935" s="131" cm="1">
        <f ca="1" t="array" ref="I935">IF(I1537=1,OFFSET($W$634,$B935,I$631-1)/SUMPRODUCT(--($D$631:$V$631=I$631),--($D1537:$V1537=1)),0)+SUM(I934)+IF(COUNTIF(I$1237:I1537,1)=1,5,0)+IF(COUNTIF(J935:$W935,"&gt;"&amp;0)&lt;5,IF(AND(COUNTIF(I$1237:I1537,1)&gt;7,MOD(1+IFERROR(MATCH($C935,总览!$D$46:$D$345,1)+1,1),7)=0),$C$3,0),0)</f>
        <v>942.733333333337</v>
      </c>
      <c r="J935" s="131" cm="1">
        <f ca="1" t="array" ref="J935">IF(J1537=1,OFFSET($W$634,$B935,J$631-1)/SUMPRODUCT(--($D$631:$V$631=J$631),--($D1537:$V1537=1)),0)+SUM(J934)+IF(COUNTIF(J$1237:J1537,1)=1,5,0)+IF(COUNTIF(K935:$W935,"&gt;"&amp;0)&lt;5,IF(AND(COUNTIF(J$1237:J1537,1)&gt;7,MOD(1+IFERROR(MATCH($C935,总览!$D$46:$D$345,1)+1,1),7)=0),$C$3,0),0)</f>
        <v>939.400000000004</v>
      </c>
      <c r="K935" s="131" cm="1">
        <f ca="1" t="array" ref="K935">IF(K1537=1,OFFSET($W$634,$B935,K$631-1)/SUMPRODUCT(--($D$631:$V$631=K$631),--($D1537:$V1537=1)),0)+SUM(K934)+IF(COUNTIF(K$1237:K1537,1)=1,5,0)+IF(COUNTIF(L935:$W935,"&gt;"&amp;0)&lt;5,IF(AND(COUNTIF(K$1237:K1537,1)&gt;7,MOD(1+IFERROR(MATCH($C935,总览!$D$46:$D$345,1)+1,1),7)=0),$C$3,0),0)</f>
        <v>936.900000000004</v>
      </c>
      <c r="L935" s="131" cm="1">
        <f ca="1" t="array" ref="L935">IF(L1537=1,OFFSET($W$634,$B935,L$631-1)/SUMPRODUCT(--($D$631:$V$631=L$631),--($D1537:$V1537=1)),0)+SUM(L934)+IF(COUNTIF(L$1237:L1537,1)=1,5,0)+IF(COUNTIF(M935:$W935,"&gt;"&amp;0)&lt;5,IF(AND(COUNTIF(L$1237:L1537,1)&gt;7,MOD(1+IFERROR(MATCH($C935,总览!$D$46:$D$345,1)+1,1),7)=0),$C$3,0),0)</f>
        <v>936.900000000004</v>
      </c>
      <c r="M935" s="131" cm="1">
        <f ca="1" t="array" ref="M935">IF(M1537=1,OFFSET($W$634,$B935,M$631-1)/SUMPRODUCT(--($D$631:$V$631=M$631),--($D1537:$V1537=1)),0)+SUM(M934)+IF(COUNTIF(M$1237:M1537,1)=1,5,0)+IF(COUNTIF(N935:$W935,"&gt;"&amp;0)&lt;5,IF(AND(COUNTIF(M$1237:M1537,1)&gt;7,MOD(1+IFERROR(MATCH($C935,总览!$D$46:$D$345,1)+1,1),7)=0),$C$3,0),0)</f>
        <v>387.752678571429</v>
      </c>
      <c r="N935" s="131" cm="1">
        <f ca="1" t="array" ref="N935">IF(N1537=1,OFFSET($W$634,$B935,N$631-1)/SUMPRODUCT(--($D$631:$V$631=N$631),--($D1537:$V1537=1)),0)+SUM(N934)+IF(COUNTIF(N$1237:N1537,1)=1,5,0)+IF(COUNTIF(O935:$W935,"&gt;"&amp;0)&lt;5,IF(AND(COUNTIF(N$1237:N1537,1)&gt;7,MOD(1+IFERROR(MATCH($C935,总览!$D$46:$D$345,1)+1,1),7)=0),$C$3,0),0)</f>
        <v>389.002678571429</v>
      </c>
      <c r="O935" s="131" cm="1">
        <f ca="1" t="array" ref="O935">IF(O1537=1,OFFSET($W$634,$B935,O$631-1)/SUMPRODUCT(--($D$631:$V$631=O$631),--($D1537:$V1537=1)),0)+SUM(O934)+IF(COUNTIF(O$1237:O1537,1)=1,5,0)+IF(COUNTIF(P935:$W935,"&gt;"&amp;0)&lt;5,IF(AND(COUNTIF(O$1237:O1537,1)&gt;7,MOD(1+IFERROR(MATCH($C935,总览!$D$46:$D$345,1)+1,1),7)=0),$C$3,0),0)</f>
        <v>394.002678571429</v>
      </c>
      <c r="P935" s="131" cm="1">
        <f ca="1" t="array" ref="P935">IF(P1537=1,OFFSET($W$634,$B935,P$631-1)/SUMPRODUCT(--($D$631:$V$631=P$631),--($D1537:$V1537=1)),0)+SUM(P934)+IF(COUNTIF(P$1237:P1537,1)=1,5,0)+IF(COUNTIF(Q935:$W935,"&gt;"&amp;0)&lt;5,IF(AND(COUNTIF(P$1237:P1537,1)&gt;7,MOD(1+IFERROR(MATCH($C935,总览!$D$46:$D$345,1)+1,1),7)=0),$C$3,0),0)</f>
        <v>383.121428571429</v>
      </c>
      <c r="Q935" s="131" cm="1">
        <f ca="1" t="array" ref="Q935">IF(Q1537=1,OFFSET($W$634,$B935,Q$631-1)/SUMPRODUCT(--($D$631:$V$631=Q$631),--($D1537:$V1537=1)),0)+SUM(Q934)+IF(COUNTIF(Q$1237:Q1537,1)=1,5,0)+IF(COUNTIF(R935:$W935,"&gt;"&amp;0)&lt;5,IF(AND(COUNTIF(Q$1237:Q1537,1)&gt;7,MOD(1+IFERROR(MATCH($C935,总览!$D$46:$D$345,1)+1,1),7)=0),$C$3,0),0)</f>
        <v>396.502678571429</v>
      </c>
      <c r="R935" s="131" cm="1">
        <f ca="1" t="array" ref="R935">IF(R1537=1,OFFSET($W$634,$B935,R$631-1)/SUMPRODUCT(--($D$631:$V$631=R$631),--($D1537:$V1537=1)),0)+SUM(R934)+IF(COUNTIF(R$1237:R1537,1)=1,5,0)+IF(COUNTIF(S935:$W935,"&gt;"&amp;0)&lt;5,IF(AND(COUNTIF(R$1237:R1537,1)&gt;7,MOD(1+IFERROR(MATCH($C935,总览!$D$46:$D$345,1)+1,1),7)=0),$C$3,0),0)</f>
        <v>388.121428571429</v>
      </c>
      <c r="S935" s="131" cm="1">
        <f ca="1" t="array" ref="S935">IF(S1537=1,OFFSET($W$634,$B935,S$631-1)/SUMPRODUCT(--($D$631:$V$631=S$631),--($D1537:$V1537=1)),0)+SUM(S934)+IF(COUNTIF(S$1237:S1537,1)=1,5,0)+IF(COUNTIF(T935:$W935,"&gt;"&amp;0)&lt;5,IF(AND(COUNTIF(S$1237:S1537,1)&gt;7,MOD(1+IFERROR(MATCH($C935,总览!$D$46:$D$345,1)+1,1),7)=0),$C$3,0),0)</f>
        <v>480.62142857143</v>
      </c>
      <c r="T935" s="131" cm="1">
        <f ca="1" t="array" ref="T935">IF(T1537=1,OFFSET($W$634,$B935,T$631-1)/SUMPRODUCT(--($D$631:$V$631=T$631),--($D1537:$V1537=1)),0)+SUM(T934)+IF(COUNTIF(T$1237:T1537,1)=1,5,0)+IF(COUNTIF(U935:$W935,"&gt;"&amp;0)&lt;5,IF(AND(COUNTIF(T$1237:T1537,1)&gt;7,MOD(1+IFERROR(MATCH($C935,总览!$D$46:$D$345,1)+1,1),7)=0),$C$3,0),0)</f>
        <v>351.193212840477</v>
      </c>
      <c r="U935" s="131" cm="1">
        <f ca="1" t="array" ref="U935">IF(U1537=1,OFFSET($W$634,$B935,U$631-1)/SUMPRODUCT(--($D$631:$V$631=U$631),--($D1537:$V1537=1)),0)+SUM(U934)+IF(COUNTIF(U$1237:U1537,1)=1,5,0)+IF(COUNTIF(V935:$W935,"&gt;"&amp;0)&lt;5,IF(AND(COUNTIF(U$1237:U1537,1)&gt;7,MOD(1+IFERROR(MATCH($C935,总览!$D$46:$D$345,1)+1,1),7)=0),$C$3,0),0)</f>
        <v>356.713999195777</v>
      </c>
      <c r="V935" s="131" cm="1">
        <f ca="1" t="array" ref="V935">IF(V1537=1,OFFSET($W$634,$B935,V$631-1)/SUMPRODUCT(--($D$631:$V$631=V$631),--($D1537:$V1537=1)),0)+SUM(V934)+IF(COUNTIF(V$1237:V1537,1)=1,5,0)+IF(COUNTIF(W935:$W935,"&gt;"&amp;0)&lt;5,IF(AND(COUNTIF(V$1237:V1537,1)&gt;7,MOD(1+IFERROR(MATCH($C935,总览!$D$46:$D$345,1)+1,1),7)=0),$C$3,0),0)</f>
        <v>376.54099890821</v>
      </c>
      <c r="W935" s="135" cm="1">
        <f ca="1" t="array" ref="W935">SUMPRODUCT(TRANSPOSE($AA935:$AG935),OFFSET($L$9:$L$15,0,W$631-1))</f>
        <v>16.8502200646615</v>
      </c>
      <c r="X935" s="135" cm="1">
        <f ca="1" t="array" ref="X935">SUMPRODUCT(TRANSPOSE($AA935:$AG935),OFFSET($L$9:$L$15,0,X$631-1))</f>
        <v>20</v>
      </c>
      <c r="Y935" s="135" cm="1">
        <f ca="1" t="array" ref="Y935">SUMPRODUCT(TRANSPOSE($AA935:$AG935),OFFSET($L$9:$L$15,0,Y$631-1))</f>
        <v>10</v>
      </c>
      <c r="Z935" s="135" cm="1">
        <f ca="1" t="array" ref="Z935">SUMPRODUCT(TRANSPOSE($AA935:$AG935),OFFSET($L$9:$L$15,0,Z$631-1))</f>
        <v>3.14977993533847</v>
      </c>
      <c r="AA935" s="136">
        <f ca="1" t="shared" ref="AA935:AG935" si="849">AH935-AH934</f>
        <v>0</v>
      </c>
      <c r="AB935" s="136">
        <f ca="1" t="shared" si="849"/>
        <v>0</v>
      </c>
      <c r="AC935" s="136">
        <f ca="1" t="shared" si="849"/>
        <v>0</v>
      </c>
      <c r="AD935" s="136">
        <f ca="1" t="shared" si="849"/>
        <v>0</v>
      </c>
      <c r="AE935" s="136">
        <f ca="1" t="shared" si="849"/>
        <v>0</v>
      </c>
      <c r="AF935" s="136">
        <f ca="1" t="shared" si="849"/>
        <v>0</v>
      </c>
      <c r="AG935" s="136">
        <f ca="1" t="shared" si="849"/>
        <v>100</v>
      </c>
      <c r="AH935" s="136">
        <f ca="1" t="shared" si="761"/>
        <v>450</v>
      </c>
      <c r="AI935" s="136">
        <f ca="1" t="shared" ref="AI935:AN935" si="850">IF($C935&gt;OFFSET($Q$8,MATCH(AI$634,$AH$634:$AN$634,0),0),OFFSET($P$8,MATCH(AI$634,$AH$634:$AN$634,0),0),MAX(0,$C935-OFFSET($Q$8,RIGHT(AI$634,1)-1,0)))</f>
        <v>909</v>
      </c>
      <c r="AJ935" s="136">
        <f ca="1" t="shared" si="850"/>
        <v>1818</v>
      </c>
      <c r="AK935" s="136">
        <f ca="1" t="shared" si="850"/>
        <v>2727</v>
      </c>
      <c r="AL935" s="136">
        <f ca="1" t="shared" si="850"/>
        <v>3636</v>
      </c>
      <c r="AM935" s="136">
        <f ca="1" t="shared" si="850"/>
        <v>4545</v>
      </c>
      <c r="AN935" s="136">
        <f ca="1" t="shared" si="850"/>
        <v>16015</v>
      </c>
    </row>
    <row r="936" s="106" customFormat="1" ht="16.5" spans="2:40">
      <c r="B936" s="117">
        <v>302</v>
      </c>
      <c r="C936" s="130">
        <f t="shared" si="759"/>
        <v>30200</v>
      </c>
      <c r="D936" s="131" cm="1">
        <f ca="1" t="array" ref="D936">IF(D1538=1,OFFSET($W$634,$B936,D$631-1)/SUMPRODUCT(--($D$631:$V$631=D$631),--($D1538:$V1538=1)),0)+SUM(D935)+IF(COUNTIF(D$1237:D1538,1)=1,5,0)+IF(COUNTIF(E936:$W936,"&gt;"&amp;0)&lt;5,IF(AND(COUNTIF(D$1237:D1538,1)&gt;7,MOD(1+IFERROR(MATCH($C936,总览!$D$46:$D$345,1)+1,1),7)=0),$C$3,0),0)</f>
        <v>2023.95900304006</v>
      </c>
      <c r="E936" s="131" cm="1">
        <f ca="1" t="array" ref="E936">IF(E1538=1,OFFSET($W$634,$B936,E$631-1)/SUMPRODUCT(--($D$631:$V$631=E$631),--($D1538:$V1538=1)),0)+SUM(E935)+IF(COUNTIF(E$1237:E1538,1)=1,5,0)+IF(COUNTIF(F936:$W936,"&gt;"&amp;0)&lt;5,IF(AND(COUNTIF(E$1237:E1538,1)&gt;7,MOD(1+IFERROR(MATCH($C936,总览!$D$46:$D$345,1)+1,1),7)=0),$C$3,0),0)</f>
        <v>2023.95900304006</v>
      </c>
      <c r="F936" s="131" cm="1">
        <f ca="1" t="array" ref="F936">IF(F1538=1,OFFSET($W$634,$B936,F$631-1)/SUMPRODUCT(--($D$631:$V$631=F$631),--($D1538:$V1538=1)),0)+SUM(F935)+IF(COUNTIF(F$1237:F1538,1)=1,5,0)+IF(COUNTIF(G936:$W936,"&gt;"&amp;0)&lt;5,IF(AND(COUNTIF(F$1237:F1538,1)&gt;7,MOD(1+IFERROR(MATCH($C936,总览!$D$46:$D$345,1)+1,1),7)=0),$C$3,0),0)</f>
        <v>2023.95900304006</v>
      </c>
      <c r="G936" s="131" cm="1">
        <f ca="1" t="array" ref="G936">IF(G1538=1,OFFSET($W$634,$B936,G$631-1)/SUMPRODUCT(--($D$631:$V$631=G$631),--($D1538:$V1538=1)),0)+SUM(G935)+IF(COUNTIF(G$1237:G1538,1)=1,5,0)+IF(COUNTIF(H936:$W936,"&gt;"&amp;0)&lt;5,IF(AND(COUNTIF(G$1237:G1538,1)&gt;7,MOD(1+IFERROR(MATCH($C936,总览!$D$46:$D$345,1)+1,1),7)=0),$C$3,0),0)</f>
        <v>946.06666666667</v>
      </c>
      <c r="H936" s="131" cm="1">
        <f ca="1" t="array" ref="H936">IF(H1538=1,OFFSET($W$634,$B936,H$631-1)/SUMPRODUCT(--($D$631:$V$631=H$631),--($D1538:$V1538=1)),0)+SUM(H935)+IF(COUNTIF(H$1237:H1538,1)=1,5,0)+IF(COUNTIF(I936:$W936,"&gt;"&amp;0)&lt;5,IF(AND(COUNTIF(H$1237:H1538,1)&gt;7,MOD(1+IFERROR(MATCH($C936,总览!$D$46:$D$345,1)+1,1),7)=0),$C$3,0),0)</f>
        <v>946.06666666667</v>
      </c>
      <c r="I936" s="131" cm="1">
        <f ca="1" t="array" ref="I936">IF(I1538=1,OFFSET($W$634,$B936,I$631-1)/SUMPRODUCT(--($D$631:$V$631=I$631),--($D1538:$V1538=1)),0)+SUM(I935)+IF(COUNTIF(I$1237:I1538,1)=1,5,0)+IF(COUNTIF(J936:$W936,"&gt;"&amp;0)&lt;5,IF(AND(COUNTIF(I$1237:I1538,1)&gt;7,MOD(1+IFERROR(MATCH($C936,总览!$D$46:$D$345,1)+1,1),7)=0),$C$3,0),0)</f>
        <v>946.06666666667</v>
      </c>
      <c r="J936" s="131" cm="1">
        <f ca="1" t="array" ref="J936">IF(J1538=1,OFFSET($W$634,$B936,J$631-1)/SUMPRODUCT(--($D$631:$V$631=J$631),--($D1538:$V1538=1)),0)+SUM(J935)+IF(COUNTIF(J$1237:J1538,1)=1,5,0)+IF(COUNTIF(K936:$W936,"&gt;"&amp;0)&lt;5,IF(AND(COUNTIF(J$1237:J1538,1)&gt;7,MOD(1+IFERROR(MATCH($C936,总览!$D$46:$D$345,1)+1,1),7)=0),$C$3,0),0)</f>
        <v>942.733333333337</v>
      </c>
      <c r="K936" s="131" cm="1">
        <f ca="1" t="array" ref="K936">IF(K1538=1,OFFSET($W$634,$B936,K$631-1)/SUMPRODUCT(--($D$631:$V$631=K$631),--($D1538:$V1538=1)),0)+SUM(K935)+IF(COUNTIF(K$1237:K1538,1)=1,5,0)+IF(COUNTIF(L936:$W936,"&gt;"&amp;0)&lt;5,IF(AND(COUNTIF(K$1237:K1538,1)&gt;7,MOD(1+IFERROR(MATCH($C936,总览!$D$46:$D$345,1)+1,1),7)=0),$C$3,0),0)</f>
        <v>940.233333333337</v>
      </c>
      <c r="L936" s="131" cm="1">
        <f ca="1" t="array" ref="L936">IF(L1538=1,OFFSET($W$634,$B936,L$631-1)/SUMPRODUCT(--($D$631:$V$631=L$631),--($D1538:$V1538=1)),0)+SUM(L935)+IF(COUNTIF(L$1237:L1538,1)=1,5,0)+IF(COUNTIF(M936:$W936,"&gt;"&amp;0)&lt;5,IF(AND(COUNTIF(L$1237:L1538,1)&gt;7,MOD(1+IFERROR(MATCH($C936,总览!$D$46:$D$345,1)+1,1),7)=0),$C$3,0),0)</f>
        <v>940.233333333337</v>
      </c>
      <c r="M936" s="131" cm="1">
        <f ca="1" t="array" ref="M936">IF(M1538=1,OFFSET($W$634,$B936,M$631-1)/SUMPRODUCT(--($D$631:$V$631=M$631),--($D1538:$V1538=1)),0)+SUM(M935)+IF(COUNTIF(M$1237:M1538,1)=1,5,0)+IF(COUNTIF(N936:$W936,"&gt;"&amp;0)&lt;5,IF(AND(COUNTIF(M$1237:M1538,1)&gt;7,MOD(1+IFERROR(MATCH($C936,总览!$D$46:$D$345,1)+1,1),7)=0),$C$3,0),0)</f>
        <v>389.18125</v>
      </c>
      <c r="N936" s="131" cm="1">
        <f ca="1" t="array" ref="N936">IF(N1538=1,OFFSET($W$634,$B936,N$631-1)/SUMPRODUCT(--($D$631:$V$631=N$631),--($D1538:$V1538=1)),0)+SUM(N935)+IF(COUNTIF(N$1237:N1538,1)=1,5,0)+IF(COUNTIF(O936:$W936,"&gt;"&amp;0)&lt;5,IF(AND(COUNTIF(N$1237:N1538,1)&gt;7,MOD(1+IFERROR(MATCH($C936,总览!$D$46:$D$345,1)+1,1),7)=0),$C$3,0),0)</f>
        <v>390.43125</v>
      </c>
      <c r="O936" s="131" cm="1">
        <f ca="1" t="array" ref="O936">IF(O1538=1,OFFSET($W$634,$B936,O$631-1)/SUMPRODUCT(--($D$631:$V$631=O$631),--($D1538:$V1538=1)),0)+SUM(O935)+IF(COUNTIF(O$1237:O1538,1)=1,5,0)+IF(COUNTIF(P936:$W936,"&gt;"&amp;0)&lt;5,IF(AND(COUNTIF(O$1237:O1538,1)&gt;7,MOD(1+IFERROR(MATCH($C936,总览!$D$46:$D$345,1)+1,1),7)=0),$C$3,0),0)</f>
        <v>395.43125</v>
      </c>
      <c r="P936" s="131" cm="1">
        <f ca="1" t="array" ref="P936">IF(P1538=1,OFFSET($W$634,$B936,P$631-1)/SUMPRODUCT(--($D$631:$V$631=P$631),--($D1538:$V1538=1)),0)+SUM(P935)+IF(COUNTIF(P$1237:P1538,1)=1,5,0)+IF(COUNTIF(Q936:$W936,"&gt;"&amp;0)&lt;5,IF(AND(COUNTIF(P$1237:P1538,1)&gt;7,MOD(1+IFERROR(MATCH($C936,总览!$D$46:$D$345,1)+1,1),7)=0),$C$3,0),0)</f>
        <v>384.55</v>
      </c>
      <c r="Q936" s="131" cm="1">
        <f ca="1" t="array" ref="Q936">IF(Q1538=1,OFFSET($W$634,$B936,Q$631-1)/SUMPRODUCT(--($D$631:$V$631=Q$631),--($D1538:$V1538=1)),0)+SUM(Q935)+IF(COUNTIF(Q$1237:Q1538,1)=1,5,0)+IF(COUNTIF(R936:$W936,"&gt;"&amp;0)&lt;5,IF(AND(COUNTIF(Q$1237:Q1538,1)&gt;7,MOD(1+IFERROR(MATCH($C936,总览!$D$46:$D$345,1)+1,1),7)=0),$C$3,0),0)</f>
        <v>397.93125</v>
      </c>
      <c r="R936" s="131" cm="1">
        <f ca="1" t="array" ref="R936">IF(R1538=1,OFFSET($W$634,$B936,R$631-1)/SUMPRODUCT(--($D$631:$V$631=R$631),--($D1538:$V1538=1)),0)+SUM(R935)+IF(COUNTIF(R$1237:R1538,1)=1,5,0)+IF(COUNTIF(S936:$W936,"&gt;"&amp;0)&lt;5,IF(AND(COUNTIF(R$1237:R1538,1)&gt;7,MOD(1+IFERROR(MATCH($C936,总览!$D$46:$D$345,1)+1,1),7)=0),$C$3,0),0)</f>
        <v>389.55</v>
      </c>
      <c r="S936" s="131" cm="1">
        <f ca="1" t="array" ref="S936">IF(S1538=1,OFFSET($W$634,$B936,S$631-1)/SUMPRODUCT(--($D$631:$V$631=S$631),--($D1538:$V1538=1)),0)+SUM(S935)+IF(COUNTIF(S$1237:S1538,1)=1,5,0)+IF(COUNTIF(T936:$W936,"&gt;"&amp;0)&lt;5,IF(AND(COUNTIF(S$1237:S1538,1)&gt;7,MOD(1+IFERROR(MATCH($C936,总览!$D$46:$D$345,1)+1,1),7)=0),$C$3,0),0)</f>
        <v>482.050000000001</v>
      </c>
      <c r="T936" s="131" cm="1">
        <f ca="1" t="array" ref="T936">IF(T1538=1,OFFSET($W$634,$B936,T$631-1)/SUMPRODUCT(--($D$631:$V$631=T$631),--($D1538:$V1538=1)),0)+SUM(T935)+IF(COUNTIF(T$1237:T1538,1)=1,5,0)+IF(COUNTIF(U936:$W936,"&gt;"&amp;0)&lt;5,IF(AND(COUNTIF(T$1237:T1538,1)&gt;7,MOD(1+IFERROR(MATCH($C936,总览!$D$46:$D$345,1)+1,1),7)=0),$C$3,0),0)</f>
        <v>352.24313948559</v>
      </c>
      <c r="U936" s="131" cm="1">
        <f ca="1" t="array" ref="U936">IF(U1538=1,OFFSET($W$634,$B936,U$631-1)/SUMPRODUCT(--($D$631:$V$631=U$631),--($D1538:$V1538=1)),0)+SUM(U935)+IF(COUNTIF(U$1237:U1538,1)=1,5,0)+IF(COUNTIF(V936:$W936,"&gt;"&amp;0)&lt;5,IF(AND(COUNTIF(U$1237:U1538,1)&gt;7,MOD(1+IFERROR(MATCH($C936,总览!$D$46:$D$345,1)+1,1),7)=0),$C$3,0),0)</f>
        <v>357.76392584089</v>
      </c>
      <c r="V936" s="131" cm="1">
        <f ca="1" t="array" ref="V936">IF(V1538=1,OFFSET($W$634,$B936,V$631-1)/SUMPRODUCT(--($D$631:$V$631=V$631),--($D1538:$V1538=1)),0)+SUM(V935)+IF(COUNTIF(V$1237:V1538,1)=1,5,0)+IF(COUNTIF(W936:$W936,"&gt;"&amp;0)&lt;5,IF(AND(COUNTIF(V$1237:V1538,1)&gt;7,MOD(1+IFERROR(MATCH($C936,总览!$D$46:$D$345,1)+1,1),7)=0),$C$3,0),0)</f>
        <v>377.590925553323</v>
      </c>
      <c r="W936" s="135" cm="1">
        <f ca="1" t="array" ref="W936">SUMPRODUCT(TRANSPOSE($AA936:$AG936),OFFSET($L$9:$L$15,0,W$631-1))</f>
        <v>16.8502200646615</v>
      </c>
      <c r="X936" s="135" cm="1">
        <f ca="1" t="array" ref="X936">SUMPRODUCT(TRANSPOSE($AA936:$AG936),OFFSET($L$9:$L$15,0,X$631-1))</f>
        <v>20</v>
      </c>
      <c r="Y936" s="135" cm="1">
        <f ca="1" t="array" ref="Y936">SUMPRODUCT(TRANSPOSE($AA936:$AG936),OFFSET($L$9:$L$15,0,Y$631-1))</f>
        <v>10</v>
      </c>
      <c r="Z936" s="135" cm="1">
        <f ca="1" t="array" ref="Z936">SUMPRODUCT(TRANSPOSE($AA936:$AG936),OFFSET($L$9:$L$15,0,Z$631-1))</f>
        <v>3.14977993533847</v>
      </c>
      <c r="AA936" s="136">
        <f ca="1" t="shared" ref="AA936:AG936" si="851">AH936-AH935</f>
        <v>0</v>
      </c>
      <c r="AB936" s="136">
        <f ca="1" t="shared" si="851"/>
        <v>0</v>
      </c>
      <c r="AC936" s="136">
        <f ca="1" t="shared" si="851"/>
        <v>0</v>
      </c>
      <c r="AD936" s="136">
        <f ca="1" t="shared" si="851"/>
        <v>0</v>
      </c>
      <c r="AE936" s="136">
        <f ca="1" t="shared" si="851"/>
        <v>0</v>
      </c>
      <c r="AF936" s="136">
        <f ca="1" t="shared" si="851"/>
        <v>0</v>
      </c>
      <c r="AG936" s="136">
        <f ca="1" t="shared" si="851"/>
        <v>100</v>
      </c>
      <c r="AH936" s="136">
        <f ca="1" t="shared" si="761"/>
        <v>450</v>
      </c>
      <c r="AI936" s="136">
        <f ca="1" t="shared" ref="AI936:AN936" si="852">IF($C936&gt;OFFSET($Q$8,MATCH(AI$634,$AH$634:$AN$634,0),0),OFFSET($P$8,MATCH(AI$634,$AH$634:$AN$634,0),0),MAX(0,$C936-OFFSET($Q$8,RIGHT(AI$634,1)-1,0)))</f>
        <v>909</v>
      </c>
      <c r="AJ936" s="136">
        <f ca="1" t="shared" si="852"/>
        <v>1818</v>
      </c>
      <c r="AK936" s="136">
        <f ca="1" t="shared" si="852"/>
        <v>2727</v>
      </c>
      <c r="AL936" s="136">
        <f ca="1" t="shared" si="852"/>
        <v>3636</v>
      </c>
      <c r="AM936" s="136">
        <f ca="1" t="shared" si="852"/>
        <v>4545</v>
      </c>
      <c r="AN936" s="136">
        <f ca="1" t="shared" si="852"/>
        <v>16115</v>
      </c>
    </row>
    <row r="937" s="106" customFormat="1" ht="16.5" spans="2:40">
      <c r="B937" s="117">
        <v>303</v>
      </c>
      <c r="C937" s="130">
        <f t="shared" si="759"/>
        <v>30300</v>
      </c>
      <c r="D937" s="131" cm="1">
        <f ca="1" t="array" ref="D937">IF(D1539=1,OFFSET($W$634,$B937,D$631-1)/SUMPRODUCT(--($D$631:$V$631=D$631),--($D1539:$V1539=1)),0)+SUM(D936)+IF(COUNTIF(D$1237:D1539,1)=1,5,0)+IF(COUNTIF(E937:$W937,"&gt;"&amp;0)&lt;5,IF(AND(COUNTIF(D$1237:D1539,1)&gt;7,MOD(1+IFERROR(MATCH($C937,总览!$D$46:$D$345,1)+1,1),7)=0),$C$3,0),0)</f>
        <v>2029.57574306162</v>
      </c>
      <c r="E937" s="131" cm="1">
        <f ca="1" t="array" ref="E937">IF(E1539=1,OFFSET($W$634,$B937,E$631-1)/SUMPRODUCT(--($D$631:$V$631=E$631),--($D1539:$V1539=1)),0)+SUM(E936)+IF(COUNTIF(E$1237:E1539,1)=1,5,0)+IF(COUNTIF(F937:$W937,"&gt;"&amp;0)&lt;5,IF(AND(COUNTIF(E$1237:E1539,1)&gt;7,MOD(1+IFERROR(MATCH($C937,总览!$D$46:$D$345,1)+1,1),7)=0),$C$3,0),0)</f>
        <v>2029.57574306162</v>
      </c>
      <c r="F937" s="131" cm="1">
        <f ca="1" t="array" ref="F937">IF(F1539=1,OFFSET($W$634,$B937,F$631-1)/SUMPRODUCT(--($D$631:$V$631=F$631),--($D1539:$V1539=1)),0)+SUM(F936)+IF(COUNTIF(F$1237:F1539,1)=1,5,0)+IF(COUNTIF(G937:$W937,"&gt;"&amp;0)&lt;5,IF(AND(COUNTIF(F$1237:F1539,1)&gt;7,MOD(1+IFERROR(MATCH($C937,总览!$D$46:$D$345,1)+1,1),7)=0),$C$3,0),0)</f>
        <v>2029.57574306162</v>
      </c>
      <c r="G937" s="131" cm="1">
        <f ca="1" t="array" ref="G937">IF(G1539=1,OFFSET($W$634,$B937,G$631-1)/SUMPRODUCT(--($D$631:$V$631=G$631),--($D1539:$V1539=1)),0)+SUM(G936)+IF(COUNTIF(G$1237:G1539,1)=1,5,0)+IF(COUNTIF(H937:$W937,"&gt;"&amp;0)&lt;5,IF(AND(COUNTIF(G$1237:G1539,1)&gt;7,MOD(1+IFERROR(MATCH($C937,总览!$D$46:$D$345,1)+1,1),7)=0),$C$3,0),0)</f>
        <v>949.400000000004</v>
      </c>
      <c r="H937" s="131" cm="1">
        <f ca="1" t="array" ref="H937">IF(H1539=1,OFFSET($W$634,$B937,H$631-1)/SUMPRODUCT(--($D$631:$V$631=H$631),--($D1539:$V1539=1)),0)+SUM(H936)+IF(COUNTIF(H$1237:H1539,1)=1,5,0)+IF(COUNTIF(I937:$W937,"&gt;"&amp;0)&lt;5,IF(AND(COUNTIF(H$1237:H1539,1)&gt;7,MOD(1+IFERROR(MATCH($C937,总览!$D$46:$D$345,1)+1,1),7)=0),$C$3,0),0)</f>
        <v>949.400000000004</v>
      </c>
      <c r="I937" s="131" cm="1">
        <f ca="1" t="array" ref="I937">IF(I1539=1,OFFSET($W$634,$B937,I$631-1)/SUMPRODUCT(--($D$631:$V$631=I$631),--($D1539:$V1539=1)),0)+SUM(I936)+IF(COUNTIF(I$1237:I1539,1)=1,5,0)+IF(COUNTIF(J937:$W937,"&gt;"&amp;0)&lt;5,IF(AND(COUNTIF(I$1237:I1539,1)&gt;7,MOD(1+IFERROR(MATCH($C937,总览!$D$46:$D$345,1)+1,1),7)=0),$C$3,0),0)</f>
        <v>949.400000000004</v>
      </c>
      <c r="J937" s="131" cm="1">
        <f ca="1" t="array" ref="J937">IF(J1539=1,OFFSET($W$634,$B937,J$631-1)/SUMPRODUCT(--($D$631:$V$631=J$631),--($D1539:$V1539=1)),0)+SUM(J936)+IF(COUNTIF(J$1237:J1539,1)=1,5,0)+IF(COUNTIF(K937:$W937,"&gt;"&amp;0)&lt;5,IF(AND(COUNTIF(J$1237:J1539,1)&gt;7,MOD(1+IFERROR(MATCH($C937,总览!$D$46:$D$345,1)+1,1),7)=0),$C$3,0),0)</f>
        <v>946.06666666667</v>
      </c>
      <c r="K937" s="131" cm="1">
        <f ca="1" t="array" ref="K937">IF(K1539=1,OFFSET($W$634,$B937,K$631-1)/SUMPRODUCT(--($D$631:$V$631=K$631),--($D1539:$V1539=1)),0)+SUM(K936)+IF(COUNTIF(K$1237:K1539,1)=1,5,0)+IF(COUNTIF(L937:$W937,"&gt;"&amp;0)&lt;5,IF(AND(COUNTIF(K$1237:K1539,1)&gt;7,MOD(1+IFERROR(MATCH($C937,总览!$D$46:$D$345,1)+1,1),7)=0),$C$3,0),0)</f>
        <v>943.56666666667</v>
      </c>
      <c r="L937" s="131" cm="1">
        <f ca="1" t="array" ref="L937">IF(L1539=1,OFFSET($W$634,$B937,L$631-1)/SUMPRODUCT(--($D$631:$V$631=L$631),--($D1539:$V1539=1)),0)+SUM(L936)+IF(COUNTIF(L$1237:L1539,1)=1,5,0)+IF(COUNTIF(M937:$W937,"&gt;"&amp;0)&lt;5,IF(AND(COUNTIF(L$1237:L1539,1)&gt;7,MOD(1+IFERROR(MATCH($C937,总览!$D$46:$D$345,1)+1,1),7)=0),$C$3,0),0)</f>
        <v>943.56666666667</v>
      </c>
      <c r="M937" s="131" cm="1">
        <f ca="1" t="array" ref="M937">IF(M1539=1,OFFSET($W$634,$B937,M$631-1)/SUMPRODUCT(--($D$631:$V$631=M$631),--($D1539:$V1539=1)),0)+SUM(M936)+IF(COUNTIF(M$1237:M1539,1)=1,5,0)+IF(COUNTIF(N937:$W937,"&gt;"&amp;0)&lt;5,IF(AND(COUNTIF(M$1237:M1539,1)&gt;7,MOD(1+IFERROR(MATCH($C937,总览!$D$46:$D$345,1)+1,1),7)=0),$C$3,0),0)</f>
        <v>390.609821428572</v>
      </c>
      <c r="N937" s="131" cm="1">
        <f ca="1" t="array" ref="N937">IF(N1539=1,OFFSET($W$634,$B937,N$631-1)/SUMPRODUCT(--($D$631:$V$631=N$631),--($D1539:$V1539=1)),0)+SUM(N936)+IF(COUNTIF(N$1237:N1539,1)=1,5,0)+IF(COUNTIF(O937:$W937,"&gt;"&amp;0)&lt;5,IF(AND(COUNTIF(N$1237:N1539,1)&gt;7,MOD(1+IFERROR(MATCH($C937,总览!$D$46:$D$345,1)+1,1),7)=0),$C$3,0),0)</f>
        <v>391.859821428572</v>
      </c>
      <c r="O937" s="131" cm="1">
        <f ca="1" t="array" ref="O937">IF(O1539=1,OFFSET($W$634,$B937,O$631-1)/SUMPRODUCT(--($D$631:$V$631=O$631),--($D1539:$V1539=1)),0)+SUM(O936)+IF(COUNTIF(O$1237:O1539,1)=1,5,0)+IF(COUNTIF(P937:$W937,"&gt;"&amp;0)&lt;5,IF(AND(COUNTIF(O$1237:O1539,1)&gt;7,MOD(1+IFERROR(MATCH($C937,总览!$D$46:$D$345,1)+1,1),7)=0),$C$3,0),0)</f>
        <v>396.859821428572</v>
      </c>
      <c r="P937" s="131" cm="1">
        <f ca="1" t="array" ref="P937">IF(P1539=1,OFFSET($W$634,$B937,P$631-1)/SUMPRODUCT(--($D$631:$V$631=P$631),--($D1539:$V1539=1)),0)+SUM(P936)+IF(COUNTIF(P$1237:P1539,1)=1,5,0)+IF(COUNTIF(Q937:$W937,"&gt;"&amp;0)&lt;5,IF(AND(COUNTIF(P$1237:P1539,1)&gt;7,MOD(1+IFERROR(MATCH($C937,总览!$D$46:$D$345,1)+1,1),7)=0),$C$3,0),0)</f>
        <v>385.978571428572</v>
      </c>
      <c r="Q937" s="131" cm="1">
        <f ca="1" t="array" ref="Q937">IF(Q1539=1,OFFSET($W$634,$B937,Q$631-1)/SUMPRODUCT(--($D$631:$V$631=Q$631),--($D1539:$V1539=1)),0)+SUM(Q936)+IF(COUNTIF(Q$1237:Q1539,1)=1,5,0)+IF(COUNTIF(R937:$W937,"&gt;"&amp;0)&lt;5,IF(AND(COUNTIF(Q$1237:Q1539,1)&gt;7,MOD(1+IFERROR(MATCH($C937,总览!$D$46:$D$345,1)+1,1),7)=0),$C$3,0),0)</f>
        <v>399.359821428572</v>
      </c>
      <c r="R937" s="131" cm="1">
        <f ca="1" t="array" ref="R937">IF(R1539=1,OFFSET($W$634,$B937,R$631-1)/SUMPRODUCT(--($D$631:$V$631=R$631),--($D1539:$V1539=1)),0)+SUM(R936)+IF(COUNTIF(R$1237:R1539,1)=1,5,0)+IF(COUNTIF(S937:$W937,"&gt;"&amp;0)&lt;5,IF(AND(COUNTIF(R$1237:R1539,1)&gt;7,MOD(1+IFERROR(MATCH($C937,总览!$D$46:$D$345,1)+1,1),7)=0),$C$3,0),0)</f>
        <v>390.978571428572</v>
      </c>
      <c r="S937" s="131" cm="1">
        <f ca="1" t="array" ref="S937">IF(S1539=1,OFFSET($W$634,$B937,S$631-1)/SUMPRODUCT(--($D$631:$V$631=S$631),--($D1539:$V1539=1)),0)+SUM(S936)+IF(COUNTIF(S$1237:S1539,1)=1,5,0)+IF(COUNTIF(T937:$W937,"&gt;"&amp;0)&lt;5,IF(AND(COUNTIF(S$1237:S1539,1)&gt;7,MOD(1+IFERROR(MATCH($C937,总览!$D$46:$D$345,1)+1,1),7)=0),$C$3,0),0)</f>
        <v>483.478571428573</v>
      </c>
      <c r="T937" s="131" cm="1">
        <f ca="1" t="array" ref="T937">IF(T1539=1,OFFSET($W$634,$B937,T$631-1)/SUMPRODUCT(--($D$631:$V$631=T$631),--($D1539:$V1539=1)),0)+SUM(T936)+IF(COUNTIF(T$1237:T1539,1)=1,5,0)+IF(COUNTIF(U937:$W937,"&gt;"&amp;0)&lt;5,IF(AND(COUNTIF(T$1237:T1539,1)&gt;7,MOD(1+IFERROR(MATCH($C937,总览!$D$46:$D$345,1)+1,1),7)=0),$C$3,0),0)</f>
        <v>353.293066130703</v>
      </c>
      <c r="U937" s="131" cm="1">
        <f ca="1" t="array" ref="U937">IF(U1539=1,OFFSET($W$634,$B937,U$631-1)/SUMPRODUCT(--($D$631:$V$631=U$631),--($D1539:$V1539=1)),0)+SUM(U936)+IF(COUNTIF(U$1237:U1539,1)=1,5,0)+IF(COUNTIF(V937:$W937,"&gt;"&amp;0)&lt;5,IF(AND(COUNTIF(U$1237:U1539,1)&gt;7,MOD(1+IFERROR(MATCH($C937,总览!$D$46:$D$345,1)+1,1),7)=0),$C$3,0),0)</f>
        <v>358.813852486002</v>
      </c>
      <c r="V937" s="131" cm="1">
        <f ca="1" t="array" ref="V937">IF(V1539=1,OFFSET($W$634,$B937,V$631-1)/SUMPRODUCT(--($D$631:$V$631=V$631),--($D1539:$V1539=1)),0)+SUM(V936)+IF(COUNTIF(V$1237:V1539,1)=1,5,0)+IF(COUNTIF(W937:$W937,"&gt;"&amp;0)&lt;5,IF(AND(COUNTIF(V$1237:V1539,1)&gt;7,MOD(1+IFERROR(MATCH($C937,总览!$D$46:$D$345,1)+1,1),7)=0),$C$3,0),0)</f>
        <v>378.640852198435</v>
      </c>
      <c r="W937" s="135" cm="1">
        <f ca="1" t="array" ref="W937">SUMPRODUCT(TRANSPOSE($AA937:$AG937),OFFSET($L$9:$L$15,0,W$631-1))</f>
        <v>16.8502200646615</v>
      </c>
      <c r="X937" s="135" cm="1">
        <f ca="1" t="array" ref="X937">SUMPRODUCT(TRANSPOSE($AA937:$AG937),OFFSET($L$9:$L$15,0,X$631-1))</f>
        <v>20</v>
      </c>
      <c r="Y937" s="135" cm="1">
        <f ca="1" t="array" ref="Y937">SUMPRODUCT(TRANSPOSE($AA937:$AG937),OFFSET($L$9:$L$15,0,Y$631-1))</f>
        <v>10</v>
      </c>
      <c r="Z937" s="135" cm="1">
        <f ca="1" t="array" ref="Z937">SUMPRODUCT(TRANSPOSE($AA937:$AG937),OFFSET($L$9:$L$15,0,Z$631-1))</f>
        <v>3.14977993533847</v>
      </c>
      <c r="AA937" s="136">
        <f ca="1" t="shared" ref="AA937:AG937" si="853">AH937-AH936</f>
        <v>0</v>
      </c>
      <c r="AB937" s="136">
        <f ca="1" t="shared" si="853"/>
        <v>0</v>
      </c>
      <c r="AC937" s="136">
        <f ca="1" t="shared" si="853"/>
        <v>0</v>
      </c>
      <c r="AD937" s="136">
        <f ca="1" t="shared" si="853"/>
        <v>0</v>
      </c>
      <c r="AE937" s="136">
        <f ca="1" t="shared" si="853"/>
        <v>0</v>
      </c>
      <c r="AF937" s="136">
        <f ca="1" t="shared" si="853"/>
        <v>0</v>
      </c>
      <c r="AG937" s="136">
        <f ca="1" t="shared" si="853"/>
        <v>100</v>
      </c>
      <c r="AH937" s="136">
        <f ca="1" t="shared" si="761"/>
        <v>450</v>
      </c>
      <c r="AI937" s="136">
        <f ca="1" t="shared" ref="AI937:AN937" si="854">IF($C937&gt;OFFSET($Q$8,MATCH(AI$634,$AH$634:$AN$634,0),0),OFFSET($P$8,MATCH(AI$634,$AH$634:$AN$634,0),0),MAX(0,$C937-OFFSET($Q$8,RIGHT(AI$634,1)-1,0)))</f>
        <v>909</v>
      </c>
      <c r="AJ937" s="136">
        <f ca="1" t="shared" si="854"/>
        <v>1818</v>
      </c>
      <c r="AK937" s="136">
        <f ca="1" t="shared" si="854"/>
        <v>2727</v>
      </c>
      <c r="AL937" s="136">
        <f ca="1" t="shared" si="854"/>
        <v>3636</v>
      </c>
      <c r="AM937" s="136">
        <f ca="1" t="shared" si="854"/>
        <v>4545</v>
      </c>
      <c r="AN937" s="136">
        <f ca="1" t="shared" si="854"/>
        <v>16215</v>
      </c>
    </row>
    <row r="938" s="106" customFormat="1" ht="16.5" spans="2:40">
      <c r="B938" s="117">
        <v>304</v>
      </c>
      <c r="C938" s="130">
        <f t="shared" si="759"/>
        <v>30400</v>
      </c>
      <c r="D938" s="131" cm="1">
        <f ca="1" t="array" ref="D938">IF(D1540=1,OFFSET($W$634,$B938,D$631-1)/SUMPRODUCT(--($D$631:$V$631=D$631),--($D1540:$V1540=1)),0)+SUM(D937)+IF(COUNTIF(D$1237:D1540,1)=1,5,0)+IF(COUNTIF(E938:$W938,"&gt;"&amp;0)&lt;5,IF(AND(COUNTIF(D$1237:D1540,1)&gt;7,MOD(1+IFERROR(MATCH($C938,总览!$D$46:$D$345,1)+1,1),7)=0),$C$3,0),0)</f>
        <v>2035.19248308317</v>
      </c>
      <c r="E938" s="131" cm="1">
        <f ca="1" t="array" ref="E938">IF(E1540=1,OFFSET($W$634,$B938,E$631-1)/SUMPRODUCT(--($D$631:$V$631=E$631),--($D1540:$V1540=1)),0)+SUM(E937)+IF(COUNTIF(E$1237:E1540,1)=1,5,0)+IF(COUNTIF(F938:$W938,"&gt;"&amp;0)&lt;5,IF(AND(COUNTIF(E$1237:E1540,1)&gt;7,MOD(1+IFERROR(MATCH($C938,总览!$D$46:$D$345,1)+1,1),7)=0),$C$3,0),0)</f>
        <v>2035.19248308317</v>
      </c>
      <c r="F938" s="131" cm="1">
        <f ca="1" t="array" ref="F938">IF(F1540=1,OFFSET($W$634,$B938,F$631-1)/SUMPRODUCT(--($D$631:$V$631=F$631),--($D1540:$V1540=1)),0)+SUM(F937)+IF(COUNTIF(F$1237:F1540,1)=1,5,0)+IF(COUNTIF(G938:$W938,"&gt;"&amp;0)&lt;5,IF(AND(COUNTIF(F$1237:F1540,1)&gt;7,MOD(1+IFERROR(MATCH($C938,总览!$D$46:$D$345,1)+1,1),7)=0),$C$3,0),0)</f>
        <v>2035.19248308317</v>
      </c>
      <c r="G938" s="131" cm="1">
        <f ca="1" t="array" ref="G938">IF(G1540=1,OFFSET($W$634,$B938,G$631-1)/SUMPRODUCT(--($D$631:$V$631=G$631),--($D1540:$V1540=1)),0)+SUM(G937)+IF(COUNTIF(G$1237:G1540,1)=1,5,0)+IF(COUNTIF(H938:$W938,"&gt;"&amp;0)&lt;5,IF(AND(COUNTIF(G$1237:G1540,1)&gt;7,MOD(1+IFERROR(MATCH($C938,总览!$D$46:$D$345,1)+1,1),7)=0),$C$3,0),0)</f>
        <v>952.733333333337</v>
      </c>
      <c r="H938" s="131" cm="1">
        <f ca="1" t="array" ref="H938">IF(H1540=1,OFFSET($W$634,$B938,H$631-1)/SUMPRODUCT(--($D$631:$V$631=H$631),--($D1540:$V1540=1)),0)+SUM(H937)+IF(COUNTIF(H$1237:H1540,1)=1,5,0)+IF(COUNTIF(I938:$W938,"&gt;"&amp;0)&lt;5,IF(AND(COUNTIF(H$1237:H1540,1)&gt;7,MOD(1+IFERROR(MATCH($C938,总览!$D$46:$D$345,1)+1,1),7)=0),$C$3,0),0)</f>
        <v>952.733333333337</v>
      </c>
      <c r="I938" s="131" cm="1">
        <f ca="1" t="array" ref="I938">IF(I1540=1,OFFSET($W$634,$B938,I$631-1)/SUMPRODUCT(--($D$631:$V$631=I$631),--($D1540:$V1540=1)),0)+SUM(I937)+IF(COUNTIF(I$1237:I1540,1)=1,5,0)+IF(COUNTIF(J938:$W938,"&gt;"&amp;0)&lt;5,IF(AND(COUNTIF(I$1237:I1540,1)&gt;7,MOD(1+IFERROR(MATCH($C938,总览!$D$46:$D$345,1)+1,1),7)=0),$C$3,0),0)</f>
        <v>952.733333333337</v>
      </c>
      <c r="J938" s="131" cm="1">
        <f ca="1" t="array" ref="J938">IF(J1540=1,OFFSET($W$634,$B938,J$631-1)/SUMPRODUCT(--($D$631:$V$631=J$631),--($D1540:$V1540=1)),0)+SUM(J937)+IF(COUNTIF(J$1237:J1540,1)=1,5,0)+IF(COUNTIF(K938:$W938,"&gt;"&amp;0)&lt;5,IF(AND(COUNTIF(J$1237:J1540,1)&gt;7,MOD(1+IFERROR(MATCH($C938,总览!$D$46:$D$345,1)+1,1),7)=0),$C$3,0),0)</f>
        <v>949.400000000004</v>
      </c>
      <c r="K938" s="131" cm="1">
        <f ca="1" t="array" ref="K938">IF(K1540=1,OFFSET($W$634,$B938,K$631-1)/SUMPRODUCT(--($D$631:$V$631=K$631),--($D1540:$V1540=1)),0)+SUM(K937)+IF(COUNTIF(K$1237:K1540,1)=1,5,0)+IF(COUNTIF(L938:$W938,"&gt;"&amp;0)&lt;5,IF(AND(COUNTIF(K$1237:K1540,1)&gt;7,MOD(1+IFERROR(MATCH($C938,总览!$D$46:$D$345,1)+1,1),7)=0),$C$3,0),0)</f>
        <v>946.900000000004</v>
      </c>
      <c r="L938" s="131" cm="1">
        <f ca="1" t="array" ref="L938">IF(L1540=1,OFFSET($W$634,$B938,L$631-1)/SUMPRODUCT(--($D$631:$V$631=L$631),--($D1540:$V1540=1)),0)+SUM(L937)+IF(COUNTIF(L$1237:L1540,1)=1,5,0)+IF(COUNTIF(M938:$W938,"&gt;"&amp;0)&lt;5,IF(AND(COUNTIF(L$1237:L1540,1)&gt;7,MOD(1+IFERROR(MATCH($C938,总览!$D$46:$D$345,1)+1,1),7)=0),$C$3,0),0)</f>
        <v>946.900000000004</v>
      </c>
      <c r="M938" s="131" cm="1">
        <f ca="1" t="array" ref="M938">IF(M1540=1,OFFSET($W$634,$B938,M$631-1)/SUMPRODUCT(--($D$631:$V$631=M$631),--($D1540:$V1540=1)),0)+SUM(M937)+IF(COUNTIF(M$1237:M1540,1)=1,5,0)+IF(COUNTIF(N938:$W938,"&gt;"&amp;0)&lt;5,IF(AND(COUNTIF(M$1237:M1540,1)&gt;7,MOD(1+IFERROR(MATCH($C938,总览!$D$46:$D$345,1)+1,1),7)=0),$C$3,0),0)</f>
        <v>392.038392857143</v>
      </c>
      <c r="N938" s="131" cm="1">
        <f ca="1" t="array" ref="N938">IF(N1540=1,OFFSET($W$634,$B938,N$631-1)/SUMPRODUCT(--($D$631:$V$631=N$631),--($D1540:$V1540=1)),0)+SUM(N937)+IF(COUNTIF(N$1237:N1540,1)=1,5,0)+IF(COUNTIF(O938:$W938,"&gt;"&amp;0)&lt;5,IF(AND(COUNTIF(N$1237:N1540,1)&gt;7,MOD(1+IFERROR(MATCH($C938,总览!$D$46:$D$345,1)+1,1),7)=0),$C$3,0),0)</f>
        <v>393.288392857143</v>
      </c>
      <c r="O938" s="131" cm="1">
        <f ca="1" t="array" ref="O938">IF(O1540=1,OFFSET($W$634,$B938,O$631-1)/SUMPRODUCT(--($D$631:$V$631=O$631),--($D1540:$V1540=1)),0)+SUM(O937)+IF(COUNTIF(O$1237:O1540,1)=1,5,0)+IF(COUNTIF(P938:$W938,"&gt;"&amp;0)&lt;5,IF(AND(COUNTIF(O$1237:O1540,1)&gt;7,MOD(1+IFERROR(MATCH($C938,总览!$D$46:$D$345,1)+1,1),7)=0),$C$3,0),0)</f>
        <v>398.288392857143</v>
      </c>
      <c r="P938" s="131" cm="1">
        <f ca="1" t="array" ref="P938">IF(P1540=1,OFFSET($W$634,$B938,P$631-1)/SUMPRODUCT(--($D$631:$V$631=P$631),--($D1540:$V1540=1)),0)+SUM(P937)+IF(COUNTIF(P$1237:P1540,1)=1,5,0)+IF(COUNTIF(Q938:$W938,"&gt;"&amp;0)&lt;5,IF(AND(COUNTIF(P$1237:P1540,1)&gt;7,MOD(1+IFERROR(MATCH($C938,总览!$D$46:$D$345,1)+1,1),7)=0),$C$3,0),0)</f>
        <v>387.407142857143</v>
      </c>
      <c r="Q938" s="131" cm="1">
        <f ca="1" t="array" ref="Q938">IF(Q1540=1,OFFSET($W$634,$B938,Q$631-1)/SUMPRODUCT(--($D$631:$V$631=Q$631),--($D1540:$V1540=1)),0)+SUM(Q937)+IF(COUNTIF(Q$1237:Q1540,1)=1,5,0)+IF(COUNTIF(R938:$W938,"&gt;"&amp;0)&lt;5,IF(AND(COUNTIF(Q$1237:Q1540,1)&gt;7,MOD(1+IFERROR(MATCH($C938,总览!$D$46:$D$345,1)+1,1),7)=0),$C$3,0),0)</f>
        <v>400.788392857143</v>
      </c>
      <c r="R938" s="131" cm="1">
        <f ca="1" t="array" ref="R938">IF(R1540=1,OFFSET($W$634,$B938,R$631-1)/SUMPRODUCT(--($D$631:$V$631=R$631),--($D1540:$V1540=1)),0)+SUM(R937)+IF(COUNTIF(R$1237:R1540,1)=1,5,0)+IF(COUNTIF(S938:$W938,"&gt;"&amp;0)&lt;5,IF(AND(COUNTIF(R$1237:R1540,1)&gt;7,MOD(1+IFERROR(MATCH($C938,总览!$D$46:$D$345,1)+1,1),7)=0),$C$3,0),0)</f>
        <v>392.407142857143</v>
      </c>
      <c r="S938" s="131" cm="1">
        <f ca="1" t="array" ref="S938">IF(S1540=1,OFFSET($W$634,$B938,S$631-1)/SUMPRODUCT(--($D$631:$V$631=S$631),--($D1540:$V1540=1)),0)+SUM(S937)+IF(COUNTIF(S$1237:S1540,1)=1,5,0)+IF(COUNTIF(T938:$W938,"&gt;"&amp;0)&lt;5,IF(AND(COUNTIF(S$1237:S1540,1)&gt;7,MOD(1+IFERROR(MATCH($C938,总览!$D$46:$D$345,1)+1,1),7)=0),$C$3,0),0)</f>
        <v>484.907142857144</v>
      </c>
      <c r="T938" s="131" cm="1">
        <f ca="1" t="array" ref="T938">IF(T1540=1,OFFSET($W$634,$B938,T$631-1)/SUMPRODUCT(--($D$631:$V$631=T$631),--($D1540:$V1540=1)),0)+SUM(T937)+IF(COUNTIF(T$1237:T1540,1)=1,5,0)+IF(COUNTIF(U938:$W938,"&gt;"&amp;0)&lt;5,IF(AND(COUNTIF(T$1237:T1540,1)&gt;7,MOD(1+IFERROR(MATCH($C938,总览!$D$46:$D$345,1)+1,1),7)=0),$C$3,0),0)</f>
        <v>354.342992775816</v>
      </c>
      <c r="U938" s="131" cm="1">
        <f ca="1" t="array" ref="U938">IF(U1540=1,OFFSET($W$634,$B938,U$631-1)/SUMPRODUCT(--($D$631:$V$631=U$631),--($D1540:$V1540=1)),0)+SUM(U937)+IF(COUNTIF(U$1237:U1540,1)=1,5,0)+IF(COUNTIF(V938:$W938,"&gt;"&amp;0)&lt;5,IF(AND(COUNTIF(U$1237:U1540,1)&gt;7,MOD(1+IFERROR(MATCH($C938,总览!$D$46:$D$345,1)+1,1),7)=0),$C$3,0),0)</f>
        <v>359.863779131115</v>
      </c>
      <c r="V938" s="131" cm="1">
        <f ca="1" t="array" ref="V938">IF(V1540=1,OFFSET($W$634,$B938,V$631-1)/SUMPRODUCT(--($D$631:$V$631=V$631),--($D1540:$V1540=1)),0)+SUM(V937)+IF(COUNTIF(V$1237:V1540,1)=1,5,0)+IF(COUNTIF(W938:$W938,"&gt;"&amp;0)&lt;5,IF(AND(COUNTIF(V$1237:V1540,1)&gt;7,MOD(1+IFERROR(MATCH($C938,总览!$D$46:$D$345,1)+1,1),7)=0),$C$3,0),0)</f>
        <v>379.690778843548</v>
      </c>
      <c r="W938" s="135" cm="1">
        <f ca="1" t="array" ref="W938">SUMPRODUCT(TRANSPOSE($AA938:$AG938),OFFSET($L$9:$L$15,0,W$631-1))</f>
        <v>16.8502200646615</v>
      </c>
      <c r="X938" s="135" cm="1">
        <f ca="1" t="array" ref="X938">SUMPRODUCT(TRANSPOSE($AA938:$AG938),OFFSET($L$9:$L$15,0,X$631-1))</f>
        <v>20</v>
      </c>
      <c r="Y938" s="135" cm="1">
        <f ca="1" t="array" ref="Y938">SUMPRODUCT(TRANSPOSE($AA938:$AG938),OFFSET($L$9:$L$15,0,Y$631-1))</f>
        <v>10</v>
      </c>
      <c r="Z938" s="135" cm="1">
        <f ca="1" t="array" ref="Z938">SUMPRODUCT(TRANSPOSE($AA938:$AG938),OFFSET($L$9:$L$15,0,Z$631-1))</f>
        <v>3.14977993533847</v>
      </c>
      <c r="AA938" s="136">
        <f ca="1" t="shared" ref="AA938:AG938" si="855">AH938-AH937</f>
        <v>0</v>
      </c>
      <c r="AB938" s="136">
        <f ca="1" t="shared" si="855"/>
        <v>0</v>
      </c>
      <c r="AC938" s="136">
        <f ca="1" t="shared" si="855"/>
        <v>0</v>
      </c>
      <c r="AD938" s="136">
        <f ca="1" t="shared" si="855"/>
        <v>0</v>
      </c>
      <c r="AE938" s="136">
        <f ca="1" t="shared" si="855"/>
        <v>0</v>
      </c>
      <c r="AF938" s="136">
        <f ca="1" t="shared" si="855"/>
        <v>0</v>
      </c>
      <c r="AG938" s="136">
        <f ca="1" t="shared" si="855"/>
        <v>100</v>
      </c>
      <c r="AH938" s="136">
        <f ca="1" t="shared" si="761"/>
        <v>450</v>
      </c>
      <c r="AI938" s="136">
        <f ca="1" t="shared" ref="AI938:AN938" si="856">IF($C938&gt;OFFSET($Q$8,MATCH(AI$634,$AH$634:$AN$634,0),0),OFFSET($P$8,MATCH(AI$634,$AH$634:$AN$634,0),0),MAX(0,$C938-OFFSET($Q$8,RIGHT(AI$634,1)-1,0)))</f>
        <v>909</v>
      </c>
      <c r="AJ938" s="136">
        <f ca="1" t="shared" si="856"/>
        <v>1818</v>
      </c>
      <c r="AK938" s="136">
        <f ca="1" t="shared" si="856"/>
        <v>2727</v>
      </c>
      <c r="AL938" s="136">
        <f ca="1" t="shared" si="856"/>
        <v>3636</v>
      </c>
      <c r="AM938" s="136">
        <f ca="1" t="shared" si="856"/>
        <v>4545</v>
      </c>
      <c r="AN938" s="136">
        <f ca="1" t="shared" si="856"/>
        <v>16315</v>
      </c>
    </row>
    <row r="939" s="106" customFormat="1" ht="16.5" spans="2:40">
      <c r="B939" s="117">
        <v>305</v>
      </c>
      <c r="C939" s="130">
        <f t="shared" si="759"/>
        <v>30500</v>
      </c>
      <c r="D939" s="131" cm="1">
        <f ca="1" t="array" ref="D939">IF(D1541=1,OFFSET($W$634,$B939,D$631-1)/SUMPRODUCT(--($D$631:$V$631=D$631),--($D1541:$V1541=1)),0)+SUM(D938)+IF(COUNTIF(D$1237:D1541,1)=1,5,0)+IF(COUNTIF(E939:$W939,"&gt;"&amp;0)&lt;5,IF(AND(COUNTIF(D$1237:D1541,1)&gt;7,MOD(1+IFERROR(MATCH($C939,总览!$D$46:$D$345,1)+1,1),7)=0),$C$3,0),0)</f>
        <v>2040.80922310472</v>
      </c>
      <c r="E939" s="131" cm="1">
        <f ca="1" t="array" ref="E939">IF(E1541=1,OFFSET($W$634,$B939,E$631-1)/SUMPRODUCT(--($D$631:$V$631=E$631),--($D1541:$V1541=1)),0)+SUM(E938)+IF(COUNTIF(E$1237:E1541,1)=1,5,0)+IF(COUNTIF(F939:$W939,"&gt;"&amp;0)&lt;5,IF(AND(COUNTIF(E$1237:E1541,1)&gt;7,MOD(1+IFERROR(MATCH($C939,总览!$D$46:$D$345,1)+1,1),7)=0),$C$3,0),0)</f>
        <v>2040.80922310472</v>
      </c>
      <c r="F939" s="131" cm="1">
        <f ca="1" t="array" ref="F939">IF(F1541=1,OFFSET($W$634,$B939,F$631-1)/SUMPRODUCT(--($D$631:$V$631=F$631),--($D1541:$V1541=1)),0)+SUM(F938)+IF(COUNTIF(F$1237:F1541,1)=1,5,0)+IF(COUNTIF(G939:$W939,"&gt;"&amp;0)&lt;5,IF(AND(COUNTIF(F$1237:F1541,1)&gt;7,MOD(1+IFERROR(MATCH($C939,总览!$D$46:$D$345,1)+1,1),7)=0),$C$3,0),0)</f>
        <v>2040.80922310472</v>
      </c>
      <c r="G939" s="131" cm="1">
        <f ca="1" t="array" ref="G939">IF(G1541=1,OFFSET($W$634,$B939,G$631-1)/SUMPRODUCT(--($D$631:$V$631=G$631),--($D1541:$V1541=1)),0)+SUM(G938)+IF(COUNTIF(G$1237:G1541,1)=1,5,0)+IF(COUNTIF(H939:$W939,"&gt;"&amp;0)&lt;5,IF(AND(COUNTIF(G$1237:G1541,1)&gt;7,MOD(1+IFERROR(MATCH($C939,总览!$D$46:$D$345,1)+1,1),7)=0),$C$3,0),0)</f>
        <v>956.06666666667</v>
      </c>
      <c r="H939" s="131" cm="1">
        <f ca="1" t="array" ref="H939">IF(H1541=1,OFFSET($W$634,$B939,H$631-1)/SUMPRODUCT(--($D$631:$V$631=H$631),--($D1541:$V1541=1)),0)+SUM(H938)+IF(COUNTIF(H$1237:H1541,1)=1,5,0)+IF(COUNTIF(I939:$W939,"&gt;"&amp;0)&lt;5,IF(AND(COUNTIF(H$1237:H1541,1)&gt;7,MOD(1+IFERROR(MATCH($C939,总览!$D$46:$D$345,1)+1,1),7)=0),$C$3,0),0)</f>
        <v>956.06666666667</v>
      </c>
      <c r="I939" s="131" cm="1">
        <f ca="1" t="array" ref="I939">IF(I1541=1,OFFSET($W$634,$B939,I$631-1)/SUMPRODUCT(--($D$631:$V$631=I$631),--($D1541:$V1541=1)),0)+SUM(I938)+IF(COUNTIF(I$1237:I1541,1)=1,5,0)+IF(COUNTIF(J939:$W939,"&gt;"&amp;0)&lt;5,IF(AND(COUNTIF(I$1237:I1541,1)&gt;7,MOD(1+IFERROR(MATCH($C939,总览!$D$46:$D$345,1)+1,1),7)=0),$C$3,0),0)</f>
        <v>956.06666666667</v>
      </c>
      <c r="J939" s="131" cm="1">
        <f ca="1" t="array" ref="J939">IF(J1541=1,OFFSET($W$634,$B939,J$631-1)/SUMPRODUCT(--($D$631:$V$631=J$631),--($D1541:$V1541=1)),0)+SUM(J938)+IF(COUNTIF(J$1237:J1541,1)=1,5,0)+IF(COUNTIF(K939:$W939,"&gt;"&amp;0)&lt;5,IF(AND(COUNTIF(J$1237:J1541,1)&gt;7,MOD(1+IFERROR(MATCH($C939,总览!$D$46:$D$345,1)+1,1),7)=0),$C$3,0),0)</f>
        <v>952.733333333337</v>
      </c>
      <c r="K939" s="131" cm="1">
        <f ca="1" t="array" ref="K939">IF(K1541=1,OFFSET($W$634,$B939,K$631-1)/SUMPRODUCT(--($D$631:$V$631=K$631),--($D1541:$V1541=1)),0)+SUM(K938)+IF(COUNTIF(K$1237:K1541,1)=1,5,0)+IF(COUNTIF(L939:$W939,"&gt;"&amp;0)&lt;5,IF(AND(COUNTIF(K$1237:K1541,1)&gt;7,MOD(1+IFERROR(MATCH($C939,总览!$D$46:$D$345,1)+1,1),7)=0),$C$3,0),0)</f>
        <v>950.233333333337</v>
      </c>
      <c r="L939" s="131" cm="1">
        <f ca="1" t="array" ref="L939">IF(L1541=1,OFFSET($W$634,$B939,L$631-1)/SUMPRODUCT(--($D$631:$V$631=L$631),--($D1541:$V1541=1)),0)+SUM(L938)+IF(COUNTIF(L$1237:L1541,1)=1,5,0)+IF(COUNTIF(M939:$W939,"&gt;"&amp;0)&lt;5,IF(AND(COUNTIF(L$1237:L1541,1)&gt;7,MOD(1+IFERROR(MATCH($C939,总览!$D$46:$D$345,1)+1,1),7)=0),$C$3,0),0)</f>
        <v>950.233333333337</v>
      </c>
      <c r="M939" s="131" cm="1">
        <f ca="1" t="array" ref="M939">IF(M1541=1,OFFSET($W$634,$B939,M$631-1)/SUMPRODUCT(--($D$631:$V$631=M$631),--($D1541:$V1541=1)),0)+SUM(M938)+IF(COUNTIF(M$1237:M1541,1)=1,5,0)+IF(COUNTIF(N939:$W939,"&gt;"&amp;0)&lt;5,IF(AND(COUNTIF(M$1237:M1541,1)&gt;7,MOD(1+IFERROR(MATCH($C939,总览!$D$46:$D$345,1)+1,1),7)=0),$C$3,0),0)</f>
        <v>393.466964285715</v>
      </c>
      <c r="N939" s="131" cm="1">
        <f ca="1" t="array" ref="N939">IF(N1541=1,OFFSET($W$634,$B939,N$631-1)/SUMPRODUCT(--($D$631:$V$631=N$631),--($D1541:$V1541=1)),0)+SUM(N938)+IF(COUNTIF(N$1237:N1541,1)=1,5,0)+IF(COUNTIF(O939:$W939,"&gt;"&amp;0)&lt;5,IF(AND(COUNTIF(N$1237:N1541,1)&gt;7,MOD(1+IFERROR(MATCH($C939,总览!$D$46:$D$345,1)+1,1),7)=0),$C$3,0),0)</f>
        <v>394.716964285715</v>
      </c>
      <c r="O939" s="131" cm="1">
        <f ca="1" t="array" ref="O939">IF(O1541=1,OFFSET($W$634,$B939,O$631-1)/SUMPRODUCT(--($D$631:$V$631=O$631),--($D1541:$V1541=1)),0)+SUM(O938)+IF(COUNTIF(O$1237:O1541,1)=1,5,0)+IF(COUNTIF(P939:$W939,"&gt;"&amp;0)&lt;5,IF(AND(COUNTIF(O$1237:O1541,1)&gt;7,MOD(1+IFERROR(MATCH($C939,总览!$D$46:$D$345,1)+1,1),7)=0),$C$3,0),0)</f>
        <v>399.716964285715</v>
      </c>
      <c r="P939" s="131" cm="1">
        <f ca="1" t="array" ref="P939">IF(P1541=1,OFFSET($W$634,$B939,P$631-1)/SUMPRODUCT(--($D$631:$V$631=P$631),--($D1541:$V1541=1)),0)+SUM(P938)+IF(COUNTIF(P$1237:P1541,1)=1,5,0)+IF(COUNTIF(Q939:$W939,"&gt;"&amp;0)&lt;5,IF(AND(COUNTIF(P$1237:P1541,1)&gt;7,MOD(1+IFERROR(MATCH($C939,总览!$D$46:$D$345,1)+1,1),7)=0),$C$3,0),0)</f>
        <v>388.835714285715</v>
      </c>
      <c r="Q939" s="131" cm="1">
        <f ca="1" t="array" ref="Q939">IF(Q1541=1,OFFSET($W$634,$B939,Q$631-1)/SUMPRODUCT(--($D$631:$V$631=Q$631),--($D1541:$V1541=1)),0)+SUM(Q938)+IF(COUNTIF(Q$1237:Q1541,1)=1,5,0)+IF(COUNTIF(R939:$W939,"&gt;"&amp;0)&lt;5,IF(AND(COUNTIF(Q$1237:Q1541,1)&gt;7,MOD(1+IFERROR(MATCH($C939,总览!$D$46:$D$345,1)+1,1),7)=0),$C$3,0),0)</f>
        <v>402.216964285715</v>
      </c>
      <c r="R939" s="131" cm="1">
        <f ca="1" t="array" ref="R939">IF(R1541=1,OFFSET($W$634,$B939,R$631-1)/SUMPRODUCT(--($D$631:$V$631=R$631),--($D1541:$V1541=1)),0)+SUM(R938)+IF(COUNTIF(R$1237:R1541,1)=1,5,0)+IF(COUNTIF(S939:$W939,"&gt;"&amp;0)&lt;5,IF(AND(COUNTIF(R$1237:R1541,1)&gt;7,MOD(1+IFERROR(MATCH($C939,总览!$D$46:$D$345,1)+1,1),7)=0),$C$3,0),0)</f>
        <v>393.835714285715</v>
      </c>
      <c r="S939" s="131" cm="1">
        <f ca="1" t="array" ref="S939">IF(S1541=1,OFFSET($W$634,$B939,S$631-1)/SUMPRODUCT(--($D$631:$V$631=S$631),--($D1541:$V1541=1)),0)+SUM(S938)+IF(COUNTIF(S$1237:S1541,1)=1,5,0)+IF(COUNTIF(T939:$W939,"&gt;"&amp;0)&lt;5,IF(AND(COUNTIF(S$1237:S1541,1)&gt;7,MOD(1+IFERROR(MATCH($C939,总览!$D$46:$D$345,1)+1,1),7)=0),$C$3,0),0)</f>
        <v>486.335714285716</v>
      </c>
      <c r="T939" s="131" cm="1">
        <f ca="1" t="array" ref="T939">IF(T1541=1,OFFSET($W$634,$B939,T$631-1)/SUMPRODUCT(--($D$631:$V$631=T$631),--($D1541:$V1541=1)),0)+SUM(T938)+IF(COUNTIF(T$1237:T1541,1)=1,5,0)+IF(COUNTIF(U939:$W939,"&gt;"&amp;0)&lt;5,IF(AND(COUNTIF(T$1237:T1541,1)&gt;7,MOD(1+IFERROR(MATCH($C939,总览!$D$46:$D$345,1)+1,1),7)=0),$C$3,0),0)</f>
        <v>355.392919420928</v>
      </c>
      <c r="U939" s="131" cm="1">
        <f ca="1" t="array" ref="U939">IF(U1541=1,OFFSET($W$634,$B939,U$631-1)/SUMPRODUCT(--($D$631:$V$631=U$631),--($D1541:$V1541=1)),0)+SUM(U938)+IF(COUNTIF(U$1237:U1541,1)=1,5,0)+IF(COUNTIF(V939:$W939,"&gt;"&amp;0)&lt;5,IF(AND(COUNTIF(U$1237:U1541,1)&gt;7,MOD(1+IFERROR(MATCH($C939,总览!$D$46:$D$345,1)+1,1),7)=0),$C$3,0),0)</f>
        <v>360.913705776228</v>
      </c>
      <c r="V939" s="131" cm="1">
        <f ca="1" t="array" ref="V939">IF(V1541=1,OFFSET($W$634,$B939,V$631-1)/SUMPRODUCT(--($D$631:$V$631=V$631),--($D1541:$V1541=1)),0)+SUM(V938)+IF(COUNTIF(V$1237:V1541,1)=1,5,0)+IF(COUNTIF(W939:$W939,"&gt;"&amp;0)&lt;5,IF(AND(COUNTIF(V$1237:V1541,1)&gt;7,MOD(1+IFERROR(MATCH($C939,总览!$D$46:$D$345,1)+1,1),7)=0),$C$3,0),0)</f>
        <v>380.740705488661</v>
      </c>
      <c r="W939" s="135" cm="1">
        <f ca="1" t="array" ref="W939">SUMPRODUCT(TRANSPOSE($AA939:$AG939),OFFSET($L$9:$L$15,0,W$631-1))</f>
        <v>16.8502200646615</v>
      </c>
      <c r="X939" s="135" cm="1">
        <f ca="1" t="array" ref="X939">SUMPRODUCT(TRANSPOSE($AA939:$AG939),OFFSET($L$9:$L$15,0,X$631-1))</f>
        <v>20</v>
      </c>
      <c r="Y939" s="135" cm="1">
        <f ca="1" t="array" ref="Y939">SUMPRODUCT(TRANSPOSE($AA939:$AG939),OFFSET($L$9:$L$15,0,Y$631-1))</f>
        <v>10</v>
      </c>
      <c r="Z939" s="135" cm="1">
        <f ca="1" t="array" ref="Z939">SUMPRODUCT(TRANSPOSE($AA939:$AG939),OFFSET($L$9:$L$15,0,Z$631-1))</f>
        <v>3.14977993533847</v>
      </c>
      <c r="AA939" s="136">
        <f ca="1" t="shared" ref="AA939:AG939" si="857">AH939-AH938</f>
        <v>0</v>
      </c>
      <c r="AB939" s="136">
        <f ca="1" t="shared" si="857"/>
        <v>0</v>
      </c>
      <c r="AC939" s="136">
        <f ca="1" t="shared" si="857"/>
        <v>0</v>
      </c>
      <c r="AD939" s="136">
        <f ca="1" t="shared" si="857"/>
        <v>0</v>
      </c>
      <c r="AE939" s="136">
        <f ca="1" t="shared" si="857"/>
        <v>0</v>
      </c>
      <c r="AF939" s="136">
        <f ca="1" t="shared" si="857"/>
        <v>0</v>
      </c>
      <c r="AG939" s="136">
        <f ca="1" t="shared" si="857"/>
        <v>100</v>
      </c>
      <c r="AH939" s="136">
        <f ca="1" t="shared" si="761"/>
        <v>450</v>
      </c>
      <c r="AI939" s="136">
        <f ca="1" t="shared" ref="AI939:AN939" si="858">IF($C939&gt;OFFSET($Q$8,MATCH(AI$634,$AH$634:$AN$634,0),0),OFFSET($P$8,MATCH(AI$634,$AH$634:$AN$634,0),0),MAX(0,$C939-OFFSET($Q$8,RIGHT(AI$634,1)-1,0)))</f>
        <v>909</v>
      </c>
      <c r="AJ939" s="136">
        <f ca="1" t="shared" si="858"/>
        <v>1818</v>
      </c>
      <c r="AK939" s="136">
        <f ca="1" t="shared" si="858"/>
        <v>2727</v>
      </c>
      <c r="AL939" s="136">
        <f ca="1" t="shared" si="858"/>
        <v>3636</v>
      </c>
      <c r="AM939" s="136">
        <f ca="1" t="shared" si="858"/>
        <v>4545</v>
      </c>
      <c r="AN939" s="136">
        <f ca="1" t="shared" si="858"/>
        <v>16415</v>
      </c>
    </row>
    <row r="940" s="106" customFormat="1" ht="16.5" spans="2:40">
      <c r="B940" s="117">
        <v>306</v>
      </c>
      <c r="C940" s="130">
        <f t="shared" si="759"/>
        <v>30600</v>
      </c>
      <c r="D940" s="131" cm="1">
        <f ca="1" t="array" ref="D940">IF(D1542=1,OFFSET($W$634,$B940,D$631-1)/SUMPRODUCT(--($D$631:$V$631=D$631),--($D1542:$V1542=1)),0)+SUM(D939)+IF(COUNTIF(D$1237:D1542,1)=1,5,0)+IF(COUNTIF(E940:$W940,"&gt;"&amp;0)&lt;5,IF(AND(COUNTIF(D$1237:D1542,1)&gt;7,MOD(1+IFERROR(MATCH($C940,总览!$D$46:$D$345,1)+1,1),7)=0),$C$3,0),0)</f>
        <v>2046.42596312628</v>
      </c>
      <c r="E940" s="131" cm="1">
        <f ca="1" t="array" ref="E940">IF(E1542=1,OFFSET($W$634,$B940,E$631-1)/SUMPRODUCT(--($D$631:$V$631=E$631),--($D1542:$V1542=1)),0)+SUM(E939)+IF(COUNTIF(E$1237:E1542,1)=1,5,0)+IF(COUNTIF(F940:$W940,"&gt;"&amp;0)&lt;5,IF(AND(COUNTIF(E$1237:E1542,1)&gt;7,MOD(1+IFERROR(MATCH($C940,总览!$D$46:$D$345,1)+1,1),7)=0),$C$3,0),0)</f>
        <v>2046.42596312628</v>
      </c>
      <c r="F940" s="131" cm="1">
        <f ca="1" t="array" ref="F940">IF(F1542=1,OFFSET($W$634,$B940,F$631-1)/SUMPRODUCT(--($D$631:$V$631=F$631),--($D1542:$V1542=1)),0)+SUM(F939)+IF(COUNTIF(F$1237:F1542,1)=1,5,0)+IF(COUNTIF(G940:$W940,"&gt;"&amp;0)&lt;5,IF(AND(COUNTIF(F$1237:F1542,1)&gt;7,MOD(1+IFERROR(MATCH($C940,总览!$D$46:$D$345,1)+1,1),7)=0),$C$3,0),0)</f>
        <v>2046.42596312628</v>
      </c>
      <c r="G940" s="131" cm="1">
        <f ca="1" t="array" ref="G940">IF(G1542=1,OFFSET($W$634,$B940,G$631-1)/SUMPRODUCT(--($D$631:$V$631=G$631),--($D1542:$V1542=1)),0)+SUM(G939)+IF(COUNTIF(G$1237:G1542,1)=1,5,0)+IF(COUNTIF(H940:$W940,"&gt;"&amp;0)&lt;5,IF(AND(COUNTIF(G$1237:G1542,1)&gt;7,MOD(1+IFERROR(MATCH($C940,总览!$D$46:$D$345,1)+1,1),7)=0),$C$3,0),0)</f>
        <v>959.400000000004</v>
      </c>
      <c r="H940" s="131" cm="1">
        <f ca="1" t="array" ref="H940">IF(H1542=1,OFFSET($W$634,$B940,H$631-1)/SUMPRODUCT(--($D$631:$V$631=H$631),--($D1542:$V1542=1)),0)+SUM(H939)+IF(COUNTIF(H$1237:H1542,1)=1,5,0)+IF(COUNTIF(I940:$W940,"&gt;"&amp;0)&lt;5,IF(AND(COUNTIF(H$1237:H1542,1)&gt;7,MOD(1+IFERROR(MATCH($C940,总览!$D$46:$D$345,1)+1,1),7)=0),$C$3,0),0)</f>
        <v>959.400000000004</v>
      </c>
      <c r="I940" s="131" cm="1">
        <f ca="1" t="array" ref="I940">IF(I1542=1,OFFSET($W$634,$B940,I$631-1)/SUMPRODUCT(--($D$631:$V$631=I$631),--($D1542:$V1542=1)),0)+SUM(I939)+IF(COUNTIF(I$1237:I1542,1)=1,5,0)+IF(COUNTIF(J940:$W940,"&gt;"&amp;0)&lt;5,IF(AND(COUNTIF(I$1237:I1542,1)&gt;7,MOD(1+IFERROR(MATCH($C940,总览!$D$46:$D$345,1)+1,1),7)=0),$C$3,0),0)</f>
        <v>959.400000000004</v>
      </c>
      <c r="J940" s="131" cm="1">
        <f ca="1" t="array" ref="J940">IF(J1542=1,OFFSET($W$634,$B940,J$631-1)/SUMPRODUCT(--($D$631:$V$631=J$631),--($D1542:$V1542=1)),0)+SUM(J939)+IF(COUNTIF(J$1237:J1542,1)=1,5,0)+IF(COUNTIF(K940:$W940,"&gt;"&amp;0)&lt;5,IF(AND(COUNTIF(J$1237:J1542,1)&gt;7,MOD(1+IFERROR(MATCH($C940,总览!$D$46:$D$345,1)+1,1),7)=0),$C$3,0),0)</f>
        <v>956.06666666667</v>
      </c>
      <c r="K940" s="131" cm="1">
        <f ca="1" t="array" ref="K940">IF(K1542=1,OFFSET($W$634,$B940,K$631-1)/SUMPRODUCT(--($D$631:$V$631=K$631),--($D1542:$V1542=1)),0)+SUM(K939)+IF(COUNTIF(K$1237:K1542,1)=1,5,0)+IF(COUNTIF(L940:$W940,"&gt;"&amp;0)&lt;5,IF(AND(COUNTIF(K$1237:K1542,1)&gt;7,MOD(1+IFERROR(MATCH($C940,总览!$D$46:$D$345,1)+1,1),7)=0),$C$3,0),0)</f>
        <v>953.56666666667</v>
      </c>
      <c r="L940" s="131" cm="1">
        <f ca="1" t="array" ref="L940">IF(L1542=1,OFFSET($W$634,$B940,L$631-1)/SUMPRODUCT(--($D$631:$V$631=L$631),--($D1542:$V1542=1)),0)+SUM(L939)+IF(COUNTIF(L$1237:L1542,1)=1,5,0)+IF(COUNTIF(M940:$W940,"&gt;"&amp;0)&lt;5,IF(AND(COUNTIF(L$1237:L1542,1)&gt;7,MOD(1+IFERROR(MATCH($C940,总览!$D$46:$D$345,1)+1,1),7)=0),$C$3,0),0)</f>
        <v>953.56666666667</v>
      </c>
      <c r="M940" s="131" cm="1">
        <f ca="1" t="array" ref="M940">IF(M1542=1,OFFSET($W$634,$B940,M$631-1)/SUMPRODUCT(--($D$631:$V$631=M$631),--($D1542:$V1542=1)),0)+SUM(M939)+IF(COUNTIF(M$1237:M1542,1)=1,5,0)+IF(COUNTIF(N940:$W940,"&gt;"&amp;0)&lt;5,IF(AND(COUNTIF(M$1237:M1542,1)&gt;7,MOD(1+IFERROR(MATCH($C940,总览!$D$46:$D$345,1)+1,1),7)=0),$C$3,0),0)</f>
        <v>394.895535714286</v>
      </c>
      <c r="N940" s="131" cm="1">
        <f ca="1" t="array" ref="N940">IF(N1542=1,OFFSET($W$634,$B940,N$631-1)/SUMPRODUCT(--($D$631:$V$631=N$631),--($D1542:$V1542=1)),0)+SUM(N939)+IF(COUNTIF(N$1237:N1542,1)=1,5,0)+IF(COUNTIF(O940:$W940,"&gt;"&amp;0)&lt;5,IF(AND(COUNTIF(N$1237:N1542,1)&gt;7,MOD(1+IFERROR(MATCH($C940,总览!$D$46:$D$345,1)+1,1),7)=0),$C$3,0),0)</f>
        <v>396.145535714286</v>
      </c>
      <c r="O940" s="131" cm="1">
        <f ca="1" t="array" ref="O940">IF(O1542=1,OFFSET($W$634,$B940,O$631-1)/SUMPRODUCT(--($D$631:$V$631=O$631),--($D1542:$V1542=1)),0)+SUM(O939)+IF(COUNTIF(O$1237:O1542,1)=1,5,0)+IF(COUNTIF(P940:$W940,"&gt;"&amp;0)&lt;5,IF(AND(COUNTIF(O$1237:O1542,1)&gt;7,MOD(1+IFERROR(MATCH($C940,总览!$D$46:$D$345,1)+1,1),7)=0),$C$3,0),0)</f>
        <v>401.145535714286</v>
      </c>
      <c r="P940" s="131" cm="1">
        <f ca="1" t="array" ref="P940">IF(P1542=1,OFFSET($W$634,$B940,P$631-1)/SUMPRODUCT(--($D$631:$V$631=P$631),--($D1542:$V1542=1)),0)+SUM(P939)+IF(COUNTIF(P$1237:P1542,1)=1,5,0)+IF(COUNTIF(Q940:$W940,"&gt;"&amp;0)&lt;5,IF(AND(COUNTIF(P$1237:P1542,1)&gt;7,MOD(1+IFERROR(MATCH($C940,总览!$D$46:$D$345,1)+1,1),7)=0),$C$3,0),0)</f>
        <v>390.264285714286</v>
      </c>
      <c r="Q940" s="131" cm="1">
        <f ca="1" t="array" ref="Q940">IF(Q1542=1,OFFSET($W$634,$B940,Q$631-1)/SUMPRODUCT(--($D$631:$V$631=Q$631),--($D1542:$V1542=1)),0)+SUM(Q939)+IF(COUNTIF(Q$1237:Q1542,1)=1,5,0)+IF(COUNTIF(R940:$W940,"&gt;"&amp;0)&lt;5,IF(AND(COUNTIF(Q$1237:Q1542,1)&gt;7,MOD(1+IFERROR(MATCH($C940,总览!$D$46:$D$345,1)+1,1),7)=0),$C$3,0),0)</f>
        <v>403.645535714286</v>
      </c>
      <c r="R940" s="131" cm="1">
        <f ca="1" t="array" ref="R940">IF(R1542=1,OFFSET($W$634,$B940,R$631-1)/SUMPRODUCT(--($D$631:$V$631=R$631),--($D1542:$V1542=1)),0)+SUM(R939)+IF(COUNTIF(R$1237:R1542,1)=1,5,0)+IF(COUNTIF(S940:$W940,"&gt;"&amp;0)&lt;5,IF(AND(COUNTIF(R$1237:R1542,1)&gt;7,MOD(1+IFERROR(MATCH($C940,总览!$D$46:$D$345,1)+1,1),7)=0),$C$3,0),0)</f>
        <v>395.264285714286</v>
      </c>
      <c r="S940" s="131" cm="1">
        <f ca="1" t="array" ref="S940">IF(S1542=1,OFFSET($W$634,$B940,S$631-1)/SUMPRODUCT(--($D$631:$V$631=S$631),--($D1542:$V1542=1)),0)+SUM(S939)+IF(COUNTIF(S$1237:S1542,1)=1,5,0)+IF(COUNTIF(T940:$W940,"&gt;"&amp;0)&lt;5,IF(AND(COUNTIF(S$1237:S1542,1)&gt;7,MOD(1+IFERROR(MATCH($C940,总览!$D$46:$D$345,1)+1,1),7)=0),$C$3,0),0)</f>
        <v>487.764285714287</v>
      </c>
      <c r="T940" s="131" cm="1">
        <f ca="1" t="array" ref="T940">IF(T1542=1,OFFSET($W$634,$B940,T$631-1)/SUMPRODUCT(--($D$631:$V$631=T$631),--($D1542:$V1542=1)),0)+SUM(T939)+IF(COUNTIF(T$1237:T1542,1)=1,5,0)+IF(COUNTIF(U940:$W940,"&gt;"&amp;0)&lt;5,IF(AND(COUNTIF(T$1237:T1542,1)&gt;7,MOD(1+IFERROR(MATCH($C940,总览!$D$46:$D$345,1)+1,1),7)=0),$C$3,0),0)</f>
        <v>356.442846066041</v>
      </c>
      <c r="U940" s="131" cm="1">
        <f ca="1" t="array" ref="U940">IF(U1542=1,OFFSET($W$634,$B940,U$631-1)/SUMPRODUCT(--($D$631:$V$631=U$631),--($D1542:$V1542=1)),0)+SUM(U939)+IF(COUNTIF(U$1237:U1542,1)=1,5,0)+IF(COUNTIF(V940:$W940,"&gt;"&amp;0)&lt;5,IF(AND(COUNTIF(U$1237:U1542,1)&gt;7,MOD(1+IFERROR(MATCH($C940,总览!$D$46:$D$345,1)+1,1),7)=0),$C$3,0),0)</f>
        <v>361.963632421341</v>
      </c>
      <c r="V940" s="131" cm="1">
        <f ca="1" t="array" ref="V940">IF(V1542=1,OFFSET($W$634,$B940,V$631-1)/SUMPRODUCT(--($D$631:$V$631=V$631),--($D1542:$V1542=1)),0)+SUM(V939)+IF(COUNTIF(V$1237:V1542,1)=1,5,0)+IF(COUNTIF(W940:$W940,"&gt;"&amp;0)&lt;5,IF(AND(COUNTIF(V$1237:V1542,1)&gt;7,MOD(1+IFERROR(MATCH($C940,总览!$D$46:$D$345,1)+1,1),7)=0),$C$3,0),0)</f>
        <v>381.790632133774</v>
      </c>
      <c r="W940" s="135" cm="1">
        <f ca="1" t="array" ref="W940">SUMPRODUCT(TRANSPOSE($AA940:$AG940),OFFSET($L$9:$L$15,0,W$631-1))</f>
        <v>16.8502200646615</v>
      </c>
      <c r="X940" s="135" cm="1">
        <f ca="1" t="array" ref="X940">SUMPRODUCT(TRANSPOSE($AA940:$AG940),OFFSET($L$9:$L$15,0,X$631-1))</f>
        <v>20</v>
      </c>
      <c r="Y940" s="135" cm="1">
        <f ca="1" t="array" ref="Y940">SUMPRODUCT(TRANSPOSE($AA940:$AG940),OFFSET($L$9:$L$15,0,Y$631-1))</f>
        <v>10</v>
      </c>
      <c r="Z940" s="135" cm="1">
        <f ca="1" t="array" ref="Z940">SUMPRODUCT(TRANSPOSE($AA940:$AG940),OFFSET($L$9:$L$15,0,Z$631-1))</f>
        <v>3.14977993533847</v>
      </c>
      <c r="AA940" s="136">
        <f ca="1" t="shared" ref="AA940:AG940" si="859">AH940-AH939</f>
        <v>0</v>
      </c>
      <c r="AB940" s="136">
        <f ca="1" t="shared" si="859"/>
        <v>0</v>
      </c>
      <c r="AC940" s="136">
        <f ca="1" t="shared" si="859"/>
        <v>0</v>
      </c>
      <c r="AD940" s="136">
        <f ca="1" t="shared" si="859"/>
        <v>0</v>
      </c>
      <c r="AE940" s="136">
        <f ca="1" t="shared" si="859"/>
        <v>0</v>
      </c>
      <c r="AF940" s="136">
        <f ca="1" t="shared" si="859"/>
        <v>0</v>
      </c>
      <c r="AG940" s="136">
        <f ca="1" t="shared" si="859"/>
        <v>100</v>
      </c>
      <c r="AH940" s="136">
        <f ca="1" t="shared" si="761"/>
        <v>450</v>
      </c>
      <c r="AI940" s="136">
        <f ca="1" t="shared" ref="AI940:AN940" si="860">IF($C940&gt;OFFSET($Q$8,MATCH(AI$634,$AH$634:$AN$634,0),0),OFFSET($P$8,MATCH(AI$634,$AH$634:$AN$634,0),0),MAX(0,$C940-OFFSET($Q$8,RIGHT(AI$634,1)-1,0)))</f>
        <v>909</v>
      </c>
      <c r="AJ940" s="136">
        <f ca="1" t="shared" si="860"/>
        <v>1818</v>
      </c>
      <c r="AK940" s="136">
        <f ca="1" t="shared" si="860"/>
        <v>2727</v>
      </c>
      <c r="AL940" s="136">
        <f ca="1" t="shared" si="860"/>
        <v>3636</v>
      </c>
      <c r="AM940" s="136">
        <f ca="1" t="shared" si="860"/>
        <v>4545</v>
      </c>
      <c r="AN940" s="136">
        <f ca="1" t="shared" si="860"/>
        <v>16515</v>
      </c>
    </row>
    <row r="941" s="106" customFormat="1" ht="16.5" spans="2:40">
      <c r="B941" s="117">
        <v>307</v>
      </c>
      <c r="C941" s="130">
        <f t="shared" si="759"/>
        <v>30700</v>
      </c>
      <c r="D941" s="131" cm="1">
        <f ca="1" t="array" ref="D941">IF(D1543=1,OFFSET($W$634,$B941,D$631-1)/SUMPRODUCT(--($D$631:$V$631=D$631),--($D1543:$V1543=1)),0)+SUM(D940)+IF(COUNTIF(D$1237:D1543,1)=1,5,0)+IF(COUNTIF(E941:$W941,"&gt;"&amp;0)&lt;5,IF(AND(COUNTIF(D$1237:D1543,1)&gt;7,MOD(1+IFERROR(MATCH($C941,总览!$D$46:$D$345,1)+1,1),7)=0),$C$3,0),0)</f>
        <v>2052.04270314783</v>
      </c>
      <c r="E941" s="131" cm="1">
        <f ca="1" t="array" ref="E941">IF(E1543=1,OFFSET($W$634,$B941,E$631-1)/SUMPRODUCT(--($D$631:$V$631=E$631),--($D1543:$V1543=1)),0)+SUM(E940)+IF(COUNTIF(E$1237:E1543,1)=1,5,0)+IF(COUNTIF(F941:$W941,"&gt;"&amp;0)&lt;5,IF(AND(COUNTIF(E$1237:E1543,1)&gt;7,MOD(1+IFERROR(MATCH($C941,总览!$D$46:$D$345,1)+1,1),7)=0),$C$3,0),0)</f>
        <v>2052.04270314783</v>
      </c>
      <c r="F941" s="131" cm="1">
        <f ca="1" t="array" ref="F941">IF(F1543=1,OFFSET($W$634,$B941,F$631-1)/SUMPRODUCT(--($D$631:$V$631=F$631),--($D1543:$V1543=1)),0)+SUM(F940)+IF(COUNTIF(F$1237:F1543,1)=1,5,0)+IF(COUNTIF(G941:$W941,"&gt;"&amp;0)&lt;5,IF(AND(COUNTIF(F$1237:F1543,1)&gt;7,MOD(1+IFERROR(MATCH($C941,总览!$D$46:$D$345,1)+1,1),7)=0),$C$3,0),0)</f>
        <v>2052.04270314783</v>
      </c>
      <c r="G941" s="131" cm="1">
        <f ca="1" t="array" ref="G941">IF(G1543=1,OFFSET($W$634,$B941,G$631-1)/SUMPRODUCT(--($D$631:$V$631=G$631),--($D1543:$V1543=1)),0)+SUM(G940)+IF(COUNTIF(G$1237:G1543,1)=1,5,0)+IF(COUNTIF(H941:$W941,"&gt;"&amp;0)&lt;5,IF(AND(COUNTIF(G$1237:G1543,1)&gt;7,MOD(1+IFERROR(MATCH($C941,总览!$D$46:$D$345,1)+1,1),7)=0),$C$3,0),0)</f>
        <v>962.733333333337</v>
      </c>
      <c r="H941" s="131" cm="1">
        <f ca="1" t="array" ref="H941">IF(H1543=1,OFFSET($W$634,$B941,H$631-1)/SUMPRODUCT(--($D$631:$V$631=H$631),--($D1543:$V1543=1)),0)+SUM(H940)+IF(COUNTIF(H$1237:H1543,1)=1,5,0)+IF(COUNTIF(I941:$W941,"&gt;"&amp;0)&lt;5,IF(AND(COUNTIF(H$1237:H1543,1)&gt;7,MOD(1+IFERROR(MATCH($C941,总览!$D$46:$D$345,1)+1,1),7)=0),$C$3,0),0)</f>
        <v>962.733333333337</v>
      </c>
      <c r="I941" s="131" cm="1">
        <f ca="1" t="array" ref="I941">IF(I1543=1,OFFSET($W$634,$B941,I$631-1)/SUMPRODUCT(--($D$631:$V$631=I$631),--($D1543:$V1543=1)),0)+SUM(I940)+IF(COUNTIF(I$1237:I1543,1)=1,5,0)+IF(COUNTIF(J941:$W941,"&gt;"&amp;0)&lt;5,IF(AND(COUNTIF(I$1237:I1543,1)&gt;7,MOD(1+IFERROR(MATCH($C941,总览!$D$46:$D$345,1)+1,1),7)=0),$C$3,0),0)</f>
        <v>962.733333333337</v>
      </c>
      <c r="J941" s="131" cm="1">
        <f ca="1" t="array" ref="J941">IF(J1543=1,OFFSET($W$634,$B941,J$631-1)/SUMPRODUCT(--($D$631:$V$631=J$631),--($D1543:$V1543=1)),0)+SUM(J940)+IF(COUNTIF(J$1237:J1543,1)=1,5,0)+IF(COUNTIF(K941:$W941,"&gt;"&amp;0)&lt;5,IF(AND(COUNTIF(J$1237:J1543,1)&gt;7,MOD(1+IFERROR(MATCH($C941,总览!$D$46:$D$345,1)+1,1),7)=0),$C$3,0),0)</f>
        <v>959.400000000004</v>
      </c>
      <c r="K941" s="131" cm="1">
        <f ca="1" t="array" ref="K941">IF(K1543=1,OFFSET($W$634,$B941,K$631-1)/SUMPRODUCT(--($D$631:$V$631=K$631),--($D1543:$V1543=1)),0)+SUM(K940)+IF(COUNTIF(K$1237:K1543,1)=1,5,0)+IF(COUNTIF(L941:$W941,"&gt;"&amp;0)&lt;5,IF(AND(COUNTIF(K$1237:K1543,1)&gt;7,MOD(1+IFERROR(MATCH($C941,总览!$D$46:$D$345,1)+1,1),7)=0),$C$3,0),0)</f>
        <v>956.900000000004</v>
      </c>
      <c r="L941" s="131" cm="1">
        <f ca="1" t="array" ref="L941">IF(L1543=1,OFFSET($W$634,$B941,L$631-1)/SUMPRODUCT(--($D$631:$V$631=L$631),--($D1543:$V1543=1)),0)+SUM(L940)+IF(COUNTIF(L$1237:L1543,1)=1,5,0)+IF(COUNTIF(M941:$W941,"&gt;"&amp;0)&lt;5,IF(AND(COUNTIF(L$1237:L1543,1)&gt;7,MOD(1+IFERROR(MATCH($C941,总览!$D$46:$D$345,1)+1,1),7)=0),$C$3,0),0)</f>
        <v>956.900000000004</v>
      </c>
      <c r="M941" s="131" cm="1">
        <f ca="1" t="array" ref="M941">IF(M1543=1,OFFSET($W$634,$B941,M$631-1)/SUMPRODUCT(--($D$631:$V$631=M$631),--($D1543:$V1543=1)),0)+SUM(M940)+IF(COUNTIF(M$1237:M1543,1)=1,5,0)+IF(COUNTIF(N941:$W941,"&gt;"&amp;0)&lt;5,IF(AND(COUNTIF(M$1237:M1543,1)&gt;7,MOD(1+IFERROR(MATCH($C941,总览!$D$46:$D$345,1)+1,1),7)=0),$C$3,0),0)</f>
        <v>396.324107142858</v>
      </c>
      <c r="N941" s="131" cm="1">
        <f ca="1" t="array" ref="N941">IF(N1543=1,OFFSET($W$634,$B941,N$631-1)/SUMPRODUCT(--($D$631:$V$631=N$631),--($D1543:$V1543=1)),0)+SUM(N940)+IF(COUNTIF(N$1237:N1543,1)=1,5,0)+IF(COUNTIF(O941:$W941,"&gt;"&amp;0)&lt;5,IF(AND(COUNTIF(N$1237:N1543,1)&gt;7,MOD(1+IFERROR(MATCH($C941,总览!$D$46:$D$345,1)+1,1),7)=0),$C$3,0),0)</f>
        <v>397.574107142858</v>
      </c>
      <c r="O941" s="131" cm="1">
        <f ca="1" t="array" ref="O941">IF(O1543=1,OFFSET($W$634,$B941,O$631-1)/SUMPRODUCT(--($D$631:$V$631=O$631),--($D1543:$V1543=1)),0)+SUM(O940)+IF(COUNTIF(O$1237:O1543,1)=1,5,0)+IF(COUNTIF(P941:$W941,"&gt;"&amp;0)&lt;5,IF(AND(COUNTIF(O$1237:O1543,1)&gt;7,MOD(1+IFERROR(MATCH($C941,总览!$D$46:$D$345,1)+1,1),7)=0),$C$3,0),0)</f>
        <v>402.574107142858</v>
      </c>
      <c r="P941" s="131" cm="1">
        <f ca="1" t="array" ref="P941">IF(P1543=1,OFFSET($W$634,$B941,P$631-1)/SUMPRODUCT(--($D$631:$V$631=P$631),--($D1543:$V1543=1)),0)+SUM(P940)+IF(COUNTIF(P$1237:P1543,1)=1,5,0)+IF(COUNTIF(Q941:$W941,"&gt;"&amp;0)&lt;5,IF(AND(COUNTIF(P$1237:P1543,1)&gt;7,MOD(1+IFERROR(MATCH($C941,总览!$D$46:$D$345,1)+1,1),7)=0),$C$3,0),0)</f>
        <v>391.692857142858</v>
      </c>
      <c r="Q941" s="131" cm="1">
        <f ca="1" t="array" ref="Q941">IF(Q1543=1,OFFSET($W$634,$B941,Q$631-1)/SUMPRODUCT(--($D$631:$V$631=Q$631),--($D1543:$V1543=1)),0)+SUM(Q940)+IF(COUNTIF(Q$1237:Q1543,1)=1,5,0)+IF(COUNTIF(R941:$W941,"&gt;"&amp;0)&lt;5,IF(AND(COUNTIF(Q$1237:Q1543,1)&gt;7,MOD(1+IFERROR(MATCH($C941,总览!$D$46:$D$345,1)+1,1),7)=0),$C$3,0),0)</f>
        <v>405.074107142858</v>
      </c>
      <c r="R941" s="131" cm="1">
        <f ca="1" t="array" ref="R941">IF(R1543=1,OFFSET($W$634,$B941,R$631-1)/SUMPRODUCT(--($D$631:$V$631=R$631),--($D1543:$V1543=1)),0)+SUM(R940)+IF(COUNTIF(R$1237:R1543,1)=1,5,0)+IF(COUNTIF(S941:$W941,"&gt;"&amp;0)&lt;5,IF(AND(COUNTIF(R$1237:R1543,1)&gt;7,MOD(1+IFERROR(MATCH($C941,总览!$D$46:$D$345,1)+1,1),7)=0),$C$3,0),0)</f>
        <v>396.692857142858</v>
      </c>
      <c r="S941" s="131" cm="1">
        <f ca="1" t="array" ref="S941">IF(S1543=1,OFFSET($W$634,$B941,S$631-1)/SUMPRODUCT(--($D$631:$V$631=S$631),--($D1543:$V1543=1)),0)+SUM(S940)+IF(COUNTIF(S$1237:S1543,1)=1,5,0)+IF(COUNTIF(T941:$W941,"&gt;"&amp;0)&lt;5,IF(AND(COUNTIF(S$1237:S1543,1)&gt;7,MOD(1+IFERROR(MATCH($C941,总览!$D$46:$D$345,1)+1,1),7)=0),$C$3,0),0)</f>
        <v>489.192857142859</v>
      </c>
      <c r="T941" s="131" cm="1">
        <f ca="1" t="array" ref="T941">IF(T1543=1,OFFSET($W$634,$B941,T$631-1)/SUMPRODUCT(--($D$631:$V$631=T$631),--($D1543:$V1543=1)),0)+SUM(T940)+IF(COUNTIF(T$1237:T1543,1)=1,5,0)+IF(COUNTIF(U941:$W941,"&gt;"&amp;0)&lt;5,IF(AND(COUNTIF(T$1237:T1543,1)&gt;7,MOD(1+IFERROR(MATCH($C941,总览!$D$46:$D$345,1)+1,1),7)=0),$C$3,0),0)</f>
        <v>357.492772711154</v>
      </c>
      <c r="U941" s="131" cm="1">
        <f ca="1" t="array" ref="U941">IF(U1543=1,OFFSET($W$634,$B941,U$631-1)/SUMPRODUCT(--($D$631:$V$631=U$631),--($D1543:$V1543=1)),0)+SUM(U940)+IF(COUNTIF(U$1237:U1543,1)=1,5,0)+IF(COUNTIF(V941:$W941,"&gt;"&amp;0)&lt;5,IF(AND(COUNTIF(U$1237:U1543,1)&gt;7,MOD(1+IFERROR(MATCH($C941,总览!$D$46:$D$345,1)+1,1),7)=0),$C$3,0),0)</f>
        <v>363.013559066454</v>
      </c>
      <c r="V941" s="131" cm="1">
        <f ca="1" t="array" ref="V941">IF(V1543=1,OFFSET($W$634,$B941,V$631-1)/SUMPRODUCT(--($D$631:$V$631=V$631),--($D1543:$V1543=1)),0)+SUM(V940)+IF(COUNTIF(V$1237:V1543,1)=1,5,0)+IF(COUNTIF(W941:$W941,"&gt;"&amp;0)&lt;5,IF(AND(COUNTIF(V$1237:V1543,1)&gt;7,MOD(1+IFERROR(MATCH($C941,总览!$D$46:$D$345,1)+1,1),7)=0),$C$3,0),0)</f>
        <v>382.840558778887</v>
      </c>
      <c r="W941" s="135" cm="1">
        <f ca="1" t="array" ref="W941">SUMPRODUCT(TRANSPOSE($AA941:$AG941),OFFSET($L$9:$L$15,0,W$631-1))</f>
        <v>16.8502200646615</v>
      </c>
      <c r="X941" s="135" cm="1">
        <f ca="1" t="array" ref="X941">SUMPRODUCT(TRANSPOSE($AA941:$AG941),OFFSET($L$9:$L$15,0,X$631-1))</f>
        <v>20</v>
      </c>
      <c r="Y941" s="135" cm="1">
        <f ca="1" t="array" ref="Y941">SUMPRODUCT(TRANSPOSE($AA941:$AG941),OFFSET($L$9:$L$15,0,Y$631-1))</f>
        <v>10</v>
      </c>
      <c r="Z941" s="135" cm="1">
        <f ca="1" t="array" ref="Z941">SUMPRODUCT(TRANSPOSE($AA941:$AG941),OFFSET($L$9:$L$15,0,Z$631-1))</f>
        <v>3.14977993533847</v>
      </c>
      <c r="AA941" s="136">
        <f ca="1" t="shared" ref="AA941:AG941" si="861">AH941-AH940</f>
        <v>0</v>
      </c>
      <c r="AB941" s="136">
        <f ca="1" t="shared" si="861"/>
        <v>0</v>
      </c>
      <c r="AC941" s="136">
        <f ca="1" t="shared" si="861"/>
        <v>0</v>
      </c>
      <c r="AD941" s="136">
        <f ca="1" t="shared" si="861"/>
        <v>0</v>
      </c>
      <c r="AE941" s="136">
        <f ca="1" t="shared" si="861"/>
        <v>0</v>
      </c>
      <c r="AF941" s="136">
        <f ca="1" t="shared" si="861"/>
        <v>0</v>
      </c>
      <c r="AG941" s="136">
        <f ca="1" t="shared" si="861"/>
        <v>100</v>
      </c>
      <c r="AH941" s="136">
        <f ca="1" t="shared" si="761"/>
        <v>450</v>
      </c>
      <c r="AI941" s="136">
        <f ca="1" t="shared" ref="AI941:AN941" si="862">IF($C941&gt;OFFSET($Q$8,MATCH(AI$634,$AH$634:$AN$634,0),0),OFFSET($P$8,MATCH(AI$634,$AH$634:$AN$634,0),0),MAX(0,$C941-OFFSET($Q$8,RIGHT(AI$634,1)-1,0)))</f>
        <v>909</v>
      </c>
      <c r="AJ941" s="136">
        <f ca="1" t="shared" si="862"/>
        <v>1818</v>
      </c>
      <c r="AK941" s="136">
        <f ca="1" t="shared" si="862"/>
        <v>2727</v>
      </c>
      <c r="AL941" s="136">
        <f ca="1" t="shared" si="862"/>
        <v>3636</v>
      </c>
      <c r="AM941" s="136">
        <f ca="1" t="shared" si="862"/>
        <v>4545</v>
      </c>
      <c r="AN941" s="136">
        <f ca="1" t="shared" si="862"/>
        <v>16615</v>
      </c>
    </row>
    <row r="942" s="106" customFormat="1" ht="16.5" spans="2:40">
      <c r="B942" s="117">
        <v>308</v>
      </c>
      <c r="C942" s="130">
        <f t="shared" si="759"/>
        <v>30800</v>
      </c>
      <c r="D942" s="131" cm="1">
        <f ca="1" t="array" ref="D942">IF(D1544=1,OFFSET($W$634,$B942,D$631-1)/SUMPRODUCT(--($D$631:$V$631=D$631),--($D1544:$V1544=1)),0)+SUM(D941)+IF(COUNTIF(D$1237:D1544,1)=1,5,0)+IF(COUNTIF(E942:$W942,"&gt;"&amp;0)&lt;5,IF(AND(COUNTIF(D$1237:D1544,1)&gt;7,MOD(1+IFERROR(MATCH($C942,总览!$D$46:$D$345,1)+1,1),7)=0),$C$3,0),0)</f>
        <v>2057.65944316938</v>
      </c>
      <c r="E942" s="131" cm="1">
        <f ca="1" t="array" ref="E942">IF(E1544=1,OFFSET($W$634,$B942,E$631-1)/SUMPRODUCT(--($D$631:$V$631=E$631),--($D1544:$V1544=1)),0)+SUM(E941)+IF(COUNTIF(E$1237:E1544,1)=1,5,0)+IF(COUNTIF(F942:$W942,"&gt;"&amp;0)&lt;5,IF(AND(COUNTIF(E$1237:E1544,1)&gt;7,MOD(1+IFERROR(MATCH($C942,总览!$D$46:$D$345,1)+1,1),7)=0),$C$3,0),0)</f>
        <v>2057.65944316938</v>
      </c>
      <c r="F942" s="131" cm="1">
        <f ca="1" t="array" ref="F942">IF(F1544=1,OFFSET($W$634,$B942,F$631-1)/SUMPRODUCT(--($D$631:$V$631=F$631),--($D1544:$V1544=1)),0)+SUM(F941)+IF(COUNTIF(F$1237:F1544,1)=1,5,0)+IF(COUNTIF(G942:$W942,"&gt;"&amp;0)&lt;5,IF(AND(COUNTIF(F$1237:F1544,1)&gt;7,MOD(1+IFERROR(MATCH($C942,总览!$D$46:$D$345,1)+1,1),7)=0),$C$3,0),0)</f>
        <v>2057.65944316938</v>
      </c>
      <c r="G942" s="131" cm="1">
        <f ca="1" t="array" ref="G942">IF(G1544=1,OFFSET($W$634,$B942,G$631-1)/SUMPRODUCT(--($D$631:$V$631=G$631),--($D1544:$V1544=1)),0)+SUM(G941)+IF(COUNTIF(G$1237:G1544,1)=1,5,0)+IF(COUNTIF(H942:$W942,"&gt;"&amp;0)&lt;5,IF(AND(COUNTIF(G$1237:G1544,1)&gt;7,MOD(1+IFERROR(MATCH($C942,总览!$D$46:$D$345,1)+1,1),7)=0),$C$3,0),0)</f>
        <v>966.06666666667</v>
      </c>
      <c r="H942" s="131" cm="1">
        <f ca="1" t="array" ref="H942">IF(H1544=1,OFFSET($W$634,$B942,H$631-1)/SUMPRODUCT(--($D$631:$V$631=H$631),--($D1544:$V1544=1)),0)+SUM(H941)+IF(COUNTIF(H$1237:H1544,1)=1,5,0)+IF(COUNTIF(I942:$W942,"&gt;"&amp;0)&lt;5,IF(AND(COUNTIF(H$1237:H1544,1)&gt;7,MOD(1+IFERROR(MATCH($C942,总览!$D$46:$D$345,1)+1,1),7)=0),$C$3,0),0)</f>
        <v>966.06666666667</v>
      </c>
      <c r="I942" s="131" cm="1">
        <f ca="1" t="array" ref="I942">IF(I1544=1,OFFSET($W$634,$B942,I$631-1)/SUMPRODUCT(--($D$631:$V$631=I$631),--($D1544:$V1544=1)),0)+SUM(I941)+IF(COUNTIF(I$1237:I1544,1)=1,5,0)+IF(COUNTIF(J942:$W942,"&gt;"&amp;0)&lt;5,IF(AND(COUNTIF(I$1237:I1544,1)&gt;7,MOD(1+IFERROR(MATCH($C942,总览!$D$46:$D$345,1)+1,1),7)=0),$C$3,0),0)</f>
        <v>966.06666666667</v>
      </c>
      <c r="J942" s="131" cm="1">
        <f ca="1" t="array" ref="J942">IF(J1544=1,OFFSET($W$634,$B942,J$631-1)/SUMPRODUCT(--($D$631:$V$631=J$631),--($D1544:$V1544=1)),0)+SUM(J941)+IF(COUNTIF(J$1237:J1544,1)=1,5,0)+IF(COUNTIF(K942:$W942,"&gt;"&amp;0)&lt;5,IF(AND(COUNTIF(J$1237:J1544,1)&gt;7,MOD(1+IFERROR(MATCH($C942,总览!$D$46:$D$345,1)+1,1),7)=0),$C$3,0),0)</f>
        <v>962.733333333337</v>
      </c>
      <c r="K942" s="131" cm="1">
        <f ca="1" t="array" ref="K942">IF(K1544=1,OFFSET($W$634,$B942,K$631-1)/SUMPRODUCT(--($D$631:$V$631=K$631),--($D1544:$V1544=1)),0)+SUM(K941)+IF(COUNTIF(K$1237:K1544,1)=1,5,0)+IF(COUNTIF(L942:$W942,"&gt;"&amp;0)&lt;5,IF(AND(COUNTIF(K$1237:K1544,1)&gt;7,MOD(1+IFERROR(MATCH($C942,总览!$D$46:$D$345,1)+1,1),7)=0),$C$3,0),0)</f>
        <v>960.233333333337</v>
      </c>
      <c r="L942" s="131" cm="1">
        <f ca="1" t="array" ref="L942">IF(L1544=1,OFFSET($W$634,$B942,L$631-1)/SUMPRODUCT(--($D$631:$V$631=L$631),--($D1544:$V1544=1)),0)+SUM(L941)+IF(COUNTIF(L$1237:L1544,1)=1,5,0)+IF(COUNTIF(M942:$W942,"&gt;"&amp;0)&lt;5,IF(AND(COUNTIF(L$1237:L1544,1)&gt;7,MOD(1+IFERROR(MATCH($C942,总览!$D$46:$D$345,1)+1,1),7)=0),$C$3,0),0)</f>
        <v>960.233333333337</v>
      </c>
      <c r="M942" s="131" cm="1">
        <f ca="1" t="array" ref="M942">IF(M1544=1,OFFSET($W$634,$B942,M$631-1)/SUMPRODUCT(--($D$631:$V$631=M$631),--($D1544:$V1544=1)),0)+SUM(M941)+IF(COUNTIF(M$1237:M1544,1)=1,5,0)+IF(COUNTIF(N942:$W942,"&gt;"&amp;0)&lt;5,IF(AND(COUNTIF(M$1237:M1544,1)&gt;7,MOD(1+IFERROR(MATCH($C942,总览!$D$46:$D$345,1)+1,1),7)=0),$C$3,0),0)</f>
        <v>397.752678571429</v>
      </c>
      <c r="N942" s="131" cm="1">
        <f ca="1" t="array" ref="N942">IF(N1544=1,OFFSET($W$634,$B942,N$631-1)/SUMPRODUCT(--($D$631:$V$631=N$631),--($D1544:$V1544=1)),0)+SUM(N941)+IF(COUNTIF(N$1237:N1544,1)=1,5,0)+IF(COUNTIF(O942:$W942,"&gt;"&amp;0)&lt;5,IF(AND(COUNTIF(N$1237:N1544,1)&gt;7,MOD(1+IFERROR(MATCH($C942,总览!$D$46:$D$345,1)+1,1),7)=0),$C$3,0),0)</f>
        <v>399.002678571429</v>
      </c>
      <c r="O942" s="131" cm="1">
        <f ca="1" t="array" ref="O942">IF(O1544=1,OFFSET($W$634,$B942,O$631-1)/SUMPRODUCT(--($D$631:$V$631=O$631),--($D1544:$V1544=1)),0)+SUM(O941)+IF(COUNTIF(O$1237:O1544,1)=1,5,0)+IF(COUNTIF(P942:$W942,"&gt;"&amp;0)&lt;5,IF(AND(COUNTIF(O$1237:O1544,1)&gt;7,MOD(1+IFERROR(MATCH($C942,总览!$D$46:$D$345,1)+1,1),7)=0),$C$3,0),0)</f>
        <v>404.002678571429</v>
      </c>
      <c r="P942" s="131" cm="1">
        <f ca="1" t="array" ref="P942">IF(P1544=1,OFFSET($W$634,$B942,P$631-1)/SUMPRODUCT(--($D$631:$V$631=P$631),--($D1544:$V1544=1)),0)+SUM(P941)+IF(COUNTIF(P$1237:P1544,1)=1,5,0)+IF(COUNTIF(Q942:$W942,"&gt;"&amp;0)&lt;5,IF(AND(COUNTIF(P$1237:P1544,1)&gt;7,MOD(1+IFERROR(MATCH($C942,总览!$D$46:$D$345,1)+1,1),7)=0),$C$3,0),0)</f>
        <v>393.121428571429</v>
      </c>
      <c r="Q942" s="131" cm="1">
        <f ca="1" t="array" ref="Q942">IF(Q1544=1,OFFSET($W$634,$B942,Q$631-1)/SUMPRODUCT(--($D$631:$V$631=Q$631),--($D1544:$V1544=1)),0)+SUM(Q941)+IF(COUNTIF(Q$1237:Q1544,1)=1,5,0)+IF(COUNTIF(R942:$W942,"&gt;"&amp;0)&lt;5,IF(AND(COUNTIF(Q$1237:Q1544,1)&gt;7,MOD(1+IFERROR(MATCH($C942,总览!$D$46:$D$345,1)+1,1),7)=0),$C$3,0),0)</f>
        <v>406.502678571429</v>
      </c>
      <c r="R942" s="131" cm="1">
        <f ca="1" t="array" ref="R942">IF(R1544=1,OFFSET($W$634,$B942,R$631-1)/SUMPRODUCT(--($D$631:$V$631=R$631),--($D1544:$V1544=1)),0)+SUM(R941)+IF(COUNTIF(R$1237:R1544,1)=1,5,0)+IF(COUNTIF(S942:$W942,"&gt;"&amp;0)&lt;5,IF(AND(COUNTIF(R$1237:R1544,1)&gt;7,MOD(1+IFERROR(MATCH($C942,总览!$D$46:$D$345,1)+1,1),7)=0),$C$3,0),0)</f>
        <v>398.121428571429</v>
      </c>
      <c r="S942" s="131" cm="1">
        <f ca="1" t="array" ref="S942">IF(S1544=1,OFFSET($W$634,$B942,S$631-1)/SUMPRODUCT(--($D$631:$V$631=S$631),--($D1544:$V1544=1)),0)+SUM(S941)+IF(COUNTIF(S$1237:S1544,1)=1,5,0)+IF(COUNTIF(T942:$W942,"&gt;"&amp;0)&lt;5,IF(AND(COUNTIF(S$1237:S1544,1)&gt;7,MOD(1+IFERROR(MATCH($C942,总览!$D$46:$D$345,1)+1,1),7)=0),$C$3,0),0)</f>
        <v>490.62142857143</v>
      </c>
      <c r="T942" s="131" cm="1">
        <f ca="1" t="array" ref="T942">IF(T1544=1,OFFSET($W$634,$B942,T$631-1)/SUMPRODUCT(--($D$631:$V$631=T$631),--($D1544:$V1544=1)),0)+SUM(T941)+IF(COUNTIF(T$1237:T1544,1)=1,5,0)+IF(COUNTIF(U942:$W942,"&gt;"&amp;0)&lt;5,IF(AND(COUNTIF(T$1237:T1544,1)&gt;7,MOD(1+IFERROR(MATCH($C942,总览!$D$46:$D$345,1)+1,1),7)=0),$C$3,0),0)</f>
        <v>358.542699356267</v>
      </c>
      <c r="U942" s="131" cm="1">
        <f ca="1" t="array" ref="U942">IF(U1544=1,OFFSET($W$634,$B942,U$631-1)/SUMPRODUCT(--($D$631:$V$631=U$631),--($D1544:$V1544=1)),0)+SUM(U941)+IF(COUNTIF(U$1237:U1544,1)=1,5,0)+IF(COUNTIF(V942:$W942,"&gt;"&amp;0)&lt;5,IF(AND(COUNTIF(U$1237:U1544,1)&gt;7,MOD(1+IFERROR(MATCH($C942,总览!$D$46:$D$345,1)+1,1),7)=0),$C$3,0),0)</f>
        <v>364.063485711566</v>
      </c>
      <c r="V942" s="131" cm="1">
        <f ca="1" t="array" ref="V942">IF(V1544=1,OFFSET($W$634,$B942,V$631-1)/SUMPRODUCT(--($D$631:$V$631=V$631),--($D1544:$V1544=1)),0)+SUM(V941)+IF(COUNTIF(V$1237:V1544,1)=1,5,0)+IF(COUNTIF(W942:$W942,"&gt;"&amp;0)&lt;5,IF(AND(COUNTIF(V$1237:V1544,1)&gt;7,MOD(1+IFERROR(MATCH($C942,总览!$D$46:$D$345,1)+1,1),7)=0),$C$3,0),0)</f>
        <v>383.890485423999</v>
      </c>
      <c r="W942" s="135" cm="1">
        <f ca="1" t="array" ref="W942">SUMPRODUCT(TRANSPOSE($AA942:$AG942),OFFSET($L$9:$L$15,0,W$631-1))</f>
        <v>16.8502200646615</v>
      </c>
      <c r="X942" s="135" cm="1">
        <f ca="1" t="array" ref="X942">SUMPRODUCT(TRANSPOSE($AA942:$AG942),OFFSET($L$9:$L$15,0,X$631-1))</f>
        <v>20</v>
      </c>
      <c r="Y942" s="135" cm="1">
        <f ca="1" t="array" ref="Y942">SUMPRODUCT(TRANSPOSE($AA942:$AG942),OFFSET($L$9:$L$15,0,Y$631-1))</f>
        <v>10</v>
      </c>
      <c r="Z942" s="135" cm="1">
        <f ca="1" t="array" ref="Z942">SUMPRODUCT(TRANSPOSE($AA942:$AG942),OFFSET($L$9:$L$15,0,Z$631-1))</f>
        <v>3.14977993533847</v>
      </c>
      <c r="AA942" s="136">
        <f ca="1" t="shared" ref="AA942:AG942" si="863">AH942-AH941</f>
        <v>0</v>
      </c>
      <c r="AB942" s="136">
        <f ca="1" t="shared" si="863"/>
        <v>0</v>
      </c>
      <c r="AC942" s="136">
        <f ca="1" t="shared" si="863"/>
        <v>0</v>
      </c>
      <c r="AD942" s="136">
        <f ca="1" t="shared" si="863"/>
        <v>0</v>
      </c>
      <c r="AE942" s="136">
        <f ca="1" t="shared" si="863"/>
        <v>0</v>
      </c>
      <c r="AF942" s="136">
        <f ca="1" t="shared" si="863"/>
        <v>0</v>
      </c>
      <c r="AG942" s="136">
        <f ca="1" t="shared" si="863"/>
        <v>100</v>
      </c>
      <c r="AH942" s="136">
        <f ca="1" t="shared" si="761"/>
        <v>450</v>
      </c>
      <c r="AI942" s="136">
        <f ca="1" t="shared" ref="AI942:AN942" si="864">IF($C942&gt;OFFSET($Q$8,MATCH(AI$634,$AH$634:$AN$634,0),0),OFFSET($P$8,MATCH(AI$634,$AH$634:$AN$634,0),0),MAX(0,$C942-OFFSET($Q$8,RIGHT(AI$634,1)-1,0)))</f>
        <v>909</v>
      </c>
      <c r="AJ942" s="136">
        <f ca="1" t="shared" si="864"/>
        <v>1818</v>
      </c>
      <c r="AK942" s="136">
        <f ca="1" t="shared" si="864"/>
        <v>2727</v>
      </c>
      <c r="AL942" s="136">
        <f ca="1" t="shared" si="864"/>
        <v>3636</v>
      </c>
      <c r="AM942" s="136">
        <f ca="1" t="shared" si="864"/>
        <v>4545</v>
      </c>
      <c r="AN942" s="136">
        <f ca="1" t="shared" si="864"/>
        <v>16715</v>
      </c>
    </row>
    <row r="943" s="106" customFormat="1" ht="16.5" spans="2:40">
      <c r="B943" s="117">
        <v>309</v>
      </c>
      <c r="C943" s="130">
        <f t="shared" si="759"/>
        <v>30900</v>
      </c>
      <c r="D943" s="131" cm="1">
        <f ca="1" t="array" ref="D943">IF(D1545=1,OFFSET($W$634,$B943,D$631-1)/SUMPRODUCT(--($D$631:$V$631=D$631),--($D1545:$V1545=1)),0)+SUM(D942)+IF(COUNTIF(D$1237:D1545,1)=1,5,0)+IF(COUNTIF(E943:$W943,"&gt;"&amp;0)&lt;5,IF(AND(COUNTIF(D$1237:D1545,1)&gt;7,MOD(1+IFERROR(MATCH($C943,总览!$D$46:$D$345,1)+1,1),7)=0),$C$3,0),0)</f>
        <v>2063.27618319094</v>
      </c>
      <c r="E943" s="131" cm="1">
        <f ca="1" t="array" ref="E943">IF(E1545=1,OFFSET($W$634,$B943,E$631-1)/SUMPRODUCT(--($D$631:$V$631=E$631),--($D1545:$V1545=1)),0)+SUM(E942)+IF(COUNTIF(E$1237:E1545,1)=1,5,0)+IF(COUNTIF(F943:$W943,"&gt;"&amp;0)&lt;5,IF(AND(COUNTIF(E$1237:E1545,1)&gt;7,MOD(1+IFERROR(MATCH($C943,总览!$D$46:$D$345,1)+1,1),7)=0),$C$3,0),0)</f>
        <v>2063.27618319094</v>
      </c>
      <c r="F943" s="131" cm="1">
        <f ca="1" t="array" ref="F943">IF(F1545=1,OFFSET($W$634,$B943,F$631-1)/SUMPRODUCT(--($D$631:$V$631=F$631),--($D1545:$V1545=1)),0)+SUM(F942)+IF(COUNTIF(F$1237:F1545,1)=1,5,0)+IF(COUNTIF(G943:$W943,"&gt;"&amp;0)&lt;5,IF(AND(COUNTIF(F$1237:F1545,1)&gt;7,MOD(1+IFERROR(MATCH($C943,总览!$D$46:$D$345,1)+1,1),7)=0),$C$3,0),0)</f>
        <v>2063.27618319094</v>
      </c>
      <c r="G943" s="131" cm="1">
        <f ca="1" t="array" ref="G943">IF(G1545=1,OFFSET($W$634,$B943,G$631-1)/SUMPRODUCT(--($D$631:$V$631=G$631),--($D1545:$V1545=1)),0)+SUM(G942)+IF(COUNTIF(G$1237:G1545,1)=1,5,0)+IF(COUNTIF(H943:$W943,"&gt;"&amp;0)&lt;5,IF(AND(COUNTIF(G$1237:G1545,1)&gt;7,MOD(1+IFERROR(MATCH($C943,总览!$D$46:$D$345,1)+1,1),7)=0),$C$3,0),0)</f>
        <v>969.400000000004</v>
      </c>
      <c r="H943" s="131" cm="1">
        <f ca="1" t="array" ref="H943">IF(H1545=1,OFFSET($W$634,$B943,H$631-1)/SUMPRODUCT(--($D$631:$V$631=H$631),--($D1545:$V1545=1)),0)+SUM(H942)+IF(COUNTIF(H$1237:H1545,1)=1,5,0)+IF(COUNTIF(I943:$W943,"&gt;"&amp;0)&lt;5,IF(AND(COUNTIF(H$1237:H1545,1)&gt;7,MOD(1+IFERROR(MATCH($C943,总览!$D$46:$D$345,1)+1,1),7)=0),$C$3,0),0)</f>
        <v>969.400000000004</v>
      </c>
      <c r="I943" s="131" cm="1">
        <f ca="1" t="array" ref="I943">IF(I1545=1,OFFSET($W$634,$B943,I$631-1)/SUMPRODUCT(--($D$631:$V$631=I$631),--($D1545:$V1545=1)),0)+SUM(I942)+IF(COUNTIF(I$1237:I1545,1)=1,5,0)+IF(COUNTIF(J943:$W943,"&gt;"&amp;0)&lt;5,IF(AND(COUNTIF(I$1237:I1545,1)&gt;7,MOD(1+IFERROR(MATCH($C943,总览!$D$46:$D$345,1)+1,1),7)=0),$C$3,0),0)</f>
        <v>969.400000000004</v>
      </c>
      <c r="J943" s="131" cm="1">
        <f ca="1" t="array" ref="J943">IF(J1545=1,OFFSET($W$634,$B943,J$631-1)/SUMPRODUCT(--($D$631:$V$631=J$631),--($D1545:$V1545=1)),0)+SUM(J942)+IF(COUNTIF(J$1237:J1545,1)=1,5,0)+IF(COUNTIF(K943:$W943,"&gt;"&amp;0)&lt;5,IF(AND(COUNTIF(J$1237:J1545,1)&gt;7,MOD(1+IFERROR(MATCH($C943,总览!$D$46:$D$345,1)+1,1),7)=0),$C$3,0),0)</f>
        <v>966.06666666667</v>
      </c>
      <c r="K943" s="131" cm="1">
        <f ca="1" t="array" ref="K943">IF(K1545=1,OFFSET($W$634,$B943,K$631-1)/SUMPRODUCT(--($D$631:$V$631=K$631),--($D1545:$V1545=1)),0)+SUM(K942)+IF(COUNTIF(K$1237:K1545,1)=1,5,0)+IF(COUNTIF(L943:$W943,"&gt;"&amp;0)&lt;5,IF(AND(COUNTIF(K$1237:K1545,1)&gt;7,MOD(1+IFERROR(MATCH($C943,总览!$D$46:$D$345,1)+1,1),7)=0),$C$3,0),0)</f>
        <v>963.56666666667</v>
      </c>
      <c r="L943" s="131" cm="1">
        <f ca="1" t="array" ref="L943">IF(L1545=1,OFFSET($W$634,$B943,L$631-1)/SUMPRODUCT(--($D$631:$V$631=L$631),--($D1545:$V1545=1)),0)+SUM(L942)+IF(COUNTIF(L$1237:L1545,1)=1,5,0)+IF(COUNTIF(M943:$W943,"&gt;"&amp;0)&lt;5,IF(AND(COUNTIF(L$1237:L1545,1)&gt;7,MOD(1+IFERROR(MATCH($C943,总览!$D$46:$D$345,1)+1,1),7)=0),$C$3,0),0)</f>
        <v>963.56666666667</v>
      </c>
      <c r="M943" s="131" cm="1">
        <f ca="1" t="array" ref="M943">IF(M1545=1,OFFSET($W$634,$B943,M$631-1)/SUMPRODUCT(--($D$631:$V$631=M$631),--($D1545:$V1545=1)),0)+SUM(M942)+IF(COUNTIF(M$1237:M1545,1)=1,5,0)+IF(COUNTIF(N943:$W943,"&gt;"&amp;0)&lt;5,IF(AND(COUNTIF(M$1237:M1545,1)&gt;7,MOD(1+IFERROR(MATCH($C943,总览!$D$46:$D$345,1)+1,1),7)=0),$C$3,0),0)</f>
        <v>399.18125</v>
      </c>
      <c r="N943" s="131" cm="1">
        <f ca="1" t="array" ref="N943">IF(N1545=1,OFFSET($W$634,$B943,N$631-1)/SUMPRODUCT(--($D$631:$V$631=N$631),--($D1545:$V1545=1)),0)+SUM(N942)+IF(COUNTIF(N$1237:N1545,1)=1,5,0)+IF(COUNTIF(O943:$W943,"&gt;"&amp;0)&lt;5,IF(AND(COUNTIF(N$1237:N1545,1)&gt;7,MOD(1+IFERROR(MATCH($C943,总览!$D$46:$D$345,1)+1,1),7)=0),$C$3,0),0)</f>
        <v>400.43125</v>
      </c>
      <c r="O943" s="131" cm="1">
        <f ca="1" t="array" ref="O943">IF(O1545=1,OFFSET($W$634,$B943,O$631-1)/SUMPRODUCT(--($D$631:$V$631=O$631),--($D1545:$V1545=1)),0)+SUM(O942)+IF(COUNTIF(O$1237:O1545,1)=1,5,0)+IF(COUNTIF(P943:$W943,"&gt;"&amp;0)&lt;5,IF(AND(COUNTIF(O$1237:O1545,1)&gt;7,MOD(1+IFERROR(MATCH($C943,总览!$D$46:$D$345,1)+1,1),7)=0),$C$3,0),0)</f>
        <v>405.43125</v>
      </c>
      <c r="P943" s="131" cm="1">
        <f ca="1" t="array" ref="P943">IF(P1545=1,OFFSET($W$634,$B943,P$631-1)/SUMPRODUCT(--($D$631:$V$631=P$631),--($D1545:$V1545=1)),0)+SUM(P942)+IF(COUNTIF(P$1237:P1545,1)=1,5,0)+IF(COUNTIF(Q943:$W943,"&gt;"&amp;0)&lt;5,IF(AND(COUNTIF(P$1237:P1545,1)&gt;7,MOD(1+IFERROR(MATCH($C943,总览!$D$46:$D$345,1)+1,1),7)=0),$C$3,0),0)</f>
        <v>394.55</v>
      </c>
      <c r="Q943" s="131" cm="1">
        <f ca="1" t="array" ref="Q943">IF(Q1545=1,OFFSET($W$634,$B943,Q$631-1)/SUMPRODUCT(--($D$631:$V$631=Q$631),--($D1545:$V1545=1)),0)+SUM(Q942)+IF(COUNTIF(Q$1237:Q1545,1)=1,5,0)+IF(COUNTIF(R943:$W943,"&gt;"&amp;0)&lt;5,IF(AND(COUNTIF(Q$1237:Q1545,1)&gt;7,MOD(1+IFERROR(MATCH($C943,总览!$D$46:$D$345,1)+1,1),7)=0),$C$3,0),0)</f>
        <v>407.93125</v>
      </c>
      <c r="R943" s="131" cm="1">
        <f ca="1" t="array" ref="R943">IF(R1545=1,OFFSET($W$634,$B943,R$631-1)/SUMPRODUCT(--($D$631:$V$631=R$631),--($D1545:$V1545=1)),0)+SUM(R942)+IF(COUNTIF(R$1237:R1545,1)=1,5,0)+IF(COUNTIF(S943:$W943,"&gt;"&amp;0)&lt;5,IF(AND(COUNTIF(R$1237:R1545,1)&gt;7,MOD(1+IFERROR(MATCH($C943,总览!$D$46:$D$345,1)+1,1),7)=0),$C$3,0),0)</f>
        <v>399.55</v>
      </c>
      <c r="S943" s="131" cm="1">
        <f ca="1" t="array" ref="S943">IF(S1545=1,OFFSET($W$634,$B943,S$631-1)/SUMPRODUCT(--($D$631:$V$631=S$631),--($D1545:$V1545=1)),0)+SUM(S942)+IF(COUNTIF(S$1237:S1545,1)=1,5,0)+IF(COUNTIF(T943:$W943,"&gt;"&amp;0)&lt;5,IF(AND(COUNTIF(S$1237:S1545,1)&gt;7,MOD(1+IFERROR(MATCH($C943,总览!$D$46:$D$345,1)+1,1),7)=0),$C$3,0),0)</f>
        <v>492.050000000002</v>
      </c>
      <c r="T943" s="131" cm="1">
        <f ca="1" t="array" ref="T943">IF(T1545=1,OFFSET($W$634,$B943,T$631-1)/SUMPRODUCT(--($D$631:$V$631=T$631),--($D1545:$V1545=1)),0)+SUM(T942)+IF(COUNTIF(T$1237:T1545,1)=1,5,0)+IF(COUNTIF(U943:$W943,"&gt;"&amp;0)&lt;5,IF(AND(COUNTIF(T$1237:T1545,1)&gt;7,MOD(1+IFERROR(MATCH($C943,总览!$D$46:$D$345,1)+1,1),7)=0),$C$3,0),0)</f>
        <v>359.59262600138</v>
      </c>
      <c r="U943" s="131" cm="1">
        <f ca="1" t="array" ref="U943">IF(U1545=1,OFFSET($W$634,$B943,U$631-1)/SUMPRODUCT(--($D$631:$V$631=U$631),--($D1545:$V1545=1)),0)+SUM(U942)+IF(COUNTIF(U$1237:U1545,1)=1,5,0)+IF(COUNTIF(V943:$W943,"&gt;"&amp;0)&lt;5,IF(AND(COUNTIF(U$1237:U1545,1)&gt;7,MOD(1+IFERROR(MATCH($C943,总览!$D$46:$D$345,1)+1,1),7)=0),$C$3,0),0)</f>
        <v>365.113412356679</v>
      </c>
      <c r="V943" s="131" cm="1">
        <f ca="1" t="array" ref="V943">IF(V1545=1,OFFSET($W$634,$B943,V$631-1)/SUMPRODUCT(--($D$631:$V$631=V$631),--($D1545:$V1545=1)),0)+SUM(V942)+IF(COUNTIF(V$1237:V1545,1)=1,5,0)+IF(COUNTIF(W943:$W943,"&gt;"&amp;0)&lt;5,IF(AND(COUNTIF(V$1237:V1545,1)&gt;7,MOD(1+IFERROR(MATCH($C943,总览!$D$46:$D$345,1)+1,1),7)=0),$C$3,0),0)</f>
        <v>384.940412069112</v>
      </c>
      <c r="W943" s="135" cm="1">
        <f ca="1" t="array" ref="W943">SUMPRODUCT(TRANSPOSE($AA943:$AG943),OFFSET($L$9:$L$15,0,W$631-1))</f>
        <v>16.8502200646615</v>
      </c>
      <c r="X943" s="135" cm="1">
        <f ca="1" t="array" ref="X943">SUMPRODUCT(TRANSPOSE($AA943:$AG943),OFFSET($L$9:$L$15,0,X$631-1))</f>
        <v>20</v>
      </c>
      <c r="Y943" s="135" cm="1">
        <f ca="1" t="array" ref="Y943">SUMPRODUCT(TRANSPOSE($AA943:$AG943),OFFSET($L$9:$L$15,0,Y$631-1))</f>
        <v>10</v>
      </c>
      <c r="Z943" s="135" cm="1">
        <f ca="1" t="array" ref="Z943">SUMPRODUCT(TRANSPOSE($AA943:$AG943),OFFSET($L$9:$L$15,0,Z$631-1))</f>
        <v>3.14977993533847</v>
      </c>
      <c r="AA943" s="136">
        <f ca="1" t="shared" ref="AA943:AG943" si="865">AH943-AH942</f>
        <v>0</v>
      </c>
      <c r="AB943" s="136">
        <f ca="1" t="shared" si="865"/>
        <v>0</v>
      </c>
      <c r="AC943" s="136">
        <f ca="1" t="shared" si="865"/>
        <v>0</v>
      </c>
      <c r="AD943" s="136">
        <f ca="1" t="shared" si="865"/>
        <v>0</v>
      </c>
      <c r="AE943" s="136">
        <f ca="1" t="shared" si="865"/>
        <v>0</v>
      </c>
      <c r="AF943" s="136">
        <f ca="1" t="shared" si="865"/>
        <v>0</v>
      </c>
      <c r="AG943" s="136">
        <f ca="1" t="shared" si="865"/>
        <v>100</v>
      </c>
      <c r="AH943" s="136">
        <f ca="1" t="shared" si="761"/>
        <v>450</v>
      </c>
      <c r="AI943" s="136">
        <f ca="1" t="shared" ref="AI943:AN943" si="866">IF($C943&gt;OFFSET($Q$8,MATCH(AI$634,$AH$634:$AN$634,0),0),OFFSET($P$8,MATCH(AI$634,$AH$634:$AN$634,0),0),MAX(0,$C943-OFFSET($Q$8,RIGHT(AI$634,1)-1,0)))</f>
        <v>909</v>
      </c>
      <c r="AJ943" s="136">
        <f ca="1" t="shared" si="866"/>
        <v>1818</v>
      </c>
      <c r="AK943" s="136">
        <f ca="1" t="shared" si="866"/>
        <v>2727</v>
      </c>
      <c r="AL943" s="136">
        <f ca="1" t="shared" si="866"/>
        <v>3636</v>
      </c>
      <c r="AM943" s="136">
        <f ca="1" t="shared" si="866"/>
        <v>4545</v>
      </c>
      <c r="AN943" s="136">
        <f ca="1" t="shared" si="866"/>
        <v>16815</v>
      </c>
    </row>
    <row r="944" s="106" customFormat="1" ht="16.5" spans="2:40">
      <c r="B944" s="117">
        <v>310</v>
      </c>
      <c r="C944" s="130">
        <f t="shared" si="759"/>
        <v>31000</v>
      </c>
      <c r="D944" s="131" cm="1">
        <f ca="1" t="array" ref="D944">IF(D1546=1,OFFSET($W$634,$B944,D$631-1)/SUMPRODUCT(--($D$631:$V$631=D$631),--($D1546:$V1546=1)),0)+SUM(D943)+IF(COUNTIF(D$1237:D1546,1)=1,5,0)+IF(COUNTIF(E944:$W944,"&gt;"&amp;0)&lt;5,IF(AND(COUNTIF(D$1237:D1546,1)&gt;7,MOD(1+IFERROR(MATCH($C944,总览!$D$46:$D$345,1)+1,1),7)=0),$C$3,0),0)</f>
        <v>2068.89292321249</v>
      </c>
      <c r="E944" s="131" cm="1">
        <f ca="1" t="array" ref="E944">IF(E1546=1,OFFSET($W$634,$B944,E$631-1)/SUMPRODUCT(--($D$631:$V$631=E$631),--($D1546:$V1546=1)),0)+SUM(E943)+IF(COUNTIF(E$1237:E1546,1)=1,5,0)+IF(COUNTIF(F944:$W944,"&gt;"&amp;0)&lt;5,IF(AND(COUNTIF(E$1237:E1546,1)&gt;7,MOD(1+IFERROR(MATCH($C944,总览!$D$46:$D$345,1)+1,1),7)=0),$C$3,0),0)</f>
        <v>2068.89292321249</v>
      </c>
      <c r="F944" s="131" cm="1">
        <f ca="1" t="array" ref="F944">IF(F1546=1,OFFSET($W$634,$B944,F$631-1)/SUMPRODUCT(--($D$631:$V$631=F$631),--($D1546:$V1546=1)),0)+SUM(F943)+IF(COUNTIF(F$1237:F1546,1)=1,5,0)+IF(COUNTIF(G944:$W944,"&gt;"&amp;0)&lt;5,IF(AND(COUNTIF(F$1237:F1546,1)&gt;7,MOD(1+IFERROR(MATCH($C944,总览!$D$46:$D$345,1)+1,1),7)=0),$C$3,0),0)</f>
        <v>2068.89292321249</v>
      </c>
      <c r="G944" s="131" cm="1">
        <f ca="1" t="array" ref="G944">IF(G1546=1,OFFSET($W$634,$B944,G$631-1)/SUMPRODUCT(--($D$631:$V$631=G$631),--($D1546:$V1546=1)),0)+SUM(G943)+IF(COUNTIF(G$1237:G1546,1)=1,5,0)+IF(COUNTIF(H944:$W944,"&gt;"&amp;0)&lt;5,IF(AND(COUNTIF(G$1237:G1546,1)&gt;7,MOD(1+IFERROR(MATCH($C944,总览!$D$46:$D$345,1)+1,1),7)=0),$C$3,0),0)</f>
        <v>972.733333333337</v>
      </c>
      <c r="H944" s="131" cm="1">
        <f ca="1" t="array" ref="H944">IF(H1546=1,OFFSET($W$634,$B944,H$631-1)/SUMPRODUCT(--($D$631:$V$631=H$631),--($D1546:$V1546=1)),0)+SUM(H943)+IF(COUNTIF(H$1237:H1546,1)=1,5,0)+IF(COUNTIF(I944:$W944,"&gt;"&amp;0)&lt;5,IF(AND(COUNTIF(H$1237:H1546,1)&gt;7,MOD(1+IFERROR(MATCH($C944,总览!$D$46:$D$345,1)+1,1),7)=0),$C$3,0),0)</f>
        <v>972.733333333337</v>
      </c>
      <c r="I944" s="131" cm="1">
        <f ca="1" t="array" ref="I944">IF(I1546=1,OFFSET($W$634,$B944,I$631-1)/SUMPRODUCT(--($D$631:$V$631=I$631),--($D1546:$V1546=1)),0)+SUM(I943)+IF(COUNTIF(I$1237:I1546,1)=1,5,0)+IF(COUNTIF(J944:$W944,"&gt;"&amp;0)&lt;5,IF(AND(COUNTIF(I$1237:I1546,1)&gt;7,MOD(1+IFERROR(MATCH($C944,总览!$D$46:$D$345,1)+1,1),7)=0),$C$3,0),0)</f>
        <v>972.733333333337</v>
      </c>
      <c r="J944" s="131" cm="1">
        <f ca="1" t="array" ref="J944">IF(J1546=1,OFFSET($W$634,$B944,J$631-1)/SUMPRODUCT(--($D$631:$V$631=J$631),--($D1546:$V1546=1)),0)+SUM(J943)+IF(COUNTIF(J$1237:J1546,1)=1,5,0)+IF(COUNTIF(K944:$W944,"&gt;"&amp;0)&lt;5,IF(AND(COUNTIF(J$1237:J1546,1)&gt;7,MOD(1+IFERROR(MATCH($C944,总览!$D$46:$D$345,1)+1,1),7)=0),$C$3,0),0)</f>
        <v>969.400000000004</v>
      </c>
      <c r="K944" s="131" cm="1">
        <f ca="1" t="array" ref="K944">IF(K1546=1,OFFSET($W$634,$B944,K$631-1)/SUMPRODUCT(--($D$631:$V$631=K$631),--($D1546:$V1546=1)),0)+SUM(K943)+IF(COUNTIF(K$1237:K1546,1)=1,5,0)+IF(COUNTIF(L944:$W944,"&gt;"&amp;0)&lt;5,IF(AND(COUNTIF(K$1237:K1546,1)&gt;7,MOD(1+IFERROR(MATCH($C944,总览!$D$46:$D$345,1)+1,1),7)=0),$C$3,0),0)</f>
        <v>966.900000000004</v>
      </c>
      <c r="L944" s="131" cm="1">
        <f ca="1" t="array" ref="L944">IF(L1546=1,OFFSET($W$634,$B944,L$631-1)/SUMPRODUCT(--($D$631:$V$631=L$631),--($D1546:$V1546=1)),0)+SUM(L943)+IF(COUNTIF(L$1237:L1546,1)=1,5,0)+IF(COUNTIF(M944:$W944,"&gt;"&amp;0)&lt;5,IF(AND(COUNTIF(L$1237:L1546,1)&gt;7,MOD(1+IFERROR(MATCH($C944,总览!$D$46:$D$345,1)+1,1),7)=0),$C$3,0),0)</f>
        <v>966.900000000004</v>
      </c>
      <c r="M944" s="131" cm="1">
        <f ca="1" t="array" ref="M944">IF(M1546=1,OFFSET($W$634,$B944,M$631-1)/SUMPRODUCT(--($D$631:$V$631=M$631),--($D1546:$V1546=1)),0)+SUM(M943)+IF(COUNTIF(M$1237:M1546,1)=1,5,0)+IF(COUNTIF(N944:$W944,"&gt;"&amp;0)&lt;5,IF(AND(COUNTIF(M$1237:M1546,1)&gt;7,MOD(1+IFERROR(MATCH($C944,总览!$D$46:$D$345,1)+1,1),7)=0),$C$3,0),0)</f>
        <v>400.609821428572</v>
      </c>
      <c r="N944" s="131" cm="1">
        <f ca="1" t="array" ref="N944">IF(N1546=1,OFFSET($W$634,$B944,N$631-1)/SUMPRODUCT(--($D$631:$V$631=N$631),--($D1546:$V1546=1)),0)+SUM(N943)+IF(COUNTIF(N$1237:N1546,1)=1,5,0)+IF(COUNTIF(O944:$W944,"&gt;"&amp;0)&lt;5,IF(AND(COUNTIF(N$1237:N1546,1)&gt;7,MOD(1+IFERROR(MATCH($C944,总览!$D$46:$D$345,1)+1,1),7)=0),$C$3,0),0)</f>
        <v>401.859821428572</v>
      </c>
      <c r="O944" s="131" cm="1">
        <f ca="1" t="array" ref="O944">IF(O1546=1,OFFSET($W$634,$B944,O$631-1)/SUMPRODUCT(--($D$631:$V$631=O$631),--($D1546:$V1546=1)),0)+SUM(O943)+IF(COUNTIF(O$1237:O1546,1)=1,5,0)+IF(COUNTIF(P944:$W944,"&gt;"&amp;0)&lt;5,IF(AND(COUNTIF(O$1237:O1546,1)&gt;7,MOD(1+IFERROR(MATCH($C944,总览!$D$46:$D$345,1)+1,1),7)=0),$C$3,0),0)</f>
        <v>406.859821428572</v>
      </c>
      <c r="P944" s="131" cm="1">
        <f ca="1" t="array" ref="P944">IF(P1546=1,OFFSET($W$634,$B944,P$631-1)/SUMPRODUCT(--($D$631:$V$631=P$631),--($D1546:$V1546=1)),0)+SUM(P943)+IF(COUNTIF(P$1237:P1546,1)=1,5,0)+IF(COUNTIF(Q944:$W944,"&gt;"&amp;0)&lt;5,IF(AND(COUNTIF(P$1237:P1546,1)&gt;7,MOD(1+IFERROR(MATCH($C944,总览!$D$46:$D$345,1)+1,1),7)=0),$C$3,0),0)</f>
        <v>395.978571428572</v>
      </c>
      <c r="Q944" s="131" cm="1">
        <f ca="1" t="array" ref="Q944">IF(Q1546=1,OFFSET($W$634,$B944,Q$631-1)/SUMPRODUCT(--($D$631:$V$631=Q$631),--($D1546:$V1546=1)),0)+SUM(Q943)+IF(COUNTIF(Q$1237:Q1546,1)=1,5,0)+IF(COUNTIF(R944:$W944,"&gt;"&amp;0)&lt;5,IF(AND(COUNTIF(Q$1237:Q1546,1)&gt;7,MOD(1+IFERROR(MATCH($C944,总览!$D$46:$D$345,1)+1,1),7)=0),$C$3,0),0)</f>
        <v>409.359821428572</v>
      </c>
      <c r="R944" s="131" cm="1">
        <f ca="1" t="array" ref="R944">IF(R1546=1,OFFSET($W$634,$B944,R$631-1)/SUMPRODUCT(--($D$631:$V$631=R$631),--($D1546:$V1546=1)),0)+SUM(R943)+IF(COUNTIF(R$1237:R1546,1)=1,5,0)+IF(COUNTIF(S944:$W944,"&gt;"&amp;0)&lt;5,IF(AND(COUNTIF(R$1237:R1546,1)&gt;7,MOD(1+IFERROR(MATCH($C944,总览!$D$46:$D$345,1)+1,1),7)=0),$C$3,0),0)</f>
        <v>400.978571428572</v>
      </c>
      <c r="S944" s="131" cm="1">
        <f ca="1" t="array" ref="S944">IF(S1546=1,OFFSET($W$634,$B944,S$631-1)/SUMPRODUCT(--($D$631:$V$631=S$631),--($D1546:$V1546=1)),0)+SUM(S943)+IF(COUNTIF(S$1237:S1546,1)=1,5,0)+IF(COUNTIF(T944:$W944,"&gt;"&amp;0)&lt;5,IF(AND(COUNTIF(S$1237:S1546,1)&gt;7,MOD(1+IFERROR(MATCH($C944,总览!$D$46:$D$345,1)+1,1),7)=0),$C$3,0),0)</f>
        <v>493.478571428573</v>
      </c>
      <c r="T944" s="131" cm="1">
        <f ca="1" t="array" ref="T944">IF(T1546=1,OFFSET($W$634,$B944,T$631-1)/SUMPRODUCT(--($D$631:$V$631=T$631),--($D1546:$V1546=1)),0)+SUM(T943)+IF(COUNTIF(T$1237:T1546,1)=1,5,0)+IF(COUNTIF(U944:$W944,"&gt;"&amp;0)&lt;5,IF(AND(COUNTIF(T$1237:T1546,1)&gt;7,MOD(1+IFERROR(MATCH($C944,总览!$D$46:$D$345,1)+1,1),7)=0),$C$3,0),0)</f>
        <v>360.642552646493</v>
      </c>
      <c r="U944" s="131" cm="1">
        <f ca="1" t="array" ref="U944">IF(U1546=1,OFFSET($W$634,$B944,U$631-1)/SUMPRODUCT(--($D$631:$V$631=U$631),--($D1546:$V1546=1)),0)+SUM(U943)+IF(COUNTIF(U$1237:U1546,1)=1,5,0)+IF(COUNTIF(V944:$W944,"&gt;"&amp;0)&lt;5,IF(AND(COUNTIF(U$1237:U1546,1)&gt;7,MOD(1+IFERROR(MATCH($C944,总览!$D$46:$D$345,1)+1,1),7)=0),$C$3,0),0)</f>
        <v>366.163339001792</v>
      </c>
      <c r="V944" s="131" cm="1">
        <f ca="1" t="array" ref="V944">IF(V1546=1,OFFSET($W$634,$B944,V$631-1)/SUMPRODUCT(--($D$631:$V$631=V$631),--($D1546:$V1546=1)),0)+SUM(V943)+IF(COUNTIF(V$1237:V1546,1)=1,5,0)+IF(COUNTIF(W944:$W944,"&gt;"&amp;0)&lt;5,IF(AND(COUNTIF(V$1237:V1546,1)&gt;7,MOD(1+IFERROR(MATCH($C944,总览!$D$46:$D$345,1)+1,1),7)=0),$C$3,0),0)</f>
        <v>385.990338714225</v>
      </c>
      <c r="W944" s="135" cm="1">
        <f ca="1" t="array" ref="W944">SUMPRODUCT(TRANSPOSE($AA944:$AG944),OFFSET($L$9:$L$15,0,W$631-1))</f>
        <v>16.8502200646615</v>
      </c>
      <c r="X944" s="135" cm="1">
        <f ca="1" t="array" ref="X944">SUMPRODUCT(TRANSPOSE($AA944:$AG944),OFFSET($L$9:$L$15,0,X$631-1))</f>
        <v>20</v>
      </c>
      <c r="Y944" s="135" cm="1">
        <f ca="1" t="array" ref="Y944">SUMPRODUCT(TRANSPOSE($AA944:$AG944),OFFSET($L$9:$L$15,0,Y$631-1))</f>
        <v>10</v>
      </c>
      <c r="Z944" s="135" cm="1">
        <f ca="1" t="array" ref="Z944">SUMPRODUCT(TRANSPOSE($AA944:$AG944),OFFSET($L$9:$L$15,0,Z$631-1))</f>
        <v>3.14977993533847</v>
      </c>
      <c r="AA944" s="136">
        <f ca="1" t="shared" ref="AA944:AG944" si="867">AH944-AH943</f>
        <v>0</v>
      </c>
      <c r="AB944" s="136">
        <f ca="1" t="shared" si="867"/>
        <v>0</v>
      </c>
      <c r="AC944" s="136">
        <f ca="1" t="shared" si="867"/>
        <v>0</v>
      </c>
      <c r="AD944" s="136">
        <f ca="1" t="shared" si="867"/>
        <v>0</v>
      </c>
      <c r="AE944" s="136">
        <f ca="1" t="shared" si="867"/>
        <v>0</v>
      </c>
      <c r="AF944" s="136">
        <f ca="1" t="shared" si="867"/>
        <v>0</v>
      </c>
      <c r="AG944" s="136">
        <f ca="1" t="shared" si="867"/>
        <v>100</v>
      </c>
      <c r="AH944" s="136">
        <f ca="1" t="shared" si="761"/>
        <v>450</v>
      </c>
      <c r="AI944" s="136">
        <f ca="1" t="shared" ref="AI944:AN944" si="868">IF($C944&gt;OFFSET($Q$8,MATCH(AI$634,$AH$634:$AN$634,0),0),OFFSET($P$8,MATCH(AI$634,$AH$634:$AN$634,0),0),MAX(0,$C944-OFFSET($Q$8,RIGHT(AI$634,1)-1,0)))</f>
        <v>909</v>
      </c>
      <c r="AJ944" s="136">
        <f ca="1" t="shared" si="868"/>
        <v>1818</v>
      </c>
      <c r="AK944" s="136">
        <f ca="1" t="shared" si="868"/>
        <v>2727</v>
      </c>
      <c r="AL944" s="136">
        <f ca="1" t="shared" si="868"/>
        <v>3636</v>
      </c>
      <c r="AM944" s="136">
        <f ca="1" t="shared" si="868"/>
        <v>4545</v>
      </c>
      <c r="AN944" s="136">
        <f ca="1" t="shared" si="868"/>
        <v>16915</v>
      </c>
    </row>
    <row r="945" s="106" customFormat="1" ht="16.5" spans="2:40">
      <c r="B945" s="117">
        <v>311</v>
      </c>
      <c r="C945" s="130">
        <f t="shared" si="759"/>
        <v>31100</v>
      </c>
      <c r="D945" s="131" cm="1">
        <f ca="1" t="array" ref="D945">IF(D1547=1,OFFSET($W$634,$B945,D$631-1)/SUMPRODUCT(--($D$631:$V$631=D$631),--($D1547:$V1547=1)),0)+SUM(D944)+IF(COUNTIF(D$1237:D1547,1)=1,5,0)+IF(COUNTIF(E945:$W945,"&gt;"&amp;0)&lt;5,IF(AND(COUNTIF(D$1237:D1547,1)&gt;7,MOD(1+IFERROR(MATCH($C945,总览!$D$46:$D$345,1)+1,1),7)=0),$C$3,0),0)</f>
        <v>2074.50966323405</v>
      </c>
      <c r="E945" s="131" cm="1">
        <f ca="1" t="array" ref="E945">IF(E1547=1,OFFSET($W$634,$B945,E$631-1)/SUMPRODUCT(--($D$631:$V$631=E$631),--($D1547:$V1547=1)),0)+SUM(E944)+IF(COUNTIF(E$1237:E1547,1)=1,5,0)+IF(COUNTIF(F945:$W945,"&gt;"&amp;0)&lt;5,IF(AND(COUNTIF(E$1237:E1547,1)&gt;7,MOD(1+IFERROR(MATCH($C945,总览!$D$46:$D$345,1)+1,1),7)=0),$C$3,0),0)</f>
        <v>2074.50966323405</v>
      </c>
      <c r="F945" s="131" cm="1">
        <f ca="1" t="array" ref="F945">IF(F1547=1,OFFSET($W$634,$B945,F$631-1)/SUMPRODUCT(--($D$631:$V$631=F$631),--($D1547:$V1547=1)),0)+SUM(F944)+IF(COUNTIF(F$1237:F1547,1)=1,5,0)+IF(COUNTIF(G945:$W945,"&gt;"&amp;0)&lt;5,IF(AND(COUNTIF(F$1237:F1547,1)&gt;7,MOD(1+IFERROR(MATCH($C945,总览!$D$46:$D$345,1)+1,1),7)=0),$C$3,0),0)</f>
        <v>2074.50966323405</v>
      </c>
      <c r="G945" s="131" cm="1">
        <f ca="1" t="array" ref="G945">IF(G1547=1,OFFSET($W$634,$B945,G$631-1)/SUMPRODUCT(--($D$631:$V$631=G$631),--($D1547:$V1547=1)),0)+SUM(G944)+IF(COUNTIF(G$1237:G1547,1)=1,5,0)+IF(COUNTIF(H945:$W945,"&gt;"&amp;0)&lt;5,IF(AND(COUNTIF(G$1237:G1547,1)&gt;7,MOD(1+IFERROR(MATCH($C945,总览!$D$46:$D$345,1)+1,1),7)=0),$C$3,0),0)</f>
        <v>976.066666666671</v>
      </c>
      <c r="H945" s="131" cm="1">
        <f ca="1" t="array" ref="H945">IF(H1547=1,OFFSET($W$634,$B945,H$631-1)/SUMPRODUCT(--($D$631:$V$631=H$631),--($D1547:$V1547=1)),0)+SUM(H944)+IF(COUNTIF(H$1237:H1547,1)=1,5,0)+IF(COUNTIF(I945:$W945,"&gt;"&amp;0)&lt;5,IF(AND(COUNTIF(H$1237:H1547,1)&gt;7,MOD(1+IFERROR(MATCH($C945,总览!$D$46:$D$345,1)+1,1),7)=0),$C$3,0),0)</f>
        <v>976.066666666671</v>
      </c>
      <c r="I945" s="131" cm="1">
        <f ca="1" t="array" ref="I945">IF(I1547=1,OFFSET($W$634,$B945,I$631-1)/SUMPRODUCT(--($D$631:$V$631=I$631),--($D1547:$V1547=1)),0)+SUM(I944)+IF(COUNTIF(I$1237:I1547,1)=1,5,0)+IF(COUNTIF(J945:$W945,"&gt;"&amp;0)&lt;5,IF(AND(COUNTIF(I$1237:I1547,1)&gt;7,MOD(1+IFERROR(MATCH($C945,总览!$D$46:$D$345,1)+1,1),7)=0),$C$3,0),0)</f>
        <v>976.066666666671</v>
      </c>
      <c r="J945" s="131" cm="1">
        <f ca="1" t="array" ref="J945">IF(J1547=1,OFFSET($W$634,$B945,J$631-1)/SUMPRODUCT(--($D$631:$V$631=J$631),--($D1547:$V1547=1)),0)+SUM(J944)+IF(COUNTIF(J$1237:J1547,1)=1,5,0)+IF(COUNTIF(K945:$W945,"&gt;"&amp;0)&lt;5,IF(AND(COUNTIF(J$1237:J1547,1)&gt;7,MOD(1+IFERROR(MATCH($C945,总览!$D$46:$D$345,1)+1,1),7)=0),$C$3,0),0)</f>
        <v>972.733333333337</v>
      </c>
      <c r="K945" s="131" cm="1">
        <f ca="1" t="array" ref="K945">IF(K1547=1,OFFSET($W$634,$B945,K$631-1)/SUMPRODUCT(--($D$631:$V$631=K$631),--($D1547:$V1547=1)),0)+SUM(K944)+IF(COUNTIF(K$1237:K1547,1)=1,5,0)+IF(COUNTIF(L945:$W945,"&gt;"&amp;0)&lt;5,IF(AND(COUNTIF(K$1237:K1547,1)&gt;7,MOD(1+IFERROR(MATCH($C945,总览!$D$46:$D$345,1)+1,1),7)=0),$C$3,0),0)</f>
        <v>970.233333333337</v>
      </c>
      <c r="L945" s="131" cm="1">
        <f ca="1" t="array" ref="L945">IF(L1547=1,OFFSET($W$634,$B945,L$631-1)/SUMPRODUCT(--($D$631:$V$631=L$631),--($D1547:$V1547=1)),0)+SUM(L944)+IF(COUNTIF(L$1237:L1547,1)=1,5,0)+IF(COUNTIF(M945:$W945,"&gt;"&amp;0)&lt;5,IF(AND(COUNTIF(L$1237:L1547,1)&gt;7,MOD(1+IFERROR(MATCH($C945,总览!$D$46:$D$345,1)+1,1),7)=0),$C$3,0),0)</f>
        <v>970.233333333337</v>
      </c>
      <c r="M945" s="131" cm="1">
        <f ca="1" t="array" ref="M945">IF(M1547=1,OFFSET($W$634,$B945,M$631-1)/SUMPRODUCT(--($D$631:$V$631=M$631),--($D1547:$V1547=1)),0)+SUM(M944)+IF(COUNTIF(M$1237:M1547,1)=1,5,0)+IF(COUNTIF(N945:$W945,"&gt;"&amp;0)&lt;5,IF(AND(COUNTIF(M$1237:M1547,1)&gt;7,MOD(1+IFERROR(MATCH($C945,总览!$D$46:$D$345,1)+1,1),7)=0),$C$3,0),0)</f>
        <v>402.038392857143</v>
      </c>
      <c r="N945" s="131" cm="1">
        <f ca="1" t="array" ref="N945">IF(N1547=1,OFFSET($W$634,$B945,N$631-1)/SUMPRODUCT(--($D$631:$V$631=N$631),--($D1547:$V1547=1)),0)+SUM(N944)+IF(COUNTIF(N$1237:N1547,1)=1,5,0)+IF(COUNTIF(O945:$W945,"&gt;"&amp;0)&lt;5,IF(AND(COUNTIF(N$1237:N1547,1)&gt;7,MOD(1+IFERROR(MATCH($C945,总览!$D$46:$D$345,1)+1,1),7)=0),$C$3,0),0)</f>
        <v>403.288392857143</v>
      </c>
      <c r="O945" s="131" cm="1">
        <f ca="1" t="array" ref="O945">IF(O1547=1,OFFSET($W$634,$B945,O$631-1)/SUMPRODUCT(--($D$631:$V$631=O$631),--($D1547:$V1547=1)),0)+SUM(O944)+IF(COUNTIF(O$1237:O1547,1)=1,5,0)+IF(COUNTIF(P945:$W945,"&gt;"&amp;0)&lt;5,IF(AND(COUNTIF(O$1237:O1547,1)&gt;7,MOD(1+IFERROR(MATCH($C945,总览!$D$46:$D$345,1)+1,1),7)=0),$C$3,0),0)</f>
        <v>408.288392857143</v>
      </c>
      <c r="P945" s="131" cm="1">
        <f ca="1" t="array" ref="P945">IF(P1547=1,OFFSET($W$634,$B945,P$631-1)/SUMPRODUCT(--($D$631:$V$631=P$631),--($D1547:$V1547=1)),0)+SUM(P944)+IF(COUNTIF(P$1237:P1547,1)=1,5,0)+IF(COUNTIF(Q945:$W945,"&gt;"&amp;0)&lt;5,IF(AND(COUNTIF(P$1237:P1547,1)&gt;7,MOD(1+IFERROR(MATCH($C945,总览!$D$46:$D$345,1)+1,1),7)=0),$C$3,0),0)</f>
        <v>397.407142857143</v>
      </c>
      <c r="Q945" s="131" cm="1">
        <f ca="1" t="array" ref="Q945">IF(Q1547=1,OFFSET($W$634,$B945,Q$631-1)/SUMPRODUCT(--($D$631:$V$631=Q$631),--($D1547:$V1547=1)),0)+SUM(Q944)+IF(COUNTIF(Q$1237:Q1547,1)=1,5,0)+IF(COUNTIF(R945:$W945,"&gt;"&amp;0)&lt;5,IF(AND(COUNTIF(Q$1237:Q1547,1)&gt;7,MOD(1+IFERROR(MATCH($C945,总览!$D$46:$D$345,1)+1,1),7)=0),$C$3,0),0)</f>
        <v>410.788392857143</v>
      </c>
      <c r="R945" s="131" cm="1">
        <f ca="1" t="array" ref="R945">IF(R1547=1,OFFSET($W$634,$B945,R$631-1)/SUMPRODUCT(--($D$631:$V$631=R$631),--($D1547:$V1547=1)),0)+SUM(R944)+IF(COUNTIF(R$1237:R1547,1)=1,5,0)+IF(COUNTIF(S945:$W945,"&gt;"&amp;0)&lt;5,IF(AND(COUNTIF(R$1237:R1547,1)&gt;7,MOD(1+IFERROR(MATCH($C945,总览!$D$46:$D$345,1)+1,1),7)=0),$C$3,0),0)</f>
        <v>402.407142857143</v>
      </c>
      <c r="S945" s="131" cm="1">
        <f ca="1" t="array" ref="S945">IF(S1547=1,OFFSET($W$634,$B945,S$631-1)/SUMPRODUCT(--($D$631:$V$631=S$631),--($D1547:$V1547=1)),0)+SUM(S944)+IF(COUNTIF(S$1237:S1547,1)=1,5,0)+IF(COUNTIF(T945:$W945,"&gt;"&amp;0)&lt;5,IF(AND(COUNTIF(S$1237:S1547,1)&gt;7,MOD(1+IFERROR(MATCH($C945,总览!$D$46:$D$345,1)+1,1),7)=0),$C$3,0),0)</f>
        <v>494.907142857144</v>
      </c>
      <c r="T945" s="131" cm="1">
        <f ca="1" t="array" ref="T945">IF(T1547=1,OFFSET($W$634,$B945,T$631-1)/SUMPRODUCT(--($D$631:$V$631=T$631),--($D1547:$V1547=1)),0)+SUM(T944)+IF(COUNTIF(T$1237:T1547,1)=1,5,0)+IF(COUNTIF(U945:$W945,"&gt;"&amp;0)&lt;5,IF(AND(COUNTIF(T$1237:T1547,1)&gt;7,MOD(1+IFERROR(MATCH($C945,总览!$D$46:$D$345,1)+1,1),7)=0),$C$3,0),0)</f>
        <v>361.692479291605</v>
      </c>
      <c r="U945" s="131" cm="1">
        <f ca="1" t="array" ref="U945">IF(U1547=1,OFFSET($W$634,$B945,U$631-1)/SUMPRODUCT(--($D$631:$V$631=U$631),--($D1547:$V1547=1)),0)+SUM(U944)+IF(COUNTIF(U$1237:U1547,1)=1,5,0)+IF(COUNTIF(V945:$W945,"&gt;"&amp;0)&lt;5,IF(AND(COUNTIF(U$1237:U1547,1)&gt;7,MOD(1+IFERROR(MATCH($C945,总览!$D$46:$D$345,1)+1,1),7)=0),$C$3,0),0)</f>
        <v>367.213265646905</v>
      </c>
      <c r="V945" s="131" cm="1">
        <f ca="1" t="array" ref="V945">IF(V1547=1,OFFSET($W$634,$B945,V$631-1)/SUMPRODUCT(--($D$631:$V$631=V$631),--($D1547:$V1547=1)),0)+SUM(V944)+IF(COUNTIF(V$1237:V1547,1)=1,5,0)+IF(COUNTIF(W945:$W945,"&gt;"&amp;0)&lt;5,IF(AND(COUNTIF(V$1237:V1547,1)&gt;7,MOD(1+IFERROR(MATCH($C945,总览!$D$46:$D$345,1)+1,1),7)=0),$C$3,0),0)</f>
        <v>387.040265359338</v>
      </c>
      <c r="W945" s="135" cm="1">
        <f ca="1" t="array" ref="W945">SUMPRODUCT(TRANSPOSE($AA945:$AG945),OFFSET($L$9:$L$15,0,W$631-1))</f>
        <v>16.8502200646615</v>
      </c>
      <c r="X945" s="135" cm="1">
        <f ca="1" t="array" ref="X945">SUMPRODUCT(TRANSPOSE($AA945:$AG945),OFFSET($L$9:$L$15,0,X$631-1))</f>
        <v>20</v>
      </c>
      <c r="Y945" s="135" cm="1">
        <f ca="1" t="array" ref="Y945">SUMPRODUCT(TRANSPOSE($AA945:$AG945),OFFSET($L$9:$L$15,0,Y$631-1))</f>
        <v>10</v>
      </c>
      <c r="Z945" s="135" cm="1">
        <f ca="1" t="array" ref="Z945">SUMPRODUCT(TRANSPOSE($AA945:$AG945),OFFSET($L$9:$L$15,0,Z$631-1))</f>
        <v>3.14977993533847</v>
      </c>
      <c r="AA945" s="136">
        <f ca="1" t="shared" ref="AA945:AG945" si="869">AH945-AH944</f>
        <v>0</v>
      </c>
      <c r="AB945" s="136">
        <f ca="1" t="shared" si="869"/>
        <v>0</v>
      </c>
      <c r="AC945" s="136">
        <f ca="1" t="shared" si="869"/>
        <v>0</v>
      </c>
      <c r="AD945" s="136">
        <f ca="1" t="shared" si="869"/>
        <v>0</v>
      </c>
      <c r="AE945" s="136">
        <f ca="1" t="shared" si="869"/>
        <v>0</v>
      </c>
      <c r="AF945" s="136">
        <f ca="1" t="shared" si="869"/>
        <v>0</v>
      </c>
      <c r="AG945" s="136">
        <f ca="1" t="shared" si="869"/>
        <v>100</v>
      </c>
      <c r="AH945" s="136">
        <f ca="1" t="shared" si="761"/>
        <v>450</v>
      </c>
      <c r="AI945" s="136">
        <f ca="1" t="shared" ref="AI945:AN945" si="870">IF($C945&gt;OFFSET($Q$8,MATCH(AI$634,$AH$634:$AN$634,0),0),OFFSET($P$8,MATCH(AI$634,$AH$634:$AN$634,0),0),MAX(0,$C945-OFFSET($Q$8,RIGHT(AI$634,1)-1,0)))</f>
        <v>909</v>
      </c>
      <c r="AJ945" s="136">
        <f ca="1" t="shared" si="870"/>
        <v>1818</v>
      </c>
      <c r="AK945" s="136">
        <f ca="1" t="shared" si="870"/>
        <v>2727</v>
      </c>
      <c r="AL945" s="136">
        <f ca="1" t="shared" si="870"/>
        <v>3636</v>
      </c>
      <c r="AM945" s="136">
        <f ca="1" t="shared" si="870"/>
        <v>4545</v>
      </c>
      <c r="AN945" s="136">
        <f ca="1" t="shared" si="870"/>
        <v>17015</v>
      </c>
    </row>
    <row r="946" s="106" customFormat="1" ht="16.5" spans="2:40">
      <c r="B946" s="117">
        <v>312</v>
      </c>
      <c r="C946" s="130">
        <f t="shared" si="759"/>
        <v>31200</v>
      </c>
      <c r="D946" s="131" cm="1">
        <f ca="1" t="array" ref="D946">IF(D1548=1,OFFSET($W$634,$B946,D$631-1)/SUMPRODUCT(--($D$631:$V$631=D$631),--($D1548:$V1548=1)),0)+SUM(D945)+IF(COUNTIF(D$1237:D1548,1)=1,5,0)+IF(COUNTIF(E946:$W946,"&gt;"&amp;0)&lt;5,IF(AND(COUNTIF(D$1237:D1548,1)&gt;7,MOD(1+IFERROR(MATCH($C946,总览!$D$46:$D$345,1)+1,1),7)=0),$C$3,0),0)</f>
        <v>2080.1264032556</v>
      </c>
      <c r="E946" s="131" cm="1">
        <f ca="1" t="array" ref="E946">IF(E1548=1,OFFSET($W$634,$B946,E$631-1)/SUMPRODUCT(--($D$631:$V$631=E$631),--($D1548:$V1548=1)),0)+SUM(E945)+IF(COUNTIF(E$1237:E1548,1)=1,5,0)+IF(COUNTIF(F946:$W946,"&gt;"&amp;0)&lt;5,IF(AND(COUNTIF(E$1237:E1548,1)&gt;7,MOD(1+IFERROR(MATCH($C946,总览!$D$46:$D$345,1)+1,1),7)=0),$C$3,0),0)</f>
        <v>2080.1264032556</v>
      </c>
      <c r="F946" s="131" cm="1">
        <f ca="1" t="array" ref="F946">IF(F1548=1,OFFSET($W$634,$B946,F$631-1)/SUMPRODUCT(--($D$631:$V$631=F$631),--($D1548:$V1548=1)),0)+SUM(F945)+IF(COUNTIF(F$1237:F1548,1)=1,5,0)+IF(COUNTIF(G946:$W946,"&gt;"&amp;0)&lt;5,IF(AND(COUNTIF(F$1237:F1548,1)&gt;7,MOD(1+IFERROR(MATCH($C946,总览!$D$46:$D$345,1)+1,1),7)=0),$C$3,0),0)</f>
        <v>2080.1264032556</v>
      </c>
      <c r="G946" s="131" cm="1">
        <f ca="1" t="array" ref="G946">IF(G1548=1,OFFSET($W$634,$B946,G$631-1)/SUMPRODUCT(--($D$631:$V$631=G$631),--($D1548:$V1548=1)),0)+SUM(G945)+IF(COUNTIF(G$1237:G1548,1)=1,5,0)+IF(COUNTIF(H946:$W946,"&gt;"&amp;0)&lt;5,IF(AND(COUNTIF(G$1237:G1548,1)&gt;7,MOD(1+IFERROR(MATCH($C946,总览!$D$46:$D$345,1)+1,1),7)=0),$C$3,0),0)</f>
        <v>979.400000000004</v>
      </c>
      <c r="H946" s="131" cm="1">
        <f ca="1" t="array" ref="H946">IF(H1548=1,OFFSET($W$634,$B946,H$631-1)/SUMPRODUCT(--($D$631:$V$631=H$631),--($D1548:$V1548=1)),0)+SUM(H945)+IF(COUNTIF(H$1237:H1548,1)=1,5,0)+IF(COUNTIF(I946:$W946,"&gt;"&amp;0)&lt;5,IF(AND(COUNTIF(H$1237:H1548,1)&gt;7,MOD(1+IFERROR(MATCH($C946,总览!$D$46:$D$345,1)+1,1),7)=0),$C$3,0),0)</f>
        <v>979.400000000004</v>
      </c>
      <c r="I946" s="131" cm="1">
        <f ca="1" t="array" ref="I946">IF(I1548=1,OFFSET($W$634,$B946,I$631-1)/SUMPRODUCT(--($D$631:$V$631=I$631),--($D1548:$V1548=1)),0)+SUM(I945)+IF(COUNTIF(I$1237:I1548,1)=1,5,0)+IF(COUNTIF(J946:$W946,"&gt;"&amp;0)&lt;5,IF(AND(COUNTIF(I$1237:I1548,1)&gt;7,MOD(1+IFERROR(MATCH($C946,总览!$D$46:$D$345,1)+1,1),7)=0),$C$3,0),0)</f>
        <v>979.400000000004</v>
      </c>
      <c r="J946" s="131" cm="1">
        <f ca="1" t="array" ref="J946">IF(J1548=1,OFFSET($W$634,$B946,J$631-1)/SUMPRODUCT(--($D$631:$V$631=J$631),--($D1548:$V1548=1)),0)+SUM(J945)+IF(COUNTIF(J$1237:J1548,1)=1,5,0)+IF(COUNTIF(K946:$W946,"&gt;"&amp;0)&lt;5,IF(AND(COUNTIF(J$1237:J1548,1)&gt;7,MOD(1+IFERROR(MATCH($C946,总览!$D$46:$D$345,1)+1,1),7)=0),$C$3,0),0)</f>
        <v>976.066666666671</v>
      </c>
      <c r="K946" s="131" cm="1">
        <f ca="1" t="array" ref="K946">IF(K1548=1,OFFSET($W$634,$B946,K$631-1)/SUMPRODUCT(--($D$631:$V$631=K$631),--($D1548:$V1548=1)),0)+SUM(K945)+IF(COUNTIF(K$1237:K1548,1)=1,5,0)+IF(COUNTIF(L946:$W946,"&gt;"&amp;0)&lt;5,IF(AND(COUNTIF(K$1237:K1548,1)&gt;7,MOD(1+IFERROR(MATCH($C946,总览!$D$46:$D$345,1)+1,1),7)=0),$C$3,0),0)</f>
        <v>973.566666666671</v>
      </c>
      <c r="L946" s="131" cm="1">
        <f ca="1" t="array" ref="L946">IF(L1548=1,OFFSET($W$634,$B946,L$631-1)/SUMPRODUCT(--($D$631:$V$631=L$631),--($D1548:$V1548=1)),0)+SUM(L945)+IF(COUNTIF(L$1237:L1548,1)=1,5,0)+IF(COUNTIF(M946:$W946,"&gt;"&amp;0)&lt;5,IF(AND(COUNTIF(L$1237:L1548,1)&gt;7,MOD(1+IFERROR(MATCH($C946,总览!$D$46:$D$345,1)+1,1),7)=0),$C$3,0),0)</f>
        <v>973.566666666671</v>
      </c>
      <c r="M946" s="131" cm="1">
        <f ca="1" t="array" ref="M946">IF(M1548=1,OFFSET($W$634,$B946,M$631-1)/SUMPRODUCT(--($D$631:$V$631=M$631),--($D1548:$V1548=1)),0)+SUM(M945)+IF(COUNTIF(M$1237:M1548,1)=1,5,0)+IF(COUNTIF(N946:$W946,"&gt;"&amp;0)&lt;5,IF(AND(COUNTIF(M$1237:M1548,1)&gt;7,MOD(1+IFERROR(MATCH($C946,总览!$D$46:$D$345,1)+1,1),7)=0),$C$3,0),0)</f>
        <v>403.466964285715</v>
      </c>
      <c r="N946" s="131" cm="1">
        <f ca="1" t="array" ref="N946">IF(N1548=1,OFFSET($W$634,$B946,N$631-1)/SUMPRODUCT(--($D$631:$V$631=N$631),--($D1548:$V1548=1)),0)+SUM(N945)+IF(COUNTIF(N$1237:N1548,1)=1,5,0)+IF(COUNTIF(O946:$W946,"&gt;"&amp;0)&lt;5,IF(AND(COUNTIF(N$1237:N1548,1)&gt;7,MOD(1+IFERROR(MATCH($C946,总览!$D$46:$D$345,1)+1,1),7)=0),$C$3,0),0)</f>
        <v>404.716964285715</v>
      </c>
      <c r="O946" s="131" cm="1">
        <f ca="1" t="array" ref="O946">IF(O1548=1,OFFSET($W$634,$B946,O$631-1)/SUMPRODUCT(--($D$631:$V$631=O$631),--($D1548:$V1548=1)),0)+SUM(O945)+IF(COUNTIF(O$1237:O1548,1)=1,5,0)+IF(COUNTIF(P946:$W946,"&gt;"&amp;0)&lt;5,IF(AND(COUNTIF(O$1237:O1548,1)&gt;7,MOD(1+IFERROR(MATCH($C946,总览!$D$46:$D$345,1)+1,1),7)=0),$C$3,0),0)</f>
        <v>409.716964285715</v>
      </c>
      <c r="P946" s="131" cm="1">
        <f ca="1" t="array" ref="P946">IF(P1548=1,OFFSET($W$634,$B946,P$631-1)/SUMPRODUCT(--($D$631:$V$631=P$631),--($D1548:$V1548=1)),0)+SUM(P945)+IF(COUNTIF(P$1237:P1548,1)=1,5,0)+IF(COUNTIF(Q946:$W946,"&gt;"&amp;0)&lt;5,IF(AND(COUNTIF(P$1237:P1548,1)&gt;7,MOD(1+IFERROR(MATCH($C946,总览!$D$46:$D$345,1)+1,1),7)=0),$C$3,0),0)</f>
        <v>398.835714285715</v>
      </c>
      <c r="Q946" s="131" cm="1">
        <f ca="1" t="array" ref="Q946">IF(Q1548=1,OFFSET($W$634,$B946,Q$631-1)/SUMPRODUCT(--($D$631:$V$631=Q$631),--($D1548:$V1548=1)),0)+SUM(Q945)+IF(COUNTIF(Q$1237:Q1548,1)=1,5,0)+IF(COUNTIF(R946:$W946,"&gt;"&amp;0)&lt;5,IF(AND(COUNTIF(Q$1237:Q1548,1)&gt;7,MOD(1+IFERROR(MATCH($C946,总览!$D$46:$D$345,1)+1,1),7)=0),$C$3,0),0)</f>
        <v>412.216964285715</v>
      </c>
      <c r="R946" s="131" cm="1">
        <f ca="1" t="array" ref="R946">IF(R1548=1,OFFSET($W$634,$B946,R$631-1)/SUMPRODUCT(--($D$631:$V$631=R$631),--($D1548:$V1548=1)),0)+SUM(R945)+IF(COUNTIF(R$1237:R1548,1)=1,5,0)+IF(COUNTIF(S946:$W946,"&gt;"&amp;0)&lt;5,IF(AND(COUNTIF(R$1237:R1548,1)&gt;7,MOD(1+IFERROR(MATCH($C946,总览!$D$46:$D$345,1)+1,1),7)=0),$C$3,0),0)</f>
        <v>403.835714285715</v>
      </c>
      <c r="S946" s="131" cm="1">
        <f ca="1" t="array" ref="S946">IF(S1548=1,OFFSET($W$634,$B946,S$631-1)/SUMPRODUCT(--($D$631:$V$631=S$631),--($D1548:$V1548=1)),0)+SUM(S945)+IF(COUNTIF(S$1237:S1548,1)=1,5,0)+IF(COUNTIF(T946:$W946,"&gt;"&amp;0)&lt;5,IF(AND(COUNTIF(S$1237:S1548,1)&gt;7,MOD(1+IFERROR(MATCH($C946,总览!$D$46:$D$345,1)+1,1),7)=0),$C$3,0),0)</f>
        <v>496.335714285716</v>
      </c>
      <c r="T946" s="131" cm="1">
        <f ca="1" t="array" ref="T946">IF(T1548=1,OFFSET($W$634,$B946,T$631-1)/SUMPRODUCT(--($D$631:$V$631=T$631),--($D1548:$V1548=1)),0)+SUM(T945)+IF(COUNTIF(T$1237:T1548,1)=1,5,0)+IF(COUNTIF(U946:$W946,"&gt;"&amp;0)&lt;5,IF(AND(COUNTIF(T$1237:T1548,1)&gt;7,MOD(1+IFERROR(MATCH($C946,总览!$D$46:$D$345,1)+1,1),7)=0),$C$3,0),0)</f>
        <v>362.742405936718</v>
      </c>
      <c r="U946" s="131" cm="1">
        <f ca="1" t="array" ref="U946">IF(U1548=1,OFFSET($W$634,$B946,U$631-1)/SUMPRODUCT(--($D$631:$V$631=U$631),--($D1548:$V1548=1)),0)+SUM(U945)+IF(COUNTIF(U$1237:U1548,1)=1,5,0)+IF(COUNTIF(V946:$W946,"&gt;"&amp;0)&lt;5,IF(AND(COUNTIF(U$1237:U1548,1)&gt;7,MOD(1+IFERROR(MATCH($C946,总览!$D$46:$D$345,1)+1,1),7)=0),$C$3,0),0)</f>
        <v>368.263192292018</v>
      </c>
      <c r="V946" s="131" cm="1">
        <f ca="1" t="array" ref="V946">IF(V1548=1,OFFSET($W$634,$B946,V$631-1)/SUMPRODUCT(--($D$631:$V$631=V$631),--($D1548:$V1548=1)),0)+SUM(V945)+IF(COUNTIF(V$1237:V1548,1)=1,5,0)+IF(COUNTIF(W946:$W946,"&gt;"&amp;0)&lt;5,IF(AND(COUNTIF(V$1237:V1548,1)&gt;7,MOD(1+IFERROR(MATCH($C946,总览!$D$46:$D$345,1)+1,1),7)=0),$C$3,0),0)</f>
        <v>388.090192004451</v>
      </c>
      <c r="W946" s="135" cm="1">
        <f ca="1" t="array" ref="W946">SUMPRODUCT(TRANSPOSE($AA946:$AG946),OFFSET($L$9:$L$15,0,W$631-1))</f>
        <v>16.8502200646615</v>
      </c>
      <c r="X946" s="135" cm="1">
        <f ca="1" t="array" ref="X946">SUMPRODUCT(TRANSPOSE($AA946:$AG946),OFFSET($L$9:$L$15,0,X$631-1))</f>
        <v>20</v>
      </c>
      <c r="Y946" s="135" cm="1">
        <f ca="1" t="array" ref="Y946">SUMPRODUCT(TRANSPOSE($AA946:$AG946),OFFSET($L$9:$L$15,0,Y$631-1))</f>
        <v>10</v>
      </c>
      <c r="Z946" s="135" cm="1">
        <f ca="1" t="array" ref="Z946">SUMPRODUCT(TRANSPOSE($AA946:$AG946),OFFSET($L$9:$L$15,0,Z$631-1))</f>
        <v>3.14977993533847</v>
      </c>
      <c r="AA946" s="136">
        <f ca="1" t="shared" ref="AA946:AG946" si="871">AH946-AH945</f>
        <v>0</v>
      </c>
      <c r="AB946" s="136">
        <f ca="1" t="shared" si="871"/>
        <v>0</v>
      </c>
      <c r="AC946" s="136">
        <f ca="1" t="shared" si="871"/>
        <v>0</v>
      </c>
      <c r="AD946" s="136">
        <f ca="1" t="shared" si="871"/>
        <v>0</v>
      </c>
      <c r="AE946" s="136">
        <f ca="1" t="shared" si="871"/>
        <v>0</v>
      </c>
      <c r="AF946" s="136">
        <f ca="1" t="shared" si="871"/>
        <v>0</v>
      </c>
      <c r="AG946" s="136">
        <f ca="1" t="shared" si="871"/>
        <v>100</v>
      </c>
      <c r="AH946" s="136">
        <f ca="1" t="shared" si="761"/>
        <v>450</v>
      </c>
      <c r="AI946" s="136">
        <f ca="1" t="shared" ref="AI946:AN946" si="872">IF($C946&gt;OFFSET($Q$8,MATCH(AI$634,$AH$634:$AN$634,0),0),OFFSET($P$8,MATCH(AI$634,$AH$634:$AN$634,0),0),MAX(0,$C946-OFFSET($Q$8,RIGHT(AI$634,1)-1,0)))</f>
        <v>909</v>
      </c>
      <c r="AJ946" s="136">
        <f ca="1" t="shared" si="872"/>
        <v>1818</v>
      </c>
      <c r="AK946" s="136">
        <f ca="1" t="shared" si="872"/>
        <v>2727</v>
      </c>
      <c r="AL946" s="136">
        <f ca="1" t="shared" si="872"/>
        <v>3636</v>
      </c>
      <c r="AM946" s="136">
        <f ca="1" t="shared" si="872"/>
        <v>4545</v>
      </c>
      <c r="AN946" s="136">
        <f ca="1" t="shared" si="872"/>
        <v>17115</v>
      </c>
    </row>
    <row r="947" s="106" customFormat="1" ht="16.5" spans="2:40">
      <c r="B947" s="117">
        <v>313</v>
      </c>
      <c r="C947" s="130">
        <f t="shared" si="759"/>
        <v>31300</v>
      </c>
      <c r="D947" s="131" cm="1">
        <f ca="1" t="array" ref="D947">IF(D1549=1,OFFSET($W$634,$B947,D$631-1)/SUMPRODUCT(--($D$631:$V$631=D$631),--($D1549:$V1549=1)),0)+SUM(D946)+IF(COUNTIF(D$1237:D1549,1)=1,5,0)+IF(COUNTIF(E947:$W947,"&gt;"&amp;0)&lt;5,IF(AND(COUNTIF(D$1237:D1549,1)&gt;7,MOD(1+IFERROR(MATCH($C947,总览!$D$46:$D$345,1)+1,1),7)=0),$C$3,0),0)</f>
        <v>2085.74314327716</v>
      </c>
      <c r="E947" s="131" cm="1">
        <f ca="1" t="array" ref="E947">IF(E1549=1,OFFSET($W$634,$B947,E$631-1)/SUMPRODUCT(--($D$631:$V$631=E$631),--($D1549:$V1549=1)),0)+SUM(E946)+IF(COUNTIF(E$1237:E1549,1)=1,5,0)+IF(COUNTIF(F947:$W947,"&gt;"&amp;0)&lt;5,IF(AND(COUNTIF(E$1237:E1549,1)&gt;7,MOD(1+IFERROR(MATCH($C947,总览!$D$46:$D$345,1)+1,1),7)=0),$C$3,0),0)</f>
        <v>2085.74314327716</v>
      </c>
      <c r="F947" s="131" cm="1">
        <f ca="1" t="array" ref="F947">IF(F1549=1,OFFSET($W$634,$B947,F$631-1)/SUMPRODUCT(--($D$631:$V$631=F$631),--($D1549:$V1549=1)),0)+SUM(F946)+IF(COUNTIF(F$1237:F1549,1)=1,5,0)+IF(COUNTIF(G947:$W947,"&gt;"&amp;0)&lt;5,IF(AND(COUNTIF(F$1237:F1549,1)&gt;7,MOD(1+IFERROR(MATCH($C947,总览!$D$46:$D$345,1)+1,1),7)=0),$C$3,0),0)</f>
        <v>2085.74314327716</v>
      </c>
      <c r="G947" s="131" cm="1">
        <f ca="1" t="array" ref="G947">IF(G1549=1,OFFSET($W$634,$B947,G$631-1)/SUMPRODUCT(--($D$631:$V$631=G$631),--($D1549:$V1549=1)),0)+SUM(G946)+IF(COUNTIF(G$1237:G1549,1)=1,5,0)+IF(COUNTIF(H947:$W947,"&gt;"&amp;0)&lt;5,IF(AND(COUNTIF(G$1237:G1549,1)&gt;7,MOD(1+IFERROR(MATCH($C947,总览!$D$46:$D$345,1)+1,1),7)=0),$C$3,0),0)</f>
        <v>982.733333333337</v>
      </c>
      <c r="H947" s="131" cm="1">
        <f ca="1" t="array" ref="H947">IF(H1549=1,OFFSET($W$634,$B947,H$631-1)/SUMPRODUCT(--($D$631:$V$631=H$631),--($D1549:$V1549=1)),0)+SUM(H946)+IF(COUNTIF(H$1237:H1549,1)=1,5,0)+IF(COUNTIF(I947:$W947,"&gt;"&amp;0)&lt;5,IF(AND(COUNTIF(H$1237:H1549,1)&gt;7,MOD(1+IFERROR(MATCH($C947,总览!$D$46:$D$345,1)+1,1),7)=0),$C$3,0),0)</f>
        <v>982.733333333337</v>
      </c>
      <c r="I947" s="131" cm="1">
        <f ca="1" t="array" ref="I947">IF(I1549=1,OFFSET($W$634,$B947,I$631-1)/SUMPRODUCT(--($D$631:$V$631=I$631),--($D1549:$V1549=1)),0)+SUM(I946)+IF(COUNTIF(I$1237:I1549,1)=1,5,0)+IF(COUNTIF(J947:$W947,"&gt;"&amp;0)&lt;5,IF(AND(COUNTIF(I$1237:I1549,1)&gt;7,MOD(1+IFERROR(MATCH($C947,总览!$D$46:$D$345,1)+1,1),7)=0),$C$3,0),0)</f>
        <v>982.733333333337</v>
      </c>
      <c r="J947" s="131" cm="1">
        <f ca="1" t="array" ref="J947">IF(J1549=1,OFFSET($W$634,$B947,J$631-1)/SUMPRODUCT(--($D$631:$V$631=J$631),--($D1549:$V1549=1)),0)+SUM(J946)+IF(COUNTIF(J$1237:J1549,1)=1,5,0)+IF(COUNTIF(K947:$W947,"&gt;"&amp;0)&lt;5,IF(AND(COUNTIF(J$1237:J1549,1)&gt;7,MOD(1+IFERROR(MATCH($C947,总览!$D$46:$D$345,1)+1,1),7)=0),$C$3,0),0)</f>
        <v>979.400000000004</v>
      </c>
      <c r="K947" s="131" cm="1">
        <f ca="1" t="array" ref="K947">IF(K1549=1,OFFSET($W$634,$B947,K$631-1)/SUMPRODUCT(--($D$631:$V$631=K$631),--($D1549:$V1549=1)),0)+SUM(K946)+IF(COUNTIF(K$1237:K1549,1)=1,5,0)+IF(COUNTIF(L947:$W947,"&gt;"&amp;0)&lt;5,IF(AND(COUNTIF(K$1237:K1549,1)&gt;7,MOD(1+IFERROR(MATCH($C947,总览!$D$46:$D$345,1)+1,1),7)=0),$C$3,0),0)</f>
        <v>976.900000000004</v>
      </c>
      <c r="L947" s="131" cm="1">
        <f ca="1" t="array" ref="L947">IF(L1549=1,OFFSET($W$634,$B947,L$631-1)/SUMPRODUCT(--($D$631:$V$631=L$631),--($D1549:$V1549=1)),0)+SUM(L946)+IF(COUNTIF(L$1237:L1549,1)=1,5,0)+IF(COUNTIF(M947:$W947,"&gt;"&amp;0)&lt;5,IF(AND(COUNTIF(L$1237:L1549,1)&gt;7,MOD(1+IFERROR(MATCH($C947,总览!$D$46:$D$345,1)+1,1),7)=0),$C$3,0),0)</f>
        <v>976.900000000004</v>
      </c>
      <c r="M947" s="131" cm="1">
        <f ca="1" t="array" ref="M947">IF(M1549=1,OFFSET($W$634,$B947,M$631-1)/SUMPRODUCT(--($D$631:$V$631=M$631),--($D1549:$V1549=1)),0)+SUM(M946)+IF(COUNTIF(M$1237:M1549,1)=1,5,0)+IF(COUNTIF(N947:$W947,"&gt;"&amp;0)&lt;5,IF(AND(COUNTIF(M$1237:M1549,1)&gt;7,MOD(1+IFERROR(MATCH($C947,总览!$D$46:$D$345,1)+1,1),7)=0),$C$3,0),0)</f>
        <v>404.895535714286</v>
      </c>
      <c r="N947" s="131" cm="1">
        <f ca="1" t="array" ref="N947">IF(N1549=1,OFFSET($W$634,$B947,N$631-1)/SUMPRODUCT(--($D$631:$V$631=N$631),--($D1549:$V1549=1)),0)+SUM(N946)+IF(COUNTIF(N$1237:N1549,1)=1,5,0)+IF(COUNTIF(O947:$W947,"&gt;"&amp;0)&lt;5,IF(AND(COUNTIF(N$1237:N1549,1)&gt;7,MOD(1+IFERROR(MATCH($C947,总览!$D$46:$D$345,1)+1,1),7)=0),$C$3,0),0)</f>
        <v>406.145535714286</v>
      </c>
      <c r="O947" s="131" cm="1">
        <f ca="1" t="array" ref="O947">IF(O1549=1,OFFSET($W$634,$B947,O$631-1)/SUMPRODUCT(--($D$631:$V$631=O$631),--($D1549:$V1549=1)),0)+SUM(O946)+IF(COUNTIF(O$1237:O1549,1)=1,5,0)+IF(COUNTIF(P947:$W947,"&gt;"&amp;0)&lt;5,IF(AND(COUNTIF(O$1237:O1549,1)&gt;7,MOD(1+IFERROR(MATCH($C947,总览!$D$46:$D$345,1)+1,1),7)=0),$C$3,0),0)</f>
        <v>411.145535714286</v>
      </c>
      <c r="P947" s="131" cm="1">
        <f ca="1" t="array" ref="P947">IF(P1549=1,OFFSET($W$634,$B947,P$631-1)/SUMPRODUCT(--($D$631:$V$631=P$631),--($D1549:$V1549=1)),0)+SUM(P946)+IF(COUNTIF(P$1237:P1549,1)=1,5,0)+IF(COUNTIF(Q947:$W947,"&gt;"&amp;0)&lt;5,IF(AND(COUNTIF(P$1237:P1549,1)&gt;7,MOD(1+IFERROR(MATCH($C947,总览!$D$46:$D$345,1)+1,1),7)=0),$C$3,0),0)</f>
        <v>400.264285714286</v>
      </c>
      <c r="Q947" s="131" cm="1">
        <f ca="1" t="array" ref="Q947">IF(Q1549=1,OFFSET($W$634,$B947,Q$631-1)/SUMPRODUCT(--($D$631:$V$631=Q$631),--($D1549:$V1549=1)),0)+SUM(Q946)+IF(COUNTIF(Q$1237:Q1549,1)=1,5,0)+IF(COUNTIF(R947:$W947,"&gt;"&amp;0)&lt;5,IF(AND(COUNTIF(Q$1237:Q1549,1)&gt;7,MOD(1+IFERROR(MATCH($C947,总览!$D$46:$D$345,1)+1,1),7)=0),$C$3,0),0)</f>
        <v>413.645535714286</v>
      </c>
      <c r="R947" s="131" cm="1">
        <f ca="1" t="array" ref="R947">IF(R1549=1,OFFSET($W$634,$B947,R$631-1)/SUMPRODUCT(--($D$631:$V$631=R$631),--($D1549:$V1549=1)),0)+SUM(R946)+IF(COUNTIF(R$1237:R1549,1)=1,5,0)+IF(COUNTIF(S947:$W947,"&gt;"&amp;0)&lt;5,IF(AND(COUNTIF(R$1237:R1549,1)&gt;7,MOD(1+IFERROR(MATCH($C947,总览!$D$46:$D$345,1)+1,1),7)=0),$C$3,0),0)</f>
        <v>405.264285714286</v>
      </c>
      <c r="S947" s="131" cm="1">
        <f ca="1" t="array" ref="S947">IF(S1549=1,OFFSET($W$634,$B947,S$631-1)/SUMPRODUCT(--($D$631:$V$631=S$631),--($D1549:$V1549=1)),0)+SUM(S946)+IF(COUNTIF(S$1237:S1549,1)=1,5,0)+IF(COUNTIF(T947:$W947,"&gt;"&amp;0)&lt;5,IF(AND(COUNTIF(S$1237:S1549,1)&gt;7,MOD(1+IFERROR(MATCH($C947,总览!$D$46:$D$345,1)+1,1),7)=0),$C$3,0),0)</f>
        <v>497.764285714287</v>
      </c>
      <c r="T947" s="131" cm="1">
        <f ca="1" t="array" ref="T947">IF(T1549=1,OFFSET($W$634,$B947,T$631-1)/SUMPRODUCT(--($D$631:$V$631=T$631),--($D1549:$V1549=1)),0)+SUM(T946)+IF(COUNTIF(T$1237:T1549,1)=1,5,0)+IF(COUNTIF(U947:$W947,"&gt;"&amp;0)&lt;5,IF(AND(COUNTIF(T$1237:T1549,1)&gt;7,MOD(1+IFERROR(MATCH($C947,总览!$D$46:$D$345,1)+1,1),7)=0),$C$3,0),0)</f>
        <v>363.792332581831</v>
      </c>
      <c r="U947" s="131" cm="1">
        <f ca="1" t="array" ref="U947">IF(U1549=1,OFFSET($W$634,$B947,U$631-1)/SUMPRODUCT(--($D$631:$V$631=U$631),--($D1549:$V1549=1)),0)+SUM(U946)+IF(COUNTIF(U$1237:U1549,1)=1,5,0)+IF(COUNTIF(V947:$W947,"&gt;"&amp;0)&lt;5,IF(AND(COUNTIF(U$1237:U1549,1)&gt;7,MOD(1+IFERROR(MATCH($C947,总览!$D$46:$D$345,1)+1,1),7)=0),$C$3,0),0)</f>
        <v>369.31311893713</v>
      </c>
      <c r="V947" s="131" cm="1">
        <f ca="1" t="array" ref="V947">IF(V1549=1,OFFSET($W$634,$B947,V$631-1)/SUMPRODUCT(--($D$631:$V$631=V$631),--($D1549:$V1549=1)),0)+SUM(V946)+IF(COUNTIF(V$1237:V1549,1)=1,5,0)+IF(COUNTIF(W947:$W947,"&gt;"&amp;0)&lt;5,IF(AND(COUNTIF(V$1237:V1549,1)&gt;7,MOD(1+IFERROR(MATCH($C947,总览!$D$46:$D$345,1)+1,1),7)=0),$C$3,0),0)</f>
        <v>389.140118649563</v>
      </c>
      <c r="W947" s="135" cm="1">
        <f ca="1" t="array" ref="W947">SUMPRODUCT(TRANSPOSE($AA947:$AG947),OFFSET($L$9:$L$15,0,W$631-1))</f>
        <v>16.8502200646615</v>
      </c>
      <c r="X947" s="135" cm="1">
        <f ca="1" t="array" ref="X947">SUMPRODUCT(TRANSPOSE($AA947:$AG947),OFFSET($L$9:$L$15,0,X$631-1))</f>
        <v>20</v>
      </c>
      <c r="Y947" s="135" cm="1">
        <f ca="1" t="array" ref="Y947">SUMPRODUCT(TRANSPOSE($AA947:$AG947),OFFSET($L$9:$L$15,0,Y$631-1))</f>
        <v>10</v>
      </c>
      <c r="Z947" s="135" cm="1">
        <f ca="1" t="array" ref="Z947">SUMPRODUCT(TRANSPOSE($AA947:$AG947),OFFSET($L$9:$L$15,0,Z$631-1))</f>
        <v>3.14977993533847</v>
      </c>
      <c r="AA947" s="136">
        <f ca="1" t="shared" ref="AA947:AG947" si="873">AH947-AH946</f>
        <v>0</v>
      </c>
      <c r="AB947" s="136">
        <f ca="1" t="shared" si="873"/>
        <v>0</v>
      </c>
      <c r="AC947" s="136">
        <f ca="1" t="shared" si="873"/>
        <v>0</v>
      </c>
      <c r="AD947" s="136">
        <f ca="1" t="shared" si="873"/>
        <v>0</v>
      </c>
      <c r="AE947" s="136">
        <f ca="1" t="shared" si="873"/>
        <v>0</v>
      </c>
      <c r="AF947" s="136">
        <f ca="1" t="shared" si="873"/>
        <v>0</v>
      </c>
      <c r="AG947" s="136">
        <f ca="1" t="shared" si="873"/>
        <v>100</v>
      </c>
      <c r="AH947" s="136">
        <f ca="1" t="shared" si="761"/>
        <v>450</v>
      </c>
      <c r="AI947" s="136">
        <f ca="1" t="shared" ref="AI947:AN947" si="874">IF($C947&gt;OFFSET($Q$8,MATCH(AI$634,$AH$634:$AN$634,0),0),OFFSET($P$8,MATCH(AI$634,$AH$634:$AN$634,0),0),MAX(0,$C947-OFFSET($Q$8,RIGHT(AI$634,1)-1,0)))</f>
        <v>909</v>
      </c>
      <c r="AJ947" s="136">
        <f ca="1" t="shared" si="874"/>
        <v>1818</v>
      </c>
      <c r="AK947" s="136">
        <f ca="1" t="shared" si="874"/>
        <v>2727</v>
      </c>
      <c r="AL947" s="136">
        <f ca="1" t="shared" si="874"/>
        <v>3636</v>
      </c>
      <c r="AM947" s="136">
        <f ca="1" t="shared" si="874"/>
        <v>4545</v>
      </c>
      <c r="AN947" s="136">
        <f ca="1" t="shared" si="874"/>
        <v>17215</v>
      </c>
    </row>
    <row r="948" s="106" customFormat="1" ht="16.5" spans="2:40">
      <c r="B948" s="117">
        <v>314</v>
      </c>
      <c r="C948" s="130">
        <f t="shared" si="759"/>
        <v>31400</v>
      </c>
      <c r="D948" s="131" cm="1">
        <f ca="1" t="array" ref="D948">IF(D1550=1,OFFSET($W$634,$B948,D$631-1)/SUMPRODUCT(--($D$631:$V$631=D$631),--($D1550:$V1550=1)),0)+SUM(D947)+IF(COUNTIF(D$1237:D1550,1)=1,5,0)+IF(COUNTIF(E948:$W948,"&gt;"&amp;0)&lt;5,IF(AND(COUNTIF(D$1237:D1550,1)&gt;7,MOD(1+IFERROR(MATCH($C948,总览!$D$46:$D$345,1)+1,1),7)=0),$C$3,0),0)</f>
        <v>2091.35988329871</v>
      </c>
      <c r="E948" s="131" cm="1">
        <f ca="1" t="array" ref="E948">IF(E1550=1,OFFSET($W$634,$B948,E$631-1)/SUMPRODUCT(--($D$631:$V$631=E$631),--($D1550:$V1550=1)),0)+SUM(E947)+IF(COUNTIF(E$1237:E1550,1)=1,5,0)+IF(COUNTIF(F948:$W948,"&gt;"&amp;0)&lt;5,IF(AND(COUNTIF(E$1237:E1550,1)&gt;7,MOD(1+IFERROR(MATCH($C948,总览!$D$46:$D$345,1)+1,1),7)=0),$C$3,0),0)</f>
        <v>2091.35988329871</v>
      </c>
      <c r="F948" s="131" cm="1">
        <f ca="1" t="array" ref="F948">IF(F1550=1,OFFSET($W$634,$B948,F$631-1)/SUMPRODUCT(--($D$631:$V$631=F$631),--($D1550:$V1550=1)),0)+SUM(F947)+IF(COUNTIF(F$1237:F1550,1)=1,5,0)+IF(COUNTIF(G948:$W948,"&gt;"&amp;0)&lt;5,IF(AND(COUNTIF(F$1237:F1550,1)&gt;7,MOD(1+IFERROR(MATCH($C948,总览!$D$46:$D$345,1)+1,1),7)=0),$C$3,0),0)</f>
        <v>2091.35988329871</v>
      </c>
      <c r="G948" s="131" cm="1">
        <f ca="1" t="array" ref="G948">IF(G1550=1,OFFSET($W$634,$B948,G$631-1)/SUMPRODUCT(--($D$631:$V$631=G$631),--($D1550:$V1550=1)),0)+SUM(G947)+IF(COUNTIF(G$1237:G1550,1)=1,5,0)+IF(COUNTIF(H948:$W948,"&gt;"&amp;0)&lt;5,IF(AND(COUNTIF(G$1237:G1550,1)&gt;7,MOD(1+IFERROR(MATCH($C948,总览!$D$46:$D$345,1)+1,1),7)=0),$C$3,0),0)</f>
        <v>986.066666666671</v>
      </c>
      <c r="H948" s="131" cm="1">
        <f ca="1" t="array" ref="H948">IF(H1550=1,OFFSET($W$634,$B948,H$631-1)/SUMPRODUCT(--($D$631:$V$631=H$631),--($D1550:$V1550=1)),0)+SUM(H947)+IF(COUNTIF(H$1237:H1550,1)=1,5,0)+IF(COUNTIF(I948:$W948,"&gt;"&amp;0)&lt;5,IF(AND(COUNTIF(H$1237:H1550,1)&gt;7,MOD(1+IFERROR(MATCH($C948,总览!$D$46:$D$345,1)+1,1),7)=0),$C$3,0),0)</f>
        <v>986.066666666671</v>
      </c>
      <c r="I948" s="131" cm="1">
        <f ca="1" t="array" ref="I948">IF(I1550=1,OFFSET($W$634,$B948,I$631-1)/SUMPRODUCT(--($D$631:$V$631=I$631),--($D1550:$V1550=1)),0)+SUM(I947)+IF(COUNTIF(I$1237:I1550,1)=1,5,0)+IF(COUNTIF(J948:$W948,"&gt;"&amp;0)&lt;5,IF(AND(COUNTIF(I$1237:I1550,1)&gt;7,MOD(1+IFERROR(MATCH($C948,总览!$D$46:$D$345,1)+1,1),7)=0),$C$3,0),0)</f>
        <v>986.066666666671</v>
      </c>
      <c r="J948" s="131" cm="1">
        <f ca="1" t="array" ref="J948">IF(J1550=1,OFFSET($W$634,$B948,J$631-1)/SUMPRODUCT(--($D$631:$V$631=J$631),--($D1550:$V1550=1)),0)+SUM(J947)+IF(COUNTIF(J$1237:J1550,1)=1,5,0)+IF(COUNTIF(K948:$W948,"&gt;"&amp;0)&lt;5,IF(AND(COUNTIF(J$1237:J1550,1)&gt;7,MOD(1+IFERROR(MATCH($C948,总览!$D$46:$D$345,1)+1,1),7)=0),$C$3,0),0)</f>
        <v>982.733333333337</v>
      </c>
      <c r="K948" s="131" cm="1">
        <f ca="1" t="array" ref="K948">IF(K1550=1,OFFSET($W$634,$B948,K$631-1)/SUMPRODUCT(--($D$631:$V$631=K$631),--($D1550:$V1550=1)),0)+SUM(K947)+IF(COUNTIF(K$1237:K1550,1)=1,5,0)+IF(COUNTIF(L948:$W948,"&gt;"&amp;0)&lt;5,IF(AND(COUNTIF(K$1237:K1550,1)&gt;7,MOD(1+IFERROR(MATCH($C948,总览!$D$46:$D$345,1)+1,1),7)=0),$C$3,0),0)</f>
        <v>980.233333333337</v>
      </c>
      <c r="L948" s="131" cm="1">
        <f ca="1" t="array" ref="L948">IF(L1550=1,OFFSET($W$634,$B948,L$631-1)/SUMPRODUCT(--($D$631:$V$631=L$631),--($D1550:$V1550=1)),0)+SUM(L947)+IF(COUNTIF(L$1237:L1550,1)=1,5,0)+IF(COUNTIF(M948:$W948,"&gt;"&amp;0)&lt;5,IF(AND(COUNTIF(L$1237:L1550,1)&gt;7,MOD(1+IFERROR(MATCH($C948,总览!$D$46:$D$345,1)+1,1),7)=0),$C$3,0),0)</f>
        <v>980.233333333337</v>
      </c>
      <c r="M948" s="131" cm="1">
        <f ca="1" t="array" ref="M948">IF(M1550=1,OFFSET($W$634,$B948,M$631-1)/SUMPRODUCT(--($D$631:$V$631=M$631),--($D1550:$V1550=1)),0)+SUM(M947)+IF(COUNTIF(M$1237:M1550,1)=1,5,0)+IF(COUNTIF(N948:$W948,"&gt;"&amp;0)&lt;5,IF(AND(COUNTIF(M$1237:M1550,1)&gt;7,MOD(1+IFERROR(MATCH($C948,总览!$D$46:$D$345,1)+1,1),7)=0),$C$3,0),0)</f>
        <v>406.324107142858</v>
      </c>
      <c r="N948" s="131" cm="1">
        <f ca="1" t="array" ref="N948">IF(N1550=1,OFFSET($W$634,$B948,N$631-1)/SUMPRODUCT(--($D$631:$V$631=N$631),--($D1550:$V1550=1)),0)+SUM(N947)+IF(COUNTIF(N$1237:N1550,1)=1,5,0)+IF(COUNTIF(O948:$W948,"&gt;"&amp;0)&lt;5,IF(AND(COUNTIF(N$1237:N1550,1)&gt;7,MOD(1+IFERROR(MATCH($C948,总览!$D$46:$D$345,1)+1,1),7)=0),$C$3,0),0)</f>
        <v>407.574107142858</v>
      </c>
      <c r="O948" s="131" cm="1">
        <f ca="1" t="array" ref="O948">IF(O1550=1,OFFSET($W$634,$B948,O$631-1)/SUMPRODUCT(--($D$631:$V$631=O$631),--($D1550:$V1550=1)),0)+SUM(O947)+IF(COUNTIF(O$1237:O1550,1)=1,5,0)+IF(COUNTIF(P948:$W948,"&gt;"&amp;0)&lt;5,IF(AND(COUNTIF(O$1237:O1550,1)&gt;7,MOD(1+IFERROR(MATCH($C948,总览!$D$46:$D$345,1)+1,1),7)=0),$C$3,0),0)</f>
        <v>412.574107142858</v>
      </c>
      <c r="P948" s="131" cm="1">
        <f ca="1" t="array" ref="P948">IF(P1550=1,OFFSET($W$634,$B948,P$631-1)/SUMPRODUCT(--($D$631:$V$631=P$631),--($D1550:$V1550=1)),0)+SUM(P947)+IF(COUNTIF(P$1237:P1550,1)=1,5,0)+IF(COUNTIF(Q948:$W948,"&gt;"&amp;0)&lt;5,IF(AND(COUNTIF(P$1237:P1550,1)&gt;7,MOD(1+IFERROR(MATCH($C948,总览!$D$46:$D$345,1)+1,1),7)=0),$C$3,0),0)</f>
        <v>401.692857142858</v>
      </c>
      <c r="Q948" s="131" cm="1">
        <f ca="1" t="array" ref="Q948">IF(Q1550=1,OFFSET($W$634,$B948,Q$631-1)/SUMPRODUCT(--($D$631:$V$631=Q$631),--($D1550:$V1550=1)),0)+SUM(Q947)+IF(COUNTIF(Q$1237:Q1550,1)=1,5,0)+IF(COUNTIF(R948:$W948,"&gt;"&amp;0)&lt;5,IF(AND(COUNTIF(Q$1237:Q1550,1)&gt;7,MOD(1+IFERROR(MATCH($C948,总览!$D$46:$D$345,1)+1,1),7)=0),$C$3,0),0)</f>
        <v>415.074107142858</v>
      </c>
      <c r="R948" s="131" cm="1">
        <f ca="1" t="array" ref="R948">IF(R1550=1,OFFSET($W$634,$B948,R$631-1)/SUMPRODUCT(--($D$631:$V$631=R$631),--($D1550:$V1550=1)),0)+SUM(R947)+IF(COUNTIF(R$1237:R1550,1)=1,5,0)+IF(COUNTIF(S948:$W948,"&gt;"&amp;0)&lt;5,IF(AND(COUNTIF(R$1237:R1550,1)&gt;7,MOD(1+IFERROR(MATCH($C948,总览!$D$46:$D$345,1)+1,1),7)=0),$C$3,0),0)</f>
        <v>406.692857142858</v>
      </c>
      <c r="S948" s="131" cm="1">
        <f ca="1" t="array" ref="S948">IF(S1550=1,OFFSET($W$634,$B948,S$631-1)/SUMPRODUCT(--($D$631:$V$631=S$631),--($D1550:$V1550=1)),0)+SUM(S947)+IF(COUNTIF(S$1237:S1550,1)=1,5,0)+IF(COUNTIF(T948:$W948,"&gt;"&amp;0)&lt;5,IF(AND(COUNTIF(S$1237:S1550,1)&gt;7,MOD(1+IFERROR(MATCH($C948,总览!$D$46:$D$345,1)+1,1),7)=0),$C$3,0),0)</f>
        <v>499.192857142859</v>
      </c>
      <c r="T948" s="131" cm="1">
        <f ca="1" t="array" ref="T948">IF(T1550=1,OFFSET($W$634,$B948,T$631-1)/SUMPRODUCT(--($D$631:$V$631=T$631),--($D1550:$V1550=1)),0)+SUM(T947)+IF(COUNTIF(T$1237:T1550,1)=1,5,0)+IF(COUNTIF(U948:$W948,"&gt;"&amp;0)&lt;5,IF(AND(COUNTIF(T$1237:T1550,1)&gt;7,MOD(1+IFERROR(MATCH($C948,总览!$D$46:$D$345,1)+1,1),7)=0),$C$3,0),0)</f>
        <v>364.842259226944</v>
      </c>
      <c r="U948" s="131" cm="1">
        <f ca="1" t="array" ref="U948">IF(U1550=1,OFFSET($W$634,$B948,U$631-1)/SUMPRODUCT(--($D$631:$V$631=U$631),--($D1550:$V1550=1)),0)+SUM(U947)+IF(COUNTIF(U$1237:U1550,1)=1,5,0)+IF(COUNTIF(V948:$W948,"&gt;"&amp;0)&lt;5,IF(AND(COUNTIF(U$1237:U1550,1)&gt;7,MOD(1+IFERROR(MATCH($C948,总览!$D$46:$D$345,1)+1,1),7)=0),$C$3,0),0)</f>
        <v>370.363045582243</v>
      </c>
      <c r="V948" s="131" cm="1">
        <f ca="1" t="array" ref="V948">IF(V1550=1,OFFSET($W$634,$B948,V$631-1)/SUMPRODUCT(--($D$631:$V$631=V$631),--($D1550:$V1550=1)),0)+SUM(V947)+IF(COUNTIF(V$1237:V1550,1)=1,5,0)+IF(COUNTIF(W948:$W948,"&gt;"&amp;0)&lt;5,IF(AND(COUNTIF(V$1237:V1550,1)&gt;7,MOD(1+IFERROR(MATCH($C948,总览!$D$46:$D$345,1)+1,1),7)=0),$C$3,0),0)</f>
        <v>390.190045294676</v>
      </c>
      <c r="W948" s="135" cm="1">
        <f ca="1" t="array" ref="W948">SUMPRODUCT(TRANSPOSE($AA948:$AG948),OFFSET($L$9:$L$15,0,W$631-1))</f>
        <v>16.8502200646615</v>
      </c>
      <c r="X948" s="135" cm="1">
        <f ca="1" t="array" ref="X948">SUMPRODUCT(TRANSPOSE($AA948:$AG948),OFFSET($L$9:$L$15,0,X$631-1))</f>
        <v>20</v>
      </c>
      <c r="Y948" s="135" cm="1">
        <f ca="1" t="array" ref="Y948">SUMPRODUCT(TRANSPOSE($AA948:$AG948),OFFSET($L$9:$L$15,0,Y$631-1))</f>
        <v>10</v>
      </c>
      <c r="Z948" s="135" cm="1">
        <f ca="1" t="array" ref="Z948">SUMPRODUCT(TRANSPOSE($AA948:$AG948),OFFSET($L$9:$L$15,0,Z$631-1))</f>
        <v>3.14977993533847</v>
      </c>
      <c r="AA948" s="136">
        <f ca="1" t="shared" ref="AA948:AG948" si="875">AH948-AH947</f>
        <v>0</v>
      </c>
      <c r="AB948" s="136">
        <f ca="1" t="shared" si="875"/>
        <v>0</v>
      </c>
      <c r="AC948" s="136">
        <f ca="1" t="shared" si="875"/>
        <v>0</v>
      </c>
      <c r="AD948" s="136">
        <f ca="1" t="shared" si="875"/>
        <v>0</v>
      </c>
      <c r="AE948" s="136">
        <f ca="1" t="shared" si="875"/>
        <v>0</v>
      </c>
      <c r="AF948" s="136">
        <f ca="1" t="shared" si="875"/>
        <v>0</v>
      </c>
      <c r="AG948" s="136">
        <f ca="1" t="shared" si="875"/>
        <v>100</v>
      </c>
      <c r="AH948" s="136">
        <f ca="1" t="shared" si="761"/>
        <v>450</v>
      </c>
      <c r="AI948" s="136">
        <f ca="1" t="shared" ref="AI948:AN948" si="876">IF($C948&gt;OFFSET($Q$8,MATCH(AI$634,$AH$634:$AN$634,0),0),OFFSET($P$8,MATCH(AI$634,$AH$634:$AN$634,0),0),MAX(0,$C948-OFFSET($Q$8,RIGHT(AI$634,1)-1,0)))</f>
        <v>909</v>
      </c>
      <c r="AJ948" s="136">
        <f ca="1" t="shared" si="876"/>
        <v>1818</v>
      </c>
      <c r="AK948" s="136">
        <f ca="1" t="shared" si="876"/>
        <v>2727</v>
      </c>
      <c r="AL948" s="136">
        <f ca="1" t="shared" si="876"/>
        <v>3636</v>
      </c>
      <c r="AM948" s="136">
        <f ca="1" t="shared" si="876"/>
        <v>4545</v>
      </c>
      <c r="AN948" s="136">
        <f ca="1" t="shared" si="876"/>
        <v>17315</v>
      </c>
    </row>
    <row r="949" s="106" customFormat="1" ht="16.5" spans="2:40">
      <c r="B949" s="117">
        <v>315</v>
      </c>
      <c r="C949" s="130">
        <f t="shared" si="759"/>
        <v>31500</v>
      </c>
      <c r="D949" s="131" cm="1">
        <f ca="1" t="array" ref="D949">IF(D1551=1,OFFSET($W$634,$B949,D$631-1)/SUMPRODUCT(--($D$631:$V$631=D$631),--($D1551:$V1551=1)),0)+SUM(D948)+IF(COUNTIF(D$1237:D1551,1)=1,5,0)+IF(COUNTIF(E949:$W949,"&gt;"&amp;0)&lt;5,IF(AND(COUNTIF(D$1237:D1551,1)&gt;7,MOD(1+IFERROR(MATCH($C949,总览!$D$46:$D$345,1)+1,1),7)=0),$C$3,0),0)</f>
        <v>2096.97662332026</v>
      </c>
      <c r="E949" s="131" cm="1">
        <f ca="1" t="array" ref="E949">IF(E1551=1,OFFSET($W$634,$B949,E$631-1)/SUMPRODUCT(--($D$631:$V$631=E$631),--($D1551:$V1551=1)),0)+SUM(E948)+IF(COUNTIF(E$1237:E1551,1)=1,5,0)+IF(COUNTIF(F949:$W949,"&gt;"&amp;0)&lt;5,IF(AND(COUNTIF(E$1237:E1551,1)&gt;7,MOD(1+IFERROR(MATCH($C949,总览!$D$46:$D$345,1)+1,1),7)=0),$C$3,0),0)</f>
        <v>2096.97662332026</v>
      </c>
      <c r="F949" s="131" cm="1">
        <f ca="1" t="array" ref="F949">IF(F1551=1,OFFSET($W$634,$B949,F$631-1)/SUMPRODUCT(--($D$631:$V$631=F$631),--($D1551:$V1551=1)),0)+SUM(F948)+IF(COUNTIF(F$1237:F1551,1)=1,5,0)+IF(COUNTIF(G949:$W949,"&gt;"&amp;0)&lt;5,IF(AND(COUNTIF(F$1237:F1551,1)&gt;7,MOD(1+IFERROR(MATCH($C949,总览!$D$46:$D$345,1)+1,1),7)=0),$C$3,0),0)</f>
        <v>2096.97662332026</v>
      </c>
      <c r="G949" s="131" cm="1">
        <f ca="1" t="array" ref="G949">IF(G1551=1,OFFSET($W$634,$B949,G$631-1)/SUMPRODUCT(--($D$631:$V$631=G$631),--($D1551:$V1551=1)),0)+SUM(G948)+IF(COUNTIF(G$1237:G1551,1)=1,5,0)+IF(COUNTIF(H949:$W949,"&gt;"&amp;0)&lt;5,IF(AND(COUNTIF(G$1237:G1551,1)&gt;7,MOD(1+IFERROR(MATCH($C949,总览!$D$46:$D$345,1)+1,1),7)=0),$C$3,0),0)</f>
        <v>989.400000000004</v>
      </c>
      <c r="H949" s="131" cm="1">
        <f ca="1" t="array" ref="H949">IF(H1551=1,OFFSET($W$634,$B949,H$631-1)/SUMPRODUCT(--($D$631:$V$631=H$631),--($D1551:$V1551=1)),0)+SUM(H948)+IF(COUNTIF(H$1237:H1551,1)=1,5,0)+IF(COUNTIF(I949:$W949,"&gt;"&amp;0)&lt;5,IF(AND(COUNTIF(H$1237:H1551,1)&gt;7,MOD(1+IFERROR(MATCH($C949,总览!$D$46:$D$345,1)+1,1),7)=0),$C$3,0),0)</f>
        <v>989.400000000004</v>
      </c>
      <c r="I949" s="131" cm="1">
        <f ca="1" t="array" ref="I949">IF(I1551=1,OFFSET($W$634,$B949,I$631-1)/SUMPRODUCT(--($D$631:$V$631=I$631),--($D1551:$V1551=1)),0)+SUM(I948)+IF(COUNTIF(I$1237:I1551,1)=1,5,0)+IF(COUNTIF(J949:$W949,"&gt;"&amp;0)&lt;5,IF(AND(COUNTIF(I$1237:I1551,1)&gt;7,MOD(1+IFERROR(MATCH($C949,总览!$D$46:$D$345,1)+1,1),7)=0),$C$3,0),0)</f>
        <v>989.400000000004</v>
      </c>
      <c r="J949" s="131" cm="1">
        <f ca="1" t="array" ref="J949">IF(J1551=1,OFFSET($W$634,$B949,J$631-1)/SUMPRODUCT(--($D$631:$V$631=J$631),--($D1551:$V1551=1)),0)+SUM(J948)+IF(COUNTIF(J$1237:J1551,1)=1,5,0)+IF(COUNTIF(K949:$W949,"&gt;"&amp;0)&lt;5,IF(AND(COUNTIF(J$1237:J1551,1)&gt;7,MOD(1+IFERROR(MATCH($C949,总览!$D$46:$D$345,1)+1,1),7)=0),$C$3,0),0)</f>
        <v>986.066666666671</v>
      </c>
      <c r="K949" s="131" cm="1">
        <f ca="1" t="array" ref="K949">IF(K1551=1,OFFSET($W$634,$B949,K$631-1)/SUMPRODUCT(--($D$631:$V$631=K$631),--($D1551:$V1551=1)),0)+SUM(K948)+IF(COUNTIF(K$1237:K1551,1)=1,5,0)+IF(COUNTIF(L949:$W949,"&gt;"&amp;0)&lt;5,IF(AND(COUNTIF(K$1237:K1551,1)&gt;7,MOD(1+IFERROR(MATCH($C949,总览!$D$46:$D$345,1)+1,1),7)=0),$C$3,0),0)</f>
        <v>983.566666666671</v>
      </c>
      <c r="L949" s="131" cm="1">
        <f ca="1" t="array" ref="L949">IF(L1551=1,OFFSET($W$634,$B949,L$631-1)/SUMPRODUCT(--($D$631:$V$631=L$631),--($D1551:$V1551=1)),0)+SUM(L948)+IF(COUNTIF(L$1237:L1551,1)=1,5,0)+IF(COUNTIF(M949:$W949,"&gt;"&amp;0)&lt;5,IF(AND(COUNTIF(L$1237:L1551,1)&gt;7,MOD(1+IFERROR(MATCH($C949,总览!$D$46:$D$345,1)+1,1),7)=0),$C$3,0),0)</f>
        <v>983.566666666671</v>
      </c>
      <c r="M949" s="131" cm="1">
        <f ca="1" t="array" ref="M949">IF(M1551=1,OFFSET($W$634,$B949,M$631-1)/SUMPRODUCT(--($D$631:$V$631=M$631),--($D1551:$V1551=1)),0)+SUM(M948)+IF(COUNTIF(M$1237:M1551,1)=1,5,0)+IF(COUNTIF(N949:$W949,"&gt;"&amp;0)&lt;5,IF(AND(COUNTIF(M$1237:M1551,1)&gt;7,MOD(1+IFERROR(MATCH($C949,总览!$D$46:$D$345,1)+1,1),7)=0),$C$3,0),0)</f>
        <v>407.752678571429</v>
      </c>
      <c r="N949" s="131" cm="1">
        <f ca="1" t="array" ref="N949">IF(N1551=1,OFFSET($W$634,$B949,N$631-1)/SUMPRODUCT(--($D$631:$V$631=N$631),--($D1551:$V1551=1)),0)+SUM(N948)+IF(COUNTIF(N$1237:N1551,1)=1,5,0)+IF(COUNTIF(O949:$W949,"&gt;"&amp;0)&lt;5,IF(AND(COUNTIF(N$1237:N1551,1)&gt;7,MOD(1+IFERROR(MATCH($C949,总览!$D$46:$D$345,1)+1,1),7)=0),$C$3,0),0)</f>
        <v>409.002678571429</v>
      </c>
      <c r="O949" s="131" cm="1">
        <f ca="1" t="array" ref="O949">IF(O1551=1,OFFSET($W$634,$B949,O$631-1)/SUMPRODUCT(--($D$631:$V$631=O$631),--($D1551:$V1551=1)),0)+SUM(O948)+IF(COUNTIF(O$1237:O1551,1)=1,5,0)+IF(COUNTIF(P949:$W949,"&gt;"&amp;0)&lt;5,IF(AND(COUNTIF(O$1237:O1551,1)&gt;7,MOD(1+IFERROR(MATCH($C949,总览!$D$46:$D$345,1)+1,1),7)=0),$C$3,0),0)</f>
        <v>414.002678571429</v>
      </c>
      <c r="P949" s="131" cm="1">
        <f ca="1" t="array" ref="P949">IF(P1551=1,OFFSET($W$634,$B949,P$631-1)/SUMPRODUCT(--($D$631:$V$631=P$631),--($D1551:$V1551=1)),0)+SUM(P948)+IF(COUNTIF(P$1237:P1551,1)=1,5,0)+IF(COUNTIF(Q949:$W949,"&gt;"&amp;0)&lt;5,IF(AND(COUNTIF(P$1237:P1551,1)&gt;7,MOD(1+IFERROR(MATCH($C949,总览!$D$46:$D$345,1)+1,1),7)=0),$C$3,0),0)</f>
        <v>403.121428571429</v>
      </c>
      <c r="Q949" s="131" cm="1">
        <f ca="1" t="array" ref="Q949">IF(Q1551=1,OFFSET($W$634,$B949,Q$631-1)/SUMPRODUCT(--($D$631:$V$631=Q$631),--($D1551:$V1551=1)),0)+SUM(Q948)+IF(COUNTIF(Q$1237:Q1551,1)=1,5,0)+IF(COUNTIF(R949:$W949,"&gt;"&amp;0)&lt;5,IF(AND(COUNTIF(Q$1237:Q1551,1)&gt;7,MOD(1+IFERROR(MATCH($C949,总览!$D$46:$D$345,1)+1,1),7)=0),$C$3,0),0)</f>
        <v>416.502678571429</v>
      </c>
      <c r="R949" s="131" cm="1">
        <f ca="1" t="array" ref="R949">IF(R1551=1,OFFSET($W$634,$B949,R$631-1)/SUMPRODUCT(--($D$631:$V$631=R$631),--($D1551:$V1551=1)),0)+SUM(R948)+IF(COUNTIF(R$1237:R1551,1)=1,5,0)+IF(COUNTIF(S949:$W949,"&gt;"&amp;0)&lt;5,IF(AND(COUNTIF(R$1237:R1551,1)&gt;7,MOD(1+IFERROR(MATCH($C949,总览!$D$46:$D$345,1)+1,1),7)=0),$C$3,0),0)</f>
        <v>408.121428571429</v>
      </c>
      <c r="S949" s="131" cm="1">
        <f ca="1" t="array" ref="S949">IF(S1551=1,OFFSET($W$634,$B949,S$631-1)/SUMPRODUCT(--($D$631:$V$631=S$631),--($D1551:$V1551=1)),0)+SUM(S948)+IF(COUNTIF(S$1237:S1551,1)=1,5,0)+IF(COUNTIF(T949:$W949,"&gt;"&amp;0)&lt;5,IF(AND(COUNTIF(S$1237:S1551,1)&gt;7,MOD(1+IFERROR(MATCH($C949,总览!$D$46:$D$345,1)+1,1),7)=0),$C$3,0),0)</f>
        <v>500.62142857143</v>
      </c>
      <c r="T949" s="131" cm="1">
        <f ca="1" t="array" ref="T949">IF(T1551=1,OFFSET($W$634,$B949,T$631-1)/SUMPRODUCT(--($D$631:$V$631=T$631),--($D1551:$V1551=1)),0)+SUM(T948)+IF(COUNTIF(T$1237:T1551,1)=1,5,0)+IF(COUNTIF(U949:$W949,"&gt;"&amp;0)&lt;5,IF(AND(COUNTIF(T$1237:T1551,1)&gt;7,MOD(1+IFERROR(MATCH($C949,总览!$D$46:$D$345,1)+1,1),7)=0),$C$3,0),0)</f>
        <v>365.892185872057</v>
      </c>
      <c r="U949" s="131" cm="1">
        <f ca="1" t="array" ref="U949">IF(U1551=1,OFFSET($W$634,$B949,U$631-1)/SUMPRODUCT(--($D$631:$V$631=U$631),--($D1551:$V1551=1)),0)+SUM(U948)+IF(COUNTIF(U$1237:U1551,1)=1,5,0)+IF(COUNTIF(V949:$W949,"&gt;"&amp;0)&lt;5,IF(AND(COUNTIF(U$1237:U1551,1)&gt;7,MOD(1+IFERROR(MATCH($C949,总览!$D$46:$D$345,1)+1,1),7)=0),$C$3,0),0)</f>
        <v>371.412972227356</v>
      </c>
      <c r="V949" s="131" cm="1">
        <f ca="1" t="array" ref="V949">IF(V1551=1,OFFSET($W$634,$B949,V$631-1)/SUMPRODUCT(--($D$631:$V$631=V$631),--($D1551:$V1551=1)),0)+SUM(V948)+IF(COUNTIF(V$1237:V1551,1)=1,5,0)+IF(COUNTIF(W949:$W949,"&gt;"&amp;0)&lt;5,IF(AND(COUNTIF(V$1237:V1551,1)&gt;7,MOD(1+IFERROR(MATCH($C949,总览!$D$46:$D$345,1)+1,1),7)=0),$C$3,0),0)</f>
        <v>391.239971939789</v>
      </c>
      <c r="W949" s="135" cm="1">
        <f ca="1" t="array" ref="W949">SUMPRODUCT(TRANSPOSE($AA949:$AG949),OFFSET($L$9:$L$15,0,W$631-1))</f>
        <v>16.8502200646615</v>
      </c>
      <c r="X949" s="135" cm="1">
        <f ca="1" t="array" ref="X949">SUMPRODUCT(TRANSPOSE($AA949:$AG949),OFFSET($L$9:$L$15,0,X$631-1))</f>
        <v>20</v>
      </c>
      <c r="Y949" s="135" cm="1">
        <f ca="1" t="array" ref="Y949">SUMPRODUCT(TRANSPOSE($AA949:$AG949),OFFSET($L$9:$L$15,0,Y$631-1))</f>
        <v>10</v>
      </c>
      <c r="Z949" s="135" cm="1">
        <f ca="1" t="array" ref="Z949">SUMPRODUCT(TRANSPOSE($AA949:$AG949),OFFSET($L$9:$L$15,0,Z$631-1))</f>
        <v>3.14977993533847</v>
      </c>
      <c r="AA949" s="136">
        <f ca="1" t="shared" ref="AA949:AG949" si="877">AH949-AH948</f>
        <v>0</v>
      </c>
      <c r="AB949" s="136">
        <f ca="1" t="shared" si="877"/>
        <v>0</v>
      </c>
      <c r="AC949" s="136">
        <f ca="1" t="shared" si="877"/>
        <v>0</v>
      </c>
      <c r="AD949" s="136">
        <f ca="1" t="shared" si="877"/>
        <v>0</v>
      </c>
      <c r="AE949" s="136">
        <f ca="1" t="shared" si="877"/>
        <v>0</v>
      </c>
      <c r="AF949" s="136">
        <f ca="1" t="shared" si="877"/>
        <v>0</v>
      </c>
      <c r="AG949" s="136">
        <f ca="1" t="shared" si="877"/>
        <v>100</v>
      </c>
      <c r="AH949" s="136">
        <f ca="1" t="shared" si="761"/>
        <v>450</v>
      </c>
      <c r="AI949" s="136">
        <f ca="1" t="shared" ref="AI949:AN949" si="878">IF($C949&gt;OFFSET($Q$8,MATCH(AI$634,$AH$634:$AN$634,0),0),OFFSET($P$8,MATCH(AI$634,$AH$634:$AN$634,0),0),MAX(0,$C949-OFFSET($Q$8,RIGHT(AI$634,1)-1,0)))</f>
        <v>909</v>
      </c>
      <c r="AJ949" s="136">
        <f ca="1" t="shared" si="878"/>
        <v>1818</v>
      </c>
      <c r="AK949" s="136">
        <f ca="1" t="shared" si="878"/>
        <v>2727</v>
      </c>
      <c r="AL949" s="136">
        <f ca="1" t="shared" si="878"/>
        <v>3636</v>
      </c>
      <c r="AM949" s="136">
        <f ca="1" t="shared" si="878"/>
        <v>4545</v>
      </c>
      <c r="AN949" s="136">
        <f ca="1" t="shared" si="878"/>
        <v>17415</v>
      </c>
    </row>
    <row r="950" s="106" customFormat="1" ht="16.5" spans="2:40">
      <c r="B950" s="117">
        <v>316</v>
      </c>
      <c r="C950" s="130">
        <f t="shared" si="759"/>
        <v>31600</v>
      </c>
      <c r="D950" s="131" cm="1">
        <f ca="1" t="array" ref="D950">IF(D1552=1,OFFSET($W$634,$B950,D$631-1)/SUMPRODUCT(--($D$631:$V$631=D$631),--($D1552:$V1552=1)),0)+SUM(D949)+IF(COUNTIF(D$1237:D1552,1)=1,5,0)+IF(COUNTIF(E950:$W950,"&gt;"&amp;0)&lt;5,IF(AND(COUNTIF(D$1237:D1552,1)&gt;7,MOD(1+IFERROR(MATCH($C950,总览!$D$46:$D$345,1)+1,1),7)=0),$C$3,0),0)</f>
        <v>2102.59336334182</v>
      </c>
      <c r="E950" s="131" cm="1">
        <f ca="1" t="array" ref="E950">IF(E1552=1,OFFSET($W$634,$B950,E$631-1)/SUMPRODUCT(--($D$631:$V$631=E$631),--($D1552:$V1552=1)),0)+SUM(E949)+IF(COUNTIF(E$1237:E1552,1)=1,5,0)+IF(COUNTIF(F950:$W950,"&gt;"&amp;0)&lt;5,IF(AND(COUNTIF(E$1237:E1552,1)&gt;7,MOD(1+IFERROR(MATCH($C950,总览!$D$46:$D$345,1)+1,1),7)=0),$C$3,0),0)</f>
        <v>2102.59336334182</v>
      </c>
      <c r="F950" s="131" cm="1">
        <f ca="1" t="array" ref="F950">IF(F1552=1,OFFSET($W$634,$B950,F$631-1)/SUMPRODUCT(--($D$631:$V$631=F$631),--($D1552:$V1552=1)),0)+SUM(F949)+IF(COUNTIF(F$1237:F1552,1)=1,5,0)+IF(COUNTIF(G950:$W950,"&gt;"&amp;0)&lt;5,IF(AND(COUNTIF(F$1237:F1552,1)&gt;7,MOD(1+IFERROR(MATCH($C950,总览!$D$46:$D$345,1)+1,1),7)=0),$C$3,0),0)</f>
        <v>2102.59336334182</v>
      </c>
      <c r="G950" s="131" cm="1">
        <f ca="1" t="array" ref="G950">IF(G1552=1,OFFSET($W$634,$B950,G$631-1)/SUMPRODUCT(--($D$631:$V$631=G$631),--($D1552:$V1552=1)),0)+SUM(G949)+IF(COUNTIF(G$1237:G1552,1)=1,5,0)+IF(COUNTIF(H950:$W950,"&gt;"&amp;0)&lt;5,IF(AND(COUNTIF(G$1237:G1552,1)&gt;7,MOD(1+IFERROR(MATCH($C950,总览!$D$46:$D$345,1)+1,1),7)=0),$C$3,0),0)</f>
        <v>992.733333333337</v>
      </c>
      <c r="H950" s="131" cm="1">
        <f ca="1" t="array" ref="H950">IF(H1552=1,OFFSET($W$634,$B950,H$631-1)/SUMPRODUCT(--($D$631:$V$631=H$631),--($D1552:$V1552=1)),0)+SUM(H949)+IF(COUNTIF(H$1237:H1552,1)=1,5,0)+IF(COUNTIF(I950:$W950,"&gt;"&amp;0)&lt;5,IF(AND(COUNTIF(H$1237:H1552,1)&gt;7,MOD(1+IFERROR(MATCH($C950,总览!$D$46:$D$345,1)+1,1),7)=0),$C$3,0),0)</f>
        <v>992.733333333337</v>
      </c>
      <c r="I950" s="131" cm="1">
        <f ca="1" t="array" ref="I950">IF(I1552=1,OFFSET($W$634,$B950,I$631-1)/SUMPRODUCT(--($D$631:$V$631=I$631),--($D1552:$V1552=1)),0)+SUM(I949)+IF(COUNTIF(I$1237:I1552,1)=1,5,0)+IF(COUNTIF(J950:$W950,"&gt;"&amp;0)&lt;5,IF(AND(COUNTIF(I$1237:I1552,1)&gt;7,MOD(1+IFERROR(MATCH($C950,总览!$D$46:$D$345,1)+1,1),7)=0),$C$3,0),0)</f>
        <v>992.733333333337</v>
      </c>
      <c r="J950" s="131" cm="1">
        <f ca="1" t="array" ref="J950">IF(J1552=1,OFFSET($W$634,$B950,J$631-1)/SUMPRODUCT(--($D$631:$V$631=J$631),--($D1552:$V1552=1)),0)+SUM(J949)+IF(COUNTIF(J$1237:J1552,1)=1,5,0)+IF(COUNTIF(K950:$W950,"&gt;"&amp;0)&lt;5,IF(AND(COUNTIF(J$1237:J1552,1)&gt;7,MOD(1+IFERROR(MATCH($C950,总览!$D$46:$D$345,1)+1,1),7)=0),$C$3,0),0)</f>
        <v>989.400000000004</v>
      </c>
      <c r="K950" s="131" cm="1">
        <f ca="1" t="array" ref="K950">IF(K1552=1,OFFSET($W$634,$B950,K$631-1)/SUMPRODUCT(--($D$631:$V$631=K$631),--($D1552:$V1552=1)),0)+SUM(K949)+IF(COUNTIF(K$1237:K1552,1)=1,5,0)+IF(COUNTIF(L950:$W950,"&gt;"&amp;0)&lt;5,IF(AND(COUNTIF(K$1237:K1552,1)&gt;7,MOD(1+IFERROR(MATCH($C950,总览!$D$46:$D$345,1)+1,1),7)=0),$C$3,0),0)</f>
        <v>986.900000000004</v>
      </c>
      <c r="L950" s="131" cm="1">
        <f ca="1" t="array" ref="L950">IF(L1552=1,OFFSET($W$634,$B950,L$631-1)/SUMPRODUCT(--($D$631:$V$631=L$631),--($D1552:$V1552=1)),0)+SUM(L949)+IF(COUNTIF(L$1237:L1552,1)=1,5,0)+IF(COUNTIF(M950:$W950,"&gt;"&amp;0)&lt;5,IF(AND(COUNTIF(L$1237:L1552,1)&gt;7,MOD(1+IFERROR(MATCH($C950,总览!$D$46:$D$345,1)+1,1),7)=0),$C$3,0),0)</f>
        <v>986.900000000004</v>
      </c>
      <c r="M950" s="131" cm="1">
        <f ca="1" t="array" ref="M950">IF(M1552=1,OFFSET($W$634,$B950,M$631-1)/SUMPRODUCT(--($D$631:$V$631=M$631),--($D1552:$V1552=1)),0)+SUM(M949)+IF(COUNTIF(M$1237:M1552,1)=1,5,0)+IF(COUNTIF(N950:$W950,"&gt;"&amp;0)&lt;5,IF(AND(COUNTIF(M$1237:M1552,1)&gt;7,MOD(1+IFERROR(MATCH($C950,总览!$D$46:$D$345,1)+1,1),7)=0),$C$3,0),0)</f>
        <v>409.181250000001</v>
      </c>
      <c r="N950" s="131" cm="1">
        <f ca="1" t="array" ref="N950">IF(N1552=1,OFFSET($W$634,$B950,N$631-1)/SUMPRODUCT(--($D$631:$V$631=N$631),--($D1552:$V1552=1)),0)+SUM(N949)+IF(COUNTIF(N$1237:N1552,1)=1,5,0)+IF(COUNTIF(O950:$W950,"&gt;"&amp;0)&lt;5,IF(AND(COUNTIF(N$1237:N1552,1)&gt;7,MOD(1+IFERROR(MATCH($C950,总览!$D$46:$D$345,1)+1,1),7)=0),$C$3,0),0)</f>
        <v>410.431250000001</v>
      </c>
      <c r="O950" s="131" cm="1">
        <f ca="1" t="array" ref="O950">IF(O1552=1,OFFSET($W$634,$B950,O$631-1)/SUMPRODUCT(--($D$631:$V$631=O$631),--($D1552:$V1552=1)),0)+SUM(O949)+IF(COUNTIF(O$1237:O1552,1)=1,5,0)+IF(COUNTIF(P950:$W950,"&gt;"&amp;0)&lt;5,IF(AND(COUNTIF(O$1237:O1552,1)&gt;7,MOD(1+IFERROR(MATCH($C950,总览!$D$46:$D$345,1)+1,1),7)=0),$C$3,0),0)</f>
        <v>415.431250000001</v>
      </c>
      <c r="P950" s="131" cm="1">
        <f ca="1" t="array" ref="P950">IF(P1552=1,OFFSET($W$634,$B950,P$631-1)/SUMPRODUCT(--($D$631:$V$631=P$631),--($D1552:$V1552=1)),0)+SUM(P949)+IF(COUNTIF(P$1237:P1552,1)=1,5,0)+IF(COUNTIF(Q950:$W950,"&gt;"&amp;0)&lt;5,IF(AND(COUNTIF(P$1237:P1552,1)&gt;7,MOD(1+IFERROR(MATCH($C950,总览!$D$46:$D$345,1)+1,1),7)=0),$C$3,0),0)</f>
        <v>404.550000000001</v>
      </c>
      <c r="Q950" s="131" cm="1">
        <f ca="1" t="array" ref="Q950">IF(Q1552=1,OFFSET($W$634,$B950,Q$631-1)/SUMPRODUCT(--($D$631:$V$631=Q$631),--($D1552:$V1552=1)),0)+SUM(Q949)+IF(COUNTIF(Q$1237:Q1552,1)=1,5,0)+IF(COUNTIF(R950:$W950,"&gt;"&amp;0)&lt;5,IF(AND(COUNTIF(Q$1237:Q1552,1)&gt;7,MOD(1+IFERROR(MATCH($C950,总览!$D$46:$D$345,1)+1,1),7)=0),$C$3,0),0)</f>
        <v>417.931250000001</v>
      </c>
      <c r="R950" s="131" cm="1">
        <f ca="1" t="array" ref="R950">IF(R1552=1,OFFSET($W$634,$B950,R$631-1)/SUMPRODUCT(--($D$631:$V$631=R$631),--($D1552:$V1552=1)),0)+SUM(R949)+IF(COUNTIF(R$1237:R1552,1)=1,5,0)+IF(COUNTIF(S950:$W950,"&gt;"&amp;0)&lt;5,IF(AND(COUNTIF(R$1237:R1552,1)&gt;7,MOD(1+IFERROR(MATCH($C950,总览!$D$46:$D$345,1)+1,1),7)=0),$C$3,0),0)</f>
        <v>409.550000000001</v>
      </c>
      <c r="S950" s="131" cm="1">
        <f ca="1" t="array" ref="S950">IF(S1552=1,OFFSET($W$634,$B950,S$631-1)/SUMPRODUCT(--($D$631:$V$631=S$631),--($D1552:$V1552=1)),0)+SUM(S949)+IF(COUNTIF(S$1237:S1552,1)=1,5,0)+IF(COUNTIF(T950:$W950,"&gt;"&amp;0)&lt;5,IF(AND(COUNTIF(S$1237:S1552,1)&gt;7,MOD(1+IFERROR(MATCH($C950,总览!$D$46:$D$345,1)+1,1),7)=0),$C$3,0),0)</f>
        <v>502.050000000002</v>
      </c>
      <c r="T950" s="131" cm="1">
        <f ca="1" t="array" ref="T950">IF(T1552=1,OFFSET($W$634,$B950,T$631-1)/SUMPRODUCT(--($D$631:$V$631=T$631),--($D1552:$V1552=1)),0)+SUM(T949)+IF(COUNTIF(T$1237:T1552,1)=1,5,0)+IF(COUNTIF(U950:$W950,"&gt;"&amp;0)&lt;5,IF(AND(COUNTIF(T$1237:T1552,1)&gt;7,MOD(1+IFERROR(MATCH($C950,总览!$D$46:$D$345,1)+1,1),7)=0),$C$3,0),0)</f>
        <v>366.942112517169</v>
      </c>
      <c r="U950" s="131" cm="1">
        <f ca="1" t="array" ref="U950">IF(U1552=1,OFFSET($W$634,$B950,U$631-1)/SUMPRODUCT(--($D$631:$V$631=U$631),--($D1552:$V1552=1)),0)+SUM(U949)+IF(COUNTIF(U$1237:U1552,1)=1,5,0)+IF(COUNTIF(V950:$W950,"&gt;"&amp;0)&lt;5,IF(AND(COUNTIF(U$1237:U1552,1)&gt;7,MOD(1+IFERROR(MATCH($C950,总览!$D$46:$D$345,1)+1,1),7)=0),$C$3,0),0)</f>
        <v>372.462898872469</v>
      </c>
      <c r="V950" s="131" cm="1">
        <f ca="1" t="array" ref="V950">IF(V1552=1,OFFSET($W$634,$B950,V$631-1)/SUMPRODUCT(--($D$631:$V$631=V$631),--($D1552:$V1552=1)),0)+SUM(V949)+IF(COUNTIF(V$1237:V1552,1)=1,5,0)+IF(COUNTIF(W950:$W950,"&gt;"&amp;0)&lt;5,IF(AND(COUNTIF(V$1237:V1552,1)&gt;7,MOD(1+IFERROR(MATCH($C950,总览!$D$46:$D$345,1)+1,1),7)=0),$C$3,0),0)</f>
        <v>392.289898584902</v>
      </c>
      <c r="W950" s="135" cm="1">
        <f ca="1" t="array" ref="W950">SUMPRODUCT(TRANSPOSE($AA950:$AG950),OFFSET($L$9:$L$15,0,W$631-1))</f>
        <v>16.8502200646615</v>
      </c>
      <c r="X950" s="135" cm="1">
        <f ca="1" t="array" ref="X950">SUMPRODUCT(TRANSPOSE($AA950:$AG950),OFFSET($L$9:$L$15,0,X$631-1))</f>
        <v>20</v>
      </c>
      <c r="Y950" s="135" cm="1">
        <f ca="1" t="array" ref="Y950">SUMPRODUCT(TRANSPOSE($AA950:$AG950),OFFSET($L$9:$L$15,0,Y$631-1))</f>
        <v>10</v>
      </c>
      <c r="Z950" s="135" cm="1">
        <f ca="1" t="array" ref="Z950">SUMPRODUCT(TRANSPOSE($AA950:$AG950),OFFSET($L$9:$L$15,0,Z$631-1))</f>
        <v>3.14977993533847</v>
      </c>
      <c r="AA950" s="136">
        <f ca="1" t="shared" ref="AA950:AG950" si="879">AH950-AH949</f>
        <v>0</v>
      </c>
      <c r="AB950" s="136">
        <f ca="1" t="shared" si="879"/>
        <v>0</v>
      </c>
      <c r="AC950" s="136">
        <f ca="1" t="shared" si="879"/>
        <v>0</v>
      </c>
      <c r="AD950" s="136">
        <f ca="1" t="shared" si="879"/>
        <v>0</v>
      </c>
      <c r="AE950" s="136">
        <f ca="1" t="shared" si="879"/>
        <v>0</v>
      </c>
      <c r="AF950" s="136">
        <f ca="1" t="shared" si="879"/>
        <v>0</v>
      </c>
      <c r="AG950" s="136">
        <f ca="1" t="shared" si="879"/>
        <v>100</v>
      </c>
      <c r="AH950" s="136">
        <f ca="1" t="shared" si="761"/>
        <v>450</v>
      </c>
      <c r="AI950" s="136">
        <f ca="1" t="shared" ref="AI950:AN950" si="880">IF($C950&gt;OFFSET($Q$8,MATCH(AI$634,$AH$634:$AN$634,0),0),OFFSET($P$8,MATCH(AI$634,$AH$634:$AN$634,0),0),MAX(0,$C950-OFFSET($Q$8,RIGHT(AI$634,1)-1,0)))</f>
        <v>909</v>
      </c>
      <c r="AJ950" s="136">
        <f ca="1" t="shared" si="880"/>
        <v>1818</v>
      </c>
      <c r="AK950" s="136">
        <f ca="1" t="shared" si="880"/>
        <v>2727</v>
      </c>
      <c r="AL950" s="136">
        <f ca="1" t="shared" si="880"/>
        <v>3636</v>
      </c>
      <c r="AM950" s="136">
        <f ca="1" t="shared" si="880"/>
        <v>4545</v>
      </c>
      <c r="AN950" s="136">
        <f ca="1" t="shared" si="880"/>
        <v>17515</v>
      </c>
    </row>
    <row r="951" s="106" customFormat="1" ht="16.5" spans="2:40">
      <c r="B951" s="117">
        <v>317</v>
      </c>
      <c r="C951" s="130">
        <f t="shared" si="759"/>
        <v>31700</v>
      </c>
      <c r="D951" s="131" cm="1">
        <f ca="1" t="array" ref="D951">IF(D1553=1,OFFSET($W$634,$B951,D$631-1)/SUMPRODUCT(--($D$631:$V$631=D$631),--($D1553:$V1553=1)),0)+SUM(D950)+IF(COUNTIF(D$1237:D1553,1)=1,5,0)+IF(COUNTIF(E951:$W951,"&gt;"&amp;0)&lt;5,IF(AND(COUNTIF(D$1237:D1553,1)&gt;7,MOD(1+IFERROR(MATCH($C951,总览!$D$46:$D$345,1)+1,1),7)=0),$C$3,0),0)</f>
        <v>2108.21010336337</v>
      </c>
      <c r="E951" s="131" cm="1">
        <f ca="1" t="array" ref="E951">IF(E1553=1,OFFSET($W$634,$B951,E$631-1)/SUMPRODUCT(--($D$631:$V$631=E$631),--($D1553:$V1553=1)),0)+SUM(E950)+IF(COUNTIF(E$1237:E1553,1)=1,5,0)+IF(COUNTIF(F951:$W951,"&gt;"&amp;0)&lt;5,IF(AND(COUNTIF(E$1237:E1553,1)&gt;7,MOD(1+IFERROR(MATCH($C951,总览!$D$46:$D$345,1)+1,1),7)=0),$C$3,0),0)</f>
        <v>2108.21010336337</v>
      </c>
      <c r="F951" s="131" cm="1">
        <f ca="1" t="array" ref="F951">IF(F1553=1,OFFSET($W$634,$B951,F$631-1)/SUMPRODUCT(--($D$631:$V$631=F$631),--($D1553:$V1553=1)),0)+SUM(F950)+IF(COUNTIF(F$1237:F1553,1)=1,5,0)+IF(COUNTIF(G951:$W951,"&gt;"&amp;0)&lt;5,IF(AND(COUNTIF(F$1237:F1553,1)&gt;7,MOD(1+IFERROR(MATCH($C951,总览!$D$46:$D$345,1)+1,1),7)=0),$C$3,0),0)</f>
        <v>2108.21010336337</v>
      </c>
      <c r="G951" s="131" cm="1">
        <f ca="1" t="array" ref="G951">IF(G1553=1,OFFSET($W$634,$B951,G$631-1)/SUMPRODUCT(--($D$631:$V$631=G$631),--($D1553:$V1553=1)),0)+SUM(G950)+IF(COUNTIF(G$1237:G1553,1)=1,5,0)+IF(COUNTIF(H951:$W951,"&gt;"&amp;0)&lt;5,IF(AND(COUNTIF(G$1237:G1553,1)&gt;7,MOD(1+IFERROR(MATCH($C951,总览!$D$46:$D$345,1)+1,1),7)=0),$C$3,0),0)</f>
        <v>996.066666666671</v>
      </c>
      <c r="H951" s="131" cm="1">
        <f ca="1" t="array" ref="H951">IF(H1553=1,OFFSET($W$634,$B951,H$631-1)/SUMPRODUCT(--($D$631:$V$631=H$631),--($D1553:$V1553=1)),0)+SUM(H950)+IF(COUNTIF(H$1237:H1553,1)=1,5,0)+IF(COUNTIF(I951:$W951,"&gt;"&amp;0)&lt;5,IF(AND(COUNTIF(H$1237:H1553,1)&gt;7,MOD(1+IFERROR(MATCH($C951,总览!$D$46:$D$345,1)+1,1),7)=0),$C$3,0),0)</f>
        <v>996.066666666671</v>
      </c>
      <c r="I951" s="131" cm="1">
        <f ca="1" t="array" ref="I951">IF(I1553=1,OFFSET($W$634,$B951,I$631-1)/SUMPRODUCT(--($D$631:$V$631=I$631),--($D1553:$V1553=1)),0)+SUM(I950)+IF(COUNTIF(I$1237:I1553,1)=1,5,0)+IF(COUNTIF(J951:$W951,"&gt;"&amp;0)&lt;5,IF(AND(COUNTIF(I$1237:I1553,1)&gt;7,MOD(1+IFERROR(MATCH($C951,总览!$D$46:$D$345,1)+1,1),7)=0),$C$3,0),0)</f>
        <v>996.066666666671</v>
      </c>
      <c r="J951" s="131" cm="1">
        <f ca="1" t="array" ref="J951">IF(J1553=1,OFFSET($W$634,$B951,J$631-1)/SUMPRODUCT(--($D$631:$V$631=J$631),--($D1553:$V1553=1)),0)+SUM(J950)+IF(COUNTIF(J$1237:J1553,1)=1,5,0)+IF(COUNTIF(K951:$W951,"&gt;"&amp;0)&lt;5,IF(AND(COUNTIF(J$1237:J1553,1)&gt;7,MOD(1+IFERROR(MATCH($C951,总览!$D$46:$D$345,1)+1,1),7)=0),$C$3,0),0)</f>
        <v>992.733333333337</v>
      </c>
      <c r="K951" s="131" cm="1">
        <f ca="1" t="array" ref="K951">IF(K1553=1,OFFSET($W$634,$B951,K$631-1)/SUMPRODUCT(--($D$631:$V$631=K$631),--($D1553:$V1553=1)),0)+SUM(K950)+IF(COUNTIF(K$1237:K1553,1)=1,5,0)+IF(COUNTIF(L951:$W951,"&gt;"&amp;0)&lt;5,IF(AND(COUNTIF(K$1237:K1553,1)&gt;7,MOD(1+IFERROR(MATCH($C951,总览!$D$46:$D$345,1)+1,1),7)=0),$C$3,0),0)</f>
        <v>990.233333333337</v>
      </c>
      <c r="L951" s="131" cm="1">
        <f ca="1" t="array" ref="L951">IF(L1553=1,OFFSET($W$634,$B951,L$631-1)/SUMPRODUCT(--($D$631:$V$631=L$631),--($D1553:$V1553=1)),0)+SUM(L950)+IF(COUNTIF(L$1237:L1553,1)=1,5,0)+IF(COUNTIF(M951:$W951,"&gt;"&amp;0)&lt;5,IF(AND(COUNTIF(L$1237:L1553,1)&gt;7,MOD(1+IFERROR(MATCH($C951,总览!$D$46:$D$345,1)+1,1),7)=0),$C$3,0),0)</f>
        <v>990.233333333337</v>
      </c>
      <c r="M951" s="131" cm="1">
        <f ca="1" t="array" ref="M951">IF(M1553=1,OFFSET($W$634,$B951,M$631-1)/SUMPRODUCT(--($D$631:$V$631=M$631),--($D1553:$V1553=1)),0)+SUM(M950)+IF(COUNTIF(M$1237:M1553,1)=1,5,0)+IF(COUNTIF(N951:$W951,"&gt;"&amp;0)&lt;5,IF(AND(COUNTIF(M$1237:M1553,1)&gt;7,MOD(1+IFERROR(MATCH($C951,总览!$D$46:$D$345,1)+1,1),7)=0),$C$3,0),0)</f>
        <v>410.609821428572</v>
      </c>
      <c r="N951" s="131" cm="1">
        <f ca="1" t="array" ref="N951">IF(N1553=1,OFFSET($W$634,$B951,N$631-1)/SUMPRODUCT(--($D$631:$V$631=N$631),--($D1553:$V1553=1)),0)+SUM(N950)+IF(COUNTIF(N$1237:N1553,1)=1,5,0)+IF(COUNTIF(O951:$W951,"&gt;"&amp;0)&lt;5,IF(AND(COUNTIF(N$1237:N1553,1)&gt;7,MOD(1+IFERROR(MATCH($C951,总览!$D$46:$D$345,1)+1,1),7)=0),$C$3,0),0)</f>
        <v>411.859821428572</v>
      </c>
      <c r="O951" s="131" cm="1">
        <f ca="1" t="array" ref="O951">IF(O1553=1,OFFSET($W$634,$B951,O$631-1)/SUMPRODUCT(--($D$631:$V$631=O$631),--($D1553:$V1553=1)),0)+SUM(O950)+IF(COUNTIF(O$1237:O1553,1)=1,5,0)+IF(COUNTIF(P951:$W951,"&gt;"&amp;0)&lt;5,IF(AND(COUNTIF(O$1237:O1553,1)&gt;7,MOD(1+IFERROR(MATCH($C951,总览!$D$46:$D$345,1)+1,1),7)=0),$C$3,0),0)</f>
        <v>416.859821428572</v>
      </c>
      <c r="P951" s="131" cm="1">
        <f ca="1" t="array" ref="P951">IF(P1553=1,OFFSET($W$634,$B951,P$631-1)/SUMPRODUCT(--($D$631:$V$631=P$631),--($D1553:$V1553=1)),0)+SUM(P950)+IF(COUNTIF(P$1237:P1553,1)=1,5,0)+IF(COUNTIF(Q951:$W951,"&gt;"&amp;0)&lt;5,IF(AND(COUNTIF(P$1237:P1553,1)&gt;7,MOD(1+IFERROR(MATCH($C951,总览!$D$46:$D$345,1)+1,1),7)=0),$C$3,0),0)</f>
        <v>405.978571428572</v>
      </c>
      <c r="Q951" s="131" cm="1">
        <f ca="1" t="array" ref="Q951">IF(Q1553=1,OFFSET($W$634,$B951,Q$631-1)/SUMPRODUCT(--($D$631:$V$631=Q$631),--($D1553:$V1553=1)),0)+SUM(Q950)+IF(COUNTIF(Q$1237:Q1553,1)=1,5,0)+IF(COUNTIF(R951:$W951,"&gt;"&amp;0)&lt;5,IF(AND(COUNTIF(Q$1237:Q1553,1)&gt;7,MOD(1+IFERROR(MATCH($C951,总览!$D$46:$D$345,1)+1,1),7)=0),$C$3,0),0)</f>
        <v>419.359821428572</v>
      </c>
      <c r="R951" s="131" cm="1">
        <f ca="1" t="array" ref="R951">IF(R1553=1,OFFSET($W$634,$B951,R$631-1)/SUMPRODUCT(--($D$631:$V$631=R$631),--($D1553:$V1553=1)),0)+SUM(R950)+IF(COUNTIF(R$1237:R1553,1)=1,5,0)+IF(COUNTIF(S951:$W951,"&gt;"&amp;0)&lt;5,IF(AND(COUNTIF(R$1237:R1553,1)&gt;7,MOD(1+IFERROR(MATCH($C951,总览!$D$46:$D$345,1)+1,1),7)=0),$C$3,0),0)</f>
        <v>410.978571428572</v>
      </c>
      <c r="S951" s="131" cm="1">
        <f ca="1" t="array" ref="S951">IF(S1553=1,OFFSET($W$634,$B951,S$631-1)/SUMPRODUCT(--($D$631:$V$631=S$631),--($D1553:$V1553=1)),0)+SUM(S950)+IF(COUNTIF(S$1237:S1553,1)=1,5,0)+IF(COUNTIF(T951:$W951,"&gt;"&amp;0)&lt;5,IF(AND(COUNTIF(S$1237:S1553,1)&gt;7,MOD(1+IFERROR(MATCH($C951,总览!$D$46:$D$345,1)+1,1),7)=0),$C$3,0),0)</f>
        <v>503.478571428573</v>
      </c>
      <c r="T951" s="131" cm="1">
        <f ca="1" t="array" ref="T951">IF(T1553=1,OFFSET($W$634,$B951,T$631-1)/SUMPRODUCT(--($D$631:$V$631=T$631),--($D1553:$V1553=1)),0)+SUM(T950)+IF(COUNTIF(T$1237:T1553,1)=1,5,0)+IF(COUNTIF(U951:$W951,"&gt;"&amp;0)&lt;5,IF(AND(COUNTIF(T$1237:T1553,1)&gt;7,MOD(1+IFERROR(MATCH($C951,总览!$D$46:$D$345,1)+1,1),7)=0),$C$3,0),0)</f>
        <v>367.992039162282</v>
      </c>
      <c r="U951" s="131" cm="1">
        <f ca="1" t="array" ref="U951">IF(U1553=1,OFFSET($W$634,$B951,U$631-1)/SUMPRODUCT(--($D$631:$V$631=U$631),--($D1553:$V1553=1)),0)+SUM(U950)+IF(COUNTIF(U$1237:U1553,1)=1,5,0)+IF(COUNTIF(V951:$W951,"&gt;"&amp;0)&lt;5,IF(AND(COUNTIF(U$1237:U1553,1)&gt;7,MOD(1+IFERROR(MATCH($C951,总览!$D$46:$D$345,1)+1,1),7)=0),$C$3,0),0)</f>
        <v>373.512825517582</v>
      </c>
      <c r="V951" s="131" cm="1">
        <f ca="1" t="array" ref="V951">IF(V1553=1,OFFSET($W$634,$B951,V$631-1)/SUMPRODUCT(--($D$631:$V$631=V$631),--($D1553:$V1553=1)),0)+SUM(V950)+IF(COUNTIF(V$1237:V1553,1)=1,5,0)+IF(COUNTIF(W951:$W951,"&gt;"&amp;0)&lt;5,IF(AND(COUNTIF(V$1237:V1553,1)&gt;7,MOD(1+IFERROR(MATCH($C951,总览!$D$46:$D$345,1)+1,1),7)=0),$C$3,0),0)</f>
        <v>393.339825230015</v>
      </c>
      <c r="W951" s="135" cm="1">
        <f ca="1" t="array" ref="W951">SUMPRODUCT(TRANSPOSE($AA951:$AG951),OFFSET($L$9:$L$15,0,W$631-1))</f>
        <v>16.8502200646615</v>
      </c>
      <c r="X951" s="135" cm="1">
        <f ca="1" t="array" ref="X951">SUMPRODUCT(TRANSPOSE($AA951:$AG951),OFFSET($L$9:$L$15,0,X$631-1))</f>
        <v>20</v>
      </c>
      <c r="Y951" s="135" cm="1">
        <f ca="1" t="array" ref="Y951">SUMPRODUCT(TRANSPOSE($AA951:$AG951),OFFSET($L$9:$L$15,0,Y$631-1))</f>
        <v>10</v>
      </c>
      <c r="Z951" s="135" cm="1">
        <f ca="1" t="array" ref="Z951">SUMPRODUCT(TRANSPOSE($AA951:$AG951),OFFSET($L$9:$L$15,0,Z$631-1))</f>
        <v>3.14977993533847</v>
      </c>
      <c r="AA951" s="136">
        <f ca="1" t="shared" ref="AA951:AG951" si="881">AH951-AH950</f>
        <v>0</v>
      </c>
      <c r="AB951" s="136">
        <f ca="1" t="shared" si="881"/>
        <v>0</v>
      </c>
      <c r="AC951" s="136">
        <f ca="1" t="shared" si="881"/>
        <v>0</v>
      </c>
      <c r="AD951" s="136">
        <f ca="1" t="shared" si="881"/>
        <v>0</v>
      </c>
      <c r="AE951" s="136">
        <f ca="1" t="shared" si="881"/>
        <v>0</v>
      </c>
      <c r="AF951" s="136">
        <f ca="1" t="shared" si="881"/>
        <v>0</v>
      </c>
      <c r="AG951" s="136">
        <f ca="1" t="shared" si="881"/>
        <v>100</v>
      </c>
      <c r="AH951" s="136">
        <f ca="1" t="shared" si="761"/>
        <v>450</v>
      </c>
      <c r="AI951" s="136">
        <f ca="1" t="shared" ref="AI951:AN951" si="882">IF($C951&gt;OFFSET($Q$8,MATCH(AI$634,$AH$634:$AN$634,0),0),OFFSET($P$8,MATCH(AI$634,$AH$634:$AN$634,0),0),MAX(0,$C951-OFFSET($Q$8,RIGHT(AI$634,1)-1,0)))</f>
        <v>909</v>
      </c>
      <c r="AJ951" s="136">
        <f ca="1" t="shared" si="882"/>
        <v>1818</v>
      </c>
      <c r="AK951" s="136">
        <f ca="1" t="shared" si="882"/>
        <v>2727</v>
      </c>
      <c r="AL951" s="136">
        <f ca="1" t="shared" si="882"/>
        <v>3636</v>
      </c>
      <c r="AM951" s="136">
        <f ca="1" t="shared" si="882"/>
        <v>4545</v>
      </c>
      <c r="AN951" s="136">
        <f ca="1" t="shared" si="882"/>
        <v>17615</v>
      </c>
    </row>
    <row r="952" s="106" customFormat="1" ht="16.5" spans="2:40">
      <c r="B952" s="117">
        <v>318</v>
      </c>
      <c r="C952" s="130">
        <f t="shared" si="759"/>
        <v>31800</v>
      </c>
      <c r="D952" s="131" cm="1">
        <f ca="1" t="array" ref="D952">IF(D1554=1,OFFSET($W$634,$B952,D$631-1)/SUMPRODUCT(--($D$631:$V$631=D$631),--($D1554:$V1554=1)),0)+SUM(D951)+IF(COUNTIF(D$1237:D1554,1)=1,5,0)+IF(COUNTIF(E952:$W952,"&gt;"&amp;0)&lt;5,IF(AND(COUNTIF(D$1237:D1554,1)&gt;7,MOD(1+IFERROR(MATCH($C952,总览!$D$46:$D$345,1)+1,1),7)=0),$C$3,0),0)</f>
        <v>2113.82684338493</v>
      </c>
      <c r="E952" s="131" cm="1">
        <f ca="1" t="array" ref="E952">IF(E1554=1,OFFSET($W$634,$B952,E$631-1)/SUMPRODUCT(--($D$631:$V$631=E$631),--($D1554:$V1554=1)),0)+SUM(E951)+IF(COUNTIF(E$1237:E1554,1)=1,5,0)+IF(COUNTIF(F952:$W952,"&gt;"&amp;0)&lt;5,IF(AND(COUNTIF(E$1237:E1554,1)&gt;7,MOD(1+IFERROR(MATCH($C952,总览!$D$46:$D$345,1)+1,1),7)=0),$C$3,0),0)</f>
        <v>2113.82684338493</v>
      </c>
      <c r="F952" s="131" cm="1">
        <f ca="1" t="array" ref="F952">IF(F1554=1,OFFSET($W$634,$B952,F$631-1)/SUMPRODUCT(--($D$631:$V$631=F$631),--($D1554:$V1554=1)),0)+SUM(F951)+IF(COUNTIF(F$1237:F1554,1)=1,5,0)+IF(COUNTIF(G952:$W952,"&gt;"&amp;0)&lt;5,IF(AND(COUNTIF(F$1237:F1554,1)&gt;7,MOD(1+IFERROR(MATCH($C952,总览!$D$46:$D$345,1)+1,1),7)=0),$C$3,0),0)</f>
        <v>2113.82684338493</v>
      </c>
      <c r="G952" s="131" cm="1">
        <f ca="1" t="array" ref="G952">IF(G1554=1,OFFSET($W$634,$B952,G$631-1)/SUMPRODUCT(--($D$631:$V$631=G$631),--($D1554:$V1554=1)),0)+SUM(G951)+IF(COUNTIF(G$1237:G1554,1)=1,5,0)+IF(COUNTIF(H952:$W952,"&gt;"&amp;0)&lt;5,IF(AND(COUNTIF(G$1237:G1554,1)&gt;7,MOD(1+IFERROR(MATCH($C952,总览!$D$46:$D$345,1)+1,1),7)=0),$C$3,0),0)</f>
        <v>999.400000000004</v>
      </c>
      <c r="H952" s="131" cm="1">
        <f ca="1" t="array" ref="H952">IF(H1554=1,OFFSET($W$634,$B952,H$631-1)/SUMPRODUCT(--($D$631:$V$631=H$631),--($D1554:$V1554=1)),0)+SUM(H951)+IF(COUNTIF(H$1237:H1554,1)=1,5,0)+IF(COUNTIF(I952:$W952,"&gt;"&amp;0)&lt;5,IF(AND(COUNTIF(H$1237:H1554,1)&gt;7,MOD(1+IFERROR(MATCH($C952,总览!$D$46:$D$345,1)+1,1),7)=0),$C$3,0),0)</f>
        <v>999.400000000004</v>
      </c>
      <c r="I952" s="131" cm="1">
        <f ca="1" t="array" ref="I952">IF(I1554=1,OFFSET($W$634,$B952,I$631-1)/SUMPRODUCT(--($D$631:$V$631=I$631),--($D1554:$V1554=1)),0)+SUM(I951)+IF(COUNTIF(I$1237:I1554,1)=1,5,0)+IF(COUNTIF(J952:$W952,"&gt;"&amp;0)&lt;5,IF(AND(COUNTIF(I$1237:I1554,1)&gt;7,MOD(1+IFERROR(MATCH($C952,总览!$D$46:$D$345,1)+1,1),7)=0),$C$3,0),0)</f>
        <v>999.400000000004</v>
      </c>
      <c r="J952" s="131" cm="1">
        <f ca="1" t="array" ref="J952">IF(J1554=1,OFFSET($W$634,$B952,J$631-1)/SUMPRODUCT(--($D$631:$V$631=J$631),--($D1554:$V1554=1)),0)+SUM(J951)+IF(COUNTIF(J$1237:J1554,1)=1,5,0)+IF(COUNTIF(K952:$W952,"&gt;"&amp;0)&lt;5,IF(AND(COUNTIF(J$1237:J1554,1)&gt;7,MOD(1+IFERROR(MATCH($C952,总览!$D$46:$D$345,1)+1,1),7)=0),$C$3,0),0)</f>
        <v>996.066666666671</v>
      </c>
      <c r="K952" s="131" cm="1">
        <f ca="1" t="array" ref="K952">IF(K1554=1,OFFSET($W$634,$B952,K$631-1)/SUMPRODUCT(--($D$631:$V$631=K$631),--($D1554:$V1554=1)),0)+SUM(K951)+IF(COUNTIF(K$1237:K1554,1)=1,5,0)+IF(COUNTIF(L952:$W952,"&gt;"&amp;0)&lt;5,IF(AND(COUNTIF(K$1237:K1554,1)&gt;7,MOD(1+IFERROR(MATCH($C952,总览!$D$46:$D$345,1)+1,1),7)=0),$C$3,0),0)</f>
        <v>993.566666666671</v>
      </c>
      <c r="L952" s="131" cm="1">
        <f ca="1" t="array" ref="L952">IF(L1554=1,OFFSET($W$634,$B952,L$631-1)/SUMPRODUCT(--($D$631:$V$631=L$631),--($D1554:$V1554=1)),0)+SUM(L951)+IF(COUNTIF(L$1237:L1554,1)=1,5,0)+IF(COUNTIF(M952:$W952,"&gt;"&amp;0)&lt;5,IF(AND(COUNTIF(L$1237:L1554,1)&gt;7,MOD(1+IFERROR(MATCH($C952,总览!$D$46:$D$345,1)+1,1),7)=0),$C$3,0),0)</f>
        <v>993.566666666671</v>
      </c>
      <c r="M952" s="131" cm="1">
        <f ca="1" t="array" ref="M952">IF(M1554=1,OFFSET($W$634,$B952,M$631-1)/SUMPRODUCT(--($D$631:$V$631=M$631),--($D1554:$V1554=1)),0)+SUM(M951)+IF(COUNTIF(M$1237:M1554,1)=1,5,0)+IF(COUNTIF(N952:$W952,"&gt;"&amp;0)&lt;5,IF(AND(COUNTIF(M$1237:M1554,1)&gt;7,MOD(1+IFERROR(MATCH($C952,总览!$D$46:$D$345,1)+1,1),7)=0),$C$3,0),0)</f>
        <v>412.038392857143</v>
      </c>
      <c r="N952" s="131" cm="1">
        <f ca="1" t="array" ref="N952">IF(N1554=1,OFFSET($W$634,$B952,N$631-1)/SUMPRODUCT(--($D$631:$V$631=N$631),--($D1554:$V1554=1)),0)+SUM(N951)+IF(COUNTIF(N$1237:N1554,1)=1,5,0)+IF(COUNTIF(O952:$W952,"&gt;"&amp;0)&lt;5,IF(AND(COUNTIF(N$1237:N1554,1)&gt;7,MOD(1+IFERROR(MATCH($C952,总览!$D$46:$D$345,1)+1,1),7)=0),$C$3,0),0)</f>
        <v>413.288392857143</v>
      </c>
      <c r="O952" s="131" cm="1">
        <f ca="1" t="array" ref="O952">IF(O1554=1,OFFSET($W$634,$B952,O$631-1)/SUMPRODUCT(--($D$631:$V$631=O$631),--($D1554:$V1554=1)),0)+SUM(O951)+IF(COUNTIF(O$1237:O1554,1)=1,5,0)+IF(COUNTIF(P952:$W952,"&gt;"&amp;0)&lt;5,IF(AND(COUNTIF(O$1237:O1554,1)&gt;7,MOD(1+IFERROR(MATCH($C952,总览!$D$46:$D$345,1)+1,1),7)=0),$C$3,0),0)</f>
        <v>418.288392857143</v>
      </c>
      <c r="P952" s="131" cm="1">
        <f ca="1" t="array" ref="P952">IF(P1554=1,OFFSET($W$634,$B952,P$631-1)/SUMPRODUCT(--($D$631:$V$631=P$631),--($D1554:$V1554=1)),0)+SUM(P951)+IF(COUNTIF(P$1237:P1554,1)=1,5,0)+IF(COUNTIF(Q952:$W952,"&gt;"&amp;0)&lt;5,IF(AND(COUNTIF(P$1237:P1554,1)&gt;7,MOD(1+IFERROR(MATCH($C952,总览!$D$46:$D$345,1)+1,1),7)=0),$C$3,0),0)</f>
        <v>407.407142857143</v>
      </c>
      <c r="Q952" s="131" cm="1">
        <f ca="1" t="array" ref="Q952">IF(Q1554=1,OFFSET($W$634,$B952,Q$631-1)/SUMPRODUCT(--($D$631:$V$631=Q$631),--($D1554:$V1554=1)),0)+SUM(Q951)+IF(COUNTIF(Q$1237:Q1554,1)=1,5,0)+IF(COUNTIF(R952:$W952,"&gt;"&amp;0)&lt;5,IF(AND(COUNTIF(Q$1237:Q1554,1)&gt;7,MOD(1+IFERROR(MATCH($C952,总览!$D$46:$D$345,1)+1,1),7)=0),$C$3,0),0)</f>
        <v>420.788392857143</v>
      </c>
      <c r="R952" s="131" cm="1">
        <f ca="1" t="array" ref="R952">IF(R1554=1,OFFSET($W$634,$B952,R$631-1)/SUMPRODUCT(--($D$631:$V$631=R$631),--($D1554:$V1554=1)),0)+SUM(R951)+IF(COUNTIF(R$1237:R1554,1)=1,5,0)+IF(COUNTIF(S952:$W952,"&gt;"&amp;0)&lt;5,IF(AND(COUNTIF(R$1237:R1554,1)&gt;7,MOD(1+IFERROR(MATCH($C952,总览!$D$46:$D$345,1)+1,1),7)=0),$C$3,0),0)</f>
        <v>412.407142857143</v>
      </c>
      <c r="S952" s="131" cm="1">
        <f ca="1" t="array" ref="S952">IF(S1554=1,OFFSET($W$634,$B952,S$631-1)/SUMPRODUCT(--($D$631:$V$631=S$631),--($D1554:$V1554=1)),0)+SUM(S951)+IF(COUNTIF(S$1237:S1554,1)=1,5,0)+IF(COUNTIF(T952:$W952,"&gt;"&amp;0)&lt;5,IF(AND(COUNTIF(S$1237:S1554,1)&gt;7,MOD(1+IFERROR(MATCH($C952,总览!$D$46:$D$345,1)+1,1),7)=0),$C$3,0),0)</f>
        <v>504.907142857145</v>
      </c>
      <c r="T952" s="131" cm="1">
        <f ca="1" t="array" ref="T952">IF(T1554=1,OFFSET($W$634,$B952,T$631-1)/SUMPRODUCT(--($D$631:$V$631=T$631),--($D1554:$V1554=1)),0)+SUM(T951)+IF(COUNTIF(T$1237:T1554,1)=1,5,0)+IF(COUNTIF(U952:$W952,"&gt;"&amp;0)&lt;5,IF(AND(COUNTIF(T$1237:T1554,1)&gt;7,MOD(1+IFERROR(MATCH($C952,总览!$D$46:$D$345,1)+1,1),7)=0),$C$3,0),0)</f>
        <v>369.041965807395</v>
      </c>
      <c r="U952" s="131" cm="1">
        <f ca="1" t="array" ref="U952">IF(U1554=1,OFFSET($W$634,$B952,U$631-1)/SUMPRODUCT(--($D$631:$V$631=U$631),--($D1554:$V1554=1)),0)+SUM(U951)+IF(COUNTIF(U$1237:U1554,1)=1,5,0)+IF(COUNTIF(V952:$W952,"&gt;"&amp;0)&lt;5,IF(AND(COUNTIF(U$1237:U1554,1)&gt;7,MOD(1+IFERROR(MATCH($C952,总览!$D$46:$D$345,1)+1,1),7)=0),$C$3,0),0)</f>
        <v>374.562752162694</v>
      </c>
      <c r="V952" s="131" cm="1">
        <f ca="1" t="array" ref="V952">IF(V1554=1,OFFSET($W$634,$B952,V$631-1)/SUMPRODUCT(--($D$631:$V$631=V$631),--($D1554:$V1554=1)),0)+SUM(V951)+IF(COUNTIF(V$1237:V1554,1)=1,5,0)+IF(COUNTIF(W952:$W952,"&gt;"&amp;0)&lt;5,IF(AND(COUNTIF(V$1237:V1554,1)&gt;7,MOD(1+IFERROR(MATCH($C952,总览!$D$46:$D$345,1)+1,1),7)=0),$C$3,0),0)</f>
        <v>394.389751875127</v>
      </c>
      <c r="W952" s="135" cm="1">
        <f ca="1" t="array" ref="W952">SUMPRODUCT(TRANSPOSE($AA952:$AG952),OFFSET($L$9:$L$15,0,W$631-1))</f>
        <v>16.8502200646615</v>
      </c>
      <c r="X952" s="135" cm="1">
        <f ca="1" t="array" ref="X952">SUMPRODUCT(TRANSPOSE($AA952:$AG952),OFFSET($L$9:$L$15,0,X$631-1))</f>
        <v>20</v>
      </c>
      <c r="Y952" s="135" cm="1">
        <f ca="1" t="array" ref="Y952">SUMPRODUCT(TRANSPOSE($AA952:$AG952),OFFSET($L$9:$L$15,0,Y$631-1))</f>
        <v>10</v>
      </c>
      <c r="Z952" s="135" cm="1">
        <f ca="1" t="array" ref="Z952">SUMPRODUCT(TRANSPOSE($AA952:$AG952),OFFSET($L$9:$L$15,0,Z$631-1))</f>
        <v>3.14977993533847</v>
      </c>
      <c r="AA952" s="136">
        <f ca="1" t="shared" ref="AA952:AG952" si="883">AH952-AH951</f>
        <v>0</v>
      </c>
      <c r="AB952" s="136">
        <f ca="1" t="shared" si="883"/>
        <v>0</v>
      </c>
      <c r="AC952" s="136">
        <f ca="1" t="shared" si="883"/>
        <v>0</v>
      </c>
      <c r="AD952" s="136">
        <f ca="1" t="shared" si="883"/>
        <v>0</v>
      </c>
      <c r="AE952" s="136">
        <f ca="1" t="shared" si="883"/>
        <v>0</v>
      </c>
      <c r="AF952" s="136">
        <f ca="1" t="shared" si="883"/>
        <v>0</v>
      </c>
      <c r="AG952" s="136">
        <f ca="1" t="shared" si="883"/>
        <v>100</v>
      </c>
      <c r="AH952" s="136">
        <f ca="1" t="shared" si="761"/>
        <v>450</v>
      </c>
      <c r="AI952" s="136">
        <f ca="1" t="shared" ref="AI952:AN952" si="884">IF($C952&gt;OFFSET($Q$8,MATCH(AI$634,$AH$634:$AN$634,0),0),OFFSET($P$8,MATCH(AI$634,$AH$634:$AN$634,0),0),MAX(0,$C952-OFFSET($Q$8,RIGHT(AI$634,1)-1,0)))</f>
        <v>909</v>
      </c>
      <c r="AJ952" s="136">
        <f ca="1" t="shared" si="884"/>
        <v>1818</v>
      </c>
      <c r="AK952" s="136">
        <f ca="1" t="shared" si="884"/>
        <v>2727</v>
      </c>
      <c r="AL952" s="136">
        <f ca="1" t="shared" si="884"/>
        <v>3636</v>
      </c>
      <c r="AM952" s="136">
        <f ca="1" t="shared" si="884"/>
        <v>4545</v>
      </c>
      <c r="AN952" s="136">
        <f ca="1" t="shared" si="884"/>
        <v>17715</v>
      </c>
    </row>
    <row r="953" s="106" customFormat="1" ht="16.5" spans="2:40">
      <c r="B953" s="117">
        <v>319</v>
      </c>
      <c r="C953" s="130">
        <f t="shared" si="759"/>
        <v>31900</v>
      </c>
      <c r="D953" s="131" cm="1">
        <f ca="1" t="array" ref="D953">IF(D1555=1,OFFSET($W$634,$B953,D$631-1)/SUMPRODUCT(--($D$631:$V$631=D$631),--($D1555:$V1555=1)),0)+SUM(D952)+IF(COUNTIF(D$1237:D1555,1)=1,5,0)+IF(COUNTIF(E953:$W953,"&gt;"&amp;0)&lt;5,IF(AND(COUNTIF(D$1237:D1555,1)&gt;7,MOD(1+IFERROR(MATCH($C953,总览!$D$46:$D$345,1)+1,1),7)=0),$C$3,0),0)</f>
        <v>2119.44358340648</v>
      </c>
      <c r="E953" s="131" cm="1">
        <f ca="1" t="array" ref="E953">IF(E1555=1,OFFSET($W$634,$B953,E$631-1)/SUMPRODUCT(--($D$631:$V$631=E$631),--($D1555:$V1555=1)),0)+SUM(E952)+IF(COUNTIF(E$1237:E1555,1)=1,5,0)+IF(COUNTIF(F953:$W953,"&gt;"&amp;0)&lt;5,IF(AND(COUNTIF(E$1237:E1555,1)&gt;7,MOD(1+IFERROR(MATCH($C953,总览!$D$46:$D$345,1)+1,1),7)=0),$C$3,0),0)</f>
        <v>2119.44358340648</v>
      </c>
      <c r="F953" s="131" cm="1">
        <f ca="1" t="array" ref="F953">IF(F1555=1,OFFSET($W$634,$B953,F$631-1)/SUMPRODUCT(--($D$631:$V$631=F$631),--($D1555:$V1555=1)),0)+SUM(F952)+IF(COUNTIF(F$1237:F1555,1)=1,5,0)+IF(COUNTIF(G953:$W953,"&gt;"&amp;0)&lt;5,IF(AND(COUNTIF(F$1237:F1555,1)&gt;7,MOD(1+IFERROR(MATCH($C953,总览!$D$46:$D$345,1)+1,1),7)=0),$C$3,0),0)</f>
        <v>2119.44358340648</v>
      </c>
      <c r="G953" s="131" cm="1">
        <f ca="1" t="array" ref="G953">IF(G1555=1,OFFSET($W$634,$B953,G$631-1)/SUMPRODUCT(--($D$631:$V$631=G$631),--($D1555:$V1555=1)),0)+SUM(G952)+IF(COUNTIF(G$1237:G1555,1)=1,5,0)+IF(COUNTIF(H953:$W953,"&gt;"&amp;0)&lt;5,IF(AND(COUNTIF(G$1237:G1555,1)&gt;7,MOD(1+IFERROR(MATCH($C953,总览!$D$46:$D$345,1)+1,1),7)=0),$C$3,0),0)</f>
        <v>1002.73333333334</v>
      </c>
      <c r="H953" s="131" cm="1">
        <f ca="1" t="array" ref="H953">IF(H1555=1,OFFSET($W$634,$B953,H$631-1)/SUMPRODUCT(--($D$631:$V$631=H$631),--($D1555:$V1555=1)),0)+SUM(H952)+IF(COUNTIF(H$1237:H1555,1)=1,5,0)+IF(COUNTIF(I953:$W953,"&gt;"&amp;0)&lt;5,IF(AND(COUNTIF(H$1237:H1555,1)&gt;7,MOD(1+IFERROR(MATCH($C953,总览!$D$46:$D$345,1)+1,1),7)=0),$C$3,0),0)</f>
        <v>1002.73333333334</v>
      </c>
      <c r="I953" s="131" cm="1">
        <f ca="1" t="array" ref="I953">IF(I1555=1,OFFSET($W$634,$B953,I$631-1)/SUMPRODUCT(--($D$631:$V$631=I$631),--($D1555:$V1555=1)),0)+SUM(I952)+IF(COUNTIF(I$1237:I1555,1)=1,5,0)+IF(COUNTIF(J953:$W953,"&gt;"&amp;0)&lt;5,IF(AND(COUNTIF(I$1237:I1555,1)&gt;7,MOD(1+IFERROR(MATCH($C953,总览!$D$46:$D$345,1)+1,1),7)=0),$C$3,0),0)</f>
        <v>1002.73333333334</v>
      </c>
      <c r="J953" s="131" cm="1">
        <f ca="1" t="array" ref="J953">IF(J1555=1,OFFSET($W$634,$B953,J$631-1)/SUMPRODUCT(--($D$631:$V$631=J$631),--($D1555:$V1555=1)),0)+SUM(J952)+IF(COUNTIF(J$1237:J1555,1)=1,5,0)+IF(COUNTIF(K953:$W953,"&gt;"&amp;0)&lt;5,IF(AND(COUNTIF(J$1237:J1555,1)&gt;7,MOD(1+IFERROR(MATCH($C953,总览!$D$46:$D$345,1)+1,1),7)=0),$C$3,0),0)</f>
        <v>999.400000000004</v>
      </c>
      <c r="K953" s="131" cm="1">
        <f ca="1" t="array" ref="K953">IF(K1555=1,OFFSET($W$634,$B953,K$631-1)/SUMPRODUCT(--($D$631:$V$631=K$631),--($D1555:$V1555=1)),0)+SUM(K952)+IF(COUNTIF(K$1237:K1555,1)=1,5,0)+IF(COUNTIF(L953:$W953,"&gt;"&amp;0)&lt;5,IF(AND(COUNTIF(K$1237:K1555,1)&gt;7,MOD(1+IFERROR(MATCH($C953,总览!$D$46:$D$345,1)+1,1),7)=0),$C$3,0),0)</f>
        <v>996.900000000004</v>
      </c>
      <c r="L953" s="131" cm="1">
        <f ca="1" t="array" ref="L953">IF(L1555=1,OFFSET($W$634,$B953,L$631-1)/SUMPRODUCT(--($D$631:$V$631=L$631),--($D1555:$V1555=1)),0)+SUM(L952)+IF(COUNTIF(L$1237:L1555,1)=1,5,0)+IF(COUNTIF(M953:$W953,"&gt;"&amp;0)&lt;5,IF(AND(COUNTIF(L$1237:L1555,1)&gt;7,MOD(1+IFERROR(MATCH($C953,总览!$D$46:$D$345,1)+1,1),7)=0),$C$3,0),0)</f>
        <v>996.900000000004</v>
      </c>
      <c r="M953" s="131" cm="1">
        <f ca="1" t="array" ref="M953">IF(M1555=1,OFFSET($W$634,$B953,M$631-1)/SUMPRODUCT(--($D$631:$V$631=M$631),--($D1555:$V1555=1)),0)+SUM(M952)+IF(COUNTIF(M$1237:M1555,1)=1,5,0)+IF(COUNTIF(N953:$W953,"&gt;"&amp;0)&lt;5,IF(AND(COUNTIF(M$1237:M1555,1)&gt;7,MOD(1+IFERROR(MATCH($C953,总览!$D$46:$D$345,1)+1,1),7)=0),$C$3,0),0)</f>
        <v>413.466964285715</v>
      </c>
      <c r="N953" s="131" cm="1">
        <f ca="1" t="array" ref="N953">IF(N1555=1,OFFSET($W$634,$B953,N$631-1)/SUMPRODUCT(--($D$631:$V$631=N$631),--($D1555:$V1555=1)),0)+SUM(N952)+IF(COUNTIF(N$1237:N1555,1)=1,5,0)+IF(COUNTIF(O953:$W953,"&gt;"&amp;0)&lt;5,IF(AND(COUNTIF(N$1237:N1555,1)&gt;7,MOD(1+IFERROR(MATCH($C953,总览!$D$46:$D$345,1)+1,1),7)=0),$C$3,0),0)</f>
        <v>414.716964285715</v>
      </c>
      <c r="O953" s="131" cm="1">
        <f ca="1" t="array" ref="O953">IF(O1555=1,OFFSET($W$634,$B953,O$631-1)/SUMPRODUCT(--($D$631:$V$631=O$631),--($D1555:$V1555=1)),0)+SUM(O952)+IF(COUNTIF(O$1237:O1555,1)=1,5,0)+IF(COUNTIF(P953:$W953,"&gt;"&amp;0)&lt;5,IF(AND(COUNTIF(O$1237:O1555,1)&gt;7,MOD(1+IFERROR(MATCH($C953,总览!$D$46:$D$345,1)+1,1),7)=0),$C$3,0),0)</f>
        <v>419.716964285715</v>
      </c>
      <c r="P953" s="131" cm="1">
        <f ca="1" t="array" ref="P953">IF(P1555=1,OFFSET($W$634,$B953,P$631-1)/SUMPRODUCT(--($D$631:$V$631=P$631),--($D1555:$V1555=1)),0)+SUM(P952)+IF(COUNTIF(P$1237:P1555,1)=1,5,0)+IF(COUNTIF(Q953:$W953,"&gt;"&amp;0)&lt;5,IF(AND(COUNTIF(P$1237:P1555,1)&gt;7,MOD(1+IFERROR(MATCH($C953,总览!$D$46:$D$345,1)+1,1),7)=0),$C$3,0),0)</f>
        <v>408.835714285715</v>
      </c>
      <c r="Q953" s="131" cm="1">
        <f ca="1" t="array" ref="Q953">IF(Q1555=1,OFFSET($W$634,$B953,Q$631-1)/SUMPRODUCT(--($D$631:$V$631=Q$631),--($D1555:$V1555=1)),0)+SUM(Q952)+IF(COUNTIF(Q$1237:Q1555,1)=1,5,0)+IF(COUNTIF(R953:$W953,"&gt;"&amp;0)&lt;5,IF(AND(COUNTIF(Q$1237:Q1555,1)&gt;7,MOD(1+IFERROR(MATCH($C953,总览!$D$46:$D$345,1)+1,1),7)=0),$C$3,0),0)</f>
        <v>422.216964285715</v>
      </c>
      <c r="R953" s="131" cm="1">
        <f ca="1" t="array" ref="R953">IF(R1555=1,OFFSET($W$634,$B953,R$631-1)/SUMPRODUCT(--($D$631:$V$631=R$631),--($D1555:$V1555=1)),0)+SUM(R952)+IF(COUNTIF(R$1237:R1555,1)=1,5,0)+IF(COUNTIF(S953:$W953,"&gt;"&amp;0)&lt;5,IF(AND(COUNTIF(R$1237:R1555,1)&gt;7,MOD(1+IFERROR(MATCH($C953,总览!$D$46:$D$345,1)+1,1),7)=0),$C$3,0),0)</f>
        <v>413.835714285715</v>
      </c>
      <c r="S953" s="131" cm="1">
        <f ca="1" t="array" ref="S953">IF(S1555=1,OFFSET($W$634,$B953,S$631-1)/SUMPRODUCT(--($D$631:$V$631=S$631),--($D1555:$V1555=1)),0)+SUM(S952)+IF(COUNTIF(S$1237:S1555,1)=1,5,0)+IF(COUNTIF(T953:$W953,"&gt;"&amp;0)&lt;5,IF(AND(COUNTIF(S$1237:S1555,1)&gt;7,MOD(1+IFERROR(MATCH($C953,总览!$D$46:$D$345,1)+1,1),7)=0),$C$3,0),0)</f>
        <v>506.335714285716</v>
      </c>
      <c r="T953" s="131" cm="1">
        <f ca="1" t="array" ref="T953">IF(T1555=1,OFFSET($W$634,$B953,T$631-1)/SUMPRODUCT(--($D$631:$V$631=T$631),--($D1555:$V1555=1)),0)+SUM(T952)+IF(COUNTIF(T$1237:T1555,1)=1,5,0)+IF(COUNTIF(U953:$W953,"&gt;"&amp;0)&lt;5,IF(AND(COUNTIF(T$1237:T1555,1)&gt;7,MOD(1+IFERROR(MATCH($C953,总览!$D$46:$D$345,1)+1,1),7)=0),$C$3,0),0)</f>
        <v>370.091892452508</v>
      </c>
      <c r="U953" s="131" cm="1">
        <f ca="1" t="array" ref="U953">IF(U1555=1,OFFSET($W$634,$B953,U$631-1)/SUMPRODUCT(--($D$631:$V$631=U$631),--($D1555:$V1555=1)),0)+SUM(U952)+IF(COUNTIF(U$1237:U1555,1)=1,5,0)+IF(COUNTIF(V953:$W953,"&gt;"&amp;0)&lt;5,IF(AND(COUNTIF(U$1237:U1555,1)&gt;7,MOD(1+IFERROR(MATCH($C953,总览!$D$46:$D$345,1)+1,1),7)=0),$C$3,0),0)</f>
        <v>375.612678807807</v>
      </c>
      <c r="V953" s="131" cm="1">
        <f ca="1" t="array" ref="V953">IF(V1555=1,OFFSET($W$634,$B953,V$631-1)/SUMPRODUCT(--($D$631:$V$631=V$631),--($D1555:$V1555=1)),0)+SUM(V952)+IF(COUNTIF(V$1237:V1555,1)=1,5,0)+IF(COUNTIF(W953:$W953,"&gt;"&amp;0)&lt;5,IF(AND(COUNTIF(V$1237:V1555,1)&gt;7,MOD(1+IFERROR(MATCH($C953,总览!$D$46:$D$345,1)+1,1),7)=0),$C$3,0),0)</f>
        <v>395.43967852024</v>
      </c>
      <c r="W953" s="135" cm="1">
        <f ca="1" t="array" ref="W953">SUMPRODUCT(TRANSPOSE($AA953:$AG953),OFFSET($L$9:$L$15,0,W$631-1))</f>
        <v>16.8502200646615</v>
      </c>
      <c r="X953" s="135" cm="1">
        <f ca="1" t="array" ref="X953">SUMPRODUCT(TRANSPOSE($AA953:$AG953),OFFSET($L$9:$L$15,0,X$631-1))</f>
        <v>20</v>
      </c>
      <c r="Y953" s="135" cm="1">
        <f ca="1" t="array" ref="Y953">SUMPRODUCT(TRANSPOSE($AA953:$AG953),OFFSET($L$9:$L$15,0,Y$631-1))</f>
        <v>10</v>
      </c>
      <c r="Z953" s="135" cm="1">
        <f ca="1" t="array" ref="Z953">SUMPRODUCT(TRANSPOSE($AA953:$AG953),OFFSET($L$9:$L$15,0,Z$631-1))</f>
        <v>3.14977993533847</v>
      </c>
      <c r="AA953" s="136">
        <f ca="1" t="shared" ref="AA953:AG953" si="885">AH953-AH952</f>
        <v>0</v>
      </c>
      <c r="AB953" s="136">
        <f ca="1" t="shared" si="885"/>
        <v>0</v>
      </c>
      <c r="AC953" s="136">
        <f ca="1" t="shared" si="885"/>
        <v>0</v>
      </c>
      <c r="AD953" s="136">
        <f ca="1" t="shared" si="885"/>
        <v>0</v>
      </c>
      <c r="AE953" s="136">
        <f ca="1" t="shared" si="885"/>
        <v>0</v>
      </c>
      <c r="AF953" s="136">
        <f ca="1" t="shared" si="885"/>
        <v>0</v>
      </c>
      <c r="AG953" s="136">
        <f ca="1" t="shared" si="885"/>
        <v>100</v>
      </c>
      <c r="AH953" s="136">
        <f ca="1" t="shared" si="761"/>
        <v>450</v>
      </c>
      <c r="AI953" s="136">
        <f ca="1" t="shared" ref="AI953:AN953" si="886">IF($C953&gt;OFFSET($Q$8,MATCH(AI$634,$AH$634:$AN$634,0),0),OFFSET($P$8,MATCH(AI$634,$AH$634:$AN$634,0),0),MAX(0,$C953-OFFSET($Q$8,RIGHT(AI$634,1)-1,0)))</f>
        <v>909</v>
      </c>
      <c r="AJ953" s="136">
        <f ca="1" t="shared" si="886"/>
        <v>1818</v>
      </c>
      <c r="AK953" s="136">
        <f ca="1" t="shared" si="886"/>
        <v>2727</v>
      </c>
      <c r="AL953" s="136">
        <f ca="1" t="shared" si="886"/>
        <v>3636</v>
      </c>
      <c r="AM953" s="136">
        <f ca="1" t="shared" si="886"/>
        <v>4545</v>
      </c>
      <c r="AN953" s="136">
        <f ca="1" t="shared" si="886"/>
        <v>17815</v>
      </c>
    </row>
    <row r="954" s="106" customFormat="1" ht="16.5" spans="2:40">
      <c r="B954" s="117">
        <v>320</v>
      </c>
      <c r="C954" s="130">
        <f t="shared" si="759"/>
        <v>32000</v>
      </c>
      <c r="D954" s="131" cm="1">
        <f ca="1" t="array" ref="D954">IF(D1556=1,OFFSET($W$634,$B954,D$631-1)/SUMPRODUCT(--($D$631:$V$631=D$631),--($D1556:$V1556=1)),0)+SUM(D953)+IF(COUNTIF(D$1237:D1556,1)=1,5,0)+IF(COUNTIF(E954:$W954,"&gt;"&amp;0)&lt;5,IF(AND(COUNTIF(D$1237:D1556,1)&gt;7,MOD(1+IFERROR(MATCH($C954,总览!$D$46:$D$345,1)+1,1),7)=0),$C$3,0),0)</f>
        <v>2125.06032342803</v>
      </c>
      <c r="E954" s="131" cm="1">
        <f ca="1" t="array" ref="E954">IF(E1556=1,OFFSET($W$634,$B954,E$631-1)/SUMPRODUCT(--($D$631:$V$631=E$631),--($D1556:$V1556=1)),0)+SUM(E953)+IF(COUNTIF(E$1237:E1556,1)=1,5,0)+IF(COUNTIF(F954:$W954,"&gt;"&amp;0)&lt;5,IF(AND(COUNTIF(E$1237:E1556,1)&gt;7,MOD(1+IFERROR(MATCH($C954,总览!$D$46:$D$345,1)+1,1),7)=0),$C$3,0),0)</f>
        <v>2125.06032342803</v>
      </c>
      <c r="F954" s="131" cm="1">
        <f ca="1" t="array" ref="F954">IF(F1556=1,OFFSET($W$634,$B954,F$631-1)/SUMPRODUCT(--($D$631:$V$631=F$631),--($D1556:$V1556=1)),0)+SUM(F953)+IF(COUNTIF(F$1237:F1556,1)=1,5,0)+IF(COUNTIF(G954:$W954,"&gt;"&amp;0)&lt;5,IF(AND(COUNTIF(F$1237:F1556,1)&gt;7,MOD(1+IFERROR(MATCH($C954,总览!$D$46:$D$345,1)+1,1),7)=0),$C$3,0),0)</f>
        <v>2125.06032342803</v>
      </c>
      <c r="G954" s="131" cm="1">
        <f ca="1" t="array" ref="G954">IF(G1556=1,OFFSET($W$634,$B954,G$631-1)/SUMPRODUCT(--($D$631:$V$631=G$631),--($D1556:$V1556=1)),0)+SUM(G953)+IF(COUNTIF(G$1237:G1556,1)=1,5,0)+IF(COUNTIF(H954:$W954,"&gt;"&amp;0)&lt;5,IF(AND(COUNTIF(G$1237:G1556,1)&gt;7,MOD(1+IFERROR(MATCH($C954,总览!$D$46:$D$345,1)+1,1),7)=0),$C$3,0),0)</f>
        <v>1006.06666666667</v>
      </c>
      <c r="H954" s="131" cm="1">
        <f ca="1" t="array" ref="H954">IF(H1556=1,OFFSET($W$634,$B954,H$631-1)/SUMPRODUCT(--($D$631:$V$631=H$631),--($D1556:$V1556=1)),0)+SUM(H953)+IF(COUNTIF(H$1237:H1556,1)=1,5,0)+IF(COUNTIF(I954:$W954,"&gt;"&amp;0)&lt;5,IF(AND(COUNTIF(H$1237:H1556,1)&gt;7,MOD(1+IFERROR(MATCH($C954,总览!$D$46:$D$345,1)+1,1),7)=0),$C$3,0),0)</f>
        <v>1006.06666666667</v>
      </c>
      <c r="I954" s="131" cm="1">
        <f ca="1" t="array" ref="I954">IF(I1556=1,OFFSET($W$634,$B954,I$631-1)/SUMPRODUCT(--($D$631:$V$631=I$631),--($D1556:$V1556=1)),0)+SUM(I953)+IF(COUNTIF(I$1237:I1556,1)=1,5,0)+IF(COUNTIF(J954:$W954,"&gt;"&amp;0)&lt;5,IF(AND(COUNTIF(I$1237:I1556,1)&gt;7,MOD(1+IFERROR(MATCH($C954,总览!$D$46:$D$345,1)+1,1),7)=0),$C$3,0),0)</f>
        <v>1006.06666666667</v>
      </c>
      <c r="J954" s="131" cm="1">
        <f ca="1" t="array" ref="J954">IF(J1556=1,OFFSET($W$634,$B954,J$631-1)/SUMPRODUCT(--($D$631:$V$631=J$631),--($D1556:$V1556=1)),0)+SUM(J953)+IF(COUNTIF(J$1237:J1556,1)=1,5,0)+IF(COUNTIF(K954:$W954,"&gt;"&amp;0)&lt;5,IF(AND(COUNTIF(J$1237:J1556,1)&gt;7,MOD(1+IFERROR(MATCH($C954,总览!$D$46:$D$345,1)+1,1),7)=0),$C$3,0),0)</f>
        <v>1002.73333333334</v>
      </c>
      <c r="K954" s="131" cm="1">
        <f ca="1" t="array" ref="K954">IF(K1556=1,OFFSET($W$634,$B954,K$631-1)/SUMPRODUCT(--($D$631:$V$631=K$631),--($D1556:$V1556=1)),0)+SUM(K953)+IF(COUNTIF(K$1237:K1556,1)=1,5,0)+IF(COUNTIF(L954:$W954,"&gt;"&amp;0)&lt;5,IF(AND(COUNTIF(K$1237:K1556,1)&gt;7,MOD(1+IFERROR(MATCH($C954,总览!$D$46:$D$345,1)+1,1),7)=0),$C$3,0),0)</f>
        <v>1000.23333333334</v>
      </c>
      <c r="L954" s="131" cm="1">
        <f ca="1" t="array" ref="L954">IF(L1556=1,OFFSET($W$634,$B954,L$631-1)/SUMPRODUCT(--($D$631:$V$631=L$631),--($D1556:$V1556=1)),0)+SUM(L953)+IF(COUNTIF(L$1237:L1556,1)=1,5,0)+IF(COUNTIF(M954:$W954,"&gt;"&amp;0)&lt;5,IF(AND(COUNTIF(L$1237:L1556,1)&gt;7,MOD(1+IFERROR(MATCH($C954,总览!$D$46:$D$345,1)+1,1),7)=0),$C$3,0),0)</f>
        <v>1000.23333333334</v>
      </c>
      <c r="M954" s="131" cm="1">
        <f ca="1" t="array" ref="M954">IF(M1556=1,OFFSET($W$634,$B954,M$631-1)/SUMPRODUCT(--($D$631:$V$631=M$631),--($D1556:$V1556=1)),0)+SUM(M953)+IF(COUNTIF(M$1237:M1556,1)=1,5,0)+IF(COUNTIF(N954:$W954,"&gt;"&amp;0)&lt;5,IF(AND(COUNTIF(M$1237:M1556,1)&gt;7,MOD(1+IFERROR(MATCH($C954,总览!$D$46:$D$345,1)+1,1),7)=0),$C$3,0),0)</f>
        <v>414.895535714286</v>
      </c>
      <c r="N954" s="131" cm="1">
        <f ca="1" t="array" ref="N954">IF(N1556=1,OFFSET($W$634,$B954,N$631-1)/SUMPRODUCT(--($D$631:$V$631=N$631),--($D1556:$V1556=1)),0)+SUM(N953)+IF(COUNTIF(N$1237:N1556,1)=1,5,0)+IF(COUNTIF(O954:$W954,"&gt;"&amp;0)&lt;5,IF(AND(COUNTIF(N$1237:N1556,1)&gt;7,MOD(1+IFERROR(MATCH($C954,总览!$D$46:$D$345,1)+1,1),7)=0),$C$3,0),0)</f>
        <v>416.145535714286</v>
      </c>
      <c r="O954" s="131" cm="1">
        <f ca="1" t="array" ref="O954">IF(O1556=1,OFFSET($W$634,$B954,O$631-1)/SUMPRODUCT(--($D$631:$V$631=O$631),--($D1556:$V1556=1)),0)+SUM(O953)+IF(COUNTIF(O$1237:O1556,1)=1,5,0)+IF(COUNTIF(P954:$W954,"&gt;"&amp;0)&lt;5,IF(AND(COUNTIF(O$1237:O1556,1)&gt;7,MOD(1+IFERROR(MATCH($C954,总览!$D$46:$D$345,1)+1,1),7)=0),$C$3,0),0)</f>
        <v>421.145535714286</v>
      </c>
      <c r="P954" s="131" cm="1">
        <f ca="1" t="array" ref="P954">IF(P1556=1,OFFSET($W$634,$B954,P$631-1)/SUMPRODUCT(--($D$631:$V$631=P$631),--($D1556:$V1556=1)),0)+SUM(P953)+IF(COUNTIF(P$1237:P1556,1)=1,5,0)+IF(COUNTIF(Q954:$W954,"&gt;"&amp;0)&lt;5,IF(AND(COUNTIF(P$1237:P1556,1)&gt;7,MOD(1+IFERROR(MATCH($C954,总览!$D$46:$D$345,1)+1,1),7)=0),$C$3,0),0)</f>
        <v>410.264285714286</v>
      </c>
      <c r="Q954" s="131" cm="1">
        <f ca="1" t="array" ref="Q954">IF(Q1556=1,OFFSET($W$634,$B954,Q$631-1)/SUMPRODUCT(--($D$631:$V$631=Q$631),--($D1556:$V1556=1)),0)+SUM(Q953)+IF(COUNTIF(Q$1237:Q1556,1)=1,5,0)+IF(COUNTIF(R954:$W954,"&gt;"&amp;0)&lt;5,IF(AND(COUNTIF(Q$1237:Q1556,1)&gt;7,MOD(1+IFERROR(MATCH($C954,总览!$D$46:$D$345,1)+1,1),7)=0),$C$3,0),0)</f>
        <v>423.645535714286</v>
      </c>
      <c r="R954" s="131" cm="1">
        <f ca="1" t="array" ref="R954">IF(R1556=1,OFFSET($W$634,$B954,R$631-1)/SUMPRODUCT(--($D$631:$V$631=R$631),--($D1556:$V1556=1)),0)+SUM(R953)+IF(COUNTIF(R$1237:R1556,1)=1,5,0)+IF(COUNTIF(S954:$W954,"&gt;"&amp;0)&lt;5,IF(AND(COUNTIF(R$1237:R1556,1)&gt;7,MOD(1+IFERROR(MATCH($C954,总览!$D$46:$D$345,1)+1,1),7)=0),$C$3,0),0)</f>
        <v>415.264285714286</v>
      </c>
      <c r="S954" s="131" cm="1">
        <f ca="1" t="array" ref="S954">IF(S1556=1,OFFSET($W$634,$B954,S$631-1)/SUMPRODUCT(--($D$631:$V$631=S$631),--($D1556:$V1556=1)),0)+SUM(S953)+IF(COUNTIF(S$1237:S1556,1)=1,5,0)+IF(COUNTIF(T954:$W954,"&gt;"&amp;0)&lt;5,IF(AND(COUNTIF(S$1237:S1556,1)&gt;7,MOD(1+IFERROR(MATCH($C954,总览!$D$46:$D$345,1)+1,1),7)=0),$C$3,0),0)</f>
        <v>507.764285714287</v>
      </c>
      <c r="T954" s="131" cm="1">
        <f ca="1" t="array" ref="T954">IF(T1556=1,OFFSET($W$634,$B954,T$631-1)/SUMPRODUCT(--($D$631:$V$631=T$631),--($D1556:$V1556=1)),0)+SUM(T953)+IF(COUNTIF(T$1237:T1556,1)=1,5,0)+IF(COUNTIF(U954:$W954,"&gt;"&amp;0)&lt;5,IF(AND(COUNTIF(T$1237:T1556,1)&gt;7,MOD(1+IFERROR(MATCH($C954,总览!$D$46:$D$345,1)+1,1),7)=0),$C$3,0),0)</f>
        <v>371.141819097621</v>
      </c>
      <c r="U954" s="131" cm="1">
        <f ca="1" t="array" ref="U954">IF(U1556=1,OFFSET($W$634,$B954,U$631-1)/SUMPRODUCT(--($D$631:$V$631=U$631),--($D1556:$V1556=1)),0)+SUM(U953)+IF(COUNTIF(U$1237:U1556,1)=1,5,0)+IF(COUNTIF(V954:$W954,"&gt;"&amp;0)&lt;5,IF(AND(COUNTIF(U$1237:U1556,1)&gt;7,MOD(1+IFERROR(MATCH($C954,总览!$D$46:$D$345,1)+1,1),7)=0),$C$3,0),0)</f>
        <v>376.66260545292</v>
      </c>
      <c r="V954" s="131" cm="1">
        <f ca="1" t="array" ref="V954">IF(V1556=1,OFFSET($W$634,$B954,V$631-1)/SUMPRODUCT(--($D$631:$V$631=V$631),--($D1556:$V1556=1)),0)+SUM(V953)+IF(COUNTIF(V$1237:V1556,1)=1,5,0)+IF(COUNTIF(W954:$W954,"&gt;"&amp;0)&lt;5,IF(AND(COUNTIF(V$1237:V1556,1)&gt;7,MOD(1+IFERROR(MATCH($C954,总览!$D$46:$D$345,1)+1,1),7)=0),$C$3,0),0)</f>
        <v>396.489605165353</v>
      </c>
      <c r="W954" s="135" cm="1">
        <f ca="1" t="array" ref="W954">SUMPRODUCT(TRANSPOSE($AA954:$AG954),OFFSET($L$9:$L$15,0,W$631-1))</f>
        <v>16.8502200646615</v>
      </c>
      <c r="X954" s="135" cm="1">
        <f ca="1" t="array" ref="X954">SUMPRODUCT(TRANSPOSE($AA954:$AG954),OFFSET($L$9:$L$15,0,X$631-1))</f>
        <v>20</v>
      </c>
      <c r="Y954" s="135" cm="1">
        <f ca="1" t="array" ref="Y954">SUMPRODUCT(TRANSPOSE($AA954:$AG954),OFFSET($L$9:$L$15,0,Y$631-1))</f>
        <v>10</v>
      </c>
      <c r="Z954" s="135" cm="1">
        <f ca="1" t="array" ref="Z954">SUMPRODUCT(TRANSPOSE($AA954:$AG954),OFFSET($L$9:$L$15,0,Z$631-1))</f>
        <v>3.14977993533847</v>
      </c>
      <c r="AA954" s="136">
        <f ca="1" t="shared" ref="AA954:AG954" si="887">AH954-AH953</f>
        <v>0</v>
      </c>
      <c r="AB954" s="136">
        <f ca="1" t="shared" si="887"/>
        <v>0</v>
      </c>
      <c r="AC954" s="136">
        <f ca="1" t="shared" si="887"/>
        <v>0</v>
      </c>
      <c r="AD954" s="136">
        <f ca="1" t="shared" si="887"/>
        <v>0</v>
      </c>
      <c r="AE954" s="136">
        <f ca="1" t="shared" si="887"/>
        <v>0</v>
      </c>
      <c r="AF954" s="136">
        <f ca="1" t="shared" si="887"/>
        <v>0</v>
      </c>
      <c r="AG954" s="136">
        <f ca="1" t="shared" si="887"/>
        <v>100</v>
      </c>
      <c r="AH954" s="136">
        <f ca="1" t="shared" si="761"/>
        <v>450</v>
      </c>
      <c r="AI954" s="136">
        <f ca="1" t="shared" ref="AI954:AN954" si="888">IF($C954&gt;OFFSET($Q$8,MATCH(AI$634,$AH$634:$AN$634,0),0),OFFSET($P$8,MATCH(AI$634,$AH$634:$AN$634,0),0),MAX(0,$C954-OFFSET($Q$8,RIGHT(AI$634,1)-1,0)))</f>
        <v>909</v>
      </c>
      <c r="AJ954" s="136">
        <f ca="1" t="shared" si="888"/>
        <v>1818</v>
      </c>
      <c r="AK954" s="136">
        <f ca="1" t="shared" si="888"/>
        <v>2727</v>
      </c>
      <c r="AL954" s="136">
        <f ca="1" t="shared" si="888"/>
        <v>3636</v>
      </c>
      <c r="AM954" s="136">
        <f ca="1" t="shared" si="888"/>
        <v>4545</v>
      </c>
      <c r="AN954" s="136">
        <f ca="1" t="shared" si="888"/>
        <v>17915</v>
      </c>
    </row>
    <row r="955" s="106" customFormat="1" ht="16.5" spans="2:40">
      <c r="B955" s="117">
        <v>321</v>
      </c>
      <c r="C955" s="130">
        <f t="shared" ref="C955:C1018" si="889">C350</f>
        <v>32100</v>
      </c>
      <c r="D955" s="131" cm="1">
        <f ca="1" t="array" ref="D955">IF(D1557=1,OFFSET($W$634,$B955,D$631-1)/SUMPRODUCT(--($D$631:$V$631=D$631),--($D1557:$V1557=1)),0)+SUM(D954)+IF(COUNTIF(D$1237:D1557,1)=1,5,0)+IF(COUNTIF(E955:$W955,"&gt;"&amp;0)&lt;5,IF(AND(COUNTIF(D$1237:D1557,1)&gt;7,MOD(1+IFERROR(MATCH($C955,总览!$D$46:$D$345,1)+1,1),7)=0),$C$3,0),0)</f>
        <v>2130.67706344959</v>
      </c>
      <c r="E955" s="131" cm="1">
        <f ca="1" t="array" ref="E955">IF(E1557=1,OFFSET($W$634,$B955,E$631-1)/SUMPRODUCT(--($D$631:$V$631=E$631),--($D1557:$V1557=1)),0)+SUM(E954)+IF(COUNTIF(E$1237:E1557,1)=1,5,0)+IF(COUNTIF(F955:$W955,"&gt;"&amp;0)&lt;5,IF(AND(COUNTIF(E$1237:E1557,1)&gt;7,MOD(1+IFERROR(MATCH($C955,总览!$D$46:$D$345,1)+1,1),7)=0),$C$3,0),0)</f>
        <v>2130.67706344959</v>
      </c>
      <c r="F955" s="131" cm="1">
        <f ca="1" t="array" ref="F955">IF(F1557=1,OFFSET($W$634,$B955,F$631-1)/SUMPRODUCT(--($D$631:$V$631=F$631),--($D1557:$V1557=1)),0)+SUM(F954)+IF(COUNTIF(F$1237:F1557,1)=1,5,0)+IF(COUNTIF(G955:$W955,"&gt;"&amp;0)&lt;5,IF(AND(COUNTIF(F$1237:F1557,1)&gt;7,MOD(1+IFERROR(MATCH($C955,总览!$D$46:$D$345,1)+1,1),7)=0),$C$3,0),0)</f>
        <v>2130.67706344959</v>
      </c>
      <c r="G955" s="131" cm="1">
        <f ca="1" t="array" ref="G955">IF(G1557=1,OFFSET($W$634,$B955,G$631-1)/SUMPRODUCT(--($D$631:$V$631=G$631),--($D1557:$V1557=1)),0)+SUM(G954)+IF(COUNTIF(G$1237:G1557,1)=1,5,0)+IF(COUNTIF(H955:$W955,"&gt;"&amp;0)&lt;5,IF(AND(COUNTIF(G$1237:G1557,1)&gt;7,MOD(1+IFERROR(MATCH($C955,总览!$D$46:$D$345,1)+1,1),7)=0),$C$3,0),0)</f>
        <v>1009.4</v>
      </c>
      <c r="H955" s="131" cm="1">
        <f ca="1" t="array" ref="H955">IF(H1557=1,OFFSET($W$634,$B955,H$631-1)/SUMPRODUCT(--($D$631:$V$631=H$631),--($D1557:$V1557=1)),0)+SUM(H954)+IF(COUNTIF(H$1237:H1557,1)=1,5,0)+IF(COUNTIF(I955:$W955,"&gt;"&amp;0)&lt;5,IF(AND(COUNTIF(H$1237:H1557,1)&gt;7,MOD(1+IFERROR(MATCH($C955,总览!$D$46:$D$345,1)+1,1),7)=0),$C$3,0),0)</f>
        <v>1009.4</v>
      </c>
      <c r="I955" s="131" cm="1">
        <f ca="1" t="array" ref="I955">IF(I1557=1,OFFSET($W$634,$B955,I$631-1)/SUMPRODUCT(--($D$631:$V$631=I$631),--($D1557:$V1557=1)),0)+SUM(I954)+IF(COUNTIF(I$1237:I1557,1)=1,5,0)+IF(COUNTIF(J955:$W955,"&gt;"&amp;0)&lt;5,IF(AND(COUNTIF(I$1237:I1557,1)&gt;7,MOD(1+IFERROR(MATCH($C955,总览!$D$46:$D$345,1)+1,1),7)=0),$C$3,0),0)</f>
        <v>1009.4</v>
      </c>
      <c r="J955" s="131" cm="1">
        <f ca="1" t="array" ref="J955">IF(J1557=1,OFFSET($W$634,$B955,J$631-1)/SUMPRODUCT(--($D$631:$V$631=J$631),--($D1557:$V1557=1)),0)+SUM(J954)+IF(COUNTIF(J$1237:J1557,1)=1,5,0)+IF(COUNTIF(K955:$W955,"&gt;"&amp;0)&lt;5,IF(AND(COUNTIF(J$1237:J1557,1)&gt;7,MOD(1+IFERROR(MATCH($C955,总览!$D$46:$D$345,1)+1,1),7)=0),$C$3,0),0)</f>
        <v>1006.06666666667</v>
      </c>
      <c r="K955" s="131" cm="1">
        <f ca="1" t="array" ref="K955">IF(K1557=1,OFFSET($W$634,$B955,K$631-1)/SUMPRODUCT(--($D$631:$V$631=K$631),--($D1557:$V1557=1)),0)+SUM(K954)+IF(COUNTIF(K$1237:K1557,1)=1,5,0)+IF(COUNTIF(L955:$W955,"&gt;"&amp;0)&lt;5,IF(AND(COUNTIF(K$1237:K1557,1)&gt;7,MOD(1+IFERROR(MATCH($C955,总览!$D$46:$D$345,1)+1,1),7)=0),$C$3,0),0)</f>
        <v>1003.56666666667</v>
      </c>
      <c r="L955" s="131" cm="1">
        <f ca="1" t="array" ref="L955">IF(L1557=1,OFFSET($W$634,$B955,L$631-1)/SUMPRODUCT(--($D$631:$V$631=L$631),--($D1557:$V1557=1)),0)+SUM(L954)+IF(COUNTIF(L$1237:L1557,1)=1,5,0)+IF(COUNTIF(M955:$W955,"&gt;"&amp;0)&lt;5,IF(AND(COUNTIF(L$1237:L1557,1)&gt;7,MOD(1+IFERROR(MATCH($C955,总览!$D$46:$D$345,1)+1,1),7)=0),$C$3,0),0)</f>
        <v>1003.56666666667</v>
      </c>
      <c r="M955" s="131" cm="1">
        <f ca="1" t="array" ref="M955">IF(M1557=1,OFFSET($W$634,$B955,M$631-1)/SUMPRODUCT(--($D$631:$V$631=M$631),--($D1557:$V1557=1)),0)+SUM(M954)+IF(COUNTIF(M$1237:M1557,1)=1,5,0)+IF(COUNTIF(N955:$W955,"&gt;"&amp;0)&lt;5,IF(AND(COUNTIF(M$1237:M1557,1)&gt;7,MOD(1+IFERROR(MATCH($C955,总览!$D$46:$D$345,1)+1,1),7)=0),$C$3,0),0)</f>
        <v>416.324107142858</v>
      </c>
      <c r="N955" s="131" cm="1">
        <f ca="1" t="array" ref="N955">IF(N1557=1,OFFSET($W$634,$B955,N$631-1)/SUMPRODUCT(--($D$631:$V$631=N$631),--($D1557:$V1557=1)),0)+SUM(N954)+IF(COUNTIF(N$1237:N1557,1)=1,5,0)+IF(COUNTIF(O955:$W955,"&gt;"&amp;0)&lt;5,IF(AND(COUNTIF(N$1237:N1557,1)&gt;7,MOD(1+IFERROR(MATCH($C955,总览!$D$46:$D$345,1)+1,1),7)=0),$C$3,0),0)</f>
        <v>417.574107142858</v>
      </c>
      <c r="O955" s="131" cm="1">
        <f ca="1" t="array" ref="O955">IF(O1557=1,OFFSET($W$634,$B955,O$631-1)/SUMPRODUCT(--($D$631:$V$631=O$631),--($D1557:$V1557=1)),0)+SUM(O954)+IF(COUNTIF(O$1237:O1557,1)=1,5,0)+IF(COUNTIF(P955:$W955,"&gt;"&amp;0)&lt;5,IF(AND(COUNTIF(O$1237:O1557,1)&gt;7,MOD(1+IFERROR(MATCH($C955,总览!$D$46:$D$345,1)+1,1),7)=0),$C$3,0),0)</f>
        <v>422.574107142858</v>
      </c>
      <c r="P955" s="131" cm="1">
        <f ca="1" t="array" ref="P955">IF(P1557=1,OFFSET($W$634,$B955,P$631-1)/SUMPRODUCT(--($D$631:$V$631=P$631),--($D1557:$V1557=1)),0)+SUM(P954)+IF(COUNTIF(P$1237:P1557,1)=1,5,0)+IF(COUNTIF(Q955:$W955,"&gt;"&amp;0)&lt;5,IF(AND(COUNTIF(P$1237:P1557,1)&gt;7,MOD(1+IFERROR(MATCH($C955,总览!$D$46:$D$345,1)+1,1),7)=0),$C$3,0),0)</f>
        <v>411.692857142858</v>
      </c>
      <c r="Q955" s="131" cm="1">
        <f ca="1" t="array" ref="Q955">IF(Q1557=1,OFFSET($W$634,$B955,Q$631-1)/SUMPRODUCT(--($D$631:$V$631=Q$631),--($D1557:$V1557=1)),0)+SUM(Q954)+IF(COUNTIF(Q$1237:Q1557,1)=1,5,0)+IF(COUNTIF(R955:$W955,"&gt;"&amp;0)&lt;5,IF(AND(COUNTIF(Q$1237:Q1557,1)&gt;7,MOD(1+IFERROR(MATCH($C955,总览!$D$46:$D$345,1)+1,1),7)=0),$C$3,0),0)</f>
        <v>425.074107142858</v>
      </c>
      <c r="R955" s="131" cm="1">
        <f ca="1" t="array" ref="R955">IF(R1557=1,OFFSET($W$634,$B955,R$631-1)/SUMPRODUCT(--($D$631:$V$631=R$631),--($D1557:$V1557=1)),0)+SUM(R954)+IF(COUNTIF(R$1237:R1557,1)=1,5,0)+IF(COUNTIF(S955:$W955,"&gt;"&amp;0)&lt;5,IF(AND(COUNTIF(R$1237:R1557,1)&gt;7,MOD(1+IFERROR(MATCH($C955,总览!$D$46:$D$345,1)+1,1),7)=0),$C$3,0),0)</f>
        <v>416.692857142858</v>
      </c>
      <c r="S955" s="131" cm="1">
        <f ca="1" t="array" ref="S955">IF(S1557=1,OFFSET($W$634,$B955,S$631-1)/SUMPRODUCT(--($D$631:$V$631=S$631),--($D1557:$V1557=1)),0)+SUM(S954)+IF(COUNTIF(S$1237:S1557,1)=1,5,0)+IF(COUNTIF(T955:$W955,"&gt;"&amp;0)&lt;5,IF(AND(COUNTIF(S$1237:S1557,1)&gt;7,MOD(1+IFERROR(MATCH($C955,总览!$D$46:$D$345,1)+1,1),7)=0),$C$3,0),0)</f>
        <v>509.192857142859</v>
      </c>
      <c r="T955" s="131" cm="1">
        <f ca="1" t="array" ref="T955">IF(T1557=1,OFFSET($W$634,$B955,T$631-1)/SUMPRODUCT(--($D$631:$V$631=T$631),--($D1557:$V1557=1)),0)+SUM(T954)+IF(COUNTIF(T$1237:T1557,1)=1,5,0)+IF(COUNTIF(U955:$W955,"&gt;"&amp;0)&lt;5,IF(AND(COUNTIF(T$1237:T1557,1)&gt;7,MOD(1+IFERROR(MATCH($C955,总览!$D$46:$D$345,1)+1,1),7)=0),$C$3,0),0)</f>
        <v>372.191745742733</v>
      </c>
      <c r="U955" s="131" cm="1">
        <f ca="1" t="array" ref="U955">IF(U1557=1,OFFSET($W$634,$B955,U$631-1)/SUMPRODUCT(--($D$631:$V$631=U$631),--($D1557:$V1557=1)),0)+SUM(U954)+IF(COUNTIF(U$1237:U1557,1)=1,5,0)+IF(COUNTIF(V955:$W955,"&gt;"&amp;0)&lt;5,IF(AND(COUNTIF(U$1237:U1557,1)&gt;7,MOD(1+IFERROR(MATCH($C955,总览!$D$46:$D$345,1)+1,1),7)=0),$C$3,0),0)</f>
        <v>377.712532098033</v>
      </c>
      <c r="V955" s="131" cm="1">
        <f ca="1" t="array" ref="V955">IF(V1557=1,OFFSET($W$634,$B955,V$631-1)/SUMPRODUCT(--($D$631:$V$631=V$631),--($D1557:$V1557=1)),0)+SUM(V954)+IF(COUNTIF(V$1237:V1557,1)=1,5,0)+IF(COUNTIF(W955:$W955,"&gt;"&amp;0)&lt;5,IF(AND(COUNTIF(V$1237:V1557,1)&gt;7,MOD(1+IFERROR(MATCH($C955,总览!$D$46:$D$345,1)+1,1),7)=0),$C$3,0),0)</f>
        <v>397.539531810466</v>
      </c>
      <c r="W955" s="135" cm="1">
        <f ca="1" t="array" ref="W955">SUMPRODUCT(TRANSPOSE($AA955:$AG955),OFFSET($L$9:$L$15,0,W$631-1))</f>
        <v>16.8502200646615</v>
      </c>
      <c r="X955" s="135" cm="1">
        <f ca="1" t="array" ref="X955">SUMPRODUCT(TRANSPOSE($AA955:$AG955),OFFSET($L$9:$L$15,0,X$631-1))</f>
        <v>20</v>
      </c>
      <c r="Y955" s="135" cm="1">
        <f ca="1" t="array" ref="Y955">SUMPRODUCT(TRANSPOSE($AA955:$AG955),OFFSET($L$9:$L$15,0,Y$631-1))</f>
        <v>10</v>
      </c>
      <c r="Z955" s="135" cm="1">
        <f ca="1" t="array" ref="Z955">SUMPRODUCT(TRANSPOSE($AA955:$AG955),OFFSET($L$9:$L$15,0,Z$631-1))</f>
        <v>3.14977993533847</v>
      </c>
      <c r="AA955" s="136">
        <f ca="1" t="shared" ref="AA955:AG955" si="890">AH955-AH954</f>
        <v>0</v>
      </c>
      <c r="AB955" s="136">
        <f ca="1" t="shared" si="890"/>
        <v>0</v>
      </c>
      <c r="AC955" s="136">
        <f ca="1" t="shared" si="890"/>
        <v>0</v>
      </c>
      <c r="AD955" s="136">
        <f ca="1" t="shared" si="890"/>
        <v>0</v>
      </c>
      <c r="AE955" s="136">
        <f ca="1" t="shared" si="890"/>
        <v>0</v>
      </c>
      <c r="AF955" s="136">
        <f ca="1" t="shared" si="890"/>
        <v>0</v>
      </c>
      <c r="AG955" s="136">
        <f ca="1" t="shared" si="890"/>
        <v>100</v>
      </c>
      <c r="AH955" s="136">
        <f ca="1" t="shared" ref="AH955:AH1018" si="891">IF($C955&gt;OFFSET($Q$8,MATCH(AH$634,$AH$634:$AN$634,0),0),OFFSET($P$8,MATCH(AH$634,$AH$634:$AN$634,0),0),$C955)</f>
        <v>450</v>
      </c>
      <c r="AI955" s="136">
        <f ca="1" t="shared" ref="AI955:AN955" si="892">IF($C955&gt;OFFSET($Q$8,MATCH(AI$634,$AH$634:$AN$634,0),0),OFFSET($P$8,MATCH(AI$634,$AH$634:$AN$634,0),0),MAX(0,$C955-OFFSET($Q$8,RIGHT(AI$634,1)-1,0)))</f>
        <v>909</v>
      </c>
      <c r="AJ955" s="136">
        <f ca="1" t="shared" si="892"/>
        <v>1818</v>
      </c>
      <c r="AK955" s="136">
        <f ca="1" t="shared" si="892"/>
        <v>2727</v>
      </c>
      <c r="AL955" s="136">
        <f ca="1" t="shared" si="892"/>
        <v>3636</v>
      </c>
      <c r="AM955" s="136">
        <f ca="1" t="shared" si="892"/>
        <v>4545</v>
      </c>
      <c r="AN955" s="136">
        <f ca="1" t="shared" si="892"/>
        <v>18015</v>
      </c>
    </row>
    <row r="956" s="106" customFormat="1" ht="16.5" spans="2:40">
      <c r="B956" s="117">
        <v>322</v>
      </c>
      <c r="C956" s="130">
        <f t="shared" si="889"/>
        <v>32200</v>
      </c>
      <c r="D956" s="131" cm="1">
        <f ca="1" t="array" ref="D956">IF(D1558=1,OFFSET($W$634,$B956,D$631-1)/SUMPRODUCT(--($D$631:$V$631=D$631),--($D1558:$V1558=1)),0)+SUM(D955)+IF(COUNTIF(D$1237:D1558,1)=1,5,0)+IF(COUNTIF(E956:$W956,"&gt;"&amp;0)&lt;5,IF(AND(COUNTIF(D$1237:D1558,1)&gt;7,MOD(1+IFERROR(MATCH($C956,总览!$D$46:$D$345,1)+1,1),7)=0),$C$3,0),0)</f>
        <v>2136.29380347114</v>
      </c>
      <c r="E956" s="131" cm="1">
        <f ca="1" t="array" ref="E956">IF(E1558=1,OFFSET($W$634,$B956,E$631-1)/SUMPRODUCT(--($D$631:$V$631=E$631),--($D1558:$V1558=1)),0)+SUM(E955)+IF(COUNTIF(E$1237:E1558,1)=1,5,0)+IF(COUNTIF(F956:$W956,"&gt;"&amp;0)&lt;5,IF(AND(COUNTIF(E$1237:E1558,1)&gt;7,MOD(1+IFERROR(MATCH($C956,总览!$D$46:$D$345,1)+1,1),7)=0),$C$3,0),0)</f>
        <v>2136.29380347114</v>
      </c>
      <c r="F956" s="131" cm="1">
        <f ca="1" t="array" ref="F956">IF(F1558=1,OFFSET($W$634,$B956,F$631-1)/SUMPRODUCT(--($D$631:$V$631=F$631),--($D1558:$V1558=1)),0)+SUM(F955)+IF(COUNTIF(F$1237:F1558,1)=1,5,0)+IF(COUNTIF(G956:$W956,"&gt;"&amp;0)&lt;5,IF(AND(COUNTIF(F$1237:F1558,1)&gt;7,MOD(1+IFERROR(MATCH($C956,总览!$D$46:$D$345,1)+1,1),7)=0),$C$3,0),0)</f>
        <v>2136.29380347114</v>
      </c>
      <c r="G956" s="131" cm="1">
        <f ca="1" t="array" ref="G956">IF(G1558=1,OFFSET($W$634,$B956,G$631-1)/SUMPRODUCT(--($D$631:$V$631=G$631),--($D1558:$V1558=1)),0)+SUM(G955)+IF(COUNTIF(G$1237:G1558,1)=1,5,0)+IF(COUNTIF(H956:$W956,"&gt;"&amp;0)&lt;5,IF(AND(COUNTIF(G$1237:G1558,1)&gt;7,MOD(1+IFERROR(MATCH($C956,总览!$D$46:$D$345,1)+1,1),7)=0),$C$3,0),0)</f>
        <v>1012.73333333334</v>
      </c>
      <c r="H956" s="131" cm="1">
        <f ca="1" t="array" ref="H956">IF(H1558=1,OFFSET($W$634,$B956,H$631-1)/SUMPRODUCT(--($D$631:$V$631=H$631),--($D1558:$V1558=1)),0)+SUM(H955)+IF(COUNTIF(H$1237:H1558,1)=1,5,0)+IF(COUNTIF(I956:$W956,"&gt;"&amp;0)&lt;5,IF(AND(COUNTIF(H$1237:H1558,1)&gt;7,MOD(1+IFERROR(MATCH($C956,总览!$D$46:$D$345,1)+1,1),7)=0),$C$3,0),0)</f>
        <v>1012.73333333334</v>
      </c>
      <c r="I956" s="131" cm="1">
        <f ca="1" t="array" ref="I956">IF(I1558=1,OFFSET($W$634,$B956,I$631-1)/SUMPRODUCT(--($D$631:$V$631=I$631),--($D1558:$V1558=1)),0)+SUM(I955)+IF(COUNTIF(I$1237:I1558,1)=1,5,0)+IF(COUNTIF(J956:$W956,"&gt;"&amp;0)&lt;5,IF(AND(COUNTIF(I$1237:I1558,1)&gt;7,MOD(1+IFERROR(MATCH($C956,总览!$D$46:$D$345,1)+1,1),7)=0),$C$3,0),0)</f>
        <v>1012.73333333334</v>
      </c>
      <c r="J956" s="131" cm="1">
        <f ca="1" t="array" ref="J956">IF(J1558=1,OFFSET($W$634,$B956,J$631-1)/SUMPRODUCT(--($D$631:$V$631=J$631),--($D1558:$V1558=1)),0)+SUM(J955)+IF(COUNTIF(J$1237:J1558,1)=1,5,0)+IF(COUNTIF(K956:$W956,"&gt;"&amp;0)&lt;5,IF(AND(COUNTIF(J$1237:J1558,1)&gt;7,MOD(1+IFERROR(MATCH($C956,总览!$D$46:$D$345,1)+1,1),7)=0),$C$3,0),0)</f>
        <v>1009.4</v>
      </c>
      <c r="K956" s="131" cm="1">
        <f ca="1" t="array" ref="K956">IF(K1558=1,OFFSET($W$634,$B956,K$631-1)/SUMPRODUCT(--($D$631:$V$631=K$631),--($D1558:$V1558=1)),0)+SUM(K955)+IF(COUNTIF(K$1237:K1558,1)=1,5,0)+IF(COUNTIF(L956:$W956,"&gt;"&amp;0)&lt;5,IF(AND(COUNTIF(K$1237:K1558,1)&gt;7,MOD(1+IFERROR(MATCH($C956,总览!$D$46:$D$345,1)+1,1),7)=0),$C$3,0),0)</f>
        <v>1006.9</v>
      </c>
      <c r="L956" s="131" cm="1">
        <f ca="1" t="array" ref="L956">IF(L1558=1,OFFSET($W$634,$B956,L$631-1)/SUMPRODUCT(--($D$631:$V$631=L$631),--($D1558:$V1558=1)),0)+SUM(L955)+IF(COUNTIF(L$1237:L1558,1)=1,5,0)+IF(COUNTIF(M956:$W956,"&gt;"&amp;0)&lt;5,IF(AND(COUNTIF(L$1237:L1558,1)&gt;7,MOD(1+IFERROR(MATCH($C956,总览!$D$46:$D$345,1)+1,1),7)=0),$C$3,0),0)</f>
        <v>1006.9</v>
      </c>
      <c r="M956" s="131" cm="1">
        <f ca="1" t="array" ref="M956">IF(M1558=1,OFFSET($W$634,$B956,M$631-1)/SUMPRODUCT(--($D$631:$V$631=M$631),--($D1558:$V1558=1)),0)+SUM(M955)+IF(COUNTIF(M$1237:M1558,1)=1,5,0)+IF(COUNTIF(N956:$W956,"&gt;"&amp;0)&lt;5,IF(AND(COUNTIF(M$1237:M1558,1)&gt;7,MOD(1+IFERROR(MATCH($C956,总览!$D$46:$D$345,1)+1,1),7)=0),$C$3,0),0)</f>
        <v>417.752678571429</v>
      </c>
      <c r="N956" s="131" cm="1">
        <f ca="1" t="array" ref="N956">IF(N1558=1,OFFSET($W$634,$B956,N$631-1)/SUMPRODUCT(--($D$631:$V$631=N$631),--($D1558:$V1558=1)),0)+SUM(N955)+IF(COUNTIF(N$1237:N1558,1)=1,5,0)+IF(COUNTIF(O956:$W956,"&gt;"&amp;0)&lt;5,IF(AND(COUNTIF(N$1237:N1558,1)&gt;7,MOD(1+IFERROR(MATCH($C956,总览!$D$46:$D$345,1)+1,1),7)=0),$C$3,0),0)</f>
        <v>419.002678571429</v>
      </c>
      <c r="O956" s="131" cm="1">
        <f ca="1" t="array" ref="O956">IF(O1558=1,OFFSET($W$634,$B956,O$631-1)/SUMPRODUCT(--($D$631:$V$631=O$631),--($D1558:$V1558=1)),0)+SUM(O955)+IF(COUNTIF(O$1237:O1558,1)=1,5,0)+IF(COUNTIF(P956:$W956,"&gt;"&amp;0)&lt;5,IF(AND(COUNTIF(O$1237:O1558,1)&gt;7,MOD(1+IFERROR(MATCH($C956,总览!$D$46:$D$345,1)+1,1),7)=0),$C$3,0),0)</f>
        <v>424.002678571429</v>
      </c>
      <c r="P956" s="131" cm="1">
        <f ca="1" t="array" ref="P956">IF(P1558=1,OFFSET($W$634,$B956,P$631-1)/SUMPRODUCT(--($D$631:$V$631=P$631),--($D1558:$V1558=1)),0)+SUM(P955)+IF(COUNTIF(P$1237:P1558,1)=1,5,0)+IF(COUNTIF(Q956:$W956,"&gt;"&amp;0)&lt;5,IF(AND(COUNTIF(P$1237:P1558,1)&gt;7,MOD(1+IFERROR(MATCH($C956,总览!$D$46:$D$345,1)+1,1),7)=0),$C$3,0),0)</f>
        <v>413.121428571429</v>
      </c>
      <c r="Q956" s="131" cm="1">
        <f ca="1" t="array" ref="Q956">IF(Q1558=1,OFFSET($W$634,$B956,Q$631-1)/SUMPRODUCT(--($D$631:$V$631=Q$631),--($D1558:$V1558=1)),0)+SUM(Q955)+IF(COUNTIF(Q$1237:Q1558,1)=1,5,0)+IF(COUNTIF(R956:$W956,"&gt;"&amp;0)&lt;5,IF(AND(COUNTIF(Q$1237:Q1558,1)&gt;7,MOD(1+IFERROR(MATCH($C956,总览!$D$46:$D$345,1)+1,1),7)=0),$C$3,0),0)</f>
        <v>426.502678571429</v>
      </c>
      <c r="R956" s="131" cm="1">
        <f ca="1" t="array" ref="R956">IF(R1558=1,OFFSET($W$634,$B956,R$631-1)/SUMPRODUCT(--($D$631:$V$631=R$631),--($D1558:$V1558=1)),0)+SUM(R955)+IF(COUNTIF(R$1237:R1558,1)=1,5,0)+IF(COUNTIF(S956:$W956,"&gt;"&amp;0)&lt;5,IF(AND(COUNTIF(R$1237:R1558,1)&gt;7,MOD(1+IFERROR(MATCH($C956,总览!$D$46:$D$345,1)+1,1),7)=0),$C$3,0),0)</f>
        <v>418.121428571429</v>
      </c>
      <c r="S956" s="131" cm="1">
        <f ca="1" t="array" ref="S956">IF(S1558=1,OFFSET($W$634,$B956,S$631-1)/SUMPRODUCT(--($D$631:$V$631=S$631),--($D1558:$V1558=1)),0)+SUM(S955)+IF(COUNTIF(S$1237:S1558,1)=1,5,0)+IF(COUNTIF(T956:$W956,"&gt;"&amp;0)&lt;5,IF(AND(COUNTIF(S$1237:S1558,1)&gt;7,MOD(1+IFERROR(MATCH($C956,总览!$D$46:$D$345,1)+1,1),7)=0),$C$3,0),0)</f>
        <v>510.62142857143</v>
      </c>
      <c r="T956" s="131" cm="1">
        <f ca="1" t="array" ref="T956">IF(T1558=1,OFFSET($W$634,$B956,T$631-1)/SUMPRODUCT(--($D$631:$V$631=T$631),--($D1558:$V1558=1)),0)+SUM(T955)+IF(COUNTIF(T$1237:T1558,1)=1,5,0)+IF(COUNTIF(U956:$W956,"&gt;"&amp;0)&lt;5,IF(AND(COUNTIF(T$1237:T1558,1)&gt;7,MOD(1+IFERROR(MATCH($C956,总览!$D$46:$D$345,1)+1,1),7)=0),$C$3,0),0)</f>
        <v>373.241672387846</v>
      </c>
      <c r="U956" s="131" cm="1">
        <f ca="1" t="array" ref="U956">IF(U1558=1,OFFSET($W$634,$B956,U$631-1)/SUMPRODUCT(--($D$631:$V$631=U$631),--($D1558:$V1558=1)),0)+SUM(U955)+IF(COUNTIF(U$1237:U1558,1)=1,5,0)+IF(COUNTIF(V956:$W956,"&gt;"&amp;0)&lt;5,IF(AND(COUNTIF(U$1237:U1558,1)&gt;7,MOD(1+IFERROR(MATCH($C956,总览!$D$46:$D$345,1)+1,1),7)=0),$C$3,0),0)</f>
        <v>378.762458743146</v>
      </c>
      <c r="V956" s="131" cm="1">
        <f ca="1" t="array" ref="V956">IF(V1558=1,OFFSET($W$634,$B956,V$631-1)/SUMPRODUCT(--($D$631:$V$631=V$631),--($D1558:$V1558=1)),0)+SUM(V955)+IF(COUNTIF(V$1237:V1558,1)=1,5,0)+IF(COUNTIF(W956:$W956,"&gt;"&amp;0)&lt;5,IF(AND(COUNTIF(V$1237:V1558,1)&gt;7,MOD(1+IFERROR(MATCH($C956,总览!$D$46:$D$345,1)+1,1),7)=0),$C$3,0),0)</f>
        <v>398.589458455579</v>
      </c>
      <c r="W956" s="135" cm="1">
        <f ca="1" t="array" ref="W956">SUMPRODUCT(TRANSPOSE($AA956:$AG956),OFFSET($L$9:$L$15,0,W$631-1))</f>
        <v>16.8502200646615</v>
      </c>
      <c r="X956" s="135" cm="1">
        <f ca="1" t="array" ref="X956">SUMPRODUCT(TRANSPOSE($AA956:$AG956),OFFSET($L$9:$L$15,0,X$631-1))</f>
        <v>20</v>
      </c>
      <c r="Y956" s="135" cm="1">
        <f ca="1" t="array" ref="Y956">SUMPRODUCT(TRANSPOSE($AA956:$AG956),OFFSET($L$9:$L$15,0,Y$631-1))</f>
        <v>10</v>
      </c>
      <c r="Z956" s="135" cm="1">
        <f ca="1" t="array" ref="Z956">SUMPRODUCT(TRANSPOSE($AA956:$AG956),OFFSET($L$9:$L$15,0,Z$631-1))</f>
        <v>3.14977993533847</v>
      </c>
      <c r="AA956" s="136">
        <f ca="1" t="shared" ref="AA956:AG956" si="893">AH956-AH955</f>
        <v>0</v>
      </c>
      <c r="AB956" s="136">
        <f ca="1" t="shared" si="893"/>
        <v>0</v>
      </c>
      <c r="AC956" s="136">
        <f ca="1" t="shared" si="893"/>
        <v>0</v>
      </c>
      <c r="AD956" s="136">
        <f ca="1" t="shared" si="893"/>
        <v>0</v>
      </c>
      <c r="AE956" s="136">
        <f ca="1" t="shared" si="893"/>
        <v>0</v>
      </c>
      <c r="AF956" s="136">
        <f ca="1" t="shared" si="893"/>
        <v>0</v>
      </c>
      <c r="AG956" s="136">
        <f ca="1" t="shared" si="893"/>
        <v>100</v>
      </c>
      <c r="AH956" s="136">
        <f ca="1" t="shared" si="891"/>
        <v>450</v>
      </c>
      <c r="AI956" s="136">
        <f ca="1" t="shared" ref="AI956:AN956" si="894">IF($C956&gt;OFFSET($Q$8,MATCH(AI$634,$AH$634:$AN$634,0),0),OFFSET($P$8,MATCH(AI$634,$AH$634:$AN$634,0),0),MAX(0,$C956-OFFSET($Q$8,RIGHT(AI$634,1)-1,0)))</f>
        <v>909</v>
      </c>
      <c r="AJ956" s="136">
        <f ca="1" t="shared" si="894"/>
        <v>1818</v>
      </c>
      <c r="AK956" s="136">
        <f ca="1" t="shared" si="894"/>
        <v>2727</v>
      </c>
      <c r="AL956" s="136">
        <f ca="1" t="shared" si="894"/>
        <v>3636</v>
      </c>
      <c r="AM956" s="136">
        <f ca="1" t="shared" si="894"/>
        <v>4545</v>
      </c>
      <c r="AN956" s="136">
        <f ca="1" t="shared" si="894"/>
        <v>18115</v>
      </c>
    </row>
    <row r="957" s="106" customFormat="1" ht="16.5" spans="2:40">
      <c r="B957" s="117">
        <v>323</v>
      </c>
      <c r="C957" s="130">
        <f t="shared" si="889"/>
        <v>32300</v>
      </c>
      <c r="D957" s="131" cm="1">
        <f ca="1" t="array" ref="D957">IF(D1559=1,OFFSET($W$634,$B957,D$631-1)/SUMPRODUCT(--($D$631:$V$631=D$631),--($D1559:$V1559=1)),0)+SUM(D956)+IF(COUNTIF(D$1237:D1559,1)=1,5,0)+IF(COUNTIF(E957:$W957,"&gt;"&amp;0)&lt;5,IF(AND(COUNTIF(D$1237:D1559,1)&gt;7,MOD(1+IFERROR(MATCH($C957,总览!$D$46:$D$345,1)+1,1),7)=0),$C$3,0),0)</f>
        <v>2141.9105434927</v>
      </c>
      <c r="E957" s="131" cm="1">
        <f ca="1" t="array" ref="E957">IF(E1559=1,OFFSET($W$634,$B957,E$631-1)/SUMPRODUCT(--($D$631:$V$631=E$631),--($D1559:$V1559=1)),0)+SUM(E956)+IF(COUNTIF(E$1237:E1559,1)=1,5,0)+IF(COUNTIF(F957:$W957,"&gt;"&amp;0)&lt;5,IF(AND(COUNTIF(E$1237:E1559,1)&gt;7,MOD(1+IFERROR(MATCH($C957,总览!$D$46:$D$345,1)+1,1),7)=0),$C$3,0),0)</f>
        <v>2141.9105434927</v>
      </c>
      <c r="F957" s="131" cm="1">
        <f ca="1" t="array" ref="F957">IF(F1559=1,OFFSET($W$634,$B957,F$631-1)/SUMPRODUCT(--($D$631:$V$631=F$631),--($D1559:$V1559=1)),0)+SUM(F956)+IF(COUNTIF(F$1237:F1559,1)=1,5,0)+IF(COUNTIF(G957:$W957,"&gt;"&amp;0)&lt;5,IF(AND(COUNTIF(F$1237:F1559,1)&gt;7,MOD(1+IFERROR(MATCH($C957,总览!$D$46:$D$345,1)+1,1),7)=0),$C$3,0),0)</f>
        <v>2141.9105434927</v>
      </c>
      <c r="G957" s="131" cm="1">
        <f ca="1" t="array" ref="G957">IF(G1559=1,OFFSET($W$634,$B957,G$631-1)/SUMPRODUCT(--($D$631:$V$631=G$631),--($D1559:$V1559=1)),0)+SUM(G956)+IF(COUNTIF(G$1237:G1559,1)=1,5,0)+IF(COUNTIF(H957:$W957,"&gt;"&amp;0)&lt;5,IF(AND(COUNTIF(G$1237:G1559,1)&gt;7,MOD(1+IFERROR(MATCH($C957,总览!$D$46:$D$345,1)+1,1),7)=0),$C$3,0),0)</f>
        <v>1016.06666666667</v>
      </c>
      <c r="H957" s="131" cm="1">
        <f ca="1" t="array" ref="H957">IF(H1559=1,OFFSET($W$634,$B957,H$631-1)/SUMPRODUCT(--($D$631:$V$631=H$631),--($D1559:$V1559=1)),0)+SUM(H956)+IF(COUNTIF(H$1237:H1559,1)=1,5,0)+IF(COUNTIF(I957:$W957,"&gt;"&amp;0)&lt;5,IF(AND(COUNTIF(H$1237:H1559,1)&gt;7,MOD(1+IFERROR(MATCH($C957,总览!$D$46:$D$345,1)+1,1),7)=0),$C$3,0),0)</f>
        <v>1016.06666666667</v>
      </c>
      <c r="I957" s="131" cm="1">
        <f ca="1" t="array" ref="I957">IF(I1559=1,OFFSET($W$634,$B957,I$631-1)/SUMPRODUCT(--($D$631:$V$631=I$631),--($D1559:$V1559=1)),0)+SUM(I956)+IF(COUNTIF(I$1237:I1559,1)=1,5,0)+IF(COUNTIF(J957:$W957,"&gt;"&amp;0)&lt;5,IF(AND(COUNTIF(I$1237:I1559,1)&gt;7,MOD(1+IFERROR(MATCH($C957,总览!$D$46:$D$345,1)+1,1),7)=0),$C$3,0),0)</f>
        <v>1016.06666666667</v>
      </c>
      <c r="J957" s="131" cm="1">
        <f ca="1" t="array" ref="J957">IF(J1559=1,OFFSET($W$634,$B957,J$631-1)/SUMPRODUCT(--($D$631:$V$631=J$631),--($D1559:$V1559=1)),0)+SUM(J956)+IF(COUNTIF(J$1237:J1559,1)=1,5,0)+IF(COUNTIF(K957:$W957,"&gt;"&amp;0)&lt;5,IF(AND(COUNTIF(J$1237:J1559,1)&gt;7,MOD(1+IFERROR(MATCH($C957,总览!$D$46:$D$345,1)+1,1),7)=0),$C$3,0),0)</f>
        <v>1012.73333333334</v>
      </c>
      <c r="K957" s="131" cm="1">
        <f ca="1" t="array" ref="K957">IF(K1559=1,OFFSET($W$634,$B957,K$631-1)/SUMPRODUCT(--($D$631:$V$631=K$631),--($D1559:$V1559=1)),0)+SUM(K956)+IF(COUNTIF(K$1237:K1559,1)=1,5,0)+IF(COUNTIF(L957:$W957,"&gt;"&amp;0)&lt;5,IF(AND(COUNTIF(K$1237:K1559,1)&gt;7,MOD(1+IFERROR(MATCH($C957,总览!$D$46:$D$345,1)+1,1),7)=0),$C$3,0),0)</f>
        <v>1010.23333333334</v>
      </c>
      <c r="L957" s="131" cm="1">
        <f ca="1" t="array" ref="L957">IF(L1559=1,OFFSET($W$634,$B957,L$631-1)/SUMPRODUCT(--($D$631:$V$631=L$631),--($D1559:$V1559=1)),0)+SUM(L956)+IF(COUNTIF(L$1237:L1559,1)=1,5,0)+IF(COUNTIF(M957:$W957,"&gt;"&amp;0)&lt;5,IF(AND(COUNTIF(L$1237:L1559,1)&gt;7,MOD(1+IFERROR(MATCH($C957,总览!$D$46:$D$345,1)+1,1),7)=0),$C$3,0),0)</f>
        <v>1010.23333333334</v>
      </c>
      <c r="M957" s="131" cm="1">
        <f ca="1" t="array" ref="M957">IF(M1559=1,OFFSET($W$634,$B957,M$631-1)/SUMPRODUCT(--($D$631:$V$631=M$631),--($D1559:$V1559=1)),0)+SUM(M956)+IF(COUNTIF(M$1237:M1559,1)=1,5,0)+IF(COUNTIF(N957:$W957,"&gt;"&amp;0)&lt;5,IF(AND(COUNTIF(M$1237:M1559,1)&gt;7,MOD(1+IFERROR(MATCH($C957,总览!$D$46:$D$345,1)+1,1),7)=0),$C$3,0),0)</f>
        <v>419.181250000001</v>
      </c>
      <c r="N957" s="131" cm="1">
        <f ca="1" t="array" ref="N957">IF(N1559=1,OFFSET($W$634,$B957,N$631-1)/SUMPRODUCT(--($D$631:$V$631=N$631),--($D1559:$V1559=1)),0)+SUM(N956)+IF(COUNTIF(N$1237:N1559,1)=1,5,0)+IF(COUNTIF(O957:$W957,"&gt;"&amp;0)&lt;5,IF(AND(COUNTIF(N$1237:N1559,1)&gt;7,MOD(1+IFERROR(MATCH($C957,总览!$D$46:$D$345,1)+1,1),7)=0),$C$3,0),0)</f>
        <v>420.431250000001</v>
      </c>
      <c r="O957" s="131" cm="1">
        <f ca="1" t="array" ref="O957">IF(O1559=1,OFFSET($W$634,$B957,O$631-1)/SUMPRODUCT(--($D$631:$V$631=O$631),--($D1559:$V1559=1)),0)+SUM(O956)+IF(COUNTIF(O$1237:O1559,1)=1,5,0)+IF(COUNTIF(P957:$W957,"&gt;"&amp;0)&lt;5,IF(AND(COUNTIF(O$1237:O1559,1)&gt;7,MOD(1+IFERROR(MATCH($C957,总览!$D$46:$D$345,1)+1,1),7)=0),$C$3,0),0)</f>
        <v>425.431250000001</v>
      </c>
      <c r="P957" s="131" cm="1">
        <f ca="1" t="array" ref="P957">IF(P1559=1,OFFSET($W$634,$B957,P$631-1)/SUMPRODUCT(--($D$631:$V$631=P$631),--($D1559:$V1559=1)),0)+SUM(P956)+IF(COUNTIF(P$1237:P1559,1)=1,5,0)+IF(COUNTIF(Q957:$W957,"&gt;"&amp;0)&lt;5,IF(AND(COUNTIF(P$1237:P1559,1)&gt;7,MOD(1+IFERROR(MATCH($C957,总览!$D$46:$D$345,1)+1,1),7)=0),$C$3,0),0)</f>
        <v>414.550000000001</v>
      </c>
      <c r="Q957" s="131" cm="1">
        <f ca="1" t="array" ref="Q957">IF(Q1559=1,OFFSET($W$634,$B957,Q$631-1)/SUMPRODUCT(--($D$631:$V$631=Q$631),--($D1559:$V1559=1)),0)+SUM(Q956)+IF(COUNTIF(Q$1237:Q1559,1)=1,5,0)+IF(COUNTIF(R957:$W957,"&gt;"&amp;0)&lt;5,IF(AND(COUNTIF(Q$1237:Q1559,1)&gt;7,MOD(1+IFERROR(MATCH($C957,总览!$D$46:$D$345,1)+1,1),7)=0),$C$3,0),0)</f>
        <v>427.931250000001</v>
      </c>
      <c r="R957" s="131" cm="1">
        <f ca="1" t="array" ref="R957">IF(R1559=1,OFFSET($W$634,$B957,R$631-1)/SUMPRODUCT(--($D$631:$V$631=R$631),--($D1559:$V1559=1)),0)+SUM(R956)+IF(COUNTIF(R$1237:R1559,1)=1,5,0)+IF(COUNTIF(S957:$W957,"&gt;"&amp;0)&lt;5,IF(AND(COUNTIF(R$1237:R1559,1)&gt;7,MOD(1+IFERROR(MATCH($C957,总览!$D$46:$D$345,1)+1,1),7)=0),$C$3,0),0)</f>
        <v>419.550000000001</v>
      </c>
      <c r="S957" s="131" cm="1">
        <f ca="1" t="array" ref="S957">IF(S1559=1,OFFSET($W$634,$B957,S$631-1)/SUMPRODUCT(--($D$631:$V$631=S$631),--($D1559:$V1559=1)),0)+SUM(S956)+IF(COUNTIF(S$1237:S1559,1)=1,5,0)+IF(COUNTIF(T957:$W957,"&gt;"&amp;0)&lt;5,IF(AND(COUNTIF(S$1237:S1559,1)&gt;7,MOD(1+IFERROR(MATCH($C957,总览!$D$46:$D$345,1)+1,1),7)=0),$C$3,0),0)</f>
        <v>512.050000000002</v>
      </c>
      <c r="T957" s="131" cm="1">
        <f ca="1" t="array" ref="T957">IF(T1559=1,OFFSET($W$634,$B957,T$631-1)/SUMPRODUCT(--($D$631:$V$631=T$631),--($D1559:$V1559=1)),0)+SUM(T956)+IF(COUNTIF(T$1237:T1559,1)=1,5,0)+IF(COUNTIF(U957:$W957,"&gt;"&amp;0)&lt;5,IF(AND(COUNTIF(T$1237:T1559,1)&gt;7,MOD(1+IFERROR(MATCH($C957,总览!$D$46:$D$345,1)+1,1),7)=0),$C$3,0),0)</f>
        <v>374.291599032959</v>
      </c>
      <c r="U957" s="131" cm="1">
        <f ca="1" t="array" ref="U957">IF(U1559=1,OFFSET($W$634,$B957,U$631-1)/SUMPRODUCT(--($D$631:$V$631=U$631),--($D1559:$V1559=1)),0)+SUM(U956)+IF(COUNTIF(U$1237:U1559,1)=1,5,0)+IF(COUNTIF(V957:$W957,"&gt;"&amp;0)&lt;5,IF(AND(COUNTIF(U$1237:U1559,1)&gt;7,MOD(1+IFERROR(MATCH($C957,总览!$D$46:$D$345,1)+1,1),7)=0),$C$3,0),0)</f>
        <v>379.812385388258</v>
      </c>
      <c r="V957" s="131" cm="1">
        <f ca="1" t="array" ref="V957">IF(V1559=1,OFFSET($W$634,$B957,V$631-1)/SUMPRODUCT(--($D$631:$V$631=V$631),--($D1559:$V1559=1)),0)+SUM(V956)+IF(COUNTIF(V$1237:V1559,1)=1,5,0)+IF(COUNTIF(W957:$W957,"&gt;"&amp;0)&lt;5,IF(AND(COUNTIF(V$1237:V1559,1)&gt;7,MOD(1+IFERROR(MATCH($C957,总览!$D$46:$D$345,1)+1,1),7)=0),$C$3,0),0)</f>
        <v>399.639385100691</v>
      </c>
      <c r="W957" s="135" cm="1">
        <f ca="1" t="array" ref="W957">SUMPRODUCT(TRANSPOSE($AA957:$AG957),OFFSET($L$9:$L$15,0,W$631-1))</f>
        <v>16.8502200646615</v>
      </c>
      <c r="X957" s="135" cm="1">
        <f ca="1" t="array" ref="X957">SUMPRODUCT(TRANSPOSE($AA957:$AG957),OFFSET($L$9:$L$15,0,X$631-1))</f>
        <v>20</v>
      </c>
      <c r="Y957" s="135" cm="1">
        <f ca="1" t="array" ref="Y957">SUMPRODUCT(TRANSPOSE($AA957:$AG957),OFFSET($L$9:$L$15,0,Y$631-1))</f>
        <v>10</v>
      </c>
      <c r="Z957" s="135" cm="1">
        <f ca="1" t="array" ref="Z957">SUMPRODUCT(TRANSPOSE($AA957:$AG957),OFFSET($L$9:$L$15,0,Z$631-1))</f>
        <v>3.14977993533847</v>
      </c>
      <c r="AA957" s="136">
        <f ca="1" t="shared" ref="AA957:AG957" si="895">AH957-AH956</f>
        <v>0</v>
      </c>
      <c r="AB957" s="136">
        <f ca="1" t="shared" si="895"/>
        <v>0</v>
      </c>
      <c r="AC957" s="136">
        <f ca="1" t="shared" si="895"/>
        <v>0</v>
      </c>
      <c r="AD957" s="136">
        <f ca="1" t="shared" si="895"/>
        <v>0</v>
      </c>
      <c r="AE957" s="136">
        <f ca="1" t="shared" si="895"/>
        <v>0</v>
      </c>
      <c r="AF957" s="136">
        <f ca="1" t="shared" si="895"/>
        <v>0</v>
      </c>
      <c r="AG957" s="136">
        <f ca="1" t="shared" si="895"/>
        <v>100</v>
      </c>
      <c r="AH957" s="136">
        <f ca="1" t="shared" si="891"/>
        <v>450</v>
      </c>
      <c r="AI957" s="136">
        <f ca="1" t="shared" ref="AI957:AN957" si="896">IF($C957&gt;OFFSET($Q$8,MATCH(AI$634,$AH$634:$AN$634,0),0),OFFSET($P$8,MATCH(AI$634,$AH$634:$AN$634,0),0),MAX(0,$C957-OFFSET($Q$8,RIGHT(AI$634,1)-1,0)))</f>
        <v>909</v>
      </c>
      <c r="AJ957" s="136">
        <f ca="1" t="shared" si="896"/>
        <v>1818</v>
      </c>
      <c r="AK957" s="136">
        <f ca="1" t="shared" si="896"/>
        <v>2727</v>
      </c>
      <c r="AL957" s="136">
        <f ca="1" t="shared" si="896"/>
        <v>3636</v>
      </c>
      <c r="AM957" s="136">
        <f ca="1" t="shared" si="896"/>
        <v>4545</v>
      </c>
      <c r="AN957" s="136">
        <f ca="1" t="shared" si="896"/>
        <v>18215</v>
      </c>
    </row>
    <row r="958" s="106" customFormat="1" ht="16.5" spans="2:40">
      <c r="B958" s="117">
        <v>324</v>
      </c>
      <c r="C958" s="130">
        <f t="shared" si="889"/>
        <v>32400</v>
      </c>
      <c r="D958" s="131" cm="1">
        <f ca="1" t="array" ref="D958">IF(D1560=1,OFFSET($W$634,$B958,D$631-1)/SUMPRODUCT(--($D$631:$V$631=D$631),--($D1560:$V1560=1)),0)+SUM(D957)+IF(COUNTIF(D$1237:D1560,1)=1,5,0)+IF(COUNTIF(E958:$W958,"&gt;"&amp;0)&lt;5,IF(AND(COUNTIF(D$1237:D1560,1)&gt;7,MOD(1+IFERROR(MATCH($C958,总览!$D$46:$D$345,1)+1,1),7)=0),$C$3,0),0)</f>
        <v>2147.52728351425</v>
      </c>
      <c r="E958" s="131" cm="1">
        <f ca="1" t="array" ref="E958">IF(E1560=1,OFFSET($W$634,$B958,E$631-1)/SUMPRODUCT(--($D$631:$V$631=E$631),--($D1560:$V1560=1)),0)+SUM(E957)+IF(COUNTIF(E$1237:E1560,1)=1,5,0)+IF(COUNTIF(F958:$W958,"&gt;"&amp;0)&lt;5,IF(AND(COUNTIF(E$1237:E1560,1)&gt;7,MOD(1+IFERROR(MATCH($C958,总览!$D$46:$D$345,1)+1,1),7)=0),$C$3,0),0)</f>
        <v>2147.52728351425</v>
      </c>
      <c r="F958" s="131" cm="1">
        <f ca="1" t="array" ref="F958">IF(F1560=1,OFFSET($W$634,$B958,F$631-1)/SUMPRODUCT(--($D$631:$V$631=F$631),--($D1560:$V1560=1)),0)+SUM(F957)+IF(COUNTIF(F$1237:F1560,1)=1,5,0)+IF(COUNTIF(G958:$W958,"&gt;"&amp;0)&lt;5,IF(AND(COUNTIF(F$1237:F1560,1)&gt;7,MOD(1+IFERROR(MATCH($C958,总览!$D$46:$D$345,1)+1,1),7)=0),$C$3,0),0)</f>
        <v>2147.52728351425</v>
      </c>
      <c r="G958" s="131" cm="1">
        <f ca="1" t="array" ref="G958">IF(G1560=1,OFFSET($W$634,$B958,G$631-1)/SUMPRODUCT(--($D$631:$V$631=G$631),--($D1560:$V1560=1)),0)+SUM(G957)+IF(COUNTIF(G$1237:G1560,1)=1,5,0)+IF(COUNTIF(H958:$W958,"&gt;"&amp;0)&lt;5,IF(AND(COUNTIF(G$1237:G1560,1)&gt;7,MOD(1+IFERROR(MATCH($C958,总览!$D$46:$D$345,1)+1,1),7)=0),$C$3,0),0)</f>
        <v>1019.4</v>
      </c>
      <c r="H958" s="131" cm="1">
        <f ca="1" t="array" ref="H958">IF(H1560=1,OFFSET($W$634,$B958,H$631-1)/SUMPRODUCT(--($D$631:$V$631=H$631),--($D1560:$V1560=1)),0)+SUM(H957)+IF(COUNTIF(H$1237:H1560,1)=1,5,0)+IF(COUNTIF(I958:$W958,"&gt;"&amp;0)&lt;5,IF(AND(COUNTIF(H$1237:H1560,1)&gt;7,MOD(1+IFERROR(MATCH($C958,总览!$D$46:$D$345,1)+1,1),7)=0),$C$3,0),0)</f>
        <v>1019.4</v>
      </c>
      <c r="I958" s="131" cm="1">
        <f ca="1" t="array" ref="I958">IF(I1560=1,OFFSET($W$634,$B958,I$631-1)/SUMPRODUCT(--($D$631:$V$631=I$631),--($D1560:$V1560=1)),0)+SUM(I957)+IF(COUNTIF(I$1237:I1560,1)=1,5,0)+IF(COUNTIF(J958:$W958,"&gt;"&amp;0)&lt;5,IF(AND(COUNTIF(I$1237:I1560,1)&gt;7,MOD(1+IFERROR(MATCH($C958,总览!$D$46:$D$345,1)+1,1),7)=0),$C$3,0),0)</f>
        <v>1019.4</v>
      </c>
      <c r="J958" s="131" cm="1">
        <f ca="1" t="array" ref="J958">IF(J1560=1,OFFSET($W$634,$B958,J$631-1)/SUMPRODUCT(--($D$631:$V$631=J$631),--($D1560:$V1560=1)),0)+SUM(J957)+IF(COUNTIF(J$1237:J1560,1)=1,5,0)+IF(COUNTIF(K958:$W958,"&gt;"&amp;0)&lt;5,IF(AND(COUNTIF(J$1237:J1560,1)&gt;7,MOD(1+IFERROR(MATCH($C958,总览!$D$46:$D$345,1)+1,1),7)=0),$C$3,0),0)</f>
        <v>1016.06666666667</v>
      </c>
      <c r="K958" s="131" cm="1">
        <f ca="1" t="array" ref="K958">IF(K1560=1,OFFSET($W$634,$B958,K$631-1)/SUMPRODUCT(--($D$631:$V$631=K$631),--($D1560:$V1560=1)),0)+SUM(K957)+IF(COUNTIF(K$1237:K1560,1)=1,5,0)+IF(COUNTIF(L958:$W958,"&gt;"&amp;0)&lt;5,IF(AND(COUNTIF(K$1237:K1560,1)&gt;7,MOD(1+IFERROR(MATCH($C958,总览!$D$46:$D$345,1)+1,1),7)=0),$C$3,0),0)</f>
        <v>1013.56666666667</v>
      </c>
      <c r="L958" s="131" cm="1">
        <f ca="1" t="array" ref="L958">IF(L1560=1,OFFSET($W$634,$B958,L$631-1)/SUMPRODUCT(--($D$631:$V$631=L$631),--($D1560:$V1560=1)),0)+SUM(L957)+IF(COUNTIF(L$1237:L1560,1)=1,5,0)+IF(COUNTIF(M958:$W958,"&gt;"&amp;0)&lt;5,IF(AND(COUNTIF(L$1237:L1560,1)&gt;7,MOD(1+IFERROR(MATCH($C958,总览!$D$46:$D$345,1)+1,1),7)=0),$C$3,0),0)</f>
        <v>1013.56666666667</v>
      </c>
      <c r="M958" s="131" cm="1">
        <f ca="1" t="array" ref="M958">IF(M1560=1,OFFSET($W$634,$B958,M$631-1)/SUMPRODUCT(--($D$631:$V$631=M$631),--($D1560:$V1560=1)),0)+SUM(M957)+IF(COUNTIF(M$1237:M1560,1)=1,5,0)+IF(COUNTIF(N958:$W958,"&gt;"&amp;0)&lt;5,IF(AND(COUNTIF(M$1237:M1560,1)&gt;7,MOD(1+IFERROR(MATCH($C958,总览!$D$46:$D$345,1)+1,1),7)=0),$C$3,0),0)</f>
        <v>420.609821428572</v>
      </c>
      <c r="N958" s="131" cm="1">
        <f ca="1" t="array" ref="N958">IF(N1560=1,OFFSET($W$634,$B958,N$631-1)/SUMPRODUCT(--($D$631:$V$631=N$631),--($D1560:$V1560=1)),0)+SUM(N957)+IF(COUNTIF(N$1237:N1560,1)=1,5,0)+IF(COUNTIF(O958:$W958,"&gt;"&amp;0)&lt;5,IF(AND(COUNTIF(N$1237:N1560,1)&gt;7,MOD(1+IFERROR(MATCH($C958,总览!$D$46:$D$345,1)+1,1),7)=0),$C$3,0),0)</f>
        <v>421.859821428572</v>
      </c>
      <c r="O958" s="131" cm="1">
        <f ca="1" t="array" ref="O958">IF(O1560=1,OFFSET($W$634,$B958,O$631-1)/SUMPRODUCT(--($D$631:$V$631=O$631),--($D1560:$V1560=1)),0)+SUM(O957)+IF(COUNTIF(O$1237:O1560,1)=1,5,0)+IF(COUNTIF(P958:$W958,"&gt;"&amp;0)&lt;5,IF(AND(COUNTIF(O$1237:O1560,1)&gt;7,MOD(1+IFERROR(MATCH($C958,总览!$D$46:$D$345,1)+1,1),7)=0),$C$3,0),0)</f>
        <v>426.859821428572</v>
      </c>
      <c r="P958" s="131" cm="1">
        <f ca="1" t="array" ref="P958">IF(P1560=1,OFFSET($W$634,$B958,P$631-1)/SUMPRODUCT(--($D$631:$V$631=P$631),--($D1560:$V1560=1)),0)+SUM(P957)+IF(COUNTIF(P$1237:P1560,1)=1,5,0)+IF(COUNTIF(Q958:$W958,"&gt;"&amp;0)&lt;5,IF(AND(COUNTIF(P$1237:P1560,1)&gt;7,MOD(1+IFERROR(MATCH($C958,总览!$D$46:$D$345,1)+1,1),7)=0),$C$3,0),0)</f>
        <v>415.978571428572</v>
      </c>
      <c r="Q958" s="131" cm="1">
        <f ca="1" t="array" ref="Q958">IF(Q1560=1,OFFSET($W$634,$B958,Q$631-1)/SUMPRODUCT(--($D$631:$V$631=Q$631),--($D1560:$V1560=1)),0)+SUM(Q957)+IF(COUNTIF(Q$1237:Q1560,1)=1,5,0)+IF(COUNTIF(R958:$W958,"&gt;"&amp;0)&lt;5,IF(AND(COUNTIF(Q$1237:Q1560,1)&gt;7,MOD(1+IFERROR(MATCH($C958,总览!$D$46:$D$345,1)+1,1),7)=0),$C$3,0),0)</f>
        <v>429.359821428572</v>
      </c>
      <c r="R958" s="131" cm="1">
        <f ca="1" t="array" ref="R958">IF(R1560=1,OFFSET($W$634,$B958,R$631-1)/SUMPRODUCT(--($D$631:$V$631=R$631),--($D1560:$V1560=1)),0)+SUM(R957)+IF(COUNTIF(R$1237:R1560,1)=1,5,0)+IF(COUNTIF(S958:$W958,"&gt;"&amp;0)&lt;5,IF(AND(COUNTIF(R$1237:R1560,1)&gt;7,MOD(1+IFERROR(MATCH($C958,总览!$D$46:$D$345,1)+1,1),7)=0),$C$3,0),0)</f>
        <v>420.978571428572</v>
      </c>
      <c r="S958" s="131" cm="1">
        <f ca="1" t="array" ref="S958">IF(S1560=1,OFFSET($W$634,$B958,S$631-1)/SUMPRODUCT(--($D$631:$V$631=S$631),--($D1560:$V1560=1)),0)+SUM(S957)+IF(COUNTIF(S$1237:S1560,1)=1,5,0)+IF(COUNTIF(T958:$W958,"&gt;"&amp;0)&lt;5,IF(AND(COUNTIF(S$1237:S1560,1)&gt;7,MOD(1+IFERROR(MATCH($C958,总览!$D$46:$D$345,1)+1,1),7)=0),$C$3,0),0)</f>
        <v>513.478571428573</v>
      </c>
      <c r="T958" s="131" cm="1">
        <f ca="1" t="array" ref="T958">IF(T1560=1,OFFSET($W$634,$B958,T$631-1)/SUMPRODUCT(--($D$631:$V$631=T$631),--($D1560:$V1560=1)),0)+SUM(T957)+IF(COUNTIF(T$1237:T1560,1)=1,5,0)+IF(COUNTIF(U958:$W958,"&gt;"&amp;0)&lt;5,IF(AND(COUNTIF(T$1237:T1560,1)&gt;7,MOD(1+IFERROR(MATCH($C958,总览!$D$46:$D$345,1)+1,1),7)=0),$C$3,0),0)</f>
        <v>375.341525678072</v>
      </c>
      <c r="U958" s="131" cm="1">
        <f ca="1" t="array" ref="U958">IF(U1560=1,OFFSET($W$634,$B958,U$631-1)/SUMPRODUCT(--($D$631:$V$631=U$631),--($D1560:$V1560=1)),0)+SUM(U957)+IF(COUNTIF(U$1237:U1560,1)=1,5,0)+IF(COUNTIF(V958:$W958,"&gt;"&amp;0)&lt;5,IF(AND(COUNTIF(U$1237:U1560,1)&gt;7,MOD(1+IFERROR(MATCH($C958,总览!$D$46:$D$345,1)+1,1),7)=0),$C$3,0),0)</f>
        <v>380.862312033371</v>
      </c>
      <c r="V958" s="131" cm="1">
        <f ca="1" t="array" ref="V958">IF(V1560=1,OFFSET($W$634,$B958,V$631-1)/SUMPRODUCT(--($D$631:$V$631=V$631),--($D1560:$V1560=1)),0)+SUM(V957)+IF(COUNTIF(V$1237:V1560,1)=1,5,0)+IF(COUNTIF(W958:$W958,"&gt;"&amp;0)&lt;5,IF(AND(COUNTIF(V$1237:V1560,1)&gt;7,MOD(1+IFERROR(MATCH($C958,总览!$D$46:$D$345,1)+1,1),7)=0),$C$3,0),0)</f>
        <v>400.689311745804</v>
      </c>
      <c r="W958" s="135" cm="1">
        <f ca="1" t="array" ref="W958">SUMPRODUCT(TRANSPOSE($AA958:$AG958),OFFSET($L$9:$L$15,0,W$631-1))</f>
        <v>16.8502200646615</v>
      </c>
      <c r="X958" s="135" cm="1">
        <f ca="1" t="array" ref="X958">SUMPRODUCT(TRANSPOSE($AA958:$AG958),OFFSET($L$9:$L$15,0,X$631-1))</f>
        <v>20</v>
      </c>
      <c r="Y958" s="135" cm="1">
        <f ca="1" t="array" ref="Y958">SUMPRODUCT(TRANSPOSE($AA958:$AG958),OFFSET($L$9:$L$15,0,Y$631-1))</f>
        <v>10</v>
      </c>
      <c r="Z958" s="135" cm="1">
        <f ca="1" t="array" ref="Z958">SUMPRODUCT(TRANSPOSE($AA958:$AG958),OFFSET($L$9:$L$15,0,Z$631-1))</f>
        <v>3.14977993533847</v>
      </c>
      <c r="AA958" s="136">
        <f ca="1" t="shared" ref="AA958:AG958" si="897">AH958-AH957</f>
        <v>0</v>
      </c>
      <c r="AB958" s="136">
        <f ca="1" t="shared" si="897"/>
        <v>0</v>
      </c>
      <c r="AC958" s="136">
        <f ca="1" t="shared" si="897"/>
        <v>0</v>
      </c>
      <c r="AD958" s="136">
        <f ca="1" t="shared" si="897"/>
        <v>0</v>
      </c>
      <c r="AE958" s="136">
        <f ca="1" t="shared" si="897"/>
        <v>0</v>
      </c>
      <c r="AF958" s="136">
        <f ca="1" t="shared" si="897"/>
        <v>0</v>
      </c>
      <c r="AG958" s="136">
        <f ca="1" t="shared" si="897"/>
        <v>100</v>
      </c>
      <c r="AH958" s="136">
        <f ca="1" t="shared" si="891"/>
        <v>450</v>
      </c>
      <c r="AI958" s="136">
        <f ca="1" t="shared" ref="AI958:AN958" si="898">IF($C958&gt;OFFSET($Q$8,MATCH(AI$634,$AH$634:$AN$634,0),0),OFFSET($P$8,MATCH(AI$634,$AH$634:$AN$634,0),0),MAX(0,$C958-OFFSET($Q$8,RIGHT(AI$634,1)-1,0)))</f>
        <v>909</v>
      </c>
      <c r="AJ958" s="136">
        <f ca="1" t="shared" si="898"/>
        <v>1818</v>
      </c>
      <c r="AK958" s="136">
        <f ca="1" t="shared" si="898"/>
        <v>2727</v>
      </c>
      <c r="AL958" s="136">
        <f ca="1" t="shared" si="898"/>
        <v>3636</v>
      </c>
      <c r="AM958" s="136">
        <f ca="1" t="shared" si="898"/>
        <v>4545</v>
      </c>
      <c r="AN958" s="136">
        <f ca="1" t="shared" si="898"/>
        <v>18315</v>
      </c>
    </row>
    <row r="959" s="106" customFormat="1" ht="16.5" spans="2:40">
      <c r="B959" s="117">
        <v>325</v>
      </c>
      <c r="C959" s="130">
        <f t="shared" si="889"/>
        <v>32500</v>
      </c>
      <c r="D959" s="131" cm="1">
        <f ca="1" t="array" ref="D959">IF(D1561=1,OFFSET($W$634,$B959,D$631-1)/SUMPRODUCT(--($D$631:$V$631=D$631),--($D1561:$V1561=1)),0)+SUM(D958)+IF(COUNTIF(D$1237:D1561,1)=1,5,0)+IF(COUNTIF(E959:$W959,"&gt;"&amp;0)&lt;5,IF(AND(COUNTIF(D$1237:D1561,1)&gt;7,MOD(1+IFERROR(MATCH($C959,总览!$D$46:$D$345,1)+1,1),7)=0),$C$3,0),0)</f>
        <v>2153.1440235358</v>
      </c>
      <c r="E959" s="131" cm="1">
        <f ca="1" t="array" ref="E959">IF(E1561=1,OFFSET($W$634,$B959,E$631-1)/SUMPRODUCT(--($D$631:$V$631=E$631),--($D1561:$V1561=1)),0)+SUM(E958)+IF(COUNTIF(E$1237:E1561,1)=1,5,0)+IF(COUNTIF(F959:$W959,"&gt;"&amp;0)&lt;5,IF(AND(COUNTIF(E$1237:E1561,1)&gt;7,MOD(1+IFERROR(MATCH($C959,总览!$D$46:$D$345,1)+1,1),7)=0),$C$3,0),0)</f>
        <v>2153.1440235358</v>
      </c>
      <c r="F959" s="131" cm="1">
        <f ca="1" t="array" ref="F959">IF(F1561=1,OFFSET($W$634,$B959,F$631-1)/SUMPRODUCT(--($D$631:$V$631=F$631),--($D1561:$V1561=1)),0)+SUM(F958)+IF(COUNTIF(F$1237:F1561,1)=1,5,0)+IF(COUNTIF(G959:$W959,"&gt;"&amp;0)&lt;5,IF(AND(COUNTIF(F$1237:F1561,1)&gt;7,MOD(1+IFERROR(MATCH($C959,总览!$D$46:$D$345,1)+1,1),7)=0),$C$3,0),0)</f>
        <v>2153.1440235358</v>
      </c>
      <c r="G959" s="131" cm="1">
        <f ca="1" t="array" ref="G959">IF(G1561=1,OFFSET($W$634,$B959,G$631-1)/SUMPRODUCT(--($D$631:$V$631=G$631),--($D1561:$V1561=1)),0)+SUM(G958)+IF(COUNTIF(G$1237:G1561,1)=1,5,0)+IF(COUNTIF(H959:$W959,"&gt;"&amp;0)&lt;5,IF(AND(COUNTIF(G$1237:G1561,1)&gt;7,MOD(1+IFERROR(MATCH($C959,总览!$D$46:$D$345,1)+1,1),7)=0),$C$3,0),0)</f>
        <v>1022.73333333334</v>
      </c>
      <c r="H959" s="131" cm="1">
        <f ca="1" t="array" ref="H959">IF(H1561=1,OFFSET($W$634,$B959,H$631-1)/SUMPRODUCT(--($D$631:$V$631=H$631),--($D1561:$V1561=1)),0)+SUM(H958)+IF(COUNTIF(H$1237:H1561,1)=1,5,0)+IF(COUNTIF(I959:$W959,"&gt;"&amp;0)&lt;5,IF(AND(COUNTIF(H$1237:H1561,1)&gt;7,MOD(1+IFERROR(MATCH($C959,总览!$D$46:$D$345,1)+1,1),7)=0),$C$3,0),0)</f>
        <v>1022.73333333334</v>
      </c>
      <c r="I959" s="131" cm="1">
        <f ca="1" t="array" ref="I959">IF(I1561=1,OFFSET($W$634,$B959,I$631-1)/SUMPRODUCT(--($D$631:$V$631=I$631),--($D1561:$V1561=1)),0)+SUM(I958)+IF(COUNTIF(I$1237:I1561,1)=1,5,0)+IF(COUNTIF(J959:$W959,"&gt;"&amp;0)&lt;5,IF(AND(COUNTIF(I$1237:I1561,1)&gt;7,MOD(1+IFERROR(MATCH($C959,总览!$D$46:$D$345,1)+1,1),7)=0),$C$3,0),0)</f>
        <v>1022.73333333334</v>
      </c>
      <c r="J959" s="131" cm="1">
        <f ca="1" t="array" ref="J959">IF(J1561=1,OFFSET($W$634,$B959,J$631-1)/SUMPRODUCT(--($D$631:$V$631=J$631),--($D1561:$V1561=1)),0)+SUM(J958)+IF(COUNTIF(J$1237:J1561,1)=1,5,0)+IF(COUNTIF(K959:$W959,"&gt;"&amp;0)&lt;5,IF(AND(COUNTIF(J$1237:J1561,1)&gt;7,MOD(1+IFERROR(MATCH($C959,总览!$D$46:$D$345,1)+1,1),7)=0),$C$3,0),0)</f>
        <v>1019.4</v>
      </c>
      <c r="K959" s="131" cm="1">
        <f ca="1" t="array" ref="K959">IF(K1561=1,OFFSET($W$634,$B959,K$631-1)/SUMPRODUCT(--($D$631:$V$631=K$631),--($D1561:$V1561=1)),0)+SUM(K958)+IF(COUNTIF(K$1237:K1561,1)=1,5,0)+IF(COUNTIF(L959:$W959,"&gt;"&amp;0)&lt;5,IF(AND(COUNTIF(K$1237:K1561,1)&gt;7,MOD(1+IFERROR(MATCH($C959,总览!$D$46:$D$345,1)+1,1),7)=0),$C$3,0),0)</f>
        <v>1016.9</v>
      </c>
      <c r="L959" s="131" cm="1">
        <f ca="1" t="array" ref="L959">IF(L1561=1,OFFSET($W$634,$B959,L$631-1)/SUMPRODUCT(--($D$631:$V$631=L$631),--($D1561:$V1561=1)),0)+SUM(L958)+IF(COUNTIF(L$1237:L1561,1)=1,5,0)+IF(COUNTIF(M959:$W959,"&gt;"&amp;0)&lt;5,IF(AND(COUNTIF(L$1237:L1561,1)&gt;7,MOD(1+IFERROR(MATCH($C959,总览!$D$46:$D$345,1)+1,1),7)=0),$C$3,0),0)</f>
        <v>1016.9</v>
      </c>
      <c r="M959" s="131" cm="1">
        <f ca="1" t="array" ref="M959">IF(M1561=1,OFFSET($W$634,$B959,M$631-1)/SUMPRODUCT(--($D$631:$V$631=M$631),--($D1561:$V1561=1)),0)+SUM(M958)+IF(COUNTIF(M$1237:M1561,1)=1,5,0)+IF(COUNTIF(N959:$W959,"&gt;"&amp;0)&lt;5,IF(AND(COUNTIF(M$1237:M1561,1)&gt;7,MOD(1+IFERROR(MATCH($C959,总览!$D$46:$D$345,1)+1,1),7)=0),$C$3,0),0)</f>
        <v>422.038392857144</v>
      </c>
      <c r="N959" s="131" cm="1">
        <f ca="1" t="array" ref="N959">IF(N1561=1,OFFSET($W$634,$B959,N$631-1)/SUMPRODUCT(--($D$631:$V$631=N$631),--($D1561:$V1561=1)),0)+SUM(N958)+IF(COUNTIF(N$1237:N1561,1)=1,5,0)+IF(COUNTIF(O959:$W959,"&gt;"&amp;0)&lt;5,IF(AND(COUNTIF(N$1237:N1561,1)&gt;7,MOD(1+IFERROR(MATCH($C959,总览!$D$46:$D$345,1)+1,1),7)=0),$C$3,0),0)</f>
        <v>423.288392857144</v>
      </c>
      <c r="O959" s="131" cm="1">
        <f ca="1" t="array" ref="O959">IF(O1561=1,OFFSET($W$634,$B959,O$631-1)/SUMPRODUCT(--($D$631:$V$631=O$631),--($D1561:$V1561=1)),0)+SUM(O958)+IF(COUNTIF(O$1237:O1561,1)=1,5,0)+IF(COUNTIF(P959:$W959,"&gt;"&amp;0)&lt;5,IF(AND(COUNTIF(O$1237:O1561,1)&gt;7,MOD(1+IFERROR(MATCH($C959,总览!$D$46:$D$345,1)+1,1),7)=0),$C$3,0),0)</f>
        <v>428.288392857144</v>
      </c>
      <c r="P959" s="131" cm="1">
        <f ca="1" t="array" ref="P959">IF(P1561=1,OFFSET($W$634,$B959,P$631-1)/SUMPRODUCT(--($D$631:$V$631=P$631),--($D1561:$V1561=1)),0)+SUM(P958)+IF(COUNTIF(P$1237:P1561,1)=1,5,0)+IF(COUNTIF(Q959:$W959,"&gt;"&amp;0)&lt;5,IF(AND(COUNTIF(P$1237:P1561,1)&gt;7,MOD(1+IFERROR(MATCH($C959,总览!$D$46:$D$345,1)+1,1),7)=0),$C$3,0),0)</f>
        <v>417.407142857144</v>
      </c>
      <c r="Q959" s="131" cm="1">
        <f ca="1" t="array" ref="Q959">IF(Q1561=1,OFFSET($W$634,$B959,Q$631-1)/SUMPRODUCT(--($D$631:$V$631=Q$631),--($D1561:$V1561=1)),0)+SUM(Q958)+IF(COUNTIF(Q$1237:Q1561,1)=1,5,0)+IF(COUNTIF(R959:$W959,"&gt;"&amp;0)&lt;5,IF(AND(COUNTIF(Q$1237:Q1561,1)&gt;7,MOD(1+IFERROR(MATCH($C959,总览!$D$46:$D$345,1)+1,1),7)=0),$C$3,0),0)</f>
        <v>430.788392857144</v>
      </c>
      <c r="R959" s="131" cm="1">
        <f ca="1" t="array" ref="R959">IF(R1561=1,OFFSET($W$634,$B959,R$631-1)/SUMPRODUCT(--($D$631:$V$631=R$631),--($D1561:$V1561=1)),0)+SUM(R958)+IF(COUNTIF(R$1237:R1561,1)=1,5,0)+IF(COUNTIF(S959:$W959,"&gt;"&amp;0)&lt;5,IF(AND(COUNTIF(R$1237:R1561,1)&gt;7,MOD(1+IFERROR(MATCH($C959,总览!$D$46:$D$345,1)+1,1),7)=0),$C$3,0),0)</f>
        <v>422.407142857144</v>
      </c>
      <c r="S959" s="131" cm="1">
        <f ca="1" t="array" ref="S959">IF(S1561=1,OFFSET($W$634,$B959,S$631-1)/SUMPRODUCT(--($D$631:$V$631=S$631),--($D1561:$V1561=1)),0)+SUM(S958)+IF(COUNTIF(S$1237:S1561,1)=1,5,0)+IF(COUNTIF(T959:$W959,"&gt;"&amp;0)&lt;5,IF(AND(COUNTIF(S$1237:S1561,1)&gt;7,MOD(1+IFERROR(MATCH($C959,总览!$D$46:$D$345,1)+1,1),7)=0),$C$3,0),0)</f>
        <v>514.907142857145</v>
      </c>
      <c r="T959" s="131" cm="1">
        <f ca="1" t="array" ref="T959">IF(T1561=1,OFFSET($W$634,$B959,T$631-1)/SUMPRODUCT(--($D$631:$V$631=T$631),--($D1561:$V1561=1)),0)+SUM(T958)+IF(COUNTIF(T$1237:T1561,1)=1,5,0)+IF(COUNTIF(U959:$W959,"&gt;"&amp;0)&lt;5,IF(AND(COUNTIF(T$1237:T1561,1)&gt;7,MOD(1+IFERROR(MATCH($C959,总览!$D$46:$D$345,1)+1,1),7)=0),$C$3,0),0)</f>
        <v>376.391452323185</v>
      </c>
      <c r="U959" s="131" cm="1">
        <f ca="1" t="array" ref="U959">IF(U1561=1,OFFSET($W$634,$B959,U$631-1)/SUMPRODUCT(--($D$631:$V$631=U$631),--($D1561:$V1561=1)),0)+SUM(U958)+IF(COUNTIF(U$1237:U1561,1)=1,5,0)+IF(COUNTIF(V959:$W959,"&gt;"&amp;0)&lt;5,IF(AND(COUNTIF(U$1237:U1561,1)&gt;7,MOD(1+IFERROR(MATCH($C959,总览!$D$46:$D$345,1)+1,1),7)=0),$C$3,0),0)</f>
        <v>381.912238678484</v>
      </c>
      <c r="V959" s="131" cm="1">
        <f ca="1" t="array" ref="V959">IF(V1561=1,OFFSET($W$634,$B959,V$631-1)/SUMPRODUCT(--($D$631:$V$631=V$631),--($D1561:$V1561=1)),0)+SUM(V958)+IF(COUNTIF(V$1237:V1561,1)=1,5,0)+IF(COUNTIF(W959:$W959,"&gt;"&amp;0)&lt;5,IF(AND(COUNTIF(V$1237:V1561,1)&gt;7,MOD(1+IFERROR(MATCH($C959,总览!$D$46:$D$345,1)+1,1),7)=0),$C$3,0),0)</f>
        <v>401.739238390917</v>
      </c>
      <c r="W959" s="135" cm="1">
        <f ca="1" t="array" ref="W959">SUMPRODUCT(TRANSPOSE($AA959:$AG959),OFFSET($L$9:$L$15,0,W$631-1))</f>
        <v>16.8502200646615</v>
      </c>
      <c r="X959" s="135" cm="1">
        <f ca="1" t="array" ref="X959">SUMPRODUCT(TRANSPOSE($AA959:$AG959),OFFSET($L$9:$L$15,0,X$631-1))</f>
        <v>20</v>
      </c>
      <c r="Y959" s="135" cm="1">
        <f ca="1" t="array" ref="Y959">SUMPRODUCT(TRANSPOSE($AA959:$AG959),OFFSET($L$9:$L$15,0,Y$631-1))</f>
        <v>10</v>
      </c>
      <c r="Z959" s="135" cm="1">
        <f ca="1" t="array" ref="Z959">SUMPRODUCT(TRANSPOSE($AA959:$AG959),OFFSET($L$9:$L$15,0,Z$631-1))</f>
        <v>3.14977993533847</v>
      </c>
      <c r="AA959" s="136">
        <f ca="1" t="shared" ref="AA959:AG959" si="899">AH959-AH958</f>
        <v>0</v>
      </c>
      <c r="AB959" s="136">
        <f ca="1" t="shared" si="899"/>
        <v>0</v>
      </c>
      <c r="AC959" s="136">
        <f ca="1" t="shared" si="899"/>
        <v>0</v>
      </c>
      <c r="AD959" s="136">
        <f ca="1" t="shared" si="899"/>
        <v>0</v>
      </c>
      <c r="AE959" s="136">
        <f ca="1" t="shared" si="899"/>
        <v>0</v>
      </c>
      <c r="AF959" s="136">
        <f ca="1" t="shared" si="899"/>
        <v>0</v>
      </c>
      <c r="AG959" s="136">
        <f ca="1" t="shared" si="899"/>
        <v>100</v>
      </c>
      <c r="AH959" s="136">
        <f ca="1" t="shared" si="891"/>
        <v>450</v>
      </c>
      <c r="AI959" s="136">
        <f ca="1" t="shared" ref="AI959:AN959" si="900">IF($C959&gt;OFFSET($Q$8,MATCH(AI$634,$AH$634:$AN$634,0),0),OFFSET($P$8,MATCH(AI$634,$AH$634:$AN$634,0),0),MAX(0,$C959-OFFSET($Q$8,RIGHT(AI$634,1)-1,0)))</f>
        <v>909</v>
      </c>
      <c r="AJ959" s="136">
        <f ca="1" t="shared" si="900"/>
        <v>1818</v>
      </c>
      <c r="AK959" s="136">
        <f ca="1" t="shared" si="900"/>
        <v>2727</v>
      </c>
      <c r="AL959" s="136">
        <f ca="1" t="shared" si="900"/>
        <v>3636</v>
      </c>
      <c r="AM959" s="136">
        <f ca="1" t="shared" si="900"/>
        <v>4545</v>
      </c>
      <c r="AN959" s="136">
        <f ca="1" t="shared" si="900"/>
        <v>18415</v>
      </c>
    </row>
    <row r="960" s="106" customFormat="1" ht="16.5" spans="2:40">
      <c r="B960" s="117">
        <v>326</v>
      </c>
      <c r="C960" s="130">
        <f t="shared" si="889"/>
        <v>32600</v>
      </c>
      <c r="D960" s="131" cm="1">
        <f ca="1" t="array" ref="D960">IF(D1562=1,OFFSET($W$634,$B960,D$631-1)/SUMPRODUCT(--($D$631:$V$631=D$631),--($D1562:$V1562=1)),0)+SUM(D959)+IF(COUNTIF(D$1237:D1562,1)=1,5,0)+IF(COUNTIF(E960:$W960,"&gt;"&amp;0)&lt;5,IF(AND(COUNTIF(D$1237:D1562,1)&gt;7,MOD(1+IFERROR(MATCH($C960,总览!$D$46:$D$345,1)+1,1),7)=0),$C$3,0),0)</f>
        <v>2158.76076355736</v>
      </c>
      <c r="E960" s="131" cm="1">
        <f ca="1" t="array" ref="E960">IF(E1562=1,OFFSET($W$634,$B960,E$631-1)/SUMPRODUCT(--($D$631:$V$631=E$631),--($D1562:$V1562=1)),0)+SUM(E959)+IF(COUNTIF(E$1237:E1562,1)=1,5,0)+IF(COUNTIF(F960:$W960,"&gt;"&amp;0)&lt;5,IF(AND(COUNTIF(E$1237:E1562,1)&gt;7,MOD(1+IFERROR(MATCH($C960,总览!$D$46:$D$345,1)+1,1),7)=0),$C$3,0),0)</f>
        <v>2158.76076355736</v>
      </c>
      <c r="F960" s="131" cm="1">
        <f ca="1" t="array" ref="F960">IF(F1562=1,OFFSET($W$634,$B960,F$631-1)/SUMPRODUCT(--($D$631:$V$631=F$631),--($D1562:$V1562=1)),0)+SUM(F959)+IF(COUNTIF(F$1237:F1562,1)=1,5,0)+IF(COUNTIF(G960:$W960,"&gt;"&amp;0)&lt;5,IF(AND(COUNTIF(F$1237:F1562,1)&gt;7,MOD(1+IFERROR(MATCH($C960,总览!$D$46:$D$345,1)+1,1),7)=0),$C$3,0),0)</f>
        <v>2158.76076355736</v>
      </c>
      <c r="G960" s="131" cm="1">
        <f ca="1" t="array" ref="G960">IF(G1562=1,OFFSET($W$634,$B960,G$631-1)/SUMPRODUCT(--($D$631:$V$631=G$631),--($D1562:$V1562=1)),0)+SUM(G959)+IF(COUNTIF(G$1237:G1562,1)=1,5,0)+IF(COUNTIF(H960:$W960,"&gt;"&amp;0)&lt;5,IF(AND(COUNTIF(G$1237:G1562,1)&gt;7,MOD(1+IFERROR(MATCH($C960,总览!$D$46:$D$345,1)+1,1),7)=0),$C$3,0),0)</f>
        <v>1026.06666666667</v>
      </c>
      <c r="H960" s="131" cm="1">
        <f ca="1" t="array" ref="H960">IF(H1562=1,OFFSET($W$634,$B960,H$631-1)/SUMPRODUCT(--($D$631:$V$631=H$631),--($D1562:$V1562=1)),0)+SUM(H959)+IF(COUNTIF(H$1237:H1562,1)=1,5,0)+IF(COUNTIF(I960:$W960,"&gt;"&amp;0)&lt;5,IF(AND(COUNTIF(H$1237:H1562,1)&gt;7,MOD(1+IFERROR(MATCH($C960,总览!$D$46:$D$345,1)+1,1),7)=0),$C$3,0),0)</f>
        <v>1026.06666666667</v>
      </c>
      <c r="I960" s="131" cm="1">
        <f ca="1" t="array" ref="I960">IF(I1562=1,OFFSET($W$634,$B960,I$631-1)/SUMPRODUCT(--($D$631:$V$631=I$631),--($D1562:$V1562=1)),0)+SUM(I959)+IF(COUNTIF(I$1237:I1562,1)=1,5,0)+IF(COUNTIF(J960:$W960,"&gt;"&amp;0)&lt;5,IF(AND(COUNTIF(I$1237:I1562,1)&gt;7,MOD(1+IFERROR(MATCH($C960,总览!$D$46:$D$345,1)+1,1),7)=0),$C$3,0),0)</f>
        <v>1026.06666666667</v>
      </c>
      <c r="J960" s="131" cm="1">
        <f ca="1" t="array" ref="J960">IF(J1562=1,OFFSET($W$634,$B960,J$631-1)/SUMPRODUCT(--($D$631:$V$631=J$631),--($D1562:$V1562=1)),0)+SUM(J959)+IF(COUNTIF(J$1237:J1562,1)=1,5,0)+IF(COUNTIF(K960:$W960,"&gt;"&amp;0)&lt;5,IF(AND(COUNTIF(J$1237:J1562,1)&gt;7,MOD(1+IFERROR(MATCH($C960,总览!$D$46:$D$345,1)+1,1),7)=0),$C$3,0),0)</f>
        <v>1022.73333333334</v>
      </c>
      <c r="K960" s="131" cm="1">
        <f ca="1" t="array" ref="K960">IF(K1562=1,OFFSET($W$634,$B960,K$631-1)/SUMPRODUCT(--($D$631:$V$631=K$631),--($D1562:$V1562=1)),0)+SUM(K959)+IF(COUNTIF(K$1237:K1562,1)=1,5,0)+IF(COUNTIF(L960:$W960,"&gt;"&amp;0)&lt;5,IF(AND(COUNTIF(K$1237:K1562,1)&gt;7,MOD(1+IFERROR(MATCH($C960,总览!$D$46:$D$345,1)+1,1),7)=0),$C$3,0),0)</f>
        <v>1020.23333333334</v>
      </c>
      <c r="L960" s="131" cm="1">
        <f ca="1" t="array" ref="L960">IF(L1562=1,OFFSET($W$634,$B960,L$631-1)/SUMPRODUCT(--($D$631:$V$631=L$631),--($D1562:$V1562=1)),0)+SUM(L959)+IF(COUNTIF(L$1237:L1562,1)=1,5,0)+IF(COUNTIF(M960:$W960,"&gt;"&amp;0)&lt;5,IF(AND(COUNTIF(L$1237:L1562,1)&gt;7,MOD(1+IFERROR(MATCH($C960,总览!$D$46:$D$345,1)+1,1),7)=0),$C$3,0),0)</f>
        <v>1020.23333333334</v>
      </c>
      <c r="M960" s="131" cm="1">
        <f ca="1" t="array" ref="M960">IF(M1562=1,OFFSET($W$634,$B960,M$631-1)/SUMPRODUCT(--($D$631:$V$631=M$631),--($D1562:$V1562=1)),0)+SUM(M959)+IF(COUNTIF(M$1237:M1562,1)=1,5,0)+IF(COUNTIF(N960:$W960,"&gt;"&amp;0)&lt;5,IF(AND(COUNTIF(M$1237:M1562,1)&gt;7,MOD(1+IFERROR(MATCH($C960,总览!$D$46:$D$345,1)+1,1),7)=0),$C$3,0),0)</f>
        <v>423.466964285715</v>
      </c>
      <c r="N960" s="131" cm="1">
        <f ca="1" t="array" ref="N960">IF(N1562=1,OFFSET($W$634,$B960,N$631-1)/SUMPRODUCT(--($D$631:$V$631=N$631),--($D1562:$V1562=1)),0)+SUM(N959)+IF(COUNTIF(N$1237:N1562,1)=1,5,0)+IF(COUNTIF(O960:$W960,"&gt;"&amp;0)&lt;5,IF(AND(COUNTIF(N$1237:N1562,1)&gt;7,MOD(1+IFERROR(MATCH($C960,总览!$D$46:$D$345,1)+1,1),7)=0),$C$3,0),0)</f>
        <v>424.716964285715</v>
      </c>
      <c r="O960" s="131" cm="1">
        <f ca="1" t="array" ref="O960">IF(O1562=1,OFFSET($W$634,$B960,O$631-1)/SUMPRODUCT(--($D$631:$V$631=O$631),--($D1562:$V1562=1)),0)+SUM(O959)+IF(COUNTIF(O$1237:O1562,1)=1,5,0)+IF(COUNTIF(P960:$W960,"&gt;"&amp;0)&lt;5,IF(AND(COUNTIF(O$1237:O1562,1)&gt;7,MOD(1+IFERROR(MATCH($C960,总览!$D$46:$D$345,1)+1,1),7)=0),$C$3,0),0)</f>
        <v>429.716964285715</v>
      </c>
      <c r="P960" s="131" cm="1">
        <f ca="1" t="array" ref="P960">IF(P1562=1,OFFSET($W$634,$B960,P$631-1)/SUMPRODUCT(--($D$631:$V$631=P$631),--($D1562:$V1562=1)),0)+SUM(P959)+IF(COUNTIF(P$1237:P1562,1)=1,5,0)+IF(COUNTIF(Q960:$W960,"&gt;"&amp;0)&lt;5,IF(AND(COUNTIF(P$1237:P1562,1)&gt;7,MOD(1+IFERROR(MATCH($C960,总览!$D$46:$D$345,1)+1,1),7)=0),$C$3,0),0)</f>
        <v>418.835714285715</v>
      </c>
      <c r="Q960" s="131" cm="1">
        <f ca="1" t="array" ref="Q960">IF(Q1562=1,OFFSET($W$634,$B960,Q$631-1)/SUMPRODUCT(--($D$631:$V$631=Q$631),--($D1562:$V1562=1)),0)+SUM(Q959)+IF(COUNTIF(Q$1237:Q1562,1)=1,5,0)+IF(COUNTIF(R960:$W960,"&gt;"&amp;0)&lt;5,IF(AND(COUNTIF(Q$1237:Q1562,1)&gt;7,MOD(1+IFERROR(MATCH($C960,总览!$D$46:$D$345,1)+1,1),7)=0),$C$3,0),0)</f>
        <v>432.216964285715</v>
      </c>
      <c r="R960" s="131" cm="1">
        <f ca="1" t="array" ref="R960">IF(R1562=1,OFFSET($W$634,$B960,R$631-1)/SUMPRODUCT(--($D$631:$V$631=R$631),--($D1562:$V1562=1)),0)+SUM(R959)+IF(COUNTIF(R$1237:R1562,1)=1,5,0)+IF(COUNTIF(S960:$W960,"&gt;"&amp;0)&lt;5,IF(AND(COUNTIF(R$1237:R1562,1)&gt;7,MOD(1+IFERROR(MATCH($C960,总览!$D$46:$D$345,1)+1,1),7)=0),$C$3,0),0)</f>
        <v>423.835714285715</v>
      </c>
      <c r="S960" s="131" cm="1">
        <f ca="1" t="array" ref="S960">IF(S1562=1,OFFSET($W$634,$B960,S$631-1)/SUMPRODUCT(--($D$631:$V$631=S$631),--($D1562:$V1562=1)),0)+SUM(S959)+IF(COUNTIF(S$1237:S1562,1)=1,5,0)+IF(COUNTIF(T960:$W960,"&gt;"&amp;0)&lt;5,IF(AND(COUNTIF(S$1237:S1562,1)&gt;7,MOD(1+IFERROR(MATCH($C960,总览!$D$46:$D$345,1)+1,1),7)=0),$C$3,0),0)</f>
        <v>516.335714285716</v>
      </c>
      <c r="T960" s="131" cm="1">
        <f ca="1" t="array" ref="T960">IF(T1562=1,OFFSET($W$634,$B960,T$631-1)/SUMPRODUCT(--($D$631:$V$631=T$631),--($D1562:$V1562=1)),0)+SUM(T959)+IF(COUNTIF(T$1237:T1562,1)=1,5,0)+IF(COUNTIF(U960:$W960,"&gt;"&amp;0)&lt;5,IF(AND(COUNTIF(T$1237:T1562,1)&gt;7,MOD(1+IFERROR(MATCH($C960,总览!$D$46:$D$345,1)+1,1),7)=0),$C$3,0),0)</f>
        <v>377.441378968297</v>
      </c>
      <c r="U960" s="131" cm="1">
        <f ca="1" t="array" ref="U960">IF(U1562=1,OFFSET($W$634,$B960,U$631-1)/SUMPRODUCT(--($D$631:$V$631=U$631),--($D1562:$V1562=1)),0)+SUM(U959)+IF(COUNTIF(U$1237:U1562,1)=1,5,0)+IF(COUNTIF(V960:$W960,"&gt;"&amp;0)&lt;5,IF(AND(COUNTIF(U$1237:U1562,1)&gt;7,MOD(1+IFERROR(MATCH($C960,总览!$D$46:$D$345,1)+1,1),7)=0),$C$3,0),0)</f>
        <v>382.962165323597</v>
      </c>
      <c r="V960" s="131" cm="1">
        <f ca="1" t="array" ref="V960">IF(V1562=1,OFFSET($W$634,$B960,V$631-1)/SUMPRODUCT(--($D$631:$V$631=V$631),--($D1562:$V1562=1)),0)+SUM(V959)+IF(COUNTIF(V$1237:V1562,1)=1,5,0)+IF(COUNTIF(W960:$W960,"&gt;"&amp;0)&lt;5,IF(AND(COUNTIF(V$1237:V1562,1)&gt;7,MOD(1+IFERROR(MATCH($C960,总览!$D$46:$D$345,1)+1,1),7)=0),$C$3,0),0)</f>
        <v>402.78916503603</v>
      </c>
      <c r="W960" s="135" cm="1">
        <f ca="1" t="array" ref="W960">SUMPRODUCT(TRANSPOSE($AA960:$AG960),OFFSET($L$9:$L$15,0,W$631-1))</f>
        <v>16.8502200646615</v>
      </c>
      <c r="X960" s="135" cm="1">
        <f ca="1" t="array" ref="X960">SUMPRODUCT(TRANSPOSE($AA960:$AG960),OFFSET($L$9:$L$15,0,X$631-1))</f>
        <v>20</v>
      </c>
      <c r="Y960" s="135" cm="1">
        <f ca="1" t="array" ref="Y960">SUMPRODUCT(TRANSPOSE($AA960:$AG960),OFFSET($L$9:$L$15,0,Y$631-1))</f>
        <v>10</v>
      </c>
      <c r="Z960" s="135" cm="1">
        <f ca="1" t="array" ref="Z960">SUMPRODUCT(TRANSPOSE($AA960:$AG960),OFFSET($L$9:$L$15,0,Z$631-1))</f>
        <v>3.14977993533847</v>
      </c>
      <c r="AA960" s="136">
        <f ca="1" t="shared" ref="AA960:AG960" si="901">AH960-AH959</f>
        <v>0</v>
      </c>
      <c r="AB960" s="136">
        <f ca="1" t="shared" si="901"/>
        <v>0</v>
      </c>
      <c r="AC960" s="136">
        <f ca="1" t="shared" si="901"/>
        <v>0</v>
      </c>
      <c r="AD960" s="136">
        <f ca="1" t="shared" si="901"/>
        <v>0</v>
      </c>
      <c r="AE960" s="136">
        <f ca="1" t="shared" si="901"/>
        <v>0</v>
      </c>
      <c r="AF960" s="136">
        <f ca="1" t="shared" si="901"/>
        <v>0</v>
      </c>
      <c r="AG960" s="136">
        <f ca="1" t="shared" si="901"/>
        <v>100</v>
      </c>
      <c r="AH960" s="136">
        <f ca="1" t="shared" si="891"/>
        <v>450</v>
      </c>
      <c r="AI960" s="136">
        <f ca="1" t="shared" ref="AI960:AN960" si="902">IF($C960&gt;OFFSET($Q$8,MATCH(AI$634,$AH$634:$AN$634,0),0),OFFSET($P$8,MATCH(AI$634,$AH$634:$AN$634,0),0),MAX(0,$C960-OFFSET($Q$8,RIGHT(AI$634,1)-1,0)))</f>
        <v>909</v>
      </c>
      <c r="AJ960" s="136">
        <f ca="1" t="shared" si="902"/>
        <v>1818</v>
      </c>
      <c r="AK960" s="136">
        <f ca="1" t="shared" si="902"/>
        <v>2727</v>
      </c>
      <c r="AL960" s="136">
        <f ca="1" t="shared" si="902"/>
        <v>3636</v>
      </c>
      <c r="AM960" s="136">
        <f ca="1" t="shared" si="902"/>
        <v>4545</v>
      </c>
      <c r="AN960" s="136">
        <f ca="1" t="shared" si="902"/>
        <v>18515</v>
      </c>
    </row>
    <row r="961" s="106" customFormat="1" ht="16.5" spans="2:40">
      <c r="B961" s="117">
        <v>327</v>
      </c>
      <c r="C961" s="130">
        <f t="shared" si="889"/>
        <v>32700</v>
      </c>
      <c r="D961" s="131" cm="1">
        <f ca="1" t="array" ref="D961">IF(D1563=1,OFFSET($W$634,$B961,D$631-1)/SUMPRODUCT(--($D$631:$V$631=D$631),--($D1563:$V1563=1)),0)+SUM(D960)+IF(COUNTIF(D$1237:D1563,1)=1,5,0)+IF(COUNTIF(E961:$W961,"&gt;"&amp;0)&lt;5,IF(AND(COUNTIF(D$1237:D1563,1)&gt;7,MOD(1+IFERROR(MATCH($C961,总览!$D$46:$D$345,1)+1,1),7)=0),$C$3,0),0)</f>
        <v>2164.37750357891</v>
      </c>
      <c r="E961" s="131" cm="1">
        <f ca="1" t="array" ref="E961">IF(E1563=1,OFFSET($W$634,$B961,E$631-1)/SUMPRODUCT(--($D$631:$V$631=E$631),--($D1563:$V1563=1)),0)+SUM(E960)+IF(COUNTIF(E$1237:E1563,1)=1,5,0)+IF(COUNTIF(F961:$W961,"&gt;"&amp;0)&lt;5,IF(AND(COUNTIF(E$1237:E1563,1)&gt;7,MOD(1+IFERROR(MATCH($C961,总览!$D$46:$D$345,1)+1,1),7)=0),$C$3,0),0)</f>
        <v>2164.37750357891</v>
      </c>
      <c r="F961" s="131" cm="1">
        <f ca="1" t="array" ref="F961">IF(F1563=1,OFFSET($W$634,$B961,F$631-1)/SUMPRODUCT(--($D$631:$V$631=F$631),--($D1563:$V1563=1)),0)+SUM(F960)+IF(COUNTIF(F$1237:F1563,1)=1,5,0)+IF(COUNTIF(G961:$W961,"&gt;"&amp;0)&lt;5,IF(AND(COUNTIF(F$1237:F1563,1)&gt;7,MOD(1+IFERROR(MATCH($C961,总览!$D$46:$D$345,1)+1,1),7)=0),$C$3,0),0)</f>
        <v>2164.37750357891</v>
      </c>
      <c r="G961" s="131" cm="1">
        <f ca="1" t="array" ref="G961">IF(G1563=1,OFFSET($W$634,$B961,G$631-1)/SUMPRODUCT(--($D$631:$V$631=G$631),--($D1563:$V1563=1)),0)+SUM(G960)+IF(COUNTIF(G$1237:G1563,1)=1,5,0)+IF(COUNTIF(H961:$W961,"&gt;"&amp;0)&lt;5,IF(AND(COUNTIF(G$1237:G1563,1)&gt;7,MOD(1+IFERROR(MATCH($C961,总览!$D$46:$D$345,1)+1,1),7)=0),$C$3,0),0)</f>
        <v>1029.4</v>
      </c>
      <c r="H961" s="131" cm="1">
        <f ca="1" t="array" ref="H961">IF(H1563=1,OFFSET($W$634,$B961,H$631-1)/SUMPRODUCT(--($D$631:$V$631=H$631),--($D1563:$V1563=1)),0)+SUM(H960)+IF(COUNTIF(H$1237:H1563,1)=1,5,0)+IF(COUNTIF(I961:$W961,"&gt;"&amp;0)&lt;5,IF(AND(COUNTIF(H$1237:H1563,1)&gt;7,MOD(1+IFERROR(MATCH($C961,总览!$D$46:$D$345,1)+1,1),7)=0),$C$3,0),0)</f>
        <v>1029.4</v>
      </c>
      <c r="I961" s="131" cm="1">
        <f ca="1" t="array" ref="I961">IF(I1563=1,OFFSET($W$634,$B961,I$631-1)/SUMPRODUCT(--($D$631:$V$631=I$631),--($D1563:$V1563=1)),0)+SUM(I960)+IF(COUNTIF(I$1237:I1563,1)=1,5,0)+IF(COUNTIF(J961:$W961,"&gt;"&amp;0)&lt;5,IF(AND(COUNTIF(I$1237:I1563,1)&gt;7,MOD(1+IFERROR(MATCH($C961,总览!$D$46:$D$345,1)+1,1),7)=0),$C$3,0),0)</f>
        <v>1029.4</v>
      </c>
      <c r="J961" s="131" cm="1">
        <f ca="1" t="array" ref="J961">IF(J1563=1,OFFSET($W$634,$B961,J$631-1)/SUMPRODUCT(--($D$631:$V$631=J$631),--($D1563:$V1563=1)),0)+SUM(J960)+IF(COUNTIF(J$1237:J1563,1)=1,5,0)+IF(COUNTIF(K961:$W961,"&gt;"&amp;0)&lt;5,IF(AND(COUNTIF(J$1237:J1563,1)&gt;7,MOD(1+IFERROR(MATCH($C961,总览!$D$46:$D$345,1)+1,1),7)=0),$C$3,0),0)</f>
        <v>1026.06666666667</v>
      </c>
      <c r="K961" s="131" cm="1">
        <f ca="1" t="array" ref="K961">IF(K1563=1,OFFSET($W$634,$B961,K$631-1)/SUMPRODUCT(--($D$631:$V$631=K$631),--($D1563:$V1563=1)),0)+SUM(K960)+IF(COUNTIF(K$1237:K1563,1)=1,5,0)+IF(COUNTIF(L961:$W961,"&gt;"&amp;0)&lt;5,IF(AND(COUNTIF(K$1237:K1563,1)&gt;7,MOD(1+IFERROR(MATCH($C961,总览!$D$46:$D$345,1)+1,1),7)=0),$C$3,0),0)</f>
        <v>1023.56666666667</v>
      </c>
      <c r="L961" s="131" cm="1">
        <f ca="1" t="array" ref="L961">IF(L1563=1,OFFSET($W$634,$B961,L$631-1)/SUMPRODUCT(--($D$631:$V$631=L$631),--($D1563:$V1563=1)),0)+SUM(L960)+IF(COUNTIF(L$1237:L1563,1)=1,5,0)+IF(COUNTIF(M961:$W961,"&gt;"&amp;0)&lt;5,IF(AND(COUNTIF(L$1237:L1563,1)&gt;7,MOD(1+IFERROR(MATCH($C961,总览!$D$46:$D$345,1)+1,1),7)=0),$C$3,0),0)</f>
        <v>1023.56666666667</v>
      </c>
      <c r="M961" s="131" cm="1">
        <f ca="1" t="array" ref="M961">IF(M1563=1,OFFSET($W$634,$B961,M$631-1)/SUMPRODUCT(--($D$631:$V$631=M$631),--($D1563:$V1563=1)),0)+SUM(M960)+IF(COUNTIF(M$1237:M1563,1)=1,5,0)+IF(COUNTIF(N961:$W961,"&gt;"&amp;0)&lt;5,IF(AND(COUNTIF(M$1237:M1563,1)&gt;7,MOD(1+IFERROR(MATCH($C961,总览!$D$46:$D$345,1)+1,1),7)=0),$C$3,0),0)</f>
        <v>424.895535714286</v>
      </c>
      <c r="N961" s="131" cm="1">
        <f ca="1" t="array" ref="N961">IF(N1563=1,OFFSET($W$634,$B961,N$631-1)/SUMPRODUCT(--($D$631:$V$631=N$631),--($D1563:$V1563=1)),0)+SUM(N960)+IF(COUNTIF(N$1237:N1563,1)=1,5,0)+IF(COUNTIF(O961:$W961,"&gt;"&amp;0)&lt;5,IF(AND(COUNTIF(N$1237:N1563,1)&gt;7,MOD(1+IFERROR(MATCH($C961,总览!$D$46:$D$345,1)+1,1),7)=0),$C$3,0),0)</f>
        <v>426.145535714286</v>
      </c>
      <c r="O961" s="131" cm="1">
        <f ca="1" t="array" ref="O961">IF(O1563=1,OFFSET($W$634,$B961,O$631-1)/SUMPRODUCT(--($D$631:$V$631=O$631),--($D1563:$V1563=1)),0)+SUM(O960)+IF(COUNTIF(O$1237:O1563,1)=1,5,0)+IF(COUNTIF(P961:$W961,"&gt;"&amp;0)&lt;5,IF(AND(COUNTIF(O$1237:O1563,1)&gt;7,MOD(1+IFERROR(MATCH($C961,总览!$D$46:$D$345,1)+1,1),7)=0),$C$3,0),0)</f>
        <v>431.145535714286</v>
      </c>
      <c r="P961" s="131" cm="1">
        <f ca="1" t="array" ref="P961">IF(P1563=1,OFFSET($W$634,$B961,P$631-1)/SUMPRODUCT(--($D$631:$V$631=P$631),--($D1563:$V1563=1)),0)+SUM(P960)+IF(COUNTIF(P$1237:P1563,1)=1,5,0)+IF(COUNTIF(Q961:$W961,"&gt;"&amp;0)&lt;5,IF(AND(COUNTIF(P$1237:P1563,1)&gt;7,MOD(1+IFERROR(MATCH($C961,总览!$D$46:$D$345,1)+1,1),7)=0),$C$3,0),0)</f>
        <v>420.264285714286</v>
      </c>
      <c r="Q961" s="131" cm="1">
        <f ca="1" t="array" ref="Q961">IF(Q1563=1,OFFSET($W$634,$B961,Q$631-1)/SUMPRODUCT(--($D$631:$V$631=Q$631),--($D1563:$V1563=1)),0)+SUM(Q960)+IF(COUNTIF(Q$1237:Q1563,1)=1,5,0)+IF(COUNTIF(R961:$W961,"&gt;"&amp;0)&lt;5,IF(AND(COUNTIF(Q$1237:Q1563,1)&gt;7,MOD(1+IFERROR(MATCH($C961,总览!$D$46:$D$345,1)+1,1),7)=0),$C$3,0),0)</f>
        <v>433.645535714286</v>
      </c>
      <c r="R961" s="131" cm="1">
        <f ca="1" t="array" ref="R961">IF(R1563=1,OFFSET($W$634,$B961,R$631-1)/SUMPRODUCT(--($D$631:$V$631=R$631),--($D1563:$V1563=1)),0)+SUM(R960)+IF(COUNTIF(R$1237:R1563,1)=1,5,0)+IF(COUNTIF(S961:$W961,"&gt;"&amp;0)&lt;5,IF(AND(COUNTIF(R$1237:R1563,1)&gt;7,MOD(1+IFERROR(MATCH($C961,总览!$D$46:$D$345,1)+1,1),7)=0),$C$3,0),0)</f>
        <v>425.264285714286</v>
      </c>
      <c r="S961" s="131" cm="1">
        <f ca="1" t="array" ref="S961">IF(S1563=1,OFFSET($W$634,$B961,S$631-1)/SUMPRODUCT(--($D$631:$V$631=S$631),--($D1563:$V1563=1)),0)+SUM(S960)+IF(COUNTIF(S$1237:S1563,1)=1,5,0)+IF(COUNTIF(T961:$W961,"&gt;"&amp;0)&lt;5,IF(AND(COUNTIF(S$1237:S1563,1)&gt;7,MOD(1+IFERROR(MATCH($C961,总览!$D$46:$D$345,1)+1,1),7)=0),$C$3,0),0)</f>
        <v>517.764285714288</v>
      </c>
      <c r="T961" s="131" cm="1">
        <f ca="1" t="array" ref="T961">IF(T1563=1,OFFSET($W$634,$B961,T$631-1)/SUMPRODUCT(--($D$631:$V$631=T$631),--($D1563:$V1563=1)),0)+SUM(T960)+IF(COUNTIF(T$1237:T1563,1)=1,5,0)+IF(COUNTIF(U961:$W961,"&gt;"&amp;0)&lt;5,IF(AND(COUNTIF(T$1237:T1563,1)&gt;7,MOD(1+IFERROR(MATCH($C961,总览!$D$46:$D$345,1)+1,1),7)=0),$C$3,0),0)</f>
        <v>378.49130561341</v>
      </c>
      <c r="U961" s="131" cm="1">
        <f ca="1" t="array" ref="U961">IF(U1563=1,OFFSET($W$634,$B961,U$631-1)/SUMPRODUCT(--($D$631:$V$631=U$631),--($D1563:$V1563=1)),0)+SUM(U960)+IF(COUNTIF(U$1237:U1563,1)=1,5,0)+IF(COUNTIF(V961:$W961,"&gt;"&amp;0)&lt;5,IF(AND(COUNTIF(U$1237:U1563,1)&gt;7,MOD(1+IFERROR(MATCH($C961,总览!$D$46:$D$345,1)+1,1),7)=0),$C$3,0),0)</f>
        <v>384.01209196871</v>
      </c>
      <c r="V961" s="131" cm="1">
        <f ca="1" t="array" ref="V961">IF(V1563=1,OFFSET($W$634,$B961,V$631-1)/SUMPRODUCT(--($D$631:$V$631=V$631),--($D1563:$V1563=1)),0)+SUM(V960)+IF(COUNTIF(V$1237:V1563,1)=1,5,0)+IF(COUNTIF(W961:$W961,"&gt;"&amp;0)&lt;5,IF(AND(COUNTIF(V$1237:V1563,1)&gt;7,MOD(1+IFERROR(MATCH($C961,总览!$D$46:$D$345,1)+1,1),7)=0),$C$3,0),0)</f>
        <v>403.839091681143</v>
      </c>
      <c r="W961" s="135" cm="1">
        <f ca="1" t="array" ref="W961">SUMPRODUCT(TRANSPOSE($AA961:$AG961),OFFSET($L$9:$L$15,0,W$631-1))</f>
        <v>16.8502200646615</v>
      </c>
      <c r="X961" s="135" cm="1">
        <f ca="1" t="array" ref="X961">SUMPRODUCT(TRANSPOSE($AA961:$AG961),OFFSET($L$9:$L$15,0,X$631-1))</f>
        <v>20</v>
      </c>
      <c r="Y961" s="135" cm="1">
        <f ca="1" t="array" ref="Y961">SUMPRODUCT(TRANSPOSE($AA961:$AG961),OFFSET($L$9:$L$15,0,Y$631-1))</f>
        <v>10</v>
      </c>
      <c r="Z961" s="135" cm="1">
        <f ca="1" t="array" ref="Z961">SUMPRODUCT(TRANSPOSE($AA961:$AG961),OFFSET($L$9:$L$15,0,Z$631-1))</f>
        <v>3.14977993533847</v>
      </c>
      <c r="AA961" s="136">
        <f ca="1" t="shared" ref="AA961:AG961" si="903">AH961-AH960</f>
        <v>0</v>
      </c>
      <c r="AB961" s="136">
        <f ca="1" t="shared" si="903"/>
        <v>0</v>
      </c>
      <c r="AC961" s="136">
        <f ca="1" t="shared" si="903"/>
        <v>0</v>
      </c>
      <c r="AD961" s="136">
        <f ca="1" t="shared" si="903"/>
        <v>0</v>
      </c>
      <c r="AE961" s="136">
        <f ca="1" t="shared" si="903"/>
        <v>0</v>
      </c>
      <c r="AF961" s="136">
        <f ca="1" t="shared" si="903"/>
        <v>0</v>
      </c>
      <c r="AG961" s="136">
        <f ca="1" t="shared" si="903"/>
        <v>100</v>
      </c>
      <c r="AH961" s="136">
        <f ca="1" t="shared" si="891"/>
        <v>450</v>
      </c>
      <c r="AI961" s="136">
        <f ca="1" t="shared" ref="AI961:AN961" si="904">IF($C961&gt;OFFSET($Q$8,MATCH(AI$634,$AH$634:$AN$634,0),0),OFFSET($P$8,MATCH(AI$634,$AH$634:$AN$634,0),0),MAX(0,$C961-OFFSET($Q$8,RIGHT(AI$634,1)-1,0)))</f>
        <v>909</v>
      </c>
      <c r="AJ961" s="136">
        <f ca="1" t="shared" si="904"/>
        <v>1818</v>
      </c>
      <c r="AK961" s="136">
        <f ca="1" t="shared" si="904"/>
        <v>2727</v>
      </c>
      <c r="AL961" s="136">
        <f ca="1" t="shared" si="904"/>
        <v>3636</v>
      </c>
      <c r="AM961" s="136">
        <f ca="1" t="shared" si="904"/>
        <v>4545</v>
      </c>
      <c r="AN961" s="136">
        <f ca="1" t="shared" si="904"/>
        <v>18615</v>
      </c>
    </row>
    <row r="962" s="106" customFormat="1" ht="16.5" spans="2:40">
      <c r="B962" s="117">
        <v>328</v>
      </c>
      <c r="C962" s="130">
        <f t="shared" si="889"/>
        <v>32800</v>
      </c>
      <c r="D962" s="131" cm="1">
        <f ca="1" t="array" ref="D962">IF(D1564=1,OFFSET($W$634,$B962,D$631-1)/SUMPRODUCT(--($D$631:$V$631=D$631),--($D1564:$V1564=1)),0)+SUM(D961)+IF(COUNTIF(D$1237:D1564,1)=1,5,0)+IF(COUNTIF(E962:$W962,"&gt;"&amp;0)&lt;5,IF(AND(COUNTIF(D$1237:D1564,1)&gt;7,MOD(1+IFERROR(MATCH($C962,总览!$D$46:$D$345,1)+1,1),7)=0),$C$3,0),0)</f>
        <v>2169.99424360047</v>
      </c>
      <c r="E962" s="131" cm="1">
        <f ca="1" t="array" ref="E962">IF(E1564=1,OFFSET($W$634,$B962,E$631-1)/SUMPRODUCT(--($D$631:$V$631=E$631),--($D1564:$V1564=1)),0)+SUM(E961)+IF(COUNTIF(E$1237:E1564,1)=1,5,0)+IF(COUNTIF(F962:$W962,"&gt;"&amp;0)&lt;5,IF(AND(COUNTIF(E$1237:E1564,1)&gt;7,MOD(1+IFERROR(MATCH($C962,总览!$D$46:$D$345,1)+1,1),7)=0),$C$3,0),0)</f>
        <v>2169.99424360047</v>
      </c>
      <c r="F962" s="131" cm="1">
        <f ca="1" t="array" ref="F962">IF(F1564=1,OFFSET($W$634,$B962,F$631-1)/SUMPRODUCT(--($D$631:$V$631=F$631),--($D1564:$V1564=1)),0)+SUM(F961)+IF(COUNTIF(F$1237:F1564,1)=1,5,0)+IF(COUNTIF(G962:$W962,"&gt;"&amp;0)&lt;5,IF(AND(COUNTIF(F$1237:F1564,1)&gt;7,MOD(1+IFERROR(MATCH($C962,总览!$D$46:$D$345,1)+1,1),7)=0),$C$3,0),0)</f>
        <v>2169.99424360047</v>
      </c>
      <c r="G962" s="131" cm="1">
        <f ca="1" t="array" ref="G962">IF(G1564=1,OFFSET($W$634,$B962,G$631-1)/SUMPRODUCT(--($D$631:$V$631=G$631),--($D1564:$V1564=1)),0)+SUM(G961)+IF(COUNTIF(G$1237:G1564,1)=1,5,0)+IF(COUNTIF(H962:$W962,"&gt;"&amp;0)&lt;5,IF(AND(COUNTIF(G$1237:G1564,1)&gt;7,MOD(1+IFERROR(MATCH($C962,总览!$D$46:$D$345,1)+1,1),7)=0),$C$3,0),0)</f>
        <v>1032.73333333334</v>
      </c>
      <c r="H962" s="131" cm="1">
        <f ca="1" t="array" ref="H962">IF(H1564=1,OFFSET($W$634,$B962,H$631-1)/SUMPRODUCT(--($D$631:$V$631=H$631),--($D1564:$V1564=1)),0)+SUM(H961)+IF(COUNTIF(H$1237:H1564,1)=1,5,0)+IF(COUNTIF(I962:$W962,"&gt;"&amp;0)&lt;5,IF(AND(COUNTIF(H$1237:H1564,1)&gt;7,MOD(1+IFERROR(MATCH($C962,总览!$D$46:$D$345,1)+1,1),7)=0),$C$3,0),0)</f>
        <v>1032.73333333334</v>
      </c>
      <c r="I962" s="131" cm="1">
        <f ca="1" t="array" ref="I962">IF(I1564=1,OFFSET($W$634,$B962,I$631-1)/SUMPRODUCT(--($D$631:$V$631=I$631),--($D1564:$V1564=1)),0)+SUM(I961)+IF(COUNTIF(I$1237:I1564,1)=1,5,0)+IF(COUNTIF(J962:$W962,"&gt;"&amp;0)&lt;5,IF(AND(COUNTIF(I$1237:I1564,1)&gt;7,MOD(1+IFERROR(MATCH($C962,总览!$D$46:$D$345,1)+1,1),7)=0),$C$3,0),0)</f>
        <v>1032.73333333334</v>
      </c>
      <c r="J962" s="131" cm="1">
        <f ca="1" t="array" ref="J962">IF(J1564=1,OFFSET($W$634,$B962,J$631-1)/SUMPRODUCT(--($D$631:$V$631=J$631),--($D1564:$V1564=1)),0)+SUM(J961)+IF(COUNTIF(J$1237:J1564,1)=1,5,0)+IF(COUNTIF(K962:$W962,"&gt;"&amp;0)&lt;5,IF(AND(COUNTIF(J$1237:J1564,1)&gt;7,MOD(1+IFERROR(MATCH($C962,总览!$D$46:$D$345,1)+1,1),7)=0),$C$3,0),0)</f>
        <v>1029.4</v>
      </c>
      <c r="K962" s="131" cm="1">
        <f ca="1" t="array" ref="K962">IF(K1564=1,OFFSET($W$634,$B962,K$631-1)/SUMPRODUCT(--($D$631:$V$631=K$631),--($D1564:$V1564=1)),0)+SUM(K961)+IF(COUNTIF(K$1237:K1564,1)=1,5,0)+IF(COUNTIF(L962:$W962,"&gt;"&amp;0)&lt;5,IF(AND(COUNTIF(K$1237:K1564,1)&gt;7,MOD(1+IFERROR(MATCH($C962,总览!$D$46:$D$345,1)+1,1),7)=0),$C$3,0),0)</f>
        <v>1026.9</v>
      </c>
      <c r="L962" s="131" cm="1">
        <f ca="1" t="array" ref="L962">IF(L1564=1,OFFSET($W$634,$B962,L$631-1)/SUMPRODUCT(--($D$631:$V$631=L$631),--($D1564:$V1564=1)),0)+SUM(L961)+IF(COUNTIF(L$1237:L1564,1)=1,5,0)+IF(COUNTIF(M962:$W962,"&gt;"&amp;0)&lt;5,IF(AND(COUNTIF(L$1237:L1564,1)&gt;7,MOD(1+IFERROR(MATCH($C962,总览!$D$46:$D$345,1)+1,1),7)=0),$C$3,0),0)</f>
        <v>1026.9</v>
      </c>
      <c r="M962" s="131" cm="1">
        <f ca="1" t="array" ref="M962">IF(M1564=1,OFFSET($W$634,$B962,M$631-1)/SUMPRODUCT(--($D$631:$V$631=M$631),--($D1564:$V1564=1)),0)+SUM(M961)+IF(COUNTIF(M$1237:M1564,1)=1,5,0)+IF(COUNTIF(N962:$W962,"&gt;"&amp;0)&lt;5,IF(AND(COUNTIF(M$1237:M1564,1)&gt;7,MOD(1+IFERROR(MATCH($C962,总览!$D$46:$D$345,1)+1,1),7)=0),$C$3,0),0)</f>
        <v>426.324107142858</v>
      </c>
      <c r="N962" s="131" cm="1">
        <f ca="1" t="array" ref="N962">IF(N1564=1,OFFSET($W$634,$B962,N$631-1)/SUMPRODUCT(--($D$631:$V$631=N$631),--($D1564:$V1564=1)),0)+SUM(N961)+IF(COUNTIF(N$1237:N1564,1)=1,5,0)+IF(COUNTIF(O962:$W962,"&gt;"&amp;0)&lt;5,IF(AND(COUNTIF(N$1237:N1564,1)&gt;7,MOD(1+IFERROR(MATCH($C962,总览!$D$46:$D$345,1)+1,1),7)=0),$C$3,0),0)</f>
        <v>427.574107142858</v>
      </c>
      <c r="O962" s="131" cm="1">
        <f ca="1" t="array" ref="O962">IF(O1564=1,OFFSET($W$634,$B962,O$631-1)/SUMPRODUCT(--($D$631:$V$631=O$631),--($D1564:$V1564=1)),0)+SUM(O961)+IF(COUNTIF(O$1237:O1564,1)=1,5,0)+IF(COUNTIF(P962:$W962,"&gt;"&amp;0)&lt;5,IF(AND(COUNTIF(O$1237:O1564,1)&gt;7,MOD(1+IFERROR(MATCH($C962,总览!$D$46:$D$345,1)+1,1),7)=0),$C$3,0),0)</f>
        <v>432.574107142858</v>
      </c>
      <c r="P962" s="131" cm="1">
        <f ca="1" t="array" ref="P962">IF(P1564=1,OFFSET($W$634,$B962,P$631-1)/SUMPRODUCT(--($D$631:$V$631=P$631),--($D1564:$V1564=1)),0)+SUM(P961)+IF(COUNTIF(P$1237:P1564,1)=1,5,0)+IF(COUNTIF(Q962:$W962,"&gt;"&amp;0)&lt;5,IF(AND(COUNTIF(P$1237:P1564,1)&gt;7,MOD(1+IFERROR(MATCH($C962,总览!$D$46:$D$345,1)+1,1),7)=0),$C$3,0),0)</f>
        <v>421.692857142858</v>
      </c>
      <c r="Q962" s="131" cm="1">
        <f ca="1" t="array" ref="Q962">IF(Q1564=1,OFFSET($W$634,$B962,Q$631-1)/SUMPRODUCT(--($D$631:$V$631=Q$631),--($D1564:$V1564=1)),0)+SUM(Q961)+IF(COUNTIF(Q$1237:Q1564,1)=1,5,0)+IF(COUNTIF(R962:$W962,"&gt;"&amp;0)&lt;5,IF(AND(COUNTIF(Q$1237:Q1564,1)&gt;7,MOD(1+IFERROR(MATCH($C962,总览!$D$46:$D$345,1)+1,1),7)=0),$C$3,0),0)</f>
        <v>435.074107142858</v>
      </c>
      <c r="R962" s="131" cm="1">
        <f ca="1" t="array" ref="R962">IF(R1564=1,OFFSET($W$634,$B962,R$631-1)/SUMPRODUCT(--($D$631:$V$631=R$631),--($D1564:$V1564=1)),0)+SUM(R961)+IF(COUNTIF(R$1237:R1564,1)=1,5,0)+IF(COUNTIF(S962:$W962,"&gt;"&amp;0)&lt;5,IF(AND(COUNTIF(R$1237:R1564,1)&gt;7,MOD(1+IFERROR(MATCH($C962,总览!$D$46:$D$345,1)+1,1),7)=0),$C$3,0),0)</f>
        <v>426.692857142858</v>
      </c>
      <c r="S962" s="131" cm="1">
        <f ca="1" t="array" ref="S962">IF(S1564=1,OFFSET($W$634,$B962,S$631-1)/SUMPRODUCT(--($D$631:$V$631=S$631),--($D1564:$V1564=1)),0)+SUM(S961)+IF(COUNTIF(S$1237:S1564,1)=1,5,0)+IF(COUNTIF(T962:$W962,"&gt;"&amp;0)&lt;5,IF(AND(COUNTIF(S$1237:S1564,1)&gt;7,MOD(1+IFERROR(MATCH($C962,总览!$D$46:$D$345,1)+1,1),7)=0),$C$3,0),0)</f>
        <v>519.192857142859</v>
      </c>
      <c r="T962" s="131" cm="1">
        <f ca="1" t="array" ref="T962">IF(T1564=1,OFFSET($W$634,$B962,T$631-1)/SUMPRODUCT(--($D$631:$V$631=T$631),--($D1564:$V1564=1)),0)+SUM(T961)+IF(COUNTIF(T$1237:T1564,1)=1,5,0)+IF(COUNTIF(U962:$W962,"&gt;"&amp;0)&lt;5,IF(AND(COUNTIF(T$1237:T1564,1)&gt;7,MOD(1+IFERROR(MATCH($C962,总览!$D$46:$D$345,1)+1,1),7)=0),$C$3,0),0)</f>
        <v>379.541232258523</v>
      </c>
      <c r="U962" s="131" cm="1">
        <f ca="1" t="array" ref="U962">IF(U1564=1,OFFSET($W$634,$B962,U$631-1)/SUMPRODUCT(--($D$631:$V$631=U$631),--($D1564:$V1564=1)),0)+SUM(U961)+IF(COUNTIF(U$1237:U1564,1)=1,5,0)+IF(COUNTIF(V962:$W962,"&gt;"&amp;0)&lt;5,IF(AND(COUNTIF(U$1237:U1564,1)&gt;7,MOD(1+IFERROR(MATCH($C962,总览!$D$46:$D$345,1)+1,1),7)=0),$C$3,0),0)</f>
        <v>385.062018613822</v>
      </c>
      <c r="V962" s="131" cm="1">
        <f ca="1" t="array" ref="V962">IF(V1564=1,OFFSET($W$634,$B962,V$631-1)/SUMPRODUCT(--($D$631:$V$631=V$631),--($D1564:$V1564=1)),0)+SUM(V961)+IF(COUNTIF(V$1237:V1564,1)=1,5,0)+IF(COUNTIF(W962:$W962,"&gt;"&amp;0)&lt;5,IF(AND(COUNTIF(V$1237:V1564,1)&gt;7,MOD(1+IFERROR(MATCH($C962,总览!$D$46:$D$345,1)+1,1),7)=0),$C$3,0),0)</f>
        <v>404.889018326255</v>
      </c>
      <c r="W962" s="135" cm="1">
        <f ca="1" t="array" ref="W962">SUMPRODUCT(TRANSPOSE($AA962:$AG962),OFFSET($L$9:$L$15,0,W$631-1))</f>
        <v>16.8502200646615</v>
      </c>
      <c r="X962" s="135" cm="1">
        <f ca="1" t="array" ref="X962">SUMPRODUCT(TRANSPOSE($AA962:$AG962),OFFSET($L$9:$L$15,0,X$631-1))</f>
        <v>20</v>
      </c>
      <c r="Y962" s="135" cm="1">
        <f ca="1" t="array" ref="Y962">SUMPRODUCT(TRANSPOSE($AA962:$AG962),OFFSET($L$9:$L$15,0,Y$631-1))</f>
        <v>10</v>
      </c>
      <c r="Z962" s="135" cm="1">
        <f ca="1" t="array" ref="Z962">SUMPRODUCT(TRANSPOSE($AA962:$AG962),OFFSET($L$9:$L$15,0,Z$631-1))</f>
        <v>3.14977993533847</v>
      </c>
      <c r="AA962" s="136">
        <f ca="1" t="shared" ref="AA962:AG962" si="905">AH962-AH961</f>
        <v>0</v>
      </c>
      <c r="AB962" s="136">
        <f ca="1" t="shared" si="905"/>
        <v>0</v>
      </c>
      <c r="AC962" s="136">
        <f ca="1" t="shared" si="905"/>
        <v>0</v>
      </c>
      <c r="AD962" s="136">
        <f ca="1" t="shared" si="905"/>
        <v>0</v>
      </c>
      <c r="AE962" s="136">
        <f ca="1" t="shared" si="905"/>
        <v>0</v>
      </c>
      <c r="AF962" s="136">
        <f ca="1" t="shared" si="905"/>
        <v>0</v>
      </c>
      <c r="AG962" s="136">
        <f ca="1" t="shared" si="905"/>
        <v>100</v>
      </c>
      <c r="AH962" s="136">
        <f ca="1" t="shared" si="891"/>
        <v>450</v>
      </c>
      <c r="AI962" s="136">
        <f ca="1" t="shared" ref="AI962:AN962" si="906">IF($C962&gt;OFFSET($Q$8,MATCH(AI$634,$AH$634:$AN$634,0),0),OFFSET($P$8,MATCH(AI$634,$AH$634:$AN$634,0),0),MAX(0,$C962-OFFSET($Q$8,RIGHT(AI$634,1)-1,0)))</f>
        <v>909</v>
      </c>
      <c r="AJ962" s="136">
        <f ca="1" t="shared" si="906"/>
        <v>1818</v>
      </c>
      <c r="AK962" s="136">
        <f ca="1" t="shared" si="906"/>
        <v>2727</v>
      </c>
      <c r="AL962" s="136">
        <f ca="1" t="shared" si="906"/>
        <v>3636</v>
      </c>
      <c r="AM962" s="136">
        <f ca="1" t="shared" si="906"/>
        <v>4545</v>
      </c>
      <c r="AN962" s="136">
        <f ca="1" t="shared" si="906"/>
        <v>18715</v>
      </c>
    </row>
    <row r="963" s="106" customFormat="1" ht="16.5" spans="2:40">
      <c r="B963" s="117">
        <v>329</v>
      </c>
      <c r="C963" s="130">
        <f t="shared" si="889"/>
        <v>32900</v>
      </c>
      <c r="D963" s="131" cm="1">
        <f ca="1" t="array" ref="D963">IF(D1565=1,OFFSET($W$634,$B963,D$631-1)/SUMPRODUCT(--($D$631:$V$631=D$631),--($D1565:$V1565=1)),0)+SUM(D962)+IF(COUNTIF(D$1237:D1565,1)=1,5,0)+IF(COUNTIF(E963:$W963,"&gt;"&amp;0)&lt;5,IF(AND(COUNTIF(D$1237:D1565,1)&gt;7,MOD(1+IFERROR(MATCH($C963,总览!$D$46:$D$345,1)+1,1),7)=0),$C$3,0),0)</f>
        <v>2175.61098362202</v>
      </c>
      <c r="E963" s="131" cm="1">
        <f ca="1" t="array" ref="E963">IF(E1565=1,OFFSET($W$634,$B963,E$631-1)/SUMPRODUCT(--($D$631:$V$631=E$631),--($D1565:$V1565=1)),0)+SUM(E962)+IF(COUNTIF(E$1237:E1565,1)=1,5,0)+IF(COUNTIF(F963:$W963,"&gt;"&amp;0)&lt;5,IF(AND(COUNTIF(E$1237:E1565,1)&gt;7,MOD(1+IFERROR(MATCH($C963,总览!$D$46:$D$345,1)+1,1),7)=0),$C$3,0),0)</f>
        <v>2175.61098362202</v>
      </c>
      <c r="F963" s="131" cm="1">
        <f ca="1" t="array" ref="F963">IF(F1565=1,OFFSET($W$634,$B963,F$631-1)/SUMPRODUCT(--($D$631:$V$631=F$631),--($D1565:$V1565=1)),0)+SUM(F962)+IF(COUNTIF(F$1237:F1565,1)=1,5,0)+IF(COUNTIF(G963:$W963,"&gt;"&amp;0)&lt;5,IF(AND(COUNTIF(F$1237:F1565,1)&gt;7,MOD(1+IFERROR(MATCH($C963,总览!$D$46:$D$345,1)+1,1),7)=0),$C$3,0),0)</f>
        <v>2175.61098362202</v>
      </c>
      <c r="G963" s="131" cm="1">
        <f ca="1" t="array" ref="G963">IF(G1565=1,OFFSET($W$634,$B963,G$631-1)/SUMPRODUCT(--($D$631:$V$631=G$631),--($D1565:$V1565=1)),0)+SUM(G962)+IF(COUNTIF(G$1237:G1565,1)=1,5,0)+IF(COUNTIF(H963:$W963,"&gt;"&amp;0)&lt;5,IF(AND(COUNTIF(G$1237:G1565,1)&gt;7,MOD(1+IFERROR(MATCH($C963,总览!$D$46:$D$345,1)+1,1),7)=0),$C$3,0),0)</f>
        <v>1036.06666666667</v>
      </c>
      <c r="H963" s="131" cm="1">
        <f ca="1" t="array" ref="H963">IF(H1565=1,OFFSET($W$634,$B963,H$631-1)/SUMPRODUCT(--($D$631:$V$631=H$631),--($D1565:$V1565=1)),0)+SUM(H962)+IF(COUNTIF(H$1237:H1565,1)=1,5,0)+IF(COUNTIF(I963:$W963,"&gt;"&amp;0)&lt;5,IF(AND(COUNTIF(H$1237:H1565,1)&gt;7,MOD(1+IFERROR(MATCH($C963,总览!$D$46:$D$345,1)+1,1),7)=0),$C$3,0),0)</f>
        <v>1036.06666666667</v>
      </c>
      <c r="I963" s="131" cm="1">
        <f ca="1" t="array" ref="I963">IF(I1565=1,OFFSET($W$634,$B963,I$631-1)/SUMPRODUCT(--($D$631:$V$631=I$631),--($D1565:$V1565=1)),0)+SUM(I962)+IF(COUNTIF(I$1237:I1565,1)=1,5,0)+IF(COUNTIF(J963:$W963,"&gt;"&amp;0)&lt;5,IF(AND(COUNTIF(I$1237:I1565,1)&gt;7,MOD(1+IFERROR(MATCH($C963,总览!$D$46:$D$345,1)+1,1),7)=0),$C$3,0),0)</f>
        <v>1036.06666666667</v>
      </c>
      <c r="J963" s="131" cm="1">
        <f ca="1" t="array" ref="J963">IF(J1565=1,OFFSET($W$634,$B963,J$631-1)/SUMPRODUCT(--($D$631:$V$631=J$631),--($D1565:$V1565=1)),0)+SUM(J962)+IF(COUNTIF(J$1237:J1565,1)=1,5,0)+IF(COUNTIF(K963:$W963,"&gt;"&amp;0)&lt;5,IF(AND(COUNTIF(J$1237:J1565,1)&gt;7,MOD(1+IFERROR(MATCH($C963,总览!$D$46:$D$345,1)+1,1),7)=0),$C$3,0),0)</f>
        <v>1032.73333333334</v>
      </c>
      <c r="K963" s="131" cm="1">
        <f ca="1" t="array" ref="K963">IF(K1565=1,OFFSET($W$634,$B963,K$631-1)/SUMPRODUCT(--($D$631:$V$631=K$631),--($D1565:$V1565=1)),0)+SUM(K962)+IF(COUNTIF(K$1237:K1565,1)=1,5,0)+IF(COUNTIF(L963:$W963,"&gt;"&amp;0)&lt;5,IF(AND(COUNTIF(K$1237:K1565,1)&gt;7,MOD(1+IFERROR(MATCH($C963,总览!$D$46:$D$345,1)+1,1),7)=0),$C$3,0),0)</f>
        <v>1030.23333333334</v>
      </c>
      <c r="L963" s="131" cm="1">
        <f ca="1" t="array" ref="L963">IF(L1565=1,OFFSET($W$634,$B963,L$631-1)/SUMPRODUCT(--($D$631:$V$631=L$631),--($D1565:$V1565=1)),0)+SUM(L962)+IF(COUNTIF(L$1237:L1565,1)=1,5,0)+IF(COUNTIF(M963:$W963,"&gt;"&amp;0)&lt;5,IF(AND(COUNTIF(L$1237:L1565,1)&gt;7,MOD(1+IFERROR(MATCH($C963,总览!$D$46:$D$345,1)+1,1),7)=0),$C$3,0),0)</f>
        <v>1030.23333333334</v>
      </c>
      <c r="M963" s="131" cm="1">
        <f ca="1" t="array" ref="M963">IF(M1565=1,OFFSET($W$634,$B963,M$631-1)/SUMPRODUCT(--($D$631:$V$631=M$631),--($D1565:$V1565=1)),0)+SUM(M962)+IF(COUNTIF(M$1237:M1565,1)=1,5,0)+IF(COUNTIF(N963:$W963,"&gt;"&amp;0)&lt;5,IF(AND(COUNTIF(M$1237:M1565,1)&gt;7,MOD(1+IFERROR(MATCH($C963,总览!$D$46:$D$345,1)+1,1),7)=0),$C$3,0),0)</f>
        <v>427.752678571429</v>
      </c>
      <c r="N963" s="131" cm="1">
        <f ca="1" t="array" ref="N963">IF(N1565=1,OFFSET($W$634,$B963,N$631-1)/SUMPRODUCT(--($D$631:$V$631=N$631),--($D1565:$V1565=1)),0)+SUM(N962)+IF(COUNTIF(N$1237:N1565,1)=1,5,0)+IF(COUNTIF(O963:$W963,"&gt;"&amp;0)&lt;5,IF(AND(COUNTIF(N$1237:N1565,1)&gt;7,MOD(1+IFERROR(MATCH($C963,总览!$D$46:$D$345,1)+1,1),7)=0),$C$3,0),0)</f>
        <v>429.002678571429</v>
      </c>
      <c r="O963" s="131" cm="1">
        <f ca="1" t="array" ref="O963">IF(O1565=1,OFFSET($W$634,$B963,O$631-1)/SUMPRODUCT(--($D$631:$V$631=O$631),--($D1565:$V1565=1)),0)+SUM(O962)+IF(COUNTIF(O$1237:O1565,1)=1,5,0)+IF(COUNTIF(P963:$W963,"&gt;"&amp;0)&lt;5,IF(AND(COUNTIF(O$1237:O1565,1)&gt;7,MOD(1+IFERROR(MATCH($C963,总览!$D$46:$D$345,1)+1,1),7)=0),$C$3,0),0)</f>
        <v>434.002678571429</v>
      </c>
      <c r="P963" s="131" cm="1">
        <f ca="1" t="array" ref="P963">IF(P1565=1,OFFSET($W$634,$B963,P$631-1)/SUMPRODUCT(--($D$631:$V$631=P$631),--($D1565:$V1565=1)),0)+SUM(P962)+IF(COUNTIF(P$1237:P1565,1)=1,5,0)+IF(COUNTIF(Q963:$W963,"&gt;"&amp;0)&lt;5,IF(AND(COUNTIF(P$1237:P1565,1)&gt;7,MOD(1+IFERROR(MATCH($C963,总览!$D$46:$D$345,1)+1,1),7)=0),$C$3,0),0)</f>
        <v>423.121428571429</v>
      </c>
      <c r="Q963" s="131" cm="1">
        <f ca="1" t="array" ref="Q963">IF(Q1565=1,OFFSET($W$634,$B963,Q$631-1)/SUMPRODUCT(--($D$631:$V$631=Q$631),--($D1565:$V1565=1)),0)+SUM(Q962)+IF(COUNTIF(Q$1237:Q1565,1)=1,5,0)+IF(COUNTIF(R963:$W963,"&gt;"&amp;0)&lt;5,IF(AND(COUNTIF(Q$1237:Q1565,1)&gt;7,MOD(1+IFERROR(MATCH($C963,总览!$D$46:$D$345,1)+1,1),7)=0),$C$3,0),0)</f>
        <v>436.502678571429</v>
      </c>
      <c r="R963" s="131" cm="1">
        <f ca="1" t="array" ref="R963">IF(R1565=1,OFFSET($W$634,$B963,R$631-1)/SUMPRODUCT(--($D$631:$V$631=R$631),--($D1565:$V1565=1)),0)+SUM(R962)+IF(COUNTIF(R$1237:R1565,1)=1,5,0)+IF(COUNTIF(S963:$W963,"&gt;"&amp;0)&lt;5,IF(AND(COUNTIF(R$1237:R1565,1)&gt;7,MOD(1+IFERROR(MATCH($C963,总览!$D$46:$D$345,1)+1,1),7)=0),$C$3,0),0)</f>
        <v>428.121428571429</v>
      </c>
      <c r="S963" s="131" cm="1">
        <f ca="1" t="array" ref="S963">IF(S1565=1,OFFSET($W$634,$B963,S$631-1)/SUMPRODUCT(--($D$631:$V$631=S$631),--($D1565:$V1565=1)),0)+SUM(S962)+IF(COUNTIF(S$1237:S1565,1)=1,5,0)+IF(COUNTIF(T963:$W963,"&gt;"&amp;0)&lt;5,IF(AND(COUNTIF(S$1237:S1565,1)&gt;7,MOD(1+IFERROR(MATCH($C963,总览!$D$46:$D$345,1)+1,1),7)=0),$C$3,0),0)</f>
        <v>520.62142857143</v>
      </c>
      <c r="T963" s="131" cm="1">
        <f ca="1" t="array" ref="T963">IF(T1565=1,OFFSET($W$634,$B963,T$631-1)/SUMPRODUCT(--($D$631:$V$631=T$631),--($D1565:$V1565=1)),0)+SUM(T962)+IF(COUNTIF(T$1237:T1565,1)=1,5,0)+IF(COUNTIF(U963:$W963,"&gt;"&amp;0)&lt;5,IF(AND(COUNTIF(T$1237:T1565,1)&gt;7,MOD(1+IFERROR(MATCH($C963,总览!$D$46:$D$345,1)+1,1),7)=0),$C$3,0),0)</f>
        <v>380.591158903636</v>
      </c>
      <c r="U963" s="131" cm="1">
        <f ca="1" t="array" ref="U963">IF(U1565=1,OFFSET($W$634,$B963,U$631-1)/SUMPRODUCT(--($D$631:$V$631=U$631),--($D1565:$V1565=1)),0)+SUM(U962)+IF(COUNTIF(U$1237:U1565,1)=1,5,0)+IF(COUNTIF(V963:$W963,"&gt;"&amp;0)&lt;5,IF(AND(COUNTIF(U$1237:U1565,1)&gt;7,MOD(1+IFERROR(MATCH($C963,总览!$D$46:$D$345,1)+1,1),7)=0),$C$3,0),0)</f>
        <v>386.111945258935</v>
      </c>
      <c r="V963" s="131" cm="1">
        <f ca="1" t="array" ref="V963">IF(V1565=1,OFFSET($W$634,$B963,V$631-1)/SUMPRODUCT(--($D$631:$V$631=V$631),--($D1565:$V1565=1)),0)+SUM(V962)+IF(COUNTIF(V$1237:V1565,1)=1,5,0)+IF(COUNTIF(W963:$W963,"&gt;"&amp;0)&lt;5,IF(AND(COUNTIF(V$1237:V1565,1)&gt;7,MOD(1+IFERROR(MATCH($C963,总览!$D$46:$D$345,1)+1,1),7)=0),$C$3,0),0)</f>
        <v>405.938944971368</v>
      </c>
      <c r="W963" s="135" cm="1">
        <f ca="1" t="array" ref="W963">SUMPRODUCT(TRANSPOSE($AA963:$AG963),OFFSET($L$9:$L$15,0,W$631-1))</f>
        <v>16.8502200646615</v>
      </c>
      <c r="X963" s="135" cm="1">
        <f ca="1" t="array" ref="X963">SUMPRODUCT(TRANSPOSE($AA963:$AG963),OFFSET($L$9:$L$15,0,X$631-1))</f>
        <v>20</v>
      </c>
      <c r="Y963" s="135" cm="1">
        <f ca="1" t="array" ref="Y963">SUMPRODUCT(TRANSPOSE($AA963:$AG963),OFFSET($L$9:$L$15,0,Y$631-1))</f>
        <v>10</v>
      </c>
      <c r="Z963" s="135" cm="1">
        <f ca="1" t="array" ref="Z963">SUMPRODUCT(TRANSPOSE($AA963:$AG963),OFFSET($L$9:$L$15,0,Z$631-1))</f>
        <v>3.14977993533847</v>
      </c>
      <c r="AA963" s="136">
        <f ca="1" t="shared" ref="AA963:AG963" si="907">AH963-AH962</f>
        <v>0</v>
      </c>
      <c r="AB963" s="136">
        <f ca="1" t="shared" si="907"/>
        <v>0</v>
      </c>
      <c r="AC963" s="136">
        <f ca="1" t="shared" si="907"/>
        <v>0</v>
      </c>
      <c r="AD963" s="136">
        <f ca="1" t="shared" si="907"/>
        <v>0</v>
      </c>
      <c r="AE963" s="136">
        <f ca="1" t="shared" si="907"/>
        <v>0</v>
      </c>
      <c r="AF963" s="136">
        <f ca="1" t="shared" si="907"/>
        <v>0</v>
      </c>
      <c r="AG963" s="136">
        <f ca="1" t="shared" si="907"/>
        <v>100</v>
      </c>
      <c r="AH963" s="136">
        <f ca="1" t="shared" si="891"/>
        <v>450</v>
      </c>
      <c r="AI963" s="136">
        <f ca="1" t="shared" ref="AI963:AN963" si="908">IF($C963&gt;OFFSET($Q$8,MATCH(AI$634,$AH$634:$AN$634,0),0),OFFSET($P$8,MATCH(AI$634,$AH$634:$AN$634,0),0),MAX(0,$C963-OFFSET($Q$8,RIGHT(AI$634,1)-1,0)))</f>
        <v>909</v>
      </c>
      <c r="AJ963" s="136">
        <f ca="1" t="shared" si="908"/>
        <v>1818</v>
      </c>
      <c r="AK963" s="136">
        <f ca="1" t="shared" si="908"/>
        <v>2727</v>
      </c>
      <c r="AL963" s="136">
        <f ca="1" t="shared" si="908"/>
        <v>3636</v>
      </c>
      <c r="AM963" s="136">
        <f ca="1" t="shared" si="908"/>
        <v>4545</v>
      </c>
      <c r="AN963" s="136">
        <f ca="1" t="shared" si="908"/>
        <v>18815</v>
      </c>
    </row>
    <row r="964" s="106" customFormat="1" ht="16.5" spans="2:40">
      <c r="B964" s="117">
        <v>330</v>
      </c>
      <c r="C964" s="130">
        <f t="shared" si="889"/>
        <v>33000</v>
      </c>
      <c r="D964" s="131" cm="1">
        <f ca="1" t="array" ref="D964">IF(D1566=1,OFFSET($W$634,$B964,D$631-1)/SUMPRODUCT(--($D$631:$V$631=D$631),--($D1566:$V1566=1)),0)+SUM(D963)+IF(COUNTIF(D$1237:D1566,1)=1,5,0)+IF(COUNTIF(E964:$W964,"&gt;"&amp;0)&lt;5,IF(AND(COUNTIF(D$1237:D1566,1)&gt;7,MOD(1+IFERROR(MATCH($C964,总览!$D$46:$D$345,1)+1,1),7)=0),$C$3,0),0)</f>
        <v>2181.22772364357</v>
      </c>
      <c r="E964" s="131" cm="1">
        <f ca="1" t="array" ref="E964">IF(E1566=1,OFFSET($W$634,$B964,E$631-1)/SUMPRODUCT(--($D$631:$V$631=E$631),--($D1566:$V1566=1)),0)+SUM(E963)+IF(COUNTIF(E$1237:E1566,1)=1,5,0)+IF(COUNTIF(F964:$W964,"&gt;"&amp;0)&lt;5,IF(AND(COUNTIF(E$1237:E1566,1)&gt;7,MOD(1+IFERROR(MATCH($C964,总览!$D$46:$D$345,1)+1,1),7)=0),$C$3,0),0)</f>
        <v>2181.22772364357</v>
      </c>
      <c r="F964" s="131" cm="1">
        <f ca="1" t="array" ref="F964">IF(F1566=1,OFFSET($W$634,$B964,F$631-1)/SUMPRODUCT(--($D$631:$V$631=F$631),--($D1566:$V1566=1)),0)+SUM(F963)+IF(COUNTIF(F$1237:F1566,1)=1,5,0)+IF(COUNTIF(G964:$W964,"&gt;"&amp;0)&lt;5,IF(AND(COUNTIF(F$1237:F1566,1)&gt;7,MOD(1+IFERROR(MATCH($C964,总览!$D$46:$D$345,1)+1,1),7)=0),$C$3,0),0)</f>
        <v>2181.22772364357</v>
      </c>
      <c r="G964" s="131" cm="1">
        <f ca="1" t="array" ref="G964">IF(G1566=1,OFFSET($W$634,$B964,G$631-1)/SUMPRODUCT(--($D$631:$V$631=G$631),--($D1566:$V1566=1)),0)+SUM(G963)+IF(COUNTIF(G$1237:G1566,1)=1,5,0)+IF(COUNTIF(H964:$W964,"&gt;"&amp;0)&lt;5,IF(AND(COUNTIF(G$1237:G1566,1)&gt;7,MOD(1+IFERROR(MATCH($C964,总览!$D$46:$D$345,1)+1,1),7)=0),$C$3,0),0)</f>
        <v>1039.4</v>
      </c>
      <c r="H964" s="131" cm="1">
        <f ca="1" t="array" ref="H964">IF(H1566=1,OFFSET($W$634,$B964,H$631-1)/SUMPRODUCT(--($D$631:$V$631=H$631),--($D1566:$V1566=1)),0)+SUM(H963)+IF(COUNTIF(H$1237:H1566,1)=1,5,0)+IF(COUNTIF(I964:$W964,"&gt;"&amp;0)&lt;5,IF(AND(COUNTIF(H$1237:H1566,1)&gt;7,MOD(1+IFERROR(MATCH($C964,总览!$D$46:$D$345,1)+1,1),7)=0),$C$3,0),0)</f>
        <v>1039.4</v>
      </c>
      <c r="I964" s="131" cm="1">
        <f ca="1" t="array" ref="I964">IF(I1566=1,OFFSET($W$634,$B964,I$631-1)/SUMPRODUCT(--($D$631:$V$631=I$631),--($D1566:$V1566=1)),0)+SUM(I963)+IF(COUNTIF(I$1237:I1566,1)=1,5,0)+IF(COUNTIF(J964:$W964,"&gt;"&amp;0)&lt;5,IF(AND(COUNTIF(I$1237:I1566,1)&gt;7,MOD(1+IFERROR(MATCH($C964,总览!$D$46:$D$345,1)+1,1),7)=0),$C$3,0),0)</f>
        <v>1039.4</v>
      </c>
      <c r="J964" s="131" cm="1">
        <f ca="1" t="array" ref="J964">IF(J1566=1,OFFSET($W$634,$B964,J$631-1)/SUMPRODUCT(--($D$631:$V$631=J$631),--($D1566:$V1566=1)),0)+SUM(J963)+IF(COUNTIF(J$1237:J1566,1)=1,5,0)+IF(COUNTIF(K964:$W964,"&gt;"&amp;0)&lt;5,IF(AND(COUNTIF(J$1237:J1566,1)&gt;7,MOD(1+IFERROR(MATCH($C964,总览!$D$46:$D$345,1)+1,1),7)=0),$C$3,0),0)</f>
        <v>1036.06666666667</v>
      </c>
      <c r="K964" s="131" cm="1">
        <f ca="1" t="array" ref="K964">IF(K1566=1,OFFSET($W$634,$B964,K$631-1)/SUMPRODUCT(--($D$631:$V$631=K$631),--($D1566:$V1566=1)),0)+SUM(K963)+IF(COUNTIF(K$1237:K1566,1)=1,5,0)+IF(COUNTIF(L964:$W964,"&gt;"&amp;0)&lt;5,IF(AND(COUNTIF(K$1237:K1566,1)&gt;7,MOD(1+IFERROR(MATCH($C964,总览!$D$46:$D$345,1)+1,1),7)=0),$C$3,0),0)</f>
        <v>1033.56666666667</v>
      </c>
      <c r="L964" s="131" cm="1">
        <f ca="1" t="array" ref="L964">IF(L1566=1,OFFSET($W$634,$B964,L$631-1)/SUMPRODUCT(--($D$631:$V$631=L$631),--($D1566:$V1566=1)),0)+SUM(L963)+IF(COUNTIF(L$1237:L1566,1)=1,5,0)+IF(COUNTIF(M964:$W964,"&gt;"&amp;0)&lt;5,IF(AND(COUNTIF(L$1237:L1566,1)&gt;7,MOD(1+IFERROR(MATCH($C964,总览!$D$46:$D$345,1)+1,1),7)=0),$C$3,0),0)</f>
        <v>1033.56666666667</v>
      </c>
      <c r="M964" s="131" cm="1">
        <f ca="1" t="array" ref="M964">IF(M1566=1,OFFSET($W$634,$B964,M$631-1)/SUMPRODUCT(--($D$631:$V$631=M$631),--($D1566:$V1566=1)),0)+SUM(M963)+IF(COUNTIF(M$1237:M1566,1)=1,5,0)+IF(COUNTIF(N964:$W964,"&gt;"&amp;0)&lt;5,IF(AND(COUNTIF(M$1237:M1566,1)&gt;7,MOD(1+IFERROR(MATCH($C964,总览!$D$46:$D$345,1)+1,1),7)=0),$C$3,0),0)</f>
        <v>429.181250000001</v>
      </c>
      <c r="N964" s="131" cm="1">
        <f ca="1" t="array" ref="N964">IF(N1566=1,OFFSET($W$634,$B964,N$631-1)/SUMPRODUCT(--($D$631:$V$631=N$631),--($D1566:$V1566=1)),0)+SUM(N963)+IF(COUNTIF(N$1237:N1566,1)=1,5,0)+IF(COUNTIF(O964:$W964,"&gt;"&amp;0)&lt;5,IF(AND(COUNTIF(N$1237:N1566,1)&gt;7,MOD(1+IFERROR(MATCH($C964,总览!$D$46:$D$345,1)+1,1),7)=0),$C$3,0),0)</f>
        <v>430.431250000001</v>
      </c>
      <c r="O964" s="131" cm="1">
        <f ca="1" t="array" ref="O964">IF(O1566=1,OFFSET($W$634,$B964,O$631-1)/SUMPRODUCT(--($D$631:$V$631=O$631),--($D1566:$V1566=1)),0)+SUM(O963)+IF(COUNTIF(O$1237:O1566,1)=1,5,0)+IF(COUNTIF(P964:$W964,"&gt;"&amp;0)&lt;5,IF(AND(COUNTIF(O$1237:O1566,1)&gt;7,MOD(1+IFERROR(MATCH($C964,总览!$D$46:$D$345,1)+1,1),7)=0),$C$3,0),0)</f>
        <v>435.431250000001</v>
      </c>
      <c r="P964" s="131" cm="1">
        <f ca="1" t="array" ref="P964">IF(P1566=1,OFFSET($W$634,$B964,P$631-1)/SUMPRODUCT(--($D$631:$V$631=P$631),--($D1566:$V1566=1)),0)+SUM(P963)+IF(COUNTIF(P$1237:P1566,1)=1,5,0)+IF(COUNTIF(Q964:$W964,"&gt;"&amp;0)&lt;5,IF(AND(COUNTIF(P$1237:P1566,1)&gt;7,MOD(1+IFERROR(MATCH($C964,总览!$D$46:$D$345,1)+1,1),7)=0),$C$3,0),0)</f>
        <v>424.550000000001</v>
      </c>
      <c r="Q964" s="131" cm="1">
        <f ca="1" t="array" ref="Q964">IF(Q1566=1,OFFSET($W$634,$B964,Q$631-1)/SUMPRODUCT(--($D$631:$V$631=Q$631),--($D1566:$V1566=1)),0)+SUM(Q963)+IF(COUNTIF(Q$1237:Q1566,1)=1,5,0)+IF(COUNTIF(R964:$W964,"&gt;"&amp;0)&lt;5,IF(AND(COUNTIF(Q$1237:Q1566,1)&gt;7,MOD(1+IFERROR(MATCH($C964,总览!$D$46:$D$345,1)+1,1),7)=0),$C$3,0),0)</f>
        <v>437.931250000001</v>
      </c>
      <c r="R964" s="131" cm="1">
        <f ca="1" t="array" ref="R964">IF(R1566=1,OFFSET($W$634,$B964,R$631-1)/SUMPRODUCT(--($D$631:$V$631=R$631),--($D1566:$V1566=1)),0)+SUM(R963)+IF(COUNTIF(R$1237:R1566,1)=1,5,0)+IF(COUNTIF(S964:$W964,"&gt;"&amp;0)&lt;5,IF(AND(COUNTIF(R$1237:R1566,1)&gt;7,MOD(1+IFERROR(MATCH($C964,总览!$D$46:$D$345,1)+1,1),7)=0),$C$3,0),0)</f>
        <v>429.550000000001</v>
      </c>
      <c r="S964" s="131" cm="1">
        <f ca="1" t="array" ref="S964">IF(S1566=1,OFFSET($W$634,$B964,S$631-1)/SUMPRODUCT(--($D$631:$V$631=S$631),--($D1566:$V1566=1)),0)+SUM(S963)+IF(COUNTIF(S$1237:S1566,1)=1,5,0)+IF(COUNTIF(T964:$W964,"&gt;"&amp;0)&lt;5,IF(AND(COUNTIF(S$1237:S1566,1)&gt;7,MOD(1+IFERROR(MATCH($C964,总览!$D$46:$D$345,1)+1,1),7)=0),$C$3,0),0)</f>
        <v>522.050000000002</v>
      </c>
      <c r="T964" s="131" cm="1">
        <f ca="1" t="array" ref="T964">IF(T1566=1,OFFSET($W$634,$B964,T$631-1)/SUMPRODUCT(--($D$631:$V$631=T$631),--($D1566:$V1566=1)),0)+SUM(T963)+IF(COUNTIF(T$1237:T1566,1)=1,5,0)+IF(COUNTIF(U964:$W964,"&gt;"&amp;0)&lt;5,IF(AND(COUNTIF(T$1237:T1566,1)&gt;7,MOD(1+IFERROR(MATCH($C964,总览!$D$46:$D$345,1)+1,1),7)=0),$C$3,0),0)</f>
        <v>381.641085548749</v>
      </c>
      <c r="U964" s="131" cm="1">
        <f ca="1" t="array" ref="U964">IF(U1566=1,OFFSET($W$634,$B964,U$631-1)/SUMPRODUCT(--($D$631:$V$631=U$631),--($D1566:$V1566=1)),0)+SUM(U963)+IF(COUNTIF(U$1237:U1566,1)=1,5,0)+IF(COUNTIF(V964:$W964,"&gt;"&amp;0)&lt;5,IF(AND(COUNTIF(U$1237:U1566,1)&gt;7,MOD(1+IFERROR(MATCH($C964,总览!$D$46:$D$345,1)+1,1),7)=0),$C$3,0),0)</f>
        <v>387.161871904048</v>
      </c>
      <c r="V964" s="131" cm="1">
        <f ca="1" t="array" ref="V964">IF(V1566=1,OFFSET($W$634,$B964,V$631-1)/SUMPRODUCT(--($D$631:$V$631=V$631),--($D1566:$V1566=1)),0)+SUM(V963)+IF(COUNTIF(V$1237:V1566,1)=1,5,0)+IF(COUNTIF(W964:$W964,"&gt;"&amp;0)&lt;5,IF(AND(COUNTIF(V$1237:V1566,1)&gt;7,MOD(1+IFERROR(MATCH($C964,总览!$D$46:$D$345,1)+1,1),7)=0),$C$3,0),0)</f>
        <v>406.988871616481</v>
      </c>
      <c r="W964" s="135" cm="1">
        <f ca="1" t="array" ref="W964">SUMPRODUCT(TRANSPOSE($AA964:$AG964),OFFSET($L$9:$L$15,0,W$631-1))</f>
        <v>16.8502200646615</v>
      </c>
      <c r="X964" s="135" cm="1">
        <f ca="1" t="array" ref="X964">SUMPRODUCT(TRANSPOSE($AA964:$AG964),OFFSET($L$9:$L$15,0,X$631-1))</f>
        <v>20</v>
      </c>
      <c r="Y964" s="135" cm="1">
        <f ca="1" t="array" ref="Y964">SUMPRODUCT(TRANSPOSE($AA964:$AG964),OFFSET($L$9:$L$15,0,Y$631-1))</f>
        <v>10</v>
      </c>
      <c r="Z964" s="135" cm="1">
        <f ca="1" t="array" ref="Z964">SUMPRODUCT(TRANSPOSE($AA964:$AG964),OFFSET($L$9:$L$15,0,Z$631-1))</f>
        <v>3.14977993533847</v>
      </c>
      <c r="AA964" s="136">
        <f ca="1" t="shared" ref="AA964:AG964" si="909">AH964-AH963</f>
        <v>0</v>
      </c>
      <c r="AB964" s="136">
        <f ca="1" t="shared" si="909"/>
        <v>0</v>
      </c>
      <c r="AC964" s="136">
        <f ca="1" t="shared" si="909"/>
        <v>0</v>
      </c>
      <c r="AD964" s="136">
        <f ca="1" t="shared" si="909"/>
        <v>0</v>
      </c>
      <c r="AE964" s="136">
        <f ca="1" t="shared" si="909"/>
        <v>0</v>
      </c>
      <c r="AF964" s="136">
        <f ca="1" t="shared" si="909"/>
        <v>0</v>
      </c>
      <c r="AG964" s="136">
        <f ca="1" t="shared" si="909"/>
        <v>100</v>
      </c>
      <c r="AH964" s="136">
        <f ca="1" t="shared" si="891"/>
        <v>450</v>
      </c>
      <c r="AI964" s="136">
        <f ca="1" t="shared" ref="AI964:AN964" si="910">IF($C964&gt;OFFSET($Q$8,MATCH(AI$634,$AH$634:$AN$634,0),0),OFFSET($P$8,MATCH(AI$634,$AH$634:$AN$634,0),0),MAX(0,$C964-OFFSET($Q$8,RIGHT(AI$634,1)-1,0)))</f>
        <v>909</v>
      </c>
      <c r="AJ964" s="136">
        <f ca="1" t="shared" si="910"/>
        <v>1818</v>
      </c>
      <c r="AK964" s="136">
        <f ca="1" t="shared" si="910"/>
        <v>2727</v>
      </c>
      <c r="AL964" s="136">
        <f ca="1" t="shared" si="910"/>
        <v>3636</v>
      </c>
      <c r="AM964" s="136">
        <f ca="1" t="shared" si="910"/>
        <v>4545</v>
      </c>
      <c r="AN964" s="136">
        <f ca="1" t="shared" si="910"/>
        <v>18915</v>
      </c>
    </row>
    <row r="965" s="106" customFormat="1" ht="16.5" spans="2:40">
      <c r="B965" s="117">
        <v>331</v>
      </c>
      <c r="C965" s="130">
        <f t="shared" si="889"/>
        <v>33100</v>
      </c>
      <c r="D965" s="131" cm="1">
        <f ca="1" t="array" ref="D965">IF(D1567=1,OFFSET($W$634,$B965,D$631-1)/SUMPRODUCT(--($D$631:$V$631=D$631),--($D1567:$V1567=1)),0)+SUM(D964)+IF(COUNTIF(D$1237:D1567,1)=1,5,0)+IF(COUNTIF(E965:$W965,"&gt;"&amp;0)&lt;5,IF(AND(COUNTIF(D$1237:D1567,1)&gt;7,MOD(1+IFERROR(MATCH($C965,总览!$D$46:$D$345,1)+1,1),7)=0),$C$3,0),0)</f>
        <v>2186.84446366513</v>
      </c>
      <c r="E965" s="131" cm="1">
        <f ca="1" t="array" ref="E965">IF(E1567=1,OFFSET($W$634,$B965,E$631-1)/SUMPRODUCT(--($D$631:$V$631=E$631),--($D1567:$V1567=1)),0)+SUM(E964)+IF(COUNTIF(E$1237:E1567,1)=1,5,0)+IF(COUNTIF(F965:$W965,"&gt;"&amp;0)&lt;5,IF(AND(COUNTIF(E$1237:E1567,1)&gt;7,MOD(1+IFERROR(MATCH($C965,总览!$D$46:$D$345,1)+1,1),7)=0),$C$3,0),0)</f>
        <v>2186.84446366513</v>
      </c>
      <c r="F965" s="131" cm="1">
        <f ca="1" t="array" ref="F965">IF(F1567=1,OFFSET($W$634,$B965,F$631-1)/SUMPRODUCT(--($D$631:$V$631=F$631),--($D1567:$V1567=1)),0)+SUM(F964)+IF(COUNTIF(F$1237:F1567,1)=1,5,0)+IF(COUNTIF(G965:$W965,"&gt;"&amp;0)&lt;5,IF(AND(COUNTIF(F$1237:F1567,1)&gt;7,MOD(1+IFERROR(MATCH($C965,总览!$D$46:$D$345,1)+1,1),7)=0),$C$3,0),0)</f>
        <v>2186.84446366513</v>
      </c>
      <c r="G965" s="131" cm="1">
        <f ca="1" t="array" ref="G965">IF(G1567=1,OFFSET($W$634,$B965,G$631-1)/SUMPRODUCT(--($D$631:$V$631=G$631),--($D1567:$V1567=1)),0)+SUM(G964)+IF(COUNTIF(G$1237:G1567,1)=1,5,0)+IF(COUNTIF(H965:$W965,"&gt;"&amp;0)&lt;5,IF(AND(COUNTIF(G$1237:G1567,1)&gt;7,MOD(1+IFERROR(MATCH($C965,总览!$D$46:$D$345,1)+1,1),7)=0),$C$3,0),0)</f>
        <v>1042.73333333334</v>
      </c>
      <c r="H965" s="131" cm="1">
        <f ca="1" t="array" ref="H965">IF(H1567=1,OFFSET($W$634,$B965,H$631-1)/SUMPRODUCT(--($D$631:$V$631=H$631),--($D1567:$V1567=1)),0)+SUM(H964)+IF(COUNTIF(H$1237:H1567,1)=1,5,0)+IF(COUNTIF(I965:$W965,"&gt;"&amp;0)&lt;5,IF(AND(COUNTIF(H$1237:H1567,1)&gt;7,MOD(1+IFERROR(MATCH($C965,总览!$D$46:$D$345,1)+1,1),7)=0),$C$3,0),0)</f>
        <v>1042.73333333334</v>
      </c>
      <c r="I965" s="131" cm="1">
        <f ca="1" t="array" ref="I965">IF(I1567=1,OFFSET($W$634,$B965,I$631-1)/SUMPRODUCT(--($D$631:$V$631=I$631),--($D1567:$V1567=1)),0)+SUM(I964)+IF(COUNTIF(I$1237:I1567,1)=1,5,0)+IF(COUNTIF(J965:$W965,"&gt;"&amp;0)&lt;5,IF(AND(COUNTIF(I$1237:I1567,1)&gt;7,MOD(1+IFERROR(MATCH($C965,总览!$D$46:$D$345,1)+1,1),7)=0),$C$3,0),0)</f>
        <v>1042.73333333334</v>
      </c>
      <c r="J965" s="131" cm="1">
        <f ca="1" t="array" ref="J965">IF(J1567=1,OFFSET($W$634,$B965,J$631-1)/SUMPRODUCT(--($D$631:$V$631=J$631),--($D1567:$V1567=1)),0)+SUM(J964)+IF(COUNTIF(J$1237:J1567,1)=1,5,0)+IF(COUNTIF(K965:$W965,"&gt;"&amp;0)&lt;5,IF(AND(COUNTIF(J$1237:J1567,1)&gt;7,MOD(1+IFERROR(MATCH($C965,总览!$D$46:$D$345,1)+1,1),7)=0),$C$3,0),0)</f>
        <v>1039.4</v>
      </c>
      <c r="K965" s="131" cm="1">
        <f ca="1" t="array" ref="K965">IF(K1567=1,OFFSET($W$634,$B965,K$631-1)/SUMPRODUCT(--($D$631:$V$631=K$631),--($D1567:$V1567=1)),0)+SUM(K964)+IF(COUNTIF(K$1237:K1567,1)=1,5,0)+IF(COUNTIF(L965:$W965,"&gt;"&amp;0)&lt;5,IF(AND(COUNTIF(K$1237:K1567,1)&gt;7,MOD(1+IFERROR(MATCH($C965,总览!$D$46:$D$345,1)+1,1),7)=0),$C$3,0),0)</f>
        <v>1036.9</v>
      </c>
      <c r="L965" s="131" cm="1">
        <f ca="1" t="array" ref="L965">IF(L1567=1,OFFSET($W$634,$B965,L$631-1)/SUMPRODUCT(--($D$631:$V$631=L$631),--($D1567:$V1567=1)),0)+SUM(L964)+IF(COUNTIF(L$1237:L1567,1)=1,5,0)+IF(COUNTIF(M965:$W965,"&gt;"&amp;0)&lt;5,IF(AND(COUNTIF(L$1237:L1567,1)&gt;7,MOD(1+IFERROR(MATCH($C965,总览!$D$46:$D$345,1)+1,1),7)=0),$C$3,0),0)</f>
        <v>1036.9</v>
      </c>
      <c r="M965" s="131" cm="1">
        <f ca="1" t="array" ref="M965">IF(M1567=1,OFFSET($W$634,$B965,M$631-1)/SUMPRODUCT(--($D$631:$V$631=M$631),--($D1567:$V1567=1)),0)+SUM(M964)+IF(COUNTIF(M$1237:M1567,1)=1,5,0)+IF(COUNTIF(N965:$W965,"&gt;"&amp;0)&lt;5,IF(AND(COUNTIF(M$1237:M1567,1)&gt;7,MOD(1+IFERROR(MATCH($C965,总览!$D$46:$D$345,1)+1,1),7)=0),$C$3,0),0)</f>
        <v>430.609821428572</v>
      </c>
      <c r="N965" s="131" cm="1">
        <f ca="1" t="array" ref="N965">IF(N1567=1,OFFSET($W$634,$B965,N$631-1)/SUMPRODUCT(--($D$631:$V$631=N$631),--($D1567:$V1567=1)),0)+SUM(N964)+IF(COUNTIF(N$1237:N1567,1)=1,5,0)+IF(COUNTIF(O965:$W965,"&gt;"&amp;0)&lt;5,IF(AND(COUNTIF(N$1237:N1567,1)&gt;7,MOD(1+IFERROR(MATCH($C965,总览!$D$46:$D$345,1)+1,1),7)=0),$C$3,0),0)</f>
        <v>431.859821428572</v>
      </c>
      <c r="O965" s="131" cm="1">
        <f ca="1" t="array" ref="O965">IF(O1567=1,OFFSET($W$634,$B965,O$631-1)/SUMPRODUCT(--($D$631:$V$631=O$631),--($D1567:$V1567=1)),0)+SUM(O964)+IF(COUNTIF(O$1237:O1567,1)=1,5,0)+IF(COUNTIF(P965:$W965,"&gt;"&amp;0)&lt;5,IF(AND(COUNTIF(O$1237:O1567,1)&gt;7,MOD(1+IFERROR(MATCH($C965,总览!$D$46:$D$345,1)+1,1),7)=0),$C$3,0),0)</f>
        <v>436.859821428572</v>
      </c>
      <c r="P965" s="131" cm="1">
        <f ca="1" t="array" ref="P965">IF(P1567=1,OFFSET($W$634,$B965,P$631-1)/SUMPRODUCT(--($D$631:$V$631=P$631),--($D1567:$V1567=1)),0)+SUM(P964)+IF(COUNTIF(P$1237:P1567,1)=1,5,0)+IF(COUNTIF(Q965:$W965,"&gt;"&amp;0)&lt;5,IF(AND(COUNTIF(P$1237:P1567,1)&gt;7,MOD(1+IFERROR(MATCH($C965,总览!$D$46:$D$345,1)+1,1),7)=0),$C$3,0),0)</f>
        <v>425.978571428572</v>
      </c>
      <c r="Q965" s="131" cm="1">
        <f ca="1" t="array" ref="Q965">IF(Q1567=1,OFFSET($W$634,$B965,Q$631-1)/SUMPRODUCT(--($D$631:$V$631=Q$631),--($D1567:$V1567=1)),0)+SUM(Q964)+IF(COUNTIF(Q$1237:Q1567,1)=1,5,0)+IF(COUNTIF(R965:$W965,"&gt;"&amp;0)&lt;5,IF(AND(COUNTIF(Q$1237:Q1567,1)&gt;7,MOD(1+IFERROR(MATCH($C965,总览!$D$46:$D$345,1)+1,1),7)=0),$C$3,0),0)</f>
        <v>439.359821428572</v>
      </c>
      <c r="R965" s="131" cm="1">
        <f ca="1" t="array" ref="R965">IF(R1567=1,OFFSET($W$634,$B965,R$631-1)/SUMPRODUCT(--($D$631:$V$631=R$631),--($D1567:$V1567=1)),0)+SUM(R964)+IF(COUNTIF(R$1237:R1567,1)=1,5,0)+IF(COUNTIF(S965:$W965,"&gt;"&amp;0)&lt;5,IF(AND(COUNTIF(R$1237:R1567,1)&gt;7,MOD(1+IFERROR(MATCH($C965,总览!$D$46:$D$345,1)+1,1),7)=0),$C$3,0),0)</f>
        <v>430.978571428572</v>
      </c>
      <c r="S965" s="131" cm="1">
        <f ca="1" t="array" ref="S965">IF(S1567=1,OFFSET($W$634,$B965,S$631-1)/SUMPRODUCT(--($D$631:$V$631=S$631),--($D1567:$V1567=1)),0)+SUM(S964)+IF(COUNTIF(S$1237:S1567,1)=1,5,0)+IF(COUNTIF(T965:$W965,"&gt;"&amp;0)&lt;5,IF(AND(COUNTIF(S$1237:S1567,1)&gt;7,MOD(1+IFERROR(MATCH($C965,总览!$D$46:$D$345,1)+1,1),7)=0),$C$3,0),0)</f>
        <v>523.478571428573</v>
      </c>
      <c r="T965" s="131" cm="1">
        <f ca="1" t="array" ref="T965">IF(T1567=1,OFFSET($W$634,$B965,T$631-1)/SUMPRODUCT(--($D$631:$V$631=T$631),--($D1567:$V1567=1)),0)+SUM(T964)+IF(COUNTIF(T$1237:T1567,1)=1,5,0)+IF(COUNTIF(U965:$W965,"&gt;"&amp;0)&lt;5,IF(AND(COUNTIF(T$1237:T1567,1)&gt;7,MOD(1+IFERROR(MATCH($C965,总览!$D$46:$D$345,1)+1,1),7)=0),$C$3,0),0)</f>
        <v>382.691012193861</v>
      </c>
      <c r="U965" s="131" cm="1">
        <f ca="1" t="array" ref="U965">IF(U1567=1,OFFSET($W$634,$B965,U$631-1)/SUMPRODUCT(--($D$631:$V$631=U$631),--($D1567:$V1567=1)),0)+SUM(U964)+IF(COUNTIF(U$1237:U1567,1)=1,5,0)+IF(COUNTIF(V965:$W965,"&gt;"&amp;0)&lt;5,IF(AND(COUNTIF(U$1237:U1567,1)&gt;7,MOD(1+IFERROR(MATCH($C965,总览!$D$46:$D$345,1)+1,1),7)=0),$C$3,0),0)</f>
        <v>388.211798549161</v>
      </c>
      <c r="V965" s="131" cm="1">
        <f ca="1" t="array" ref="V965">IF(V1567=1,OFFSET($W$634,$B965,V$631-1)/SUMPRODUCT(--($D$631:$V$631=V$631),--($D1567:$V1567=1)),0)+SUM(V964)+IF(COUNTIF(V$1237:V1567,1)=1,5,0)+IF(COUNTIF(W965:$W965,"&gt;"&amp;0)&lt;5,IF(AND(COUNTIF(V$1237:V1567,1)&gt;7,MOD(1+IFERROR(MATCH($C965,总览!$D$46:$D$345,1)+1,1),7)=0),$C$3,0),0)</f>
        <v>408.038798261594</v>
      </c>
      <c r="W965" s="135" cm="1">
        <f ca="1" t="array" ref="W965">SUMPRODUCT(TRANSPOSE($AA965:$AG965),OFFSET($L$9:$L$15,0,W$631-1))</f>
        <v>16.8502200646615</v>
      </c>
      <c r="X965" s="135" cm="1">
        <f ca="1" t="array" ref="X965">SUMPRODUCT(TRANSPOSE($AA965:$AG965),OFFSET($L$9:$L$15,0,X$631-1))</f>
        <v>20</v>
      </c>
      <c r="Y965" s="135" cm="1">
        <f ca="1" t="array" ref="Y965">SUMPRODUCT(TRANSPOSE($AA965:$AG965),OFFSET($L$9:$L$15,0,Y$631-1))</f>
        <v>10</v>
      </c>
      <c r="Z965" s="135" cm="1">
        <f ca="1" t="array" ref="Z965">SUMPRODUCT(TRANSPOSE($AA965:$AG965),OFFSET($L$9:$L$15,0,Z$631-1))</f>
        <v>3.14977993533847</v>
      </c>
      <c r="AA965" s="136">
        <f ca="1" t="shared" ref="AA965:AG965" si="911">AH965-AH964</f>
        <v>0</v>
      </c>
      <c r="AB965" s="136">
        <f ca="1" t="shared" si="911"/>
        <v>0</v>
      </c>
      <c r="AC965" s="136">
        <f ca="1" t="shared" si="911"/>
        <v>0</v>
      </c>
      <c r="AD965" s="136">
        <f ca="1" t="shared" si="911"/>
        <v>0</v>
      </c>
      <c r="AE965" s="136">
        <f ca="1" t="shared" si="911"/>
        <v>0</v>
      </c>
      <c r="AF965" s="136">
        <f ca="1" t="shared" si="911"/>
        <v>0</v>
      </c>
      <c r="AG965" s="136">
        <f ca="1" t="shared" si="911"/>
        <v>100</v>
      </c>
      <c r="AH965" s="136">
        <f ca="1" t="shared" si="891"/>
        <v>450</v>
      </c>
      <c r="AI965" s="136">
        <f ca="1" t="shared" ref="AI965:AN965" si="912">IF($C965&gt;OFFSET($Q$8,MATCH(AI$634,$AH$634:$AN$634,0),0),OFFSET($P$8,MATCH(AI$634,$AH$634:$AN$634,0),0),MAX(0,$C965-OFFSET($Q$8,RIGHT(AI$634,1)-1,0)))</f>
        <v>909</v>
      </c>
      <c r="AJ965" s="136">
        <f ca="1" t="shared" si="912"/>
        <v>1818</v>
      </c>
      <c r="AK965" s="136">
        <f ca="1" t="shared" si="912"/>
        <v>2727</v>
      </c>
      <c r="AL965" s="136">
        <f ca="1" t="shared" si="912"/>
        <v>3636</v>
      </c>
      <c r="AM965" s="136">
        <f ca="1" t="shared" si="912"/>
        <v>4545</v>
      </c>
      <c r="AN965" s="136">
        <f ca="1" t="shared" si="912"/>
        <v>19015</v>
      </c>
    </row>
    <row r="966" s="106" customFormat="1" ht="16.5" spans="2:40">
      <c r="B966" s="117">
        <v>332</v>
      </c>
      <c r="C966" s="130">
        <f t="shared" si="889"/>
        <v>33200</v>
      </c>
      <c r="D966" s="131" cm="1">
        <f ca="1" t="array" ref="D966">IF(D1568=1,OFFSET($W$634,$B966,D$631-1)/SUMPRODUCT(--($D$631:$V$631=D$631),--($D1568:$V1568=1)),0)+SUM(D965)+IF(COUNTIF(D$1237:D1568,1)=1,5,0)+IF(COUNTIF(E966:$W966,"&gt;"&amp;0)&lt;5,IF(AND(COUNTIF(D$1237:D1568,1)&gt;7,MOD(1+IFERROR(MATCH($C966,总览!$D$46:$D$345,1)+1,1),7)=0),$C$3,0),0)</f>
        <v>2192.46120368668</v>
      </c>
      <c r="E966" s="131" cm="1">
        <f ca="1" t="array" ref="E966">IF(E1568=1,OFFSET($W$634,$B966,E$631-1)/SUMPRODUCT(--($D$631:$V$631=E$631),--($D1568:$V1568=1)),0)+SUM(E965)+IF(COUNTIF(E$1237:E1568,1)=1,5,0)+IF(COUNTIF(F966:$W966,"&gt;"&amp;0)&lt;5,IF(AND(COUNTIF(E$1237:E1568,1)&gt;7,MOD(1+IFERROR(MATCH($C966,总览!$D$46:$D$345,1)+1,1),7)=0),$C$3,0),0)</f>
        <v>2192.46120368668</v>
      </c>
      <c r="F966" s="131" cm="1">
        <f ca="1" t="array" ref="F966">IF(F1568=1,OFFSET($W$634,$B966,F$631-1)/SUMPRODUCT(--($D$631:$V$631=F$631),--($D1568:$V1568=1)),0)+SUM(F965)+IF(COUNTIF(F$1237:F1568,1)=1,5,0)+IF(COUNTIF(G966:$W966,"&gt;"&amp;0)&lt;5,IF(AND(COUNTIF(F$1237:F1568,1)&gt;7,MOD(1+IFERROR(MATCH($C966,总览!$D$46:$D$345,1)+1,1),7)=0),$C$3,0),0)</f>
        <v>2192.46120368668</v>
      </c>
      <c r="G966" s="131" cm="1">
        <f ca="1" t="array" ref="G966">IF(G1568=1,OFFSET($W$634,$B966,G$631-1)/SUMPRODUCT(--($D$631:$V$631=G$631),--($D1568:$V1568=1)),0)+SUM(G965)+IF(COUNTIF(G$1237:G1568,1)=1,5,0)+IF(COUNTIF(H966:$W966,"&gt;"&amp;0)&lt;5,IF(AND(COUNTIF(G$1237:G1568,1)&gt;7,MOD(1+IFERROR(MATCH($C966,总览!$D$46:$D$345,1)+1,1),7)=0),$C$3,0),0)</f>
        <v>1046.06666666667</v>
      </c>
      <c r="H966" s="131" cm="1">
        <f ca="1" t="array" ref="H966">IF(H1568=1,OFFSET($W$634,$B966,H$631-1)/SUMPRODUCT(--($D$631:$V$631=H$631),--($D1568:$V1568=1)),0)+SUM(H965)+IF(COUNTIF(H$1237:H1568,1)=1,5,0)+IF(COUNTIF(I966:$W966,"&gt;"&amp;0)&lt;5,IF(AND(COUNTIF(H$1237:H1568,1)&gt;7,MOD(1+IFERROR(MATCH($C966,总览!$D$46:$D$345,1)+1,1),7)=0),$C$3,0),0)</f>
        <v>1046.06666666667</v>
      </c>
      <c r="I966" s="131" cm="1">
        <f ca="1" t="array" ref="I966">IF(I1568=1,OFFSET($W$634,$B966,I$631-1)/SUMPRODUCT(--($D$631:$V$631=I$631),--($D1568:$V1568=1)),0)+SUM(I965)+IF(COUNTIF(I$1237:I1568,1)=1,5,0)+IF(COUNTIF(J966:$W966,"&gt;"&amp;0)&lt;5,IF(AND(COUNTIF(I$1237:I1568,1)&gt;7,MOD(1+IFERROR(MATCH($C966,总览!$D$46:$D$345,1)+1,1),7)=0),$C$3,0),0)</f>
        <v>1046.06666666667</v>
      </c>
      <c r="J966" s="131" cm="1">
        <f ca="1" t="array" ref="J966">IF(J1568=1,OFFSET($W$634,$B966,J$631-1)/SUMPRODUCT(--($D$631:$V$631=J$631),--($D1568:$V1568=1)),0)+SUM(J965)+IF(COUNTIF(J$1237:J1568,1)=1,5,0)+IF(COUNTIF(K966:$W966,"&gt;"&amp;0)&lt;5,IF(AND(COUNTIF(J$1237:J1568,1)&gt;7,MOD(1+IFERROR(MATCH($C966,总览!$D$46:$D$345,1)+1,1),7)=0),$C$3,0),0)</f>
        <v>1042.73333333334</v>
      </c>
      <c r="K966" s="131" cm="1">
        <f ca="1" t="array" ref="K966">IF(K1568=1,OFFSET($W$634,$B966,K$631-1)/SUMPRODUCT(--($D$631:$V$631=K$631),--($D1568:$V1568=1)),0)+SUM(K965)+IF(COUNTIF(K$1237:K1568,1)=1,5,0)+IF(COUNTIF(L966:$W966,"&gt;"&amp;0)&lt;5,IF(AND(COUNTIF(K$1237:K1568,1)&gt;7,MOD(1+IFERROR(MATCH($C966,总览!$D$46:$D$345,1)+1,1),7)=0),$C$3,0),0)</f>
        <v>1040.23333333334</v>
      </c>
      <c r="L966" s="131" cm="1">
        <f ca="1" t="array" ref="L966">IF(L1568=1,OFFSET($W$634,$B966,L$631-1)/SUMPRODUCT(--($D$631:$V$631=L$631),--($D1568:$V1568=1)),0)+SUM(L965)+IF(COUNTIF(L$1237:L1568,1)=1,5,0)+IF(COUNTIF(M966:$W966,"&gt;"&amp;0)&lt;5,IF(AND(COUNTIF(L$1237:L1568,1)&gt;7,MOD(1+IFERROR(MATCH($C966,总览!$D$46:$D$345,1)+1,1),7)=0),$C$3,0),0)</f>
        <v>1040.23333333334</v>
      </c>
      <c r="M966" s="131" cm="1">
        <f ca="1" t="array" ref="M966">IF(M1568=1,OFFSET($W$634,$B966,M$631-1)/SUMPRODUCT(--($D$631:$V$631=M$631),--($D1568:$V1568=1)),0)+SUM(M965)+IF(COUNTIF(M$1237:M1568,1)=1,5,0)+IF(COUNTIF(N966:$W966,"&gt;"&amp;0)&lt;5,IF(AND(COUNTIF(M$1237:M1568,1)&gt;7,MOD(1+IFERROR(MATCH($C966,总览!$D$46:$D$345,1)+1,1),7)=0),$C$3,0),0)</f>
        <v>432.038392857144</v>
      </c>
      <c r="N966" s="131" cm="1">
        <f ca="1" t="array" ref="N966">IF(N1568=1,OFFSET($W$634,$B966,N$631-1)/SUMPRODUCT(--($D$631:$V$631=N$631),--($D1568:$V1568=1)),0)+SUM(N965)+IF(COUNTIF(N$1237:N1568,1)=1,5,0)+IF(COUNTIF(O966:$W966,"&gt;"&amp;0)&lt;5,IF(AND(COUNTIF(N$1237:N1568,1)&gt;7,MOD(1+IFERROR(MATCH($C966,总览!$D$46:$D$345,1)+1,1),7)=0),$C$3,0),0)</f>
        <v>433.288392857144</v>
      </c>
      <c r="O966" s="131" cm="1">
        <f ca="1" t="array" ref="O966">IF(O1568=1,OFFSET($W$634,$B966,O$631-1)/SUMPRODUCT(--($D$631:$V$631=O$631),--($D1568:$V1568=1)),0)+SUM(O965)+IF(COUNTIF(O$1237:O1568,1)=1,5,0)+IF(COUNTIF(P966:$W966,"&gt;"&amp;0)&lt;5,IF(AND(COUNTIF(O$1237:O1568,1)&gt;7,MOD(1+IFERROR(MATCH($C966,总览!$D$46:$D$345,1)+1,1),7)=0),$C$3,0),0)</f>
        <v>438.288392857144</v>
      </c>
      <c r="P966" s="131" cm="1">
        <f ca="1" t="array" ref="P966">IF(P1568=1,OFFSET($W$634,$B966,P$631-1)/SUMPRODUCT(--($D$631:$V$631=P$631),--($D1568:$V1568=1)),0)+SUM(P965)+IF(COUNTIF(P$1237:P1568,1)=1,5,0)+IF(COUNTIF(Q966:$W966,"&gt;"&amp;0)&lt;5,IF(AND(COUNTIF(P$1237:P1568,1)&gt;7,MOD(1+IFERROR(MATCH($C966,总览!$D$46:$D$345,1)+1,1),7)=0),$C$3,0),0)</f>
        <v>427.407142857144</v>
      </c>
      <c r="Q966" s="131" cm="1">
        <f ca="1" t="array" ref="Q966">IF(Q1568=1,OFFSET($W$634,$B966,Q$631-1)/SUMPRODUCT(--($D$631:$V$631=Q$631),--($D1568:$V1568=1)),0)+SUM(Q965)+IF(COUNTIF(Q$1237:Q1568,1)=1,5,0)+IF(COUNTIF(R966:$W966,"&gt;"&amp;0)&lt;5,IF(AND(COUNTIF(Q$1237:Q1568,1)&gt;7,MOD(1+IFERROR(MATCH($C966,总览!$D$46:$D$345,1)+1,1),7)=0),$C$3,0),0)</f>
        <v>440.788392857144</v>
      </c>
      <c r="R966" s="131" cm="1">
        <f ca="1" t="array" ref="R966">IF(R1568=1,OFFSET($W$634,$B966,R$631-1)/SUMPRODUCT(--($D$631:$V$631=R$631),--($D1568:$V1568=1)),0)+SUM(R965)+IF(COUNTIF(R$1237:R1568,1)=1,5,0)+IF(COUNTIF(S966:$W966,"&gt;"&amp;0)&lt;5,IF(AND(COUNTIF(R$1237:R1568,1)&gt;7,MOD(1+IFERROR(MATCH($C966,总览!$D$46:$D$345,1)+1,1),7)=0),$C$3,0),0)</f>
        <v>432.407142857144</v>
      </c>
      <c r="S966" s="131" cm="1">
        <f ca="1" t="array" ref="S966">IF(S1568=1,OFFSET($W$634,$B966,S$631-1)/SUMPRODUCT(--($D$631:$V$631=S$631),--($D1568:$V1568=1)),0)+SUM(S965)+IF(COUNTIF(S$1237:S1568,1)=1,5,0)+IF(COUNTIF(T966:$W966,"&gt;"&amp;0)&lt;5,IF(AND(COUNTIF(S$1237:S1568,1)&gt;7,MOD(1+IFERROR(MATCH($C966,总览!$D$46:$D$345,1)+1,1),7)=0),$C$3,0),0)</f>
        <v>524.907142857145</v>
      </c>
      <c r="T966" s="131" cm="1">
        <f ca="1" t="array" ref="T966">IF(T1568=1,OFFSET($W$634,$B966,T$631-1)/SUMPRODUCT(--($D$631:$V$631=T$631),--($D1568:$V1568=1)),0)+SUM(T965)+IF(COUNTIF(T$1237:T1568,1)=1,5,0)+IF(COUNTIF(U966:$W966,"&gt;"&amp;0)&lt;5,IF(AND(COUNTIF(T$1237:T1568,1)&gt;7,MOD(1+IFERROR(MATCH($C966,总览!$D$46:$D$345,1)+1,1),7)=0),$C$3,0),0)</f>
        <v>383.740938838974</v>
      </c>
      <c r="U966" s="131" cm="1">
        <f ca="1" t="array" ref="U966">IF(U1568=1,OFFSET($W$634,$B966,U$631-1)/SUMPRODUCT(--($D$631:$V$631=U$631),--($D1568:$V1568=1)),0)+SUM(U965)+IF(COUNTIF(U$1237:U1568,1)=1,5,0)+IF(COUNTIF(V966:$W966,"&gt;"&amp;0)&lt;5,IF(AND(COUNTIF(U$1237:U1568,1)&gt;7,MOD(1+IFERROR(MATCH($C966,总览!$D$46:$D$345,1)+1,1),7)=0),$C$3,0),0)</f>
        <v>389.261725194274</v>
      </c>
      <c r="V966" s="131" cm="1">
        <f ca="1" t="array" ref="V966">IF(V1568=1,OFFSET($W$634,$B966,V$631-1)/SUMPRODUCT(--($D$631:$V$631=V$631),--($D1568:$V1568=1)),0)+SUM(V965)+IF(COUNTIF(V$1237:V1568,1)=1,5,0)+IF(COUNTIF(W966:$W966,"&gt;"&amp;0)&lt;5,IF(AND(COUNTIF(V$1237:V1568,1)&gt;7,MOD(1+IFERROR(MATCH($C966,总览!$D$46:$D$345,1)+1,1),7)=0),$C$3,0),0)</f>
        <v>409.088724906707</v>
      </c>
      <c r="W966" s="135" cm="1">
        <f ca="1" t="array" ref="W966">SUMPRODUCT(TRANSPOSE($AA966:$AG966),OFFSET($L$9:$L$15,0,W$631-1))</f>
        <v>16.8502200646615</v>
      </c>
      <c r="X966" s="135" cm="1">
        <f ca="1" t="array" ref="X966">SUMPRODUCT(TRANSPOSE($AA966:$AG966),OFFSET($L$9:$L$15,0,X$631-1))</f>
        <v>20</v>
      </c>
      <c r="Y966" s="135" cm="1">
        <f ca="1" t="array" ref="Y966">SUMPRODUCT(TRANSPOSE($AA966:$AG966),OFFSET($L$9:$L$15,0,Y$631-1))</f>
        <v>10</v>
      </c>
      <c r="Z966" s="135" cm="1">
        <f ca="1" t="array" ref="Z966">SUMPRODUCT(TRANSPOSE($AA966:$AG966),OFFSET($L$9:$L$15,0,Z$631-1))</f>
        <v>3.14977993533847</v>
      </c>
      <c r="AA966" s="136">
        <f ca="1" t="shared" ref="AA966:AG966" si="913">AH966-AH965</f>
        <v>0</v>
      </c>
      <c r="AB966" s="136">
        <f ca="1" t="shared" si="913"/>
        <v>0</v>
      </c>
      <c r="AC966" s="136">
        <f ca="1" t="shared" si="913"/>
        <v>0</v>
      </c>
      <c r="AD966" s="136">
        <f ca="1" t="shared" si="913"/>
        <v>0</v>
      </c>
      <c r="AE966" s="136">
        <f ca="1" t="shared" si="913"/>
        <v>0</v>
      </c>
      <c r="AF966" s="136">
        <f ca="1" t="shared" si="913"/>
        <v>0</v>
      </c>
      <c r="AG966" s="136">
        <f ca="1" t="shared" si="913"/>
        <v>100</v>
      </c>
      <c r="AH966" s="136">
        <f ca="1" t="shared" si="891"/>
        <v>450</v>
      </c>
      <c r="AI966" s="136">
        <f ca="1" t="shared" ref="AI966:AN966" si="914">IF($C966&gt;OFFSET($Q$8,MATCH(AI$634,$AH$634:$AN$634,0),0),OFFSET($P$8,MATCH(AI$634,$AH$634:$AN$634,0),0),MAX(0,$C966-OFFSET($Q$8,RIGHT(AI$634,1)-1,0)))</f>
        <v>909</v>
      </c>
      <c r="AJ966" s="136">
        <f ca="1" t="shared" si="914"/>
        <v>1818</v>
      </c>
      <c r="AK966" s="136">
        <f ca="1" t="shared" si="914"/>
        <v>2727</v>
      </c>
      <c r="AL966" s="136">
        <f ca="1" t="shared" si="914"/>
        <v>3636</v>
      </c>
      <c r="AM966" s="136">
        <f ca="1" t="shared" si="914"/>
        <v>4545</v>
      </c>
      <c r="AN966" s="136">
        <f ca="1" t="shared" si="914"/>
        <v>19115</v>
      </c>
    </row>
    <row r="967" s="106" customFormat="1" ht="16.5" spans="2:40">
      <c r="B967" s="117">
        <v>333</v>
      </c>
      <c r="C967" s="130">
        <f t="shared" si="889"/>
        <v>33300</v>
      </c>
      <c r="D967" s="131" cm="1">
        <f ca="1" t="array" ref="D967">IF(D1569=1,OFFSET($W$634,$B967,D$631-1)/SUMPRODUCT(--($D$631:$V$631=D$631),--($D1569:$V1569=1)),0)+SUM(D966)+IF(COUNTIF(D$1237:D1569,1)=1,5,0)+IF(COUNTIF(E967:$W967,"&gt;"&amp;0)&lt;5,IF(AND(COUNTIF(D$1237:D1569,1)&gt;7,MOD(1+IFERROR(MATCH($C967,总览!$D$46:$D$345,1)+1,1),7)=0),$C$3,0),0)</f>
        <v>2198.07794370824</v>
      </c>
      <c r="E967" s="131" cm="1">
        <f ca="1" t="array" ref="E967">IF(E1569=1,OFFSET($W$634,$B967,E$631-1)/SUMPRODUCT(--($D$631:$V$631=E$631),--($D1569:$V1569=1)),0)+SUM(E966)+IF(COUNTIF(E$1237:E1569,1)=1,5,0)+IF(COUNTIF(F967:$W967,"&gt;"&amp;0)&lt;5,IF(AND(COUNTIF(E$1237:E1569,1)&gt;7,MOD(1+IFERROR(MATCH($C967,总览!$D$46:$D$345,1)+1,1),7)=0),$C$3,0),0)</f>
        <v>2198.07794370824</v>
      </c>
      <c r="F967" s="131" cm="1">
        <f ca="1" t="array" ref="F967">IF(F1569=1,OFFSET($W$634,$B967,F$631-1)/SUMPRODUCT(--($D$631:$V$631=F$631),--($D1569:$V1569=1)),0)+SUM(F966)+IF(COUNTIF(F$1237:F1569,1)=1,5,0)+IF(COUNTIF(G967:$W967,"&gt;"&amp;0)&lt;5,IF(AND(COUNTIF(F$1237:F1569,1)&gt;7,MOD(1+IFERROR(MATCH($C967,总览!$D$46:$D$345,1)+1,1),7)=0),$C$3,0),0)</f>
        <v>2198.07794370824</v>
      </c>
      <c r="G967" s="131" cm="1">
        <f ca="1" t="array" ref="G967">IF(G1569=1,OFFSET($W$634,$B967,G$631-1)/SUMPRODUCT(--($D$631:$V$631=G$631),--($D1569:$V1569=1)),0)+SUM(G966)+IF(COUNTIF(G$1237:G1569,1)=1,5,0)+IF(COUNTIF(H967:$W967,"&gt;"&amp;0)&lt;5,IF(AND(COUNTIF(G$1237:G1569,1)&gt;7,MOD(1+IFERROR(MATCH($C967,总览!$D$46:$D$345,1)+1,1),7)=0),$C$3,0),0)</f>
        <v>1049.4</v>
      </c>
      <c r="H967" s="131" cm="1">
        <f ca="1" t="array" ref="H967">IF(H1569=1,OFFSET($W$634,$B967,H$631-1)/SUMPRODUCT(--($D$631:$V$631=H$631),--($D1569:$V1569=1)),0)+SUM(H966)+IF(COUNTIF(H$1237:H1569,1)=1,5,0)+IF(COUNTIF(I967:$W967,"&gt;"&amp;0)&lt;5,IF(AND(COUNTIF(H$1237:H1569,1)&gt;7,MOD(1+IFERROR(MATCH($C967,总览!$D$46:$D$345,1)+1,1),7)=0),$C$3,0),0)</f>
        <v>1049.4</v>
      </c>
      <c r="I967" s="131" cm="1">
        <f ca="1" t="array" ref="I967">IF(I1569=1,OFFSET($W$634,$B967,I$631-1)/SUMPRODUCT(--($D$631:$V$631=I$631),--($D1569:$V1569=1)),0)+SUM(I966)+IF(COUNTIF(I$1237:I1569,1)=1,5,0)+IF(COUNTIF(J967:$W967,"&gt;"&amp;0)&lt;5,IF(AND(COUNTIF(I$1237:I1569,1)&gt;7,MOD(1+IFERROR(MATCH($C967,总览!$D$46:$D$345,1)+1,1),7)=0),$C$3,0),0)</f>
        <v>1049.4</v>
      </c>
      <c r="J967" s="131" cm="1">
        <f ca="1" t="array" ref="J967">IF(J1569=1,OFFSET($W$634,$B967,J$631-1)/SUMPRODUCT(--($D$631:$V$631=J$631),--($D1569:$V1569=1)),0)+SUM(J966)+IF(COUNTIF(J$1237:J1569,1)=1,5,0)+IF(COUNTIF(K967:$W967,"&gt;"&amp;0)&lt;5,IF(AND(COUNTIF(J$1237:J1569,1)&gt;7,MOD(1+IFERROR(MATCH($C967,总览!$D$46:$D$345,1)+1,1),7)=0),$C$3,0),0)</f>
        <v>1046.06666666667</v>
      </c>
      <c r="K967" s="131" cm="1">
        <f ca="1" t="array" ref="K967">IF(K1569=1,OFFSET($W$634,$B967,K$631-1)/SUMPRODUCT(--($D$631:$V$631=K$631),--($D1569:$V1569=1)),0)+SUM(K966)+IF(COUNTIF(K$1237:K1569,1)=1,5,0)+IF(COUNTIF(L967:$W967,"&gt;"&amp;0)&lt;5,IF(AND(COUNTIF(K$1237:K1569,1)&gt;7,MOD(1+IFERROR(MATCH($C967,总览!$D$46:$D$345,1)+1,1),7)=0),$C$3,0),0)</f>
        <v>1043.56666666667</v>
      </c>
      <c r="L967" s="131" cm="1">
        <f ca="1" t="array" ref="L967">IF(L1569=1,OFFSET($W$634,$B967,L$631-1)/SUMPRODUCT(--($D$631:$V$631=L$631),--($D1569:$V1569=1)),0)+SUM(L966)+IF(COUNTIF(L$1237:L1569,1)=1,5,0)+IF(COUNTIF(M967:$W967,"&gt;"&amp;0)&lt;5,IF(AND(COUNTIF(L$1237:L1569,1)&gt;7,MOD(1+IFERROR(MATCH($C967,总览!$D$46:$D$345,1)+1,1),7)=0),$C$3,0),0)</f>
        <v>1043.56666666667</v>
      </c>
      <c r="M967" s="131" cm="1">
        <f ca="1" t="array" ref="M967">IF(M1569=1,OFFSET($W$634,$B967,M$631-1)/SUMPRODUCT(--($D$631:$V$631=M$631),--($D1569:$V1569=1)),0)+SUM(M966)+IF(COUNTIF(M$1237:M1569,1)=1,5,0)+IF(COUNTIF(N967:$W967,"&gt;"&amp;0)&lt;5,IF(AND(COUNTIF(M$1237:M1569,1)&gt;7,MOD(1+IFERROR(MATCH($C967,总览!$D$46:$D$345,1)+1,1),7)=0),$C$3,0),0)</f>
        <v>433.466964285715</v>
      </c>
      <c r="N967" s="131" cm="1">
        <f ca="1" t="array" ref="N967">IF(N1569=1,OFFSET($W$634,$B967,N$631-1)/SUMPRODUCT(--($D$631:$V$631=N$631),--($D1569:$V1569=1)),0)+SUM(N966)+IF(COUNTIF(N$1237:N1569,1)=1,5,0)+IF(COUNTIF(O967:$W967,"&gt;"&amp;0)&lt;5,IF(AND(COUNTIF(N$1237:N1569,1)&gt;7,MOD(1+IFERROR(MATCH($C967,总览!$D$46:$D$345,1)+1,1),7)=0),$C$3,0),0)</f>
        <v>434.716964285715</v>
      </c>
      <c r="O967" s="131" cm="1">
        <f ca="1" t="array" ref="O967">IF(O1569=1,OFFSET($W$634,$B967,O$631-1)/SUMPRODUCT(--($D$631:$V$631=O$631),--($D1569:$V1569=1)),0)+SUM(O966)+IF(COUNTIF(O$1237:O1569,1)=1,5,0)+IF(COUNTIF(P967:$W967,"&gt;"&amp;0)&lt;5,IF(AND(COUNTIF(O$1237:O1569,1)&gt;7,MOD(1+IFERROR(MATCH($C967,总览!$D$46:$D$345,1)+1,1),7)=0),$C$3,0),0)</f>
        <v>439.716964285715</v>
      </c>
      <c r="P967" s="131" cm="1">
        <f ca="1" t="array" ref="P967">IF(P1569=1,OFFSET($W$634,$B967,P$631-1)/SUMPRODUCT(--($D$631:$V$631=P$631),--($D1569:$V1569=1)),0)+SUM(P966)+IF(COUNTIF(P$1237:P1569,1)=1,5,0)+IF(COUNTIF(Q967:$W967,"&gt;"&amp;0)&lt;5,IF(AND(COUNTIF(P$1237:P1569,1)&gt;7,MOD(1+IFERROR(MATCH($C967,总览!$D$46:$D$345,1)+1,1),7)=0),$C$3,0),0)</f>
        <v>428.835714285715</v>
      </c>
      <c r="Q967" s="131" cm="1">
        <f ca="1" t="array" ref="Q967">IF(Q1569=1,OFFSET($W$634,$B967,Q$631-1)/SUMPRODUCT(--($D$631:$V$631=Q$631),--($D1569:$V1569=1)),0)+SUM(Q966)+IF(COUNTIF(Q$1237:Q1569,1)=1,5,0)+IF(COUNTIF(R967:$W967,"&gt;"&amp;0)&lt;5,IF(AND(COUNTIF(Q$1237:Q1569,1)&gt;7,MOD(1+IFERROR(MATCH($C967,总览!$D$46:$D$345,1)+1,1),7)=0),$C$3,0),0)</f>
        <v>442.216964285715</v>
      </c>
      <c r="R967" s="131" cm="1">
        <f ca="1" t="array" ref="R967">IF(R1569=1,OFFSET($W$634,$B967,R$631-1)/SUMPRODUCT(--($D$631:$V$631=R$631),--($D1569:$V1569=1)),0)+SUM(R966)+IF(COUNTIF(R$1237:R1569,1)=1,5,0)+IF(COUNTIF(S967:$W967,"&gt;"&amp;0)&lt;5,IF(AND(COUNTIF(R$1237:R1569,1)&gt;7,MOD(1+IFERROR(MATCH($C967,总览!$D$46:$D$345,1)+1,1),7)=0),$C$3,0),0)</f>
        <v>433.835714285715</v>
      </c>
      <c r="S967" s="131" cm="1">
        <f ca="1" t="array" ref="S967">IF(S1569=1,OFFSET($W$634,$B967,S$631-1)/SUMPRODUCT(--($D$631:$V$631=S$631),--($D1569:$V1569=1)),0)+SUM(S966)+IF(COUNTIF(S$1237:S1569,1)=1,5,0)+IF(COUNTIF(T967:$W967,"&gt;"&amp;0)&lt;5,IF(AND(COUNTIF(S$1237:S1569,1)&gt;7,MOD(1+IFERROR(MATCH($C967,总览!$D$46:$D$345,1)+1,1),7)=0),$C$3,0),0)</f>
        <v>526.335714285716</v>
      </c>
      <c r="T967" s="131" cm="1">
        <f ca="1" t="array" ref="T967">IF(T1569=1,OFFSET($W$634,$B967,T$631-1)/SUMPRODUCT(--($D$631:$V$631=T$631),--($D1569:$V1569=1)),0)+SUM(T966)+IF(COUNTIF(T$1237:T1569,1)=1,5,0)+IF(COUNTIF(U967:$W967,"&gt;"&amp;0)&lt;5,IF(AND(COUNTIF(T$1237:T1569,1)&gt;7,MOD(1+IFERROR(MATCH($C967,总览!$D$46:$D$345,1)+1,1),7)=0),$C$3,0),0)</f>
        <v>384.790865484087</v>
      </c>
      <c r="U967" s="131" cm="1">
        <f ca="1" t="array" ref="U967">IF(U1569=1,OFFSET($W$634,$B967,U$631-1)/SUMPRODUCT(--($D$631:$V$631=U$631),--($D1569:$V1569=1)),0)+SUM(U966)+IF(COUNTIF(U$1237:U1569,1)=1,5,0)+IF(COUNTIF(V967:$W967,"&gt;"&amp;0)&lt;5,IF(AND(COUNTIF(U$1237:U1569,1)&gt;7,MOD(1+IFERROR(MATCH($C967,总览!$D$46:$D$345,1)+1,1),7)=0),$C$3,0),0)</f>
        <v>390.311651839387</v>
      </c>
      <c r="V967" s="131" cm="1">
        <f ca="1" t="array" ref="V967">IF(V1569=1,OFFSET($W$634,$B967,V$631-1)/SUMPRODUCT(--($D$631:$V$631=V$631),--($D1569:$V1569=1)),0)+SUM(V966)+IF(COUNTIF(V$1237:V1569,1)=1,5,0)+IF(COUNTIF(W967:$W967,"&gt;"&amp;0)&lt;5,IF(AND(COUNTIF(V$1237:V1569,1)&gt;7,MOD(1+IFERROR(MATCH($C967,总览!$D$46:$D$345,1)+1,1),7)=0),$C$3,0),0)</f>
        <v>410.13865155182</v>
      </c>
      <c r="W967" s="135" cm="1">
        <f ca="1" t="array" ref="W967">SUMPRODUCT(TRANSPOSE($AA967:$AG967),OFFSET($L$9:$L$15,0,W$631-1))</f>
        <v>16.8502200646615</v>
      </c>
      <c r="X967" s="135" cm="1">
        <f ca="1" t="array" ref="X967">SUMPRODUCT(TRANSPOSE($AA967:$AG967),OFFSET($L$9:$L$15,0,X$631-1))</f>
        <v>20</v>
      </c>
      <c r="Y967" s="135" cm="1">
        <f ca="1" t="array" ref="Y967">SUMPRODUCT(TRANSPOSE($AA967:$AG967),OFFSET($L$9:$L$15,0,Y$631-1))</f>
        <v>10</v>
      </c>
      <c r="Z967" s="135" cm="1">
        <f ca="1" t="array" ref="Z967">SUMPRODUCT(TRANSPOSE($AA967:$AG967),OFFSET($L$9:$L$15,0,Z$631-1))</f>
        <v>3.14977993533847</v>
      </c>
      <c r="AA967" s="136">
        <f ca="1" t="shared" ref="AA967:AG967" si="915">AH967-AH966</f>
        <v>0</v>
      </c>
      <c r="AB967" s="136">
        <f ca="1" t="shared" si="915"/>
        <v>0</v>
      </c>
      <c r="AC967" s="136">
        <f ca="1" t="shared" si="915"/>
        <v>0</v>
      </c>
      <c r="AD967" s="136">
        <f ca="1" t="shared" si="915"/>
        <v>0</v>
      </c>
      <c r="AE967" s="136">
        <f ca="1" t="shared" si="915"/>
        <v>0</v>
      </c>
      <c r="AF967" s="136">
        <f ca="1" t="shared" si="915"/>
        <v>0</v>
      </c>
      <c r="AG967" s="136">
        <f ca="1" t="shared" si="915"/>
        <v>100</v>
      </c>
      <c r="AH967" s="136">
        <f ca="1" t="shared" si="891"/>
        <v>450</v>
      </c>
      <c r="AI967" s="136">
        <f ca="1" t="shared" ref="AI967:AN967" si="916">IF($C967&gt;OFFSET($Q$8,MATCH(AI$634,$AH$634:$AN$634,0),0),OFFSET($P$8,MATCH(AI$634,$AH$634:$AN$634,0),0),MAX(0,$C967-OFFSET($Q$8,RIGHT(AI$634,1)-1,0)))</f>
        <v>909</v>
      </c>
      <c r="AJ967" s="136">
        <f ca="1" t="shared" si="916"/>
        <v>1818</v>
      </c>
      <c r="AK967" s="136">
        <f ca="1" t="shared" si="916"/>
        <v>2727</v>
      </c>
      <c r="AL967" s="136">
        <f ca="1" t="shared" si="916"/>
        <v>3636</v>
      </c>
      <c r="AM967" s="136">
        <f ca="1" t="shared" si="916"/>
        <v>4545</v>
      </c>
      <c r="AN967" s="136">
        <f ca="1" t="shared" si="916"/>
        <v>19215</v>
      </c>
    </row>
    <row r="968" s="106" customFormat="1" ht="16.5" spans="2:40">
      <c r="B968" s="117">
        <v>334</v>
      </c>
      <c r="C968" s="130">
        <f t="shared" si="889"/>
        <v>33400</v>
      </c>
      <c r="D968" s="131" cm="1">
        <f ca="1" t="array" ref="D968">IF(D1570=1,OFFSET($W$634,$B968,D$631-1)/SUMPRODUCT(--($D$631:$V$631=D$631),--($D1570:$V1570=1)),0)+SUM(D967)+IF(COUNTIF(D$1237:D1570,1)=1,5,0)+IF(COUNTIF(E968:$W968,"&gt;"&amp;0)&lt;5,IF(AND(COUNTIF(D$1237:D1570,1)&gt;7,MOD(1+IFERROR(MATCH($C968,总览!$D$46:$D$345,1)+1,1),7)=0),$C$3,0),0)</f>
        <v>2203.69468372979</v>
      </c>
      <c r="E968" s="131" cm="1">
        <f ca="1" t="array" ref="E968">IF(E1570=1,OFFSET($W$634,$B968,E$631-1)/SUMPRODUCT(--($D$631:$V$631=E$631),--($D1570:$V1570=1)),0)+SUM(E967)+IF(COUNTIF(E$1237:E1570,1)=1,5,0)+IF(COUNTIF(F968:$W968,"&gt;"&amp;0)&lt;5,IF(AND(COUNTIF(E$1237:E1570,1)&gt;7,MOD(1+IFERROR(MATCH($C968,总览!$D$46:$D$345,1)+1,1),7)=0),$C$3,0),0)</f>
        <v>2203.69468372979</v>
      </c>
      <c r="F968" s="131" cm="1">
        <f ca="1" t="array" ref="F968">IF(F1570=1,OFFSET($W$634,$B968,F$631-1)/SUMPRODUCT(--($D$631:$V$631=F$631),--($D1570:$V1570=1)),0)+SUM(F967)+IF(COUNTIF(F$1237:F1570,1)=1,5,0)+IF(COUNTIF(G968:$W968,"&gt;"&amp;0)&lt;5,IF(AND(COUNTIF(F$1237:F1570,1)&gt;7,MOD(1+IFERROR(MATCH($C968,总览!$D$46:$D$345,1)+1,1),7)=0),$C$3,0),0)</f>
        <v>2203.69468372979</v>
      </c>
      <c r="G968" s="131" cm="1">
        <f ca="1" t="array" ref="G968">IF(G1570=1,OFFSET($W$634,$B968,G$631-1)/SUMPRODUCT(--($D$631:$V$631=G$631),--($D1570:$V1570=1)),0)+SUM(G967)+IF(COUNTIF(G$1237:G1570,1)=1,5,0)+IF(COUNTIF(H968:$W968,"&gt;"&amp;0)&lt;5,IF(AND(COUNTIF(G$1237:G1570,1)&gt;7,MOD(1+IFERROR(MATCH($C968,总览!$D$46:$D$345,1)+1,1),7)=0),$C$3,0),0)</f>
        <v>1052.73333333334</v>
      </c>
      <c r="H968" s="131" cm="1">
        <f ca="1" t="array" ref="H968">IF(H1570=1,OFFSET($W$634,$B968,H$631-1)/SUMPRODUCT(--($D$631:$V$631=H$631),--($D1570:$V1570=1)),0)+SUM(H967)+IF(COUNTIF(H$1237:H1570,1)=1,5,0)+IF(COUNTIF(I968:$W968,"&gt;"&amp;0)&lt;5,IF(AND(COUNTIF(H$1237:H1570,1)&gt;7,MOD(1+IFERROR(MATCH($C968,总览!$D$46:$D$345,1)+1,1),7)=0),$C$3,0),0)</f>
        <v>1052.73333333334</v>
      </c>
      <c r="I968" s="131" cm="1">
        <f ca="1" t="array" ref="I968">IF(I1570=1,OFFSET($W$634,$B968,I$631-1)/SUMPRODUCT(--($D$631:$V$631=I$631),--($D1570:$V1570=1)),0)+SUM(I967)+IF(COUNTIF(I$1237:I1570,1)=1,5,0)+IF(COUNTIF(J968:$W968,"&gt;"&amp;0)&lt;5,IF(AND(COUNTIF(I$1237:I1570,1)&gt;7,MOD(1+IFERROR(MATCH($C968,总览!$D$46:$D$345,1)+1,1),7)=0),$C$3,0),0)</f>
        <v>1052.73333333334</v>
      </c>
      <c r="J968" s="131" cm="1">
        <f ca="1" t="array" ref="J968">IF(J1570=1,OFFSET($W$634,$B968,J$631-1)/SUMPRODUCT(--($D$631:$V$631=J$631),--($D1570:$V1570=1)),0)+SUM(J967)+IF(COUNTIF(J$1237:J1570,1)=1,5,0)+IF(COUNTIF(K968:$W968,"&gt;"&amp;0)&lt;5,IF(AND(COUNTIF(J$1237:J1570,1)&gt;7,MOD(1+IFERROR(MATCH($C968,总览!$D$46:$D$345,1)+1,1),7)=0),$C$3,0),0)</f>
        <v>1049.4</v>
      </c>
      <c r="K968" s="131" cm="1">
        <f ca="1" t="array" ref="K968">IF(K1570=1,OFFSET($W$634,$B968,K$631-1)/SUMPRODUCT(--($D$631:$V$631=K$631),--($D1570:$V1570=1)),0)+SUM(K967)+IF(COUNTIF(K$1237:K1570,1)=1,5,0)+IF(COUNTIF(L968:$W968,"&gt;"&amp;0)&lt;5,IF(AND(COUNTIF(K$1237:K1570,1)&gt;7,MOD(1+IFERROR(MATCH($C968,总览!$D$46:$D$345,1)+1,1),7)=0),$C$3,0),0)</f>
        <v>1046.9</v>
      </c>
      <c r="L968" s="131" cm="1">
        <f ca="1" t="array" ref="L968">IF(L1570=1,OFFSET($W$634,$B968,L$631-1)/SUMPRODUCT(--($D$631:$V$631=L$631),--($D1570:$V1570=1)),0)+SUM(L967)+IF(COUNTIF(L$1237:L1570,1)=1,5,0)+IF(COUNTIF(M968:$W968,"&gt;"&amp;0)&lt;5,IF(AND(COUNTIF(L$1237:L1570,1)&gt;7,MOD(1+IFERROR(MATCH($C968,总览!$D$46:$D$345,1)+1,1),7)=0),$C$3,0),0)</f>
        <v>1046.9</v>
      </c>
      <c r="M968" s="131" cm="1">
        <f ca="1" t="array" ref="M968">IF(M1570=1,OFFSET($W$634,$B968,M$631-1)/SUMPRODUCT(--($D$631:$V$631=M$631),--($D1570:$V1570=1)),0)+SUM(M967)+IF(COUNTIF(M$1237:M1570,1)=1,5,0)+IF(COUNTIF(N968:$W968,"&gt;"&amp;0)&lt;5,IF(AND(COUNTIF(M$1237:M1570,1)&gt;7,MOD(1+IFERROR(MATCH($C968,总览!$D$46:$D$345,1)+1,1),7)=0),$C$3,0),0)</f>
        <v>434.895535714287</v>
      </c>
      <c r="N968" s="131" cm="1">
        <f ca="1" t="array" ref="N968">IF(N1570=1,OFFSET($W$634,$B968,N$631-1)/SUMPRODUCT(--($D$631:$V$631=N$631),--($D1570:$V1570=1)),0)+SUM(N967)+IF(COUNTIF(N$1237:N1570,1)=1,5,0)+IF(COUNTIF(O968:$W968,"&gt;"&amp;0)&lt;5,IF(AND(COUNTIF(N$1237:N1570,1)&gt;7,MOD(1+IFERROR(MATCH($C968,总览!$D$46:$D$345,1)+1,1),7)=0),$C$3,0),0)</f>
        <v>436.145535714287</v>
      </c>
      <c r="O968" s="131" cm="1">
        <f ca="1" t="array" ref="O968">IF(O1570=1,OFFSET($W$634,$B968,O$631-1)/SUMPRODUCT(--($D$631:$V$631=O$631),--($D1570:$V1570=1)),0)+SUM(O967)+IF(COUNTIF(O$1237:O1570,1)=1,5,0)+IF(COUNTIF(P968:$W968,"&gt;"&amp;0)&lt;5,IF(AND(COUNTIF(O$1237:O1570,1)&gt;7,MOD(1+IFERROR(MATCH($C968,总览!$D$46:$D$345,1)+1,1),7)=0),$C$3,0),0)</f>
        <v>441.145535714287</v>
      </c>
      <c r="P968" s="131" cm="1">
        <f ca="1" t="array" ref="P968">IF(P1570=1,OFFSET($W$634,$B968,P$631-1)/SUMPRODUCT(--($D$631:$V$631=P$631),--($D1570:$V1570=1)),0)+SUM(P967)+IF(COUNTIF(P$1237:P1570,1)=1,5,0)+IF(COUNTIF(Q968:$W968,"&gt;"&amp;0)&lt;5,IF(AND(COUNTIF(P$1237:P1570,1)&gt;7,MOD(1+IFERROR(MATCH($C968,总览!$D$46:$D$345,1)+1,1),7)=0),$C$3,0),0)</f>
        <v>430.264285714287</v>
      </c>
      <c r="Q968" s="131" cm="1">
        <f ca="1" t="array" ref="Q968">IF(Q1570=1,OFFSET($W$634,$B968,Q$631-1)/SUMPRODUCT(--($D$631:$V$631=Q$631),--($D1570:$V1570=1)),0)+SUM(Q967)+IF(COUNTIF(Q$1237:Q1570,1)=1,5,0)+IF(COUNTIF(R968:$W968,"&gt;"&amp;0)&lt;5,IF(AND(COUNTIF(Q$1237:Q1570,1)&gt;7,MOD(1+IFERROR(MATCH($C968,总览!$D$46:$D$345,1)+1,1),7)=0),$C$3,0),0)</f>
        <v>443.645535714287</v>
      </c>
      <c r="R968" s="131" cm="1">
        <f ca="1" t="array" ref="R968">IF(R1570=1,OFFSET($W$634,$B968,R$631-1)/SUMPRODUCT(--($D$631:$V$631=R$631),--($D1570:$V1570=1)),0)+SUM(R967)+IF(COUNTIF(R$1237:R1570,1)=1,5,0)+IF(COUNTIF(S968:$W968,"&gt;"&amp;0)&lt;5,IF(AND(COUNTIF(R$1237:R1570,1)&gt;7,MOD(1+IFERROR(MATCH($C968,总览!$D$46:$D$345,1)+1,1),7)=0),$C$3,0),0)</f>
        <v>435.264285714287</v>
      </c>
      <c r="S968" s="131" cm="1">
        <f ca="1" t="array" ref="S968">IF(S1570=1,OFFSET($W$634,$B968,S$631-1)/SUMPRODUCT(--($D$631:$V$631=S$631),--($D1570:$V1570=1)),0)+SUM(S967)+IF(COUNTIF(S$1237:S1570,1)=1,5,0)+IF(COUNTIF(T968:$W968,"&gt;"&amp;0)&lt;5,IF(AND(COUNTIF(S$1237:S1570,1)&gt;7,MOD(1+IFERROR(MATCH($C968,总览!$D$46:$D$345,1)+1,1),7)=0),$C$3,0),0)</f>
        <v>527.764285714288</v>
      </c>
      <c r="T968" s="131" cm="1">
        <f ca="1" t="array" ref="T968">IF(T1570=1,OFFSET($W$634,$B968,T$631-1)/SUMPRODUCT(--($D$631:$V$631=T$631),--($D1570:$V1570=1)),0)+SUM(T967)+IF(COUNTIF(T$1237:T1570,1)=1,5,0)+IF(COUNTIF(U968:$W968,"&gt;"&amp;0)&lt;5,IF(AND(COUNTIF(T$1237:T1570,1)&gt;7,MOD(1+IFERROR(MATCH($C968,总览!$D$46:$D$345,1)+1,1),7)=0),$C$3,0),0)</f>
        <v>385.8407921292</v>
      </c>
      <c r="U968" s="131" cm="1">
        <f ca="1" t="array" ref="U968">IF(U1570=1,OFFSET($W$634,$B968,U$631-1)/SUMPRODUCT(--($D$631:$V$631=U$631),--($D1570:$V1570=1)),0)+SUM(U967)+IF(COUNTIF(U$1237:U1570,1)=1,5,0)+IF(COUNTIF(V968:$W968,"&gt;"&amp;0)&lt;5,IF(AND(COUNTIF(U$1237:U1570,1)&gt;7,MOD(1+IFERROR(MATCH($C968,总览!$D$46:$D$345,1)+1,1),7)=0),$C$3,0),0)</f>
        <v>391.361578484499</v>
      </c>
      <c r="V968" s="131" cm="1">
        <f ca="1" t="array" ref="V968">IF(V1570=1,OFFSET($W$634,$B968,V$631-1)/SUMPRODUCT(--($D$631:$V$631=V$631),--($D1570:$V1570=1)),0)+SUM(V967)+IF(COUNTIF(V$1237:V1570,1)=1,5,0)+IF(COUNTIF(W968:$W968,"&gt;"&amp;0)&lt;5,IF(AND(COUNTIF(V$1237:V1570,1)&gt;7,MOD(1+IFERROR(MATCH($C968,总览!$D$46:$D$345,1)+1,1),7)=0),$C$3,0),0)</f>
        <v>411.188578196932</v>
      </c>
      <c r="W968" s="135" cm="1">
        <f ca="1" t="array" ref="W968">SUMPRODUCT(TRANSPOSE($AA968:$AG968),OFFSET($L$9:$L$15,0,W$631-1))</f>
        <v>16.8502200646615</v>
      </c>
      <c r="X968" s="135" cm="1">
        <f ca="1" t="array" ref="X968">SUMPRODUCT(TRANSPOSE($AA968:$AG968),OFFSET($L$9:$L$15,0,X$631-1))</f>
        <v>20</v>
      </c>
      <c r="Y968" s="135" cm="1">
        <f ca="1" t="array" ref="Y968">SUMPRODUCT(TRANSPOSE($AA968:$AG968),OFFSET($L$9:$L$15,0,Y$631-1))</f>
        <v>10</v>
      </c>
      <c r="Z968" s="135" cm="1">
        <f ca="1" t="array" ref="Z968">SUMPRODUCT(TRANSPOSE($AA968:$AG968),OFFSET($L$9:$L$15,0,Z$631-1))</f>
        <v>3.14977993533847</v>
      </c>
      <c r="AA968" s="136">
        <f ca="1" t="shared" ref="AA968:AG968" si="917">AH968-AH967</f>
        <v>0</v>
      </c>
      <c r="AB968" s="136">
        <f ca="1" t="shared" si="917"/>
        <v>0</v>
      </c>
      <c r="AC968" s="136">
        <f ca="1" t="shared" si="917"/>
        <v>0</v>
      </c>
      <c r="AD968" s="136">
        <f ca="1" t="shared" si="917"/>
        <v>0</v>
      </c>
      <c r="AE968" s="136">
        <f ca="1" t="shared" si="917"/>
        <v>0</v>
      </c>
      <c r="AF968" s="136">
        <f ca="1" t="shared" si="917"/>
        <v>0</v>
      </c>
      <c r="AG968" s="136">
        <f ca="1" t="shared" si="917"/>
        <v>100</v>
      </c>
      <c r="AH968" s="136">
        <f ca="1" t="shared" si="891"/>
        <v>450</v>
      </c>
      <c r="AI968" s="136">
        <f ca="1" t="shared" ref="AI968:AN968" si="918">IF($C968&gt;OFFSET($Q$8,MATCH(AI$634,$AH$634:$AN$634,0),0),OFFSET($P$8,MATCH(AI$634,$AH$634:$AN$634,0),0),MAX(0,$C968-OFFSET($Q$8,RIGHT(AI$634,1)-1,0)))</f>
        <v>909</v>
      </c>
      <c r="AJ968" s="136">
        <f ca="1" t="shared" si="918"/>
        <v>1818</v>
      </c>
      <c r="AK968" s="136">
        <f ca="1" t="shared" si="918"/>
        <v>2727</v>
      </c>
      <c r="AL968" s="136">
        <f ca="1" t="shared" si="918"/>
        <v>3636</v>
      </c>
      <c r="AM968" s="136">
        <f ca="1" t="shared" si="918"/>
        <v>4545</v>
      </c>
      <c r="AN968" s="136">
        <f ca="1" t="shared" si="918"/>
        <v>19315</v>
      </c>
    </row>
    <row r="969" s="106" customFormat="1" ht="16.5" spans="2:40">
      <c r="B969" s="117">
        <v>335</v>
      </c>
      <c r="C969" s="130">
        <f t="shared" si="889"/>
        <v>33500</v>
      </c>
      <c r="D969" s="131" cm="1">
        <f ca="1" t="array" ref="D969">IF(D1571=1,OFFSET($W$634,$B969,D$631-1)/SUMPRODUCT(--($D$631:$V$631=D$631),--($D1571:$V1571=1)),0)+SUM(D968)+IF(COUNTIF(D$1237:D1571,1)=1,5,0)+IF(COUNTIF(E969:$W969,"&gt;"&amp;0)&lt;5,IF(AND(COUNTIF(D$1237:D1571,1)&gt;7,MOD(1+IFERROR(MATCH($C969,总览!$D$46:$D$345,1)+1,1),7)=0),$C$3,0),0)</f>
        <v>2209.31142375134</v>
      </c>
      <c r="E969" s="131" cm="1">
        <f ca="1" t="array" ref="E969">IF(E1571=1,OFFSET($W$634,$B969,E$631-1)/SUMPRODUCT(--($D$631:$V$631=E$631),--($D1571:$V1571=1)),0)+SUM(E968)+IF(COUNTIF(E$1237:E1571,1)=1,5,0)+IF(COUNTIF(F969:$W969,"&gt;"&amp;0)&lt;5,IF(AND(COUNTIF(E$1237:E1571,1)&gt;7,MOD(1+IFERROR(MATCH($C969,总览!$D$46:$D$345,1)+1,1),7)=0),$C$3,0),0)</f>
        <v>2209.31142375134</v>
      </c>
      <c r="F969" s="131" cm="1">
        <f ca="1" t="array" ref="F969">IF(F1571=1,OFFSET($W$634,$B969,F$631-1)/SUMPRODUCT(--($D$631:$V$631=F$631),--($D1571:$V1571=1)),0)+SUM(F968)+IF(COUNTIF(F$1237:F1571,1)=1,5,0)+IF(COUNTIF(G969:$W969,"&gt;"&amp;0)&lt;5,IF(AND(COUNTIF(F$1237:F1571,1)&gt;7,MOD(1+IFERROR(MATCH($C969,总览!$D$46:$D$345,1)+1,1),7)=0),$C$3,0),0)</f>
        <v>2209.31142375134</v>
      </c>
      <c r="G969" s="131" cm="1">
        <f ca="1" t="array" ref="G969">IF(G1571=1,OFFSET($W$634,$B969,G$631-1)/SUMPRODUCT(--($D$631:$V$631=G$631),--($D1571:$V1571=1)),0)+SUM(G968)+IF(COUNTIF(G$1237:G1571,1)=1,5,0)+IF(COUNTIF(H969:$W969,"&gt;"&amp;0)&lt;5,IF(AND(COUNTIF(G$1237:G1571,1)&gt;7,MOD(1+IFERROR(MATCH($C969,总览!$D$46:$D$345,1)+1,1),7)=0),$C$3,0),0)</f>
        <v>1056.06666666667</v>
      </c>
      <c r="H969" s="131" cm="1">
        <f ca="1" t="array" ref="H969">IF(H1571=1,OFFSET($W$634,$B969,H$631-1)/SUMPRODUCT(--($D$631:$V$631=H$631),--($D1571:$V1571=1)),0)+SUM(H968)+IF(COUNTIF(H$1237:H1571,1)=1,5,0)+IF(COUNTIF(I969:$W969,"&gt;"&amp;0)&lt;5,IF(AND(COUNTIF(H$1237:H1571,1)&gt;7,MOD(1+IFERROR(MATCH($C969,总览!$D$46:$D$345,1)+1,1),7)=0),$C$3,0),0)</f>
        <v>1056.06666666667</v>
      </c>
      <c r="I969" s="131" cm="1">
        <f ca="1" t="array" ref="I969">IF(I1571=1,OFFSET($W$634,$B969,I$631-1)/SUMPRODUCT(--($D$631:$V$631=I$631),--($D1571:$V1571=1)),0)+SUM(I968)+IF(COUNTIF(I$1237:I1571,1)=1,5,0)+IF(COUNTIF(J969:$W969,"&gt;"&amp;0)&lt;5,IF(AND(COUNTIF(I$1237:I1571,1)&gt;7,MOD(1+IFERROR(MATCH($C969,总览!$D$46:$D$345,1)+1,1),7)=0),$C$3,0),0)</f>
        <v>1056.06666666667</v>
      </c>
      <c r="J969" s="131" cm="1">
        <f ca="1" t="array" ref="J969">IF(J1571=1,OFFSET($W$634,$B969,J$631-1)/SUMPRODUCT(--($D$631:$V$631=J$631),--($D1571:$V1571=1)),0)+SUM(J968)+IF(COUNTIF(J$1237:J1571,1)=1,5,0)+IF(COUNTIF(K969:$W969,"&gt;"&amp;0)&lt;5,IF(AND(COUNTIF(J$1237:J1571,1)&gt;7,MOD(1+IFERROR(MATCH($C969,总览!$D$46:$D$345,1)+1,1),7)=0),$C$3,0),0)</f>
        <v>1052.73333333334</v>
      </c>
      <c r="K969" s="131" cm="1">
        <f ca="1" t="array" ref="K969">IF(K1571=1,OFFSET($W$634,$B969,K$631-1)/SUMPRODUCT(--($D$631:$V$631=K$631),--($D1571:$V1571=1)),0)+SUM(K968)+IF(COUNTIF(K$1237:K1571,1)=1,5,0)+IF(COUNTIF(L969:$W969,"&gt;"&amp;0)&lt;5,IF(AND(COUNTIF(K$1237:K1571,1)&gt;7,MOD(1+IFERROR(MATCH($C969,总览!$D$46:$D$345,1)+1,1),7)=0),$C$3,0),0)</f>
        <v>1050.23333333334</v>
      </c>
      <c r="L969" s="131" cm="1">
        <f ca="1" t="array" ref="L969">IF(L1571=1,OFFSET($W$634,$B969,L$631-1)/SUMPRODUCT(--($D$631:$V$631=L$631),--($D1571:$V1571=1)),0)+SUM(L968)+IF(COUNTIF(L$1237:L1571,1)=1,5,0)+IF(COUNTIF(M969:$W969,"&gt;"&amp;0)&lt;5,IF(AND(COUNTIF(L$1237:L1571,1)&gt;7,MOD(1+IFERROR(MATCH($C969,总览!$D$46:$D$345,1)+1,1),7)=0),$C$3,0),0)</f>
        <v>1050.23333333334</v>
      </c>
      <c r="M969" s="131" cm="1">
        <f ca="1" t="array" ref="M969">IF(M1571=1,OFFSET($W$634,$B969,M$631-1)/SUMPRODUCT(--($D$631:$V$631=M$631),--($D1571:$V1571=1)),0)+SUM(M968)+IF(COUNTIF(M$1237:M1571,1)=1,5,0)+IF(COUNTIF(N969:$W969,"&gt;"&amp;0)&lt;5,IF(AND(COUNTIF(M$1237:M1571,1)&gt;7,MOD(1+IFERROR(MATCH($C969,总览!$D$46:$D$345,1)+1,1),7)=0),$C$3,0),0)</f>
        <v>436.324107142858</v>
      </c>
      <c r="N969" s="131" cm="1">
        <f ca="1" t="array" ref="N969">IF(N1571=1,OFFSET($W$634,$B969,N$631-1)/SUMPRODUCT(--($D$631:$V$631=N$631),--($D1571:$V1571=1)),0)+SUM(N968)+IF(COUNTIF(N$1237:N1571,1)=1,5,0)+IF(COUNTIF(O969:$W969,"&gt;"&amp;0)&lt;5,IF(AND(COUNTIF(N$1237:N1571,1)&gt;7,MOD(1+IFERROR(MATCH($C969,总览!$D$46:$D$345,1)+1,1),7)=0),$C$3,0),0)</f>
        <v>437.574107142858</v>
      </c>
      <c r="O969" s="131" cm="1">
        <f ca="1" t="array" ref="O969">IF(O1571=1,OFFSET($W$634,$B969,O$631-1)/SUMPRODUCT(--($D$631:$V$631=O$631),--($D1571:$V1571=1)),0)+SUM(O968)+IF(COUNTIF(O$1237:O1571,1)=1,5,0)+IF(COUNTIF(P969:$W969,"&gt;"&amp;0)&lt;5,IF(AND(COUNTIF(O$1237:O1571,1)&gt;7,MOD(1+IFERROR(MATCH($C969,总览!$D$46:$D$345,1)+1,1),7)=0),$C$3,0),0)</f>
        <v>442.574107142858</v>
      </c>
      <c r="P969" s="131" cm="1">
        <f ca="1" t="array" ref="P969">IF(P1571=1,OFFSET($W$634,$B969,P$631-1)/SUMPRODUCT(--($D$631:$V$631=P$631),--($D1571:$V1571=1)),0)+SUM(P968)+IF(COUNTIF(P$1237:P1571,1)=1,5,0)+IF(COUNTIF(Q969:$W969,"&gt;"&amp;0)&lt;5,IF(AND(COUNTIF(P$1237:P1571,1)&gt;7,MOD(1+IFERROR(MATCH($C969,总览!$D$46:$D$345,1)+1,1),7)=0),$C$3,0),0)</f>
        <v>431.692857142858</v>
      </c>
      <c r="Q969" s="131" cm="1">
        <f ca="1" t="array" ref="Q969">IF(Q1571=1,OFFSET($W$634,$B969,Q$631-1)/SUMPRODUCT(--($D$631:$V$631=Q$631),--($D1571:$V1571=1)),0)+SUM(Q968)+IF(COUNTIF(Q$1237:Q1571,1)=1,5,0)+IF(COUNTIF(R969:$W969,"&gt;"&amp;0)&lt;5,IF(AND(COUNTIF(Q$1237:Q1571,1)&gt;7,MOD(1+IFERROR(MATCH($C969,总览!$D$46:$D$345,1)+1,1),7)=0),$C$3,0),0)</f>
        <v>445.074107142858</v>
      </c>
      <c r="R969" s="131" cm="1">
        <f ca="1" t="array" ref="R969">IF(R1571=1,OFFSET($W$634,$B969,R$631-1)/SUMPRODUCT(--($D$631:$V$631=R$631),--($D1571:$V1571=1)),0)+SUM(R968)+IF(COUNTIF(R$1237:R1571,1)=1,5,0)+IF(COUNTIF(S969:$W969,"&gt;"&amp;0)&lt;5,IF(AND(COUNTIF(R$1237:R1571,1)&gt;7,MOD(1+IFERROR(MATCH($C969,总览!$D$46:$D$345,1)+1,1),7)=0),$C$3,0),0)</f>
        <v>436.692857142858</v>
      </c>
      <c r="S969" s="131" cm="1">
        <f ca="1" t="array" ref="S969">IF(S1571=1,OFFSET($W$634,$B969,S$631-1)/SUMPRODUCT(--($D$631:$V$631=S$631),--($D1571:$V1571=1)),0)+SUM(S968)+IF(COUNTIF(S$1237:S1571,1)=1,5,0)+IF(COUNTIF(T969:$W969,"&gt;"&amp;0)&lt;5,IF(AND(COUNTIF(S$1237:S1571,1)&gt;7,MOD(1+IFERROR(MATCH($C969,总览!$D$46:$D$345,1)+1,1),7)=0),$C$3,0),0)</f>
        <v>529.192857142859</v>
      </c>
      <c r="T969" s="131" cm="1">
        <f ca="1" t="array" ref="T969">IF(T1571=1,OFFSET($W$634,$B969,T$631-1)/SUMPRODUCT(--($D$631:$V$631=T$631),--($D1571:$V1571=1)),0)+SUM(T968)+IF(COUNTIF(T$1237:T1571,1)=1,5,0)+IF(COUNTIF(U969:$W969,"&gt;"&amp;0)&lt;5,IF(AND(COUNTIF(T$1237:T1571,1)&gt;7,MOD(1+IFERROR(MATCH($C969,总览!$D$46:$D$345,1)+1,1),7)=0),$C$3,0),0)</f>
        <v>386.890718774313</v>
      </c>
      <c r="U969" s="131" cm="1">
        <f ca="1" t="array" ref="U969">IF(U1571=1,OFFSET($W$634,$B969,U$631-1)/SUMPRODUCT(--($D$631:$V$631=U$631),--($D1571:$V1571=1)),0)+SUM(U968)+IF(COUNTIF(U$1237:U1571,1)=1,5,0)+IF(COUNTIF(V969:$W969,"&gt;"&amp;0)&lt;5,IF(AND(COUNTIF(U$1237:U1571,1)&gt;7,MOD(1+IFERROR(MATCH($C969,总览!$D$46:$D$345,1)+1,1),7)=0),$C$3,0),0)</f>
        <v>392.411505129612</v>
      </c>
      <c r="V969" s="131" cm="1">
        <f ca="1" t="array" ref="V969">IF(V1571=1,OFFSET($W$634,$B969,V$631-1)/SUMPRODUCT(--($D$631:$V$631=V$631),--($D1571:$V1571=1)),0)+SUM(V968)+IF(COUNTIF(V$1237:V1571,1)=1,5,0)+IF(COUNTIF(W969:$W969,"&gt;"&amp;0)&lt;5,IF(AND(COUNTIF(V$1237:V1571,1)&gt;7,MOD(1+IFERROR(MATCH($C969,总览!$D$46:$D$345,1)+1,1),7)=0),$C$3,0),0)</f>
        <v>412.238504842045</v>
      </c>
      <c r="W969" s="135" cm="1">
        <f ca="1" t="array" ref="W969">SUMPRODUCT(TRANSPOSE($AA969:$AG969),OFFSET($L$9:$L$15,0,W$631-1))</f>
        <v>16.8502200646615</v>
      </c>
      <c r="X969" s="135" cm="1">
        <f ca="1" t="array" ref="X969">SUMPRODUCT(TRANSPOSE($AA969:$AG969),OFFSET($L$9:$L$15,0,X$631-1))</f>
        <v>20</v>
      </c>
      <c r="Y969" s="135" cm="1">
        <f ca="1" t="array" ref="Y969">SUMPRODUCT(TRANSPOSE($AA969:$AG969),OFFSET($L$9:$L$15,0,Y$631-1))</f>
        <v>10</v>
      </c>
      <c r="Z969" s="135" cm="1">
        <f ca="1" t="array" ref="Z969">SUMPRODUCT(TRANSPOSE($AA969:$AG969),OFFSET($L$9:$L$15,0,Z$631-1))</f>
        <v>3.14977993533847</v>
      </c>
      <c r="AA969" s="136">
        <f ca="1" t="shared" ref="AA969:AG969" si="919">AH969-AH968</f>
        <v>0</v>
      </c>
      <c r="AB969" s="136">
        <f ca="1" t="shared" si="919"/>
        <v>0</v>
      </c>
      <c r="AC969" s="136">
        <f ca="1" t="shared" si="919"/>
        <v>0</v>
      </c>
      <c r="AD969" s="136">
        <f ca="1" t="shared" si="919"/>
        <v>0</v>
      </c>
      <c r="AE969" s="136">
        <f ca="1" t="shared" si="919"/>
        <v>0</v>
      </c>
      <c r="AF969" s="136">
        <f ca="1" t="shared" si="919"/>
        <v>0</v>
      </c>
      <c r="AG969" s="136">
        <f ca="1" t="shared" si="919"/>
        <v>100</v>
      </c>
      <c r="AH969" s="136">
        <f ca="1" t="shared" si="891"/>
        <v>450</v>
      </c>
      <c r="AI969" s="136">
        <f ca="1" t="shared" ref="AI969:AN969" si="920">IF($C969&gt;OFFSET($Q$8,MATCH(AI$634,$AH$634:$AN$634,0),0),OFFSET($P$8,MATCH(AI$634,$AH$634:$AN$634,0),0),MAX(0,$C969-OFFSET($Q$8,RIGHT(AI$634,1)-1,0)))</f>
        <v>909</v>
      </c>
      <c r="AJ969" s="136">
        <f ca="1" t="shared" si="920"/>
        <v>1818</v>
      </c>
      <c r="AK969" s="136">
        <f ca="1" t="shared" si="920"/>
        <v>2727</v>
      </c>
      <c r="AL969" s="136">
        <f ca="1" t="shared" si="920"/>
        <v>3636</v>
      </c>
      <c r="AM969" s="136">
        <f ca="1" t="shared" si="920"/>
        <v>4545</v>
      </c>
      <c r="AN969" s="136">
        <f ca="1" t="shared" si="920"/>
        <v>19415</v>
      </c>
    </row>
    <row r="970" s="106" customFormat="1" ht="16.5" spans="2:40">
      <c r="B970" s="117">
        <v>336</v>
      </c>
      <c r="C970" s="130">
        <f t="shared" si="889"/>
        <v>33600</v>
      </c>
      <c r="D970" s="131" cm="1">
        <f ca="1" t="array" ref="D970">IF(D1572=1,OFFSET($W$634,$B970,D$631-1)/SUMPRODUCT(--($D$631:$V$631=D$631),--($D1572:$V1572=1)),0)+SUM(D969)+IF(COUNTIF(D$1237:D1572,1)=1,5,0)+IF(COUNTIF(E970:$W970,"&gt;"&amp;0)&lt;5,IF(AND(COUNTIF(D$1237:D1572,1)&gt;7,MOD(1+IFERROR(MATCH($C970,总览!$D$46:$D$345,1)+1,1),7)=0),$C$3,0),0)</f>
        <v>2214.9281637729</v>
      </c>
      <c r="E970" s="131" cm="1">
        <f ca="1" t="array" ref="E970">IF(E1572=1,OFFSET($W$634,$B970,E$631-1)/SUMPRODUCT(--($D$631:$V$631=E$631),--($D1572:$V1572=1)),0)+SUM(E969)+IF(COUNTIF(E$1237:E1572,1)=1,5,0)+IF(COUNTIF(F970:$W970,"&gt;"&amp;0)&lt;5,IF(AND(COUNTIF(E$1237:E1572,1)&gt;7,MOD(1+IFERROR(MATCH($C970,总览!$D$46:$D$345,1)+1,1),7)=0),$C$3,0),0)</f>
        <v>2214.9281637729</v>
      </c>
      <c r="F970" s="131" cm="1">
        <f ca="1" t="array" ref="F970">IF(F1572=1,OFFSET($W$634,$B970,F$631-1)/SUMPRODUCT(--($D$631:$V$631=F$631),--($D1572:$V1572=1)),0)+SUM(F969)+IF(COUNTIF(F$1237:F1572,1)=1,5,0)+IF(COUNTIF(G970:$W970,"&gt;"&amp;0)&lt;5,IF(AND(COUNTIF(F$1237:F1572,1)&gt;7,MOD(1+IFERROR(MATCH($C970,总览!$D$46:$D$345,1)+1,1),7)=0),$C$3,0),0)</f>
        <v>2214.9281637729</v>
      </c>
      <c r="G970" s="131" cm="1">
        <f ca="1" t="array" ref="G970">IF(G1572=1,OFFSET($W$634,$B970,G$631-1)/SUMPRODUCT(--($D$631:$V$631=G$631),--($D1572:$V1572=1)),0)+SUM(G969)+IF(COUNTIF(G$1237:G1572,1)=1,5,0)+IF(COUNTIF(H970:$W970,"&gt;"&amp;0)&lt;5,IF(AND(COUNTIF(G$1237:G1572,1)&gt;7,MOD(1+IFERROR(MATCH($C970,总览!$D$46:$D$345,1)+1,1),7)=0),$C$3,0),0)</f>
        <v>1059.4</v>
      </c>
      <c r="H970" s="131" cm="1">
        <f ca="1" t="array" ref="H970">IF(H1572=1,OFFSET($W$634,$B970,H$631-1)/SUMPRODUCT(--($D$631:$V$631=H$631),--($D1572:$V1572=1)),0)+SUM(H969)+IF(COUNTIF(H$1237:H1572,1)=1,5,0)+IF(COUNTIF(I970:$W970,"&gt;"&amp;0)&lt;5,IF(AND(COUNTIF(H$1237:H1572,1)&gt;7,MOD(1+IFERROR(MATCH($C970,总览!$D$46:$D$345,1)+1,1),7)=0),$C$3,0),0)</f>
        <v>1059.4</v>
      </c>
      <c r="I970" s="131" cm="1">
        <f ca="1" t="array" ref="I970">IF(I1572=1,OFFSET($W$634,$B970,I$631-1)/SUMPRODUCT(--($D$631:$V$631=I$631),--($D1572:$V1572=1)),0)+SUM(I969)+IF(COUNTIF(I$1237:I1572,1)=1,5,0)+IF(COUNTIF(J970:$W970,"&gt;"&amp;0)&lt;5,IF(AND(COUNTIF(I$1237:I1572,1)&gt;7,MOD(1+IFERROR(MATCH($C970,总览!$D$46:$D$345,1)+1,1),7)=0),$C$3,0),0)</f>
        <v>1059.4</v>
      </c>
      <c r="J970" s="131" cm="1">
        <f ca="1" t="array" ref="J970">IF(J1572=1,OFFSET($W$634,$B970,J$631-1)/SUMPRODUCT(--($D$631:$V$631=J$631),--($D1572:$V1572=1)),0)+SUM(J969)+IF(COUNTIF(J$1237:J1572,1)=1,5,0)+IF(COUNTIF(K970:$W970,"&gt;"&amp;0)&lt;5,IF(AND(COUNTIF(J$1237:J1572,1)&gt;7,MOD(1+IFERROR(MATCH($C970,总览!$D$46:$D$345,1)+1,1),7)=0),$C$3,0),0)</f>
        <v>1056.06666666667</v>
      </c>
      <c r="K970" s="131" cm="1">
        <f ca="1" t="array" ref="K970">IF(K1572=1,OFFSET($W$634,$B970,K$631-1)/SUMPRODUCT(--($D$631:$V$631=K$631),--($D1572:$V1572=1)),0)+SUM(K969)+IF(COUNTIF(K$1237:K1572,1)=1,5,0)+IF(COUNTIF(L970:$W970,"&gt;"&amp;0)&lt;5,IF(AND(COUNTIF(K$1237:K1572,1)&gt;7,MOD(1+IFERROR(MATCH($C970,总览!$D$46:$D$345,1)+1,1),7)=0),$C$3,0),0)</f>
        <v>1053.56666666667</v>
      </c>
      <c r="L970" s="131" cm="1">
        <f ca="1" t="array" ref="L970">IF(L1572=1,OFFSET($W$634,$B970,L$631-1)/SUMPRODUCT(--($D$631:$V$631=L$631),--($D1572:$V1572=1)),0)+SUM(L969)+IF(COUNTIF(L$1237:L1572,1)=1,5,0)+IF(COUNTIF(M970:$W970,"&gt;"&amp;0)&lt;5,IF(AND(COUNTIF(L$1237:L1572,1)&gt;7,MOD(1+IFERROR(MATCH($C970,总览!$D$46:$D$345,1)+1,1),7)=0),$C$3,0),0)</f>
        <v>1053.56666666667</v>
      </c>
      <c r="M970" s="131" cm="1">
        <f ca="1" t="array" ref="M970">IF(M1572=1,OFFSET($W$634,$B970,M$631-1)/SUMPRODUCT(--($D$631:$V$631=M$631),--($D1572:$V1572=1)),0)+SUM(M969)+IF(COUNTIF(M$1237:M1572,1)=1,5,0)+IF(COUNTIF(N970:$W970,"&gt;"&amp;0)&lt;5,IF(AND(COUNTIF(M$1237:M1572,1)&gt;7,MOD(1+IFERROR(MATCH($C970,总览!$D$46:$D$345,1)+1,1),7)=0),$C$3,0),0)</f>
        <v>437.752678571429</v>
      </c>
      <c r="N970" s="131" cm="1">
        <f ca="1" t="array" ref="N970">IF(N1572=1,OFFSET($W$634,$B970,N$631-1)/SUMPRODUCT(--($D$631:$V$631=N$631),--($D1572:$V1572=1)),0)+SUM(N969)+IF(COUNTIF(N$1237:N1572,1)=1,5,0)+IF(COUNTIF(O970:$W970,"&gt;"&amp;0)&lt;5,IF(AND(COUNTIF(N$1237:N1572,1)&gt;7,MOD(1+IFERROR(MATCH($C970,总览!$D$46:$D$345,1)+1,1),7)=0),$C$3,0),0)</f>
        <v>439.002678571429</v>
      </c>
      <c r="O970" s="131" cm="1">
        <f ca="1" t="array" ref="O970">IF(O1572=1,OFFSET($W$634,$B970,O$631-1)/SUMPRODUCT(--($D$631:$V$631=O$631),--($D1572:$V1572=1)),0)+SUM(O969)+IF(COUNTIF(O$1237:O1572,1)=1,5,0)+IF(COUNTIF(P970:$W970,"&gt;"&amp;0)&lt;5,IF(AND(COUNTIF(O$1237:O1572,1)&gt;7,MOD(1+IFERROR(MATCH($C970,总览!$D$46:$D$345,1)+1,1),7)=0),$C$3,0),0)</f>
        <v>444.002678571429</v>
      </c>
      <c r="P970" s="131" cm="1">
        <f ca="1" t="array" ref="P970">IF(P1572=1,OFFSET($W$634,$B970,P$631-1)/SUMPRODUCT(--($D$631:$V$631=P$631),--($D1572:$V1572=1)),0)+SUM(P969)+IF(COUNTIF(P$1237:P1572,1)=1,5,0)+IF(COUNTIF(Q970:$W970,"&gt;"&amp;0)&lt;5,IF(AND(COUNTIF(P$1237:P1572,1)&gt;7,MOD(1+IFERROR(MATCH($C970,总览!$D$46:$D$345,1)+1,1),7)=0),$C$3,0),0)</f>
        <v>433.121428571429</v>
      </c>
      <c r="Q970" s="131" cm="1">
        <f ca="1" t="array" ref="Q970">IF(Q1572=1,OFFSET($W$634,$B970,Q$631-1)/SUMPRODUCT(--($D$631:$V$631=Q$631),--($D1572:$V1572=1)),0)+SUM(Q969)+IF(COUNTIF(Q$1237:Q1572,1)=1,5,0)+IF(COUNTIF(R970:$W970,"&gt;"&amp;0)&lt;5,IF(AND(COUNTIF(Q$1237:Q1572,1)&gt;7,MOD(1+IFERROR(MATCH($C970,总览!$D$46:$D$345,1)+1,1),7)=0),$C$3,0),0)</f>
        <v>446.502678571429</v>
      </c>
      <c r="R970" s="131" cm="1">
        <f ca="1" t="array" ref="R970">IF(R1572=1,OFFSET($W$634,$B970,R$631-1)/SUMPRODUCT(--($D$631:$V$631=R$631),--($D1572:$V1572=1)),0)+SUM(R969)+IF(COUNTIF(R$1237:R1572,1)=1,5,0)+IF(COUNTIF(S970:$W970,"&gt;"&amp;0)&lt;5,IF(AND(COUNTIF(R$1237:R1572,1)&gt;7,MOD(1+IFERROR(MATCH($C970,总览!$D$46:$D$345,1)+1,1),7)=0),$C$3,0),0)</f>
        <v>438.121428571429</v>
      </c>
      <c r="S970" s="131" cm="1">
        <f ca="1" t="array" ref="S970">IF(S1572=1,OFFSET($W$634,$B970,S$631-1)/SUMPRODUCT(--($D$631:$V$631=S$631),--($D1572:$V1572=1)),0)+SUM(S969)+IF(COUNTIF(S$1237:S1572,1)=1,5,0)+IF(COUNTIF(T970:$W970,"&gt;"&amp;0)&lt;5,IF(AND(COUNTIF(S$1237:S1572,1)&gt;7,MOD(1+IFERROR(MATCH($C970,总览!$D$46:$D$345,1)+1,1),7)=0),$C$3,0),0)</f>
        <v>530.621428571431</v>
      </c>
      <c r="T970" s="131" cm="1">
        <f ca="1" t="array" ref="T970">IF(T1572=1,OFFSET($W$634,$B970,T$631-1)/SUMPRODUCT(--($D$631:$V$631=T$631),--($D1572:$V1572=1)),0)+SUM(T969)+IF(COUNTIF(T$1237:T1572,1)=1,5,0)+IF(COUNTIF(U970:$W970,"&gt;"&amp;0)&lt;5,IF(AND(COUNTIF(T$1237:T1572,1)&gt;7,MOD(1+IFERROR(MATCH($C970,总览!$D$46:$D$345,1)+1,1),7)=0),$C$3,0),0)</f>
        <v>387.940645419425</v>
      </c>
      <c r="U970" s="131" cm="1">
        <f ca="1" t="array" ref="U970">IF(U1572=1,OFFSET($W$634,$B970,U$631-1)/SUMPRODUCT(--($D$631:$V$631=U$631),--($D1572:$V1572=1)),0)+SUM(U969)+IF(COUNTIF(U$1237:U1572,1)=1,5,0)+IF(COUNTIF(V970:$W970,"&gt;"&amp;0)&lt;5,IF(AND(COUNTIF(U$1237:U1572,1)&gt;7,MOD(1+IFERROR(MATCH($C970,总览!$D$46:$D$345,1)+1,1),7)=0),$C$3,0),0)</f>
        <v>393.461431774725</v>
      </c>
      <c r="V970" s="131" cm="1">
        <f ca="1" t="array" ref="V970">IF(V1572=1,OFFSET($W$634,$B970,V$631-1)/SUMPRODUCT(--($D$631:$V$631=V$631),--($D1572:$V1572=1)),0)+SUM(V969)+IF(COUNTIF(V$1237:V1572,1)=1,5,0)+IF(COUNTIF(W970:$W970,"&gt;"&amp;0)&lt;5,IF(AND(COUNTIF(V$1237:V1572,1)&gt;7,MOD(1+IFERROR(MATCH($C970,总览!$D$46:$D$345,1)+1,1),7)=0),$C$3,0),0)</f>
        <v>413.288431487158</v>
      </c>
      <c r="W970" s="135" cm="1">
        <f ca="1" t="array" ref="W970">SUMPRODUCT(TRANSPOSE($AA970:$AG970),OFFSET($L$9:$L$15,0,W$631-1))</f>
        <v>16.8502200646615</v>
      </c>
      <c r="X970" s="135" cm="1">
        <f ca="1" t="array" ref="X970">SUMPRODUCT(TRANSPOSE($AA970:$AG970),OFFSET($L$9:$L$15,0,X$631-1))</f>
        <v>20</v>
      </c>
      <c r="Y970" s="135" cm="1">
        <f ca="1" t="array" ref="Y970">SUMPRODUCT(TRANSPOSE($AA970:$AG970),OFFSET($L$9:$L$15,0,Y$631-1))</f>
        <v>10</v>
      </c>
      <c r="Z970" s="135" cm="1">
        <f ca="1" t="array" ref="Z970">SUMPRODUCT(TRANSPOSE($AA970:$AG970),OFFSET($L$9:$L$15,0,Z$631-1))</f>
        <v>3.14977993533847</v>
      </c>
      <c r="AA970" s="136">
        <f ca="1" t="shared" ref="AA970:AG970" si="921">AH970-AH969</f>
        <v>0</v>
      </c>
      <c r="AB970" s="136">
        <f ca="1" t="shared" si="921"/>
        <v>0</v>
      </c>
      <c r="AC970" s="136">
        <f ca="1" t="shared" si="921"/>
        <v>0</v>
      </c>
      <c r="AD970" s="136">
        <f ca="1" t="shared" si="921"/>
        <v>0</v>
      </c>
      <c r="AE970" s="136">
        <f ca="1" t="shared" si="921"/>
        <v>0</v>
      </c>
      <c r="AF970" s="136">
        <f ca="1" t="shared" si="921"/>
        <v>0</v>
      </c>
      <c r="AG970" s="136">
        <f ca="1" t="shared" si="921"/>
        <v>100</v>
      </c>
      <c r="AH970" s="136">
        <f ca="1" t="shared" si="891"/>
        <v>450</v>
      </c>
      <c r="AI970" s="136">
        <f ca="1" t="shared" ref="AI970:AN970" si="922">IF($C970&gt;OFFSET($Q$8,MATCH(AI$634,$AH$634:$AN$634,0),0),OFFSET($P$8,MATCH(AI$634,$AH$634:$AN$634,0),0),MAX(0,$C970-OFFSET($Q$8,RIGHT(AI$634,1)-1,0)))</f>
        <v>909</v>
      </c>
      <c r="AJ970" s="136">
        <f ca="1" t="shared" si="922"/>
        <v>1818</v>
      </c>
      <c r="AK970" s="136">
        <f ca="1" t="shared" si="922"/>
        <v>2727</v>
      </c>
      <c r="AL970" s="136">
        <f ca="1" t="shared" si="922"/>
        <v>3636</v>
      </c>
      <c r="AM970" s="136">
        <f ca="1" t="shared" si="922"/>
        <v>4545</v>
      </c>
      <c r="AN970" s="136">
        <f ca="1" t="shared" si="922"/>
        <v>19515</v>
      </c>
    </row>
    <row r="971" s="106" customFormat="1" ht="16.5" spans="2:40">
      <c r="B971" s="117">
        <v>337</v>
      </c>
      <c r="C971" s="130">
        <f t="shared" si="889"/>
        <v>33700</v>
      </c>
      <c r="D971" s="131" cm="1">
        <f ca="1" t="array" ref="D971">IF(D1573=1,OFFSET($W$634,$B971,D$631-1)/SUMPRODUCT(--($D$631:$V$631=D$631),--($D1573:$V1573=1)),0)+SUM(D970)+IF(COUNTIF(D$1237:D1573,1)=1,5,0)+IF(COUNTIF(E971:$W971,"&gt;"&amp;0)&lt;5,IF(AND(COUNTIF(D$1237:D1573,1)&gt;7,MOD(1+IFERROR(MATCH($C971,总览!$D$46:$D$345,1)+1,1),7)=0),$C$3,0),0)</f>
        <v>2220.54490379445</v>
      </c>
      <c r="E971" s="131" cm="1">
        <f ca="1" t="array" ref="E971">IF(E1573=1,OFFSET($W$634,$B971,E$631-1)/SUMPRODUCT(--($D$631:$V$631=E$631),--($D1573:$V1573=1)),0)+SUM(E970)+IF(COUNTIF(E$1237:E1573,1)=1,5,0)+IF(COUNTIF(F971:$W971,"&gt;"&amp;0)&lt;5,IF(AND(COUNTIF(E$1237:E1573,1)&gt;7,MOD(1+IFERROR(MATCH($C971,总览!$D$46:$D$345,1)+1,1),7)=0),$C$3,0),0)</f>
        <v>2220.54490379445</v>
      </c>
      <c r="F971" s="131" cm="1">
        <f ca="1" t="array" ref="F971">IF(F1573=1,OFFSET($W$634,$B971,F$631-1)/SUMPRODUCT(--($D$631:$V$631=F$631),--($D1573:$V1573=1)),0)+SUM(F970)+IF(COUNTIF(F$1237:F1573,1)=1,5,0)+IF(COUNTIF(G971:$W971,"&gt;"&amp;0)&lt;5,IF(AND(COUNTIF(F$1237:F1573,1)&gt;7,MOD(1+IFERROR(MATCH($C971,总览!$D$46:$D$345,1)+1,1),7)=0),$C$3,0),0)</f>
        <v>2220.54490379445</v>
      </c>
      <c r="G971" s="131" cm="1">
        <f ca="1" t="array" ref="G971">IF(G1573=1,OFFSET($W$634,$B971,G$631-1)/SUMPRODUCT(--($D$631:$V$631=G$631),--($D1573:$V1573=1)),0)+SUM(G970)+IF(COUNTIF(G$1237:G1573,1)=1,5,0)+IF(COUNTIF(H971:$W971,"&gt;"&amp;0)&lt;5,IF(AND(COUNTIF(G$1237:G1573,1)&gt;7,MOD(1+IFERROR(MATCH($C971,总览!$D$46:$D$345,1)+1,1),7)=0),$C$3,0),0)</f>
        <v>1062.73333333334</v>
      </c>
      <c r="H971" s="131" cm="1">
        <f ca="1" t="array" ref="H971">IF(H1573=1,OFFSET($W$634,$B971,H$631-1)/SUMPRODUCT(--($D$631:$V$631=H$631),--($D1573:$V1573=1)),0)+SUM(H970)+IF(COUNTIF(H$1237:H1573,1)=1,5,0)+IF(COUNTIF(I971:$W971,"&gt;"&amp;0)&lt;5,IF(AND(COUNTIF(H$1237:H1573,1)&gt;7,MOD(1+IFERROR(MATCH($C971,总览!$D$46:$D$345,1)+1,1),7)=0),$C$3,0),0)</f>
        <v>1062.73333333334</v>
      </c>
      <c r="I971" s="131" cm="1">
        <f ca="1" t="array" ref="I971">IF(I1573=1,OFFSET($W$634,$B971,I$631-1)/SUMPRODUCT(--($D$631:$V$631=I$631),--($D1573:$V1573=1)),0)+SUM(I970)+IF(COUNTIF(I$1237:I1573,1)=1,5,0)+IF(COUNTIF(J971:$W971,"&gt;"&amp;0)&lt;5,IF(AND(COUNTIF(I$1237:I1573,1)&gt;7,MOD(1+IFERROR(MATCH($C971,总览!$D$46:$D$345,1)+1,1),7)=0),$C$3,0),0)</f>
        <v>1062.73333333334</v>
      </c>
      <c r="J971" s="131" cm="1">
        <f ca="1" t="array" ref="J971">IF(J1573=1,OFFSET($W$634,$B971,J$631-1)/SUMPRODUCT(--($D$631:$V$631=J$631),--($D1573:$V1573=1)),0)+SUM(J970)+IF(COUNTIF(J$1237:J1573,1)=1,5,0)+IF(COUNTIF(K971:$W971,"&gt;"&amp;0)&lt;5,IF(AND(COUNTIF(J$1237:J1573,1)&gt;7,MOD(1+IFERROR(MATCH($C971,总览!$D$46:$D$345,1)+1,1),7)=0),$C$3,0),0)</f>
        <v>1059.4</v>
      </c>
      <c r="K971" s="131" cm="1">
        <f ca="1" t="array" ref="K971">IF(K1573=1,OFFSET($W$634,$B971,K$631-1)/SUMPRODUCT(--($D$631:$V$631=K$631),--($D1573:$V1573=1)),0)+SUM(K970)+IF(COUNTIF(K$1237:K1573,1)=1,5,0)+IF(COUNTIF(L971:$W971,"&gt;"&amp;0)&lt;5,IF(AND(COUNTIF(K$1237:K1573,1)&gt;7,MOD(1+IFERROR(MATCH($C971,总览!$D$46:$D$345,1)+1,1),7)=0),$C$3,0),0)</f>
        <v>1056.9</v>
      </c>
      <c r="L971" s="131" cm="1">
        <f ca="1" t="array" ref="L971">IF(L1573=1,OFFSET($W$634,$B971,L$631-1)/SUMPRODUCT(--($D$631:$V$631=L$631),--($D1573:$V1573=1)),0)+SUM(L970)+IF(COUNTIF(L$1237:L1573,1)=1,5,0)+IF(COUNTIF(M971:$W971,"&gt;"&amp;0)&lt;5,IF(AND(COUNTIF(L$1237:L1573,1)&gt;7,MOD(1+IFERROR(MATCH($C971,总览!$D$46:$D$345,1)+1,1),7)=0),$C$3,0),0)</f>
        <v>1056.9</v>
      </c>
      <c r="M971" s="131" cm="1">
        <f ca="1" t="array" ref="M971">IF(M1573=1,OFFSET($W$634,$B971,M$631-1)/SUMPRODUCT(--($D$631:$V$631=M$631),--($D1573:$V1573=1)),0)+SUM(M970)+IF(COUNTIF(M$1237:M1573,1)=1,5,0)+IF(COUNTIF(N971:$W971,"&gt;"&amp;0)&lt;5,IF(AND(COUNTIF(M$1237:M1573,1)&gt;7,MOD(1+IFERROR(MATCH($C971,总览!$D$46:$D$345,1)+1,1),7)=0),$C$3,0),0)</f>
        <v>439.181250000001</v>
      </c>
      <c r="N971" s="131" cm="1">
        <f ca="1" t="array" ref="N971">IF(N1573=1,OFFSET($W$634,$B971,N$631-1)/SUMPRODUCT(--($D$631:$V$631=N$631),--($D1573:$V1573=1)),0)+SUM(N970)+IF(COUNTIF(N$1237:N1573,1)=1,5,0)+IF(COUNTIF(O971:$W971,"&gt;"&amp;0)&lt;5,IF(AND(COUNTIF(N$1237:N1573,1)&gt;7,MOD(1+IFERROR(MATCH($C971,总览!$D$46:$D$345,1)+1,1),7)=0),$C$3,0),0)</f>
        <v>440.431250000001</v>
      </c>
      <c r="O971" s="131" cm="1">
        <f ca="1" t="array" ref="O971">IF(O1573=1,OFFSET($W$634,$B971,O$631-1)/SUMPRODUCT(--($D$631:$V$631=O$631),--($D1573:$V1573=1)),0)+SUM(O970)+IF(COUNTIF(O$1237:O1573,1)=1,5,0)+IF(COUNTIF(P971:$W971,"&gt;"&amp;0)&lt;5,IF(AND(COUNTIF(O$1237:O1573,1)&gt;7,MOD(1+IFERROR(MATCH($C971,总览!$D$46:$D$345,1)+1,1),7)=0),$C$3,0),0)</f>
        <v>445.431250000001</v>
      </c>
      <c r="P971" s="131" cm="1">
        <f ca="1" t="array" ref="P971">IF(P1573=1,OFFSET($W$634,$B971,P$631-1)/SUMPRODUCT(--($D$631:$V$631=P$631),--($D1573:$V1573=1)),0)+SUM(P970)+IF(COUNTIF(P$1237:P1573,1)=1,5,0)+IF(COUNTIF(Q971:$W971,"&gt;"&amp;0)&lt;5,IF(AND(COUNTIF(P$1237:P1573,1)&gt;7,MOD(1+IFERROR(MATCH($C971,总览!$D$46:$D$345,1)+1,1),7)=0),$C$3,0),0)</f>
        <v>434.550000000001</v>
      </c>
      <c r="Q971" s="131" cm="1">
        <f ca="1" t="array" ref="Q971">IF(Q1573=1,OFFSET($W$634,$B971,Q$631-1)/SUMPRODUCT(--($D$631:$V$631=Q$631),--($D1573:$V1573=1)),0)+SUM(Q970)+IF(COUNTIF(Q$1237:Q1573,1)=1,5,0)+IF(COUNTIF(R971:$W971,"&gt;"&amp;0)&lt;5,IF(AND(COUNTIF(Q$1237:Q1573,1)&gt;7,MOD(1+IFERROR(MATCH($C971,总览!$D$46:$D$345,1)+1,1),7)=0),$C$3,0),0)</f>
        <v>447.931250000001</v>
      </c>
      <c r="R971" s="131" cm="1">
        <f ca="1" t="array" ref="R971">IF(R1573=1,OFFSET($W$634,$B971,R$631-1)/SUMPRODUCT(--($D$631:$V$631=R$631),--($D1573:$V1573=1)),0)+SUM(R970)+IF(COUNTIF(R$1237:R1573,1)=1,5,0)+IF(COUNTIF(S971:$W971,"&gt;"&amp;0)&lt;5,IF(AND(COUNTIF(R$1237:R1573,1)&gt;7,MOD(1+IFERROR(MATCH($C971,总览!$D$46:$D$345,1)+1,1),7)=0),$C$3,0),0)</f>
        <v>439.550000000001</v>
      </c>
      <c r="S971" s="131" cm="1">
        <f ca="1" t="array" ref="S971">IF(S1573=1,OFFSET($W$634,$B971,S$631-1)/SUMPRODUCT(--($D$631:$V$631=S$631),--($D1573:$V1573=1)),0)+SUM(S970)+IF(COUNTIF(S$1237:S1573,1)=1,5,0)+IF(COUNTIF(T971:$W971,"&gt;"&amp;0)&lt;5,IF(AND(COUNTIF(S$1237:S1573,1)&gt;7,MOD(1+IFERROR(MATCH($C971,总览!$D$46:$D$345,1)+1,1),7)=0),$C$3,0),0)</f>
        <v>532.050000000002</v>
      </c>
      <c r="T971" s="131" cm="1">
        <f ca="1" t="array" ref="T971">IF(T1573=1,OFFSET($W$634,$B971,T$631-1)/SUMPRODUCT(--($D$631:$V$631=T$631),--($D1573:$V1573=1)),0)+SUM(T970)+IF(COUNTIF(T$1237:T1573,1)=1,5,0)+IF(COUNTIF(U971:$W971,"&gt;"&amp;0)&lt;5,IF(AND(COUNTIF(T$1237:T1573,1)&gt;7,MOD(1+IFERROR(MATCH($C971,总览!$D$46:$D$345,1)+1,1),7)=0),$C$3,0),0)</f>
        <v>388.990572064538</v>
      </c>
      <c r="U971" s="131" cm="1">
        <f ca="1" t="array" ref="U971">IF(U1573=1,OFFSET($W$634,$B971,U$631-1)/SUMPRODUCT(--($D$631:$V$631=U$631),--($D1573:$V1573=1)),0)+SUM(U970)+IF(COUNTIF(U$1237:U1573,1)=1,5,0)+IF(COUNTIF(V971:$W971,"&gt;"&amp;0)&lt;5,IF(AND(COUNTIF(U$1237:U1573,1)&gt;7,MOD(1+IFERROR(MATCH($C971,总览!$D$46:$D$345,1)+1,1),7)=0),$C$3,0),0)</f>
        <v>394.511358419838</v>
      </c>
      <c r="V971" s="131" cm="1">
        <f ca="1" t="array" ref="V971">IF(V1573=1,OFFSET($W$634,$B971,V$631-1)/SUMPRODUCT(--($D$631:$V$631=V$631),--($D1573:$V1573=1)),0)+SUM(V970)+IF(COUNTIF(V$1237:V1573,1)=1,5,0)+IF(COUNTIF(W971:$W971,"&gt;"&amp;0)&lt;5,IF(AND(COUNTIF(V$1237:V1573,1)&gt;7,MOD(1+IFERROR(MATCH($C971,总览!$D$46:$D$345,1)+1,1),7)=0),$C$3,0),0)</f>
        <v>414.338358132271</v>
      </c>
      <c r="W971" s="135" cm="1">
        <f ca="1" t="array" ref="W971">SUMPRODUCT(TRANSPOSE($AA971:$AG971),OFFSET($L$9:$L$15,0,W$631-1))</f>
        <v>16.8502200646615</v>
      </c>
      <c r="X971" s="135" cm="1">
        <f ca="1" t="array" ref="X971">SUMPRODUCT(TRANSPOSE($AA971:$AG971),OFFSET($L$9:$L$15,0,X$631-1))</f>
        <v>20</v>
      </c>
      <c r="Y971" s="135" cm="1">
        <f ca="1" t="array" ref="Y971">SUMPRODUCT(TRANSPOSE($AA971:$AG971),OFFSET($L$9:$L$15,0,Y$631-1))</f>
        <v>10</v>
      </c>
      <c r="Z971" s="135" cm="1">
        <f ca="1" t="array" ref="Z971">SUMPRODUCT(TRANSPOSE($AA971:$AG971),OFFSET($L$9:$L$15,0,Z$631-1))</f>
        <v>3.14977993533847</v>
      </c>
      <c r="AA971" s="136">
        <f ca="1" t="shared" ref="AA971:AG971" si="923">AH971-AH970</f>
        <v>0</v>
      </c>
      <c r="AB971" s="136">
        <f ca="1" t="shared" si="923"/>
        <v>0</v>
      </c>
      <c r="AC971" s="136">
        <f ca="1" t="shared" si="923"/>
        <v>0</v>
      </c>
      <c r="AD971" s="136">
        <f ca="1" t="shared" si="923"/>
        <v>0</v>
      </c>
      <c r="AE971" s="136">
        <f ca="1" t="shared" si="923"/>
        <v>0</v>
      </c>
      <c r="AF971" s="136">
        <f ca="1" t="shared" si="923"/>
        <v>0</v>
      </c>
      <c r="AG971" s="136">
        <f ca="1" t="shared" si="923"/>
        <v>100</v>
      </c>
      <c r="AH971" s="136">
        <f ca="1" t="shared" si="891"/>
        <v>450</v>
      </c>
      <c r="AI971" s="136">
        <f ca="1" t="shared" ref="AI971:AN971" si="924">IF($C971&gt;OFFSET($Q$8,MATCH(AI$634,$AH$634:$AN$634,0),0),OFFSET($P$8,MATCH(AI$634,$AH$634:$AN$634,0),0),MAX(0,$C971-OFFSET($Q$8,RIGHT(AI$634,1)-1,0)))</f>
        <v>909</v>
      </c>
      <c r="AJ971" s="136">
        <f ca="1" t="shared" si="924"/>
        <v>1818</v>
      </c>
      <c r="AK971" s="136">
        <f ca="1" t="shared" si="924"/>
        <v>2727</v>
      </c>
      <c r="AL971" s="136">
        <f ca="1" t="shared" si="924"/>
        <v>3636</v>
      </c>
      <c r="AM971" s="136">
        <f ca="1" t="shared" si="924"/>
        <v>4545</v>
      </c>
      <c r="AN971" s="136">
        <f ca="1" t="shared" si="924"/>
        <v>19615</v>
      </c>
    </row>
    <row r="972" s="106" customFormat="1" ht="16.5" spans="2:40">
      <c r="B972" s="117">
        <v>338</v>
      </c>
      <c r="C972" s="130">
        <f t="shared" si="889"/>
        <v>33800</v>
      </c>
      <c r="D972" s="131" cm="1">
        <f ca="1" t="array" ref="D972">IF(D1574=1,OFFSET($W$634,$B972,D$631-1)/SUMPRODUCT(--($D$631:$V$631=D$631),--($D1574:$V1574=1)),0)+SUM(D971)+IF(COUNTIF(D$1237:D1574,1)=1,5,0)+IF(COUNTIF(E972:$W972,"&gt;"&amp;0)&lt;5,IF(AND(COUNTIF(D$1237:D1574,1)&gt;7,MOD(1+IFERROR(MATCH($C972,总览!$D$46:$D$345,1)+1,1),7)=0),$C$3,0),0)</f>
        <v>2226.16164381601</v>
      </c>
      <c r="E972" s="131" cm="1">
        <f ca="1" t="array" ref="E972">IF(E1574=1,OFFSET($W$634,$B972,E$631-1)/SUMPRODUCT(--($D$631:$V$631=E$631),--($D1574:$V1574=1)),0)+SUM(E971)+IF(COUNTIF(E$1237:E1574,1)=1,5,0)+IF(COUNTIF(F972:$W972,"&gt;"&amp;0)&lt;5,IF(AND(COUNTIF(E$1237:E1574,1)&gt;7,MOD(1+IFERROR(MATCH($C972,总览!$D$46:$D$345,1)+1,1),7)=0),$C$3,0),0)</f>
        <v>2226.16164381601</v>
      </c>
      <c r="F972" s="131" cm="1">
        <f ca="1" t="array" ref="F972">IF(F1574=1,OFFSET($W$634,$B972,F$631-1)/SUMPRODUCT(--($D$631:$V$631=F$631),--($D1574:$V1574=1)),0)+SUM(F971)+IF(COUNTIF(F$1237:F1574,1)=1,5,0)+IF(COUNTIF(G972:$W972,"&gt;"&amp;0)&lt;5,IF(AND(COUNTIF(F$1237:F1574,1)&gt;7,MOD(1+IFERROR(MATCH($C972,总览!$D$46:$D$345,1)+1,1),7)=0),$C$3,0),0)</f>
        <v>2226.16164381601</v>
      </c>
      <c r="G972" s="131" cm="1">
        <f ca="1" t="array" ref="G972">IF(G1574=1,OFFSET($W$634,$B972,G$631-1)/SUMPRODUCT(--($D$631:$V$631=G$631),--($D1574:$V1574=1)),0)+SUM(G971)+IF(COUNTIF(G$1237:G1574,1)=1,5,0)+IF(COUNTIF(H972:$W972,"&gt;"&amp;0)&lt;5,IF(AND(COUNTIF(G$1237:G1574,1)&gt;7,MOD(1+IFERROR(MATCH($C972,总览!$D$46:$D$345,1)+1,1),7)=0),$C$3,0),0)</f>
        <v>1066.06666666667</v>
      </c>
      <c r="H972" s="131" cm="1">
        <f ca="1" t="array" ref="H972">IF(H1574=1,OFFSET($W$634,$B972,H$631-1)/SUMPRODUCT(--($D$631:$V$631=H$631),--($D1574:$V1574=1)),0)+SUM(H971)+IF(COUNTIF(H$1237:H1574,1)=1,5,0)+IF(COUNTIF(I972:$W972,"&gt;"&amp;0)&lt;5,IF(AND(COUNTIF(H$1237:H1574,1)&gt;7,MOD(1+IFERROR(MATCH($C972,总览!$D$46:$D$345,1)+1,1),7)=0),$C$3,0),0)</f>
        <v>1066.06666666667</v>
      </c>
      <c r="I972" s="131" cm="1">
        <f ca="1" t="array" ref="I972">IF(I1574=1,OFFSET($W$634,$B972,I$631-1)/SUMPRODUCT(--($D$631:$V$631=I$631),--($D1574:$V1574=1)),0)+SUM(I971)+IF(COUNTIF(I$1237:I1574,1)=1,5,0)+IF(COUNTIF(J972:$W972,"&gt;"&amp;0)&lt;5,IF(AND(COUNTIF(I$1237:I1574,1)&gt;7,MOD(1+IFERROR(MATCH($C972,总览!$D$46:$D$345,1)+1,1),7)=0),$C$3,0),0)</f>
        <v>1066.06666666667</v>
      </c>
      <c r="J972" s="131" cm="1">
        <f ca="1" t="array" ref="J972">IF(J1574=1,OFFSET($W$634,$B972,J$631-1)/SUMPRODUCT(--($D$631:$V$631=J$631),--($D1574:$V1574=1)),0)+SUM(J971)+IF(COUNTIF(J$1237:J1574,1)=1,5,0)+IF(COUNTIF(K972:$W972,"&gt;"&amp;0)&lt;5,IF(AND(COUNTIF(J$1237:J1574,1)&gt;7,MOD(1+IFERROR(MATCH($C972,总览!$D$46:$D$345,1)+1,1),7)=0),$C$3,0),0)</f>
        <v>1062.73333333334</v>
      </c>
      <c r="K972" s="131" cm="1">
        <f ca="1" t="array" ref="K972">IF(K1574=1,OFFSET($W$634,$B972,K$631-1)/SUMPRODUCT(--($D$631:$V$631=K$631),--($D1574:$V1574=1)),0)+SUM(K971)+IF(COUNTIF(K$1237:K1574,1)=1,5,0)+IF(COUNTIF(L972:$W972,"&gt;"&amp;0)&lt;5,IF(AND(COUNTIF(K$1237:K1574,1)&gt;7,MOD(1+IFERROR(MATCH($C972,总览!$D$46:$D$345,1)+1,1),7)=0),$C$3,0),0)</f>
        <v>1060.23333333334</v>
      </c>
      <c r="L972" s="131" cm="1">
        <f ca="1" t="array" ref="L972">IF(L1574=1,OFFSET($W$634,$B972,L$631-1)/SUMPRODUCT(--($D$631:$V$631=L$631),--($D1574:$V1574=1)),0)+SUM(L971)+IF(COUNTIF(L$1237:L1574,1)=1,5,0)+IF(COUNTIF(M972:$W972,"&gt;"&amp;0)&lt;5,IF(AND(COUNTIF(L$1237:L1574,1)&gt;7,MOD(1+IFERROR(MATCH($C972,总览!$D$46:$D$345,1)+1,1),7)=0),$C$3,0),0)</f>
        <v>1060.23333333334</v>
      </c>
      <c r="M972" s="131" cm="1">
        <f ca="1" t="array" ref="M972">IF(M1574=1,OFFSET($W$634,$B972,M$631-1)/SUMPRODUCT(--($D$631:$V$631=M$631),--($D1574:$V1574=1)),0)+SUM(M971)+IF(COUNTIF(M$1237:M1574,1)=1,5,0)+IF(COUNTIF(N972:$W972,"&gt;"&amp;0)&lt;5,IF(AND(COUNTIF(M$1237:M1574,1)&gt;7,MOD(1+IFERROR(MATCH($C972,总览!$D$46:$D$345,1)+1,1),7)=0),$C$3,0),0)</f>
        <v>440.609821428572</v>
      </c>
      <c r="N972" s="131" cm="1">
        <f ca="1" t="array" ref="N972">IF(N1574=1,OFFSET($W$634,$B972,N$631-1)/SUMPRODUCT(--($D$631:$V$631=N$631),--($D1574:$V1574=1)),0)+SUM(N971)+IF(COUNTIF(N$1237:N1574,1)=1,5,0)+IF(COUNTIF(O972:$W972,"&gt;"&amp;0)&lt;5,IF(AND(COUNTIF(N$1237:N1574,1)&gt;7,MOD(1+IFERROR(MATCH($C972,总览!$D$46:$D$345,1)+1,1),7)=0),$C$3,0),0)</f>
        <v>441.859821428572</v>
      </c>
      <c r="O972" s="131" cm="1">
        <f ca="1" t="array" ref="O972">IF(O1574=1,OFFSET($W$634,$B972,O$631-1)/SUMPRODUCT(--($D$631:$V$631=O$631),--($D1574:$V1574=1)),0)+SUM(O971)+IF(COUNTIF(O$1237:O1574,1)=1,5,0)+IF(COUNTIF(P972:$W972,"&gt;"&amp;0)&lt;5,IF(AND(COUNTIF(O$1237:O1574,1)&gt;7,MOD(1+IFERROR(MATCH($C972,总览!$D$46:$D$345,1)+1,1),7)=0),$C$3,0),0)</f>
        <v>446.859821428572</v>
      </c>
      <c r="P972" s="131" cm="1">
        <f ca="1" t="array" ref="P972">IF(P1574=1,OFFSET($W$634,$B972,P$631-1)/SUMPRODUCT(--($D$631:$V$631=P$631),--($D1574:$V1574=1)),0)+SUM(P971)+IF(COUNTIF(P$1237:P1574,1)=1,5,0)+IF(COUNTIF(Q972:$W972,"&gt;"&amp;0)&lt;5,IF(AND(COUNTIF(P$1237:P1574,1)&gt;7,MOD(1+IFERROR(MATCH($C972,总览!$D$46:$D$345,1)+1,1),7)=0),$C$3,0),0)</f>
        <v>435.978571428572</v>
      </c>
      <c r="Q972" s="131" cm="1">
        <f ca="1" t="array" ref="Q972">IF(Q1574=1,OFFSET($W$634,$B972,Q$631-1)/SUMPRODUCT(--($D$631:$V$631=Q$631),--($D1574:$V1574=1)),0)+SUM(Q971)+IF(COUNTIF(Q$1237:Q1574,1)=1,5,0)+IF(COUNTIF(R972:$W972,"&gt;"&amp;0)&lt;5,IF(AND(COUNTIF(Q$1237:Q1574,1)&gt;7,MOD(1+IFERROR(MATCH($C972,总览!$D$46:$D$345,1)+1,1),7)=0),$C$3,0),0)</f>
        <v>449.359821428572</v>
      </c>
      <c r="R972" s="131" cm="1">
        <f ca="1" t="array" ref="R972">IF(R1574=1,OFFSET($W$634,$B972,R$631-1)/SUMPRODUCT(--($D$631:$V$631=R$631),--($D1574:$V1574=1)),0)+SUM(R971)+IF(COUNTIF(R$1237:R1574,1)=1,5,0)+IF(COUNTIF(S972:$W972,"&gt;"&amp;0)&lt;5,IF(AND(COUNTIF(R$1237:R1574,1)&gt;7,MOD(1+IFERROR(MATCH($C972,总览!$D$46:$D$345,1)+1,1),7)=0),$C$3,0),0)</f>
        <v>440.978571428572</v>
      </c>
      <c r="S972" s="131" cm="1">
        <f ca="1" t="array" ref="S972">IF(S1574=1,OFFSET($W$634,$B972,S$631-1)/SUMPRODUCT(--($D$631:$V$631=S$631),--($D1574:$V1574=1)),0)+SUM(S971)+IF(COUNTIF(S$1237:S1574,1)=1,5,0)+IF(COUNTIF(T972:$W972,"&gt;"&amp;0)&lt;5,IF(AND(COUNTIF(S$1237:S1574,1)&gt;7,MOD(1+IFERROR(MATCH($C972,总览!$D$46:$D$345,1)+1,1),7)=0),$C$3,0),0)</f>
        <v>533.478571428573</v>
      </c>
      <c r="T972" s="131" cm="1">
        <f ca="1" t="array" ref="T972">IF(T1574=1,OFFSET($W$634,$B972,T$631-1)/SUMPRODUCT(--($D$631:$V$631=T$631),--($D1574:$V1574=1)),0)+SUM(T971)+IF(COUNTIF(T$1237:T1574,1)=1,5,0)+IF(COUNTIF(U972:$W972,"&gt;"&amp;0)&lt;5,IF(AND(COUNTIF(T$1237:T1574,1)&gt;7,MOD(1+IFERROR(MATCH($C972,总览!$D$46:$D$345,1)+1,1),7)=0),$C$3,0),0)</f>
        <v>390.040498709651</v>
      </c>
      <c r="U972" s="131" cm="1">
        <f ca="1" t="array" ref="U972">IF(U1574=1,OFFSET($W$634,$B972,U$631-1)/SUMPRODUCT(--($D$631:$V$631=U$631),--($D1574:$V1574=1)),0)+SUM(U971)+IF(COUNTIF(U$1237:U1574,1)=1,5,0)+IF(COUNTIF(V972:$W972,"&gt;"&amp;0)&lt;5,IF(AND(COUNTIF(U$1237:U1574,1)&gt;7,MOD(1+IFERROR(MATCH($C972,总览!$D$46:$D$345,1)+1,1),7)=0),$C$3,0),0)</f>
        <v>395.561285064951</v>
      </c>
      <c r="V972" s="131" cm="1">
        <f ca="1" t="array" ref="V972">IF(V1574=1,OFFSET($W$634,$B972,V$631-1)/SUMPRODUCT(--($D$631:$V$631=V$631),--($D1574:$V1574=1)),0)+SUM(V971)+IF(COUNTIF(V$1237:V1574,1)=1,5,0)+IF(COUNTIF(W972:$W972,"&gt;"&amp;0)&lt;5,IF(AND(COUNTIF(V$1237:V1574,1)&gt;7,MOD(1+IFERROR(MATCH($C972,总览!$D$46:$D$345,1)+1,1),7)=0),$C$3,0),0)</f>
        <v>415.388284777384</v>
      </c>
      <c r="W972" s="135" cm="1">
        <f ca="1" t="array" ref="W972">SUMPRODUCT(TRANSPOSE($AA972:$AG972),OFFSET($L$9:$L$15,0,W$631-1))</f>
        <v>16.8502200646615</v>
      </c>
      <c r="X972" s="135" cm="1">
        <f ca="1" t="array" ref="X972">SUMPRODUCT(TRANSPOSE($AA972:$AG972),OFFSET($L$9:$L$15,0,X$631-1))</f>
        <v>20</v>
      </c>
      <c r="Y972" s="135" cm="1">
        <f ca="1" t="array" ref="Y972">SUMPRODUCT(TRANSPOSE($AA972:$AG972),OFFSET($L$9:$L$15,0,Y$631-1))</f>
        <v>10</v>
      </c>
      <c r="Z972" s="135" cm="1">
        <f ca="1" t="array" ref="Z972">SUMPRODUCT(TRANSPOSE($AA972:$AG972),OFFSET($L$9:$L$15,0,Z$631-1))</f>
        <v>3.14977993533847</v>
      </c>
      <c r="AA972" s="136">
        <f ca="1" t="shared" ref="AA972:AG972" si="925">AH972-AH971</f>
        <v>0</v>
      </c>
      <c r="AB972" s="136">
        <f ca="1" t="shared" si="925"/>
        <v>0</v>
      </c>
      <c r="AC972" s="136">
        <f ca="1" t="shared" si="925"/>
        <v>0</v>
      </c>
      <c r="AD972" s="136">
        <f ca="1" t="shared" si="925"/>
        <v>0</v>
      </c>
      <c r="AE972" s="136">
        <f ca="1" t="shared" si="925"/>
        <v>0</v>
      </c>
      <c r="AF972" s="136">
        <f ca="1" t="shared" si="925"/>
        <v>0</v>
      </c>
      <c r="AG972" s="136">
        <f ca="1" t="shared" si="925"/>
        <v>100</v>
      </c>
      <c r="AH972" s="136">
        <f ca="1" t="shared" si="891"/>
        <v>450</v>
      </c>
      <c r="AI972" s="136">
        <f ca="1" t="shared" ref="AI972:AN972" si="926">IF($C972&gt;OFFSET($Q$8,MATCH(AI$634,$AH$634:$AN$634,0),0),OFFSET($P$8,MATCH(AI$634,$AH$634:$AN$634,0),0),MAX(0,$C972-OFFSET($Q$8,RIGHT(AI$634,1)-1,0)))</f>
        <v>909</v>
      </c>
      <c r="AJ972" s="136">
        <f ca="1" t="shared" si="926"/>
        <v>1818</v>
      </c>
      <c r="AK972" s="136">
        <f ca="1" t="shared" si="926"/>
        <v>2727</v>
      </c>
      <c r="AL972" s="136">
        <f ca="1" t="shared" si="926"/>
        <v>3636</v>
      </c>
      <c r="AM972" s="136">
        <f ca="1" t="shared" si="926"/>
        <v>4545</v>
      </c>
      <c r="AN972" s="136">
        <f ca="1" t="shared" si="926"/>
        <v>19715</v>
      </c>
    </row>
    <row r="973" s="106" customFormat="1" ht="16.5" spans="2:40">
      <c r="B973" s="117">
        <v>339</v>
      </c>
      <c r="C973" s="130">
        <f t="shared" si="889"/>
        <v>33900</v>
      </c>
      <c r="D973" s="131" cm="1">
        <f ca="1" t="array" ref="D973">IF(D1575=1,OFFSET($W$634,$B973,D$631-1)/SUMPRODUCT(--($D$631:$V$631=D$631),--($D1575:$V1575=1)),0)+SUM(D972)+IF(COUNTIF(D$1237:D1575,1)=1,5,0)+IF(COUNTIF(E973:$W973,"&gt;"&amp;0)&lt;5,IF(AND(COUNTIF(D$1237:D1575,1)&gt;7,MOD(1+IFERROR(MATCH($C973,总览!$D$46:$D$345,1)+1,1),7)=0),$C$3,0),0)</f>
        <v>2231.77838383756</v>
      </c>
      <c r="E973" s="131" cm="1">
        <f ca="1" t="array" ref="E973">IF(E1575=1,OFFSET($W$634,$B973,E$631-1)/SUMPRODUCT(--($D$631:$V$631=E$631),--($D1575:$V1575=1)),0)+SUM(E972)+IF(COUNTIF(E$1237:E1575,1)=1,5,0)+IF(COUNTIF(F973:$W973,"&gt;"&amp;0)&lt;5,IF(AND(COUNTIF(E$1237:E1575,1)&gt;7,MOD(1+IFERROR(MATCH($C973,总览!$D$46:$D$345,1)+1,1),7)=0),$C$3,0),0)</f>
        <v>2231.77838383756</v>
      </c>
      <c r="F973" s="131" cm="1">
        <f ca="1" t="array" ref="F973">IF(F1575=1,OFFSET($W$634,$B973,F$631-1)/SUMPRODUCT(--($D$631:$V$631=F$631),--($D1575:$V1575=1)),0)+SUM(F972)+IF(COUNTIF(F$1237:F1575,1)=1,5,0)+IF(COUNTIF(G973:$W973,"&gt;"&amp;0)&lt;5,IF(AND(COUNTIF(F$1237:F1575,1)&gt;7,MOD(1+IFERROR(MATCH($C973,总览!$D$46:$D$345,1)+1,1),7)=0),$C$3,0),0)</f>
        <v>2231.77838383756</v>
      </c>
      <c r="G973" s="131" cm="1">
        <f ca="1" t="array" ref="G973">IF(G1575=1,OFFSET($W$634,$B973,G$631-1)/SUMPRODUCT(--($D$631:$V$631=G$631),--($D1575:$V1575=1)),0)+SUM(G972)+IF(COUNTIF(G$1237:G1575,1)=1,5,0)+IF(COUNTIF(H973:$W973,"&gt;"&amp;0)&lt;5,IF(AND(COUNTIF(G$1237:G1575,1)&gt;7,MOD(1+IFERROR(MATCH($C973,总览!$D$46:$D$345,1)+1,1),7)=0),$C$3,0),0)</f>
        <v>1069.4</v>
      </c>
      <c r="H973" s="131" cm="1">
        <f ca="1" t="array" ref="H973">IF(H1575=1,OFFSET($W$634,$B973,H$631-1)/SUMPRODUCT(--($D$631:$V$631=H$631),--($D1575:$V1575=1)),0)+SUM(H972)+IF(COUNTIF(H$1237:H1575,1)=1,5,0)+IF(COUNTIF(I973:$W973,"&gt;"&amp;0)&lt;5,IF(AND(COUNTIF(H$1237:H1575,1)&gt;7,MOD(1+IFERROR(MATCH($C973,总览!$D$46:$D$345,1)+1,1),7)=0),$C$3,0),0)</f>
        <v>1069.4</v>
      </c>
      <c r="I973" s="131" cm="1">
        <f ca="1" t="array" ref="I973">IF(I1575=1,OFFSET($W$634,$B973,I$631-1)/SUMPRODUCT(--($D$631:$V$631=I$631),--($D1575:$V1575=1)),0)+SUM(I972)+IF(COUNTIF(I$1237:I1575,1)=1,5,0)+IF(COUNTIF(J973:$W973,"&gt;"&amp;0)&lt;5,IF(AND(COUNTIF(I$1237:I1575,1)&gt;7,MOD(1+IFERROR(MATCH($C973,总览!$D$46:$D$345,1)+1,1),7)=0),$C$3,0),0)</f>
        <v>1069.4</v>
      </c>
      <c r="J973" s="131" cm="1">
        <f ca="1" t="array" ref="J973">IF(J1575=1,OFFSET($W$634,$B973,J$631-1)/SUMPRODUCT(--($D$631:$V$631=J$631),--($D1575:$V1575=1)),0)+SUM(J972)+IF(COUNTIF(J$1237:J1575,1)=1,5,0)+IF(COUNTIF(K973:$W973,"&gt;"&amp;0)&lt;5,IF(AND(COUNTIF(J$1237:J1575,1)&gt;7,MOD(1+IFERROR(MATCH($C973,总览!$D$46:$D$345,1)+1,1),7)=0),$C$3,0),0)</f>
        <v>1066.06666666667</v>
      </c>
      <c r="K973" s="131" cm="1">
        <f ca="1" t="array" ref="K973">IF(K1575=1,OFFSET($W$634,$B973,K$631-1)/SUMPRODUCT(--($D$631:$V$631=K$631),--($D1575:$V1575=1)),0)+SUM(K972)+IF(COUNTIF(K$1237:K1575,1)=1,5,0)+IF(COUNTIF(L973:$W973,"&gt;"&amp;0)&lt;5,IF(AND(COUNTIF(K$1237:K1575,1)&gt;7,MOD(1+IFERROR(MATCH($C973,总览!$D$46:$D$345,1)+1,1),7)=0),$C$3,0),0)</f>
        <v>1063.56666666667</v>
      </c>
      <c r="L973" s="131" cm="1">
        <f ca="1" t="array" ref="L973">IF(L1575=1,OFFSET($W$634,$B973,L$631-1)/SUMPRODUCT(--($D$631:$V$631=L$631),--($D1575:$V1575=1)),0)+SUM(L972)+IF(COUNTIF(L$1237:L1575,1)=1,5,0)+IF(COUNTIF(M973:$W973,"&gt;"&amp;0)&lt;5,IF(AND(COUNTIF(L$1237:L1575,1)&gt;7,MOD(1+IFERROR(MATCH($C973,总览!$D$46:$D$345,1)+1,1),7)=0),$C$3,0),0)</f>
        <v>1063.56666666667</v>
      </c>
      <c r="M973" s="131" cm="1">
        <f ca="1" t="array" ref="M973">IF(M1575=1,OFFSET($W$634,$B973,M$631-1)/SUMPRODUCT(--($D$631:$V$631=M$631),--($D1575:$V1575=1)),0)+SUM(M972)+IF(COUNTIF(M$1237:M1575,1)=1,5,0)+IF(COUNTIF(N973:$W973,"&gt;"&amp;0)&lt;5,IF(AND(COUNTIF(M$1237:M1575,1)&gt;7,MOD(1+IFERROR(MATCH($C973,总览!$D$46:$D$345,1)+1,1),7)=0),$C$3,0),0)</f>
        <v>442.038392857144</v>
      </c>
      <c r="N973" s="131" cm="1">
        <f ca="1" t="array" ref="N973">IF(N1575=1,OFFSET($W$634,$B973,N$631-1)/SUMPRODUCT(--($D$631:$V$631=N$631),--($D1575:$V1575=1)),0)+SUM(N972)+IF(COUNTIF(N$1237:N1575,1)=1,5,0)+IF(COUNTIF(O973:$W973,"&gt;"&amp;0)&lt;5,IF(AND(COUNTIF(N$1237:N1575,1)&gt;7,MOD(1+IFERROR(MATCH($C973,总览!$D$46:$D$345,1)+1,1),7)=0),$C$3,0),0)</f>
        <v>443.288392857144</v>
      </c>
      <c r="O973" s="131" cm="1">
        <f ca="1" t="array" ref="O973">IF(O1575=1,OFFSET($W$634,$B973,O$631-1)/SUMPRODUCT(--($D$631:$V$631=O$631),--($D1575:$V1575=1)),0)+SUM(O972)+IF(COUNTIF(O$1237:O1575,1)=1,5,0)+IF(COUNTIF(P973:$W973,"&gt;"&amp;0)&lt;5,IF(AND(COUNTIF(O$1237:O1575,1)&gt;7,MOD(1+IFERROR(MATCH($C973,总览!$D$46:$D$345,1)+1,1),7)=0),$C$3,0),0)</f>
        <v>448.288392857144</v>
      </c>
      <c r="P973" s="131" cm="1">
        <f ca="1" t="array" ref="P973">IF(P1575=1,OFFSET($W$634,$B973,P$631-1)/SUMPRODUCT(--($D$631:$V$631=P$631),--($D1575:$V1575=1)),0)+SUM(P972)+IF(COUNTIF(P$1237:P1575,1)=1,5,0)+IF(COUNTIF(Q973:$W973,"&gt;"&amp;0)&lt;5,IF(AND(COUNTIF(P$1237:P1575,1)&gt;7,MOD(1+IFERROR(MATCH($C973,总览!$D$46:$D$345,1)+1,1),7)=0),$C$3,0),0)</f>
        <v>437.407142857144</v>
      </c>
      <c r="Q973" s="131" cm="1">
        <f ca="1" t="array" ref="Q973">IF(Q1575=1,OFFSET($W$634,$B973,Q$631-1)/SUMPRODUCT(--($D$631:$V$631=Q$631),--($D1575:$V1575=1)),0)+SUM(Q972)+IF(COUNTIF(Q$1237:Q1575,1)=1,5,0)+IF(COUNTIF(R973:$W973,"&gt;"&amp;0)&lt;5,IF(AND(COUNTIF(Q$1237:Q1575,1)&gt;7,MOD(1+IFERROR(MATCH($C973,总览!$D$46:$D$345,1)+1,1),7)=0),$C$3,0),0)</f>
        <v>450.788392857144</v>
      </c>
      <c r="R973" s="131" cm="1">
        <f ca="1" t="array" ref="R973">IF(R1575=1,OFFSET($W$634,$B973,R$631-1)/SUMPRODUCT(--($D$631:$V$631=R$631),--($D1575:$V1575=1)),0)+SUM(R972)+IF(COUNTIF(R$1237:R1575,1)=1,5,0)+IF(COUNTIF(S973:$W973,"&gt;"&amp;0)&lt;5,IF(AND(COUNTIF(R$1237:R1575,1)&gt;7,MOD(1+IFERROR(MATCH($C973,总览!$D$46:$D$345,1)+1,1),7)=0),$C$3,0),0)</f>
        <v>442.407142857144</v>
      </c>
      <c r="S973" s="131" cm="1">
        <f ca="1" t="array" ref="S973">IF(S1575=1,OFFSET($W$634,$B973,S$631-1)/SUMPRODUCT(--($D$631:$V$631=S$631),--($D1575:$V1575=1)),0)+SUM(S972)+IF(COUNTIF(S$1237:S1575,1)=1,5,0)+IF(COUNTIF(T973:$W973,"&gt;"&amp;0)&lt;5,IF(AND(COUNTIF(S$1237:S1575,1)&gt;7,MOD(1+IFERROR(MATCH($C973,总览!$D$46:$D$345,1)+1,1),7)=0),$C$3,0),0)</f>
        <v>534.907142857145</v>
      </c>
      <c r="T973" s="131" cm="1">
        <f ca="1" t="array" ref="T973">IF(T1575=1,OFFSET($W$634,$B973,T$631-1)/SUMPRODUCT(--($D$631:$V$631=T$631),--($D1575:$V1575=1)),0)+SUM(T972)+IF(COUNTIF(T$1237:T1575,1)=1,5,0)+IF(COUNTIF(U973:$W973,"&gt;"&amp;0)&lt;5,IF(AND(COUNTIF(T$1237:T1575,1)&gt;7,MOD(1+IFERROR(MATCH($C973,总览!$D$46:$D$345,1)+1,1),7)=0),$C$3,0),0)</f>
        <v>391.090425354764</v>
      </c>
      <c r="U973" s="131" cm="1">
        <f ca="1" t="array" ref="U973">IF(U1575=1,OFFSET($W$634,$B973,U$631-1)/SUMPRODUCT(--($D$631:$V$631=U$631),--($D1575:$V1575=1)),0)+SUM(U972)+IF(COUNTIF(U$1237:U1575,1)=1,5,0)+IF(COUNTIF(V973:$W973,"&gt;"&amp;0)&lt;5,IF(AND(COUNTIF(U$1237:U1575,1)&gt;7,MOD(1+IFERROR(MATCH($C973,总览!$D$46:$D$345,1)+1,1),7)=0),$C$3,0),0)</f>
        <v>396.611211710063</v>
      </c>
      <c r="V973" s="131" cm="1">
        <f ca="1" t="array" ref="V973">IF(V1575=1,OFFSET($W$634,$B973,V$631-1)/SUMPRODUCT(--($D$631:$V$631=V$631),--($D1575:$V1575=1)),0)+SUM(V972)+IF(COUNTIF(V$1237:V1575,1)=1,5,0)+IF(COUNTIF(W973:$W973,"&gt;"&amp;0)&lt;5,IF(AND(COUNTIF(V$1237:V1575,1)&gt;7,MOD(1+IFERROR(MATCH($C973,总览!$D$46:$D$345,1)+1,1),7)=0),$C$3,0),0)</f>
        <v>416.438211422496</v>
      </c>
      <c r="W973" s="135" cm="1">
        <f ca="1" t="array" ref="W973">SUMPRODUCT(TRANSPOSE($AA973:$AG973),OFFSET($L$9:$L$15,0,W$631-1))</f>
        <v>16.8502200646615</v>
      </c>
      <c r="X973" s="135" cm="1">
        <f ca="1" t="array" ref="X973">SUMPRODUCT(TRANSPOSE($AA973:$AG973),OFFSET($L$9:$L$15,0,X$631-1))</f>
        <v>20</v>
      </c>
      <c r="Y973" s="135" cm="1">
        <f ca="1" t="array" ref="Y973">SUMPRODUCT(TRANSPOSE($AA973:$AG973),OFFSET($L$9:$L$15,0,Y$631-1))</f>
        <v>10</v>
      </c>
      <c r="Z973" s="135" cm="1">
        <f ca="1" t="array" ref="Z973">SUMPRODUCT(TRANSPOSE($AA973:$AG973),OFFSET($L$9:$L$15,0,Z$631-1))</f>
        <v>3.14977993533847</v>
      </c>
      <c r="AA973" s="136">
        <f ca="1" t="shared" ref="AA973:AG973" si="927">AH973-AH972</f>
        <v>0</v>
      </c>
      <c r="AB973" s="136">
        <f ca="1" t="shared" si="927"/>
        <v>0</v>
      </c>
      <c r="AC973" s="136">
        <f ca="1" t="shared" si="927"/>
        <v>0</v>
      </c>
      <c r="AD973" s="136">
        <f ca="1" t="shared" si="927"/>
        <v>0</v>
      </c>
      <c r="AE973" s="136">
        <f ca="1" t="shared" si="927"/>
        <v>0</v>
      </c>
      <c r="AF973" s="136">
        <f ca="1" t="shared" si="927"/>
        <v>0</v>
      </c>
      <c r="AG973" s="136">
        <f ca="1" t="shared" si="927"/>
        <v>100</v>
      </c>
      <c r="AH973" s="136">
        <f ca="1" t="shared" si="891"/>
        <v>450</v>
      </c>
      <c r="AI973" s="136">
        <f ca="1" t="shared" ref="AI973:AN973" si="928">IF($C973&gt;OFFSET($Q$8,MATCH(AI$634,$AH$634:$AN$634,0),0),OFFSET($P$8,MATCH(AI$634,$AH$634:$AN$634,0),0),MAX(0,$C973-OFFSET($Q$8,RIGHT(AI$634,1)-1,0)))</f>
        <v>909</v>
      </c>
      <c r="AJ973" s="136">
        <f ca="1" t="shared" si="928"/>
        <v>1818</v>
      </c>
      <c r="AK973" s="136">
        <f ca="1" t="shared" si="928"/>
        <v>2727</v>
      </c>
      <c r="AL973" s="136">
        <f ca="1" t="shared" si="928"/>
        <v>3636</v>
      </c>
      <c r="AM973" s="136">
        <f ca="1" t="shared" si="928"/>
        <v>4545</v>
      </c>
      <c r="AN973" s="136">
        <f ca="1" t="shared" si="928"/>
        <v>19815</v>
      </c>
    </row>
    <row r="974" s="106" customFormat="1" ht="16.5" spans="2:40">
      <c r="B974" s="117">
        <v>340</v>
      </c>
      <c r="C974" s="130">
        <f t="shared" si="889"/>
        <v>34000</v>
      </c>
      <c r="D974" s="131" cm="1">
        <f ca="1" t="array" ref="D974">IF(D1576=1,OFFSET($W$634,$B974,D$631-1)/SUMPRODUCT(--($D$631:$V$631=D$631),--($D1576:$V1576=1)),0)+SUM(D973)+IF(COUNTIF(D$1237:D1576,1)=1,5,0)+IF(COUNTIF(E974:$W974,"&gt;"&amp;0)&lt;5,IF(AND(COUNTIF(D$1237:D1576,1)&gt;7,MOD(1+IFERROR(MATCH($C974,总览!$D$46:$D$345,1)+1,1),7)=0),$C$3,0),0)</f>
        <v>2237.39512385911</v>
      </c>
      <c r="E974" s="131" cm="1">
        <f ca="1" t="array" ref="E974">IF(E1576=1,OFFSET($W$634,$B974,E$631-1)/SUMPRODUCT(--($D$631:$V$631=E$631),--($D1576:$V1576=1)),0)+SUM(E973)+IF(COUNTIF(E$1237:E1576,1)=1,5,0)+IF(COUNTIF(F974:$W974,"&gt;"&amp;0)&lt;5,IF(AND(COUNTIF(E$1237:E1576,1)&gt;7,MOD(1+IFERROR(MATCH($C974,总览!$D$46:$D$345,1)+1,1),7)=0),$C$3,0),0)</f>
        <v>2237.39512385911</v>
      </c>
      <c r="F974" s="131" cm="1">
        <f ca="1" t="array" ref="F974">IF(F1576=1,OFFSET($W$634,$B974,F$631-1)/SUMPRODUCT(--($D$631:$V$631=F$631),--($D1576:$V1576=1)),0)+SUM(F973)+IF(COUNTIF(F$1237:F1576,1)=1,5,0)+IF(COUNTIF(G974:$W974,"&gt;"&amp;0)&lt;5,IF(AND(COUNTIF(F$1237:F1576,1)&gt;7,MOD(1+IFERROR(MATCH($C974,总览!$D$46:$D$345,1)+1,1),7)=0),$C$3,0),0)</f>
        <v>2237.39512385911</v>
      </c>
      <c r="G974" s="131" cm="1">
        <f ca="1" t="array" ref="G974">IF(G1576=1,OFFSET($W$634,$B974,G$631-1)/SUMPRODUCT(--($D$631:$V$631=G$631),--($D1576:$V1576=1)),0)+SUM(G973)+IF(COUNTIF(G$1237:G1576,1)=1,5,0)+IF(COUNTIF(H974:$W974,"&gt;"&amp;0)&lt;5,IF(AND(COUNTIF(G$1237:G1576,1)&gt;7,MOD(1+IFERROR(MATCH($C974,总览!$D$46:$D$345,1)+1,1),7)=0),$C$3,0),0)</f>
        <v>1072.73333333334</v>
      </c>
      <c r="H974" s="131" cm="1">
        <f ca="1" t="array" ref="H974">IF(H1576=1,OFFSET($W$634,$B974,H$631-1)/SUMPRODUCT(--($D$631:$V$631=H$631),--($D1576:$V1576=1)),0)+SUM(H973)+IF(COUNTIF(H$1237:H1576,1)=1,5,0)+IF(COUNTIF(I974:$W974,"&gt;"&amp;0)&lt;5,IF(AND(COUNTIF(H$1237:H1576,1)&gt;7,MOD(1+IFERROR(MATCH($C974,总览!$D$46:$D$345,1)+1,1),7)=0),$C$3,0),0)</f>
        <v>1072.73333333334</v>
      </c>
      <c r="I974" s="131" cm="1">
        <f ca="1" t="array" ref="I974">IF(I1576=1,OFFSET($W$634,$B974,I$631-1)/SUMPRODUCT(--($D$631:$V$631=I$631),--($D1576:$V1576=1)),0)+SUM(I973)+IF(COUNTIF(I$1237:I1576,1)=1,5,0)+IF(COUNTIF(J974:$W974,"&gt;"&amp;0)&lt;5,IF(AND(COUNTIF(I$1237:I1576,1)&gt;7,MOD(1+IFERROR(MATCH($C974,总览!$D$46:$D$345,1)+1,1),7)=0),$C$3,0),0)</f>
        <v>1072.73333333334</v>
      </c>
      <c r="J974" s="131" cm="1">
        <f ca="1" t="array" ref="J974">IF(J1576=1,OFFSET($W$634,$B974,J$631-1)/SUMPRODUCT(--($D$631:$V$631=J$631),--($D1576:$V1576=1)),0)+SUM(J973)+IF(COUNTIF(J$1237:J1576,1)=1,5,0)+IF(COUNTIF(K974:$W974,"&gt;"&amp;0)&lt;5,IF(AND(COUNTIF(J$1237:J1576,1)&gt;7,MOD(1+IFERROR(MATCH($C974,总览!$D$46:$D$345,1)+1,1),7)=0),$C$3,0),0)</f>
        <v>1069.4</v>
      </c>
      <c r="K974" s="131" cm="1">
        <f ca="1" t="array" ref="K974">IF(K1576=1,OFFSET($W$634,$B974,K$631-1)/SUMPRODUCT(--($D$631:$V$631=K$631),--($D1576:$V1576=1)),0)+SUM(K973)+IF(COUNTIF(K$1237:K1576,1)=1,5,0)+IF(COUNTIF(L974:$W974,"&gt;"&amp;0)&lt;5,IF(AND(COUNTIF(K$1237:K1576,1)&gt;7,MOD(1+IFERROR(MATCH($C974,总览!$D$46:$D$345,1)+1,1),7)=0),$C$3,0),0)</f>
        <v>1066.9</v>
      </c>
      <c r="L974" s="131" cm="1">
        <f ca="1" t="array" ref="L974">IF(L1576=1,OFFSET($W$634,$B974,L$631-1)/SUMPRODUCT(--($D$631:$V$631=L$631),--($D1576:$V1576=1)),0)+SUM(L973)+IF(COUNTIF(L$1237:L1576,1)=1,5,0)+IF(COUNTIF(M974:$W974,"&gt;"&amp;0)&lt;5,IF(AND(COUNTIF(L$1237:L1576,1)&gt;7,MOD(1+IFERROR(MATCH($C974,总览!$D$46:$D$345,1)+1,1),7)=0),$C$3,0),0)</f>
        <v>1066.9</v>
      </c>
      <c r="M974" s="131" cm="1">
        <f ca="1" t="array" ref="M974">IF(M1576=1,OFFSET($W$634,$B974,M$631-1)/SUMPRODUCT(--($D$631:$V$631=M$631),--($D1576:$V1576=1)),0)+SUM(M973)+IF(COUNTIF(M$1237:M1576,1)=1,5,0)+IF(COUNTIF(N974:$W974,"&gt;"&amp;0)&lt;5,IF(AND(COUNTIF(M$1237:M1576,1)&gt;7,MOD(1+IFERROR(MATCH($C974,总览!$D$46:$D$345,1)+1,1),7)=0),$C$3,0),0)</f>
        <v>443.466964285715</v>
      </c>
      <c r="N974" s="131" cm="1">
        <f ca="1" t="array" ref="N974">IF(N1576=1,OFFSET($W$634,$B974,N$631-1)/SUMPRODUCT(--($D$631:$V$631=N$631),--($D1576:$V1576=1)),0)+SUM(N973)+IF(COUNTIF(N$1237:N1576,1)=1,5,0)+IF(COUNTIF(O974:$W974,"&gt;"&amp;0)&lt;5,IF(AND(COUNTIF(N$1237:N1576,1)&gt;7,MOD(1+IFERROR(MATCH($C974,总览!$D$46:$D$345,1)+1,1),7)=0),$C$3,0),0)</f>
        <v>444.716964285715</v>
      </c>
      <c r="O974" s="131" cm="1">
        <f ca="1" t="array" ref="O974">IF(O1576=1,OFFSET($W$634,$B974,O$631-1)/SUMPRODUCT(--($D$631:$V$631=O$631),--($D1576:$V1576=1)),0)+SUM(O973)+IF(COUNTIF(O$1237:O1576,1)=1,5,0)+IF(COUNTIF(P974:$W974,"&gt;"&amp;0)&lt;5,IF(AND(COUNTIF(O$1237:O1576,1)&gt;7,MOD(1+IFERROR(MATCH($C974,总览!$D$46:$D$345,1)+1,1),7)=0),$C$3,0),0)</f>
        <v>449.716964285715</v>
      </c>
      <c r="P974" s="131" cm="1">
        <f ca="1" t="array" ref="P974">IF(P1576=1,OFFSET($W$634,$B974,P$631-1)/SUMPRODUCT(--($D$631:$V$631=P$631),--($D1576:$V1576=1)),0)+SUM(P973)+IF(COUNTIF(P$1237:P1576,1)=1,5,0)+IF(COUNTIF(Q974:$W974,"&gt;"&amp;0)&lt;5,IF(AND(COUNTIF(P$1237:P1576,1)&gt;7,MOD(1+IFERROR(MATCH($C974,总览!$D$46:$D$345,1)+1,1),7)=0),$C$3,0),0)</f>
        <v>438.835714285715</v>
      </c>
      <c r="Q974" s="131" cm="1">
        <f ca="1" t="array" ref="Q974">IF(Q1576=1,OFFSET($W$634,$B974,Q$631-1)/SUMPRODUCT(--($D$631:$V$631=Q$631),--($D1576:$V1576=1)),0)+SUM(Q973)+IF(COUNTIF(Q$1237:Q1576,1)=1,5,0)+IF(COUNTIF(R974:$W974,"&gt;"&amp;0)&lt;5,IF(AND(COUNTIF(Q$1237:Q1576,1)&gt;7,MOD(1+IFERROR(MATCH($C974,总览!$D$46:$D$345,1)+1,1),7)=0),$C$3,0),0)</f>
        <v>452.216964285715</v>
      </c>
      <c r="R974" s="131" cm="1">
        <f ca="1" t="array" ref="R974">IF(R1576=1,OFFSET($W$634,$B974,R$631-1)/SUMPRODUCT(--($D$631:$V$631=R$631),--($D1576:$V1576=1)),0)+SUM(R973)+IF(COUNTIF(R$1237:R1576,1)=1,5,0)+IF(COUNTIF(S974:$W974,"&gt;"&amp;0)&lt;5,IF(AND(COUNTIF(R$1237:R1576,1)&gt;7,MOD(1+IFERROR(MATCH($C974,总览!$D$46:$D$345,1)+1,1),7)=0),$C$3,0),0)</f>
        <v>443.835714285715</v>
      </c>
      <c r="S974" s="131" cm="1">
        <f ca="1" t="array" ref="S974">IF(S1576=1,OFFSET($W$634,$B974,S$631-1)/SUMPRODUCT(--($D$631:$V$631=S$631),--($D1576:$V1576=1)),0)+SUM(S973)+IF(COUNTIF(S$1237:S1576,1)=1,5,0)+IF(COUNTIF(T974:$W974,"&gt;"&amp;0)&lt;5,IF(AND(COUNTIF(S$1237:S1576,1)&gt;7,MOD(1+IFERROR(MATCH($C974,总览!$D$46:$D$345,1)+1,1),7)=0),$C$3,0),0)</f>
        <v>536.335714285716</v>
      </c>
      <c r="T974" s="131" cm="1">
        <f ca="1" t="array" ref="T974">IF(T1576=1,OFFSET($W$634,$B974,T$631-1)/SUMPRODUCT(--($D$631:$V$631=T$631),--($D1576:$V1576=1)),0)+SUM(T973)+IF(COUNTIF(T$1237:T1576,1)=1,5,0)+IF(COUNTIF(U974:$W974,"&gt;"&amp;0)&lt;5,IF(AND(COUNTIF(T$1237:T1576,1)&gt;7,MOD(1+IFERROR(MATCH($C974,总览!$D$46:$D$345,1)+1,1),7)=0),$C$3,0),0)</f>
        <v>392.140351999877</v>
      </c>
      <c r="U974" s="131" cm="1">
        <f ca="1" t="array" ref="U974">IF(U1576=1,OFFSET($W$634,$B974,U$631-1)/SUMPRODUCT(--($D$631:$V$631=U$631),--($D1576:$V1576=1)),0)+SUM(U973)+IF(COUNTIF(U$1237:U1576,1)=1,5,0)+IF(COUNTIF(V974:$W974,"&gt;"&amp;0)&lt;5,IF(AND(COUNTIF(U$1237:U1576,1)&gt;7,MOD(1+IFERROR(MATCH($C974,总览!$D$46:$D$345,1)+1,1),7)=0),$C$3,0),0)</f>
        <v>397.661138355176</v>
      </c>
      <c r="V974" s="131" cm="1">
        <f ca="1" t="array" ref="V974">IF(V1576=1,OFFSET($W$634,$B974,V$631-1)/SUMPRODUCT(--($D$631:$V$631=V$631),--($D1576:$V1576=1)),0)+SUM(V973)+IF(COUNTIF(V$1237:V1576,1)=1,5,0)+IF(COUNTIF(W974:$W974,"&gt;"&amp;0)&lt;5,IF(AND(COUNTIF(V$1237:V1576,1)&gt;7,MOD(1+IFERROR(MATCH($C974,总览!$D$46:$D$345,1)+1,1),7)=0),$C$3,0),0)</f>
        <v>417.488138067609</v>
      </c>
      <c r="W974" s="135" cm="1">
        <f ca="1" t="array" ref="W974">SUMPRODUCT(TRANSPOSE($AA974:$AG974),OFFSET($L$9:$L$15,0,W$631-1))</f>
        <v>16.8502200646615</v>
      </c>
      <c r="X974" s="135" cm="1">
        <f ca="1" t="array" ref="X974">SUMPRODUCT(TRANSPOSE($AA974:$AG974),OFFSET($L$9:$L$15,0,X$631-1))</f>
        <v>20</v>
      </c>
      <c r="Y974" s="135" cm="1">
        <f ca="1" t="array" ref="Y974">SUMPRODUCT(TRANSPOSE($AA974:$AG974),OFFSET($L$9:$L$15,0,Y$631-1))</f>
        <v>10</v>
      </c>
      <c r="Z974" s="135" cm="1">
        <f ca="1" t="array" ref="Z974">SUMPRODUCT(TRANSPOSE($AA974:$AG974),OFFSET($L$9:$L$15,0,Z$631-1))</f>
        <v>3.14977993533847</v>
      </c>
      <c r="AA974" s="136">
        <f ca="1" t="shared" ref="AA974:AG974" si="929">AH974-AH973</f>
        <v>0</v>
      </c>
      <c r="AB974" s="136">
        <f ca="1" t="shared" si="929"/>
        <v>0</v>
      </c>
      <c r="AC974" s="136">
        <f ca="1" t="shared" si="929"/>
        <v>0</v>
      </c>
      <c r="AD974" s="136">
        <f ca="1" t="shared" si="929"/>
        <v>0</v>
      </c>
      <c r="AE974" s="136">
        <f ca="1" t="shared" si="929"/>
        <v>0</v>
      </c>
      <c r="AF974" s="136">
        <f ca="1" t="shared" si="929"/>
        <v>0</v>
      </c>
      <c r="AG974" s="136">
        <f ca="1" t="shared" si="929"/>
        <v>100</v>
      </c>
      <c r="AH974" s="136">
        <f ca="1" t="shared" si="891"/>
        <v>450</v>
      </c>
      <c r="AI974" s="136">
        <f ca="1" t="shared" ref="AI974:AN974" si="930">IF($C974&gt;OFFSET($Q$8,MATCH(AI$634,$AH$634:$AN$634,0),0),OFFSET($P$8,MATCH(AI$634,$AH$634:$AN$634,0),0),MAX(0,$C974-OFFSET($Q$8,RIGHT(AI$634,1)-1,0)))</f>
        <v>909</v>
      </c>
      <c r="AJ974" s="136">
        <f ca="1" t="shared" si="930"/>
        <v>1818</v>
      </c>
      <c r="AK974" s="136">
        <f ca="1" t="shared" si="930"/>
        <v>2727</v>
      </c>
      <c r="AL974" s="136">
        <f ca="1" t="shared" si="930"/>
        <v>3636</v>
      </c>
      <c r="AM974" s="136">
        <f ca="1" t="shared" si="930"/>
        <v>4545</v>
      </c>
      <c r="AN974" s="136">
        <f ca="1" t="shared" si="930"/>
        <v>19915</v>
      </c>
    </row>
    <row r="975" s="106" customFormat="1" ht="16.5" spans="2:40">
      <c r="B975" s="117">
        <v>341</v>
      </c>
      <c r="C975" s="130">
        <f t="shared" si="889"/>
        <v>34100</v>
      </c>
      <c r="D975" s="131" cm="1">
        <f ca="1" t="array" ref="D975">IF(D1577=1,OFFSET($W$634,$B975,D$631-1)/SUMPRODUCT(--($D$631:$V$631=D$631),--($D1577:$V1577=1)),0)+SUM(D974)+IF(COUNTIF(D$1237:D1577,1)=1,5,0)+IF(COUNTIF(E975:$W975,"&gt;"&amp;0)&lt;5,IF(AND(COUNTIF(D$1237:D1577,1)&gt;7,MOD(1+IFERROR(MATCH($C975,总览!$D$46:$D$345,1)+1,1),7)=0),$C$3,0),0)</f>
        <v>2243.01186388067</v>
      </c>
      <c r="E975" s="131" cm="1">
        <f ca="1" t="array" ref="E975">IF(E1577=1,OFFSET($W$634,$B975,E$631-1)/SUMPRODUCT(--($D$631:$V$631=E$631),--($D1577:$V1577=1)),0)+SUM(E974)+IF(COUNTIF(E$1237:E1577,1)=1,5,0)+IF(COUNTIF(F975:$W975,"&gt;"&amp;0)&lt;5,IF(AND(COUNTIF(E$1237:E1577,1)&gt;7,MOD(1+IFERROR(MATCH($C975,总览!$D$46:$D$345,1)+1,1),7)=0),$C$3,0),0)</f>
        <v>2243.01186388067</v>
      </c>
      <c r="F975" s="131" cm="1">
        <f ca="1" t="array" ref="F975">IF(F1577=1,OFFSET($W$634,$B975,F$631-1)/SUMPRODUCT(--($D$631:$V$631=F$631),--($D1577:$V1577=1)),0)+SUM(F974)+IF(COUNTIF(F$1237:F1577,1)=1,5,0)+IF(COUNTIF(G975:$W975,"&gt;"&amp;0)&lt;5,IF(AND(COUNTIF(F$1237:F1577,1)&gt;7,MOD(1+IFERROR(MATCH($C975,总览!$D$46:$D$345,1)+1,1),7)=0),$C$3,0),0)</f>
        <v>2243.01186388067</v>
      </c>
      <c r="G975" s="131" cm="1">
        <f ca="1" t="array" ref="G975">IF(G1577=1,OFFSET($W$634,$B975,G$631-1)/SUMPRODUCT(--($D$631:$V$631=G$631),--($D1577:$V1577=1)),0)+SUM(G974)+IF(COUNTIF(G$1237:G1577,1)=1,5,0)+IF(COUNTIF(H975:$W975,"&gt;"&amp;0)&lt;5,IF(AND(COUNTIF(G$1237:G1577,1)&gt;7,MOD(1+IFERROR(MATCH($C975,总览!$D$46:$D$345,1)+1,1),7)=0),$C$3,0),0)</f>
        <v>1076.06666666667</v>
      </c>
      <c r="H975" s="131" cm="1">
        <f ca="1" t="array" ref="H975">IF(H1577=1,OFFSET($W$634,$B975,H$631-1)/SUMPRODUCT(--($D$631:$V$631=H$631),--($D1577:$V1577=1)),0)+SUM(H974)+IF(COUNTIF(H$1237:H1577,1)=1,5,0)+IF(COUNTIF(I975:$W975,"&gt;"&amp;0)&lt;5,IF(AND(COUNTIF(H$1237:H1577,1)&gt;7,MOD(1+IFERROR(MATCH($C975,总览!$D$46:$D$345,1)+1,1),7)=0),$C$3,0),0)</f>
        <v>1076.06666666667</v>
      </c>
      <c r="I975" s="131" cm="1">
        <f ca="1" t="array" ref="I975">IF(I1577=1,OFFSET($W$634,$B975,I$631-1)/SUMPRODUCT(--($D$631:$V$631=I$631),--($D1577:$V1577=1)),0)+SUM(I974)+IF(COUNTIF(I$1237:I1577,1)=1,5,0)+IF(COUNTIF(J975:$W975,"&gt;"&amp;0)&lt;5,IF(AND(COUNTIF(I$1237:I1577,1)&gt;7,MOD(1+IFERROR(MATCH($C975,总览!$D$46:$D$345,1)+1,1),7)=0),$C$3,0),0)</f>
        <v>1076.06666666667</v>
      </c>
      <c r="J975" s="131" cm="1">
        <f ca="1" t="array" ref="J975">IF(J1577=1,OFFSET($W$634,$B975,J$631-1)/SUMPRODUCT(--($D$631:$V$631=J$631),--($D1577:$V1577=1)),0)+SUM(J974)+IF(COUNTIF(J$1237:J1577,1)=1,5,0)+IF(COUNTIF(K975:$W975,"&gt;"&amp;0)&lt;5,IF(AND(COUNTIF(J$1237:J1577,1)&gt;7,MOD(1+IFERROR(MATCH($C975,总览!$D$46:$D$345,1)+1,1),7)=0),$C$3,0),0)</f>
        <v>1072.73333333334</v>
      </c>
      <c r="K975" s="131" cm="1">
        <f ca="1" t="array" ref="K975">IF(K1577=1,OFFSET($W$634,$B975,K$631-1)/SUMPRODUCT(--($D$631:$V$631=K$631),--($D1577:$V1577=1)),0)+SUM(K974)+IF(COUNTIF(K$1237:K1577,1)=1,5,0)+IF(COUNTIF(L975:$W975,"&gt;"&amp;0)&lt;5,IF(AND(COUNTIF(K$1237:K1577,1)&gt;7,MOD(1+IFERROR(MATCH($C975,总览!$D$46:$D$345,1)+1,1),7)=0),$C$3,0),0)</f>
        <v>1070.23333333334</v>
      </c>
      <c r="L975" s="131" cm="1">
        <f ca="1" t="array" ref="L975">IF(L1577=1,OFFSET($W$634,$B975,L$631-1)/SUMPRODUCT(--($D$631:$V$631=L$631),--($D1577:$V1577=1)),0)+SUM(L974)+IF(COUNTIF(L$1237:L1577,1)=1,5,0)+IF(COUNTIF(M975:$W975,"&gt;"&amp;0)&lt;5,IF(AND(COUNTIF(L$1237:L1577,1)&gt;7,MOD(1+IFERROR(MATCH($C975,总览!$D$46:$D$345,1)+1,1),7)=0),$C$3,0),0)</f>
        <v>1070.23333333334</v>
      </c>
      <c r="M975" s="131" cm="1">
        <f ca="1" t="array" ref="M975">IF(M1577=1,OFFSET($W$634,$B975,M$631-1)/SUMPRODUCT(--($D$631:$V$631=M$631),--($D1577:$V1577=1)),0)+SUM(M974)+IF(COUNTIF(M$1237:M1577,1)=1,5,0)+IF(COUNTIF(N975:$W975,"&gt;"&amp;0)&lt;5,IF(AND(COUNTIF(M$1237:M1577,1)&gt;7,MOD(1+IFERROR(MATCH($C975,总览!$D$46:$D$345,1)+1,1),7)=0),$C$3,0),0)</f>
        <v>444.895535714287</v>
      </c>
      <c r="N975" s="131" cm="1">
        <f ca="1" t="array" ref="N975">IF(N1577=1,OFFSET($W$634,$B975,N$631-1)/SUMPRODUCT(--($D$631:$V$631=N$631),--($D1577:$V1577=1)),0)+SUM(N974)+IF(COUNTIF(N$1237:N1577,1)=1,5,0)+IF(COUNTIF(O975:$W975,"&gt;"&amp;0)&lt;5,IF(AND(COUNTIF(N$1237:N1577,1)&gt;7,MOD(1+IFERROR(MATCH($C975,总览!$D$46:$D$345,1)+1,1),7)=0),$C$3,0),0)</f>
        <v>446.145535714287</v>
      </c>
      <c r="O975" s="131" cm="1">
        <f ca="1" t="array" ref="O975">IF(O1577=1,OFFSET($W$634,$B975,O$631-1)/SUMPRODUCT(--($D$631:$V$631=O$631),--($D1577:$V1577=1)),0)+SUM(O974)+IF(COUNTIF(O$1237:O1577,1)=1,5,0)+IF(COUNTIF(P975:$W975,"&gt;"&amp;0)&lt;5,IF(AND(COUNTIF(O$1237:O1577,1)&gt;7,MOD(1+IFERROR(MATCH($C975,总览!$D$46:$D$345,1)+1,1),7)=0),$C$3,0),0)</f>
        <v>451.145535714287</v>
      </c>
      <c r="P975" s="131" cm="1">
        <f ca="1" t="array" ref="P975">IF(P1577=1,OFFSET($W$634,$B975,P$631-1)/SUMPRODUCT(--($D$631:$V$631=P$631),--($D1577:$V1577=1)),0)+SUM(P974)+IF(COUNTIF(P$1237:P1577,1)=1,5,0)+IF(COUNTIF(Q975:$W975,"&gt;"&amp;0)&lt;5,IF(AND(COUNTIF(P$1237:P1577,1)&gt;7,MOD(1+IFERROR(MATCH($C975,总览!$D$46:$D$345,1)+1,1),7)=0),$C$3,0),0)</f>
        <v>440.264285714287</v>
      </c>
      <c r="Q975" s="131" cm="1">
        <f ca="1" t="array" ref="Q975">IF(Q1577=1,OFFSET($W$634,$B975,Q$631-1)/SUMPRODUCT(--($D$631:$V$631=Q$631),--($D1577:$V1577=1)),0)+SUM(Q974)+IF(COUNTIF(Q$1237:Q1577,1)=1,5,0)+IF(COUNTIF(R975:$W975,"&gt;"&amp;0)&lt;5,IF(AND(COUNTIF(Q$1237:Q1577,1)&gt;7,MOD(1+IFERROR(MATCH($C975,总览!$D$46:$D$345,1)+1,1),7)=0),$C$3,0),0)</f>
        <v>453.645535714287</v>
      </c>
      <c r="R975" s="131" cm="1">
        <f ca="1" t="array" ref="R975">IF(R1577=1,OFFSET($W$634,$B975,R$631-1)/SUMPRODUCT(--($D$631:$V$631=R$631),--($D1577:$V1577=1)),0)+SUM(R974)+IF(COUNTIF(R$1237:R1577,1)=1,5,0)+IF(COUNTIF(S975:$W975,"&gt;"&amp;0)&lt;5,IF(AND(COUNTIF(R$1237:R1577,1)&gt;7,MOD(1+IFERROR(MATCH($C975,总览!$D$46:$D$345,1)+1,1),7)=0),$C$3,0),0)</f>
        <v>445.264285714287</v>
      </c>
      <c r="S975" s="131" cm="1">
        <f ca="1" t="array" ref="S975">IF(S1577=1,OFFSET($W$634,$B975,S$631-1)/SUMPRODUCT(--($D$631:$V$631=S$631),--($D1577:$V1577=1)),0)+SUM(S974)+IF(COUNTIF(S$1237:S1577,1)=1,5,0)+IF(COUNTIF(T975:$W975,"&gt;"&amp;0)&lt;5,IF(AND(COUNTIF(S$1237:S1577,1)&gt;7,MOD(1+IFERROR(MATCH($C975,总览!$D$46:$D$345,1)+1,1),7)=0),$C$3,0),0)</f>
        <v>537.764285714288</v>
      </c>
      <c r="T975" s="131" cm="1">
        <f ca="1" t="array" ref="T975">IF(T1577=1,OFFSET($W$634,$B975,T$631-1)/SUMPRODUCT(--($D$631:$V$631=T$631),--($D1577:$V1577=1)),0)+SUM(T974)+IF(COUNTIF(T$1237:T1577,1)=1,5,0)+IF(COUNTIF(U975:$W975,"&gt;"&amp;0)&lt;5,IF(AND(COUNTIF(T$1237:T1577,1)&gt;7,MOD(1+IFERROR(MATCH($C975,总览!$D$46:$D$345,1)+1,1),7)=0),$C$3,0),0)</f>
        <v>393.190278644989</v>
      </c>
      <c r="U975" s="131" cm="1">
        <f ca="1" t="array" ref="U975">IF(U1577=1,OFFSET($W$634,$B975,U$631-1)/SUMPRODUCT(--($D$631:$V$631=U$631),--($D1577:$V1577=1)),0)+SUM(U974)+IF(COUNTIF(U$1237:U1577,1)=1,5,0)+IF(COUNTIF(V975:$W975,"&gt;"&amp;0)&lt;5,IF(AND(COUNTIF(U$1237:U1577,1)&gt;7,MOD(1+IFERROR(MATCH($C975,总览!$D$46:$D$345,1)+1,1),7)=0),$C$3,0),0)</f>
        <v>398.711065000289</v>
      </c>
      <c r="V975" s="131" cm="1">
        <f ca="1" t="array" ref="V975">IF(V1577=1,OFFSET($W$634,$B975,V$631-1)/SUMPRODUCT(--($D$631:$V$631=V$631),--($D1577:$V1577=1)),0)+SUM(V974)+IF(COUNTIF(V$1237:V1577,1)=1,5,0)+IF(COUNTIF(W975:$W975,"&gt;"&amp;0)&lt;5,IF(AND(COUNTIF(V$1237:V1577,1)&gt;7,MOD(1+IFERROR(MATCH($C975,总览!$D$46:$D$345,1)+1,1),7)=0),$C$3,0),0)</f>
        <v>418.538064712722</v>
      </c>
      <c r="W975" s="135" cm="1">
        <f ca="1" t="array" ref="W975">SUMPRODUCT(TRANSPOSE($AA975:$AG975),OFFSET($L$9:$L$15,0,W$631-1))</f>
        <v>16.8502200646615</v>
      </c>
      <c r="X975" s="135" cm="1">
        <f ca="1" t="array" ref="X975">SUMPRODUCT(TRANSPOSE($AA975:$AG975),OFFSET($L$9:$L$15,0,X$631-1))</f>
        <v>20</v>
      </c>
      <c r="Y975" s="135" cm="1">
        <f ca="1" t="array" ref="Y975">SUMPRODUCT(TRANSPOSE($AA975:$AG975),OFFSET($L$9:$L$15,0,Y$631-1))</f>
        <v>10</v>
      </c>
      <c r="Z975" s="135" cm="1">
        <f ca="1" t="array" ref="Z975">SUMPRODUCT(TRANSPOSE($AA975:$AG975),OFFSET($L$9:$L$15,0,Z$631-1))</f>
        <v>3.14977993533847</v>
      </c>
      <c r="AA975" s="136">
        <f ca="1" t="shared" ref="AA975:AG975" si="931">AH975-AH974</f>
        <v>0</v>
      </c>
      <c r="AB975" s="136">
        <f ca="1" t="shared" si="931"/>
        <v>0</v>
      </c>
      <c r="AC975" s="136">
        <f ca="1" t="shared" si="931"/>
        <v>0</v>
      </c>
      <c r="AD975" s="136">
        <f ca="1" t="shared" si="931"/>
        <v>0</v>
      </c>
      <c r="AE975" s="136">
        <f ca="1" t="shared" si="931"/>
        <v>0</v>
      </c>
      <c r="AF975" s="136">
        <f ca="1" t="shared" si="931"/>
        <v>0</v>
      </c>
      <c r="AG975" s="136">
        <f ca="1" t="shared" si="931"/>
        <v>100</v>
      </c>
      <c r="AH975" s="136">
        <f ca="1" t="shared" si="891"/>
        <v>450</v>
      </c>
      <c r="AI975" s="136">
        <f ca="1" t="shared" ref="AI975:AN975" si="932">IF($C975&gt;OFFSET($Q$8,MATCH(AI$634,$AH$634:$AN$634,0),0),OFFSET($P$8,MATCH(AI$634,$AH$634:$AN$634,0),0),MAX(0,$C975-OFFSET($Q$8,RIGHT(AI$634,1)-1,0)))</f>
        <v>909</v>
      </c>
      <c r="AJ975" s="136">
        <f ca="1" t="shared" si="932"/>
        <v>1818</v>
      </c>
      <c r="AK975" s="136">
        <f ca="1" t="shared" si="932"/>
        <v>2727</v>
      </c>
      <c r="AL975" s="136">
        <f ca="1" t="shared" si="932"/>
        <v>3636</v>
      </c>
      <c r="AM975" s="136">
        <f ca="1" t="shared" si="932"/>
        <v>4545</v>
      </c>
      <c r="AN975" s="136">
        <f ca="1" t="shared" si="932"/>
        <v>20015</v>
      </c>
    </row>
    <row r="976" s="106" customFormat="1" ht="16.5" spans="2:40">
      <c r="B976" s="117">
        <v>342</v>
      </c>
      <c r="C976" s="130">
        <f t="shared" si="889"/>
        <v>34200</v>
      </c>
      <c r="D976" s="131" cm="1">
        <f ca="1" t="array" ref="D976">IF(D1578=1,OFFSET($W$634,$B976,D$631-1)/SUMPRODUCT(--($D$631:$V$631=D$631),--($D1578:$V1578=1)),0)+SUM(D975)+IF(COUNTIF(D$1237:D1578,1)=1,5,0)+IF(COUNTIF(E976:$W976,"&gt;"&amp;0)&lt;5,IF(AND(COUNTIF(D$1237:D1578,1)&gt;7,MOD(1+IFERROR(MATCH($C976,总览!$D$46:$D$345,1)+1,1),7)=0),$C$3,0),0)</f>
        <v>2248.62860390222</v>
      </c>
      <c r="E976" s="131" cm="1">
        <f ca="1" t="array" ref="E976">IF(E1578=1,OFFSET($W$634,$B976,E$631-1)/SUMPRODUCT(--($D$631:$V$631=E$631),--($D1578:$V1578=1)),0)+SUM(E975)+IF(COUNTIF(E$1237:E1578,1)=1,5,0)+IF(COUNTIF(F976:$W976,"&gt;"&amp;0)&lt;5,IF(AND(COUNTIF(E$1237:E1578,1)&gt;7,MOD(1+IFERROR(MATCH($C976,总览!$D$46:$D$345,1)+1,1),7)=0),$C$3,0),0)</f>
        <v>2248.62860390222</v>
      </c>
      <c r="F976" s="131" cm="1">
        <f ca="1" t="array" ref="F976">IF(F1578=1,OFFSET($W$634,$B976,F$631-1)/SUMPRODUCT(--($D$631:$V$631=F$631),--($D1578:$V1578=1)),0)+SUM(F975)+IF(COUNTIF(F$1237:F1578,1)=1,5,0)+IF(COUNTIF(G976:$W976,"&gt;"&amp;0)&lt;5,IF(AND(COUNTIF(F$1237:F1578,1)&gt;7,MOD(1+IFERROR(MATCH($C976,总览!$D$46:$D$345,1)+1,1),7)=0),$C$3,0),0)</f>
        <v>2248.62860390222</v>
      </c>
      <c r="G976" s="131" cm="1">
        <f ca="1" t="array" ref="G976">IF(G1578=1,OFFSET($W$634,$B976,G$631-1)/SUMPRODUCT(--($D$631:$V$631=G$631),--($D1578:$V1578=1)),0)+SUM(G975)+IF(COUNTIF(G$1237:G1578,1)=1,5,0)+IF(COUNTIF(H976:$W976,"&gt;"&amp;0)&lt;5,IF(AND(COUNTIF(G$1237:G1578,1)&gt;7,MOD(1+IFERROR(MATCH($C976,总览!$D$46:$D$345,1)+1,1),7)=0),$C$3,0),0)</f>
        <v>1079.4</v>
      </c>
      <c r="H976" s="131" cm="1">
        <f ca="1" t="array" ref="H976">IF(H1578=1,OFFSET($W$634,$B976,H$631-1)/SUMPRODUCT(--($D$631:$V$631=H$631),--($D1578:$V1578=1)),0)+SUM(H975)+IF(COUNTIF(H$1237:H1578,1)=1,5,0)+IF(COUNTIF(I976:$W976,"&gt;"&amp;0)&lt;5,IF(AND(COUNTIF(H$1237:H1578,1)&gt;7,MOD(1+IFERROR(MATCH($C976,总览!$D$46:$D$345,1)+1,1),7)=0),$C$3,0),0)</f>
        <v>1079.4</v>
      </c>
      <c r="I976" s="131" cm="1">
        <f ca="1" t="array" ref="I976">IF(I1578=1,OFFSET($W$634,$B976,I$631-1)/SUMPRODUCT(--($D$631:$V$631=I$631),--($D1578:$V1578=1)),0)+SUM(I975)+IF(COUNTIF(I$1237:I1578,1)=1,5,0)+IF(COUNTIF(J976:$W976,"&gt;"&amp;0)&lt;5,IF(AND(COUNTIF(I$1237:I1578,1)&gt;7,MOD(1+IFERROR(MATCH($C976,总览!$D$46:$D$345,1)+1,1),7)=0),$C$3,0),0)</f>
        <v>1079.4</v>
      </c>
      <c r="J976" s="131" cm="1">
        <f ca="1" t="array" ref="J976">IF(J1578=1,OFFSET($W$634,$B976,J$631-1)/SUMPRODUCT(--($D$631:$V$631=J$631),--($D1578:$V1578=1)),0)+SUM(J975)+IF(COUNTIF(J$1237:J1578,1)=1,5,0)+IF(COUNTIF(K976:$W976,"&gt;"&amp;0)&lt;5,IF(AND(COUNTIF(J$1237:J1578,1)&gt;7,MOD(1+IFERROR(MATCH($C976,总览!$D$46:$D$345,1)+1,1),7)=0),$C$3,0),0)</f>
        <v>1076.06666666667</v>
      </c>
      <c r="K976" s="131" cm="1">
        <f ca="1" t="array" ref="K976">IF(K1578=1,OFFSET($W$634,$B976,K$631-1)/SUMPRODUCT(--($D$631:$V$631=K$631),--($D1578:$V1578=1)),0)+SUM(K975)+IF(COUNTIF(K$1237:K1578,1)=1,5,0)+IF(COUNTIF(L976:$W976,"&gt;"&amp;0)&lt;5,IF(AND(COUNTIF(K$1237:K1578,1)&gt;7,MOD(1+IFERROR(MATCH($C976,总览!$D$46:$D$345,1)+1,1),7)=0),$C$3,0),0)</f>
        <v>1073.56666666667</v>
      </c>
      <c r="L976" s="131" cm="1">
        <f ca="1" t="array" ref="L976">IF(L1578=1,OFFSET($W$634,$B976,L$631-1)/SUMPRODUCT(--($D$631:$V$631=L$631),--($D1578:$V1578=1)),0)+SUM(L975)+IF(COUNTIF(L$1237:L1578,1)=1,5,0)+IF(COUNTIF(M976:$W976,"&gt;"&amp;0)&lt;5,IF(AND(COUNTIF(L$1237:L1578,1)&gt;7,MOD(1+IFERROR(MATCH($C976,总览!$D$46:$D$345,1)+1,1),7)=0),$C$3,0),0)</f>
        <v>1073.56666666667</v>
      </c>
      <c r="M976" s="131" cm="1">
        <f ca="1" t="array" ref="M976">IF(M1578=1,OFFSET($W$634,$B976,M$631-1)/SUMPRODUCT(--($D$631:$V$631=M$631),--($D1578:$V1578=1)),0)+SUM(M975)+IF(COUNTIF(M$1237:M1578,1)=1,5,0)+IF(COUNTIF(N976:$W976,"&gt;"&amp;0)&lt;5,IF(AND(COUNTIF(M$1237:M1578,1)&gt;7,MOD(1+IFERROR(MATCH($C976,总览!$D$46:$D$345,1)+1,1),7)=0),$C$3,0),0)</f>
        <v>446.324107142858</v>
      </c>
      <c r="N976" s="131" cm="1">
        <f ca="1" t="array" ref="N976">IF(N1578=1,OFFSET($W$634,$B976,N$631-1)/SUMPRODUCT(--($D$631:$V$631=N$631),--($D1578:$V1578=1)),0)+SUM(N975)+IF(COUNTIF(N$1237:N1578,1)=1,5,0)+IF(COUNTIF(O976:$W976,"&gt;"&amp;0)&lt;5,IF(AND(COUNTIF(N$1237:N1578,1)&gt;7,MOD(1+IFERROR(MATCH($C976,总览!$D$46:$D$345,1)+1,1),7)=0),$C$3,0),0)</f>
        <v>447.574107142858</v>
      </c>
      <c r="O976" s="131" cm="1">
        <f ca="1" t="array" ref="O976">IF(O1578=1,OFFSET($W$634,$B976,O$631-1)/SUMPRODUCT(--($D$631:$V$631=O$631),--($D1578:$V1578=1)),0)+SUM(O975)+IF(COUNTIF(O$1237:O1578,1)=1,5,0)+IF(COUNTIF(P976:$W976,"&gt;"&amp;0)&lt;5,IF(AND(COUNTIF(O$1237:O1578,1)&gt;7,MOD(1+IFERROR(MATCH($C976,总览!$D$46:$D$345,1)+1,1),7)=0),$C$3,0),0)</f>
        <v>452.574107142858</v>
      </c>
      <c r="P976" s="131" cm="1">
        <f ca="1" t="array" ref="P976">IF(P1578=1,OFFSET($W$634,$B976,P$631-1)/SUMPRODUCT(--($D$631:$V$631=P$631),--($D1578:$V1578=1)),0)+SUM(P975)+IF(COUNTIF(P$1237:P1578,1)=1,5,0)+IF(COUNTIF(Q976:$W976,"&gt;"&amp;0)&lt;5,IF(AND(COUNTIF(P$1237:P1578,1)&gt;7,MOD(1+IFERROR(MATCH($C976,总览!$D$46:$D$345,1)+1,1),7)=0),$C$3,0),0)</f>
        <v>441.692857142858</v>
      </c>
      <c r="Q976" s="131" cm="1">
        <f ca="1" t="array" ref="Q976">IF(Q1578=1,OFFSET($W$634,$B976,Q$631-1)/SUMPRODUCT(--($D$631:$V$631=Q$631),--($D1578:$V1578=1)),0)+SUM(Q975)+IF(COUNTIF(Q$1237:Q1578,1)=1,5,0)+IF(COUNTIF(R976:$W976,"&gt;"&amp;0)&lt;5,IF(AND(COUNTIF(Q$1237:Q1578,1)&gt;7,MOD(1+IFERROR(MATCH($C976,总览!$D$46:$D$345,1)+1,1),7)=0),$C$3,0),0)</f>
        <v>455.074107142858</v>
      </c>
      <c r="R976" s="131" cm="1">
        <f ca="1" t="array" ref="R976">IF(R1578=1,OFFSET($W$634,$B976,R$631-1)/SUMPRODUCT(--($D$631:$V$631=R$631),--($D1578:$V1578=1)),0)+SUM(R975)+IF(COUNTIF(R$1237:R1578,1)=1,5,0)+IF(COUNTIF(S976:$W976,"&gt;"&amp;0)&lt;5,IF(AND(COUNTIF(R$1237:R1578,1)&gt;7,MOD(1+IFERROR(MATCH($C976,总览!$D$46:$D$345,1)+1,1),7)=0),$C$3,0),0)</f>
        <v>446.692857142858</v>
      </c>
      <c r="S976" s="131" cm="1">
        <f ca="1" t="array" ref="S976">IF(S1578=1,OFFSET($W$634,$B976,S$631-1)/SUMPRODUCT(--($D$631:$V$631=S$631),--($D1578:$V1578=1)),0)+SUM(S975)+IF(COUNTIF(S$1237:S1578,1)=1,5,0)+IF(COUNTIF(T976:$W976,"&gt;"&amp;0)&lt;5,IF(AND(COUNTIF(S$1237:S1578,1)&gt;7,MOD(1+IFERROR(MATCH($C976,总览!$D$46:$D$345,1)+1,1),7)=0),$C$3,0),0)</f>
        <v>539.192857142859</v>
      </c>
      <c r="T976" s="131" cm="1">
        <f ca="1" t="array" ref="T976">IF(T1578=1,OFFSET($W$634,$B976,T$631-1)/SUMPRODUCT(--($D$631:$V$631=T$631),--($D1578:$V1578=1)),0)+SUM(T975)+IF(COUNTIF(T$1237:T1578,1)=1,5,0)+IF(COUNTIF(U976:$W976,"&gt;"&amp;0)&lt;5,IF(AND(COUNTIF(T$1237:T1578,1)&gt;7,MOD(1+IFERROR(MATCH($C976,总览!$D$46:$D$345,1)+1,1),7)=0),$C$3,0),0)</f>
        <v>394.240205290102</v>
      </c>
      <c r="U976" s="131" cm="1">
        <f ca="1" t="array" ref="U976">IF(U1578=1,OFFSET($W$634,$B976,U$631-1)/SUMPRODUCT(--($D$631:$V$631=U$631),--($D1578:$V1578=1)),0)+SUM(U975)+IF(COUNTIF(U$1237:U1578,1)=1,5,0)+IF(COUNTIF(V976:$W976,"&gt;"&amp;0)&lt;5,IF(AND(COUNTIF(U$1237:U1578,1)&gt;7,MOD(1+IFERROR(MATCH($C976,总览!$D$46:$D$345,1)+1,1),7)=0),$C$3,0),0)</f>
        <v>399.760991645402</v>
      </c>
      <c r="V976" s="131" cm="1">
        <f ca="1" t="array" ref="V976">IF(V1578=1,OFFSET($W$634,$B976,V$631-1)/SUMPRODUCT(--($D$631:$V$631=V$631),--($D1578:$V1578=1)),0)+SUM(V975)+IF(COUNTIF(V$1237:V1578,1)=1,5,0)+IF(COUNTIF(W976:$W976,"&gt;"&amp;0)&lt;5,IF(AND(COUNTIF(V$1237:V1578,1)&gt;7,MOD(1+IFERROR(MATCH($C976,总览!$D$46:$D$345,1)+1,1),7)=0),$C$3,0),0)</f>
        <v>419.587991357835</v>
      </c>
      <c r="W976" s="135" cm="1">
        <f ca="1" t="array" ref="W976">SUMPRODUCT(TRANSPOSE($AA976:$AG976),OFFSET($L$9:$L$15,0,W$631-1))</f>
        <v>16.8502200646615</v>
      </c>
      <c r="X976" s="135" cm="1">
        <f ca="1" t="array" ref="X976">SUMPRODUCT(TRANSPOSE($AA976:$AG976),OFFSET($L$9:$L$15,0,X$631-1))</f>
        <v>20</v>
      </c>
      <c r="Y976" s="135" cm="1">
        <f ca="1" t="array" ref="Y976">SUMPRODUCT(TRANSPOSE($AA976:$AG976),OFFSET($L$9:$L$15,0,Y$631-1))</f>
        <v>10</v>
      </c>
      <c r="Z976" s="135" cm="1">
        <f ca="1" t="array" ref="Z976">SUMPRODUCT(TRANSPOSE($AA976:$AG976),OFFSET($L$9:$L$15,0,Z$631-1))</f>
        <v>3.14977993533847</v>
      </c>
      <c r="AA976" s="136">
        <f ca="1" t="shared" ref="AA976:AG976" si="933">AH976-AH975</f>
        <v>0</v>
      </c>
      <c r="AB976" s="136">
        <f ca="1" t="shared" si="933"/>
        <v>0</v>
      </c>
      <c r="AC976" s="136">
        <f ca="1" t="shared" si="933"/>
        <v>0</v>
      </c>
      <c r="AD976" s="136">
        <f ca="1" t="shared" si="933"/>
        <v>0</v>
      </c>
      <c r="AE976" s="136">
        <f ca="1" t="shared" si="933"/>
        <v>0</v>
      </c>
      <c r="AF976" s="136">
        <f ca="1" t="shared" si="933"/>
        <v>0</v>
      </c>
      <c r="AG976" s="136">
        <f ca="1" t="shared" si="933"/>
        <v>100</v>
      </c>
      <c r="AH976" s="136">
        <f ca="1" t="shared" si="891"/>
        <v>450</v>
      </c>
      <c r="AI976" s="136">
        <f ca="1" t="shared" ref="AI976:AN976" si="934">IF($C976&gt;OFFSET($Q$8,MATCH(AI$634,$AH$634:$AN$634,0),0),OFFSET($P$8,MATCH(AI$634,$AH$634:$AN$634,0),0),MAX(0,$C976-OFFSET($Q$8,RIGHT(AI$634,1)-1,0)))</f>
        <v>909</v>
      </c>
      <c r="AJ976" s="136">
        <f ca="1" t="shared" si="934"/>
        <v>1818</v>
      </c>
      <c r="AK976" s="136">
        <f ca="1" t="shared" si="934"/>
        <v>2727</v>
      </c>
      <c r="AL976" s="136">
        <f ca="1" t="shared" si="934"/>
        <v>3636</v>
      </c>
      <c r="AM976" s="136">
        <f ca="1" t="shared" si="934"/>
        <v>4545</v>
      </c>
      <c r="AN976" s="136">
        <f ca="1" t="shared" si="934"/>
        <v>20115</v>
      </c>
    </row>
    <row r="977" s="106" customFormat="1" ht="16.5" spans="2:40">
      <c r="B977" s="117">
        <v>343</v>
      </c>
      <c r="C977" s="130">
        <f t="shared" si="889"/>
        <v>34300</v>
      </c>
      <c r="D977" s="131" cm="1">
        <f ca="1" t="array" ref="D977">IF(D1579=1,OFFSET($W$634,$B977,D$631-1)/SUMPRODUCT(--($D$631:$V$631=D$631),--($D1579:$V1579=1)),0)+SUM(D976)+IF(COUNTIF(D$1237:D1579,1)=1,5,0)+IF(COUNTIF(E977:$W977,"&gt;"&amp;0)&lt;5,IF(AND(COUNTIF(D$1237:D1579,1)&gt;7,MOD(1+IFERROR(MATCH($C977,总览!$D$46:$D$345,1)+1,1),7)=0),$C$3,0),0)</f>
        <v>2254.24534392378</v>
      </c>
      <c r="E977" s="131" cm="1">
        <f ca="1" t="array" ref="E977">IF(E1579=1,OFFSET($W$634,$B977,E$631-1)/SUMPRODUCT(--($D$631:$V$631=E$631),--($D1579:$V1579=1)),0)+SUM(E976)+IF(COUNTIF(E$1237:E1579,1)=1,5,0)+IF(COUNTIF(F977:$W977,"&gt;"&amp;0)&lt;5,IF(AND(COUNTIF(E$1237:E1579,1)&gt;7,MOD(1+IFERROR(MATCH($C977,总览!$D$46:$D$345,1)+1,1),7)=0),$C$3,0),0)</f>
        <v>2254.24534392378</v>
      </c>
      <c r="F977" s="131" cm="1">
        <f ca="1" t="array" ref="F977">IF(F1579=1,OFFSET($W$634,$B977,F$631-1)/SUMPRODUCT(--($D$631:$V$631=F$631),--($D1579:$V1579=1)),0)+SUM(F976)+IF(COUNTIF(F$1237:F1579,1)=1,5,0)+IF(COUNTIF(G977:$W977,"&gt;"&amp;0)&lt;5,IF(AND(COUNTIF(F$1237:F1579,1)&gt;7,MOD(1+IFERROR(MATCH($C977,总览!$D$46:$D$345,1)+1,1),7)=0),$C$3,0),0)</f>
        <v>2254.24534392378</v>
      </c>
      <c r="G977" s="131" cm="1">
        <f ca="1" t="array" ref="G977">IF(G1579=1,OFFSET($W$634,$B977,G$631-1)/SUMPRODUCT(--($D$631:$V$631=G$631),--($D1579:$V1579=1)),0)+SUM(G976)+IF(COUNTIF(G$1237:G1579,1)=1,5,0)+IF(COUNTIF(H977:$W977,"&gt;"&amp;0)&lt;5,IF(AND(COUNTIF(G$1237:G1579,1)&gt;7,MOD(1+IFERROR(MATCH($C977,总览!$D$46:$D$345,1)+1,1),7)=0),$C$3,0),0)</f>
        <v>1082.73333333334</v>
      </c>
      <c r="H977" s="131" cm="1">
        <f ca="1" t="array" ref="H977">IF(H1579=1,OFFSET($W$634,$B977,H$631-1)/SUMPRODUCT(--($D$631:$V$631=H$631),--($D1579:$V1579=1)),0)+SUM(H976)+IF(COUNTIF(H$1237:H1579,1)=1,5,0)+IF(COUNTIF(I977:$W977,"&gt;"&amp;0)&lt;5,IF(AND(COUNTIF(H$1237:H1579,1)&gt;7,MOD(1+IFERROR(MATCH($C977,总览!$D$46:$D$345,1)+1,1),7)=0),$C$3,0),0)</f>
        <v>1082.73333333334</v>
      </c>
      <c r="I977" s="131" cm="1">
        <f ca="1" t="array" ref="I977">IF(I1579=1,OFFSET($W$634,$B977,I$631-1)/SUMPRODUCT(--($D$631:$V$631=I$631),--($D1579:$V1579=1)),0)+SUM(I976)+IF(COUNTIF(I$1237:I1579,1)=1,5,0)+IF(COUNTIF(J977:$W977,"&gt;"&amp;0)&lt;5,IF(AND(COUNTIF(I$1237:I1579,1)&gt;7,MOD(1+IFERROR(MATCH($C977,总览!$D$46:$D$345,1)+1,1),7)=0),$C$3,0),0)</f>
        <v>1082.73333333334</v>
      </c>
      <c r="J977" s="131" cm="1">
        <f ca="1" t="array" ref="J977">IF(J1579=1,OFFSET($W$634,$B977,J$631-1)/SUMPRODUCT(--($D$631:$V$631=J$631),--($D1579:$V1579=1)),0)+SUM(J976)+IF(COUNTIF(J$1237:J1579,1)=1,5,0)+IF(COUNTIF(K977:$W977,"&gt;"&amp;0)&lt;5,IF(AND(COUNTIF(J$1237:J1579,1)&gt;7,MOD(1+IFERROR(MATCH($C977,总览!$D$46:$D$345,1)+1,1),7)=0),$C$3,0),0)</f>
        <v>1079.4</v>
      </c>
      <c r="K977" s="131" cm="1">
        <f ca="1" t="array" ref="K977">IF(K1579=1,OFFSET($W$634,$B977,K$631-1)/SUMPRODUCT(--($D$631:$V$631=K$631),--($D1579:$V1579=1)),0)+SUM(K976)+IF(COUNTIF(K$1237:K1579,1)=1,5,0)+IF(COUNTIF(L977:$W977,"&gt;"&amp;0)&lt;5,IF(AND(COUNTIF(K$1237:K1579,1)&gt;7,MOD(1+IFERROR(MATCH($C977,总览!$D$46:$D$345,1)+1,1),7)=0),$C$3,0),0)</f>
        <v>1076.9</v>
      </c>
      <c r="L977" s="131" cm="1">
        <f ca="1" t="array" ref="L977">IF(L1579=1,OFFSET($W$634,$B977,L$631-1)/SUMPRODUCT(--($D$631:$V$631=L$631),--($D1579:$V1579=1)),0)+SUM(L976)+IF(COUNTIF(L$1237:L1579,1)=1,5,0)+IF(COUNTIF(M977:$W977,"&gt;"&amp;0)&lt;5,IF(AND(COUNTIF(L$1237:L1579,1)&gt;7,MOD(1+IFERROR(MATCH($C977,总览!$D$46:$D$345,1)+1,1),7)=0),$C$3,0),0)</f>
        <v>1076.9</v>
      </c>
      <c r="M977" s="131" cm="1">
        <f ca="1" t="array" ref="M977">IF(M1579=1,OFFSET($W$634,$B977,M$631-1)/SUMPRODUCT(--($D$631:$V$631=M$631),--($D1579:$V1579=1)),0)+SUM(M976)+IF(COUNTIF(M$1237:M1579,1)=1,5,0)+IF(COUNTIF(N977:$W977,"&gt;"&amp;0)&lt;5,IF(AND(COUNTIF(M$1237:M1579,1)&gt;7,MOD(1+IFERROR(MATCH($C977,总览!$D$46:$D$345,1)+1,1),7)=0),$C$3,0),0)</f>
        <v>447.75267857143</v>
      </c>
      <c r="N977" s="131" cm="1">
        <f ca="1" t="array" ref="N977">IF(N1579=1,OFFSET($W$634,$B977,N$631-1)/SUMPRODUCT(--($D$631:$V$631=N$631),--($D1579:$V1579=1)),0)+SUM(N976)+IF(COUNTIF(N$1237:N1579,1)=1,5,0)+IF(COUNTIF(O977:$W977,"&gt;"&amp;0)&lt;5,IF(AND(COUNTIF(N$1237:N1579,1)&gt;7,MOD(1+IFERROR(MATCH($C977,总览!$D$46:$D$345,1)+1,1),7)=0),$C$3,0),0)</f>
        <v>449.00267857143</v>
      </c>
      <c r="O977" s="131" cm="1">
        <f ca="1" t="array" ref="O977">IF(O1579=1,OFFSET($W$634,$B977,O$631-1)/SUMPRODUCT(--($D$631:$V$631=O$631),--($D1579:$V1579=1)),0)+SUM(O976)+IF(COUNTIF(O$1237:O1579,1)=1,5,0)+IF(COUNTIF(P977:$W977,"&gt;"&amp;0)&lt;5,IF(AND(COUNTIF(O$1237:O1579,1)&gt;7,MOD(1+IFERROR(MATCH($C977,总览!$D$46:$D$345,1)+1,1),7)=0),$C$3,0),0)</f>
        <v>454.00267857143</v>
      </c>
      <c r="P977" s="131" cm="1">
        <f ca="1" t="array" ref="P977">IF(P1579=1,OFFSET($W$634,$B977,P$631-1)/SUMPRODUCT(--($D$631:$V$631=P$631),--($D1579:$V1579=1)),0)+SUM(P976)+IF(COUNTIF(P$1237:P1579,1)=1,5,0)+IF(COUNTIF(Q977:$W977,"&gt;"&amp;0)&lt;5,IF(AND(COUNTIF(P$1237:P1579,1)&gt;7,MOD(1+IFERROR(MATCH($C977,总览!$D$46:$D$345,1)+1,1),7)=0),$C$3,0),0)</f>
        <v>443.12142857143</v>
      </c>
      <c r="Q977" s="131" cm="1">
        <f ca="1" t="array" ref="Q977">IF(Q1579=1,OFFSET($W$634,$B977,Q$631-1)/SUMPRODUCT(--($D$631:$V$631=Q$631),--($D1579:$V1579=1)),0)+SUM(Q976)+IF(COUNTIF(Q$1237:Q1579,1)=1,5,0)+IF(COUNTIF(R977:$W977,"&gt;"&amp;0)&lt;5,IF(AND(COUNTIF(Q$1237:Q1579,1)&gt;7,MOD(1+IFERROR(MATCH($C977,总览!$D$46:$D$345,1)+1,1),7)=0),$C$3,0),0)</f>
        <v>456.50267857143</v>
      </c>
      <c r="R977" s="131" cm="1">
        <f ca="1" t="array" ref="R977">IF(R1579=1,OFFSET($W$634,$B977,R$631-1)/SUMPRODUCT(--($D$631:$V$631=R$631),--($D1579:$V1579=1)),0)+SUM(R976)+IF(COUNTIF(R$1237:R1579,1)=1,5,0)+IF(COUNTIF(S977:$W977,"&gt;"&amp;0)&lt;5,IF(AND(COUNTIF(R$1237:R1579,1)&gt;7,MOD(1+IFERROR(MATCH($C977,总览!$D$46:$D$345,1)+1,1),7)=0),$C$3,0),0)</f>
        <v>448.12142857143</v>
      </c>
      <c r="S977" s="131" cm="1">
        <f ca="1" t="array" ref="S977">IF(S1579=1,OFFSET($W$634,$B977,S$631-1)/SUMPRODUCT(--($D$631:$V$631=S$631),--($D1579:$V1579=1)),0)+SUM(S976)+IF(COUNTIF(S$1237:S1579,1)=1,5,0)+IF(COUNTIF(T977:$W977,"&gt;"&amp;0)&lt;5,IF(AND(COUNTIF(S$1237:S1579,1)&gt;7,MOD(1+IFERROR(MATCH($C977,总览!$D$46:$D$345,1)+1,1),7)=0),$C$3,0),0)</f>
        <v>540.621428571431</v>
      </c>
      <c r="T977" s="131" cm="1">
        <f ca="1" t="array" ref="T977">IF(T1579=1,OFFSET($W$634,$B977,T$631-1)/SUMPRODUCT(--($D$631:$V$631=T$631),--($D1579:$V1579=1)),0)+SUM(T976)+IF(COUNTIF(T$1237:T1579,1)=1,5,0)+IF(COUNTIF(U977:$W977,"&gt;"&amp;0)&lt;5,IF(AND(COUNTIF(T$1237:T1579,1)&gt;7,MOD(1+IFERROR(MATCH($C977,总览!$D$46:$D$345,1)+1,1),7)=0),$C$3,0),0)</f>
        <v>395.290131935215</v>
      </c>
      <c r="U977" s="131" cm="1">
        <f ca="1" t="array" ref="U977">IF(U1579=1,OFFSET($W$634,$B977,U$631-1)/SUMPRODUCT(--($D$631:$V$631=U$631),--($D1579:$V1579=1)),0)+SUM(U976)+IF(COUNTIF(U$1237:U1579,1)=1,5,0)+IF(COUNTIF(V977:$W977,"&gt;"&amp;0)&lt;5,IF(AND(COUNTIF(U$1237:U1579,1)&gt;7,MOD(1+IFERROR(MATCH($C977,总览!$D$46:$D$345,1)+1,1),7)=0),$C$3,0),0)</f>
        <v>400.810918290515</v>
      </c>
      <c r="V977" s="131" cm="1">
        <f ca="1" t="array" ref="V977">IF(V1579=1,OFFSET($W$634,$B977,V$631-1)/SUMPRODUCT(--($D$631:$V$631=V$631),--($D1579:$V1579=1)),0)+SUM(V976)+IF(COUNTIF(V$1237:V1579,1)=1,5,0)+IF(COUNTIF(W977:$W977,"&gt;"&amp;0)&lt;5,IF(AND(COUNTIF(V$1237:V1579,1)&gt;7,MOD(1+IFERROR(MATCH($C977,总览!$D$46:$D$345,1)+1,1),7)=0),$C$3,0),0)</f>
        <v>420.637918002948</v>
      </c>
      <c r="W977" s="135" cm="1">
        <f ca="1" t="array" ref="W977">SUMPRODUCT(TRANSPOSE($AA977:$AG977),OFFSET($L$9:$L$15,0,W$631-1))</f>
        <v>16.8502200646615</v>
      </c>
      <c r="X977" s="135" cm="1">
        <f ca="1" t="array" ref="X977">SUMPRODUCT(TRANSPOSE($AA977:$AG977),OFFSET($L$9:$L$15,0,X$631-1))</f>
        <v>20</v>
      </c>
      <c r="Y977" s="135" cm="1">
        <f ca="1" t="array" ref="Y977">SUMPRODUCT(TRANSPOSE($AA977:$AG977),OFFSET($L$9:$L$15,0,Y$631-1))</f>
        <v>10</v>
      </c>
      <c r="Z977" s="135" cm="1">
        <f ca="1" t="array" ref="Z977">SUMPRODUCT(TRANSPOSE($AA977:$AG977),OFFSET($L$9:$L$15,0,Z$631-1))</f>
        <v>3.14977993533847</v>
      </c>
      <c r="AA977" s="136">
        <f ca="1" t="shared" ref="AA977:AG977" si="935">AH977-AH976</f>
        <v>0</v>
      </c>
      <c r="AB977" s="136">
        <f ca="1" t="shared" si="935"/>
        <v>0</v>
      </c>
      <c r="AC977" s="136">
        <f ca="1" t="shared" si="935"/>
        <v>0</v>
      </c>
      <c r="AD977" s="136">
        <f ca="1" t="shared" si="935"/>
        <v>0</v>
      </c>
      <c r="AE977" s="136">
        <f ca="1" t="shared" si="935"/>
        <v>0</v>
      </c>
      <c r="AF977" s="136">
        <f ca="1" t="shared" si="935"/>
        <v>0</v>
      </c>
      <c r="AG977" s="136">
        <f ca="1" t="shared" si="935"/>
        <v>100</v>
      </c>
      <c r="AH977" s="136">
        <f ca="1" t="shared" si="891"/>
        <v>450</v>
      </c>
      <c r="AI977" s="136">
        <f ca="1" t="shared" ref="AI977:AN977" si="936">IF($C977&gt;OFFSET($Q$8,MATCH(AI$634,$AH$634:$AN$634,0),0),OFFSET($P$8,MATCH(AI$634,$AH$634:$AN$634,0),0),MAX(0,$C977-OFFSET($Q$8,RIGHT(AI$634,1)-1,0)))</f>
        <v>909</v>
      </c>
      <c r="AJ977" s="136">
        <f ca="1" t="shared" si="936"/>
        <v>1818</v>
      </c>
      <c r="AK977" s="136">
        <f ca="1" t="shared" si="936"/>
        <v>2727</v>
      </c>
      <c r="AL977" s="136">
        <f ca="1" t="shared" si="936"/>
        <v>3636</v>
      </c>
      <c r="AM977" s="136">
        <f ca="1" t="shared" si="936"/>
        <v>4545</v>
      </c>
      <c r="AN977" s="136">
        <f ca="1" t="shared" si="936"/>
        <v>20215</v>
      </c>
    </row>
    <row r="978" s="106" customFormat="1" ht="16.5" spans="2:40">
      <c r="B978" s="117">
        <v>344</v>
      </c>
      <c r="C978" s="130">
        <f t="shared" si="889"/>
        <v>34400</v>
      </c>
      <c r="D978" s="131" cm="1">
        <f ca="1" t="array" ref="D978">IF(D1580=1,OFFSET($W$634,$B978,D$631-1)/SUMPRODUCT(--($D$631:$V$631=D$631),--($D1580:$V1580=1)),0)+SUM(D977)+IF(COUNTIF(D$1237:D1580,1)=1,5,0)+IF(COUNTIF(E978:$W978,"&gt;"&amp;0)&lt;5,IF(AND(COUNTIF(D$1237:D1580,1)&gt;7,MOD(1+IFERROR(MATCH($C978,总览!$D$46:$D$345,1)+1,1),7)=0),$C$3,0),0)</f>
        <v>2259.86208394533</v>
      </c>
      <c r="E978" s="131" cm="1">
        <f ca="1" t="array" ref="E978">IF(E1580=1,OFFSET($W$634,$B978,E$631-1)/SUMPRODUCT(--($D$631:$V$631=E$631),--($D1580:$V1580=1)),0)+SUM(E977)+IF(COUNTIF(E$1237:E1580,1)=1,5,0)+IF(COUNTIF(F978:$W978,"&gt;"&amp;0)&lt;5,IF(AND(COUNTIF(E$1237:E1580,1)&gt;7,MOD(1+IFERROR(MATCH($C978,总览!$D$46:$D$345,1)+1,1),7)=0),$C$3,0),0)</f>
        <v>2259.86208394533</v>
      </c>
      <c r="F978" s="131" cm="1">
        <f ca="1" t="array" ref="F978">IF(F1580=1,OFFSET($W$634,$B978,F$631-1)/SUMPRODUCT(--($D$631:$V$631=F$631),--($D1580:$V1580=1)),0)+SUM(F977)+IF(COUNTIF(F$1237:F1580,1)=1,5,0)+IF(COUNTIF(G978:$W978,"&gt;"&amp;0)&lt;5,IF(AND(COUNTIF(F$1237:F1580,1)&gt;7,MOD(1+IFERROR(MATCH($C978,总览!$D$46:$D$345,1)+1,1),7)=0),$C$3,0),0)</f>
        <v>2259.86208394533</v>
      </c>
      <c r="G978" s="131" cm="1">
        <f ca="1" t="array" ref="G978">IF(G1580=1,OFFSET($W$634,$B978,G$631-1)/SUMPRODUCT(--($D$631:$V$631=G$631),--($D1580:$V1580=1)),0)+SUM(G977)+IF(COUNTIF(G$1237:G1580,1)=1,5,0)+IF(COUNTIF(H978:$W978,"&gt;"&amp;0)&lt;5,IF(AND(COUNTIF(G$1237:G1580,1)&gt;7,MOD(1+IFERROR(MATCH($C978,总览!$D$46:$D$345,1)+1,1),7)=0),$C$3,0),0)</f>
        <v>1086.06666666667</v>
      </c>
      <c r="H978" s="131" cm="1">
        <f ca="1" t="array" ref="H978">IF(H1580=1,OFFSET($W$634,$B978,H$631-1)/SUMPRODUCT(--($D$631:$V$631=H$631),--($D1580:$V1580=1)),0)+SUM(H977)+IF(COUNTIF(H$1237:H1580,1)=1,5,0)+IF(COUNTIF(I978:$W978,"&gt;"&amp;0)&lt;5,IF(AND(COUNTIF(H$1237:H1580,1)&gt;7,MOD(1+IFERROR(MATCH($C978,总览!$D$46:$D$345,1)+1,1),7)=0),$C$3,0),0)</f>
        <v>1086.06666666667</v>
      </c>
      <c r="I978" s="131" cm="1">
        <f ca="1" t="array" ref="I978">IF(I1580=1,OFFSET($W$634,$B978,I$631-1)/SUMPRODUCT(--($D$631:$V$631=I$631),--($D1580:$V1580=1)),0)+SUM(I977)+IF(COUNTIF(I$1237:I1580,1)=1,5,0)+IF(COUNTIF(J978:$W978,"&gt;"&amp;0)&lt;5,IF(AND(COUNTIF(I$1237:I1580,1)&gt;7,MOD(1+IFERROR(MATCH($C978,总览!$D$46:$D$345,1)+1,1),7)=0),$C$3,0),0)</f>
        <v>1086.06666666667</v>
      </c>
      <c r="J978" s="131" cm="1">
        <f ca="1" t="array" ref="J978">IF(J1580=1,OFFSET($W$634,$B978,J$631-1)/SUMPRODUCT(--($D$631:$V$631=J$631),--($D1580:$V1580=1)),0)+SUM(J977)+IF(COUNTIF(J$1237:J1580,1)=1,5,0)+IF(COUNTIF(K978:$W978,"&gt;"&amp;0)&lt;5,IF(AND(COUNTIF(J$1237:J1580,1)&gt;7,MOD(1+IFERROR(MATCH($C978,总览!$D$46:$D$345,1)+1,1),7)=0),$C$3,0),0)</f>
        <v>1082.73333333334</v>
      </c>
      <c r="K978" s="131" cm="1">
        <f ca="1" t="array" ref="K978">IF(K1580=1,OFFSET($W$634,$B978,K$631-1)/SUMPRODUCT(--($D$631:$V$631=K$631),--($D1580:$V1580=1)),0)+SUM(K977)+IF(COUNTIF(K$1237:K1580,1)=1,5,0)+IF(COUNTIF(L978:$W978,"&gt;"&amp;0)&lt;5,IF(AND(COUNTIF(K$1237:K1580,1)&gt;7,MOD(1+IFERROR(MATCH($C978,总览!$D$46:$D$345,1)+1,1),7)=0),$C$3,0),0)</f>
        <v>1080.23333333334</v>
      </c>
      <c r="L978" s="131" cm="1">
        <f ca="1" t="array" ref="L978">IF(L1580=1,OFFSET($W$634,$B978,L$631-1)/SUMPRODUCT(--($D$631:$V$631=L$631),--($D1580:$V1580=1)),0)+SUM(L977)+IF(COUNTIF(L$1237:L1580,1)=1,5,0)+IF(COUNTIF(M978:$W978,"&gt;"&amp;0)&lt;5,IF(AND(COUNTIF(L$1237:L1580,1)&gt;7,MOD(1+IFERROR(MATCH($C978,总览!$D$46:$D$345,1)+1,1),7)=0),$C$3,0),0)</f>
        <v>1080.23333333334</v>
      </c>
      <c r="M978" s="131" cm="1">
        <f ca="1" t="array" ref="M978">IF(M1580=1,OFFSET($W$634,$B978,M$631-1)/SUMPRODUCT(--($D$631:$V$631=M$631),--($D1580:$V1580=1)),0)+SUM(M977)+IF(COUNTIF(M$1237:M1580,1)=1,5,0)+IF(COUNTIF(N978:$W978,"&gt;"&amp;0)&lt;5,IF(AND(COUNTIF(M$1237:M1580,1)&gt;7,MOD(1+IFERROR(MATCH($C978,总览!$D$46:$D$345,1)+1,1),7)=0),$C$3,0),0)</f>
        <v>449.181250000001</v>
      </c>
      <c r="N978" s="131" cm="1">
        <f ca="1" t="array" ref="N978">IF(N1580=1,OFFSET($W$634,$B978,N$631-1)/SUMPRODUCT(--($D$631:$V$631=N$631),--($D1580:$V1580=1)),0)+SUM(N977)+IF(COUNTIF(N$1237:N1580,1)=1,5,0)+IF(COUNTIF(O978:$W978,"&gt;"&amp;0)&lt;5,IF(AND(COUNTIF(N$1237:N1580,1)&gt;7,MOD(1+IFERROR(MATCH($C978,总览!$D$46:$D$345,1)+1,1),7)=0),$C$3,0),0)</f>
        <v>450.431250000001</v>
      </c>
      <c r="O978" s="131" cm="1">
        <f ca="1" t="array" ref="O978">IF(O1580=1,OFFSET($W$634,$B978,O$631-1)/SUMPRODUCT(--($D$631:$V$631=O$631),--($D1580:$V1580=1)),0)+SUM(O977)+IF(COUNTIF(O$1237:O1580,1)=1,5,0)+IF(COUNTIF(P978:$W978,"&gt;"&amp;0)&lt;5,IF(AND(COUNTIF(O$1237:O1580,1)&gt;7,MOD(1+IFERROR(MATCH($C978,总览!$D$46:$D$345,1)+1,1),7)=0),$C$3,0),0)</f>
        <v>455.431250000001</v>
      </c>
      <c r="P978" s="131" cm="1">
        <f ca="1" t="array" ref="P978">IF(P1580=1,OFFSET($W$634,$B978,P$631-1)/SUMPRODUCT(--($D$631:$V$631=P$631),--($D1580:$V1580=1)),0)+SUM(P977)+IF(COUNTIF(P$1237:P1580,1)=1,5,0)+IF(COUNTIF(Q978:$W978,"&gt;"&amp;0)&lt;5,IF(AND(COUNTIF(P$1237:P1580,1)&gt;7,MOD(1+IFERROR(MATCH($C978,总览!$D$46:$D$345,1)+1,1),7)=0),$C$3,0),0)</f>
        <v>444.550000000001</v>
      </c>
      <c r="Q978" s="131" cm="1">
        <f ca="1" t="array" ref="Q978">IF(Q1580=1,OFFSET($W$634,$B978,Q$631-1)/SUMPRODUCT(--($D$631:$V$631=Q$631),--($D1580:$V1580=1)),0)+SUM(Q977)+IF(COUNTIF(Q$1237:Q1580,1)=1,5,0)+IF(COUNTIF(R978:$W978,"&gt;"&amp;0)&lt;5,IF(AND(COUNTIF(Q$1237:Q1580,1)&gt;7,MOD(1+IFERROR(MATCH($C978,总览!$D$46:$D$345,1)+1,1),7)=0),$C$3,0),0)</f>
        <v>457.931250000001</v>
      </c>
      <c r="R978" s="131" cm="1">
        <f ca="1" t="array" ref="R978">IF(R1580=1,OFFSET($W$634,$B978,R$631-1)/SUMPRODUCT(--($D$631:$V$631=R$631),--($D1580:$V1580=1)),0)+SUM(R977)+IF(COUNTIF(R$1237:R1580,1)=1,5,0)+IF(COUNTIF(S978:$W978,"&gt;"&amp;0)&lt;5,IF(AND(COUNTIF(R$1237:R1580,1)&gt;7,MOD(1+IFERROR(MATCH($C978,总览!$D$46:$D$345,1)+1,1),7)=0),$C$3,0),0)</f>
        <v>449.550000000001</v>
      </c>
      <c r="S978" s="131" cm="1">
        <f ca="1" t="array" ref="S978">IF(S1580=1,OFFSET($W$634,$B978,S$631-1)/SUMPRODUCT(--($D$631:$V$631=S$631),--($D1580:$V1580=1)),0)+SUM(S977)+IF(COUNTIF(S$1237:S1580,1)=1,5,0)+IF(COUNTIF(T978:$W978,"&gt;"&amp;0)&lt;5,IF(AND(COUNTIF(S$1237:S1580,1)&gt;7,MOD(1+IFERROR(MATCH($C978,总览!$D$46:$D$345,1)+1,1),7)=0),$C$3,0),0)</f>
        <v>542.050000000002</v>
      </c>
      <c r="T978" s="131" cm="1">
        <f ca="1" t="array" ref="T978">IF(T1580=1,OFFSET($W$634,$B978,T$631-1)/SUMPRODUCT(--($D$631:$V$631=T$631),--($D1580:$V1580=1)),0)+SUM(T977)+IF(COUNTIF(T$1237:T1580,1)=1,5,0)+IF(COUNTIF(U978:$W978,"&gt;"&amp;0)&lt;5,IF(AND(COUNTIF(T$1237:T1580,1)&gt;7,MOD(1+IFERROR(MATCH($C978,总览!$D$46:$D$345,1)+1,1),7)=0),$C$3,0),0)</f>
        <v>396.340058580328</v>
      </c>
      <c r="U978" s="131" cm="1">
        <f ca="1" t="array" ref="U978">IF(U1580=1,OFFSET($W$634,$B978,U$631-1)/SUMPRODUCT(--($D$631:$V$631=U$631),--($D1580:$V1580=1)),0)+SUM(U977)+IF(COUNTIF(U$1237:U1580,1)=1,5,0)+IF(COUNTIF(V978:$W978,"&gt;"&amp;0)&lt;5,IF(AND(COUNTIF(U$1237:U1580,1)&gt;7,MOD(1+IFERROR(MATCH($C978,总览!$D$46:$D$345,1)+1,1),7)=0),$C$3,0),0)</f>
        <v>401.860844935627</v>
      </c>
      <c r="V978" s="131" cm="1">
        <f ca="1" t="array" ref="V978">IF(V1580=1,OFFSET($W$634,$B978,V$631-1)/SUMPRODUCT(--($D$631:$V$631=V$631),--($D1580:$V1580=1)),0)+SUM(V977)+IF(COUNTIF(V$1237:V1580,1)=1,5,0)+IF(COUNTIF(W978:$W978,"&gt;"&amp;0)&lt;5,IF(AND(COUNTIF(V$1237:V1580,1)&gt;7,MOD(1+IFERROR(MATCH($C978,总览!$D$46:$D$345,1)+1,1),7)=0),$C$3,0),0)</f>
        <v>421.68784464806</v>
      </c>
      <c r="W978" s="135" cm="1">
        <f ca="1" t="array" ref="W978">SUMPRODUCT(TRANSPOSE($AA978:$AG978),OFFSET($L$9:$L$15,0,W$631-1))</f>
        <v>16.8502200646615</v>
      </c>
      <c r="X978" s="135" cm="1">
        <f ca="1" t="array" ref="X978">SUMPRODUCT(TRANSPOSE($AA978:$AG978),OFFSET($L$9:$L$15,0,X$631-1))</f>
        <v>20</v>
      </c>
      <c r="Y978" s="135" cm="1">
        <f ca="1" t="array" ref="Y978">SUMPRODUCT(TRANSPOSE($AA978:$AG978),OFFSET($L$9:$L$15,0,Y$631-1))</f>
        <v>10</v>
      </c>
      <c r="Z978" s="135" cm="1">
        <f ca="1" t="array" ref="Z978">SUMPRODUCT(TRANSPOSE($AA978:$AG978),OFFSET($L$9:$L$15,0,Z$631-1))</f>
        <v>3.14977993533847</v>
      </c>
      <c r="AA978" s="136">
        <f ca="1" t="shared" ref="AA978:AG978" si="937">AH978-AH977</f>
        <v>0</v>
      </c>
      <c r="AB978" s="136">
        <f ca="1" t="shared" si="937"/>
        <v>0</v>
      </c>
      <c r="AC978" s="136">
        <f ca="1" t="shared" si="937"/>
        <v>0</v>
      </c>
      <c r="AD978" s="136">
        <f ca="1" t="shared" si="937"/>
        <v>0</v>
      </c>
      <c r="AE978" s="136">
        <f ca="1" t="shared" si="937"/>
        <v>0</v>
      </c>
      <c r="AF978" s="136">
        <f ca="1" t="shared" si="937"/>
        <v>0</v>
      </c>
      <c r="AG978" s="136">
        <f ca="1" t="shared" si="937"/>
        <v>100</v>
      </c>
      <c r="AH978" s="136">
        <f ca="1" t="shared" si="891"/>
        <v>450</v>
      </c>
      <c r="AI978" s="136">
        <f ca="1" t="shared" ref="AI978:AN978" si="938">IF($C978&gt;OFFSET($Q$8,MATCH(AI$634,$AH$634:$AN$634,0),0),OFFSET($P$8,MATCH(AI$634,$AH$634:$AN$634,0),0),MAX(0,$C978-OFFSET($Q$8,RIGHT(AI$634,1)-1,0)))</f>
        <v>909</v>
      </c>
      <c r="AJ978" s="136">
        <f ca="1" t="shared" si="938"/>
        <v>1818</v>
      </c>
      <c r="AK978" s="136">
        <f ca="1" t="shared" si="938"/>
        <v>2727</v>
      </c>
      <c r="AL978" s="136">
        <f ca="1" t="shared" si="938"/>
        <v>3636</v>
      </c>
      <c r="AM978" s="136">
        <f ca="1" t="shared" si="938"/>
        <v>4545</v>
      </c>
      <c r="AN978" s="136">
        <f ca="1" t="shared" si="938"/>
        <v>20315</v>
      </c>
    </row>
    <row r="979" s="106" customFormat="1" ht="16.5" spans="2:40">
      <c r="B979" s="117">
        <v>345</v>
      </c>
      <c r="C979" s="130">
        <f t="shared" si="889"/>
        <v>34500</v>
      </c>
      <c r="D979" s="131" cm="1">
        <f ca="1" t="array" ref="D979">IF(D1581=1,OFFSET($W$634,$B979,D$631-1)/SUMPRODUCT(--($D$631:$V$631=D$631),--($D1581:$V1581=1)),0)+SUM(D978)+IF(COUNTIF(D$1237:D1581,1)=1,5,0)+IF(COUNTIF(E979:$W979,"&gt;"&amp;0)&lt;5,IF(AND(COUNTIF(D$1237:D1581,1)&gt;7,MOD(1+IFERROR(MATCH($C979,总览!$D$46:$D$345,1)+1,1),7)=0),$C$3,0),0)</f>
        <v>2265.47882396688</v>
      </c>
      <c r="E979" s="131" cm="1">
        <f ca="1" t="array" ref="E979">IF(E1581=1,OFFSET($W$634,$B979,E$631-1)/SUMPRODUCT(--($D$631:$V$631=E$631),--($D1581:$V1581=1)),0)+SUM(E978)+IF(COUNTIF(E$1237:E1581,1)=1,5,0)+IF(COUNTIF(F979:$W979,"&gt;"&amp;0)&lt;5,IF(AND(COUNTIF(E$1237:E1581,1)&gt;7,MOD(1+IFERROR(MATCH($C979,总览!$D$46:$D$345,1)+1,1),7)=0),$C$3,0),0)</f>
        <v>2265.47882396688</v>
      </c>
      <c r="F979" s="131" cm="1">
        <f ca="1" t="array" ref="F979">IF(F1581=1,OFFSET($W$634,$B979,F$631-1)/SUMPRODUCT(--($D$631:$V$631=F$631),--($D1581:$V1581=1)),0)+SUM(F978)+IF(COUNTIF(F$1237:F1581,1)=1,5,0)+IF(COUNTIF(G979:$W979,"&gt;"&amp;0)&lt;5,IF(AND(COUNTIF(F$1237:F1581,1)&gt;7,MOD(1+IFERROR(MATCH($C979,总览!$D$46:$D$345,1)+1,1),7)=0),$C$3,0),0)</f>
        <v>2265.47882396688</v>
      </c>
      <c r="G979" s="131" cm="1">
        <f ca="1" t="array" ref="G979">IF(G1581=1,OFFSET($W$634,$B979,G$631-1)/SUMPRODUCT(--($D$631:$V$631=G$631),--($D1581:$V1581=1)),0)+SUM(G978)+IF(COUNTIF(G$1237:G1581,1)=1,5,0)+IF(COUNTIF(H979:$W979,"&gt;"&amp;0)&lt;5,IF(AND(COUNTIF(G$1237:G1581,1)&gt;7,MOD(1+IFERROR(MATCH($C979,总览!$D$46:$D$345,1)+1,1),7)=0),$C$3,0),0)</f>
        <v>1089.4</v>
      </c>
      <c r="H979" s="131" cm="1">
        <f ca="1" t="array" ref="H979">IF(H1581=1,OFFSET($W$634,$B979,H$631-1)/SUMPRODUCT(--($D$631:$V$631=H$631),--($D1581:$V1581=1)),0)+SUM(H978)+IF(COUNTIF(H$1237:H1581,1)=1,5,0)+IF(COUNTIF(I979:$W979,"&gt;"&amp;0)&lt;5,IF(AND(COUNTIF(H$1237:H1581,1)&gt;7,MOD(1+IFERROR(MATCH($C979,总览!$D$46:$D$345,1)+1,1),7)=0),$C$3,0),0)</f>
        <v>1089.4</v>
      </c>
      <c r="I979" s="131" cm="1">
        <f ca="1" t="array" ref="I979">IF(I1581=1,OFFSET($W$634,$B979,I$631-1)/SUMPRODUCT(--($D$631:$V$631=I$631),--($D1581:$V1581=1)),0)+SUM(I978)+IF(COUNTIF(I$1237:I1581,1)=1,5,0)+IF(COUNTIF(J979:$W979,"&gt;"&amp;0)&lt;5,IF(AND(COUNTIF(I$1237:I1581,1)&gt;7,MOD(1+IFERROR(MATCH($C979,总览!$D$46:$D$345,1)+1,1),7)=0),$C$3,0),0)</f>
        <v>1089.4</v>
      </c>
      <c r="J979" s="131" cm="1">
        <f ca="1" t="array" ref="J979">IF(J1581=1,OFFSET($W$634,$B979,J$631-1)/SUMPRODUCT(--($D$631:$V$631=J$631),--($D1581:$V1581=1)),0)+SUM(J978)+IF(COUNTIF(J$1237:J1581,1)=1,5,0)+IF(COUNTIF(K979:$W979,"&gt;"&amp;0)&lt;5,IF(AND(COUNTIF(J$1237:J1581,1)&gt;7,MOD(1+IFERROR(MATCH($C979,总览!$D$46:$D$345,1)+1,1),7)=0),$C$3,0),0)</f>
        <v>1086.06666666667</v>
      </c>
      <c r="K979" s="131" cm="1">
        <f ca="1" t="array" ref="K979">IF(K1581=1,OFFSET($W$634,$B979,K$631-1)/SUMPRODUCT(--($D$631:$V$631=K$631),--($D1581:$V1581=1)),0)+SUM(K978)+IF(COUNTIF(K$1237:K1581,1)=1,5,0)+IF(COUNTIF(L979:$W979,"&gt;"&amp;0)&lt;5,IF(AND(COUNTIF(K$1237:K1581,1)&gt;7,MOD(1+IFERROR(MATCH($C979,总览!$D$46:$D$345,1)+1,1),7)=0),$C$3,0),0)</f>
        <v>1083.56666666667</v>
      </c>
      <c r="L979" s="131" cm="1">
        <f ca="1" t="array" ref="L979">IF(L1581=1,OFFSET($W$634,$B979,L$631-1)/SUMPRODUCT(--($D$631:$V$631=L$631),--($D1581:$V1581=1)),0)+SUM(L978)+IF(COUNTIF(L$1237:L1581,1)=1,5,0)+IF(COUNTIF(M979:$W979,"&gt;"&amp;0)&lt;5,IF(AND(COUNTIF(L$1237:L1581,1)&gt;7,MOD(1+IFERROR(MATCH($C979,总览!$D$46:$D$345,1)+1,1),7)=0),$C$3,0),0)</f>
        <v>1083.56666666667</v>
      </c>
      <c r="M979" s="131" cm="1">
        <f ca="1" t="array" ref="M979">IF(M1581=1,OFFSET($W$634,$B979,M$631-1)/SUMPRODUCT(--($D$631:$V$631=M$631),--($D1581:$V1581=1)),0)+SUM(M978)+IF(COUNTIF(M$1237:M1581,1)=1,5,0)+IF(COUNTIF(N979:$W979,"&gt;"&amp;0)&lt;5,IF(AND(COUNTIF(M$1237:M1581,1)&gt;7,MOD(1+IFERROR(MATCH($C979,总览!$D$46:$D$345,1)+1,1),7)=0),$C$3,0),0)</f>
        <v>450.609821428573</v>
      </c>
      <c r="N979" s="131" cm="1">
        <f ca="1" t="array" ref="N979">IF(N1581=1,OFFSET($W$634,$B979,N$631-1)/SUMPRODUCT(--($D$631:$V$631=N$631),--($D1581:$V1581=1)),0)+SUM(N978)+IF(COUNTIF(N$1237:N1581,1)=1,5,0)+IF(COUNTIF(O979:$W979,"&gt;"&amp;0)&lt;5,IF(AND(COUNTIF(N$1237:N1581,1)&gt;7,MOD(1+IFERROR(MATCH($C979,总览!$D$46:$D$345,1)+1,1),7)=0),$C$3,0),0)</f>
        <v>451.859821428573</v>
      </c>
      <c r="O979" s="131" cm="1">
        <f ca="1" t="array" ref="O979">IF(O1581=1,OFFSET($W$634,$B979,O$631-1)/SUMPRODUCT(--($D$631:$V$631=O$631),--($D1581:$V1581=1)),0)+SUM(O978)+IF(COUNTIF(O$1237:O1581,1)=1,5,0)+IF(COUNTIF(P979:$W979,"&gt;"&amp;0)&lt;5,IF(AND(COUNTIF(O$1237:O1581,1)&gt;7,MOD(1+IFERROR(MATCH($C979,总览!$D$46:$D$345,1)+1,1),7)=0),$C$3,0),0)</f>
        <v>456.859821428572</v>
      </c>
      <c r="P979" s="131" cm="1">
        <f ca="1" t="array" ref="P979">IF(P1581=1,OFFSET($W$634,$B979,P$631-1)/SUMPRODUCT(--($D$631:$V$631=P$631),--($D1581:$V1581=1)),0)+SUM(P978)+IF(COUNTIF(P$1237:P1581,1)=1,5,0)+IF(COUNTIF(Q979:$W979,"&gt;"&amp;0)&lt;5,IF(AND(COUNTIF(P$1237:P1581,1)&gt;7,MOD(1+IFERROR(MATCH($C979,总览!$D$46:$D$345,1)+1,1),7)=0),$C$3,0),0)</f>
        <v>445.978571428572</v>
      </c>
      <c r="Q979" s="131" cm="1">
        <f ca="1" t="array" ref="Q979">IF(Q1581=1,OFFSET($W$634,$B979,Q$631-1)/SUMPRODUCT(--($D$631:$V$631=Q$631),--($D1581:$V1581=1)),0)+SUM(Q978)+IF(COUNTIF(Q$1237:Q1581,1)=1,5,0)+IF(COUNTIF(R979:$W979,"&gt;"&amp;0)&lt;5,IF(AND(COUNTIF(Q$1237:Q1581,1)&gt;7,MOD(1+IFERROR(MATCH($C979,总览!$D$46:$D$345,1)+1,1),7)=0),$C$3,0),0)</f>
        <v>459.359821428573</v>
      </c>
      <c r="R979" s="131" cm="1">
        <f ca="1" t="array" ref="R979">IF(R1581=1,OFFSET($W$634,$B979,R$631-1)/SUMPRODUCT(--($D$631:$V$631=R$631),--($D1581:$V1581=1)),0)+SUM(R978)+IF(COUNTIF(R$1237:R1581,1)=1,5,0)+IF(COUNTIF(S979:$W979,"&gt;"&amp;0)&lt;5,IF(AND(COUNTIF(R$1237:R1581,1)&gt;7,MOD(1+IFERROR(MATCH($C979,总览!$D$46:$D$345,1)+1,1),7)=0),$C$3,0),0)</f>
        <v>450.978571428572</v>
      </c>
      <c r="S979" s="131" cm="1">
        <f ca="1" t="array" ref="S979">IF(S1581=1,OFFSET($W$634,$B979,S$631-1)/SUMPRODUCT(--($D$631:$V$631=S$631),--($D1581:$V1581=1)),0)+SUM(S978)+IF(COUNTIF(S$1237:S1581,1)=1,5,0)+IF(COUNTIF(T979:$W979,"&gt;"&amp;0)&lt;5,IF(AND(COUNTIF(S$1237:S1581,1)&gt;7,MOD(1+IFERROR(MATCH($C979,总览!$D$46:$D$345,1)+1,1),7)=0),$C$3,0),0)</f>
        <v>543.478571428574</v>
      </c>
      <c r="T979" s="131" cm="1">
        <f ca="1" t="array" ref="T979">IF(T1581=1,OFFSET($W$634,$B979,T$631-1)/SUMPRODUCT(--($D$631:$V$631=T$631),--($D1581:$V1581=1)),0)+SUM(T978)+IF(COUNTIF(T$1237:T1581,1)=1,5,0)+IF(COUNTIF(U979:$W979,"&gt;"&amp;0)&lt;5,IF(AND(COUNTIF(T$1237:T1581,1)&gt;7,MOD(1+IFERROR(MATCH($C979,总览!$D$46:$D$345,1)+1,1),7)=0),$C$3,0),0)</f>
        <v>397.389985225441</v>
      </c>
      <c r="U979" s="131" cm="1">
        <f ca="1" t="array" ref="U979">IF(U1581=1,OFFSET($W$634,$B979,U$631-1)/SUMPRODUCT(--($D$631:$V$631=U$631),--($D1581:$V1581=1)),0)+SUM(U978)+IF(COUNTIF(U$1237:U1581,1)=1,5,0)+IF(COUNTIF(V979:$W979,"&gt;"&amp;0)&lt;5,IF(AND(COUNTIF(U$1237:U1581,1)&gt;7,MOD(1+IFERROR(MATCH($C979,总览!$D$46:$D$345,1)+1,1),7)=0),$C$3,0),0)</f>
        <v>402.91077158074</v>
      </c>
      <c r="V979" s="131" cm="1">
        <f ca="1" t="array" ref="V979">IF(V1581=1,OFFSET($W$634,$B979,V$631-1)/SUMPRODUCT(--($D$631:$V$631=V$631),--($D1581:$V1581=1)),0)+SUM(V978)+IF(COUNTIF(V$1237:V1581,1)=1,5,0)+IF(COUNTIF(W979:$W979,"&gt;"&amp;0)&lt;5,IF(AND(COUNTIF(V$1237:V1581,1)&gt;7,MOD(1+IFERROR(MATCH($C979,总览!$D$46:$D$345,1)+1,1),7)=0),$C$3,0),0)</f>
        <v>422.737771293173</v>
      </c>
      <c r="W979" s="135" cm="1">
        <f ca="1" t="array" ref="W979">SUMPRODUCT(TRANSPOSE($AA979:$AG979),OFFSET($L$9:$L$15,0,W$631-1))</f>
        <v>16.8502200646615</v>
      </c>
      <c r="X979" s="135" cm="1">
        <f ca="1" t="array" ref="X979">SUMPRODUCT(TRANSPOSE($AA979:$AG979),OFFSET($L$9:$L$15,0,X$631-1))</f>
        <v>20</v>
      </c>
      <c r="Y979" s="135" cm="1">
        <f ca="1" t="array" ref="Y979">SUMPRODUCT(TRANSPOSE($AA979:$AG979),OFFSET($L$9:$L$15,0,Y$631-1))</f>
        <v>10</v>
      </c>
      <c r="Z979" s="135" cm="1">
        <f ca="1" t="array" ref="Z979">SUMPRODUCT(TRANSPOSE($AA979:$AG979),OFFSET($L$9:$L$15,0,Z$631-1))</f>
        <v>3.14977993533847</v>
      </c>
      <c r="AA979" s="136">
        <f ca="1" t="shared" ref="AA979:AG979" si="939">AH979-AH978</f>
        <v>0</v>
      </c>
      <c r="AB979" s="136">
        <f ca="1" t="shared" si="939"/>
        <v>0</v>
      </c>
      <c r="AC979" s="136">
        <f ca="1" t="shared" si="939"/>
        <v>0</v>
      </c>
      <c r="AD979" s="136">
        <f ca="1" t="shared" si="939"/>
        <v>0</v>
      </c>
      <c r="AE979" s="136">
        <f ca="1" t="shared" si="939"/>
        <v>0</v>
      </c>
      <c r="AF979" s="136">
        <f ca="1" t="shared" si="939"/>
        <v>0</v>
      </c>
      <c r="AG979" s="136">
        <f ca="1" t="shared" si="939"/>
        <v>100</v>
      </c>
      <c r="AH979" s="136">
        <f ca="1" t="shared" si="891"/>
        <v>450</v>
      </c>
      <c r="AI979" s="136">
        <f ca="1" t="shared" ref="AI979:AN979" si="940">IF($C979&gt;OFFSET($Q$8,MATCH(AI$634,$AH$634:$AN$634,0),0),OFFSET($P$8,MATCH(AI$634,$AH$634:$AN$634,0),0),MAX(0,$C979-OFFSET($Q$8,RIGHT(AI$634,1)-1,0)))</f>
        <v>909</v>
      </c>
      <c r="AJ979" s="136">
        <f ca="1" t="shared" si="940"/>
        <v>1818</v>
      </c>
      <c r="AK979" s="136">
        <f ca="1" t="shared" si="940"/>
        <v>2727</v>
      </c>
      <c r="AL979" s="136">
        <f ca="1" t="shared" si="940"/>
        <v>3636</v>
      </c>
      <c r="AM979" s="136">
        <f ca="1" t="shared" si="940"/>
        <v>4545</v>
      </c>
      <c r="AN979" s="136">
        <f ca="1" t="shared" si="940"/>
        <v>20415</v>
      </c>
    </row>
    <row r="980" s="106" customFormat="1" ht="16.5" spans="2:40">
      <c r="B980" s="117">
        <v>346</v>
      </c>
      <c r="C980" s="130">
        <f t="shared" si="889"/>
        <v>34600</v>
      </c>
      <c r="D980" s="131" cm="1">
        <f ca="1" t="array" ref="D980">IF(D1582=1,OFFSET($W$634,$B980,D$631-1)/SUMPRODUCT(--($D$631:$V$631=D$631),--($D1582:$V1582=1)),0)+SUM(D979)+IF(COUNTIF(D$1237:D1582,1)=1,5,0)+IF(COUNTIF(E980:$W980,"&gt;"&amp;0)&lt;5,IF(AND(COUNTIF(D$1237:D1582,1)&gt;7,MOD(1+IFERROR(MATCH($C980,总览!$D$46:$D$345,1)+1,1),7)=0),$C$3,0),0)</f>
        <v>2271.09556398844</v>
      </c>
      <c r="E980" s="131" cm="1">
        <f ca="1" t="array" ref="E980">IF(E1582=1,OFFSET($W$634,$B980,E$631-1)/SUMPRODUCT(--($D$631:$V$631=E$631),--($D1582:$V1582=1)),0)+SUM(E979)+IF(COUNTIF(E$1237:E1582,1)=1,5,0)+IF(COUNTIF(F980:$W980,"&gt;"&amp;0)&lt;5,IF(AND(COUNTIF(E$1237:E1582,1)&gt;7,MOD(1+IFERROR(MATCH($C980,总览!$D$46:$D$345,1)+1,1),7)=0),$C$3,0),0)</f>
        <v>2271.09556398844</v>
      </c>
      <c r="F980" s="131" cm="1">
        <f ca="1" t="array" ref="F980">IF(F1582=1,OFFSET($W$634,$B980,F$631-1)/SUMPRODUCT(--($D$631:$V$631=F$631),--($D1582:$V1582=1)),0)+SUM(F979)+IF(COUNTIF(F$1237:F1582,1)=1,5,0)+IF(COUNTIF(G980:$W980,"&gt;"&amp;0)&lt;5,IF(AND(COUNTIF(F$1237:F1582,1)&gt;7,MOD(1+IFERROR(MATCH($C980,总览!$D$46:$D$345,1)+1,1),7)=0),$C$3,0),0)</f>
        <v>2271.09556398844</v>
      </c>
      <c r="G980" s="131" cm="1">
        <f ca="1" t="array" ref="G980">IF(G1582=1,OFFSET($W$634,$B980,G$631-1)/SUMPRODUCT(--($D$631:$V$631=G$631),--($D1582:$V1582=1)),0)+SUM(G979)+IF(COUNTIF(G$1237:G1582,1)=1,5,0)+IF(COUNTIF(H980:$W980,"&gt;"&amp;0)&lt;5,IF(AND(COUNTIF(G$1237:G1582,1)&gt;7,MOD(1+IFERROR(MATCH($C980,总览!$D$46:$D$345,1)+1,1),7)=0),$C$3,0),0)</f>
        <v>1092.73333333334</v>
      </c>
      <c r="H980" s="131" cm="1">
        <f ca="1" t="array" ref="H980">IF(H1582=1,OFFSET($W$634,$B980,H$631-1)/SUMPRODUCT(--($D$631:$V$631=H$631),--($D1582:$V1582=1)),0)+SUM(H979)+IF(COUNTIF(H$1237:H1582,1)=1,5,0)+IF(COUNTIF(I980:$W980,"&gt;"&amp;0)&lt;5,IF(AND(COUNTIF(H$1237:H1582,1)&gt;7,MOD(1+IFERROR(MATCH($C980,总览!$D$46:$D$345,1)+1,1),7)=0),$C$3,0),0)</f>
        <v>1092.73333333334</v>
      </c>
      <c r="I980" s="131" cm="1">
        <f ca="1" t="array" ref="I980">IF(I1582=1,OFFSET($W$634,$B980,I$631-1)/SUMPRODUCT(--($D$631:$V$631=I$631),--($D1582:$V1582=1)),0)+SUM(I979)+IF(COUNTIF(I$1237:I1582,1)=1,5,0)+IF(COUNTIF(J980:$W980,"&gt;"&amp;0)&lt;5,IF(AND(COUNTIF(I$1237:I1582,1)&gt;7,MOD(1+IFERROR(MATCH($C980,总览!$D$46:$D$345,1)+1,1),7)=0),$C$3,0),0)</f>
        <v>1092.73333333334</v>
      </c>
      <c r="J980" s="131" cm="1">
        <f ca="1" t="array" ref="J980">IF(J1582=1,OFFSET($W$634,$B980,J$631-1)/SUMPRODUCT(--($D$631:$V$631=J$631),--($D1582:$V1582=1)),0)+SUM(J979)+IF(COUNTIF(J$1237:J1582,1)=1,5,0)+IF(COUNTIF(K980:$W980,"&gt;"&amp;0)&lt;5,IF(AND(COUNTIF(J$1237:J1582,1)&gt;7,MOD(1+IFERROR(MATCH($C980,总览!$D$46:$D$345,1)+1,1),7)=0),$C$3,0),0)</f>
        <v>1089.4</v>
      </c>
      <c r="K980" s="131" cm="1">
        <f ca="1" t="array" ref="K980">IF(K1582=1,OFFSET($W$634,$B980,K$631-1)/SUMPRODUCT(--($D$631:$V$631=K$631),--($D1582:$V1582=1)),0)+SUM(K979)+IF(COUNTIF(K$1237:K1582,1)=1,5,0)+IF(COUNTIF(L980:$W980,"&gt;"&amp;0)&lt;5,IF(AND(COUNTIF(K$1237:K1582,1)&gt;7,MOD(1+IFERROR(MATCH($C980,总览!$D$46:$D$345,1)+1,1),7)=0),$C$3,0),0)</f>
        <v>1086.9</v>
      </c>
      <c r="L980" s="131" cm="1">
        <f ca="1" t="array" ref="L980">IF(L1582=1,OFFSET($W$634,$B980,L$631-1)/SUMPRODUCT(--($D$631:$V$631=L$631),--($D1582:$V1582=1)),0)+SUM(L979)+IF(COUNTIF(L$1237:L1582,1)=1,5,0)+IF(COUNTIF(M980:$W980,"&gt;"&amp;0)&lt;5,IF(AND(COUNTIF(L$1237:L1582,1)&gt;7,MOD(1+IFERROR(MATCH($C980,总览!$D$46:$D$345,1)+1,1),7)=0),$C$3,0),0)</f>
        <v>1086.9</v>
      </c>
      <c r="M980" s="131" cm="1">
        <f ca="1" t="array" ref="M980">IF(M1582=1,OFFSET($W$634,$B980,M$631-1)/SUMPRODUCT(--($D$631:$V$631=M$631),--($D1582:$V1582=1)),0)+SUM(M979)+IF(COUNTIF(M$1237:M1582,1)=1,5,0)+IF(COUNTIF(N980:$W980,"&gt;"&amp;0)&lt;5,IF(AND(COUNTIF(M$1237:M1582,1)&gt;7,MOD(1+IFERROR(MATCH($C980,总览!$D$46:$D$345,1)+1,1),7)=0),$C$3,0),0)</f>
        <v>452.038392857144</v>
      </c>
      <c r="N980" s="131" cm="1">
        <f ca="1" t="array" ref="N980">IF(N1582=1,OFFSET($W$634,$B980,N$631-1)/SUMPRODUCT(--($D$631:$V$631=N$631),--($D1582:$V1582=1)),0)+SUM(N979)+IF(COUNTIF(N$1237:N1582,1)=1,5,0)+IF(COUNTIF(O980:$W980,"&gt;"&amp;0)&lt;5,IF(AND(COUNTIF(N$1237:N1582,1)&gt;7,MOD(1+IFERROR(MATCH($C980,总览!$D$46:$D$345,1)+1,1),7)=0),$C$3,0),0)</f>
        <v>453.288392857144</v>
      </c>
      <c r="O980" s="131" cm="1">
        <f ca="1" t="array" ref="O980">IF(O1582=1,OFFSET($W$634,$B980,O$631-1)/SUMPRODUCT(--($D$631:$V$631=O$631),--($D1582:$V1582=1)),0)+SUM(O979)+IF(COUNTIF(O$1237:O1582,1)=1,5,0)+IF(COUNTIF(P980:$W980,"&gt;"&amp;0)&lt;5,IF(AND(COUNTIF(O$1237:O1582,1)&gt;7,MOD(1+IFERROR(MATCH($C980,总览!$D$46:$D$345,1)+1,1),7)=0),$C$3,0),0)</f>
        <v>458.288392857144</v>
      </c>
      <c r="P980" s="131" cm="1">
        <f ca="1" t="array" ref="P980">IF(P1582=1,OFFSET($W$634,$B980,P$631-1)/SUMPRODUCT(--($D$631:$V$631=P$631),--($D1582:$V1582=1)),0)+SUM(P979)+IF(COUNTIF(P$1237:P1582,1)=1,5,0)+IF(COUNTIF(Q980:$W980,"&gt;"&amp;0)&lt;5,IF(AND(COUNTIF(P$1237:P1582,1)&gt;7,MOD(1+IFERROR(MATCH($C980,总览!$D$46:$D$345,1)+1,1),7)=0),$C$3,0),0)</f>
        <v>447.407142857144</v>
      </c>
      <c r="Q980" s="131" cm="1">
        <f ca="1" t="array" ref="Q980">IF(Q1582=1,OFFSET($W$634,$B980,Q$631-1)/SUMPRODUCT(--($D$631:$V$631=Q$631),--($D1582:$V1582=1)),0)+SUM(Q979)+IF(COUNTIF(Q$1237:Q1582,1)=1,5,0)+IF(COUNTIF(R980:$W980,"&gt;"&amp;0)&lt;5,IF(AND(COUNTIF(Q$1237:Q1582,1)&gt;7,MOD(1+IFERROR(MATCH($C980,总览!$D$46:$D$345,1)+1,1),7)=0),$C$3,0),0)</f>
        <v>460.788392857144</v>
      </c>
      <c r="R980" s="131" cm="1">
        <f ca="1" t="array" ref="R980">IF(R1582=1,OFFSET($W$634,$B980,R$631-1)/SUMPRODUCT(--($D$631:$V$631=R$631),--($D1582:$V1582=1)),0)+SUM(R979)+IF(COUNTIF(R$1237:R1582,1)=1,5,0)+IF(COUNTIF(S980:$W980,"&gt;"&amp;0)&lt;5,IF(AND(COUNTIF(R$1237:R1582,1)&gt;7,MOD(1+IFERROR(MATCH($C980,总览!$D$46:$D$345,1)+1,1),7)=0),$C$3,0),0)</f>
        <v>452.407142857144</v>
      </c>
      <c r="S980" s="131" cm="1">
        <f ca="1" t="array" ref="S980">IF(S1582=1,OFFSET($W$634,$B980,S$631-1)/SUMPRODUCT(--($D$631:$V$631=S$631),--($D1582:$V1582=1)),0)+SUM(S979)+IF(COUNTIF(S$1237:S1582,1)=1,5,0)+IF(COUNTIF(T980:$W980,"&gt;"&amp;0)&lt;5,IF(AND(COUNTIF(S$1237:S1582,1)&gt;7,MOD(1+IFERROR(MATCH($C980,总览!$D$46:$D$345,1)+1,1),7)=0),$C$3,0),0)</f>
        <v>544.907142857145</v>
      </c>
      <c r="T980" s="131" cm="1">
        <f ca="1" t="array" ref="T980">IF(T1582=1,OFFSET($W$634,$B980,T$631-1)/SUMPRODUCT(--($D$631:$V$631=T$631),--($D1582:$V1582=1)),0)+SUM(T979)+IF(COUNTIF(T$1237:T1582,1)=1,5,0)+IF(COUNTIF(U980:$W980,"&gt;"&amp;0)&lt;5,IF(AND(COUNTIF(T$1237:T1582,1)&gt;7,MOD(1+IFERROR(MATCH($C980,总览!$D$46:$D$345,1)+1,1),7)=0),$C$3,0),0)</f>
        <v>398.439911870553</v>
      </c>
      <c r="U980" s="131" cm="1">
        <f ca="1" t="array" ref="U980">IF(U1582=1,OFFSET($W$634,$B980,U$631-1)/SUMPRODUCT(--($D$631:$V$631=U$631),--($D1582:$V1582=1)),0)+SUM(U979)+IF(COUNTIF(U$1237:U1582,1)=1,5,0)+IF(COUNTIF(V980:$W980,"&gt;"&amp;0)&lt;5,IF(AND(COUNTIF(U$1237:U1582,1)&gt;7,MOD(1+IFERROR(MATCH($C980,总览!$D$46:$D$345,1)+1,1),7)=0),$C$3,0),0)</f>
        <v>403.960698225853</v>
      </c>
      <c r="V980" s="131" cm="1">
        <f ca="1" t="array" ref="V980">IF(V1582=1,OFFSET($W$634,$B980,V$631-1)/SUMPRODUCT(--($D$631:$V$631=V$631),--($D1582:$V1582=1)),0)+SUM(V979)+IF(COUNTIF(V$1237:V1582,1)=1,5,0)+IF(COUNTIF(W980:$W980,"&gt;"&amp;0)&lt;5,IF(AND(COUNTIF(V$1237:V1582,1)&gt;7,MOD(1+IFERROR(MATCH($C980,总览!$D$46:$D$345,1)+1,1),7)=0),$C$3,0),0)</f>
        <v>423.787697938286</v>
      </c>
      <c r="W980" s="135" cm="1">
        <f ca="1" t="array" ref="W980">SUMPRODUCT(TRANSPOSE($AA980:$AG980),OFFSET($L$9:$L$15,0,W$631-1))</f>
        <v>16.8502200646615</v>
      </c>
      <c r="X980" s="135" cm="1">
        <f ca="1" t="array" ref="X980">SUMPRODUCT(TRANSPOSE($AA980:$AG980),OFFSET($L$9:$L$15,0,X$631-1))</f>
        <v>20</v>
      </c>
      <c r="Y980" s="135" cm="1">
        <f ca="1" t="array" ref="Y980">SUMPRODUCT(TRANSPOSE($AA980:$AG980),OFFSET($L$9:$L$15,0,Y$631-1))</f>
        <v>10</v>
      </c>
      <c r="Z980" s="135" cm="1">
        <f ca="1" t="array" ref="Z980">SUMPRODUCT(TRANSPOSE($AA980:$AG980),OFFSET($L$9:$L$15,0,Z$631-1))</f>
        <v>3.14977993533847</v>
      </c>
      <c r="AA980" s="136">
        <f ca="1" t="shared" ref="AA980:AG980" si="941">AH980-AH979</f>
        <v>0</v>
      </c>
      <c r="AB980" s="136">
        <f ca="1" t="shared" si="941"/>
        <v>0</v>
      </c>
      <c r="AC980" s="136">
        <f ca="1" t="shared" si="941"/>
        <v>0</v>
      </c>
      <c r="AD980" s="136">
        <f ca="1" t="shared" si="941"/>
        <v>0</v>
      </c>
      <c r="AE980" s="136">
        <f ca="1" t="shared" si="941"/>
        <v>0</v>
      </c>
      <c r="AF980" s="136">
        <f ca="1" t="shared" si="941"/>
        <v>0</v>
      </c>
      <c r="AG980" s="136">
        <f ca="1" t="shared" si="941"/>
        <v>100</v>
      </c>
      <c r="AH980" s="136">
        <f ca="1" t="shared" si="891"/>
        <v>450</v>
      </c>
      <c r="AI980" s="136">
        <f ca="1" t="shared" ref="AI980:AN980" si="942">IF($C980&gt;OFFSET($Q$8,MATCH(AI$634,$AH$634:$AN$634,0),0),OFFSET($P$8,MATCH(AI$634,$AH$634:$AN$634,0),0),MAX(0,$C980-OFFSET($Q$8,RIGHT(AI$634,1)-1,0)))</f>
        <v>909</v>
      </c>
      <c r="AJ980" s="136">
        <f ca="1" t="shared" si="942"/>
        <v>1818</v>
      </c>
      <c r="AK980" s="136">
        <f ca="1" t="shared" si="942"/>
        <v>2727</v>
      </c>
      <c r="AL980" s="136">
        <f ca="1" t="shared" si="942"/>
        <v>3636</v>
      </c>
      <c r="AM980" s="136">
        <f ca="1" t="shared" si="942"/>
        <v>4545</v>
      </c>
      <c r="AN980" s="136">
        <f ca="1" t="shared" si="942"/>
        <v>20515</v>
      </c>
    </row>
    <row r="981" s="106" customFormat="1" ht="16.5" spans="2:40">
      <c r="B981" s="117">
        <v>347</v>
      </c>
      <c r="C981" s="130">
        <f t="shared" si="889"/>
        <v>34700</v>
      </c>
      <c r="D981" s="131" cm="1">
        <f ca="1" t="array" ref="D981">IF(D1583=1,OFFSET($W$634,$B981,D$631-1)/SUMPRODUCT(--($D$631:$V$631=D$631),--($D1583:$V1583=1)),0)+SUM(D980)+IF(COUNTIF(D$1237:D1583,1)=1,5,0)+IF(COUNTIF(E981:$W981,"&gt;"&amp;0)&lt;5,IF(AND(COUNTIF(D$1237:D1583,1)&gt;7,MOD(1+IFERROR(MATCH($C981,总览!$D$46:$D$345,1)+1,1),7)=0),$C$3,0),0)</f>
        <v>2276.71230400999</v>
      </c>
      <c r="E981" s="131" cm="1">
        <f ca="1" t="array" ref="E981">IF(E1583=1,OFFSET($W$634,$B981,E$631-1)/SUMPRODUCT(--($D$631:$V$631=E$631),--($D1583:$V1583=1)),0)+SUM(E980)+IF(COUNTIF(E$1237:E1583,1)=1,5,0)+IF(COUNTIF(F981:$W981,"&gt;"&amp;0)&lt;5,IF(AND(COUNTIF(E$1237:E1583,1)&gt;7,MOD(1+IFERROR(MATCH($C981,总览!$D$46:$D$345,1)+1,1),7)=0),$C$3,0),0)</f>
        <v>2276.71230400999</v>
      </c>
      <c r="F981" s="131" cm="1">
        <f ca="1" t="array" ref="F981">IF(F1583=1,OFFSET($W$634,$B981,F$631-1)/SUMPRODUCT(--($D$631:$V$631=F$631),--($D1583:$V1583=1)),0)+SUM(F980)+IF(COUNTIF(F$1237:F1583,1)=1,5,0)+IF(COUNTIF(G981:$W981,"&gt;"&amp;0)&lt;5,IF(AND(COUNTIF(F$1237:F1583,1)&gt;7,MOD(1+IFERROR(MATCH($C981,总览!$D$46:$D$345,1)+1,1),7)=0),$C$3,0),0)</f>
        <v>2276.71230400999</v>
      </c>
      <c r="G981" s="131" cm="1">
        <f ca="1" t="array" ref="G981">IF(G1583=1,OFFSET($W$634,$B981,G$631-1)/SUMPRODUCT(--($D$631:$V$631=G$631),--($D1583:$V1583=1)),0)+SUM(G980)+IF(COUNTIF(G$1237:G1583,1)=1,5,0)+IF(COUNTIF(H981:$W981,"&gt;"&amp;0)&lt;5,IF(AND(COUNTIF(G$1237:G1583,1)&gt;7,MOD(1+IFERROR(MATCH($C981,总览!$D$46:$D$345,1)+1,1),7)=0),$C$3,0),0)</f>
        <v>1096.06666666667</v>
      </c>
      <c r="H981" s="131" cm="1">
        <f ca="1" t="array" ref="H981">IF(H1583=1,OFFSET($W$634,$B981,H$631-1)/SUMPRODUCT(--($D$631:$V$631=H$631),--($D1583:$V1583=1)),0)+SUM(H980)+IF(COUNTIF(H$1237:H1583,1)=1,5,0)+IF(COUNTIF(I981:$W981,"&gt;"&amp;0)&lt;5,IF(AND(COUNTIF(H$1237:H1583,1)&gt;7,MOD(1+IFERROR(MATCH($C981,总览!$D$46:$D$345,1)+1,1),7)=0),$C$3,0),0)</f>
        <v>1096.06666666667</v>
      </c>
      <c r="I981" s="131" cm="1">
        <f ca="1" t="array" ref="I981">IF(I1583=1,OFFSET($W$634,$B981,I$631-1)/SUMPRODUCT(--($D$631:$V$631=I$631),--($D1583:$V1583=1)),0)+SUM(I980)+IF(COUNTIF(I$1237:I1583,1)=1,5,0)+IF(COUNTIF(J981:$W981,"&gt;"&amp;0)&lt;5,IF(AND(COUNTIF(I$1237:I1583,1)&gt;7,MOD(1+IFERROR(MATCH($C981,总览!$D$46:$D$345,1)+1,1),7)=0),$C$3,0),0)</f>
        <v>1096.06666666667</v>
      </c>
      <c r="J981" s="131" cm="1">
        <f ca="1" t="array" ref="J981">IF(J1583=1,OFFSET($W$634,$B981,J$631-1)/SUMPRODUCT(--($D$631:$V$631=J$631),--($D1583:$V1583=1)),0)+SUM(J980)+IF(COUNTIF(J$1237:J1583,1)=1,5,0)+IF(COUNTIF(K981:$W981,"&gt;"&amp;0)&lt;5,IF(AND(COUNTIF(J$1237:J1583,1)&gt;7,MOD(1+IFERROR(MATCH($C981,总览!$D$46:$D$345,1)+1,1),7)=0),$C$3,0),0)</f>
        <v>1092.73333333334</v>
      </c>
      <c r="K981" s="131" cm="1">
        <f ca="1" t="array" ref="K981">IF(K1583=1,OFFSET($W$634,$B981,K$631-1)/SUMPRODUCT(--($D$631:$V$631=K$631),--($D1583:$V1583=1)),0)+SUM(K980)+IF(COUNTIF(K$1237:K1583,1)=1,5,0)+IF(COUNTIF(L981:$W981,"&gt;"&amp;0)&lt;5,IF(AND(COUNTIF(K$1237:K1583,1)&gt;7,MOD(1+IFERROR(MATCH($C981,总览!$D$46:$D$345,1)+1,1),7)=0),$C$3,0),0)</f>
        <v>1090.23333333334</v>
      </c>
      <c r="L981" s="131" cm="1">
        <f ca="1" t="array" ref="L981">IF(L1583=1,OFFSET($W$634,$B981,L$631-1)/SUMPRODUCT(--($D$631:$V$631=L$631),--($D1583:$V1583=1)),0)+SUM(L980)+IF(COUNTIF(L$1237:L1583,1)=1,5,0)+IF(COUNTIF(M981:$W981,"&gt;"&amp;0)&lt;5,IF(AND(COUNTIF(L$1237:L1583,1)&gt;7,MOD(1+IFERROR(MATCH($C981,总览!$D$46:$D$345,1)+1,1),7)=0),$C$3,0),0)</f>
        <v>1090.23333333334</v>
      </c>
      <c r="M981" s="131" cm="1">
        <f ca="1" t="array" ref="M981">IF(M1583=1,OFFSET($W$634,$B981,M$631-1)/SUMPRODUCT(--($D$631:$V$631=M$631),--($D1583:$V1583=1)),0)+SUM(M980)+IF(COUNTIF(M$1237:M1583,1)=1,5,0)+IF(COUNTIF(N981:$W981,"&gt;"&amp;0)&lt;5,IF(AND(COUNTIF(M$1237:M1583,1)&gt;7,MOD(1+IFERROR(MATCH($C981,总览!$D$46:$D$345,1)+1,1),7)=0),$C$3,0),0)</f>
        <v>453.466964285715</v>
      </c>
      <c r="N981" s="131" cm="1">
        <f ca="1" t="array" ref="N981">IF(N1583=1,OFFSET($W$634,$B981,N$631-1)/SUMPRODUCT(--($D$631:$V$631=N$631),--($D1583:$V1583=1)),0)+SUM(N980)+IF(COUNTIF(N$1237:N1583,1)=1,5,0)+IF(COUNTIF(O981:$W981,"&gt;"&amp;0)&lt;5,IF(AND(COUNTIF(N$1237:N1583,1)&gt;7,MOD(1+IFERROR(MATCH($C981,总览!$D$46:$D$345,1)+1,1),7)=0),$C$3,0),0)</f>
        <v>454.716964285715</v>
      </c>
      <c r="O981" s="131" cm="1">
        <f ca="1" t="array" ref="O981">IF(O1583=1,OFFSET($W$634,$B981,O$631-1)/SUMPRODUCT(--($D$631:$V$631=O$631),--($D1583:$V1583=1)),0)+SUM(O980)+IF(COUNTIF(O$1237:O1583,1)=1,5,0)+IF(COUNTIF(P981:$W981,"&gt;"&amp;0)&lt;5,IF(AND(COUNTIF(O$1237:O1583,1)&gt;7,MOD(1+IFERROR(MATCH($C981,总览!$D$46:$D$345,1)+1,1),7)=0),$C$3,0),0)</f>
        <v>459.716964285715</v>
      </c>
      <c r="P981" s="131" cm="1">
        <f ca="1" t="array" ref="P981">IF(P1583=1,OFFSET($W$634,$B981,P$631-1)/SUMPRODUCT(--($D$631:$V$631=P$631),--($D1583:$V1583=1)),0)+SUM(P980)+IF(COUNTIF(P$1237:P1583,1)=1,5,0)+IF(COUNTIF(Q981:$W981,"&gt;"&amp;0)&lt;5,IF(AND(COUNTIF(P$1237:P1583,1)&gt;7,MOD(1+IFERROR(MATCH($C981,总览!$D$46:$D$345,1)+1,1),7)=0),$C$3,0),0)</f>
        <v>448.835714285715</v>
      </c>
      <c r="Q981" s="131" cm="1">
        <f ca="1" t="array" ref="Q981">IF(Q1583=1,OFFSET($W$634,$B981,Q$631-1)/SUMPRODUCT(--($D$631:$V$631=Q$631),--($D1583:$V1583=1)),0)+SUM(Q980)+IF(COUNTIF(Q$1237:Q1583,1)=1,5,0)+IF(COUNTIF(R981:$W981,"&gt;"&amp;0)&lt;5,IF(AND(COUNTIF(Q$1237:Q1583,1)&gt;7,MOD(1+IFERROR(MATCH($C981,总览!$D$46:$D$345,1)+1,1),7)=0),$C$3,0),0)</f>
        <v>462.216964285715</v>
      </c>
      <c r="R981" s="131" cm="1">
        <f ca="1" t="array" ref="R981">IF(R1583=1,OFFSET($W$634,$B981,R$631-1)/SUMPRODUCT(--($D$631:$V$631=R$631),--($D1583:$V1583=1)),0)+SUM(R980)+IF(COUNTIF(R$1237:R1583,1)=1,5,0)+IF(COUNTIF(S981:$W981,"&gt;"&amp;0)&lt;5,IF(AND(COUNTIF(R$1237:R1583,1)&gt;7,MOD(1+IFERROR(MATCH($C981,总览!$D$46:$D$345,1)+1,1),7)=0),$C$3,0),0)</f>
        <v>453.835714285715</v>
      </c>
      <c r="S981" s="131" cm="1">
        <f ca="1" t="array" ref="S981">IF(S1583=1,OFFSET($W$634,$B981,S$631-1)/SUMPRODUCT(--($D$631:$V$631=S$631),--($D1583:$V1583=1)),0)+SUM(S980)+IF(COUNTIF(S$1237:S1583,1)=1,5,0)+IF(COUNTIF(T981:$W981,"&gt;"&amp;0)&lt;5,IF(AND(COUNTIF(S$1237:S1583,1)&gt;7,MOD(1+IFERROR(MATCH($C981,总览!$D$46:$D$345,1)+1,1),7)=0),$C$3,0),0)</f>
        <v>546.335714285716</v>
      </c>
      <c r="T981" s="131" cm="1">
        <f ca="1" t="array" ref="T981">IF(T1583=1,OFFSET($W$634,$B981,T$631-1)/SUMPRODUCT(--($D$631:$V$631=T$631),--($D1583:$V1583=1)),0)+SUM(T980)+IF(COUNTIF(T$1237:T1583,1)=1,5,0)+IF(COUNTIF(U981:$W981,"&gt;"&amp;0)&lt;5,IF(AND(COUNTIF(T$1237:T1583,1)&gt;7,MOD(1+IFERROR(MATCH($C981,总览!$D$46:$D$345,1)+1,1),7)=0),$C$3,0),0)</f>
        <v>399.489838515666</v>
      </c>
      <c r="U981" s="131" cm="1">
        <f ca="1" t="array" ref="U981">IF(U1583=1,OFFSET($W$634,$B981,U$631-1)/SUMPRODUCT(--($D$631:$V$631=U$631),--($D1583:$V1583=1)),0)+SUM(U980)+IF(COUNTIF(U$1237:U1583,1)=1,5,0)+IF(COUNTIF(V981:$W981,"&gt;"&amp;0)&lt;5,IF(AND(COUNTIF(U$1237:U1583,1)&gt;7,MOD(1+IFERROR(MATCH($C981,总览!$D$46:$D$345,1)+1,1),7)=0),$C$3,0),0)</f>
        <v>405.010624870966</v>
      </c>
      <c r="V981" s="131" cm="1">
        <f ca="1" t="array" ref="V981">IF(V1583=1,OFFSET($W$634,$B981,V$631-1)/SUMPRODUCT(--($D$631:$V$631=V$631),--($D1583:$V1583=1)),0)+SUM(V980)+IF(COUNTIF(V$1237:V1583,1)=1,5,0)+IF(COUNTIF(W981:$W981,"&gt;"&amp;0)&lt;5,IF(AND(COUNTIF(V$1237:V1583,1)&gt;7,MOD(1+IFERROR(MATCH($C981,总览!$D$46:$D$345,1)+1,1),7)=0),$C$3,0),0)</f>
        <v>424.837624583399</v>
      </c>
      <c r="W981" s="135" cm="1">
        <f ca="1" t="array" ref="W981">SUMPRODUCT(TRANSPOSE($AA981:$AG981),OFFSET($L$9:$L$15,0,W$631-1))</f>
        <v>16.8502200646615</v>
      </c>
      <c r="X981" s="135" cm="1">
        <f ca="1" t="array" ref="X981">SUMPRODUCT(TRANSPOSE($AA981:$AG981),OFFSET($L$9:$L$15,0,X$631-1))</f>
        <v>20</v>
      </c>
      <c r="Y981" s="135" cm="1">
        <f ca="1" t="array" ref="Y981">SUMPRODUCT(TRANSPOSE($AA981:$AG981),OFFSET($L$9:$L$15,0,Y$631-1))</f>
        <v>10</v>
      </c>
      <c r="Z981" s="135" cm="1">
        <f ca="1" t="array" ref="Z981">SUMPRODUCT(TRANSPOSE($AA981:$AG981),OFFSET($L$9:$L$15,0,Z$631-1))</f>
        <v>3.14977993533847</v>
      </c>
      <c r="AA981" s="136">
        <f ca="1" t="shared" ref="AA981:AG981" si="943">AH981-AH980</f>
        <v>0</v>
      </c>
      <c r="AB981" s="136">
        <f ca="1" t="shared" si="943"/>
        <v>0</v>
      </c>
      <c r="AC981" s="136">
        <f ca="1" t="shared" si="943"/>
        <v>0</v>
      </c>
      <c r="AD981" s="136">
        <f ca="1" t="shared" si="943"/>
        <v>0</v>
      </c>
      <c r="AE981" s="136">
        <f ca="1" t="shared" si="943"/>
        <v>0</v>
      </c>
      <c r="AF981" s="136">
        <f ca="1" t="shared" si="943"/>
        <v>0</v>
      </c>
      <c r="AG981" s="136">
        <f ca="1" t="shared" si="943"/>
        <v>100</v>
      </c>
      <c r="AH981" s="136">
        <f ca="1" t="shared" si="891"/>
        <v>450</v>
      </c>
      <c r="AI981" s="136">
        <f ca="1" t="shared" ref="AI981:AN981" si="944">IF($C981&gt;OFFSET($Q$8,MATCH(AI$634,$AH$634:$AN$634,0),0),OFFSET($P$8,MATCH(AI$634,$AH$634:$AN$634,0),0),MAX(0,$C981-OFFSET($Q$8,RIGHT(AI$634,1)-1,0)))</f>
        <v>909</v>
      </c>
      <c r="AJ981" s="136">
        <f ca="1" t="shared" si="944"/>
        <v>1818</v>
      </c>
      <c r="AK981" s="136">
        <f ca="1" t="shared" si="944"/>
        <v>2727</v>
      </c>
      <c r="AL981" s="136">
        <f ca="1" t="shared" si="944"/>
        <v>3636</v>
      </c>
      <c r="AM981" s="136">
        <f ca="1" t="shared" si="944"/>
        <v>4545</v>
      </c>
      <c r="AN981" s="136">
        <f ca="1" t="shared" si="944"/>
        <v>20615</v>
      </c>
    </row>
    <row r="982" s="106" customFormat="1" ht="16.5" spans="2:40">
      <c r="B982" s="117">
        <v>348</v>
      </c>
      <c r="C982" s="130">
        <f t="shared" si="889"/>
        <v>34800</v>
      </c>
      <c r="D982" s="131" cm="1">
        <f ca="1" t="array" ref="D982">IF(D1584=1,OFFSET($W$634,$B982,D$631-1)/SUMPRODUCT(--($D$631:$V$631=D$631),--($D1584:$V1584=1)),0)+SUM(D981)+IF(COUNTIF(D$1237:D1584,1)=1,5,0)+IF(COUNTIF(E982:$W982,"&gt;"&amp;0)&lt;5,IF(AND(COUNTIF(D$1237:D1584,1)&gt;7,MOD(1+IFERROR(MATCH($C982,总览!$D$46:$D$345,1)+1,1),7)=0),$C$3,0),0)</f>
        <v>2282.32904403155</v>
      </c>
      <c r="E982" s="131" cm="1">
        <f ca="1" t="array" ref="E982">IF(E1584=1,OFFSET($W$634,$B982,E$631-1)/SUMPRODUCT(--($D$631:$V$631=E$631),--($D1584:$V1584=1)),0)+SUM(E981)+IF(COUNTIF(E$1237:E1584,1)=1,5,0)+IF(COUNTIF(F982:$W982,"&gt;"&amp;0)&lt;5,IF(AND(COUNTIF(E$1237:E1584,1)&gt;7,MOD(1+IFERROR(MATCH($C982,总览!$D$46:$D$345,1)+1,1),7)=0),$C$3,0),0)</f>
        <v>2282.32904403155</v>
      </c>
      <c r="F982" s="131" cm="1">
        <f ca="1" t="array" ref="F982">IF(F1584=1,OFFSET($W$634,$B982,F$631-1)/SUMPRODUCT(--($D$631:$V$631=F$631),--($D1584:$V1584=1)),0)+SUM(F981)+IF(COUNTIF(F$1237:F1584,1)=1,5,0)+IF(COUNTIF(G982:$W982,"&gt;"&amp;0)&lt;5,IF(AND(COUNTIF(F$1237:F1584,1)&gt;7,MOD(1+IFERROR(MATCH($C982,总览!$D$46:$D$345,1)+1,1),7)=0),$C$3,0),0)</f>
        <v>2282.32904403155</v>
      </c>
      <c r="G982" s="131" cm="1">
        <f ca="1" t="array" ref="G982">IF(G1584=1,OFFSET($W$634,$B982,G$631-1)/SUMPRODUCT(--($D$631:$V$631=G$631),--($D1584:$V1584=1)),0)+SUM(G981)+IF(COUNTIF(G$1237:G1584,1)=1,5,0)+IF(COUNTIF(H982:$W982,"&gt;"&amp;0)&lt;5,IF(AND(COUNTIF(G$1237:G1584,1)&gt;7,MOD(1+IFERROR(MATCH($C982,总览!$D$46:$D$345,1)+1,1),7)=0),$C$3,0),0)</f>
        <v>1099.4</v>
      </c>
      <c r="H982" s="131" cm="1">
        <f ca="1" t="array" ref="H982">IF(H1584=1,OFFSET($W$634,$B982,H$631-1)/SUMPRODUCT(--($D$631:$V$631=H$631),--($D1584:$V1584=1)),0)+SUM(H981)+IF(COUNTIF(H$1237:H1584,1)=1,5,0)+IF(COUNTIF(I982:$W982,"&gt;"&amp;0)&lt;5,IF(AND(COUNTIF(H$1237:H1584,1)&gt;7,MOD(1+IFERROR(MATCH($C982,总览!$D$46:$D$345,1)+1,1),7)=0),$C$3,0),0)</f>
        <v>1099.4</v>
      </c>
      <c r="I982" s="131" cm="1">
        <f ca="1" t="array" ref="I982">IF(I1584=1,OFFSET($W$634,$B982,I$631-1)/SUMPRODUCT(--($D$631:$V$631=I$631),--($D1584:$V1584=1)),0)+SUM(I981)+IF(COUNTIF(I$1237:I1584,1)=1,5,0)+IF(COUNTIF(J982:$W982,"&gt;"&amp;0)&lt;5,IF(AND(COUNTIF(I$1237:I1584,1)&gt;7,MOD(1+IFERROR(MATCH($C982,总览!$D$46:$D$345,1)+1,1),7)=0),$C$3,0),0)</f>
        <v>1099.4</v>
      </c>
      <c r="J982" s="131" cm="1">
        <f ca="1" t="array" ref="J982">IF(J1584=1,OFFSET($W$634,$B982,J$631-1)/SUMPRODUCT(--($D$631:$V$631=J$631),--($D1584:$V1584=1)),0)+SUM(J981)+IF(COUNTIF(J$1237:J1584,1)=1,5,0)+IF(COUNTIF(K982:$W982,"&gt;"&amp;0)&lt;5,IF(AND(COUNTIF(J$1237:J1584,1)&gt;7,MOD(1+IFERROR(MATCH($C982,总览!$D$46:$D$345,1)+1,1),7)=0),$C$3,0),0)</f>
        <v>1096.06666666667</v>
      </c>
      <c r="K982" s="131" cm="1">
        <f ca="1" t="array" ref="K982">IF(K1584=1,OFFSET($W$634,$B982,K$631-1)/SUMPRODUCT(--($D$631:$V$631=K$631),--($D1584:$V1584=1)),0)+SUM(K981)+IF(COUNTIF(K$1237:K1584,1)=1,5,0)+IF(COUNTIF(L982:$W982,"&gt;"&amp;0)&lt;5,IF(AND(COUNTIF(K$1237:K1584,1)&gt;7,MOD(1+IFERROR(MATCH($C982,总览!$D$46:$D$345,1)+1,1),7)=0),$C$3,0),0)</f>
        <v>1093.56666666667</v>
      </c>
      <c r="L982" s="131" cm="1">
        <f ca="1" t="array" ref="L982">IF(L1584=1,OFFSET($W$634,$B982,L$631-1)/SUMPRODUCT(--($D$631:$V$631=L$631),--($D1584:$V1584=1)),0)+SUM(L981)+IF(COUNTIF(L$1237:L1584,1)=1,5,0)+IF(COUNTIF(M982:$W982,"&gt;"&amp;0)&lt;5,IF(AND(COUNTIF(L$1237:L1584,1)&gt;7,MOD(1+IFERROR(MATCH($C982,总览!$D$46:$D$345,1)+1,1),7)=0),$C$3,0),0)</f>
        <v>1093.56666666667</v>
      </c>
      <c r="M982" s="131" cm="1">
        <f ca="1" t="array" ref="M982">IF(M1584=1,OFFSET($W$634,$B982,M$631-1)/SUMPRODUCT(--($D$631:$V$631=M$631),--($D1584:$V1584=1)),0)+SUM(M981)+IF(COUNTIF(M$1237:M1584,1)=1,5,0)+IF(COUNTIF(N982:$W982,"&gt;"&amp;0)&lt;5,IF(AND(COUNTIF(M$1237:M1584,1)&gt;7,MOD(1+IFERROR(MATCH($C982,总览!$D$46:$D$345,1)+1,1),7)=0),$C$3,0),0)</f>
        <v>454.895535714287</v>
      </c>
      <c r="N982" s="131" cm="1">
        <f ca="1" t="array" ref="N982">IF(N1584=1,OFFSET($W$634,$B982,N$631-1)/SUMPRODUCT(--($D$631:$V$631=N$631),--($D1584:$V1584=1)),0)+SUM(N981)+IF(COUNTIF(N$1237:N1584,1)=1,5,0)+IF(COUNTIF(O982:$W982,"&gt;"&amp;0)&lt;5,IF(AND(COUNTIF(N$1237:N1584,1)&gt;7,MOD(1+IFERROR(MATCH($C982,总览!$D$46:$D$345,1)+1,1),7)=0),$C$3,0),0)</f>
        <v>456.145535714287</v>
      </c>
      <c r="O982" s="131" cm="1">
        <f ca="1" t="array" ref="O982">IF(O1584=1,OFFSET($W$634,$B982,O$631-1)/SUMPRODUCT(--($D$631:$V$631=O$631),--($D1584:$V1584=1)),0)+SUM(O981)+IF(COUNTIF(O$1237:O1584,1)=1,5,0)+IF(COUNTIF(P982:$W982,"&gt;"&amp;0)&lt;5,IF(AND(COUNTIF(O$1237:O1584,1)&gt;7,MOD(1+IFERROR(MATCH($C982,总览!$D$46:$D$345,1)+1,1),7)=0),$C$3,0),0)</f>
        <v>461.145535714287</v>
      </c>
      <c r="P982" s="131" cm="1">
        <f ca="1" t="array" ref="P982">IF(P1584=1,OFFSET($W$634,$B982,P$631-1)/SUMPRODUCT(--($D$631:$V$631=P$631),--($D1584:$V1584=1)),0)+SUM(P981)+IF(COUNTIF(P$1237:P1584,1)=1,5,0)+IF(COUNTIF(Q982:$W982,"&gt;"&amp;0)&lt;5,IF(AND(COUNTIF(P$1237:P1584,1)&gt;7,MOD(1+IFERROR(MATCH($C982,总览!$D$46:$D$345,1)+1,1),7)=0),$C$3,0),0)</f>
        <v>450.264285714287</v>
      </c>
      <c r="Q982" s="131" cm="1">
        <f ca="1" t="array" ref="Q982">IF(Q1584=1,OFFSET($W$634,$B982,Q$631-1)/SUMPRODUCT(--($D$631:$V$631=Q$631),--($D1584:$V1584=1)),0)+SUM(Q981)+IF(COUNTIF(Q$1237:Q1584,1)=1,5,0)+IF(COUNTIF(R982:$W982,"&gt;"&amp;0)&lt;5,IF(AND(COUNTIF(Q$1237:Q1584,1)&gt;7,MOD(1+IFERROR(MATCH($C982,总览!$D$46:$D$345,1)+1,1),7)=0),$C$3,0),0)</f>
        <v>463.645535714287</v>
      </c>
      <c r="R982" s="131" cm="1">
        <f ca="1" t="array" ref="R982">IF(R1584=1,OFFSET($W$634,$B982,R$631-1)/SUMPRODUCT(--($D$631:$V$631=R$631),--($D1584:$V1584=1)),0)+SUM(R981)+IF(COUNTIF(R$1237:R1584,1)=1,5,0)+IF(COUNTIF(S982:$W982,"&gt;"&amp;0)&lt;5,IF(AND(COUNTIF(R$1237:R1584,1)&gt;7,MOD(1+IFERROR(MATCH($C982,总览!$D$46:$D$345,1)+1,1),7)=0),$C$3,0),0)</f>
        <v>455.264285714287</v>
      </c>
      <c r="S982" s="131" cm="1">
        <f ca="1" t="array" ref="S982">IF(S1584=1,OFFSET($W$634,$B982,S$631-1)/SUMPRODUCT(--($D$631:$V$631=S$631),--($D1584:$V1584=1)),0)+SUM(S981)+IF(COUNTIF(S$1237:S1584,1)=1,5,0)+IF(COUNTIF(T982:$W982,"&gt;"&amp;0)&lt;5,IF(AND(COUNTIF(S$1237:S1584,1)&gt;7,MOD(1+IFERROR(MATCH($C982,总览!$D$46:$D$345,1)+1,1),7)=0),$C$3,0),0)</f>
        <v>547.764285714288</v>
      </c>
      <c r="T982" s="131" cm="1">
        <f ca="1" t="array" ref="T982">IF(T1584=1,OFFSET($W$634,$B982,T$631-1)/SUMPRODUCT(--($D$631:$V$631=T$631),--($D1584:$V1584=1)),0)+SUM(T981)+IF(COUNTIF(T$1237:T1584,1)=1,5,0)+IF(COUNTIF(U982:$W982,"&gt;"&amp;0)&lt;5,IF(AND(COUNTIF(T$1237:T1584,1)&gt;7,MOD(1+IFERROR(MATCH($C982,总览!$D$46:$D$345,1)+1,1),7)=0),$C$3,0),0)</f>
        <v>400.539765160779</v>
      </c>
      <c r="U982" s="131" cm="1">
        <f ca="1" t="array" ref="U982">IF(U1584=1,OFFSET($W$634,$B982,U$631-1)/SUMPRODUCT(--($D$631:$V$631=U$631),--($D1584:$V1584=1)),0)+SUM(U981)+IF(COUNTIF(U$1237:U1584,1)=1,5,0)+IF(COUNTIF(V982:$W982,"&gt;"&amp;0)&lt;5,IF(AND(COUNTIF(U$1237:U1584,1)&gt;7,MOD(1+IFERROR(MATCH($C982,总览!$D$46:$D$345,1)+1,1),7)=0),$C$3,0),0)</f>
        <v>406.060551516079</v>
      </c>
      <c r="V982" s="131" cm="1">
        <f ca="1" t="array" ref="V982">IF(V1584=1,OFFSET($W$634,$B982,V$631-1)/SUMPRODUCT(--($D$631:$V$631=V$631),--($D1584:$V1584=1)),0)+SUM(V981)+IF(COUNTIF(V$1237:V1584,1)=1,5,0)+IF(COUNTIF(W982:$W982,"&gt;"&amp;0)&lt;5,IF(AND(COUNTIF(V$1237:V1584,1)&gt;7,MOD(1+IFERROR(MATCH($C982,总览!$D$46:$D$345,1)+1,1),7)=0),$C$3,0),0)</f>
        <v>425.887551228512</v>
      </c>
      <c r="W982" s="135" cm="1">
        <f ca="1" t="array" ref="W982">SUMPRODUCT(TRANSPOSE($AA982:$AG982),OFFSET($L$9:$L$15,0,W$631-1))</f>
        <v>16.8502200646615</v>
      </c>
      <c r="X982" s="135" cm="1">
        <f ca="1" t="array" ref="X982">SUMPRODUCT(TRANSPOSE($AA982:$AG982),OFFSET($L$9:$L$15,0,X$631-1))</f>
        <v>20</v>
      </c>
      <c r="Y982" s="135" cm="1">
        <f ca="1" t="array" ref="Y982">SUMPRODUCT(TRANSPOSE($AA982:$AG982),OFFSET($L$9:$L$15,0,Y$631-1))</f>
        <v>10</v>
      </c>
      <c r="Z982" s="135" cm="1">
        <f ca="1" t="array" ref="Z982">SUMPRODUCT(TRANSPOSE($AA982:$AG982),OFFSET($L$9:$L$15,0,Z$631-1))</f>
        <v>3.14977993533847</v>
      </c>
      <c r="AA982" s="136">
        <f ca="1" t="shared" ref="AA982:AG982" si="945">AH982-AH981</f>
        <v>0</v>
      </c>
      <c r="AB982" s="136">
        <f ca="1" t="shared" si="945"/>
        <v>0</v>
      </c>
      <c r="AC982" s="136">
        <f ca="1" t="shared" si="945"/>
        <v>0</v>
      </c>
      <c r="AD982" s="136">
        <f ca="1" t="shared" si="945"/>
        <v>0</v>
      </c>
      <c r="AE982" s="136">
        <f ca="1" t="shared" si="945"/>
        <v>0</v>
      </c>
      <c r="AF982" s="136">
        <f ca="1" t="shared" si="945"/>
        <v>0</v>
      </c>
      <c r="AG982" s="136">
        <f ca="1" t="shared" si="945"/>
        <v>100</v>
      </c>
      <c r="AH982" s="136">
        <f ca="1" t="shared" si="891"/>
        <v>450</v>
      </c>
      <c r="AI982" s="136">
        <f ca="1" t="shared" ref="AI982:AN982" si="946">IF($C982&gt;OFFSET($Q$8,MATCH(AI$634,$AH$634:$AN$634,0),0),OFFSET($P$8,MATCH(AI$634,$AH$634:$AN$634,0),0),MAX(0,$C982-OFFSET($Q$8,RIGHT(AI$634,1)-1,0)))</f>
        <v>909</v>
      </c>
      <c r="AJ982" s="136">
        <f ca="1" t="shared" si="946"/>
        <v>1818</v>
      </c>
      <c r="AK982" s="136">
        <f ca="1" t="shared" si="946"/>
        <v>2727</v>
      </c>
      <c r="AL982" s="136">
        <f ca="1" t="shared" si="946"/>
        <v>3636</v>
      </c>
      <c r="AM982" s="136">
        <f ca="1" t="shared" si="946"/>
        <v>4545</v>
      </c>
      <c r="AN982" s="136">
        <f ca="1" t="shared" si="946"/>
        <v>20715</v>
      </c>
    </row>
    <row r="983" s="106" customFormat="1" ht="16.5" spans="2:40">
      <c r="B983" s="117">
        <v>349</v>
      </c>
      <c r="C983" s="130">
        <f t="shared" si="889"/>
        <v>34900</v>
      </c>
      <c r="D983" s="131" cm="1">
        <f ca="1" t="array" ref="D983">IF(D1585=1,OFFSET($W$634,$B983,D$631-1)/SUMPRODUCT(--($D$631:$V$631=D$631),--($D1585:$V1585=1)),0)+SUM(D982)+IF(COUNTIF(D$1237:D1585,1)=1,5,0)+IF(COUNTIF(E983:$W983,"&gt;"&amp;0)&lt;5,IF(AND(COUNTIF(D$1237:D1585,1)&gt;7,MOD(1+IFERROR(MATCH($C983,总览!$D$46:$D$345,1)+1,1),7)=0),$C$3,0),0)</f>
        <v>2287.9457840531</v>
      </c>
      <c r="E983" s="131" cm="1">
        <f ca="1" t="array" ref="E983">IF(E1585=1,OFFSET($W$634,$B983,E$631-1)/SUMPRODUCT(--($D$631:$V$631=E$631),--($D1585:$V1585=1)),0)+SUM(E982)+IF(COUNTIF(E$1237:E1585,1)=1,5,0)+IF(COUNTIF(F983:$W983,"&gt;"&amp;0)&lt;5,IF(AND(COUNTIF(E$1237:E1585,1)&gt;7,MOD(1+IFERROR(MATCH($C983,总览!$D$46:$D$345,1)+1,1),7)=0),$C$3,0),0)</f>
        <v>2287.9457840531</v>
      </c>
      <c r="F983" s="131" cm="1">
        <f ca="1" t="array" ref="F983">IF(F1585=1,OFFSET($W$634,$B983,F$631-1)/SUMPRODUCT(--($D$631:$V$631=F$631),--($D1585:$V1585=1)),0)+SUM(F982)+IF(COUNTIF(F$1237:F1585,1)=1,5,0)+IF(COUNTIF(G983:$W983,"&gt;"&amp;0)&lt;5,IF(AND(COUNTIF(F$1237:F1585,1)&gt;7,MOD(1+IFERROR(MATCH($C983,总览!$D$46:$D$345,1)+1,1),7)=0),$C$3,0),0)</f>
        <v>2287.9457840531</v>
      </c>
      <c r="G983" s="131" cm="1">
        <f ca="1" t="array" ref="G983">IF(G1585=1,OFFSET($W$634,$B983,G$631-1)/SUMPRODUCT(--($D$631:$V$631=G$631),--($D1585:$V1585=1)),0)+SUM(G982)+IF(COUNTIF(G$1237:G1585,1)=1,5,0)+IF(COUNTIF(H983:$W983,"&gt;"&amp;0)&lt;5,IF(AND(COUNTIF(G$1237:G1585,1)&gt;7,MOD(1+IFERROR(MATCH($C983,总览!$D$46:$D$345,1)+1,1),7)=0),$C$3,0),0)</f>
        <v>1102.73333333334</v>
      </c>
      <c r="H983" s="131" cm="1">
        <f ca="1" t="array" ref="H983">IF(H1585=1,OFFSET($W$634,$B983,H$631-1)/SUMPRODUCT(--($D$631:$V$631=H$631),--($D1585:$V1585=1)),0)+SUM(H982)+IF(COUNTIF(H$1237:H1585,1)=1,5,0)+IF(COUNTIF(I983:$W983,"&gt;"&amp;0)&lt;5,IF(AND(COUNTIF(H$1237:H1585,1)&gt;7,MOD(1+IFERROR(MATCH($C983,总览!$D$46:$D$345,1)+1,1),7)=0),$C$3,0),0)</f>
        <v>1102.73333333334</v>
      </c>
      <c r="I983" s="131" cm="1">
        <f ca="1" t="array" ref="I983">IF(I1585=1,OFFSET($W$634,$B983,I$631-1)/SUMPRODUCT(--($D$631:$V$631=I$631),--($D1585:$V1585=1)),0)+SUM(I982)+IF(COUNTIF(I$1237:I1585,1)=1,5,0)+IF(COUNTIF(J983:$W983,"&gt;"&amp;0)&lt;5,IF(AND(COUNTIF(I$1237:I1585,1)&gt;7,MOD(1+IFERROR(MATCH($C983,总览!$D$46:$D$345,1)+1,1),7)=0),$C$3,0),0)</f>
        <v>1102.73333333334</v>
      </c>
      <c r="J983" s="131" cm="1">
        <f ca="1" t="array" ref="J983">IF(J1585=1,OFFSET($W$634,$B983,J$631-1)/SUMPRODUCT(--($D$631:$V$631=J$631),--($D1585:$V1585=1)),0)+SUM(J982)+IF(COUNTIF(J$1237:J1585,1)=1,5,0)+IF(COUNTIF(K983:$W983,"&gt;"&amp;0)&lt;5,IF(AND(COUNTIF(J$1237:J1585,1)&gt;7,MOD(1+IFERROR(MATCH($C983,总览!$D$46:$D$345,1)+1,1),7)=0),$C$3,0),0)</f>
        <v>1099.4</v>
      </c>
      <c r="K983" s="131" cm="1">
        <f ca="1" t="array" ref="K983">IF(K1585=1,OFFSET($W$634,$B983,K$631-1)/SUMPRODUCT(--($D$631:$V$631=K$631),--($D1585:$V1585=1)),0)+SUM(K982)+IF(COUNTIF(K$1237:K1585,1)=1,5,0)+IF(COUNTIF(L983:$W983,"&gt;"&amp;0)&lt;5,IF(AND(COUNTIF(K$1237:K1585,1)&gt;7,MOD(1+IFERROR(MATCH($C983,总览!$D$46:$D$345,1)+1,1),7)=0),$C$3,0),0)</f>
        <v>1096.9</v>
      </c>
      <c r="L983" s="131" cm="1">
        <f ca="1" t="array" ref="L983">IF(L1585=1,OFFSET($W$634,$B983,L$631-1)/SUMPRODUCT(--($D$631:$V$631=L$631),--($D1585:$V1585=1)),0)+SUM(L982)+IF(COUNTIF(L$1237:L1585,1)=1,5,0)+IF(COUNTIF(M983:$W983,"&gt;"&amp;0)&lt;5,IF(AND(COUNTIF(L$1237:L1585,1)&gt;7,MOD(1+IFERROR(MATCH($C983,总览!$D$46:$D$345,1)+1,1),7)=0),$C$3,0),0)</f>
        <v>1096.9</v>
      </c>
      <c r="M983" s="131" cm="1">
        <f ca="1" t="array" ref="M983">IF(M1585=1,OFFSET($W$634,$B983,M$631-1)/SUMPRODUCT(--($D$631:$V$631=M$631),--($D1585:$V1585=1)),0)+SUM(M982)+IF(COUNTIF(M$1237:M1585,1)=1,5,0)+IF(COUNTIF(N983:$W983,"&gt;"&amp;0)&lt;5,IF(AND(COUNTIF(M$1237:M1585,1)&gt;7,MOD(1+IFERROR(MATCH($C983,总览!$D$46:$D$345,1)+1,1),7)=0),$C$3,0),0)</f>
        <v>456.324107142858</v>
      </c>
      <c r="N983" s="131" cm="1">
        <f ca="1" t="array" ref="N983">IF(N1585=1,OFFSET($W$634,$B983,N$631-1)/SUMPRODUCT(--($D$631:$V$631=N$631),--($D1585:$V1585=1)),0)+SUM(N982)+IF(COUNTIF(N$1237:N1585,1)=1,5,0)+IF(COUNTIF(O983:$W983,"&gt;"&amp;0)&lt;5,IF(AND(COUNTIF(N$1237:N1585,1)&gt;7,MOD(1+IFERROR(MATCH($C983,总览!$D$46:$D$345,1)+1,1),7)=0),$C$3,0),0)</f>
        <v>457.574107142858</v>
      </c>
      <c r="O983" s="131" cm="1">
        <f ca="1" t="array" ref="O983">IF(O1585=1,OFFSET($W$634,$B983,O$631-1)/SUMPRODUCT(--($D$631:$V$631=O$631),--($D1585:$V1585=1)),0)+SUM(O982)+IF(COUNTIF(O$1237:O1585,1)=1,5,0)+IF(COUNTIF(P983:$W983,"&gt;"&amp;0)&lt;5,IF(AND(COUNTIF(O$1237:O1585,1)&gt;7,MOD(1+IFERROR(MATCH($C983,总览!$D$46:$D$345,1)+1,1),7)=0),$C$3,0),0)</f>
        <v>462.574107142858</v>
      </c>
      <c r="P983" s="131" cm="1">
        <f ca="1" t="array" ref="P983">IF(P1585=1,OFFSET($W$634,$B983,P$631-1)/SUMPRODUCT(--($D$631:$V$631=P$631),--($D1585:$V1585=1)),0)+SUM(P982)+IF(COUNTIF(P$1237:P1585,1)=1,5,0)+IF(COUNTIF(Q983:$W983,"&gt;"&amp;0)&lt;5,IF(AND(COUNTIF(P$1237:P1585,1)&gt;7,MOD(1+IFERROR(MATCH($C983,总览!$D$46:$D$345,1)+1,1),7)=0),$C$3,0),0)</f>
        <v>451.692857142858</v>
      </c>
      <c r="Q983" s="131" cm="1">
        <f ca="1" t="array" ref="Q983">IF(Q1585=1,OFFSET($W$634,$B983,Q$631-1)/SUMPRODUCT(--($D$631:$V$631=Q$631),--($D1585:$V1585=1)),0)+SUM(Q982)+IF(COUNTIF(Q$1237:Q1585,1)=1,5,0)+IF(COUNTIF(R983:$W983,"&gt;"&amp;0)&lt;5,IF(AND(COUNTIF(Q$1237:Q1585,1)&gt;7,MOD(1+IFERROR(MATCH($C983,总览!$D$46:$D$345,1)+1,1),7)=0),$C$3,0),0)</f>
        <v>465.074107142858</v>
      </c>
      <c r="R983" s="131" cm="1">
        <f ca="1" t="array" ref="R983">IF(R1585=1,OFFSET($W$634,$B983,R$631-1)/SUMPRODUCT(--($D$631:$V$631=R$631),--($D1585:$V1585=1)),0)+SUM(R982)+IF(COUNTIF(R$1237:R1585,1)=1,5,0)+IF(COUNTIF(S983:$W983,"&gt;"&amp;0)&lt;5,IF(AND(COUNTIF(R$1237:R1585,1)&gt;7,MOD(1+IFERROR(MATCH($C983,总览!$D$46:$D$345,1)+1,1),7)=0),$C$3,0),0)</f>
        <v>456.692857142858</v>
      </c>
      <c r="S983" s="131" cm="1">
        <f ca="1" t="array" ref="S983">IF(S1585=1,OFFSET($W$634,$B983,S$631-1)/SUMPRODUCT(--($D$631:$V$631=S$631),--($D1585:$V1585=1)),0)+SUM(S982)+IF(COUNTIF(S$1237:S1585,1)=1,5,0)+IF(COUNTIF(T983:$W983,"&gt;"&amp;0)&lt;5,IF(AND(COUNTIF(S$1237:S1585,1)&gt;7,MOD(1+IFERROR(MATCH($C983,总览!$D$46:$D$345,1)+1,1),7)=0),$C$3,0),0)</f>
        <v>549.192857142859</v>
      </c>
      <c r="T983" s="131" cm="1">
        <f ca="1" t="array" ref="T983">IF(T1585=1,OFFSET($W$634,$B983,T$631-1)/SUMPRODUCT(--($D$631:$V$631=T$631),--($D1585:$V1585=1)),0)+SUM(T982)+IF(COUNTIF(T$1237:T1585,1)=1,5,0)+IF(COUNTIF(U983:$W983,"&gt;"&amp;0)&lt;5,IF(AND(COUNTIF(T$1237:T1585,1)&gt;7,MOD(1+IFERROR(MATCH($C983,总览!$D$46:$D$345,1)+1,1),7)=0),$C$3,0),0)</f>
        <v>401.589691805892</v>
      </c>
      <c r="U983" s="131" cm="1">
        <f ca="1" t="array" ref="U983">IF(U1585=1,OFFSET($W$634,$B983,U$631-1)/SUMPRODUCT(--($D$631:$V$631=U$631),--($D1585:$V1585=1)),0)+SUM(U982)+IF(COUNTIF(U$1237:U1585,1)=1,5,0)+IF(COUNTIF(V983:$W983,"&gt;"&amp;0)&lt;5,IF(AND(COUNTIF(U$1237:U1585,1)&gt;7,MOD(1+IFERROR(MATCH($C983,总览!$D$46:$D$345,1)+1,1),7)=0),$C$3,0),0)</f>
        <v>407.110478161191</v>
      </c>
      <c r="V983" s="131" cm="1">
        <f ca="1" t="array" ref="V983">IF(V1585=1,OFFSET($W$634,$B983,V$631-1)/SUMPRODUCT(--($D$631:$V$631=V$631),--($D1585:$V1585=1)),0)+SUM(V982)+IF(COUNTIF(V$1237:V1585,1)=1,5,0)+IF(COUNTIF(W983:$W983,"&gt;"&amp;0)&lt;5,IF(AND(COUNTIF(V$1237:V1585,1)&gt;7,MOD(1+IFERROR(MATCH($C983,总览!$D$46:$D$345,1)+1,1),7)=0),$C$3,0),0)</f>
        <v>426.937477873624</v>
      </c>
      <c r="W983" s="135" cm="1">
        <f ca="1" t="array" ref="W983">SUMPRODUCT(TRANSPOSE($AA983:$AG983),OFFSET($L$9:$L$15,0,W$631-1))</f>
        <v>16.8502200646615</v>
      </c>
      <c r="X983" s="135" cm="1">
        <f ca="1" t="array" ref="X983">SUMPRODUCT(TRANSPOSE($AA983:$AG983),OFFSET($L$9:$L$15,0,X$631-1))</f>
        <v>20</v>
      </c>
      <c r="Y983" s="135" cm="1">
        <f ca="1" t="array" ref="Y983">SUMPRODUCT(TRANSPOSE($AA983:$AG983),OFFSET($L$9:$L$15,0,Y$631-1))</f>
        <v>10</v>
      </c>
      <c r="Z983" s="135" cm="1">
        <f ca="1" t="array" ref="Z983">SUMPRODUCT(TRANSPOSE($AA983:$AG983),OFFSET($L$9:$L$15,0,Z$631-1))</f>
        <v>3.14977993533847</v>
      </c>
      <c r="AA983" s="136">
        <f ca="1" t="shared" ref="AA983:AG983" si="947">AH983-AH982</f>
        <v>0</v>
      </c>
      <c r="AB983" s="136">
        <f ca="1" t="shared" si="947"/>
        <v>0</v>
      </c>
      <c r="AC983" s="136">
        <f ca="1" t="shared" si="947"/>
        <v>0</v>
      </c>
      <c r="AD983" s="136">
        <f ca="1" t="shared" si="947"/>
        <v>0</v>
      </c>
      <c r="AE983" s="136">
        <f ca="1" t="shared" si="947"/>
        <v>0</v>
      </c>
      <c r="AF983" s="136">
        <f ca="1" t="shared" si="947"/>
        <v>0</v>
      </c>
      <c r="AG983" s="136">
        <f ca="1" t="shared" si="947"/>
        <v>100</v>
      </c>
      <c r="AH983" s="136">
        <f ca="1" t="shared" si="891"/>
        <v>450</v>
      </c>
      <c r="AI983" s="136">
        <f ca="1" t="shared" ref="AI983:AN983" si="948">IF($C983&gt;OFFSET($Q$8,MATCH(AI$634,$AH$634:$AN$634,0),0),OFFSET($P$8,MATCH(AI$634,$AH$634:$AN$634,0),0),MAX(0,$C983-OFFSET($Q$8,RIGHT(AI$634,1)-1,0)))</f>
        <v>909</v>
      </c>
      <c r="AJ983" s="136">
        <f ca="1" t="shared" si="948"/>
        <v>1818</v>
      </c>
      <c r="AK983" s="136">
        <f ca="1" t="shared" si="948"/>
        <v>2727</v>
      </c>
      <c r="AL983" s="136">
        <f ca="1" t="shared" si="948"/>
        <v>3636</v>
      </c>
      <c r="AM983" s="136">
        <f ca="1" t="shared" si="948"/>
        <v>4545</v>
      </c>
      <c r="AN983" s="136">
        <f ca="1" t="shared" si="948"/>
        <v>20815</v>
      </c>
    </row>
    <row r="984" s="106" customFormat="1" ht="16.5" spans="2:40">
      <c r="B984" s="117">
        <v>350</v>
      </c>
      <c r="C984" s="130">
        <f t="shared" si="889"/>
        <v>35000</v>
      </c>
      <c r="D984" s="131" cm="1">
        <f ca="1" t="array" ref="D984">IF(D1586=1,OFFSET($W$634,$B984,D$631-1)/SUMPRODUCT(--($D$631:$V$631=D$631),--($D1586:$V1586=1)),0)+SUM(D983)+IF(COUNTIF(D$1237:D1586,1)=1,5,0)+IF(COUNTIF(E984:$W984,"&gt;"&amp;0)&lt;5,IF(AND(COUNTIF(D$1237:D1586,1)&gt;7,MOD(1+IFERROR(MATCH($C984,总览!$D$46:$D$345,1)+1,1),7)=0),$C$3,0),0)</f>
        <v>2293.56252407465</v>
      </c>
      <c r="E984" s="131" cm="1">
        <f ca="1" t="array" ref="E984">IF(E1586=1,OFFSET($W$634,$B984,E$631-1)/SUMPRODUCT(--($D$631:$V$631=E$631),--($D1586:$V1586=1)),0)+SUM(E983)+IF(COUNTIF(E$1237:E1586,1)=1,5,0)+IF(COUNTIF(F984:$W984,"&gt;"&amp;0)&lt;5,IF(AND(COUNTIF(E$1237:E1586,1)&gt;7,MOD(1+IFERROR(MATCH($C984,总览!$D$46:$D$345,1)+1,1),7)=0),$C$3,0),0)</f>
        <v>2293.56252407465</v>
      </c>
      <c r="F984" s="131" cm="1">
        <f ca="1" t="array" ref="F984">IF(F1586=1,OFFSET($W$634,$B984,F$631-1)/SUMPRODUCT(--($D$631:$V$631=F$631),--($D1586:$V1586=1)),0)+SUM(F983)+IF(COUNTIF(F$1237:F1586,1)=1,5,0)+IF(COUNTIF(G984:$W984,"&gt;"&amp;0)&lt;5,IF(AND(COUNTIF(F$1237:F1586,1)&gt;7,MOD(1+IFERROR(MATCH($C984,总览!$D$46:$D$345,1)+1,1),7)=0),$C$3,0),0)</f>
        <v>2293.56252407465</v>
      </c>
      <c r="G984" s="131" cm="1">
        <f ca="1" t="array" ref="G984">IF(G1586=1,OFFSET($W$634,$B984,G$631-1)/SUMPRODUCT(--($D$631:$V$631=G$631),--($D1586:$V1586=1)),0)+SUM(G983)+IF(COUNTIF(G$1237:G1586,1)=1,5,0)+IF(COUNTIF(H984:$W984,"&gt;"&amp;0)&lt;5,IF(AND(COUNTIF(G$1237:G1586,1)&gt;7,MOD(1+IFERROR(MATCH($C984,总览!$D$46:$D$345,1)+1,1),7)=0),$C$3,0),0)</f>
        <v>1106.06666666667</v>
      </c>
      <c r="H984" s="131" cm="1">
        <f ca="1" t="array" ref="H984">IF(H1586=1,OFFSET($W$634,$B984,H$631-1)/SUMPRODUCT(--($D$631:$V$631=H$631),--($D1586:$V1586=1)),0)+SUM(H983)+IF(COUNTIF(H$1237:H1586,1)=1,5,0)+IF(COUNTIF(I984:$W984,"&gt;"&amp;0)&lt;5,IF(AND(COUNTIF(H$1237:H1586,1)&gt;7,MOD(1+IFERROR(MATCH($C984,总览!$D$46:$D$345,1)+1,1),7)=0),$C$3,0),0)</f>
        <v>1106.06666666667</v>
      </c>
      <c r="I984" s="131" cm="1">
        <f ca="1" t="array" ref="I984">IF(I1586=1,OFFSET($W$634,$B984,I$631-1)/SUMPRODUCT(--($D$631:$V$631=I$631),--($D1586:$V1586=1)),0)+SUM(I983)+IF(COUNTIF(I$1237:I1586,1)=1,5,0)+IF(COUNTIF(J984:$W984,"&gt;"&amp;0)&lt;5,IF(AND(COUNTIF(I$1237:I1586,1)&gt;7,MOD(1+IFERROR(MATCH($C984,总览!$D$46:$D$345,1)+1,1),7)=0),$C$3,0),0)</f>
        <v>1106.06666666667</v>
      </c>
      <c r="J984" s="131" cm="1">
        <f ca="1" t="array" ref="J984">IF(J1586=1,OFFSET($W$634,$B984,J$631-1)/SUMPRODUCT(--($D$631:$V$631=J$631),--($D1586:$V1586=1)),0)+SUM(J983)+IF(COUNTIF(J$1237:J1586,1)=1,5,0)+IF(COUNTIF(K984:$W984,"&gt;"&amp;0)&lt;5,IF(AND(COUNTIF(J$1237:J1586,1)&gt;7,MOD(1+IFERROR(MATCH($C984,总览!$D$46:$D$345,1)+1,1),7)=0),$C$3,0),0)</f>
        <v>1102.73333333334</v>
      </c>
      <c r="K984" s="131" cm="1">
        <f ca="1" t="array" ref="K984">IF(K1586=1,OFFSET($W$634,$B984,K$631-1)/SUMPRODUCT(--($D$631:$V$631=K$631),--($D1586:$V1586=1)),0)+SUM(K983)+IF(COUNTIF(K$1237:K1586,1)=1,5,0)+IF(COUNTIF(L984:$W984,"&gt;"&amp;0)&lt;5,IF(AND(COUNTIF(K$1237:K1586,1)&gt;7,MOD(1+IFERROR(MATCH($C984,总览!$D$46:$D$345,1)+1,1),7)=0),$C$3,0),0)</f>
        <v>1100.23333333334</v>
      </c>
      <c r="L984" s="131" cm="1">
        <f ca="1" t="array" ref="L984">IF(L1586=1,OFFSET($W$634,$B984,L$631-1)/SUMPRODUCT(--($D$631:$V$631=L$631),--($D1586:$V1586=1)),0)+SUM(L983)+IF(COUNTIF(L$1237:L1586,1)=1,5,0)+IF(COUNTIF(M984:$W984,"&gt;"&amp;0)&lt;5,IF(AND(COUNTIF(L$1237:L1586,1)&gt;7,MOD(1+IFERROR(MATCH($C984,总览!$D$46:$D$345,1)+1,1),7)=0),$C$3,0),0)</f>
        <v>1100.23333333334</v>
      </c>
      <c r="M984" s="131" cm="1">
        <f ca="1" t="array" ref="M984">IF(M1586=1,OFFSET($W$634,$B984,M$631-1)/SUMPRODUCT(--($D$631:$V$631=M$631),--($D1586:$V1586=1)),0)+SUM(M983)+IF(COUNTIF(M$1237:M1586,1)=1,5,0)+IF(COUNTIF(N984:$W984,"&gt;"&amp;0)&lt;5,IF(AND(COUNTIF(M$1237:M1586,1)&gt;7,MOD(1+IFERROR(MATCH($C984,总览!$D$46:$D$345,1)+1,1),7)=0),$C$3,0),0)</f>
        <v>457.75267857143</v>
      </c>
      <c r="N984" s="131" cm="1">
        <f ca="1" t="array" ref="N984">IF(N1586=1,OFFSET($W$634,$B984,N$631-1)/SUMPRODUCT(--($D$631:$V$631=N$631),--($D1586:$V1586=1)),0)+SUM(N983)+IF(COUNTIF(N$1237:N1586,1)=1,5,0)+IF(COUNTIF(O984:$W984,"&gt;"&amp;0)&lt;5,IF(AND(COUNTIF(N$1237:N1586,1)&gt;7,MOD(1+IFERROR(MATCH($C984,总览!$D$46:$D$345,1)+1,1),7)=0),$C$3,0),0)</f>
        <v>459.00267857143</v>
      </c>
      <c r="O984" s="131" cm="1">
        <f ca="1" t="array" ref="O984">IF(O1586=1,OFFSET($W$634,$B984,O$631-1)/SUMPRODUCT(--($D$631:$V$631=O$631),--($D1586:$V1586=1)),0)+SUM(O983)+IF(COUNTIF(O$1237:O1586,1)=1,5,0)+IF(COUNTIF(P984:$W984,"&gt;"&amp;0)&lt;5,IF(AND(COUNTIF(O$1237:O1586,1)&gt;7,MOD(1+IFERROR(MATCH($C984,总览!$D$46:$D$345,1)+1,1),7)=0),$C$3,0),0)</f>
        <v>464.00267857143</v>
      </c>
      <c r="P984" s="131" cm="1">
        <f ca="1" t="array" ref="P984">IF(P1586=1,OFFSET($W$634,$B984,P$631-1)/SUMPRODUCT(--($D$631:$V$631=P$631),--($D1586:$V1586=1)),0)+SUM(P983)+IF(COUNTIF(P$1237:P1586,1)=1,5,0)+IF(COUNTIF(Q984:$W984,"&gt;"&amp;0)&lt;5,IF(AND(COUNTIF(P$1237:P1586,1)&gt;7,MOD(1+IFERROR(MATCH($C984,总览!$D$46:$D$345,1)+1,1),7)=0),$C$3,0),0)</f>
        <v>453.12142857143</v>
      </c>
      <c r="Q984" s="131" cm="1">
        <f ca="1" t="array" ref="Q984">IF(Q1586=1,OFFSET($W$634,$B984,Q$631-1)/SUMPRODUCT(--($D$631:$V$631=Q$631),--($D1586:$V1586=1)),0)+SUM(Q983)+IF(COUNTIF(Q$1237:Q1586,1)=1,5,0)+IF(COUNTIF(R984:$W984,"&gt;"&amp;0)&lt;5,IF(AND(COUNTIF(Q$1237:Q1586,1)&gt;7,MOD(1+IFERROR(MATCH($C984,总览!$D$46:$D$345,1)+1,1),7)=0),$C$3,0),0)</f>
        <v>466.50267857143</v>
      </c>
      <c r="R984" s="131" cm="1">
        <f ca="1" t="array" ref="R984">IF(R1586=1,OFFSET($W$634,$B984,R$631-1)/SUMPRODUCT(--($D$631:$V$631=R$631),--($D1586:$V1586=1)),0)+SUM(R983)+IF(COUNTIF(R$1237:R1586,1)=1,5,0)+IF(COUNTIF(S984:$W984,"&gt;"&amp;0)&lt;5,IF(AND(COUNTIF(R$1237:R1586,1)&gt;7,MOD(1+IFERROR(MATCH($C984,总览!$D$46:$D$345,1)+1,1),7)=0),$C$3,0),0)</f>
        <v>458.12142857143</v>
      </c>
      <c r="S984" s="131" cm="1">
        <f ca="1" t="array" ref="S984">IF(S1586=1,OFFSET($W$634,$B984,S$631-1)/SUMPRODUCT(--($D$631:$V$631=S$631),--($D1586:$V1586=1)),0)+SUM(S983)+IF(COUNTIF(S$1237:S1586,1)=1,5,0)+IF(COUNTIF(T984:$W984,"&gt;"&amp;0)&lt;5,IF(AND(COUNTIF(S$1237:S1586,1)&gt;7,MOD(1+IFERROR(MATCH($C984,总览!$D$46:$D$345,1)+1,1),7)=0),$C$3,0),0)</f>
        <v>550.621428571431</v>
      </c>
      <c r="T984" s="131" cm="1">
        <f ca="1" t="array" ref="T984">IF(T1586=1,OFFSET($W$634,$B984,T$631-1)/SUMPRODUCT(--($D$631:$V$631=T$631),--($D1586:$V1586=1)),0)+SUM(T983)+IF(COUNTIF(T$1237:T1586,1)=1,5,0)+IF(COUNTIF(U984:$W984,"&gt;"&amp;0)&lt;5,IF(AND(COUNTIF(T$1237:T1586,1)&gt;7,MOD(1+IFERROR(MATCH($C984,总览!$D$46:$D$345,1)+1,1),7)=0),$C$3,0),0)</f>
        <v>402.639618451005</v>
      </c>
      <c r="U984" s="131" cm="1">
        <f ca="1" t="array" ref="U984">IF(U1586=1,OFFSET($W$634,$B984,U$631-1)/SUMPRODUCT(--($D$631:$V$631=U$631),--($D1586:$V1586=1)),0)+SUM(U983)+IF(COUNTIF(U$1237:U1586,1)=1,5,0)+IF(COUNTIF(V984:$W984,"&gt;"&amp;0)&lt;5,IF(AND(COUNTIF(U$1237:U1586,1)&gt;7,MOD(1+IFERROR(MATCH($C984,总览!$D$46:$D$345,1)+1,1),7)=0),$C$3,0),0)</f>
        <v>408.160404806304</v>
      </c>
      <c r="V984" s="131" cm="1">
        <f ca="1" t="array" ref="V984">IF(V1586=1,OFFSET($W$634,$B984,V$631-1)/SUMPRODUCT(--($D$631:$V$631=V$631),--($D1586:$V1586=1)),0)+SUM(V983)+IF(COUNTIF(V$1237:V1586,1)=1,5,0)+IF(COUNTIF(W984:$W984,"&gt;"&amp;0)&lt;5,IF(AND(COUNTIF(V$1237:V1586,1)&gt;7,MOD(1+IFERROR(MATCH($C984,总览!$D$46:$D$345,1)+1,1),7)=0),$C$3,0),0)</f>
        <v>427.987404518737</v>
      </c>
      <c r="W984" s="135" cm="1">
        <f ca="1" t="array" ref="W984">SUMPRODUCT(TRANSPOSE($AA984:$AG984),OFFSET($L$9:$L$15,0,W$631-1))</f>
        <v>16.8502200646615</v>
      </c>
      <c r="X984" s="135" cm="1">
        <f ca="1" t="array" ref="X984">SUMPRODUCT(TRANSPOSE($AA984:$AG984),OFFSET($L$9:$L$15,0,X$631-1))</f>
        <v>20</v>
      </c>
      <c r="Y984" s="135" cm="1">
        <f ca="1" t="array" ref="Y984">SUMPRODUCT(TRANSPOSE($AA984:$AG984),OFFSET($L$9:$L$15,0,Y$631-1))</f>
        <v>10</v>
      </c>
      <c r="Z984" s="135" cm="1">
        <f ca="1" t="array" ref="Z984">SUMPRODUCT(TRANSPOSE($AA984:$AG984),OFFSET($L$9:$L$15,0,Z$631-1))</f>
        <v>3.14977993533847</v>
      </c>
      <c r="AA984" s="136">
        <f ca="1" t="shared" ref="AA984:AG984" si="949">AH984-AH983</f>
        <v>0</v>
      </c>
      <c r="AB984" s="136">
        <f ca="1" t="shared" si="949"/>
        <v>0</v>
      </c>
      <c r="AC984" s="136">
        <f ca="1" t="shared" si="949"/>
        <v>0</v>
      </c>
      <c r="AD984" s="136">
        <f ca="1" t="shared" si="949"/>
        <v>0</v>
      </c>
      <c r="AE984" s="136">
        <f ca="1" t="shared" si="949"/>
        <v>0</v>
      </c>
      <c r="AF984" s="136">
        <f ca="1" t="shared" si="949"/>
        <v>0</v>
      </c>
      <c r="AG984" s="136">
        <f ca="1" t="shared" si="949"/>
        <v>100</v>
      </c>
      <c r="AH984" s="136">
        <f ca="1" t="shared" si="891"/>
        <v>450</v>
      </c>
      <c r="AI984" s="136">
        <f ca="1" t="shared" ref="AI984:AN984" si="950">IF($C984&gt;OFFSET($Q$8,MATCH(AI$634,$AH$634:$AN$634,0),0),OFFSET($P$8,MATCH(AI$634,$AH$634:$AN$634,0),0),MAX(0,$C984-OFFSET($Q$8,RIGHT(AI$634,1)-1,0)))</f>
        <v>909</v>
      </c>
      <c r="AJ984" s="136">
        <f ca="1" t="shared" si="950"/>
        <v>1818</v>
      </c>
      <c r="AK984" s="136">
        <f ca="1" t="shared" si="950"/>
        <v>2727</v>
      </c>
      <c r="AL984" s="136">
        <f ca="1" t="shared" si="950"/>
        <v>3636</v>
      </c>
      <c r="AM984" s="136">
        <f ca="1" t="shared" si="950"/>
        <v>4545</v>
      </c>
      <c r="AN984" s="136">
        <f ca="1" t="shared" si="950"/>
        <v>20915</v>
      </c>
    </row>
    <row r="985" s="106" customFormat="1" ht="16.5" spans="2:40">
      <c r="B985" s="117">
        <v>351</v>
      </c>
      <c r="C985" s="130">
        <f t="shared" si="889"/>
        <v>35100</v>
      </c>
      <c r="D985" s="131" cm="1">
        <f ca="1" t="array" ref="D985">IF(D1587=1,OFFSET($W$634,$B985,D$631-1)/SUMPRODUCT(--($D$631:$V$631=D$631),--($D1587:$V1587=1)),0)+SUM(D984)+IF(COUNTIF(D$1237:D1587,1)=1,5,0)+IF(COUNTIF(E985:$W985,"&gt;"&amp;0)&lt;5,IF(AND(COUNTIF(D$1237:D1587,1)&gt;7,MOD(1+IFERROR(MATCH($C985,总览!$D$46:$D$345,1)+1,1),7)=0),$C$3,0),0)</f>
        <v>2299.17926409621</v>
      </c>
      <c r="E985" s="131" cm="1">
        <f ca="1" t="array" ref="E985">IF(E1587=1,OFFSET($W$634,$B985,E$631-1)/SUMPRODUCT(--($D$631:$V$631=E$631),--($D1587:$V1587=1)),0)+SUM(E984)+IF(COUNTIF(E$1237:E1587,1)=1,5,0)+IF(COUNTIF(F985:$W985,"&gt;"&amp;0)&lt;5,IF(AND(COUNTIF(E$1237:E1587,1)&gt;7,MOD(1+IFERROR(MATCH($C985,总览!$D$46:$D$345,1)+1,1),7)=0),$C$3,0),0)</f>
        <v>2299.17926409621</v>
      </c>
      <c r="F985" s="131" cm="1">
        <f ca="1" t="array" ref="F985">IF(F1587=1,OFFSET($W$634,$B985,F$631-1)/SUMPRODUCT(--($D$631:$V$631=F$631),--($D1587:$V1587=1)),0)+SUM(F984)+IF(COUNTIF(F$1237:F1587,1)=1,5,0)+IF(COUNTIF(G985:$W985,"&gt;"&amp;0)&lt;5,IF(AND(COUNTIF(F$1237:F1587,1)&gt;7,MOD(1+IFERROR(MATCH($C985,总览!$D$46:$D$345,1)+1,1),7)=0),$C$3,0),0)</f>
        <v>2299.17926409621</v>
      </c>
      <c r="G985" s="131" cm="1">
        <f ca="1" t="array" ref="G985">IF(G1587=1,OFFSET($W$634,$B985,G$631-1)/SUMPRODUCT(--($D$631:$V$631=G$631),--($D1587:$V1587=1)),0)+SUM(G984)+IF(COUNTIF(G$1237:G1587,1)=1,5,0)+IF(COUNTIF(H985:$W985,"&gt;"&amp;0)&lt;5,IF(AND(COUNTIF(G$1237:G1587,1)&gt;7,MOD(1+IFERROR(MATCH($C985,总览!$D$46:$D$345,1)+1,1),7)=0),$C$3,0),0)</f>
        <v>1109.4</v>
      </c>
      <c r="H985" s="131" cm="1">
        <f ca="1" t="array" ref="H985">IF(H1587=1,OFFSET($W$634,$B985,H$631-1)/SUMPRODUCT(--($D$631:$V$631=H$631),--($D1587:$V1587=1)),0)+SUM(H984)+IF(COUNTIF(H$1237:H1587,1)=1,5,0)+IF(COUNTIF(I985:$W985,"&gt;"&amp;0)&lt;5,IF(AND(COUNTIF(H$1237:H1587,1)&gt;7,MOD(1+IFERROR(MATCH($C985,总览!$D$46:$D$345,1)+1,1),7)=0),$C$3,0),0)</f>
        <v>1109.4</v>
      </c>
      <c r="I985" s="131" cm="1">
        <f ca="1" t="array" ref="I985">IF(I1587=1,OFFSET($W$634,$B985,I$631-1)/SUMPRODUCT(--($D$631:$V$631=I$631),--($D1587:$V1587=1)),0)+SUM(I984)+IF(COUNTIF(I$1237:I1587,1)=1,5,0)+IF(COUNTIF(J985:$W985,"&gt;"&amp;0)&lt;5,IF(AND(COUNTIF(I$1237:I1587,1)&gt;7,MOD(1+IFERROR(MATCH($C985,总览!$D$46:$D$345,1)+1,1),7)=0),$C$3,0),0)</f>
        <v>1109.4</v>
      </c>
      <c r="J985" s="131" cm="1">
        <f ca="1" t="array" ref="J985">IF(J1587=1,OFFSET($W$634,$B985,J$631-1)/SUMPRODUCT(--($D$631:$V$631=J$631),--($D1587:$V1587=1)),0)+SUM(J984)+IF(COUNTIF(J$1237:J1587,1)=1,5,0)+IF(COUNTIF(K985:$W985,"&gt;"&amp;0)&lt;5,IF(AND(COUNTIF(J$1237:J1587,1)&gt;7,MOD(1+IFERROR(MATCH($C985,总览!$D$46:$D$345,1)+1,1),7)=0),$C$3,0),0)</f>
        <v>1106.06666666667</v>
      </c>
      <c r="K985" s="131" cm="1">
        <f ca="1" t="array" ref="K985">IF(K1587=1,OFFSET($W$634,$B985,K$631-1)/SUMPRODUCT(--($D$631:$V$631=K$631),--($D1587:$V1587=1)),0)+SUM(K984)+IF(COUNTIF(K$1237:K1587,1)=1,5,0)+IF(COUNTIF(L985:$W985,"&gt;"&amp;0)&lt;5,IF(AND(COUNTIF(K$1237:K1587,1)&gt;7,MOD(1+IFERROR(MATCH($C985,总览!$D$46:$D$345,1)+1,1),7)=0),$C$3,0),0)</f>
        <v>1103.56666666667</v>
      </c>
      <c r="L985" s="131" cm="1">
        <f ca="1" t="array" ref="L985">IF(L1587=1,OFFSET($W$634,$B985,L$631-1)/SUMPRODUCT(--($D$631:$V$631=L$631),--($D1587:$V1587=1)),0)+SUM(L984)+IF(COUNTIF(L$1237:L1587,1)=1,5,0)+IF(COUNTIF(M985:$W985,"&gt;"&amp;0)&lt;5,IF(AND(COUNTIF(L$1237:L1587,1)&gt;7,MOD(1+IFERROR(MATCH($C985,总览!$D$46:$D$345,1)+1,1),7)=0),$C$3,0),0)</f>
        <v>1103.56666666667</v>
      </c>
      <c r="M985" s="131" cm="1">
        <f ca="1" t="array" ref="M985">IF(M1587=1,OFFSET($W$634,$B985,M$631-1)/SUMPRODUCT(--($D$631:$V$631=M$631),--($D1587:$V1587=1)),0)+SUM(M984)+IF(COUNTIF(M$1237:M1587,1)=1,5,0)+IF(COUNTIF(N985:$W985,"&gt;"&amp;0)&lt;5,IF(AND(COUNTIF(M$1237:M1587,1)&gt;7,MOD(1+IFERROR(MATCH($C985,总览!$D$46:$D$345,1)+1,1),7)=0),$C$3,0),0)</f>
        <v>459.181250000001</v>
      </c>
      <c r="N985" s="131" cm="1">
        <f ca="1" t="array" ref="N985">IF(N1587=1,OFFSET($W$634,$B985,N$631-1)/SUMPRODUCT(--($D$631:$V$631=N$631),--($D1587:$V1587=1)),0)+SUM(N984)+IF(COUNTIF(N$1237:N1587,1)=1,5,0)+IF(COUNTIF(O985:$W985,"&gt;"&amp;0)&lt;5,IF(AND(COUNTIF(N$1237:N1587,1)&gt;7,MOD(1+IFERROR(MATCH($C985,总览!$D$46:$D$345,1)+1,1),7)=0),$C$3,0),0)</f>
        <v>460.431250000001</v>
      </c>
      <c r="O985" s="131" cm="1">
        <f ca="1" t="array" ref="O985">IF(O1587=1,OFFSET($W$634,$B985,O$631-1)/SUMPRODUCT(--($D$631:$V$631=O$631),--($D1587:$V1587=1)),0)+SUM(O984)+IF(COUNTIF(O$1237:O1587,1)=1,5,0)+IF(COUNTIF(P985:$W985,"&gt;"&amp;0)&lt;5,IF(AND(COUNTIF(O$1237:O1587,1)&gt;7,MOD(1+IFERROR(MATCH($C985,总览!$D$46:$D$345,1)+1,1),7)=0),$C$3,0),0)</f>
        <v>465.431250000001</v>
      </c>
      <c r="P985" s="131" cm="1">
        <f ca="1" t="array" ref="P985">IF(P1587=1,OFFSET($W$634,$B985,P$631-1)/SUMPRODUCT(--($D$631:$V$631=P$631),--($D1587:$V1587=1)),0)+SUM(P984)+IF(COUNTIF(P$1237:P1587,1)=1,5,0)+IF(COUNTIF(Q985:$W985,"&gt;"&amp;0)&lt;5,IF(AND(COUNTIF(P$1237:P1587,1)&gt;7,MOD(1+IFERROR(MATCH($C985,总览!$D$46:$D$345,1)+1,1),7)=0),$C$3,0),0)</f>
        <v>454.550000000001</v>
      </c>
      <c r="Q985" s="131" cm="1">
        <f ca="1" t="array" ref="Q985">IF(Q1587=1,OFFSET($W$634,$B985,Q$631-1)/SUMPRODUCT(--($D$631:$V$631=Q$631),--($D1587:$V1587=1)),0)+SUM(Q984)+IF(COUNTIF(Q$1237:Q1587,1)=1,5,0)+IF(COUNTIF(R985:$W985,"&gt;"&amp;0)&lt;5,IF(AND(COUNTIF(Q$1237:Q1587,1)&gt;7,MOD(1+IFERROR(MATCH($C985,总览!$D$46:$D$345,1)+1,1),7)=0),$C$3,0),0)</f>
        <v>467.931250000001</v>
      </c>
      <c r="R985" s="131" cm="1">
        <f ca="1" t="array" ref="R985">IF(R1587=1,OFFSET($W$634,$B985,R$631-1)/SUMPRODUCT(--($D$631:$V$631=R$631),--($D1587:$V1587=1)),0)+SUM(R984)+IF(COUNTIF(R$1237:R1587,1)=1,5,0)+IF(COUNTIF(S985:$W985,"&gt;"&amp;0)&lt;5,IF(AND(COUNTIF(R$1237:R1587,1)&gt;7,MOD(1+IFERROR(MATCH($C985,总览!$D$46:$D$345,1)+1,1),7)=0),$C$3,0),0)</f>
        <v>459.550000000001</v>
      </c>
      <c r="S985" s="131" cm="1">
        <f ca="1" t="array" ref="S985">IF(S1587=1,OFFSET($W$634,$B985,S$631-1)/SUMPRODUCT(--($D$631:$V$631=S$631),--($D1587:$V1587=1)),0)+SUM(S984)+IF(COUNTIF(S$1237:S1587,1)=1,5,0)+IF(COUNTIF(T985:$W985,"&gt;"&amp;0)&lt;5,IF(AND(COUNTIF(S$1237:S1587,1)&gt;7,MOD(1+IFERROR(MATCH($C985,总览!$D$46:$D$345,1)+1,1),7)=0),$C$3,0),0)</f>
        <v>552.050000000002</v>
      </c>
      <c r="T985" s="131" cm="1">
        <f ca="1" t="array" ref="T985">IF(T1587=1,OFFSET($W$634,$B985,T$631-1)/SUMPRODUCT(--($D$631:$V$631=T$631),--($D1587:$V1587=1)),0)+SUM(T984)+IF(COUNTIF(T$1237:T1587,1)=1,5,0)+IF(COUNTIF(U985:$W985,"&gt;"&amp;0)&lt;5,IF(AND(COUNTIF(T$1237:T1587,1)&gt;7,MOD(1+IFERROR(MATCH($C985,总览!$D$46:$D$345,1)+1,1),7)=0),$C$3,0),0)</f>
        <v>403.689545096118</v>
      </c>
      <c r="U985" s="131" cm="1">
        <f ca="1" t="array" ref="U985">IF(U1587=1,OFFSET($W$634,$B985,U$631-1)/SUMPRODUCT(--($D$631:$V$631=U$631),--($D1587:$V1587=1)),0)+SUM(U984)+IF(COUNTIF(U$1237:U1587,1)=1,5,0)+IF(COUNTIF(V985:$W985,"&gt;"&amp;0)&lt;5,IF(AND(COUNTIF(U$1237:U1587,1)&gt;7,MOD(1+IFERROR(MATCH($C985,总览!$D$46:$D$345,1)+1,1),7)=0),$C$3,0),0)</f>
        <v>409.210331451417</v>
      </c>
      <c r="V985" s="131" cm="1">
        <f ca="1" t="array" ref="V985">IF(V1587=1,OFFSET($W$634,$B985,V$631-1)/SUMPRODUCT(--($D$631:$V$631=V$631),--($D1587:$V1587=1)),0)+SUM(V984)+IF(COUNTIF(V$1237:V1587,1)=1,5,0)+IF(COUNTIF(W985:$W985,"&gt;"&amp;0)&lt;5,IF(AND(COUNTIF(V$1237:V1587,1)&gt;7,MOD(1+IFERROR(MATCH($C985,总览!$D$46:$D$345,1)+1,1),7)=0),$C$3,0),0)</f>
        <v>429.03733116385</v>
      </c>
      <c r="W985" s="135" cm="1">
        <f ca="1" t="array" ref="W985">SUMPRODUCT(TRANSPOSE($AA985:$AG985),OFFSET($L$9:$L$15,0,W$631-1))</f>
        <v>16.8502200646615</v>
      </c>
      <c r="X985" s="135" cm="1">
        <f ca="1" t="array" ref="X985">SUMPRODUCT(TRANSPOSE($AA985:$AG985),OFFSET($L$9:$L$15,0,X$631-1))</f>
        <v>20</v>
      </c>
      <c r="Y985" s="135" cm="1">
        <f ca="1" t="array" ref="Y985">SUMPRODUCT(TRANSPOSE($AA985:$AG985),OFFSET($L$9:$L$15,0,Y$631-1))</f>
        <v>10</v>
      </c>
      <c r="Z985" s="135" cm="1">
        <f ca="1" t="array" ref="Z985">SUMPRODUCT(TRANSPOSE($AA985:$AG985),OFFSET($L$9:$L$15,0,Z$631-1))</f>
        <v>3.14977993533847</v>
      </c>
      <c r="AA985" s="136">
        <f ca="1" t="shared" ref="AA985:AG985" si="951">AH985-AH984</f>
        <v>0</v>
      </c>
      <c r="AB985" s="136">
        <f ca="1" t="shared" si="951"/>
        <v>0</v>
      </c>
      <c r="AC985" s="136">
        <f ca="1" t="shared" si="951"/>
        <v>0</v>
      </c>
      <c r="AD985" s="136">
        <f ca="1" t="shared" si="951"/>
        <v>0</v>
      </c>
      <c r="AE985" s="136">
        <f ca="1" t="shared" si="951"/>
        <v>0</v>
      </c>
      <c r="AF985" s="136">
        <f ca="1" t="shared" si="951"/>
        <v>0</v>
      </c>
      <c r="AG985" s="136">
        <f ca="1" t="shared" si="951"/>
        <v>100</v>
      </c>
      <c r="AH985" s="136">
        <f ca="1" t="shared" si="891"/>
        <v>450</v>
      </c>
      <c r="AI985" s="136">
        <f ca="1" t="shared" ref="AI985:AN985" si="952">IF($C985&gt;OFFSET($Q$8,MATCH(AI$634,$AH$634:$AN$634,0),0),OFFSET($P$8,MATCH(AI$634,$AH$634:$AN$634,0),0),MAX(0,$C985-OFFSET($Q$8,RIGHT(AI$634,1)-1,0)))</f>
        <v>909</v>
      </c>
      <c r="AJ985" s="136">
        <f ca="1" t="shared" si="952"/>
        <v>1818</v>
      </c>
      <c r="AK985" s="136">
        <f ca="1" t="shared" si="952"/>
        <v>2727</v>
      </c>
      <c r="AL985" s="136">
        <f ca="1" t="shared" si="952"/>
        <v>3636</v>
      </c>
      <c r="AM985" s="136">
        <f ca="1" t="shared" si="952"/>
        <v>4545</v>
      </c>
      <c r="AN985" s="136">
        <f ca="1" t="shared" si="952"/>
        <v>21015</v>
      </c>
    </row>
    <row r="986" s="106" customFormat="1" ht="16.5" spans="2:40">
      <c r="B986" s="117">
        <v>352</v>
      </c>
      <c r="C986" s="130">
        <f t="shared" si="889"/>
        <v>35200</v>
      </c>
      <c r="D986" s="131" cm="1">
        <f ca="1" t="array" ref="D986">IF(D1588=1,OFFSET($W$634,$B986,D$631-1)/SUMPRODUCT(--($D$631:$V$631=D$631),--($D1588:$V1588=1)),0)+SUM(D985)+IF(COUNTIF(D$1237:D1588,1)=1,5,0)+IF(COUNTIF(E986:$W986,"&gt;"&amp;0)&lt;5,IF(AND(COUNTIF(D$1237:D1588,1)&gt;7,MOD(1+IFERROR(MATCH($C986,总览!$D$46:$D$345,1)+1,1),7)=0),$C$3,0),0)</f>
        <v>2304.79600411776</v>
      </c>
      <c r="E986" s="131" cm="1">
        <f ca="1" t="array" ref="E986">IF(E1588=1,OFFSET($W$634,$B986,E$631-1)/SUMPRODUCT(--($D$631:$V$631=E$631),--($D1588:$V1588=1)),0)+SUM(E985)+IF(COUNTIF(E$1237:E1588,1)=1,5,0)+IF(COUNTIF(F986:$W986,"&gt;"&amp;0)&lt;5,IF(AND(COUNTIF(E$1237:E1588,1)&gt;7,MOD(1+IFERROR(MATCH($C986,总览!$D$46:$D$345,1)+1,1),7)=0),$C$3,0),0)</f>
        <v>2304.79600411776</v>
      </c>
      <c r="F986" s="131" cm="1">
        <f ca="1" t="array" ref="F986">IF(F1588=1,OFFSET($W$634,$B986,F$631-1)/SUMPRODUCT(--($D$631:$V$631=F$631),--($D1588:$V1588=1)),0)+SUM(F985)+IF(COUNTIF(F$1237:F1588,1)=1,5,0)+IF(COUNTIF(G986:$W986,"&gt;"&amp;0)&lt;5,IF(AND(COUNTIF(F$1237:F1588,1)&gt;7,MOD(1+IFERROR(MATCH($C986,总览!$D$46:$D$345,1)+1,1),7)=0),$C$3,0),0)</f>
        <v>2304.79600411776</v>
      </c>
      <c r="G986" s="131" cm="1">
        <f ca="1" t="array" ref="G986">IF(G1588=1,OFFSET($W$634,$B986,G$631-1)/SUMPRODUCT(--($D$631:$V$631=G$631),--($D1588:$V1588=1)),0)+SUM(G985)+IF(COUNTIF(G$1237:G1588,1)=1,5,0)+IF(COUNTIF(H986:$W986,"&gt;"&amp;0)&lt;5,IF(AND(COUNTIF(G$1237:G1588,1)&gt;7,MOD(1+IFERROR(MATCH($C986,总览!$D$46:$D$345,1)+1,1),7)=0),$C$3,0),0)</f>
        <v>1112.73333333334</v>
      </c>
      <c r="H986" s="131" cm="1">
        <f ca="1" t="array" ref="H986">IF(H1588=1,OFFSET($W$634,$B986,H$631-1)/SUMPRODUCT(--($D$631:$V$631=H$631),--($D1588:$V1588=1)),0)+SUM(H985)+IF(COUNTIF(H$1237:H1588,1)=1,5,0)+IF(COUNTIF(I986:$W986,"&gt;"&amp;0)&lt;5,IF(AND(COUNTIF(H$1237:H1588,1)&gt;7,MOD(1+IFERROR(MATCH($C986,总览!$D$46:$D$345,1)+1,1),7)=0),$C$3,0),0)</f>
        <v>1112.73333333334</v>
      </c>
      <c r="I986" s="131" cm="1">
        <f ca="1" t="array" ref="I986">IF(I1588=1,OFFSET($W$634,$B986,I$631-1)/SUMPRODUCT(--($D$631:$V$631=I$631),--($D1588:$V1588=1)),0)+SUM(I985)+IF(COUNTIF(I$1237:I1588,1)=1,5,0)+IF(COUNTIF(J986:$W986,"&gt;"&amp;0)&lt;5,IF(AND(COUNTIF(I$1237:I1588,1)&gt;7,MOD(1+IFERROR(MATCH($C986,总览!$D$46:$D$345,1)+1,1),7)=0),$C$3,0),0)</f>
        <v>1112.73333333334</v>
      </c>
      <c r="J986" s="131" cm="1">
        <f ca="1" t="array" ref="J986">IF(J1588=1,OFFSET($W$634,$B986,J$631-1)/SUMPRODUCT(--($D$631:$V$631=J$631),--($D1588:$V1588=1)),0)+SUM(J985)+IF(COUNTIF(J$1237:J1588,1)=1,5,0)+IF(COUNTIF(K986:$W986,"&gt;"&amp;0)&lt;5,IF(AND(COUNTIF(J$1237:J1588,1)&gt;7,MOD(1+IFERROR(MATCH($C986,总览!$D$46:$D$345,1)+1,1),7)=0),$C$3,0),0)</f>
        <v>1109.4</v>
      </c>
      <c r="K986" s="131" cm="1">
        <f ca="1" t="array" ref="K986">IF(K1588=1,OFFSET($W$634,$B986,K$631-1)/SUMPRODUCT(--($D$631:$V$631=K$631),--($D1588:$V1588=1)),0)+SUM(K985)+IF(COUNTIF(K$1237:K1588,1)=1,5,0)+IF(COUNTIF(L986:$W986,"&gt;"&amp;0)&lt;5,IF(AND(COUNTIF(K$1237:K1588,1)&gt;7,MOD(1+IFERROR(MATCH($C986,总览!$D$46:$D$345,1)+1,1),7)=0),$C$3,0),0)</f>
        <v>1106.9</v>
      </c>
      <c r="L986" s="131" cm="1">
        <f ca="1" t="array" ref="L986">IF(L1588=1,OFFSET($W$634,$B986,L$631-1)/SUMPRODUCT(--($D$631:$V$631=L$631),--($D1588:$V1588=1)),0)+SUM(L985)+IF(COUNTIF(L$1237:L1588,1)=1,5,0)+IF(COUNTIF(M986:$W986,"&gt;"&amp;0)&lt;5,IF(AND(COUNTIF(L$1237:L1588,1)&gt;7,MOD(1+IFERROR(MATCH($C986,总览!$D$46:$D$345,1)+1,1),7)=0),$C$3,0),0)</f>
        <v>1106.9</v>
      </c>
      <c r="M986" s="131" cm="1">
        <f ca="1" t="array" ref="M986">IF(M1588=1,OFFSET($W$634,$B986,M$631-1)/SUMPRODUCT(--($D$631:$V$631=M$631),--($D1588:$V1588=1)),0)+SUM(M985)+IF(COUNTIF(M$1237:M1588,1)=1,5,0)+IF(COUNTIF(N986:$W986,"&gt;"&amp;0)&lt;5,IF(AND(COUNTIF(M$1237:M1588,1)&gt;7,MOD(1+IFERROR(MATCH($C986,总览!$D$46:$D$345,1)+1,1),7)=0),$C$3,0),0)</f>
        <v>460.609821428573</v>
      </c>
      <c r="N986" s="131" cm="1">
        <f ca="1" t="array" ref="N986">IF(N1588=1,OFFSET($W$634,$B986,N$631-1)/SUMPRODUCT(--($D$631:$V$631=N$631),--($D1588:$V1588=1)),0)+SUM(N985)+IF(COUNTIF(N$1237:N1588,1)=1,5,0)+IF(COUNTIF(O986:$W986,"&gt;"&amp;0)&lt;5,IF(AND(COUNTIF(N$1237:N1588,1)&gt;7,MOD(1+IFERROR(MATCH($C986,总览!$D$46:$D$345,1)+1,1),7)=0),$C$3,0),0)</f>
        <v>461.859821428573</v>
      </c>
      <c r="O986" s="131" cm="1">
        <f ca="1" t="array" ref="O986">IF(O1588=1,OFFSET($W$634,$B986,O$631-1)/SUMPRODUCT(--($D$631:$V$631=O$631),--($D1588:$V1588=1)),0)+SUM(O985)+IF(COUNTIF(O$1237:O1588,1)=1,5,0)+IF(COUNTIF(P986:$W986,"&gt;"&amp;0)&lt;5,IF(AND(COUNTIF(O$1237:O1588,1)&gt;7,MOD(1+IFERROR(MATCH($C986,总览!$D$46:$D$345,1)+1,1),7)=0),$C$3,0),0)</f>
        <v>466.859821428573</v>
      </c>
      <c r="P986" s="131" cm="1">
        <f ca="1" t="array" ref="P986">IF(P1588=1,OFFSET($W$634,$B986,P$631-1)/SUMPRODUCT(--($D$631:$V$631=P$631),--($D1588:$V1588=1)),0)+SUM(P985)+IF(COUNTIF(P$1237:P1588,1)=1,5,0)+IF(COUNTIF(Q986:$W986,"&gt;"&amp;0)&lt;5,IF(AND(COUNTIF(P$1237:P1588,1)&gt;7,MOD(1+IFERROR(MATCH($C986,总览!$D$46:$D$345,1)+1,1),7)=0),$C$3,0),0)</f>
        <v>455.978571428573</v>
      </c>
      <c r="Q986" s="131" cm="1">
        <f ca="1" t="array" ref="Q986">IF(Q1588=1,OFFSET($W$634,$B986,Q$631-1)/SUMPRODUCT(--($D$631:$V$631=Q$631),--($D1588:$V1588=1)),0)+SUM(Q985)+IF(COUNTIF(Q$1237:Q1588,1)=1,5,0)+IF(COUNTIF(R986:$W986,"&gt;"&amp;0)&lt;5,IF(AND(COUNTIF(Q$1237:Q1588,1)&gt;7,MOD(1+IFERROR(MATCH($C986,总览!$D$46:$D$345,1)+1,1),7)=0),$C$3,0),0)</f>
        <v>469.359821428573</v>
      </c>
      <c r="R986" s="131" cm="1">
        <f ca="1" t="array" ref="R986">IF(R1588=1,OFFSET($W$634,$B986,R$631-1)/SUMPRODUCT(--($D$631:$V$631=R$631),--($D1588:$V1588=1)),0)+SUM(R985)+IF(COUNTIF(R$1237:R1588,1)=1,5,0)+IF(COUNTIF(S986:$W986,"&gt;"&amp;0)&lt;5,IF(AND(COUNTIF(R$1237:R1588,1)&gt;7,MOD(1+IFERROR(MATCH($C986,总览!$D$46:$D$345,1)+1,1),7)=0),$C$3,0),0)</f>
        <v>460.978571428573</v>
      </c>
      <c r="S986" s="131" cm="1">
        <f ca="1" t="array" ref="S986">IF(S1588=1,OFFSET($W$634,$B986,S$631-1)/SUMPRODUCT(--($D$631:$V$631=S$631),--($D1588:$V1588=1)),0)+SUM(S985)+IF(COUNTIF(S$1237:S1588,1)=1,5,0)+IF(COUNTIF(T986:$W986,"&gt;"&amp;0)&lt;5,IF(AND(COUNTIF(S$1237:S1588,1)&gt;7,MOD(1+IFERROR(MATCH($C986,总览!$D$46:$D$345,1)+1,1),7)=0),$C$3,0),0)</f>
        <v>553.478571428574</v>
      </c>
      <c r="T986" s="131" cm="1">
        <f ca="1" t="array" ref="T986">IF(T1588=1,OFFSET($W$634,$B986,T$631-1)/SUMPRODUCT(--($D$631:$V$631=T$631),--($D1588:$V1588=1)),0)+SUM(T985)+IF(COUNTIF(T$1237:T1588,1)=1,5,0)+IF(COUNTIF(U986:$W986,"&gt;"&amp;0)&lt;5,IF(AND(COUNTIF(T$1237:T1588,1)&gt;7,MOD(1+IFERROR(MATCH($C986,总览!$D$46:$D$345,1)+1,1),7)=0),$C$3,0),0)</f>
        <v>404.73947174123</v>
      </c>
      <c r="U986" s="131" cm="1">
        <f ca="1" t="array" ref="U986">IF(U1588=1,OFFSET($W$634,$B986,U$631-1)/SUMPRODUCT(--($D$631:$V$631=U$631),--($D1588:$V1588=1)),0)+SUM(U985)+IF(COUNTIF(U$1237:U1588,1)=1,5,0)+IF(COUNTIF(V986:$W986,"&gt;"&amp;0)&lt;5,IF(AND(COUNTIF(U$1237:U1588,1)&gt;7,MOD(1+IFERROR(MATCH($C986,总览!$D$46:$D$345,1)+1,1),7)=0),$C$3,0),0)</f>
        <v>410.26025809653</v>
      </c>
      <c r="V986" s="131" cm="1">
        <f ca="1" t="array" ref="V986">IF(V1588=1,OFFSET($W$634,$B986,V$631-1)/SUMPRODUCT(--($D$631:$V$631=V$631),--($D1588:$V1588=1)),0)+SUM(V985)+IF(COUNTIF(V$1237:V1588,1)=1,5,0)+IF(COUNTIF(W986:$W986,"&gt;"&amp;0)&lt;5,IF(AND(COUNTIF(V$1237:V1588,1)&gt;7,MOD(1+IFERROR(MATCH($C986,总览!$D$46:$D$345,1)+1,1),7)=0),$C$3,0),0)</f>
        <v>430.087257808963</v>
      </c>
      <c r="W986" s="135" cm="1">
        <f ca="1" t="array" ref="W986">SUMPRODUCT(TRANSPOSE($AA986:$AG986),OFFSET($L$9:$L$15,0,W$631-1))</f>
        <v>16.8502200646615</v>
      </c>
      <c r="X986" s="135" cm="1">
        <f ca="1" t="array" ref="X986">SUMPRODUCT(TRANSPOSE($AA986:$AG986),OFFSET($L$9:$L$15,0,X$631-1))</f>
        <v>20</v>
      </c>
      <c r="Y986" s="135" cm="1">
        <f ca="1" t="array" ref="Y986">SUMPRODUCT(TRANSPOSE($AA986:$AG986),OFFSET($L$9:$L$15,0,Y$631-1))</f>
        <v>10</v>
      </c>
      <c r="Z986" s="135" cm="1">
        <f ca="1" t="array" ref="Z986">SUMPRODUCT(TRANSPOSE($AA986:$AG986),OFFSET($L$9:$L$15,0,Z$631-1))</f>
        <v>3.14977993533847</v>
      </c>
      <c r="AA986" s="136">
        <f ca="1" t="shared" ref="AA986:AG986" si="953">AH986-AH985</f>
        <v>0</v>
      </c>
      <c r="AB986" s="136">
        <f ca="1" t="shared" si="953"/>
        <v>0</v>
      </c>
      <c r="AC986" s="136">
        <f ca="1" t="shared" si="953"/>
        <v>0</v>
      </c>
      <c r="AD986" s="136">
        <f ca="1" t="shared" si="953"/>
        <v>0</v>
      </c>
      <c r="AE986" s="136">
        <f ca="1" t="shared" si="953"/>
        <v>0</v>
      </c>
      <c r="AF986" s="136">
        <f ca="1" t="shared" si="953"/>
        <v>0</v>
      </c>
      <c r="AG986" s="136">
        <f ca="1" t="shared" si="953"/>
        <v>100</v>
      </c>
      <c r="AH986" s="136">
        <f ca="1" t="shared" si="891"/>
        <v>450</v>
      </c>
      <c r="AI986" s="136">
        <f ca="1" t="shared" ref="AI986:AN986" si="954">IF($C986&gt;OFFSET($Q$8,MATCH(AI$634,$AH$634:$AN$634,0),0),OFFSET($P$8,MATCH(AI$634,$AH$634:$AN$634,0),0),MAX(0,$C986-OFFSET($Q$8,RIGHT(AI$634,1)-1,0)))</f>
        <v>909</v>
      </c>
      <c r="AJ986" s="136">
        <f ca="1" t="shared" si="954"/>
        <v>1818</v>
      </c>
      <c r="AK986" s="136">
        <f ca="1" t="shared" si="954"/>
        <v>2727</v>
      </c>
      <c r="AL986" s="136">
        <f ca="1" t="shared" si="954"/>
        <v>3636</v>
      </c>
      <c r="AM986" s="136">
        <f ca="1" t="shared" si="954"/>
        <v>4545</v>
      </c>
      <c r="AN986" s="136">
        <f ca="1" t="shared" si="954"/>
        <v>21115</v>
      </c>
    </row>
    <row r="987" s="106" customFormat="1" ht="16.5" spans="2:40">
      <c r="B987" s="117">
        <v>353</v>
      </c>
      <c r="C987" s="130">
        <f t="shared" si="889"/>
        <v>35300</v>
      </c>
      <c r="D987" s="131" cm="1">
        <f ca="1" t="array" ref="D987">IF(D1589=1,OFFSET($W$634,$B987,D$631-1)/SUMPRODUCT(--($D$631:$V$631=D$631),--($D1589:$V1589=1)),0)+SUM(D986)+IF(COUNTIF(D$1237:D1589,1)=1,5,0)+IF(COUNTIF(E987:$W987,"&gt;"&amp;0)&lt;5,IF(AND(COUNTIF(D$1237:D1589,1)&gt;7,MOD(1+IFERROR(MATCH($C987,总览!$D$46:$D$345,1)+1,1),7)=0),$C$3,0),0)</f>
        <v>2310.41274413932</v>
      </c>
      <c r="E987" s="131" cm="1">
        <f ca="1" t="array" ref="E987">IF(E1589=1,OFFSET($W$634,$B987,E$631-1)/SUMPRODUCT(--($D$631:$V$631=E$631),--($D1589:$V1589=1)),0)+SUM(E986)+IF(COUNTIF(E$1237:E1589,1)=1,5,0)+IF(COUNTIF(F987:$W987,"&gt;"&amp;0)&lt;5,IF(AND(COUNTIF(E$1237:E1589,1)&gt;7,MOD(1+IFERROR(MATCH($C987,总览!$D$46:$D$345,1)+1,1),7)=0),$C$3,0),0)</f>
        <v>2310.41274413932</v>
      </c>
      <c r="F987" s="131" cm="1">
        <f ca="1" t="array" ref="F987">IF(F1589=1,OFFSET($W$634,$B987,F$631-1)/SUMPRODUCT(--($D$631:$V$631=F$631),--($D1589:$V1589=1)),0)+SUM(F986)+IF(COUNTIF(F$1237:F1589,1)=1,5,0)+IF(COUNTIF(G987:$W987,"&gt;"&amp;0)&lt;5,IF(AND(COUNTIF(F$1237:F1589,1)&gt;7,MOD(1+IFERROR(MATCH($C987,总览!$D$46:$D$345,1)+1,1),7)=0),$C$3,0),0)</f>
        <v>2310.41274413932</v>
      </c>
      <c r="G987" s="131" cm="1">
        <f ca="1" t="array" ref="G987">IF(G1589=1,OFFSET($W$634,$B987,G$631-1)/SUMPRODUCT(--($D$631:$V$631=G$631),--($D1589:$V1589=1)),0)+SUM(G986)+IF(COUNTIF(G$1237:G1589,1)=1,5,0)+IF(COUNTIF(H987:$W987,"&gt;"&amp;0)&lt;5,IF(AND(COUNTIF(G$1237:G1589,1)&gt;7,MOD(1+IFERROR(MATCH($C987,总览!$D$46:$D$345,1)+1,1),7)=0),$C$3,0),0)</f>
        <v>1116.06666666667</v>
      </c>
      <c r="H987" s="131" cm="1">
        <f ca="1" t="array" ref="H987">IF(H1589=1,OFFSET($W$634,$B987,H$631-1)/SUMPRODUCT(--($D$631:$V$631=H$631),--($D1589:$V1589=1)),0)+SUM(H986)+IF(COUNTIF(H$1237:H1589,1)=1,5,0)+IF(COUNTIF(I987:$W987,"&gt;"&amp;0)&lt;5,IF(AND(COUNTIF(H$1237:H1589,1)&gt;7,MOD(1+IFERROR(MATCH($C987,总览!$D$46:$D$345,1)+1,1),7)=0),$C$3,0),0)</f>
        <v>1116.06666666667</v>
      </c>
      <c r="I987" s="131" cm="1">
        <f ca="1" t="array" ref="I987">IF(I1589=1,OFFSET($W$634,$B987,I$631-1)/SUMPRODUCT(--($D$631:$V$631=I$631),--($D1589:$V1589=1)),0)+SUM(I986)+IF(COUNTIF(I$1237:I1589,1)=1,5,0)+IF(COUNTIF(J987:$W987,"&gt;"&amp;0)&lt;5,IF(AND(COUNTIF(I$1237:I1589,1)&gt;7,MOD(1+IFERROR(MATCH($C987,总览!$D$46:$D$345,1)+1,1),7)=0),$C$3,0),0)</f>
        <v>1116.06666666667</v>
      </c>
      <c r="J987" s="131" cm="1">
        <f ca="1" t="array" ref="J987">IF(J1589=1,OFFSET($W$634,$B987,J$631-1)/SUMPRODUCT(--($D$631:$V$631=J$631),--($D1589:$V1589=1)),0)+SUM(J986)+IF(COUNTIF(J$1237:J1589,1)=1,5,0)+IF(COUNTIF(K987:$W987,"&gt;"&amp;0)&lt;5,IF(AND(COUNTIF(J$1237:J1589,1)&gt;7,MOD(1+IFERROR(MATCH($C987,总览!$D$46:$D$345,1)+1,1),7)=0),$C$3,0),0)</f>
        <v>1112.73333333334</v>
      </c>
      <c r="K987" s="131" cm="1">
        <f ca="1" t="array" ref="K987">IF(K1589=1,OFFSET($W$634,$B987,K$631-1)/SUMPRODUCT(--($D$631:$V$631=K$631),--($D1589:$V1589=1)),0)+SUM(K986)+IF(COUNTIF(K$1237:K1589,1)=1,5,0)+IF(COUNTIF(L987:$W987,"&gt;"&amp;0)&lt;5,IF(AND(COUNTIF(K$1237:K1589,1)&gt;7,MOD(1+IFERROR(MATCH($C987,总览!$D$46:$D$345,1)+1,1),7)=0),$C$3,0),0)</f>
        <v>1110.23333333334</v>
      </c>
      <c r="L987" s="131" cm="1">
        <f ca="1" t="array" ref="L987">IF(L1589=1,OFFSET($W$634,$B987,L$631-1)/SUMPRODUCT(--($D$631:$V$631=L$631),--($D1589:$V1589=1)),0)+SUM(L986)+IF(COUNTIF(L$1237:L1589,1)=1,5,0)+IF(COUNTIF(M987:$W987,"&gt;"&amp;0)&lt;5,IF(AND(COUNTIF(L$1237:L1589,1)&gt;7,MOD(1+IFERROR(MATCH($C987,总览!$D$46:$D$345,1)+1,1),7)=0),$C$3,0),0)</f>
        <v>1110.23333333334</v>
      </c>
      <c r="M987" s="131" cm="1">
        <f ca="1" t="array" ref="M987">IF(M1589=1,OFFSET($W$634,$B987,M$631-1)/SUMPRODUCT(--($D$631:$V$631=M$631),--($D1589:$V1589=1)),0)+SUM(M986)+IF(COUNTIF(M$1237:M1589,1)=1,5,0)+IF(COUNTIF(N987:$W987,"&gt;"&amp;0)&lt;5,IF(AND(COUNTIF(M$1237:M1589,1)&gt;7,MOD(1+IFERROR(MATCH($C987,总览!$D$46:$D$345,1)+1,1),7)=0),$C$3,0),0)</f>
        <v>462.038392857144</v>
      </c>
      <c r="N987" s="131" cm="1">
        <f ca="1" t="array" ref="N987">IF(N1589=1,OFFSET($W$634,$B987,N$631-1)/SUMPRODUCT(--($D$631:$V$631=N$631),--($D1589:$V1589=1)),0)+SUM(N986)+IF(COUNTIF(N$1237:N1589,1)=1,5,0)+IF(COUNTIF(O987:$W987,"&gt;"&amp;0)&lt;5,IF(AND(COUNTIF(N$1237:N1589,1)&gt;7,MOD(1+IFERROR(MATCH($C987,总览!$D$46:$D$345,1)+1,1),7)=0),$C$3,0),0)</f>
        <v>463.288392857144</v>
      </c>
      <c r="O987" s="131" cm="1">
        <f ca="1" t="array" ref="O987">IF(O1589=1,OFFSET($W$634,$B987,O$631-1)/SUMPRODUCT(--($D$631:$V$631=O$631),--($D1589:$V1589=1)),0)+SUM(O986)+IF(COUNTIF(O$1237:O1589,1)=1,5,0)+IF(COUNTIF(P987:$W987,"&gt;"&amp;0)&lt;5,IF(AND(COUNTIF(O$1237:O1589,1)&gt;7,MOD(1+IFERROR(MATCH($C987,总览!$D$46:$D$345,1)+1,1),7)=0),$C$3,0),0)</f>
        <v>468.288392857144</v>
      </c>
      <c r="P987" s="131" cm="1">
        <f ca="1" t="array" ref="P987">IF(P1589=1,OFFSET($W$634,$B987,P$631-1)/SUMPRODUCT(--($D$631:$V$631=P$631),--($D1589:$V1589=1)),0)+SUM(P986)+IF(COUNTIF(P$1237:P1589,1)=1,5,0)+IF(COUNTIF(Q987:$W987,"&gt;"&amp;0)&lt;5,IF(AND(COUNTIF(P$1237:P1589,1)&gt;7,MOD(1+IFERROR(MATCH($C987,总览!$D$46:$D$345,1)+1,1),7)=0),$C$3,0),0)</f>
        <v>457.407142857144</v>
      </c>
      <c r="Q987" s="131" cm="1">
        <f ca="1" t="array" ref="Q987">IF(Q1589=1,OFFSET($W$634,$B987,Q$631-1)/SUMPRODUCT(--($D$631:$V$631=Q$631),--($D1589:$V1589=1)),0)+SUM(Q986)+IF(COUNTIF(Q$1237:Q1589,1)=1,5,0)+IF(COUNTIF(R987:$W987,"&gt;"&amp;0)&lt;5,IF(AND(COUNTIF(Q$1237:Q1589,1)&gt;7,MOD(1+IFERROR(MATCH($C987,总览!$D$46:$D$345,1)+1,1),7)=0),$C$3,0),0)</f>
        <v>470.788392857144</v>
      </c>
      <c r="R987" s="131" cm="1">
        <f ca="1" t="array" ref="R987">IF(R1589=1,OFFSET($W$634,$B987,R$631-1)/SUMPRODUCT(--($D$631:$V$631=R$631),--($D1589:$V1589=1)),0)+SUM(R986)+IF(COUNTIF(R$1237:R1589,1)=1,5,0)+IF(COUNTIF(S987:$W987,"&gt;"&amp;0)&lt;5,IF(AND(COUNTIF(R$1237:R1589,1)&gt;7,MOD(1+IFERROR(MATCH($C987,总览!$D$46:$D$345,1)+1,1),7)=0),$C$3,0),0)</f>
        <v>462.407142857144</v>
      </c>
      <c r="S987" s="131" cm="1">
        <f ca="1" t="array" ref="S987">IF(S1589=1,OFFSET($W$634,$B987,S$631-1)/SUMPRODUCT(--($D$631:$V$631=S$631),--($D1589:$V1589=1)),0)+SUM(S986)+IF(COUNTIF(S$1237:S1589,1)=1,5,0)+IF(COUNTIF(T987:$W987,"&gt;"&amp;0)&lt;5,IF(AND(COUNTIF(S$1237:S1589,1)&gt;7,MOD(1+IFERROR(MATCH($C987,总览!$D$46:$D$345,1)+1,1),7)=0),$C$3,0),0)</f>
        <v>554.907142857145</v>
      </c>
      <c r="T987" s="131" cm="1">
        <f ca="1" t="array" ref="T987">IF(T1589=1,OFFSET($W$634,$B987,T$631-1)/SUMPRODUCT(--($D$631:$V$631=T$631),--($D1589:$V1589=1)),0)+SUM(T986)+IF(COUNTIF(T$1237:T1589,1)=1,5,0)+IF(COUNTIF(U987:$W987,"&gt;"&amp;0)&lt;5,IF(AND(COUNTIF(T$1237:T1589,1)&gt;7,MOD(1+IFERROR(MATCH($C987,总览!$D$46:$D$345,1)+1,1),7)=0),$C$3,0),0)</f>
        <v>405.789398386343</v>
      </c>
      <c r="U987" s="131" cm="1">
        <f ca="1" t="array" ref="U987">IF(U1589=1,OFFSET($W$634,$B987,U$631-1)/SUMPRODUCT(--($D$631:$V$631=U$631),--($D1589:$V1589=1)),0)+SUM(U986)+IF(COUNTIF(U$1237:U1589,1)=1,5,0)+IF(COUNTIF(V987:$W987,"&gt;"&amp;0)&lt;5,IF(AND(COUNTIF(U$1237:U1589,1)&gt;7,MOD(1+IFERROR(MATCH($C987,总览!$D$46:$D$345,1)+1,1),7)=0),$C$3,0),0)</f>
        <v>411.310184741643</v>
      </c>
      <c r="V987" s="131" cm="1">
        <f ca="1" t="array" ref="V987">IF(V1589=1,OFFSET($W$634,$B987,V$631-1)/SUMPRODUCT(--($D$631:$V$631=V$631),--($D1589:$V1589=1)),0)+SUM(V986)+IF(COUNTIF(V$1237:V1589,1)=1,5,0)+IF(COUNTIF(W987:$W987,"&gt;"&amp;0)&lt;5,IF(AND(COUNTIF(V$1237:V1589,1)&gt;7,MOD(1+IFERROR(MATCH($C987,总览!$D$46:$D$345,1)+1,1),7)=0),$C$3,0),0)</f>
        <v>431.137184454076</v>
      </c>
      <c r="W987" s="135" cm="1">
        <f ca="1" t="array" ref="W987">SUMPRODUCT(TRANSPOSE($AA987:$AG987),OFFSET($L$9:$L$15,0,W$631-1))</f>
        <v>16.8502200646615</v>
      </c>
      <c r="X987" s="135" cm="1">
        <f ca="1" t="array" ref="X987">SUMPRODUCT(TRANSPOSE($AA987:$AG987),OFFSET($L$9:$L$15,0,X$631-1))</f>
        <v>20</v>
      </c>
      <c r="Y987" s="135" cm="1">
        <f ca="1" t="array" ref="Y987">SUMPRODUCT(TRANSPOSE($AA987:$AG987),OFFSET($L$9:$L$15,0,Y$631-1))</f>
        <v>10</v>
      </c>
      <c r="Z987" s="135" cm="1">
        <f ca="1" t="array" ref="Z987">SUMPRODUCT(TRANSPOSE($AA987:$AG987),OFFSET($L$9:$L$15,0,Z$631-1))</f>
        <v>3.14977993533847</v>
      </c>
      <c r="AA987" s="136">
        <f ca="1" t="shared" ref="AA987:AG987" si="955">AH987-AH986</f>
        <v>0</v>
      </c>
      <c r="AB987" s="136">
        <f ca="1" t="shared" si="955"/>
        <v>0</v>
      </c>
      <c r="AC987" s="136">
        <f ca="1" t="shared" si="955"/>
        <v>0</v>
      </c>
      <c r="AD987" s="136">
        <f ca="1" t="shared" si="955"/>
        <v>0</v>
      </c>
      <c r="AE987" s="136">
        <f ca="1" t="shared" si="955"/>
        <v>0</v>
      </c>
      <c r="AF987" s="136">
        <f ca="1" t="shared" si="955"/>
        <v>0</v>
      </c>
      <c r="AG987" s="136">
        <f ca="1" t="shared" si="955"/>
        <v>100</v>
      </c>
      <c r="AH987" s="136">
        <f ca="1" t="shared" si="891"/>
        <v>450</v>
      </c>
      <c r="AI987" s="136">
        <f ca="1" t="shared" ref="AI987:AN987" si="956">IF($C987&gt;OFFSET($Q$8,MATCH(AI$634,$AH$634:$AN$634,0),0),OFFSET($P$8,MATCH(AI$634,$AH$634:$AN$634,0),0),MAX(0,$C987-OFFSET($Q$8,RIGHT(AI$634,1)-1,0)))</f>
        <v>909</v>
      </c>
      <c r="AJ987" s="136">
        <f ca="1" t="shared" si="956"/>
        <v>1818</v>
      </c>
      <c r="AK987" s="136">
        <f ca="1" t="shared" si="956"/>
        <v>2727</v>
      </c>
      <c r="AL987" s="136">
        <f ca="1" t="shared" si="956"/>
        <v>3636</v>
      </c>
      <c r="AM987" s="136">
        <f ca="1" t="shared" si="956"/>
        <v>4545</v>
      </c>
      <c r="AN987" s="136">
        <f ca="1" t="shared" si="956"/>
        <v>21215</v>
      </c>
    </row>
    <row r="988" s="106" customFormat="1" ht="16.5" spans="2:40">
      <c r="B988" s="117">
        <v>354</v>
      </c>
      <c r="C988" s="130">
        <f t="shared" si="889"/>
        <v>35400</v>
      </c>
      <c r="D988" s="131" cm="1">
        <f ca="1" t="array" ref="D988">IF(D1590=1,OFFSET($W$634,$B988,D$631-1)/SUMPRODUCT(--($D$631:$V$631=D$631),--($D1590:$V1590=1)),0)+SUM(D987)+IF(COUNTIF(D$1237:D1590,1)=1,5,0)+IF(COUNTIF(E988:$W988,"&gt;"&amp;0)&lt;5,IF(AND(COUNTIF(D$1237:D1590,1)&gt;7,MOD(1+IFERROR(MATCH($C988,总览!$D$46:$D$345,1)+1,1),7)=0),$C$3,0),0)</f>
        <v>2316.02948416087</v>
      </c>
      <c r="E988" s="131" cm="1">
        <f ca="1" t="array" ref="E988">IF(E1590=1,OFFSET($W$634,$B988,E$631-1)/SUMPRODUCT(--($D$631:$V$631=E$631),--($D1590:$V1590=1)),0)+SUM(E987)+IF(COUNTIF(E$1237:E1590,1)=1,5,0)+IF(COUNTIF(F988:$W988,"&gt;"&amp;0)&lt;5,IF(AND(COUNTIF(E$1237:E1590,1)&gt;7,MOD(1+IFERROR(MATCH($C988,总览!$D$46:$D$345,1)+1,1),7)=0),$C$3,0),0)</f>
        <v>2316.02948416087</v>
      </c>
      <c r="F988" s="131" cm="1">
        <f ca="1" t="array" ref="F988">IF(F1590=1,OFFSET($W$634,$B988,F$631-1)/SUMPRODUCT(--($D$631:$V$631=F$631),--($D1590:$V1590=1)),0)+SUM(F987)+IF(COUNTIF(F$1237:F1590,1)=1,5,0)+IF(COUNTIF(G988:$W988,"&gt;"&amp;0)&lt;5,IF(AND(COUNTIF(F$1237:F1590,1)&gt;7,MOD(1+IFERROR(MATCH($C988,总览!$D$46:$D$345,1)+1,1),7)=0),$C$3,0),0)</f>
        <v>2316.02948416087</v>
      </c>
      <c r="G988" s="131" cm="1">
        <f ca="1" t="array" ref="G988">IF(G1590=1,OFFSET($W$634,$B988,G$631-1)/SUMPRODUCT(--($D$631:$V$631=G$631),--($D1590:$V1590=1)),0)+SUM(G987)+IF(COUNTIF(G$1237:G1590,1)=1,5,0)+IF(COUNTIF(H988:$W988,"&gt;"&amp;0)&lt;5,IF(AND(COUNTIF(G$1237:G1590,1)&gt;7,MOD(1+IFERROR(MATCH($C988,总览!$D$46:$D$345,1)+1,1),7)=0),$C$3,0),0)</f>
        <v>1119.4</v>
      </c>
      <c r="H988" s="131" cm="1">
        <f ca="1" t="array" ref="H988">IF(H1590=1,OFFSET($W$634,$B988,H$631-1)/SUMPRODUCT(--($D$631:$V$631=H$631),--($D1590:$V1590=1)),0)+SUM(H987)+IF(COUNTIF(H$1237:H1590,1)=1,5,0)+IF(COUNTIF(I988:$W988,"&gt;"&amp;0)&lt;5,IF(AND(COUNTIF(H$1237:H1590,1)&gt;7,MOD(1+IFERROR(MATCH($C988,总览!$D$46:$D$345,1)+1,1),7)=0),$C$3,0),0)</f>
        <v>1119.4</v>
      </c>
      <c r="I988" s="131" cm="1">
        <f ca="1" t="array" ref="I988">IF(I1590=1,OFFSET($W$634,$B988,I$631-1)/SUMPRODUCT(--($D$631:$V$631=I$631),--($D1590:$V1590=1)),0)+SUM(I987)+IF(COUNTIF(I$1237:I1590,1)=1,5,0)+IF(COUNTIF(J988:$W988,"&gt;"&amp;0)&lt;5,IF(AND(COUNTIF(I$1237:I1590,1)&gt;7,MOD(1+IFERROR(MATCH($C988,总览!$D$46:$D$345,1)+1,1),7)=0),$C$3,0),0)</f>
        <v>1119.4</v>
      </c>
      <c r="J988" s="131" cm="1">
        <f ca="1" t="array" ref="J988">IF(J1590=1,OFFSET($W$634,$B988,J$631-1)/SUMPRODUCT(--($D$631:$V$631=J$631),--($D1590:$V1590=1)),0)+SUM(J987)+IF(COUNTIF(J$1237:J1590,1)=1,5,0)+IF(COUNTIF(K988:$W988,"&gt;"&amp;0)&lt;5,IF(AND(COUNTIF(J$1237:J1590,1)&gt;7,MOD(1+IFERROR(MATCH($C988,总览!$D$46:$D$345,1)+1,1),7)=0),$C$3,0),0)</f>
        <v>1116.06666666667</v>
      </c>
      <c r="K988" s="131" cm="1">
        <f ca="1" t="array" ref="K988">IF(K1590=1,OFFSET($W$634,$B988,K$631-1)/SUMPRODUCT(--($D$631:$V$631=K$631),--($D1590:$V1590=1)),0)+SUM(K987)+IF(COUNTIF(K$1237:K1590,1)=1,5,0)+IF(COUNTIF(L988:$W988,"&gt;"&amp;0)&lt;5,IF(AND(COUNTIF(K$1237:K1590,1)&gt;7,MOD(1+IFERROR(MATCH($C988,总览!$D$46:$D$345,1)+1,1),7)=0),$C$3,0),0)</f>
        <v>1113.56666666667</v>
      </c>
      <c r="L988" s="131" cm="1">
        <f ca="1" t="array" ref="L988">IF(L1590=1,OFFSET($W$634,$B988,L$631-1)/SUMPRODUCT(--($D$631:$V$631=L$631),--($D1590:$V1590=1)),0)+SUM(L987)+IF(COUNTIF(L$1237:L1590,1)=1,5,0)+IF(COUNTIF(M988:$W988,"&gt;"&amp;0)&lt;5,IF(AND(COUNTIF(L$1237:L1590,1)&gt;7,MOD(1+IFERROR(MATCH($C988,总览!$D$46:$D$345,1)+1,1),7)=0),$C$3,0),0)</f>
        <v>1113.56666666667</v>
      </c>
      <c r="M988" s="131" cm="1">
        <f ca="1" t="array" ref="M988">IF(M1590=1,OFFSET($W$634,$B988,M$631-1)/SUMPRODUCT(--($D$631:$V$631=M$631),--($D1590:$V1590=1)),0)+SUM(M987)+IF(COUNTIF(M$1237:M1590,1)=1,5,0)+IF(COUNTIF(N988:$W988,"&gt;"&amp;0)&lt;5,IF(AND(COUNTIF(M$1237:M1590,1)&gt;7,MOD(1+IFERROR(MATCH($C988,总览!$D$46:$D$345,1)+1,1),7)=0),$C$3,0),0)</f>
        <v>463.466964285716</v>
      </c>
      <c r="N988" s="131" cm="1">
        <f ca="1" t="array" ref="N988">IF(N1590=1,OFFSET($W$634,$B988,N$631-1)/SUMPRODUCT(--($D$631:$V$631=N$631),--($D1590:$V1590=1)),0)+SUM(N987)+IF(COUNTIF(N$1237:N1590,1)=1,5,0)+IF(COUNTIF(O988:$W988,"&gt;"&amp;0)&lt;5,IF(AND(COUNTIF(N$1237:N1590,1)&gt;7,MOD(1+IFERROR(MATCH($C988,总览!$D$46:$D$345,1)+1,1),7)=0),$C$3,0),0)</f>
        <v>464.716964285716</v>
      </c>
      <c r="O988" s="131" cm="1">
        <f ca="1" t="array" ref="O988">IF(O1590=1,OFFSET($W$634,$B988,O$631-1)/SUMPRODUCT(--($D$631:$V$631=O$631),--($D1590:$V1590=1)),0)+SUM(O987)+IF(COUNTIF(O$1237:O1590,1)=1,5,0)+IF(COUNTIF(P988:$W988,"&gt;"&amp;0)&lt;5,IF(AND(COUNTIF(O$1237:O1590,1)&gt;7,MOD(1+IFERROR(MATCH($C988,总览!$D$46:$D$345,1)+1,1),7)=0),$C$3,0),0)</f>
        <v>469.716964285715</v>
      </c>
      <c r="P988" s="131" cm="1">
        <f ca="1" t="array" ref="P988">IF(P1590=1,OFFSET($W$634,$B988,P$631-1)/SUMPRODUCT(--($D$631:$V$631=P$631),--($D1590:$V1590=1)),0)+SUM(P987)+IF(COUNTIF(P$1237:P1590,1)=1,5,0)+IF(COUNTIF(Q988:$W988,"&gt;"&amp;0)&lt;5,IF(AND(COUNTIF(P$1237:P1590,1)&gt;7,MOD(1+IFERROR(MATCH($C988,总览!$D$46:$D$345,1)+1,1),7)=0),$C$3,0),0)</f>
        <v>458.835714285715</v>
      </c>
      <c r="Q988" s="131" cm="1">
        <f ca="1" t="array" ref="Q988">IF(Q1590=1,OFFSET($W$634,$B988,Q$631-1)/SUMPRODUCT(--($D$631:$V$631=Q$631),--($D1590:$V1590=1)),0)+SUM(Q987)+IF(COUNTIF(Q$1237:Q1590,1)=1,5,0)+IF(COUNTIF(R988:$W988,"&gt;"&amp;0)&lt;5,IF(AND(COUNTIF(Q$1237:Q1590,1)&gt;7,MOD(1+IFERROR(MATCH($C988,总览!$D$46:$D$345,1)+1,1),7)=0),$C$3,0),0)</f>
        <v>472.216964285716</v>
      </c>
      <c r="R988" s="131" cm="1">
        <f ca="1" t="array" ref="R988">IF(R1590=1,OFFSET($W$634,$B988,R$631-1)/SUMPRODUCT(--($D$631:$V$631=R$631),--($D1590:$V1590=1)),0)+SUM(R987)+IF(COUNTIF(R$1237:R1590,1)=1,5,0)+IF(COUNTIF(S988:$W988,"&gt;"&amp;0)&lt;5,IF(AND(COUNTIF(R$1237:R1590,1)&gt;7,MOD(1+IFERROR(MATCH($C988,总览!$D$46:$D$345,1)+1,1),7)=0),$C$3,0),0)</f>
        <v>463.835714285715</v>
      </c>
      <c r="S988" s="131" cm="1">
        <f ca="1" t="array" ref="S988">IF(S1590=1,OFFSET($W$634,$B988,S$631-1)/SUMPRODUCT(--($D$631:$V$631=S$631),--($D1590:$V1590=1)),0)+SUM(S987)+IF(COUNTIF(S$1237:S1590,1)=1,5,0)+IF(COUNTIF(T988:$W988,"&gt;"&amp;0)&lt;5,IF(AND(COUNTIF(S$1237:S1590,1)&gt;7,MOD(1+IFERROR(MATCH($C988,总览!$D$46:$D$345,1)+1,1),7)=0),$C$3,0),0)</f>
        <v>556.335714285717</v>
      </c>
      <c r="T988" s="131" cm="1">
        <f ca="1" t="array" ref="T988">IF(T1590=1,OFFSET($W$634,$B988,T$631-1)/SUMPRODUCT(--($D$631:$V$631=T$631),--($D1590:$V1590=1)),0)+SUM(T987)+IF(COUNTIF(T$1237:T1590,1)=1,5,0)+IF(COUNTIF(U988:$W988,"&gt;"&amp;0)&lt;5,IF(AND(COUNTIF(T$1237:T1590,1)&gt;7,MOD(1+IFERROR(MATCH($C988,总览!$D$46:$D$345,1)+1,1),7)=0),$C$3,0),0)</f>
        <v>406.839325031456</v>
      </c>
      <c r="U988" s="131" cm="1">
        <f ca="1" t="array" ref="U988">IF(U1590=1,OFFSET($W$634,$B988,U$631-1)/SUMPRODUCT(--($D$631:$V$631=U$631),--($D1590:$V1590=1)),0)+SUM(U987)+IF(COUNTIF(U$1237:U1590,1)=1,5,0)+IF(COUNTIF(V988:$W988,"&gt;"&amp;0)&lt;5,IF(AND(COUNTIF(U$1237:U1590,1)&gt;7,MOD(1+IFERROR(MATCH($C988,总览!$D$46:$D$345,1)+1,1),7)=0),$C$3,0),0)</f>
        <v>412.360111386755</v>
      </c>
      <c r="V988" s="131" cm="1">
        <f ca="1" t="array" ref="V988">IF(V1590=1,OFFSET($W$634,$B988,V$631-1)/SUMPRODUCT(--($D$631:$V$631=V$631),--($D1590:$V1590=1)),0)+SUM(V987)+IF(COUNTIF(V$1237:V1590,1)=1,5,0)+IF(COUNTIF(W988:$W988,"&gt;"&amp;0)&lt;5,IF(AND(COUNTIF(V$1237:V1590,1)&gt;7,MOD(1+IFERROR(MATCH($C988,总览!$D$46:$D$345,1)+1,1),7)=0),$C$3,0),0)</f>
        <v>432.187111099188</v>
      </c>
      <c r="W988" s="135" cm="1">
        <f ca="1" t="array" ref="W988">SUMPRODUCT(TRANSPOSE($AA988:$AG988),OFFSET($L$9:$L$15,0,W$631-1))</f>
        <v>16.8502200646615</v>
      </c>
      <c r="X988" s="135" cm="1">
        <f ca="1" t="array" ref="X988">SUMPRODUCT(TRANSPOSE($AA988:$AG988),OFFSET($L$9:$L$15,0,X$631-1))</f>
        <v>20</v>
      </c>
      <c r="Y988" s="135" cm="1">
        <f ca="1" t="array" ref="Y988">SUMPRODUCT(TRANSPOSE($AA988:$AG988),OFFSET($L$9:$L$15,0,Y$631-1))</f>
        <v>10</v>
      </c>
      <c r="Z988" s="135" cm="1">
        <f ca="1" t="array" ref="Z988">SUMPRODUCT(TRANSPOSE($AA988:$AG988),OFFSET($L$9:$L$15,0,Z$631-1))</f>
        <v>3.14977993533847</v>
      </c>
      <c r="AA988" s="136">
        <f ca="1" t="shared" ref="AA988:AG988" si="957">AH988-AH987</f>
        <v>0</v>
      </c>
      <c r="AB988" s="136">
        <f ca="1" t="shared" si="957"/>
        <v>0</v>
      </c>
      <c r="AC988" s="136">
        <f ca="1" t="shared" si="957"/>
        <v>0</v>
      </c>
      <c r="AD988" s="136">
        <f ca="1" t="shared" si="957"/>
        <v>0</v>
      </c>
      <c r="AE988" s="136">
        <f ca="1" t="shared" si="957"/>
        <v>0</v>
      </c>
      <c r="AF988" s="136">
        <f ca="1" t="shared" si="957"/>
        <v>0</v>
      </c>
      <c r="AG988" s="136">
        <f ca="1" t="shared" si="957"/>
        <v>100</v>
      </c>
      <c r="AH988" s="136">
        <f ca="1" t="shared" si="891"/>
        <v>450</v>
      </c>
      <c r="AI988" s="136">
        <f ca="1" t="shared" ref="AI988:AN988" si="958">IF($C988&gt;OFFSET($Q$8,MATCH(AI$634,$AH$634:$AN$634,0),0),OFFSET($P$8,MATCH(AI$634,$AH$634:$AN$634,0),0),MAX(0,$C988-OFFSET($Q$8,RIGHT(AI$634,1)-1,0)))</f>
        <v>909</v>
      </c>
      <c r="AJ988" s="136">
        <f ca="1" t="shared" si="958"/>
        <v>1818</v>
      </c>
      <c r="AK988" s="136">
        <f ca="1" t="shared" si="958"/>
        <v>2727</v>
      </c>
      <c r="AL988" s="136">
        <f ca="1" t="shared" si="958"/>
        <v>3636</v>
      </c>
      <c r="AM988" s="136">
        <f ca="1" t="shared" si="958"/>
        <v>4545</v>
      </c>
      <c r="AN988" s="136">
        <f ca="1" t="shared" si="958"/>
        <v>21315</v>
      </c>
    </row>
    <row r="989" s="106" customFormat="1" ht="16.5" spans="2:40">
      <c r="B989" s="117">
        <v>355</v>
      </c>
      <c r="C989" s="130">
        <f t="shared" si="889"/>
        <v>35500</v>
      </c>
      <c r="D989" s="131" cm="1">
        <f ca="1" t="array" ref="D989">IF(D1591=1,OFFSET($W$634,$B989,D$631-1)/SUMPRODUCT(--($D$631:$V$631=D$631),--($D1591:$V1591=1)),0)+SUM(D988)+IF(COUNTIF(D$1237:D1591,1)=1,5,0)+IF(COUNTIF(E989:$W989,"&gt;"&amp;0)&lt;5,IF(AND(COUNTIF(D$1237:D1591,1)&gt;7,MOD(1+IFERROR(MATCH($C989,总览!$D$46:$D$345,1)+1,1),7)=0),$C$3,0),0)</f>
        <v>2321.64622418243</v>
      </c>
      <c r="E989" s="131" cm="1">
        <f ca="1" t="array" ref="E989">IF(E1591=1,OFFSET($W$634,$B989,E$631-1)/SUMPRODUCT(--($D$631:$V$631=E$631),--($D1591:$V1591=1)),0)+SUM(E988)+IF(COUNTIF(E$1237:E1591,1)=1,5,0)+IF(COUNTIF(F989:$W989,"&gt;"&amp;0)&lt;5,IF(AND(COUNTIF(E$1237:E1591,1)&gt;7,MOD(1+IFERROR(MATCH($C989,总览!$D$46:$D$345,1)+1,1),7)=0),$C$3,0),0)</f>
        <v>2321.64622418243</v>
      </c>
      <c r="F989" s="131" cm="1">
        <f ca="1" t="array" ref="F989">IF(F1591=1,OFFSET($W$634,$B989,F$631-1)/SUMPRODUCT(--($D$631:$V$631=F$631),--($D1591:$V1591=1)),0)+SUM(F988)+IF(COUNTIF(F$1237:F1591,1)=1,5,0)+IF(COUNTIF(G989:$W989,"&gt;"&amp;0)&lt;5,IF(AND(COUNTIF(F$1237:F1591,1)&gt;7,MOD(1+IFERROR(MATCH($C989,总览!$D$46:$D$345,1)+1,1),7)=0),$C$3,0),0)</f>
        <v>2321.64622418243</v>
      </c>
      <c r="G989" s="131" cm="1">
        <f ca="1" t="array" ref="G989">IF(G1591=1,OFFSET($W$634,$B989,G$631-1)/SUMPRODUCT(--($D$631:$V$631=G$631),--($D1591:$V1591=1)),0)+SUM(G988)+IF(COUNTIF(G$1237:G1591,1)=1,5,0)+IF(COUNTIF(H989:$W989,"&gt;"&amp;0)&lt;5,IF(AND(COUNTIF(G$1237:G1591,1)&gt;7,MOD(1+IFERROR(MATCH($C989,总览!$D$46:$D$345,1)+1,1),7)=0),$C$3,0),0)</f>
        <v>1122.73333333334</v>
      </c>
      <c r="H989" s="131" cm="1">
        <f ca="1" t="array" ref="H989">IF(H1591=1,OFFSET($W$634,$B989,H$631-1)/SUMPRODUCT(--($D$631:$V$631=H$631),--($D1591:$V1591=1)),0)+SUM(H988)+IF(COUNTIF(H$1237:H1591,1)=1,5,0)+IF(COUNTIF(I989:$W989,"&gt;"&amp;0)&lt;5,IF(AND(COUNTIF(H$1237:H1591,1)&gt;7,MOD(1+IFERROR(MATCH($C989,总览!$D$46:$D$345,1)+1,1),7)=0),$C$3,0),0)</f>
        <v>1122.73333333334</v>
      </c>
      <c r="I989" s="131" cm="1">
        <f ca="1" t="array" ref="I989">IF(I1591=1,OFFSET($W$634,$B989,I$631-1)/SUMPRODUCT(--($D$631:$V$631=I$631),--($D1591:$V1591=1)),0)+SUM(I988)+IF(COUNTIF(I$1237:I1591,1)=1,5,0)+IF(COUNTIF(J989:$W989,"&gt;"&amp;0)&lt;5,IF(AND(COUNTIF(I$1237:I1591,1)&gt;7,MOD(1+IFERROR(MATCH($C989,总览!$D$46:$D$345,1)+1,1),7)=0),$C$3,0),0)</f>
        <v>1122.73333333334</v>
      </c>
      <c r="J989" s="131" cm="1">
        <f ca="1" t="array" ref="J989">IF(J1591=1,OFFSET($W$634,$B989,J$631-1)/SUMPRODUCT(--($D$631:$V$631=J$631),--($D1591:$V1591=1)),0)+SUM(J988)+IF(COUNTIF(J$1237:J1591,1)=1,5,0)+IF(COUNTIF(K989:$W989,"&gt;"&amp;0)&lt;5,IF(AND(COUNTIF(J$1237:J1591,1)&gt;7,MOD(1+IFERROR(MATCH($C989,总览!$D$46:$D$345,1)+1,1),7)=0),$C$3,0),0)</f>
        <v>1119.4</v>
      </c>
      <c r="K989" s="131" cm="1">
        <f ca="1" t="array" ref="K989">IF(K1591=1,OFFSET($W$634,$B989,K$631-1)/SUMPRODUCT(--($D$631:$V$631=K$631),--($D1591:$V1591=1)),0)+SUM(K988)+IF(COUNTIF(K$1237:K1591,1)=1,5,0)+IF(COUNTIF(L989:$W989,"&gt;"&amp;0)&lt;5,IF(AND(COUNTIF(K$1237:K1591,1)&gt;7,MOD(1+IFERROR(MATCH($C989,总览!$D$46:$D$345,1)+1,1),7)=0),$C$3,0),0)</f>
        <v>1116.9</v>
      </c>
      <c r="L989" s="131" cm="1">
        <f ca="1" t="array" ref="L989">IF(L1591=1,OFFSET($W$634,$B989,L$631-1)/SUMPRODUCT(--($D$631:$V$631=L$631),--($D1591:$V1591=1)),0)+SUM(L988)+IF(COUNTIF(L$1237:L1591,1)=1,5,0)+IF(COUNTIF(M989:$W989,"&gt;"&amp;0)&lt;5,IF(AND(COUNTIF(L$1237:L1591,1)&gt;7,MOD(1+IFERROR(MATCH($C989,总览!$D$46:$D$345,1)+1,1),7)=0),$C$3,0),0)</f>
        <v>1116.9</v>
      </c>
      <c r="M989" s="131" cm="1">
        <f ca="1" t="array" ref="M989">IF(M1591=1,OFFSET($W$634,$B989,M$631-1)/SUMPRODUCT(--($D$631:$V$631=M$631),--($D1591:$V1591=1)),0)+SUM(M988)+IF(COUNTIF(M$1237:M1591,1)=1,5,0)+IF(COUNTIF(N989:$W989,"&gt;"&amp;0)&lt;5,IF(AND(COUNTIF(M$1237:M1591,1)&gt;7,MOD(1+IFERROR(MATCH($C989,总览!$D$46:$D$345,1)+1,1),7)=0),$C$3,0),0)</f>
        <v>464.895535714287</v>
      </c>
      <c r="N989" s="131" cm="1">
        <f ca="1" t="array" ref="N989">IF(N1591=1,OFFSET($W$634,$B989,N$631-1)/SUMPRODUCT(--($D$631:$V$631=N$631),--($D1591:$V1591=1)),0)+SUM(N988)+IF(COUNTIF(N$1237:N1591,1)=1,5,0)+IF(COUNTIF(O989:$W989,"&gt;"&amp;0)&lt;5,IF(AND(COUNTIF(N$1237:N1591,1)&gt;7,MOD(1+IFERROR(MATCH($C989,总览!$D$46:$D$345,1)+1,1),7)=0),$C$3,0),0)</f>
        <v>466.145535714287</v>
      </c>
      <c r="O989" s="131" cm="1">
        <f ca="1" t="array" ref="O989">IF(O1591=1,OFFSET($W$634,$B989,O$631-1)/SUMPRODUCT(--($D$631:$V$631=O$631),--($D1591:$V1591=1)),0)+SUM(O988)+IF(COUNTIF(O$1237:O1591,1)=1,5,0)+IF(COUNTIF(P989:$W989,"&gt;"&amp;0)&lt;5,IF(AND(COUNTIF(O$1237:O1591,1)&gt;7,MOD(1+IFERROR(MATCH($C989,总览!$D$46:$D$345,1)+1,1),7)=0),$C$3,0),0)</f>
        <v>471.145535714287</v>
      </c>
      <c r="P989" s="131" cm="1">
        <f ca="1" t="array" ref="P989">IF(P1591=1,OFFSET($W$634,$B989,P$631-1)/SUMPRODUCT(--($D$631:$V$631=P$631),--($D1591:$V1591=1)),0)+SUM(P988)+IF(COUNTIF(P$1237:P1591,1)=1,5,0)+IF(COUNTIF(Q989:$W989,"&gt;"&amp;0)&lt;5,IF(AND(COUNTIF(P$1237:P1591,1)&gt;7,MOD(1+IFERROR(MATCH($C989,总览!$D$46:$D$345,1)+1,1),7)=0),$C$3,0),0)</f>
        <v>460.264285714287</v>
      </c>
      <c r="Q989" s="131" cm="1">
        <f ca="1" t="array" ref="Q989">IF(Q1591=1,OFFSET($W$634,$B989,Q$631-1)/SUMPRODUCT(--($D$631:$V$631=Q$631),--($D1591:$V1591=1)),0)+SUM(Q988)+IF(COUNTIF(Q$1237:Q1591,1)=1,5,0)+IF(COUNTIF(R989:$W989,"&gt;"&amp;0)&lt;5,IF(AND(COUNTIF(Q$1237:Q1591,1)&gt;7,MOD(1+IFERROR(MATCH($C989,总览!$D$46:$D$345,1)+1,1),7)=0),$C$3,0),0)</f>
        <v>473.645535714287</v>
      </c>
      <c r="R989" s="131" cm="1">
        <f ca="1" t="array" ref="R989">IF(R1591=1,OFFSET($W$634,$B989,R$631-1)/SUMPRODUCT(--($D$631:$V$631=R$631),--($D1591:$V1591=1)),0)+SUM(R988)+IF(COUNTIF(R$1237:R1591,1)=1,5,0)+IF(COUNTIF(S989:$W989,"&gt;"&amp;0)&lt;5,IF(AND(COUNTIF(R$1237:R1591,1)&gt;7,MOD(1+IFERROR(MATCH($C989,总览!$D$46:$D$345,1)+1,1),7)=0),$C$3,0),0)</f>
        <v>465.264285714287</v>
      </c>
      <c r="S989" s="131" cm="1">
        <f ca="1" t="array" ref="S989">IF(S1591=1,OFFSET($W$634,$B989,S$631-1)/SUMPRODUCT(--($D$631:$V$631=S$631),--($D1591:$V1591=1)),0)+SUM(S988)+IF(COUNTIF(S$1237:S1591,1)=1,5,0)+IF(COUNTIF(T989:$W989,"&gt;"&amp;0)&lt;5,IF(AND(COUNTIF(S$1237:S1591,1)&gt;7,MOD(1+IFERROR(MATCH($C989,总览!$D$46:$D$345,1)+1,1),7)=0),$C$3,0),0)</f>
        <v>557.764285714288</v>
      </c>
      <c r="T989" s="131" cm="1">
        <f ca="1" t="array" ref="T989">IF(T1591=1,OFFSET($W$634,$B989,T$631-1)/SUMPRODUCT(--($D$631:$V$631=T$631),--($D1591:$V1591=1)),0)+SUM(T988)+IF(COUNTIF(T$1237:T1591,1)=1,5,0)+IF(COUNTIF(U989:$W989,"&gt;"&amp;0)&lt;5,IF(AND(COUNTIF(T$1237:T1591,1)&gt;7,MOD(1+IFERROR(MATCH($C989,总览!$D$46:$D$345,1)+1,1),7)=0),$C$3,0),0)</f>
        <v>407.889251676569</v>
      </c>
      <c r="U989" s="131" cm="1">
        <f ca="1" t="array" ref="U989">IF(U1591=1,OFFSET($W$634,$B989,U$631-1)/SUMPRODUCT(--($D$631:$V$631=U$631),--($D1591:$V1591=1)),0)+SUM(U988)+IF(COUNTIF(U$1237:U1591,1)=1,5,0)+IF(COUNTIF(V989:$W989,"&gt;"&amp;0)&lt;5,IF(AND(COUNTIF(U$1237:U1591,1)&gt;7,MOD(1+IFERROR(MATCH($C989,总览!$D$46:$D$345,1)+1,1),7)=0),$C$3,0),0)</f>
        <v>413.410038031868</v>
      </c>
      <c r="V989" s="131" cm="1">
        <f ca="1" t="array" ref="V989">IF(V1591=1,OFFSET($W$634,$B989,V$631-1)/SUMPRODUCT(--($D$631:$V$631=V$631),--($D1591:$V1591=1)),0)+SUM(V988)+IF(COUNTIF(V$1237:V1591,1)=1,5,0)+IF(COUNTIF(W989:$W989,"&gt;"&amp;0)&lt;5,IF(AND(COUNTIF(V$1237:V1591,1)&gt;7,MOD(1+IFERROR(MATCH($C989,总览!$D$46:$D$345,1)+1,1),7)=0),$C$3,0),0)</f>
        <v>433.237037744301</v>
      </c>
      <c r="W989" s="135" cm="1">
        <f ca="1" t="array" ref="W989">SUMPRODUCT(TRANSPOSE($AA989:$AG989),OFFSET($L$9:$L$15,0,W$631-1))</f>
        <v>16.8502200646615</v>
      </c>
      <c r="X989" s="135" cm="1">
        <f ca="1" t="array" ref="X989">SUMPRODUCT(TRANSPOSE($AA989:$AG989),OFFSET($L$9:$L$15,0,X$631-1))</f>
        <v>20</v>
      </c>
      <c r="Y989" s="135" cm="1">
        <f ca="1" t="array" ref="Y989">SUMPRODUCT(TRANSPOSE($AA989:$AG989),OFFSET($L$9:$L$15,0,Y$631-1))</f>
        <v>10</v>
      </c>
      <c r="Z989" s="135" cm="1">
        <f ca="1" t="array" ref="Z989">SUMPRODUCT(TRANSPOSE($AA989:$AG989),OFFSET($L$9:$L$15,0,Z$631-1))</f>
        <v>3.14977993533847</v>
      </c>
      <c r="AA989" s="136">
        <f ca="1" t="shared" ref="AA989:AG989" si="959">AH989-AH988</f>
        <v>0</v>
      </c>
      <c r="AB989" s="136">
        <f ca="1" t="shared" si="959"/>
        <v>0</v>
      </c>
      <c r="AC989" s="136">
        <f ca="1" t="shared" si="959"/>
        <v>0</v>
      </c>
      <c r="AD989" s="136">
        <f ca="1" t="shared" si="959"/>
        <v>0</v>
      </c>
      <c r="AE989" s="136">
        <f ca="1" t="shared" si="959"/>
        <v>0</v>
      </c>
      <c r="AF989" s="136">
        <f ca="1" t="shared" si="959"/>
        <v>0</v>
      </c>
      <c r="AG989" s="136">
        <f ca="1" t="shared" si="959"/>
        <v>100</v>
      </c>
      <c r="AH989" s="136">
        <f ca="1" t="shared" si="891"/>
        <v>450</v>
      </c>
      <c r="AI989" s="136">
        <f ca="1" t="shared" ref="AI989:AN989" si="960">IF($C989&gt;OFFSET($Q$8,MATCH(AI$634,$AH$634:$AN$634,0),0),OFFSET($P$8,MATCH(AI$634,$AH$634:$AN$634,0),0),MAX(0,$C989-OFFSET($Q$8,RIGHT(AI$634,1)-1,0)))</f>
        <v>909</v>
      </c>
      <c r="AJ989" s="136">
        <f ca="1" t="shared" si="960"/>
        <v>1818</v>
      </c>
      <c r="AK989" s="136">
        <f ca="1" t="shared" si="960"/>
        <v>2727</v>
      </c>
      <c r="AL989" s="136">
        <f ca="1" t="shared" si="960"/>
        <v>3636</v>
      </c>
      <c r="AM989" s="136">
        <f ca="1" t="shared" si="960"/>
        <v>4545</v>
      </c>
      <c r="AN989" s="136">
        <f ca="1" t="shared" si="960"/>
        <v>21415</v>
      </c>
    </row>
    <row r="990" s="106" customFormat="1" ht="16.5" spans="2:40">
      <c r="B990" s="117">
        <v>356</v>
      </c>
      <c r="C990" s="130">
        <f t="shared" si="889"/>
        <v>35600</v>
      </c>
      <c r="D990" s="131" cm="1">
        <f ca="1" t="array" ref="D990">IF(D1592=1,OFFSET($W$634,$B990,D$631-1)/SUMPRODUCT(--($D$631:$V$631=D$631),--($D1592:$V1592=1)),0)+SUM(D989)+IF(COUNTIF(D$1237:D1592,1)=1,5,0)+IF(COUNTIF(E990:$W990,"&gt;"&amp;0)&lt;5,IF(AND(COUNTIF(D$1237:D1592,1)&gt;7,MOD(1+IFERROR(MATCH($C990,总览!$D$46:$D$345,1)+1,1),7)=0),$C$3,0),0)</f>
        <v>2327.26296420398</v>
      </c>
      <c r="E990" s="131" cm="1">
        <f ca="1" t="array" ref="E990">IF(E1592=1,OFFSET($W$634,$B990,E$631-1)/SUMPRODUCT(--($D$631:$V$631=E$631),--($D1592:$V1592=1)),0)+SUM(E989)+IF(COUNTIF(E$1237:E1592,1)=1,5,0)+IF(COUNTIF(F990:$W990,"&gt;"&amp;0)&lt;5,IF(AND(COUNTIF(E$1237:E1592,1)&gt;7,MOD(1+IFERROR(MATCH($C990,总览!$D$46:$D$345,1)+1,1),7)=0),$C$3,0),0)</f>
        <v>2327.26296420398</v>
      </c>
      <c r="F990" s="131" cm="1">
        <f ca="1" t="array" ref="F990">IF(F1592=1,OFFSET($W$634,$B990,F$631-1)/SUMPRODUCT(--($D$631:$V$631=F$631),--($D1592:$V1592=1)),0)+SUM(F989)+IF(COUNTIF(F$1237:F1592,1)=1,5,0)+IF(COUNTIF(G990:$W990,"&gt;"&amp;0)&lt;5,IF(AND(COUNTIF(F$1237:F1592,1)&gt;7,MOD(1+IFERROR(MATCH($C990,总览!$D$46:$D$345,1)+1,1),7)=0),$C$3,0),0)</f>
        <v>2327.26296420398</v>
      </c>
      <c r="G990" s="131" cm="1">
        <f ca="1" t="array" ref="G990">IF(G1592=1,OFFSET($W$634,$B990,G$631-1)/SUMPRODUCT(--($D$631:$V$631=G$631),--($D1592:$V1592=1)),0)+SUM(G989)+IF(COUNTIF(G$1237:G1592,1)=1,5,0)+IF(COUNTIF(H990:$W990,"&gt;"&amp;0)&lt;5,IF(AND(COUNTIF(G$1237:G1592,1)&gt;7,MOD(1+IFERROR(MATCH($C990,总览!$D$46:$D$345,1)+1,1),7)=0),$C$3,0),0)</f>
        <v>1126.06666666667</v>
      </c>
      <c r="H990" s="131" cm="1">
        <f ca="1" t="array" ref="H990">IF(H1592=1,OFFSET($W$634,$B990,H$631-1)/SUMPRODUCT(--($D$631:$V$631=H$631),--($D1592:$V1592=1)),0)+SUM(H989)+IF(COUNTIF(H$1237:H1592,1)=1,5,0)+IF(COUNTIF(I990:$W990,"&gt;"&amp;0)&lt;5,IF(AND(COUNTIF(H$1237:H1592,1)&gt;7,MOD(1+IFERROR(MATCH($C990,总览!$D$46:$D$345,1)+1,1),7)=0),$C$3,0),0)</f>
        <v>1126.06666666667</v>
      </c>
      <c r="I990" s="131" cm="1">
        <f ca="1" t="array" ref="I990">IF(I1592=1,OFFSET($W$634,$B990,I$631-1)/SUMPRODUCT(--($D$631:$V$631=I$631),--($D1592:$V1592=1)),0)+SUM(I989)+IF(COUNTIF(I$1237:I1592,1)=1,5,0)+IF(COUNTIF(J990:$W990,"&gt;"&amp;0)&lt;5,IF(AND(COUNTIF(I$1237:I1592,1)&gt;7,MOD(1+IFERROR(MATCH($C990,总览!$D$46:$D$345,1)+1,1),7)=0),$C$3,0),0)</f>
        <v>1126.06666666667</v>
      </c>
      <c r="J990" s="131" cm="1">
        <f ca="1" t="array" ref="J990">IF(J1592=1,OFFSET($W$634,$B990,J$631-1)/SUMPRODUCT(--($D$631:$V$631=J$631),--($D1592:$V1592=1)),0)+SUM(J989)+IF(COUNTIF(J$1237:J1592,1)=1,5,0)+IF(COUNTIF(K990:$W990,"&gt;"&amp;0)&lt;5,IF(AND(COUNTIF(J$1237:J1592,1)&gt;7,MOD(1+IFERROR(MATCH($C990,总览!$D$46:$D$345,1)+1,1),7)=0),$C$3,0),0)</f>
        <v>1122.73333333334</v>
      </c>
      <c r="K990" s="131" cm="1">
        <f ca="1" t="array" ref="K990">IF(K1592=1,OFFSET($W$634,$B990,K$631-1)/SUMPRODUCT(--($D$631:$V$631=K$631),--($D1592:$V1592=1)),0)+SUM(K989)+IF(COUNTIF(K$1237:K1592,1)=1,5,0)+IF(COUNTIF(L990:$W990,"&gt;"&amp;0)&lt;5,IF(AND(COUNTIF(K$1237:K1592,1)&gt;7,MOD(1+IFERROR(MATCH($C990,总览!$D$46:$D$345,1)+1,1),7)=0),$C$3,0),0)</f>
        <v>1120.23333333334</v>
      </c>
      <c r="L990" s="131" cm="1">
        <f ca="1" t="array" ref="L990">IF(L1592=1,OFFSET($W$634,$B990,L$631-1)/SUMPRODUCT(--($D$631:$V$631=L$631),--($D1592:$V1592=1)),0)+SUM(L989)+IF(COUNTIF(L$1237:L1592,1)=1,5,0)+IF(COUNTIF(M990:$W990,"&gt;"&amp;0)&lt;5,IF(AND(COUNTIF(L$1237:L1592,1)&gt;7,MOD(1+IFERROR(MATCH($C990,总览!$D$46:$D$345,1)+1,1),7)=0),$C$3,0),0)</f>
        <v>1120.23333333334</v>
      </c>
      <c r="M990" s="131" cm="1">
        <f ca="1" t="array" ref="M990">IF(M1592=1,OFFSET($W$634,$B990,M$631-1)/SUMPRODUCT(--($D$631:$V$631=M$631),--($D1592:$V1592=1)),0)+SUM(M989)+IF(COUNTIF(M$1237:M1592,1)=1,5,0)+IF(COUNTIF(N990:$W990,"&gt;"&amp;0)&lt;5,IF(AND(COUNTIF(M$1237:M1592,1)&gt;7,MOD(1+IFERROR(MATCH($C990,总览!$D$46:$D$345,1)+1,1),7)=0),$C$3,0),0)</f>
        <v>466.324107142858</v>
      </c>
      <c r="N990" s="131" cm="1">
        <f ca="1" t="array" ref="N990">IF(N1592=1,OFFSET($W$634,$B990,N$631-1)/SUMPRODUCT(--($D$631:$V$631=N$631),--($D1592:$V1592=1)),0)+SUM(N989)+IF(COUNTIF(N$1237:N1592,1)=1,5,0)+IF(COUNTIF(O990:$W990,"&gt;"&amp;0)&lt;5,IF(AND(COUNTIF(N$1237:N1592,1)&gt;7,MOD(1+IFERROR(MATCH($C990,总览!$D$46:$D$345,1)+1,1),7)=0),$C$3,0),0)</f>
        <v>467.574107142858</v>
      </c>
      <c r="O990" s="131" cm="1">
        <f ca="1" t="array" ref="O990">IF(O1592=1,OFFSET($W$634,$B990,O$631-1)/SUMPRODUCT(--($D$631:$V$631=O$631),--($D1592:$V1592=1)),0)+SUM(O989)+IF(COUNTIF(O$1237:O1592,1)=1,5,0)+IF(COUNTIF(P990:$W990,"&gt;"&amp;0)&lt;5,IF(AND(COUNTIF(O$1237:O1592,1)&gt;7,MOD(1+IFERROR(MATCH($C990,总览!$D$46:$D$345,1)+1,1),7)=0),$C$3,0),0)</f>
        <v>472.574107142858</v>
      </c>
      <c r="P990" s="131" cm="1">
        <f ca="1" t="array" ref="P990">IF(P1592=1,OFFSET($W$634,$B990,P$631-1)/SUMPRODUCT(--($D$631:$V$631=P$631),--($D1592:$V1592=1)),0)+SUM(P989)+IF(COUNTIF(P$1237:P1592,1)=1,5,0)+IF(COUNTIF(Q990:$W990,"&gt;"&amp;0)&lt;5,IF(AND(COUNTIF(P$1237:P1592,1)&gt;7,MOD(1+IFERROR(MATCH($C990,总览!$D$46:$D$345,1)+1,1),7)=0),$C$3,0),0)</f>
        <v>461.692857142858</v>
      </c>
      <c r="Q990" s="131" cm="1">
        <f ca="1" t="array" ref="Q990">IF(Q1592=1,OFFSET($W$634,$B990,Q$631-1)/SUMPRODUCT(--($D$631:$V$631=Q$631),--($D1592:$V1592=1)),0)+SUM(Q989)+IF(COUNTIF(Q$1237:Q1592,1)=1,5,0)+IF(COUNTIF(R990:$W990,"&gt;"&amp;0)&lt;5,IF(AND(COUNTIF(Q$1237:Q1592,1)&gt;7,MOD(1+IFERROR(MATCH($C990,总览!$D$46:$D$345,1)+1,1),7)=0),$C$3,0),0)</f>
        <v>475.074107142858</v>
      </c>
      <c r="R990" s="131" cm="1">
        <f ca="1" t="array" ref="R990">IF(R1592=1,OFFSET($W$634,$B990,R$631-1)/SUMPRODUCT(--($D$631:$V$631=R$631),--($D1592:$V1592=1)),0)+SUM(R989)+IF(COUNTIF(R$1237:R1592,1)=1,5,0)+IF(COUNTIF(S990:$W990,"&gt;"&amp;0)&lt;5,IF(AND(COUNTIF(R$1237:R1592,1)&gt;7,MOD(1+IFERROR(MATCH($C990,总览!$D$46:$D$345,1)+1,1),7)=0),$C$3,0),0)</f>
        <v>466.692857142858</v>
      </c>
      <c r="S990" s="131" cm="1">
        <f ca="1" t="array" ref="S990">IF(S1592=1,OFFSET($W$634,$B990,S$631-1)/SUMPRODUCT(--($D$631:$V$631=S$631),--($D1592:$V1592=1)),0)+SUM(S989)+IF(COUNTIF(S$1237:S1592,1)=1,5,0)+IF(COUNTIF(T990:$W990,"&gt;"&amp;0)&lt;5,IF(AND(COUNTIF(S$1237:S1592,1)&gt;7,MOD(1+IFERROR(MATCH($C990,总览!$D$46:$D$345,1)+1,1),7)=0),$C$3,0),0)</f>
        <v>559.192857142859</v>
      </c>
      <c r="T990" s="131" cm="1">
        <f ca="1" t="array" ref="T990">IF(T1592=1,OFFSET($W$634,$B990,T$631-1)/SUMPRODUCT(--($D$631:$V$631=T$631),--($D1592:$V1592=1)),0)+SUM(T989)+IF(COUNTIF(T$1237:T1592,1)=1,5,0)+IF(COUNTIF(U990:$W990,"&gt;"&amp;0)&lt;5,IF(AND(COUNTIF(T$1237:T1592,1)&gt;7,MOD(1+IFERROR(MATCH($C990,总览!$D$46:$D$345,1)+1,1),7)=0),$C$3,0),0)</f>
        <v>408.939178321682</v>
      </c>
      <c r="U990" s="131" cm="1">
        <f ca="1" t="array" ref="U990">IF(U1592=1,OFFSET($W$634,$B990,U$631-1)/SUMPRODUCT(--($D$631:$V$631=U$631),--($D1592:$V1592=1)),0)+SUM(U989)+IF(COUNTIF(U$1237:U1592,1)=1,5,0)+IF(COUNTIF(V990:$W990,"&gt;"&amp;0)&lt;5,IF(AND(COUNTIF(U$1237:U1592,1)&gt;7,MOD(1+IFERROR(MATCH($C990,总览!$D$46:$D$345,1)+1,1),7)=0),$C$3,0),0)</f>
        <v>414.459964676981</v>
      </c>
      <c r="V990" s="131" cm="1">
        <f ca="1" t="array" ref="V990">IF(V1592=1,OFFSET($W$634,$B990,V$631-1)/SUMPRODUCT(--($D$631:$V$631=V$631),--($D1592:$V1592=1)),0)+SUM(V989)+IF(COUNTIF(V$1237:V1592,1)=1,5,0)+IF(COUNTIF(W990:$W990,"&gt;"&amp;0)&lt;5,IF(AND(COUNTIF(V$1237:V1592,1)&gt;7,MOD(1+IFERROR(MATCH($C990,总览!$D$46:$D$345,1)+1,1),7)=0),$C$3,0),0)</f>
        <v>434.286964389414</v>
      </c>
      <c r="W990" s="135" cm="1">
        <f ca="1" t="array" ref="W990">SUMPRODUCT(TRANSPOSE($AA990:$AG990),OFFSET($L$9:$L$15,0,W$631-1))</f>
        <v>16.8502200646615</v>
      </c>
      <c r="X990" s="135" cm="1">
        <f ca="1" t="array" ref="X990">SUMPRODUCT(TRANSPOSE($AA990:$AG990),OFFSET($L$9:$L$15,0,X$631-1))</f>
        <v>20</v>
      </c>
      <c r="Y990" s="135" cm="1">
        <f ca="1" t="array" ref="Y990">SUMPRODUCT(TRANSPOSE($AA990:$AG990),OFFSET($L$9:$L$15,0,Y$631-1))</f>
        <v>10</v>
      </c>
      <c r="Z990" s="135" cm="1">
        <f ca="1" t="array" ref="Z990">SUMPRODUCT(TRANSPOSE($AA990:$AG990),OFFSET($L$9:$L$15,0,Z$631-1))</f>
        <v>3.14977993533847</v>
      </c>
      <c r="AA990" s="136">
        <f ca="1" t="shared" ref="AA990:AG990" si="961">AH990-AH989</f>
        <v>0</v>
      </c>
      <c r="AB990" s="136">
        <f ca="1" t="shared" si="961"/>
        <v>0</v>
      </c>
      <c r="AC990" s="136">
        <f ca="1" t="shared" si="961"/>
        <v>0</v>
      </c>
      <c r="AD990" s="136">
        <f ca="1" t="shared" si="961"/>
        <v>0</v>
      </c>
      <c r="AE990" s="136">
        <f ca="1" t="shared" si="961"/>
        <v>0</v>
      </c>
      <c r="AF990" s="136">
        <f ca="1" t="shared" si="961"/>
        <v>0</v>
      </c>
      <c r="AG990" s="136">
        <f ca="1" t="shared" si="961"/>
        <v>100</v>
      </c>
      <c r="AH990" s="136">
        <f ca="1" t="shared" si="891"/>
        <v>450</v>
      </c>
      <c r="AI990" s="136">
        <f ca="1" t="shared" ref="AI990:AN990" si="962">IF($C990&gt;OFFSET($Q$8,MATCH(AI$634,$AH$634:$AN$634,0),0),OFFSET($P$8,MATCH(AI$634,$AH$634:$AN$634,0),0),MAX(0,$C990-OFFSET($Q$8,RIGHT(AI$634,1)-1,0)))</f>
        <v>909</v>
      </c>
      <c r="AJ990" s="136">
        <f ca="1" t="shared" si="962"/>
        <v>1818</v>
      </c>
      <c r="AK990" s="136">
        <f ca="1" t="shared" si="962"/>
        <v>2727</v>
      </c>
      <c r="AL990" s="136">
        <f ca="1" t="shared" si="962"/>
        <v>3636</v>
      </c>
      <c r="AM990" s="136">
        <f ca="1" t="shared" si="962"/>
        <v>4545</v>
      </c>
      <c r="AN990" s="136">
        <f ca="1" t="shared" si="962"/>
        <v>21515</v>
      </c>
    </row>
    <row r="991" s="106" customFormat="1" ht="16.5" spans="2:40">
      <c r="B991" s="117">
        <v>357</v>
      </c>
      <c r="C991" s="130">
        <f t="shared" si="889"/>
        <v>35700</v>
      </c>
      <c r="D991" s="131" cm="1">
        <f ca="1" t="array" ref="D991">IF(D1593=1,OFFSET($W$634,$B991,D$631-1)/SUMPRODUCT(--($D$631:$V$631=D$631),--($D1593:$V1593=1)),0)+SUM(D990)+IF(COUNTIF(D$1237:D1593,1)=1,5,0)+IF(COUNTIF(E991:$W991,"&gt;"&amp;0)&lt;5,IF(AND(COUNTIF(D$1237:D1593,1)&gt;7,MOD(1+IFERROR(MATCH($C991,总览!$D$46:$D$345,1)+1,1),7)=0),$C$3,0),0)</f>
        <v>2332.87970422553</v>
      </c>
      <c r="E991" s="131" cm="1">
        <f ca="1" t="array" ref="E991">IF(E1593=1,OFFSET($W$634,$B991,E$631-1)/SUMPRODUCT(--($D$631:$V$631=E$631),--($D1593:$V1593=1)),0)+SUM(E990)+IF(COUNTIF(E$1237:E1593,1)=1,5,0)+IF(COUNTIF(F991:$W991,"&gt;"&amp;0)&lt;5,IF(AND(COUNTIF(E$1237:E1593,1)&gt;7,MOD(1+IFERROR(MATCH($C991,总览!$D$46:$D$345,1)+1,1),7)=0),$C$3,0),0)</f>
        <v>2332.87970422553</v>
      </c>
      <c r="F991" s="131" cm="1">
        <f ca="1" t="array" ref="F991">IF(F1593=1,OFFSET($W$634,$B991,F$631-1)/SUMPRODUCT(--($D$631:$V$631=F$631),--($D1593:$V1593=1)),0)+SUM(F990)+IF(COUNTIF(F$1237:F1593,1)=1,5,0)+IF(COUNTIF(G991:$W991,"&gt;"&amp;0)&lt;5,IF(AND(COUNTIF(F$1237:F1593,1)&gt;7,MOD(1+IFERROR(MATCH($C991,总览!$D$46:$D$345,1)+1,1),7)=0),$C$3,0),0)</f>
        <v>2332.87970422553</v>
      </c>
      <c r="G991" s="131" cm="1">
        <f ca="1" t="array" ref="G991">IF(G1593=1,OFFSET($W$634,$B991,G$631-1)/SUMPRODUCT(--($D$631:$V$631=G$631),--($D1593:$V1593=1)),0)+SUM(G990)+IF(COUNTIF(G$1237:G1593,1)=1,5,0)+IF(COUNTIF(H991:$W991,"&gt;"&amp;0)&lt;5,IF(AND(COUNTIF(G$1237:G1593,1)&gt;7,MOD(1+IFERROR(MATCH($C991,总览!$D$46:$D$345,1)+1,1),7)=0),$C$3,0),0)</f>
        <v>1129.4</v>
      </c>
      <c r="H991" s="131" cm="1">
        <f ca="1" t="array" ref="H991">IF(H1593=1,OFFSET($W$634,$B991,H$631-1)/SUMPRODUCT(--($D$631:$V$631=H$631),--($D1593:$V1593=1)),0)+SUM(H990)+IF(COUNTIF(H$1237:H1593,1)=1,5,0)+IF(COUNTIF(I991:$W991,"&gt;"&amp;0)&lt;5,IF(AND(COUNTIF(H$1237:H1593,1)&gt;7,MOD(1+IFERROR(MATCH($C991,总览!$D$46:$D$345,1)+1,1),7)=0),$C$3,0),0)</f>
        <v>1129.4</v>
      </c>
      <c r="I991" s="131" cm="1">
        <f ca="1" t="array" ref="I991">IF(I1593=1,OFFSET($W$634,$B991,I$631-1)/SUMPRODUCT(--($D$631:$V$631=I$631),--($D1593:$V1593=1)),0)+SUM(I990)+IF(COUNTIF(I$1237:I1593,1)=1,5,0)+IF(COUNTIF(J991:$W991,"&gt;"&amp;0)&lt;5,IF(AND(COUNTIF(I$1237:I1593,1)&gt;7,MOD(1+IFERROR(MATCH($C991,总览!$D$46:$D$345,1)+1,1),7)=0),$C$3,0),0)</f>
        <v>1129.4</v>
      </c>
      <c r="J991" s="131" cm="1">
        <f ca="1" t="array" ref="J991">IF(J1593=1,OFFSET($W$634,$B991,J$631-1)/SUMPRODUCT(--($D$631:$V$631=J$631),--($D1593:$V1593=1)),0)+SUM(J990)+IF(COUNTIF(J$1237:J1593,1)=1,5,0)+IF(COUNTIF(K991:$W991,"&gt;"&amp;0)&lt;5,IF(AND(COUNTIF(J$1237:J1593,1)&gt;7,MOD(1+IFERROR(MATCH($C991,总览!$D$46:$D$345,1)+1,1),7)=0),$C$3,0),0)</f>
        <v>1126.06666666667</v>
      </c>
      <c r="K991" s="131" cm="1">
        <f ca="1" t="array" ref="K991">IF(K1593=1,OFFSET($W$634,$B991,K$631-1)/SUMPRODUCT(--($D$631:$V$631=K$631),--($D1593:$V1593=1)),0)+SUM(K990)+IF(COUNTIF(K$1237:K1593,1)=1,5,0)+IF(COUNTIF(L991:$W991,"&gt;"&amp;0)&lt;5,IF(AND(COUNTIF(K$1237:K1593,1)&gt;7,MOD(1+IFERROR(MATCH($C991,总览!$D$46:$D$345,1)+1,1),7)=0),$C$3,0),0)</f>
        <v>1123.56666666667</v>
      </c>
      <c r="L991" s="131" cm="1">
        <f ca="1" t="array" ref="L991">IF(L1593=1,OFFSET($W$634,$B991,L$631-1)/SUMPRODUCT(--($D$631:$V$631=L$631),--($D1593:$V1593=1)),0)+SUM(L990)+IF(COUNTIF(L$1237:L1593,1)=1,5,0)+IF(COUNTIF(M991:$W991,"&gt;"&amp;0)&lt;5,IF(AND(COUNTIF(L$1237:L1593,1)&gt;7,MOD(1+IFERROR(MATCH($C991,总览!$D$46:$D$345,1)+1,1),7)=0),$C$3,0),0)</f>
        <v>1123.56666666667</v>
      </c>
      <c r="M991" s="131" cm="1">
        <f ca="1" t="array" ref="M991">IF(M1593=1,OFFSET($W$634,$B991,M$631-1)/SUMPRODUCT(--($D$631:$V$631=M$631),--($D1593:$V1593=1)),0)+SUM(M990)+IF(COUNTIF(M$1237:M1593,1)=1,5,0)+IF(COUNTIF(N991:$W991,"&gt;"&amp;0)&lt;5,IF(AND(COUNTIF(M$1237:M1593,1)&gt;7,MOD(1+IFERROR(MATCH($C991,总览!$D$46:$D$345,1)+1,1),7)=0),$C$3,0),0)</f>
        <v>467.75267857143</v>
      </c>
      <c r="N991" s="131" cm="1">
        <f ca="1" t="array" ref="N991">IF(N1593=1,OFFSET($W$634,$B991,N$631-1)/SUMPRODUCT(--($D$631:$V$631=N$631),--($D1593:$V1593=1)),0)+SUM(N990)+IF(COUNTIF(N$1237:N1593,1)=1,5,0)+IF(COUNTIF(O991:$W991,"&gt;"&amp;0)&lt;5,IF(AND(COUNTIF(N$1237:N1593,1)&gt;7,MOD(1+IFERROR(MATCH($C991,总览!$D$46:$D$345,1)+1,1),7)=0),$C$3,0),0)</f>
        <v>469.00267857143</v>
      </c>
      <c r="O991" s="131" cm="1">
        <f ca="1" t="array" ref="O991">IF(O1593=1,OFFSET($W$634,$B991,O$631-1)/SUMPRODUCT(--($D$631:$V$631=O$631),--($D1593:$V1593=1)),0)+SUM(O990)+IF(COUNTIF(O$1237:O1593,1)=1,5,0)+IF(COUNTIF(P991:$W991,"&gt;"&amp;0)&lt;5,IF(AND(COUNTIF(O$1237:O1593,1)&gt;7,MOD(1+IFERROR(MATCH($C991,总览!$D$46:$D$345,1)+1,1),7)=0),$C$3,0),0)</f>
        <v>474.00267857143</v>
      </c>
      <c r="P991" s="131" cm="1">
        <f ca="1" t="array" ref="P991">IF(P1593=1,OFFSET($W$634,$B991,P$631-1)/SUMPRODUCT(--($D$631:$V$631=P$631),--($D1593:$V1593=1)),0)+SUM(P990)+IF(COUNTIF(P$1237:P1593,1)=1,5,0)+IF(COUNTIF(Q991:$W991,"&gt;"&amp;0)&lt;5,IF(AND(COUNTIF(P$1237:P1593,1)&gt;7,MOD(1+IFERROR(MATCH($C991,总览!$D$46:$D$345,1)+1,1),7)=0),$C$3,0),0)</f>
        <v>463.12142857143</v>
      </c>
      <c r="Q991" s="131" cm="1">
        <f ca="1" t="array" ref="Q991">IF(Q1593=1,OFFSET($W$634,$B991,Q$631-1)/SUMPRODUCT(--($D$631:$V$631=Q$631),--($D1593:$V1593=1)),0)+SUM(Q990)+IF(COUNTIF(Q$1237:Q1593,1)=1,5,0)+IF(COUNTIF(R991:$W991,"&gt;"&amp;0)&lt;5,IF(AND(COUNTIF(Q$1237:Q1593,1)&gt;7,MOD(1+IFERROR(MATCH($C991,总览!$D$46:$D$345,1)+1,1),7)=0),$C$3,0),0)</f>
        <v>476.50267857143</v>
      </c>
      <c r="R991" s="131" cm="1">
        <f ca="1" t="array" ref="R991">IF(R1593=1,OFFSET($W$634,$B991,R$631-1)/SUMPRODUCT(--($D$631:$V$631=R$631),--($D1593:$V1593=1)),0)+SUM(R990)+IF(COUNTIF(R$1237:R1593,1)=1,5,0)+IF(COUNTIF(S991:$W991,"&gt;"&amp;0)&lt;5,IF(AND(COUNTIF(R$1237:R1593,1)&gt;7,MOD(1+IFERROR(MATCH($C991,总览!$D$46:$D$345,1)+1,1),7)=0),$C$3,0),0)</f>
        <v>468.12142857143</v>
      </c>
      <c r="S991" s="131" cm="1">
        <f ca="1" t="array" ref="S991">IF(S1593=1,OFFSET($W$634,$B991,S$631-1)/SUMPRODUCT(--($D$631:$V$631=S$631),--($D1593:$V1593=1)),0)+SUM(S990)+IF(COUNTIF(S$1237:S1593,1)=1,5,0)+IF(COUNTIF(T991:$W991,"&gt;"&amp;0)&lt;5,IF(AND(COUNTIF(S$1237:S1593,1)&gt;7,MOD(1+IFERROR(MATCH($C991,总览!$D$46:$D$345,1)+1,1),7)=0),$C$3,0),0)</f>
        <v>560.621428571431</v>
      </c>
      <c r="T991" s="131" cm="1">
        <f ca="1" t="array" ref="T991">IF(T1593=1,OFFSET($W$634,$B991,T$631-1)/SUMPRODUCT(--($D$631:$V$631=T$631),--($D1593:$V1593=1)),0)+SUM(T990)+IF(COUNTIF(T$1237:T1593,1)=1,5,0)+IF(COUNTIF(U991:$W991,"&gt;"&amp;0)&lt;5,IF(AND(COUNTIF(T$1237:T1593,1)&gt;7,MOD(1+IFERROR(MATCH($C991,总览!$D$46:$D$345,1)+1,1),7)=0),$C$3,0),0)</f>
        <v>409.989104966794</v>
      </c>
      <c r="U991" s="131" cm="1">
        <f ca="1" t="array" ref="U991">IF(U1593=1,OFFSET($W$634,$B991,U$631-1)/SUMPRODUCT(--($D$631:$V$631=U$631),--($D1593:$V1593=1)),0)+SUM(U990)+IF(COUNTIF(U$1237:U1593,1)=1,5,0)+IF(COUNTIF(V991:$W991,"&gt;"&amp;0)&lt;5,IF(AND(COUNTIF(U$1237:U1593,1)&gt;7,MOD(1+IFERROR(MATCH($C991,总览!$D$46:$D$345,1)+1,1),7)=0),$C$3,0),0)</f>
        <v>415.509891322094</v>
      </c>
      <c r="V991" s="131" cm="1">
        <f ca="1" t="array" ref="V991">IF(V1593=1,OFFSET($W$634,$B991,V$631-1)/SUMPRODUCT(--($D$631:$V$631=V$631),--($D1593:$V1593=1)),0)+SUM(V990)+IF(COUNTIF(V$1237:V1593,1)=1,5,0)+IF(COUNTIF(W991:$W991,"&gt;"&amp;0)&lt;5,IF(AND(COUNTIF(V$1237:V1593,1)&gt;7,MOD(1+IFERROR(MATCH($C991,总览!$D$46:$D$345,1)+1,1),7)=0),$C$3,0),0)</f>
        <v>435.336891034527</v>
      </c>
      <c r="W991" s="135" cm="1">
        <f ca="1" t="array" ref="W991">SUMPRODUCT(TRANSPOSE($AA991:$AG991),OFFSET($L$9:$L$15,0,W$631-1))</f>
        <v>16.8502200646615</v>
      </c>
      <c r="X991" s="135" cm="1">
        <f ca="1" t="array" ref="X991">SUMPRODUCT(TRANSPOSE($AA991:$AG991),OFFSET($L$9:$L$15,0,X$631-1))</f>
        <v>20</v>
      </c>
      <c r="Y991" s="135" cm="1">
        <f ca="1" t="array" ref="Y991">SUMPRODUCT(TRANSPOSE($AA991:$AG991),OFFSET($L$9:$L$15,0,Y$631-1))</f>
        <v>10</v>
      </c>
      <c r="Z991" s="135" cm="1">
        <f ca="1" t="array" ref="Z991">SUMPRODUCT(TRANSPOSE($AA991:$AG991),OFFSET($L$9:$L$15,0,Z$631-1))</f>
        <v>3.14977993533847</v>
      </c>
      <c r="AA991" s="136">
        <f ca="1" t="shared" ref="AA991:AG991" si="963">AH991-AH990</f>
        <v>0</v>
      </c>
      <c r="AB991" s="136">
        <f ca="1" t="shared" si="963"/>
        <v>0</v>
      </c>
      <c r="AC991" s="136">
        <f ca="1" t="shared" si="963"/>
        <v>0</v>
      </c>
      <c r="AD991" s="136">
        <f ca="1" t="shared" si="963"/>
        <v>0</v>
      </c>
      <c r="AE991" s="136">
        <f ca="1" t="shared" si="963"/>
        <v>0</v>
      </c>
      <c r="AF991" s="136">
        <f ca="1" t="shared" si="963"/>
        <v>0</v>
      </c>
      <c r="AG991" s="136">
        <f ca="1" t="shared" si="963"/>
        <v>100</v>
      </c>
      <c r="AH991" s="136">
        <f ca="1" t="shared" si="891"/>
        <v>450</v>
      </c>
      <c r="AI991" s="136">
        <f ca="1" t="shared" ref="AI991:AN991" si="964">IF($C991&gt;OFFSET($Q$8,MATCH(AI$634,$AH$634:$AN$634,0),0),OFFSET($P$8,MATCH(AI$634,$AH$634:$AN$634,0),0),MAX(0,$C991-OFFSET($Q$8,RIGHT(AI$634,1)-1,0)))</f>
        <v>909</v>
      </c>
      <c r="AJ991" s="136">
        <f ca="1" t="shared" si="964"/>
        <v>1818</v>
      </c>
      <c r="AK991" s="136">
        <f ca="1" t="shared" si="964"/>
        <v>2727</v>
      </c>
      <c r="AL991" s="136">
        <f ca="1" t="shared" si="964"/>
        <v>3636</v>
      </c>
      <c r="AM991" s="136">
        <f ca="1" t="shared" si="964"/>
        <v>4545</v>
      </c>
      <c r="AN991" s="136">
        <f ca="1" t="shared" si="964"/>
        <v>21615</v>
      </c>
    </row>
    <row r="992" s="106" customFormat="1" ht="16.5" spans="2:40">
      <c r="B992" s="117">
        <v>358</v>
      </c>
      <c r="C992" s="130">
        <f t="shared" si="889"/>
        <v>35800</v>
      </c>
      <c r="D992" s="131" cm="1">
        <f ca="1" t="array" ref="D992">IF(D1594=1,OFFSET($W$634,$B992,D$631-1)/SUMPRODUCT(--($D$631:$V$631=D$631),--($D1594:$V1594=1)),0)+SUM(D991)+IF(COUNTIF(D$1237:D1594,1)=1,5,0)+IF(COUNTIF(E992:$W992,"&gt;"&amp;0)&lt;5,IF(AND(COUNTIF(D$1237:D1594,1)&gt;7,MOD(1+IFERROR(MATCH($C992,总览!$D$46:$D$345,1)+1,1),7)=0),$C$3,0),0)</f>
        <v>2338.49644424709</v>
      </c>
      <c r="E992" s="131" cm="1">
        <f ca="1" t="array" ref="E992">IF(E1594=1,OFFSET($W$634,$B992,E$631-1)/SUMPRODUCT(--($D$631:$V$631=E$631),--($D1594:$V1594=1)),0)+SUM(E991)+IF(COUNTIF(E$1237:E1594,1)=1,5,0)+IF(COUNTIF(F992:$W992,"&gt;"&amp;0)&lt;5,IF(AND(COUNTIF(E$1237:E1594,1)&gt;7,MOD(1+IFERROR(MATCH($C992,总览!$D$46:$D$345,1)+1,1),7)=0),$C$3,0),0)</f>
        <v>2338.49644424709</v>
      </c>
      <c r="F992" s="131" cm="1">
        <f ca="1" t="array" ref="F992">IF(F1594=1,OFFSET($W$634,$B992,F$631-1)/SUMPRODUCT(--($D$631:$V$631=F$631),--($D1594:$V1594=1)),0)+SUM(F991)+IF(COUNTIF(F$1237:F1594,1)=1,5,0)+IF(COUNTIF(G992:$W992,"&gt;"&amp;0)&lt;5,IF(AND(COUNTIF(F$1237:F1594,1)&gt;7,MOD(1+IFERROR(MATCH($C992,总览!$D$46:$D$345,1)+1,1),7)=0),$C$3,0),0)</f>
        <v>2338.49644424709</v>
      </c>
      <c r="G992" s="131" cm="1">
        <f ca="1" t="array" ref="G992">IF(G1594=1,OFFSET($W$634,$B992,G$631-1)/SUMPRODUCT(--($D$631:$V$631=G$631),--($D1594:$V1594=1)),0)+SUM(G991)+IF(COUNTIF(G$1237:G1594,1)=1,5,0)+IF(COUNTIF(H992:$W992,"&gt;"&amp;0)&lt;5,IF(AND(COUNTIF(G$1237:G1594,1)&gt;7,MOD(1+IFERROR(MATCH($C992,总览!$D$46:$D$345,1)+1,1),7)=0),$C$3,0),0)</f>
        <v>1132.73333333334</v>
      </c>
      <c r="H992" s="131" cm="1">
        <f ca="1" t="array" ref="H992">IF(H1594=1,OFFSET($W$634,$B992,H$631-1)/SUMPRODUCT(--($D$631:$V$631=H$631),--($D1594:$V1594=1)),0)+SUM(H991)+IF(COUNTIF(H$1237:H1594,1)=1,5,0)+IF(COUNTIF(I992:$W992,"&gt;"&amp;0)&lt;5,IF(AND(COUNTIF(H$1237:H1594,1)&gt;7,MOD(1+IFERROR(MATCH($C992,总览!$D$46:$D$345,1)+1,1),7)=0),$C$3,0),0)</f>
        <v>1132.73333333334</v>
      </c>
      <c r="I992" s="131" cm="1">
        <f ca="1" t="array" ref="I992">IF(I1594=1,OFFSET($W$634,$B992,I$631-1)/SUMPRODUCT(--($D$631:$V$631=I$631),--($D1594:$V1594=1)),0)+SUM(I991)+IF(COUNTIF(I$1237:I1594,1)=1,5,0)+IF(COUNTIF(J992:$W992,"&gt;"&amp;0)&lt;5,IF(AND(COUNTIF(I$1237:I1594,1)&gt;7,MOD(1+IFERROR(MATCH($C992,总览!$D$46:$D$345,1)+1,1),7)=0),$C$3,0),0)</f>
        <v>1132.73333333334</v>
      </c>
      <c r="J992" s="131" cm="1">
        <f ca="1" t="array" ref="J992">IF(J1594=1,OFFSET($W$634,$B992,J$631-1)/SUMPRODUCT(--($D$631:$V$631=J$631),--($D1594:$V1594=1)),0)+SUM(J991)+IF(COUNTIF(J$1237:J1594,1)=1,5,0)+IF(COUNTIF(K992:$W992,"&gt;"&amp;0)&lt;5,IF(AND(COUNTIF(J$1237:J1594,1)&gt;7,MOD(1+IFERROR(MATCH($C992,总览!$D$46:$D$345,1)+1,1),7)=0),$C$3,0),0)</f>
        <v>1129.4</v>
      </c>
      <c r="K992" s="131" cm="1">
        <f ca="1" t="array" ref="K992">IF(K1594=1,OFFSET($W$634,$B992,K$631-1)/SUMPRODUCT(--($D$631:$V$631=K$631),--($D1594:$V1594=1)),0)+SUM(K991)+IF(COUNTIF(K$1237:K1594,1)=1,5,0)+IF(COUNTIF(L992:$W992,"&gt;"&amp;0)&lt;5,IF(AND(COUNTIF(K$1237:K1594,1)&gt;7,MOD(1+IFERROR(MATCH($C992,总览!$D$46:$D$345,1)+1,1),7)=0),$C$3,0),0)</f>
        <v>1126.9</v>
      </c>
      <c r="L992" s="131" cm="1">
        <f ca="1" t="array" ref="L992">IF(L1594=1,OFFSET($W$634,$B992,L$631-1)/SUMPRODUCT(--($D$631:$V$631=L$631),--($D1594:$V1594=1)),0)+SUM(L991)+IF(COUNTIF(L$1237:L1594,1)=1,5,0)+IF(COUNTIF(M992:$W992,"&gt;"&amp;0)&lt;5,IF(AND(COUNTIF(L$1237:L1594,1)&gt;7,MOD(1+IFERROR(MATCH($C992,总览!$D$46:$D$345,1)+1,1),7)=0),$C$3,0),0)</f>
        <v>1126.9</v>
      </c>
      <c r="M992" s="131" cm="1">
        <f ca="1" t="array" ref="M992">IF(M1594=1,OFFSET($W$634,$B992,M$631-1)/SUMPRODUCT(--($D$631:$V$631=M$631),--($D1594:$V1594=1)),0)+SUM(M991)+IF(COUNTIF(M$1237:M1594,1)=1,5,0)+IF(COUNTIF(N992:$W992,"&gt;"&amp;0)&lt;5,IF(AND(COUNTIF(M$1237:M1594,1)&gt;7,MOD(1+IFERROR(MATCH($C992,总览!$D$46:$D$345,1)+1,1),7)=0),$C$3,0),0)</f>
        <v>469.181250000001</v>
      </c>
      <c r="N992" s="131" cm="1">
        <f ca="1" t="array" ref="N992">IF(N1594=1,OFFSET($W$634,$B992,N$631-1)/SUMPRODUCT(--($D$631:$V$631=N$631),--($D1594:$V1594=1)),0)+SUM(N991)+IF(COUNTIF(N$1237:N1594,1)=1,5,0)+IF(COUNTIF(O992:$W992,"&gt;"&amp;0)&lt;5,IF(AND(COUNTIF(N$1237:N1594,1)&gt;7,MOD(1+IFERROR(MATCH($C992,总览!$D$46:$D$345,1)+1,1),7)=0),$C$3,0),0)</f>
        <v>470.431250000001</v>
      </c>
      <c r="O992" s="131" cm="1">
        <f ca="1" t="array" ref="O992">IF(O1594=1,OFFSET($W$634,$B992,O$631-1)/SUMPRODUCT(--($D$631:$V$631=O$631),--($D1594:$V1594=1)),0)+SUM(O991)+IF(COUNTIF(O$1237:O1594,1)=1,5,0)+IF(COUNTIF(P992:$W992,"&gt;"&amp;0)&lt;5,IF(AND(COUNTIF(O$1237:O1594,1)&gt;7,MOD(1+IFERROR(MATCH($C992,总览!$D$46:$D$345,1)+1,1),7)=0),$C$3,0),0)</f>
        <v>475.431250000001</v>
      </c>
      <c r="P992" s="131" cm="1">
        <f ca="1" t="array" ref="P992">IF(P1594=1,OFFSET($W$634,$B992,P$631-1)/SUMPRODUCT(--($D$631:$V$631=P$631),--($D1594:$V1594=1)),0)+SUM(P991)+IF(COUNTIF(P$1237:P1594,1)=1,5,0)+IF(COUNTIF(Q992:$W992,"&gt;"&amp;0)&lt;5,IF(AND(COUNTIF(P$1237:P1594,1)&gt;7,MOD(1+IFERROR(MATCH($C992,总览!$D$46:$D$345,1)+1,1),7)=0),$C$3,0),0)</f>
        <v>464.550000000001</v>
      </c>
      <c r="Q992" s="131" cm="1">
        <f ca="1" t="array" ref="Q992">IF(Q1594=1,OFFSET($W$634,$B992,Q$631-1)/SUMPRODUCT(--($D$631:$V$631=Q$631),--($D1594:$V1594=1)),0)+SUM(Q991)+IF(COUNTIF(Q$1237:Q1594,1)=1,5,0)+IF(COUNTIF(R992:$W992,"&gt;"&amp;0)&lt;5,IF(AND(COUNTIF(Q$1237:Q1594,1)&gt;7,MOD(1+IFERROR(MATCH($C992,总览!$D$46:$D$345,1)+1,1),7)=0),$C$3,0),0)</f>
        <v>477.931250000001</v>
      </c>
      <c r="R992" s="131" cm="1">
        <f ca="1" t="array" ref="R992">IF(R1594=1,OFFSET($W$634,$B992,R$631-1)/SUMPRODUCT(--($D$631:$V$631=R$631),--($D1594:$V1594=1)),0)+SUM(R991)+IF(COUNTIF(R$1237:R1594,1)=1,5,0)+IF(COUNTIF(S992:$W992,"&gt;"&amp;0)&lt;5,IF(AND(COUNTIF(R$1237:R1594,1)&gt;7,MOD(1+IFERROR(MATCH($C992,总览!$D$46:$D$345,1)+1,1),7)=0),$C$3,0),0)</f>
        <v>469.550000000001</v>
      </c>
      <c r="S992" s="131" cm="1">
        <f ca="1" t="array" ref="S992">IF(S1594=1,OFFSET($W$634,$B992,S$631-1)/SUMPRODUCT(--($D$631:$V$631=S$631),--($D1594:$V1594=1)),0)+SUM(S991)+IF(COUNTIF(S$1237:S1594,1)=1,5,0)+IF(COUNTIF(T992:$W992,"&gt;"&amp;0)&lt;5,IF(AND(COUNTIF(S$1237:S1594,1)&gt;7,MOD(1+IFERROR(MATCH($C992,总览!$D$46:$D$345,1)+1,1),7)=0),$C$3,0),0)</f>
        <v>562.050000000002</v>
      </c>
      <c r="T992" s="131" cm="1">
        <f ca="1" t="array" ref="T992">IF(T1594=1,OFFSET($W$634,$B992,T$631-1)/SUMPRODUCT(--($D$631:$V$631=T$631),--($D1594:$V1594=1)),0)+SUM(T991)+IF(COUNTIF(T$1237:T1594,1)=1,5,0)+IF(COUNTIF(U992:$W992,"&gt;"&amp;0)&lt;5,IF(AND(COUNTIF(T$1237:T1594,1)&gt;7,MOD(1+IFERROR(MATCH($C992,总览!$D$46:$D$345,1)+1,1),7)=0),$C$3,0),0)</f>
        <v>411.039031611907</v>
      </c>
      <c r="U992" s="131" cm="1">
        <f ca="1" t="array" ref="U992">IF(U1594=1,OFFSET($W$634,$B992,U$631-1)/SUMPRODUCT(--($D$631:$V$631=U$631),--($D1594:$V1594=1)),0)+SUM(U991)+IF(COUNTIF(U$1237:U1594,1)=1,5,0)+IF(COUNTIF(V992:$W992,"&gt;"&amp;0)&lt;5,IF(AND(COUNTIF(U$1237:U1594,1)&gt;7,MOD(1+IFERROR(MATCH($C992,总览!$D$46:$D$345,1)+1,1),7)=0),$C$3,0),0)</f>
        <v>416.559817967207</v>
      </c>
      <c r="V992" s="131" cm="1">
        <f ca="1" t="array" ref="V992">IF(V1594=1,OFFSET($W$634,$B992,V$631-1)/SUMPRODUCT(--($D$631:$V$631=V$631),--($D1594:$V1594=1)),0)+SUM(V991)+IF(COUNTIF(V$1237:V1594,1)=1,5,0)+IF(COUNTIF(W992:$W992,"&gt;"&amp;0)&lt;5,IF(AND(COUNTIF(V$1237:V1594,1)&gt;7,MOD(1+IFERROR(MATCH($C992,总览!$D$46:$D$345,1)+1,1),7)=0),$C$3,0),0)</f>
        <v>436.38681767964</v>
      </c>
      <c r="W992" s="135" cm="1">
        <f ca="1" t="array" ref="W992">SUMPRODUCT(TRANSPOSE($AA992:$AG992),OFFSET($L$9:$L$15,0,W$631-1))</f>
        <v>16.8502200646615</v>
      </c>
      <c r="X992" s="135" cm="1">
        <f ca="1" t="array" ref="X992">SUMPRODUCT(TRANSPOSE($AA992:$AG992),OFFSET($L$9:$L$15,0,X$631-1))</f>
        <v>20</v>
      </c>
      <c r="Y992" s="135" cm="1">
        <f ca="1" t="array" ref="Y992">SUMPRODUCT(TRANSPOSE($AA992:$AG992),OFFSET($L$9:$L$15,0,Y$631-1))</f>
        <v>10</v>
      </c>
      <c r="Z992" s="135" cm="1">
        <f ca="1" t="array" ref="Z992">SUMPRODUCT(TRANSPOSE($AA992:$AG992),OFFSET($L$9:$L$15,0,Z$631-1))</f>
        <v>3.14977993533847</v>
      </c>
      <c r="AA992" s="136">
        <f ca="1" t="shared" ref="AA992:AG992" si="965">AH992-AH991</f>
        <v>0</v>
      </c>
      <c r="AB992" s="136">
        <f ca="1" t="shared" si="965"/>
        <v>0</v>
      </c>
      <c r="AC992" s="136">
        <f ca="1" t="shared" si="965"/>
        <v>0</v>
      </c>
      <c r="AD992" s="136">
        <f ca="1" t="shared" si="965"/>
        <v>0</v>
      </c>
      <c r="AE992" s="136">
        <f ca="1" t="shared" si="965"/>
        <v>0</v>
      </c>
      <c r="AF992" s="136">
        <f ca="1" t="shared" si="965"/>
        <v>0</v>
      </c>
      <c r="AG992" s="136">
        <f ca="1" t="shared" si="965"/>
        <v>100</v>
      </c>
      <c r="AH992" s="136">
        <f ca="1" t="shared" si="891"/>
        <v>450</v>
      </c>
      <c r="AI992" s="136">
        <f ca="1" t="shared" ref="AI992:AN992" si="966">IF($C992&gt;OFFSET($Q$8,MATCH(AI$634,$AH$634:$AN$634,0),0),OFFSET($P$8,MATCH(AI$634,$AH$634:$AN$634,0),0),MAX(0,$C992-OFFSET($Q$8,RIGHT(AI$634,1)-1,0)))</f>
        <v>909</v>
      </c>
      <c r="AJ992" s="136">
        <f ca="1" t="shared" si="966"/>
        <v>1818</v>
      </c>
      <c r="AK992" s="136">
        <f ca="1" t="shared" si="966"/>
        <v>2727</v>
      </c>
      <c r="AL992" s="136">
        <f ca="1" t="shared" si="966"/>
        <v>3636</v>
      </c>
      <c r="AM992" s="136">
        <f ca="1" t="shared" si="966"/>
        <v>4545</v>
      </c>
      <c r="AN992" s="136">
        <f ca="1" t="shared" si="966"/>
        <v>21715</v>
      </c>
    </row>
    <row r="993" s="106" customFormat="1" ht="16.5" spans="2:40">
      <c r="B993" s="117">
        <v>359</v>
      </c>
      <c r="C993" s="130">
        <f t="shared" si="889"/>
        <v>35900</v>
      </c>
      <c r="D993" s="131" cm="1">
        <f ca="1" t="array" ref="D993">IF(D1595=1,OFFSET($W$634,$B993,D$631-1)/SUMPRODUCT(--($D$631:$V$631=D$631),--($D1595:$V1595=1)),0)+SUM(D992)+IF(COUNTIF(D$1237:D1595,1)=1,5,0)+IF(COUNTIF(E993:$W993,"&gt;"&amp;0)&lt;5,IF(AND(COUNTIF(D$1237:D1595,1)&gt;7,MOD(1+IFERROR(MATCH($C993,总览!$D$46:$D$345,1)+1,1),7)=0),$C$3,0),0)</f>
        <v>2344.11318426864</v>
      </c>
      <c r="E993" s="131" cm="1">
        <f ca="1" t="array" ref="E993">IF(E1595=1,OFFSET($W$634,$B993,E$631-1)/SUMPRODUCT(--($D$631:$V$631=E$631),--($D1595:$V1595=1)),0)+SUM(E992)+IF(COUNTIF(E$1237:E1595,1)=1,5,0)+IF(COUNTIF(F993:$W993,"&gt;"&amp;0)&lt;5,IF(AND(COUNTIF(E$1237:E1595,1)&gt;7,MOD(1+IFERROR(MATCH($C993,总览!$D$46:$D$345,1)+1,1),7)=0),$C$3,0),0)</f>
        <v>2344.11318426864</v>
      </c>
      <c r="F993" s="131" cm="1">
        <f ca="1" t="array" ref="F993">IF(F1595=1,OFFSET($W$634,$B993,F$631-1)/SUMPRODUCT(--($D$631:$V$631=F$631),--($D1595:$V1595=1)),0)+SUM(F992)+IF(COUNTIF(F$1237:F1595,1)=1,5,0)+IF(COUNTIF(G993:$W993,"&gt;"&amp;0)&lt;5,IF(AND(COUNTIF(F$1237:F1595,1)&gt;7,MOD(1+IFERROR(MATCH($C993,总览!$D$46:$D$345,1)+1,1),7)=0),$C$3,0),0)</f>
        <v>2344.11318426864</v>
      </c>
      <c r="G993" s="131" cm="1">
        <f ca="1" t="array" ref="G993">IF(G1595=1,OFFSET($W$634,$B993,G$631-1)/SUMPRODUCT(--($D$631:$V$631=G$631),--($D1595:$V1595=1)),0)+SUM(G992)+IF(COUNTIF(G$1237:G1595,1)=1,5,0)+IF(COUNTIF(H993:$W993,"&gt;"&amp;0)&lt;5,IF(AND(COUNTIF(G$1237:G1595,1)&gt;7,MOD(1+IFERROR(MATCH($C993,总览!$D$46:$D$345,1)+1,1),7)=0),$C$3,0),0)</f>
        <v>1136.06666666667</v>
      </c>
      <c r="H993" s="131" cm="1">
        <f ca="1" t="array" ref="H993">IF(H1595=1,OFFSET($W$634,$B993,H$631-1)/SUMPRODUCT(--($D$631:$V$631=H$631),--($D1595:$V1595=1)),0)+SUM(H992)+IF(COUNTIF(H$1237:H1595,1)=1,5,0)+IF(COUNTIF(I993:$W993,"&gt;"&amp;0)&lt;5,IF(AND(COUNTIF(H$1237:H1595,1)&gt;7,MOD(1+IFERROR(MATCH($C993,总览!$D$46:$D$345,1)+1,1),7)=0),$C$3,0),0)</f>
        <v>1136.06666666667</v>
      </c>
      <c r="I993" s="131" cm="1">
        <f ca="1" t="array" ref="I993">IF(I1595=1,OFFSET($W$634,$B993,I$631-1)/SUMPRODUCT(--($D$631:$V$631=I$631),--($D1595:$V1595=1)),0)+SUM(I992)+IF(COUNTIF(I$1237:I1595,1)=1,5,0)+IF(COUNTIF(J993:$W993,"&gt;"&amp;0)&lt;5,IF(AND(COUNTIF(I$1237:I1595,1)&gt;7,MOD(1+IFERROR(MATCH($C993,总览!$D$46:$D$345,1)+1,1),7)=0),$C$3,0),0)</f>
        <v>1136.06666666667</v>
      </c>
      <c r="J993" s="131" cm="1">
        <f ca="1" t="array" ref="J993">IF(J1595=1,OFFSET($W$634,$B993,J$631-1)/SUMPRODUCT(--($D$631:$V$631=J$631),--($D1595:$V1595=1)),0)+SUM(J992)+IF(COUNTIF(J$1237:J1595,1)=1,5,0)+IF(COUNTIF(K993:$W993,"&gt;"&amp;0)&lt;5,IF(AND(COUNTIF(J$1237:J1595,1)&gt;7,MOD(1+IFERROR(MATCH($C993,总览!$D$46:$D$345,1)+1,1),7)=0),$C$3,0),0)</f>
        <v>1132.73333333334</v>
      </c>
      <c r="K993" s="131" cm="1">
        <f ca="1" t="array" ref="K993">IF(K1595=1,OFFSET($W$634,$B993,K$631-1)/SUMPRODUCT(--($D$631:$V$631=K$631),--($D1595:$V1595=1)),0)+SUM(K992)+IF(COUNTIF(K$1237:K1595,1)=1,5,0)+IF(COUNTIF(L993:$W993,"&gt;"&amp;0)&lt;5,IF(AND(COUNTIF(K$1237:K1595,1)&gt;7,MOD(1+IFERROR(MATCH($C993,总览!$D$46:$D$345,1)+1,1),7)=0),$C$3,0),0)</f>
        <v>1130.23333333334</v>
      </c>
      <c r="L993" s="131" cm="1">
        <f ca="1" t="array" ref="L993">IF(L1595=1,OFFSET($W$634,$B993,L$631-1)/SUMPRODUCT(--($D$631:$V$631=L$631),--($D1595:$V1595=1)),0)+SUM(L992)+IF(COUNTIF(L$1237:L1595,1)=1,5,0)+IF(COUNTIF(M993:$W993,"&gt;"&amp;0)&lt;5,IF(AND(COUNTIF(L$1237:L1595,1)&gt;7,MOD(1+IFERROR(MATCH($C993,总览!$D$46:$D$345,1)+1,1),7)=0),$C$3,0),0)</f>
        <v>1130.23333333334</v>
      </c>
      <c r="M993" s="131" cm="1">
        <f ca="1" t="array" ref="M993">IF(M1595=1,OFFSET($W$634,$B993,M$631-1)/SUMPRODUCT(--($D$631:$V$631=M$631),--($D1595:$V1595=1)),0)+SUM(M992)+IF(COUNTIF(M$1237:M1595,1)=1,5,0)+IF(COUNTIF(N993:$W993,"&gt;"&amp;0)&lt;5,IF(AND(COUNTIF(M$1237:M1595,1)&gt;7,MOD(1+IFERROR(MATCH($C993,总览!$D$46:$D$345,1)+1,1),7)=0),$C$3,0),0)</f>
        <v>470.609821428573</v>
      </c>
      <c r="N993" s="131" cm="1">
        <f ca="1" t="array" ref="N993">IF(N1595=1,OFFSET($W$634,$B993,N$631-1)/SUMPRODUCT(--($D$631:$V$631=N$631),--($D1595:$V1595=1)),0)+SUM(N992)+IF(COUNTIF(N$1237:N1595,1)=1,5,0)+IF(COUNTIF(O993:$W993,"&gt;"&amp;0)&lt;5,IF(AND(COUNTIF(N$1237:N1595,1)&gt;7,MOD(1+IFERROR(MATCH($C993,总览!$D$46:$D$345,1)+1,1),7)=0),$C$3,0),0)</f>
        <v>471.859821428573</v>
      </c>
      <c r="O993" s="131" cm="1">
        <f ca="1" t="array" ref="O993">IF(O1595=1,OFFSET($W$634,$B993,O$631-1)/SUMPRODUCT(--($D$631:$V$631=O$631),--($D1595:$V1595=1)),0)+SUM(O992)+IF(COUNTIF(O$1237:O1595,1)=1,5,0)+IF(COUNTIF(P993:$W993,"&gt;"&amp;0)&lt;5,IF(AND(COUNTIF(O$1237:O1595,1)&gt;7,MOD(1+IFERROR(MATCH($C993,总览!$D$46:$D$345,1)+1,1),7)=0),$C$3,0),0)</f>
        <v>476.859821428573</v>
      </c>
      <c r="P993" s="131" cm="1">
        <f ca="1" t="array" ref="P993">IF(P1595=1,OFFSET($W$634,$B993,P$631-1)/SUMPRODUCT(--($D$631:$V$631=P$631),--($D1595:$V1595=1)),0)+SUM(P992)+IF(COUNTIF(P$1237:P1595,1)=1,5,0)+IF(COUNTIF(Q993:$W993,"&gt;"&amp;0)&lt;5,IF(AND(COUNTIF(P$1237:P1595,1)&gt;7,MOD(1+IFERROR(MATCH($C993,总览!$D$46:$D$345,1)+1,1),7)=0),$C$3,0),0)</f>
        <v>465.978571428573</v>
      </c>
      <c r="Q993" s="131" cm="1">
        <f ca="1" t="array" ref="Q993">IF(Q1595=1,OFFSET($W$634,$B993,Q$631-1)/SUMPRODUCT(--($D$631:$V$631=Q$631),--($D1595:$V1595=1)),0)+SUM(Q992)+IF(COUNTIF(Q$1237:Q1595,1)=1,5,0)+IF(COUNTIF(R993:$W993,"&gt;"&amp;0)&lt;5,IF(AND(COUNTIF(Q$1237:Q1595,1)&gt;7,MOD(1+IFERROR(MATCH($C993,总览!$D$46:$D$345,1)+1,1),7)=0),$C$3,0),0)</f>
        <v>479.359821428573</v>
      </c>
      <c r="R993" s="131" cm="1">
        <f ca="1" t="array" ref="R993">IF(R1595=1,OFFSET($W$634,$B993,R$631-1)/SUMPRODUCT(--($D$631:$V$631=R$631),--($D1595:$V1595=1)),0)+SUM(R992)+IF(COUNTIF(R$1237:R1595,1)=1,5,0)+IF(COUNTIF(S993:$W993,"&gt;"&amp;0)&lt;5,IF(AND(COUNTIF(R$1237:R1595,1)&gt;7,MOD(1+IFERROR(MATCH($C993,总览!$D$46:$D$345,1)+1,1),7)=0),$C$3,0),0)</f>
        <v>470.978571428573</v>
      </c>
      <c r="S993" s="131" cm="1">
        <f ca="1" t="array" ref="S993">IF(S1595=1,OFFSET($W$634,$B993,S$631-1)/SUMPRODUCT(--($D$631:$V$631=S$631),--($D1595:$V1595=1)),0)+SUM(S992)+IF(COUNTIF(S$1237:S1595,1)=1,5,0)+IF(COUNTIF(T993:$W993,"&gt;"&amp;0)&lt;5,IF(AND(COUNTIF(S$1237:S1595,1)&gt;7,MOD(1+IFERROR(MATCH($C993,总览!$D$46:$D$345,1)+1,1),7)=0),$C$3,0),0)</f>
        <v>563.478571428574</v>
      </c>
      <c r="T993" s="131" cm="1">
        <f ca="1" t="array" ref="T993">IF(T1595=1,OFFSET($W$634,$B993,T$631-1)/SUMPRODUCT(--($D$631:$V$631=T$631),--($D1595:$V1595=1)),0)+SUM(T992)+IF(COUNTIF(T$1237:T1595,1)=1,5,0)+IF(COUNTIF(U993:$W993,"&gt;"&amp;0)&lt;5,IF(AND(COUNTIF(T$1237:T1595,1)&gt;7,MOD(1+IFERROR(MATCH($C993,总览!$D$46:$D$345,1)+1,1),7)=0),$C$3,0),0)</f>
        <v>412.08895825702</v>
      </c>
      <c r="U993" s="131" cm="1">
        <f ca="1" t="array" ref="U993">IF(U1595=1,OFFSET($W$634,$B993,U$631-1)/SUMPRODUCT(--($D$631:$V$631=U$631),--($D1595:$V1595=1)),0)+SUM(U992)+IF(COUNTIF(U$1237:U1595,1)=1,5,0)+IF(COUNTIF(V993:$W993,"&gt;"&amp;0)&lt;5,IF(AND(COUNTIF(U$1237:U1595,1)&gt;7,MOD(1+IFERROR(MATCH($C993,总览!$D$46:$D$345,1)+1,1),7)=0),$C$3,0),0)</f>
        <v>417.609744612319</v>
      </c>
      <c r="V993" s="131" cm="1">
        <f ca="1" t="array" ref="V993">IF(V1595=1,OFFSET($W$634,$B993,V$631-1)/SUMPRODUCT(--($D$631:$V$631=V$631),--($D1595:$V1595=1)),0)+SUM(V992)+IF(COUNTIF(V$1237:V1595,1)=1,5,0)+IF(COUNTIF(W993:$W993,"&gt;"&amp;0)&lt;5,IF(AND(COUNTIF(V$1237:V1595,1)&gt;7,MOD(1+IFERROR(MATCH($C993,总览!$D$46:$D$345,1)+1,1),7)=0),$C$3,0),0)</f>
        <v>437.436744324752</v>
      </c>
      <c r="W993" s="135" cm="1">
        <f ca="1" t="array" ref="W993">SUMPRODUCT(TRANSPOSE($AA993:$AG993),OFFSET($L$9:$L$15,0,W$631-1))</f>
        <v>16.8502200646615</v>
      </c>
      <c r="X993" s="135" cm="1">
        <f ca="1" t="array" ref="X993">SUMPRODUCT(TRANSPOSE($AA993:$AG993),OFFSET($L$9:$L$15,0,X$631-1))</f>
        <v>20</v>
      </c>
      <c r="Y993" s="135" cm="1">
        <f ca="1" t="array" ref="Y993">SUMPRODUCT(TRANSPOSE($AA993:$AG993),OFFSET($L$9:$L$15,0,Y$631-1))</f>
        <v>10</v>
      </c>
      <c r="Z993" s="135" cm="1">
        <f ca="1" t="array" ref="Z993">SUMPRODUCT(TRANSPOSE($AA993:$AG993),OFFSET($L$9:$L$15,0,Z$631-1))</f>
        <v>3.14977993533847</v>
      </c>
      <c r="AA993" s="136">
        <f ca="1" t="shared" ref="AA993:AG993" si="967">AH993-AH992</f>
        <v>0</v>
      </c>
      <c r="AB993" s="136">
        <f ca="1" t="shared" si="967"/>
        <v>0</v>
      </c>
      <c r="AC993" s="136">
        <f ca="1" t="shared" si="967"/>
        <v>0</v>
      </c>
      <c r="AD993" s="136">
        <f ca="1" t="shared" si="967"/>
        <v>0</v>
      </c>
      <c r="AE993" s="136">
        <f ca="1" t="shared" si="967"/>
        <v>0</v>
      </c>
      <c r="AF993" s="136">
        <f ca="1" t="shared" si="967"/>
        <v>0</v>
      </c>
      <c r="AG993" s="136">
        <f ca="1" t="shared" si="967"/>
        <v>100</v>
      </c>
      <c r="AH993" s="136">
        <f ca="1" t="shared" si="891"/>
        <v>450</v>
      </c>
      <c r="AI993" s="136">
        <f ca="1" t="shared" ref="AI993:AN993" si="968">IF($C993&gt;OFFSET($Q$8,MATCH(AI$634,$AH$634:$AN$634,0),0),OFFSET($P$8,MATCH(AI$634,$AH$634:$AN$634,0),0),MAX(0,$C993-OFFSET($Q$8,RIGHT(AI$634,1)-1,0)))</f>
        <v>909</v>
      </c>
      <c r="AJ993" s="136">
        <f ca="1" t="shared" si="968"/>
        <v>1818</v>
      </c>
      <c r="AK993" s="136">
        <f ca="1" t="shared" si="968"/>
        <v>2727</v>
      </c>
      <c r="AL993" s="136">
        <f ca="1" t="shared" si="968"/>
        <v>3636</v>
      </c>
      <c r="AM993" s="136">
        <f ca="1" t="shared" si="968"/>
        <v>4545</v>
      </c>
      <c r="AN993" s="136">
        <f ca="1" t="shared" si="968"/>
        <v>21815</v>
      </c>
    </row>
    <row r="994" s="106" customFormat="1" ht="16.5" spans="2:40">
      <c r="B994" s="117">
        <v>360</v>
      </c>
      <c r="C994" s="130">
        <f t="shared" si="889"/>
        <v>36000</v>
      </c>
      <c r="D994" s="131" cm="1">
        <f ca="1" t="array" ref="D994">IF(D1596=1,OFFSET($W$634,$B994,D$631-1)/SUMPRODUCT(--($D$631:$V$631=D$631),--($D1596:$V1596=1)),0)+SUM(D993)+IF(COUNTIF(D$1237:D1596,1)=1,5,0)+IF(COUNTIF(E994:$W994,"&gt;"&amp;0)&lt;5,IF(AND(COUNTIF(D$1237:D1596,1)&gt;7,MOD(1+IFERROR(MATCH($C994,总览!$D$46:$D$345,1)+1,1),7)=0),$C$3,0),0)</f>
        <v>2349.7299242902</v>
      </c>
      <c r="E994" s="131" cm="1">
        <f ca="1" t="array" ref="E994">IF(E1596=1,OFFSET($W$634,$B994,E$631-1)/SUMPRODUCT(--($D$631:$V$631=E$631),--($D1596:$V1596=1)),0)+SUM(E993)+IF(COUNTIF(E$1237:E1596,1)=1,5,0)+IF(COUNTIF(F994:$W994,"&gt;"&amp;0)&lt;5,IF(AND(COUNTIF(E$1237:E1596,1)&gt;7,MOD(1+IFERROR(MATCH($C994,总览!$D$46:$D$345,1)+1,1),7)=0),$C$3,0),0)</f>
        <v>2349.7299242902</v>
      </c>
      <c r="F994" s="131" cm="1">
        <f ca="1" t="array" ref="F994">IF(F1596=1,OFFSET($W$634,$B994,F$631-1)/SUMPRODUCT(--($D$631:$V$631=F$631),--($D1596:$V1596=1)),0)+SUM(F993)+IF(COUNTIF(F$1237:F1596,1)=1,5,0)+IF(COUNTIF(G994:$W994,"&gt;"&amp;0)&lt;5,IF(AND(COUNTIF(F$1237:F1596,1)&gt;7,MOD(1+IFERROR(MATCH($C994,总览!$D$46:$D$345,1)+1,1),7)=0),$C$3,0),0)</f>
        <v>2349.7299242902</v>
      </c>
      <c r="G994" s="131" cm="1">
        <f ca="1" t="array" ref="G994">IF(G1596=1,OFFSET($W$634,$B994,G$631-1)/SUMPRODUCT(--($D$631:$V$631=G$631),--($D1596:$V1596=1)),0)+SUM(G993)+IF(COUNTIF(G$1237:G1596,1)=1,5,0)+IF(COUNTIF(H994:$W994,"&gt;"&amp;0)&lt;5,IF(AND(COUNTIF(G$1237:G1596,1)&gt;7,MOD(1+IFERROR(MATCH($C994,总览!$D$46:$D$345,1)+1,1),7)=0),$C$3,0),0)</f>
        <v>1139.4</v>
      </c>
      <c r="H994" s="131" cm="1">
        <f ca="1" t="array" ref="H994">IF(H1596=1,OFFSET($W$634,$B994,H$631-1)/SUMPRODUCT(--($D$631:$V$631=H$631),--($D1596:$V1596=1)),0)+SUM(H993)+IF(COUNTIF(H$1237:H1596,1)=1,5,0)+IF(COUNTIF(I994:$W994,"&gt;"&amp;0)&lt;5,IF(AND(COUNTIF(H$1237:H1596,1)&gt;7,MOD(1+IFERROR(MATCH($C994,总览!$D$46:$D$345,1)+1,1),7)=0),$C$3,0),0)</f>
        <v>1139.4</v>
      </c>
      <c r="I994" s="131" cm="1">
        <f ca="1" t="array" ref="I994">IF(I1596=1,OFFSET($W$634,$B994,I$631-1)/SUMPRODUCT(--($D$631:$V$631=I$631),--($D1596:$V1596=1)),0)+SUM(I993)+IF(COUNTIF(I$1237:I1596,1)=1,5,0)+IF(COUNTIF(J994:$W994,"&gt;"&amp;0)&lt;5,IF(AND(COUNTIF(I$1237:I1596,1)&gt;7,MOD(1+IFERROR(MATCH($C994,总览!$D$46:$D$345,1)+1,1),7)=0),$C$3,0),0)</f>
        <v>1139.4</v>
      </c>
      <c r="J994" s="131" cm="1">
        <f ca="1" t="array" ref="J994">IF(J1596=1,OFFSET($W$634,$B994,J$631-1)/SUMPRODUCT(--($D$631:$V$631=J$631),--($D1596:$V1596=1)),0)+SUM(J993)+IF(COUNTIF(J$1237:J1596,1)=1,5,0)+IF(COUNTIF(K994:$W994,"&gt;"&amp;0)&lt;5,IF(AND(COUNTIF(J$1237:J1596,1)&gt;7,MOD(1+IFERROR(MATCH($C994,总览!$D$46:$D$345,1)+1,1),7)=0),$C$3,0),0)</f>
        <v>1136.06666666667</v>
      </c>
      <c r="K994" s="131" cm="1">
        <f ca="1" t="array" ref="K994">IF(K1596=1,OFFSET($W$634,$B994,K$631-1)/SUMPRODUCT(--($D$631:$V$631=K$631),--($D1596:$V1596=1)),0)+SUM(K993)+IF(COUNTIF(K$1237:K1596,1)=1,5,0)+IF(COUNTIF(L994:$W994,"&gt;"&amp;0)&lt;5,IF(AND(COUNTIF(K$1237:K1596,1)&gt;7,MOD(1+IFERROR(MATCH($C994,总览!$D$46:$D$345,1)+1,1),7)=0),$C$3,0),0)</f>
        <v>1133.56666666667</v>
      </c>
      <c r="L994" s="131" cm="1">
        <f ca="1" t="array" ref="L994">IF(L1596=1,OFFSET($W$634,$B994,L$631-1)/SUMPRODUCT(--($D$631:$V$631=L$631),--($D1596:$V1596=1)),0)+SUM(L993)+IF(COUNTIF(L$1237:L1596,1)=1,5,0)+IF(COUNTIF(M994:$W994,"&gt;"&amp;0)&lt;5,IF(AND(COUNTIF(L$1237:L1596,1)&gt;7,MOD(1+IFERROR(MATCH($C994,总览!$D$46:$D$345,1)+1,1),7)=0),$C$3,0),0)</f>
        <v>1133.56666666667</v>
      </c>
      <c r="M994" s="131" cm="1">
        <f ca="1" t="array" ref="M994">IF(M1596=1,OFFSET($W$634,$B994,M$631-1)/SUMPRODUCT(--($D$631:$V$631=M$631),--($D1596:$V1596=1)),0)+SUM(M993)+IF(COUNTIF(M$1237:M1596,1)=1,5,0)+IF(COUNTIF(N994:$W994,"&gt;"&amp;0)&lt;5,IF(AND(COUNTIF(M$1237:M1596,1)&gt;7,MOD(1+IFERROR(MATCH($C994,总览!$D$46:$D$345,1)+1,1),7)=0),$C$3,0),0)</f>
        <v>472.038392857144</v>
      </c>
      <c r="N994" s="131" cm="1">
        <f ca="1" t="array" ref="N994">IF(N1596=1,OFFSET($W$634,$B994,N$631-1)/SUMPRODUCT(--($D$631:$V$631=N$631),--($D1596:$V1596=1)),0)+SUM(N993)+IF(COUNTIF(N$1237:N1596,1)=1,5,0)+IF(COUNTIF(O994:$W994,"&gt;"&amp;0)&lt;5,IF(AND(COUNTIF(N$1237:N1596,1)&gt;7,MOD(1+IFERROR(MATCH($C994,总览!$D$46:$D$345,1)+1,1),7)=0),$C$3,0),0)</f>
        <v>473.288392857144</v>
      </c>
      <c r="O994" s="131" cm="1">
        <f ca="1" t="array" ref="O994">IF(O1596=1,OFFSET($W$634,$B994,O$631-1)/SUMPRODUCT(--($D$631:$V$631=O$631),--($D1596:$V1596=1)),0)+SUM(O993)+IF(COUNTIF(O$1237:O1596,1)=1,5,0)+IF(COUNTIF(P994:$W994,"&gt;"&amp;0)&lt;5,IF(AND(COUNTIF(O$1237:O1596,1)&gt;7,MOD(1+IFERROR(MATCH($C994,总览!$D$46:$D$345,1)+1,1),7)=0),$C$3,0),0)</f>
        <v>478.288392857144</v>
      </c>
      <c r="P994" s="131" cm="1">
        <f ca="1" t="array" ref="P994">IF(P1596=1,OFFSET($W$634,$B994,P$631-1)/SUMPRODUCT(--($D$631:$V$631=P$631),--($D1596:$V1596=1)),0)+SUM(P993)+IF(COUNTIF(P$1237:P1596,1)=1,5,0)+IF(COUNTIF(Q994:$W994,"&gt;"&amp;0)&lt;5,IF(AND(COUNTIF(P$1237:P1596,1)&gt;7,MOD(1+IFERROR(MATCH($C994,总览!$D$46:$D$345,1)+1,1),7)=0),$C$3,0),0)</f>
        <v>467.407142857144</v>
      </c>
      <c r="Q994" s="131" cm="1">
        <f ca="1" t="array" ref="Q994">IF(Q1596=1,OFFSET($W$634,$B994,Q$631-1)/SUMPRODUCT(--($D$631:$V$631=Q$631),--($D1596:$V1596=1)),0)+SUM(Q993)+IF(COUNTIF(Q$1237:Q1596,1)=1,5,0)+IF(COUNTIF(R994:$W994,"&gt;"&amp;0)&lt;5,IF(AND(COUNTIF(Q$1237:Q1596,1)&gt;7,MOD(1+IFERROR(MATCH($C994,总览!$D$46:$D$345,1)+1,1),7)=0),$C$3,0),0)</f>
        <v>480.788392857144</v>
      </c>
      <c r="R994" s="131" cm="1">
        <f ca="1" t="array" ref="R994">IF(R1596=1,OFFSET($W$634,$B994,R$631-1)/SUMPRODUCT(--($D$631:$V$631=R$631),--($D1596:$V1596=1)),0)+SUM(R993)+IF(COUNTIF(R$1237:R1596,1)=1,5,0)+IF(COUNTIF(S994:$W994,"&gt;"&amp;0)&lt;5,IF(AND(COUNTIF(R$1237:R1596,1)&gt;7,MOD(1+IFERROR(MATCH($C994,总览!$D$46:$D$345,1)+1,1),7)=0),$C$3,0),0)</f>
        <v>472.407142857144</v>
      </c>
      <c r="S994" s="131" cm="1">
        <f ca="1" t="array" ref="S994">IF(S1596=1,OFFSET($W$634,$B994,S$631-1)/SUMPRODUCT(--($D$631:$V$631=S$631),--($D1596:$V1596=1)),0)+SUM(S993)+IF(COUNTIF(S$1237:S1596,1)=1,5,0)+IF(COUNTIF(T994:$W994,"&gt;"&amp;0)&lt;5,IF(AND(COUNTIF(S$1237:S1596,1)&gt;7,MOD(1+IFERROR(MATCH($C994,总览!$D$46:$D$345,1)+1,1),7)=0),$C$3,0),0)</f>
        <v>564.907142857145</v>
      </c>
      <c r="T994" s="131" cm="1">
        <f ca="1" t="array" ref="T994">IF(T1596=1,OFFSET($W$634,$B994,T$631-1)/SUMPRODUCT(--($D$631:$V$631=T$631),--($D1596:$V1596=1)),0)+SUM(T993)+IF(COUNTIF(T$1237:T1596,1)=1,5,0)+IF(COUNTIF(U994:$W994,"&gt;"&amp;0)&lt;5,IF(AND(COUNTIF(T$1237:T1596,1)&gt;7,MOD(1+IFERROR(MATCH($C994,总览!$D$46:$D$345,1)+1,1),7)=0),$C$3,0),0)</f>
        <v>413.138884902133</v>
      </c>
      <c r="U994" s="131" cm="1">
        <f ca="1" t="array" ref="U994">IF(U1596=1,OFFSET($W$634,$B994,U$631-1)/SUMPRODUCT(--($D$631:$V$631=U$631),--($D1596:$V1596=1)),0)+SUM(U993)+IF(COUNTIF(U$1237:U1596,1)=1,5,0)+IF(COUNTIF(V994:$W994,"&gt;"&amp;0)&lt;5,IF(AND(COUNTIF(U$1237:U1596,1)&gt;7,MOD(1+IFERROR(MATCH($C994,总览!$D$46:$D$345,1)+1,1),7)=0),$C$3,0),0)</f>
        <v>418.659671257432</v>
      </c>
      <c r="V994" s="131" cm="1">
        <f ca="1" t="array" ref="V994">IF(V1596=1,OFFSET($W$634,$B994,V$631-1)/SUMPRODUCT(--($D$631:$V$631=V$631),--($D1596:$V1596=1)),0)+SUM(V993)+IF(COUNTIF(V$1237:V1596,1)=1,5,0)+IF(COUNTIF(W994:$W994,"&gt;"&amp;0)&lt;5,IF(AND(COUNTIF(V$1237:V1596,1)&gt;7,MOD(1+IFERROR(MATCH($C994,总览!$D$46:$D$345,1)+1,1),7)=0),$C$3,0),0)</f>
        <v>438.486670969865</v>
      </c>
      <c r="W994" s="135" cm="1">
        <f ca="1" t="array" ref="W994">SUMPRODUCT(TRANSPOSE($AA994:$AG994),OFFSET($L$9:$L$15,0,W$631-1))</f>
        <v>16.8502200646615</v>
      </c>
      <c r="X994" s="135" cm="1">
        <f ca="1" t="array" ref="X994">SUMPRODUCT(TRANSPOSE($AA994:$AG994),OFFSET($L$9:$L$15,0,X$631-1))</f>
        <v>20</v>
      </c>
      <c r="Y994" s="135" cm="1">
        <f ca="1" t="array" ref="Y994">SUMPRODUCT(TRANSPOSE($AA994:$AG994),OFFSET($L$9:$L$15,0,Y$631-1))</f>
        <v>10</v>
      </c>
      <c r="Z994" s="135" cm="1">
        <f ca="1" t="array" ref="Z994">SUMPRODUCT(TRANSPOSE($AA994:$AG994),OFFSET($L$9:$L$15,0,Z$631-1))</f>
        <v>3.14977993533847</v>
      </c>
      <c r="AA994" s="136">
        <f ca="1" t="shared" ref="AA994:AG994" si="969">AH994-AH993</f>
        <v>0</v>
      </c>
      <c r="AB994" s="136">
        <f ca="1" t="shared" si="969"/>
        <v>0</v>
      </c>
      <c r="AC994" s="136">
        <f ca="1" t="shared" si="969"/>
        <v>0</v>
      </c>
      <c r="AD994" s="136">
        <f ca="1" t="shared" si="969"/>
        <v>0</v>
      </c>
      <c r="AE994" s="136">
        <f ca="1" t="shared" si="969"/>
        <v>0</v>
      </c>
      <c r="AF994" s="136">
        <f ca="1" t="shared" si="969"/>
        <v>0</v>
      </c>
      <c r="AG994" s="136">
        <f ca="1" t="shared" si="969"/>
        <v>100</v>
      </c>
      <c r="AH994" s="136">
        <f ca="1" t="shared" si="891"/>
        <v>450</v>
      </c>
      <c r="AI994" s="136">
        <f ca="1" t="shared" ref="AI994:AN994" si="970">IF($C994&gt;OFFSET($Q$8,MATCH(AI$634,$AH$634:$AN$634,0),0),OFFSET($P$8,MATCH(AI$634,$AH$634:$AN$634,0),0),MAX(0,$C994-OFFSET($Q$8,RIGHT(AI$634,1)-1,0)))</f>
        <v>909</v>
      </c>
      <c r="AJ994" s="136">
        <f ca="1" t="shared" si="970"/>
        <v>1818</v>
      </c>
      <c r="AK994" s="136">
        <f ca="1" t="shared" si="970"/>
        <v>2727</v>
      </c>
      <c r="AL994" s="136">
        <f ca="1" t="shared" si="970"/>
        <v>3636</v>
      </c>
      <c r="AM994" s="136">
        <f ca="1" t="shared" si="970"/>
        <v>4545</v>
      </c>
      <c r="AN994" s="136">
        <f ca="1" t="shared" si="970"/>
        <v>21915</v>
      </c>
    </row>
    <row r="995" s="106" customFormat="1" ht="16.5" spans="2:40">
      <c r="B995" s="117">
        <v>361</v>
      </c>
      <c r="C995" s="130">
        <f t="shared" si="889"/>
        <v>36100</v>
      </c>
      <c r="D995" s="131" cm="1">
        <f ca="1" t="array" ref="D995">IF(D1597=1,OFFSET($W$634,$B995,D$631-1)/SUMPRODUCT(--($D$631:$V$631=D$631),--($D1597:$V1597=1)),0)+SUM(D994)+IF(COUNTIF(D$1237:D1597,1)=1,5,0)+IF(COUNTIF(E995:$W995,"&gt;"&amp;0)&lt;5,IF(AND(COUNTIF(D$1237:D1597,1)&gt;7,MOD(1+IFERROR(MATCH($C995,总览!$D$46:$D$345,1)+1,1),7)=0),$C$3,0),0)</f>
        <v>2355.34666431175</v>
      </c>
      <c r="E995" s="131" cm="1">
        <f ca="1" t="array" ref="E995">IF(E1597=1,OFFSET($W$634,$B995,E$631-1)/SUMPRODUCT(--($D$631:$V$631=E$631),--($D1597:$V1597=1)),0)+SUM(E994)+IF(COUNTIF(E$1237:E1597,1)=1,5,0)+IF(COUNTIF(F995:$W995,"&gt;"&amp;0)&lt;5,IF(AND(COUNTIF(E$1237:E1597,1)&gt;7,MOD(1+IFERROR(MATCH($C995,总览!$D$46:$D$345,1)+1,1),7)=0),$C$3,0),0)</f>
        <v>2355.34666431175</v>
      </c>
      <c r="F995" s="131" cm="1">
        <f ca="1" t="array" ref="F995">IF(F1597=1,OFFSET($W$634,$B995,F$631-1)/SUMPRODUCT(--($D$631:$V$631=F$631),--($D1597:$V1597=1)),0)+SUM(F994)+IF(COUNTIF(F$1237:F1597,1)=1,5,0)+IF(COUNTIF(G995:$W995,"&gt;"&amp;0)&lt;5,IF(AND(COUNTIF(F$1237:F1597,1)&gt;7,MOD(1+IFERROR(MATCH($C995,总览!$D$46:$D$345,1)+1,1),7)=0),$C$3,0),0)</f>
        <v>2355.34666431175</v>
      </c>
      <c r="G995" s="131" cm="1">
        <f ca="1" t="array" ref="G995">IF(G1597=1,OFFSET($W$634,$B995,G$631-1)/SUMPRODUCT(--($D$631:$V$631=G$631),--($D1597:$V1597=1)),0)+SUM(G994)+IF(COUNTIF(G$1237:G1597,1)=1,5,0)+IF(COUNTIF(H995:$W995,"&gt;"&amp;0)&lt;5,IF(AND(COUNTIF(G$1237:G1597,1)&gt;7,MOD(1+IFERROR(MATCH($C995,总览!$D$46:$D$345,1)+1,1),7)=0),$C$3,0),0)</f>
        <v>1142.73333333334</v>
      </c>
      <c r="H995" s="131" cm="1">
        <f ca="1" t="array" ref="H995">IF(H1597=1,OFFSET($W$634,$B995,H$631-1)/SUMPRODUCT(--($D$631:$V$631=H$631),--($D1597:$V1597=1)),0)+SUM(H994)+IF(COUNTIF(H$1237:H1597,1)=1,5,0)+IF(COUNTIF(I995:$W995,"&gt;"&amp;0)&lt;5,IF(AND(COUNTIF(H$1237:H1597,1)&gt;7,MOD(1+IFERROR(MATCH($C995,总览!$D$46:$D$345,1)+1,1),7)=0),$C$3,0),0)</f>
        <v>1142.73333333334</v>
      </c>
      <c r="I995" s="131" cm="1">
        <f ca="1" t="array" ref="I995">IF(I1597=1,OFFSET($W$634,$B995,I$631-1)/SUMPRODUCT(--($D$631:$V$631=I$631),--($D1597:$V1597=1)),0)+SUM(I994)+IF(COUNTIF(I$1237:I1597,1)=1,5,0)+IF(COUNTIF(J995:$W995,"&gt;"&amp;0)&lt;5,IF(AND(COUNTIF(I$1237:I1597,1)&gt;7,MOD(1+IFERROR(MATCH($C995,总览!$D$46:$D$345,1)+1,1),7)=0),$C$3,0),0)</f>
        <v>1142.73333333334</v>
      </c>
      <c r="J995" s="131" cm="1">
        <f ca="1" t="array" ref="J995">IF(J1597=1,OFFSET($W$634,$B995,J$631-1)/SUMPRODUCT(--($D$631:$V$631=J$631),--($D1597:$V1597=1)),0)+SUM(J994)+IF(COUNTIF(J$1237:J1597,1)=1,5,0)+IF(COUNTIF(K995:$W995,"&gt;"&amp;0)&lt;5,IF(AND(COUNTIF(J$1237:J1597,1)&gt;7,MOD(1+IFERROR(MATCH($C995,总览!$D$46:$D$345,1)+1,1),7)=0),$C$3,0),0)</f>
        <v>1139.4</v>
      </c>
      <c r="K995" s="131" cm="1">
        <f ca="1" t="array" ref="K995">IF(K1597=1,OFFSET($W$634,$B995,K$631-1)/SUMPRODUCT(--($D$631:$V$631=K$631),--($D1597:$V1597=1)),0)+SUM(K994)+IF(COUNTIF(K$1237:K1597,1)=1,5,0)+IF(COUNTIF(L995:$W995,"&gt;"&amp;0)&lt;5,IF(AND(COUNTIF(K$1237:K1597,1)&gt;7,MOD(1+IFERROR(MATCH($C995,总览!$D$46:$D$345,1)+1,1),7)=0),$C$3,0),0)</f>
        <v>1136.9</v>
      </c>
      <c r="L995" s="131" cm="1">
        <f ca="1" t="array" ref="L995">IF(L1597=1,OFFSET($W$634,$B995,L$631-1)/SUMPRODUCT(--($D$631:$V$631=L$631),--($D1597:$V1597=1)),0)+SUM(L994)+IF(COUNTIF(L$1237:L1597,1)=1,5,0)+IF(COUNTIF(M995:$W995,"&gt;"&amp;0)&lt;5,IF(AND(COUNTIF(L$1237:L1597,1)&gt;7,MOD(1+IFERROR(MATCH($C995,总览!$D$46:$D$345,1)+1,1),7)=0),$C$3,0),0)</f>
        <v>1136.9</v>
      </c>
      <c r="M995" s="131" cm="1">
        <f ca="1" t="array" ref="M995">IF(M1597=1,OFFSET($W$634,$B995,M$631-1)/SUMPRODUCT(--($D$631:$V$631=M$631),--($D1597:$V1597=1)),0)+SUM(M994)+IF(COUNTIF(M$1237:M1597,1)=1,5,0)+IF(COUNTIF(N995:$W995,"&gt;"&amp;0)&lt;5,IF(AND(COUNTIF(M$1237:M1597,1)&gt;7,MOD(1+IFERROR(MATCH($C995,总览!$D$46:$D$345,1)+1,1),7)=0),$C$3,0),0)</f>
        <v>473.466964285716</v>
      </c>
      <c r="N995" s="131" cm="1">
        <f ca="1" t="array" ref="N995">IF(N1597=1,OFFSET($W$634,$B995,N$631-1)/SUMPRODUCT(--($D$631:$V$631=N$631),--($D1597:$V1597=1)),0)+SUM(N994)+IF(COUNTIF(N$1237:N1597,1)=1,5,0)+IF(COUNTIF(O995:$W995,"&gt;"&amp;0)&lt;5,IF(AND(COUNTIF(N$1237:N1597,1)&gt;7,MOD(1+IFERROR(MATCH($C995,总览!$D$46:$D$345,1)+1,1),7)=0),$C$3,0),0)</f>
        <v>474.716964285716</v>
      </c>
      <c r="O995" s="131" cm="1">
        <f ca="1" t="array" ref="O995">IF(O1597=1,OFFSET($W$634,$B995,O$631-1)/SUMPRODUCT(--($D$631:$V$631=O$631),--($D1597:$V1597=1)),0)+SUM(O994)+IF(COUNTIF(O$1237:O1597,1)=1,5,0)+IF(COUNTIF(P995:$W995,"&gt;"&amp;0)&lt;5,IF(AND(COUNTIF(O$1237:O1597,1)&gt;7,MOD(1+IFERROR(MATCH($C995,总览!$D$46:$D$345,1)+1,1),7)=0),$C$3,0),0)</f>
        <v>479.716964285716</v>
      </c>
      <c r="P995" s="131" cm="1">
        <f ca="1" t="array" ref="P995">IF(P1597=1,OFFSET($W$634,$B995,P$631-1)/SUMPRODUCT(--($D$631:$V$631=P$631),--($D1597:$V1597=1)),0)+SUM(P994)+IF(COUNTIF(P$1237:P1597,1)=1,5,0)+IF(COUNTIF(Q995:$W995,"&gt;"&amp;0)&lt;5,IF(AND(COUNTIF(P$1237:P1597,1)&gt;7,MOD(1+IFERROR(MATCH($C995,总览!$D$46:$D$345,1)+1,1),7)=0),$C$3,0),0)</f>
        <v>468.835714285716</v>
      </c>
      <c r="Q995" s="131" cm="1">
        <f ca="1" t="array" ref="Q995">IF(Q1597=1,OFFSET($W$634,$B995,Q$631-1)/SUMPRODUCT(--($D$631:$V$631=Q$631),--($D1597:$V1597=1)),0)+SUM(Q994)+IF(COUNTIF(Q$1237:Q1597,1)=1,5,0)+IF(COUNTIF(R995:$W995,"&gt;"&amp;0)&lt;5,IF(AND(COUNTIF(Q$1237:Q1597,1)&gt;7,MOD(1+IFERROR(MATCH($C995,总览!$D$46:$D$345,1)+1,1),7)=0),$C$3,0),0)</f>
        <v>482.216964285716</v>
      </c>
      <c r="R995" s="131" cm="1">
        <f ca="1" t="array" ref="R995">IF(R1597=1,OFFSET($W$634,$B995,R$631-1)/SUMPRODUCT(--($D$631:$V$631=R$631),--($D1597:$V1597=1)),0)+SUM(R994)+IF(COUNTIF(R$1237:R1597,1)=1,5,0)+IF(COUNTIF(S995:$W995,"&gt;"&amp;0)&lt;5,IF(AND(COUNTIF(R$1237:R1597,1)&gt;7,MOD(1+IFERROR(MATCH($C995,总览!$D$46:$D$345,1)+1,1),7)=0),$C$3,0),0)</f>
        <v>473.835714285716</v>
      </c>
      <c r="S995" s="131" cm="1">
        <f ca="1" t="array" ref="S995">IF(S1597=1,OFFSET($W$634,$B995,S$631-1)/SUMPRODUCT(--($D$631:$V$631=S$631),--($D1597:$V1597=1)),0)+SUM(S994)+IF(COUNTIF(S$1237:S1597,1)=1,5,0)+IF(COUNTIF(T995:$W995,"&gt;"&amp;0)&lt;5,IF(AND(COUNTIF(S$1237:S1597,1)&gt;7,MOD(1+IFERROR(MATCH($C995,总览!$D$46:$D$345,1)+1,1),7)=0),$C$3,0),0)</f>
        <v>566.335714285717</v>
      </c>
      <c r="T995" s="131" cm="1">
        <f ca="1" t="array" ref="T995">IF(T1597=1,OFFSET($W$634,$B995,T$631-1)/SUMPRODUCT(--($D$631:$V$631=T$631),--($D1597:$V1597=1)),0)+SUM(T994)+IF(COUNTIF(T$1237:T1597,1)=1,5,0)+IF(COUNTIF(U995:$W995,"&gt;"&amp;0)&lt;5,IF(AND(COUNTIF(T$1237:T1597,1)&gt;7,MOD(1+IFERROR(MATCH($C995,总览!$D$46:$D$345,1)+1,1),7)=0),$C$3,0),0)</f>
        <v>414.188811547246</v>
      </c>
      <c r="U995" s="131" cm="1">
        <f ca="1" t="array" ref="U995">IF(U1597=1,OFFSET($W$634,$B995,U$631-1)/SUMPRODUCT(--($D$631:$V$631=U$631),--($D1597:$V1597=1)),0)+SUM(U994)+IF(COUNTIF(U$1237:U1597,1)=1,5,0)+IF(COUNTIF(V995:$W995,"&gt;"&amp;0)&lt;5,IF(AND(COUNTIF(U$1237:U1597,1)&gt;7,MOD(1+IFERROR(MATCH($C995,总览!$D$46:$D$345,1)+1,1),7)=0),$C$3,0),0)</f>
        <v>419.709597902545</v>
      </c>
      <c r="V995" s="131" cm="1">
        <f ca="1" t="array" ref="V995">IF(V1597=1,OFFSET($W$634,$B995,V$631-1)/SUMPRODUCT(--($D$631:$V$631=V$631),--($D1597:$V1597=1)),0)+SUM(V994)+IF(COUNTIF(V$1237:V1597,1)=1,5,0)+IF(COUNTIF(W995:$W995,"&gt;"&amp;0)&lt;5,IF(AND(COUNTIF(V$1237:V1597,1)&gt;7,MOD(1+IFERROR(MATCH($C995,总览!$D$46:$D$345,1)+1,1),7)=0),$C$3,0),0)</f>
        <v>439.536597614978</v>
      </c>
      <c r="W995" s="135" cm="1">
        <f ca="1" t="array" ref="W995">SUMPRODUCT(TRANSPOSE($AA995:$AG995),OFFSET($L$9:$L$15,0,W$631-1))</f>
        <v>16.8502200646615</v>
      </c>
      <c r="X995" s="135" cm="1">
        <f ca="1" t="array" ref="X995">SUMPRODUCT(TRANSPOSE($AA995:$AG995),OFFSET($L$9:$L$15,0,X$631-1))</f>
        <v>20</v>
      </c>
      <c r="Y995" s="135" cm="1">
        <f ca="1" t="array" ref="Y995">SUMPRODUCT(TRANSPOSE($AA995:$AG995),OFFSET($L$9:$L$15,0,Y$631-1))</f>
        <v>10</v>
      </c>
      <c r="Z995" s="135" cm="1">
        <f ca="1" t="array" ref="Z995">SUMPRODUCT(TRANSPOSE($AA995:$AG995),OFFSET($L$9:$L$15,0,Z$631-1))</f>
        <v>3.14977993533847</v>
      </c>
      <c r="AA995" s="136">
        <f ca="1" t="shared" ref="AA995:AG995" si="971">AH995-AH994</f>
        <v>0</v>
      </c>
      <c r="AB995" s="136">
        <f ca="1" t="shared" si="971"/>
        <v>0</v>
      </c>
      <c r="AC995" s="136">
        <f ca="1" t="shared" si="971"/>
        <v>0</v>
      </c>
      <c r="AD995" s="136">
        <f ca="1" t="shared" si="971"/>
        <v>0</v>
      </c>
      <c r="AE995" s="136">
        <f ca="1" t="shared" si="971"/>
        <v>0</v>
      </c>
      <c r="AF995" s="136">
        <f ca="1" t="shared" si="971"/>
        <v>0</v>
      </c>
      <c r="AG995" s="136">
        <f ca="1" t="shared" si="971"/>
        <v>100</v>
      </c>
      <c r="AH995" s="136">
        <f ca="1" t="shared" si="891"/>
        <v>450</v>
      </c>
      <c r="AI995" s="136">
        <f ca="1" t="shared" ref="AI995:AN995" si="972">IF($C995&gt;OFFSET($Q$8,MATCH(AI$634,$AH$634:$AN$634,0),0),OFFSET($P$8,MATCH(AI$634,$AH$634:$AN$634,0),0),MAX(0,$C995-OFFSET($Q$8,RIGHT(AI$634,1)-1,0)))</f>
        <v>909</v>
      </c>
      <c r="AJ995" s="136">
        <f ca="1" t="shared" si="972"/>
        <v>1818</v>
      </c>
      <c r="AK995" s="136">
        <f ca="1" t="shared" si="972"/>
        <v>2727</v>
      </c>
      <c r="AL995" s="136">
        <f ca="1" t="shared" si="972"/>
        <v>3636</v>
      </c>
      <c r="AM995" s="136">
        <f ca="1" t="shared" si="972"/>
        <v>4545</v>
      </c>
      <c r="AN995" s="136">
        <f ca="1" t="shared" si="972"/>
        <v>22015</v>
      </c>
    </row>
    <row r="996" s="106" customFormat="1" ht="16.5" spans="2:40">
      <c r="B996" s="117">
        <v>362</v>
      </c>
      <c r="C996" s="130">
        <f t="shared" si="889"/>
        <v>36200</v>
      </c>
      <c r="D996" s="131" cm="1">
        <f ca="1" t="array" ref="D996">IF(D1598=1,OFFSET($W$634,$B996,D$631-1)/SUMPRODUCT(--($D$631:$V$631=D$631),--($D1598:$V1598=1)),0)+SUM(D995)+IF(COUNTIF(D$1237:D1598,1)=1,5,0)+IF(COUNTIF(E996:$W996,"&gt;"&amp;0)&lt;5,IF(AND(COUNTIF(D$1237:D1598,1)&gt;7,MOD(1+IFERROR(MATCH($C996,总览!$D$46:$D$345,1)+1,1),7)=0),$C$3,0),0)</f>
        <v>2360.9634043333</v>
      </c>
      <c r="E996" s="131" cm="1">
        <f ca="1" t="array" ref="E996">IF(E1598=1,OFFSET($W$634,$B996,E$631-1)/SUMPRODUCT(--($D$631:$V$631=E$631),--($D1598:$V1598=1)),0)+SUM(E995)+IF(COUNTIF(E$1237:E1598,1)=1,5,0)+IF(COUNTIF(F996:$W996,"&gt;"&amp;0)&lt;5,IF(AND(COUNTIF(E$1237:E1598,1)&gt;7,MOD(1+IFERROR(MATCH($C996,总览!$D$46:$D$345,1)+1,1),7)=0),$C$3,0),0)</f>
        <v>2360.9634043333</v>
      </c>
      <c r="F996" s="131" cm="1">
        <f ca="1" t="array" ref="F996">IF(F1598=1,OFFSET($W$634,$B996,F$631-1)/SUMPRODUCT(--($D$631:$V$631=F$631),--($D1598:$V1598=1)),0)+SUM(F995)+IF(COUNTIF(F$1237:F1598,1)=1,5,0)+IF(COUNTIF(G996:$W996,"&gt;"&amp;0)&lt;5,IF(AND(COUNTIF(F$1237:F1598,1)&gt;7,MOD(1+IFERROR(MATCH($C996,总览!$D$46:$D$345,1)+1,1),7)=0),$C$3,0),0)</f>
        <v>2360.9634043333</v>
      </c>
      <c r="G996" s="131" cm="1">
        <f ca="1" t="array" ref="G996">IF(G1598=1,OFFSET($W$634,$B996,G$631-1)/SUMPRODUCT(--($D$631:$V$631=G$631),--($D1598:$V1598=1)),0)+SUM(G995)+IF(COUNTIF(G$1237:G1598,1)=1,5,0)+IF(COUNTIF(H996:$W996,"&gt;"&amp;0)&lt;5,IF(AND(COUNTIF(G$1237:G1598,1)&gt;7,MOD(1+IFERROR(MATCH($C996,总览!$D$46:$D$345,1)+1,1),7)=0),$C$3,0),0)</f>
        <v>1146.06666666667</v>
      </c>
      <c r="H996" s="131" cm="1">
        <f ca="1" t="array" ref="H996">IF(H1598=1,OFFSET($W$634,$B996,H$631-1)/SUMPRODUCT(--($D$631:$V$631=H$631),--($D1598:$V1598=1)),0)+SUM(H995)+IF(COUNTIF(H$1237:H1598,1)=1,5,0)+IF(COUNTIF(I996:$W996,"&gt;"&amp;0)&lt;5,IF(AND(COUNTIF(H$1237:H1598,1)&gt;7,MOD(1+IFERROR(MATCH($C996,总览!$D$46:$D$345,1)+1,1),7)=0),$C$3,0),0)</f>
        <v>1146.06666666667</v>
      </c>
      <c r="I996" s="131" cm="1">
        <f ca="1" t="array" ref="I996">IF(I1598=1,OFFSET($W$634,$B996,I$631-1)/SUMPRODUCT(--($D$631:$V$631=I$631),--($D1598:$V1598=1)),0)+SUM(I995)+IF(COUNTIF(I$1237:I1598,1)=1,5,0)+IF(COUNTIF(J996:$W996,"&gt;"&amp;0)&lt;5,IF(AND(COUNTIF(I$1237:I1598,1)&gt;7,MOD(1+IFERROR(MATCH($C996,总览!$D$46:$D$345,1)+1,1),7)=0),$C$3,0),0)</f>
        <v>1146.06666666667</v>
      </c>
      <c r="J996" s="131" cm="1">
        <f ca="1" t="array" ref="J996">IF(J1598=1,OFFSET($W$634,$B996,J$631-1)/SUMPRODUCT(--($D$631:$V$631=J$631),--($D1598:$V1598=1)),0)+SUM(J995)+IF(COUNTIF(J$1237:J1598,1)=1,5,0)+IF(COUNTIF(K996:$W996,"&gt;"&amp;0)&lt;5,IF(AND(COUNTIF(J$1237:J1598,1)&gt;7,MOD(1+IFERROR(MATCH($C996,总览!$D$46:$D$345,1)+1,1),7)=0),$C$3,0),0)</f>
        <v>1142.73333333334</v>
      </c>
      <c r="K996" s="131" cm="1">
        <f ca="1" t="array" ref="K996">IF(K1598=1,OFFSET($W$634,$B996,K$631-1)/SUMPRODUCT(--($D$631:$V$631=K$631),--($D1598:$V1598=1)),0)+SUM(K995)+IF(COUNTIF(K$1237:K1598,1)=1,5,0)+IF(COUNTIF(L996:$W996,"&gt;"&amp;0)&lt;5,IF(AND(COUNTIF(K$1237:K1598,1)&gt;7,MOD(1+IFERROR(MATCH($C996,总览!$D$46:$D$345,1)+1,1),7)=0),$C$3,0),0)</f>
        <v>1140.23333333334</v>
      </c>
      <c r="L996" s="131" cm="1">
        <f ca="1" t="array" ref="L996">IF(L1598=1,OFFSET($W$634,$B996,L$631-1)/SUMPRODUCT(--($D$631:$V$631=L$631),--($D1598:$V1598=1)),0)+SUM(L995)+IF(COUNTIF(L$1237:L1598,1)=1,5,0)+IF(COUNTIF(M996:$W996,"&gt;"&amp;0)&lt;5,IF(AND(COUNTIF(L$1237:L1598,1)&gt;7,MOD(1+IFERROR(MATCH($C996,总览!$D$46:$D$345,1)+1,1),7)=0),$C$3,0),0)</f>
        <v>1140.23333333334</v>
      </c>
      <c r="M996" s="131" cm="1">
        <f ca="1" t="array" ref="M996">IF(M1598=1,OFFSET($W$634,$B996,M$631-1)/SUMPRODUCT(--($D$631:$V$631=M$631),--($D1598:$V1598=1)),0)+SUM(M995)+IF(COUNTIF(M$1237:M1598,1)=1,5,0)+IF(COUNTIF(N996:$W996,"&gt;"&amp;0)&lt;5,IF(AND(COUNTIF(M$1237:M1598,1)&gt;7,MOD(1+IFERROR(MATCH($C996,总览!$D$46:$D$345,1)+1,1),7)=0),$C$3,0),0)</f>
        <v>474.895535714287</v>
      </c>
      <c r="N996" s="131" cm="1">
        <f ca="1" t="array" ref="N996">IF(N1598=1,OFFSET($W$634,$B996,N$631-1)/SUMPRODUCT(--($D$631:$V$631=N$631),--($D1598:$V1598=1)),0)+SUM(N995)+IF(COUNTIF(N$1237:N1598,1)=1,5,0)+IF(COUNTIF(O996:$W996,"&gt;"&amp;0)&lt;5,IF(AND(COUNTIF(N$1237:N1598,1)&gt;7,MOD(1+IFERROR(MATCH($C996,总览!$D$46:$D$345,1)+1,1),7)=0),$C$3,0),0)</f>
        <v>476.145535714287</v>
      </c>
      <c r="O996" s="131" cm="1">
        <f ca="1" t="array" ref="O996">IF(O1598=1,OFFSET($W$634,$B996,O$631-1)/SUMPRODUCT(--($D$631:$V$631=O$631),--($D1598:$V1598=1)),0)+SUM(O995)+IF(COUNTIF(O$1237:O1598,1)=1,5,0)+IF(COUNTIF(P996:$W996,"&gt;"&amp;0)&lt;5,IF(AND(COUNTIF(O$1237:O1598,1)&gt;7,MOD(1+IFERROR(MATCH($C996,总览!$D$46:$D$345,1)+1,1),7)=0),$C$3,0),0)</f>
        <v>481.145535714287</v>
      </c>
      <c r="P996" s="131" cm="1">
        <f ca="1" t="array" ref="P996">IF(P1598=1,OFFSET($W$634,$B996,P$631-1)/SUMPRODUCT(--($D$631:$V$631=P$631),--($D1598:$V1598=1)),0)+SUM(P995)+IF(COUNTIF(P$1237:P1598,1)=1,5,0)+IF(COUNTIF(Q996:$W996,"&gt;"&amp;0)&lt;5,IF(AND(COUNTIF(P$1237:P1598,1)&gt;7,MOD(1+IFERROR(MATCH($C996,总览!$D$46:$D$345,1)+1,1),7)=0),$C$3,0),0)</f>
        <v>470.264285714287</v>
      </c>
      <c r="Q996" s="131" cm="1">
        <f ca="1" t="array" ref="Q996">IF(Q1598=1,OFFSET($W$634,$B996,Q$631-1)/SUMPRODUCT(--($D$631:$V$631=Q$631),--($D1598:$V1598=1)),0)+SUM(Q995)+IF(COUNTIF(Q$1237:Q1598,1)=1,5,0)+IF(COUNTIF(R996:$W996,"&gt;"&amp;0)&lt;5,IF(AND(COUNTIF(Q$1237:Q1598,1)&gt;7,MOD(1+IFERROR(MATCH($C996,总览!$D$46:$D$345,1)+1,1),7)=0),$C$3,0),0)</f>
        <v>483.645535714287</v>
      </c>
      <c r="R996" s="131" cm="1">
        <f ca="1" t="array" ref="R996">IF(R1598=1,OFFSET($W$634,$B996,R$631-1)/SUMPRODUCT(--($D$631:$V$631=R$631),--($D1598:$V1598=1)),0)+SUM(R995)+IF(COUNTIF(R$1237:R1598,1)=1,5,0)+IF(COUNTIF(S996:$W996,"&gt;"&amp;0)&lt;5,IF(AND(COUNTIF(R$1237:R1598,1)&gt;7,MOD(1+IFERROR(MATCH($C996,总览!$D$46:$D$345,1)+1,1),7)=0),$C$3,0),0)</f>
        <v>475.264285714287</v>
      </c>
      <c r="S996" s="131" cm="1">
        <f ca="1" t="array" ref="S996">IF(S1598=1,OFFSET($W$634,$B996,S$631-1)/SUMPRODUCT(--($D$631:$V$631=S$631),--($D1598:$V1598=1)),0)+SUM(S995)+IF(COUNTIF(S$1237:S1598,1)=1,5,0)+IF(COUNTIF(T996:$W996,"&gt;"&amp;0)&lt;5,IF(AND(COUNTIF(S$1237:S1598,1)&gt;7,MOD(1+IFERROR(MATCH($C996,总览!$D$46:$D$345,1)+1,1),7)=0),$C$3,0),0)</f>
        <v>567.764285714288</v>
      </c>
      <c r="T996" s="131" cm="1">
        <f ca="1" t="array" ref="T996">IF(T1598=1,OFFSET($W$634,$B996,T$631-1)/SUMPRODUCT(--($D$631:$V$631=T$631),--($D1598:$V1598=1)),0)+SUM(T995)+IF(COUNTIF(T$1237:T1598,1)=1,5,0)+IF(COUNTIF(U996:$W996,"&gt;"&amp;0)&lt;5,IF(AND(COUNTIF(T$1237:T1598,1)&gt;7,MOD(1+IFERROR(MATCH($C996,总览!$D$46:$D$345,1)+1,1),7)=0),$C$3,0),0)</f>
        <v>415.238738192358</v>
      </c>
      <c r="U996" s="131" cm="1">
        <f ca="1" t="array" ref="U996">IF(U1598=1,OFFSET($W$634,$B996,U$631-1)/SUMPRODUCT(--($D$631:$V$631=U$631),--($D1598:$V1598=1)),0)+SUM(U995)+IF(COUNTIF(U$1237:U1598,1)=1,5,0)+IF(COUNTIF(V996:$W996,"&gt;"&amp;0)&lt;5,IF(AND(COUNTIF(U$1237:U1598,1)&gt;7,MOD(1+IFERROR(MATCH($C996,总览!$D$46:$D$345,1)+1,1),7)=0),$C$3,0),0)</f>
        <v>420.759524547658</v>
      </c>
      <c r="V996" s="131" cm="1">
        <f ca="1" t="array" ref="V996">IF(V1598=1,OFFSET($W$634,$B996,V$631-1)/SUMPRODUCT(--($D$631:$V$631=V$631),--($D1598:$V1598=1)),0)+SUM(V995)+IF(COUNTIF(V$1237:V1598,1)=1,5,0)+IF(COUNTIF(W996:$W996,"&gt;"&amp;0)&lt;5,IF(AND(COUNTIF(V$1237:V1598,1)&gt;7,MOD(1+IFERROR(MATCH($C996,总览!$D$46:$D$345,1)+1,1),7)=0),$C$3,0),0)</f>
        <v>440.586524260091</v>
      </c>
      <c r="W996" s="135" cm="1">
        <f ca="1" t="array" ref="W996">SUMPRODUCT(TRANSPOSE($AA996:$AG996),OFFSET($L$9:$L$15,0,W$631-1))</f>
        <v>16.8502200646615</v>
      </c>
      <c r="X996" s="135" cm="1">
        <f ca="1" t="array" ref="X996">SUMPRODUCT(TRANSPOSE($AA996:$AG996),OFFSET($L$9:$L$15,0,X$631-1))</f>
        <v>20</v>
      </c>
      <c r="Y996" s="135" cm="1">
        <f ca="1" t="array" ref="Y996">SUMPRODUCT(TRANSPOSE($AA996:$AG996),OFFSET($L$9:$L$15,0,Y$631-1))</f>
        <v>10</v>
      </c>
      <c r="Z996" s="135" cm="1">
        <f ca="1" t="array" ref="Z996">SUMPRODUCT(TRANSPOSE($AA996:$AG996),OFFSET($L$9:$L$15,0,Z$631-1))</f>
        <v>3.14977993533847</v>
      </c>
      <c r="AA996" s="136">
        <f ca="1" t="shared" ref="AA996:AG996" si="973">AH996-AH995</f>
        <v>0</v>
      </c>
      <c r="AB996" s="136">
        <f ca="1" t="shared" si="973"/>
        <v>0</v>
      </c>
      <c r="AC996" s="136">
        <f ca="1" t="shared" si="973"/>
        <v>0</v>
      </c>
      <c r="AD996" s="136">
        <f ca="1" t="shared" si="973"/>
        <v>0</v>
      </c>
      <c r="AE996" s="136">
        <f ca="1" t="shared" si="973"/>
        <v>0</v>
      </c>
      <c r="AF996" s="136">
        <f ca="1" t="shared" si="973"/>
        <v>0</v>
      </c>
      <c r="AG996" s="136">
        <f ca="1" t="shared" si="973"/>
        <v>100</v>
      </c>
      <c r="AH996" s="136">
        <f ca="1" t="shared" si="891"/>
        <v>450</v>
      </c>
      <c r="AI996" s="136">
        <f ca="1" t="shared" ref="AI996:AN996" si="974">IF($C996&gt;OFFSET($Q$8,MATCH(AI$634,$AH$634:$AN$634,0),0),OFFSET($P$8,MATCH(AI$634,$AH$634:$AN$634,0),0),MAX(0,$C996-OFFSET($Q$8,RIGHT(AI$634,1)-1,0)))</f>
        <v>909</v>
      </c>
      <c r="AJ996" s="136">
        <f ca="1" t="shared" si="974"/>
        <v>1818</v>
      </c>
      <c r="AK996" s="136">
        <f ca="1" t="shared" si="974"/>
        <v>2727</v>
      </c>
      <c r="AL996" s="136">
        <f ca="1" t="shared" si="974"/>
        <v>3636</v>
      </c>
      <c r="AM996" s="136">
        <f ca="1" t="shared" si="974"/>
        <v>4545</v>
      </c>
      <c r="AN996" s="136">
        <f ca="1" t="shared" si="974"/>
        <v>22115</v>
      </c>
    </row>
    <row r="997" s="106" customFormat="1" ht="16.5" spans="2:40">
      <c r="B997" s="117">
        <v>363</v>
      </c>
      <c r="C997" s="130">
        <f t="shared" si="889"/>
        <v>36300</v>
      </c>
      <c r="D997" s="131" cm="1">
        <f ca="1" t="array" ref="D997">IF(D1599=1,OFFSET($W$634,$B997,D$631-1)/SUMPRODUCT(--($D$631:$V$631=D$631),--($D1599:$V1599=1)),0)+SUM(D996)+IF(COUNTIF(D$1237:D1599,1)=1,5,0)+IF(COUNTIF(E997:$W997,"&gt;"&amp;0)&lt;5,IF(AND(COUNTIF(D$1237:D1599,1)&gt;7,MOD(1+IFERROR(MATCH($C997,总览!$D$46:$D$345,1)+1,1),7)=0),$C$3,0),0)</f>
        <v>2366.58014435486</v>
      </c>
      <c r="E997" s="131" cm="1">
        <f ca="1" t="array" ref="E997">IF(E1599=1,OFFSET($W$634,$B997,E$631-1)/SUMPRODUCT(--($D$631:$V$631=E$631),--($D1599:$V1599=1)),0)+SUM(E996)+IF(COUNTIF(E$1237:E1599,1)=1,5,0)+IF(COUNTIF(F997:$W997,"&gt;"&amp;0)&lt;5,IF(AND(COUNTIF(E$1237:E1599,1)&gt;7,MOD(1+IFERROR(MATCH($C997,总览!$D$46:$D$345,1)+1,1),7)=0),$C$3,0),0)</f>
        <v>2366.58014435486</v>
      </c>
      <c r="F997" s="131" cm="1">
        <f ca="1" t="array" ref="F997">IF(F1599=1,OFFSET($W$634,$B997,F$631-1)/SUMPRODUCT(--($D$631:$V$631=F$631),--($D1599:$V1599=1)),0)+SUM(F996)+IF(COUNTIF(F$1237:F1599,1)=1,5,0)+IF(COUNTIF(G997:$W997,"&gt;"&amp;0)&lt;5,IF(AND(COUNTIF(F$1237:F1599,1)&gt;7,MOD(1+IFERROR(MATCH($C997,总览!$D$46:$D$345,1)+1,1),7)=0),$C$3,0),0)</f>
        <v>2366.58014435486</v>
      </c>
      <c r="G997" s="131" cm="1">
        <f ca="1" t="array" ref="G997">IF(G1599=1,OFFSET($W$634,$B997,G$631-1)/SUMPRODUCT(--($D$631:$V$631=G$631),--($D1599:$V1599=1)),0)+SUM(G996)+IF(COUNTIF(G$1237:G1599,1)=1,5,0)+IF(COUNTIF(H997:$W997,"&gt;"&amp;0)&lt;5,IF(AND(COUNTIF(G$1237:G1599,1)&gt;7,MOD(1+IFERROR(MATCH($C997,总览!$D$46:$D$345,1)+1,1),7)=0),$C$3,0),0)</f>
        <v>1149.4</v>
      </c>
      <c r="H997" s="131" cm="1">
        <f ca="1" t="array" ref="H997">IF(H1599=1,OFFSET($W$634,$B997,H$631-1)/SUMPRODUCT(--($D$631:$V$631=H$631),--($D1599:$V1599=1)),0)+SUM(H996)+IF(COUNTIF(H$1237:H1599,1)=1,5,0)+IF(COUNTIF(I997:$W997,"&gt;"&amp;0)&lt;5,IF(AND(COUNTIF(H$1237:H1599,1)&gt;7,MOD(1+IFERROR(MATCH($C997,总览!$D$46:$D$345,1)+1,1),7)=0),$C$3,0),0)</f>
        <v>1149.4</v>
      </c>
      <c r="I997" s="131" cm="1">
        <f ca="1" t="array" ref="I997">IF(I1599=1,OFFSET($W$634,$B997,I$631-1)/SUMPRODUCT(--($D$631:$V$631=I$631),--($D1599:$V1599=1)),0)+SUM(I996)+IF(COUNTIF(I$1237:I1599,1)=1,5,0)+IF(COUNTIF(J997:$W997,"&gt;"&amp;0)&lt;5,IF(AND(COUNTIF(I$1237:I1599,1)&gt;7,MOD(1+IFERROR(MATCH($C997,总览!$D$46:$D$345,1)+1,1),7)=0),$C$3,0),0)</f>
        <v>1149.4</v>
      </c>
      <c r="J997" s="131" cm="1">
        <f ca="1" t="array" ref="J997">IF(J1599=1,OFFSET($W$634,$B997,J$631-1)/SUMPRODUCT(--($D$631:$V$631=J$631),--($D1599:$V1599=1)),0)+SUM(J996)+IF(COUNTIF(J$1237:J1599,1)=1,5,0)+IF(COUNTIF(K997:$W997,"&gt;"&amp;0)&lt;5,IF(AND(COUNTIF(J$1237:J1599,1)&gt;7,MOD(1+IFERROR(MATCH($C997,总览!$D$46:$D$345,1)+1,1),7)=0),$C$3,0),0)</f>
        <v>1146.06666666667</v>
      </c>
      <c r="K997" s="131" cm="1">
        <f ca="1" t="array" ref="K997">IF(K1599=1,OFFSET($W$634,$B997,K$631-1)/SUMPRODUCT(--($D$631:$V$631=K$631),--($D1599:$V1599=1)),0)+SUM(K996)+IF(COUNTIF(K$1237:K1599,1)=1,5,0)+IF(COUNTIF(L997:$W997,"&gt;"&amp;0)&lt;5,IF(AND(COUNTIF(K$1237:K1599,1)&gt;7,MOD(1+IFERROR(MATCH($C997,总览!$D$46:$D$345,1)+1,1),7)=0),$C$3,0),0)</f>
        <v>1143.56666666667</v>
      </c>
      <c r="L997" s="131" cm="1">
        <f ca="1" t="array" ref="L997">IF(L1599=1,OFFSET($W$634,$B997,L$631-1)/SUMPRODUCT(--($D$631:$V$631=L$631),--($D1599:$V1599=1)),0)+SUM(L996)+IF(COUNTIF(L$1237:L1599,1)=1,5,0)+IF(COUNTIF(M997:$W997,"&gt;"&amp;0)&lt;5,IF(AND(COUNTIF(L$1237:L1599,1)&gt;7,MOD(1+IFERROR(MATCH($C997,总览!$D$46:$D$345,1)+1,1),7)=0),$C$3,0),0)</f>
        <v>1143.56666666667</v>
      </c>
      <c r="M997" s="131" cm="1">
        <f ca="1" t="array" ref="M997">IF(M1599=1,OFFSET($W$634,$B997,M$631-1)/SUMPRODUCT(--($D$631:$V$631=M$631),--($D1599:$V1599=1)),0)+SUM(M996)+IF(COUNTIF(M$1237:M1599,1)=1,5,0)+IF(COUNTIF(N997:$W997,"&gt;"&amp;0)&lt;5,IF(AND(COUNTIF(M$1237:M1599,1)&gt;7,MOD(1+IFERROR(MATCH($C997,总览!$D$46:$D$345,1)+1,1),7)=0),$C$3,0),0)</f>
        <v>476.324107142859</v>
      </c>
      <c r="N997" s="131" cm="1">
        <f ca="1" t="array" ref="N997">IF(N1599=1,OFFSET($W$634,$B997,N$631-1)/SUMPRODUCT(--($D$631:$V$631=N$631),--($D1599:$V1599=1)),0)+SUM(N996)+IF(COUNTIF(N$1237:N1599,1)=1,5,0)+IF(COUNTIF(O997:$W997,"&gt;"&amp;0)&lt;5,IF(AND(COUNTIF(N$1237:N1599,1)&gt;7,MOD(1+IFERROR(MATCH($C997,总览!$D$46:$D$345,1)+1,1),7)=0),$C$3,0),0)</f>
        <v>477.574107142859</v>
      </c>
      <c r="O997" s="131" cm="1">
        <f ca="1" t="array" ref="O997">IF(O1599=1,OFFSET($W$634,$B997,O$631-1)/SUMPRODUCT(--($D$631:$V$631=O$631),--($D1599:$V1599=1)),0)+SUM(O996)+IF(COUNTIF(O$1237:O1599,1)=1,5,0)+IF(COUNTIF(P997:$W997,"&gt;"&amp;0)&lt;5,IF(AND(COUNTIF(O$1237:O1599,1)&gt;7,MOD(1+IFERROR(MATCH($C997,总览!$D$46:$D$345,1)+1,1),7)=0),$C$3,0),0)</f>
        <v>482.574107142858</v>
      </c>
      <c r="P997" s="131" cm="1">
        <f ca="1" t="array" ref="P997">IF(P1599=1,OFFSET($W$634,$B997,P$631-1)/SUMPRODUCT(--($D$631:$V$631=P$631),--($D1599:$V1599=1)),0)+SUM(P996)+IF(COUNTIF(P$1237:P1599,1)=1,5,0)+IF(COUNTIF(Q997:$W997,"&gt;"&amp;0)&lt;5,IF(AND(COUNTIF(P$1237:P1599,1)&gt;7,MOD(1+IFERROR(MATCH($C997,总览!$D$46:$D$345,1)+1,1),7)=0),$C$3,0),0)</f>
        <v>471.692857142858</v>
      </c>
      <c r="Q997" s="131" cm="1">
        <f ca="1" t="array" ref="Q997">IF(Q1599=1,OFFSET($W$634,$B997,Q$631-1)/SUMPRODUCT(--($D$631:$V$631=Q$631),--($D1599:$V1599=1)),0)+SUM(Q996)+IF(COUNTIF(Q$1237:Q1599,1)=1,5,0)+IF(COUNTIF(R997:$W997,"&gt;"&amp;0)&lt;5,IF(AND(COUNTIF(Q$1237:Q1599,1)&gt;7,MOD(1+IFERROR(MATCH($C997,总览!$D$46:$D$345,1)+1,1),7)=0),$C$3,0),0)</f>
        <v>485.074107142859</v>
      </c>
      <c r="R997" s="131" cm="1">
        <f ca="1" t="array" ref="R997">IF(R1599=1,OFFSET($W$634,$B997,R$631-1)/SUMPRODUCT(--($D$631:$V$631=R$631),--($D1599:$V1599=1)),0)+SUM(R996)+IF(COUNTIF(R$1237:R1599,1)=1,5,0)+IF(COUNTIF(S997:$W997,"&gt;"&amp;0)&lt;5,IF(AND(COUNTIF(R$1237:R1599,1)&gt;7,MOD(1+IFERROR(MATCH($C997,总览!$D$46:$D$345,1)+1,1),7)=0),$C$3,0),0)</f>
        <v>476.692857142858</v>
      </c>
      <c r="S997" s="131" cm="1">
        <f ca="1" t="array" ref="S997">IF(S1599=1,OFFSET($W$634,$B997,S$631-1)/SUMPRODUCT(--($D$631:$V$631=S$631),--($D1599:$V1599=1)),0)+SUM(S996)+IF(COUNTIF(S$1237:S1599,1)=1,5,0)+IF(COUNTIF(T997:$W997,"&gt;"&amp;0)&lt;5,IF(AND(COUNTIF(S$1237:S1599,1)&gt;7,MOD(1+IFERROR(MATCH($C997,总览!$D$46:$D$345,1)+1,1),7)=0),$C$3,0),0)</f>
        <v>569.19285714286</v>
      </c>
      <c r="T997" s="131" cm="1">
        <f ca="1" t="array" ref="T997">IF(T1599=1,OFFSET($W$634,$B997,T$631-1)/SUMPRODUCT(--($D$631:$V$631=T$631),--($D1599:$V1599=1)),0)+SUM(T996)+IF(COUNTIF(T$1237:T1599,1)=1,5,0)+IF(COUNTIF(U997:$W997,"&gt;"&amp;0)&lt;5,IF(AND(COUNTIF(T$1237:T1599,1)&gt;7,MOD(1+IFERROR(MATCH($C997,总览!$D$46:$D$345,1)+1,1),7)=0),$C$3,0),0)</f>
        <v>416.288664837471</v>
      </c>
      <c r="U997" s="131" cm="1">
        <f ca="1" t="array" ref="U997">IF(U1599=1,OFFSET($W$634,$B997,U$631-1)/SUMPRODUCT(--($D$631:$V$631=U$631),--($D1599:$V1599=1)),0)+SUM(U996)+IF(COUNTIF(U$1237:U1599,1)=1,5,0)+IF(COUNTIF(V997:$W997,"&gt;"&amp;0)&lt;5,IF(AND(COUNTIF(U$1237:U1599,1)&gt;7,MOD(1+IFERROR(MATCH($C997,总览!$D$46:$D$345,1)+1,1),7)=0),$C$3,0),0)</f>
        <v>421.809451192771</v>
      </c>
      <c r="V997" s="131" cm="1">
        <f ca="1" t="array" ref="V997">IF(V1599=1,OFFSET($W$634,$B997,V$631-1)/SUMPRODUCT(--($D$631:$V$631=V$631),--($D1599:$V1599=1)),0)+SUM(V996)+IF(COUNTIF(V$1237:V1599,1)=1,5,0)+IF(COUNTIF(W997:$W997,"&gt;"&amp;0)&lt;5,IF(AND(COUNTIF(V$1237:V1599,1)&gt;7,MOD(1+IFERROR(MATCH($C997,总览!$D$46:$D$345,1)+1,1),7)=0),$C$3,0),0)</f>
        <v>441.636450905204</v>
      </c>
      <c r="W997" s="135" cm="1">
        <f ca="1" t="array" ref="W997">SUMPRODUCT(TRANSPOSE($AA997:$AG997),OFFSET($L$9:$L$15,0,W$631-1))</f>
        <v>16.8502200646615</v>
      </c>
      <c r="X997" s="135" cm="1">
        <f ca="1" t="array" ref="X997">SUMPRODUCT(TRANSPOSE($AA997:$AG997),OFFSET($L$9:$L$15,0,X$631-1))</f>
        <v>20</v>
      </c>
      <c r="Y997" s="135" cm="1">
        <f ca="1" t="array" ref="Y997">SUMPRODUCT(TRANSPOSE($AA997:$AG997),OFFSET($L$9:$L$15,0,Y$631-1))</f>
        <v>10</v>
      </c>
      <c r="Z997" s="135" cm="1">
        <f ca="1" t="array" ref="Z997">SUMPRODUCT(TRANSPOSE($AA997:$AG997),OFFSET($L$9:$L$15,0,Z$631-1))</f>
        <v>3.14977993533847</v>
      </c>
      <c r="AA997" s="136">
        <f ca="1" t="shared" ref="AA997:AG997" si="975">AH997-AH996</f>
        <v>0</v>
      </c>
      <c r="AB997" s="136">
        <f ca="1" t="shared" si="975"/>
        <v>0</v>
      </c>
      <c r="AC997" s="136">
        <f ca="1" t="shared" si="975"/>
        <v>0</v>
      </c>
      <c r="AD997" s="136">
        <f ca="1" t="shared" si="975"/>
        <v>0</v>
      </c>
      <c r="AE997" s="136">
        <f ca="1" t="shared" si="975"/>
        <v>0</v>
      </c>
      <c r="AF997" s="136">
        <f ca="1" t="shared" si="975"/>
        <v>0</v>
      </c>
      <c r="AG997" s="136">
        <f ca="1" t="shared" si="975"/>
        <v>100</v>
      </c>
      <c r="AH997" s="136">
        <f ca="1" t="shared" si="891"/>
        <v>450</v>
      </c>
      <c r="AI997" s="136">
        <f ca="1" t="shared" ref="AI997:AN997" si="976">IF($C997&gt;OFFSET($Q$8,MATCH(AI$634,$AH$634:$AN$634,0),0),OFFSET($P$8,MATCH(AI$634,$AH$634:$AN$634,0),0),MAX(0,$C997-OFFSET($Q$8,RIGHT(AI$634,1)-1,0)))</f>
        <v>909</v>
      </c>
      <c r="AJ997" s="136">
        <f ca="1" t="shared" si="976"/>
        <v>1818</v>
      </c>
      <c r="AK997" s="136">
        <f ca="1" t="shared" si="976"/>
        <v>2727</v>
      </c>
      <c r="AL997" s="136">
        <f ca="1" t="shared" si="976"/>
        <v>3636</v>
      </c>
      <c r="AM997" s="136">
        <f ca="1" t="shared" si="976"/>
        <v>4545</v>
      </c>
      <c r="AN997" s="136">
        <f ca="1" t="shared" si="976"/>
        <v>22215</v>
      </c>
    </row>
    <row r="998" s="106" customFormat="1" ht="16.5" spans="2:40">
      <c r="B998" s="117">
        <v>364</v>
      </c>
      <c r="C998" s="130">
        <f t="shared" si="889"/>
        <v>36400</v>
      </c>
      <c r="D998" s="131" cm="1">
        <f ca="1" t="array" ref="D998">IF(D1600=1,OFFSET($W$634,$B998,D$631-1)/SUMPRODUCT(--($D$631:$V$631=D$631),--($D1600:$V1600=1)),0)+SUM(D997)+IF(COUNTIF(D$1237:D1600,1)=1,5,0)+IF(COUNTIF(E998:$W998,"&gt;"&amp;0)&lt;5,IF(AND(COUNTIF(D$1237:D1600,1)&gt;7,MOD(1+IFERROR(MATCH($C998,总览!$D$46:$D$345,1)+1,1),7)=0),$C$3,0),0)</f>
        <v>2372.19688437641</v>
      </c>
      <c r="E998" s="131" cm="1">
        <f ca="1" t="array" ref="E998">IF(E1600=1,OFFSET($W$634,$B998,E$631-1)/SUMPRODUCT(--($D$631:$V$631=E$631),--($D1600:$V1600=1)),0)+SUM(E997)+IF(COUNTIF(E$1237:E1600,1)=1,5,0)+IF(COUNTIF(F998:$W998,"&gt;"&amp;0)&lt;5,IF(AND(COUNTIF(E$1237:E1600,1)&gt;7,MOD(1+IFERROR(MATCH($C998,总览!$D$46:$D$345,1)+1,1),7)=0),$C$3,0),0)</f>
        <v>2372.19688437641</v>
      </c>
      <c r="F998" s="131" cm="1">
        <f ca="1" t="array" ref="F998">IF(F1600=1,OFFSET($W$634,$B998,F$631-1)/SUMPRODUCT(--($D$631:$V$631=F$631),--($D1600:$V1600=1)),0)+SUM(F997)+IF(COUNTIF(F$1237:F1600,1)=1,5,0)+IF(COUNTIF(G998:$W998,"&gt;"&amp;0)&lt;5,IF(AND(COUNTIF(F$1237:F1600,1)&gt;7,MOD(1+IFERROR(MATCH($C998,总览!$D$46:$D$345,1)+1,1),7)=0),$C$3,0),0)</f>
        <v>2372.19688437641</v>
      </c>
      <c r="G998" s="131" cm="1">
        <f ca="1" t="array" ref="G998">IF(G1600=1,OFFSET($W$634,$B998,G$631-1)/SUMPRODUCT(--($D$631:$V$631=G$631),--($D1600:$V1600=1)),0)+SUM(G997)+IF(COUNTIF(G$1237:G1600,1)=1,5,0)+IF(COUNTIF(H998:$W998,"&gt;"&amp;0)&lt;5,IF(AND(COUNTIF(G$1237:G1600,1)&gt;7,MOD(1+IFERROR(MATCH($C998,总览!$D$46:$D$345,1)+1,1),7)=0),$C$3,0),0)</f>
        <v>1152.73333333333</v>
      </c>
      <c r="H998" s="131" cm="1">
        <f ca="1" t="array" ref="H998">IF(H1600=1,OFFSET($W$634,$B998,H$631-1)/SUMPRODUCT(--($D$631:$V$631=H$631),--($D1600:$V1600=1)),0)+SUM(H997)+IF(COUNTIF(H$1237:H1600,1)=1,5,0)+IF(COUNTIF(I998:$W998,"&gt;"&amp;0)&lt;5,IF(AND(COUNTIF(H$1237:H1600,1)&gt;7,MOD(1+IFERROR(MATCH($C998,总览!$D$46:$D$345,1)+1,1),7)=0),$C$3,0),0)</f>
        <v>1152.73333333333</v>
      </c>
      <c r="I998" s="131" cm="1">
        <f ca="1" t="array" ref="I998">IF(I1600=1,OFFSET($W$634,$B998,I$631-1)/SUMPRODUCT(--($D$631:$V$631=I$631),--($D1600:$V1600=1)),0)+SUM(I997)+IF(COUNTIF(I$1237:I1600,1)=1,5,0)+IF(COUNTIF(J998:$W998,"&gt;"&amp;0)&lt;5,IF(AND(COUNTIF(I$1237:I1600,1)&gt;7,MOD(1+IFERROR(MATCH($C998,总览!$D$46:$D$345,1)+1,1),7)=0),$C$3,0),0)</f>
        <v>1152.73333333333</v>
      </c>
      <c r="J998" s="131" cm="1">
        <f ca="1" t="array" ref="J998">IF(J1600=1,OFFSET($W$634,$B998,J$631-1)/SUMPRODUCT(--($D$631:$V$631=J$631),--($D1600:$V1600=1)),0)+SUM(J997)+IF(COUNTIF(J$1237:J1600,1)=1,5,0)+IF(COUNTIF(K998:$W998,"&gt;"&amp;0)&lt;5,IF(AND(COUNTIF(J$1237:J1600,1)&gt;7,MOD(1+IFERROR(MATCH($C998,总览!$D$46:$D$345,1)+1,1),7)=0),$C$3,0),0)</f>
        <v>1149.4</v>
      </c>
      <c r="K998" s="131" cm="1">
        <f ca="1" t="array" ref="K998">IF(K1600=1,OFFSET($W$634,$B998,K$631-1)/SUMPRODUCT(--($D$631:$V$631=K$631),--($D1600:$V1600=1)),0)+SUM(K997)+IF(COUNTIF(K$1237:K1600,1)=1,5,0)+IF(COUNTIF(L998:$W998,"&gt;"&amp;0)&lt;5,IF(AND(COUNTIF(K$1237:K1600,1)&gt;7,MOD(1+IFERROR(MATCH($C998,总览!$D$46:$D$345,1)+1,1),7)=0),$C$3,0),0)</f>
        <v>1146.9</v>
      </c>
      <c r="L998" s="131" cm="1">
        <f ca="1" t="array" ref="L998">IF(L1600=1,OFFSET($W$634,$B998,L$631-1)/SUMPRODUCT(--($D$631:$V$631=L$631),--($D1600:$V1600=1)),0)+SUM(L997)+IF(COUNTIF(L$1237:L1600,1)=1,5,0)+IF(COUNTIF(M998:$W998,"&gt;"&amp;0)&lt;5,IF(AND(COUNTIF(L$1237:L1600,1)&gt;7,MOD(1+IFERROR(MATCH($C998,总览!$D$46:$D$345,1)+1,1),7)=0),$C$3,0),0)</f>
        <v>1146.9</v>
      </c>
      <c r="M998" s="131" cm="1">
        <f ca="1" t="array" ref="M998">IF(M1600=1,OFFSET($W$634,$B998,M$631-1)/SUMPRODUCT(--($D$631:$V$631=M$631),--($D1600:$V1600=1)),0)+SUM(M997)+IF(COUNTIF(M$1237:M1600,1)=1,5,0)+IF(COUNTIF(N998:$W998,"&gt;"&amp;0)&lt;5,IF(AND(COUNTIF(M$1237:M1600,1)&gt;7,MOD(1+IFERROR(MATCH($C998,总览!$D$46:$D$345,1)+1,1),7)=0),$C$3,0),0)</f>
        <v>477.75267857143</v>
      </c>
      <c r="N998" s="131" cm="1">
        <f ca="1" t="array" ref="N998">IF(N1600=1,OFFSET($W$634,$B998,N$631-1)/SUMPRODUCT(--($D$631:$V$631=N$631),--($D1600:$V1600=1)),0)+SUM(N997)+IF(COUNTIF(N$1237:N1600,1)=1,5,0)+IF(COUNTIF(O998:$W998,"&gt;"&amp;0)&lt;5,IF(AND(COUNTIF(N$1237:N1600,1)&gt;7,MOD(1+IFERROR(MATCH($C998,总览!$D$46:$D$345,1)+1,1),7)=0),$C$3,0),0)</f>
        <v>479.00267857143</v>
      </c>
      <c r="O998" s="131" cm="1">
        <f ca="1" t="array" ref="O998">IF(O1600=1,OFFSET($W$634,$B998,O$631-1)/SUMPRODUCT(--($D$631:$V$631=O$631),--($D1600:$V1600=1)),0)+SUM(O997)+IF(COUNTIF(O$1237:O1600,1)=1,5,0)+IF(COUNTIF(P998:$W998,"&gt;"&amp;0)&lt;5,IF(AND(COUNTIF(O$1237:O1600,1)&gt;7,MOD(1+IFERROR(MATCH($C998,总览!$D$46:$D$345,1)+1,1),7)=0),$C$3,0),0)</f>
        <v>484.00267857143</v>
      </c>
      <c r="P998" s="131" cm="1">
        <f ca="1" t="array" ref="P998">IF(P1600=1,OFFSET($W$634,$B998,P$631-1)/SUMPRODUCT(--($D$631:$V$631=P$631),--($D1600:$V1600=1)),0)+SUM(P997)+IF(COUNTIF(P$1237:P1600,1)=1,5,0)+IF(COUNTIF(Q998:$W998,"&gt;"&amp;0)&lt;5,IF(AND(COUNTIF(P$1237:P1600,1)&gt;7,MOD(1+IFERROR(MATCH($C998,总览!$D$46:$D$345,1)+1,1),7)=0),$C$3,0),0)</f>
        <v>473.12142857143</v>
      </c>
      <c r="Q998" s="131" cm="1">
        <f ca="1" t="array" ref="Q998">IF(Q1600=1,OFFSET($W$634,$B998,Q$631-1)/SUMPRODUCT(--($D$631:$V$631=Q$631),--($D1600:$V1600=1)),0)+SUM(Q997)+IF(COUNTIF(Q$1237:Q1600,1)=1,5,0)+IF(COUNTIF(R998:$W998,"&gt;"&amp;0)&lt;5,IF(AND(COUNTIF(Q$1237:Q1600,1)&gt;7,MOD(1+IFERROR(MATCH($C998,总览!$D$46:$D$345,1)+1,1),7)=0),$C$3,0),0)</f>
        <v>486.50267857143</v>
      </c>
      <c r="R998" s="131" cm="1">
        <f ca="1" t="array" ref="R998">IF(R1600=1,OFFSET($W$634,$B998,R$631-1)/SUMPRODUCT(--($D$631:$V$631=R$631),--($D1600:$V1600=1)),0)+SUM(R997)+IF(COUNTIF(R$1237:R1600,1)=1,5,0)+IF(COUNTIF(S998:$W998,"&gt;"&amp;0)&lt;5,IF(AND(COUNTIF(R$1237:R1600,1)&gt;7,MOD(1+IFERROR(MATCH($C998,总览!$D$46:$D$345,1)+1,1),7)=0),$C$3,0),0)</f>
        <v>478.12142857143</v>
      </c>
      <c r="S998" s="131" cm="1">
        <f ca="1" t="array" ref="S998">IF(S1600=1,OFFSET($W$634,$B998,S$631-1)/SUMPRODUCT(--($D$631:$V$631=S$631),--($D1600:$V1600=1)),0)+SUM(S997)+IF(COUNTIF(S$1237:S1600,1)=1,5,0)+IF(COUNTIF(T998:$W998,"&gt;"&amp;0)&lt;5,IF(AND(COUNTIF(S$1237:S1600,1)&gt;7,MOD(1+IFERROR(MATCH($C998,总览!$D$46:$D$345,1)+1,1),7)=0),$C$3,0),0)</f>
        <v>570.621428571431</v>
      </c>
      <c r="T998" s="131" cm="1">
        <f ca="1" t="array" ref="T998">IF(T1600=1,OFFSET($W$634,$B998,T$631-1)/SUMPRODUCT(--($D$631:$V$631=T$631),--($D1600:$V1600=1)),0)+SUM(T997)+IF(COUNTIF(T$1237:T1600,1)=1,5,0)+IF(COUNTIF(U998:$W998,"&gt;"&amp;0)&lt;5,IF(AND(COUNTIF(T$1237:T1600,1)&gt;7,MOD(1+IFERROR(MATCH($C998,总览!$D$46:$D$345,1)+1,1),7)=0),$C$3,0),0)</f>
        <v>417.338591482584</v>
      </c>
      <c r="U998" s="131" cm="1">
        <f ca="1" t="array" ref="U998">IF(U1600=1,OFFSET($W$634,$B998,U$631-1)/SUMPRODUCT(--($D$631:$V$631=U$631),--($D1600:$V1600=1)),0)+SUM(U997)+IF(COUNTIF(U$1237:U1600,1)=1,5,0)+IF(COUNTIF(V998:$W998,"&gt;"&amp;0)&lt;5,IF(AND(COUNTIF(U$1237:U1600,1)&gt;7,MOD(1+IFERROR(MATCH($C998,总览!$D$46:$D$345,1)+1,1),7)=0),$C$3,0),0)</f>
        <v>422.859377837883</v>
      </c>
      <c r="V998" s="131" cm="1">
        <f ca="1" t="array" ref="V998">IF(V1600=1,OFFSET($W$634,$B998,V$631-1)/SUMPRODUCT(--($D$631:$V$631=V$631),--($D1600:$V1600=1)),0)+SUM(V997)+IF(COUNTIF(V$1237:V1600,1)=1,5,0)+IF(COUNTIF(W998:$W998,"&gt;"&amp;0)&lt;5,IF(AND(COUNTIF(V$1237:V1600,1)&gt;7,MOD(1+IFERROR(MATCH($C998,总览!$D$46:$D$345,1)+1,1),7)=0),$C$3,0),0)</f>
        <v>442.686377550316</v>
      </c>
      <c r="W998" s="135" cm="1">
        <f ca="1" t="array" ref="W998">SUMPRODUCT(TRANSPOSE($AA998:$AG998),OFFSET($L$9:$L$15,0,W$631-1))</f>
        <v>16.8502200646615</v>
      </c>
      <c r="X998" s="135" cm="1">
        <f ca="1" t="array" ref="X998">SUMPRODUCT(TRANSPOSE($AA998:$AG998),OFFSET($L$9:$L$15,0,X$631-1))</f>
        <v>20</v>
      </c>
      <c r="Y998" s="135" cm="1">
        <f ca="1" t="array" ref="Y998">SUMPRODUCT(TRANSPOSE($AA998:$AG998),OFFSET($L$9:$L$15,0,Y$631-1))</f>
        <v>10</v>
      </c>
      <c r="Z998" s="135" cm="1">
        <f ca="1" t="array" ref="Z998">SUMPRODUCT(TRANSPOSE($AA998:$AG998),OFFSET($L$9:$L$15,0,Z$631-1))</f>
        <v>3.14977993533847</v>
      </c>
      <c r="AA998" s="136">
        <f ca="1" t="shared" ref="AA998:AG998" si="977">AH998-AH997</f>
        <v>0</v>
      </c>
      <c r="AB998" s="136">
        <f ca="1" t="shared" si="977"/>
        <v>0</v>
      </c>
      <c r="AC998" s="136">
        <f ca="1" t="shared" si="977"/>
        <v>0</v>
      </c>
      <c r="AD998" s="136">
        <f ca="1" t="shared" si="977"/>
        <v>0</v>
      </c>
      <c r="AE998" s="136">
        <f ca="1" t="shared" si="977"/>
        <v>0</v>
      </c>
      <c r="AF998" s="136">
        <f ca="1" t="shared" si="977"/>
        <v>0</v>
      </c>
      <c r="AG998" s="136">
        <f ca="1" t="shared" si="977"/>
        <v>100</v>
      </c>
      <c r="AH998" s="136">
        <f ca="1" t="shared" si="891"/>
        <v>450</v>
      </c>
      <c r="AI998" s="136">
        <f ca="1" t="shared" ref="AI998:AN998" si="978">IF($C998&gt;OFFSET($Q$8,MATCH(AI$634,$AH$634:$AN$634,0),0),OFFSET($P$8,MATCH(AI$634,$AH$634:$AN$634,0),0),MAX(0,$C998-OFFSET($Q$8,RIGHT(AI$634,1)-1,0)))</f>
        <v>909</v>
      </c>
      <c r="AJ998" s="136">
        <f ca="1" t="shared" si="978"/>
        <v>1818</v>
      </c>
      <c r="AK998" s="136">
        <f ca="1" t="shared" si="978"/>
        <v>2727</v>
      </c>
      <c r="AL998" s="136">
        <f ca="1" t="shared" si="978"/>
        <v>3636</v>
      </c>
      <c r="AM998" s="136">
        <f ca="1" t="shared" si="978"/>
        <v>4545</v>
      </c>
      <c r="AN998" s="136">
        <f ca="1" t="shared" si="978"/>
        <v>22315</v>
      </c>
    </row>
    <row r="999" s="106" customFormat="1" ht="16.5" spans="2:40">
      <c r="B999" s="117">
        <v>365</v>
      </c>
      <c r="C999" s="130">
        <f t="shared" si="889"/>
        <v>36500</v>
      </c>
      <c r="D999" s="131" cm="1">
        <f ca="1" t="array" ref="D999">IF(D1601=1,OFFSET($W$634,$B999,D$631-1)/SUMPRODUCT(--($D$631:$V$631=D$631),--($D1601:$V1601=1)),0)+SUM(D998)+IF(COUNTIF(D$1237:D1601,1)=1,5,0)+IF(COUNTIF(E999:$W999,"&gt;"&amp;0)&lt;5,IF(AND(COUNTIF(D$1237:D1601,1)&gt;7,MOD(1+IFERROR(MATCH($C999,总览!$D$46:$D$345,1)+1,1),7)=0),$C$3,0),0)</f>
        <v>2377.81362439797</v>
      </c>
      <c r="E999" s="131" cm="1">
        <f ca="1" t="array" ref="E999">IF(E1601=1,OFFSET($W$634,$B999,E$631-1)/SUMPRODUCT(--($D$631:$V$631=E$631),--($D1601:$V1601=1)),0)+SUM(E998)+IF(COUNTIF(E$1237:E1601,1)=1,5,0)+IF(COUNTIF(F999:$W999,"&gt;"&amp;0)&lt;5,IF(AND(COUNTIF(E$1237:E1601,1)&gt;7,MOD(1+IFERROR(MATCH($C999,总览!$D$46:$D$345,1)+1,1),7)=0),$C$3,0),0)</f>
        <v>2377.81362439797</v>
      </c>
      <c r="F999" s="131" cm="1">
        <f ca="1" t="array" ref="F999">IF(F1601=1,OFFSET($W$634,$B999,F$631-1)/SUMPRODUCT(--($D$631:$V$631=F$631),--($D1601:$V1601=1)),0)+SUM(F998)+IF(COUNTIF(F$1237:F1601,1)=1,5,0)+IF(COUNTIF(G999:$W999,"&gt;"&amp;0)&lt;5,IF(AND(COUNTIF(F$1237:F1601,1)&gt;7,MOD(1+IFERROR(MATCH($C999,总览!$D$46:$D$345,1)+1,1),7)=0),$C$3,0),0)</f>
        <v>2377.81362439797</v>
      </c>
      <c r="G999" s="131" cm="1">
        <f ca="1" t="array" ref="G999">IF(G1601=1,OFFSET($W$634,$B999,G$631-1)/SUMPRODUCT(--($D$631:$V$631=G$631),--($D1601:$V1601=1)),0)+SUM(G998)+IF(COUNTIF(G$1237:G1601,1)=1,5,0)+IF(COUNTIF(H999:$W999,"&gt;"&amp;0)&lt;5,IF(AND(COUNTIF(G$1237:G1601,1)&gt;7,MOD(1+IFERROR(MATCH($C999,总览!$D$46:$D$345,1)+1,1),7)=0),$C$3,0),0)</f>
        <v>1156.06666666667</v>
      </c>
      <c r="H999" s="131" cm="1">
        <f ca="1" t="array" ref="H999">IF(H1601=1,OFFSET($W$634,$B999,H$631-1)/SUMPRODUCT(--($D$631:$V$631=H$631),--($D1601:$V1601=1)),0)+SUM(H998)+IF(COUNTIF(H$1237:H1601,1)=1,5,0)+IF(COUNTIF(I999:$W999,"&gt;"&amp;0)&lt;5,IF(AND(COUNTIF(H$1237:H1601,1)&gt;7,MOD(1+IFERROR(MATCH($C999,总览!$D$46:$D$345,1)+1,1),7)=0),$C$3,0),0)</f>
        <v>1156.06666666667</v>
      </c>
      <c r="I999" s="131" cm="1">
        <f ca="1" t="array" ref="I999">IF(I1601=1,OFFSET($W$634,$B999,I$631-1)/SUMPRODUCT(--($D$631:$V$631=I$631),--($D1601:$V1601=1)),0)+SUM(I998)+IF(COUNTIF(I$1237:I1601,1)=1,5,0)+IF(COUNTIF(J999:$W999,"&gt;"&amp;0)&lt;5,IF(AND(COUNTIF(I$1237:I1601,1)&gt;7,MOD(1+IFERROR(MATCH($C999,总览!$D$46:$D$345,1)+1,1),7)=0),$C$3,0),0)</f>
        <v>1156.06666666667</v>
      </c>
      <c r="J999" s="131" cm="1">
        <f ca="1" t="array" ref="J999">IF(J1601=1,OFFSET($W$634,$B999,J$631-1)/SUMPRODUCT(--($D$631:$V$631=J$631),--($D1601:$V1601=1)),0)+SUM(J998)+IF(COUNTIF(J$1237:J1601,1)=1,5,0)+IF(COUNTIF(K999:$W999,"&gt;"&amp;0)&lt;5,IF(AND(COUNTIF(J$1237:J1601,1)&gt;7,MOD(1+IFERROR(MATCH($C999,总览!$D$46:$D$345,1)+1,1),7)=0),$C$3,0),0)</f>
        <v>1152.73333333333</v>
      </c>
      <c r="K999" s="131" cm="1">
        <f ca="1" t="array" ref="K999">IF(K1601=1,OFFSET($W$634,$B999,K$631-1)/SUMPRODUCT(--($D$631:$V$631=K$631),--($D1601:$V1601=1)),0)+SUM(K998)+IF(COUNTIF(K$1237:K1601,1)=1,5,0)+IF(COUNTIF(L999:$W999,"&gt;"&amp;0)&lt;5,IF(AND(COUNTIF(K$1237:K1601,1)&gt;7,MOD(1+IFERROR(MATCH($C999,总览!$D$46:$D$345,1)+1,1),7)=0),$C$3,0),0)</f>
        <v>1150.23333333333</v>
      </c>
      <c r="L999" s="131" cm="1">
        <f ca="1" t="array" ref="L999">IF(L1601=1,OFFSET($W$634,$B999,L$631-1)/SUMPRODUCT(--($D$631:$V$631=L$631),--($D1601:$V1601=1)),0)+SUM(L998)+IF(COUNTIF(L$1237:L1601,1)=1,5,0)+IF(COUNTIF(M999:$W999,"&gt;"&amp;0)&lt;5,IF(AND(COUNTIF(L$1237:L1601,1)&gt;7,MOD(1+IFERROR(MATCH($C999,总览!$D$46:$D$345,1)+1,1),7)=0),$C$3,0),0)</f>
        <v>1150.23333333333</v>
      </c>
      <c r="M999" s="131" cm="1">
        <f ca="1" t="array" ref="M999">IF(M1601=1,OFFSET($W$634,$B999,M$631-1)/SUMPRODUCT(--($D$631:$V$631=M$631),--($D1601:$V1601=1)),0)+SUM(M998)+IF(COUNTIF(M$1237:M1601,1)=1,5,0)+IF(COUNTIF(N999:$W999,"&gt;"&amp;0)&lt;5,IF(AND(COUNTIF(M$1237:M1601,1)&gt;7,MOD(1+IFERROR(MATCH($C999,总览!$D$46:$D$345,1)+1,1),7)=0),$C$3,0),0)</f>
        <v>479.181250000001</v>
      </c>
      <c r="N999" s="131" cm="1">
        <f ca="1" t="array" ref="N999">IF(N1601=1,OFFSET($W$634,$B999,N$631-1)/SUMPRODUCT(--($D$631:$V$631=N$631),--($D1601:$V1601=1)),0)+SUM(N998)+IF(COUNTIF(N$1237:N1601,1)=1,5,0)+IF(COUNTIF(O999:$W999,"&gt;"&amp;0)&lt;5,IF(AND(COUNTIF(N$1237:N1601,1)&gt;7,MOD(1+IFERROR(MATCH($C999,总览!$D$46:$D$345,1)+1,1),7)=0),$C$3,0),0)</f>
        <v>480.431250000001</v>
      </c>
      <c r="O999" s="131" cm="1">
        <f ca="1" t="array" ref="O999">IF(O1601=1,OFFSET($W$634,$B999,O$631-1)/SUMPRODUCT(--($D$631:$V$631=O$631),--($D1601:$V1601=1)),0)+SUM(O998)+IF(COUNTIF(O$1237:O1601,1)=1,5,0)+IF(COUNTIF(P999:$W999,"&gt;"&amp;0)&lt;5,IF(AND(COUNTIF(O$1237:O1601,1)&gt;7,MOD(1+IFERROR(MATCH($C999,总览!$D$46:$D$345,1)+1,1),7)=0),$C$3,0),0)</f>
        <v>485.431250000001</v>
      </c>
      <c r="P999" s="131" cm="1">
        <f ca="1" t="array" ref="P999">IF(P1601=1,OFFSET($W$634,$B999,P$631-1)/SUMPRODUCT(--($D$631:$V$631=P$631),--($D1601:$V1601=1)),0)+SUM(P998)+IF(COUNTIF(P$1237:P1601,1)=1,5,0)+IF(COUNTIF(Q999:$W999,"&gt;"&amp;0)&lt;5,IF(AND(COUNTIF(P$1237:P1601,1)&gt;7,MOD(1+IFERROR(MATCH($C999,总览!$D$46:$D$345,1)+1,1),7)=0),$C$3,0),0)</f>
        <v>474.550000000001</v>
      </c>
      <c r="Q999" s="131" cm="1">
        <f ca="1" t="array" ref="Q999">IF(Q1601=1,OFFSET($W$634,$B999,Q$631-1)/SUMPRODUCT(--($D$631:$V$631=Q$631),--($D1601:$V1601=1)),0)+SUM(Q998)+IF(COUNTIF(Q$1237:Q1601,1)=1,5,0)+IF(COUNTIF(R999:$W999,"&gt;"&amp;0)&lt;5,IF(AND(COUNTIF(Q$1237:Q1601,1)&gt;7,MOD(1+IFERROR(MATCH($C999,总览!$D$46:$D$345,1)+1,1),7)=0),$C$3,0),0)</f>
        <v>487.931250000001</v>
      </c>
      <c r="R999" s="131" cm="1">
        <f ca="1" t="array" ref="R999">IF(R1601=1,OFFSET($W$634,$B999,R$631-1)/SUMPRODUCT(--($D$631:$V$631=R$631),--($D1601:$V1601=1)),0)+SUM(R998)+IF(COUNTIF(R$1237:R1601,1)=1,5,0)+IF(COUNTIF(S999:$W999,"&gt;"&amp;0)&lt;5,IF(AND(COUNTIF(R$1237:R1601,1)&gt;7,MOD(1+IFERROR(MATCH($C999,总览!$D$46:$D$345,1)+1,1),7)=0),$C$3,0),0)</f>
        <v>479.550000000001</v>
      </c>
      <c r="S999" s="131" cm="1">
        <f ca="1" t="array" ref="S999">IF(S1601=1,OFFSET($W$634,$B999,S$631-1)/SUMPRODUCT(--($D$631:$V$631=S$631),--($D1601:$V1601=1)),0)+SUM(S998)+IF(COUNTIF(S$1237:S1601,1)=1,5,0)+IF(COUNTIF(T999:$W999,"&gt;"&amp;0)&lt;5,IF(AND(COUNTIF(S$1237:S1601,1)&gt;7,MOD(1+IFERROR(MATCH($C999,总览!$D$46:$D$345,1)+1,1),7)=0),$C$3,0),0)</f>
        <v>572.050000000002</v>
      </c>
      <c r="T999" s="131" cm="1">
        <f ca="1" t="array" ref="T999">IF(T1601=1,OFFSET($W$634,$B999,T$631-1)/SUMPRODUCT(--($D$631:$V$631=T$631),--($D1601:$V1601=1)),0)+SUM(T998)+IF(COUNTIF(T$1237:T1601,1)=1,5,0)+IF(COUNTIF(U999:$W999,"&gt;"&amp;0)&lt;5,IF(AND(COUNTIF(T$1237:T1601,1)&gt;7,MOD(1+IFERROR(MATCH($C999,总览!$D$46:$D$345,1)+1,1),7)=0),$C$3,0),0)</f>
        <v>418.388518127697</v>
      </c>
      <c r="U999" s="131" cm="1">
        <f ca="1" t="array" ref="U999">IF(U1601=1,OFFSET($W$634,$B999,U$631-1)/SUMPRODUCT(--($D$631:$V$631=U$631),--($D1601:$V1601=1)),0)+SUM(U998)+IF(COUNTIF(U$1237:U1601,1)=1,5,0)+IF(COUNTIF(V999:$W999,"&gt;"&amp;0)&lt;5,IF(AND(COUNTIF(U$1237:U1601,1)&gt;7,MOD(1+IFERROR(MATCH($C999,总览!$D$46:$D$345,1)+1,1),7)=0),$C$3,0),0)</f>
        <v>423.909304482996</v>
      </c>
      <c r="V999" s="131" cm="1">
        <f ca="1" t="array" ref="V999">IF(V1601=1,OFFSET($W$634,$B999,V$631-1)/SUMPRODUCT(--($D$631:$V$631=V$631),--($D1601:$V1601=1)),0)+SUM(V998)+IF(COUNTIF(V$1237:V1601,1)=1,5,0)+IF(COUNTIF(W999:$W999,"&gt;"&amp;0)&lt;5,IF(AND(COUNTIF(V$1237:V1601,1)&gt;7,MOD(1+IFERROR(MATCH($C999,总览!$D$46:$D$345,1)+1,1),7)=0),$C$3,0),0)</f>
        <v>443.736304195429</v>
      </c>
      <c r="W999" s="135" cm="1">
        <f ca="1" t="array" ref="W999">SUMPRODUCT(TRANSPOSE($AA999:$AG999),OFFSET($L$9:$L$15,0,W$631-1))</f>
        <v>16.8502200646615</v>
      </c>
      <c r="X999" s="135" cm="1">
        <f ca="1" t="array" ref="X999">SUMPRODUCT(TRANSPOSE($AA999:$AG999),OFFSET($L$9:$L$15,0,X$631-1))</f>
        <v>20</v>
      </c>
      <c r="Y999" s="135" cm="1">
        <f ca="1" t="array" ref="Y999">SUMPRODUCT(TRANSPOSE($AA999:$AG999),OFFSET($L$9:$L$15,0,Y$631-1))</f>
        <v>10</v>
      </c>
      <c r="Z999" s="135" cm="1">
        <f ca="1" t="array" ref="Z999">SUMPRODUCT(TRANSPOSE($AA999:$AG999),OFFSET($L$9:$L$15,0,Z$631-1))</f>
        <v>3.14977993533847</v>
      </c>
      <c r="AA999" s="136">
        <f ca="1" t="shared" ref="AA999:AG999" si="979">AH999-AH998</f>
        <v>0</v>
      </c>
      <c r="AB999" s="136">
        <f ca="1" t="shared" si="979"/>
        <v>0</v>
      </c>
      <c r="AC999" s="136">
        <f ca="1" t="shared" si="979"/>
        <v>0</v>
      </c>
      <c r="AD999" s="136">
        <f ca="1" t="shared" si="979"/>
        <v>0</v>
      </c>
      <c r="AE999" s="136">
        <f ca="1" t="shared" si="979"/>
        <v>0</v>
      </c>
      <c r="AF999" s="136">
        <f ca="1" t="shared" si="979"/>
        <v>0</v>
      </c>
      <c r="AG999" s="136">
        <f ca="1" t="shared" si="979"/>
        <v>100</v>
      </c>
      <c r="AH999" s="136">
        <f ca="1" t="shared" si="891"/>
        <v>450</v>
      </c>
      <c r="AI999" s="136">
        <f ca="1" t="shared" ref="AI999:AN999" si="980">IF($C999&gt;OFFSET($Q$8,MATCH(AI$634,$AH$634:$AN$634,0),0),OFFSET($P$8,MATCH(AI$634,$AH$634:$AN$634,0),0),MAX(0,$C999-OFFSET($Q$8,RIGHT(AI$634,1)-1,0)))</f>
        <v>909</v>
      </c>
      <c r="AJ999" s="136">
        <f ca="1" t="shared" si="980"/>
        <v>1818</v>
      </c>
      <c r="AK999" s="136">
        <f ca="1" t="shared" si="980"/>
        <v>2727</v>
      </c>
      <c r="AL999" s="136">
        <f ca="1" t="shared" si="980"/>
        <v>3636</v>
      </c>
      <c r="AM999" s="136">
        <f ca="1" t="shared" si="980"/>
        <v>4545</v>
      </c>
      <c r="AN999" s="136">
        <f ca="1" t="shared" si="980"/>
        <v>22415</v>
      </c>
    </row>
    <row r="1000" s="106" customFormat="1" ht="16.5" spans="2:40">
      <c r="B1000" s="117">
        <v>366</v>
      </c>
      <c r="C1000" s="130">
        <f t="shared" si="889"/>
        <v>36600</v>
      </c>
      <c r="D1000" s="131" cm="1">
        <f ca="1" t="array" ref="D1000">IF(D1602=1,OFFSET($W$634,$B1000,D$631-1)/SUMPRODUCT(--($D$631:$V$631=D$631),--($D1602:$V1602=1)),0)+SUM(D999)+IF(COUNTIF(D$1237:D1602,1)=1,5,0)+IF(COUNTIF(E1000:$W1000,"&gt;"&amp;0)&lt;5,IF(AND(COUNTIF(D$1237:D1602,1)&gt;7,MOD(1+IFERROR(MATCH($C1000,总览!$D$46:$D$345,1)+1,1),7)=0),$C$3,0),0)</f>
        <v>2383.43036441952</v>
      </c>
      <c r="E1000" s="131" cm="1">
        <f ca="1" t="array" ref="E1000">IF(E1602=1,OFFSET($W$634,$B1000,E$631-1)/SUMPRODUCT(--($D$631:$V$631=E$631),--($D1602:$V1602=1)),0)+SUM(E999)+IF(COUNTIF(E$1237:E1602,1)=1,5,0)+IF(COUNTIF(F1000:$W1000,"&gt;"&amp;0)&lt;5,IF(AND(COUNTIF(E$1237:E1602,1)&gt;7,MOD(1+IFERROR(MATCH($C1000,总览!$D$46:$D$345,1)+1,1),7)=0),$C$3,0),0)</f>
        <v>2383.43036441952</v>
      </c>
      <c r="F1000" s="131" cm="1">
        <f ca="1" t="array" ref="F1000">IF(F1602=1,OFFSET($W$634,$B1000,F$631-1)/SUMPRODUCT(--($D$631:$V$631=F$631),--($D1602:$V1602=1)),0)+SUM(F999)+IF(COUNTIF(F$1237:F1602,1)=1,5,0)+IF(COUNTIF(G1000:$W1000,"&gt;"&amp;0)&lt;5,IF(AND(COUNTIF(F$1237:F1602,1)&gt;7,MOD(1+IFERROR(MATCH($C1000,总览!$D$46:$D$345,1)+1,1),7)=0),$C$3,0),0)</f>
        <v>2383.43036441952</v>
      </c>
      <c r="G1000" s="131" cm="1">
        <f ca="1" t="array" ref="G1000">IF(G1602=1,OFFSET($W$634,$B1000,G$631-1)/SUMPRODUCT(--($D$631:$V$631=G$631),--($D1602:$V1602=1)),0)+SUM(G999)+IF(COUNTIF(G$1237:G1602,1)=1,5,0)+IF(COUNTIF(H1000:$W1000,"&gt;"&amp;0)&lt;5,IF(AND(COUNTIF(G$1237:G1602,1)&gt;7,MOD(1+IFERROR(MATCH($C1000,总览!$D$46:$D$345,1)+1,1),7)=0),$C$3,0),0)</f>
        <v>1159.4</v>
      </c>
      <c r="H1000" s="131" cm="1">
        <f ca="1" t="array" ref="H1000">IF(H1602=1,OFFSET($W$634,$B1000,H$631-1)/SUMPRODUCT(--($D$631:$V$631=H$631),--($D1602:$V1602=1)),0)+SUM(H999)+IF(COUNTIF(H$1237:H1602,1)=1,5,0)+IF(COUNTIF(I1000:$W1000,"&gt;"&amp;0)&lt;5,IF(AND(COUNTIF(H$1237:H1602,1)&gt;7,MOD(1+IFERROR(MATCH($C1000,总览!$D$46:$D$345,1)+1,1),7)=0),$C$3,0),0)</f>
        <v>1159.4</v>
      </c>
      <c r="I1000" s="131" cm="1">
        <f ca="1" t="array" ref="I1000">IF(I1602=1,OFFSET($W$634,$B1000,I$631-1)/SUMPRODUCT(--($D$631:$V$631=I$631),--($D1602:$V1602=1)),0)+SUM(I999)+IF(COUNTIF(I$1237:I1602,1)=1,5,0)+IF(COUNTIF(J1000:$W1000,"&gt;"&amp;0)&lt;5,IF(AND(COUNTIF(I$1237:I1602,1)&gt;7,MOD(1+IFERROR(MATCH($C1000,总览!$D$46:$D$345,1)+1,1),7)=0),$C$3,0),0)</f>
        <v>1159.4</v>
      </c>
      <c r="J1000" s="131" cm="1">
        <f ca="1" t="array" ref="J1000">IF(J1602=1,OFFSET($W$634,$B1000,J$631-1)/SUMPRODUCT(--($D$631:$V$631=J$631),--($D1602:$V1602=1)),0)+SUM(J999)+IF(COUNTIF(J$1237:J1602,1)=1,5,0)+IF(COUNTIF(K1000:$W1000,"&gt;"&amp;0)&lt;5,IF(AND(COUNTIF(J$1237:J1602,1)&gt;7,MOD(1+IFERROR(MATCH($C1000,总览!$D$46:$D$345,1)+1,1),7)=0),$C$3,0),0)</f>
        <v>1156.06666666667</v>
      </c>
      <c r="K1000" s="131" cm="1">
        <f ca="1" t="array" ref="K1000">IF(K1602=1,OFFSET($W$634,$B1000,K$631-1)/SUMPRODUCT(--($D$631:$V$631=K$631),--($D1602:$V1602=1)),0)+SUM(K999)+IF(COUNTIF(K$1237:K1602,1)=1,5,0)+IF(COUNTIF(L1000:$W1000,"&gt;"&amp;0)&lt;5,IF(AND(COUNTIF(K$1237:K1602,1)&gt;7,MOD(1+IFERROR(MATCH($C1000,总览!$D$46:$D$345,1)+1,1),7)=0),$C$3,0),0)</f>
        <v>1153.56666666667</v>
      </c>
      <c r="L1000" s="131" cm="1">
        <f ca="1" t="array" ref="L1000">IF(L1602=1,OFFSET($W$634,$B1000,L$631-1)/SUMPRODUCT(--($D$631:$V$631=L$631),--($D1602:$V1602=1)),0)+SUM(L999)+IF(COUNTIF(L$1237:L1602,1)=1,5,0)+IF(COUNTIF(M1000:$W1000,"&gt;"&amp;0)&lt;5,IF(AND(COUNTIF(L$1237:L1602,1)&gt;7,MOD(1+IFERROR(MATCH($C1000,总览!$D$46:$D$345,1)+1,1),7)=0),$C$3,0),0)</f>
        <v>1153.56666666667</v>
      </c>
      <c r="M1000" s="131" cm="1">
        <f ca="1" t="array" ref="M1000">IF(M1602=1,OFFSET($W$634,$B1000,M$631-1)/SUMPRODUCT(--($D$631:$V$631=M$631),--($D1602:$V1602=1)),0)+SUM(M999)+IF(COUNTIF(M$1237:M1602,1)=1,5,0)+IF(COUNTIF(N1000:$W1000,"&gt;"&amp;0)&lt;5,IF(AND(COUNTIF(M$1237:M1602,1)&gt;7,MOD(1+IFERROR(MATCH($C1000,总览!$D$46:$D$345,1)+1,1),7)=0),$C$3,0),0)</f>
        <v>480.609821428573</v>
      </c>
      <c r="N1000" s="131" cm="1">
        <f ca="1" t="array" ref="N1000">IF(N1602=1,OFFSET($W$634,$B1000,N$631-1)/SUMPRODUCT(--($D$631:$V$631=N$631),--($D1602:$V1602=1)),0)+SUM(N999)+IF(COUNTIF(N$1237:N1602,1)=1,5,0)+IF(COUNTIF(O1000:$W1000,"&gt;"&amp;0)&lt;5,IF(AND(COUNTIF(N$1237:N1602,1)&gt;7,MOD(1+IFERROR(MATCH($C1000,总览!$D$46:$D$345,1)+1,1),7)=0),$C$3,0),0)</f>
        <v>481.859821428573</v>
      </c>
      <c r="O1000" s="131" cm="1">
        <f ca="1" t="array" ref="O1000">IF(O1602=1,OFFSET($W$634,$B1000,O$631-1)/SUMPRODUCT(--($D$631:$V$631=O$631),--($D1602:$V1602=1)),0)+SUM(O999)+IF(COUNTIF(O$1237:O1602,1)=1,5,0)+IF(COUNTIF(P1000:$W1000,"&gt;"&amp;0)&lt;5,IF(AND(COUNTIF(O$1237:O1602,1)&gt;7,MOD(1+IFERROR(MATCH($C1000,总览!$D$46:$D$345,1)+1,1),7)=0),$C$3,0),0)</f>
        <v>486.859821428573</v>
      </c>
      <c r="P1000" s="131" cm="1">
        <f ca="1" t="array" ref="P1000">IF(P1602=1,OFFSET($W$634,$B1000,P$631-1)/SUMPRODUCT(--($D$631:$V$631=P$631),--($D1602:$V1602=1)),0)+SUM(P999)+IF(COUNTIF(P$1237:P1602,1)=1,5,0)+IF(COUNTIF(Q1000:$W1000,"&gt;"&amp;0)&lt;5,IF(AND(COUNTIF(P$1237:P1602,1)&gt;7,MOD(1+IFERROR(MATCH($C1000,总览!$D$46:$D$345,1)+1,1),7)=0),$C$3,0),0)</f>
        <v>475.978571428573</v>
      </c>
      <c r="Q1000" s="131" cm="1">
        <f ca="1" t="array" ref="Q1000">IF(Q1602=1,OFFSET($W$634,$B1000,Q$631-1)/SUMPRODUCT(--($D$631:$V$631=Q$631),--($D1602:$V1602=1)),0)+SUM(Q999)+IF(COUNTIF(Q$1237:Q1602,1)=1,5,0)+IF(COUNTIF(R1000:$W1000,"&gt;"&amp;0)&lt;5,IF(AND(COUNTIF(Q$1237:Q1602,1)&gt;7,MOD(1+IFERROR(MATCH($C1000,总览!$D$46:$D$345,1)+1,1),7)=0),$C$3,0),0)</f>
        <v>489.359821428573</v>
      </c>
      <c r="R1000" s="131" cm="1">
        <f ca="1" t="array" ref="R1000">IF(R1602=1,OFFSET($W$634,$B1000,R$631-1)/SUMPRODUCT(--($D$631:$V$631=R$631),--($D1602:$V1602=1)),0)+SUM(R999)+IF(COUNTIF(R$1237:R1602,1)=1,5,0)+IF(COUNTIF(S1000:$W1000,"&gt;"&amp;0)&lt;5,IF(AND(COUNTIF(R$1237:R1602,1)&gt;7,MOD(1+IFERROR(MATCH($C1000,总览!$D$46:$D$345,1)+1,1),7)=0),$C$3,0),0)</f>
        <v>480.978571428573</v>
      </c>
      <c r="S1000" s="131" cm="1">
        <f ca="1" t="array" ref="S1000">IF(S1602=1,OFFSET($W$634,$B1000,S$631-1)/SUMPRODUCT(--($D$631:$V$631=S$631),--($D1602:$V1602=1)),0)+SUM(S999)+IF(COUNTIF(S$1237:S1602,1)=1,5,0)+IF(COUNTIF(T1000:$W1000,"&gt;"&amp;0)&lt;5,IF(AND(COUNTIF(S$1237:S1602,1)&gt;7,MOD(1+IFERROR(MATCH($C1000,总览!$D$46:$D$345,1)+1,1),7)=0),$C$3,0),0)</f>
        <v>573.478571428574</v>
      </c>
      <c r="T1000" s="131" cm="1">
        <f ca="1" t="array" ref="T1000">IF(T1602=1,OFFSET($W$634,$B1000,T$631-1)/SUMPRODUCT(--($D$631:$V$631=T$631),--($D1602:$V1602=1)),0)+SUM(T999)+IF(COUNTIF(T$1237:T1602,1)=1,5,0)+IF(COUNTIF(U1000:$W1000,"&gt;"&amp;0)&lt;5,IF(AND(COUNTIF(T$1237:T1602,1)&gt;7,MOD(1+IFERROR(MATCH($C1000,总览!$D$46:$D$345,1)+1,1),7)=0),$C$3,0),0)</f>
        <v>419.43844477281</v>
      </c>
      <c r="U1000" s="131" cm="1">
        <f ca="1" t="array" ref="U1000">IF(U1602=1,OFFSET($W$634,$B1000,U$631-1)/SUMPRODUCT(--($D$631:$V$631=U$631),--($D1602:$V1602=1)),0)+SUM(U999)+IF(COUNTIF(U$1237:U1602,1)=1,5,0)+IF(COUNTIF(V1000:$W1000,"&gt;"&amp;0)&lt;5,IF(AND(COUNTIF(U$1237:U1602,1)&gt;7,MOD(1+IFERROR(MATCH($C1000,总览!$D$46:$D$345,1)+1,1),7)=0),$C$3,0),0)</f>
        <v>424.959231128109</v>
      </c>
      <c r="V1000" s="131" cm="1">
        <f ca="1" t="array" ref="V1000">IF(V1602=1,OFFSET($W$634,$B1000,V$631-1)/SUMPRODUCT(--($D$631:$V$631=V$631),--($D1602:$V1602=1)),0)+SUM(V999)+IF(COUNTIF(V$1237:V1602,1)=1,5,0)+IF(COUNTIF(W1000:$W1000,"&gt;"&amp;0)&lt;5,IF(AND(COUNTIF(V$1237:V1602,1)&gt;7,MOD(1+IFERROR(MATCH($C1000,总览!$D$46:$D$345,1)+1,1),7)=0),$C$3,0),0)</f>
        <v>444.786230840542</v>
      </c>
      <c r="W1000" s="135" cm="1">
        <f ca="1" t="array" ref="W1000">SUMPRODUCT(TRANSPOSE($AA1000:$AG1000),OFFSET($L$9:$L$15,0,W$631-1))</f>
        <v>16.8502200646615</v>
      </c>
      <c r="X1000" s="135" cm="1">
        <f ca="1" t="array" ref="X1000">SUMPRODUCT(TRANSPOSE($AA1000:$AG1000),OFFSET($L$9:$L$15,0,X$631-1))</f>
        <v>20</v>
      </c>
      <c r="Y1000" s="135" cm="1">
        <f ca="1" t="array" ref="Y1000">SUMPRODUCT(TRANSPOSE($AA1000:$AG1000),OFFSET($L$9:$L$15,0,Y$631-1))</f>
        <v>10</v>
      </c>
      <c r="Z1000" s="135" cm="1">
        <f ca="1" t="array" ref="Z1000">SUMPRODUCT(TRANSPOSE($AA1000:$AG1000),OFFSET($L$9:$L$15,0,Z$631-1))</f>
        <v>3.14977993533847</v>
      </c>
      <c r="AA1000" s="136">
        <f ca="1" t="shared" ref="AA1000:AG1000" si="981">AH1000-AH999</f>
        <v>0</v>
      </c>
      <c r="AB1000" s="136">
        <f ca="1" t="shared" si="981"/>
        <v>0</v>
      </c>
      <c r="AC1000" s="136">
        <f ca="1" t="shared" si="981"/>
        <v>0</v>
      </c>
      <c r="AD1000" s="136">
        <f ca="1" t="shared" si="981"/>
        <v>0</v>
      </c>
      <c r="AE1000" s="136">
        <f ca="1" t="shared" si="981"/>
        <v>0</v>
      </c>
      <c r="AF1000" s="136">
        <f ca="1" t="shared" si="981"/>
        <v>0</v>
      </c>
      <c r="AG1000" s="136">
        <f ca="1" t="shared" si="981"/>
        <v>100</v>
      </c>
      <c r="AH1000" s="136">
        <f ca="1" t="shared" si="891"/>
        <v>450</v>
      </c>
      <c r="AI1000" s="136">
        <f ca="1" t="shared" ref="AI1000:AN1000" si="982">IF($C1000&gt;OFFSET($Q$8,MATCH(AI$634,$AH$634:$AN$634,0),0),OFFSET($P$8,MATCH(AI$634,$AH$634:$AN$634,0),0),MAX(0,$C1000-OFFSET($Q$8,RIGHT(AI$634,1)-1,0)))</f>
        <v>909</v>
      </c>
      <c r="AJ1000" s="136">
        <f ca="1" t="shared" si="982"/>
        <v>1818</v>
      </c>
      <c r="AK1000" s="136">
        <f ca="1" t="shared" si="982"/>
        <v>2727</v>
      </c>
      <c r="AL1000" s="136">
        <f ca="1" t="shared" si="982"/>
        <v>3636</v>
      </c>
      <c r="AM1000" s="136">
        <f ca="1" t="shared" si="982"/>
        <v>4545</v>
      </c>
      <c r="AN1000" s="136">
        <f ca="1" t="shared" si="982"/>
        <v>22515</v>
      </c>
    </row>
    <row r="1001" s="106" customFormat="1" ht="16.5" spans="2:40">
      <c r="B1001" s="117">
        <v>367</v>
      </c>
      <c r="C1001" s="130">
        <f t="shared" si="889"/>
        <v>36700</v>
      </c>
      <c r="D1001" s="131" cm="1">
        <f ca="1" t="array" ref="D1001">IF(D1603=1,OFFSET($W$634,$B1001,D$631-1)/SUMPRODUCT(--($D$631:$V$631=D$631),--($D1603:$V1603=1)),0)+SUM(D1000)+IF(COUNTIF(D$1237:D1603,1)=1,5,0)+IF(COUNTIF(E1001:$W1001,"&gt;"&amp;0)&lt;5,IF(AND(COUNTIF(D$1237:D1603,1)&gt;7,MOD(1+IFERROR(MATCH($C1001,总览!$D$46:$D$345,1)+1,1),7)=0),$C$3,0),0)</f>
        <v>2389.04710444107</v>
      </c>
      <c r="E1001" s="131" cm="1">
        <f ca="1" t="array" ref="E1001">IF(E1603=1,OFFSET($W$634,$B1001,E$631-1)/SUMPRODUCT(--($D$631:$V$631=E$631),--($D1603:$V1603=1)),0)+SUM(E1000)+IF(COUNTIF(E$1237:E1603,1)=1,5,0)+IF(COUNTIF(F1001:$W1001,"&gt;"&amp;0)&lt;5,IF(AND(COUNTIF(E$1237:E1603,1)&gt;7,MOD(1+IFERROR(MATCH($C1001,总览!$D$46:$D$345,1)+1,1),7)=0),$C$3,0),0)</f>
        <v>2389.04710444107</v>
      </c>
      <c r="F1001" s="131" cm="1">
        <f ca="1" t="array" ref="F1001">IF(F1603=1,OFFSET($W$634,$B1001,F$631-1)/SUMPRODUCT(--($D$631:$V$631=F$631),--($D1603:$V1603=1)),0)+SUM(F1000)+IF(COUNTIF(F$1237:F1603,1)=1,5,0)+IF(COUNTIF(G1001:$W1001,"&gt;"&amp;0)&lt;5,IF(AND(COUNTIF(F$1237:F1603,1)&gt;7,MOD(1+IFERROR(MATCH($C1001,总览!$D$46:$D$345,1)+1,1),7)=0),$C$3,0),0)</f>
        <v>2389.04710444107</v>
      </c>
      <c r="G1001" s="131" cm="1">
        <f ca="1" t="array" ref="G1001">IF(G1603=1,OFFSET($W$634,$B1001,G$631-1)/SUMPRODUCT(--($D$631:$V$631=G$631),--($D1603:$V1603=1)),0)+SUM(G1000)+IF(COUNTIF(G$1237:G1603,1)=1,5,0)+IF(COUNTIF(H1001:$W1001,"&gt;"&amp;0)&lt;5,IF(AND(COUNTIF(G$1237:G1603,1)&gt;7,MOD(1+IFERROR(MATCH($C1001,总览!$D$46:$D$345,1)+1,1),7)=0),$C$3,0),0)</f>
        <v>1162.73333333333</v>
      </c>
      <c r="H1001" s="131" cm="1">
        <f ca="1" t="array" ref="H1001">IF(H1603=1,OFFSET($W$634,$B1001,H$631-1)/SUMPRODUCT(--($D$631:$V$631=H$631),--($D1603:$V1603=1)),0)+SUM(H1000)+IF(COUNTIF(H$1237:H1603,1)=1,5,0)+IF(COUNTIF(I1001:$W1001,"&gt;"&amp;0)&lt;5,IF(AND(COUNTIF(H$1237:H1603,1)&gt;7,MOD(1+IFERROR(MATCH($C1001,总览!$D$46:$D$345,1)+1,1),7)=0),$C$3,0),0)</f>
        <v>1162.73333333333</v>
      </c>
      <c r="I1001" s="131" cm="1">
        <f ca="1" t="array" ref="I1001">IF(I1603=1,OFFSET($W$634,$B1001,I$631-1)/SUMPRODUCT(--($D$631:$V$631=I$631),--($D1603:$V1603=1)),0)+SUM(I1000)+IF(COUNTIF(I$1237:I1603,1)=1,5,0)+IF(COUNTIF(J1001:$W1001,"&gt;"&amp;0)&lt;5,IF(AND(COUNTIF(I$1237:I1603,1)&gt;7,MOD(1+IFERROR(MATCH($C1001,总览!$D$46:$D$345,1)+1,1),7)=0),$C$3,0),0)</f>
        <v>1162.73333333333</v>
      </c>
      <c r="J1001" s="131" cm="1">
        <f ca="1" t="array" ref="J1001">IF(J1603=1,OFFSET($W$634,$B1001,J$631-1)/SUMPRODUCT(--($D$631:$V$631=J$631),--($D1603:$V1603=1)),0)+SUM(J1000)+IF(COUNTIF(J$1237:J1603,1)=1,5,0)+IF(COUNTIF(K1001:$W1001,"&gt;"&amp;0)&lt;5,IF(AND(COUNTIF(J$1237:J1603,1)&gt;7,MOD(1+IFERROR(MATCH($C1001,总览!$D$46:$D$345,1)+1,1),7)=0),$C$3,0),0)</f>
        <v>1159.4</v>
      </c>
      <c r="K1001" s="131" cm="1">
        <f ca="1" t="array" ref="K1001">IF(K1603=1,OFFSET($W$634,$B1001,K$631-1)/SUMPRODUCT(--($D$631:$V$631=K$631),--($D1603:$V1603=1)),0)+SUM(K1000)+IF(COUNTIF(K$1237:K1603,1)=1,5,0)+IF(COUNTIF(L1001:$W1001,"&gt;"&amp;0)&lt;5,IF(AND(COUNTIF(K$1237:K1603,1)&gt;7,MOD(1+IFERROR(MATCH($C1001,总览!$D$46:$D$345,1)+1,1),7)=0),$C$3,0),0)</f>
        <v>1156.9</v>
      </c>
      <c r="L1001" s="131" cm="1">
        <f ca="1" t="array" ref="L1001">IF(L1603=1,OFFSET($W$634,$B1001,L$631-1)/SUMPRODUCT(--($D$631:$V$631=L$631),--($D1603:$V1603=1)),0)+SUM(L1000)+IF(COUNTIF(L$1237:L1603,1)=1,5,0)+IF(COUNTIF(M1001:$W1001,"&gt;"&amp;0)&lt;5,IF(AND(COUNTIF(L$1237:L1603,1)&gt;7,MOD(1+IFERROR(MATCH($C1001,总览!$D$46:$D$345,1)+1,1),7)=0),$C$3,0),0)</f>
        <v>1156.9</v>
      </c>
      <c r="M1001" s="131" cm="1">
        <f ca="1" t="array" ref="M1001">IF(M1603=1,OFFSET($W$634,$B1001,M$631-1)/SUMPRODUCT(--($D$631:$V$631=M$631),--($D1603:$V1603=1)),0)+SUM(M1000)+IF(COUNTIF(M$1237:M1603,1)=1,5,0)+IF(COUNTIF(N1001:$W1001,"&gt;"&amp;0)&lt;5,IF(AND(COUNTIF(M$1237:M1603,1)&gt;7,MOD(1+IFERROR(MATCH($C1001,总览!$D$46:$D$345,1)+1,1),7)=0),$C$3,0),0)</f>
        <v>482.038392857144</v>
      </c>
      <c r="N1001" s="131" cm="1">
        <f ca="1" t="array" ref="N1001">IF(N1603=1,OFFSET($W$634,$B1001,N$631-1)/SUMPRODUCT(--($D$631:$V$631=N$631),--($D1603:$V1603=1)),0)+SUM(N1000)+IF(COUNTIF(N$1237:N1603,1)=1,5,0)+IF(COUNTIF(O1001:$W1001,"&gt;"&amp;0)&lt;5,IF(AND(COUNTIF(N$1237:N1603,1)&gt;7,MOD(1+IFERROR(MATCH($C1001,总览!$D$46:$D$345,1)+1,1),7)=0),$C$3,0),0)</f>
        <v>483.288392857144</v>
      </c>
      <c r="O1001" s="131" cm="1">
        <f ca="1" t="array" ref="O1001">IF(O1603=1,OFFSET($W$634,$B1001,O$631-1)/SUMPRODUCT(--($D$631:$V$631=O$631),--($D1603:$V1603=1)),0)+SUM(O1000)+IF(COUNTIF(O$1237:O1603,1)=1,5,0)+IF(COUNTIF(P1001:$W1001,"&gt;"&amp;0)&lt;5,IF(AND(COUNTIF(O$1237:O1603,1)&gt;7,MOD(1+IFERROR(MATCH($C1001,总览!$D$46:$D$345,1)+1,1),7)=0),$C$3,0),0)</f>
        <v>488.288392857144</v>
      </c>
      <c r="P1001" s="131" cm="1">
        <f ca="1" t="array" ref="P1001">IF(P1603=1,OFFSET($W$634,$B1001,P$631-1)/SUMPRODUCT(--($D$631:$V$631=P$631),--($D1603:$V1603=1)),0)+SUM(P1000)+IF(COUNTIF(P$1237:P1603,1)=1,5,0)+IF(COUNTIF(Q1001:$W1001,"&gt;"&amp;0)&lt;5,IF(AND(COUNTIF(P$1237:P1603,1)&gt;7,MOD(1+IFERROR(MATCH($C1001,总览!$D$46:$D$345,1)+1,1),7)=0),$C$3,0),0)</f>
        <v>477.407142857144</v>
      </c>
      <c r="Q1001" s="131" cm="1">
        <f ca="1" t="array" ref="Q1001">IF(Q1603=1,OFFSET($W$634,$B1001,Q$631-1)/SUMPRODUCT(--($D$631:$V$631=Q$631),--($D1603:$V1603=1)),0)+SUM(Q1000)+IF(COUNTIF(Q$1237:Q1603,1)=1,5,0)+IF(COUNTIF(R1001:$W1001,"&gt;"&amp;0)&lt;5,IF(AND(COUNTIF(Q$1237:Q1603,1)&gt;7,MOD(1+IFERROR(MATCH($C1001,总览!$D$46:$D$345,1)+1,1),7)=0),$C$3,0),0)</f>
        <v>490.788392857144</v>
      </c>
      <c r="R1001" s="131" cm="1">
        <f ca="1" t="array" ref="R1001">IF(R1603=1,OFFSET($W$634,$B1001,R$631-1)/SUMPRODUCT(--($D$631:$V$631=R$631),--($D1603:$V1603=1)),0)+SUM(R1000)+IF(COUNTIF(R$1237:R1603,1)=1,5,0)+IF(COUNTIF(S1001:$W1001,"&gt;"&amp;0)&lt;5,IF(AND(COUNTIF(R$1237:R1603,1)&gt;7,MOD(1+IFERROR(MATCH($C1001,总览!$D$46:$D$345,1)+1,1),7)=0),$C$3,0),0)</f>
        <v>482.407142857144</v>
      </c>
      <c r="S1001" s="131" cm="1">
        <f ca="1" t="array" ref="S1001">IF(S1603=1,OFFSET($W$634,$B1001,S$631-1)/SUMPRODUCT(--($D$631:$V$631=S$631),--($D1603:$V1603=1)),0)+SUM(S1000)+IF(COUNTIF(S$1237:S1603,1)=1,5,0)+IF(COUNTIF(T1001:$W1001,"&gt;"&amp;0)&lt;5,IF(AND(COUNTIF(S$1237:S1603,1)&gt;7,MOD(1+IFERROR(MATCH($C1001,总览!$D$46:$D$345,1)+1,1),7)=0),$C$3,0),0)</f>
        <v>574.907142857145</v>
      </c>
      <c r="T1001" s="131" cm="1">
        <f ca="1" t="array" ref="T1001">IF(T1603=1,OFFSET($W$634,$B1001,T$631-1)/SUMPRODUCT(--($D$631:$V$631=T$631),--($D1603:$V1603=1)),0)+SUM(T1000)+IF(COUNTIF(T$1237:T1603,1)=1,5,0)+IF(COUNTIF(U1001:$W1001,"&gt;"&amp;0)&lt;5,IF(AND(COUNTIF(T$1237:T1603,1)&gt;7,MOD(1+IFERROR(MATCH($C1001,总览!$D$46:$D$345,1)+1,1),7)=0),$C$3,0),0)</f>
        <v>420.488371417922</v>
      </c>
      <c r="U1001" s="131" cm="1">
        <f ca="1" t="array" ref="U1001">IF(U1603=1,OFFSET($W$634,$B1001,U$631-1)/SUMPRODUCT(--($D$631:$V$631=U$631),--($D1603:$V1603=1)),0)+SUM(U1000)+IF(COUNTIF(U$1237:U1603,1)=1,5,0)+IF(COUNTIF(V1001:$W1001,"&gt;"&amp;0)&lt;5,IF(AND(COUNTIF(U$1237:U1603,1)&gt;7,MOD(1+IFERROR(MATCH($C1001,总览!$D$46:$D$345,1)+1,1),7)=0),$C$3,0),0)</f>
        <v>426.009157773222</v>
      </c>
      <c r="V1001" s="131" cm="1">
        <f ca="1" t="array" ref="V1001">IF(V1603=1,OFFSET($W$634,$B1001,V$631-1)/SUMPRODUCT(--($D$631:$V$631=V$631),--($D1603:$V1603=1)),0)+SUM(V1000)+IF(COUNTIF(V$1237:V1603,1)=1,5,0)+IF(COUNTIF(W1001:$W1001,"&gt;"&amp;0)&lt;5,IF(AND(COUNTIF(V$1237:V1603,1)&gt;7,MOD(1+IFERROR(MATCH($C1001,总览!$D$46:$D$345,1)+1,1),7)=0),$C$3,0),0)</f>
        <v>445.836157485655</v>
      </c>
      <c r="W1001" s="135" cm="1">
        <f ca="1" t="array" ref="W1001">SUMPRODUCT(TRANSPOSE($AA1001:$AG1001),OFFSET($L$9:$L$15,0,W$631-1))</f>
        <v>16.8502200646615</v>
      </c>
      <c r="X1001" s="135" cm="1">
        <f ca="1" t="array" ref="X1001">SUMPRODUCT(TRANSPOSE($AA1001:$AG1001),OFFSET($L$9:$L$15,0,X$631-1))</f>
        <v>20</v>
      </c>
      <c r="Y1001" s="135" cm="1">
        <f ca="1" t="array" ref="Y1001">SUMPRODUCT(TRANSPOSE($AA1001:$AG1001),OFFSET($L$9:$L$15,0,Y$631-1))</f>
        <v>10</v>
      </c>
      <c r="Z1001" s="135" cm="1">
        <f ca="1" t="array" ref="Z1001">SUMPRODUCT(TRANSPOSE($AA1001:$AG1001),OFFSET($L$9:$L$15,0,Z$631-1))</f>
        <v>3.14977993533847</v>
      </c>
      <c r="AA1001" s="136">
        <f ca="1" t="shared" ref="AA1001:AG1001" si="983">AH1001-AH1000</f>
        <v>0</v>
      </c>
      <c r="AB1001" s="136">
        <f ca="1" t="shared" si="983"/>
        <v>0</v>
      </c>
      <c r="AC1001" s="136">
        <f ca="1" t="shared" si="983"/>
        <v>0</v>
      </c>
      <c r="AD1001" s="136">
        <f ca="1" t="shared" si="983"/>
        <v>0</v>
      </c>
      <c r="AE1001" s="136">
        <f ca="1" t="shared" si="983"/>
        <v>0</v>
      </c>
      <c r="AF1001" s="136">
        <f ca="1" t="shared" si="983"/>
        <v>0</v>
      </c>
      <c r="AG1001" s="136">
        <f ca="1" t="shared" si="983"/>
        <v>100</v>
      </c>
      <c r="AH1001" s="136">
        <f ca="1" t="shared" si="891"/>
        <v>450</v>
      </c>
      <c r="AI1001" s="136">
        <f ca="1" t="shared" ref="AI1001:AN1001" si="984">IF($C1001&gt;OFFSET($Q$8,MATCH(AI$634,$AH$634:$AN$634,0),0),OFFSET($P$8,MATCH(AI$634,$AH$634:$AN$634,0),0),MAX(0,$C1001-OFFSET($Q$8,RIGHT(AI$634,1)-1,0)))</f>
        <v>909</v>
      </c>
      <c r="AJ1001" s="136">
        <f ca="1" t="shared" si="984"/>
        <v>1818</v>
      </c>
      <c r="AK1001" s="136">
        <f ca="1" t="shared" si="984"/>
        <v>2727</v>
      </c>
      <c r="AL1001" s="136">
        <f ca="1" t="shared" si="984"/>
        <v>3636</v>
      </c>
      <c r="AM1001" s="136">
        <f ca="1" t="shared" si="984"/>
        <v>4545</v>
      </c>
      <c r="AN1001" s="136">
        <f ca="1" t="shared" si="984"/>
        <v>22615</v>
      </c>
    </row>
    <row r="1002" s="106" customFormat="1" ht="16.5" spans="2:40">
      <c r="B1002" s="117">
        <v>368</v>
      </c>
      <c r="C1002" s="130">
        <f t="shared" si="889"/>
        <v>36800</v>
      </c>
      <c r="D1002" s="131" cm="1">
        <f ca="1" t="array" ref="D1002">IF(D1604=1,OFFSET($W$634,$B1002,D$631-1)/SUMPRODUCT(--($D$631:$V$631=D$631),--($D1604:$V1604=1)),0)+SUM(D1001)+IF(COUNTIF(D$1237:D1604,1)=1,5,0)+IF(COUNTIF(E1002:$W1002,"&gt;"&amp;0)&lt;5,IF(AND(COUNTIF(D$1237:D1604,1)&gt;7,MOD(1+IFERROR(MATCH($C1002,总览!$D$46:$D$345,1)+1,1),7)=0),$C$3,0),0)</f>
        <v>2394.66384446263</v>
      </c>
      <c r="E1002" s="131" cm="1">
        <f ca="1" t="array" ref="E1002">IF(E1604=1,OFFSET($W$634,$B1002,E$631-1)/SUMPRODUCT(--($D$631:$V$631=E$631),--($D1604:$V1604=1)),0)+SUM(E1001)+IF(COUNTIF(E$1237:E1604,1)=1,5,0)+IF(COUNTIF(F1002:$W1002,"&gt;"&amp;0)&lt;5,IF(AND(COUNTIF(E$1237:E1604,1)&gt;7,MOD(1+IFERROR(MATCH($C1002,总览!$D$46:$D$345,1)+1,1),7)=0),$C$3,0),0)</f>
        <v>2394.66384446263</v>
      </c>
      <c r="F1002" s="131" cm="1">
        <f ca="1" t="array" ref="F1002">IF(F1604=1,OFFSET($W$634,$B1002,F$631-1)/SUMPRODUCT(--($D$631:$V$631=F$631),--($D1604:$V1604=1)),0)+SUM(F1001)+IF(COUNTIF(F$1237:F1604,1)=1,5,0)+IF(COUNTIF(G1002:$W1002,"&gt;"&amp;0)&lt;5,IF(AND(COUNTIF(F$1237:F1604,1)&gt;7,MOD(1+IFERROR(MATCH($C1002,总览!$D$46:$D$345,1)+1,1),7)=0),$C$3,0),0)</f>
        <v>2394.66384446263</v>
      </c>
      <c r="G1002" s="131" cm="1">
        <f ca="1" t="array" ref="G1002">IF(G1604=1,OFFSET($W$634,$B1002,G$631-1)/SUMPRODUCT(--($D$631:$V$631=G$631),--($D1604:$V1604=1)),0)+SUM(G1001)+IF(COUNTIF(G$1237:G1604,1)=1,5,0)+IF(COUNTIF(H1002:$W1002,"&gt;"&amp;0)&lt;5,IF(AND(COUNTIF(G$1237:G1604,1)&gt;7,MOD(1+IFERROR(MATCH($C1002,总览!$D$46:$D$345,1)+1,1),7)=0),$C$3,0),0)</f>
        <v>1166.06666666667</v>
      </c>
      <c r="H1002" s="131" cm="1">
        <f ca="1" t="array" ref="H1002">IF(H1604=1,OFFSET($W$634,$B1002,H$631-1)/SUMPRODUCT(--($D$631:$V$631=H$631),--($D1604:$V1604=1)),0)+SUM(H1001)+IF(COUNTIF(H$1237:H1604,1)=1,5,0)+IF(COUNTIF(I1002:$W1002,"&gt;"&amp;0)&lt;5,IF(AND(COUNTIF(H$1237:H1604,1)&gt;7,MOD(1+IFERROR(MATCH($C1002,总览!$D$46:$D$345,1)+1,1),7)=0),$C$3,0),0)</f>
        <v>1166.06666666667</v>
      </c>
      <c r="I1002" s="131" cm="1">
        <f ca="1" t="array" ref="I1002">IF(I1604=1,OFFSET($W$634,$B1002,I$631-1)/SUMPRODUCT(--($D$631:$V$631=I$631),--($D1604:$V1604=1)),0)+SUM(I1001)+IF(COUNTIF(I$1237:I1604,1)=1,5,0)+IF(COUNTIF(J1002:$W1002,"&gt;"&amp;0)&lt;5,IF(AND(COUNTIF(I$1237:I1604,1)&gt;7,MOD(1+IFERROR(MATCH($C1002,总览!$D$46:$D$345,1)+1,1),7)=0),$C$3,0),0)</f>
        <v>1166.06666666667</v>
      </c>
      <c r="J1002" s="131" cm="1">
        <f ca="1" t="array" ref="J1002">IF(J1604=1,OFFSET($W$634,$B1002,J$631-1)/SUMPRODUCT(--($D$631:$V$631=J$631),--($D1604:$V1604=1)),0)+SUM(J1001)+IF(COUNTIF(J$1237:J1604,1)=1,5,0)+IF(COUNTIF(K1002:$W1002,"&gt;"&amp;0)&lt;5,IF(AND(COUNTIF(J$1237:J1604,1)&gt;7,MOD(1+IFERROR(MATCH($C1002,总览!$D$46:$D$345,1)+1,1),7)=0),$C$3,0),0)</f>
        <v>1162.73333333333</v>
      </c>
      <c r="K1002" s="131" cm="1">
        <f ca="1" t="array" ref="K1002">IF(K1604=1,OFFSET($W$634,$B1002,K$631-1)/SUMPRODUCT(--($D$631:$V$631=K$631),--($D1604:$V1604=1)),0)+SUM(K1001)+IF(COUNTIF(K$1237:K1604,1)=1,5,0)+IF(COUNTIF(L1002:$W1002,"&gt;"&amp;0)&lt;5,IF(AND(COUNTIF(K$1237:K1604,1)&gt;7,MOD(1+IFERROR(MATCH($C1002,总览!$D$46:$D$345,1)+1,1),7)=0),$C$3,0),0)</f>
        <v>1160.23333333333</v>
      </c>
      <c r="L1002" s="131" cm="1">
        <f ca="1" t="array" ref="L1002">IF(L1604=1,OFFSET($W$634,$B1002,L$631-1)/SUMPRODUCT(--($D$631:$V$631=L$631),--($D1604:$V1604=1)),0)+SUM(L1001)+IF(COUNTIF(L$1237:L1604,1)=1,5,0)+IF(COUNTIF(M1002:$W1002,"&gt;"&amp;0)&lt;5,IF(AND(COUNTIF(L$1237:L1604,1)&gt;7,MOD(1+IFERROR(MATCH($C1002,总览!$D$46:$D$345,1)+1,1),7)=0),$C$3,0),0)</f>
        <v>1160.23333333333</v>
      </c>
      <c r="M1002" s="131" cm="1">
        <f ca="1" t="array" ref="M1002">IF(M1604=1,OFFSET($W$634,$B1002,M$631-1)/SUMPRODUCT(--($D$631:$V$631=M$631),--($D1604:$V1604=1)),0)+SUM(M1001)+IF(COUNTIF(M$1237:M1604,1)=1,5,0)+IF(COUNTIF(N1002:$W1002,"&gt;"&amp;0)&lt;5,IF(AND(COUNTIF(M$1237:M1604,1)&gt;7,MOD(1+IFERROR(MATCH($C1002,总览!$D$46:$D$345,1)+1,1),7)=0),$C$3,0),0)</f>
        <v>483.466964285716</v>
      </c>
      <c r="N1002" s="131" cm="1">
        <f ca="1" t="array" ref="N1002">IF(N1604=1,OFFSET($W$634,$B1002,N$631-1)/SUMPRODUCT(--($D$631:$V$631=N$631),--($D1604:$V1604=1)),0)+SUM(N1001)+IF(COUNTIF(N$1237:N1604,1)=1,5,0)+IF(COUNTIF(O1002:$W1002,"&gt;"&amp;0)&lt;5,IF(AND(COUNTIF(N$1237:N1604,1)&gt;7,MOD(1+IFERROR(MATCH($C1002,总览!$D$46:$D$345,1)+1,1),7)=0),$C$3,0),0)</f>
        <v>484.716964285716</v>
      </c>
      <c r="O1002" s="131" cm="1">
        <f ca="1" t="array" ref="O1002">IF(O1604=1,OFFSET($W$634,$B1002,O$631-1)/SUMPRODUCT(--($D$631:$V$631=O$631),--($D1604:$V1604=1)),0)+SUM(O1001)+IF(COUNTIF(O$1237:O1604,1)=1,5,0)+IF(COUNTIF(P1002:$W1002,"&gt;"&amp;0)&lt;5,IF(AND(COUNTIF(O$1237:O1604,1)&gt;7,MOD(1+IFERROR(MATCH($C1002,总览!$D$46:$D$345,1)+1,1),7)=0),$C$3,0),0)</f>
        <v>489.716964285716</v>
      </c>
      <c r="P1002" s="131" cm="1">
        <f ca="1" t="array" ref="P1002">IF(P1604=1,OFFSET($W$634,$B1002,P$631-1)/SUMPRODUCT(--($D$631:$V$631=P$631),--($D1604:$V1604=1)),0)+SUM(P1001)+IF(COUNTIF(P$1237:P1604,1)=1,5,0)+IF(COUNTIF(Q1002:$W1002,"&gt;"&amp;0)&lt;5,IF(AND(COUNTIF(P$1237:P1604,1)&gt;7,MOD(1+IFERROR(MATCH($C1002,总览!$D$46:$D$345,1)+1,1),7)=0),$C$3,0),0)</f>
        <v>478.835714285716</v>
      </c>
      <c r="Q1002" s="131" cm="1">
        <f ca="1" t="array" ref="Q1002">IF(Q1604=1,OFFSET($W$634,$B1002,Q$631-1)/SUMPRODUCT(--($D$631:$V$631=Q$631),--($D1604:$V1604=1)),0)+SUM(Q1001)+IF(COUNTIF(Q$1237:Q1604,1)=1,5,0)+IF(COUNTIF(R1002:$W1002,"&gt;"&amp;0)&lt;5,IF(AND(COUNTIF(Q$1237:Q1604,1)&gt;7,MOD(1+IFERROR(MATCH($C1002,总览!$D$46:$D$345,1)+1,1),7)=0),$C$3,0),0)</f>
        <v>492.216964285716</v>
      </c>
      <c r="R1002" s="131" cm="1">
        <f ca="1" t="array" ref="R1002">IF(R1604=1,OFFSET($W$634,$B1002,R$631-1)/SUMPRODUCT(--($D$631:$V$631=R$631),--($D1604:$V1604=1)),0)+SUM(R1001)+IF(COUNTIF(R$1237:R1604,1)=1,5,0)+IF(COUNTIF(S1002:$W1002,"&gt;"&amp;0)&lt;5,IF(AND(COUNTIF(R$1237:R1604,1)&gt;7,MOD(1+IFERROR(MATCH($C1002,总览!$D$46:$D$345,1)+1,1),7)=0),$C$3,0),0)</f>
        <v>483.835714285716</v>
      </c>
      <c r="S1002" s="131" cm="1">
        <f ca="1" t="array" ref="S1002">IF(S1604=1,OFFSET($W$634,$B1002,S$631-1)/SUMPRODUCT(--($D$631:$V$631=S$631),--($D1604:$V1604=1)),0)+SUM(S1001)+IF(COUNTIF(S$1237:S1604,1)=1,5,0)+IF(COUNTIF(T1002:$W1002,"&gt;"&amp;0)&lt;5,IF(AND(COUNTIF(S$1237:S1604,1)&gt;7,MOD(1+IFERROR(MATCH($C1002,总览!$D$46:$D$345,1)+1,1),7)=0),$C$3,0),0)</f>
        <v>576.335714285717</v>
      </c>
      <c r="T1002" s="131" cm="1">
        <f ca="1" t="array" ref="T1002">IF(T1604=1,OFFSET($W$634,$B1002,T$631-1)/SUMPRODUCT(--($D$631:$V$631=T$631),--($D1604:$V1604=1)),0)+SUM(T1001)+IF(COUNTIF(T$1237:T1604,1)=1,5,0)+IF(COUNTIF(U1002:$W1002,"&gt;"&amp;0)&lt;5,IF(AND(COUNTIF(T$1237:T1604,1)&gt;7,MOD(1+IFERROR(MATCH($C1002,总览!$D$46:$D$345,1)+1,1),7)=0),$C$3,0),0)</f>
        <v>421.538298063035</v>
      </c>
      <c r="U1002" s="131" cm="1">
        <f ca="1" t="array" ref="U1002">IF(U1604=1,OFFSET($W$634,$B1002,U$631-1)/SUMPRODUCT(--($D$631:$V$631=U$631),--($D1604:$V1604=1)),0)+SUM(U1001)+IF(COUNTIF(U$1237:U1604,1)=1,5,0)+IF(COUNTIF(V1002:$W1002,"&gt;"&amp;0)&lt;5,IF(AND(COUNTIF(U$1237:U1604,1)&gt;7,MOD(1+IFERROR(MATCH($C1002,总览!$D$46:$D$345,1)+1,1),7)=0),$C$3,0),0)</f>
        <v>427.059084418335</v>
      </c>
      <c r="V1002" s="131" cm="1">
        <f ca="1" t="array" ref="V1002">IF(V1604=1,OFFSET($W$634,$B1002,V$631-1)/SUMPRODUCT(--($D$631:$V$631=V$631),--($D1604:$V1604=1)),0)+SUM(V1001)+IF(COUNTIF(V$1237:V1604,1)=1,5,0)+IF(COUNTIF(W1002:$W1002,"&gt;"&amp;0)&lt;5,IF(AND(COUNTIF(V$1237:V1604,1)&gt;7,MOD(1+IFERROR(MATCH($C1002,总览!$D$46:$D$345,1)+1,1),7)=0),$C$3,0),0)</f>
        <v>446.886084130768</v>
      </c>
      <c r="W1002" s="135" cm="1">
        <f ca="1" t="array" ref="W1002">SUMPRODUCT(TRANSPOSE($AA1002:$AG1002),OFFSET($L$9:$L$15,0,W$631-1))</f>
        <v>16.8502200646615</v>
      </c>
      <c r="X1002" s="135" cm="1">
        <f ca="1" t="array" ref="X1002">SUMPRODUCT(TRANSPOSE($AA1002:$AG1002),OFFSET($L$9:$L$15,0,X$631-1))</f>
        <v>20</v>
      </c>
      <c r="Y1002" s="135" cm="1">
        <f ca="1" t="array" ref="Y1002">SUMPRODUCT(TRANSPOSE($AA1002:$AG1002),OFFSET($L$9:$L$15,0,Y$631-1))</f>
        <v>10</v>
      </c>
      <c r="Z1002" s="135" cm="1">
        <f ca="1" t="array" ref="Z1002">SUMPRODUCT(TRANSPOSE($AA1002:$AG1002),OFFSET($L$9:$L$15,0,Z$631-1))</f>
        <v>3.14977993533847</v>
      </c>
      <c r="AA1002" s="136">
        <f ca="1" t="shared" ref="AA1002:AG1002" si="985">AH1002-AH1001</f>
        <v>0</v>
      </c>
      <c r="AB1002" s="136">
        <f ca="1" t="shared" si="985"/>
        <v>0</v>
      </c>
      <c r="AC1002" s="136">
        <f ca="1" t="shared" si="985"/>
        <v>0</v>
      </c>
      <c r="AD1002" s="136">
        <f ca="1" t="shared" si="985"/>
        <v>0</v>
      </c>
      <c r="AE1002" s="136">
        <f ca="1" t="shared" si="985"/>
        <v>0</v>
      </c>
      <c r="AF1002" s="136">
        <f ca="1" t="shared" si="985"/>
        <v>0</v>
      </c>
      <c r="AG1002" s="136">
        <f ca="1" t="shared" si="985"/>
        <v>100</v>
      </c>
      <c r="AH1002" s="136">
        <f ca="1" t="shared" si="891"/>
        <v>450</v>
      </c>
      <c r="AI1002" s="136">
        <f ca="1" t="shared" ref="AI1002:AN1002" si="986">IF($C1002&gt;OFFSET($Q$8,MATCH(AI$634,$AH$634:$AN$634,0),0),OFFSET($P$8,MATCH(AI$634,$AH$634:$AN$634,0),0),MAX(0,$C1002-OFFSET($Q$8,RIGHT(AI$634,1)-1,0)))</f>
        <v>909</v>
      </c>
      <c r="AJ1002" s="136">
        <f ca="1" t="shared" si="986"/>
        <v>1818</v>
      </c>
      <c r="AK1002" s="136">
        <f ca="1" t="shared" si="986"/>
        <v>2727</v>
      </c>
      <c r="AL1002" s="136">
        <f ca="1" t="shared" si="986"/>
        <v>3636</v>
      </c>
      <c r="AM1002" s="136">
        <f ca="1" t="shared" si="986"/>
        <v>4545</v>
      </c>
      <c r="AN1002" s="136">
        <f ca="1" t="shared" si="986"/>
        <v>22715</v>
      </c>
    </row>
    <row r="1003" s="106" customFormat="1" ht="16.5" spans="2:40">
      <c r="B1003" s="117">
        <v>369</v>
      </c>
      <c r="C1003" s="130">
        <f t="shared" si="889"/>
        <v>36900</v>
      </c>
      <c r="D1003" s="131" cm="1">
        <f ca="1" t="array" ref="D1003">IF(D1605=1,OFFSET($W$634,$B1003,D$631-1)/SUMPRODUCT(--($D$631:$V$631=D$631),--($D1605:$V1605=1)),0)+SUM(D1002)+IF(COUNTIF(D$1237:D1605,1)=1,5,0)+IF(COUNTIF(E1003:$W1003,"&gt;"&amp;0)&lt;5,IF(AND(COUNTIF(D$1237:D1605,1)&gt;7,MOD(1+IFERROR(MATCH($C1003,总览!$D$46:$D$345,1)+1,1),7)=0),$C$3,0),0)</f>
        <v>2400.28058448418</v>
      </c>
      <c r="E1003" s="131" cm="1">
        <f ca="1" t="array" ref="E1003">IF(E1605=1,OFFSET($W$634,$B1003,E$631-1)/SUMPRODUCT(--($D$631:$V$631=E$631),--($D1605:$V1605=1)),0)+SUM(E1002)+IF(COUNTIF(E$1237:E1605,1)=1,5,0)+IF(COUNTIF(F1003:$W1003,"&gt;"&amp;0)&lt;5,IF(AND(COUNTIF(E$1237:E1605,1)&gt;7,MOD(1+IFERROR(MATCH($C1003,总览!$D$46:$D$345,1)+1,1),7)=0),$C$3,0),0)</f>
        <v>2400.28058448418</v>
      </c>
      <c r="F1003" s="131" cm="1">
        <f ca="1" t="array" ref="F1003">IF(F1605=1,OFFSET($W$634,$B1003,F$631-1)/SUMPRODUCT(--($D$631:$V$631=F$631),--($D1605:$V1605=1)),0)+SUM(F1002)+IF(COUNTIF(F$1237:F1605,1)=1,5,0)+IF(COUNTIF(G1003:$W1003,"&gt;"&amp;0)&lt;5,IF(AND(COUNTIF(F$1237:F1605,1)&gt;7,MOD(1+IFERROR(MATCH($C1003,总览!$D$46:$D$345,1)+1,1),7)=0),$C$3,0),0)</f>
        <v>2400.28058448418</v>
      </c>
      <c r="G1003" s="131" cm="1">
        <f ca="1" t="array" ref="G1003">IF(G1605=1,OFFSET($W$634,$B1003,G$631-1)/SUMPRODUCT(--($D$631:$V$631=G$631),--($D1605:$V1605=1)),0)+SUM(G1002)+IF(COUNTIF(G$1237:G1605,1)=1,5,0)+IF(COUNTIF(H1003:$W1003,"&gt;"&amp;0)&lt;5,IF(AND(COUNTIF(G$1237:G1605,1)&gt;7,MOD(1+IFERROR(MATCH($C1003,总览!$D$46:$D$345,1)+1,1),7)=0),$C$3,0),0)</f>
        <v>1169.4</v>
      </c>
      <c r="H1003" s="131" cm="1">
        <f ca="1" t="array" ref="H1003">IF(H1605=1,OFFSET($W$634,$B1003,H$631-1)/SUMPRODUCT(--($D$631:$V$631=H$631),--($D1605:$V1605=1)),0)+SUM(H1002)+IF(COUNTIF(H$1237:H1605,1)=1,5,0)+IF(COUNTIF(I1003:$W1003,"&gt;"&amp;0)&lt;5,IF(AND(COUNTIF(H$1237:H1605,1)&gt;7,MOD(1+IFERROR(MATCH($C1003,总览!$D$46:$D$345,1)+1,1),7)=0),$C$3,0),0)</f>
        <v>1169.4</v>
      </c>
      <c r="I1003" s="131" cm="1">
        <f ca="1" t="array" ref="I1003">IF(I1605=1,OFFSET($W$634,$B1003,I$631-1)/SUMPRODUCT(--($D$631:$V$631=I$631),--($D1605:$V1605=1)),0)+SUM(I1002)+IF(COUNTIF(I$1237:I1605,1)=1,5,0)+IF(COUNTIF(J1003:$W1003,"&gt;"&amp;0)&lt;5,IF(AND(COUNTIF(I$1237:I1605,1)&gt;7,MOD(1+IFERROR(MATCH($C1003,总览!$D$46:$D$345,1)+1,1),7)=0),$C$3,0),0)</f>
        <v>1169.4</v>
      </c>
      <c r="J1003" s="131" cm="1">
        <f ca="1" t="array" ref="J1003">IF(J1605=1,OFFSET($W$634,$B1003,J$631-1)/SUMPRODUCT(--($D$631:$V$631=J$631),--($D1605:$V1605=1)),0)+SUM(J1002)+IF(COUNTIF(J$1237:J1605,1)=1,5,0)+IF(COUNTIF(K1003:$W1003,"&gt;"&amp;0)&lt;5,IF(AND(COUNTIF(J$1237:J1605,1)&gt;7,MOD(1+IFERROR(MATCH($C1003,总览!$D$46:$D$345,1)+1,1),7)=0),$C$3,0),0)</f>
        <v>1166.06666666667</v>
      </c>
      <c r="K1003" s="131" cm="1">
        <f ca="1" t="array" ref="K1003">IF(K1605=1,OFFSET($W$634,$B1003,K$631-1)/SUMPRODUCT(--($D$631:$V$631=K$631),--($D1605:$V1605=1)),0)+SUM(K1002)+IF(COUNTIF(K$1237:K1605,1)=1,5,0)+IF(COUNTIF(L1003:$W1003,"&gt;"&amp;0)&lt;5,IF(AND(COUNTIF(K$1237:K1605,1)&gt;7,MOD(1+IFERROR(MATCH($C1003,总览!$D$46:$D$345,1)+1,1),7)=0),$C$3,0),0)</f>
        <v>1163.56666666667</v>
      </c>
      <c r="L1003" s="131" cm="1">
        <f ca="1" t="array" ref="L1003">IF(L1605=1,OFFSET($W$634,$B1003,L$631-1)/SUMPRODUCT(--($D$631:$V$631=L$631),--($D1605:$V1605=1)),0)+SUM(L1002)+IF(COUNTIF(L$1237:L1605,1)=1,5,0)+IF(COUNTIF(M1003:$W1003,"&gt;"&amp;0)&lt;5,IF(AND(COUNTIF(L$1237:L1605,1)&gt;7,MOD(1+IFERROR(MATCH($C1003,总览!$D$46:$D$345,1)+1,1),7)=0),$C$3,0),0)</f>
        <v>1163.56666666667</v>
      </c>
      <c r="M1003" s="131" cm="1">
        <f ca="1" t="array" ref="M1003">IF(M1605=1,OFFSET($W$634,$B1003,M$631-1)/SUMPRODUCT(--($D$631:$V$631=M$631),--($D1605:$V1605=1)),0)+SUM(M1002)+IF(COUNTIF(M$1237:M1605,1)=1,5,0)+IF(COUNTIF(N1003:$W1003,"&gt;"&amp;0)&lt;5,IF(AND(COUNTIF(M$1237:M1605,1)&gt;7,MOD(1+IFERROR(MATCH($C1003,总览!$D$46:$D$345,1)+1,1),7)=0),$C$3,0),0)</f>
        <v>484.895535714287</v>
      </c>
      <c r="N1003" s="131" cm="1">
        <f ca="1" t="array" ref="N1003">IF(N1605=1,OFFSET($W$634,$B1003,N$631-1)/SUMPRODUCT(--($D$631:$V$631=N$631),--($D1605:$V1605=1)),0)+SUM(N1002)+IF(COUNTIF(N$1237:N1605,1)=1,5,0)+IF(COUNTIF(O1003:$W1003,"&gt;"&amp;0)&lt;5,IF(AND(COUNTIF(N$1237:N1605,1)&gt;7,MOD(1+IFERROR(MATCH($C1003,总览!$D$46:$D$345,1)+1,1),7)=0),$C$3,0),0)</f>
        <v>486.145535714287</v>
      </c>
      <c r="O1003" s="131" cm="1">
        <f ca="1" t="array" ref="O1003">IF(O1605=1,OFFSET($W$634,$B1003,O$631-1)/SUMPRODUCT(--($D$631:$V$631=O$631),--($D1605:$V1605=1)),0)+SUM(O1002)+IF(COUNTIF(O$1237:O1605,1)=1,5,0)+IF(COUNTIF(P1003:$W1003,"&gt;"&amp;0)&lt;5,IF(AND(COUNTIF(O$1237:O1605,1)&gt;7,MOD(1+IFERROR(MATCH($C1003,总览!$D$46:$D$345,1)+1,1),7)=0),$C$3,0),0)</f>
        <v>491.145535714287</v>
      </c>
      <c r="P1003" s="131" cm="1">
        <f ca="1" t="array" ref="P1003">IF(P1605=1,OFFSET($W$634,$B1003,P$631-1)/SUMPRODUCT(--($D$631:$V$631=P$631),--($D1605:$V1605=1)),0)+SUM(P1002)+IF(COUNTIF(P$1237:P1605,1)=1,5,0)+IF(COUNTIF(Q1003:$W1003,"&gt;"&amp;0)&lt;5,IF(AND(COUNTIF(P$1237:P1605,1)&gt;7,MOD(1+IFERROR(MATCH($C1003,总览!$D$46:$D$345,1)+1,1),7)=0),$C$3,0),0)</f>
        <v>480.264285714287</v>
      </c>
      <c r="Q1003" s="131" cm="1">
        <f ca="1" t="array" ref="Q1003">IF(Q1605=1,OFFSET($W$634,$B1003,Q$631-1)/SUMPRODUCT(--($D$631:$V$631=Q$631),--($D1605:$V1605=1)),0)+SUM(Q1002)+IF(COUNTIF(Q$1237:Q1605,1)=1,5,0)+IF(COUNTIF(R1003:$W1003,"&gt;"&amp;0)&lt;5,IF(AND(COUNTIF(Q$1237:Q1605,1)&gt;7,MOD(1+IFERROR(MATCH($C1003,总览!$D$46:$D$345,1)+1,1),7)=0),$C$3,0),0)</f>
        <v>493.645535714287</v>
      </c>
      <c r="R1003" s="131" cm="1">
        <f ca="1" t="array" ref="R1003">IF(R1605=1,OFFSET($W$634,$B1003,R$631-1)/SUMPRODUCT(--($D$631:$V$631=R$631),--($D1605:$V1605=1)),0)+SUM(R1002)+IF(COUNTIF(R$1237:R1605,1)=1,5,0)+IF(COUNTIF(S1003:$W1003,"&gt;"&amp;0)&lt;5,IF(AND(COUNTIF(R$1237:R1605,1)&gt;7,MOD(1+IFERROR(MATCH($C1003,总览!$D$46:$D$345,1)+1,1),7)=0),$C$3,0),0)</f>
        <v>485.264285714287</v>
      </c>
      <c r="S1003" s="131" cm="1">
        <f ca="1" t="array" ref="S1003">IF(S1605=1,OFFSET($W$634,$B1003,S$631-1)/SUMPRODUCT(--($D$631:$V$631=S$631),--($D1605:$V1605=1)),0)+SUM(S1002)+IF(COUNTIF(S$1237:S1605,1)=1,5,0)+IF(COUNTIF(T1003:$W1003,"&gt;"&amp;0)&lt;5,IF(AND(COUNTIF(S$1237:S1605,1)&gt;7,MOD(1+IFERROR(MATCH($C1003,总览!$D$46:$D$345,1)+1,1),7)=0),$C$3,0),0)</f>
        <v>577.764285714288</v>
      </c>
      <c r="T1003" s="131" cm="1">
        <f ca="1" t="array" ref="T1003">IF(T1605=1,OFFSET($W$634,$B1003,T$631-1)/SUMPRODUCT(--($D$631:$V$631=T$631),--($D1605:$V1605=1)),0)+SUM(T1002)+IF(COUNTIF(T$1237:T1605,1)=1,5,0)+IF(COUNTIF(U1003:$W1003,"&gt;"&amp;0)&lt;5,IF(AND(COUNTIF(T$1237:T1605,1)&gt;7,MOD(1+IFERROR(MATCH($C1003,总览!$D$46:$D$345,1)+1,1),7)=0),$C$3,0),0)</f>
        <v>422.588224708148</v>
      </c>
      <c r="U1003" s="131" cm="1">
        <f ca="1" t="array" ref="U1003">IF(U1605=1,OFFSET($W$634,$B1003,U$631-1)/SUMPRODUCT(--($D$631:$V$631=U$631),--($D1605:$V1605=1)),0)+SUM(U1002)+IF(COUNTIF(U$1237:U1605,1)=1,5,0)+IF(COUNTIF(V1003:$W1003,"&gt;"&amp;0)&lt;5,IF(AND(COUNTIF(U$1237:U1605,1)&gt;7,MOD(1+IFERROR(MATCH($C1003,总览!$D$46:$D$345,1)+1,1),7)=0),$C$3,0),0)</f>
        <v>428.109011063447</v>
      </c>
      <c r="V1003" s="131" cm="1">
        <f ca="1" t="array" ref="V1003">IF(V1605=1,OFFSET($W$634,$B1003,V$631-1)/SUMPRODUCT(--($D$631:$V$631=V$631),--($D1605:$V1605=1)),0)+SUM(V1002)+IF(COUNTIF(V$1237:V1605,1)=1,5,0)+IF(COUNTIF(W1003:$W1003,"&gt;"&amp;0)&lt;5,IF(AND(COUNTIF(V$1237:V1605,1)&gt;7,MOD(1+IFERROR(MATCH($C1003,总览!$D$46:$D$345,1)+1,1),7)=0),$C$3,0),0)</f>
        <v>447.936010775881</v>
      </c>
      <c r="W1003" s="135" cm="1">
        <f ca="1" t="array" ref="W1003">SUMPRODUCT(TRANSPOSE($AA1003:$AG1003),OFFSET($L$9:$L$15,0,W$631-1))</f>
        <v>16.8502200646615</v>
      </c>
      <c r="X1003" s="135" cm="1">
        <f ca="1" t="array" ref="X1003">SUMPRODUCT(TRANSPOSE($AA1003:$AG1003),OFFSET($L$9:$L$15,0,X$631-1))</f>
        <v>20</v>
      </c>
      <c r="Y1003" s="135" cm="1">
        <f ca="1" t="array" ref="Y1003">SUMPRODUCT(TRANSPOSE($AA1003:$AG1003),OFFSET($L$9:$L$15,0,Y$631-1))</f>
        <v>10</v>
      </c>
      <c r="Z1003" s="135" cm="1">
        <f ca="1" t="array" ref="Z1003">SUMPRODUCT(TRANSPOSE($AA1003:$AG1003),OFFSET($L$9:$L$15,0,Z$631-1))</f>
        <v>3.14977993533847</v>
      </c>
      <c r="AA1003" s="136">
        <f ca="1" t="shared" ref="AA1003:AG1003" si="987">AH1003-AH1002</f>
        <v>0</v>
      </c>
      <c r="AB1003" s="136">
        <f ca="1" t="shared" si="987"/>
        <v>0</v>
      </c>
      <c r="AC1003" s="136">
        <f ca="1" t="shared" si="987"/>
        <v>0</v>
      </c>
      <c r="AD1003" s="136">
        <f ca="1" t="shared" si="987"/>
        <v>0</v>
      </c>
      <c r="AE1003" s="136">
        <f ca="1" t="shared" si="987"/>
        <v>0</v>
      </c>
      <c r="AF1003" s="136">
        <f ca="1" t="shared" si="987"/>
        <v>0</v>
      </c>
      <c r="AG1003" s="136">
        <f ca="1" t="shared" si="987"/>
        <v>100</v>
      </c>
      <c r="AH1003" s="136">
        <f ca="1" t="shared" si="891"/>
        <v>450</v>
      </c>
      <c r="AI1003" s="136">
        <f ca="1" t="shared" ref="AI1003:AN1003" si="988">IF($C1003&gt;OFFSET($Q$8,MATCH(AI$634,$AH$634:$AN$634,0),0),OFFSET($P$8,MATCH(AI$634,$AH$634:$AN$634,0),0),MAX(0,$C1003-OFFSET($Q$8,RIGHT(AI$634,1)-1,0)))</f>
        <v>909</v>
      </c>
      <c r="AJ1003" s="136">
        <f ca="1" t="shared" si="988"/>
        <v>1818</v>
      </c>
      <c r="AK1003" s="136">
        <f ca="1" t="shared" si="988"/>
        <v>2727</v>
      </c>
      <c r="AL1003" s="136">
        <f ca="1" t="shared" si="988"/>
        <v>3636</v>
      </c>
      <c r="AM1003" s="136">
        <f ca="1" t="shared" si="988"/>
        <v>4545</v>
      </c>
      <c r="AN1003" s="136">
        <f ca="1" t="shared" si="988"/>
        <v>22815</v>
      </c>
    </row>
    <row r="1004" s="106" customFormat="1" ht="16.5" spans="2:40">
      <c r="B1004" s="117">
        <v>370</v>
      </c>
      <c r="C1004" s="130">
        <f t="shared" si="889"/>
        <v>37000</v>
      </c>
      <c r="D1004" s="131" cm="1">
        <f ca="1" t="array" ref="D1004">IF(D1606=1,OFFSET($W$634,$B1004,D$631-1)/SUMPRODUCT(--($D$631:$V$631=D$631),--($D1606:$V1606=1)),0)+SUM(D1003)+IF(COUNTIF(D$1237:D1606,1)=1,5,0)+IF(COUNTIF(E1004:$W1004,"&gt;"&amp;0)&lt;5,IF(AND(COUNTIF(D$1237:D1606,1)&gt;7,MOD(1+IFERROR(MATCH($C1004,总览!$D$46:$D$345,1)+1,1),7)=0),$C$3,0),0)</f>
        <v>2405.89732450574</v>
      </c>
      <c r="E1004" s="131" cm="1">
        <f ca="1" t="array" ref="E1004">IF(E1606=1,OFFSET($W$634,$B1004,E$631-1)/SUMPRODUCT(--($D$631:$V$631=E$631),--($D1606:$V1606=1)),0)+SUM(E1003)+IF(COUNTIF(E$1237:E1606,1)=1,5,0)+IF(COUNTIF(F1004:$W1004,"&gt;"&amp;0)&lt;5,IF(AND(COUNTIF(E$1237:E1606,1)&gt;7,MOD(1+IFERROR(MATCH($C1004,总览!$D$46:$D$345,1)+1,1),7)=0),$C$3,0),0)</f>
        <v>2405.89732450574</v>
      </c>
      <c r="F1004" s="131" cm="1">
        <f ca="1" t="array" ref="F1004">IF(F1606=1,OFFSET($W$634,$B1004,F$631-1)/SUMPRODUCT(--($D$631:$V$631=F$631),--($D1606:$V1606=1)),0)+SUM(F1003)+IF(COUNTIF(F$1237:F1606,1)=1,5,0)+IF(COUNTIF(G1004:$W1004,"&gt;"&amp;0)&lt;5,IF(AND(COUNTIF(F$1237:F1606,1)&gt;7,MOD(1+IFERROR(MATCH($C1004,总览!$D$46:$D$345,1)+1,1),7)=0),$C$3,0),0)</f>
        <v>2405.89732450574</v>
      </c>
      <c r="G1004" s="131" cm="1">
        <f ca="1" t="array" ref="G1004">IF(G1606=1,OFFSET($W$634,$B1004,G$631-1)/SUMPRODUCT(--($D$631:$V$631=G$631),--($D1606:$V1606=1)),0)+SUM(G1003)+IF(COUNTIF(G$1237:G1606,1)=1,5,0)+IF(COUNTIF(H1004:$W1004,"&gt;"&amp;0)&lt;5,IF(AND(COUNTIF(G$1237:G1606,1)&gt;7,MOD(1+IFERROR(MATCH($C1004,总览!$D$46:$D$345,1)+1,1),7)=0),$C$3,0),0)</f>
        <v>1172.73333333333</v>
      </c>
      <c r="H1004" s="131" cm="1">
        <f ca="1" t="array" ref="H1004">IF(H1606=1,OFFSET($W$634,$B1004,H$631-1)/SUMPRODUCT(--($D$631:$V$631=H$631),--($D1606:$V1606=1)),0)+SUM(H1003)+IF(COUNTIF(H$1237:H1606,1)=1,5,0)+IF(COUNTIF(I1004:$W1004,"&gt;"&amp;0)&lt;5,IF(AND(COUNTIF(H$1237:H1606,1)&gt;7,MOD(1+IFERROR(MATCH($C1004,总览!$D$46:$D$345,1)+1,1),7)=0),$C$3,0),0)</f>
        <v>1172.73333333333</v>
      </c>
      <c r="I1004" s="131" cm="1">
        <f ca="1" t="array" ref="I1004">IF(I1606=1,OFFSET($W$634,$B1004,I$631-1)/SUMPRODUCT(--($D$631:$V$631=I$631),--($D1606:$V1606=1)),0)+SUM(I1003)+IF(COUNTIF(I$1237:I1606,1)=1,5,0)+IF(COUNTIF(J1004:$W1004,"&gt;"&amp;0)&lt;5,IF(AND(COUNTIF(I$1237:I1606,1)&gt;7,MOD(1+IFERROR(MATCH($C1004,总览!$D$46:$D$345,1)+1,1),7)=0),$C$3,0),0)</f>
        <v>1172.73333333333</v>
      </c>
      <c r="J1004" s="131" cm="1">
        <f ca="1" t="array" ref="J1004">IF(J1606=1,OFFSET($W$634,$B1004,J$631-1)/SUMPRODUCT(--($D$631:$V$631=J$631),--($D1606:$V1606=1)),0)+SUM(J1003)+IF(COUNTIF(J$1237:J1606,1)=1,5,0)+IF(COUNTIF(K1004:$W1004,"&gt;"&amp;0)&lt;5,IF(AND(COUNTIF(J$1237:J1606,1)&gt;7,MOD(1+IFERROR(MATCH($C1004,总览!$D$46:$D$345,1)+1,1),7)=0),$C$3,0),0)</f>
        <v>1169.4</v>
      </c>
      <c r="K1004" s="131" cm="1">
        <f ca="1" t="array" ref="K1004">IF(K1606=1,OFFSET($W$634,$B1004,K$631-1)/SUMPRODUCT(--($D$631:$V$631=K$631),--($D1606:$V1606=1)),0)+SUM(K1003)+IF(COUNTIF(K$1237:K1606,1)=1,5,0)+IF(COUNTIF(L1004:$W1004,"&gt;"&amp;0)&lt;5,IF(AND(COUNTIF(K$1237:K1606,1)&gt;7,MOD(1+IFERROR(MATCH($C1004,总览!$D$46:$D$345,1)+1,1),7)=0),$C$3,0),0)</f>
        <v>1166.9</v>
      </c>
      <c r="L1004" s="131" cm="1">
        <f ca="1" t="array" ref="L1004">IF(L1606=1,OFFSET($W$634,$B1004,L$631-1)/SUMPRODUCT(--($D$631:$V$631=L$631),--($D1606:$V1606=1)),0)+SUM(L1003)+IF(COUNTIF(L$1237:L1606,1)=1,5,0)+IF(COUNTIF(M1004:$W1004,"&gt;"&amp;0)&lt;5,IF(AND(COUNTIF(L$1237:L1606,1)&gt;7,MOD(1+IFERROR(MATCH($C1004,总览!$D$46:$D$345,1)+1,1),7)=0),$C$3,0),0)</f>
        <v>1166.9</v>
      </c>
      <c r="M1004" s="131" cm="1">
        <f ca="1" t="array" ref="M1004">IF(M1606=1,OFFSET($W$634,$B1004,M$631-1)/SUMPRODUCT(--($D$631:$V$631=M$631),--($D1606:$V1606=1)),0)+SUM(M1003)+IF(COUNTIF(M$1237:M1606,1)=1,5,0)+IF(COUNTIF(N1004:$W1004,"&gt;"&amp;0)&lt;5,IF(AND(COUNTIF(M$1237:M1606,1)&gt;7,MOD(1+IFERROR(MATCH($C1004,总览!$D$46:$D$345,1)+1,1),7)=0),$C$3,0),0)</f>
        <v>486.324107142859</v>
      </c>
      <c r="N1004" s="131" cm="1">
        <f ca="1" t="array" ref="N1004">IF(N1606=1,OFFSET($W$634,$B1004,N$631-1)/SUMPRODUCT(--($D$631:$V$631=N$631),--($D1606:$V1606=1)),0)+SUM(N1003)+IF(COUNTIF(N$1237:N1606,1)=1,5,0)+IF(COUNTIF(O1004:$W1004,"&gt;"&amp;0)&lt;5,IF(AND(COUNTIF(N$1237:N1606,1)&gt;7,MOD(1+IFERROR(MATCH($C1004,总览!$D$46:$D$345,1)+1,1),7)=0),$C$3,0),0)</f>
        <v>487.574107142859</v>
      </c>
      <c r="O1004" s="131" cm="1">
        <f ca="1" t="array" ref="O1004">IF(O1606=1,OFFSET($W$634,$B1004,O$631-1)/SUMPRODUCT(--($D$631:$V$631=O$631),--($D1606:$V1606=1)),0)+SUM(O1003)+IF(COUNTIF(O$1237:O1606,1)=1,5,0)+IF(COUNTIF(P1004:$W1004,"&gt;"&amp;0)&lt;5,IF(AND(COUNTIF(O$1237:O1606,1)&gt;7,MOD(1+IFERROR(MATCH($C1004,总览!$D$46:$D$345,1)+1,1),7)=0),$C$3,0),0)</f>
        <v>492.574107142859</v>
      </c>
      <c r="P1004" s="131" cm="1">
        <f ca="1" t="array" ref="P1004">IF(P1606=1,OFFSET($W$634,$B1004,P$631-1)/SUMPRODUCT(--($D$631:$V$631=P$631),--($D1606:$V1606=1)),0)+SUM(P1003)+IF(COUNTIF(P$1237:P1606,1)=1,5,0)+IF(COUNTIF(Q1004:$W1004,"&gt;"&amp;0)&lt;5,IF(AND(COUNTIF(P$1237:P1606,1)&gt;7,MOD(1+IFERROR(MATCH($C1004,总览!$D$46:$D$345,1)+1,1),7)=0),$C$3,0),0)</f>
        <v>481.692857142859</v>
      </c>
      <c r="Q1004" s="131" cm="1">
        <f ca="1" t="array" ref="Q1004">IF(Q1606=1,OFFSET($W$634,$B1004,Q$631-1)/SUMPRODUCT(--($D$631:$V$631=Q$631),--($D1606:$V1606=1)),0)+SUM(Q1003)+IF(COUNTIF(Q$1237:Q1606,1)=1,5,0)+IF(COUNTIF(R1004:$W1004,"&gt;"&amp;0)&lt;5,IF(AND(COUNTIF(Q$1237:Q1606,1)&gt;7,MOD(1+IFERROR(MATCH($C1004,总览!$D$46:$D$345,1)+1,1),7)=0),$C$3,0),0)</f>
        <v>495.074107142859</v>
      </c>
      <c r="R1004" s="131" cm="1">
        <f ca="1" t="array" ref="R1004">IF(R1606=1,OFFSET($W$634,$B1004,R$631-1)/SUMPRODUCT(--($D$631:$V$631=R$631),--($D1606:$V1606=1)),0)+SUM(R1003)+IF(COUNTIF(R$1237:R1606,1)=1,5,0)+IF(COUNTIF(S1004:$W1004,"&gt;"&amp;0)&lt;5,IF(AND(COUNTIF(R$1237:R1606,1)&gt;7,MOD(1+IFERROR(MATCH($C1004,总览!$D$46:$D$345,1)+1,1),7)=0),$C$3,0),0)</f>
        <v>486.692857142859</v>
      </c>
      <c r="S1004" s="131" cm="1">
        <f ca="1" t="array" ref="S1004">IF(S1606=1,OFFSET($W$634,$B1004,S$631-1)/SUMPRODUCT(--($D$631:$V$631=S$631),--($D1606:$V1606=1)),0)+SUM(S1003)+IF(COUNTIF(S$1237:S1606,1)=1,5,0)+IF(COUNTIF(T1004:$W1004,"&gt;"&amp;0)&lt;5,IF(AND(COUNTIF(S$1237:S1606,1)&gt;7,MOD(1+IFERROR(MATCH($C1004,总览!$D$46:$D$345,1)+1,1),7)=0),$C$3,0),0)</f>
        <v>579.19285714286</v>
      </c>
      <c r="T1004" s="131" cm="1">
        <f ca="1" t="array" ref="T1004">IF(T1606=1,OFFSET($W$634,$B1004,T$631-1)/SUMPRODUCT(--($D$631:$V$631=T$631),--($D1606:$V1606=1)),0)+SUM(T1003)+IF(COUNTIF(T$1237:T1606,1)=1,5,0)+IF(COUNTIF(U1004:$W1004,"&gt;"&amp;0)&lt;5,IF(AND(COUNTIF(T$1237:T1606,1)&gt;7,MOD(1+IFERROR(MATCH($C1004,总览!$D$46:$D$345,1)+1,1),7)=0),$C$3,0),0)</f>
        <v>423.638151353261</v>
      </c>
      <c r="U1004" s="131" cm="1">
        <f ca="1" t="array" ref="U1004">IF(U1606=1,OFFSET($W$634,$B1004,U$631-1)/SUMPRODUCT(--($D$631:$V$631=U$631),--($D1606:$V1606=1)),0)+SUM(U1003)+IF(COUNTIF(U$1237:U1606,1)=1,5,0)+IF(COUNTIF(V1004:$W1004,"&gt;"&amp;0)&lt;5,IF(AND(COUNTIF(U$1237:U1606,1)&gt;7,MOD(1+IFERROR(MATCH($C1004,总览!$D$46:$D$345,1)+1,1),7)=0),$C$3,0),0)</f>
        <v>429.15893770856</v>
      </c>
      <c r="V1004" s="131" cm="1">
        <f ca="1" t="array" ref="V1004">IF(V1606=1,OFFSET($W$634,$B1004,V$631-1)/SUMPRODUCT(--($D$631:$V$631=V$631),--($D1606:$V1606=1)),0)+SUM(V1003)+IF(COUNTIF(V$1237:V1606,1)=1,5,0)+IF(COUNTIF(W1004:$W1004,"&gt;"&amp;0)&lt;5,IF(AND(COUNTIF(V$1237:V1606,1)&gt;7,MOD(1+IFERROR(MATCH($C1004,总览!$D$46:$D$345,1)+1,1),7)=0),$C$3,0),0)</f>
        <v>448.985937420993</v>
      </c>
      <c r="W1004" s="135" cm="1">
        <f ca="1" t="array" ref="W1004">SUMPRODUCT(TRANSPOSE($AA1004:$AG1004),OFFSET($L$9:$L$15,0,W$631-1))</f>
        <v>16.8502200646615</v>
      </c>
      <c r="X1004" s="135" cm="1">
        <f ca="1" t="array" ref="X1004">SUMPRODUCT(TRANSPOSE($AA1004:$AG1004),OFFSET($L$9:$L$15,0,X$631-1))</f>
        <v>20</v>
      </c>
      <c r="Y1004" s="135" cm="1">
        <f ca="1" t="array" ref="Y1004">SUMPRODUCT(TRANSPOSE($AA1004:$AG1004),OFFSET($L$9:$L$15,0,Y$631-1))</f>
        <v>10</v>
      </c>
      <c r="Z1004" s="135" cm="1">
        <f ca="1" t="array" ref="Z1004">SUMPRODUCT(TRANSPOSE($AA1004:$AG1004),OFFSET($L$9:$L$15,0,Z$631-1))</f>
        <v>3.14977993533847</v>
      </c>
      <c r="AA1004" s="136">
        <f ca="1" t="shared" ref="AA1004:AG1004" si="989">AH1004-AH1003</f>
        <v>0</v>
      </c>
      <c r="AB1004" s="136">
        <f ca="1" t="shared" si="989"/>
        <v>0</v>
      </c>
      <c r="AC1004" s="136">
        <f ca="1" t="shared" si="989"/>
        <v>0</v>
      </c>
      <c r="AD1004" s="136">
        <f ca="1" t="shared" si="989"/>
        <v>0</v>
      </c>
      <c r="AE1004" s="136">
        <f ca="1" t="shared" si="989"/>
        <v>0</v>
      </c>
      <c r="AF1004" s="136">
        <f ca="1" t="shared" si="989"/>
        <v>0</v>
      </c>
      <c r="AG1004" s="136">
        <f ca="1" t="shared" si="989"/>
        <v>100</v>
      </c>
      <c r="AH1004" s="136">
        <f ca="1" t="shared" si="891"/>
        <v>450</v>
      </c>
      <c r="AI1004" s="136">
        <f ca="1" t="shared" ref="AI1004:AN1004" si="990">IF($C1004&gt;OFFSET($Q$8,MATCH(AI$634,$AH$634:$AN$634,0),0),OFFSET($P$8,MATCH(AI$634,$AH$634:$AN$634,0),0),MAX(0,$C1004-OFFSET($Q$8,RIGHT(AI$634,1)-1,0)))</f>
        <v>909</v>
      </c>
      <c r="AJ1004" s="136">
        <f ca="1" t="shared" si="990"/>
        <v>1818</v>
      </c>
      <c r="AK1004" s="136">
        <f ca="1" t="shared" si="990"/>
        <v>2727</v>
      </c>
      <c r="AL1004" s="136">
        <f ca="1" t="shared" si="990"/>
        <v>3636</v>
      </c>
      <c r="AM1004" s="136">
        <f ca="1" t="shared" si="990"/>
        <v>4545</v>
      </c>
      <c r="AN1004" s="136">
        <f ca="1" t="shared" si="990"/>
        <v>22915</v>
      </c>
    </row>
    <row r="1005" s="106" customFormat="1" ht="16.5" spans="2:40">
      <c r="B1005" s="117">
        <v>371</v>
      </c>
      <c r="C1005" s="130">
        <f t="shared" si="889"/>
        <v>37100</v>
      </c>
      <c r="D1005" s="131" cm="1">
        <f ca="1" t="array" ref="D1005">IF(D1607=1,OFFSET($W$634,$B1005,D$631-1)/SUMPRODUCT(--($D$631:$V$631=D$631),--($D1607:$V1607=1)),0)+SUM(D1004)+IF(COUNTIF(D$1237:D1607,1)=1,5,0)+IF(COUNTIF(E1005:$W1005,"&gt;"&amp;0)&lt;5,IF(AND(COUNTIF(D$1237:D1607,1)&gt;7,MOD(1+IFERROR(MATCH($C1005,总览!$D$46:$D$345,1)+1,1),7)=0),$C$3,0),0)</f>
        <v>2411.51406452729</v>
      </c>
      <c r="E1005" s="131" cm="1">
        <f ca="1" t="array" ref="E1005">IF(E1607=1,OFFSET($W$634,$B1005,E$631-1)/SUMPRODUCT(--($D$631:$V$631=E$631),--($D1607:$V1607=1)),0)+SUM(E1004)+IF(COUNTIF(E$1237:E1607,1)=1,5,0)+IF(COUNTIF(F1005:$W1005,"&gt;"&amp;0)&lt;5,IF(AND(COUNTIF(E$1237:E1607,1)&gt;7,MOD(1+IFERROR(MATCH($C1005,总览!$D$46:$D$345,1)+1,1),7)=0),$C$3,0),0)</f>
        <v>2411.51406452729</v>
      </c>
      <c r="F1005" s="131" cm="1">
        <f ca="1" t="array" ref="F1005">IF(F1607=1,OFFSET($W$634,$B1005,F$631-1)/SUMPRODUCT(--($D$631:$V$631=F$631),--($D1607:$V1607=1)),0)+SUM(F1004)+IF(COUNTIF(F$1237:F1607,1)=1,5,0)+IF(COUNTIF(G1005:$W1005,"&gt;"&amp;0)&lt;5,IF(AND(COUNTIF(F$1237:F1607,1)&gt;7,MOD(1+IFERROR(MATCH($C1005,总览!$D$46:$D$345,1)+1,1),7)=0),$C$3,0),0)</f>
        <v>2411.51406452729</v>
      </c>
      <c r="G1005" s="131" cm="1">
        <f ca="1" t="array" ref="G1005">IF(G1607=1,OFFSET($W$634,$B1005,G$631-1)/SUMPRODUCT(--($D$631:$V$631=G$631),--($D1607:$V1607=1)),0)+SUM(G1004)+IF(COUNTIF(G$1237:G1607,1)=1,5,0)+IF(COUNTIF(H1005:$W1005,"&gt;"&amp;0)&lt;5,IF(AND(COUNTIF(G$1237:G1607,1)&gt;7,MOD(1+IFERROR(MATCH($C1005,总览!$D$46:$D$345,1)+1,1),7)=0),$C$3,0),0)</f>
        <v>1176.06666666667</v>
      </c>
      <c r="H1005" s="131" cm="1">
        <f ca="1" t="array" ref="H1005">IF(H1607=1,OFFSET($W$634,$B1005,H$631-1)/SUMPRODUCT(--($D$631:$V$631=H$631),--($D1607:$V1607=1)),0)+SUM(H1004)+IF(COUNTIF(H$1237:H1607,1)=1,5,0)+IF(COUNTIF(I1005:$W1005,"&gt;"&amp;0)&lt;5,IF(AND(COUNTIF(H$1237:H1607,1)&gt;7,MOD(1+IFERROR(MATCH($C1005,总览!$D$46:$D$345,1)+1,1),7)=0),$C$3,0),0)</f>
        <v>1176.06666666667</v>
      </c>
      <c r="I1005" s="131" cm="1">
        <f ca="1" t="array" ref="I1005">IF(I1607=1,OFFSET($W$634,$B1005,I$631-1)/SUMPRODUCT(--($D$631:$V$631=I$631),--($D1607:$V1607=1)),0)+SUM(I1004)+IF(COUNTIF(I$1237:I1607,1)=1,5,0)+IF(COUNTIF(J1005:$W1005,"&gt;"&amp;0)&lt;5,IF(AND(COUNTIF(I$1237:I1607,1)&gt;7,MOD(1+IFERROR(MATCH($C1005,总览!$D$46:$D$345,1)+1,1),7)=0),$C$3,0),0)</f>
        <v>1176.06666666667</v>
      </c>
      <c r="J1005" s="131" cm="1">
        <f ca="1" t="array" ref="J1005">IF(J1607=1,OFFSET($W$634,$B1005,J$631-1)/SUMPRODUCT(--($D$631:$V$631=J$631),--($D1607:$V1607=1)),0)+SUM(J1004)+IF(COUNTIF(J$1237:J1607,1)=1,5,0)+IF(COUNTIF(K1005:$W1005,"&gt;"&amp;0)&lt;5,IF(AND(COUNTIF(J$1237:J1607,1)&gt;7,MOD(1+IFERROR(MATCH($C1005,总览!$D$46:$D$345,1)+1,1),7)=0),$C$3,0),0)</f>
        <v>1172.73333333333</v>
      </c>
      <c r="K1005" s="131" cm="1">
        <f ca="1" t="array" ref="K1005">IF(K1607=1,OFFSET($W$634,$B1005,K$631-1)/SUMPRODUCT(--($D$631:$V$631=K$631),--($D1607:$V1607=1)),0)+SUM(K1004)+IF(COUNTIF(K$1237:K1607,1)=1,5,0)+IF(COUNTIF(L1005:$W1005,"&gt;"&amp;0)&lt;5,IF(AND(COUNTIF(K$1237:K1607,1)&gt;7,MOD(1+IFERROR(MATCH($C1005,总览!$D$46:$D$345,1)+1,1),7)=0),$C$3,0),0)</f>
        <v>1170.23333333333</v>
      </c>
      <c r="L1005" s="131" cm="1">
        <f ca="1" t="array" ref="L1005">IF(L1607=1,OFFSET($W$634,$B1005,L$631-1)/SUMPRODUCT(--($D$631:$V$631=L$631),--($D1607:$V1607=1)),0)+SUM(L1004)+IF(COUNTIF(L$1237:L1607,1)=1,5,0)+IF(COUNTIF(M1005:$W1005,"&gt;"&amp;0)&lt;5,IF(AND(COUNTIF(L$1237:L1607,1)&gt;7,MOD(1+IFERROR(MATCH($C1005,总览!$D$46:$D$345,1)+1,1),7)=0),$C$3,0),0)</f>
        <v>1170.23333333333</v>
      </c>
      <c r="M1005" s="131" cm="1">
        <f ca="1" t="array" ref="M1005">IF(M1607=1,OFFSET($W$634,$B1005,M$631-1)/SUMPRODUCT(--($D$631:$V$631=M$631),--($D1607:$V1607=1)),0)+SUM(M1004)+IF(COUNTIF(M$1237:M1607,1)=1,5,0)+IF(COUNTIF(N1005:$W1005,"&gt;"&amp;0)&lt;5,IF(AND(COUNTIF(M$1237:M1607,1)&gt;7,MOD(1+IFERROR(MATCH($C1005,总览!$D$46:$D$345,1)+1,1),7)=0),$C$3,0),0)</f>
        <v>487.75267857143</v>
      </c>
      <c r="N1005" s="131" cm="1">
        <f ca="1" t="array" ref="N1005">IF(N1607=1,OFFSET($W$634,$B1005,N$631-1)/SUMPRODUCT(--($D$631:$V$631=N$631),--($D1607:$V1607=1)),0)+SUM(N1004)+IF(COUNTIF(N$1237:N1607,1)=1,5,0)+IF(COUNTIF(O1005:$W1005,"&gt;"&amp;0)&lt;5,IF(AND(COUNTIF(N$1237:N1607,1)&gt;7,MOD(1+IFERROR(MATCH($C1005,总览!$D$46:$D$345,1)+1,1),7)=0),$C$3,0),0)</f>
        <v>489.00267857143</v>
      </c>
      <c r="O1005" s="131" cm="1">
        <f ca="1" t="array" ref="O1005">IF(O1607=1,OFFSET($W$634,$B1005,O$631-1)/SUMPRODUCT(--($D$631:$V$631=O$631),--($D1607:$V1607=1)),0)+SUM(O1004)+IF(COUNTIF(O$1237:O1607,1)=1,5,0)+IF(COUNTIF(P1005:$W1005,"&gt;"&amp;0)&lt;5,IF(AND(COUNTIF(O$1237:O1607,1)&gt;7,MOD(1+IFERROR(MATCH($C1005,总览!$D$46:$D$345,1)+1,1),7)=0),$C$3,0),0)</f>
        <v>494.00267857143</v>
      </c>
      <c r="P1005" s="131" cm="1">
        <f ca="1" t="array" ref="P1005">IF(P1607=1,OFFSET($W$634,$B1005,P$631-1)/SUMPRODUCT(--($D$631:$V$631=P$631),--($D1607:$V1607=1)),0)+SUM(P1004)+IF(COUNTIF(P$1237:P1607,1)=1,5,0)+IF(COUNTIF(Q1005:$W1005,"&gt;"&amp;0)&lt;5,IF(AND(COUNTIF(P$1237:P1607,1)&gt;7,MOD(1+IFERROR(MATCH($C1005,总览!$D$46:$D$345,1)+1,1),7)=0),$C$3,0),0)</f>
        <v>483.12142857143</v>
      </c>
      <c r="Q1005" s="131" cm="1">
        <f ca="1" t="array" ref="Q1005">IF(Q1607=1,OFFSET($W$634,$B1005,Q$631-1)/SUMPRODUCT(--($D$631:$V$631=Q$631),--($D1607:$V1607=1)),0)+SUM(Q1004)+IF(COUNTIF(Q$1237:Q1607,1)=1,5,0)+IF(COUNTIF(R1005:$W1005,"&gt;"&amp;0)&lt;5,IF(AND(COUNTIF(Q$1237:Q1607,1)&gt;7,MOD(1+IFERROR(MATCH($C1005,总览!$D$46:$D$345,1)+1,1),7)=0),$C$3,0),0)</f>
        <v>496.50267857143</v>
      </c>
      <c r="R1005" s="131" cm="1">
        <f ca="1" t="array" ref="R1005">IF(R1607=1,OFFSET($W$634,$B1005,R$631-1)/SUMPRODUCT(--($D$631:$V$631=R$631),--($D1607:$V1607=1)),0)+SUM(R1004)+IF(COUNTIF(R$1237:R1607,1)=1,5,0)+IF(COUNTIF(S1005:$W1005,"&gt;"&amp;0)&lt;5,IF(AND(COUNTIF(R$1237:R1607,1)&gt;7,MOD(1+IFERROR(MATCH($C1005,总览!$D$46:$D$345,1)+1,1),7)=0),$C$3,0),0)</f>
        <v>488.12142857143</v>
      </c>
      <c r="S1005" s="131" cm="1">
        <f ca="1" t="array" ref="S1005">IF(S1607=1,OFFSET($W$634,$B1005,S$631-1)/SUMPRODUCT(--($D$631:$V$631=S$631),--($D1607:$V1607=1)),0)+SUM(S1004)+IF(COUNTIF(S$1237:S1607,1)=1,5,0)+IF(COUNTIF(T1005:$W1005,"&gt;"&amp;0)&lt;5,IF(AND(COUNTIF(S$1237:S1607,1)&gt;7,MOD(1+IFERROR(MATCH($C1005,总览!$D$46:$D$345,1)+1,1),7)=0),$C$3,0),0)</f>
        <v>580.621428571431</v>
      </c>
      <c r="T1005" s="131" cm="1">
        <f ca="1" t="array" ref="T1005">IF(T1607=1,OFFSET($W$634,$B1005,T$631-1)/SUMPRODUCT(--($D$631:$V$631=T$631),--($D1607:$V1607=1)),0)+SUM(T1004)+IF(COUNTIF(T$1237:T1607,1)=1,5,0)+IF(COUNTIF(U1005:$W1005,"&gt;"&amp;0)&lt;5,IF(AND(COUNTIF(T$1237:T1607,1)&gt;7,MOD(1+IFERROR(MATCH($C1005,总览!$D$46:$D$345,1)+1,1),7)=0),$C$3,0),0)</f>
        <v>424.688077998374</v>
      </c>
      <c r="U1005" s="131" cm="1">
        <f ca="1" t="array" ref="U1005">IF(U1607=1,OFFSET($W$634,$B1005,U$631-1)/SUMPRODUCT(--($D$631:$V$631=U$631),--($D1607:$V1607=1)),0)+SUM(U1004)+IF(COUNTIF(U$1237:U1607,1)=1,5,0)+IF(COUNTIF(V1005:$W1005,"&gt;"&amp;0)&lt;5,IF(AND(COUNTIF(U$1237:U1607,1)&gt;7,MOD(1+IFERROR(MATCH($C1005,总览!$D$46:$D$345,1)+1,1),7)=0),$C$3,0),0)</f>
        <v>430.208864353673</v>
      </c>
      <c r="V1005" s="131" cm="1">
        <f ca="1" t="array" ref="V1005">IF(V1607=1,OFFSET($W$634,$B1005,V$631-1)/SUMPRODUCT(--($D$631:$V$631=V$631),--($D1607:$V1607=1)),0)+SUM(V1004)+IF(COUNTIF(V$1237:V1607,1)=1,5,0)+IF(COUNTIF(W1005:$W1005,"&gt;"&amp;0)&lt;5,IF(AND(COUNTIF(V$1237:V1607,1)&gt;7,MOD(1+IFERROR(MATCH($C1005,总览!$D$46:$D$345,1)+1,1),7)=0),$C$3,0),0)</f>
        <v>450.035864066106</v>
      </c>
      <c r="W1005" s="135" cm="1">
        <f ca="1" t="array" ref="W1005">SUMPRODUCT(TRANSPOSE($AA1005:$AG1005),OFFSET($L$9:$L$15,0,W$631-1))</f>
        <v>16.8502200646615</v>
      </c>
      <c r="X1005" s="135" cm="1">
        <f ca="1" t="array" ref="X1005">SUMPRODUCT(TRANSPOSE($AA1005:$AG1005),OFFSET($L$9:$L$15,0,X$631-1))</f>
        <v>20</v>
      </c>
      <c r="Y1005" s="135" cm="1">
        <f ca="1" t="array" ref="Y1005">SUMPRODUCT(TRANSPOSE($AA1005:$AG1005),OFFSET($L$9:$L$15,0,Y$631-1))</f>
        <v>10</v>
      </c>
      <c r="Z1005" s="135" cm="1">
        <f ca="1" t="array" ref="Z1005">SUMPRODUCT(TRANSPOSE($AA1005:$AG1005),OFFSET($L$9:$L$15,0,Z$631-1))</f>
        <v>3.14977993533847</v>
      </c>
      <c r="AA1005" s="136">
        <f ca="1" t="shared" ref="AA1005:AG1005" si="991">AH1005-AH1004</f>
        <v>0</v>
      </c>
      <c r="AB1005" s="136">
        <f ca="1" t="shared" si="991"/>
        <v>0</v>
      </c>
      <c r="AC1005" s="136">
        <f ca="1" t="shared" si="991"/>
        <v>0</v>
      </c>
      <c r="AD1005" s="136">
        <f ca="1" t="shared" si="991"/>
        <v>0</v>
      </c>
      <c r="AE1005" s="136">
        <f ca="1" t="shared" si="991"/>
        <v>0</v>
      </c>
      <c r="AF1005" s="136">
        <f ca="1" t="shared" si="991"/>
        <v>0</v>
      </c>
      <c r="AG1005" s="136">
        <f ca="1" t="shared" si="991"/>
        <v>100</v>
      </c>
      <c r="AH1005" s="136">
        <f ca="1" t="shared" si="891"/>
        <v>450</v>
      </c>
      <c r="AI1005" s="136">
        <f ca="1" t="shared" ref="AI1005:AN1005" si="992">IF($C1005&gt;OFFSET($Q$8,MATCH(AI$634,$AH$634:$AN$634,0),0),OFFSET($P$8,MATCH(AI$634,$AH$634:$AN$634,0),0),MAX(0,$C1005-OFFSET($Q$8,RIGHT(AI$634,1)-1,0)))</f>
        <v>909</v>
      </c>
      <c r="AJ1005" s="136">
        <f ca="1" t="shared" si="992"/>
        <v>1818</v>
      </c>
      <c r="AK1005" s="136">
        <f ca="1" t="shared" si="992"/>
        <v>2727</v>
      </c>
      <c r="AL1005" s="136">
        <f ca="1" t="shared" si="992"/>
        <v>3636</v>
      </c>
      <c r="AM1005" s="136">
        <f ca="1" t="shared" si="992"/>
        <v>4545</v>
      </c>
      <c r="AN1005" s="136">
        <f ca="1" t="shared" si="992"/>
        <v>23015</v>
      </c>
    </row>
    <row r="1006" s="106" customFormat="1" ht="16.5" spans="2:40">
      <c r="B1006" s="117">
        <v>372</v>
      </c>
      <c r="C1006" s="130">
        <f t="shared" si="889"/>
        <v>37200</v>
      </c>
      <c r="D1006" s="131" cm="1">
        <f ca="1" t="array" ref="D1006">IF(D1608=1,OFFSET($W$634,$B1006,D$631-1)/SUMPRODUCT(--($D$631:$V$631=D$631),--($D1608:$V1608=1)),0)+SUM(D1005)+IF(COUNTIF(D$1237:D1608,1)=1,5,0)+IF(COUNTIF(E1006:$W1006,"&gt;"&amp;0)&lt;5,IF(AND(COUNTIF(D$1237:D1608,1)&gt;7,MOD(1+IFERROR(MATCH($C1006,总览!$D$46:$D$345,1)+1,1),7)=0),$C$3,0),0)</f>
        <v>2417.13080454884</v>
      </c>
      <c r="E1006" s="131" cm="1">
        <f ca="1" t="array" ref="E1006">IF(E1608=1,OFFSET($W$634,$B1006,E$631-1)/SUMPRODUCT(--($D$631:$V$631=E$631),--($D1608:$V1608=1)),0)+SUM(E1005)+IF(COUNTIF(E$1237:E1608,1)=1,5,0)+IF(COUNTIF(F1006:$W1006,"&gt;"&amp;0)&lt;5,IF(AND(COUNTIF(E$1237:E1608,1)&gt;7,MOD(1+IFERROR(MATCH($C1006,总览!$D$46:$D$345,1)+1,1),7)=0),$C$3,0),0)</f>
        <v>2417.13080454884</v>
      </c>
      <c r="F1006" s="131" cm="1">
        <f ca="1" t="array" ref="F1006">IF(F1608=1,OFFSET($W$634,$B1006,F$631-1)/SUMPRODUCT(--($D$631:$V$631=F$631),--($D1608:$V1608=1)),0)+SUM(F1005)+IF(COUNTIF(F$1237:F1608,1)=1,5,0)+IF(COUNTIF(G1006:$W1006,"&gt;"&amp;0)&lt;5,IF(AND(COUNTIF(F$1237:F1608,1)&gt;7,MOD(1+IFERROR(MATCH($C1006,总览!$D$46:$D$345,1)+1,1),7)=0),$C$3,0),0)</f>
        <v>2417.13080454884</v>
      </c>
      <c r="G1006" s="131" cm="1">
        <f ca="1" t="array" ref="G1006">IF(G1608=1,OFFSET($W$634,$B1006,G$631-1)/SUMPRODUCT(--($D$631:$V$631=G$631),--($D1608:$V1608=1)),0)+SUM(G1005)+IF(COUNTIF(G$1237:G1608,1)=1,5,0)+IF(COUNTIF(H1006:$W1006,"&gt;"&amp;0)&lt;5,IF(AND(COUNTIF(G$1237:G1608,1)&gt;7,MOD(1+IFERROR(MATCH($C1006,总览!$D$46:$D$345,1)+1,1),7)=0),$C$3,0),0)</f>
        <v>1179.4</v>
      </c>
      <c r="H1006" s="131" cm="1">
        <f ca="1" t="array" ref="H1006">IF(H1608=1,OFFSET($W$634,$B1006,H$631-1)/SUMPRODUCT(--($D$631:$V$631=H$631),--($D1608:$V1608=1)),0)+SUM(H1005)+IF(COUNTIF(H$1237:H1608,1)=1,5,0)+IF(COUNTIF(I1006:$W1006,"&gt;"&amp;0)&lt;5,IF(AND(COUNTIF(H$1237:H1608,1)&gt;7,MOD(1+IFERROR(MATCH($C1006,总览!$D$46:$D$345,1)+1,1),7)=0),$C$3,0),0)</f>
        <v>1179.4</v>
      </c>
      <c r="I1006" s="131" cm="1">
        <f ca="1" t="array" ref="I1006">IF(I1608=1,OFFSET($W$634,$B1006,I$631-1)/SUMPRODUCT(--($D$631:$V$631=I$631),--($D1608:$V1608=1)),0)+SUM(I1005)+IF(COUNTIF(I$1237:I1608,1)=1,5,0)+IF(COUNTIF(J1006:$W1006,"&gt;"&amp;0)&lt;5,IF(AND(COUNTIF(I$1237:I1608,1)&gt;7,MOD(1+IFERROR(MATCH($C1006,总览!$D$46:$D$345,1)+1,1),7)=0),$C$3,0),0)</f>
        <v>1179.4</v>
      </c>
      <c r="J1006" s="131" cm="1">
        <f ca="1" t="array" ref="J1006">IF(J1608=1,OFFSET($W$634,$B1006,J$631-1)/SUMPRODUCT(--($D$631:$V$631=J$631),--($D1608:$V1608=1)),0)+SUM(J1005)+IF(COUNTIF(J$1237:J1608,1)=1,5,0)+IF(COUNTIF(K1006:$W1006,"&gt;"&amp;0)&lt;5,IF(AND(COUNTIF(J$1237:J1608,1)&gt;7,MOD(1+IFERROR(MATCH($C1006,总览!$D$46:$D$345,1)+1,1),7)=0),$C$3,0),0)</f>
        <v>1176.06666666667</v>
      </c>
      <c r="K1006" s="131" cm="1">
        <f ca="1" t="array" ref="K1006">IF(K1608=1,OFFSET($W$634,$B1006,K$631-1)/SUMPRODUCT(--($D$631:$V$631=K$631),--($D1608:$V1608=1)),0)+SUM(K1005)+IF(COUNTIF(K$1237:K1608,1)=1,5,0)+IF(COUNTIF(L1006:$W1006,"&gt;"&amp;0)&lt;5,IF(AND(COUNTIF(K$1237:K1608,1)&gt;7,MOD(1+IFERROR(MATCH($C1006,总览!$D$46:$D$345,1)+1,1),7)=0),$C$3,0),0)</f>
        <v>1173.56666666667</v>
      </c>
      <c r="L1006" s="131" cm="1">
        <f ca="1" t="array" ref="L1006">IF(L1608=1,OFFSET($W$634,$B1006,L$631-1)/SUMPRODUCT(--($D$631:$V$631=L$631),--($D1608:$V1608=1)),0)+SUM(L1005)+IF(COUNTIF(L$1237:L1608,1)=1,5,0)+IF(COUNTIF(M1006:$W1006,"&gt;"&amp;0)&lt;5,IF(AND(COUNTIF(L$1237:L1608,1)&gt;7,MOD(1+IFERROR(MATCH($C1006,总览!$D$46:$D$345,1)+1,1),7)=0),$C$3,0),0)</f>
        <v>1173.56666666667</v>
      </c>
      <c r="M1006" s="131" cm="1">
        <f ca="1" t="array" ref="M1006">IF(M1608=1,OFFSET($W$634,$B1006,M$631-1)/SUMPRODUCT(--($D$631:$V$631=M$631),--($D1608:$V1608=1)),0)+SUM(M1005)+IF(COUNTIF(M$1237:M1608,1)=1,5,0)+IF(COUNTIF(N1006:$W1006,"&gt;"&amp;0)&lt;5,IF(AND(COUNTIF(M$1237:M1608,1)&gt;7,MOD(1+IFERROR(MATCH($C1006,总览!$D$46:$D$345,1)+1,1),7)=0),$C$3,0),0)</f>
        <v>489.181250000002</v>
      </c>
      <c r="N1006" s="131" cm="1">
        <f ca="1" t="array" ref="N1006">IF(N1608=1,OFFSET($W$634,$B1006,N$631-1)/SUMPRODUCT(--($D$631:$V$631=N$631),--($D1608:$V1608=1)),0)+SUM(N1005)+IF(COUNTIF(N$1237:N1608,1)=1,5,0)+IF(COUNTIF(O1006:$W1006,"&gt;"&amp;0)&lt;5,IF(AND(COUNTIF(N$1237:N1608,1)&gt;7,MOD(1+IFERROR(MATCH($C1006,总览!$D$46:$D$345,1)+1,1),7)=0),$C$3,0),0)</f>
        <v>490.431250000002</v>
      </c>
      <c r="O1006" s="131" cm="1">
        <f ca="1" t="array" ref="O1006">IF(O1608=1,OFFSET($W$634,$B1006,O$631-1)/SUMPRODUCT(--($D$631:$V$631=O$631),--($D1608:$V1608=1)),0)+SUM(O1005)+IF(COUNTIF(O$1237:O1608,1)=1,5,0)+IF(COUNTIF(P1006:$W1006,"&gt;"&amp;0)&lt;5,IF(AND(COUNTIF(O$1237:O1608,1)&gt;7,MOD(1+IFERROR(MATCH($C1006,总览!$D$46:$D$345,1)+1,1),7)=0),$C$3,0),0)</f>
        <v>495.431250000001</v>
      </c>
      <c r="P1006" s="131" cm="1">
        <f ca="1" t="array" ref="P1006">IF(P1608=1,OFFSET($W$634,$B1006,P$631-1)/SUMPRODUCT(--($D$631:$V$631=P$631),--($D1608:$V1608=1)),0)+SUM(P1005)+IF(COUNTIF(P$1237:P1608,1)=1,5,0)+IF(COUNTIF(Q1006:$W1006,"&gt;"&amp;0)&lt;5,IF(AND(COUNTIF(P$1237:P1608,1)&gt;7,MOD(1+IFERROR(MATCH($C1006,总览!$D$46:$D$345,1)+1,1),7)=0),$C$3,0),0)</f>
        <v>484.550000000001</v>
      </c>
      <c r="Q1006" s="131" cm="1">
        <f ca="1" t="array" ref="Q1006">IF(Q1608=1,OFFSET($W$634,$B1006,Q$631-1)/SUMPRODUCT(--($D$631:$V$631=Q$631),--($D1608:$V1608=1)),0)+SUM(Q1005)+IF(COUNTIF(Q$1237:Q1608,1)=1,5,0)+IF(COUNTIF(R1006:$W1006,"&gt;"&amp;0)&lt;5,IF(AND(COUNTIF(Q$1237:Q1608,1)&gt;7,MOD(1+IFERROR(MATCH($C1006,总览!$D$46:$D$345,1)+1,1),7)=0),$C$3,0),0)</f>
        <v>497.931250000002</v>
      </c>
      <c r="R1006" s="131" cm="1">
        <f ca="1" t="array" ref="R1006">IF(R1608=1,OFFSET($W$634,$B1006,R$631-1)/SUMPRODUCT(--($D$631:$V$631=R$631),--($D1608:$V1608=1)),0)+SUM(R1005)+IF(COUNTIF(R$1237:R1608,1)=1,5,0)+IF(COUNTIF(S1006:$W1006,"&gt;"&amp;0)&lt;5,IF(AND(COUNTIF(R$1237:R1608,1)&gt;7,MOD(1+IFERROR(MATCH($C1006,总览!$D$46:$D$345,1)+1,1),7)=0),$C$3,0),0)</f>
        <v>489.550000000001</v>
      </c>
      <c r="S1006" s="131" cm="1">
        <f ca="1" t="array" ref="S1006">IF(S1608=1,OFFSET($W$634,$B1006,S$631-1)/SUMPRODUCT(--($D$631:$V$631=S$631),--($D1608:$V1608=1)),0)+SUM(S1005)+IF(COUNTIF(S$1237:S1608,1)=1,5,0)+IF(COUNTIF(T1006:$W1006,"&gt;"&amp;0)&lt;5,IF(AND(COUNTIF(S$1237:S1608,1)&gt;7,MOD(1+IFERROR(MATCH($C1006,总览!$D$46:$D$345,1)+1,1),7)=0),$C$3,0),0)</f>
        <v>582.050000000003</v>
      </c>
      <c r="T1006" s="131" cm="1">
        <f ca="1" t="array" ref="T1006">IF(T1608=1,OFFSET($W$634,$B1006,T$631-1)/SUMPRODUCT(--($D$631:$V$631=T$631),--($D1608:$V1608=1)),0)+SUM(T1005)+IF(COUNTIF(T$1237:T1608,1)=1,5,0)+IF(COUNTIF(U1006:$W1006,"&gt;"&amp;0)&lt;5,IF(AND(COUNTIF(T$1237:T1608,1)&gt;7,MOD(1+IFERROR(MATCH($C1006,总览!$D$46:$D$345,1)+1,1),7)=0),$C$3,0),0)</f>
        <v>425.738004643486</v>
      </c>
      <c r="U1006" s="131" cm="1">
        <f ca="1" t="array" ref="U1006">IF(U1608=1,OFFSET($W$634,$B1006,U$631-1)/SUMPRODUCT(--($D$631:$V$631=U$631),--($D1608:$V1608=1)),0)+SUM(U1005)+IF(COUNTIF(U$1237:U1608,1)=1,5,0)+IF(COUNTIF(V1006:$W1006,"&gt;"&amp;0)&lt;5,IF(AND(COUNTIF(U$1237:U1608,1)&gt;7,MOD(1+IFERROR(MATCH($C1006,总览!$D$46:$D$345,1)+1,1),7)=0),$C$3,0),0)</f>
        <v>431.258790998786</v>
      </c>
      <c r="V1006" s="131" cm="1">
        <f ca="1" t="array" ref="V1006">IF(V1608=1,OFFSET($W$634,$B1006,V$631-1)/SUMPRODUCT(--($D$631:$V$631=V$631),--($D1608:$V1608=1)),0)+SUM(V1005)+IF(COUNTIF(V$1237:V1608,1)=1,5,0)+IF(COUNTIF(W1006:$W1006,"&gt;"&amp;0)&lt;5,IF(AND(COUNTIF(V$1237:V1608,1)&gt;7,MOD(1+IFERROR(MATCH($C1006,总览!$D$46:$D$345,1)+1,1),7)=0),$C$3,0),0)</f>
        <v>451.085790711219</v>
      </c>
      <c r="W1006" s="135" cm="1">
        <f ca="1" t="array" ref="W1006">SUMPRODUCT(TRANSPOSE($AA1006:$AG1006),OFFSET($L$9:$L$15,0,W$631-1))</f>
        <v>16.8502200646615</v>
      </c>
      <c r="X1006" s="135" cm="1">
        <f ca="1" t="array" ref="X1006">SUMPRODUCT(TRANSPOSE($AA1006:$AG1006),OFFSET($L$9:$L$15,0,X$631-1))</f>
        <v>20</v>
      </c>
      <c r="Y1006" s="135" cm="1">
        <f ca="1" t="array" ref="Y1006">SUMPRODUCT(TRANSPOSE($AA1006:$AG1006),OFFSET($L$9:$L$15,0,Y$631-1))</f>
        <v>10</v>
      </c>
      <c r="Z1006" s="135" cm="1">
        <f ca="1" t="array" ref="Z1006">SUMPRODUCT(TRANSPOSE($AA1006:$AG1006),OFFSET($L$9:$L$15,0,Z$631-1))</f>
        <v>3.14977993533847</v>
      </c>
      <c r="AA1006" s="136">
        <f ca="1" t="shared" ref="AA1006:AG1006" si="993">AH1006-AH1005</f>
        <v>0</v>
      </c>
      <c r="AB1006" s="136">
        <f ca="1" t="shared" si="993"/>
        <v>0</v>
      </c>
      <c r="AC1006" s="136">
        <f ca="1" t="shared" si="993"/>
        <v>0</v>
      </c>
      <c r="AD1006" s="136">
        <f ca="1" t="shared" si="993"/>
        <v>0</v>
      </c>
      <c r="AE1006" s="136">
        <f ca="1" t="shared" si="993"/>
        <v>0</v>
      </c>
      <c r="AF1006" s="136">
        <f ca="1" t="shared" si="993"/>
        <v>0</v>
      </c>
      <c r="AG1006" s="136">
        <f ca="1" t="shared" si="993"/>
        <v>100</v>
      </c>
      <c r="AH1006" s="136">
        <f ca="1" t="shared" si="891"/>
        <v>450</v>
      </c>
      <c r="AI1006" s="136">
        <f ca="1" t="shared" ref="AI1006:AN1006" si="994">IF($C1006&gt;OFFSET($Q$8,MATCH(AI$634,$AH$634:$AN$634,0),0),OFFSET($P$8,MATCH(AI$634,$AH$634:$AN$634,0),0),MAX(0,$C1006-OFFSET($Q$8,RIGHT(AI$634,1)-1,0)))</f>
        <v>909</v>
      </c>
      <c r="AJ1006" s="136">
        <f ca="1" t="shared" si="994"/>
        <v>1818</v>
      </c>
      <c r="AK1006" s="136">
        <f ca="1" t="shared" si="994"/>
        <v>2727</v>
      </c>
      <c r="AL1006" s="136">
        <f ca="1" t="shared" si="994"/>
        <v>3636</v>
      </c>
      <c r="AM1006" s="136">
        <f ca="1" t="shared" si="994"/>
        <v>4545</v>
      </c>
      <c r="AN1006" s="136">
        <f ca="1" t="shared" si="994"/>
        <v>23115</v>
      </c>
    </row>
    <row r="1007" s="106" customFormat="1" ht="16.5" spans="2:40">
      <c r="B1007" s="117">
        <v>373</v>
      </c>
      <c r="C1007" s="130">
        <f t="shared" si="889"/>
        <v>37300</v>
      </c>
      <c r="D1007" s="131" cm="1">
        <f ca="1" t="array" ref="D1007">IF(D1609=1,OFFSET($W$634,$B1007,D$631-1)/SUMPRODUCT(--($D$631:$V$631=D$631),--($D1609:$V1609=1)),0)+SUM(D1006)+IF(COUNTIF(D$1237:D1609,1)=1,5,0)+IF(COUNTIF(E1007:$W1007,"&gt;"&amp;0)&lt;5,IF(AND(COUNTIF(D$1237:D1609,1)&gt;7,MOD(1+IFERROR(MATCH($C1007,总览!$D$46:$D$345,1)+1,1),7)=0),$C$3,0),0)</f>
        <v>2422.7475445704</v>
      </c>
      <c r="E1007" s="131" cm="1">
        <f ca="1" t="array" ref="E1007">IF(E1609=1,OFFSET($W$634,$B1007,E$631-1)/SUMPRODUCT(--($D$631:$V$631=E$631),--($D1609:$V1609=1)),0)+SUM(E1006)+IF(COUNTIF(E$1237:E1609,1)=1,5,0)+IF(COUNTIF(F1007:$W1007,"&gt;"&amp;0)&lt;5,IF(AND(COUNTIF(E$1237:E1609,1)&gt;7,MOD(1+IFERROR(MATCH($C1007,总览!$D$46:$D$345,1)+1,1),7)=0),$C$3,0),0)</f>
        <v>2422.7475445704</v>
      </c>
      <c r="F1007" s="131" cm="1">
        <f ca="1" t="array" ref="F1007">IF(F1609=1,OFFSET($W$634,$B1007,F$631-1)/SUMPRODUCT(--($D$631:$V$631=F$631),--($D1609:$V1609=1)),0)+SUM(F1006)+IF(COUNTIF(F$1237:F1609,1)=1,5,0)+IF(COUNTIF(G1007:$W1007,"&gt;"&amp;0)&lt;5,IF(AND(COUNTIF(F$1237:F1609,1)&gt;7,MOD(1+IFERROR(MATCH($C1007,总览!$D$46:$D$345,1)+1,1),7)=0),$C$3,0),0)</f>
        <v>2422.7475445704</v>
      </c>
      <c r="G1007" s="131" cm="1">
        <f ca="1" t="array" ref="G1007">IF(G1609=1,OFFSET($W$634,$B1007,G$631-1)/SUMPRODUCT(--($D$631:$V$631=G$631),--($D1609:$V1609=1)),0)+SUM(G1006)+IF(COUNTIF(G$1237:G1609,1)=1,5,0)+IF(COUNTIF(H1007:$W1007,"&gt;"&amp;0)&lt;5,IF(AND(COUNTIF(G$1237:G1609,1)&gt;7,MOD(1+IFERROR(MATCH($C1007,总览!$D$46:$D$345,1)+1,1),7)=0),$C$3,0),0)</f>
        <v>1182.73333333333</v>
      </c>
      <c r="H1007" s="131" cm="1">
        <f ca="1" t="array" ref="H1007">IF(H1609=1,OFFSET($W$634,$B1007,H$631-1)/SUMPRODUCT(--($D$631:$V$631=H$631),--($D1609:$V1609=1)),0)+SUM(H1006)+IF(COUNTIF(H$1237:H1609,1)=1,5,0)+IF(COUNTIF(I1007:$W1007,"&gt;"&amp;0)&lt;5,IF(AND(COUNTIF(H$1237:H1609,1)&gt;7,MOD(1+IFERROR(MATCH($C1007,总览!$D$46:$D$345,1)+1,1),7)=0),$C$3,0),0)</f>
        <v>1182.73333333333</v>
      </c>
      <c r="I1007" s="131" cm="1">
        <f ca="1" t="array" ref="I1007">IF(I1609=1,OFFSET($W$634,$B1007,I$631-1)/SUMPRODUCT(--($D$631:$V$631=I$631),--($D1609:$V1609=1)),0)+SUM(I1006)+IF(COUNTIF(I$1237:I1609,1)=1,5,0)+IF(COUNTIF(J1007:$W1007,"&gt;"&amp;0)&lt;5,IF(AND(COUNTIF(I$1237:I1609,1)&gt;7,MOD(1+IFERROR(MATCH($C1007,总览!$D$46:$D$345,1)+1,1),7)=0),$C$3,0),0)</f>
        <v>1182.73333333333</v>
      </c>
      <c r="J1007" s="131" cm="1">
        <f ca="1" t="array" ref="J1007">IF(J1609=1,OFFSET($W$634,$B1007,J$631-1)/SUMPRODUCT(--($D$631:$V$631=J$631),--($D1609:$V1609=1)),0)+SUM(J1006)+IF(COUNTIF(J$1237:J1609,1)=1,5,0)+IF(COUNTIF(K1007:$W1007,"&gt;"&amp;0)&lt;5,IF(AND(COUNTIF(J$1237:J1609,1)&gt;7,MOD(1+IFERROR(MATCH($C1007,总览!$D$46:$D$345,1)+1,1),7)=0),$C$3,0),0)</f>
        <v>1179.4</v>
      </c>
      <c r="K1007" s="131" cm="1">
        <f ca="1" t="array" ref="K1007">IF(K1609=1,OFFSET($W$634,$B1007,K$631-1)/SUMPRODUCT(--($D$631:$V$631=K$631),--($D1609:$V1609=1)),0)+SUM(K1006)+IF(COUNTIF(K$1237:K1609,1)=1,5,0)+IF(COUNTIF(L1007:$W1007,"&gt;"&amp;0)&lt;5,IF(AND(COUNTIF(K$1237:K1609,1)&gt;7,MOD(1+IFERROR(MATCH($C1007,总览!$D$46:$D$345,1)+1,1),7)=0),$C$3,0),0)</f>
        <v>1176.9</v>
      </c>
      <c r="L1007" s="131" cm="1">
        <f ca="1" t="array" ref="L1007">IF(L1609=1,OFFSET($W$634,$B1007,L$631-1)/SUMPRODUCT(--($D$631:$V$631=L$631),--($D1609:$V1609=1)),0)+SUM(L1006)+IF(COUNTIF(L$1237:L1609,1)=1,5,0)+IF(COUNTIF(M1007:$W1007,"&gt;"&amp;0)&lt;5,IF(AND(COUNTIF(L$1237:L1609,1)&gt;7,MOD(1+IFERROR(MATCH($C1007,总览!$D$46:$D$345,1)+1,1),7)=0),$C$3,0),0)</f>
        <v>1176.9</v>
      </c>
      <c r="M1007" s="131" cm="1">
        <f ca="1" t="array" ref="M1007">IF(M1609=1,OFFSET($W$634,$B1007,M$631-1)/SUMPRODUCT(--($D$631:$V$631=M$631),--($D1609:$V1609=1)),0)+SUM(M1006)+IF(COUNTIF(M$1237:M1609,1)=1,5,0)+IF(COUNTIF(N1007:$W1007,"&gt;"&amp;0)&lt;5,IF(AND(COUNTIF(M$1237:M1609,1)&gt;7,MOD(1+IFERROR(MATCH($C1007,总览!$D$46:$D$345,1)+1,1),7)=0),$C$3,0),0)</f>
        <v>490.609821428573</v>
      </c>
      <c r="N1007" s="131" cm="1">
        <f ca="1" t="array" ref="N1007">IF(N1609=1,OFFSET($W$634,$B1007,N$631-1)/SUMPRODUCT(--($D$631:$V$631=N$631),--($D1609:$V1609=1)),0)+SUM(N1006)+IF(COUNTIF(N$1237:N1609,1)=1,5,0)+IF(COUNTIF(O1007:$W1007,"&gt;"&amp;0)&lt;5,IF(AND(COUNTIF(N$1237:N1609,1)&gt;7,MOD(1+IFERROR(MATCH($C1007,总览!$D$46:$D$345,1)+1,1),7)=0),$C$3,0),0)</f>
        <v>491.859821428573</v>
      </c>
      <c r="O1007" s="131" cm="1">
        <f ca="1" t="array" ref="O1007">IF(O1609=1,OFFSET($W$634,$B1007,O$631-1)/SUMPRODUCT(--($D$631:$V$631=O$631),--($D1609:$V1609=1)),0)+SUM(O1006)+IF(COUNTIF(O$1237:O1609,1)=1,5,0)+IF(COUNTIF(P1007:$W1007,"&gt;"&amp;0)&lt;5,IF(AND(COUNTIF(O$1237:O1609,1)&gt;7,MOD(1+IFERROR(MATCH($C1007,总览!$D$46:$D$345,1)+1,1),7)=0),$C$3,0),0)</f>
        <v>496.859821428573</v>
      </c>
      <c r="P1007" s="131" cm="1">
        <f ca="1" t="array" ref="P1007">IF(P1609=1,OFFSET($W$634,$B1007,P$631-1)/SUMPRODUCT(--($D$631:$V$631=P$631),--($D1609:$V1609=1)),0)+SUM(P1006)+IF(COUNTIF(P$1237:P1609,1)=1,5,0)+IF(COUNTIF(Q1007:$W1007,"&gt;"&amp;0)&lt;5,IF(AND(COUNTIF(P$1237:P1609,1)&gt;7,MOD(1+IFERROR(MATCH($C1007,总览!$D$46:$D$345,1)+1,1),7)=0),$C$3,0),0)</f>
        <v>485.978571428573</v>
      </c>
      <c r="Q1007" s="131" cm="1">
        <f ca="1" t="array" ref="Q1007">IF(Q1609=1,OFFSET($W$634,$B1007,Q$631-1)/SUMPRODUCT(--($D$631:$V$631=Q$631),--($D1609:$V1609=1)),0)+SUM(Q1006)+IF(COUNTIF(Q$1237:Q1609,1)=1,5,0)+IF(COUNTIF(R1007:$W1007,"&gt;"&amp;0)&lt;5,IF(AND(COUNTIF(Q$1237:Q1609,1)&gt;7,MOD(1+IFERROR(MATCH($C1007,总览!$D$46:$D$345,1)+1,1),7)=0),$C$3,0),0)</f>
        <v>499.359821428573</v>
      </c>
      <c r="R1007" s="131" cm="1">
        <f ca="1" t="array" ref="R1007">IF(R1609=1,OFFSET($W$634,$B1007,R$631-1)/SUMPRODUCT(--($D$631:$V$631=R$631),--($D1609:$V1609=1)),0)+SUM(R1006)+IF(COUNTIF(R$1237:R1609,1)=1,5,0)+IF(COUNTIF(S1007:$W1007,"&gt;"&amp;0)&lt;5,IF(AND(COUNTIF(R$1237:R1609,1)&gt;7,MOD(1+IFERROR(MATCH($C1007,总览!$D$46:$D$345,1)+1,1),7)=0),$C$3,0),0)</f>
        <v>490.978571428573</v>
      </c>
      <c r="S1007" s="131" cm="1">
        <f ca="1" t="array" ref="S1007">IF(S1609=1,OFFSET($W$634,$B1007,S$631-1)/SUMPRODUCT(--($D$631:$V$631=S$631),--($D1609:$V1609=1)),0)+SUM(S1006)+IF(COUNTIF(S$1237:S1609,1)=1,5,0)+IF(COUNTIF(T1007:$W1007,"&gt;"&amp;0)&lt;5,IF(AND(COUNTIF(S$1237:S1609,1)&gt;7,MOD(1+IFERROR(MATCH($C1007,总览!$D$46:$D$345,1)+1,1),7)=0),$C$3,0),0)</f>
        <v>583.478571428574</v>
      </c>
      <c r="T1007" s="131" cm="1">
        <f ca="1" t="array" ref="T1007">IF(T1609=1,OFFSET($W$634,$B1007,T$631-1)/SUMPRODUCT(--($D$631:$V$631=T$631),--($D1609:$V1609=1)),0)+SUM(T1006)+IF(COUNTIF(T$1237:T1609,1)=1,5,0)+IF(COUNTIF(U1007:$W1007,"&gt;"&amp;0)&lt;5,IF(AND(COUNTIF(T$1237:T1609,1)&gt;7,MOD(1+IFERROR(MATCH($C1007,总览!$D$46:$D$345,1)+1,1),7)=0),$C$3,0),0)</f>
        <v>426.787931288599</v>
      </c>
      <c r="U1007" s="131" cm="1">
        <f ca="1" t="array" ref="U1007">IF(U1609=1,OFFSET($W$634,$B1007,U$631-1)/SUMPRODUCT(--($D$631:$V$631=U$631),--($D1609:$V1609=1)),0)+SUM(U1006)+IF(COUNTIF(U$1237:U1609,1)=1,5,0)+IF(COUNTIF(V1007:$W1007,"&gt;"&amp;0)&lt;5,IF(AND(COUNTIF(U$1237:U1609,1)&gt;7,MOD(1+IFERROR(MATCH($C1007,总览!$D$46:$D$345,1)+1,1),7)=0),$C$3,0),0)</f>
        <v>432.308717643899</v>
      </c>
      <c r="V1007" s="131" cm="1">
        <f ca="1" t="array" ref="V1007">IF(V1609=1,OFFSET($W$634,$B1007,V$631-1)/SUMPRODUCT(--($D$631:$V$631=V$631),--($D1609:$V1609=1)),0)+SUM(V1006)+IF(COUNTIF(V$1237:V1609,1)=1,5,0)+IF(COUNTIF(W1007:$W1007,"&gt;"&amp;0)&lt;5,IF(AND(COUNTIF(V$1237:V1609,1)&gt;7,MOD(1+IFERROR(MATCH($C1007,总览!$D$46:$D$345,1)+1,1),7)=0),$C$3,0),0)</f>
        <v>452.135717356332</v>
      </c>
      <c r="W1007" s="135" cm="1">
        <f ca="1" t="array" ref="W1007">SUMPRODUCT(TRANSPOSE($AA1007:$AG1007),OFFSET($L$9:$L$15,0,W$631-1))</f>
        <v>16.8502200646615</v>
      </c>
      <c r="X1007" s="135" cm="1">
        <f ca="1" t="array" ref="X1007">SUMPRODUCT(TRANSPOSE($AA1007:$AG1007),OFFSET($L$9:$L$15,0,X$631-1))</f>
        <v>20</v>
      </c>
      <c r="Y1007" s="135" cm="1">
        <f ca="1" t="array" ref="Y1007">SUMPRODUCT(TRANSPOSE($AA1007:$AG1007),OFFSET($L$9:$L$15,0,Y$631-1))</f>
        <v>10</v>
      </c>
      <c r="Z1007" s="135" cm="1">
        <f ca="1" t="array" ref="Z1007">SUMPRODUCT(TRANSPOSE($AA1007:$AG1007),OFFSET($L$9:$L$15,0,Z$631-1))</f>
        <v>3.14977993533847</v>
      </c>
      <c r="AA1007" s="136">
        <f ca="1" t="shared" ref="AA1007:AG1007" si="995">AH1007-AH1006</f>
        <v>0</v>
      </c>
      <c r="AB1007" s="136">
        <f ca="1" t="shared" si="995"/>
        <v>0</v>
      </c>
      <c r="AC1007" s="136">
        <f ca="1" t="shared" si="995"/>
        <v>0</v>
      </c>
      <c r="AD1007" s="136">
        <f ca="1" t="shared" si="995"/>
        <v>0</v>
      </c>
      <c r="AE1007" s="136">
        <f ca="1" t="shared" si="995"/>
        <v>0</v>
      </c>
      <c r="AF1007" s="136">
        <f ca="1" t="shared" si="995"/>
        <v>0</v>
      </c>
      <c r="AG1007" s="136">
        <f ca="1" t="shared" si="995"/>
        <v>100</v>
      </c>
      <c r="AH1007" s="136">
        <f ca="1" t="shared" si="891"/>
        <v>450</v>
      </c>
      <c r="AI1007" s="136">
        <f ca="1" t="shared" ref="AI1007:AN1007" si="996">IF($C1007&gt;OFFSET($Q$8,MATCH(AI$634,$AH$634:$AN$634,0),0),OFFSET($P$8,MATCH(AI$634,$AH$634:$AN$634,0),0),MAX(0,$C1007-OFFSET($Q$8,RIGHT(AI$634,1)-1,0)))</f>
        <v>909</v>
      </c>
      <c r="AJ1007" s="136">
        <f ca="1" t="shared" si="996"/>
        <v>1818</v>
      </c>
      <c r="AK1007" s="136">
        <f ca="1" t="shared" si="996"/>
        <v>2727</v>
      </c>
      <c r="AL1007" s="136">
        <f ca="1" t="shared" si="996"/>
        <v>3636</v>
      </c>
      <c r="AM1007" s="136">
        <f ca="1" t="shared" si="996"/>
        <v>4545</v>
      </c>
      <c r="AN1007" s="136">
        <f ca="1" t="shared" si="996"/>
        <v>23215</v>
      </c>
    </row>
    <row r="1008" s="106" customFormat="1" ht="16.5" spans="2:40">
      <c r="B1008" s="117">
        <v>374</v>
      </c>
      <c r="C1008" s="130">
        <f t="shared" si="889"/>
        <v>37400</v>
      </c>
      <c r="D1008" s="131" cm="1">
        <f ca="1" t="array" ref="D1008">IF(D1610=1,OFFSET($W$634,$B1008,D$631-1)/SUMPRODUCT(--($D$631:$V$631=D$631),--($D1610:$V1610=1)),0)+SUM(D1007)+IF(COUNTIF(D$1237:D1610,1)=1,5,0)+IF(COUNTIF(E1008:$W1008,"&gt;"&amp;0)&lt;5,IF(AND(COUNTIF(D$1237:D1610,1)&gt;7,MOD(1+IFERROR(MATCH($C1008,总览!$D$46:$D$345,1)+1,1),7)=0),$C$3,0),0)</f>
        <v>2428.36428459195</v>
      </c>
      <c r="E1008" s="131" cm="1">
        <f ca="1" t="array" ref="E1008">IF(E1610=1,OFFSET($W$634,$B1008,E$631-1)/SUMPRODUCT(--($D$631:$V$631=E$631),--($D1610:$V1610=1)),0)+SUM(E1007)+IF(COUNTIF(E$1237:E1610,1)=1,5,0)+IF(COUNTIF(F1008:$W1008,"&gt;"&amp;0)&lt;5,IF(AND(COUNTIF(E$1237:E1610,1)&gt;7,MOD(1+IFERROR(MATCH($C1008,总览!$D$46:$D$345,1)+1,1),7)=0),$C$3,0),0)</f>
        <v>2428.36428459195</v>
      </c>
      <c r="F1008" s="131" cm="1">
        <f ca="1" t="array" ref="F1008">IF(F1610=1,OFFSET($W$634,$B1008,F$631-1)/SUMPRODUCT(--($D$631:$V$631=F$631),--($D1610:$V1610=1)),0)+SUM(F1007)+IF(COUNTIF(F$1237:F1610,1)=1,5,0)+IF(COUNTIF(G1008:$W1008,"&gt;"&amp;0)&lt;5,IF(AND(COUNTIF(F$1237:F1610,1)&gt;7,MOD(1+IFERROR(MATCH($C1008,总览!$D$46:$D$345,1)+1,1),7)=0),$C$3,0),0)</f>
        <v>2428.36428459195</v>
      </c>
      <c r="G1008" s="131" cm="1">
        <f ca="1" t="array" ref="G1008">IF(G1610=1,OFFSET($W$634,$B1008,G$631-1)/SUMPRODUCT(--($D$631:$V$631=G$631),--($D1610:$V1610=1)),0)+SUM(G1007)+IF(COUNTIF(G$1237:G1610,1)=1,5,0)+IF(COUNTIF(H1008:$W1008,"&gt;"&amp;0)&lt;5,IF(AND(COUNTIF(G$1237:G1610,1)&gt;7,MOD(1+IFERROR(MATCH($C1008,总览!$D$46:$D$345,1)+1,1),7)=0),$C$3,0),0)</f>
        <v>1186.06666666667</v>
      </c>
      <c r="H1008" s="131" cm="1">
        <f ca="1" t="array" ref="H1008">IF(H1610=1,OFFSET($W$634,$B1008,H$631-1)/SUMPRODUCT(--($D$631:$V$631=H$631),--($D1610:$V1610=1)),0)+SUM(H1007)+IF(COUNTIF(H$1237:H1610,1)=1,5,0)+IF(COUNTIF(I1008:$W1008,"&gt;"&amp;0)&lt;5,IF(AND(COUNTIF(H$1237:H1610,1)&gt;7,MOD(1+IFERROR(MATCH($C1008,总览!$D$46:$D$345,1)+1,1),7)=0),$C$3,0),0)</f>
        <v>1186.06666666667</v>
      </c>
      <c r="I1008" s="131" cm="1">
        <f ca="1" t="array" ref="I1008">IF(I1610=1,OFFSET($W$634,$B1008,I$631-1)/SUMPRODUCT(--($D$631:$V$631=I$631),--($D1610:$V1610=1)),0)+SUM(I1007)+IF(COUNTIF(I$1237:I1610,1)=1,5,0)+IF(COUNTIF(J1008:$W1008,"&gt;"&amp;0)&lt;5,IF(AND(COUNTIF(I$1237:I1610,1)&gt;7,MOD(1+IFERROR(MATCH($C1008,总览!$D$46:$D$345,1)+1,1),7)=0),$C$3,0),0)</f>
        <v>1186.06666666667</v>
      </c>
      <c r="J1008" s="131" cm="1">
        <f ca="1" t="array" ref="J1008">IF(J1610=1,OFFSET($W$634,$B1008,J$631-1)/SUMPRODUCT(--($D$631:$V$631=J$631),--($D1610:$V1610=1)),0)+SUM(J1007)+IF(COUNTIF(J$1237:J1610,1)=1,5,0)+IF(COUNTIF(K1008:$W1008,"&gt;"&amp;0)&lt;5,IF(AND(COUNTIF(J$1237:J1610,1)&gt;7,MOD(1+IFERROR(MATCH($C1008,总览!$D$46:$D$345,1)+1,1),7)=0),$C$3,0),0)</f>
        <v>1182.73333333333</v>
      </c>
      <c r="K1008" s="131" cm="1">
        <f ca="1" t="array" ref="K1008">IF(K1610=1,OFFSET($W$634,$B1008,K$631-1)/SUMPRODUCT(--($D$631:$V$631=K$631),--($D1610:$V1610=1)),0)+SUM(K1007)+IF(COUNTIF(K$1237:K1610,1)=1,5,0)+IF(COUNTIF(L1008:$W1008,"&gt;"&amp;0)&lt;5,IF(AND(COUNTIF(K$1237:K1610,1)&gt;7,MOD(1+IFERROR(MATCH($C1008,总览!$D$46:$D$345,1)+1,1),7)=0),$C$3,0),0)</f>
        <v>1180.23333333333</v>
      </c>
      <c r="L1008" s="131" cm="1">
        <f ca="1" t="array" ref="L1008">IF(L1610=1,OFFSET($W$634,$B1008,L$631-1)/SUMPRODUCT(--($D$631:$V$631=L$631),--($D1610:$V1610=1)),0)+SUM(L1007)+IF(COUNTIF(L$1237:L1610,1)=1,5,0)+IF(COUNTIF(M1008:$W1008,"&gt;"&amp;0)&lt;5,IF(AND(COUNTIF(L$1237:L1610,1)&gt;7,MOD(1+IFERROR(MATCH($C1008,总览!$D$46:$D$345,1)+1,1),7)=0),$C$3,0),0)</f>
        <v>1180.23333333333</v>
      </c>
      <c r="M1008" s="131" cm="1">
        <f ca="1" t="array" ref="M1008">IF(M1610=1,OFFSET($W$634,$B1008,M$631-1)/SUMPRODUCT(--($D$631:$V$631=M$631),--($D1610:$V1610=1)),0)+SUM(M1007)+IF(COUNTIF(M$1237:M1610,1)=1,5,0)+IF(COUNTIF(N1008:$W1008,"&gt;"&amp;0)&lt;5,IF(AND(COUNTIF(M$1237:M1610,1)&gt;7,MOD(1+IFERROR(MATCH($C1008,总览!$D$46:$D$345,1)+1,1),7)=0),$C$3,0),0)</f>
        <v>492.038392857144</v>
      </c>
      <c r="N1008" s="131" cm="1">
        <f ca="1" t="array" ref="N1008">IF(N1610=1,OFFSET($W$634,$B1008,N$631-1)/SUMPRODUCT(--($D$631:$V$631=N$631),--($D1610:$V1610=1)),0)+SUM(N1007)+IF(COUNTIF(N$1237:N1610,1)=1,5,0)+IF(COUNTIF(O1008:$W1008,"&gt;"&amp;0)&lt;5,IF(AND(COUNTIF(N$1237:N1610,1)&gt;7,MOD(1+IFERROR(MATCH($C1008,总览!$D$46:$D$345,1)+1,1),7)=0),$C$3,0),0)</f>
        <v>493.288392857144</v>
      </c>
      <c r="O1008" s="131" cm="1">
        <f ca="1" t="array" ref="O1008">IF(O1610=1,OFFSET($W$634,$B1008,O$631-1)/SUMPRODUCT(--($D$631:$V$631=O$631),--($D1610:$V1610=1)),0)+SUM(O1007)+IF(COUNTIF(O$1237:O1610,1)=1,5,0)+IF(COUNTIF(P1008:$W1008,"&gt;"&amp;0)&lt;5,IF(AND(COUNTIF(O$1237:O1610,1)&gt;7,MOD(1+IFERROR(MATCH($C1008,总览!$D$46:$D$345,1)+1,1),7)=0),$C$3,0),0)</f>
        <v>498.288392857144</v>
      </c>
      <c r="P1008" s="131" cm="1">
        <f ca="1" t="array" ref="P1008">IF(P1610=1,OFFSET($W$634,$B1008,P$631-1)/SUMPRODUCT(--($D$631:$V$631=P$631),--($D1610:$V1610=1)),0)+SUM(P1007)+IF(COUNTIF(P$1237:P1610,1)=1,5,0)+IF(COUNTIF(Q1008:$W1008,"&gt;"&amp;0)&lt;5,IF(AND(COUNTIF(P$1237:P1610,1)&gt;7,MOD(1+IFERROR(MATCH($C1008,总览!$D$46:$D$345,1)+1,1),7)=0),$C$3,0),0)</f>
        <v>487.407142857144</v>
      </c>
      <c r="Q1008" s="131" cm="1">
        <f ca="1" t="array" ref="Q1008">IF(Q1610=1,OFFSET($W$634,$B1008,Q$631-1)/SUMPRODUCT(--($D$631:$V$631=Q$631),--($D1610:$V1610=1)),0)+SUM(Q1007)+IF(COUNTIF(Q$1237:Q1610,1)=1,5,0)+IF(COUNTIF(R1008:$W1008,"&gt;"&amp;0)&lt;5,IF(AND(COUNTIF(Q$1237:Q1610,1)&gt;7,MOD(1+IFERROR(MATCH($C1008,总览!$D$46:$D$345,1)+1,1),7)=0),$C$3,0),0)</f>
        <v>500.788392857144</v>
      </c>
      <c r="R1008" s="131" cm="1">
        <f ca="1" t="array" ref="R1008">IF(R1610=1,OFFSET($W$634,$B1008,R$631-1)/SUMPRODUCT(--($D$631:$V$631=R$631),--($D1610:$V1610=1)),0)+SUM(R1007)+IF(COUNTIF(R$1237:R1610,1)=1,5,0)+IF(COUNTIF(S1008:$W1008,"&gt;"&amp;0)&lt;5,IF(AND(COUNTIF(R$1237:R1610,1)&gt;7,MOD(1+IFERROR(MATCH($C1008,总览!$D$46:$D$345,1)+1,1),7)=0),$C$3,0),0)</f>
        <v>492.407142857144</v>
      </c>
      <c r="S1008" s="131" cm="1">
        <f ca="1" t="array" ref="S1008">IF(S1610=1,OFFSET($W$634,$B1008,S$631-1)/SUMPRODUCT(--($D$631:$V$631=S$631),--($D1610:$V1610=1)),0)+SUM(S1007)+IF(COUNTIF(S$1237:S1610,1)=1,5,0)+IF(COUNTIF(T1008:$W1008,"&gt;"&amp;0)&lt;5,IF(AND(COUNTIF(S$1237:S1610,1)&gt;7,MOD(1+IFERROR(MATCH($C1008,总览!$D$46:$D$345,1)+1,1),7)=0),$C$3,0),0)</f>
        <v>584.907142857145</v>
      </c>
      <c r="T1008" s="131" cm="1">
        <f ca="1" t="array" ref="T1008">IF(T1610=1,OFFSET($W$634,$B1008,T$631-1)/SUMPRODUCT(--($D$631:$V$631=T$631),--($D1610:$V1610=1)),0)+SUM(T1007)+IF(COUNTIF(T$1237:T1610,1)=1,5,0)+IF(COUNTIF(U1008:$W1008,"&gt;"&amp;0)&lt;5,IF(AND(COUNTIF(T$1237:T1610,1)&gt;7,MOD(1+IFERROR(MATCH($C1008,总览!$D$46:$D$345,1)+1,1),7)=0),$C$3,0),0)</f>
        <v>427.837857933712</v>
      </c>
      <c r="U1008" s="131" cm="1">
        <f ca="1" t="array" ref="U1008">IF(U1610=1,OFFSET($W$634,$B1008,U$631-1)/SUMPRODUCT(--($D$631:$V$631=U$631),--($D1610:$V1610=1)),0)+SUM(U1007)+IF(COUNTIF(U$1237:U1610,1)=1,5,0)+IF(COUNTIF(V1008:$W1008,"&gt;"&amp;0)&lt;5,IF(AND(COUNTIF(U$1237:U1610,1)&gt;7,MOD(1+IFERROR(MATCH($C1008,总览!$D$46:$D$345,1)+1,1),7)=0),$C$3,0),0)</f>
        <v>433.358644289012</v>
      </c>
      <c r="V1008" s="131" cm="1">
        <f ca="1" t="array" ref="V1008">IF(V1610=1,OFFSET($W$634,$B1008,V$631-1)/SUMPRODUCT(--($D$631:$V$631=V$631),--($D1610:$V1610=1)),0)+SUM(V1007)+IF(COUNTIF(V$1237:V1610,1)=1,5,0)+IF(COUNTIF(W1008:$W1008,"&gt;"&amp;0)&lt;5,IF(AND(COUNTIF(V$1237:V1610,1)&gt;7,MOD(1+IFERROR(MATCH($C1008,总览!$D$46:$D$345,1)+1,1),7)=0),$C$3,0),0)</f>
        <v>453.185644001445</v>
      </c>
      <c r="W1008" s="135" cm="1">
        <f ca="1" t="array" ref="W1008">SUMPRODUCT(TRANSPOSE($AA1008:$AG1008),OFFSET($L$9:$L$15,0,W$631-1))</f>
        <v>16.8502200646615</v>
      </c>
      <c r="X1008" s="135" cm="1">
        <f ca="1" t="array" ref="X1008">SUMPRODUCT(TRANSPOSE($AA1008:$AG1008),OFFSET($L$9:$L$15,0,X$631-1))</f>
        <v>20</v>
      </c>
      <c r="Y1008" s="135" cm="1">
        <f ca="1" t="array" ref="Y1008">SUMPRODUCT(TRANSPOSE($AA1008:$AG1008),OFFSET($L$9:$L$15,0,Y$631-1))</f>
        <v>10</v>
      </c>
      <c r="Z1008" s="135" cm="1">
        <f ca="1" t="array" ref="Z1008">SUMPRODUCT(TRANSPOSE($AA1008:$AG1008),OFFSET($L$9:$L$15,0,Z$631-1))</f>
        <v>3.14977993533847</v>
      </c>
      <c r="AA1008" s="136">
        <f ca="1" t="shared" ref="AA1008:AG1008" si="997">AH1008-AH1007</f>
        <v>0</v>
      </c>
      <c r="AB1008" s="136">
        <f ca="1" t="shared" si="997"/>
        <v>0</v>
      </c>
      <c r="AC1008" s="136">
        <f ca="1" t="shared" si="997"/>
        <v>0</v>
      </c>
      <c r="AD1008" s="136">
        <f ca="1" t="shared" si="997"/>
        <v>0</v>
      </c>
      <c r="AE1008" s="136">
        <f ca="1" t="shared" si="997"/>
        <v>0</v>
      </c>
      <c r="AF1008" s="136">
        <f ca="1" t="shared" si="997"/>
        <v>0</v>
      </c>
      <c r="AG1008" s="136">
        <f ca="1" t="shared" si="997"/>
        <v>100</v>
      </c>
      <c r="AH1008" s="136">
        <f ca="1" t="shared" si="891"/>
        <v>450</v>
      </c>
      <c r="AI1008" s="136">
        <f ca="1" t="shared" ref="AI1008:AN1008" si="998">IF($C1008&gt;OFFSET($Q$8,MATCH(AI$634,$AH$634:$AN$634,0),0),OFFSET($P$8,MATCH(AI$634,$AH$634:$AN$634,0),0),MAX(0,$C1008-OFFSET($Q$8,RIGHT(AI$634,1)-1,0)))</f>
        <v>909</v>
      </c>
      <c r="AJ1008" s="136">
        <f ca="1" t="shared" si="998"/>
        <v>1818</v>
      </c>
      <c r="AK1008" s="136">
        <f ca="1" t="shared" si="998"/>
        <v>2727</v>
      </c>
      <c r="AL1008" s="136">
        <f ca="1" t="shared" si="998"/>
        <v>3636</v>
      </c>
      <c r="AM1008" s="136">
        <f ca="1" t="shared" si="998"/>
        <v>4545</v>
      </c>
      <c r="AN1008" s="136">
        <f ca="1" t="shared" si="998"/>
        <v>23315</v>
      </c>
    </row>
    <row r="1009" s="106" customFormat="1" ht="16.5" spans="2:40">
      <c r="B1009" s="117">
        <v>375</v>
      </c>
      <c r="C1009" s="130">
        <f t="shared" si="889"/>
        <v>37500</v>
      </c>
      <c r="D1009" s="131" cm="1">
        <f ca="1" t="array" ref="D1009">IF(D1611=1,OFFSET($W$634,$B1009,D$631-1)/SUMPRODUCT(--($D$631:$V$631=D$631),--($D1611:$V1611=1)),0)+SUM(D1008)+IF(COUNTIF(D$1237:D1611,1)=1,5,0)+IF(COUNTIF(E1009:$W1009,"&gt;"&amp;0)&lt;5,IF(AND(COUNTIF(D$1237:D1611,1)&gt;7,MOD(1+IFERROR(MATCH($C1009,总览!$D$46:$D$345,1)+1,1),7)=0),$C$3,0),0)</f>
        <v>2433.98102461351</v>
      </c>
      <c r="E1009" s="131" cm="1">
        <f ca="1" t="array" ref="E1009">IF(E1611=1,OFFSET($W$634,$B1009,E$631-1)/SUMPRODUCT(--($D$631:$V$631=E$631),--($D1611:$V1611=1)),0)+SUM(E1008)+IF(COUNTIF(E$1237:E1611,1)=1,5,0)+IF(COUNTIF(F1009:$W1009,"&gt;"&amp;0)&lt;5,IF(AND(COUNTIF(E$1237:E1611,1)&gt;7,MOD(1+IFERROR(MATCH($C1009,总览!$D$46:$D$345,1)+1,1),7)=0),$C$3,0),0)</f>
        <v>2433.98102461351</v>
      </c>
      <c r="F1009" s="131" cm="1">
        <f ca="1" t="array" ref="F1009">IF(F1611=1,OFFSET($W$634,$B1009,F$631-1)/SUMPRODUCT(--($D$631:$V$631=F$631),--($D1611:$V1611=1)),0)+SUM(F1008)+IF(COUNTIF(F$1237:F1611,1)=1,5,0)+IF(COUNTIF(G1009:$W1009,"&gt;"&amp;0)&lt;5,IF(AND(COUNTIF(F$1237:F1611,1)&gt;7,MOD(1+IFERROR(MATCH($C1009,总览!$D$46:$D$345,1)+1,1),7)=0),$C$3,0),0)</f>
        <v>2433.98102461351</v>
      </c>
      <c r="G1009" s="131" cm="1">
        <f ca="1" t="array" ref="G1009">IF(G1611=1,OFFSET($W$634,$B1009,G$631-1)/SUMPRODUCT(--($D$631:$V$631=G$631),--($D1611:$V1611=1)),0)+SUM(G1008)+IF(COUNTIF(G$1237:G1611,1)=1,5,0)+IF(COUNTIF(H1009:$W1009,"&gt;"&amp;0)&lt;5,IF(AND(COUNTIF(G$1237:G1611,1)&gt;7,MOD(1+IFERROR(MATCH($C1009,总览!$D$46:$D$345,1)+1,1),7)=0),$C$3,0),0)</f>
        <v>1189.4</v>
      </c>
      <c r="H1009" s="131" cm="1">
        <f ca="1" t="array" ref="H1009">IF(H1611=1,OFFSET($W$634,$B1009,H$631-1)/SUMPRODUCT(--($D$631:$V$631=H$631),--($D1611:$V1611=1)),0)+SUM(H1008)+IF(COUNTIF(H$1237:H1611,1)=1,5,0)+IF(COUNTIF(I1009:$W1009,"&gt;"&amp;0)&lt;5,IF(AND(COUNTIF(H$1237:H1611,1)&gt;7,MOD(1+IFERROR(MATCH($C1009,总览!$D$46:$D$345,1)+1,1),7)=0),$C$3,0),0)</f>
        <v>1189.4</v>
      </c>
      <c r="I1009" s="131" cm="1">
        <f ca="1" t="array" ref="I1009">IF(I1611=1,OFFSET($W$634,$B1009,I$631-1)/SUMPRODUCT(--($D$631:$V$631=I$631),--($D1611:$V1611=1)),0)+SUM(I1008)+IF(COUNTIF(I$1237:I1611,1)=1,5,0)+IF(COUNTIF(J1009:$W1009,"&gt;"&amp;0)&lt;5,IF(AND(COUNTIF(I$1237:I1611,1)&gt;7,MOD(1+IFERROR(MATCH($C1009,总览!$D$46:$D$345,1)+1,1),7)=0),$C$3,0),0)</f>
        <v>1189.4</v>
      </c>
      <c r="J1009" s="131" cm="1">
        <f ca="1" t="array" ref="J1009">IF(J1611=1,OFFSET($W$634,$B1009,J$631-1)/SUMPRODUCT(--($D$631:$V$631=J$631),--($D1611:$V1611=1)),0)+SUM(J1008)+IF(COUNTIF(J$1237:J1611,1)=1,5,0)+IF(COUNTIF(K1009:$W1009,"&gt;"&amp;0)&lt;5,IF(AND(COUNTIF(J$1237:J1611,1)&gt;7,MOD(1+IFERROR(MATCH($C1009,总览!$D$46:$D$345,1)+1,1),7)=0),$C$3,0),0)</f>
        <v>1186.06666666667</v>
      </c>
      <c r="K1009" s="131" cm="1">
        <f ca="1" t="array" ref="K1009">IF(K1611=1,OFFSET($W$634,$B1009,K$631-1)/SUMPRODUCT(--($D$631:$V$631=K$631),--($D1611:$V1611=1)),0)+SUM(K1008)+IF(COUNTIF(K$1237:K1611,1)=1,5,0)+IF(COUNTIF(L1009:$W1009,"&gt;"&amp;0)&lt;5,IF(AND(COUNTIF(K$1237:K1611,1)&gt;7,MOD(1+IFERROR(MATCH($C1009,总览!$D$46:$D$345,1)+1,1),7)=0),$C$3,0),0)</f>
        <v>1183.56666666667</v>
      </c>
      <c r="L1009" s="131" cm="1">
        <f ca="1" t="array" ref="L1009">IF(L1611=1,OFFSET($W$634,$B1009,L$631-1)/SUMPRODUCT(--($D$631:$V$631=L$631),--($D1611:$V1611=1)),0)+SUM(L1008)+IF(COUNTIF(L$1237:L1611,1)=1,5,0)+IF(COUNTIF(M1009:$W1009,"&gt;"&amp;0)&lt;5,IF(AND(COUNTIF(L$1237:L1611,1)&gt;7,MOD(1+IFERROR(MATCH($C1009,总览!$D$46:$D$345,1)+1,1),7)=0),$C$3,0),0)</f>
        <v>1183.56666666667</v>
      </c>
      <c r="M1009" s="131" cm="1">
        <f ca="1" t="array" ref="M1009">IF(M1611=1,OFFSET($W$634,$B1009,M$631-1)/SUMPRODUCT(--($D$631:$V$631=M$631),--($D1611:$V1611=1)),0)+SUM(M1008)+IF(COUNTIF(M$1237:M1611,1)=1,5,0)+IF(COUNTIF(N1009:$W1009,"&gt;"&amp;0)&lt;5,IF(AND(COUNTIF(M$1237:M1611,1)&gt;7,MOD(1+IFERROR(MATCH($C1009,总览!$D$46:$D$345,1)+1,1),7)=0),$C$3,0),0)</f>
        <v>493.466964285716</v>
      </c>
      <c r="N1009" s="131" cm="1">
        <f ca="1" t="array" ref="N1009">IF(N1611=1,OFFSET($W$634,$B1009,N$631-1)/SUMPRODUCT(--($D$631:$V$631=N$631),--($D1611:$V1611=1)),0)+SUM(N1008)+IF(COUNTIF(N$1237:N1611,1)=1,5,0)+IF(COUNTIF(O1009:$W1009,"&gt;"&amp;0)&lt;5,IF(AND(COUNTIF(N$1237:N1611,1)&gt;7,MOD(1+IFERROR(MATCH($C1009,总览!$D$46:$D$345,1)+1,1),7)=0),$C$3,0),0)</f>
        <v>494.716964285716</v>
      </c>
      <c r="O1009" s="131" cm="1">
        <f ca="1" t="array" ref="O1009">IF(O1611=1,OFFSET($W$634,$B1009,O$631-1)/SUMPRODUCT(--($D$631:$V$631=O$631),--($D1611:$V1611=1)),0)+SUM(O1008)+IF(COUNTIF(O$1237:O1611,1)=1,5,0)+IF(COUNTIF(P1009:$W1009,"&gt;"&amp;0)&lt;5,IF(AND(COUNTIF(O$1237:O1611,1)&gt;7,MOD(1+IFERROR(MATCH($C1009,总览!$D$46:$D$345,1)+1,1),7)=0),$C$3,0),0)</f>
        <v>499.716964285716</v>
      </c>
      <c r="P1009" s="131" cm="1">
        <f ca="1" t="array" ref="P1009">IF(P1611=1,OFFSET($W$634,$B1009,P$631-1)/SUMPRODUCT(--($D$631:$V$631=P$631),--($D1611:$V1611=1)),0)+SUM(P1008)+IF(COUNTIF(P$1237:P1611,1)=1,5,0)+IF(COUNTIF(Q1009:$W1009,"&gt;"&amp;0)&lt;5,IF(AND(COUNTIF(P$1237:P1611,1)&gt;7,MOD(1+IFERROR(MATCH($C1009,总览!$D$46:$D$345,1)+1,1),7)=0),$C$3,0),0)</f>
        <v>488.835714285716</v>
      </c>
      <c r="Q1009" s="131" cm="1">
        <f ca="1" t="array" ref="Q1009">IF(Q1611=1,OFFSET($W$634,$B1009,Q$631-1)/SUMPRODUCT(--($D$631:$V$631=Q$631),--($D1611:$V1611=1)),0)+SUM(Q1008)+IF(COUNTIF(Q$1237:Q1611,1)=1,5,0)+IF(COUNTIF(R1009:$W1009,"&gt;"&amp;0)&lt;5,IF(AND(COUNTIF(Q$1237:Q1611,1)&gt;7,MOD(1+IFERROR(MATCH($C1009,总览!$D$46:$D$345,1)+1,1),7)=0),$C$3,0),0)</f>
        <v>502.216964285716</v>
      </c>
      <c r="R1009" s="131" cm="1">
        <f ca="1" t="array" ref="R1009">IF(R1611=1,OFFSET($W$634,$B1009,R$631-1)/SUMPRODUCT(--($D$631:$V$631=R$631),--($D1611:$V1611=1)),0)+SUM(R1008)+IF(COUNTIF(R$1237:R1611,1)=1,5,0)+IF(COUNTIF(S1009:$W1009,"&gt;"&amp;0)&lt;5,IF(AND(COUNTIF(R$1237:R1611,1)&gt;7,MOD(1+IFERROR(MATCH($C1009,总览!$D$46:$D$345,1)+1,1),7)=0),$C$3,0),0)</f>
        <v>493.835714285716</v>
      </c>
      <c r="S1009" s="131" cm="1">
        <f ca="1" t="array" ref="S1009">IF(S1611=1,OFFSET($W$634,$B1009,S$631-1)/SUMPRODUCT(--($D$631:$V$631=S$631),--($D1611:$V1611=1)),0)+SUM(S1008)+IF(COUNTIF(S$1237:S1611,1)=1,5,0)+IF(COUNTIF(T1009:$W1009,"&gt;"&amp;0)&lt;5,IF(AND(COUNTIF(S$1237:S1611,1)&gt;7,MOD(1+IFERROR(MATCH($C1009,总览!$D$46:$D$345,1)+1,1),7)=0),$C$3,0),0)</f>
        <v>586.335714285717</v>
      </c>
      <c r="T1009" s="131" cm="1">
        <f ca="1" t="array" ref="T1009">IF(T1611=1,OFFSET($W$634,$B1009,T$631-1)/SUMPRODUCT(--($D$631:$V$631=T$631),--($D1611:$V1611=1)),0)+SUM(T1008)+IF(COUNTIF(T$1237:T1611,1)=1,5,0)+IF(COUNTIF(U1009:$W1009,"&gt;"&amp;0)&lt;5,IF(AND(COUNTIF(T$1237:T1611,1)&gt;7,MOD(1+IFERROR(MATCH($C1009,总览!$D$46:$D$345,1)+1,1),7)=0),$C$3,0),0)</f>
        <v>428.887784578825</v>
      </c>
      <c r="U1009" s="131" cm="1">
        <f ca="1" t="array" ref="U1009">IF(U1611=1,OFFSET($W$634,$B1009,U$631-1)/SUMPRODUCT(--($D$631:$V$631=U$631),--($D1611:$V1611=1)),0)+SUM(U1008)+IF(COUNTIF(U$1237:U1611,1)=1,5,0)+IF(COUNTIF(V1009:$W1009,"&gt;"&amp;0)&lt;5,IF(AND(COUNTIF(U$1237:U1611,1)&gt;7,MOD(1+IFERROR(MATCH($C1009,总览!$D$46:$D$345,1)+1,1),7)=0),$C$3,0),0)</f>
        <v>434.408570934124</v>
      </c>
      <c r="V1009" s="131" cm="1">
        <f ca="1" t="array" ref="V1009">IF(V1611=1,OFFSET($W$634,$B1009,V$631-1)/SUMPRODUCT(--($D$631:$V$631=V$631),--($D1611:$V1611=1)),0)+SUM(V1008)+IF(COUNTIF(V$1237:V1611,1)=1,5,0)+IF(COUNTIF(W1009:$W1009,"&gt;"&amp;0)&lt;5,IF(AND(COUNTIF(V$1237:V1611,1)&gt;7,MOD(1+IFERROR(MATCH($C1009,总览!$D$46:$D$345,1)+1,1),7)=0),$C$3,0),0)</f>
        <v>454.235570646557</v>
      </c>
      <c r="W1009" s="135" cm="1">
        <f ca="1" t="array" ref="W1009">SUMPRODUCT(TRANSPOSE($AA1009:$AG1009),OFFSET($L$9:$L$15,0,W$631-1))</f>
        <v>16.8502200646615</v>
      </c>
      <c r="X1009" s="135" cm="1">
        <f ca="1" t="array" ref="X1009">SUMPRODUCT(TRANSPOSE($AA1009:$AG1009),OFFSET($L$9:$L$15,0,X$631-1))</f>
        <v>20</v>
      </c>
      <c r="Y1009" s="135" cm="1">
        <f ca="1" t="array" ref="Y1009">SUMPRODUCT(TRANSPOSE($AA1009:$AG1009),OFFSET($L$9:$L$15,0,Y$631-1))</f>
        <v>10</v>
      </c>
      <c r="Z1009" s="135" cm="1">
        <f ca="1" t="array" ref="Z1009">SUMPRODUCT(TRANSPOSE($AA1009:$AG1009),OFFSET($L$9:$L$15,0,Z$631-1))</f>
        <v>3.14977993533847</v>
      </c>
      <c r="AA1009" s="136">
        <f ca="1" t="shared" ref="AA1009:AG1009" si="999">AH1009-AH1008</f>
        <v>0</v>
      </c>
      <c r="AB1009" s="136">
        <f ca="1" t="shared" si="999"/>
        <v>0</v>
      </c>
      <c r="AC1009" s="136">
        <f ca="1" t="shared" si="999"/>
        <v>0</v>
      </c>
      <c r="AD1009" s="136">
        <f ca="1" t="shared" si="999"/>
        <v>0</v>
      </c>
      <c r="AE1009" s="136">
        <f ca="1" t="shared" si="999"/>
        <v>0</v>
      </c>
      <c r="AF1009" s="136">
        <f ca="1" t="shared" si="999"/>
        <v>0</v>
      </c>
      <c r="AG1009" s="136">
        <f ca="1" t="shared" si="999"/>
        <v>100</v>
      </c>
      <c r="AH1009" s="136">
        <f ca="1" t="shared" si="891"/>
        <v>450</v>
      </c>
      <c r="AI1009" s="136">
        <f ca="1" t="shared" ref="AI1009:AN1009" si="1000">IF($C1009&gt;OFFSET($Q$8,MATCH(AI$634,$AH$634:$AN$634,0),0),OFFSET($P$8,MATCH(AI$634,$AH$634:$AN$634,0),0),MAX(0,$C1009-OFFSET($Q$8,RIGHT(AI$634,1)-1,0)))</f>
        <v>909</v>
      </c>
      <c r="AJ1009" s="136">
        <f ca="1" t="shared" si="1000"/>
        <v>1818</v>
      </c>
      <c r="AK1009" s="136">
        <f ca="1" t="shared" si="1000"/>
        <v>2727</v>
      </c>
      <c r="AL1009" s="136">
        <f ca="1" t="shared" si="1000"/>
        <v>3636</v>
      </c>
      <c r="AM1009" s="136">
        <f ca="1" t="shared" si="1000"/>
        <v>4545</v>
      </c>
      <c r="AN1009" s="136">
        <f ca="1" t="shared" si="1000"/>
        <v>23415</v>
      </c>
    </row>
    <row r="1010" s="106" customFormat="1" ht="16.5" spans="2:40">
      <c r="B1010" s="117">
        <v>376</v>
      </c>
      <c r="C1010" s="130">
        <f t="shared" si="889"/>
        <v>37600</v>
      </c>
      <c r="D1010" s="131" cm="1">
        <f ca="1" t="array" ref="D1010">IF(D1612=1,OFFSET($W$634,$B1010,D$631-1)/SUMPRODUCT(--($D$631:$V$631=D$631),--($D1612:$V1612=1)),0)+SUM(D1009)+IF(COUNTIF(D$1237:D1612,1)=1,5,0)+IF(COUNTIF(E1010:$W1010,"&gt;"&amp;0)&lt;5,IF(AND(COUNTIF(D$1237:D1612,1)&gt;7,MOD(1+IFERROR(MATCH($C1010,总览!$D$46:$D$345,1)+1,1),7)=0),$C$3,0),0)</f>
        <v>2439.59776463506</v>
      </c>
      <c r="E1010" s="131" cm="1">
        <f ca="1" t="array" ref="E1010">IF(E1612=1,OFFSET($W$634,$B1010,E$631-1)/SUMPRODUCT(--($D$631:$V$631=E$631),--($D1612:$V1612=1)),0)+SUM(E1009)+IF(COUNTIF(E$1237:E1612,1)=1,5,0)+IF(COUNTIF(F1010:$W1010,"&gt;"&amp;0)&lt;5,IF(AND(COUNTIF(E$1237:E1612,1)&gt;7,MOD(1+IFERROR(MATCH($C1010,总览!$D$46:$D$345,1)+1,1),7)=0),$C$3,0),0)</f>
        <v>2439.59776463506</v>
      </c>
      <c r="F1010" s="131" cm="1">
        <f ca="1" t="array" ref="F1010">IF(F1612=1,OFFSET($W$634,$B1010,F$631-1)/SUMPRODUCT(--($D$631:$V$631=F$631),--($D1612:$V1612=1)),0)+SUM(F1009)+IF(COUNTIF(F$1237:F1612,1)=1,5,0)+IF(COUNTIF(G1010:$W1010,"&gt;"&amp;0)&lt;5,IF(AND(COUNTIF(F$1237:F1612,1)&gt;7,MOD(1+IFERROR(MATCH($C1010,总览!$D$46:$D$345,1)+1,1),7)=0),$C$3,0),0)</f>
        <v>2439.59776463506</v>
      </c>
      <c r="G1010" s="131" cm="1">
        <f ca="1" t="array" ref="G1010">IF(G1612=1,OFFSET($W$634,$B1010,G$631-1)/SUMPRODUCT(--($D$631:$V$631=G$631),--($D1612:$V1612=1)),0)+SUM(G1009)+IF(COUNTIF(G$1237:G1612,1)=1,5,0)+IF(COUNTIF(H1010:$W1010,"&gt;"&amp;0)&lt;5,IF(AND(COUNTIF(G$1237:G1612,1)&gt;7,MOD(1+IFERROR(MATCH($C1010,总览!$D$46:$D$345,1)+1,1),7)=0),$C$3,0),0)</f>
        <v>1192.73333333333</v>
      </c>
      <c r="H1010" s="131" cm="1">
        <f ca="1" t="array" ref="H1010">IF(H1612=1,OFFSET($W$634,$B1010,H$631-1)/SUMPRODUCT(--($D$631:$V$631=H$631),--($D1612:$V1612=1)),0)+SUM(H1009)+IF(COUNTIF(H$1237:H1612,1)=1,5,0)+IF(COUNTIF(I1010:$W1010,"&gt;"&amp;0)&lt;5,IF(AND(COUNTIF(H$1237:H1612,1)&gt;7,MOD(1+IFERROR(MATCH($C1010,总览!$D$46:$D$345,1)+1,1),7)=0),$C$3,0),0)</f>
        <v>1192.73333333333</v>
      </c>
      <c r="I1010" s="131" cm="1">
        <f ca="1" t="array" ref="I1010">IF(I1612=1,OFFSET($W$634,$B1010,I$631-1)/SUMPRODUCT(--($D$631:$V$631=I$631),--($D1612:$V1612=1)),0)+SUM(I1009)+IF(COUNTIF(I$1237:I1612,1)=1,5,0)+IF(COUNTIF(J1010:$W1010,"&gt;"&amp;0)&lt;5,IF(AND(COUNTIF(I$1237:I1612,1)&gt;7,MOD(1+IFERROR(MATCH($C1010,总览!$D$46:$D$345,1)+1,1),7)=0),$C$3,0),0)</f>
        <v>1192.73333333333</v>
      </c>
      <c r="J1010" s="131" cm="1">
        <f ca="1" t="array" ref="J1010">IF(J1612=1,OFFSET($W$634,$B1010,J$631-1)/SUMPRODUCT(--($D$631:$V$631=J$631),--($D1612:$V1612=1)),0)+SUM(J1009)+IF(COUNTIF(J$1237:J1612,1)=1,5,0)+IF(COUNTIF(K1010:$W1010,"&gt;"&amp;0)&lt;5,IF(AND(COUNTIF(J$1237:J1612,1)&gt;7,MOD(1+IFERROR(MATCH($C1010,总览!$D$46:$D$345,1)+1,1),7)=0),$C$3,0),0)</f>
        <v>1189.4</v>
      </c>
      <c r="K1010" s="131" cm="1">
        <f ca="1" t="array" ref="K1010">IF(K1612=1,OFFSET($W$634,$B1010,K$631-1)/SUMPRODUCT(--($D$631:$V$631=K$631),--($D1612:$V1612=1)),0)+SUM(K1009)+IF(COUNTIF(K$1237:K1612,1)=1,5,0)+IF(COUNTIF(L1010:$W1010,"&gt;"&amp;0)&lt;5,IF(AND(COUNTIF(K$1237:K1612,1)&gt;7,MOD(1+IFERROR(MATCH($C1010,总览!$D$46:$D$345,1)+1,1),7)=0),$C$3,0),0)</f>
        <v>1186.9</v>
      </c>
      <c r="L1010" s="131" cm="1">
        <f ca="1" t="array" ref="L1010">IF(L1612=1,OFFSET($W$634,$B1010,L$631-1)/SUMPRODUCT(--($D$631:$V$631=L$631),--($D1612:$V1612=1)),0)+SUM(L1009)+IF(COUNTIF(L$1237:L1612,1)=1,5,0)+IF(COUNTIF(M1010:$W1010,"&gt;"&amp;0)&lt;5,IF(AND(COUNTIF(L$1237:L1612,1)&gt;7,MOD(1+IFERROR(MATCH($C1010,总览!$D$46:$D$345,1)+1,1),7)=0),$C$3,0),0)</f>
        <v>1186.9</v>
      </c>
      <c r="M1010" s="131" cm="1">
        <f ca="1" t="array" ref="M1010">IF(M1612=1,OFFSET($W$634,$B1010,M$631-1)/SUMPRODUCT(--($D$631:$V$631=M$631),--($D1612:$V1612=1)),0)+SUM(M1009)+IF(COUNTIF(M$1237:M1612,1)=1,5,0)+IF(COUNTIF(N1010:$W1010,"&gt;"&amp;0)&lt;5,IF(AND(COUNTIF(M$1237:M1612,1)&gt;7,MOD(1+IFERROR(MATCH($C1010,总览!$D$46:$D$345,1)+1,1),7)=0),$C$3,0),0)</f>
        <v>494.895535714287</v>
      </c>
      <c r="N1010" s="131" cm="1">
        <f ca="1" t="array" ref="N1010">IF(N1612=1,OFFSET($W$634,$B1010,N$631-1)/SUMPRODUCT(--($D$631:$V$631=N$631),--($D1612:$V1612=1)),0)+SUM(N1009)+IF(COUNTIF(N$1237:N1612,1)=1,5,0)+IF(COUNTIF(O1010:$W1010,"&gt;"&amp;0)&lt;5,IF(AND(COUNTIF(N$1237:N1612,1)&gt;7,MOD(1+IFERROR(MATCH($C1010,总览!$D$46:$D$345,1)+1,1),7)=0),$C$3,0),0)</f>
        <v>496.145535714287</v>
      </c>
      <c r="O1010" s="131" cm="1">
        <f ca="1" t="array" ref="O1010">IF(O1612=1,OFFSET($W$634,$B1010,O$631-1)/SUMPRODUCT(--($D$631:$V$631=O$631),--($D1612:$V1612=1)),0)+SUM(O1009)+IF(COUNTIF(O$1237:O1612,1)=1,5,0)+IF(COUNTIF(P1010:$W1010,"&gt;"&amp;0)&lt;5,IF(AND(COUNTIF(O$1237:O1612,1)&gt;7,MOD(1+IFERROR(MATCH($C1010,总览!$D$46:$D$345,1)+1,1),7)=0),$C$3,0),0)</f>
        <v>501.145535714287</v>
      </c>
      <c r="P1010" s="131" cm="1">
        <f ca="1" t="array" ref="P1010">IF(P1612=1,OFFSET($W$634,$B1010,P$631-1)/SUMPRODUCT(--($D$631:$V$631=P$631),--($D1612:$V1612=1)),0)+SUM(P1009)+IF(COUNTIF(P$1237:P1612,1)=1,5,0)+IF(COUNTIF(Q1010:$W1010,"&gt;"&amp;0)&lt;5,IF(AND(COUNTIF(P$1237:P1612,1)&gt;7,MOD(1+IFERROR(MATCH($C1010,总览!$D$46:$D$345,1)+1,1),7)=0),$C$3,0),0)</f>
        <v>490.264285714287</v>
      </c>
      <c r="Q1010" s="131" cm="1">
        <f ca="1" t="array" ref="Q1010">IF(Q1612=1,OFFSET($W$634,$B1010,Q$631-1)/SUMPRODUCT(--($D$631:$V$631=Q$631),--($D1612:$V1612=1)),0)+SUM(Q1009)+IF(COUNTIF(Q$1237:Q1612,1)=1,5,0)+IF(COUNTIF(R1010:$W1010,"&gt;"&amp;0)&lt;5,IF(AND(COUNTIF(Q$1237:Q1612,1)&gt;7,MOD(1+IFERROR(MATCH($C1010,总览!$D$46:$D$345,1)+1,1),7)=0),$C$3,0),0)</f>
        <v>503.645535714287</v>
      </c>
      <c r="R1010" s="131" cm="1">
        <f ca="1" t="array" ref="R1010">IF(R1612=1,OFFSET($W$634,$B1010,R$631-1)/SUMPRODUCT(--($D$631:$V$631=R$631),--($D1612:$V1612=1)),0)+SUM(R1009)+IF(COUNTIF(R$1237:R1612,1)=1,5,0)+IF(COUNTIF(S1010:$W1010,"&gt;"&amp;0)&lt;5,IF(AND(COUNTIF(R$1237:R1612,1)&gt;7,MOD(1+IFERROR(MATCH($C1010,总览!$D$46:$D$345,1)+1,1),7)=0),$C$3,0),0)</f>
        <v>495.264285714287</v>
      </c>
      <c r="S1010" s="131" cm="1">
        <f ca="1" t="array" ref="S1010">IF(S1612=1,OFFSET($W$634,$B1010,S$631-1)/SUMPRODUCT(--($D$631:$V$631=S$631),--($D1612:$V1612=1)),0)+SUM(S1009)+IF(COUNTIF(S$1237:S1612,1)=1,5,0)+IF(COUNTIF(T1010:$W1010,"&gt;"&amp;0)&lt;5,IF(AND(COUNTIF(S$1237:S1612,1)&gt;7,MOD(1+IFERROR(MATCH($C1010,总览!$D$46:$D$345,1)+1,1),7)=0),$C$3,0),0)</f>
        <v>587.764285714288</v>
      </c>
      <c r="T1010" s="131" cm="1">
        <f ca="1" t="array" ref="T1010">IF(T1612=1,OFFSET($W$634,$B1010,T$631-1)/SUMPRODUCT(--($D$631:$V$631=T$631),--($D1612:$V1612=1)),0)+SUM(T1009)+IF(COUNTIF(T$1237:T1612,1)=1,5,0)+IF(COUNTIF(U1010:$W1010,"&gt;"&amp;0)&lt;5,IF(AND(COUNTIF(T$1237:T1612,1)&gt;7,MOD(1+IFERROR(MATCH($C1010,总览!$D$46:$D$345,1)+1,1),7)=0),$C$3,0),0)</f>
        <v>429.937711223938</v>
      </c>
      <c r="U1010" s="131" cm="1">
        <f ca="1" t="array" ref="U1010">IF(U1612=1,OFFSET($W$634,$B1010,U$631-1)/SUMPRODUCT(--($D$631:$V$631=U$631),--($D1612:$V1612=1)),0)+SUM(U1009)+IF(COUNTIF(U$1237:U1612,1)=1,5,0)+IF(COUNTIF(V1010:$W1010,"&gt;"&amp;0)&lt;5,IF(AND(COUNTIF(U$1237:U1612,1)&gt;7,MOD(1+IFERROR(MATCH($C1010,总览!$D$46:$D$345,1)+1,1),7)=0),$C$3,0),0)</f>
        <v>435.458497579237</v>
      </c>
      <c r="V1010" s="131" cm="1">
        <f ca="1" t="array" ref="V1010">IF(V1612=1,OFFSET($W$634,$B1010,V$631-1)/SUMPRODUCT(--($D$631:$V$631=V$631),--($D1612:$V1612=1)),0)+SUM(V1009)+IF(COUNTIF(V$1237:V1612,1)=1,5,0)+IF(COUNTIF(W1010:$W1010,"&gt;"&amp;0)&lt;5,IF(AND(COUNTIF(V$1237:V1612,1)&gt;7,MOD(1+IFERROR(MATCH($C1010,总览!$D$46:$D$345,1)+1,1),7)=0),$C$3,0),0)</f>
        <v>455.28549729167</v>
      </c>
      <c r="W1010" s="135" cm="1">
        <f ca="1" t="array" ref="W1010">SUMPRODUCT(TRANSPOSE($AA1010:$AG1010),OFFSET($L$9:$L$15,0,W$631-1))</f>
        <v>16.8502200646615</v>
      </c>
      <c r="X1010" s="135" cm="1">
        <f ca="1" t="array" ref="X1010">SUMPRODUCT(TRANSPOSE($AA1010:$AG1010),OFFSET($L$9:$L$15,0,X$631-1))</f>
        <v>20</v>
      </c>
      <c r="Y1010" s="135" cm="1">
        <f ca="1" t="array" ref="Y1010">SUMPRODUCT(TRANSPOSE($AA1010:$AG1010),OFFSET($L$9:$L$15,0,Y$631-1))</f>
        <v>10</v>
      </c>
      <c r="Z1010" s="135" cm="1">
        <f ca="1" t="array" ref="Z1010">SUMPRODUCT(TRANSPOSE($AA1010:$AG1010),OFFSET($L$9:$L$15,0,Z$631-1))</f>
        <v>3.14977993533847</v>
      </c>
      <c r="AA1010" s="136">
        <f ca="1" t="shared" ref="AA1010:AG1010" si="1001">AH1010-AH1009</f>
        <v>0</v>
      </c>
      <c r="AB1010" s="136">
        <f ca="1" t="shared" si="1001"/>
        <v>0</v>
      </c>
      <c r="AC1010" s="136">
        <f ca="1" t="shared" si="1001"/>
        <v>0</v>
      </c>
      <c r="AD1010" s="136">
        <f ca="1" t="shared" si="1001"/>
        <v>0</v>
      </c>
      <c r="AE1010" s="136">
        <f ca="1" t="shared" si="1001"/>
        <v>0</v>
      </c>
      <c r="AF1010" s="136">
        <f ca="1" t="shared" si="1001"/>
        <v>0</v>
      </c>
      <c r="AG1010" s="136">
        <f ca="1" t="shared" si="1001"/>
        <v>100</v>
      </c>
      <c r="AH1010" s="136">
        <f ca="1" t="shared" si="891"/>
        <v>450</v>
      </c>
      <c r="AI1010" s="136">
        <f ca="1" t="shared" ref="AI1010:AN1010" si="1002">IF($C1010&gt;OFFSET($Q$8,MATCH(AI$634,$AH$634:$AN$634,0),0),OFFSET($P$8,MATCH(AI$634,$AH$634:$AN$634,0),0),MAX(0,$C1010-OFFSET($Q$8,RIGHT(AI$634,1)-1,0)))</f>
        <v>909</v>
      </c>
      <c r="AJ1010" s="136">
        <f ca="1" t="shared" si="1002"/>
        <v>1818</v>
      </c>
      <c r="AK1010" s="136">
        <f ca="1" t="shared" si="1002"/>
        <v>2727</v>
      </c>
      <c r="AL1010" s="136">
        <f ca="1" t="shared" si="1002"/>
        <v>3636</v>
      </c>
      <c r="AM1010" s="136">
        <f ca="1" t="shared" si="1002"/>
        <v>4545</v>
      </c>
      <c r="AN1010" s="136">
        <f ca="1" t="shared" si="1002"/>
        <v>23515</v>
      </c>
    </row>
    <row r="1011" s="106" customFormat="1" ht="16.5" spans="2:40">
      <c r="B1011" s="117">
        <v>377</v>
      </c>
      <c r="C1011" s="130">
        <f t="shared" si="889"/>
        <v>37700</v>
      </c>
      <c r="D1011" s="131" cm="1">
        <f ca="1" t="array" ref="D1011">IF(D1613=1,OFFSET($W$634,$B1011,D$631-1)/SUMPRODUCT(--($D$631:$V$631=D$631),--($D1613:$V1613=1)),0)+SUM(D1010)+IF(COUNTIF(D$1237:D1613,1)=1,5,0)+IF(COUNTIF(E1011:$W1011,"&gt;"&amp;0)&lt;5,IF(AND(COUNTIF(D$1237:D1613,1)&gt;7,MOD(1+IFERROR(MATCH($C1011,总览!$D$46:$D$345,1)+1,1),7)=0),$C$3,0),0)</f>
        <v>2445.21450465661</v>
      </c>
      <c r="E1011" s="131" cm="1">
        <f ca="1" t="array" ref="E1011">IF(E1613=1,OFFSET($W$634,$B1011,E$631-1)/SUMPRODUCT(--($D$631:$V$631=E$631),--($D1613:$V1613=1)),0)+SUM(E1010)+IF(COUNTIF(E$1237:E1613,1)=1,5,0)+IF(COUNTIF(F1011:$W1011,"&gt;"&amp;0)&lt;5,IF(AND(COUNTIF(E$1237:E1613,1)&gt;7,MOD(1+IFERROR(MATCH($C1011,总览!$D$46:$D$345,1)+1,1),7)=0),$C$3,0),0)</f>
        <v>2445.21450465661</v>
      </c>
      <c r="F1011" s="131" cm="1">
        <f ca="1" t="array" ref="F1011">IF(F1613=1,OFFSET($W$634,$B1011,F$631-1)/SUMPRODUCT(--($D$631:$V$631=F$631),--($D1613:$V1613=1)),0)+SUM(F1010)+IF(COUNTIF(F$1237:F1613,1)=1,5,0)+IF(COUNTIF(G1011:$W1011,"&gt;"&amp;0)&lt;5,IF(AND(COUNTIF(F$1237:F1613,1)&gt;7,MOD(1+IFERROR(MATCH($C1011,总览!$D$46:$D$345,1)+1,1),7)=0),$C$3,0),0)</f>
        <v>2445.21450465661</v>
      </c>
      <c r="G1011" s="131" cm="1">
        <f ca="1" t="array" ref="G1011">IF(G1613=1,OFFSET($W$634,$B1011,G$631-1)/SUMPRODUCT(--($D$631:$V$631=G$631),--($D1613:$V1613=1)),0)+SUM(G1010)+IF(COUNTIF(G$1237:G1613,1)=1,5,0)+IF(COUNTIF(H1011:$W1011,"&gt;"&amp;0)&lt;5,IF(AND(COUNTIF(G$1237:G1613,1)&gt;7,MOD(1+IFERROR(MATCH($C1011,总览!$D$46:$D$345,1)+1,1),7)=0),$C$3,0),0)</f>
        <v>1196.06666666667</v>
      </c>
      <c r="H1011" s="131" cm="1">
        <f ca="1" t="array" ref="H1011">IF(H1613=1,OFFSET($W$634,$B1011,H$631-1)/SUMPRODUCT(--($D$631:$V$631=H$631),--($D1613:$V1613=1)),0)+SUM(H1010)+IF(COUNTIF(H$1237:H1613,1)=1,5,0)+IF(COUNTIF(I1011:$W1011,"&gt;"&amp;0)&lt;5,IF(AND(COUNTIF(H$1237:H1613,1)&gt;7,MOD(1+IFERROR(MATCH($C1011,总览!$D$46:$D$345,1)+1,1),7)=0),$C$3,0),0)</f>
        <v>1196.06666666667</v>
      </c>
      <c r="I1011" s="131" cm="1">
        <f ca="1" t="array" ref="I1011">IF(I1613=1,OFFSET($W$634,$B1011,I$631-1)/SUMPRODUCT(--($D$631:$V$631=I$631),--($D1613:$V1613=1)),0)+SUM(I1010)+IF(COUNTIF(I$1237:I1613,1)=1,5,0)+IF(COUNTIF(J1011:$W1011,"&gt;"&amp;0)&lt;5,IF(AND(COUNTIF(I$1237:I1613,1)&gt;7,MOD(1+IFERROR(MATCH($C1011,总览!$D$46:$D$345,1)+1,1),7)=0),$C$3,0),0)</f>
        <v>1196.06666666667</v>
      </c>
      <c r="J1011" s="131" cm="1">
        <f ca="1" t="array" ref="J1011">IF(J1613=1,OFFSET($W$634,$B1011,J$631-1)/SUMPRODUCT(--($D$631:$V$631=J$631),--($D1613:$V1613=1)),0)+SUM(J1010)+IF(COUNTIF(J$1237:J1613,1)=1,5,0)+IF(COUNTIF(K1011:$W1011,"&gt;"&amp;0)&lt;5,IF(AND(COUNTIF(J$1237:J1613,1)&gt;7,MOD(1+IFERROR(MATCH($C1011,总览!$D$46:$D$345,1)+1,1),7)=0),$C$3,0),0)</f>
        <v>1192.73333333333</v>
      </c>
      <c r="K1011" s="131" cm="1">
        <f ca="1" t="array" ref="K1011">IF(K1613=1,OFFSET($W$634,$B1011,K$631-1)/SUMPRODUCT(--($D$631:$V$631=K$631),--($D1613:$V1613=1)),0)+SUM(K1010)+IF(COUNTIF(K$1237:K1613,1)=1,5,0)+IF(COUNTIF(L1011:$W1011,"&gt;"&amp;0)&lt;5,IF(AND(COUNTIF(K$1237:K1613,1)&gt;7,MOD(1+IFERROR(MATCH($C1011,总览!$D$46:$D$345,1)+1,1),7)=0),$C$3,0),0)</f>
        <v>1190.23333333333</v>
      </c>
      <c r="L1011" s="131" cm="1">
        <f ca="1" t="array" ref="L1011">IF(L1613=1,OFFSET($W$634,$B1011,L$631-1)/SUMPRODUCT(--($D$631:$V$631=L$631),--($D1613:$V1613=1)),0)+SUM(L1010)+IF(COUNTIF(L$1237:L1613,1)=1,5,0)+IF(COUNTIF(M1011:$W1011,"&gt;"&amp;0)&lt;5,IF(AND(COUNTIF(L$1237:L1613,1)&gt;7,MOD(1+IFERROR(MATCH($C1011,总览!$D$46:$D$345,1)+1,1),7)=0),$C$3,0),0)</f>
        <v>1190.23333333333</v>
      </c>
      <c r="M1011" s="131" cm="1">
        <f ca="1" t="array" ref="M1011">IF(M1613=1,OFFSET($W$634,$B1011,M$631-1)/SUMPRODUCT(--($D$631:$V$631=M$631),--($D1613:$V1613=1)),0)+SUM(M1010)+IF(COUNTIF(M$1237:M1613,1)=1,5,0)+IF(COUNTIF(N1011:$W1011,"&gt;"&amp;0)&lt;5,IF(AND(COUNTIF(M$1237:M1613,1)&gt;7,MOD(1+IFERROR(MATCH($C1011,总览!$D$46:$D$345,1)+1,1),7)=0),$C$3,0),0)</f>
        <v>496.324107142859</v>
      </c>
      <c r="N1011" s="131" cm="1">
        <f ca="1" t="array" ref="N1011">IF(N1613=1,OFFSET($W$634,$B1011,N$631-1)/SUMPRODUCT(--($D$631:$V$631=N$631),--($D1613:$V1613=1)),0)+SUM(N1010)+IF(COUNTIF(N$1237:N1613,1)=1,5,0)+IF(COUNTIF(O1011:$W1011,"&gt;"&amp;0)&lt;5,IF(AND(COUNTIF(N$1237:N1613,1)&gt;7,MOD(1+IFERROR(MATCH($C1011,总览!$D$46:$D$345,1)+1,1),7)=0),$C$3,0),0)</f>
        <v>497.574107142859</v>
      </c>
      <c r="O1011" s="131" cm="1">
        <f ca="1" t="array" ref="O1011">IF(O1613=1,OFFSET($W$634,$B1011,O$631-1)/SUMPRODUCT(--($D$631:$V$631=O$631),--($D1613:$V1613=1)),0)+SUM(O1010)+IF(COUNTIF(O$1237:O1613,1)=1,5,0)+IF(COUNTIF(P1011:$W1011,"&gt;"&amp;0)&lt;5,IF(AND(COUNTIF(O$1237:O1613,1)&gt;7,MOD(1+IFERROR(MATCH($C1011,总览!$D$46:$D$345,1)+1,1),7)=0),$C$3,0),0)</f>
        <v>502.574107142859</v>
      </c>
      <c r="P1011" s="131" cm="1">
        <f ca="1" t="array" ref="P1011">IF(P1613=1,OFFSET($W$634,$B1011,P$631-1)/SUMPRODUCT(--($D$631:$V$631=P$631),--($D1613:$V1613=1)),0)+SUM(P1010)+IF(COUNTIF(P$1237:P1613,1)=1,5,0)+IF(COUNTIF(Q1011:$W1011,"&gt;"&amp;0)&lt;5,IF(AND(COUNTIF(P$1237:P1613,1)&gt;7,MOD(1+IFERROR(MATCH($C1011,总览!$D$46:$D$345,1)+1,1),7)=0),$C$3,0),0)</f>
        <v>491.692857142859</v>
      </c>
      <c r="Q1011" s="131" cm="1">
        <f ca="1" t="array" ref="Q1011">IF(Q1613=1,OFFSET($W$634,$B1011,Q$631-1)/SUMPRODUCT(--($D$631:$V$631=Q$631),--($D1613:$V1613=1)),0)+SUM(Q1010)+IF(COUNTIF(Q$1237:Q1613,1)=1,5,0)+IF(COUNTIF(R1011:$W1011,"&gt;"&amp;0)&lt;5,IF(AND(COUNTIF(Q$1237:Q1613,1)&gt;7,MOD(1+IFERROR(MATCH($C1011,总览!$D$46:$D$345,1)+1,1),7)=0),$C$3,0),0)</f>
        <v>505.074107142859</v>
      </c>
      <c r="R1011" s="131" cm="1">
        <f ca="1" t="array" ref="R1011">IF(R1613=1,OFFSET($W$634,$B1011,R$631-1)/SUMPRODUCT(--($D$631:$V$631=R$631),--($D1613:$V1613=1)),0)+SUM(R1010)+IF(COUNTIF(R$1237:R1613,1)=1,5,0)+IF(COUNTIF(S1011:$W1011,"&gt;"&amp;0)&lt;5,IF(AND(COUNTIF(R$1237:R1613,1)&gt;7,MOD(1+IFERROR(MATCH($C1011,总览!$D$46:$D$345,1)+1,1),7)=0),$C$3,0),0)</f>
        <v>496.692857142859</v>
      </c>
      <c r="S1011" s="131" cm="1">
        <f ca="1" t="array" ref="S1011">IF(S1613=1,OFFSET($W$634,$B1011,S$631-1)/SUMPRODUCT(--($D$631:$V$631=S$631),--($D1613:$V1613=1)),0)+SUM(S1010)+IF(COUNTIF(S$1237:S1613,1)=1,5,0)+IF(COUNTIF(T1011:$W1011,"&gt;"&amp;0)&lt;5,IF(AND(COUNTIF(S$1237:S1613,1)&gt;7,MOD(1+IFERROR(MATCH($C1011,总览!$D$46:$D$345,1)+1,1),7)=0),$C$3,0),0)</f>
        <v>589.19285714286</v>
      </c>
      <c r="T1011" s="131" cm="1">
        <f ca="1" t="array" ref="T1011">IF(T1613=1,OFFSET($W$634,$B1011,T$631-1)/SUMPRODUCT(--($D$631:$V$631=T$631),--($D1613:$V1613=1)),0)+SUM(T1010)+IF(COUNTIF(T$1237:T1613,1)=1,5,0)+IF(COUNTIF(U1011:$W1011,"&gt;"&amp;0)&lt;5,IF(AND(COUNTIF(T$1237:T1613,1)&gt;7,MOD(1+IFERROR(MATCH($C1011,总览!$D$46:$D$345,1)+1,1),7)=0),$C$3,0),0)</f>
        <v>430.98763786905</v>
      </c>
      <c r="U1011" s="131" cm="1">
        <f ca="1" t="array" ref="U1011">IF(U1613=1,OFFSET($W$634,$B1011,U$631-1)/SUMPRODUCT(--($D$631:$V$631=U$631),--($D1613:$V1613=1)),0)+SUM(U1010)+IF(COUNTIF(U$1237:U1613,1)=1,5,0)+IF(COUNTIF(V1011:$W1011,"&gt;"&amp;0)&lt;5,IF(AND(COUNTIF(U$1237:U1613,1)&gt;7,MOD(1+IFERROR(MATCH($C1011,总览!$D$46:$D$345,1)+1,1),7)=0),$C$3,0),0)</f>
        <v>436.50842422435</v>
      </c>
      <c r="V1011" s="131" cm="1">
        <f ca="1" t="array" ref="V1011">IF(V1613=1,OFFSET($W$634,$B1011,V$631-1)/SUMPRODUCT(--($D$631:$V$631=V$631),--($D1613:$V1613=1)),0)+SUM(V1010)+IF(COUNTIF(V$1237:V1613,1)=1,5,0)+IF(COUNTIF(W1011:$W1011,"&gt;"&amp;0)&lt;5,IF(AND(COUNTIF(V$1237:V1613,1)&gt;7,MOD(1+IFERROR(MATCH($C1011,总览!$D$46:$D$345,1)+1,1),7)=0),$C$3,0),0)</f>
        <v>456.335423936783</v>
      </c>
      <c r="W1011" s="135" cm="1">
        <f ca="1" t="array" ref="W1011">SUMPRODUCT(TRANSPOSE($AA1011:$AG1011),OFFSET($L$9:$L$15,0,W$631-1))</f>
        <v>16.8502200646615</v>
      </c>
      <c r="X1011" s="135" cm="1">
        <f ca="1" t="array" ref="X1011">SUMPRODUCT(TRANSPOSE($AA1011:$AG1011),OFFSET($L$9:$L$15,0,X$631-1))</f>
        <v>20</v>
      </c>
      <c r="Y1011" s="135" cm="1">
        <f ca="1" t="array" ref="Y1011">SUMPRODUCT(TRANSPOSE($AA1011:$AG1011),OFFSET($L$9:$L$15,0,Y$631-1))</f>
        <v>10</v>
      </c>
      <c r="Z1011" s="135" cm="1">
        <f ca="1" t="array" ref="Z1011">SUMPRODUCT(TRANSPOSE($AA1011:$AG1011),OFFSET($L$9:$L$15,0,Z$631-1))</f>
        <v>3.14977993533847</v>
      </c>
      <c r="AA1011" s="136">
        <f ca="1" t="shared" ref="AA1011:AG1011" si="1003">AH1011-AH1010</f>
        <v>0</v>
      </c>
      <c r="AB1011" s="136">
        <f ca="1" t="shared" si="1003"/>
        <v>0</v>
      </c>
      <c r="AC1011" s="136">
        <f ca="1" t="shared" si="1003"/>
        <v>0</v>
      </c>
      <c r="AD1011" s="136">
        <f ca="1" t="shared" si="1003"/>
        <v>0</v>
      </c>
      <c r="AE1011" s="136">
        <f ca="1" t="shared" si="1003"/>
        <v>0</v>
      </c>
      <c r="AF1011" s="136">
        <f ca="1" t="shared" si="1003"/>
        <v>0</v>
      </c>
      <c r="AG1011" s="136">
        <f ca="1" t="shared" si="1003"/>
        <v>100</v>
      </c>
      <c r="AH1011" s="136">
        <f ca="1" t="shared" si="891"/>
        <v>450</v>
      </c>
      <c r="AI1011" s="136">
        <f ca="1" t="shared" ref="AI1011:AN1011" si="1004">IF($C1011&gt;OFFSET($Q$8,MATCH(AI$634,$AH$634:$AN$634,0),0),OFFSET($P$8,MATCH(AI$634,$AH$634:$AN$634,0),0),MAX(0,$C1011-OFFSET($Q$8,RIGHT(AI$634,1)-1,0)))</f>
        <v>909</v>
      </c>
      <c r="AJ1011" s="136">
        <f ca="1" t="shared" si="1004"/>
        <v>1818</v>
      </c>
      <c r="AK1011" s="136">
        <f ca="1" t="shared" si="1004"/>
        <v>2727</v>
      </c>
      <c r="AL1011" s="136">
        <f ca="1" t="shared" si="1004"/>
        <v>3636</v>
      </c>
      <c r="AM1011" s="136">
        <f ca="1" t="shared" si="1004"/>
        <v>4545</v>
      </c>
      <c r="AN1011" s="136">
        <f ca="1" t="shared" si="1004"/>
        <v>23615</v>
      </c>
    </row>
    <row r="1012" s="106" customFormat="1" ht="16.5" spans="2:40">
      <c r="B1012" s="117">
        <v>378</v>
      </c>
      <c r="C1012" s="130">
        <f t="shared" si="889"/>
        <v>37800</v>
      </c>
      <c r="D1012" s="131" cm="1">
        <f ca="1" t="array" ref="D1012">IF(D1614=1,OFFSET($W$634,$B1012,D$631-1)/SUMPRODUCT(--($D$631:$V$631=D$631),--($D1614:$V1614=1)),0)+SUM(D1011)+IF(COUNTIF(D$1237:D1614,1)=1,5,0)+IF(COUNTIF(E1012:$W1012,"&gt;"&amp;0)&lt;5,IF(AND(COUNTIF(D$1237:D1614,1)&gt;7,MOD(1+IFERROR(MATCH($C1012,总览!$D$46:$D$345,1)+1,1),7)=0),$C$3,0),0)</f>
        <v>2450.83124467817</v>
      </c>
      <c r="E1012" s="131" cm="1">
        <f ca="1" t="array" ref="E1012">IF(E1614=1,OFFSET($W$634,$B1012,E$631-1)/SUMPRODUCT(--($D$631:$V$631=E$631),--($D1614:$V1614=1)),0)+SUM(E1011)+IF(COUNTIF(E$1237:E1614,1)=1,5,0)+IF(COUNTIF(F1012:$W1012,"&gt;"&amp;0)&lt;5,IF(AND(COUNTIF(E$1237:E1614,1)&gt;7,MOD(1+IFERROR(MATCH($C1012,总览!$D$46:$D$345,1)+1,1),7)=0),$C$3,0),0)</f>
        <v>2450.83124467817</v>
      </c>
      <c r="F1012" s="131" cm="1">
        <f ca="1" t="array" ref="F1012">IF(F1614=1,OFFSET($W$634,$B1012,F$631-1)/SUMPRODUCT(--($D$631:$V$631=F$631),--($D1614:$V1614=1)),0)+SUM(F1011)+IF(COUNTIF(F$1237:F1614,1)=1,5,0)+IF(COUNTIF(G1012:$W1012,"&gt;"&amp;0)&lt;5,IF(AND(COUNTIF(F$1237:F1614,1)&gt;7,MOD(1+IFERROR(MATCH($C1012,总览!$D$46:$D$345,1)+1,1),7)=0),$C$3,0),0)</f>
        <v>2450.83124467817</v>
      </c>
      <c r="G1012" s="131" cm="1">
        <f ca="1" t="array" ref="G1012">IF(G1614=1,OFFSET($W$634,$B1012,G$631-1)/SUMPRODUCT(--($D$631:$V$631=G$631),--($D1614:$V1614=1)),0)+SUM(G1011)+IF(COUNTIF(G$1237:G1614,1)=1,5,0)+IF(COUNTIF(H1012:$W1012,"&gt;"&amp;0)&lt;5,IF(AND(COUNTIF(G$1237:G1614,1)&gt;7,MOD(1+IFERROR(MATCH($C1012,总览!$D$46:$D$345,1)+1,1),7)=0),$C$3,0),0)</f>
        <v>1199.4</v>
      </c>
      <c r="H1012" s="131" cm="1">
        <f ca="1" t="array" ref="H1012">IF(H1614=1,OFFSET($W$634,$B1012,H$631-1)/SUMPRODUCT(--($D$631:$V$631=H$631),--($D1614:$V1614=1)),0)+SUM(H1011)+IF(COUNTIF(H$1237:H1614,1)=1,5,0)+IF(COUNTIF(I1012:$W1012,"&gt;"&amp;0)&lt;5,IF(AND(COUNTIF(H$1237:H1614,1)&gt;7,MOD(1+IFERROR(MATCH($C1012,总览!$D$46:$D$345,1)+1,1),7)=0),$C$3,0),0)</f>
        <v>1199.4</v>
      </c>
      <c r="I1012" s="131" cm="1">
        <f ca="1" t="array" ref="I1012">IF(I1614=1,OFFSET($W$634,$B1012,I$631-1)/SUMPRODUCT(--($D$631:$V$631=I$631),--($D1614:$V1614=1)),0)+SUM(I1011)+IF(COUNTIF(I$1237:I1614,1)=1,5,0)+IF(COUNTIF(J1012:$W1012,"&gt;"&amp;0)&lt;5,IF(AND(COUNTIF(I$1237:I1614,1)&gt;7,MOD(1+IFERROR(MATCH($C1012,总览!$D$46:$D$345,1)+1,1),7)=0),$C$3,0),0)</f>
        <v>1199.4</v>
      </c>
      <c r="J1012" s="131" cm="1">
        <f ca="1" t="array" ref="J1012">IF(J1614=1,OFFSET($W$634,$B1012,J$631-1)/SUMPRODUCT(--($D$631:$V$631=J$631),--($D1614:$V1614=1)),0)+SUM(J1011)+IF(COUNTIF(J$1237:J1614,1)=1,5,0)+IF(COUNTIF(K1012:$W1012,"&gt;"&amp;0)&lt;5,IF(AND(COUNTIF(J$1237:J1614,1)&gt;7,MOD(1+IFERROR(MATCH($C1012,总览!$D$46:$D$345,1)+1,1),7)=0),$C$3,0),0)</f>
        <v>1196.06666666667</v>
      </c>
      <c r="K1012" s="131" cm="1">
        <f ca="1" t="array" ref="K1012">IF(K1614=1,OFFSET($W$634,$B1012,K$631-1)/SUMPRODUCT(--($D$631:$V$631=K$631),--($D1614:$V1614=1)),0)+SUM(K1011)+IF(COUNTIF(K$1237:K1614,1)=1,5,0)+IF(COUNTIF(L1012:$W1012,"&gt;"&amp;0)&lt;5,IF(AND(COUNTIF(K$1237:K1614,1)&gt;7,MOD(1+IFERROR(MATCH($C1012,总览!$D$46:$D$345,1)+1,1),7)=0),$C$3,0),0)</f>
        <v>1193.56666666667</v>
      </c>
      <c r="L1012" s="131" cm="1">
        <f ca="1" t="array" ref="L1012">IF(L1614=1,OFFSET($W$634,$B1012,L$631-1)/SUMPRODUCT(--($D$631:$V$631=L$631),--($D1614:$V1614=1)),0)+SUM(L1011)+IF(COUNTIF(L$1237:L1614,1)=1,5,0)+IF(COUNTIF(M1012:$W1012,"&gt;"&amp;0)&lt;5,IF(AND(COUNTIF(L$1237:L1614,1)&gt;7,MOD(1+IFERROR(MATCH($C1012,总览!$D$46:$D$345,1)+1,1),7)=0),$C$3,0),0)</f>
        <v>1193.56666666667</v>
      </c>
      <c r="M1012" s="131" cm="1">
        <f ca="1" t="array" ref="M1012">IF(M1614=1,OFFSET($W$634,$B1012,M$631-1)/SUMPRODUCT(--($D$631:$V$631=M$631),--($D1614:$V1614=1)),0)+SUM(M1011)+IF(COUNTIF(M$1237:M1614,1)=1,5,0)+IF(COUNTIF(N1012:$W1012,"&gt;"&amp;0)&lt;5,IF(AND(COUNTIF(M$1237:M1614,1)&gt;7,MOD(1+IFERROR(MATCH($C1012,总览!$D$46:$D$345,1)+1,1),7)=0),$C$3,0),0)</f>
        <v>497.75267857143</v>
      </c>
      <c r="N1012" s="131" cm="1">
        <f ca="1" t="array" ref="N1012">IF(N1614=1,OFFSET($W$634,$B1012,N$631-1)/SUMPRODUCT(--($D$631:$V$631=N$631),--($D1614:$V1614=1)),0)+SUM(N1011)+IF(COUNTIF(N$1237:N1614,1)=1,5,0)+IF(COUNTIF(O1012:$W1012,"&gt;"&amp;0)&lt;5,IF(AND(COUNTIF(N$1237:N1614,1)&gt;7,MOD(1+IFERROR(MATCH($C1012,总览!$D$46:$D$345,1)+1,1),7)=0),$C$3,0),0)</f>
        <v>499.00267857143</v>
      </c>
      <c r="O1012" s="131" cm="1">
        <f ca="1" t="array" ref="O1012">IF(O1614=1,OFFSET($W$634,$B1012,O$631-1)/SUMPRODUCT(--($D$631:$V$631=O$631),--($D1614:$V1614=1)),0)+SUM(O1011)+IF(COUNTIF(O$1237:O1614,1)=1,5,0)+IF(COUNTIF(P1012:$W1012,"&gt;"&amp;0)&lt;5,IF(AND(COUNTIF(O$1237:O1614,1)&gt;7,MOD(1+IFERROR(MATCH($C1012,总览!$D$46:$D$345,1)+1,1),7)=0),$C$3,0),0)</f>
        <v>504.00267857143</v>
      </c>
      <c r="P1012" s="131" cm="1">
        <f ca="1" t="array" ref="P1012">IF(P1614=1,OFFSET($W$634,$B1012,P$631-1)/SUMPRODUCT(--($D$631:$V$631=P$631),--($D1614:$V1614=1)),0)+SUM(P1011)+IF(COUNTIF(P$1237:P1614,1)=1,5,0)+IF(COUNTIF(Q1012:$W1012,"&gt;"&amp;0)&lt;5,IF(AND(COUNTIF(P$1237:P1614,1)&gt;7,MOD(1+IFERROR(MATCH($C1012,总览!$D$46:$D$345,1)+1,1),7)=0),$C$3,0),0)</f>
        <v>493.12142857143</v>
      </c>
      <c r="Q1012" s="131" cm="1">
        <f ca="1" t="array" ref="Q1012">IF(Q1614=1,OFFSET($W$634,$B1012,Q$631-1)/SUMPRODUCT(--($D$631:$V$631=Q$631),--($D1614:$V1614=1)),0)+SUM(Q1011)+IF(COUNTIF(Q$1237:Q1614,1)=1,5,0)+IF(COUNTIF(R1012:$W1012,"&gt;"&amp;0)&lt;5,IF(AND(COUNTIF(Q$1237:Q1614,1)&gt;7,MOD(1+IFERROR(MATCH($C1012,总览!$D$46:$D$345,1)+1,1),7)=0),$C$3,0),0)</f>
        <v>506.50267857143</v>
      </c>
      <c r="R1012" s="131" cm="1">
        <f ca="1" t="array" ref="R1012">IF(R1614=1,OFFSET($W$634,$B1012,R$631-1)/SUMPRODUCT(--($D$631:$V$631=R$631),--($D1614:$V1614=1)),0)+SUM(R1011)+IF(COUNTIF(R$1237:R1614,1)=1,5,0)+IF(COUNTIF(S1012:$W1012,"&gt;"&amp;0)&lt;5,IF(AND(COUNTIF(R$1237:R1614,1)&gt;7,MOD(1+IFERROR(MATCH($C1012,总览!$D$46:$D$345,1)+1,1),7)=0),$C$3,0),0)</f>
        <v>498.12142857143</v>
      </c>
      <c r="S1012" s="131" cm="1">
        <f ca="1" t="array" ref="S1012">IF(S1614=1,OFFSET($W$634,$B1012,S$631-1)/SUMPRODUCT(--($D$631:$V$631=S$631),--($D1614:$V1614=1)),0)+SUM(S1011)+IF(COUNTIF(S$1237:S1614,1)=1,5,0)+IF(COUNTIF(T1012:$W1012,"&gt;"&amp;0)&lt;5,IF(AND(COUNTIF(S$1237:S1614,1)&gt;7,MOD(1+IFERROR(MATCH($C1012,总览!$D$46:$D$345,1)+1,1),7)=0),$C$3,0),0)</f>
        <v>590.621428571431</v>
      </c>
      <c r="T1012" s="131" cm="1">
        <f ca="1" t="array" ref="T1012">IF(T1614=1,OFFSET($W$634,$B1012,T$631-1)/SUMPRODUCT(--($D$631:$V$631=T$631),--($D1614:$V1614=1)),0)+SUM(T1011)+IF(COUNTIF(T$1237:T1614,1)=1,5,0)+IF(COUNTIF(U1012:$W1012,"&gt;"&amp;0)&lt;5,IF(AND(COUNTIF(T$1237:T1614,1)&gt;7,MOD(1+IFERROR(MATCH($C1012,总览!$D$46:$D$345,1)+1,1),7)=0),$C$3,0),0)</f>
        <v>432.037564514163</v>
      </c>
      <c r="U1012" s="131" cm="1">
        <f ca="1" t="array" ref="U1012">IF(U1614=1,OFFSET($W$634,$B1012,U$631-1)/SUMPRODUCT(--($D$631:$V$631=U$631),--($D1614:$V1614=1)),0)+SUM(U1011)+IF(COUNTIF(U$1237:U1614,1)=1,5,0)+IF(COUNTIF(V1012:$W1012,"&gt;"&amp;0)&lt;5,IF(AND(COUNTIF(U$1237:U1614,1)&gt;7,MOD(1+IFERROR(MATCH($C1012,总览!$D$46:$D$345,1)+1,1),7)=0),$C$3,0),0)</f>
        <v>437.558350869463</v>
      </c>
      <c r="V1012" s="131" cm="1">
        <f ca="1" t="array" ref="V1012">IF(V1614=1,OFFSET($W$634,$B1012,V$631-1)/SUMPRODUCT(--($D$631:$V$631=V$631),--($D1614:$V1614=1)),0)+SUM(V1011)+IF(COUNTIF(V$1237:V1614,1)=1,5,0)+IF(COUNTIF(W1012:$W1012,"&gt;"&amp;0)&lt;5,IF(AND(COUNTIF(V$1237:V1614,1)&gt;7,MOD(1+IFERROR(MATCH($C1012,总览!$D$46:$D$345,1)+1,1),7)=0),$C$3,0),0)</f>
        <v>457.385350581896</v>
      </c>
      <c r="W1012" s="135" cm="1">
        <f ca="1" t="array" ref="W1012">SUMPRODUCT(TRANSPOSE($AA1012:$AG1012),OFFSET($L$9:$L$15,0,W$631-1))</f>
        <v>16.8502200646615</v>
      </c>
      <c r="X1012" s="135" cm="1">
        <f ca="1" t="array" ref="X1012">SUMPRODUCT(TRANSPOSE($AA1012:$AG1012),OFFSET($L$9:$L$15,0,X$631-1))</f>
        <v>20</v>
      </c>
      <c r="Y1012" s="135" cm="1">
        <f ca="1" t="array" ref="Y1012">SUMPRODUCT(TRANSPOSE($AA1012:$AG1012),OFFSET($L$9:$L$15,0,Y$631-1))</f>
        <v>10</v>
      </c>
      <c r="Z1012" s="135" cm="1">
        <f ca="1" t="array" ref="Z1012">SUMPRODUCT(TRANSPOSE($AA1012:$AG1012),OFFSET($L$9:$L$15,0,Z$631-1))</f>
        <v>3.14977993533847</v>
      </c>
      <c r="AA1012" s="136">
        <f ca="1" t="shared" ref="AA1012:AG1012" si="1005">AH1012-AH1011</f>
        <v>0</v>
      </c>
      <c r="AB1012" s="136">
        <f ca="1" t="shared" si="1005"/>
        <v>0</v>
      </c>
      <c r="AC1012" s="136">
        <f ca="1" t="shared" si="1005"/>
        <v>0</v>
      </c>
      <c r="AD1012" s="136">
        <f ca="1" t="shared" si="1005"/>
        <v>0</v>
      </c>
      <c r="AE1012" s="136">
        <f ca="1" t="shared" si="1005"/>
        <v>0</v>
      </c>
      <c r="AF1012" s="136">
        <f ca="1" t="shared" si="1005"/>
        <v>0</v>
      </c>
      <c r="AG1012" s="136">
        <f ca="1" t="shared" si="1005"/>
        <v>100</v>
      </c>
      <c r="AH1012" s="136">
        <f ca="1" t="shared" si="891"/>
        <v>450</v>
      </c>
      <c r="AI1012" s="136">
        <f ca="1" t="shared" ref="AI1012:AN1012" si="1006">IF($C1012&gt;OFFSET($Q$8,MATCH(AI$634,$AH$634:$AN$634,0),0),OFFSET($P$8,MATCH(AI$634,$AH$634:$AN$634,0),0),MAX(0,$C1012-OFFSET($Q$8,RIGHT(AI$634,1)-1,0)))</f>
        <v>909</v>
      </c>
      <c r="AJ1012" s="136">
        <f ca="1" t="shared" si="1006"/>
        <v>1818</v>
      </c>
      <c r="AK1012" s="136">
        <f ca="1" t="shared" si="1006"/>
        <v>2727</v>
      </c>
      <c r="AL1012" s="136">
        <f ca="1" t="shared" si="1006"/>
        <v>3636</v>
      </c>
      <c r="AM1012" s="136">
        <f ca="1" t="shared" si="1006"/>
        <v>4545</v>
      </c>
      <c r="AN1012" s="136">
        <f ca="1" t="shared" si="1006"/>
        <v>23715</v>
      </c>
    </row>
    <row r="1013" s="106" customFormat="1" ht="16.5" spans="2:40">
      <c r="B1013" s="117">
        <v>379</v>
      </c>
      <c r="C1013" s="130">
        <f t="shared" si="889"/>
        <v>37900</v>
      </c>
      <c r="D1013" s="131" cm="1">
        <f ca="1" t="array" ref="D1013">IF(D1615=1,OFFSET($W$634,$B1013,D$631-1)/SUMPRODUCT(--($D$631:$V$631=D$631),--($D1615:$V1615=1)),0)+SUM(D1012)+IF(COUNTIF(D$1237:D1615,1)=1,5,0)+IF(COUNTIF(E1013:$W1013,"&gt;"&amp;0)&lt;5,IF(AND(COUNTIF(D$1237:D1615,1)&gt;7,MOD(1+IFERROR(MATCH($C1013,总览!$D$46:$D$345,1)+1,1),7)=0),$C$3,0),0)</f>
        <v>2456.44798469972</v>
      </c>
      <c r="E1013" s="131" cm="1">
        <f ca="1" t="array" ref="E1013">IF(E1615=1,OFFSET($W$634,$B1013,E$631-1)/SUMPRODUCT(--($D$631:$V$631=E$631),--($D1615:$V1615=1)),0)+SUM(E1012)+IF(COUNTIF(E$1237:E1615,1)=1,5,0)+IF(COUNTIF(F1013:$W1013,"&gt;"&amp;0)&lt;5,IF(AND(COUNTIF(E$1237:E1615,1)&gt;7,MOD(1+IFERROR(MATCH($C1013,总览!$D$46:$D$345,1)+1,1),7)=0),$C$3,0),0)</f>
        <v>2456.44798469972</v>
      </c>
      <c r="F1013" s="131" cm="1">
        <f ca="1" t="array" ref="F1013">IF(F1615=1,OFFSET($W$634,$B1013,F$631-1)/SUMPRODUCT(--($D$631:$V$631=F$631),--($D1615:$V1615=1)),0)+SUM(F1012)+IF(COUNTIF(F$1237:F1615,1)=1,5,0)+IF(COUNTIF(G1013:$W1013,"&gt;"&amp;0)&lt;5,IF(AND(COUNTIF(F$1237:F1615,1)&gt;7,MOD(1+IFERROR(MATCH($C1013,总览!$D$46:$D$345,1)+1,1),7)=0),$C$3,0),0)</f>
        <v>2456.44798469972</v>
      </c>
      <c r="G1013" s="131" cm="1">
        <f ca="1" t="array" ref="G1013">IF(G1615=1,OFFSET($W$634,$B1013,G$631-1)/SUMPRODUCT(--($D$631:$V$631=G$631),--($D1615:$V1615=1)),0)+SUM(G1012)+IF(COUNTIF(G$1237:G1615,1)=1,5,0)+IF(COUNTIF(H1013:$W1013,"&gt;"&amp;0)&lt;5,IF(AND(COUNTIF(G$1237:G1615,1)&gt;7,MOD(1+IFERROR(MATCH($C1013,总览!$D$46:$D$345,1)+1,1),7)=0),$C$3,0),0)</f>
        <v>1202.73333333333</v>
      </c>
      <c r="H1013" s="131" cm="1">
        <f ca="1" t="array" ref="H1013">IF(H1615=1,OFFSET($W$634,$B1013,H$631-1)/SUMPRODUCT(--($D$631:$V$631=H$631),--($D1615:$V1615=1)),0)+SUM(H1012)+IF(COUNTIF(H$1237:H1615,1)=1,5,0)+IF(COUNTIF(I1013:$W1013,"&gt;"&amp;0)&lt;5,IF(AND(COUNTIF(H$1237:H1615,1)&gt;7,MOD(1+IFERROR(MATCH($C1013,总览!$D$46:$D$345,1)+1,1),7)=0),$C$3,0),0)</f>
        <v>1202.73333333333</v>
      </c>
      <c r="I1013" s="131" cm="1">
        <f ca="1" t="array" ref="I1013">IF(I1615=1,OFFSET($W$634,$B1013,I$631-1)/SUMPRODUCT(--($D$631:$V$631=I$631),--($D1615:$V1615=1)),0)+SUM(I1012)+IF(COUNTIF(I$1237:I1615,1)=1,5,0)+IF(COUNTIF(J1013:$W1013,"&gt;"&amp;0)&lt;5,IF(AND(COUNTIF(I$1237:I1615,1)&gt;7,MOD(1+IFERROR(MATCH($C1013,总览!$D$46:$D$345,1)+1,1),7)=0),$C$3,0),0)</f>
        <v>1202.73333333333</v>
      </c>
      <c r="J1013" s="131" cm="1">
        <f ca="1" t="array" ref="J1013">IF(J1615=1,OFFSET($W$634,$B1013,J$631-1)/SUMPRODUCT(--($D$631:$V$631=J$631),--($D1615:$V1615=1)),0)+SUM(J1012)+IF(COUNTIF(J$1237:J1615,1)=1,5,0)+IF(COUNTIF(K1013:$W1013,"&gt;"&amp;0)&lt;5,IF(AND(COUNTIF(J$1237:J1615,1)&gt;7,MOD(1+IFERROR(MATCH($C1013,总览!$D$46:$D$345,1)+1,1),7)=0),$C$3,0),0)</f>
        <v>1199.4</v>
      </c>
      <c r="K1013" s="131" cm="1">
        <f ca="1" t="array" ref="K1013">IF(K1615=1,OFFSET($W$634,$B1013,K$631-1)/SUMPRODUCT(--($D$631:$V$631=K$631),--($D1615:$V1615=1)),0)+SUM(K1012)+IF(COUNTIF(K$1237:K1615,1)=1,5,0)+IF(COUNTIF(L1013:$W1013,"&gt;"&amp;0)&lt;5,IF(AND(COUNTIF(K$1237:K1615,1)&gt;7,MOD(1+IFERROR(MATCH($C1013,总览!$D$46:$D$345,1)+1,1),7)=0),$C$3,0),0)</f>
        <v>1196.9</v>
      </c>
      <c r="L1013" s="131" cm="1">
        <f ca="1" t="array" ref="L1013">IF(L1615=1,OFFSET($W$634,$B1013,L$631-1)/SUMPRODUCT(--($D$631:$V$631=L$631),--($D1615:$V1615=1)),0)+SUM(L1012)+IF(COUNTIF(L$1237:L1615,1)=1,5,0)+IF(COUNTIF(M1013:$W1013,"&gt;"&amp;0)&lt;5,IF(AND(COUNTIF(L$1237:L1615,1)&gt;7,MOD(1+IFERROR(MATCH($C1013,总览!$D$46:$D$345,1)+1,1),7)=0),$C$3,0),0)</f>
        <v>1196.9</v>
      </c>
      <c r="M1013" s="131" cm="1">
        <f ca="1" t="array" ref="M1013">IF(M1615=1,OFFSET($W$634,$B1013,M$631-1)/SUMPRODUCT(--($D$631:$V$631=M$631),--($D1615:$V1615=1)),0)+SUM(M1012)+IF(COUNTIF(M$1237:M1615,1)=1,5,0)+IF(COUNTIF(N1013:$W1013,"&gt;"&amp;0)&lt;5,IF(AND(COUNTIF(M$1237:M1615,1)&gt;7,MOD(1+IFERROR(MATCH($C1013,总览!$D$46:$D$345,1)+1,1),7)=0),$C$3,0),0)</f>
        <v>499.181250000002</v>
      </c>
      <c r="N1013" s="131" cm="1">
        <f ca="1" t="array" ref="N1013">IF(N1615=1,OFFSET($W$634,$B1013,N$631-1)/SUMPRODUCT(--($D$631:$V$631=N$631),--($D1615:$V1615=1)),0)+SUM(N1012)+IF(COUNTIF(N$1237:N1615,1)=1,5,0)+IF(COUNTIF(O1013:$W1013,"&gt;"&amp;0)&lt;5,IF(AND(COUNTIF(N$1237:N1615,1)&gt;7,MOD(1+IFERROR(MATCH($C1013,总览!$D$46:$D$345,1)+1,1),7)=0),$C$3,0),0)</f>
        <v>500.431250000002</v>
      </c>
      <c r="O1013" s="131" cm="1">
        <f ca="1" t="array" ref="O1013">IF(O1615=1,OFFSET($W$634,$B1013,O$631-1)/SUMPRODUCT(--($D$631:$V$631=O$631),--($D1615:$V1615=1)),0)+SUM(O1012)+IF(COUNTIF(O$1237:O1615,1)=1,5,0)+IF(COUNTIF(P1013:$W1013,"&gt;"&amp;0)&lt;5,IF(AND(COUNTIF(O$1237:O1615,1)&gt;7,MOD(1+IFERROR(MATCH($C1013,总览!$D$46:$D$345,1)+1,1),7)=0),$C$3,0),0)</f>
        <v>505.431250000002</v>
      </c>
      <c r="P1013" s="131" cm="1">
        <f ca="1" t="array" ref="P1013">IF(P1615=1,OFFSET($W$634,$B1013,P$631-1)/SUMPRODUCT(--($D$631:$V$631=P$631),--($D1615:$V1615=1)),0)+SUM(P1012)+IF(COUNTIF(P$1237:P1615,1)=1,5,0)+IF(COUNTIF(Q1013:$W1013,"&gt;"&amp;0)&lt;5,IF(AND(COUNTIF(P$1237:P1615,1)&gt;7,MOD(1+IFERROR(MATCH($C1013,总览!$D$46:$D$345,1)+1,1),7)=0),$C$3,0),0)</f>
        <v>494.550000000002</v>
      </c>
      <c r="Q1013" s="131" cm="1">
        <f ca="1" t="array" ref="Q1013">IF(Q1615=1,OFFSET($W$634,$B1013,Q$631-1)/SUMPRODUCT(--($D$631:$V$631=Q$631),--($D1615:$V1615=1)),0)+SUM(Q1012)+IF(COUNTIF(Q$1237:Q1615,1)=1,5,0)+IF(COUNTIF(R1013:$W1013,"&gt;"&amp;0)&lt;5,IF(AND(COUNTIF(Q$1237:Q1615,1)&gt;7,MOD(1+IFERROR(MATCH($C1013,总览!$D$46:$D$345,1)+1,1),7)=0),$C$3,0),0)</f>
        <v>507.931250000002</v>
      </c>
      <c r="R1013" s="131" cm="1">
        <f ca="1" t="array" ref="R1013">IF(R1615=1,OFFSET($W$634,$B1013,R$631-1)/SUMPRODUCT(--($D$631:$V$631=R$631),--($D1615:$V1615=1)),0)+SUM(R1012)+IF(COUNTIF(R$1237:R1615,1)=1,5,0)+IF(COUNTIF(S1013:$W1013,"&gt;"&amp;0)&lt;5,IF(AND(COUNTIF(R$1237:R1615,1)&gt;7,MOD(1+IFERROR(MATCH($C1013,总览!$D$46:$D$345,1)+1,1),7)=0),$C$3,0),0)</f>
        <v>499.550000000002</v>
      </c>
      <c r="S1013" s="131" cm="1">
        <f ca="1" t="array" ref="S1013">IF(S1615=1,OFFSET($W$634,$B1013,S$631-1)/SUMPRODUCT(--($D$631:$V$631=S$631),--($D1615:$V1615=1)),0)+SUM(S1012)+IF(COUNTIF(S$1237:S1615,1)=1,5,0)+IF(COUNTIF(T1013:$W1013,"&gt;"&amp;0)&lt;5,IF(AND(COUNTIF(S$1237:S1615,1)&gt;7,MOD(1+IFERROR(MATCH($C1013,总览!$D$46:$D$345,1)+1,1),7)=0),$C$3,0),0)</f>
        <v>592.050000000003</v>
      </c>
      <c r="T1013" s="131" cm="1">
        <f ca="1" t="array" ref="T1013">IF(T1615=1,OFFSET($W$634,$B1013,T$631-1)/SUMPRODUCT(--($D$631:$V$631=T$631),--($D1615:$V1615=1)),0)+SUM(T1012)+IF(COUNTIF(T$1237:T1615,1)=1,5,0)+IF(COUNTIF(U1013:$W1013,"&gt;"&amp;0)&lt;5,IF(AND(COUNTIF(T$1237:T1615,1)&gt;7,MOD(1+IFERROR(MATCH($C1013,总览!$D$46:$D$345,1)+1,1),7)=0),$C$3,0),0)</f>
        <v>433.087491159276</v>
      </c>
      <c r="U1013" s="131" cm="1">
        <f ca="1" t="array" ref="U1013">IF(U1615=1,OFFSET($W$634,$B1013,U$631-1)/SUMPRODUCT(--($D$631:$V$631=U$631),--($D1615:$V1615=1)),0)+SUM(U1012)+IF(COUNTIF(U$1237:U1615,1)=1,5,0)+IF(COUNTIF(V1013:$W1013,"&gt;"&amp;0)&lt;5,IF(AND(COUNTIF(U$1237:U1615,1)&gt;7,MOD(1+IFERROR(MATCH($C1013,总览!$D$46:$D$345,1)+1,1),7)=0),$C$3,0),0)</f>
        <v>438.608277514576</v>
      </c>
      <c r="V1013" s="131" cm="1">
        <f ca="1" t="array" ref="V1013">IF(V1615=1,OFFSET($W$634,$B1013,V$631-1)/SUMPRODUCT(--($D$631:$V$631=V$631),--($D1615:$V1615=1)),0)+SUM(V1012)+IF(COUNTIF(V$1237:V1615,1)=1,5,0)+IF(COUNTIF(W1013:$W1013,"&gt;"&amp;0)&lt;5,IF(AND(COUNTIF(V$1237:V1615,1)&gt;7,MOD(1+IFERROR(MATCH($C1013,总览!$D$46:$D$345,1)+1,1),7)=0),$C$3,0),0)</f>
        <v>458.435277227009</v>
      </c>
      <c r="W1013" s="135" cm="1">
        <f ca="1" t="array" ref="W1013">SUMPRODUCT(TRANSPOSE($AA1013:$AG1013),OFFSET($L$9:$L$15,0,W$631-1))</f>
        <v>16.8502200646615</v>
      </c>
      <c r="X1013" s="135" cm="1">
        <f ca="1" t="array" ref="X1013">SUMPRODUCT(TRANSPOSE($AA1013:$AG1013),OFFSET($L$9:$L$15,0,X$631-1))</f>
        <v>20</v>
      </c>
      <c r="Y1013" s="135" cm="1">
        <f ca="1" t="array" ref="Y1013">SUMPRODUCT(TRANSPOSE($AA1013:$AG1013),OFFSET($L$9:$L$15,0,Y$631-1))</f>
        <v>10</v>
      </c>
      <c r="Z1013" s="135" cm="1">
        <f ca="1" t="array" ref="Z1013">SUMPRODUCT(TRANSPOSE($AA1013:$AG1013),OFFSET($L$9:$L$15,0,Z$631-1))</f>
        <v>3.14977993533847</v>
      </c>
      <c r="AA1013" s="136">
        <f ca="1" t="shared" ref="AA1013:AG1013" si="1007">AH1013-AH1012</f>
        <v>0</v>
      </c>
      <c r="AB1013" s="136">
        <f ca="1" t="shared" si="1007"/>
        <v>0</v>
      </c>
      <c r="AC1013" s="136">
        <f ca="1" t="shared" si="1007"/>
        <v>0</v>
      </c>
      <c r="AD1013" s="136">
        <f ca="1" t="shared" si="1007"/>
        <v>0</v>
      </c>
      <c r="AE1013" s="136">
        <f ca="1" t="shared" si="1007"/>
        <v>0</v>
      </c>
      <c r="AF1013" s="136">
        <f ca="1" t="shared" si="1007"/>
        <v>0</v>
      </c>
      <c r="AG1013" s="136">
        <f ca="1" t="shared" si="1007"/>
        <v>100</v>
      </c>
      <c r="AH1013" s="136">
        <f ca="1" t="shared" si="891"/>
        <v>450</v>
      </c>
      <c r="AI1013" s="136">
        <f ca="1" t="shared" ref="AI1013:AN1013" si="1008">IF($C1013&gt;OFFSET($Q$8,MATCH(AI$634,$AH$634:$AN$634,0),0),OFFSET($P$8,MATCH(AI$634,$AH$634:$AN$634,0),0),MAX(0,$C1013-OFFSET($Q$8,RIGHT(AI$634,1)-1,0)))</f>
        <v>909</v>
      </c>
      <c r="AJ1013" s="136">
        <f ca="1" t="shared" si="1008"/>
        <v>1818</v>
      </c>
      <c r="AK1013" s="136">
        <f ca="1" t="shared" si="1008"/>
        <v>2727</v>
      </c>
      <c r="AL1013" s="136">
        <f ca="1" t="shared" si="1008"/>
        <v>3636</v>
      </c>
      <c r="AM1013" s="136">
        <f ca="1" t="shared" si="1008"/>
        <v>4545</v>
      </c>
      <c r="AN1013" s="136">
        <f ca="1" t="shared" si="1008"/>
        <v>23815</v>
      </c>
    </row>
    <row r="1014" s="106" customFormat="1" ht="16.5" spans="2:40">
      <c r="B1014" s="117">
        <v>380</v>
      </c>
      <c r="C1014" s="130">
        <f t="shared" si="889"/>
        <v>38000</v>
      </c>
      <c r="D1014" s="131" cm="1">
        <f ca="1" t="array" ref="D1014">IF(D1616=1,OFFSET($W$634,$B1014,D$631-1)/SUMPRODUCT(--($D$631:$V$631=D$631),--($D1616:$V1616=1)),0)+SUM(D1013)+IF(COUNTIF(D$1237:D1616,1)=1,5,0)+IF(COUNTIF(E1014:$W1014,"&gt;"&amp;0)&lt;5,IF(AND(COUNTIF(D$1237:D1616,1)&gt;7,MOD(1+IFERROR(MATCH($C1014,总览!$D$46:$D$345,1)+1,1),7)=0),$C$3,0),0)</f>
        <v>2462.06472472128</v>
      </c>
      <c r="E1014" s="131" cm="1">
        <f ca="1" t="array" ref="E1014">IF(E1616=1,OFFSET($W$634,$B1014,E$631-1)/SUMPRODUCT(--($D$631:$V$631=E$631),--($D1616:$V1616=1)),0)+SUM(E1013)+IF(COUNTIF(E$1237:E1616,1)=1,5,0)+IF(COUNTIF(F1014:$W1014,"&gt;"&amp;0)&lt;5,IF(AND(COUNTIF(E$1237:E1616,1)&gt;7,MOD(1+IFERROR(MATCH($C1014,总览!$D$46:$D$345,1)+1,1),7)=0),$C$3,0),0)</f>
        <v>2462.06472472128</v>
      </c>
      <c r="F1014" s="131" cm="1">
        <f ca="1" t="array" ref="F1014">IF(F1616=1,OFFSET($W$634,$B1014,F$631-1)/SUMPRODUCT(--($D$631:$V$631=F$631),--($D1616:$V1616=1)),0)+SUM(F1013)+IF(COUNTIF(F$1237:F1616,1)=1,5,0)+IF(COUNTIF(G1014:$W1014,"&gt;"&amp;0)&lt;5,IF(AND(COUNTIF(F$1237:F1616,1)&gt;7,MOD(1+IFERROR(MATCH($C1014,总览!$D$46:$D$345,1)+1,1),7)=0),$C$3,0),0)</f>
        <v>2462.06472472128</v>
      </c>
      <c r="G1014" s="131" cm="1">
        <f ca="1" t="array" ref="G1014">IF(G1616=1,OFFSET($W$634,$B1014,G$631-1)/SUMPRODUCT(--($D$631:$V$631=G$631),--($D1616:$V1616=1)),0)+SUM(G1013)+IF(COUNTIF(G$1237:G1616,1)=1,5,0)+IF(COUNTIF(H1014:$W1014,"&gt;"&amp;0)&lt;5,IF(AND(COUNTIF(G$1237:G1616,1)&gt;7,MOD(1+IFERROR(MATCH($C1014,总览!$D$46:$D$345,1)+1,1),7)=0),$C$3,0),0)</f>
        <v>1206.06666666667</v>
      </c>
      <c r="H1014" s="131" cm="1">
        <f ca="1" t="array" ref="H1014">IF(H1616=1,OFFSET($W$634,$B1014,H$631-1)/SUMPRODUCT(--($D$631:$V$631=H$631),--($D1616:$V1616=1)),0)+SUM(H1013)+IF(COUNTIF(H$1237:H1616,1)=1,5,0)+IF(COUNTIF(I1014:$W1014,"&gt;"&amp;0)&lt;5,IF(AND(COUNTIF(H$1237:H1616,1)&gt;7,MOD(1+IFERROR(MATCH($C1014,总览!$D$46:$D$345,1)+1,1),7)=0),$C$3,0),0)</f>
        <v>1206.06666666667</v>
      </c>
      <c r="I1014" s="131" cm="1">
        <f ca="1" t="array" ref="I1014">IF(I1616=1,OFFSET($W$634,$B1014,I$631-1)/SUMPRODUCT(--($D$631:$V$631=I$631),--($D1616:$V1616=1)),0)+SUM(I1013)+IF(COUNTIF(I$1237:I1616,1)=1,5,0)+IF(COUNTIF(J1014:$W1014,"&gt;"&amp;0)&lt;5,IF(AND(COUNTIF(I$1237:I1616,1)&gt;7,MOD(1+IFERROR(MATCH($C1014,总览!$D$46:$D$345,1)+1,1),7)=0),$C$3,0),0)</f>
        <v>1206.06666666667</v>
      </c>
      <c r="J1014" s="131" cm="1">
        <f ca="1" t="array" ref="J1014">IF(J1616=1,OFFSET($W$634,$B1014,J$631-1)/SUMPRODUCT(--($D$631:$V$631=J$631),--($D1616:$V1616=1)),0)+SUM(J1013)+IF(COUNTIF(J$1237:J1616,1)=1,5,0)+IF(COUNTIF(K1014:$W1014,"&gt;"&amp;0)&lt;5,IF(AND(COUNTIF(J$1237:J1616,1)&gt;7,MOD(1+IFERROR(MATCH($C1014,总览!$D$46:$D$345,1)+1,1),7)=0),$C$3,0),0)</f>
        <v>1202.73333333333</v>
      </c>
      <c r="K1014" s="131" cm="1">
        <f ca="1" t="array" ref="K1014">IF(K1616=1,OFFSET($W$634,$B1014,K$631-1)/SUMPRODUCT(--($D$631:$V$631=K$631),--($D1616:$V1616=1)),0)+SUM(K1013)+IF(COUNTIF(K$1237:K1616,1)=1,5,0)+IF(COUNTIF(L1014:$W1014,"&gt;"&amp;0)&lt;5,IF(AND(COUNTIF(K$1237:K1616,1)&gt;7,MOD(1+IFERROR(MATCH($C1014,总览!$D$46:$D$345,1)+1,1),7)=0),$C$3,0),0)</f>
        <v>1200.23333333333</v>
      </c>
      <c r="L1014" s="131" cm="1">
        <f ca="1" t="array" ref="L1014">IF(L1616=1,OFFSET($W$634,$B1014,L$631-1)/SUMPRODUCT(--($D$631:$V$631=L$631),--($D1616:$V1616=1)),0)+SUM(L1013)+IF(COUNTIF(L$1237:L1616,1)=1,5,0)+IF(COUNTIF(M1014:$W1014,"&gt;"&amp;0)&lt;5,IF(AND(COUNTIF(L$1237:L1616,1)&gt;7,MOD(1+IFERROR(MATCH($C1014,总览!$D$46:$D$345,1)+1,1),7)=0),$C$3,0),0)</f>
        <v>1200.23333333333</v>
      </c>
      <c r="M1014" s="131" cm="1">
        <f ca="1" t="array" ref="M1014">IF(M1616=1,OFFSET($W$634,$B1014,M$631-1)/SUMPRODUCT(--($D$631:$V$631=M$631),--($D1616:$V1616=1)),0)+SUM(M1013)+IF(COUNTIF(M$1237:M1616,1)=1,5,0)+IF(COUNTIF(N1014:$W1014,"&gt;"&amp;0)&lt;5,IF(AND(COUNTIF(M$1237:M1616,1)&gt;7,MOD(1+IFERROR(MATCH($C1014,总览!$D$46:$D$345,1)+1,1),7)=0),$C$3,0),0)</f>
        <v>500.609821428573</v>
      </c>
      <c r="N1014" s="131" cm="1">
        <f ca="1" t="array" ref="N1014">IF(N1616=1,OFFSET($W$634,$B1014,N$631-1)/SUMPRODUCT(--($D$631:$V$631=N$631),--($D1616:$V1616=1)),0)+SUM(N1013)+IF(COUNTIF(N$1237:N1616,1)=1,5,0)+IF(COUNTIF(O1014:$W1014,"&gt;"&amp;0)&lt;5,IF(AND(COUNTIF(N$1237:N1616,1)&gt;7,MOD(1+IFERROR(MATCH($C1014,总览!$D$46:$D$345,1)+1,1),7)=0),$C$3,0),0)</f>
        <v>501.859821428573</v>
      </c>
      <c r="O1014" s="131" cm="1">
        <f ca="1" t="array" ref="O1014">IF(O1616=1,OFFSET($W$634,$B1014,O$631-1)/SUMPRODUCT(--($D$631:$V$631=O$631),--($D1616:$V1616=1)),0)+SUM(O1013)+IF(COUNTIF(O$1237:O1616,1)=1,5,0)+IF(COUNTIF(P1014:$W1014,"&gt;"&amp;0)&lt;5,IF(AND(COUNTIF(O$1237:O1616,1)&gt;7,MOD(1+IFERROR(MATCH($C1014,总览!$D$46:$D$345,1)+1,1),7)=0),$C$3,0),0)</f>
        <v>506.859821428573</v>
      </c>
      <c r="P1014" s="131" cm="1">
        <f ca="1" t="array" ref="P1014">IF(P1616=1,OFFSET($W$634,$B1014,P$631-1)/SUMPRODUCT(--($D$631:$V$631=P$631),--($D1616:$V1616=1)),0)+SUM(P1013)+IF(COUNTIF(P$1237:P1616,1)=1,5,0)+IF(COUNTIF(Q1014:$W1014,"&gt;"&amp;0)&lt;5,IF(AND(COUNTIF(P$1237:P1616,1)&gt;7,MOD(1+IFERROR(MATCH($C1014,总览!$D$46:$D$345,1)+1,1),7)=0),$C$3,0),0)</f>
        <v>495.978571428573</v>
      </c>
      <c r="Q1014" s="131" cm="1">
        <f ca="1" t="array" ref="Q1014">IF(Q1616=1,OFFSET($W$634,$B1014,Q$631-1)/SUMPRODUCT(--($D$631:$V$631=Q$631),--($D1616:$V1616=1)),0)+SUM(Q1013)+IF(COUNTIF(Q$1237:Q1616,1)=1,5,0)+IF(COUNTIF(R1014:$W1014,"&gt;"&amp;0)&lt;5,IF(AND(COUNTIF(Q$1237:Q1616,1)&gt;7,MOD(1+IFERROR(MATCH($C1014,总览!$D$46:$D$345,1)+1,1),7)=0),$C$3,0),0)</f>
        <v>509.359821428573</v>
      </c>
      <c r="R1014" s="131" cm="1">
        <f ca="1" t="array" ref="R1014">IF(R1616=1,OFFSET($W$634,$B1014,R$631-1)/SUMPRODUCT(--($D$631:$V$631=R$631),--($D1616:$V1616=1)),0)+SUM(R1013)+IF(COUNTIF(R$1237:R1616,1)=1,5,0)+IF(COUNTIF(S1014:$W1014,"&gt;"&amp;0)&lt;5,IF(AND(COUNTIF(R$1237:R1616,1)&gt;7,MOD(1+IFERROR(MATCH($C1014,总览!$D$46:$D$345,1)+1,1),7)=0),$C$3,0),0)</f>
        <v>500.978571428573</v>
      </c>
      <c r="S1014" s="131" cm="1">
        <f ca="1" t="array" ref="S1014">IF(S1616=1,OFFSET($W$634,$B1014,S$631-1)/SUMPRODUCT(--($D$631:$V$631=S$631),--($D1616:$V1616=1)),0)+SUM(S1013)+IF(COUNTIF(S$1237:S1616,1)=1,5,0)+IF(COUNTIF(T1014:$W1014,"&gt;"&amp;0)&lt;5,IF(AND(COUNTIF(S$1237:S1616,1)&gt;7,MOD(1+IFERROR(MATCH($C1014,总览!$D$46:$D$345,1)+1,1),7)=0),$C$3,0),0)</f>
        <v>593.478571428574</v>
      </c>
      <c r="T1014" s="131" cm="1">
        <f ca="1" t="array" ref="T1014">IF(T1616=1,OFFSET($W$634,$B1014,T$631-1)/SUMPRODUCT(--($D$631:$V$631=T$631),--($D1616:$V1616=1)),0)+SUM(T1013)+IF(COUNTIF(T$1237:T1616,1)=1,5,0)+IF(COUNTIF(U1014:$W1014,"&gt;"&amp;0)&lt;5,IF(AND(COUNTIF(T$1237:T1616,1)&gt;7,MOD(1+IFERROR(MATCH($C1014,总览!$D$46:$D$345,1)+1,1),7)=0),$C$3,0),0)</f>
        <v>434.137417804389</v>
      </c>
      <c r="U1014" s="131" cm="1">
        <f ca="1" t="array" ref="U1014">IF(U1616=1,OFFSET($W$634,$B1014,U$631-1)/SUMPRODUCT(--($D$631:$V$631=U$631),--($D1616:$V1616=1)),0)+SUM(U1013)+IF(COUNTIF(U$1237:U1616,1)=1,5,0)+IF(COUNTIF(V1014:$W1014,"&gt;"&amp;0)&lt;5,IF(AND(COUNTIF(U$1237:U1616,1)&gt;7,MOD(1+IFERROR(MATCH($C1014,总览!$D$46:$D$345,1)+1,1),7)=0),$C$3,0),0)</f>
        <v>439.658204159688</v>
      </c>
      <c r="V1014" s="131" cm="1">
        <f ca="1" t="array" ref="V1014">IF(V1616=1,OFFSET($W$634,$B1014,V$631-1)/SUMPRODUCT(--($D$631:$V$631=V$631),--($D1616:$V1616=1)),0)+SUM(V1013)+IF(COUNTIF(V$1237:V1616,1)=1,5,0)+IF(COUNTIF(W1014:$W1014,"&gt;"&amp;0)&lt;5,IF(AND(COUNTIF(V$1237:V1616,1)&gt;7,MOD(1+IFERROR(MATCH($C1014,总览!$D$46:$D$345,1)+1,1),7)=0),$C$3,0),0)</f>
        <v>459.485203872121</v>
      </c>
      <c r="W1014" s="135" cm="1">
        <f ca="1" t="array" ref="W1014">SUMPRODUCT(TRANSPOSE($AA1014:$AG1014),OFFSET($L$9:$L$15,0,W$631-1))</f>
        <v>16.8502200646615</v>
      </c>
      <c r="X1014" s="135" cm="1">
        <f ca="1" t="array" ref="X1014">SUMPRODUCT(TRANSPOSE($AA1014:$AG1014),OFFSET($L$9:$L$15,0,X$631-1))</f>
        <v>20</v>
      </c>
      <c r="Y1014" s="135" cm="1">
        <f ca="1" t="array" ref="Y1014">SUMPRODUCT(TRANSPOSE($AA1014:$AG1014),OFFSET($L$9:$L$15,0,Y$631-1))</f>
        <v>10</v>
      </c>
      <c r="Z1014" s="135" cm="1">
        <f ca="1" t="array" ref="Z1014">SUMPRODUCT(TRANSPOSE($AA1014:$AG1014),OFFSET($L$9:$L$15,0,Z$631-1))</f>
        <v>3.14977993533847</v>
      </c>
      <c r="AA1014" s="136">
        <f ca="1" t="shared" ref="AA1014:AG1014" si="1009">AH1014-AH1013</f>
        <v>0</v>
      </c>
      <c r="AB1014" s="136">
        <f ca="1" t="shared" si="1009"/>
        <v>0</v>
      </c>
      <c r="AC1014" s="136">
        <f ca="1" t="shared" si="1009"/>
        <v>0</v>
      </c>
      <c r="AD1014" s="136">
        <f ca="1" t="shared" si="1009"/>
        <v>0</v>
      </c>
      <c r="AE1014" s="136">
        <f ca="1" t="shared" si="1009"/>
        <v>0</v>
      </c>
      <c r="AF1014" s="136">
        <f ca="1" t="shared" si="1009"/>
        <v>0</v>
      </c>
      <c r="AG1014" s="136">
        <f ca="1" t="shared" si="1009"/>
        <v>100</v>
      </c>
      <c r="AH1014" s="136">
        <f ca="1" t="shared" si="891"/>
        <v>450</v>
      </c>
      <c r="AI1014" s="136">
        <f ca="1" t="shared" ref="AI1014:AN1014" si="1010">IF($C1014&gt;OFFSET($Q$8,MATCH(AI$634,$AH$634:$AN$634,0),0),OFFSET($P$8,MATCH(AI$634,$AH$634:$AN$634,0),0),MAX(0,$C1014-OFFSET($Q$8,RIGHT(AI$634,1)-1,0)))</f>
        <v>909</v>
      </c>
      <c r="AJ1014" s="136">
        <f ca="1" t="shared" si="1010"/>
        <v>1818</v>
      </c>
      <c r="AK1014" s="136">
        <f ca="1" t="shared" si="1010"/>
        <v>2727</v>
      </c>
      <c r="AL1014" s="136">
        <f ca="1" t="shared" si="1010"/>
        <v>3636</v>
      </c>
      <c r="AM1014" s="136">
        <f ca="1" t="shared" si="1010"/>
        <v>4545</v>
      </c>
      <c r="AN1014" s="136">
        <f ca="1" t="shared" si="1010"/>
        <v>23915</v>
      </c>
    </row>
    <row r="1015" s="106" customFormat="1" ht="16.5" spans="2:40">
      <c r="B1015" s="117">
        <v>381</v>
      </c>
      <c r="C1015" s="130">
        <f t="shared" si="889"/>
        <v>38100</v>
      </c>
      <c r="D1015" s="131" cm="1">
        <f ca="1" t="array" ref="D1015">IF(D1617=1,OFFSET($W$634,$B1015,D$631-1)/SUMPRODUCT(--($D$631:$V$631=D$631),--($D1617:$V1617=1)),0)+SUM(D1014)+IF(COUNTIF(D$1237:D1617,1)=1,5,0)+IF(COUNTIF(E1015:$W1015,"&gt;"&amp;0)&lt;5,IF(AND(COUNTIF(D$1237:D1617,1)&gt;7,MOD(1+IFERROR(MATCH($C1015,总览!$D$46:$D$345,1)+1,1),7)=0),$C$3,0),0)</f>
        <v>2467.68146474283</v>
      </c>
      <c r="E1015" s="131" cm="1">
        <f ca="1" t="array" ref="E1015">IF(E1617=1,OFFSET($W$634,$B1015,E$631-1)/SUMPRODUCT(--($D$631:$V$631=E$631),--($D1617:$V1617=1)),0)+SUM(E1014)+IF(COUNTIF(E$1237:E1617,1)=1,5,0)+IF(COUNTIF(F1015:$W1015,"&gt;"&amp;0)&lt;5,IF(AND(COUNTIF(E$1237:E1617,1)&gt;7,MOD(1+IFERROR(MATCH($C1015,总览!$D$46:$D$345,1)+1,1),7)=0),$C$3,0),0)</f>
        <v>2467.68146474283</v>
      </c>
      <c r="F1015" s="131" cm="1">
        <f ca="1" t="array" ref="F1015">IF(F1617=1,OFFSET($W$634,$B1015,F$631-1)/SUMPRODUCT(--($D$631:$V$631=F$631),--($D1617:$V1617=1)),0)+SUM(F1014)+IF(COUNTIF(F$1237:F1617,1)=1,5,0)+IF(COUNTIF(G1015:$W1015,"&gt;"&amp;0)&lt;5,IF(AND(COUNTIF(F$1237:F1617,1)&gt;7,MOD(1+IFERROR(MATCH($C1015,总览!$D$46:$D$345,1)+1,1),7)=0),$C$3,0),0)</f>
        <v>2467.68146474283</v>
      </c>
      <c r="G1015" s="131" cm="1">
        <f ca="1" t="array" ref="G1015">IF(G1617=1,OFFSET($W$634,$B1015,G$631-1)/SUMPRODUCT(--($D$631:$V$631=G$631),--($D1617:$V1617=1)),0)+SUM(G1014)+IF(COUNTIF(G$1237:G1617,1)=1,5,0)+IF(COUNTIF(H1015:$W1015,"&gt;"&amp;0)&lt;5,IF(AND(COUNTIF(G$1237:G1617,1)&gt;7,MOD(1+IFERROR(MATCH($C1015,总览!$D$46:$D$345,1)+1,1),7)=0),$C$3,0),0)</f>
        <v>1209.4</v>
      </c>
      <c r="H1015" s="131" cm="1">
        <f ca="1" t="array" ref="H1015">IF(H1617=1,OFFSET($W$634,$B1015,H$631-1)/SUMPRODUCT(--($D$631:$V$631=H$631),--($D1617:$V1617=1)),0)+SUM(H1014)+IF(COUNTIF(H$1237:H1617,1)=1,5,0)+IF(COUNTIF(I1015:$W1015,"&gt;"&amp;0)&lt;5,IF(AND(COUNTIF(H$1237:H1617,1)&gt;7,MOD(1+IFERROR(MATCH($C1015,总览!$D$46:$D$345,1)+1,1),7)=0),$C$3,0),0)</f>
        <v>1209.4</v>
      </c>
      <c r="I1015" s="131" cm="1">
        <f ca="1" t="array" ref="I1015">IF(I1617=1,OFFSET($W$634,$B1015,I$631-1)/SUMPRODUCT(--($D$631:$V$631=I$631),--($D1617:$V1617=1)),0)+SUM(I1014)+IF(COUNTIF(I$1237:I1617,1)=1,5,0)+IF(COUNTIF(J1015:$W1015,"&gt;"&amp;0)&lt;5,IF(AND(COUNTIF(I$1237:I1617,1)&gt;7,MOD(1+IFERROR(MATCH($C1015,总览!$D$46:$D$345,1)+1,1),7)=0),$C$3,0),0)</f>
        <v>1209.4</v>
      </c>
      <c r="J1015" s="131" cm="1">
        <f ca="1" t="array" ref="J1015">IF(J1617=1,OFFSET($W$634,$B1015,J$631-1)/SUMPRODUCT(--($D$631:$V$631=J$631),--($D1617:$V1617=1)),0)+SUM(J1014)+IF(COUNTIF(J$1237:J1617,1)=1,5,0)+IF(COUNTIF(K1015:$W1015,"&gt;"&amp;0)&lt;5,IF(AND(COUNTIF(J$1237:J1617,1)&gt;7,MOD(1+IFERROR(MATCH($C1015,总览!$D$46:$D$345,1)+1,1),7)=0),$C$3,0),0)</f>
        <v>1206.06666666667</v>
      </c>
      <c r="K1015" s="131" cm="1">
        <f ca="1" t="array" ref="K1015">IF(K1617=1,OFFSET($W$634,$B1015,K$631-1)/SUMPRODUCT(--($D$631:$V$631=K$631),--($D1617:$V1617=1)),0)+SUM(K1014)+IF(COUNTIF(K$1237:K1617,1)=1,5,0)+IF(COUNTIF(L1015:$W1015,"&gt;"&amp;0)&lt;5,IF(AND(COUNTIF(K$1237:K1617,1)&gt;7,MOD(1+IFERROR(MATCH($C1015,总览!$D$46:$D$345,1)+1,1),7)=0),$C$3,0),0)</f>
        <v>1203.56666666667</v>
      </c>
      <c r="L1015" s="131" cm="1">
        <f ca="1" t="array" ref="L1015">IF(L1617=1,OFFSET($W$634,$B1015,L$631-1)/SUMPRODUCT(--($D$631:$V$631=L$631),--($D1617:$V1617=1)),0)+SUM(L1014)+IF(COUNTIF(L$1237:L1617,1)=1,5,0)+IF(COUNTIF(M1015:$W1015,"&gt;"&amp;0)&lt;5,IF(AND(COUNTIF(L$1237:L1617,1)&gt;7,MOD(1+IFERROR(MATCH($C1015,总览!$D$46:$D$345,1)+1,1),7)=0),$C$3,0),0)</f>
        <v>1203.56666666667</v>
      </c>
      <c r="M1015" s="131" cm="1">
        <f ca="1" t="array" ref="M1015">IF(M1617=1,OFFSET($W$634,$B1015,M$631-1)/SUMPRODUCT(--($D$631:$V$631=M$631),--($D1617:$V1617=1)),0)+SUM(M1014)+IF(COUNTIF(M$1237:M1617,1)=1,5,0)+IF(COUNTIF(N1015:$W1015,"&gt;"&amp;0)&lt;5,IF(AND(COUNTIF(M$1237:M1617,1)&gt;7,MOD(1+IFERROR(MATCH($C1015,总览!$D$46:$D$345,1)+1,1),7)=0),$C$3,0),0)</f>
        <v>502.038392857145</v>
      </c>
      <c r="N1015" s="131" cm="1">
        <f ca="1" t="array" ref="N1015">IF(N1617=1,OFFSET($W$634,$B1015,N$631-1)/SUMPRODUCT(--($D$631:$V$631=N$631),--($D1617:$V1617=1)),0)+SUM(N1014)+IF(COUNTIF(N$1237:N1617,1)=1,5,0)+IF(COUNTIF(O1015:$W1015,"&gt;"&amp;0)&lt;5,IF(AND(COUNTIF(N$1237:N1617,1)&gt;7,MOD(1+IFERROR(MATCH($C1015,总览!$D$46:$D$345,1)+1,1),7)=0),$C$3,0),0)</f>
        <v>503.288392857145</v>
      </c>
      <c r="O1015" s="131" cm="1">
        <f ca="1" t="array" ref="O1015">IF(O1617=1,OFFSET($W$634,$B1015,O$631-1)/SUMPRODUCT(--($D$631:$V$631=O$631),--($D1617:$V1617=1)),0)+SUM(O1014)+IF(COUNTIF(O$1237:O1617,1)=1,5,0)+IF(COUNTIF(P1015:$W1015,"&gt;"&amp;0)&lt;5,IF(AND(COUNTIF(O$1237:O1617,1)&gt;7,MOD(1+IFERROR(MATCH($C1015,总览!$D$46:$D$345,1)+1,1),7)=0),$C$3,0),0)</f>
        <v>508.288392857144</v>
      </c>
      <c r="P1015" s="131" cm="1">
        <f ca="1" t="array" ref="P1015">IF(P1617=1,OFFSET($W$634,$B1015,P$631-1)/SUMPRODUCT(--($D$631:$V$631=P$631),--($D1617:$V1617=1)),0)+SUM(P1014)+IF(COUNTIF(P$1237:P1617,1)=1,5,0)+IF(COUNTIF(Q1015:$W1015,"&gt;"&amp;0)&lt;5,IF(AND(COUNTIF(P$1237:P1617,1)&gt;7,MOD(1+IFERROR(MATCH($C1015,总览!$D$46:$D$345,1)+1,1),7)=0),$C$3,0),0)</f>
        <v>497.407142857144</v>
      </c>
      <c r="Q1015" s="131" cm="1">
        <f ca="1" t="array" ref="Q1015">IF(Q1617=1,OFFSET($W$634,$B1015,Q$631-1)/SUMPRODUCT(--($D$631:$V$631=Q$631),--($D1617:$V1617=1)),0)+SUM(Q1014)+IF(COUNTIF(Q$1237:Q1617,1)=1,5,0)+IF(COUNTIF(R1015:$W1015,"&gt;"&amp;0)&lt;5,IF(AND(COUNTIF(Q$1237:Q1617,1)&gt;7,MOD(1+IFERROR(MATCH($C1015,总览!$D$46:$D$345,1)+1,1),7)=0),$C$3,0),0)</f>
        <v>510.788392857145</v>
      </c>
      <c r="R1015" s="131" cm="1">
        <f ca="1" t="array" ref="R1015">IF(R1617=1,OFFSET($W$634,$B1015,R$631-1)/SUMPRODUCT(--($D$631:$V$631=R$631),--($D1617:$V1617=1)),0)+SUM(R1014)+IF(COUNTIF(R$1237:R1617,1)=1,5,0)+IF(COUNTIF(S1015:$W1015,"&gt;"&amp;0)&lt;5,IF(AND(COUNTIF(R$1237:R1617,1)&gt;7,MOD(1+IFERROR(MATCH($C1015,总览!$D$46:$D$345,1)+1,1),7)=0),$C$3,0),0)</f>
        <v>502.407142857144</v>
      </c>
      <c r="S1015" s="131" cm="1">
        <f ca="1" t="array" ref="S1015">IF(S1617=1,OFFSET($W$634,$B1015,S$631-1)/SUMPRODUCT(--($D$631:$V$631=S$631),--($D1617:$V1617=1)),0)+SUM(S1014)+IF(COUNTIF(S$1237:S1617,1)=1,5,0)+IF(COUNTIF(T1015:$W1015,"&gt;"&amp;0)&lt;5,IF(AND(COUNTIF(S$1237:S1617,1)&gt;7,MOD(1+IFERROR(MATCH($C1015,总览!$D$46:$D$345,1)+1,1),7)=0),$C$3,0),0)</f>
        <v>594.907142857146</v>
      </c>
      <c r="T1015" s="131" cm="1">
        <f ca="1" t="array" ref="T1015">IF(T1617=1,OFFSET($W$634,$B1015,T$631-1)/SUMPRODUCT(--($D$631:$V$631=T$631),--($D1617:$V1617=1)),0)+SUM(T1014)+IF(COUNTIF(T$1237:T1617,1)=1,5,0)+IF(COUNTIF(U1015:$W1015,"&gt;"&amp;0)&lt;5,IF(AND(COUNTIF(T$1237:T1617,1)&gt;7,MOD(1+IFERROR(MATCH($C1015,总览!$D$46:$D$345,1)+1,1),7)=0),$C$3,0),0)</f>
        <v>435.187344449502</v>
      </c>
      <c r="U1015" s="131" cm="1">
        <f ca="1" t="array" ref="U1015">IF(U1617=1,OFFSET($W$634,$B1015,U$631-1)/SUMPRODUCT(--($D$631:$V$631=U$631),--($D1617:$V1617=1)),0)+SUM(U1014)+IF(COUNTIF(U$1237:U1617,1)=1,5,0)+IF(COUNTIF(V1015:$W1015,"&gt;"&amp;0)&lt;5,IF(AND(COUNTIF(U$1237:U1617,1)&gt;7,MOD(1+IFERROR(MATCH($C1015,总览!$D$46:$D$345,1)+1,1),7)=0),$C$3,0),0)</f>
        <v>440.708130804801</v>
      </c>
      <c r="V1015" s="131" cm="1">
        <f ca="1" t="array" ref="V1015">IF(V1617=1,OFFSET($W$634,$B1015,V$631-1)/SUMPRODUCT(--($D$631:$V$631=V$631),--($D1617:$V1617=1)),0)+SUM(V1014)+IF(COUNTIF(V$1237:V1617,1)=1,5,0)+IF(COUNTIF(W1015:$W1015,"&gt;"&amp;0)&lt;5,IF(AND(COUNTIF(V$1237:V1617,1)&gt;7,MOD(1+IFERROR(MATCH($C1015,总览!$D$46:$D$345,1)+1,1),7)=0),$C$3,0),0)</f>
        <v>460.535130517234</v>
      </c>
      <c r="W1015" s="135" cm="1">
        <f ca="1" t="array" ref="W1015">SUMPRODUCT(TRANSPOSE($AA1015:$AG1015),OFFSET($L$9:$L$15,0,W$631-1))</f>
        <v>16.8502200646615</v>
      </c>
      <c r="X1015" s="135" cm="1">
        <f ca="1" t="array" ref="X1015">SUMPRODUCT(TRANSPOSE($AA1015:$AG1015),OFFSET($L$9:$L$15,0,X$631-1))</f>
        <v>20</v>
      </c>
      <c r="Y1015" s="135" cm="1">
        <f ca="1" t="array" ref="Y1015">SUMPRODUCT(TRANSPOSE($AA1015:$AG1015),OFFSET($L$9:$L$15,0,Y$631-1))</f>
        <v>10</v>
      </c>
      <c r="Z1015" s="135" cm="1">
        <f ca="1" t="array" ref="Z1015">SUMPRODUCT(TRANSPOSE($AA1015:$AG1015),OFFSET($L$9:$L$15,0,Z$631-1))</f>
        <v>3.14977993533847</v>
      </c>
      <c r="AA1015" s="136">
        <f ca="1" t="shared" ref="AA1015:AG1015" si="1011">AH1015-AH1014</f>
        <v>0</v>
      </c>
      <c r="AB1015" s="136">
        <f ca="1" t="shared" si="1011"/>
        <v>0</v>
      </c>
      <c r="AC1015" s="136">
        <f ca="1" t="shared" si="1011"/>
        <v>0</v>
      </c>
      <c r="AD1015" s="136">
        <f ca="1" t="shared" si="1011"/>
        <v>0</v>
      </c>
      <c r="AE1015" s="136">
        <f ca="1" t="shared" si="1011"/>
        <v>0</v>
      </c>
      <c r="AF1015" s="136">
        <f ca="1" t="shared" si="1011"/>
        <v>0</v>
      </c>
      <c r="AG1015" s="136">
        <f ca="1" t="shared" si="1011"/>
        <v>100</v>
      </c>
      <c r="AH1015" s="136">
        <f ca="1" t="shared" si="891"/>
        <v>450</v>
      </c>
      <c r="AI1015" s="136">
        <f ca="1" t="shared" ref="AI1015:AN1015" si="1012">IF($C1015&gt;OFFSET($Q$8,MATCH(AI$634,$AH$634:$AN$634,0),0),OFFSET($P$8,MATCH(AI$634,$AH$634:$AN$634,0),0),MAX(0,$C1015-OFFSET($Q$8,RIGHT(AI$634,1)-1,0)))</f>
        <v>909</v>
      </c>
      <c r="AJ1015" s="136">
        <f ca="1" t="shared" si="1012"/>
        <v>1818</v>
      </c>
      <c r="AK1015" s="136">
        <f ca="1" t="shared" si="1012"/>
        <v>2727</v>
      </c>
      <c r="AL1015" s="136">
        <f ca="1" t="shared" si="1012"/>
        <v>3636</v>
      </c>
      <c r="AM1015" s="136">
        <f ca="1" t="shared" si="1012"/>
        <v>4545</v>
      </c>
      <c r="AN1015" s="136">
        <f ca="1" t="shared" si="1012"/>
        <v>24015</v>
      </c>
    </row>
    <row r="1016" s="106" customFormat="1" ht="16.5" spans="2:40">
      <c r="B1016" s="117">
        <v>382</v>
      </c>
      <c r="C1016" s="130">
        <f t="shared" si="889"/>
        <v>38200</v>
      </c>
      <c r="D1016" s="131" cm="1">
        <f ca="1" t="array" ref="D1016">IF(D1618=1,OFFSET($W$634,$B1016,D$631-1)/SUMPRODUCT(--($D$631:$V$631=D$631),--($D1618:$V1618=1)),0)+SUM(D1015)+IF(COUNTIF(D$1237:D1618,1)=1,5,0)+IF(COUNTIF(E1016:$W1016,"&gt;"&amp;0)&lt;5,IF(AND(COUNTIF(D$1237:D1618,1)&gt;7,MOD(1+IFERROR(MATCH($C1016,总览!$D$46:$D$345,1)+1,1),7)=0),$C$3,0),0)</f>
        <v>2473.29820476438</v>
      </c>
      <c r="E1016" s="131" cm="1">
        <f ca="1" t="array" ref="E1016">IF(E1618=1,OFFSET($W$634,$B1016,E$631-1)/SUMPRODUCT(--($D$631:$V$631=E$631),--($D1618:$V1618=1)),0)+SUM(E1015)+IF(COUNTIF(E$1237:E1618,1)=1,5,0)+IF(COUNTIF(F1016:$W1016,"&gt;"&amp;0)&lt;5,IF(AND(COUNTIF(E$1237:E1618,1)&gt;7,MOD(1+IFERROR(MATCH($C1016,总览!$D$46:$D$345,1)+1,1),7)=0),$C$3,0),0)</f>
        <v>2473.29820476438</v>
      </c>
      <c r="F1016" s="131" cm="1">
        <f ca="1" t="array" ref="F1016">IF(F1618=1,OFFSET($W$634,$B1016,F$631-1)/SUMPRODUCT(--($D$631:$V$631=F$631),--($D1618:$V1618=1)),0)+SUM(F1015)+IF(COUNTIF(F$1237:F1618,1)=1,5,0)+IF(COUNTIF(G1016:$W1016,"&gt;"&amp;0)&lt;5,IF(AND(COUNTIF(F$1237:F1618,1)&gt;7,MOD(1+IFERROR(MATCH($C1016,总览!$D$46:$D$345,1)+1,1),7)=0),$C$3,0),0)</f>
        <v>2473.29820476438</v>
      </c>
      <c r="G1016" s="131" cm="1">
        <f ca="1" t="array" ref="G1016">IF(G1618=1,OFFSET($W$634,$B1016,G$631-1)/SUMPRODUCT(--($D$631:$V$631=G$631),--($D1618:$V1618=1)),0)+SUM(G1015)+IF(COUNTIF(G$1237:G1618,1)=1,5,0)+IF(COUNTIF(H1016:$W1016,"&gt;"&amp;0)&lt;5,IF(AND(COUNTIF(G$1237:G1618,1)&gt;7,MOD(1+IFERROR(MATCH($C1016,总览!$D$46:$D$345,1)+1,1),7)=0),$C$3,0),0)</f>
        <v>1212.73333333333</v>
      </c>
      <c r="H1016" s="131" cm="1">
        <f ca="1" t="array" ref="H1016">IF(H1618=1,OFFSET($W$634,$B1016,H$631-1)/SUMPRODUCT(--($D$631:$V$631=H$631),--($D1618:$V1618=1)),0)+SUM(H1015)+IF(COUNTIF(H$1237:H1618,1)=1,5,0)+IF(COUNTIF(I1016:$W1016,"&gt;"&amp;0)&lt;5,IF(AND(COUNTIF(H$1237:H1618,1)&gt;7,MOD(1+IFERROR(MATCH($C1016,总览!$D$46:$D$345,1)+1,1),7)=0),$C$3,0),0)</f>
        <v>1212.73333333333</v>
      </c>
      <c r="I1016" s="131" cm="1">
        <f ca="1" t="array" ref="I1016">IF(I1618=1,OFFSET($W$634,$B1016,I$631-1)/SUMPRODUCT(--($D$631:$V$631=I$631),--($D1618:$V1618=1)),0)+SUM(I1015)+IF(COUNTIF(I$1237:I1618,1)=1,5,0)+IF(COUNTIF(J1016:$W1016,"&gt;"&amp;0)&lt;5,IF(AND(COUNTIF(I$1237:I1618,1)&gt;7,MOD(1+IFERROR(MATCH($C1016,总览!$D$46:$D$345,1)+1,1),7)=0),$C$3,0),0)</f>
        <v>1212.73333333333</v>
      </c>
      <c r="J1016" s="131" cm="1">
        <f ca="1" t="array" ref="J1016">IF(J1618=1,OFFSET($W$634,$B1016,J$631-1)/SUMPRODUCT(--($D$631:$V$631=J$631),--($D1618:$V1618=1)),0)+SUM(J1015)+IF(COUNTIF(J$1237:J1618,1)=1,5,0)+IF(COUNTIF(K1016:$W1016,"&gt;"&amp;0)&lt;5,IF(AND(COUNTIF(J$1237:J1618,1)&gt;7,MOD(1+IFERROR(MATCH($C1016,总览!$D$46:$D$345,1)+1,1),7)=0),$C$3,0),0)</f>
        <v>1209.4</v>
      </c>
      <c r="K1016" s="131" cm="1">
        <f ca="1" t="array" ref="K1016">IF(K1618=1,OFFSET($W$634,$B1016,K$631-1)/SUMPRODUCT(--($D$631:$V$631=K$631),--($D1618:$V1618=1)),0)+SUM(K1015)+IF(COUNTIF(K$1237:K1618,1)=1,5,0)+IF(COUNTIF(L1016:$W1016,"&gt;"&amp;0)&lt;5,IF(AND(COUNTIF(K$1237:K1618,1)&gt;7,MOD(1+IFERROR(MATCH($C1016,总览!$D$46:$D$345,1)+1,1),7)=0),$C$3,0),0)</f>
        <v>1206.9</v>
      </c>
      <c r="L1016" s="131" cm="1">
        <f ca="1" t="array" ref="L1016">IF(L1618=1,OFFSET($W$634,$B1016,L$631-1)/SUMPRODUCT(--($D$631:$V$631=L$631),--($D1618:$V1618=1)),0)+SUM(L1015)+IF(COUNTIF(L$1237:L1618,1)=1,5,0)+IF(COUNTIF(M1016:$W1016,"&gt;"&amp;0)&lt;5,IF(AND(COUNTIF(L$1237:L1618,1)&gt;7,MOD(1+IFERROR(MATCH($C1016,总览!$D$46:$D$345,1)+1,1),7)=0),$C$3,0),0)</f>
        <v>1206.9</v>
      </c>
      <c r="M1016" s="131" cm="1">
        <f ca="1" t="array" ref="M1016">IF(M1618=1,OFFSET($W$634,$B1016,M$631-1)/SUMPRODUCT(--($D$631:$V$631=M$631),--($D1618:$V1618=1)),0)+SUM(M1015)+IF(COUNTIF(M$1237:M1618,1)=1,5,0)+IF(COUNTIF(N1016:$W1016,"&gt;"&amp;0)&lt;5,IF(AND(COUNTIF(M$1237:M1618,1)&gt;7,MOD(1+IFERROR(MATCH($C1016,总览!$D$46:$D$345,1)+1,1),7)=0),$C$3,0),0)</f>
        <v>503.466964285716</v>
      </c>
      <c r="N1016" s="131" cm="1">
        <f ca="1" t="array" ref="N1016">IF(N1618=1,OFFSET($W$634,$B1016,N$631-1)/SUMPRODUCT(--($D$631:$V$631=N$631),--($D1618:$V1618=1)),0)+SUM(N1015)+IF(COUNTIF(N$1237:N1618,1)=1,5,0)+IF(COUNTIF(O1016:$W1016,"&gt;"&amp;0)&lt;5,IF(AND(COUNTIF(N$1237:N1618,1)&gt;7,MOD(1+IFERROR(MATCH($C1016,总览!$D$46:$D$345,1)+1,1),7)=0),$C$3,0),0)</f>
        <v>504.716964285716</v>
      </c>
      <c r="O1016" s="131" cm="1">
        <f ca="1" t="array" ref="O1016">IF(O1618=1,OFFSET($W$634,$B1016,O$631-1)/SUMPRODUCT(--($D$631:$V$631=O$631),--($D1618:$V1618=1)),0)+SUM(O1015)+IF(COUNTIF(O$1237:O1618,1)=1,5,0)+IF(COUNTIF(P1016:$W1016,"&gt;"&amp;0)&lt;5,IF(AND(COUNTIF(O$1237:O1618,1)&gt;7,MOD(1+IFERROR(MATCH($C1016,总览!$D$46:$D$345,1)+1,1),7)=0),$C$3,0),0)</f>
        <v>509.716964285716</v>
      </c>
      <c r="P1016" s="131" cm="1">
        <f ca="1" t="array" ref="P1016">IF(P1618=1,OFFSET($W$634,$B1016,P$631-1)/SUMPRODUCT(--($D$631:$V$631=P$631),--($D1618:$V1618=1)),0)+SUM(P1015)+IF(COUNTIF(P$1237:P1618,1)=1,5,0)+IF(COUNTIF(Q1016:$W1016,"&gt;"&amp;0)&lt;5,IF(AND(COUNTIF(P$1237:P1618,1)&gt;7,MOD(1+IFERROR(MATCH($C1016,总览!$D$46:$D$345,1)+1,1),7)=0),$C$3,0),0)</f>
        <v>498.835714285716</v>
      </c>
      <c r="Q1016" s="131" cm="1">
        <f ca="1" t="array" ref="Q1016">IF(Q1618=1,OFFSET($W$634,$B1016,Q$631-1)/SUMPRODUCT(--($D$631:$V$631=Q$631),--($D1618:$V1618=1)),0)+SUM(Q1015)+IF(COUNTIF(Q$1237:Q1618,1)=1,5,0)+IF(COUNTIF(R1016:$W1016,"&gt;"&amp;0)&lt;5,IF(AND(COUNTIF(Q$1237:Q1618,1)&gt;7,MOD(1+IFERROR(MATCH($C1016,总览!$D$46:$D$345,1)+1,1),7)=0),$C$3,0),0)</f>
        <v>512.216964285716</v>
      </c>
      <c r="R1016" s="131" cm="1">
        <f ca="1" t="array" ref="R1016">IF(R1618=1,OFFSET($W$634,$B1016,R$631-1)/SUMPRODUCT(--($D$631:$V$631=R$631),--($D1618:$V1618=1)),0)+SUM(R1015)+IF(COUNTIF(R$1237:R1618,1)=1,5,0)+IF(COUNTIF(S1016:$W1016,"&gt;"&amp;0)&lt;5,IF(AND(COUNTIF(R$1237:R1618,1)&gt;7,MOD(1+IFERROR(MATCH($C1016,总览!$D$46:$D$345,1)+1,1),7)=0),$C$3,0),0)</f>
        <v>503.835714285716</v>
      </c>
      <c r="S1016" s="131" cm="1">
        <f ca="1" t="array" ref="S1016">IF(S1618=1,OFFSET($W$634,$B1016,S$631-1)/SUMPRODUCT(--($D$631:$V$631=S$631),--($D1618:$V1618=1)),0)+SUM(S1015)+IF(COUNTIF(S$1237:S1618,1)=1,5,0)+IF(COUNTIF(T1016:$W1016,"&gt;"&amp;0)&lt;5,IF(AND(COUNTIF(S$1237:S1618,1)&gt;7,MOD(1+IFERROR(MATCH($C1016,总览!$D$46:$D$345,1)+1,1),7)=0),$C$3,0),0)</f>
        <v>596.335714285717</v>
      </c>
      <c r="T1016" s="131" cm="1">
        <f ca="1" t="array" ref="T1016">IF(T1618=1,OFFSET($W$634,$B1016,T$631-1)/SUMPRODUCT(--($D$631:$V$631=T$631),--($D1618:$V1618=1)),0)+SUM(T1015)+IF(COUNTIF(T$1237:T1618,1)=1,5,0)+IF(COUNTIF(U1016:$W1016,"&gt;"&amp;0)&lt;5,IF(AND(COUNTIF(T$1237:T1618,1)&gt;7,MOD(1+IFERROR(MATCH($C1016,总览!$D$46:$D$345,1)+1,1),7)=0),$C$3,0),0)</f>
        <v>436.237271094614</v>
      </c>
      <c r="U1016" s="131" cm="1">
        <f ca="1" t="array" ref="U1016">IF(U1618=1,OFFSET($W$634,$B1016,U$631-1)/SUMPRODUCT(--($D$631:$V$631=U$631),--($D1618:$V1618=1)),0)+SUM(U1015)+IF(COUNTIF(U$1237:U1618,1)=1,5,0)+IF(COUNTIF(V1016:$W1016,"&gt;"&amp;0)&lt;5,IF(AND(COUNTIF(U$1237:U1618,1)&gt;7,MOD(1+IFERROR(MATCH($C1016,总览!$D$46:$D$345,1)+1,1),7)=0),$C$3,0),0)</f>
        <v>441.758057449914</v>
      </c>
      <c r="V1016" s="131" cm="1">
        <f ca="1" t="array" ref="V1016">IF(V1618=1,OFFSET($W$634,$B1016,V$631-1)/SUMPRODUCT(--($D$631:$V$631=V$631),--($D1618:$V1618=1)),0)+SUM(V1015)+IF(COUNTIF(V$1237:V1618,1)=1,5,0)+IF(COUNTIF(W1016:$W1016,"&gt;"&amp;0)&lt;5,IF(AND(COUNTIF(V$1237:V1618,1)&gt;7,MOD(1+IFERROR(MATCH($C1016,总览!$D$46:$D$345,1)+1,1),7)=0),$C$3,0),0)</f>
        <v>461.585057162347</v>
      </c>
      <c r="W1016" s="135" cm="1">
        <f ca="1" t="array" ref="W1016">SUMPRODUCT(TRANSPOSE($AA1016:$AG1016),OFFSET($L$9:$L$15,0,W$631-1))</f>
        <v>16.8502200646615</v>
      </c>
      <c r="X1016" s="135" cm="1">
        <f ca="1" t="array" ref="X1016">SUMPRODUCT(TRANSPOSE($AA1016:$AG1016),OFFSET($L$9:$L$15,0,X$631-1))</f>
        <v>20</v>
      </c>
      <c r="Y1016" s="135" cm="1">
        <f ca="1" t="array" ref="Y1016">SUMPRODUCT(TRANSPOSE($AA1016:$AG1016),OFFSET($L$9:$L$15,0,Y$631-1))</f>
        <v>10</v>
      </c>
      <c r="Z1016" s="135" cm="1">
        <f ca="1" t="array" ref="Z1016">SUMPRODUCT(TRANSPOSE($AA1016:$AG1016),OFFSET($L$9:$L$15,0,Z$631-1))</f>
        <v>3.14977993533847</v>
      </c>
      <c r="AA1016" s="136">
        <f ca="1" t="shared" ref="AA1016:AG1016" si="1013">AH1016-AH1015</f>
        <v>0</v>
      </c>
      <c r="AB1016" s="136">
        <f ca="1" t="shared" si="1013"/>
        <v>0</v>
      </c>
      <c r="AC1016" s="136">
        <f ca="1" t="shared" si="1013"/>
        <v>0</v>
      </c>
      <c r="AD1016" s="136">
        <f ca="1" t="shared" si="1013"/>
        <v>0</v>
      </c>
      <c r="AE1016" s="136">
        <f ca="1" t="shared" si="1013"/>
        <v>0</v>
      </c>
      <c r="AF1016" s="136">
        <f ca="1" t="shared" si="1013"/>
        <v>0</v>
      </c>
      <c r="AG1016" s="136">
        <f ca="1" t="shared" si="1013"/>
        <v>100</v>
      </c>
      <c r="AH1016" s="136">
        <f ca="1" t="shared" si="891"/>
        <v>450</v>
      </c>
      <c r="AI1016" s="136">
        <f ca="1" t="shared" ref="AI1016:AN1016" si="1014">IF($C1016&gt;OFFSET($Q$8,MATCH(AI$634,$AH$634:$AN$634,0),0),OFFSET($P$8,MATCH(AI$634,$AH$634:$AN$634,0),0),MAX(0,$C1016-OFFSET($Q$8,RIGHT(AI$634,1)-1,0)))</f>
        <v>909</v>
      </c>
      <c r="AJ1016" s="136">
        <f ca="1" t="shared" si="1014"/>
        <v>1818</v>
      </c>
      <c r="AK1016" s="136">
        <f ca="1" t="shared" si="1014"/>
        <v>2727</v>
      </c>
      <c r="AL1016" s="136">
        <f ca="1" t="shared" si="1014"/>
        <v>3636</v>
      </c>
      <c r="AM1016" s="136">
        <f ca="1" t="shared" si="1014"/>
        <v>4545</v>
      </c>
      <c r="AN1016" s="136">
        <f ca="1" t="shared" si="1014"/>
        <v>24115</v>
      </c>
    </row>
    <row r="1017" s="106" customFormat="1" ht="16.5" spans="2:40">
      <c r="B1017" s="117">
        <v>383</v>
      </c>
      <c r="C1017" s="130">
        <f t="shared" si="889"/>
        <v>38300</v>
      </c>
      <c r="D1017" s="131" cm="1">
        <f ca="1" t="array" ref="D1017">IF(D1619=1,OFFSET($W$634,$B1017,D$631-1)/SUMPRODUCT(--($D$631:$V$631=D$631),--($D1619:$V1619=1)),0)+SUM(D1016)+IF(COUNTIF(D$1237:D1619,1)=1,5,0)+IF(COUNTIF(E1017:$W1017,"&gt;"&amp;0)&lt;5,IF(AND(COUNTIF(D$1237:D1619,1)&gt;7,MOD(1+IFERROR(MATCH($C1017,总览!$D$46:$D$345,1)+1,1),7)=0),$C$3,0),0)</f>
        <v>2478.91494478594</v>
      </c>
      <c r="E1017" s="131" cm="1">
        <f ca="1" t="array" ref="E1017">IF(E1619=1,OFFSET($W$634,$B1017,E$631-1)/SUMPRODUCT(--($D$631:$V$631=E$631),--($D1619:$V1619=1)),0)+SUM(E1016)+IF(COUNTIF(E$1237:E1619,1)=1,5,0)+IF(COUNTIF(F1017:$W1017,"&gt;"&amp;0)&lt;5,IF(AND(COUNTIF(E$1237:E1619,1)&gt;7,MOD(1+IFERROR(MATCH($C1017,总览!$D$46:$D$345,1)+1,1),7)=0),$C$3,0),0)</f>
        <v>2478.91494478594</v>
      </c>
      <c r="F1017" s="131" cm="1">
        <f ca="1" t="array" ref="F1017">IF(F1619=1,OFFSET($W$634,$B1017,F$631-1)/SUMPRODUCT(--($D$631:$V$631=F$631),--($D1619:$V1619=1)),0)+SUM(F1016)+IF(COUNTIF(F$1237:F1619,1)=1,5,0)+IF(COUNTIF(G1017:$W1017,"&gt;"&amp;0)&lt;5,IF(AND(COUNTIF(F$1237:F1619,1)&gt;7,MOD(1+IFERROR(MATCH($C1017,总览!$D$46:$D$345,1)+1,1),7)=0),$C$3,0),0)</f>
        <v>2478.91494478594</v>
      </c>
      <c r="G1017" s="131" cm="1">
        <f ca="1" t="array" ref="G1017">IF(G1619=1,OFFSET($W$634,$B1017,G$631-1)/SUMPRODUCT(--($D$631:$V$631=G$631),--($D1619:$V1619=1)),0)+SUM(G1016)+IF(COUNTIF(G$1237:G1619,1)=1,5,0)+IF(COUNTIF(H1017:$W1017,"&gt;"&amp;0)&lt;5,IF(AND(COUNTIF(G$1237:G1619,1)&gt;7,MOD(1+IFERROR(MATCH($C1017,总览!$D$46:$D$345,1)+1,1),7)=0),$C$3,0),0)</f>
        <v>1216.06666666667</v>
      </c>
      <c r="H1017" s="131" cm="1">
        <f ca="1" t="array" ref="H1017">IF(H1619=1,OFFSET($W$634,$B1017,H$631-1)/SUMPRODUCT(--($D$631:$V$631=H$631),--($D1619:$V1619=1)),0)+SUM(H1016)+IF(COUNTIF(H$1237:H1619,1)=1,5,0)+IF(COUNTIF(I1017:$W1017,"&gt;"&amp;0)&lt;5,IF(AND(COUNTIF(H$1237:H1619,1)&gt;7,MOD(1+IFERROR(MATCH($C1017,总览!$D$46:$D$345,1)+1,1),7)=0),$C$3,0),0)</f>
        <v>1216.06666666667</v>
      </c>
      <c r="I1017" s="131" cm="1">
        <f ca="1" t="array" ref="I1017">IF(I1619=1,OFFSET($W$634,$B1017,I$631-1)/SUMPRODUCT(--($D$631:$V$631=I$631),--($D1619:$V1619=1)),0)+SUM(I1016)+IF(COUNTIF(I$1237:I1619,1)=1,5,0)+IF(COUNTIF(J1017:$W1017,"&gt;"&amp;0)&lt;5,IF(AND(COUNTIF(I$1237:I1619,1)&gt;7,MOD(1+IFERROR(MATCH($C1017,总览!$D$46:$D$345,1)+1,1),7)=0),$C$3,0),0)</f>
        <v>1216.06666666667</v>
      </c>
      <c r="J1017" s="131" cm="1">
        <f ca="1" t="array" ref="J1017">IF(J1619=1,OFFSET($W$634,$B1017,J$631-1)/SUMPRODUCT(--($D$631:$V$631=J$631),--($D1619:$V1619=1)),0)+SUM(J1016)+IF(COUNTIF(J$1237:J1619,1)=1,5,0)+IF(COUNTIF(K1017:$W1017,"&gt;"&amp;0)&lt;5,IF(AND(COUNTIF(J$1237:J1619,1)&gt;7,MOD(1+IFERROR(MATCH($C1017,总览!$D$46:$D$345,1)+1,1),7)=0),$C$3,0),0)</f>
        <v>1212.73333333333</v>
      </c>
      <c r="K1017" s="131" cm="1">
        <f ca="1" t="array" ref="K1017">IF(K1619=1,OFFSET($W$634,$B1017,K$631-1)/SUMPRODUCT(--($D$631:$V$631=K$631),--($D1619:$V1619=1)),0)+SUM(K1016)+IF(COUNTIF(K$1237:K1619,1)=1,5,0)+IF(COUNTIF(L1017:$W1017,"&gt;"&amp;0)&lt;5,IF(AND(COUNTIF(K$1237:K1619,1)&gt;7,MOD(1+IFERROR(MATCH($C1017,总览!$D$46:$D$345,1)+1,1),7)=0),$C$3,0),0)</f>
        <v>1210.23333333333</v>
      </c>
      <c r="L1017" s="131" cm="1">
        <f ca="1" t="array" ref="L1017">IF(L1619=1,OFFSET($W$634,$B1017,L$631-1)/SUMPRODUCT(--($D$631:$V$631=L$631),--($D1619:$V1619=1)),0)+SUM(L1016)+IF(COUNTIF(L$1237:L1619,1)=1,5,0)+IF(COUNTIF(M1017:$W1017,"&gt;"&amp;0)&lt;5,IF(AND(COUNTIF(L$1237:L1619,1)&gt;7,MOD(1+IFERROR(MATCH($C1017,总览!$D$46:$D$345,1)+1,1),7)=0),$C$3,0),0)</f>
        <v>1210.23333333333</v>
      </c>
      <c r="M1017" s="131" cm="1">
        <f ca="1" t="array" ref="M1017">IF(M1619=1,OFFSET($W$634,$B1017,M$631-1)/SUMPRODUCT(--($D$631:$V$631=M$631),--($D1619:$V1619=1)),0)+SUM(M1016)+IF(COUNTIF(M$1237:M1619,1)=1,5,0)+IF(COUNTIF(N1017:$W1017,"&gt;"&amp;0)&lt;5,IF(AND(COUNTIF(M$1237:M1619,1)&gt;7,MOD(1+IFERROR(MATCH($C1017,总览!$D$46:$D$345,1)+1,1),7)=0),$C$3,0),0)</f>
        <v>504.895535714287</v>
      </c>
      <c r="N1017" s="131" cm="1">
        <f ca="1" t="array" ref="N1017">IF(N1619=1,OFFSET($W$634,$B1017,N$631-1)/SUMPRODUCT(--($D$631:$V$631=N$631),--($D1619:$V1619=1)),0)+SUM(N1016)+IF(COUNTIF(N$1237:N1619,1)=1,5,0)+IF(COUNTIF(O1017:$W1017,"&gt;"&amp;0)&lt;5,IF(AND(COUNTIF(N$1237:N1619,1)&gt;7,MOD(1+IFERROR(MATCH($C1017,总览!$D$46:$D$345,1)+1,1),7)=0),$C$3,0),0)</f>
        <v>506.145535714287</v>
      </c>
      <c r="O1017" s="131" cm="1">
        <f ca="1" t="array" ref="O1017">IF(O1619=1,OFFSET($W$634,$B1017,O$631-1)/SUMPRODUCT(--($D$631:$V$631=O$631),--($D1619:$V1619=1)),0)+SUM(O1016)+IF(COUNTIF(O$1237:O1619,1)=1,5,0)+IF(COUNTIF(P1017:$W1017,"&gt;"&amp;0)&lt;5,IF(AND(COUNTIF(O$1237:O1619,1)&gt;7,MOD(1+IFERROR(MATCH($C1017,总览!$D$46:$D$345,1)+1,1),7)=0),$C$3,0),0)</f>
        <v>511.145535714287</v>
      </c>
      <c r="P1017" s="131" cm="1">
        <f ca="1" t="array" ref="P1017">IF(P1619=1,OFFSET($W$634,$B1017,P$631-1)/SUMPRODUCT(--($D$631:$V$631=P$631),--($D1619:$V1619=1)),0)+SUM(P1016)+IF(COUNTIF(P$1237:P1619,1)=1,5,0)+IF(COUNTIF(Q1017:$W1017,"&gt;"&amp;0)&lt;5,IF(AND(COUNTIF(P$1237:P1619,1)&gt;7,MOD(1+IFERROR(MATCH($C1017,总览!$D$46:$D$345,1)+1,1),7)=0),$C$3,0),0)</f>
        <v>500.264285714287</v>
      </c>
      <c r="Q1017" s="131" cm="1">
        <f ca="1" t="array" ref="Q1017">IF(Q1619=1,OFFSET($W$634,$B1017,Q$631-1)/SUMPRODUCT(--($D$631:$V$631=Q$631),--($D1619:$V1619=1)),0)+SUM(Q1016)+IF(COUNTIF(Q$1237:Q1619,1)=1,5,0)+IF(COUNTIF(R1017:$W1017,"&gt;"&amp;0)&lt;5,IF(AND(COUNTIF(Q$1237:Q1619,1)&gt;7,MOD(1+IFERROR(MATCH($C1017,总览!$D$46:$D$345,1)+1,1),7)=0),$C$3,0),0)</f>
        <v>513.645535714287</v>
      </c>
      <c r="R1017" s="131" cm="1">
        <f ca="1" t="array" ref="R1017">IF(R1619=1,OFFSET($W$634,$B1017,R$631-1)/SUMPRODUCT(--($D$631:$V$631=R$631),--($D1619:$V1619=1)),0)+SUM(R1016)+IF(COUNTIF(R$1237:R1619,1)=1,5,0)+IF(COUNTIF(S1017:$W1017,"&gt;"&amp;0)&lt;5,IF(AND(COUNTIF(R$1237:R1619,1)&gt;7,MOD(1+IFERROR(MATCH($C1017,总览!$D$46:$D$345,1)+1,1),7)=0),$C$3,0),0)</f>
        <v>505.264285714287</v>
      </c>
      <c r="S1017" s="131" cm="1">
        <f ca="1" t="array" ref="S1017">IF(S1619=1,OFFSET($W$634,$B1017,S$631-1)/SUMPRODUCT(--($D$631:$V$631=S$631),--($D1619:$V1619=1)),0)+SUM(S1016)+IF(COUNTIF(S$1237:S1619,1)=1,5,0)+IF(COUNTIF(T1017:$W1017,"&gt;"&amp;0)&lt;5,IF(AND(COUNTIF(S$1237:S1619,1)&gt;7,MOD(1+IFERROR(MATCH($C1017,总览!$D$46:$D$345,1)+1,1),7)=0),$C$3,0),0)</f>
        <v>597.764285714288</v>
      </c>
      <c r="T1017" s="131" cm="1">
        <f ca="1" t="array" ref="T1017">IF(T1619=1,OFFSET($W$634,$B1017,T$631-1)/SUMPRODUCT(--($D$631:$V$631=T$631),--($D1619:$V1619=1)),0)+SUM(T1016)+IF(COUNTIF(T$1237:T1619,1)=1,5,0)+IF(COUNTIF(U1017:$W1017,"&gt;"&amp;0)&lt;5,IF(AND(COUNTIF(T$1237:T1619,1)&gt;7,MOD(1+IFERROR(MATCH($C1017,总览!$D$46:$D$345,1)+1,1),7)=0),$C$3,0),0)</f>
        <v>437.287197739727</v>
      </c>
      <c r="U1017" s="131" cm="1">
        <f ca="1" t="array" ref="U1017">IF(U1619=1,OFFSET($W$634,$B1017,U$631-1)/SUMPRODUCT(--($D$631:$V$631=U$631),--($D1619:$V1619=1)),0)+SUM(U1016)+IF(COUNTIF(U$1237:U1619,1)=1,5,0)+IF(COUNTIF(V1017:$W1017,"&gt;"&amp;0)&lt;5,IF(AND(COUNTIF(U$1237:U1619,1)&gt;7,MOD(1+IFERROR(MATCH($C1017,总览!$D$46:$D$345,1)+1,1),7)=0),$C$3,0),0)</f>
        <v>442.807984095027</v>
      </c>
      <c r="V1017" s="131" cm="1">
        <f ca="1" t="array" ref="V1017">IF(V1619=1,OFFSET($W$634,$B1017,V$631-1)/SUMPRODUCT(--($D$631:$V$631=V$631),--($D1619:$V1619=1)),0)+SUM(V1016)+IF(COUNTIF(V$1237:V1619,1)=1,5,0)+IF(COUNTIF(W1017:$W1017,"&gt;"&amp;0)&lt;5,IF(AND(COUNTIF(V$1237:V1619,1)&gt;7,MOD(1+IFERROR(MATCH($C1017,总览!$D$46:$D$345,1)+1,1),7)=0),$C$3,0),0)</f>
        <v>462.63498380746</v>
      </c>
      <c r="W1017" s="135" cm="1">
        <f ca="1" t="array" ref="W1017">SUMPRODUCT(TRANSPOSE($AA1017:$AG1017),OFFSET($L$9:$L$15,0,W$631-1))</f>
        <v>16.8502200646615</v>
      </c>
      <c r="X1017" s="135" cm="1">
        <f ca="1" t="array" ref="X1017">SUMPRODUCT(TRANSPOSE($AA1017:$AG1017),OFFSET($L$9:$L$15,0,X$631-1))</f>
        <v>20</v>
      </c>
      <c r="Y1017" s="135" cm="1">
        <f ca="1" t="array" ref="Y1017">SUMPRODUCT(TRANSPOSE($AA1017:$AG1017),OFFSET($L$9:$L$15,0,Y$631-1))</f>
        <v>10</v>
      </c>
      <c r="Z1017" s="135" cm="1">
        <f ca="1" t="array" ref="Z1017">SUMPRODUCT(TRANSPOSE($AA1017:$AG1017),OFFSET($L$9:$L$15,0,Z$631-1))</f>
        <v>3.14977993533847</v>
      </c>
      <c r="AA1017" s="136">
        <f ca="1" t="shared" ref="AA1017:AG1017" si="1015">AH1017-AH1016</f>
        <v>0</v>
      </c>
      <c r="AB1017" s="136">
        <f ca="1" t="shared" si="1015"/>
        <v>0</v>
      </c>
      <c r="AC1017" s="136">
        <f ca="1" t="shared" si="1015"/>
        <v>0</v>
      </c>
      <c r="AD1017" s="136">
        <f ca="1" t="shared" si="1015"/>
        <v>0</v>
      </c>
      <c r="AE1017" s="136">
        <f ca="1" t="shared" si="1015"/>
        <v>0</v>
      </c>
      <c r="AF1017" s="136">
        <f ca="1" t="shared" si="1015"/>
        <v>0</v>
      </c>
      <c r="AG1017" s="136">
        <f ca="1" t="shared" si="1015"/>
        <v>100</v>
      </c>
      <c r="AH1017" s="136">
        <f ca="1" t="shared" si="891"/>
        <v>450</v>
      </c>
      <c r="AI1017" s="136">
        <f ca="1" t="shared" ref="AI1017:AN1017" si="1016">IF($C1017&gt;OFFSET($Q$8,MATCH(AI$634,$AH$634:$AN$634,0),0),OFFSET($P$8,MATCH(AI$634,$AH$634:$AN$634,0),0),MAX(0,$C1017-OFFSET($Q$8,RIGHT(AI$634,1)-1,0)))</f>
        <v>909</v>
      </c>
      <c r="AJ1017" s="136">
        <f ca="1" t="shared" si="1016"/>
        <v>1818</v>
      </c>
      <c r="AK1017" s="136">
        <f ca="1" t="shared" si="1016"/>
        <v>2727</v>
      </c>
      <c r="AL1017" s="136">
        <f ca="1" t="shared" si="1016"/>
        <v>3636</v>
      </c>
      <c r="AM1017" s="136">
        <f ca="1" t="shared" si="1016"/>
        <v>4545</v>
      </c>
      <c r="AN1017" s="136">
        <f ca="1" t="shared" si="1016"/>
        <v>24215</v>
      </c>
    </row>
    <row r="1018" s="106" customFormat="1" ht="16.5" spans="2:40">
      <c r="B1018" s="117">
        <v>384</v>
      </c>
      <c r="C1018" s="130">
        <f t="shared" si="889"/>
        <v>38400</v>
      </c>
      <c r="D1018" s="131" cm="1">
        <f ca="1" t="array" ref="D1018">IF(D1620=1,OFFSET($W$634,$B1018,D$631-1)/SUMPRODUCT(--($D$631:$V$631=D$631),--($D1620:$V1620=1)),0)+SUM(D1017)+IF(COUNTIF(D$1237:D1620,1)=1,5,0)+IF(COUNTIF(E1018:$W1018,"&gt;"&amp;0)&lt;5,IF(AND(COUNTIF(D$1237:D1620,1)&gt;7,MOD(1+IFERROR(MATCH($C1018,总览!$D$46:$D$345,1)+1,1),7)=0),$C$3,0),0)</f>
        <v>2484.53168480749</v>
      </c>
      <c r="E1018" s="131" cm="1">
        <f ca="1" t="array" ref="E1018">IF(E1620=1,OFFSET($W$634,$B1018,E$631-1)/SUMPRODUCT(--($D$631:$V$631=E$631),--($D1620:$V1620=1)),0)+SUM(E1017)+IF(COUNTIF(E$1237:E1620,1)=1,5,0)+IF(COUNTIF(F1018:$W1018,"&gt;"&amp;0)&lt;5,IF(AND(COUNTIF(E$1237:E1620,1)&gt;7,MOD(1+IFERROR(MATCH($C1018,总览!$D$46:$D$345,1)+1,1),7)=0),$C$3,0),0)</f>
        <v>2484.53168480749</v>
      </c>
      <c r="F1018" s="131" cm="1">
        <f ca="1" t="array" ref="F1018">IF(F1620=1,OFFSET($W$634,$B1018,F$631-1)/SUMPRODUCT(--($D$631:$V$631=F$631),--($D1620:$V1620=1)),0)+SUM(F1017)+IF(COUNTIF(F$1237:F1620,1)=1,5,0)+IF(COUNTIF(G1018:$W1018,"&gt;"&amp;0)&lt;5,IF(AND(COUNTIF(F$1237:F1620,1)&gt;7,MOD(1+IFERROR(MATCH($C1018,总览!$D$46:$D$345,1)+1,1),7)=0),$C$3,0),0)</f>
        <v>2484.53168480749</v>
      </c>
      <c r="G1018" s="131" cm="1">
        <f ca="1" t="array" ref="G1018">IF(G1620=1,OFFSET($W$634,$B1018,G$631-1)/SUMPRODUCT(--($D$631:$V$631=G$631),--($D1620:$V1620=1)),0)+SUM(G1017)+IF(COUNTIF(G$1237:G1620,1)=1,5,0)+IF(COUNTIF(H1018:$W1018,"&gt;"&amp;0)&lt;5,IF(AND(COUNTIF(G$1237:G1620,1)&gt;7,MOD(1+IFERROR(MATCH($C1018,总览!$D$46:$D$345,1)+1,1),7)=0),$C$3,0),0)</f>
        <v>1219.4</v>
      </c>
      <c r="H1018" s="131" cm="1">
        <f ca="1" t="array" ref="H1018">IF(H1620=1,OFFSET($W$634,$B1018,H$631-1)/SUMPRODUCT(--($D$631:$V$631=H$631),--($D1620:$V1620=1)),0)+SUM(H1017)+IF(COUNTIF(H$1237:H1620,1)=1,5,0)+IF(COUNTIF(I1018:$W1018,"&gt;"&amp;0)&lt;5,IF(AND(COUNTIF(H$1237:H1620,1)&gt;7,MOD(1+IFERROR(MATCH($C1018,总览!$D$46:$D$345,1)+1,1),7)=0),$C$3,0),0)</f>
        <v>1219.4</v>
      </c>
      <c r="I1018" s="131" cm="1">
        <f ca="1" t="array" ref="I1018">IF(I1620=1,OFFSET($W$634,$B1018,I$631-1)/SUMPRODUCT(--($D$631:$V$631=I$631),--($D1620:$V1620=1)),0)+SUM(I1017)+IF(COUNTIF(I$1237:I1620,1)=1,5,0)+IF(COUNTIF(J1018:$W1018,"&gt;"&amp;0)&lt;5,IF(AND(COUNTIF(I$1237:I1620,1)&gt;7,MOD(1+IFERROR(MATCH($C1018,总览!$D$46:$D$345,1)+1,1),7)=0),$C$3,0),0)</f>
        <v>1219.4</v>
      </c>
      <c r="J1018" s="131" cm="1">
        <f ca="1" t="array" ref="J1018">IF(J1620=1,OFFSET($W$634,$B1018,J$631-1)/SUMPRODUCT(--($D$631:$V$631=J$631),--($D1620:$V1620=1)),0)+SUM(J1017)+IF(COUNTIF(J$1237:J1620,1)=1,5,0)+IF(COUNTIF(K1018:$W1018,"&gt;"&amp;0)&lt;5,IF(AND(COUNTIF(J$1237:J1620,1)&gt;7,MOD(1+IFERROR(MATCH($C1018,总览!$D$46:$D$345,1)+1,1),7)=0),$C$3,0),0)</f>
        <v>1216.06666666667</v>
      </c>
      <c r="K1018" s="131" cm="1">
        <f ca="1" t="array" ref="K1018">IF(K1620=1,OFFSET($W$634,$B1018,K$631-1)/SUMPRODUCT(--($D$631:$V$631=K$631),--($D1620:$V1620=1)),0)+SUM(K1017)+IF(COUNTIF(K$1237:K1620,1)=1,5,0)+IF(COUNTIF(L1018:$W1018,"&gt;"&amp;0)&lt;5,IF(AND(COUNTIF(K$1237:K1620,1)&gt;7,MOD(1+IFERROR(MATCH($C1018,总览!$D$46:$D$345,1)+1,1),7)=0),$C$3,0),0)</f>
        <v>1213.56666666667</v>
      </c>
      <c r="L1018" s="131" cm="1">
        <f ca="1" t="array" ref="L1018">IF(L1620=1,OFFSET($W$634,$B1018,L$631-1)/SUMPRODUCT(--($D$631:$V$631=L$631),--($D1620:$V1620=1)),0)+SUM(L1017)+IF(COUNTIF(L$1237:L1620,1)=1,5,0)+IF(COUNTIF(M1018:$W1018,"&gt;"&amp;0)&lt;5,IF(AND(COUNTIF(L$1237:L1620,1)&gt;7,MOD(1+IFERROR(MATCH($C1018,总览!$D$46:$D$345,1)+1,1),7)=0),$C$3,0),0)</f>
        <v>1213.56666666667</v>
      </c>
      <c r="M1018" s="131" cm="1">
        <f ca="1" t="array" ref="M1018">IF(M1620=1,OFFSET($W$634,$B1018,M$631-1)/SUMPRODUCT(--($D$631:$V$631=M$631),--($D1620:$V1620=1)),0)+SUM(M1017)+IF(COUNTIF(M$1237:M1620,1)=1,5,0)+IF(COUNTIF(N1018:$W1018,"&gt;"&amp;0)&lt;5,IF(AND(COUNTIF(M$1237:M1620,1)&gt;7,MOD(1+IFERROR(MATCH($C1018,总览!$D$46:$D$345,1)+1,1),7)=0),$C$3,0),0)</f>
        <v>506.324107142859</v>
      </c>
      <c r="N1018" s="131" cm="1">
        <f ca="1" t="array" ref="N1018">IF(N1620=1,OFFSET($W$634,$B1018,N$631-1)/SUMPRODUCT(--($D$631:$V$631=N$631),--($D1620:$V1620=1)),0)+SUM(N1017)+IF(COUNTIF(N$1237:N1620,1)=1,5,0)+IF(COUNTIF(O1018:$W1018,"&gt;"&amp;0)&lt;5,IF(AND(COUNTIF(N$1237:N1620,1)&gt;7,MOD(1+IFERROR(MATCH($C1018,总览!$D$46:$D$345,1)+1,1),7)=0),$C$3,0),0)</f>
        <v>507.574107142859</v>
      </c>
      <c r="O1018" s="131" cm="1">
        <f ca="1" t="array" ref="O1018">IF(O1620=1,OFFSET($W$634,$B1018,O$631-1)/SUMPRODUCT(--($D$631:$V$631=O$631),--($D1620:$V1620=1)),0)+SUM(O1017)+IF(COUNTIF(O$1237:O1620,1)=1,5,0)+IF(COUNTIF(P1018:$W1018,"&gt;"&amp;0)&lt;5,IF(AND(COUNTIF(O$1237:O1620,1)&gt;7,MOD(1+IFERROR(MATCH($C1018,总览!$D$46:$D$345,1)+1,1),7)=0),$C$3,0),0)</f>
        <v>512.574107142859</v>
      </c>
      <c r="P1018" s="131" cm="1">
        <f ca="1" t="array" ref="P1018">IF(P1620=1,OFFSET($W$634,$B1018,P$631-1)/SUMPRODUCT(--($D$631:$V$631=P$631),--($D1620:$V1620=1)),0)+SUM(P1017)+IF(COUNTIF(P$1237:P1620,1)=1,5,0)+IF(COUNTIF(Q1018:$W1018,"&gt;"&amp;0)&lt;5,IF(AND(COUNTIF(P$1237:P1620,1)&gt;7,MOD(1+IFERROR(MATCH($C1018,总览!$D$46:$D$345,1)+1,1),7)=0),$C$3,0),0)</f>
        <v>501.692857142859</v>
      </c>
      <c r="Q1018" s="131" cm="1">
        <f ca="1" t="array" ref="Q1018">IF(Q1620=1,OFFSET($W$634,$B1018,Q$631-1)/SUMPRODUCT(--($D$631:$V$631=Q$631),--($D1620:$V1620=1)),0)+SUM(Q1017)+IF(COUNTIF(Q$1237:Q1620,1)=1,5,0)+IF(COUNTIF(R1018:$W1018,"&gt;"&amp;0)&lt;5,IF(AND(COUNTIF(Q$1237:Q1620,1)&gt;7,MOD(1+IFERROR(MATCH($C1018,总览!$D$46:$D$345,1)+1,1),7)=0),$C$3,0),0)</f>
        <v>515.074107142859</v>
      </c>
      <c r="R1018" s="131" cm="1">
        <f ca="1" t="array" ref="R1018">IF(R1620=1,OFFSET($W$634,$B1018,R$631-1)/SUMPRODUCT(--($D$631:$V$631=R$631),--($D1620:$V1620=1)),0)+SUM(R1017)+IF(COUNTIF(R$1237:R1620,1)=1,5,0)+IF(COUNTIF(S1018:$W1018,"&gt;"&amp;0)&lt;5,IF(AND(COUNTIF(R$1237:R1620,1)&gt;7,MOD(1+IFERROR(MATCH($C1018,总览!$D$46:$D$345,1)+1,1),7)=0),$C$3,0),0)</f>
        <v>506.692857142859</v>
      </c>
      <c r="S1018" s="131" cm="1">
        <f ca="1" t="array" ref="S1018">IF(S1620=1,OFFSET($W$634,$B1018,S$631-1)/SUMPRODUCT(--($D$631:$V$631=S$631),--($D1620:$V1620=1)),0)+SUM(S1017)+IF(COUNTIF(S$1237:S1620,1)=1,5,0)+IF(COUNTIF(T1018:$W1018,"&gt;"&amp;0)&lt;5,IF(AND(COUNTIF(S$1237:S1620,1)&gt;7,MOD(1+IFERROR(MATCH($C1018,总览!$D$46:$D$345,1)+1,1),7)=0),$C$3,0),0)</f>
        <v>599.19285714286</v>
      </c>
      <c r="T1018" s="131" cm="1">
        <f ca="1" t="array" ref="T1018">IF(T1620=1,OFFSET($W$634,$B1018,T$631-1)/SUMPRODUCT(--($D$631:$V$631=T$631),--($D1620:$V1620=1)),0)+SUM(T1017)+IF(COUNTIF(T$1237:T1620,1)=1,5,0)+IF(COUNTIF(U1018:$W1018,"&gt;"&amp;0)&lt;5,IF(AND(COUNTIF(T$1237:T1620,1)&gt;7,MOD(1+IFERROR(MATCH($C1018,总览!$D$46:$D$345,1)+1,1),7)=0),$C$3,0),0)</f>
        <v>438.33712438484</v>
      </c>
      <c r="U1018" s="131" cm="1">
        <f ca="1" t="array" ref="U1018">IF(U1620=1,OFFSET($W$634,$B1018,U$631-1)/SUMPRODUCT(--($D$631:$V$631=U$631),--($D1620:$V1620=1)),0)+SUM(U1017)+IF(COUNTIF(U$1237:U1620,1)=1,5,0)+IF(COUNTIF(V1018:$W1018,"&gt;"&amp;0)&lt;5,IF(AND(COUNTIF(U$1237:U1620,1)&gt;7,MOD(1+IFERROR(MATCH($C1018,总览!$D$46:$D$345,1)+1,1),7)=0),$C$3,0),0)</f>
        <v>443.85791074014</v>
      </c>
      <c r="V1018" s="131" cm="1">
        <f ca="1" t="array" ref="V1018">IF(V1620=1,OFFSET($W$634,$B1018,V$631-1)/SUMPRODUCT(--($D$631:$V$631=V$631),--($D1620:$V1620=1)),0)+SUM(V1017)+IF(COUNTIF(V$1237:V1620,1)=1,5,0)+IF(COUNTIF(W1018:$W1018,"&gt;"&amp;0)&lt;5,IF(AND(COUNTIF(V$1237:V1620,1)&gt;7,MOD(1+IFERROR(MATCH($C1018,总览!$D$46:$D$345,1)+1,1),7)=0),$C$3,0),0)</f>
        <v>463.684910452573</v>
      </c>
      <c r="W1018" s="135" cm="1">
        <f ca="1" t="array" ref="W1018">SUMPRODUCT(TRANSPOSE($AA1018:$AG1018),OFFSET($L$9:$L$15,0,W$631-1))</f>
        <v>16.8502200646615</v>
      </c>
      <c r="X1018" s="135" cm="1">
        <f ca="1" t="array" ref="X1018">SUMPRODUCT(TRANSPOSE($AA1018:$AG1018),OFFSET($L$9:$L$15,0,X$631-1))</f>
        <v>20</v>
      </c>
      <c r="Y1018" s="135" cm="1">
        <f ca="1" t="array" ref="Y1018">SUMPRODUCT(TRANSPOSE($AA1018:$AG1018),OFFSET($L$9:$L$15,0,Y$631-1))</f>
        <v>10</v>
      </c>
      <c r="Z1018" s="135" cm="1">
        <f ca="1" t="array" ref="Z1018">SUMPRODUCT(TRANSPOSE($AA1018:$AG1018),OFFSET($L$9:$L$15,0,Z$631-1))</f>
        <v>3.14977993533847</v>
      </c>
      <c r="AA1018" s="136">
        <f ca="1" t="shared" ref="AA1018:AG1018" si="1017">AH1018-AH1017</f>
        <v>0</v>
      </c>
      <c r="AB1018" s="136">
        <f ca="1" t="shared" si="1017"/>
        <v>0</v>
      </c>
      <c r="AC1018" s="136">
        <f ca="1" t="shared" si="1017"/>
        <v>0</v>
      </c>
      <c r="AD1018" s="136">
        <f ca="1" t="shared" si="1017"/>
        <v>0</v>
      </c>
      <c r="AE1018" s="136">
        <f ca="1" t="shared" si="1017"/>
        <v>0</v>
      </c>
      <c r="AF1018" s="136">
        <f ca="1" t="shared" si="1017"/>
        <v>0</v>
      </c>
      <c r="AG1018" s="136">
        <f ca="1" t="shared" si="1017"/>
        <v>100</v>
      </c>
      <c r="AH1018" s="136">
        <f ca="1" t="shared" si="891"/>
        <v>450</v>
      </c>
      <c r="AI1018" s="136">
        <f ca="1" t="shared" ref="AI1018:AN1018" si="1018">IF($C1018&gt;OFFSET($Q$8,MATCH(AI$634,$AH$634:$AN$634,0),0),OFFSET($P$8,MATCH(AI$634,$AH$634:$AN$634,0),0),MAX(0,$C1018-OFFSET($Q$8,RIGHT(AI$634,1)-1,0)))</f>
        <v>909</v>
      </c>
      <c r="AJ1018" s="136">
        <f ca="1" t="shared" si="1018"/>
        <v>1818</v>
      </c>
      <c r="AK1018" s="136">
        <f ca="1" t="shared" si="1018"/>
        <v>2727</v>
      </c>
      <c r="AL1018" s="136">
        <f ca="1" t="shared" si="1018"/>
        <v>3636</v>
      </c>
      <c r="AM1018" s="136">
        <f ca="1" t="shared" si="1018"/>
        <v>4545</v>
      </c>
      <c r="AN1018" s="136">
        <f ca="1" t="shared" si="1018"/>
        <v>24315</v>
      </c>
    </row>
    <row r="1019" s="106" customFormat="1" ht="16.5" spans="2:40">
      <c r="B1019" s="117">
        <v>385</v>
      </c>
      <c r="C1019" s="130">
        <f t="shared" ref="C1019:C1082" si="1019">C414</f>
        <v>38500</v>
      </c>
      <c r="D1019" s="131" cm="1">
        <f ca="1" t="array" ref="D1019">IF(D1621=1,OFFSET($W$634,$B1019,D$631-1)/SUMPRODUCT(--($D$631:$V$631=D$631),--($D1621:$V1621=1)),0)+SUM(D1018)+IF(COUNTIF(D$1237:D1621,1)=1,5,0)+IF(COUNTIF(E1019:$W1019,"&gt;"&amp;0)&lt;5,IF(AND(COUNTIF(D$1237:D1621,1)&gt;7,MOD(1+IFERROR(MATCH($C1019,总览!$D$46:$D$345,1)+1,1),7)=0),$C$3,0),0)</f>
        <v>2490.14842482905</v>
      </c>
      <c r="E1019" s="131" cm="1">
        <f ca="1" t="array" ref="E1019">IF(E1621=1,OFFSET($W$634,$B1019,E$631-1)/SUMPRODUCT(--($D$631:$V$631=E$631),--($D1621:$V1621=1)),0)+SUM(E1018)+IF(COUNTIF(E$1237:E1621,1)=1,5,0)+IF(COUNTIF(F1019:$W1019,"&gt;"&amp;0)&lt;5,IF(AND(COUNTIF(E$1237:E1621,1)&gt;7,MOD(1+IFERROR(MATCH($C1019,总览!$D$46:$D$345,1)+1,1),7)=0),$C$3,0),0)</f>
        <v>2490.14842482905</v>
      </c>
      <c r="F1019" s="131" cm="1">
        <f ca="1" t="array" ref="F1019">IF(F1621=1,OFFSET($W$634,$B1019,F$631-1)/SUMPRODUCT(--($D$631:$V$631=F$631),--($D1621:$V1621=1)),0)+SUM(F1018)+IF(COUNTIF(F$1237:F1621,1)=1,5,0)+IF(COUNTIF(G1019:$W1019,"&gt;"&amp;0)&lt;5,IF(AND(COUNTIF(F$1237:F1621,1)&gt;7,MOD(1+IFERROR(MATCH($C1019,总览!$D$46:$D$345,1)+1,1),7)=0),$C$3,0),0)</f>
        <v>2490.14842482905</v>
      </c>
      <c r="G1019" s="131" cm="1">
        <f ca="1" t="array" ref="G1019">IF(G1621=1,OFFSET($W$634,$B1019,G$631-1)/SUMPRODUCT(--($D$631:$V$631=G$631),--($D1621:$V1621=1)),0)+SUM(G1018)+IF(COUNTIF(G$1237:G1621,1)=1,5,0)+IF(COUNTIF(H1019:$W1019,"&gt;"&amp;0)&lt;5,IF(AND(COUNTIF(G$1237:G1621,1)&gt;7,MOD(1+IFERROR(MATCH($C1019,总览!$D$46:$D$345,1)+1,1),7)=0),$C$3,0),0)</f>
        <v>1222.73333333333</v>
      </c>
      <c r="H1019" s="131" cm="1">
        <f ca="1" t="array" ref="H1019">IF(H1621=1,OFFSET($W$634,$B1019,H$631-1)/SUMPRODUCT(--($D$631:$V$631=H$631),--($D1621:$V1621=1)),0)+SUM(H1018)+IF(COUNTIF(H$1237:H1621,1)=1,5,0)+IF(COUNTIF(I1019:$W1019,"&gt;"&amp;0)&lt;5,IF(AND(COUNTIF(H$1237:H1621,1)&gt;7,MOD(1+IFERROR(MATCH($C1019,总览!$D$46:$D$345,1)+1,1),7)=0),$C$3,0),0)</f>
        <v>1222.73333333333</v>
      </c>
      <c r="I1019" s="131" cm="1">
        <f ca="1" t="array" ref="I1019">IF(I1621=1,OFFSET($W$634,$B1019,I$631-1)/SUMPRODUCT(--($D$631:$V$631=I$631),--($D1621:$V1621=1)),0)+SUM(I1018)+IF(COUNTIF(I$1237:I1621,1)=1,5,0)+IF(COUNTIF(J1019:$W1019,"&gt;"&amp;0)&lt;5,IF(AND(COUNTIF(I$1237:I1621,1)&gt;7,MOD(1+IFERROR(MATCH($C1019,总览!$D$46:$D$345,1)+1,1),7)=0),$C$3,0),0)</f>
        <v>1222.73333333333</v>
      </c>
      <c r="J1019" s="131" cm="1">
        <f ca="1" t="array" ref="J1019">IF(J1621=1,OFFSET($W$634,$B1019,J$631-1)/SUMPRODUCT(--($D$631:$V$631=J$631),--($D1621:$V1621=1)),0)+SUM(J1018)+IF(COUNTIF(J$1237:J1621,1)=1,5,0)+IF(COUNTIF(K1019:$W1019,"&gt;"&amp;0)&lt;5,IF(AND(COUNTIF(J$1237:J1621,1)&gt;7,MOD(1+IFERROR(MATCH($C1019,总览!$D$46:$D$345,1)+1,1),7)=0),$C$3,0),0)</f>
        <v>1219.4</v>
      </c>
      <c r="K1019" s="131" cm="1">
        <f ca="1" t="array" ref="K1019">IF(K1621=1,OFFSET($W$634,$B1019,K$631-1)/SUMPRODUCT(--($D$631:$V$631=K$631),--($D1621:$V1621=1)),0)+SUM(K1018)+IF(COUNTIF(K$1237:K1621,1)=1,5,0)+IF(COUNTIF(L1019:$W1019,"&gt;"&amp;0)&lt;5,IF(AND(COUNTIF(K$1237:K1621,1)&gt;7,MOD(1+IFERROR(MATCH($C1019,总览!$D$46:$D$345,1)+1,1),7)=0),$C$3,0),0)</f>
        <v>1216.9</v>
      </c>
      <c r="L1019" s="131" cm="1">
        <f ca="1" t="array" ref="L1019">IF(L1621=1,OFFSET($W$634,$B1019,L$631-1)/SUMPRODUCT(--($D$631:$V$631=L$631),--($D1621:$V1621=1)),0)+SUM(L1018)+IF(COUNTIF(L$1237:L1621,1)=1,5,0)+IF(COUNTIF(M1019:$W1019,"&gt;"&amp;0)&lt;5,IF(AND(COUNTIF(L$1237:L1621,1)&gt;7,MOD(1+IFERROR(MATCH($C1019,总览!$D$46:$D$345,1)+1,1),7)=0),$C$3,0),0)</f>
        <v>1216.9</v>
      </c>
      <c r="M1019" s="131" cm="1">
        <f ca="1" t="array" ref="M1019">IF(M1621=1,OFFSET($W$634,$B1019,M$631-1)/SUMPRODUCT(--($D$631:$V$631=M$631),--($D1621:$V1621=1)),0)+SUM(M1018)+IF(COUNTIF(M$1237:M1621,1)=1,5,0)+IF(COUNTIF(N1019:$W1019,"&gt;"&amp;0)&lt;5,IF(AND(COUNTIF(M$1237:M1621,1)&gt;7,MOD(1+IFERROR(MATCH($C1019,总览!$D$46:$D$345,1)+1,1),7)=0),$C$3,0),0)</f>
        <v>507.75267857143</v>
      </c>
      <c r="N1019" s="131" cm="1">
        <f ca="1" t="array" ref="N1019">IF(N1621=1,OFFSET($W$634,$B1019,N$631-1)/SUMPRODUCT(--($D$631:$V$631=N$631),--($D1621:$V1621=1)),0)+SUM(N1018)+IF(COUNTIF(N$1237:N1621,1)=1,5,0)+IF(COUNTIF(O1019:$W1019,"&gt;"&amp;0)&lt;5,IF(AND(COUNTIF(N$1237:N1621,1)&gt;7,MOD(1+IFERROR(MATCH($C1019,总览!$D$46:$D$345,1)+1,1),7)=0),$C$3,0),0)</f>
        <v>509.00267857143</v>
      </c>
      <c r="O1019" s="131" cm="1">
        <f ca="1" t="array" ref="O1019">IF(O1621=1,OFFSET($W$634,$B1019,O$631-1)/SUMPRODUCT(--($D$631:$V$631=O$631),--($D1621:$V1621=1)),0)+SUM(O1018)+IF(COUNTIF(O$1237:O1621,1)=1,5,0)+IF(COUNTIF(P1019:$W1019,"&gt;"&amp;0)&lt;5,IF(AND(COUNTIF(O$1237:O1621,1)&gt;7,MOD(1+IFERROR(MATCH($C1019,总览!$D$46:$D$345,1)+1,1),7)=0),$C$3,0),0)</f>
        <v>514.00267857143</v>
      </c>
      <c r="P1019" s="131" cm="1">
        <f ca="1" t="array" ref="P1019">IF(P1621=1,OFFSET($W$634,$B1019,P$631-1)/SUMPRODUCT(--($D$631:$V$631=P$631),--($D1621:$V1621=1)),0)+SUM(P1018)+IF(COUNTIF(P$1237:P1621,1)=1,5,0)+IF(COUNTIF(Q1019:$W1019,"&gt;"&amp;0)&lt;5,IF(AND(COUNTIF(P$1237:P1621,1)&gt;7,MOD(1+IFERROR(MATCH($C1019,总览!$D$46:$D$345,1)+1,1),7)=0),$C$3,0),0)</f>
        <v>503.12142857143</v>
      </c>
      <c r="Q1019" s="131" cm="1">
        <f ca="1" t="array" ref="Q1019">IF(Q1621=1,OFFSET($W$634,$B1019,Q$631-1)/SUMPRODUCT(--($D$631:$V$631=Q$631),--($D1621:$V1621=1)),0)+SUM(Q1018)+IF(COUNTIF(Q$1237:Q1621,1)=1,5,0)+IF(COUNTIF(R1019:$W1019,"&gt;"&amp;0)&lt;5,IF(AND(COUNTIF(Q$1237:Q1621,1)&gt;7,MOD(1+IFERROR(MATCH($C1019,总览!$D$46:$D$345,1)+1,1),7)=0),$C$3,0),0)</f>
        <v>516.50267857143</v>
      </c>
      <c r="R1019" s="131" cm="1">
        <f ca="1" t="array" ref="R1019">IF(R1621=1,OFFSET($W$634,$B1019,R$631-1)/SUMPRODUCT(--($D$631:$V$631=R$631),--($D1621:$V1621=1)),0)+SUM(R1018)+IF(COUNTIF(R$1237:R1621,1)=1,5,0)+IF(COUNTIF(S1019:$W1019,"&gt;"&amp;0)&lt;5,IF(AND(COUNTIF(R$1237:R1621,1)&gt;7,MOD(1+IFERROR(MATCH($C1019,总览!$D$46:$D$345,1)+1,1),7)=0),$C$3,0),0)</f>
        <v>508.12142857143</v>
      </c>
      <c r="S1019" s="131" cm="1">
        <f ca="1" t="array" ref="S1019">IF(S1621=1,OFFSET($W$634,$B1019,S$631-1)/SUMPRODUCT(--($D$631:$V$631=S$631),--($D1621:$V1621=1)),0)+SUM(S1018)+IF(COUNTIF(S$1237:S1621,1)=1,5,0)+IF(COUNTIF(T1019:$W1019,"&gt;"&amp;0)&lt;5,IF(AND(COUNTIF(S$1237:S1621,1)&gt;7,MOD(1+IFERROR(MATCH($C1019,总览!$D$46:$D$345,1)+1,1),7)=0),$C$3,0),0)</f>
        <v>600.621428571431</v>
      </c>
      <c r="T1019" s="131" cm="1">
        <f ca="1" t="array" ref="T1019">IF(T1621=1,OFFSET($W$634,$B1019,T$631-1)/SUMPRODUCT(--($D$631:$V$631=T$631),--($D1621:$V1621=1)),0)+SUM(T1018)+IF(COUNTIF(T$1237:T1621,1)=1,5,0)+IF(COUNTIF(U1019:$W1019,"&gt;"&amp;0)&lt;5,IF(AND(COUNTIF(T$1237:T1621,1)&gt;7,MOD(1+IFERROR(MATCH($C1019,总览!$D$46:$D$345,1)+1,1),7)=0),$C$3,0),0)</f>
        <v>439.387051029953</v>
      </c>
      <c r="U1019" s="131" cm="1">
        <f ca="1" t="array" ref="U1019">IF(U1621=1,OFFSET($W$634,$B1019,U$631-1)/SUMPRODUCT(--($D$631:$V$631=U$631),--($D1621:$V1621=1)),0)+SUM(U1018)+IF(COUNTIF(U$1237:U1621,1)=1,5,0)+IF(COUNTIF(V1019:$W1019,"&gt;"&amp;0)&lt;5,IF(AND(COUNTIF(U$1237:U1621,1)&gt;7,MOD(1+IFERROR(MATCH($C1019,总览!$D$46:$D$345,1)+1,1),7)=0),$C$3,0),0)</f>
        <v>444.907837385252</v>
      </c>
      <c r="V1019" s="131" cm="1">
        <f ca="1" t="array" ref="V1019">IF(V1621=1,OFFSET($W$634,$B1019,V$631-1)/SUMPRODUCT(--($D$631:$V$631=V$631),--($D1621:$V1621=1)),0)+SUM(V1018)+IF(COUNTIF(V$1237:V1621,1)=1,5,0)+IF(COUNTIF(W1019:$W1019,"&gt;"&amp;0)&lt;5,IF(AND(COUNTIF(V$1237:V1621,1)&gt;7,MOD(1+IFERROR(MATCH($C1019,总览!$D$46:$D$345,1)+1,1),7)=0),$C$3,0),0)</f>
        <v>464.734837097685</v>
      </c>
      <c r="W1019" s="135" cm="1">
        <f ca="1" t="array" ref="W1019">SUMPRODUCT(TRANSPOSE($AA1019:$AG1019),OFFSET($L$9:$L$15,0,W$631-1))</f>
        <v>16.8502200646615</v>
      </c>
      <c r="X1019" s="135" cm="1">
        <f ca="1" t="array" ref="X1019">SUMPRODUCT(TRANSPOSE($AA1019:$AG1019),OFFSET($L$9:$L$15,0,X$631-1))</f>
        <v>20</v>
      </c>
      <c r="Y1019" s="135" cm="1">
        <f ca="1" t="array" ref="Y1019">SUMPRODUCT(TRANSPOSE($AA1019:$AG1019),OFFSET($L$9:$L$15,0,Y$631-1))</f>
        <v>10</v>
      </c>
      <c r="Z1019" s="135" cm="1">
        <f ca="1" t="array" ref="Z1019">SUMPRODUCT(TRANSPOSE($AA1019:$AG1019),OFFSET($L$9:$L$15,0,Z$631-1))</f>
        <v>3.14977993533847</v>
      </c>
      <c r="AA1019" s="136">
        <f ca="1" t="shared" ref="AA1019:AG1019" si="1020">AH1019-AH1018</f>
        <v>0</v>
      </c>
      <c r="AB1019" s="136">
        <f ca="1" t="shared" si="1020"/>
        <v>0</v>
      </c>
      <c r="AC1019" s="136">
        <f ca="1" t="shared" si="1020"/>
        <v>0</v>
      </c>
      <c r="AD1019" s="136">
        <f ca="1" t="shared" si="1020"/>
        <v>0</v>
      </c>
      <c r="AE1019" s="136">
        <f ca="1" t="shared" si="1020"/>
        <v>0</v>
      </c>
      <c r="AF1019" s="136">
        <f ca="1" t="shared" si="1020"/>
        <v>0</v>
      </c>
      <c r="AG1019" s="136">
        <f ca="1" t="shared" si="1020"/>
        <v>100</v>
      </c>
      <c r="AH1019" s="136">
        <f ca="1" t="shared" ref="AH1019:AH1082" si="1021">IF($C1019&gt;OFFSET($Q$8,MATCH(AH$634,$AH$634:$AN$634,0),0),OFFSET($P$8,MATCH(AH$634,$AH$634:$AN$634,0),0),$C1019)</f>
        <v>450</v>
      </c>
      <c r="AI1019" s="136">
        <f ca="1" t="shared" ref="AI1019:AN1019" si="1022">IF($C1019&gt;OFFSET($Q$8,MATCH(AI$634,$AH$634:$AN$634,0),0),OFFSET($P$8,MATCH(AI$634,$AH$634:$AN$634,0),0),MAX(0,$C1019-OFFSET($Q$8,RIGHT(AI$634,1)-1,0)))</f>
        <v>909</v>
      </c>
      <c r="AJ1019" s="136">
        <f ca="1" t="shared" si="1022"/>
        <v>1818</v>
      </c>
      <c r="AK1019" s="136">
        <f ca="1" t="shared" si="1022"/>
        <v>2727</v>
      </c>
      <c r="AL1019" s="136">
        <f ca="1" t="shared" si="1022"/>
        <v>3636</v>
      </c>
      <c r="AM1019" s="136">
        <f ca="1" t="shared" si="1022"/>
        <v>4545</v>
      </c>
      <c r="AN1019" s="136">
        <f ca="1" t="shared" si="1022"/>
        <v>24415</v>
      </c>
    </row>
    <row r="1020" s="106" customFormat="1" ht="16.5" spans="2:40">
      <c r="B1020" s="117">
        <v>386</v>
      </c>
      <c r="C1020" s="130">
        <f t="shared" si="1019"/>
        <v>38600</v>
      </c>
      <c r="D1020" s="131" cm="1">
        <f ca="1" t="array" ref="D1020">IF(D1622=1,OFFSET($W$634,$B1020,D$631-1)/SUMPRODUCT(--($D$631:$V$631=D$631),--($D1622:$V1622=1)),0)+SUM(D1019)+IF(COUNTIF(D$1237:D1622,1)=1,5,0)+IF(COUNTIF(E1020:$W1020,"&gt;"&amp;0)&lt;5,IF(AND(COUNTIF(D$1237:D1622,1)&gt;7,MOD(1+IFERROR(MATCH($C1020,总览!$D$46:$D$345,1)+1,1),7)=0),$C$3,0),0)</f>
        <v>2495.7651648506</v>
      </c>
      <c r="E1020" s="131" cm="1">
        <f ca="1" t="array" ref="E1020">IF(E1622=1,OFFSET($W$634,$B1020,E$631-1)/SUMPRODUCT(--($D$631:$V$631=E$631),--($D1622:$V1622=1)),0)+SUM(E1019)+IF(COUNTIF(E$1237:E1622,1)=1,5,0)+IF(COUNTIF(F1020:$W1020,"&gt;"&amp;0)&lt;5,IF(AND(COUNTIF(E$1237:E1622,1)&gt;7,MOD(1+IFERROR(MATCH($C1020,总览!$D$46:$D$345,1)+1,1),7)=0),$C$3,0),0)</f>
        <v>2495.7651648506</v>
      </c>
      <c r="F1020" s="131" cm="1">
        <f ca="1" t="array" ref="F1020">IF(F1622=1,OFFSET($W$634,$B1020,F$631-1)/SUMPRODUCT(--($D$631:$V$631=F$631),--($D1622:$V1622=1)),0)+SUM(F1019)+IF(COUNTIF(F$1237:F1622,1)=1,5,0)+IF(COUNTIF(G1020:$W1020,"&gt;"&amp;0)&lt;5,IF(AND(COUNTIF(F$1237:F1622,1)&gt;7,MOD(1+IFERROR(MATCH($C1020,总览!$D$46:$D$345,1)+1,1),7)=0),$C$3,0),0)</f>
        <v>2495.7651648506</v>
      </c>
      <c r="G1020" s="131" cm="1">
        <f ca="1" t="array" ref="G1020">IF(G1622=1,OFFSET($W$634,$B1020,G$631-1)/SUMPRODUCT(--($D$631:$V$631=G$631),--($D1622:$V1622=1)),0)+SUM(G1019)+IF(COUNTIF(G$1237:G1622,1)=1,5,0)+IF(COUNTIF(H1020:$W1020,"&gt;"&amp;0)&lt;5,IF(AND(COUNTIF(G$1237:G1622,1)&gt;7,MOD(1+IFERROR(MATCH($C1020,总览!$D$46:$D$345,1)+1,1),7)=0),$C$3,0),0)</f>
        <v>1226.06666666667</v>
      </c>
      <c r="H1020" s="131" cm="1">
        <f ca="1" t="array" ref="H1020">IF(H1622=1,OFFSET($W$634,$B1020,H$631-1)/SUMPRODUCT(--($D$631:$V$631=H$631),--($D1622:$V1622=1)),0)+SUM(H1019)+IF(COUNTIF(H$1237:H1622,1)=1,5,0)+IF(COUNTIF(I1020:$W1020,"&gt;"&amp;0)&lt;5,IF(AND(COUNTIF(H$1237:H1622,1)&gt;7,MOD(1+IFERROR(MATCH($C1020,总览!$D$46:$D$345,1)+1,1),7)=0),$C$3,0),0)</f>
        <v>1226.06666666667</v>
      </c>
      <c r="I1020" s="131" cm="1">
        <f ca="1" t="array" ref="I1020">IF(I1622=1,OFFSET($W$634,$B1020,I$631-1)/SUMPRODUCT(--($D$631:$V$631=I$631),--($D1622:$V1622=1)),0)+SUM(I1019)+IF(COUNTIF(I$1237:I1622,1)=1,5,0)+IF(COUNTIF(J1020:$W1020,"&gt;"&amp;0)&lt;5,IF(AND(COUNTIF(I$1237:I1622,1)&gt;7,MOD(1+IFERROR(MATCH($C1020,总览!$D$46:$D$345,1)+1,1),7)=0),$C$3,0),0)</f>
        <v>1226.06666666667</v>
      </c>
      <c r="J1020" s="131" cm="1">
        <f ca="1" t="array" ref="J1020">IF(J1622=1,OFFSET($W$634,$B1020,J$631-1)/SUMPRODUCT(--($D$631:$V$631=J$631),--($D1622:$V1622=1)),0)+SUM(J1019)+IF(COUNTIF(J$1237:J1622,1)=1,5,0)+IF(COUNTIF(K1020:$W1020,"&gt;"&amp;0)&lt;5,IF(AND(COUNTIF(J$1237:J1622,1)&gt;7,MOD(1+IFERROR(MATCH($C1020,总览!$D$46:$D$345,1)+1,1),7)=0),$C$3,0),0)</f>
        <v>1222.73333333333</v>
      </c>
      <c r="K1020" s="131" cm="1">
        <f ca="1" t="array" ref="K1020">IF(K1622=1,OFFSET($W$634,$B1020,K$631-1)/SUMPRODUCT(--($D$631:$V$631=K$631),--($D1622:$V1622=1)),0)+SUM(K1019)+IF(COUNTIF(K$1237:K1622,1)=1,5,0)+IF(COUNTIF(L1020:$W1020,"&gt;"&amp;0)&lt;5,IF(AND(COUNTIF(K$1237:K1622,1)&gt;7,MOD(1+IFERROR(MATCH($C1020,总览!$D$46:$D$345,1)+1,1),7)=0),$C$3,0),0)</f>
        <v>1220.23333333333</v>
      </c>
      <c r="L1020" s="131" cm="1">
        <f ca="1" t="array" ref="L1020">IF(L1622=1,OFFSET($W$634,$B1020,L$631-1)/SUMPRODUCT(--($D$631:$V$631=L$631),--($D1622:$V1622=1)),0)+SUM(L1019)+IF(COUNTIF(L$1237:L1622,1)=1,5,0)+IF(COUNTIF(M1020:$W1020,"&gt;"&amp;0)&lt;5,IF(AND(COUNTIF(L$1237:L1622,1)&gt;7,MOD(1+IFERROR(MATCH($C1020,总览!$D$46:$D$345,1)+1,1),7)=0),$C$3,0),0)</f>
        <v>1220.23333333333</v>
      </c>
      <c r="M1020" s="131" cm="1">
        <f ca="1" t="array" ref="M1020">IF(M1622=1,OFFSET($W$634,$B1020,M$631-1)/SUMPRODUCT(--($D$631:$V$631=M$631),--($D1622:$V1622=1)),0)+SUM(M1019)+IF(COUNTIF(M$1237:M1622,1)=1,5,0)+IF(COUNTIF(N1020:$W1020,"&gt;"&amp;0)&lt;5,IF(AND(COUNTIF(M$1237:M1622,1)&gt;7,MOD(1+IFERROR(MATCH($C1020,总览!$D$46:$D$345,1)+1,1),7)=0),$C$3,0),0)</f>
        <v>509.181250000002</v>
      </c>
      <c r="N1020" s="131" cm="1">
        <f ca="1" t="array" ref="N1020">IF(N1622=1,OFFSET($W$634,$B1020,N$631-1)/SUMPRODUCT(--($D$631:$V$631=N$631),--($D1622:$V1622=1)),0)+SUM(N1019)+IF(COUNTIF(N$1237:N1622,1)=1,5,0)+IF(COUNTIF(O1020:$W1020,"&gt;"&amp;0)&lt;5,IF(AND(COUNTIF(N$1237:N1622,1)&gt;7,MOD(1+IFERROR(MATCH($C1020,总览!$D$46:$D$345,1)+1,1),7)=0),$C$3,0),0)</f>
        <v>510.431250000002</v>
      </c>
      <c r="O1020" s="131" cm="1">
        <f ca="1" t="array" ref="O1020">IF(O1622=1,OFFSET($W$634,$B1020,O$631-1)/SUMPRODUCT(--($D$631:$V$631=O$631),--($D1622:$V1622=1)),0)+SUM(O1019)+IF(COUNTIF(O$1237:O1622,1)=1,5,0)+IF(COUNTIF(P1020:$W1020,"&gt;"&amp;0)&lt;5,IF(AND(COUNTIF(O$1237:O1622,1)&gt;7,MOD(1+IFERROR(MATCH($C1020,总览!$D$46:$D$345,1)+1,1),7)=0),$C$3,0),0)</f>
        <v>515.431250000002</v>
      </c>
      <c r="P1020" s="131" cm="1">
        <f ca="1" t="array" ref="P1020">IF(P1622=1,OFFSET($W$634,$B1020,P$631-1)/SUMPRODUCT(--($D$631:$V$631=P$631),--($D1622:$V1622=1)),0)+SUM(P1019)+IF(COUNTIF(P$1237:P1622,1)=1,5,0)+IF(COUNTIF(Q1020:$W1020,"&gt;"&amp;0)&lt;5,IF(AND(COUNTIF(P$1237:P1622,1)&gt;7,MOD(1+IFERROR(MATCH($C1020,总览!$D$46:$D$345,1)+1,1),7)=0),$C$3,0),0)</f>
        <v>504.550000000002</v>
      </c>
      <c r="Q1020" s="131" cm="1">
        <f ca="1" t="array" ref="Q1020">IF(Q1622=1,OFFSET($W$634,$B1020,Q$631-1)/SUMPRODUCT(--($D$631:$V$631=Q$631),--($D1622:$V1622=1)),0)+SUM(Q1019)+IF(COUNTIF(Q$1237:Q1622,1)=1,5,0)+IF(COUNTIF(R1020:$W1020,"&gt;"&amp;0)&lt;5,IF(AND(COUNTIF(Q$1237:Q1622,1)&gt;7,MOD(1+IFERROR(MATCH($C1020,总览!$D$46:$D$345,1)+1,1),7)=0),$C$3,0),0)</f>
        <v>517.931250000002</v>
      </c>
      <c r="R1020" s="131" cm="1">
        <f ca="1" t="array" ref="R1020">IF(R1622=1,OFFSET($W$634,$B1020,R$631-1)/SUMPRODUCT(--($D$631:$V$631=R$631),--($D1622:$V1622=1)),0)+SUM(R1019)+IF(COUNTIF(R$1237:R1622,1)=1,5,0)+IF(COUNTIF(S1020:$W1020,"&gt;"&amp;0)&lt;5,IF(AND(COUNTIF(R$1237:R1622,1)&gt;7,MOD(1+IFERROR(MATCH($C1020,总览!$D$46:$D$345,1)+1,1),7)=0),$C$3,0),0)</f>
        <v>509.550000000002</v>
      </c>
      <c r="S1020" s="131" cm="1">
        <f ca="1" t="array" ref="S1020">IF(S1622=1,OFFSET($W$634,$B1020,S$631-1)/SUMPRODUCT(--($D$631:$V$631=S$631),--($D1622:$V1622=1)),0)+SUM(S1019)+IF(COUNTIF(S$1237:S1622,1)=1,5,0)+IF(COUNTIF(T1020:$W1020,"&gt;"&amp;0)&lt;5,IF(AND(COUNTIF(S$1237:S1622,1)&gt;7,MOD(1+IFERROR(MATCH($C1020,总览!$D$46:$D$345,1)+1,1),7)=0),$C$3,0),0)</f>
        <v>602.050000000003</v>
      </c>
      <c r="T1020" s="131" cm="1">
        <f ca="1" t="array" ref="T1020">IF(T1622=1,OFFSET($W$634,$B1020,T$631-1)/SUMPRODUCT(--($D$631:$V$631=T$631),--($D1622:$V1622=1)),0)+SUM(T1019)+IF(COUNTIF(T$1237:T1622,1)=1,5,0)+IF(COUNTIF(U1020:$W1020,"&gt;"&amp;0)&lt;5,IF(AND(COUNTIF(T$1237:T1622,1)&gt;7,MOD(1+IFERROR(MATCH($C1020,总览!$D$46:$D$345,1)+1,1),7)=0),$C$3,0),0)</f>
        <v>440.436977675066</v>
      </c>
      <c r="U1020" s="131" cm="1">
        <f ca="1" t="array" ref="U1020">IF(U1622=1,OFFSET($W$634,$B1020,U$631-1)/SUMPRODUCT(--($D$631:$V$631=U$631),--($D1622:$V1622=1)),0)+SUM(U1019)+IF(COUNTIF(U$1237:U1622,1)=1,5,0)+IF(COUNTIF(V1020:$W1020,"&gt;"&amp;0)&lt;5,IF(AND(COUNTIF(U$1237:U1622,1)&gt;7,MOD(1+IFERROR(MATCH($C1020,总览!$D$46:$D$345,1)+1,1),7)=0),$C$3,0),0)</f>
        <v>445.957764030365</v>
      </c>
      <c r="V1020" s="131" cm="1">
        <f ca="1" t="array" ref="V1020">IF(V1622=1,OFFSET($W$634,$B1020,V$631-1)/SUMPRODUCT(--($D$631:$V$631=V$631),--($D1622:$V1622=1)),0)+SUM(V1019)+IF(COUNTIF(V$1237:V1622,1)=1,5,0)+IF(COUNTIF(W1020:$W1020,"&gt;"&amp;0)&lt;5,IF(AND(COUNTIF(V$1237:V1622,1)&gt;7,MOD(1+IFERROR(MATCH($C1020,总览!$D$46:$D$345,1)+1,1),7)=0),$C$3,0),0)</f>
        <v>465.784763742798</v>
      </c>
      <c r="W1020" s="135" cm="1">
        <f ca="1" t="array" ref="W1020">SUMPRODUCT(TRANSPOSE($AA1020:$AG1020),OFFSET($L$9:$L$15,0,W$631-1))</f>
        <v>16.8502200646615</v>
      </c>
      <c r="X1020" s="135" cm="1">
        <f ca="1" t="array" ref="X1020">SUMPRODUCT(TRANSPOSE($AA1020:$AG1020),OFFSET($L$9:$L$15,0,X$631-1))</f>
        <v>20</v>
      </c>
      <c r="Y1020" s="135" cm="1">
        <f ca="1" t="array" ref="Y1020">SUMPRODUCT(TRANSPOSE($AA1020:$AG1020),OFFSET($L$9:$L$15,0,Y$631-1))</f>
        <v>10</v>
      </c>
      <c r="Z1020" s="135" cm="1">
        <f ca="1" t="array" ref="Z1020">SUMPRODUCT(TRANSPOSE($AA1020:$AG1020),OFFSET($L$9:$L$15,0,Z$631-1))</f>
        <v>3.14977993533847</v>
      </c>
      <c r="AA1020" s="136">
        <f ca="1" t="shared" ref="AA1020:AG1020" si="1023">AH1020-AH1019</f>
        <v>0</v>
      </c>
      <c r="AB1020" s="136">
        <f ca="1" t="shared" si="1023"/>
        <v>0</v>
      </c>
      <c r="AC1020" s="136">
        <f ca="1" t="shared" si="1023"/>
        <v>0</v>
      </c>
      <c r="AD1020" s="136">
        <f ca="1" t="shared" si="1023"/>
        <v>0</v>
      </c>
      <c r="AE1020" s="136">
        <f ca="1" t="shared" si="1023"/>
        <v>0</v>
      </c>
      <c r="AF1020" s="136">
        <f ca="1" t="shared" si="1023"/>
        <v>0</v>
      </c>
      <c r="AG1020" s="136">
        <f ca="1" t="shared" si="1023"/>
        <v>100</v>
      </c>
      <c r="AH1020" s="136">
        <f ca="1" t="shared" si="1021"/>
        <v>450</v>
      </c>
      <c r="AI1020" s="136">
        <f ca="1" t="shared" ref="AI1020:AN1020" si="1024">IF($C1020&gt;OFFSET($Q$8,MATCH(AI$634,$AH$634:$AN$634,0),0),OFFSET($P$8,MATCH(AI$634,$AH$634:$AN$634,0),0),MAX(0,$C1020-OFFSET($Q$8,RIGHT(AI$634,1)-1,0)))</f>
        <v>909</v>
      </c>
      <c r="AJ1020" s="136">
        <f ca="1" t="shared" si="1024"/>
        <v>1818</v>
      </c>
      <c r="AK1020" s="136">
        <f ca="1" t="shared" si="1024"/>
        <v>2727</v>
      </c>
      <c r="AL1020" s="136">
        <f ca="1" t="shared" si="1024"/>
        <v>3636</v>
      </c>
      <c r="AM1020" s="136">
        <f ca="1" t="shared" si="1024"/>
        <v>4545</v>
      </c>
      <c r="AN1020" s="136">
        <f ca="1" t="shared" si="1024"/>
        <v>24515</v>
      </c>
    </row>
    <row r="1021" s="106" customFormat="1" ht="16.5" spans="2:40">
      <c r="B1021" s="117">
        <v>387</v>
      </c>
      <c r="C1021" s="130">
        <f t="shared" si="1019"/>
        <v>38700</v>
      </c>
      <c r="D1021" s="131" cm="1">
        <f ca="1" t="array" ref="D1021">IF(D1623=1,OFFSET($W$634,$B1021,D$631-1)/SUMPRODUCT(--($D$631:$V$631=D$631),--($D1623:$V1623=1)),0)+SUM(D1020)+IF(COUNTIF(D$1237:D1623,1)=1,5,0)+IF(COUNTIF(E1021:$W1021,"&gt;"&amp;0)&lt;5,IF(AND(COUNTIF(D$1237:D1623,1)&gt;7,MOD(1+IFERROR(MATCH($C1021,总览!$D$46:$D$345,1)+1,1),7)=0),$C$3,0),0)</f>
        <v>2501.38190487215</v>
      </c>
      <c r="E1021" s="131" cm="1">
        <f ca="1" t="array" ref="E1021">IF(E1623=1,OFFSET($W$634,$B1021,E$631-1)/SUMPRODUCT(--($D$631:$V$631=E$631),--($D1623:$V1623=1)),0)+SUM(E1020)+IF(COUNTIF(E$1237:E1623,1)=1,5,0)+IF(COUNTIF(F1021:$W1021,"&gt;"&amp;0)&lt;5,IF(AND(COUNTIF(E$1237:E1623,1)&gt;7,MOD(1+IFERROR(MATCH($C1021,总览!$D$46:$D$345,1)+1,1),7)=0),$C$3,0),0)</f>
        <v>2501.38190487215</v>
      </c>
      <c r="F1021" s="131" cm="1">
        <f ca="1" t="array" ref="F1021">IF(F1623=1,OFFSET($W$634,$B1021,F$631-1)/SUMPRODUCT(--($D$631:$V$631=F$631),--($D1623:$V1623=1)),0)+SUM(F1020)+IF(COUNTIF(F$1237:F1623,1)=1,5,0)+IF(COUNTIF(G1021:$W1021,"&gt;"&amp;0)&lt;5,IF(AND(COUNTIF(F$1237:F1623,1)&gt;7,MOD(1+IFERROR(MATCH($C1021,总览!$D$46:$D$345,1)+1,1),7)=0),$C$3,0),0)</f>
        <v>2501.38190487215</v>
      </c>
      <c r="G1021" s="131" cm="1">
        <f ca="1" t="array" ref="G1021">IF(G1623=1,OFFSET($W$634,$B1021,G$631-1)/SUMPRODUCT(--($D$631:$V$631=G$631),--($D1623:$V1623=1)),0)+SUM(G1020)+IF(COUNTIF(G$1237:G1623,1)=1,5,0)+IF(COUNTIF(H1021:$W1021,"&gt;"&amp;0)&lt;5,IF(AND(COUNTIF(G$1237:G1623,1)&gt;7,MOD(1+IFERROR(MATCH($C1021,总览!$D$46:$D$345,1)+1,1),7)=0),$C$3,0),0)</f>
        <v>1229.4</v>
      </c>
      <c r="H1021" s="131" cm="1">
        <f ca="1" t="array" ref="H1021">IF(H1623=1,OFFSET($W$634,$B1021,H$631-1)/SUMPRODUCT(--($D$631:$V$631=H$631),--($D1623:$V1623=1)),0)+SUM(H1020)+IF(COUNTIF(H$1237:H1623,1)=1,5,0)+IF(COUNTIF(I1021:$W1021,"&gt;"&amp;0)&lt;5,IF(AND(COUNTIF(H$1237:H1623,1)&gt;7,MOD(1+IFERROR(MATCH($C1021,总览!$D$46:$D$345,1)+1,1),7)=0),$C$3,0),0)</f>
        <v>1229.4</v>
      </c>
      <c r="I1021" s="131" cm="1">
        <f ca="1" t="array" ref="I1021">IF(I1623=1,OFFSET($W$634,$B1021,I$631-1)/SUMPRODUCT(--($D$631:$V$631=I$631),--($D1623:$V1623=1)),0)+SUM(I1020)+IF(COUNTIF(I$1237:I1623,1)=1,5,0)+IF(COUNTIF(J1021:$W1021,"&gt;"&amp;0)&lt;5,IF(AND(COUNTIF(I$1237:I1623,1)&gt;7,MOD(1+IFERROR(MATCH($C1021,总览!$D$46:$D$345,1)+1,1),7)=0),$C$3,0),0)</f>
        <v>1229.4</v>
      </c>
      <c r="J1021" s="131" cm="1">
        <f ca="1" t="array" ref="J1021">IF(J1623=1,OFFSET($W$634,$B1021,J$631-1)/SUMPRODUCT(--($D$631:$V$631=J$631),--($D1623:$V1623=1)),0)+SUM(J1020)+IF(COUNTIF(J$1237:J1623,1)=1,5,0)+IF(COUNTIF(K1021:$W1021,"&gt;"&amp;0)&lt;5,IF(AND(COUNTIF(J$1237:J1623,1)&gt;7,MOD(1+IFERROR(MATCH($C1021,总览!$D$46:$D$345,1)+1,1),7)=0),$C$3,0),0)</f>
        <v>1226.06666666667</v>
      </c>
      <c r="K1021" s="131" cm="1">
        <f ca="1" t="array" ref="K1021">IF(K1623=1,OFFSET($W$634,$B1021,K$631-1)/SUMPRODUCT(--($D$631:$V$631=K$631),--($D1623:$V1623=1)),0)+SUM(K1020)+IF(COUNTIF(K$1237:K1623,1)=1,5,0)+IF(COUNTIF(L1021:$W1021,"&gt;"&amp;0)&lt;5,IF(AND(COUNTIF(K$1237:K1623,1)&gt;7,MOD(1+IFERROR(MATCH($C1021,总览!$D$46:$D$345,1)+1,1),7)=0),$C$3,0),0)</f>
        <v>1223.56666666667</v>
      </c>
      <c r="L1021" s="131" cm="1">
        <f ca="1" t="array" ref="L1021">IF(L1623=1,OFFSET($W$634,$B1021,L$631-1)/SUMPRODUCT(--($D$631:$V$631=L$631),--($D1623:$V1623=1)),0)+SUM(L1020)+IF(COUNTIF(L$1237:L1623,1)=1,5,0)+IF(COUNTIF(M1021:$W1021,"&gt;"&amp;0)&lt;5,IF(AND(COUNTIF(L$1237:L1623,1)&gt;7,MOD(1+IFERROR(MATCH($C1021,总览!$D$46:$D$345,1)+1,1),7)=0),$C$3,0),0)</f>
        <v>1223.56666666667</v>
      </c>
      <c r="M1021" s="131" cm="1">
        <f ca="1" t="array" ref="M1021">IF(M1623=1,OFFSET($W$634,$B1021,M$631-1)/SUMPRODUCT(--($D$631:$V$631=M$631),--($D1623:$V1623=1)),0)+SUM(M1020)+IF(COUNTIF(M$1237:M1623,1)=1,5,0)+IF(COUNTIF(N1021:$W1021,"&gt;"&amp;0)&lt;5,IF(AND(COUNTIF(M$1237:M1623,1)&gt;7,MOD(1+IFERROR(MATCH($C1021,总览!$D$46:$D$345,1)+1,1),7)=0),$C$3,0),0)</f>
        <v>510.609821428573</v>
      </c>
      <c r="N1021" s="131" cm="1">
        <f ca="1" t="array" ref="N1021">IF(N1623=1,OFFSET($W$634,$B1021,N$631-1)/SUMPRODUCT(--($D$631:$V$631=N$631),--($D1623:$V1623=1)),0)+SUM(N1020)+IF(COUNTIF(N$1237:N1623,1)=1,5,0)+IF(COUNTIF(O1021:$W1021,"&gt;"&amp;0)&lt;5,IF(AND(COUNTIF(N$1237:N1623,1)&gt;7,MOD(1+IFERROR(MATCH($C1021,总览!$D$46:$D$345,1)+1,1),7)=0),$C$3,0),0)</f>
        <v>511.859821428573</v>
      </c>
      <c r="O1021" s="131" cm="1">
        <f ca="1" t="array" ref="O1021">IF(O1623=1,OFFSET($W$634,$B1021,O$631-1)/SUMPRODUCT(--($D$631:$V$631=O$631),--($D1623:$V1623=1)),0)+SUM(O1020)+IF(COUNTIF(O$1237:O1623,1)=1,5,0)+IF(COUNTIF(P1021:$W1021,"&gt;"&amp;0)&lt;5,IF(AND(COUNTIF(O$1237:O1623,1)&gt;7,MOD(1+IFERROR(MATCH($C1021,总览!$D$46:$D$345,1)+1,1),7)=0),$C$3,0),0)</f>
        <v>516.859821428573</v>
      </c>
      <c r="P1021" s="131" cm="1">
        <f ca="1" t="array" ref="P1021">IF(P1623=1,OFFSET($W$634,$B1021,P$631-1)/SUMPRODUCT(--($D$631:$V$631=P$631),--($D1623:$V1623=1)),0)+SUM(P1020)+IF(COUNTIF(P$1237:P1623,1)=1,5,0)+IF(COUNTIF(Q1021:$W1021,"&gt;"&amp;0)&lt;5,IF(AND(COUNTIF(P$1237:P1623,1)&gt;7,MOD(1+IFERROR(MATCH($C1021,总览!$D$46:$D$345,1)+1,1),7)=0),$C$3,0),0)</f>
        <v>505.978571428573</v>
      </c>
      <c r="Q1021" s="131" cm="1">
        <f ca="1" t="array" ref="Q1021">IF(Q1623=1,OFFSET($W$634,$B1021,Q$631-1)/SUMPRODUCT(--($D$631:$V$631=Q$631),--($D1623:$V1623=1)),0)+SUM(Q1020)+IF(COUNTIF(Q$1237:Q1623,1)=1,5,0)+IF(COUNTIF(R1021:$W1021,"&gt;"&amp;0)&lt;5,IF(AND(COUNTIF(Q$1237:Q1623,1)&gt;7,MOD(1+IFERROR(MATCH($C1021,总览!$D$46:$D$345,1)+1,1),7)=0),$C$3,0),0)</f>
        <v>519.359821428573</v>
      </c>
      <c r="R1021" s="131" cm="1">
        <f ca="1" t="array" ref="R1021">IF(R1623=1,OFFSET($W$634,$B1021,R$631-1)/SUMPRODUCT(--($D$631:$V$631=R$631),--($D1623:$V1623=1)),0)+SUM(R1020)+IF(COUNTIF(R$1237:R1623,1)=1,5,0)+IF(COUNTIF(S1021:$W1021,"&gt;"&amp;0)&lt;5,IF(AND(COUNTIF(R$1237:R1623,1)&gt;7,MOD(1+IFERROR(MATCH($C1021,总览!$D$46:$D$345,1)+1,1),7)=0),$C$3,0),0)</f>
        <v>510.978571428573</v>
      </c>
      <c r="S1021" s="131" cm="1">
        <f ca="1" t="array" ref="S1021">IF(S1623=1,OFFSET($W$634,$B1021,S$631-1)/SUMPRODUCT(--($D$631:$V$631=S$631),--($D1623:$V1623=1)),0)+SUM(S1020)+IF(COUNTIF(S$1237:S1623,1)=1,5,0)+IF(COUNTIF(T1021:$W1021,"&gt;"&amp;0)&lt;5,IF(AND(COUNTIF(S$1237:S1623,1)&gt;7,MOD(1+IFERROR(MATCH($C1021,总览!$D$46:$D$345,1)+1,1),7)=0),$C$3,0),0)</f>
        <v>603.478571428574</v>
      </c>
      <c r="T1021" s="131" cm="1">
        <f ca="1" t="array" ref="T1021">IF(T1623=1,OFFSET($W$634,$B1021,T$631-1)/SUMPRODUCT(--($D$631:$V$631=T$631),--($D1623:$V1623=1)),0)+SUM(T1020)+IF(COUNTIF(T$1237:T1623,1)=1,5,0)+IF(COUNTIF(U1021:$W1021,"&gt;"&amp;0)&lt;5,IF(AND(COUNTIF(T$1237:T1623,1)&gt;7,MOD(1+IFERROR(MATCH($C1021,总览!$D$46:$D$345,1)+1,1),7)=0),$C$3,0),0)</f>
        <v>441.486904320178</v>
      </c>
      <c r="U1021" s="131" cm="1">
        <f ca="1" t="array" ref="U1021">IF(U1623=1,OFFSET($W$634,$B1021,U$631-1)/SUMPRODUCT(--($D$631:$V$631=U$631),--($D1623:$V1623=1)),0)+SUM(U1020)+IF(COUNTIF(U$1237:U1623,1)=1,5,0)+IF(COUNTIF(V1021:$W1021,"&gt;"&amp;0)&lt;5,IF(AND(COUNTIF(U$1237:U1623,1)&gt;7,MOD(1+IFERROR(MATCH($C1021,总览!$D$46:$D$345,1)+1,1),7)=0),$C$3,0),0)</f>
        <v>447.007690675478</v>
      </c>
      <c r="V1021" s="131" cm="1">
        <f ca="1" t="array" ref="V1021">IF(V1623=1,OFFSET($W$634,$B1021,V$631-1)/SUMPRODUCT(--($D$631:$V$631=V$631),--($D1623:$V1623=1)),0)+SUM(V1020)+IF(COUNTIF(V$1237:V1623,1)=1,5,0)+IF(COUNTIF(W1021:$W1021,"&gt;"&amp;0)&lt;5,IF(AND(COUNTIF(V$1237:V1623,1)&gt;7,MOD(1+IFERROR(MATCH($C1021,总览!$D$46:$D$345,1)+1,1),7)=0),$C$3,0),0)</f>
        <v>466.834690387911</v>
      </c>
      <c r="W1021" s="135" cm="1">
        <f ca="1" t="array" ref="W1021">SUMPRODUCT(TRANSPOSE($AA1021:$AG1021),OFFSET($L$9:$L$15,0,W$631-1))</f>
        <v>16.8502200646615</v>
      </c>
      <c r="X1021" s="135" cm="1">
        <f ca="1" t="array" ref="X1021">SUMPRODUCT(TRANSPOSE($AA1021:$AG1021),OFFSET($L$9:$L$15,0,X$631-1))</f>
        <v>20</v>
      </c>
      <c r="Y1021" s="135" cm="1">
        <f ca="1" t="array" ref="Y1021">SUMPRODUCT(TRANSPOSE($AA1021:$AG1021),OFFSET($L$9:$L$15,0,Y$631-1))</f>
        <v>10</v>
      </c>
      <c r="Z1021" s="135" cm="1">
        <f ca="1" t="array" ref="Z1021">SUMPRODUCT(TRANSPOSE($AA1021:$AG1021),OFFSET($L$9:$L$15,0,Z$631-1))</f>
        <v>3.14977993533847</v>
      </c>
      <c r="AA1021" s="136">
        <f ca="1" t="shared" ref="AA1021:AG1021" si="1025">AH1021-AH1020</f>
        <v>0</v>
      </c>
      <c r="AB1021" s="136">
        <f ca="1" t="shared" si="1025"/>
        <v>0</v>
      </c>
      <c r="AC1021" s="136">
        <f ca="1" t="shared" si="1025"/>
        <v>0</v>
      </c>
      <c r="AD1021" s="136">
        <f ca="1" t="shared" si="1025"/>
        <v>0</v>
      </c>
      <c r="AE1021" s="136">
        <f ca="1" t="shared" si="1025"/>
        <v>0</v>
      </c>
      <c r="AF1021" s="136">
        <f ca="1" t="shared" si="1025"/>
        <v>0</v>
      </c>
      <c r="AG1021" s="136">
        <f ca="1" t="shared" si="1025"/>
        <v>100</v>
      </c>
      <c r="AH1021" s="136">
        <f ca="1" t="shared" si="1021"/>
        <v>450</v>
      </c>
      <c r="AI1021" s="136">
        <f ca="1" t="shared" ref="AI1021:AN1021" si="1026">IF($C1021&gt;OFFSET($Q$8,MATCH(AI$634,$AH$634:$AN$634,0),0),OFFSET($P$8,MATCH(AI$634,$AH$634:$AN$634,0),0),MAX(0,$C1021-OFFSET($Q$8,RIGHT(AI$634,1)-1,0)))</f>
        <v>909</v>
      </c>
      <c r="AJ1021" s="136">
        <f ca="1" t="shared" si="1026"/>
        <v>1818</v>
      </c>
      <c r="AK1021" s="136">
        <f ca="1" t="shared" si="1026"/>
        <v>2727</v>
      </c>
      <c r="AL1021" s="136">
        <f ca="1" t="shared" si="1026"/>
        <v>3636</v>
      </c>
      <c r="AM1021" s="136">
        <f ca="1" t="shared" si="1026"/>
        <v>4545</v>
      </c>
      <c r="AN1021" s="136">
        <f ca="1" t="shared" si="1026"/>
        <v>24615</v>
      </c>
    </row>
    <row r="1022" s="106" customFormat="1" ht="16.5" spans="2:40">
      <c r="B1022" s="117">
        <v>388</v>
      </c>
      <c r="C1022" s="130">
        <f t="shared" si="1019"/>
        <v>38800</v>
      </c>
      <c r="D1022" s="131" cm="1">
        <f ca="1" t="array" ref="D1022">IF(D1624=1,OFFSET($W$634,$B1022,D$631-1)/SUMPRODUCT(--($D$631:$V$631=D$631),--($D1624:$V1624=1)),0)+SUM(D1021)+IF(COUNTIF(D$1237:D1624,1)=1,5,0)+IF(COUNTIF(E1022:$W1022,"&gt;"&amp;0)&lt;5,IF(AND(COUNTIF(D$1237:D1624,1)&gt;7,MOD(1+IFERROR(MATCH($C1022,总览!$D$46:$D$345,1)+1,1),7)=0),$C$3,0),0)</f>
        <v>2506.99864489371</v>
      </c>
      <c r="E1022" s="131" cm="1">
        <f ca="1" t="array" ref="E1022">IF(E1624=1,OFFSET($W$634,$B1022,E$631-1)/SUMPRODUCT(--($D$631:$V$631=E$631),--($D1624:$V1624=1)),0)+SUM(E1021)+IF(COUNTIF(E$1237:E1624,1)=1,5,0)+IF(COUNTIF(F1022:$W1022,"&gt;"&amp;0)&lt;5,IF(AND(COUNTIF(E$1237:E1624,1)&gt;7,MOD(1+IFERROR(MATCH($C1022,总览!$D$46:$D$345,1)+1,1),7)=0),$C$3,0),0)</f>
        <v>2506.99864489371</v>
      </c>
      <c r="F1022" s="131" cm="1">
        <f ca="1" t="array" ref="F1022">IF(F1624=1,OFFSET($W$634,$B1022,F$631-1)/SUMPRODUCT(--($D$631:$V$631=F$631),--($D1624:$V1624=1)),0)+SUM(F1021)+IF(COUNTIF(F$1237:F1624,1)=1,5,0)+IF(COUNTIF(G1022:$W1022,"&gt;"&amp;0)&lt;5,IF(AND(COUNTIF(F$1237:F1624,1)&gt;7,MOD(1+IFERROR(MATCH($C1022,总览!$D$46:$D$345,1)+1,1),7)=0),$C$3,0),0)</f>
        <v>2506.99864489371</v>
      </c>
      <c r="G1022" s="131" cm="1">
        <f ca="1" t="array" ref="G1022">IF(G1624=1,OFFSET($W$634,$B1022,G$631-1)/SUMPRODUCT(--($D$631:$V$631=G$631),--($D1624:$V1624=1)),0)+SUM(G1021)+IF(COUNTIF(G$1237:G1624,1)=1,5,0)+IF(COUNTIF(H1022:$W1022,"&gt;"&amp;0)&lt;5,IF(AND(COUNTIF(G$1237:G1624,1)&gt;7,MOD(1+IFERROR(MATCH($C1022,总览!$D$46:$D$345,1)+1,1),7)=0),$C$3,0),0)</f>
        <v>1232.73333333333</v>
      </c>
      <c r="H1022" s="131" cm="1">
        <f ca="1" t="array" ref="H1022">IF(H1624=1,OFFSET($W$634,$B1022,H$631-1)/SUMPRODUCT(--($D$631:$V$631=H$631),--($D1624:$V1624=1)),0)+SUM(H1021)+IF(COUNTIF(H$1237:H1624,1)=1,5,0)+IF(COUNTIF(I1022:$W1022,"&gt;"&amp;0)&lt;5,IF(AND(COUNTIF(H$1237:H1624,1)&gt;7,MOD(1+IFERROR(MATCH($C1022,总览!$D$46:$D$345,1)+1,1),7)=0),$C$3,0),0)</f>
        <v>1232.73333333333</v>
      </c>
      <c r="I1022" s="131" cm="1">
        <f ca="1" t="array" ref="I1022">IF(I1624=1,OFFSET($W$634,$B1022,I$631-1)/SUMPRODUCT(--($D$631:$V$631=I$631),--($D1624:$V1624=1)),0)+SUM(I1021)+IF(COUNTIF(I$1237:I1624,1)=1,5,0)+IF(COUNTIF(J1022:$W1022,"&gt;"&amp;0)&lt;5,IF(AND(COUNTIF(I$1237:I1624,1)&gt;7,MOD(1+IFERROR(MATCH($C1022,总览!$D$46:$D$345,1)+1,1),7)=0),$C$3,0),0)</f>
        <v>1232.73333333333</v>
      </c>
      <c r="J1022" s="131" cm="1">
        <f ca="1" t="array" ref="J1022">IF(J1624=1,OFFSET($W$634,$B1022,J$631-1)/SUMPRODUCT(--($D$631:$V$631=J$631),--($D1624:$V1624=1)),0)+SUM(J1021)+IF(COUNTIF(J$1237:J1624,1)=1,5,0)+IF(COUNTIF(K1022:$W1022,"&gt;"&amp;0)&lt;5,IF(AND(COUNTIF(J$1237:J1624,1)&gt;7,MOD(1+IFERROR(MATCH($C1022,总览!$D$46:$D$345,1)+1,1),7)=0),$C$3,0),0)</f>
        <v>1229.4</v>
      </c>
      <c r="K1022" s="131" cm="1">
        <f ca="1" t="array" ref="K1022">IF(K1624=1,OFFSET($W$634,$B1022,K$631-1)/SUMPRODUCT(--($D$631:$V$631=K$631),--($D1624:$V1624=1)),0)+SUM(K1021)+IF(COUNTIF(K$1237:K1624,1)=1,5,0)+IF(COUNTIF(L1022:$W1022,"&gt;"&amp;0)&lt;5,IF(AND(COUNTIF(K$1237:K1624,1)&gt;7,MOD(1+IFERROR(MATCH($C1022,总览!$D$46:$D$345,1)+1,1),7)=0),$C$3,0),0)</f>
        <v>1226.9</v>
      </c>
      <c r="L1022" s="131" cm="1">
        <f ca="1" t="array" ref="L1022">IF(L1624=1,OFFSET($W$634,$B1022,L$631-1)/SUMPRODUCT(--($D$631:$V$631=L$631),--($D1624:$V1624=1)),0)+SUM(L1021)+IF(COUNTIF(L$1237:L1624,1)=1,5,0)+IF(COUNTIF(M1022:$W1022,"&gt;"&amp;0)&lt;5,IF(AND(COUNTIF(L$1237:L1624,1)&gt;7,MOD(1+IFERROR(MATCH($C1022,总览!$D$46:$D$345,1)+1,1),7)=0),$C$3,0),0)</f>
        <v>1226.9</v>
      </c>
      <c r="M1022" s="131" cm="1">
        <f ca="1" t="array" ref="M1022">IF(M1624=1,OFFSET($W$634,$B1022,M$631-1)/SUMPRODUCT(--($D$631:$V$631=M$631),--($D1624:$V1624=1)),0)+SUM(M1021)+IF(COUNTIF(M$1237:M1624,1)=1,5,0)+IF(COUNTIF(N1022:$W1022,"&gt;"&amp;0)&lt;5,IF(AND(COUNTIF(M$1237:M1624,1)&gt;7,MOD(1+IFERROR(MATCH($C1022,总览!$D$46:$D$345,1)+1,1),7)=0),$C$3,0),0)</f>
        <v>512.038392857145</v>
      </c>
      <c r="N1022" s="131" cm="1">
        <f ca="1" t="array" ref="N1022">IF(N1624=1,OFFSET($W$634,$B1022,N$631-1)/SUMPRODUCT(--($D$631:$V$631=N$631),--($D1624:$V1624=1)),0)+SUM(N1021)+IF(COUNTIF(N$1237:N1624,1)=1,5,0)+IF(COUNTIF(O1022:$W1022,"&gt;"&amp;0)&lt;5,IF(AND(COUNTIF(N$1237:N1624,1)&gt;7,MOD(1+IFERROR(MATCH($C1022,总览!$D$46:$D$345,1)+1,1),7)=0),$C$3,0),0)</f>
        <v>513.288392857145</v>
      </c>
      <c r="O1022" s="131" cm="1">
        <f ca="1" t="array" ref="O1022">IF(O1624=1,OFFSET($W$634,$B1022,O$631-1)/SUMPRODUCT(--($D$631:$V$631=O$631),--($D1624:$V1624=1)),0)+SUM(O1021)+IF(COUNTIF(O$1237:O1624,1)=1,5,0)+IF(COUNTIF(P1022:$W1022,"&gt;"&amp;0)&lt;5,IF(AND(COUNTIF(O$1237:O1624,1)&gt;7,MOD(1+IFERROR(MATCH($C1022,总览!$D$46:$D$345,1)+1,1),7)=0),$C$3,0),0)</f>
        <v>518.288392857145</v>
      </c>
      <c r="P1022" s="131" cm="1">
        <f ca="1" t="array" ref="P1022">IF(P1624=1,OFFSET($W$634,$B1022,P$631-1)/SUMPRODUCT(--($D$631:$V$631=P$631),--($D1624:$V1624=1)),0)+SUM(P1021)+IF(COUNTIF(P$1237:P1624,1)=1,5,0)+IF(COUNTIF(Q1022:$W1022,"&gt;"&amp;0)&lt;5,IF(AND(COUNTIF(P$1237:P1624,1)&gt;7,MOD(1+IFERROR(MATCH($C1022,总览!$D$46:$D$345,1)+1,1),7)=0),$C$3,0),0)</f>
        <v>507.407142857145</v>
      </c>
      <c r="Q1022" s="131" cm="1">
        <f ca="1" t="array" ref="Q1022">IF(Q1624=1,OFFSET($W$634,$B1022,Q$631-1)/SUMPRODUCT(--($D$631:$V$631=Q$631),--($D1624:$V1624=1)),0)+SUM(Q1021)+IF(COUNTIF(Q$1237:Q1624,1)=1,5,0)+IF(COUNTIF(R1022:$W1022,"&gt;"&amp;0)&lt;5,IF(AND(COUNTIF(Q$1237:Q1624,1)&gt;7,MOD(1+IFERROR(MATCH($C1022,总览!$D$46:$D$345,1)+1,1),7)=0),$C$3,0),0)</f>
        <v>520.788392857145</v>
      </c>
      <c r="R1022" s="131" cm="1">
        <f ca="1" t="array" ref="R1022">IF(R1624=1,OFFSET($W$634,$B1022,R$631-1)/SUMPRODUCT(--($D$631:$V$631=R$631),--($D1624:$V1624=1)),0)+SUM(R1021)+IF(COUNTIF(R$1237:R1624,1)=1,5,0)+IF(COUNTIF(S1022:$W1022,"&gt;"&amp;0)&lt;5,IF(AND(COUNTIF(R$1237:R1624,1)&gt;7,MOD(1+IFERROR(MATCH($C1022,总览!$D$46:$D$345,1)+1,1),7)=0),$C$3,0),0)</f>
        <v>512.407142857145</v>
      </c>
      <c r="S1022" s="131" cm="1">
        <f ca="1" t="array" ref="S1022">IF(S1624=1,OFFSET($W$634,$B1022,S$631-1)/SUMPRODUCT(--($D$631:$V$631=S$631),--($D1624:$V1624=1)),0)+SUM(S1021)+IF(COUNTIF(S$1237:S1624,1)=1,5,0)+IF(COUNTIF(T1022:$W1022,"&gt;"&amp;0)&lt;5,IF(AND(COUNTIF(S$1237:S1624,1)&gt;7,MOD(1+IFERROR(MATCH($C1022,总览!$D$46:$D$345,1)+1,1),7)=0),$C$3,0),0)</f>
        <v>604.907142857146</v>
      </c>
      <c r="T1022" s="131" cm="1">
        <f ca="1" t="array" ref="T1022">IF(T1624=1,OFFSET($W$634,$B1022,T$631-1)/SUMPRODUCT(--($D$631:$V$631=T$631),--($D1624:$V1624=1)),0)+SUM(T1021)+IF(COUNTIF(T$1237:T1624,1)=1,5,0)+IF(COUNTIF(U1022:$W1022,"&gt;"&amp;0)&lt;5,IF(AND(COUNTIF(T$1237:T1624,1)&gt;7,MOD(1+IFERROR(MATCH($C1022,总览!$D$46:$D$345,1)+1,1),7)=0),$C$3,0),0)</f>
        <v>442.536830965291</v>
      </c>
      <c r="U1022" s="131" cm="1">
        <f ca="1" t="array" ref="U1022">IF(U1624=1,OFFSET($W$634,$B1022,U$631-1)/SUMPRODUCT(--($D$631:$V$631=U$631),--($D1624:$V1624=1)),0)+SUM(U1021)+IF(COUNTIF(U$1237:U1624,1)=1,5,0)+IF(COUNTIF(V1022:$W1022,"&gt;"&amp;0)&lt;5,IF(AND(COUNTIF(U$1237:U1624,1)&gt;7,MOD(1+IFERROR(MATCH($C1022,总览!$D$46:$D$345,1)+1,1),7)=0),$C$3,0),0)</f>
        <v>448.057617320591</v>
      </c>
      <c r="V1022" s="131" cm="1">
        <f ca="1" t="array" ref="V1022">IF(V1624=1,OFFSET($W$634,$B1022,V$631-1)/SUMPRODUCT(--($D$631:$V$631=V$631),--($D1624:$V1624=1)),0)+SUM(V1021)+IF(COUNTIF(V$1237:V1624,1)=1,5,0)+IF(COUNTIF(W1022:$W1022,"&gt;"&amp;0)&lt;5,IF(AND(COUNTIF(V$1237:V1624,1)&gt;7,MOD(1+IFERROR(MATCH($C1022,总览!$D$46:$D$345,1)+1,1),7)=0),$C$3,0),0)</f>
        <v>467.884617033024</v>
      </c>
      <c r="W1022" s="135" cm="1">
        <f ca="1" t="array" ref="W1022">SUMPRODUCT(TRANSPOSE($AA1022:$AG1022),OFFSET($L$9:$L$15,0,W$631-1))</f>
        <v>16.8502200646615</v>
      </c>
      <c r="X1022" s="135" cm="1">
        <f ca="1" t="array" ref="X1022">SUMPRODUCT(TRANSPOSE($AA1022:$AG1022),OFFSET($L$9:$L$15,0,X$631-1))</f>
        <v>20</v>
      </c>
      <c r="Y1022" s="135" cm="1">
        <f ca="1" t="array" ref="Y1022">SUMPRODUCT(TRANSPOSE($AA1022:$AG1022),OFFSET($L$9:$L$15,0,Y$631-1))</f>
        <v>10</v>
      </c>
      <c r="Z1022" s="135" cm="1">
        <f ca="1" t="array" ref="Z1022">SUMPRODUCT(TRANSPOSE($AA1022:$AG1022),OFFSET($L$9:$L$15,0,Z$631-1))</f>
        <v>3.14977993533847</v>
      </c>
      <c r="AA1022" s="136">
        <f ca="1" t="shared" ref="AA1022:AG1022" si="1027">AH1022-AH1021</f>
        <v>0</v>
      </c>
      <c r="AB1022" s="136">
        <f ca="1" t="shared" si="1027"/>
        <v>0</v>
      </c>
      <c r="AC1022" s="136">
        <f ca="1" t="shared" si="1027"/>
        <v>0</v>
      </c>
      <c r="AD1022" s="136">
        <f ca="1" t="shared" si="1027"/>
        <v>0</v>
      </c>
      <c r="AE1022" s="136">
        <f ca="1" t="shared" si="1027"/>
        <v>0</v>
      </c>
      <c r="AF1022" s="136">
        <f ca="1" t="shared" si="1027"/>
        <v>0</v>
      </c>
      <c r="AG1022" s="136">
        <f ca="1" t="shared" si="1027"/>
        <v>100</v>
      </c>
      <c r="AH1022" s="136">
        <f ca="1" t="shared" si="1021"/>
        <v>450</v>
      </c>
      <c r="AI1022" s="136">
        <f ca="1" t="shared" ref="AI1022:AN1022" si="1028">IF($C1022&gt;OFFSET($Q$8,MATCH(AI$634,$AH$634:$AN$634,0),0),OFFSET($P$8,MATCH(AI$634,$AH$634:$AN$634,0),0),MAX(0,$C1022-OFFSET($Q$8,RIGHT(AI$634,1)-1,0)))</f>
        <v>909</v>
      </c>
      <c r="AJ1022" s="136">
        <f ca="1" t="shared" si="1028"/>
        <v>1818</v>
      </c>
      <c r="AK1022" s="136">
        <f ca="1" t="shared" si="1028"/>
        <v>2727</v>
      </c>
      <c r="AL1022" s="136">
        <f ca="1" t="shared" si="1028"/>
        <v>3636</v>
      </c>
      <c r="AM1022" s="136">
        <f ca="1" t="shared" si="1028"/>
        <v>4545</v>
      </c>
      <c r="AN1022" s="136">
        <f ca="1" t="shared" si="1028"/>
        <v>24715</v>
      </c>
    </row>
    <row r="1023" s="106" customFormat="1" ht="16.5" spans="2:40">
      <c r="B1023" s="117">
        <v>389</v>
      </c>
      <c r="C1023" s="130">
        <f t="shared" si="1019"/>
        <v>38900</v>
      </c>
      <c r="D1023" s="131" cm="1">
        <f ca="1" t="array" ref="D1023">IF(D1625=1,OFFSET($W$634,$B1023,D$631-1)/SUMPRODUCT(--($D$631:$V$631=D$631),--($D1625:$V1625=1)),0)+SUM(D1022)+IF(COUNTIF(D$1237:D1625,1)=1,5,0)+IF(COUNTIF(E1023:$W1023,"&gt;"&amp;0)&lt;5,IF(AND(COUNTIF(D$1237:D1625,1)&gt;7,MOD(1+IFERROR(MATCH($C1023,总览!$D$46:$D$345,1)+1,1),7)=0),$C$3,0),0)</f>
        <v>2512.61538491526</v>
      </c>
      <c r="E1023" s="131" cm="1">
        <f ca="1" t="array" ref="E1023">IF(E1625=1,OFFSET($W$634,$B1023,E$631-1)/SUMPRODUCT(--($D$631:$V$631=E$631),--($D1625:$V1625=1)),0)+SUM(E1022)+IF(COUNTIF(E$1237:E1625,1)=1,5,0)+IF(COUNTIF(F1023:$W1023,"&gt;"&amp;0)&lt;5,IF(AND(COUNTIF(E$1237:E1625,1)&gt;7,MOD(1+IFERROR(MATCH($C1023,总览!$D$46:$D$345,1)+1,1),7)=0),$C$3,0),0)</f>
        <v>2512.61538491526</v>
      </c>
      <c r="F1023" s="131" cm="1">
        <f ca="1" t="array" ref="F1023">IF(F1625=1,OFFSET($W$634,$B1023,F$631-1)/SUMPRODUCT(--($D$631:$V$631=F$631),--($D1625:$V1625=1)),0)+SUM(F1022)+IF(COUNTIF(F$1237:F1625,1)=1,5,0)+IF(COUNTIF(G1023:$W1023,"&gt;"&amp;0)&lt;5,IF(AND(COUNTIF(F$1237:F1625,1)&gt;7,MOD(1+IFERROR(MATCH($C1023,总览!$D$46:$D$345,1)+1,1),7)=0),$C$3,0),0)</f>
        <v>2512.61538491526</v>
      </c>
      <c r="G1023" s="131" cm="1">
        <f ca="1" t="array" ref="G1023">IF(G1625=1,OFFSET($W$634,$B1023,G$631-1)/SUMPRODUCT(--($D$631:$V$631=G$631),--($D1625:$V1625=1)),0)+SUM(G1022)+IF(COUNTIF(G$1237:G1625,1)=1,5,0)+IF(COUNTIF(H1023:$W1023,"&gt;"&amp;0)&lt;5,IF(AND(COUNTIF(G$1237:G1625,1)&gt;7,MOD(1+IFERROR(MATCH($C1023,总览!$D$46:$D$345,1)+1,1),7)=0),$C$3,0),0)</f>
        <v>1236.06666666667</v>
      </c>
      <c r="H1023" s="131" cm="1">
        <f ca="1" t="array" ref="H1023">IF(H1625=1,OFFSET($W$634,$B1023,H$631-1)/SUMPRODUCT(--($D$631:$V$631=H$631),--($D1625:$V1625=1)),0)+SUM(H1022)+IF(COUNTIF(H$1237:H1625,1)=1,5,0)+IF(COUNTIF(I1023:$W1023,"&gt;"&amp;0)&lt;5,IF(AND(COUNTIF(H$1237:H1625,1)&gt;7,MOD(1+IFERROR(MATCH($C1023,总览!$D$46:$D$345,1)+1,1),7)=0),$C$3,0),0)</f>
        <v>1236.06666666667</v>
      </c>
      <c r="I1023" s="131" cm="1">
        <f ca="1" t="array" ref="I1023">IF(I1625=1,OFFSET($W$634,$B1023,I$631-1)/SUMPRODUCT(--($D$631:$V$631=I$631),--($D1625:$V1625=1)),0)+SUM(I1022)+IF(COUNTIF(I$1237:I1625,1)=1,5,0)+IF(COUNTIF(J1023:$W1023,"&gt;"&amp;0)&lt;5,IF(AND(COUNTIF(I$1237:I1625,1)&gt;7,MOD(1+IFERROR(MATCH($C1023,总览!$D$46:$D$345,1)+1,1),7)=0),$C$3,0),0)</f>
        <v>1236.06666666667</v>
      </c>
      <c r="J1023" s="131" cm="1">
        <f ca="1" t="array" ref="J1023">IF(J1625=1,OFFSET($W$634,$B1023,J$631-1)/SUMPRODUCT(--($D$631:$V$631=J$631),--($D1625:$V1625=1)),0)+SUM(J1022)+IF(COUNTIF(J$1237:J1625,1)=1,5,0)+IF(COUNTIF(K1023:$W1023,"&gt;"&amp;0)&lt;5,IF(AND(COUNTIF(J$1237:J1625,1)&gt;7,MOD(1+IFERROR(MATCH($C1023,总览!$D$46:$D$345,1)+1,1),7)=0),$C$3,0),0)</f>
        <v>1232.73333333333</v>
      </c>
      <c r="K1023" s="131" cm="1">
        <f ca="1" t="array" ref="K1023">IF(K1625=1,OFFSET($W$634,$B1023,K$631-1)/SUMPRODUCT(--($D$631:$V$631=K$631),--($D1625:$V1625=1)),0)+SUM(K1022)+IF(COUNTIF(K$1237:K1625,1)=1,5,0)+IF(COUNTIF(L1023:$W1023,"&gt;"&amp;0)&lt;5,IF(AND(COUNTIF(K$1237:K1625,1)&gt;7,MOD(1+IFERROR(MATCH($C1023,总览!$D$46:$D$345,1)+1,1),7)=0),$C$3,0),0)</f>
        <v>1230.23333333333</v>
      </c>
      <c r="L1023" s="131" cm="1">
        <f ca="1" t="array" ref="L1023">IF(L1625=1,OFFSET($W$634,$B1023,L$631-1)/SUMPRODUCT(--($D$631:$V$631=L$631),--($D1625:$V1625=1)),0)+SUM(L1022)+IF(COUNTIF(L$1237:L1625,1)=1,5,0)+IF(COUNTIF(M1023:$W1023,"&gt;"&amp;0)&lt;5,IF(AND(COUNTIF(L$1237:L1625,1)&gt;7,MOD(1+IFERROR(MATCH($C1023,总览!$D$46:$D$345,1)+1,1),7)=0),$C$3,0),0)</f>
        <v>1230.23333333333</v>
      </c>
      <c r="M1023" s="131" cm="1">
        <f ca="1" t="array" ref="M1023">IF(M1625=1,OFFSET($W$634,$B1023,M$631-1)/SUMPRODUCT(--($D$631:$V$631=M$631),--($D1625:$V1625=1)),0)+SUM(M1022)+IF(COUNTIF(M$1237:M1625,1)=1,5,0)+IF(COUNTIF(N1023:$W1023,"&gt;"&amp;0)&lt;5,IF(AND(COUNTIF(M$1237:M1625,1)&gt;7,MOD(1+IFERROR(MATCH($C1023,总览!$D$46:$D$345,1)+1,1),7)=0),$C$3,0),0)</f>
        <v>513.466964285716</v>
      </c>
      <c r="N1023" s="131" cm="1">
        <f ca="1" t="array" ref="N1023">IF(N1625=1,OFFSET($W$634,$B1023,N$631-1)/SUMPRODUCT(--($D$631:$V$631=N$631),--($D1625:$V1625=1)),0)+SUM(N1022)+IF(COUNTIF(N$1237:N1625,1)=1,5,0)+IF(COUNTIF(O1023:$W1023,"&gt;"&amp;0)&lt;5,IF(AND(COUNTIF(N$1237:N1625,1)&gt;7,MOD(1+IFERROR(MATCH($C1023,总览!$D$46:$D$345,1)+1,1),7)=0),$C$3,0),0)</f>
        <v>514.716964285716</v>
      </c>
      <c r="O1023" s="131" cm="1">
        <f ca="1" t="array" ref="O1023">IF(O1625=1,OFFSET($W$634,$B1023,O$631-1)/SUMPRODUCT(--($D$631:$V$631=O$631),--($D1625:$V1625=1)),0)+SUM(O1022)+IF(COUNTIF(O$1237:O1625,1)=1,5,0)+IF(COUNTIF(P1023:$W1023,"&gt;"&amp;0)&lt;5,IF(AND(COUNTIF(O$1237:O1625,1)&gt;7,MOD(1+IFERROR(MATCH($C1023,总览!$D$46:$D$345,1)+1,1),7)=0),$C$3,0),0)</f>
        <v>519.716964285716</v>
      </c>
      <c r="P1023" s="131" cm="1">
        <f ca="1" t="array" ref="P1023">IF(P1625=1,OFFSET($W$634,$B1023,P$631-1)/SUMPRODUCT(--($D$631:$V$631=P$631),--($D1625:$V1625=1)),0)+SUM(P1022)+IF(COUNTIF(P$1237:P1625,1)=1,5,0)+IF(COUNTIF(Q1023:$W1023,"&gt;"&amp;0)&lt;5,IF(AND(COUNTIF(P$1237:P1625,1)&gt;7,MOD(1+IFERROR(MATCH($C1023,总览!$D$46:$D$345,1)+1,1),7)=0),$C$3,0),0)</f>
        <v>508.835714285716</v>
      </c>
      <c r="Q1023" s="131" cm="1">
        <f ca="1" t="array" ref="Q1023">IF(Q1625=1,OFFSET($W$634,$B1023,Q$631-1)/SUMPRODUCT(--($D$631:$V$631=Q$631),--($D1625:$V1625=1)),0)+SUM(Q1022)+IF(COUNTIF(Q$1237:Q1625,1)=1,5,0)+IF(COUNTIF(R1023:$W1023,"&gt;"&amp;0)&lt;5,IF(AND(COUNTIF(Q$1237:Q1625,1)&gt;7,MOD(1+IFERROR(MATCH($C1023,总览!$D$46:$D$345,1)+1,1),7)=0),$C$3,0),0)</f>
        <v>522.216964285716</v>
      </c>
      <c r="R1023" s="131" cm="1">
        <f ca="1" t="array" ref="R1023">IF(R1625=1,OFFSET($W$634,$B1023,R$631-1)/SUMPRODUCT(--($D$631:$V$631=R$631),--($D1625:$V1625=1)),0)+SUM(R1022)+IF(COUNTIF(R$1237:R1625,1)=1,5,0)+IF(COUNTIF(S1023:$W1023,"&gt;"&amp;0)&lt;5,IF(AND(COUNTIF(R$1237:R1625,1)&gt;7,MOD(1+IFERROR(MATCH($C1023,总览!$D$46:$D$345,1)+1,1),7)=0),$C$3,0),0)</f>
        <v>513.835714285716</v>
      </c>
      <c r="S1023" s="131" cm="1">
        <f ca="1" t="array" ref="S1023">IF(S1625=1,OFFSET($W$634,$B1023,S$631-1)/SUMPRODUCT(--($D$631:$V$631=S$631),--($D1625:$V1625=1)),0)+SUM(S1022)+IF(COUNTIF(S$1237:S1625,1)=1,5,0)+IF(COUNTIF(T1023:$W1023,"&gt;"&amp;0)&lt;5,IF(AND(COUNTIF(S$1237:S1625,1)&gt;7,MOD(1+IFERROR(MATCH($C1023,总览!$D$46:$D$345,1)+1,1),7)=0),$C$3,0),0)</f>
        <v>606.335714285717</v>
      </c>
      <c r="T1023" s="131" cm="1">
        <f ca="1" t="array" ref="T1023">IF(T1625=1,OFFSET($W$634,$B1023,T$631-1)/SUMPRODUCT(--($D$631:$V$631=T$631),--($D1625:$V1625=1)),0)+SUM(T1022)+IF(COUNTIF(T$1237:T1625,1)=1,5,0)+IF(COUNTIF(U1023:$W1023,"&gt;"&amp;0)&lt;5,IF(AND(COUNTIF(T$1237:T1625,1)&gt;7,MOD(1+IFERROR(MATCH($C1023,总览!$D$46:$D$345,1)+1,1),7)=0),$C$3,0),0)</f>
        <v>443.586757610404</v>
      </c>
      <c r="U1023" s="131" cm="1">
        <f ca="1" t="array" ref="U1023">IF(U1625=1,OFFSET($W$634,$B1023,U$631-1)/SUMPRODUCT(--($D$631:$V$631=U$631),--($D1625:$V1625=1)),0)+SUM(U1022)+IF(COUNTIF(U$1237:U1625,1)=1,5,0)+IF(COUNTIF(V1023:$W1023,"&gt;"&amp;0)&lt;5,IF(AND(COUNTIF(U$1237:U1625,1)&gt;7,MOD(1+IFERROR(MATCH($C1023,总览!$D$46:$D$345,1)+1,1),7)=0),$C$3,0),0)</f>
        <v>449.107543965704</v>
      </c>
      <c r="V1023" s="131" cm="1">
        <f ca="1" t="array" ref="V1023">IF(V1625=1,OFFSET($W$634,$B1023,V$631-1)/SUMPRODUCT(--($D$631:$V$631=V$631),--($D1625:$V1625=1)),0)+SUM(V1022)+IF(COUNTIF(V$1237:V1625,1)=1,5,0)+IF(COUNTIF(W1023:$W1023,"&gt;"&amp;0)&lt;5,IF(AND(COUNTIF(V$1237:V1625,1)&gt;7,MOD(1+IFERROR(MATCH($C1023,总览!$D$46:$D$345,1)+1,1),7)=0),$C$3,0),0)</f>
        <v>468.934543678137</v>
      </c>
      <c r="W1023" s="135" cm="1">
        <f ca="1" t="array" ref="W1023">SUMPRODUCT(TRANSPOSE($AA1023:$AG1023),OFFSET($L$9:$L$15,0,W$631-1))</f>
        <v>16.8502200646615</v>
      </c>
      <c r="X1023" s="135" cm="1">
        <f ca="1" t="array" ref="X1023">SUMPRODUCT(TRANSPOSE($AA1023:$AG1023),OFFSET($L$9:$L$15,0,X$631-1))</f>
        <v>20</v>
      </c>
      <c r="Y1023" s="135" cm="1">
        <f ca="1" t="array" ref="Y1023">SUMPRODUCT(TRANSPOSE($AA1023:$AG1023),OFFSET($L$9:$L$15,0,Y$631-1))</f>
        <v>10</v>
      </c>
      <c r="Z1023" s="135" cm="1">
        <f ca="1" t="array" ref="Z1023">SUMPRODUCT(TRANSPOSE($AA1023:$AG1023),OFFSET($L$9:$L$15,0,Z$631-1))</f>
        <v>3.14977993533847</v>
      </c>
      <c r="AA1023" s="136">
        <f ca="1" t="shared" ref="AA1023:AG1023" si="1029">AH1023-AH1022</f>
        <v>0</v>
      </c>
      <c r="AB1023" s="136">
        <f ca="1" t="shared" si="1029"/>
        <v>0</v>
      </c>
      <c r="AC1023" s="136">
        <f ca="1" t="shared" si="1029"/>
        <v>0</v>
      </c>
      <c r="AD1023" s="136">
        <f ca="1" t="shared" si="1029"/>
        <v>0</v>
      </c>
      <c r="AE1023" s="136">
        <f ca="1" t="shared" si="1029"/>
        <v>0</v>
      </c>
      <c r="AF1023" s="136">
        <f ca="1" t="shared" si="1029"/>
        <v>0</v>
      </c>
      <c r="AG1023" s="136">
        <f ca="1" t="shared" si="1029"/>
        <v>100</v>
      </c>
      <c r="AH1023" s="136">
        <f ca="1" t="shared" si="1021"/>
        <v>450</v>
      </c>
      <c r="AI1023" s="136">
        <f ca="1" t="shared" ref="AI1023:AN1023" si="1030">IF($C1023&gt;OFFSET($Q$8,MATCH(AI$634,$AH$634:$AN$634,0),0),OFFSET($P$8,MATCH(AI$634,$AH$634:$AN$634,0),0),MAX(0,$C1023-OFFSET($Q$8,RIGHT(AI$634,1)-1,0)))</f>
        <v>909</v>
      </c>
      <c r="AJ1023" s="136">
        <f ca="1" t="shared" si="1030"/>
        <v>1818</v>
      </c>
      <c r="AK1023" s="136">
        <f ca="1" t="shared" si="1030"/>
        <v>2727</v>
      </c>
      <c r="AL1023" s="136">
        <f ca="1" t="shared" si="1030"/>
        <v>3636</v>
      </c>
      <c r="AM1023" s="136">
        <f ca="1" t="shared" si="1030"/>
        <v>4545</v>
      </c>
      <c r="AN1023" s="136">
        <f ca="1" t="shared" si="1030"/>
        <v>24815</v>
      </c>
    </row>
    <row r="1024" s="106" customFormat="1" ht="16.5" spans="2:40">
      <c r="B1024" s="117">
        <v>390</v>
      </c>
      <c r="C1024" s="130">
        <f t="shared" si="1019"/>
        <v>39000</v>
      </c>
      <c r="D1024" s="131" cm="1">
        <f ca="1" t="array" ref="D1024">IF(D1626=1,OFFSET($W$634,$B1024,D$631-1)/SUMPRODUCT(--($D$631:$V$631=D$631),--($D1626:$V1626=1)),0)+SUM(D1023)+IF(COUNTIF(D$1237:D1626,1)=1,5,0)+IF(COUNTIF(E1024:$W1024,"&gt;"&amp;0)&lt;5,IF(AND(COUNTIF(D$1237:D1626,1)&gt;7,MOD(1+IFERROR(MATCH($C1024,总览!$D$46:$D$345,1)+1,1),7)=0),$C$3,0),0)</f>
        <v>2518.23212493682</v>
      </c>
      <c r="E1024" s="131" cm="1">
        <f ca="1" t="array" ref="E1024">IF(E1626=1,OFFSET($W$634,$B1024,E$631-1)/SUMPRODUCT(--($D$631:$V$631=E$631),--($D1626:$V1626=1)),0)+SUM(E1023)+IF(COUNTIF(E$1237:E1626,1)=1,5,0)+IF(COUNTIF(F1024:$W1024,"&gt;"&amp;0)&lt;5,IF(AND(COUNTIF(E$1237:E1626,1)&gt;7,MOD(1+IFERROR(MATCH($C1024,总览!$D$46:$D$345,1)+1,1),7)=0),$C$3,0),0)</f>
        <v>2518.23212493682</v>
      </c>
      <c r="F1024" s="131" cm="1">
        <f ca="1" t="array" ref="F1024">IF(F1626=1,OFFSET($W$634,$B1024,F$631-1)/SUMPRODUCT(--($D$631:$V$631=F$631),--($D1626:$V1626=1)),0)+SUM(F1023)+IF(COUNTIF(F$1237:F1626,1)=1,5,0)+IF(COUNTIF(G1024:$W1024,"&gt;"&amp;0)&lt;5,IF(AND(COUNTIF(F$1237:F1626,1)&gt;7,MOD(1+IFERROR(MATCH($C1024,总览!$D$46:$D$345,1)+1,1),7)=0),$C$3,0),0)</f>
        <v>2518.23212493682</v>
      </c>
      <c r="G1024" s="131" cm="1">
        <f ca="1" t="array" ref="G1024">IF(G1626=1,OFFSET($W$634,$B1024,G$631-1)/SUMPRODUCT(--($D$631:$V$631=G$631),--($D1626:$V1626=1)),0)+SUM(G1023)+IF(COUNTIF(G$1237:G1626,1)=1,5,0)+IF(COUNTIF(H1024:$W1024,"&gt;"&amp;0)&lt;5,IF(AND(COUNTIF(G$1237:G1626,1)&gt;7,MOD(1+IFERROR(MATCH($C1024,总览!$D$46:$D$345,1)+1,1),7)=0),$C$3,0),0)</f>
        <v>1239.4</v>
      </c>
      <c r="H1024" s="131" cm="1">
        <f ca="1" t="array" ref="H1024">IF(H1626=1,OFFSET($W$634,$B1024,H$631-1)/SUMPRODUCT(--($D$631:$V$631=H$631),--($D1626:$V1626=1)),0)+SUM(H1023)+IF(COUNTIF(H$1237:H1626,1)=1,5,0)+IF(COUNTIF(I1024:$W1024,"&gt;"&amp;0)&lt;5,IF(AND(COUNTIF(H$1237:H1626,1)&gt;7,MOD(1+IFERROR(MATCH($C1024,总览!$D$46:$D$345,1)+1,1),7)=0),$C$3,0),0)</f>
        <v>1239.4</v>
      </c>
      <c r="I1024" s="131" cm="1">
        <f ca="1" t="array" ref="I1024">IF(I1626=1,OFFSET($W$634,$B1024,I$631-1)/SUMPRODUCT(--($D$631:$V$631=I$631),--($D1626:$V1626=1)),0)+SUM(I1023)+IF(COUNTIF(I$1237:I1626,1)=1,5,0)+IF(COUNTIF(J1024:$W1024,"&gt;"&amp;0)&lt;5,IF(AND(COUNTIF(I$1237:I1626,1)&gt;7,MOD(1+IFERROR(MATCH($C1024,总览!$D$46:$D$345,1)+1,1),7)=0),$C$3,0),0)</f>
        <v>1239.4</v>
      </c>
      <c r="J1024" s="131" cm="1">
        <f ca="1" t="array" ref="J1024">IF(J1626=1,OFFSET($W$634,$B1024,J$631-1)/SUMPRODUCT(--($D$631:$V$631=J$631),--($D1626:$V1626=1)),0)+SUM(J1023)+IF(COUNTIF(J$1237:J1626,1)=1,5,0)+IF(COUNTIF(K1024:$W1024,"&gt;"&amp;0)&lt;5,IF(AND(COUNTIF(J$1237:J1626,1)&gt;7,MOD(1+IFERROR(MATCH($C1024,总览!$D$46:$D$345,1)+1,1),7)=0),$C$3,0),0)</f>
        <v>1236.06666666667</v>
      </c>
      <c r="K1024" s="131" cm="1">
        <f ca="1" t="array" ref="K1024">IF(K1626=1,OFFSET($W$634,$B1024,K$631-1)/SUMPRODUCT(--($D$631:$V$631=K$631),--($D1626:$V1626=1)),0)+SUM(K1023)+IF(COUNTIF(K$1237:K1626,1)=1,5,0)+IF(COUNTIF(L1024:$W1024,"&gt;"&amp;0)&lt;5,IF(AND(COUNTIF(K$1237:K1626,1)&gt;7,MOD(1+IFERROR(MATCH($C1024,总览!$D$46:$D$345,1)+1,1),7)=0),$C$3,0),0)</f>
        <v>1233.56666666667</v>
      </c>
      <c r="L1024" s="131" cm="1">
        <f ca="1" t="array" ref="L1024">IF(L1626=1,OFFSET($W$634,$B1024,L$631-1)/SUMPRODUCT(--($D$631:$V$631=L$631),--($D1626:$V1626=1)),0)+SUM(L1023)+IF(COUNTIF(L$1237:L1626,1)=1,5,0)+IF(COUNTIF(M1024:$W1024,"&gt;"&amp;0)&lt;5,IF(AND(COUNTIF(L$1237:L1626,1)&gt;7,MOD(1+IFERROR(MATCH($C1024,总览!$D$46:$D$345,1)+1,1),7)=0),$C$3,0),0)</f>
        <v>1233.56666666667</v>
      </c>
      <c r="M1024" s="131" cm="1">
        <f ca="1" t="array" ref="M1024">IF(M1626=1,OFFSET($W$634,$B1024,M$631-1)/SUMPRODUCT(--($D$631:$V$631=M$631),--($D1626:$V1626=1)),0)+SUM(M1023)+IF(COUNTIF(M$1237:M1626,1)=1,5,0)+IF(COUNTIF(N1024:$W1024,"&gt;"&amp;0)&lt;5,IF(AND(COUNTIF(M$1237:M1626,1)&gt;7,MOD(1+IFERROR(MATCH($C1024,总览!$D$46:$D$345,1)+1,1),7)=0),$C$3,0),0)</f>
        <v>514.895535714287</v>
      </c>
      <c r="N1024" s="131" cm="1">
        <f ca="1" t="array" ref="N1024">IF(N1626=1,OFFSET($W$634,$B1024,N$631-1)/SUMPRODUCT(--($D$631:$V$631=N$631),--($D1626:$V1626=1)),0)+SUM(N1023)+IF(COUNTIF(N$1237:N1626,1)=1,5,0)+IF(COUNTIF(O1024:$W1024,"&gt;"&amp;0)&lt;5,IF(AND(COUNTIF(N$1237:N1626,1)&gt;7,MOD(1+IFERROR(MATCH($C1024,总览!$D$46:$D$345,1)+1,1),7)=0),$C$3,0),0)</f>
        <v>516.145535714287</v>
      </c>
      <c r="O1024" s="131" cm="1">
        <f ca="1" t="array" ref="O1024">IF(O1626=1,OFFSET($W$634,$B1024,O$631-1)/SUMPRODUCT(--($D$631:$V$631=O$631),--($D1626:$V1626=1)),0)+SUM(O1023)+IF(COUNTIF(O$1237:O1626,1)=1,5,0)+IF(COUNTIF(P1024:$W1024,"&gt;"&amp;0)&lt;5,IF(AND(COUNTIF(O$1237:O1626,1)&gt;7,MOD(1+IFERROR(MATCH($C1024,总览!$D$46:$D$345,1)+1,1),7)=0),$C$3,0),0)</f>
        <v>521.145535714287</v>
      </c>
      <c r="P1024" s="131" cm="1">
        <f ca="1" t="array" ref="P1024">IF(P1626=1,OFFSET($W$634,$B1024,P$631-1)/SUMPRODUCT(--($D$631:$V$631=P$631),--($D1626:$V1626=1)),0)+SUM(P1023)+IF(COUNTIF(P$1237:P1626,1)=1,5,0)+IF(COUNTIF(Q1024:$W1024,"&gt;"&amp;0)&lt;5,IF(AND(COUNTIF(P$1237:P1626,1)&gt;7,MOD(1+IFERROR(MATCH($C1024,总览!$D$46:$D$345,1)+1,1),7)=0),$C$3,0),0)</f>
        <v>510.264285714287</v>
      </c>
      <c r="Q1024" s="131" cm="1">
        <f ca="1" t="array" ref="Q1024">IF(Q1626=1,OFFSET($W$634,$B1024,Q$631-1)/SUMPRODUCT(--($D$631:$V$631=Q$631),--($D1626:$V1626=1)),0)+SUM(Q1023)+IF(COUNTIF(Q$1237:Q1626,1)=1,5,0)+IF(COUNTIF(R1024:$W1024,"&gt;"&amp;0)&lt;5,IF(AND(COUNTIF(Q$1237:Q1626,1)&gt;7,MOD(1+IFERROR(MATCH($C1024,总览!$D$46:$D$345,1)+1,1),7)=0),$C$3,0),0)</f>
        <v>523.645535714287</v>
      </c>
      <c r="R1024" s="131" cm="1">
        <f ca="1" t="array" ref="R1024">IF(R1626=1,OFFSET($W$634,$B1024,R$631-1)/SUMPRODUCT(--($D$631:$V$631=R$631),--($D1626:$V1626=1)),0)+SUM(R1023)+IF(COUNTIF(R$1237:R1626,1)=1,5,0)+IF(COUNTIF(S1024:$W1024,"&gt;"&amp;0)&lt;5,IF(AND(COUNTIF(R$1237:R1626,1)&gt;7,MOD(1+IFERROR(MATCH($C1024,总览!$D$46:$D$345,1)+1,1),7)=0),$C$3,0),0)</f>
        <v>515.264285714287</v>
      </c>
      <c r="S1024" s="131" cm="1">
        <f ca="1" t="array" ref="S1024">IF(S1626=1,OFFSET($W$634,$B1024,S$631-1)/SUMPRODUCT(--($D$631:$V$631=S$631),--($D1626:$V1626=1)),0)+SUM(S1023)+IF(COUNTIF(S$1237:S1626,1)=1,5,0)+IF(COUNTIF(T1024:$W1024,"&gt;"&amp;0)&lt;5,IF(AND(COUNTIF(S$1237:S1626,1)&gt;7,MOD(1+IFERROR(MATCH($C1024,总览!$D$46:$D$345,1)+1,1),7)=0),$C$3,0),0)</f>
        <v>607.764285714289</v>
      </c>
      <c r="T1024" s="131" cm="1">
        <f ca="1" t="array" ref="T1024">IF(T1626=1,OFFSET($W$634,$B1024,T$631-1)/SUMPRODUCT(--($D$631:$V$631=T$631),--($D1626:$V1626=1)),0)+SUM(T1023)+IF(COUNTIF(T$1237:T1626,1)=1,5,0)+IF(COUNTIF(U1024:$W1024,"&gt;"&amp;0)&lt;5,IF(AND(COUNTIF(T$1237:T1626,1)&gt;7,MOD(1+IFERROR(MATCH($C1024,总览!$D$46:$D$345,1)+1,1),7)=0),$C$3,0),0)</f>
        <v>444.636684255517</v>
      </c>
      <c r="U1024" s="131" cm="1">
        <f ca="1" t="array" ref="U1024">IF(U1626=1,OFFSET($W$634,$B1024,U$631-1)/SUMPRODUCT(--($D$631:$V$631=U$631),--($D1626:$V1626=1)),0)+SUM(U1023)+IF(COUNTIF(U$1237:U1626,1)=1,5,0)+IF(COUNTIF(V1024:$W1024,"&gt;"&amp;0)&lt;5,IF(AND(COUNTIF(U$1237:U1626,1)&gt;7,MOD(1+IFERROR(MATCH($C1024,总览!$D$46:$D$345,1)+1,1),7)=0),$C$3,0),0)</f>
        <v>450.157470610816</v>
      </c>
      <c r="V1024" s="131" cm="1">
        <f ca="1" t="array" ref="V1024">IF(V1626=1,OFFSET($W$634,$B1024,V$631-1)/SUMPRODUCT(--($D$631:$V$631=V$631),--($D1626:$V1626=1)),0)+SUM(V1023)+IF(COUNTIF(V$1237:V1626,1)=1,5,0)+IF(COUNTIF(W1024:$W1024,"&gt;"&amp;0)&lt;5,IF(AND(COUNTIF(V$1237:V1626,1)&gt;7,MOD(1+IFERROR(MATCH($C1024,总览!$D$46:$D$345,1)+1,1),7)=0),$C$3,0),0)</f>
        <v>469.984470323249</v>
      </c>
      <c r="W1024" s="135" cm="1">
        <f ca="1" t="array" ref="W1024">SUMPRODUCT(TRANSPOSE($AA1024:$AG1024),OFFSET($L$9:$L$15,0,W$631-1))</f>
        <v>16.8502200646615</v>
      </c>
      <c r="X1024" s="135" cm="1">
        <f ca="1" t="array" ref="X1024">SUMPRODUCT(TRANSPOSE($AA1024:$AG1024),OFFSET($L$9:$L$15,0,X$631-1))</f>
        <v>20</v>
      </c>
      <c r="Y1024" s="135" cm="1">
        <f ca="1" t="array" ref="Y1024">SUMPRODUCT(TRANSPOSE($AA1024:$AG1024),OFFSET($L$9:$L$15,0,Y$631-1))</f>
        <v>10</v>
      </c>
      <c r="Z1024" s="135" cm="1">
        <f ca="1" t="array" ref="Z1024">SUMPRODUCT(TRANSPOSE($AA1024:$AG1024),OFFSET($L$9:$L$15,0,Z$631-1))</f>
        <v>3.14977993533847</v>
      </c>
      <c r="AA1024" s="136">
        <f ca="1" t="shared" ref="AA1024:AG1024" si="1031">AH1024-AH1023</f>
        <v>0</v>
      </c>
      <c r="AB1024" s="136">
        <f ca="1" t="shared" si="1031"/>
        <v>0</v>
      </c>
      <c r="AC1024" s="136">
        <f ca="1" t="shared" si="1031"/>
        <v>0</v>
      </c>
      <c r="AD1024" s="136">
        <f ca="1" t="shared" si="1031"/>
        <v>0</v>
      </c>
      <c r="AE1024" s="136">
        <f ca="1" t="shared" si="1031"/>
        <v>0</v>
      </c>
      <c r="AF1024" s="136">
        <f ca="1" t="shared" si="1031"/>
        <v>0</v>
      </c>
      <c r="AG1024" s="136">
        <f ca="1" t="shared" si="1031"/>
        <v>100</v>
      </c>
      <c r="AH1024" s="136">
        <f ca="1" t="shared" si="1021"/>
        <v>450</v>
      </c>
      <c r="AI1024" s="136">
        <f ca="1" t="shared" ref="AI1024:AN1024" si="1032">IF($C1024&gt;OFFSET($Q$8,MATCH(AI$634,$AH$634:$AN$634,0),0),OFFSET($P$8,MATCH(AI$634,$AH$634:$AN$634,0),0),MAX(0,$C1024-OFFSET($Q$8,RIGHT(AI$634,1)-1,0)))</f>
        <v>909</v>
      </c>
      <c r="AJ1024" s="136">
        <f ca="1" t="shared" si="1032"/>
        <v>1818</v>
      </c>
      <c r="AK1024" s="136">
        <f ca="1" t="shared" si="1032"/>
        <v>2727</v>
      </c>
      <c r="AL1024" s="136">
        <f ca="1" t="shared" si="1032"/>
        <v>3636</v>
      </c>
      <c r="AM1024" s="136">
        <f ca="1" t="shared" si="1032"/>
        <v>4545</v>
      </c>
      <c r="AN1024" s="136">
        <f ca="1" t="shared" si="1032"/>
        <v>24915</v>
      </c>
    </row>
    <row r="1025" s="106" customFormat="1" ht="16.5" spans="2:40">
      <c r="B1025" s="117">
        <v>391</v>
      </c>
      <c r="C1025" s="130">
        <f t="shared" si="1019"/>
        <v>39100</v>
      </c>
      <c r="D1025" s="131" cm="1">
        <f ca="1" t="array" ref="D1025">IF(D1627=1,OFFSET($W$634,$B1025,D$631-1)/SUMPRODUCT(--($D$631:$V$631=D$631),--($D1627:$V1627=1)),0)+SUM(D1024)+IF(COUNTIF(D$1237:D1627,1)=1,5,0)+IF(COUNTIF(E1025:$W1025,"&gt;"&amp;0)&lt;5,IF(AND(COUNTIF(D$1237:D1627,1)&gt;7,MOD(1+IFERROR(MATCH($C1025,总览!$D$46:$D$345,1)+1,1),7)=0),$C$3,0),0)</f>
        <v>2523.84886495837</v>
      </c>
      <c r="E1025" s="131" cm="1">
        <f ca="1" t="array" ref="E1025">IF(E1627=1,OFFSET($W$634,$B1025,E$631-1)/SUMPRODUCT(--($D$631:$V$631=E$631),--($D1627:$V1627=1)),0)+SUM(E1024)+IF(COUNTIF(E$1237:E1627,1)=1,5,0)+IF(COUNTIF(F1025:$W1025,"&gt;"&amp;0)&lt;5,IF(AND(COUNTIF(E$1237:E1627,1)&gt;7,MOD(1+IFERROR(MATCH($C1025,总览!$D$46:$D$345,1)+1,1),7)=0),$C$3,0),0)</f>
        <v>2523.84886495837</v>
      </c>
      <c r="F1025" s="131" cm="1">
        <f ca="1" t="array" ref="F1025">IF(F1627=1,OFFSET($W$634,$B1025,F$631-1)/SUMPRODUCT(--($D$631:$V$631=F$631),--($D1627:$V1627=1)),0)+SUM(F1024)+IF(COUNTIF(F$1237:F1627,1)=1,5,0)+IF(COUNTIF(G1025:$W1025,"&gt;"&amp;0)&lt;5,IF(AND(COUNTIF(F$1237:F1627,1)&gt;7,MOD(1+IFERROR(MATCH($C1025,总览!$D$46:$D$345,1)+1,1),7)=0),$C$3,0),0)</f>
        <v>2523.84886495837</v>
      </c>
      <c r="G1025" s="131" cm="1">
        <f ca="1" t="array" ref="G1025">IF(G1627=1,OFFSET($W$634,$B1025,G$631-1)/SUMPRODUCT(--($D$631:$V$631=G$631),--($D1627:$V1627=1)),0)+SUM(G1024)+IF(COUNTIF(G$1237:G1627,1)=1,5,0)+IF(COUNTIF(H1025:$W1025,"&gt;"&amp;0)&lt;5,IF(AND(COUNTIF(G$1237:G1627,1)&gt;7,MOD(1+IFERROR(MATCH($C1025,总览!$D$46:$D$345,1)+1,1),7)=0),$C$3,0),0)</f>
        <v>1242.73333333333</v>
      </c>
      <c r="H1025" s="131" cm="1">
        <f ca="1" t="array" ref="H1025">IF(H1627=1,OFFSET($W$634,$B1025,H$631-1)/SUMPRODUCT(--($D$631:$V$631=H$631),--($D1627:$V1627=1)),0)+SUM(H1024)+IF(COUNTIF(H$1237:H1627,1)=1,5,0)+IF(COUNTIF(I1025:$W1025,"&gt;"&amp;0)&lt;5,IF(AND(COUNTIF(H$1237:H1627,1)&gt;7,MOD(1+IFERROR(MATCH($C1025,总览!$D$46:$D$345,1)+1,1),7)=0),$C$3,0),0)</f>
        <v>1242.73333333333</v>
      </c>
      <c r="I1025" s="131" cm="1">
        <f ca="1" t="array" ref="I1025">IF(I1627=1,OFFSET($W$634,$B1025,I$631-1)/SUMPRODUCT(--($D$631:$V$631=I$631),--($D1627:$V1627=1)),0)+SUM(I1024)+IF(COUNTIF(I$1237:I1627,1)=1,5,0)+IF(COUNTIF(J1025:$W1025,"&gt;"&amp;0)&lt;5,IF(AND(COUNTIF(I$1237:I1627,1)&gt;7,MOD(1+IFERROR(MATCH($C1025,总览!$D$46:$D$345,1)+1,1),7)=0),$C$3,0),0)</f>
        <v>1242.73333333333</v>
      </c>
      <c r="J1025" s="131" cm="1">
        <f ca="1" t="array" ref="J1025">IF(J1627=1,OFFSET($W$634,$B1025,J$631-1)/SUMPRODUCT(--($D$631:$V$631=J$631),--($D1627:$V1627=1)),0)+SUM(J1024)+IF(COUNTIF(J$1237:J1627,1)=1,5,0)+IF(COUNTIF(K1025:$W1025,"&gt;"&amp;0)&lt;5,IF(AND(COUNTIF(J$1237:J1627,1)&gt;7,MOD(1+IFERROR(MATCH($C1025,总览!$D$46:$D$345,1)+1,1),7)=0),$C$3,0),0)</f>
        <v>1239.4</v>
      </c>
      <c r="K1025" s="131" cm="1">
        <f ca="1" t="array" ref="K1025">IF(K1627=1,OFFSET($W$634,$B1025,K$631-1)/SUMPRODUCT(--($D$631:$V$631=K$631),--($D1627:$V1627=1)),0)+SUM(K1024)+IF(COUNTIF(K$1237:K1627,1)=1,5,0)+IF(COUNTIF(L1025:$W1025,"&gt;"&amp;0)&lt;5,IF(AND(COUNTIF(K$1237:K1627,1)&gt;7,MOD(1+IFERROR(MATCH($C1025,总览!$D$46:$D$345,1)+1,1),7)=0),$C$3,0),0)</f>
        <v>1236.9</v>
      </c>
      <c r="L1025" s="131" cm="1">
        <f ca="1" t="array" ref="L1025">IF(L1627=1,OFFSET($W$634,$B1025,L$631-1)/SUMPRODUCT(--($D$631:$V$631=L$631),--($D1627:$V1627=1)),0)+SUM(L1024)+IF(COUNTIF(L$1237:L1627,1)=1,5,0)+IF(COUNTIF(M1025:$W1025,"&gt;"&amp;0)&lt;5,IF(AND(COUNTIF(L$1237:L1627,1)&gt;7,MOD(1+IFERROR(MATCH($C1025,总览!$D$46:$D$345,1)+1,1),7)=0),$C$3,0),0)</f>
        <v>1236.9</v>
      </c>
      <c r="M1025" s="131" cm="1">
        <f ca="1" t="array" ref="M1025">IF(M1627=1,OFFSET($W$634,$B1025,M$631-1)/SUMPRODUCT(--($D$631:$V$631=M$631),--($D1627:$V1627=1)),0)+SUM(M1024)+IF(COUNTIF(M$1237:M1627,1)=1,5,0)+IF(COUNTIF(N1025:$W1025,"&gt;"&amp;0)&lt;5,IF(AND(COUNTIF(M$1237:M1627,1)&gt;7,MOD(1+IFERROR(MATCH($C1025,总览!$D$46:$D$345,1)+1,1),7)=0),$C$3,0),0)</f>
        <v>516.324107142859</v>
      </c>
      <c r="N1025" s="131" cm="1">
        <f ca="1" t="array" ref="N1025">IF(N1627=1,OFFSET($W$634,$B1025,N$631-1)/SUMPRODUCT(--($D$631:$V$631=N$631),--($D1627:$V1627=1)),0)+SUM(N1024)+IF(COUNTIF(N$1237:N1627,1)=1,5,0)+IF(COUNTIF(O1025:$W1025,"&gt;"&amp;0)&lt;5,IF(AND(COUNTIF(N$1237:N1627,1)&gt;7,MOD(1+IFERROR(MATCH($C1025,总览!$D$46:$D$345,1)+1,1),7)=0),$C$3,0),0)</f>
        <v>517.574107142859</v>
      </c>
      <c r="O1025" s="131" cm="1">
        <f ca="1" t="array" ref="O1025">IF(O1627=1,OFFSET($W$634,$B1025,O$631-1)/SUMPRODUCT(--($D$631:$V$631=O$631),--($D1627:$V1627=1)),0)+SUM(O1024)+IF(COUNTIF(O$1237:O1627,1)=1,5,0)+IF(COUNTIF(P1025:$W1025,"&gt;"&amp;0)&lt;5,IF(AND(COUNTIF(O$1237:O1627,1)&gt;7,MOD(1+IFERROR(MATCH($C1025,总览!$D$46:$D$345,1)+1,1),7)=0),$C$3,0),0)</f>
        <v>522.574107142859</v>
      </c>
      <c r="P1025" s="131" cm="1">
        <f ca="1" t="array" ref="P1025">IF(P1627=1,OFFSET($W$634,$B1025,P$631-1)/SUMPRODUCT(--($D$631:$V$631=P$631),--($D1627:$V1627=1)),0)+SUM(P1024)+IF(COUNTIF(P$1237:P1627,1)=1,5,0)+IF(COUNTIF(Q1025:$W1025,"&gt;"&amp;0)&lt;5,IF(AND(COUNTIF(P$1237:P1627,1)&gt;7,MOD(1+IFERROR(MATCH($C1025,总览!$D$46:$D$345,1)+1,1),7)=0),$C$3,0),0)</f>
        <v>511.692857142859</v>
      </c>
      <c r="Q1025" s="131" cm="1">
        <f ca="1" t="array" ref="Q1025">IF(Q1627=1,OFFSET($W$634,$B1025,Q$631-1)/SUMPRODUCT(--($D$631:$V$631=Q$631),--($D1627:$V1627=1)),0)+SUM(Q1024)+IF(COUNTIF(Q$1237:Q1627,1)=1,5,0)+IF(COUNTIF(R1025:$W1025,"&gt;"&amp;0)&lt;5,IF(AND(COUNTIF(Q$1237:Q1627,1)&gt;7,MOD(1+IFERROR(MATCH($C1025,总览!$D$46:$D$345,1)+1,1),7)=0),$C$3,0),0)</f>
        <v>525.074107142859</v>
      </c>
      <c r="R1025" s="131" cm="1">
        <f ca="1" t="array" ref="R1025">IF(R1627=1,OFFSET($W$634,$B1025,R$631-1)/SUMPRODUCT(--($D$631:$V$631=R$631),--($D1627:$V1627=1)),0)+SUM(R1024)+IF(COUNTIF(R$1237:R1627,1)=1,5,0)+IF(COUNTIF(S1025:$W1025,"&gt;"&amp;0)&lt;5,IF(AND(COUNTIF(R$1237:R1627,1)&gt;7,MOD(1+IFERROR(MATCH($C1025,总览!$D$46:$D$345,1)+1,1),7)=0),$C$3,0),0)</f>
        <v>516.692857142859</v>
      </c>
      <c r="S1025" s="131" cm="1">
        <f ca="1" t="array" ref="S1025">IF(S1627=1,OFFSET($W$634,$B1025,S$631-1)/SUMPRODUCT(--($D$631:$V$631=S$631),--($D1627:$V1627=1)),0)+SUM(S1024)+IF(COUNTIF(S$1237:S1627,1)=1,5,0)+IF(COUNTIF(T1025:$W1025,"&gt;"&amp;0)&lt;5,IF(AND(COUNTIF(S$1237:S1627,1)&gt;7,MOD(1+IFERROR(MATCH($C1025,总览!$D$46:$D$345,1)+1,1),7)=0),$C$3,0),0)</f>
        <v>609.19285714286</v>
      </c>
      <c r="T1025" s="131" cm="1">
        <f ca="1" t="array" ref="T1025">IF(T1627=1,OFFSET($W$634,$B1025,T$631-1)/SUMPRODUCT(--($D$631:$V$631=T$631),--($D1627:$V1627=1)),0)+SUM(T1024)+IF(COUNTIF(T$1237:T1627,1)=1,5,0)+IF(COUNTIF(U1025:$W1025,"&gt;"&amp;0)&lt;5,IF(AND(COUNTIF(T$1237:T1627,1)&gt;7,MOD(1+IFERROR(MATCH($C1025,总览!$D$46:$D$345,1)+1,1),7)=0),$C$3,0),0)</f>
        <v>445.68661090063</v>
      </c>
      <c r="U1025" s="131" cm="1">
        <f ca="1" t="array" ref="U1025">IF(U1627=1,OFFSET($W$634,$B1025,U$631-1)/SUMPRODUCT(--($D$631:$V$631=U$631),--($D1627:$V1627=1)),0)+SUM(U1024)+IF(COUNTIF(U$1237:U1627,1)=1,5,0)+IF(COUNTIF(V1025:$W1025,"&gt;"&amp;0)&lt;5,IF(AND(COUNTIF(U$1237:U1627,1)&gt;7,MOD(1+IFERROR(MATCH($C1025,总览!$D$46:$D$345,1)+1,1),7)=0),$C$3,0),0)</f>
        <v>451.207397255929</v>
      </c>
      <c r="V1025" s="131" cm="1">
        <f ca="1" t="array" ref="V1025">IF(V1627=1,OFFSET($W$634,$B1025,V$631-1)/SUMPRODUCT(--($D$631:$V$631=V$631),--($D1627:$V1627=1)),0)+SUM(V1024)+IF(COUNTIF(V$1237:V1627,1)=1,5,0)+IF(COUNTIF(W1025:$W1025,"&gt;"&amp;0)&lt;5,IF(AND(COUNTIF(V$1237:V1627,1)&gt;7,MOD(1+IFERROR(MATCH($C1025,总览!$D$46:$D$345,1)+1,1),7)=0),$C$3,0),0)</f>
        <v>471.034396968362</v>
      </c>
      <c r="W1025" s="135" cm="1">
        <f ca="1" t="array" ref="W1025">SUMPRODUCT(TRANSPOSE($AA1025:$AG1025),OFFSET($L$9:$L$15,0,W$631-1))</f>
        <v>16.8502200646615</v>
      </c>
      <c r="X1025" s="135" cm="1">
        <f ca="1" t="array" ref="X1025">SUMPRODUCT(TRANSPOSE($AA1025:$AG1025),OFFSET($L$9:$L$15,0,X$631-1))</f>
        <v>20</v>
      </c>
      <c r="Y1025" s="135" cm="1">
        <f ca="1" t="array" ref="Y1025">SUMPRODUCT(TRANSPOSE($AA1025:$AG1025),OFFSET($L$9:$L$15,0,Y$631-1))</f>
        <v>10</v>
      </c>
      <c r="Z1025" s="135" cm="1">
        <f ca="1" t="array" ref="Z1025">SUMPRODUCT(TRANSPOSE($AA1025:$AG1025),OFFSET($L$9:$L$15,0,Z$631-1))</f>
        <v>3.14977993533847</v>
      </c>
      <c r="AA1025" s="136">
        <f ca="1" t="shared" ref="AA1025:AG1025" si="1033">AH1025-AH1024</f>
        <v>0</v>
      </c>
      <c r="AB1025" s="136">
        <f ca="1" t="shared" si="1033"/>
        <v>0</v>
      </c>
      <c r="AC1025" s="136">
        <f ca="1" t="shared" si="1033"/>
        <v>0</v>
      </c>
      <c r="AD1025" s="136">
        <f ca="1" t="shared" si="1033"/>
        <v>0</v>
      </c>
      <c r="AE1025" s="136">
        <f ca="1" t="shared" si="1033"/>
        <v>0</v>
      </c>
      <c r="AF1025" s="136">
        <f ca="1" t="shared" si="1033"/>
        <v>0</v>
      </c>
      <c r="AG1025" s="136">
        <f ca="1" t="shared" si="1033"/>
        <v>100</v>
      </c>
      <c r="AH1025" s="136">
        <f ca="1" t="shared" si="1021"/>
        <v>450</v>
      </c>
      <c r="AI1025" s="136">
        <f ca="1" t="shared" ref="AI1025:AN1025" si="1034">IF($C1025&gt;OFFSET($Q$8,MATCH(AI$634,$AH$634:$AN$634,0),0),OFFSET($P$8,MATCH(AI$634,$AH$634:$AN$634,0),0),MAX(0,$C1025-OFFSET($Q$8,RIGHT(AI$634,1)-1,0)))</f>
        <v>909</v>
      </c>
      <c r="AJ1025" s="136">
        <f ca="1" t="shared" si="1034"/>
        <v>1818</v>
      </c>
      <c r="AK1025" s="136">
        <f ca="1" t="shared" si="1034"/>
        <v>2727</v>
      </c>
      <c r="AL1025" s="136">
        <f ca="1" t="shared" si="1034"/>
        <v>3636</v>
      </c>
      <c r="AM1025" s="136">
        <f ca="1" t="shared" si="1034"/>
        <v>4545</v>
      </c>
      <c r="AN1025" s="136">
        <f ca="1" t="shared" si="1034"/>
        <v>25015</v>
      </c>
    </row>
    <row r="1026" s="106" customFormat="1" ht="16.5" spans="2:40">
      <c r="B1026" s="117">
        <v>392</v>
      </c>
      <c r="C1026" s="130">
        <f t="shared" si="1019"/>
        <v>39200</v>
      </c>
      <c r="D1026" s="131" cm="1">
        <f ca="1" t="array" ref="D1026">IF(D1628=1,OFFSET($W$634,$B1026,D$631-1)/SUMPRODUCT(--($D$631:$V$631=D$631),--($D1628:$V1628=1)),0)+SUM(D1025)+IF(COUNTIF(D$1237:D1628,1)=1,5,0)+IF(COUNTIF(E1026:$W1026,"&gt;"&amp;0)&lt;5,IF(AND(COUNTIF(D$1237:D1628,1)&gt;7,MOD(1+IFERROR(MATCH($C1026,总览!$D$46:$D$345,1)+1,1),7)=0),$C$3,0),0)</f>
        <v>2529.46560497993</v>
      </c>
      <c r="E1026" s="131" cm="1">
        <f ca="1" t="array" ref="E1026">IF(E1628=1,OFFSET($W$634,$B1026,E$631-1)/SUMPRODUCT(--($D$631:$V$631=E$631),--($D1628:$V1628=1)),0)+SUM(E1025)+IF(COUNTIF(E$1237:E1628,1)=1,5,0)+IF(COUNTIF(F1026:$W1026,"&gt;"&amp;0)&lt;5,IF(AND(COUNTIF(E$1237:E1628,1)&gt;7,MOD(1+IFERROR(MATCH($C1026,总览!$D$46:$D$345,1)+1,1),7)=0),$C$3,0),0)</f>
        <v>2529.46560497993</v>
      </c>
      <c r="F1026" s="131" cm="1">
        <f ca="1" t="array" ref="F1026">IF(F1628=1,OFFSET($W$634,$B1026,F$631-1)/SUMPRODUCT(--($D$631:$V$631=F$631),--($D1628:$V1628=1)),0)+SUM(F1025)+IF(COUNTIF(F$1237:F1628,1)=1,5,0)+IF(COUNTIF(G1026:$W1026,"&gt;"&amp;0)&lt;5,IF(AND(COUNTIF(F$1237:F1628,1)&gt;7,MOD(1+IFERROR(MATCH($C1026,总览!$D$46:$D$345,1)+1,1),7)=0),$C$3,0),0)</f>
        <v>2529.46560497993</v>
      </c>
      <c r="G1026" s="131" cm="1">
        <f ca="1" t="array" ref="G1026">IF(G1628=1,OFFSET($W$634,$B1026,G$631-1)/SUMPRODUCT(--($D$631:$V$631=G$631),--($D1628:$V1628=1)),0)+SUM(G1025)+IF(COUNTIF(G$1237:G1628,1)=1,5,0)+IF(COUNTIF(H1026:$W1026,"&gt;"&amp;0)&lt;5,IF(AND(COUNTIF(G$1237:G1628,1)&gt;7,MOD(1+IFERROR(MATCH($C1026,总览!$D$46:$D$345,1)+1,1),7)=0),$C$3,0),0)</f>
        <v>1246.06666666667</v>
      </c>
      <c r="H1026" s="131" cm="1">
        <f ca="1" t="array" ref="H1026">IF(H1628=1,OFFSET($W$634,$B1026,H$631-1)/SUMPRODUCT(--($D$631:$V$631=H$631),--($D1628:$V1628=1)),0)+SUM(H1025)+IF(COUNTIF(H$1237:H1628,1)=1,5,0)+IF(COUNTIF(I1026:$W1026,"&gt;"&amp;0)&lt;5,IF(AND(COUNTIF(H$1237:H1628,1)&gt;7,MOD(1+IFERROR(MATCH($C1026,总览!$D$46:$D$345,1)+1,1),7)=0),$C$3,0),0)</f>
        <v>1246.06666666667</v>
      </c>
      <c r="I1026" s="131" cm="1">
        <f ca="1" t="array" ref="I1026">IF(I1628=1,OFFSET($W$634,$B1026,I$631-1)/SUMPRODUCT(--($D$631:$V$631=I$631),--($D1628:$V1628=1)),0)+SUM(I1025)+IF(COUNTIF(I$1237:I1628,1)=1,5,0)+IF(COUNTIF(J1026:$W1026,"&gt;"&amp;0)&lt;5,IF(AND(COUNTIF(I$1237:I1628,1)&gt;7,MOD(1+IFERROR(MATCH($C1026,总览!$D$46:$D$345,1)+1,1),7)=0),$C$3,0),0)</f>
        <v>1246.06666666667</v>
      </c>
      <c r="J1026" s="131" cm="1">
        <f ca="1" t="array" ref="J1026">IF(J1628=1,OFFSET($W$634,$B1026,J$631-1)/SUMPRODUCT(--($D$631:$V$631=J$631),--($D1628:$V1628=1)),0)+SUM(J1025)+IF(COUNTIF(J$1237:J1628,1)=1,5,0)+IF(COUNTIF(K1026:$W1026,"&gt;"&amp;0)&lt;5,IF(AND(COUNTIF(J$1237:J1628,1)&gt;7,MOD(1+IFERROR(MATCH($C1026,总览!$D$46:$D$345,1)+1,1),7)=0),$C$3,0),0)</f>
        <v>1242.73333333333</v>
      </c>
      <c r="K1026" s="131" cm="1">
        <f ca="1" t="array" ref="K1026">IF(K1628=1,OFFSET($W$634,$B1026,K$631-1)/SUMPRODUCT(--($D$631:$V$631=K$631),--($D1628:$V1628=1)),0)+SUM(K1025)+IF(COUNTIF(K$1237:K1628,1)=1,5,0)+IF(COUNTIF(L1026:$W1026,"&gt;"&amp;0)&lt;5,IF(AND(COUNTIF(K$1237:K1628,1)&gt;7,MOD(1+IFERROR(MATCH($C1026,总览!$D$46:$D$345,1)+1,1),7)=0),$C$3,0),0)</f>
        <v>1240.23333333333</v>
      </c>
      <c r="L1026" s="131" cm="1">
        <f ca="1" t="array" ref="L1026">IF(L1628=1,OFFSET($W$634,$B1026,L$631-1)/SUMPRODUCT(--($D$631:$V$631=L$631),--($D1628:$V1628=1)),0)+SUM(L1025)+IF(COUNTIF(L$1237:L1628,1)=1,5,0)+IF(COUNTIF(M1026:$W1026,"&gt;"&amp;0)&lt;5,IF(AND(COUNTIF(L$1237:L1628,1)&gt;7,MOD(1+IFERROR(MATCH($C1026,总览!$D$46:$D$345,1)+1,1),7)=0),$C$3,0),0)</f>
        <v>1240.23333333333</v>
      </c>
      <c r="M1026" s="131" cm="1">
        <f ca="1" t="array" ref="M1026">IF(M1628=1,OFFSET($W$634,$B1026,M$631-1)/SUMPRODUCT(--($D$631:$V$631=M$631),--($D1628:$V1628=1)),0)+SUM(M1025)+IF(COUNTIF(M$1237:M1628,1)=1,5,0)+IF(COUNTIF(N1026:$W1026,"&gt;"&amp;0)&lt;5,IF(AND(COUNTIF(M$1237:M1628,1)&gt;7,MOD(1+IFERROR(MATCH($C1026,总览!$D$46:$D$345,1)+1,1),7)=0),$C$3,0),0)</f>
        <v>517.75267857143</v>
      </c>
      <c r="N1026" s="131" cm="1">
        <f ca="1" t="array" ref="N1026">IF(N1628=1,OFFSET($W$634,$B1026,N$631-1)/SUMPRODUCT(--($D$631:$V$631=N$631),--($D1628:$V1628=1)),0)+SUM(N1025)+IF(COUNTIF(N$1237:N1628,1)=1,5,0)+IF(COUNTIF(O1026:$W1026,"&gt;"&amp;0)&lt;5,IF(AND(COUNTIF(N$1237:N1628,1)&gt;7,MOD(1+IFERROR(MATCH($C1026,总览!$D$46:$D$345,1)+1,1),7)=0),$C$3,0),0)</f>
        <v>519.00267857143</v>
      </c>
      <c r="O1026" s="131" cm="1">
        <f ca="1" t="array" ref="O1026">IF(O1628=1,OFFSET($W$634,$B1026,O$631-1)/SUMPRODUCT(--($D$631:$V$631=O$631),--($D1628:$V1628=1)),0)+SUM(O1025)+IF(COUNTIF(O$1237:O1628,1)=1,5,0)+IF(COUNTIF(P1026:$W1026,"&gt;"&amp;0)&lt;5,IF(AND(COUNTIF(O$1237:O1628,1)&gt;7,MOD(1+IFERROR(MATCH($C1026,总览!$D$46:$D$345,1)+1,1),7)=0),$C$3,0),0)</f>
        <v>524.00267857143</v>
      </c>
      <c r="P1026" s="131" cm="1">
        <f ca="1" t="array" ref="P1026">IF(P1628=1,OFFSET($W$634,$B1026,P$631-1)/SUMPRODUCT(--($D$631:$V$631=P$631),--($D1628:$V1628=1)),0)+SUM(P1025)+IF(COUNTIF(P$1237:P1628,1)=1,5,0)+IF(COUNTIF(Q1026:$W1026,"&gt;"&amp;0)&lt;5,IF(AND(COUNTIF(P$1237:P1628,1)&gt;7,MOD(1+IFERROR(MATCH($C1026,总览!$D$46:$D$345,1)+1,1),7)=0),$C$3,0),0)</f>
        <v>513.12142857143</v>
      </c>
      <c r="Q1026" s="131" cm="1">
        <f ca="1" t="array" ref="Q1026">IF(Q1628=1,OFFSET($W$634,$B1026,Q$631-1)/SUMPRODUCT(--($D$631:$V$631=Q$631),--($D1628:$V1628=1)),0)+SUM(Q1025)+IF(COUNTIF(Q$1237:Q1628,1)=1,5,0)+IF(COUNTIF(R1026:$W1026,"&gt;"&amp;0)&lt;5,IF(AND(COUNTIF(Q$1237:Q1628,1)&gt;7,MOD(1+IFERROR(MATCH($C1026,总览!$D$46:$D$345,1)+1,1),7)=0),$C$3,0),0)</f>
        <v>526.50267857143</v>
      </c>
      <c r="R1026" s="131" cm="1">
        <f ca="1" t="array" ref="R1026">IF(R1628=1,OFFSET($W$634,$B1026,R$631-1)/SUMPRODUCT(--($D$631:$V$631=R$631),--($D1628:$V1628=1)),0)+SUM(R1025)+IF(COUNTIF(R$1237:R1628,1)=1,5,0)+IF(COUNTIF(S1026:$W1026,"&gt;"&amp;0)&lt;5,IF(AND(COUNTIF(R$1237:R1628,1)&gt;7,MOD(1+IFERROR(MATCH($C1026,总览!$D$46:$D$345,1)+1,1),7)=0),$C$3,0),0)</f>
        <v>518.12142857143</v>
      </c>
      <c r="S1026" s="131" cm="1">
        <f ca="1" t="array" ref="S1026">IF(S1628=1,OFFSET($W$634,$B1026,S$631-1)/SUMPRODUCT(--($D$631:$V$631=S$631),--($D1628:$V1628=1)),0)+SUM(S1025)+IF(COUNTIF(S$1237:S1628,1)=1,5,0)+IF(COUNTIF(T1026:$W1026,"&gt;"&amp;0)&lt;5,IF(AND(COUNTIF(S$1237:S1628,1)&gt;7,MOD(1+IFERROR(MATCH($C1026,总览!$D$46:$D$345,1)+1,1),7)=0),$C$3,0),0)</f>
        <v>610.621428571431</v>
      </c>
      <c r="T1026" s="131" cm="1">
        <f ca="1" t="array" ref="T1026">IF(T1628=1,OFFSET($W$634,$B1026,T$631-1)/SUMPRODUCT(--($D$631:$V$631=T$631),--($D1628:$V1628=1)),0)+SUM(T1025)+IF(COUNTIF(T$1237:T1628,1)=1,5,0)+IF(COUNTIF(U1026:$W1026,"&gt;"&amp;0)&lt;5,IF(AND(COUNTIF(T$1237:T1628,1)&gt;7,MOD(1+IFERROR(MATCH($C1026,总览!$D$46:$D$345,1)+1,1),7)=0),$C$3,0),0)</f>
        <v>446.736537545743</v>
      </c>
      <c r="U1026" s="131" cm="1">
        <f ca="1" t="array" ref="U1026">IF(U1628=1,OFFSET($W$634,$B1026,U$631-1)/SUMPRODUCT(--($D$631:$V$631=U$631),--($D1628:$V1628=1)),0)+SUM(U1025)+IF(COUNTIF(U$1237:U1628,1)=1,5,0)+IF(COUNTIF(V1026:$W1026,"&gt;"&amp;0)&lt;5,IF(AND(COUNTIF(U$1237:U1628,1)&gt;7,MOD(1+IFERROR(MATCH($C1026,总览!$D$46:$D$345,1)+1,1),7)=0),$C$3,0),0)</f>
        <v>452.257323901042</v>
      </c>
      <c r="V1026" s="131" cm="1">
        <f ca="1" t="array" ref="V1026">IF(V1628=1,OFFSET($W$634,$B1026,V$631-1)/SUMPRODUCT(--($D$631:$V$631=V$631),--($D1628:$V1628=1)),0)+SUM(V1025)+IF(COUNTIF(V$1237:V1628,1)=1,5,0)+IF(COUNTIF(W1026:$W1026,"&gt;"&amp;0)&lt;5,IF(AND(COUNTIF(V$1237:V1628,1)&gt;7,MOD(1+IFERROR(MATCH($C1026,总览!$D$46:$D$345,1)+1,1),7)=0),$C$3,0),0)</f>
        <v>472.084323613475</v>
      </c>
      <c r="W1026" s="135" cm="1">
        <f ca="1" t="array" ref="W1026">SUMPRODUCT(TRANSPOSE($AA1026:$AG1026),OFFSET($L$9:$L$15,0,W$631-1))</f>
        <v>16.8502200646615</v>
      </c>
      <c r="X1026" s="135" cm="1">
        <f ca="1" t="array" ref="X1026">SUMPRODUCT(TRANSPOSE($AA1026:$AG1026),OFFSET($L$9:$L$15,0,X$631-1))</f>
        <v>20</v>
      </c>
      <c r="Y1026" s="135" cm="1">
        <f ca="1" t="array" ref="Y1026">SUMPRODUCT(TRANSPOSE($AA1026:$AG1026),OFFSET($L$9:$L$15,0,Y$631-1))</f>
        <v>10</v>
      </c>
      <c r="Z1026" s="135" cm="1">
        <f ca="1" t="array" ref="Z1026">SUMPRODUCT(TRANSPOSE($AA1026:$AG1026),OFFSET($L$9:$L$15,0,Z$631-1))</f>
        <v>3.14977993533847</v>
      </c>
      <c r="AA1026" s="136">
        <f ca="1" t="shared" ref="AA1026:AG1026" si="1035">AH1026-AH1025</f>
        <v>0</v>
      </c>
      <c r="AB1026" s="136">
        <f ca="1" t="shared" si="1035"/>
        <v>0</v>
      </c>
      <c r="AC1026" s="136">
        <f ca="1" t="shared" si="1035"/>
        <v>0</v>
      </c>
      <c r="AD1026" s="136">
        <f ca="1" t="shared" si="1035"/>
        <v>0</v>
      </c>
      <c r="AE1026" s="136">
        <f ca="1" t="shared" si="1035"/>
        <v>0</v>
      </c>
      <c r="AF1026" s="136">
        <f ca="1" t="shared" si="1035"/>
        <v>0</v>
      </c>
      <c r="AG1026" s="136">
        <f ca="1" t="shared" si="1035"/>
        <v>100</v>
      </c>
      <c r="AH1026" s="136">
        <f ca="1" t="shared" si="1021"/>
        <v>450</v>
      </c>
      <c r="AI1026" s="136">
        <f ca="1" t="shared" ref="AI1026:AN1026" si="1036">IF($C1026&gt;OFFSET($Q$8,MATCH(AI$634,$AH$634:$AN$634,0),0),OFFSET($P$8,MATCH(AI$634,$AH$634:$AN$634,0),0),MAX(0,$C1026-OFFSET($Q$8,RIGHT(AI$634,1)-1,0)))</f>
        <v>909</v>
      </c>
      <c r="AJ1026" s="136">
        <f ca="1" t="shared" si="1036"/>
        <v>1818</v>
      </c>
      <c r="AK1026" s="136">
        <f ca="1" t="shared" si="1036"/>
        <v>2727</v>
      </c>
      <c r="AL1026" s="136">
        <f ca="1" t="shared" si="1036"/>
        <v>3636</v>
      </c>
      <c r="AM1026" s="136">
        <f ca="1" t="shared" si="1036"/>
        <v>4545</v>
      </c>
      <c r="AN1026" s="136">
        <f ca="1" t="shared" si="1036"/>
        <v>25115</v>
      </c>
    </row>
    <row r="1027" s="106" customFormat="1" ht="16.5" spans="2:40">
      <c r="B1027" s="117">
        <v>393</v>
      </c>
      <c r="C1027" s="130">
        <f t="shared" si="1019"/>
        <v>39300</v>
      </c>
      <c r="D1027" s="131" cm="1">
        <f ca="1" t="array" ref="D1027">IF(D1629=1,OFFSET($W$634,$B1027,D$631-1)/SUMPRODUCT(--($D$631:$V$631=D$631),--($D1629:$V1629=1)),0)+SUM(D1026)+IF(COUNTIF(D$1237:D1629,1)=1,5,0)+IF(COUNTIF(E1027:$W1027,"&gt;"&amp;0)&lt;5,IF(AND(COUNTIF(D$1237:D1629,1)&gt;7,MOD(1+IFERROR(MATCH($C1027,总览!$D$46:$D$345,1)+1,1),7)=0),$C$3,0),0)</f>
        <v>2535.08234500148</v>
      </c>
      <c r="E1027" s="131" cm="1">
        <f ca="1" t="array" ref="E1027">IF(E1629=1,OFFSET($W$634,$B1027,E$631-1)/SUMPRODUCT(--($D$631:$V$631=E$631),--($D1629:$V1629=1)),0)+SUM(E1026)+IF(COUNTIF(E$1237:E1629,1)=1,5,0)+IF(COUNTIF(F1027:$W1027,"&gt;"&amp;0)&lt;5,IF(AND(COUNTIF(E$1237:E1629,1)&gt;7,MOD(1+IFERROR(MATCH($C1027,总览!$D$46:$D$345,1)+1,1),7)=0),$C$3,0),0)</f>
        <v>2535.08234500148</v>
      </c>
      <c r="F1027" s="131" cm="1">
        <f ca="1" t="array" ref="F1027">IF(F1629=1,OFFSET($W$634,$B1027,F$631-1)/SUMPRODUCT(--($D$631:$V$631=F$631),--($D1629:$V1629=1)),0)+SUM(F1026)+IF(COUNTIF(F$1237:F1629,1)=1,5,0)+IF(COUNTIF(G1027:$W1027,"&gt;"&amp;0)&lt;5,IF(AND(COUNTIF(F$1237:F1629,1)&gt;7,MOD(1+IFERROR(MATCH($C1027,总览!$D$46:$D$345,1)+1,1),7)=0),$C$3,0),0)</f>
        <v>2535.08234500148</v>
      </c>
      <c r="G1027" s="131" cm="1">
        <f ca="1" t="array" ref="G1027">IF(G1629=1,OFFSET($W$634,$B1027,G$631-1)/SUMPRODUCT(--($D$631:$V$631=G$631),--($D1629:$V1629=1)),0)+SUM(G1026)+IF(COUNTIF(G$1237:G1629,1)=1,5,0)+IF(COUNTIF(H1027:$W1027,"&gt;"&amp;0)&lt;5,IF(AND(COUNTIF(G$1237:G1629,1)&gt;7,MOD(1+IFERROR(MATCH($C1027,总览!$D$46:$D$345,1)+1,1),7)=0),$C$3,0),0)</f>
        <v>1249.4</v>
      </c>
      <c r="H1027" s="131" cm="1">
        <f ca="1" t="array" ref="H1027">IF(H1629=1,OFFSET($W$634,$B1027,H$631-1)/SUMPRODUCT(--($D$631:$V$631=H$631),--($D1629:$V1629=1)),0)+SUM(H1026)+IF(COUNTIF(H$1237:H1629,1)=1,5,0)+IF(COUNTIF(I1027:$W1027,"&gt;"&amp;0)&lt;5,IF(AND(COUNTIF(H$1237:H1629,1)&gt;7,MOD(1+IFERROR(MATCH($C1027,总览!$D$46:$D$345,1)+1,1),7)=0),$C$3,0),0)</f>
        <v>1249.4</v>
      </c>
      <c r="I1027" s="131" cm="1">
        <f ca="1" t="array" ref="I1027">IF(I1629=1,OFFSET($W$634,$B1027,I$631-1)/SUMPRODUCT(--($D$631:$V$631=I$631),--($D1629:$V1629=1)),0)+SUM(I1026)+IF(COUNTIF(I$1237:I1629,1)=1,5,0)+IF(COUNTIF(J1027:$W1027,"&gt;"&amp;0)&lt;5,IF(AND(COUNTIF(I$1237:I1629,1)&gt;7,MOD(1+IFERROR(MATCH($C1027,总览!$D$46:$D$345,1)+1,1),7)=0),$C$3,0),0)</f>
        <v>1249.4</v>
      </c>
      <c r="J1027" s="131" cm="1">
        <f ca="1" t="array" ref="J1027">IF(J1629=1,OFFSET($W$634,$B1027,J$631-1)/SUMPRODUCT(--($D$631:$V$631=J$631),--($D1629:$V1629=1)),0)+SUM(J1026)+IF(COUNTIF(J$1237:J1629,1)=1,5,0)+IF(COUNTIF(K1027:$W1027,"&gt;"&amp;0)&lt;5,IF(AND(COUNTIF(J$1237:J1629,1)&gt;7,MOD(1+IFERROR(MATCH($C1027,总览!$D$46:$D$345,1)+1,1),7)=0),$C$3,0),0)</f>
        <v>1246.06666666667</v>
      </c>
      <c r="K1027" s="131" cm="1">
        <f ca="1" t="array" ref="K1027">IF(K1629=1,OFFSET($W$634,$B1027,K$631-1)/SUMPRODUCT(--($D$631:$V$631=K$631),--($D1629:$V1629=1)),0)+SUM(K1026)+IF(COUNTIF(K$1237:K1629,1)=1,5,0)+IF(COUNTIF(L1027:$W1027,"&gt;"&amp;0)&lt;5,IF(AND(COUNTIF(K$1237:K1629,1)&gt;7,MOD(1+IFERROR(MATCH($C1027,总览!$D$46:$D$345,1)+1,1),7)=0),$C$3,0),0)</f>
        <v>1243.56666666667</v>
      </c>
      <c r="L1027" s="131" cm="1">
        <f ca="1" t="array" ref="L1027">IF(L1629=1,OFFSET($W$634,$B1027,L$631-1)/SUMPRODUCT(--($D$631:$V$631=L$631),--($D1629:$V1629=1)),0)+SUM(L1026)+IF(COUNTIF(L$1237:L1629,1)=1,5,0)+IF(COUNTIF(M1027:$W1027,"&gt;"&amp;0)&lt;5,IF(AND(COUNTIF(L$1237:L1629,1)&gt;7,MOD(1+IFERROR(MATCH($C1027,总览!$D$46:$D$345,1)+1,1),7)=0),$C$3,0),0)</f>
        <v>1243.56666666667</v>
      </c>
      <c r="M1027" s="131" cm="1">
        <f ca="1" t="array" ref="M1027">IF(M1629=1,OFFSET($W$634,$B1027,M$631-1)/SUMPRODUCT(--($D$631:$V$631=M$631),--($D1629:$V1629=1)),0)+SUM(M1026)+IF(COUNTIF(M$1237:M1629,1)=1,5,0)+IF(COUNTIF(N1027:$W1027,"&gt;"&amp;0)&lt;5,IF(AND(COUNTIF(M$1237:M1629,1)&gt;7,MOD(1+IFERROR(MATCH($C1027,总览!$D$46:$D$345,1)+1,1),7)=0),$C$3,0),0)</f>
        <v>519.181250000002</v>
      </c>
      <c r="N1027" s="131" cm="1">
        <f ca="1" t="array" ref="N1027">IF(N1629=1,OFFSET($W$634,$B1027,N$631-1)/SUMPRODUCT(--($D$631:$V$631=N$631),--($D1629:$V1629=1)),0)+SUM(N1026)+IF(COUNTIF(N$1237:N1629,1)=1,5,0)+IF(COUNTIF(O1027:$W1027,"&gt;"&amp;0)&lt;5,IF(AND(COUNTIF(N$1237:N1629,1)&gt;7,MOD(1+IFERROR(MATCH($C1027,总览!$D$46:$D$345,1)+1,1),7)=0),$C$3,0),0)</f>
        <v>520.431250000002</v>
      </c>
      <c r="O1027" s="131" cm="1">
        <f ca="1" t="array" ref="O1027">IF(O1629=1,OFFSET($W$634,$B1027,O$631-1)/SUMPRODUCT(--($D$631:$V$631=O$631),--($D1629:$V1629=1)),0)+SUM(O1026)+IF(COUNTIF(O$1237:O1629,1)=1,5,0)+IF(COUNTIF(P1027:$W1027,"&gt;"&amp;0)&lt;5,IF(AND(COUNTIF(O$1237:O1629,1)&gt;7,MOD(1+IFERROR(MATCH($C1027,总览!$D$46:$D$345,1)+1,1),7)=0),$C$3,0),0)</f>
        <v>525.431250000002</v>
      </c>
      <c r="P1027" s="131" cm="1">
        <f ca="1" t="array" ref="P1027">IF(P1629=1,OFFSET($W$634,$B1027,P$631-1)/SUMPRODUCT(--($D$631:$V$631=P$631),--($D1629:$V1629=1)),0)+SUM(P1026)+IF(COUNTIF(P$1237:P1629,1)=1,5,0)+IF(COUNTIF(Q1027:$W1027,"&gt;"&amp;0)&lt;5,IF(AND(COUNTIF(P$1237:P1629,1)&gt;7,MOD(1+IFERROR(MATCH($C1027,总览!$D$46:$D$345,1)+1,1),7)=0),$C$3,0),0)</f>
        <v>514.550000000002</v>
      </c>
      <c r="Q1027" s="131" cm="1">
        <f ca="1" t="array" ref="Q1027">IF(Q1629=1,OFFSET($W$634,$B1027,Q$631-1)/SUMPRODUCT(--($D$631:$V$631=Q$631),--($D1629:$V1629=1)),0)+SUM(Q1026)+IF(COUNTIF(Q$1237:Q1629,1)=1,5,0)+IF(COUNTIF(R1027:$W1027,"&gt;"&amp;0)&lt;5,IF(AND(COUNTIF(Q$1237:Q1629,1)&gt;7,MOD(1+IFERROR(MATCH($C1027,总览!$D$46:$D$345,1)+1,1),7)=0),$C$3,0),0)</f>
        <v>527.931250000002</v>
      </c>
      <c r="R1027" s="131" cm="1">
        <f ca="1" t="array" ref="R1027">IF(R1629=1,OFFSET($W$634,$B1027,R$631-1)/SUMPRODUCT(--($D$631:$V$631=R$631),--($D1629:$V1629=1)),0)+SUM(R1026)+IF(COUNTIF(R$1237:R1629,1)=1,5,0)+IF(COUNTIF(S1027:$W1027,"&gt;"&amp;0)&lt;5,IF(AND(COUNTIF(R$1237:R1629,1)&gt;7,MOD(1+IFERROR(MATCH($C1027,总览!$D$46:$D$345,1)+1,1),7)=0),$C$3,0),0)</f>
        <v>519.550000000002</v>
      </c>
      <c r="S1027" s="131" cm="1">
        <f ca="1" t="array" ref="S1027">IF(S1629=1,OFFSET($W$634,$B1027,S$631-1)/SUMPRODUCT(--($D$631:$V$631=S$631),--($D1629:$V1629=1)),0)+SUM(S1026)+IF(COUNTIF(S$1237:S1629,1)=1,5,0)+IF(COUNTIF(T1027:$W1027,"&gt;"&amp;0)&lt;5,IF(AND(COUNTIF(S$1237:S1629,1)&gt;7,MOD(1+IFERROR(MATCH($C1027,总览!$D$46:$D$345,1)+1,1),7)=0),$C$3,0),0)</f>
        <v>612.050000000003</v>
      </c>
      <c r="T1027" s="131" cm="1">
        <f ca="1" t="array" ref="T1027">IF(T1629=1,OFFSET($W$634,$B1027,T$631-1)/SUMPRODUCT(--($D$631:$V$631=T$631),--($D1629:$V1629=1)),0)+SUM(T1026)+IF(COUNTIF(T$1237:T1629,1)=1,5,0)+IF(COUNTIF(U1027:$W1027,"&gt;"&amp;0)&lt;5,IF(AND(COUNTIF(T$1237:T1629,1)&gt;7,MOD(1+IFERROR(MATCH($C1027,总览!$D$46:$D$345,1)+1,1),7)=0),$C$3,0),0)</f>
        <v>447.786464190855</v>
      </c>
      <c r="U1027" s="131" cm="1">
        <f ca="1" t="array" ref="U1027">IF(U1629=1,OFFSET($W$634,$B1027,U$631-1)/SUMPRODUCT(--($D$631:$V$631=U$631),--($D1629:$V1629=1)),0)+SUM(U1026)+IF(COUNTIF(U$1237:U1629,1)=1,5,0)+IF(COUNTIF(V1027:$W1027,"&gt;"&amp;0)&lt;5,IF(AND(COUNTIF(U$1237:U1629,1)&gt;7,MOD(1+IFERROR(MATCH($C1027,总览!$D$46:$D$345,1)+1,1),7)=0),$C$3,0),0)</f>
        <v>453.307250546155</v>
      </c>
      <c r="V1027" s="131" cm="1">
        <f ca="1" t="array" ref="V1027">IF(V1629=1,OFFSET($W$634,$B1027,V$631-1)/SUMPRODUCT(--($D$631:$V$631=V$631),--($D1629:$V1629=1)),0)+SUM(V1026)+IF(COUNTIF(V$1237:V1629,1)=1,5,0)+IF(COUNTIF(W1027:$W1027,"&gt;"&amp;0)&lt;5,IF(AND(COUNTIF(V$1237:V1629,1)&gt;7,MOD(1+IFERROR(MATCH($C1027,总览!$D$46:$D$345,1)+1,1),7)=0),$C$3,0),0)</f>
        <v>473.134250258588</v>
      </c>
      <c r="W1027" s="135" cm="1">
        <f ca="1" t="array" ref="W1027">SUMPRODUCT(TRANSPOSE($AA1027:$AG1027),OFFSET($L$9:$L$15,0,W$631-1))</f>
        <v>16.8502200646615</v>
      </c>
      <c r="X1027" s="135" cm="1">
        <f ca="1" t="array" ref="X1027">SUMPRODUCT(TRANSPOSE($AA1027:$AG1027),OFFSET($L$9:$L$15,0,X$631-1))</f>
        <v>20</v>
      </c>
      <c r="Y1027" s="135" cm="1">
        <f ca="1" t="array" ref="Y1027">SUMPRODUCT(TRANSPOSE($AA1027:$AG1027),OFFSET($L$9:$L$15,0,Y$631-1))</f>
        <v>10</v>
      </c>
      <c r="Z1027" s="135" cm="1">
        <f ca="1" t="array" ref="Z1027">SUMPRODUCT(TRANSPOSE($AA1027:$AG1027),OFFSET($L$9:$L$15,0,Z$631-1))</f>
        <v>3.14977993533847</v>
      </c>
      <c r="AA1027" s="136">
        <f ca="1" t="shared" ref="AA1027:AG1027" si="1037">AH1027-AH1026</f>
        <v>0</v>
      </c>
      <c r="AB1027" s="136">
        <f ca="1" t="shared" si="1037"/>
        <v>0</v>
      </c>
      <c r="AC1027" s="136">
        <f ca="1" t="shared" si="1037"/>
        <v>0</v>
      </c>
      <c r="AD1027" s="136">
        <f ca="1" t="shared" si="1037"/>
        <v>0</v>
      </c>
      <c r="AE1027" s="136">
        <f ca="1" t="shared" si="1037"/>
        <v>0</v>
      </c>
      <c r="AF1027" s="136">
        <f ca="1" t="shared" si="1037"/>
        <v>0</v>
      </c>
      <c r="AG1027" s="136">
        <f ca="1" t="shared" si="1037"/>
        <v>100</v>
      </c>
      <c r="AH1027" s="136">
        <f ca="1" t="shared" si="1021"/>
        <v>450</v>
      </c>
      <c r="AI1027" s="136">
        <f ca="1" t="shared" ref="AI1027:AN1027" si="1038">IF($C1027&gt;OFFSET($Q$8,MATCH(AI$634,$AH$634:$AN$634,0),0),OFFSET($P$8,MATCH(AI$634,$AH$634:$AN$634,0),0),MAX(0,$C1027-OFFSET($Q$8,RIGHT(AI$634,1)-1,0)))</f>
        <v>909</v>
      </c>
      <c r="AJ1027" s="136">
        <f ca="1" t="shared" si="1038"/>
        <v>1818</v>
      </c>
      <c r="AK1027" s="136">
        <f ca="1" t="shared" si="1038"/>
        <v>2727</v>
      </c>
      <c r="AL1027" s="136">
        <f ca="1" t="shared" si="1038"/>
        <v>3636</v>
      </c>
      <c r="AM1027" s="136">
        <f ca="1" t="shared" si="1038"/>
        <v>4545</v>
      </c>
      <c r="AN1027" s="136">
        <f ca="1" t="shared" si="1038"/>
        <v>25215</v>
      </c>
    </row>
    <row r="1028" s="106" customFormat="1" ht="16.5" spans="2:40">
      <c r="B1028" s="117">
        <v>394</v>
      </c>
      <c r="C1028" s="130">
        <f t="shared" si="1019"/>
        <v>39400</v>
      </c>
      <c r="D1028" s="131" cm="1">
        <f ca="1" t="array" ref="D1028">IF(D1630=1,OFFSET($W$634,$B1028,D$631-1)/SUMPRODUCT(--($D$631:$V$631=D$631),--($D1630:$V1630=1)),0)+SUM(D1027)+IF(COUNTIF(D$1237:D1630,1)=1,5,0)+IF(COUNTIF(E1028:$W1028,"&gt;"&amp;0)&lt;5,IF(AND(COUNTIF(D$1237:D1630,1)&gt;7,MOD(1+IFERROR(MATCH($C1028,总览!$D$46:$D$345,1)+1,1),7)=0),$C$3,0),0)</f>
        <v>2540.69908502303</v>
      </c>
      <c r="E1028" s="131" cm="1">
        <f ca="1" t="array" ref="E1028">IF(E1630=1,OFFSET($W$634,$B1028,E$631-1)/SUMPRODUCT(--($D$631:$V$631=E$631),--($D1630:$V1630=1)),0)+SUM(E1027)+IF(COUNTIF(E$1237:E1630,1)=1,5,0)+IF(COUNTIF(F1028:$W1028,"&gt;"&amp;0)&lt;5,IF(AND(COUNTIF(E$1237:E1630,1)&gt;7,MOD(1+IFERROR(MATCH($C1028,总览!$D$46:$D$345,1)+1,1),7)=0),$C$3,0),0)</f>
        <v>2540.69908502303</v>
      </c>
      <c r="F1028" s="131" cm="1">
        <f ca="1" t="array" ref="F1028">IF(F1630=1,OFFSET($W$634,$B1028,F$631-1)/SUMPRODUCT(--($D$631:$V$631=F$631),--($D1630:$V1630=1)),0)+SUM(F1027)+IF(COUNTIF(F$1237:F1630,1)=1,5,0)+IF(COUNTIF(G1028:$W1028,"&gt;"&amp;0)&lt;5,IF(AND(COUNTIF(F$1237:F1630,1)&gt;7,MOD(1+IFERROR(MATCH($C1028,总览!$D$46:$D$345,1)+1,1),7)=0),$C$3,0),0)</f>
        <v>2540.69908502303</v>
      </c>
      <c r="G1028" s="131" cm="1">
        <f ca="1" t="array" ref="G1028">IF(G1630=1,OFFSET($W$634,$B1028,G$631-1)/SUMPRODUCT(--($D$631:$V$631=G$631),--($D1630:$V1630=1)),0)+SUM(G1027)+IF(COUNTIF(G$1237:G1630,1)=1,5,0)+IF(COUNTIF(H1028:$W1028,"&gt;"&amp;0)&lt;5,IF(AND(COUNTIF(G$1237:G1630,1)&gt;7,MOD(1+IFERROR(MATCH($C1028,总览!$D$46:$D$345,1)+1,1),7)=0),$C$3,0),0)</f>
        <v>1252.73333333333</v>
      </c>
      <c r="H1028" s="131" cm="1">
        <f ca="1" t="array" ref="H1028">IF(H1630=1,OFFSET($W$634,$B1028,H$631-1)/SUMPRODUCT(--($D$631:$V$631=H$631),--($D1630:$V1630=1)),0)+SUM(H1027)+IF(COUNTIF(H$1237:H1630,1)=1,5,0)+IF(COUNTIF(I1028:$W1028,"&gt;"&amp;0)&lt;5,IF(AND(COUNTIF(H$1237:H1630,1)&gt;7,MOD(1+IFERROR(MATCH($C1028,总览!$D$46:$D$345,1)+1,1),7)=0),$C$3,0),0)</f>
        <v>1252.73333333333</v>
      </c>
      <c r="I1028" s="131" cm="1">
        <f ca="1" t="array" ref="I1028">IF(I1630=1,OFFSET($W$634,$B1028,I$631-1)/SUMPRODUCT(--($D$631:$V$631=I$631),--($D1630:$V1630=1)),0)+SUM(I1027)+IF(COUNTIF(I$1237:I1630,1)=1,5,0)+IF(COUNTIF(J1028:$W1028,"&gt;"&amp;0)&lt;5,IF(AND(COUNTIF(I$1237:I1630,1)&gt;7,MOD(1+IFERROR(MATCH($C1028,总览!$D$46:$D$345,1)+1,1),7)=0),$C$3,0),0)</f>
        <v>1252.73333333333</v>
      </c>
      <c r="J1028" s="131" cm="1">
        <f ca="1" t="array" ref="J1028">IF(J1630=1,OFFSET($W$634,$B1028,J$631-1)/SUMPRODUCT(--($D$631:$V$631=J$631),--($D1630:$V1630=1)),0)+SUM(J1027)+IF(COUNTIF(J$1237:J1630,1)=1,5,0)+IF(COUNTIF(K1028:$W1028,"&gt;"&amp;0)&lt;5,IF(AND(COUNTIF(J$1237:J1630,1)&gt;7,MOD(1+IFERROR(MATCH($C1028,总览!$D$46:$D$345,1)+1,1),7)=0),$C$3,0),0)</f>
        <v>1249.4</v>
      </c>
      <c r="K1028" s="131" cm="1">
        <f ca="1" t="array" ref="K1028">IF(K1630=1,OFFSET($W$634,$B1028,K$631-1)/SUMPRODUCT(--($D$631:$V$631=K$631),--($D1630:$V1630=1)),0)+SUM(K1027)+IF(COUNTIF(K$1237:K1630,1)=1,5,0)+IF(COUNTIF(L1028:$W1028,"&gt;"&amp;0)&lt;5,IF(AND(COUNTIF(K$1237:K1630,1)&gt;7,MOD(1+IFERROR(MATCH($C1028,总览!$D$46:$D$345,1)+1,1),7)=0),$C$3,0),0)</f>
        <v>1246.9</v>
      </c>
      <c r="L1028" s="131" cm="1">
        <f ca="1" t="array" ref="L1028">IF(L1630=1,OFFSET($W$634,$B1028,L$631-1)/SUMPRODUCT(--($D$631:$V$631=L$631),--($D1630:$V1630=1)),0)+SUM(L1027)+IF(COUNTIF(L$1237:L1630,1)=1,5,0)+IF(COUNTIF(M1028:$W1028,"&gt;"&amp;0)&lt;5,IF(AND(COUNTIF(L$1237:L1630,1)&gt;7,MOD(1+IFERROR(MATCH($C1028,总览!$D$46:$D$345,1)+1,1),7)=0),$C$3,0),0)</f>
        <v>1246.9</v>
      </c>
      <c r="M1028" s="131" cm="1">
        <f ca="1" t="array" ref="M1028">IF(M1630=1,OFFSET($W$634,$B1028,M$631-1)/SUMPRODUCT(--($D$631:$V$631=M$631),--($D1630:$V1630=1)),0)+SUM(M1027)+IF(COUNTIF(M$1237:M1630,1)=1,5,0)+IF(COUNTIF(N1028:$W1028,"&gt;"&amp;0)&lt;5,IF(AND(COUNTIF(M$1237:M1630,1)&gt;7,MOD(1+IFERROR(MATCH($C1028,总览!$D$46:$D$345,1)+1,1),7)=0),$C$3,0),0)</f>
        <v>520.609821428573</v>
      </c>
      <c r="N1028" s="131" cm="1">
        <f ca="1" t="array" ref="N1028">IF(N1630=1,OFFSET($W$634,$B1028,N$631-1)/SUMPRODUCT(--($D$631:$V$631=N$631),--($D1630:$V1630=1)),0)+SUM(N1027)+IF(COUNTIF(N$1237:N1630,1)=1,5,0)+IF(COUNTIF(O1028:$W1028,"&gt;"&amp;0)&lt;5,IF(AND(COUNTIF(N$1237:N1630,1)&gt;7,MOD(1+IFERROR(MATCH($C1028,总览!$D$46:$D$345,1)+1,1),7)=0),$C$3,0),0)</f>
        <v>521.859821428573</v>
      </c>
      <c r="O1028" s="131" cm="1">
        <f ca="1" t="array" ref="O1028">IF(O1630=1,OFFSET($W$634,$B1028,O$631-1)/SUMPRODUCT(--($D$631:$V$631=O$631),--($D1630:$V1630=1)),0)+SUM(O1027)+IF(COUNTIF(O$1237:O1630,1)=1,5,0)+IF(COUNTIF(P1028:$W1028,"&gt;"&amp;0)&lt;5,IF(AND(COUNTIF(O$1237:O1630,1)&gt;7,MOD(1+IFERROR(MATCH($C1028,总览!$D$46:$D$345,1)+1,1),7)=0),$C$3,0),0)</f>
        <v>526.859821428573</v>
      </c>
      <c r="P1028" s="131" cm="1">
        <f ca="1" t="array" ref="P1028">IF(P1630=1,OFFSET($W$634,$B1028,P$631-1)/SUMPRODUCT(--($D$631:$V$631=P$631),--($D1630:$V1630=1)),0)+SUM(P1027)+IF(COUNTIF(P$1237:P1630,1)=1,5,0)+IF(COUNTIF(Q1028:$W1028,"&gt;"&amp;0)&lt;5,IF(AND(COUNTIF(P$1237:P1630,1)&gt;7,MOD(1+IFERROR(MATCH($C1028,总览!$D$46:$D$345,1)+1,1),7)=0),$C$3,0),0)</f>
        <v>515.978571428573</v>
      </c>
      <c r="Q1028" s="131" cm="1">
        <f ca="1" t="array" ref="Q1028">IF(Q1630=1,OFFSET($W$634,$B1028,Q$631-1)/SUMPRODUCT(--($D$631:$V$631=Q$631),--($D1630:$V1630=1)),0)+SUM(Q1027)+IF(COUNTIF(Q$1237:Q1630,1)=1,5,0)+IF(COUNTIF(R1028:$W1028,"&gt;"&amp;0)&lt;5,IF(AND(COUNTIF(Q$1237:Q1630,1)&gt;7,MOD(1+IFERROR(MATCH($C1028,总览!$D$46:$D$345,1)+1,1),7)=0),$C$3,0),0)</f>
        <v>529.359821428573</v>
      </c>
      <c r="R1028" s="131" cm="1">
        <f ca="1" t="array" ref="R1028">IF(R1630=1,OFFSET($W$634,$B1028,R$631-1)/SUMPRODUCT(--($D$631:$V$631=R$631),--($D1630:$V1630=1)),0)+SUM(R1027)+IF(COUNTIF(R$1237:R1630,1)=1,5,0)+IF(COUNTIF(S1028:$W1028,"&gt;"&amp;0)&lt;5,IF(AND(COUNTIF(R$1237:R1630,1)&gt;7,MOD(1+IFERROR(MATCH($C1028,总览!$D$46:$D$345,1)+1,1),7)=0),$C$3,0),0)</f>
        <v>520.978571428573</v>
      </c>
      <c r="S1028" s="131" cm="1">
        <f ca="1" t="array" ref="S1028">IF(S1630=1,OFFSET($W$634,$B1028,S$631-1)/SUMPRODUCT(--($D$631:$V$631=S$631),--($D1630:$V1630=1)),0)+SUM(S1027)+IF(COUNTIF(S$1237:S1630,1)=1,5,0)+IF(COUNTIF(T1028:$W1028,"&gt;"&amp;0)&lt;5,IF(AND(COUNTIF(S$1237:S1630,1)&gt;7,MOD(1+IFERROR(MATCH($C1028,总览!$D$46:$D$345,1)+1,1),7)=0),$C$3,0),0)</f>
        <v>613.478571428574</v>
      </c>
      <c r="T1028" s="131" cm="1">
        <f ca="1" t="array" ref="T1028">IF(T1630=1,OFFSET($W$634,$B1028,T$631-1)/SUMPRODUCT(--($D$631:$V$631=T$631),--($D1630:$V1630=1)),0)+SUM(T1027)+IF(COUNTIF(T$1237:T1630,1)=1,5,0)+IF(COUNTIF(U1028:$W1028,"&gt;"&amp;0)&lt;5,IF(AND(COUNTIF(T$1237:T1630,1)&gt;7,MOD(1+IFERROR(MATCH($C1028,总览!$D$46:$D$345,1)+1,1),7)=0),$C$3,0),0)</f>
        <v>448.836390835968</v>
      </c>
      <c r="U1028" s="131" cm="1">
        <f ca="1" t="array" ref="U1028">IF(U1630=1,OFFSET($W$634,$B1028,U$631-1)/SUMPRODUCT(--($D$631:$V$631=U$631),--($D1630:$V1630=1)),0)+SUM(U1027)+IF(COUNTIF(U$1237:U1630,1)=1,5,0)+IF(COUNTIF(V1028:$W1028,"&gt;"&amp;0)&lt;5,IF(AND(COUNTIF(U$1237:U1630,1)&gt;7,MOD(1+IFERROR(MATCH($C1028,总览!$D$46:$D$345,1)+1,1),7)=0),$C$3,0),0)</f>
        <v>454.357177191268</v>
      </c>
      <c r="V1028" s="131" cm="1">
        <f ca="1" t="array" ref="V1028">IF(V1630=1,OFFSET($W$634,$B1028,V$631-1)/SUMPRODUCT(--($D$631:$V$631=V$631),--($D1630:$V1630=1)),0)+SUM(V1027)+IF(COUNTIF(V$1237:V1630,1)=1,5,0)+IF(COUNTIF(W1028:$W1028,"&gt;"&amp;0)&lt;5,IF(AND(COUNTIF(V$1237:V1630,1)&gt;7,MOD(1+IFERROR(MATCH($C1028,总览!$D$46:$D$345,1)+1,1),7)=0),$C$3,0),0)</f>
        <v>474.184176903701</v>
      </c>
      <c r="W1028" s="135" cm="1">
        <f ca="1" t="array" ref="W1028">SUMPRODUCT(TRANSPOSE($AA1028:$AG1028),OFFSET($L$9:$L$15,0,W$631-1))</f>
        <v>16.8502200646615</v>
      </c>
      <c r="X1028" s="135" cm="1">
        <f ca="1" t="array" ref="X1028">SUMPRODUCT(TRANSPOSE($AA1028:$AG1028),OFFSET($L$9:$L$15,0,X$631-1))</f>
        <v>20</v>
      </c>
      <c r="Y1028" s="135" cm="1">
        <f ca="1" t="array" ref="Y1028">SUMPRODUCT(TRANSPOSE($AA1028:$AG1028),OFFSET($L$9:$L$15,0,Y$631-1))</f>
        <v>10</v>
      </c>
      <c r="Z1028" s="135" cm="1">
        <f ca="1" t="array" ref="Z1028">SUMPRODUCT(TRANSPOSE($AA1028:$AG1028),OFFSET($L$9:$L$15,0,Z$631-1))</f>
        <v>3.14977993533847</v>
      </c>
      <c r="AA1028" s="136">
        <f ca="1" t="shared" ref="AA1028:AG1028" si="1039">AH1028-AH1027</f>
        <v>0</v>
      </c>
      <c r="AB1028" s="136">
        <f ca="1" t="shared" si="1039"/>
        <v>0</v>
      </c>
      <c r="AC1028" s="136">
        <f ca="1" t="shared" si="1039"/>
        <v>0</v>
      </c>
      <c r="AD1028" s="136">
        <f ca="1" t="shared" si="1039"/>
        <v>0</v>
      </c>
      <c r="AE1028" s="136">
        <f ca="1" t="shared" si="1039"/>
        <v>0</v>
      </c>
      <c r="AF1028" s="136">
        <f ca="1" t="shared" si="1039"/>
        <v>0</v>
      </c>
      <c r="AG1028" s="136">
        <f ca="1" t="shared" si="1039"/>
        <v>100</v>
      </c>
      <c r="AH1028" s="136">
        <f ca="1" t="shared" si="1021"/>
        <v>450</v>
      </c>
      <c r="AI1028" s="136">
        <f ca="1" t="shared" ref="AI1028:AN1028" si="1040">IF($C1028&gt;OFFSET($Q$8,MATCH(AI$634,$AH$634:$AN$634,0),0),OFFSET($P$8,MATCH(AI$634,$AH$634:$AN$634,0),0),MAX(0,$C1028-OFFSET($Q$8,RIGHT(AI$634,1)-1,0)))</f>
        <v>909</v>
      </c>
      <c r="AJ1028" s="136">
        <f ca="1" t="shared" si="1040"/>
        <v>1818</v>
      </c>
      <c r="AK1028" s="136">
        <f ca="1" t="shared" si="1040"/>
        <v>2727</v>
      </c>
      <c r="AL1028" s="136">
        <f ca="1" t="shared" si="1040"/>
        <v>3636</v>
      </c>
      <c r="AM1028" s="136">
        <f ca="1" t="shared" si="1040"/>
        <v>4545</v>
      </c>
      <c r="AN1028" s="136">
        <f ca="1" t="shared" si="1040"/>
        <v>25315</v>
      </c>
    </row>
    <row r="1029" s="106" customFormat="1" ht="16.5" spans="2:40">
      <c r="B1029" s="117">
        <v>395</v>
      </c>
      <c r="C1029" s="130">
        <f t="shared" si="1019"/>
        <v>39500</v>
      </c>
      <c r="D1029" s="131" cm="1">
        <f ca="1" t="array" ref="D1029">IF(D1631=1,OFFSET($W$634,$B1029,D$631-1)/SUMPRODUCT(--($D$631:$V$631=D$631),--($D1631:$V1631=1)),0)+SUM(D1028)+IF(COUNTIF(D$1237:D1631,1)=1,5,0)+IF(COUNTIF(E1029:$W1029,"&gt;"&amp;0)&lt;5,IF(AND(COUNTIF(D$1237:D1631,1)&gt;7,MOD(1+IFERROR(MATCH($C1029,总览!$D$46:$D$345,1)+1,1),7)=0),$C$3,0),0)</f>
        <v>2546.31582504459</v>
      </c>
      <c r="E1029" s="131" cm="1">
        <f ca="1" t="array" ref="E1029">IF(E1631=1,OFFSET($W$634,$B1029,E$631-1)/SUMPRODUCT(--($D$631:$V$631=E$631),--($D1631:$V1631=1)),0)+SUM(E1028)+IF(COUNTIF(E$1237:E1631,1)=1,5,0)+IF(COUNTIF(F1029:$W1029,"&gt;"&amp;0)&lt;5,IF(AND(COUNTIF(E$1237:E1631,1)&gt;7,MOD(1+IFERROR(MATCH($C1029,总览!$D$46:$D$345,1)+1,1),7)=0),$C$3,0),0)</f>
        <v>2546.31582504459</v>
      </c>
      <c r="F1029" s="131" cm="1">
        <f ca="1" t="array" ref="F1029">IF(F1631=1,OFFSET($W$634,$B1029,F$631-1)/SUMPRODUCT(--($D$631:$V$631=F$631),--($D1631:$V1631=1)),0)+SUM(F1028)+IF(COUNTIF(F$1237:F1631,1)=1,5,0)+IF(COUNTIF(G1029:$W1029,"&gt;"&amp;0)&lt;5,IF(AND(COUNTIF(F$1237:F1631,1)&gt;7,MOD(1+IFERROR(MATCH($C1029,总览!$D$46:$D$345,1)+1,1),7)=0),$C$3,0),0)</f>
        <v>2546.31582504459</v>
      </c>
      <c r="G1029" s="131" cm="1">
        <f ca="1" t="array" ref="G1029">IF(G1631=1,OFFSET($W$634,$B1029,G$631-1)/SUMPRODUCT(--($D$631:$V$631=G$631),--($D1631:$V1631=1)),0)+SUM(G1028)+IF(COUNTIF(G$1237:G1631,1)=1,5,0)+IF(COUNTIF(H1029:$W1029,"&gt;"&amp;0)&lt;5,IF(AND(COUNTIF(G$1237:G1631,1)&gt;7,MOD(1+IFERROR(MATCH($C1029,总览!$D$46:$D$345,1)+1,1),7)=0),$C$3,0),0)</f>
        <v>1256.06666666667</v>
      </c>
      <c r="H1029" s="131" cm="1">
        <f ca="1" t="array" ref="H1029">IF(H1631=1,OFFSET($W$634,$B1029,H$631-1)/SUMPRODUCT(--($D$631:$V$631=H$631),--($D1631:$V1631=1)),0)+SUM(H1028)+IF(COUNTIF(H$1237:H1631,1)=1,5,0)+IF(COUNTIF(I1029:$W1029,"&gt;"&amp;0)&lt;5,IF(AND(COUNTIF(H$1237:H1631,1)&gt;7,MOD(1+IFERROR(MATCH($C1029,总览!$D$46:$D$345,1)+1,1),7)=0),$C$3,0),0)</f>
        <v>1256.06666666667</v>
      </c>
      <c r="I1029" s="131" cm="1">
        <f ca="1" t="array" ref="I1029">IF(I1631=1,OFFSET($W$634,$B1029,I$631-1)/SUMPRODUCT(--($D$631:$V$631=I$631),--($D1631:$V1631=1)),0)+SUM(I1028)+IF(COUNTIF(I$1237:I1631,1)=1,5,0)+IF(COUNTIF(J1029:$W1029,"&gt;"&amp;0)&lt;5,IF(AND(COUNTIF(I$1237:I1631,1)&gt;7,MOD(1+IFERROR(MATCH($C1029,总览!$D$46:$D$345,1)+1,1),7)=0),$C$3,0),0)</f>
        <v>1256.06666666667</v>
      </c>
      <c r="J1029" s="131" cm="1">
        <f ca="1" t="array" ref="J1029">IF(J1631=1,OFFSET($W$634,$B1029,J$631-1)/SUMPRODUCT(--($D$631:$V$631=J$631),--($D1631:$V1631=1)),0)+SUM(J1028)+IF(COUNTIF(J$1237:J1631,1)=1,5,0)+IF(COUNTIF(K1029:$W1029,"&gt;"&amp;0)&lt;5,IF(AND(COUNTIF(J$1237:J1631,1)&gt;7,MOD(1+IFERROR(MATCH($C1029,总览!$D$46:$D$345,1)+1,1),7)=0),$C$3,0),0)</f>
        <v>1252.73333333333</v>
      </c>
      <c r="K1029" s="131" cm="1">
        <f ca="1" t="array" ref="K1029">IF(K1631=1,OFFSET($W$634,$B1029,K$631-1)/SUMPRODUCT(--($D$631:$V$631=K$631),--($D1631:$V1631=1)),0)+SUM(K1028)+IF(COUNTIF(K$1237:K1631,1)=1,5,0)+IF(COUNTIF(L1029:$W1029,"&gt;"&amp;0)&lt;5,IF(AND(COUNTIF(K$1237:K1631,1)&gt;7,MOD(1+IFERROR(MATCH($C1029,总览!$D$46:$D$345,1)+1,1),7)=0),$C$3,0),0)</f>
        <v>1250.23333333333</v>
      </c>
      <c r="L1029" s="131" cm="1">
        <f ca="1" t="array" ref="L1029">IF(L1631=1,OFFSET($W$634,$B1029,L$631-1)/SUMPRODUCT(--($D$631:$V$631=L$631),--($D1631:$V1631=1)),0)+SUM(L1028)+IF(COUNTIF(L$1237:L1631,1)=1,5,0)+IF(COUNTIF(M1029:$W1029,"&gt;"&amp;0)&lt;5,IF(AND(COUNTIF(L$1237:L1631,1)&gt;7,MOD(1+IFERROR(MATCH($C1029,总览!$D$46:$D$345,1)+1,1),7)=0),$C$3,0),0)</f>
        <v>1250.23333333333</v>
      </c>
      <c r="M1029" s="131" cm="1">
        <f ca="1" t="array" ref="M1029">IF(M1631=1,OFFSET($W$634,$B1029,M$631-1)/SUMPRODUCT(--($D$631:$V$631=M$631),--($D1631:$V1631=1)),0)+SUM(M1028)+IF(COUNTIF(M$1237:M1631,1)=1,5,0)+IF(COUNTIF(N1029:$W1029,"&gt;"&amp;0)&lt;5,IF(AND(COUNTIF(M$1237:M1631,1)&gt;7,MOD(1+IFERROR(MATCH($C1029,总览!$D$46:$D$345,1)+1,1),7)=0),$C$3,0),0)</f>
        <v>522.038392857145</v>
      </c>
      <c r="N1029" s="131" cm="1">
        <f ca="1" t="array" ref="N1029">IF(N1631=1,OFFSET($W$634,$B1029,N$631-1)/SUMPRODUCT(--($D$631:$V$631=N$631),--($D1631:$V1631=1)),0)+SUM(N1028)+IF(COUNTIF(N$1237:N1631,1)=1,5,0)+IF(COUNTIF(O1029:$W1029,"&gt;"&amp;0)&lt;5,IF(AND(COUNTIF(N$1237:N1631,1)&gt;7,MOD(1+IFERROR(MATCH($C1029,总览!$D$46:$D$345,1)+1,1),7)=0),$C$3,0),0)</f>
        <v>523.288392857145</v>
      </c>
      <c r="O1029" s="131" cm="1">
        <f ca="1" t="array" ref="O1029">IF(O1631=1,OFFSET($W$634,$B1029,O$631-1)/SUMPRODUCT(--($D$631:$V$631=O$631),--($D1631:$V1631=1)),0)+SUM(O1028)+IF(COUNTIF(O$1237:O1631,1)=1,5,0)+IF(COUNTIF(P1029:$W1029,"&gt;"&amp;0)&lt;5,IF(AND(COUNTIF(O$1237:O1631,1)&gt;7,MOD(1+IFERROR(MATCH($C1029,总览!$D$46:$D$345,1)+1,1),7)=0),$C$3,0),0)</f>
        <v>528.288392857145</v>
      </c>
      <c r="P1029" s="131" cm="1">
        <f ca="1" t="array" ref="P1029">IF(P1631=1,OFFSET($W$634,$B1029,P$631-1)/SUMPRODUCT(--($D$631:$V$631=P$631),--($D1631:$V1631=1)),0)+SUM(P1028)+IF(COUNTIF(P$1237:P1631,1)=1,5,0)+IF(COUNTIF(Q1029:$W1029,"&gt;"&amp;0)&lt;5,IF(AND(COUNTIF(P$1237:P1631,1)&gt;7,MOD(1+IFERROR(MATCH($C1029,总览!$D$46:$D$345,1)+1,1),7)=0),$C$3,0),0)</f>
        <v>517.407142857145</v>
      </c>
      <c r="Q1029" s="131" cm="1">
        <f ca="1" t="array" ref="Q1029">IF(Q1631=1,OFFSET($W$634,$B1029,Q$631-1)/SUMPRODUCT(--($D$631:$V$631=Q$631),--($D1631:$V1631=1)),0)+SUM(Q1028)+IF(COUNTIF(Q$1237:Q1631,1)=1,5,0)+IF(COUNTIF(R1029:$W1029,"&gt;"&amp;0)&lt;5,IF(AND(COUNTIF(Q$1237:Q1631,1)&gt;7,MOD(1+IFERROR(MATCH($C1029,总览!$D$46:$D$345,1)+1,1),7)=0),$C$3,0),0)</f>
        <v>530.788392857145</v>
      </c>
      <c r="R1029" s="131" cm="1">
        <f ca="1" t="array" ref="R1029">IF(R1631=1,OFFSET($W$634,$B1029,R$631-1)/SUMPRODUCT(--($D$631:$V$631=R$631),--($D1631:$V1631=1)),0)+SUM(R1028)+IF(COUNTIF(R$1237:R1631,1)=1,5,0)+IF(COUNTIF(S1029:$W1029,"&gt;"&amp;0)&lt;5,IF(AND(COUNTIF(R$1237:R1631,1)&gt;7,MOD(1+IFERROR(MATCH($C1029,总览!$D$46:$D$345,1)+1,1),7)=0),$C$3,0),0)</f>
        <v>522.407142857145</v>
      </c>
      <c r="S1029" s="131" cm="1">
        <f ca="1" t="array" ref="S1029">IF(S1631=1,OFFSET($W$634,$B1029,S$631-1)/SUMPRODUCT(--($D$631:$V$631=S$631),--($D1631:$V1631=1)),0)+SUM(S1028)+IF(COUNTIF(S$1237:S1631,1)=1,5,0)+IF(COUNTIF(T1029:$W1029,"&gt;"&amp;0)&lt;5,IF(AND(COUNTIF(S$1237:S1631,1)&gt;7,MOD(1+IFERROR(MATCH($C1029,总览!$D$46:$D$345,1)+1,1),7)=0),$C$3,0),0)</f>
        <v>614.907142857146</v>
      </c>
      <c r="T1029" s="131" cm="1">
        <f ca="1" t="array" ref="T1029">IF(T1631=1,OFFSET($W$634,$B1029,T$631-1)/SUMPRODUCT(--($D$631:$V$631=T$631),--($D1631:$V1631=1)),0)+SUM(T1028)+IF(COUNTIF(T$1237:T1631,1)=1,5,0)+IF(COUNTIF(U1029:$W1029,"&gt;"&amp;0)&lt;5,IF(AND(COUNTIF(T$1237:T1631,1)&gt;7,MOD(1+IFERROR(MATCH($C1029,总览!$D$46:$D$345,1)+1,1),7)=0),$C$3,0),0)</f>
        <v>449.886317481081</v>
      </c>
      <c r="U1029" s="131" cm="1">
        <f ca="1" t="array" ref="U1029">IF(U1631=1,OFFSET($W$634,$B1029,U$631-1)/SUMPRODUCT(--($D$631:$V$631=U$631),--($D1631:$V1631=1)),0)+SUM(U1028)+IF(COUNTIF(U$1237:U1631,1)=1,5,0)+IF(COUNTIF(V1029:$W1029,"&gt;"&amp;0)&lt;5,IF(AND(COUNTIF(U$1237:U1631,1)&gt;7,MOD(1+IFERROR(MATCH($C1029,总览!$D$46:$D$345,1)+1,1),7)=0),$C$3,0),0)</f>
        <v>455.40710383638</v>
      </c>
      <c r="V1029" s="131" cm="1">
        <f ca="1" t="array" ref="V1029">IF(V1631=1,OFFSET($W$634,$B1029,V$631-1)/SUMPRODUCT(--($D$631:$V$631=V$631),--($D1631:$V1631=1)),0)+SUM(V1028)+IF(COUNTIF(V$1237:V1631,1)=1,5,0)+IF(COUNTIF(W1029:$W1029,"&gt;"&amp;0)&lt;5,IF(AND(COUNTIF(V$1237:V1631,1)&gt;7,MOD(1+IFERROR(MATCH($C1029,总览!$D$46:$D$345,1)+1,1),7)=0),$C$3,0),0)</f>
        <v>475.234103548813</v>
      </c>
      <c r="W1029" s="135" cm="1">
        <f ca="1" t="array" ref="W1029">SUMPRODUCT(TRANSPOSE($AA1029:$AG1029),OFFSET($L$9:$L$15,0,W$631-1))</f>
        <v>16.8502200646615</v>
      </c>
      <c r="X1029" s="135" cm="1">
        <f ca="1" t="array" ref="X1029">SUMPRODUCT(TRANSPOSE($AA1029:$AG1029),OFFSET($L$9:$L$15,0,X$631-1))</f>
        <v>20</v>
      </c>
      <c r="Y1029" s="135" cm="1">
        <f ca="1" t="array" ref="Y1029">SUMPRODUCT(TRANSPOSE($AA1029:$AG1029),OFFSET($L$9:$L$15,0,Y$631-1))</f>
        <v>10</v>
      </c>
      <c r="Z1029" s="135" cm="1">
        <f ca="1" t="array" ref="Z1029">SUMPRODUCT(TRANSPOSE($AA1029:$AG1029),OFFSET($L$9:$L$15,0,Z$631-1))</f>
        <v>3.14977993533847</v>
      </c>
      <c r="AA1029" s="136">
        <f ca="1" t="shared" ref="AA1029:AG1029" si="1041">AH1029-AH1028</f>
        <v>0</v>
      </c>
      <c r="AB1029" s="136">
        <f ca="1" t="shared" si="1041"/>
        <v>0</v>
      </c>
      <c r="AC1029" s="136">
        <f ca="1" t="shared" si="1041"/>
        <v>0</v>
      </c>
      <c r="AD1029" s="136">
        <f ca="1" t="shared" si="1041"/>
        <v>0</v>
      </c>
      <c r="AE1029" s="136">
        <f ca="1" t="shared" si="1041"/>
        <v>0</v>
      </c>
      <c r="AF1029" s="136">
        <f ca="1" t="shared" si="1041"/>
        <v>0</v>
      </c>
      <c r="AG1029" s="136">
        <f ca="1" t="shared" si="1041"/>
        <v>100</v>
      </c>
      <c r="AH1029" s="136">
        <f ca="1" t="shared" si="1021"/>
        <v>450</v>
      </c>
      <c r="AI1029" s="136">
        <f ca="1" t="shared" ref="AI1029:AN1029" si="1042">IF($C1029&gt;OFFSET($Q$8,MATCH(AI$634,$AH$634:$AN$634,0),0),OFFSET($P$8,MATCH(AI$634,$AH$634:$AN$634,0),0),MAX(0,$C1029-OFFSET($Q$8,RIGHT(AI$634,1)-1,0)))</f>
        <v>909</v>
      </c>
      <c r="AJ1029" s="136">
        <f ca="1" t="shared" si="1042"/>
        <v>1818</v>
      </c>
      <c r="AK1029" s="136">
        <f ca="1" t="shared" si="1042"/>
        <v>2727</v>
      </c>
      <c r="AL1029" s="136">
        <f ca="1" t="shared" si="1042"/>
        <v>3636</v>
      </c>
      <c r="AM1029" s="136">
        <f ca="1" t="shared" si="1042"/>
        <v>4545</v>
      </c>
      <c r="AN1029" s="136">
        <f ca="1" t="shared" si="1042"/>
        <v>25415</v>
      </c>
    </row>
    <row r="1030" s="106" customFormat="1" ht="16.5" spans="2:40">
      <c r="B1030" s="117">
        <v>396</v>
      </c>
      <c r="C1030" s="130">
        <f t="shared" si="1019"/>
        <v>39600</v>
      </c>
      <c r="D1030" s="131" cm="1">
        <f ca="1" t="array" ref="D1030">IF(D1632=1,OFFSET($W$634,$B1030,D$631-1)/SUMPRODUCT(--($D$631:$V$631=D$631),--($D1632:$V1632=1)),0)+SUM(D1029)+IF(COUNTIF(D$1237:D1632,1)=1,5,0)+IF(COUNTIF(E1030:$W1030,"&gt;"&amp;0)&lt;5,IF(AND(COUNTIF(D$1237:D1632,1)&gt;7,MOD(1+IFERROR(MATCH($C1030,总览!$D$46:$D$345,1)+1,1),7)=0),$C$3,0),0)</f>
        <v>2551.93256506614</v>
      </c>
      <c r="E1030" s="131" cm="1">
        <f ca="1" t="array" ref="E1030">IF(E1632=1,OFFSET($W$634,$B1030,E$631-1)/SUMPRODUCT(--($D$631:$V$631=E$631),--($D1632:$V1632=1)),0)+SUM(E1029)+IF(COUNTIF(E$1237:E1632,1)=1,5,0)+IF(COUNTIF(F1030:$W1030,"&gt;"&amp;0)&lt;5,IF(AND(COUNTIF(E$1237:E1632,1)&gt;7,MOD(1+IFERROR(MATCH($C1030,总览!$D$46:$D$345,1)+1,1),7)=0),$C$3,0),0)</f>
        <v>2551.93256506614</v>
      </c>
      <c r="F1030" s="131" cm="1">
        <f ca="1" t="array" ref="F1030">IF(F1632=1,OFFSET($W$634,$B1030,F$631-1)/SUMPRODUCT(--($D$631:$V$631=F$631),--($D1632:$V1632=1)),0)+SUM(F1029)+IF(COUNTIF(F$1237:F1632,1)=1,5,0)+IF(COUNTIF(G1030:$W1030,"&gt;"&amp;0)&lt;5,IF(AND(COUNTIF(F$1237:F1632,1)&gt;7,MOD(1+IFERROR(MATCH($C1030,总览!$D$46:$D$345,1)+1,1),7)=0),$C$3,0),0)</f>
        <v>2551.93256506614</v>
      </c>
      <c r="G1030" s="131" cm="1">
        <f ca="1" t="array" ref="G1030">IF(G1632=1,OFFSET($W$634,$B1030,G$631-1)/SUMPRODUCT(--($D$631:$V$631=G$631),--($D1632:$V1632=1)),0)+SUM(G1029)+IF(COUNTIF(G$1237:G1632,1)=1,5,0)+IF(COUNTIF(H1030:$W1030,"&gt;"&amp;0)&lt;5,IF(AND(COUNTIF(G$1237:G1632,1)&gt;7,MOD(1+IFERROR(MATCH($C1030,总览!$D$46:$D$345,1)+1,1),7)=0),$C$3,0),0)</f>
        <v>1259.4</v>
      </c>
      <c r="H1030" s="131" cm="1">
        <f ca="1" t="array" ref="H1030">IF(H1632=1,OFFSET($W$634,$B1030,H$631-1)/SUMPRODUCT(--($D$631:$V$631=H$631),--($D1632:$V1632=1)),0)+SUM(H1029)+IF(COUNTIF(H$1237:H1632,1)=1,5,0)+IF(COUNTIF(I1030:$W1030,"&gt;"&amp;0)&lt;5,IF(AND(COUNTIF(H$1237:H1632,1)&gt;7,MOD(1+IFERROR(MATCH($C1030,总览!$D$46:$D$345,1)+1,1),7)=0),$C$3,0),0)</f>
        <v>1259.4</v>
      </c>
      <c r="I1030" s="131" cm="1">
        <f ca="1" t="array" ref="I1030">IF(I1632=1,OFFSET($W$634,$B1030,I$631-1)/SUMPRODUCT(--($D$631:$V$631=I$631),--($D1632:$V1632=1)),0)+SUM(I1029)+IF(COUNTIF(I$1237:I1632,1)=1,5,0)+IF(COUNTIF(J1030:$W1030,"&gt;"&amp;0)&lt;5,IF(AND(COUNTIF(I$1237:I1632,1)&gt;7,MOD(1+IFERROR(MATCH($C1030,总览!$D$46:$D$345,1)+1,1),7)=0),$C$3,0),0)</f>
        <v>1259.4</v>
      </c>
      <c r="J1030" s="131" cm="1">
        <f ca="1" t="array" ref="J1030">IF(J1632=1,OFFSET($W$634,$B1030,J$631-1)/SUMPRODUCT(--($D$631:$V$631=J$631),--($D1632:$V1632=1)),0)+SUM(J1029)+IF(COUNTIF(J$1237:J1632,1)=1,5,0)+IF(COUNTIF(K1030:$W1030,"&gt;"&amp;0)&lt;5,IF(AND(COUNTIF(J$1237:J1632,1)&gt;7,MOD(1+IFERROR(MATCH($C1030,总览!$D$46:$D$345,1)+1,1),7)=0),$C$3,0),0)</f>
        <v>1256.06666666667</v>
      </c>
      <c r="K1030" s="131" cm="1">
        <f ca="1" t="array" ref="K1030">IF(K1632=1,OFFSET($W$634,$B1030,K$631-1)/SUMPRODUCT(--($D$631:$V$631=K$631),--($D1632:$V1632=1)),0)+SUM(K1029)+IF(COUNTIF(K$1237:K1632,1)=1,5,0)+IF(COUNTIF(L1030:$W1030,"&gt;"&amp;0)&lt;5,IF(AND(COUNTIF(K$1237:K1632,1)&gt;7,MOD(1+IFERROR(MATCH($C1030,总览!$D$46:$D$345,1)+1,1),7)=0),$C$3,0),0)</f>
        <v>1253.56666666667</v>
      </c>
      <c r="L1030" s="131" cm="1">
        <f ca="1" t="array" ref="L1030">IF(L1632=1,OFFSET($W$634,$B1030,L$631-1)/SUMPRODUCT(--($D$631:$V$631=L$631),--($D1632:$V1632=1)),0)+SUM(L1029)+IF(COUNTIF(L$1237:L1632,1)=1,5,0)+IF(COUNTIF(M1030:$W1030,"&gt;"&amp;0)&lt;5,IF(AND(COUNTIF(L$1237:L1632,1)&gt;7,MOD(1+IFERROR(MATCH($C1030,总览!$D$46:$D$345,1)+1,1),7)=0),$C$3,0),0)</f>
        <v>1253.56666666667</v>
      </c>
      <c r="M1030" s="131" cm="1">
        <f ca="1" t="array" ref="M1030">IF(M1632=1,OFFSET($W$634,$B1030,M$631-1)/SUMPRODUCT(--($D$631:$V$631=M$631),--($D1632:$V1632=1)),0)+SUM(M1029)+IF(COUNTIF(M$1237:M1632,1)=1,5,0)+IF(COUNTIF(N1030:$W1030,"&gt;"&amp;0)&lt;5,IF(AND(COUNTIF(M$1237:M1632,1)&gt;7,MOD(1+IFERROR(MATCH($C1030,总览!$D$46:$D$345,1)+1,1),7)=0),$C$3,0),0)</f>
        <v>523.466964285716</v>
      </c>
      <c r="N1030" s="131" cm="1">
        <f ca="1" t="array" ref="N1030">IF(N1632=1,OFFSET($W$634,$B1030,N$631-1)/SUMPRODUCT(--($D$631:$V$631=N$631),--($D1632:$V1632=1)),0)+SUM(N1029)+IF(COUNTIF(N$1237:N1632,1)=1,5,0)+IF(COUNTIF(O1030:$W1030,"&gt;"&amp;0)&lt;5,IF(AND(COUNTIF(N$1237:N1632,1)&gt;7,MOD(1+IFERROR(MATCH($C1030,总览!$D$46:$D$345,1)+1,1),7)=0),$C$3,0),0)</f>
        <v>524.716964285716</v>
      </c>
      <c r="O1030" s="131" cm="1">
        <f ca="1" t="array" ref="O1030">IF(O1632=1,OFFSET($W$634,$B1030,O$631-1)/SUMPRODUCT(--($D$631:$V$631=O$631),--($D1632:$V1632=1)),0)+SUM(O1029)+IF(COUNTIF(O$1237:O1632,1)=1,5,0)+IF(COUNTIF(P1030:$W1030,"&gt;"&amp;0)&lt;5,IF(AND(COUNTIF(O$1237:O1632,1)&gt;7,MOD(1+IFERROR(MATCH($C1030,总览!$D$46:$D$345,1)+1,1),7)=0),$C$3,0),0)</f>
        <v>529.716964285716</v>
      </c>
      <c r="P1030" s="131" cm="1">
        <f ca="1" t="array" ref="P1030">IF(P1632=1,OFFSET($W$634,$B1030,P$631-1)/SUMPRODUCT(--($D$631:$V$631=P$631),--($D1632:$V1632=1)),0)+SUM(P1029)+IF(COUNTIF(P$1237:P1632,1)=1,5,0)+IF(COUNTIF(Q1030:$W1030,"&gt;"&amp;0)&lt;5,IF(AND(COUNTIF(P$1237:P1632,1)&gt;7,MOD(1+IFERROR(MATCH($C1030,总览!$D$46:$D$345,1)+1,1),7)=0),$C$3,0),0)</f>
        <v>518.835714285716</v>
      </c>
      <c r="Q1030" s="131" cm="1">
        <f ca="1" t="array" ref="Q1030">IF(Q1632=1,OFFSET($W$634,$B1030,Q$631-1)/SUMPRODUCT(--($D$631:$V$631=Q$631),--($D1632:$V1632=1)),0)+SUM(Q1029)+IF(COUNTIF(Q$1237:Q1632,1)=1,5,0)+IF(COUNTIF(R1030:$W1030,"&gt;"&amp;0)&lt;5,IF(AND(COUNTIF(Q$1237:Q1632,1)&gt;7,MOD(1+IFERROR(MATCH($C1030,总览!$D$46:$D$345,1)+1,1),7)=0),$C$3,0),0)</f>
        <v>532.216964285716</v>
      </c>
      <c r="R1030" s="131" cm="1">
        <f ca="1" t="array" ref="R1030">IF(R1632=1,OFFSET($W$634,$B1030,R$631-1)/SUMPRODUCT(--($D$631:$V$631=R$631),--($D1632:$V1632=1)),0)+SUM(R1029)+IF(COUNTIF(R$1237:R1632,1)=1,5,0)+IF(COUNTIF(S1030:$W1030,"&gt;"&amp;0)&lt;5,IF(AND(COUNTIF(R$1237:R1632,1)&gt;7,MOD(1+IFERROR(MATCH($C1030,总览!$D$46:$D$345,1)+1,1),7)=0),$C$3,0),0)</f>
        <v>523.835714285716</v>
      </c>
      <c r="S1030" s="131" cm="1">
        <f ca="1" t="array" ref="S1030">IF(S1632=1,OFFSET($W$634,$B1030,S$631-1)/SUMPRODUCT(--($D$631:$V$631=S$631),--($D1632:$V1632=1)),0)+SUM(S1029)+IF(COUNTIF(S$1237:S1632,1)=1,5,0)+IF(COUNTIF(T1030:$W1030,"&gt;"&amp;0)&lt;5,IF(AND(COUNTIF(S$1237:S1632,1)&gt;7,MOD(1+IFERROR(MATCH($C1030,总览!$D$46:$D$345,1)+1,1),7)=0),$C$3,0),0)</f>
        <v>616.335714285717</v>
      </c>
      <c r="T1030" s="131" cm="1">
        <f ca="1" t="array" ref="T1030">IF(T1632=1,OFFSET($W$634,$B1030,T$631-1)/SUMPRODUCT(--($D$631:$V$631=T$631),--($D1632:$V1632=1)),0)+SUM(T1029)+IF(COUNTIF(T$1237:T1632,1)=1,5,0)+IF(COUNTIF(U1030:$W1030,"&gt;"&amp;0)&lt;5,IF(AND(COUNTIF(T$1237:T1632,1)&gt;7,MOD(1+IFERROR(MATCH($C1030,总览!$D$46:$D$345,1)+1,1),7)=0),$C$3,0),0)</f>
        <v>450.936244126194</v>
      </c>
      <c r="U1030" s="131" cm="1">
        <f ca="1" t="array" ref="U1030">IF(U1632=1,OFFSET($W$634,$B1030,U$631-1)/SUMPRODUCT(--($D$631:$V$631=U$631),--($D1632:$V1632=1)),0)+SUM(U1029)+IF(COUNTIF(U$1237:U1632,1)=1,5,0)+IF(COUNTIF(V1030:$W1030,"&gt;"&amp;0)&lt;5,IF(AND(COUNTIF(U$1237:U1632,1)&gt;7,MOD(1+IFERROR(MATCH($C1030,总览!$D$46:$D$345,1)+1,1),7)=0),$C$3,0),0)</f>
        <v>456.457030481493</v>
      </c>
      <c r="V1030" s="131" cm="1">
        <f ca="1" t="array" ref="V1030">IF(V1632=1,OFFSET($W$634,$B1030,V$631-1)/SUMPRODUCT(--($D$631:$V$631=V$631),--($D1632:$V1632=1)),0)+SUM(V1029)+IF(COUNTIF(V$1237:V1632,1)=1,5,0)+IF(COUNTIF(W1030:$W1030,"&gt;"&amp;0)&lt;5,IF(AND(COUNTIF(V$1237:V1632,1)&gt;7,MOD(1+IFERROR(MATCH($C1030,总览!$D$46:$D$345,1)+1,1),7)=0),$C$3,0),0)</f>
        <v>476.284030193926</v>
      </c>
      <c r="W1030" s="135" cm="1">
        <f ca="1" t="array" ref="W1030">SUMPRODUCT(TRANSPOSE($AA1030:$AG1030),OFFSET($L$9:$L$15,0,W$631-1))</f>
        <v>16.8502200646615</v>
      </c>
      <c r="X1030" s="135" cm="1">
        <f ca="1" t="array" ref="X1030">SUMPRODUCT(TRANSPOSE($AA1030:$AG1030),OFFSET($L$9:$L$15,0,X$631-1))</f>
        <v>20</v>
      </c>
      <c r="Y1030" s="135" cm="1">
        <f ca="1" t="array" ref="Y1030">SUMPRODUCT(TRANSPOSE($AA1030:$AG1030),OFFSET($L$9:$L$15,0,Y$631-1))</f>
        <v>10</v>
      </c>
      <c r="Z1030" s="135" cm="1">
        <f ca="1" t="array" ref="Z1030">SUMPRODUCT(TRANSPOSE($AA1030:$AG1030),OFFSET($L$9:$L$15,0,Z$631-1))</f>
        <v>3.14977993533847</v>
      </c>
      <c r="AA1030" s="136">
        <f ca="1" t="shared" ref="AA1030:AG1030" si="1043">AH1030-AH1029</f>
        <v>0</v>
      </c>
      <c r="AB1030" s="136">
        <f ca="1" t="shared" si="1043"/>
        <v>0</v>
      </c>
      <c r="AC1030" s="136">
        <f ca="1" t="shared" si="1043"/>
        <v>0</v>
      </c>
      <c r="AD1030" s="136">
        <f ca="1" t="shared" si="1043"/>
        <v>0</v>
      </c>
      <c r="AE1030" s="136">
        <f ca="1" t="shared" si="1043"/>
        <v>0</v>
      </c>
      <c r="AF1030" s="136">
        <f ca="1" t="shared" si="1043"/>
        <v>0</v>
      </c>
      <c r="AG1030" s="136">
        <f ca="1" t="shared" si="1043"/>
        <v>100</v>
      </c>
      <c r="AH1030" s="136">
        <f ca="1" t="shared" si="1021"/>
        <v>450</v>
      </c>
      <c r="AI1030" s="136">
        <f ca="1" t="shared" ref="AI1030:AN1030" si="1044">IF($C1030&gt;OFFSET($Q$8,MATCH(AI$634,$AH$634:$AN$634,0),0),OFFSET($P$8,MATCH(AI$634,$AH$634:$AN$634,0),0),MAX(0,$C1030-OFFSET($Q$8,RIGHT(AI$634,1)-1,0)))</f>
        <v>909</v>
      </c>
      <c r="AJ1030" s="136">
        <f ca="1" t="shared" si="1044"/>
        <v>1818</v>
      </c>
      <c r="AK1030" s="136">
        <f ca="1" t="shared" si="1044"/>
        <v>2727</v>
      </c>
      <c r="AL1030" s="136">
        <f ca="1" t="shared" si="1044"/>
        <v>3636</v>
      </c>
      <c r="AM1030" s="136">
        <f ca="1" t="shared" si="1044"/>
        <v>4545</v>
      </c>
      <c r="AN1030" s="136">
        <f ca="1" t="shared" si="1044"/>
        <v>25515</v>
      </c>
    </row>
    <row r="1031" s="106" customFormat="1" ht="16.5" spans="2:40">
      <c r="B1031" s="117">
        <v>397</v>
      </c>
      <c r="C1031" s="130">
        <f t="shared" si="1019"/>
        <v>39700</v>
      </c>
      <c r="D1031" s="131" cm="1">
        <f ca="1" t="array" ref="D1031">IF(D1633=1,OFFSET($W$634,$B1031,D$631-1)/SUMPRODUCT(--($D$631:$V$631=D$631),--($D1633:$V1633=1)),0)+SUM(D1030)+IF(COUNTIF(D$1237:D1633,1)=1,5,0)+IF(COUNTIF(E1031:$W1031,"&gt;"&amp;0)&lt;5,IF(AND(COUNTIF(D$1237:D1633,1)&gt;7,MOD(1+IFERROR(MATCH($C1031,总览!$D$46:$D$345,1)+1,1),7)=0),$C$3,0),0)</f>
        <v>2557.5493050877</v>
      </c>
      <c r="E1031" s="131" cm="1">
        <f ca="1" t="array" ref="E1031">IF(E1633=1,OFFSET($W$634,$B1031,E$631-1)/SUMPRODUCT(--($D$631:$V$631=E$631),--($D1633:$V1633=1)),0)+SUM(E1030)+IF(COUNTIF(E$1237:E1633,1)=1,5,0)+IF(COUNTIF(F1031:$W1031,"&gt;"&amp;0)&lt;5,IF(AND(COUNTIF(E$1237:E1633,1)&gt;7,MOD(1+IFERROR(MATCH($C1031,总览!$D$46:$D$345,1)+1,1),7)=0),$C$3,0),0)</f>
        <v>2557.5493050877</v>
      </c>
      <c r="F1031" s="131" cm="1">
        <f ca="1" t="array" ref="F1031">IF(F1633=1,OFFSET($W$634,$B1031,F$631-1)/SUMPRODUCT(--($D$631:$V$631=F$631),--($D1633:$V1633=1)),0)+SUM(F1030)+IF(COUNTIF(F$1237:F1633,1)=1,5,0)+IF(COUNTIF(G1031:$W1031,"&gt;"&amp;0)&lt;5,IF(AND(COUNTIF(F$1237:F1633,1)&gt;7,MOD(1+IFERROR(MATCH($C1031,总览!$D$46:$D$345,1)+1,1),7)=0),$C$3,0),0)</f>
        <v>2557.5493050877</v>
      </c>
      <c r="G1031" s="131" cm="1">
        <f ca="1" t="array" ref="G1031">IF(G1633=1,OFFSET($W$634,$B1031,G$631-1)/SUMPRODUCT(--($D$631:$V$631=G$631),--($D1633:$V1633=1)),0)+SUM(G1030)+IF(COUNTIF(G$1237:G1633,1)=1,5,0)+IF(COUNTIF(H1031:$W1031,"&gt;"&amp;0)&lt;5,IF(AND(COUNTIF(G$1237:G1633,1)&gt;7,MOD(1+IFERROR(MATCH($C1031,总览!$D$46:$D$345,1)+1,1),7)=0),$C$3,0),0)</f>
        <v>1262.73333333333</v>
      </c>
      <c r="H1031" s="131" cm="1">
        <f ca="1" t="array" ref="H1031">IF(H1633=1,OFFSET($W$634,$B1031,H$631-1)/SUMPRODUCT(--($D$631:$V$631=H$631),--($D1633:$V1633=1)),0)+SUM(H1030)+IF(COUNTIF(H$1237:H1633,1)=1,5,0)+IF(COUNTIF(I1031:$W1031,"&gt;"&amp;0)&lt;5,IF(AND(COUNTIF(H$1237:H1633,1)&gt;7,MOD(1+IFERROR(MATCH($C1031,总览!$D$46:$D$345,1)+1,1),7)=0),$C$3,0),0)</f>
        <v>1262.73333333333</v>
      </c>
      <c r="I1031" s="131" cm="1">
        <f ca="1" t="array" ref="I1031">IF(I1633=1,OFFSET($W$634,$B1031,I$631-1)/SUMPRODUCT(--($D$631:$V$631=I$631),--($D1633:$V1633=1)),0)+SUM(I1030)+IF(COUNTIF(I$1237:I1633,1)=1,5,0)+IF(COUNTIF(J1031:$W1031,"&gt;"&amp;0)&lt;5,IF(AND(COUNTIF(I$1237:I1633,1)&gt;7,MOD(1+IFERROR(MATCH($C1031,总览!$D$46:$D$345,1)+1,1),7)=0),$C$3,0),0)</f>
        <v>1262.73333333333</v>
      </c>
      <c r="J1031" s="131" cm="1">
        <f ca="1" t="array" ref="J1031">IF(J1633=1,OFFSET($W$634,$B1031,J$631-1)/SUMPRODUCT(--($D$631:$V$631=J$631),--($D1633:$V1633=1)),0)+SUM(J1030)+IF(COUNTIF(J$1237:J1633,1)=1,5,0)+IF(COUNTIF(K1031:$W1031,"&gt;"&amp;0)&lt;5,IF(AND(COUNTIF(J$1237:J1633,1)&gt;7,MOD(1+IFERROR(MATCH($C1031,总览!$D$46:$D$345,1)+1,1),7)=0),$C$3,0),0)</f>
        <v>1259.4</v>
      </c>
      <c r="K1031" s="131" cm="1">
        <f ca="1" t="array" ref="K1031">IF(K1633=1,OFFSET($W$634,$B1031,K$631-1)/SUMPRODUCT(--($D$631:$V$631=K$631),--($D1633:$V1633=1)),0)+SUM(K1030)+IF(COUNTIF(K$1237:K1633,1)=1,5,0)+IF(COUNTIF(L1031:$W1031,"&gt;"&amp;0)&lt;5,IF(AND(COUNTIF(K$1237:K1633,1)&gt;7,MOD(1+IFERROR(MATCH($C1031,总览!$D$46:$D$345,1)+1,1),7)=0),$C$3,0),0)</f>
        <v>1256.9</v>
      </c>
      <c r="L1031" s="131" cm="1">
        <f ca="1" t="array" ref="L1031">IF(L1633=1,OFFSET($W$634,$B1031,L$631-1)/SUMPRODUCT(--($D$631:$V$631=L$631),--($D1633:$V1633=1)),0)+SUM(L1030)+IF(COUNTIF(L$1237:L1633,1)=1,5,0)+IF(COUNTIF(M1031:$W1031,"&gt;"&amp;0)&lt;5,IF(AND(COUNTIF(L$1237:L1633,1)&gt;7,MOD(1+IFERROR(MATCH($C1031,总览!$D$46:$D$345,1)+1,1),7)=0),$C$3,0),0)</f>
        <v>1256.9</v>
      </c>
      <c r="M1031" s="131" cm="1">
        <f ca="1" t="array" ref="M1031">IF(M1633=1,OFFSET($W$634,$B1031,M$631-1)/SUMPRODUCT(--($D$631:$V$631=M$631),--($D1633:$V1633=1)),0)+SUM(M1030)+IF(COUNTIF(M$1237:M1633,1)=1,5,0)+IF(COUNTIF(N1031:$W1031,"&gt;"&amp;0)&lt;5,IF(AND(COUNTIF(M$1237:M1633,1)&gt;7,MOD(1+IFERROR(MATCH($C1031,总览!$D$46:$D$345,1)+1,1),7)=0),$C$3,0),0)</f>
        <v>524.895535714288</v>
      </c>
      <c r="N1031" s="131" cm="1">
        <f ca="1" t="array" ref="N1031">IF(N1633=1,OFFSET($W$634,$B1031,N$631-1)/SUMPRODUCT(--($D$631:$V$631=N$631),--($D1633:$V1633=1)),0)+SUM(N1030)+IF(COUNTIF(N$1237:N1633,1)=1,5,0)+IF(COUNTIF(O1031:$W1031,"&gt;"&amp;0)&lt;5,IF(AND(COUNTIF(N$1237:N1633,1)&gt;7,MOD(1+IFERROR(MATCH($C1031,总览!$D$46:$D$345,1)+1,1),7)=0),$C$3,0),0)</f>
        <v>526.145535714288</v>
      </c>
      <c r="O1031" s="131" cm="1">
        <f ca="1" t="array" ref="O1031">IF(O1633=1,OFFSET($W$634,$B1031,O$631-1)/SUMPRODUCT(--($D$631:$V$631=O$631),--($D1633:$V1633=1)),0)+SUM(O1030)+IF(COUNTIF(O$1237:O1633,1)=1,5,0)+IF(COUNTIF(P1031:$W1031,"&gt;"&amp;0)&lt;5,IF(AND(COUNTIF(O$1237:O1633,1)&gt;7,MOD(1+IFERROR(MATCH($C1031,总览!$D$46:$D$345,1)+1,1),7)=0),$C$3,0),0)</f>
        <v>531.145535714288</v>
      </c>
      <c r="P1031" s="131" cm="1">
        <f ca="1" t="array" ref="P1031">IF(P1633=1,OFFSET($W$634,$B1031,P$631-1)/SUMPRODUCT(--($D$631:$V$631=P$631),--($D1633:$V1633=1)),0)+SUM(P1030)+IF(COUNTIF(P$1237:P1633,1)=1,5,0)+IF(COUNTIF(Q1031:$W1031,"&gt;"&amp;0)&lt;5,IF(AND(COUNTIF(P$1237:P1633,1)&gt;7,MOD(1+IFERROR(MATCH($C1031,总览!$D$46:$D$345,1)+1,1),7)=0),$C$3,0),0)</f>
        <v>520.264285714288</v>
      </c>
      <c r="Q1031" s="131" cm="1">
        <f ca="1" t="array" ref="Q1031">IF(Q1633=1,OFFSET($W$634,$B1031,Q$631-1)/SUMPRODUCT(--($D$631:$V$631=Q$631),--($D1633:$V1633=1)),0)+SUM(Q1030)+IF(COUNTIF(Q$1237:Q1633,1)=1,5,0)+IF(COUNTIF(R1031:$W1031,"&gt;"&amp;0)&lt;5,IF(AND(COUNTIF(Q$1237:Q1633,1)&gt;7,MOD(1+IFERROR(MATCH($C1031,总览!$D$46:$D$345,1)+1,1),7)=0),$C$3,0),0)</f>
        <v>533.645535714288</v>
      </c>
      <c r="R1031" s="131" cm="1">
        <f ca="1" t="array" ref="R1031">IF(R1633=1,OFFSET($W$634,$B1031,R$631-1)/SUMPRODUCT(--($D$631:$V$631=R$631),--($D1633:$V1633=1)),0)+SUM(R1030)+IF(COUNTIF(R$1237:R1633,1)=1,5,0)+IF(COUNTIF(S1031:$W1031,"&gt;"&amp;0)&lt;5,IF(AND(COUNTIF(R$1237:R1633,1)&gt;7,MOD(1+IFERROR(MATCH($C1031,总览!$D$46:$D$345,1)+1,1),7)=0),$C$3,0),0)</f>
        <v>525.264285714288</v>
      </c>
      <c r="S1031" s="131" cm="1">
        <f ca="1" t="array" ref="S1031">IF(S1633=1,OFFSET($W$634,$B1031,S$631-1)/SUMPRODUCT(--($D$631:$V$631=S$631),--($D1633:$V1633=1)),0)+SUM(S1030)+IF(COUNTIF(S$1237:S1633,1)=1,5,0)+IF(COUNTIF(T1031:$W1031,"&gt;"&amp;0)&lt;5,IF(AND(COUNTIF(S$1237:S1633,1)&gt;7,MOD(1+IFERROR(MATCH($C1031,总览!$D$46:$D$345,1)+1,1),7)=0),$C$3,0),0)</f>
        <v>617.764285714289</v>
      </c>
      <c r="T1031" s="131" cm="1">
        <f ca="1" t="array" ref="T1031">IF(T1633=1,OFFSET($W$634,$B1031,T$631-1)/SUMPRODUCT(--($D$631:$V$631=T$631),--($D1633:$V1633=1)),0)+SUM(T1030)+IF(COUNTIF(T$1237:T1633,1)=1,5,0)+IF(COUNTIF(U1031:$W1031,"&gt;"&amp;0)&lt;5,IF(AND(COUNTIF(T$1237:T1633,1)&gt;7,MOD(1+IFERROR(MATCH($C1031,总览!$D$46:$D$345,1)+1,1),7)=0),$C$3,0),0)</f>
        <v>451.986170771307</v>
      </c>
      <c r="U1031" s="131" cm="1">
        <f ca="1" t="array" ref="U1031">IF(U1633=1,OFFSET($W$634,$B1031,U$631-1)/SUMPRODUCT(--($D$631:$V$631=U$631),--($D1633:$V1633=1)),0)+SUM(U1030)+IF(COUNTIF(U$1237:U1633,1)=1,5,0)+IF(COUNTIF(V1031:$W1031,"&gt;"&amp;0)&lt;5,IF(AND(COUNTIF(U$1237:U1633,1)&gt;7,MOD(1+IFERROR(MATCH($C1031,总览!$D$46:$D$345,1)+1,1),7)=0),$C$3,0),0)</f>
        <v>457.506957126606</v>
      </c>
      <c r="V1031" s="131" cm="1">
        <f ca="1" t="array" ref="V1031">IF(V1633=1,OFFSET($W$634,$B1031,V$631-1)/SUMPRODUCT(--($D$631:$V$631=V$631),--($D1633:$V1633=1)),0)+SUM(V1030)+IF(COUNTIF(V$1237:V1633,1)=1,5,0)+IF(COUNTIF(W1031:$W1031,"&gt;"&amp;0)&lt;5,IF(AND(COUNTIF(V$1237:V1633,1)&gt;7,MOD(1+IFERROR(MATCH($C1031,总览!$D$46:$D$345,1)+1,1),7)=0),$C$3,0),0)</f>
        <v>477.333956839039</v>
      </c>
      <c r="W1031" s="135" cm="1">
        <f ca="1" t="array" ref="W1031">SUMPRODUCT(TRANSPOSE($AA1031:$AG1031),OFFSET($L$9:$L$15,0,W$631-1))</f>
        <v>16.8502200646615</v>
      </c>
      <c r="X1031" s="135" cm="1">
        <f ca="1" t="array" ref="X1031">SUMPRODUCT(TRANSPOSE($AA1031:$AG1031),OFFSET($L$9:$L$15,0,X$631-1))</f>
        <v>20</v>
      </c>
      <c r="Y1031" s="135" cm="1">
        <f ca="1" t="array" ref="Y1031">SUMPRODUCT(TRANSPOSE($AA1031:$AG1031),OFFSET($L$9:$L$15,0,Y$631-1))</f>
        <v>10</v>
      </c>
      <c r="Z1031" s="135" cm="1">
        <f ca="1" t="array" ref="Z1031">SUMPRODUCT(TRANSPOSE($AA1031:$AG1031),OFFSET($L$9:$L$15,0,Z$631-1))</f>
        <v>3.14977993533847</v>
      </c>
      <c r="AA1031" s="136">
        <f ca="1" t="shared" ref="AA1031:AG1031" si="1045">AH1031-AH1030</f>
        <v>0</v>
      </c>
      <c r="AB1031" s="136">
        <f ca="1" t="shared" si="1045"/>
        <v>0</v>
      </c>
      <c r="AC1031" s="136">
        <f ca="1" t="shared" si="1045"/>
        <v>0</v>
      </c>
      <c r="AD1031" s="136">
        <f ca="1" t="shared" si="1045"/>
        <v>0</v>
      </c>
      <c r="AE1031" s="136">
        <f ca="1" t="shared" si="1045"/>
        <v>0</v>
      </c>
      <c r="AF1031" s="136">
        <f ca="1" t="shared" si="1045"/>
        <v>0</v>
      </c>
      <c r="AG1031" s="136">
        <f ca="1" t="shared" si="1045"/>
        <v>100</v>
      </c>
      <c r="AH1031" s="136">
        <f ca="1" t="shared" si="1021"/>
        <v>450</v>
      </c>
      <c r="AI1031" s="136">
        <f ca="1" t="shared" ref="AI1031:AN1031" si="1046">IF($C1031&gt;OFFSET($Q$8,MATCH(AI$634,$AH$634:$AN$634,0),0),OFFSET($P$8,MATCH(AI$634,$AH$634:$AN$634,0),0),MAX(0,$C1031-OFFSET($Q$8,RIGHT(AI$634,1)-1,0)))</f>
        <v>909</v>
      </c>
      <c r="AJ1031" s="136">
        <f ca="1" t="shared" si="1046"/>
        <v>1818</v>
      </c>
      <c r="AK1031" s="136">
        <f ca="1" t="shared" si="1046"/>
        <v>2727</v>
      </c>
      <c r="AL1031" s="136">
        <f ca="1" t="shared" si="1046"/>
        <v>3636</v>
      </c>
      <c r="AM1031" s="136">
        <f ca="1" t="shared" si="1046"/>
        <v>4545</v>
      </c>
      <c r="AN1031" s="136">
        <f ca="1" t="shared" si="1046"/>
        <v>25615</v>
      </c>
    </row>
    <row r="1032" s="106" customFormat="1" ht="16.5" spans="2:40">
      <c r="B1032" s="117">
        <v>398</v>
      </c>
      <c r="C1032" s="130">
        <f t="shared" si="1019"/>
        <v>39800</v>
      </c>
      <c r="D1032" s="131" cm="1">
        <f ca="1" t="array" ref="D1032">IF(D1634=1,OFFSET($W$634,$B1032,D$631-1)/SUMPRODUCT(--($D$631:$V$631=D$631),--($D1634:$V1634=1)),0)+SUM(D1031)+IF(COUNTIF(D$1237:D1634,1)=1,5,0)+IF(COUNTIF(E1032:$W1032,"&gt;"&amp;0)&lt;5,IF(AND(COUNTIF(D$1237:D1634,1)&gt;7,MOD(1+IFERROR(MATCH($C1032,总览!$D$46:$D$345,1)+1,1),7)=0),$C$3,0),0)</f>
        <v>2563.16604510925</v>
      </c>
      <c r="E1032" s="131" cm="1">
        <f ca="1" t="array" ref="E1032">IF(E1634=1,OFFSET($W$634,$B1032,E$631-1)/SUMPRODUCT(--($D$631:$V$631=E$631),--($D1634:$V1634=1)),0)+SUM(E1031)+IF(COUNTIF(E$1237:E1634,1)=1,5,0)+IF(COUNTIF(F1032:$W1032,"&gt;"&amp;0)&lt;5,IF(AND(COUNTIF(E$1237:E1634,1)&gt;7,MOD(1+IFERROR(MATCH($C1032,总览!$D$46:$D$345,1)+1,1),7)=0),$C$3,0),0)</f>
        <v>2563.16604510925</v>
      </c>
      <c r="F1032" s="131" cm="1">
        <f ca="1" t="array" ref="F1032">IF(F1634=1,OFFSET($W$634,$B1032,F$631-1)/SUMPRODUCT(--($D$631:$V$631=F$631),--($D1634:$V1634=1)),0)+SUM(F1031)+IF(COUNTIF(F$1237:F1634,1)=1,5,0)+IF(COUNTIF(G1032:$W1032,"&gt;"&amp;0)&lt;5,IF(AND(COUNTIF(F$1237:F1634,1)&gt;7,MOD(1+IFERROR(MATCH($C1032,总览!$D$46:$D$345,1)+1,1),7)=0),$C$3,0),0)</f>
        <v>2563.16604510925</v>
      </c>
      <c r="G1032" s="131" cm="1">
        <f ca="1" t="array" ref="G1032">IF(G1634=1,OFFSET($W$634,$B1032,G$631-1)/SUMPRODUCT(--($D$631:$V$631=G$631),--($D1634:$V1634=1)),0)+SUM(G1031)+IF(COUNTIF(G$1237:G1634,1)=1,5,0)+IF(COUNTIF(H1032:$W1032,"&gt;"&amp;0)&lt;5,IF(AND(COUNTIF(G$1237:G1634,1)&gt;7,MOD(1+IFERROR(MATCH($C1032,总览!$D$46:$D$345,1)+1,1),7)=0),$C$3,0),0)</f>
        <v>1266.06666666667</v>
      </c>
      <c r="H1032" s="131" cm="1">
        <f ca="1" t="array" ref="H1032">IF(H1634=1,OFFSET($W$634,$B1032,H$631-1)/SUMPRODUCT(--($D$631:$V$631=H$631),--($D1634:$V1634=1)),0)+SUM(H1031)+IF(COUNTIF(H$1237:H1634,1)=1,5,0)+IF(COUNTIF(I1032:$W1032,"&gt;"&amp;0)&lt;5,IF(AND(COUNTIF(H$1237:H1634,1)&gt;7,MOD(1+IFERROR(MATCH($C1032,总览!$D$46:$D$345,1)+1,1),7)=0),$C$3,0),0)</f>
        <v>1266.06666666667</v>
      </c>
      <c r="I1032" s="131" cm="1">
        <f ca="1" t="array" ref="I1032">IF(I1634=1,OFFSET($W$634,$B1032,I$631-1)/SUMPRODUCT(--($D$631:$V$631=I$631),--($D1634:$V1634=1)),0)+SUM(I1031)+IF(COUNTIF(I$1237:I1634,1)=1,5,0)+IF(COUNTIF(J1032:$W1032,"&gt;"&amp;0)&lt;5,IF(AND(COUNTIF(I$1237:I1634,1)&gt;7,MOD(1+IFERROR(MATCH($C1032,总览!$D$46:$D$345,1)+1,1),7)=0),$C$3,0),0)</f>
        <v>1266.06666666667</v>
      </c>
      <c r="J1032" s="131" cm="1">
        <f ca="1" t="array" ref="J1032">IF(J1634=1,OFFSET($W$634,$B1032,J$631-1)/SUMPRODUCT(--($D$631:$V$631=J$631),--($D1634:$V1634=1)),0)+SUM(J1031)+IF(COUNTIF(J$1237:J1634,1)=1,5,0)+IF(COUNTIF(K1032:$W1032,"&gt;"&amp;0)&lt;5,IF(AND(COUNTIF(J$1237:J1634,1)&gt;7,MOD(1+IFERROR(MATCH($C1032,总览!$D$46:$D$345,1)+1,1),7)=0),$C$3,0),0)</f>
        <v>1262.73333333333</v>
      </c>
      <c r="K1032" s="131" cm="1">
        <f ca="1" t="array" ref="K1032">IF(K1634=1,OFFSET($W$634,$B1032,K$631-1)/SUMPRODUCT(--($D$631:$V$631=K$631),--($D1634:$V1634=1)),0)+SUM(K1031)+IF(COUNTIF(K$1237:K1634,1)=1,5,0)+IF(COUNTIF(L1032:$W1032,"&gt;"&amp;0)&lt;5,IF(AND(COUNTIF(K$1237:K1634,1)&gt;7,MOD(1+IFERROR(MATCH($C1032,总览!$D$46:$D$345,1)+1,1),7)=0),$C$3,0),0)</f>
        <v>1260.23333333333</v>
      </c>
      <c r="L1032" s="131" cm="1">
        <f ca="1" t="array" ref="L1032">IF(L1634=1,OFFSET($W$634,$B1032,L$631-1)/SUMPRODUCT(--($D$631:$V$631=L$631),--($D1634:$V1634=1)),0)+SUM(L1031)+IF(COUNTIF(L$1237:L1634,1)=1,5,0)+IF(COUNTIF(M1032:$W1032,"&gt;"&amp;0)&lt;5,IF(AND(COUNTIF(L$1237:L1634,1)&gt;7,MOD(1+IFERROR(MATCH($C1032,总览!$D$46:$D$345,1)+1,1),7)=0),$C$3,0),0)</f>
        <v>1260.23333333333</v>
      </c>
      <c r="M1032" s="131" cm="1">
        <f ca="1" t="array" ref="M1032">IF(M1634=1,OFFSET($W$634,$B1032,M$631-1)/SUMPRODUCT(--($D$631:$V$631=M$631),--($D1634:$V1634=1)),0)+SUM(M1031)+IF(COUNTIF(M$1237:M1634,1)=1,5,0)+IF(COUNTIF(N1032:$W1032,"&gt;"&amp;0)&lt;5,IF(AND(COUNTIF(M$1237:M1634,1)&gt;7,MOD(1+IFERROR(MATCH($C1032,总览!$D$46:$D$345,1)+1,1),7)=0),$C$3,0),0)</f>
        <v>526.324107142859</v>
      </c>
      <c r="N1032" s="131" cm="1">
        <f ca="1" t="array" ref="N1032">IF(N1634=1,OFFSET($W$634,$B1032,N$631-1)/SUMPRODUCT(--($D$631:$V$631=N$631),--($D1634:$V1634=1)),0)+SUM(N1031)+IF(COUNTIF(N$1237:N1634,1)=1,5,0)+IF(COUNTIF(O1032:$W1032,"&gt;"&amp;0)&lt;5,IF(AND(COUNTIF(N$1237:N1634,1)&gt;7,MOD(1+IFERROR(MATCH($C1032,总览!$D$46:$D$345,1)+1,1),7)=0),$C$3,0),0)</f>
        <v>527.574107142859</v>
      </c>
      <c r="O1032" s="131" cm="1">
        <f ca="1" t="array" ref="O1032">IF(O1634=1,OFFSET($W$634,$B1032,O$631-1)/SUMPRODUCT(--($D$631:$V$631=O$631),--($D1634:$V1634=1)),0)+SUM(O1031)+IF(COUNTIF(O$1237:O1634,1)=1,5,0)+IF(COUNTIF(P1032:$W1032,"&gt;"&amp;0)&lt;5,IF(AND(COUNTIF(O$1237:O1634,1)&gt;7,MOD(1+IFERROR(MATCH($C1032,总览!$D$46:$D$345,1)+1,1),7)=0),$C$3,0),0)</f>
        <v>532.574107142859</v>
      </c>
      <c r="P1032" s="131" cm="1">
        <f ca="1" t="array" ref="P1032">IF(P1634=1,OFFSET($W$634,$B1032,P$631-1)/SUMPRODUCT(--($D$631:$V$631=P$631),--($D1634:$V1634=1)),0)+SUM(P1031)+IF(COUNTIF(P$1237:P1634,1)=1,5,0)+IF(COUNTIF(Q1032:$W1032,"&gt;"&amp;0)&lt;5,IF(AND(COUNTIF(P$1237:P1634,1)&gt;7,MOD(1+IFERROR(MATCH($C1032,总览!$D$46:$D$345,1)+1,1),7)=0),$C$3,0),0)</f>
        <v>521.692857142859</v>
      </c>
      <c r="Q1032" s="131" cm="1">
        <f ca="1" t="array" ref="Q1032">IF(Q1634=1,OFFSET($W$634,$B1032,Q$631-1)/SUMPRODUCT(--($D$631:$V$631=Q$631),--($D1634:$V1634=1)),0)+SUM(Q1031)+IF(COUNTIF(Q$1237:Q1634,1)=1,5,0)+IF(COUNTIF(R1032:$W1032,"&gt;"&amp;0)&lt;5,IF(AND(COUNTIF(Q$1237:Q1634,1)&gt;7,MOD(1+IFERROR(MATCH($C1032,总览!$D$46:$D$345,1)+1,1),7)=0),$C$3,0),0)</f>
        <v>535.074107142859</v>
      </c>
      <c r="R1032" s="131" cm="1">
        <f ca="1" t="array" ref="R1032">IF(R1634=1,OFFSET($W$634,$B1032,R$631-1)/SUMPRODUCT(--($D$631:$V$631=R$631),--($D1634:$V1634=1)),0)+SUM(R1031)+IF(COUNTIF(R$1237:R1634,1)=1,5,0)+IF(COUNTIF(S1032:$W1032,"&gt;"&amp;0)&lt;5,IF(AND(COUNTIF(R$1237:R1634,1)&gt;7,MOD(1+IFERROR(MATCH($C1032,总览!$D$46:$D$345,1)+1,1),7)=0),$C$3,0),0)</f>
        <v>526.692857142859</v>
      </c>
      <c r="S1032" s="131" cm="1">
        <f ca="1" t="array" ref="S1032">IF(S1634=1,OFFSET($W$634,$B1032,S$631-1)/SUMPRODUCT(--($D$631:$V$631=S$631),--($D1634:$V1634=1)),0)+SUM(S1031)+IF(COUNTIF(S$1237:S1634,1)=1,5,0)+IF(COUNTIF(T1032:$W1032,"&gt;"&amp;0)&lt;5,IF(AND(COUNTIF(S$1237:S1634,1)&gt;7,MOD(1+IFERROR(MATCH($C1032,总览!$D$46:$D$345,1)+1,1),7)=0),$C$3,0),0)</f>
        <v>619.19285714286</v>
      </c>
      <c r="T1032" s="131" cm="1">
        <f ca="1" t="array" ref="T1032">IF(T1634=1,OFFSET($W$634,$B1032,T$631-1)/SUMPRODUCT(--($D$631:$V$631=T$631),--($D1634:$V1634=1)),0)+SUM(T1031)+IF(COUNTIF(T$1237:T1634,1)=1,5,0)+IF(COUNTIF(U1032:$W1032,"&gt;"&amp;0)&lt;5,IF(AND(COUNTIF(T$1237:T1634,1)&gt;7,MOD(1+IFERROR(MATCH($C1032,总览!$D$46:$D$345,1)+1,1),7)=0),$C$3,0),0)</f>
        <v>453.036097416419</v>
      </c>
      <c r="U1032" s="131" cm="1">
        <f ca="1" t="array" ref="U1032">IF(U1634=1,OFFSET($W$634,$B1032,U$631-1)/SUMPRODUCT(--($D$631:$V$631=U$631),--($D1634:$V1634=1)),0)+SUM(U1031)+IF(COUNTIF(U$1237:U1634,1)=1,5,0)+IF(COUNTIF(V1032:$W1032,"&gt;"&amp;0)&lt;5,IF(AND(COUNTIF(U$1237:U1634,1)&gt;7,MOD(1+IFERROR(MATCH($C1032,总览!$D$46:$D$345,1)+1,1),7)=0),$C$3,0),0)</f>
        <v>458.556883771719</v>
      </c>
      <c r="V1032" s="131" cm="1">
        <f ca="1" t="array" ref="V1032">IF(V1634=1,OFFSET($W$634,$B1032,V$631-1)/SUMPRODUCT(--($D$631:$V$631=V$631),--($D1634:$V1634=1)),0)+SUM(V1031)+IF(COUNTIF(V$1237:V1634,1)=1,5,0)+IF(COUNTIF(W1032:$W1032,"&gt;"&amp;0)&lt;5,IF(AND(COUNTIF(V$1237:V1634,1)&gt;7,MOD(1+IFERROR(MATCH($C1032,总览!$D$46:$D$345,1)+1,1),7)=0),$C$3,0),0)</f>
        <v>478.383883484152</v>
      </c>
      <c r="W1032" s="135" cm="1">
        <f ca="1" t="array" ref="W1032">SUMPRODUCT(TRANSPOSE($AA1032:$AG1032),OFFSET($L$9:$L$15,0,W$631-1))</f>
        <v>16.8502200646615</v>
      </c>
      <c r="X1032" s="135" cm="1">
        <f ca="1" t="array" ref="X1032">SUMPRODUCT(TRANSPOSE($AA1032:$AG1032),OFFSET($L$9:$L$15,0,X$631-1))</f>
        <v>20</v>
      </c>
      <c r="Y1032" s="135" cm="1">
        <f ca="1" t="array" ref="Y1032">SUMPRODUCT(TRANSPOSE($AA1032:$AG1032),OFFSET($L$9:$L$15,0,Y$631-1))</f>
        <v>10</v>
      </c>
      <c r="Z1032" s="135" cm="1">
        <f ca="1" t="array" ref="Z1032">SUMPRODUCT(TRANSPOSE($AA1032:$AG1032),OFFSET($L$9:$L$15,0,Z$631-1))</f>
        <v>3.14977993533847</v>
      </c>
      <c r="AA1032" s="136">
        <f ca="1" t="shared" ref="AA1032:AG1032" si="1047">AH1032-AH1031</f>
        <v>0</v>
      </c>
      <c r="AB1032" s="136">
        <f ca="1" t="shared" si="1047"/>
        <v>0</v>
      </c>
      <c r="AC1032" s="136">
        <f ca="1" t="shared" si="1047"/>
        <v>0</v>
      </c>
      <c r="AD1032" s="136">
        <f ca="1" t="shared" si="1047"/>
        <v>0</v>
      </c>
      <c r="AE1032" s="136">
        <f ca="1" t="shared" si="1047"/>
        <v>0</v>
      </c>
      <c r="AF1032" s="136">
        <f ca="1" t="shared" si="1047"/>
        <v>0</v>
      </c>
      <c r="AG1032" s="136">
        <f ca="1" t="shared" si="1047"/>
        <v>100</v>
      </c>
      <c r="AH1032" s="136">
        <f ca="1" t="shared" si="1021"/>
        <v>450</v>
      </c>
      <c r="AI1032" s="136">
        <f ca="1" t="shared" ref="AI1032:AN1032" si="1048">IF($C1032&gt;OFFSET($Q$8,MATCH(AI$634,$AH$634:$AN$634,0),0),OFFSET($P$8,MATCH(AI$634,$AH$634:$AN$634,0),0),MAX(0,$C1032-OFFSET($Q$8,RIGHT(AI$634,1)-1,0)))</f>
        <v>909</v>
      </c>
      <c r="AJ1032" s="136">
        <f ca="1" t="shared" si="1048"/>
        <v>1818</v>
      </c>
      <c r="AK1032" s="136">
        <f ca="1" t="shared" si="1048"/>
        <v>2727</v>
      </c>
      <c r="AL1032" s="136">
        <f ca="1" t="shared" si="1048"/>
        <v>3636</v>
      </c>
      <c r="AM1032" s="136">
        <f ca="1" t="shared" si="1048"/>
        <v>4545</v>
      </c>
      <c r="AN1032" s="136">
        <f ca="1" t="shared" si="1048"/>
        <v>25715</v>
      </c>
    </row>
    <row r="1033" s="106" customFormat="1" ht="16.5" spans="2:40">
      <c r="B1033" s="117">
        <v>399</v>
      </c>
      <c r="C1033" s="130">
        <f t="shared" si="1019"/>
        <v>39900</v>
      </c>
      <c r="D1033" s="131" cm="1">
        <f ca="1" t="array" ref="D1033">IF(D1635=1,OFFSET($W$634,$B1033,D$631-1)/SUMPRODUCT(--($D$631:$V$631=D$631),--($D1635:$V1635=1)),0)+SUM(D1032)+IF(COUNTIF(D$1237:D1635,1)=1,5,0)+IF(COUNTIF(E1033:$W1033,"&gt;"&amp;0)&lt;5,IF(AND(COUNTIF(D$1237:D1635,1)&gt;7,MOD(1+IFERROR(MATCH($C1033,总览!$D$46:$D$345,1)+1,1),7)=0),$C$3,0),0)</f>
        <v>2568.7827851308</v>
      </c>
      <c r="E1033" s="131" cm="1">
        <f ca="1" t="array" ref="E1033">IF(E1635=1,OFFSET($W$634,$B1033,E$631-1)/SUMPRODUCT(--($D$631:$V$631=E$631),--($D1635:$V1635=1)),0)+SUM(E1032)+IF(COUNTIF(E$1237:E1635,1)=1,5,0)+IF(COUNTIF(F1033:$W1033,"&gt;"&amp;0)&lt;5,IF(AND(COUNTIF(E$1237:E1635,1)&gt;7,MOD(1+IFERROR(MATCH($C1033,总览!$D$46:$D$345,1)+1,1),7)=0),$C$3,0),0)</f>
        <v>2568.7827851308</v>
      </c>
      <c r="F1033" s="131" cm="1">
        <f ca="1" t="array" ref="F1033">IF(F1635=1,OFFSET($W$634,$B1033,F$631-1)/SUMPRODUCT(--($D$631:$V$631=F$631),--($D1635:$V1635=1)),0)+SUM(F1032)+IF(COUNTIF(F$1237:F1635,1)=1,5,0)+IF(COUNTIF(G1033:$W1033,"&gt;"&amp;0)&lt;5,IF(AND(COUNTIF(F$1237:F1635,1)&gt;7,MOD(1+IFERROR(MATCH($C1033,总览!$D$46:$D$345,1)+1,1),7)=0),$C$3,0),0)</f>
        <v>2568.7827851308</v>
      </c>
      <c r="G1033" s="131" cm="1">
        <f ca="1" t="array" ref="G1033">IF(G1635=1,OFFSET($W$634,$B1033,G$631-1)/SUMPRODUCT(--($D$631:$V$631=G$631),--($D1635:$V1635=1)),0)+SUM(G1032)+IF(COUNTIF(G$1237:G1635,1)=1,5,0)+IF(COUNTIF(H1033:$W1033,"&gt;"&amp;0)&lt;5,IF(AND(COUNTIF(G$1237:G1635,1)&gt;7,MOD(1+IFERROR(MATCH($C1033,总览!$D$46:$D$345,1)+1,1),7)=0),$C$3,0),0)</f>
        <v>1269.4</v>
      </c>
      <c r="H1033" s="131" cm="1">
        <f ca="1" t="array" ref="H1033">IF(H1635=1,OFFSET($W$634,$B1033,H$631-1)/SUMPRODUCT(--($D$631:$V$631=H$631),--($D1635:$V1635=1)),0)+SUM(H1032)+IF(COUNTIF(H$1237:H1635,1)=1,5,0)+IF(COUNTIF(I1033:$W1033,"&gt;"&amp;0)&lt;5,IF(AND(COUNTIF(H$1237:H1635,1)&gt;7,MOD(1+IFERROR(MATCH($C1033,总览!$D$46:$D$345,1)+1,1),7)=0),$C$3,0),0)</f>
        <v>1269.4</v>
      </c>
      <c r="I1033" s="131" cm="1">
        <f ca="1" t="array" ref="I1033">IF(I1635=1,OFFSET($W$634,$B1033,I$631-1)/SUMPRODUCT(--($D$631:$V$631=I$631),--($D1635:$V1635=1)),0)+SUM(I1032)+IF(COUNTIF(I$1237:I1635,1)=1,5,0)+IF(COUNTIF(J1033:$W1033,"&gt;"&amp;0)&lt;5,IF(AND(COUNTIF(I$1237:I1635,1)&gt;7,MOD(1+IFERROR(MATCH($C1033,总览!$D$46:$D$345,1)+1,1),7)=0),$C$3,0),0)</f>
        <v>1269.4</v>
      </c>
      <c r="J1033" s="131" cm="1">
        <f ca="1" t="array" ref="J1033">IF(J1635=1,OFFSET($W$634,$B1033,J$631-1)/SUMPRODUCT(--($D$631:$V$631=J$631),--($D1635:$V1635=1)),0)+SUM(J1032)+IF(COUNTIF(J$1237:J1635,1)=1,5,0)+IF(COUNTIF(K1033:$W1033,"&gt;"&amp;0)&lt;5,IF(AND(COUNTIF(J$1237:J1635,1)&gt;7,MOD(1+IFERROR(MATCH($C1033,总览!$D$46:$D$345,1)+1,1),7)=0),$C$3,0),0)</f>
        <v>1266.06666666667</v>
      </c>
      <c r="K1033" s="131" cm="1">
        <f ca="1" t="array" ref="K1033">IF(K1635=1,OFFSET($W$634,$B1033,K$631-1)/SUMPRODUCT(--($D$631:$V$631=K$631),--($D1635:$V1635=1)),0)+SUM(K1032)+IF(COUNTIF(K$1237:K1635,1)=1,5,0)+IF(COUNTIF(L1033:$W1033,"&gt;"&amp;0)&lt;5,IF(AND(COUNTIF(K$1237:K1635,1)&gt;7,MOD(1+IFERROR(MATCH($C1033,总览!$D$46:$D$345,1)+1,1),7)=0),$C$3,0),0)</f>
        <v>1263.56666666667</v>
      </c>
      <c r="L1033" s="131" cm="1">
        <f ca="1" t="array" ref="L1033">IF(L1635=1,OFFSET($W$634,$B1033,L$631-1)/SUMPRODUCT(--($D$631:$V$631=L$631),--($D1635:$V1635=1)),0)+SUM(L1032)+IF(COUNTIF(L$1237:L1635,1)=1,5,0)+IF(COUNTIF(M1033:$W1033,"&gt;"&amp;0)&lt;5,IF(AND(COUNTIF(L$1237:L1635,1)&gt;7,MOD(1+IFERROR(MATCH($C1033,总览!$D$46:$D$345,1)+1,1),7)=0),$C$3,0),0)</f>
        <v>1263.56666666667</v>
      </c>
      <c r="M1033" s="131" cm="1">
        <f ca="1" t="array" ref="M1033">IF(M1635=1,OFFSET($W$634,$B1033,M$631-1)/SUMPRODUCT(--($D$631:$V$631=M$631),--($D1635:$V1635=1)),0)+SUM(M1032)+IF(COUNTIF(M$1237:M1635,1)=1,5,0)+IF(COUNTIF(N1033:$W1033,"&gt;"&amp;0)&lt;5,IF(AND(COUNTIF(M$1237:M1635,1)&gt;7,MOD(1+IFERROR(MATCH($C1033,总览!$D$46:$D$345,1)+1,1),7)=0),$C$3,0),0)</f>
        <v>527.75267857143</v>
      </c>
      <c r="N1033" s="131" cm="1">
        <f ca="1" t="array" ref="N1033">IF(N1635=1,OFFSET($W$634,$B1033,N$631-1)/SUMPRODUCT(--($D$631:$V$631=N$631),--($D1635:$V1635=1)),0)+SUM(N1032)+IF(COUNTIF(N$1237:N1635,1)=1,5,0)+IF(COUNTIF(O1033:$W1033,"&gt;"&amp;0)&lt;5,IF(AND(COUNTIF(N$1237:N1635,1)&gt;7,MOD(1+IFERROR(MATCH($C1033,总览!$D$46:$D$345,1)+1,1),7)=0),$C$3,0),0)</f>
        <v>529.00267857143</v>
      </c>
      <c r="O1033" s="131" cm="1">
        <f ca="1" t="array" ref="O1033">IF(O1635=1,OFFSET($W$634,$B1033,O$631-1)/SUMPRODUCT(--($D$631:$V$631=O$631),--($D1635:$V1635=1)),0)+SUM(O1032)+IF(COUNTIF(O$1237:O1635,1)=1,5,0)+IF(COUNTIF(P1033:$W1033,"&gt;"&amp;0)&lt;5,IF(AND(COUNTIF(O$1237:O1635,1)&gt;7,MOD(1+IFERROR(MATCH($C1033,总览!$D$46:$D$345,1)+1,1),7)=0),$C$3,0),0)</f>
        <v>534.00267857143</v>
      </c>
      <c r="P1033" s="131" cm="1">
        <f ca="1" t="array" ref="P1033">IF(P1635=1,OFFSET($W$634,$B1033,P$631-1)/SUMPRODUCT(--($D$631:$V$631=P$631),--($D1635:$V1635=1)),0)+SUM(P1032)+IF(COUNTIF(P$1237:P1635,1)=1,5,0)+IF(COUNTIF(Q1033:$W1033,"&gt;"&amp;0)&lt;5,IF(AND(COUNTIF(P$1237:P1635,1)&gt;7,MOD(1+IFERROR(MATCH($C1033,总览!$D$46:$D$345,1)+1,1),7)=0),$C$3,0),0)</f>
        <v>523.12142857143</v>
      </c>
      <c r="Q1033" s="131" cm="1">
        <f ca="1" t="array" ref="Q1033">IF(Q1635=1,OFFSET($W$634,$B1033,Q$631-1)/SUMPRODUCT(--($D$631:$V$631=Q$631),--($D1635:$V1635=1)),0)+SUM(Q1032)+IF(COUNTIF(Q$1237:Q1635,1)=1,5,0)+IF(COUNTIF(R1033:$W1033,"&gt;"&amp;0)&lt;5,IF(AND(COUNTIF(Q$1237:Q1635,1)&gt;7,MOD(1+IFERROR(MATCH($C1033,总览!$D$46:$D$345,1)+1,1),7)=0),$C$3,0),0)</f>
        <v>536.50267857143</v>
      </c>
      <c r="R1033" s="131" cm="1">
        <f ca="1" t="array" ref="R1033">IF(R1635=1,OFFSET($W$634,$B1033,R$631-1)/SUMPRODUCT(--($D$631:$V$631=R$631),--($D1635:$V1635=1)),0)+SUM(R1032)+IF(COUNTIF(R$1237:R1635,1)=1,5,0)+IF(COUNTIF(S1033:$W1033,"&gt;"&amp;0)&lt;5,IF(AND(COUNTIF(R$1237:R1635,1)&gt;7,MOD(1+IFERROR(MATCH($C1033,总览!$D$46:$D$345,1)+1,1),7)=0),$C$3,0),0)</f>
        <v>528.12142857143</v>
      </c>
      <c r="S1033" s="131" cm="1">
        <f ca="1" t="array" ref="S1033">IF(S1635=1,OFFSET($W$634,$B1033,S$631-1)/SUMPRODUCT(--($D$631:$V$631=S$631),--($D1635:$V1635=1)),0)+SUM(S1032)+IF(COUNTIF(S$1237:S1635,1)=1,5,0)+IF(COUNTIF(T1033:$W1033,"&gt;"&amp;0)&lt;5,IF(AND(COUNTIF(S$1237:S1635,1)&gt;7,MOD(1+IFERROR(MATCH($C1033,总览!$D$46:$D$345,1)+1,1),7)=0),$C$3,0),0)</f>
        <v>620.621428571432</v>
      </c>
      <c r="T1033" s="131" cm="1">
        <f ca="1" t="array" ref="T1033">IF(T1635=1,OFFSET($W$634,$B1033,T$631-1)/SUMPRODUCT(--($D$631:$V$631=T$631),--($D1635:$V1635=1)),0)+SUM(T1032)+IF(COUNTIF(T$1237:T1635,1)=1,5,0)+IF(COUNTIF(U1033:$W1033,"&gt;"&amp;0)&lt;5,IF(AND(COUNTIF(T$1237:T1635,1)&gt;7,MOD(1+IFERROR(MATCH($C1033,总览!$D$46:$D$345,1)+1,1),7)=0),$C$3,0),0)</f>
        <v>454.086024061532</v>
      </c>
      <c r="U1033" s="131" cm="1">
        <f ca="1" t="array" ref="U1033">IF(U1635=1,OFFSET($W$634,$B1033,U$631-1)/SUMPRODUCT(--($D$631:$V$631=U$631),--($D1635:$V1635=1)),0)+SUM(U1032)+IF(COUNTIF(U$1237:U1635,1)=1,5,0)+IF(COUNTIF(V1033:$W1033,"&gt;"&amp;0)&lt;5,IF(AND(COUNTIF(U$1237:U1635,1)&gt;7,MOD(1+IFERROR(MATCH($C1033,总览!$D$46:$D$345,1)+1,1),7)=0),$C$3,0),0)</f>
        <v>459.606810416832</v>
      </c>
      <c r="V1033" s="131" cm="1">
        <f ca="1" t="array" ref="V1033">IF(V1635=1,OFFSET($W$634,$B1033,V$631-1)/SUMPRODUCT(--($D$631:$V$631=V$631),--($D1635:$V1635=1)),0)+SUM(V1032)+IF(COUNTIF(V$1237:V1635,1)=1,5,0)+IF(COUNTIF(W1033:$W1033,"&gt;"&amp;0)&lt;5,IF(AND(COUNTIF(V$1237:V1635,1)&gt;7,MOD(1+IFERROR(MATCH($C1033,总览!$D$46:$D$345,1)+1,1),7)=0),$C$3,0),0)</f>
        <v>479.433810129265</v>
      </c>
      <c r="W1033" s="135" cm="1">
        <f ca="1" t="array" ref="W1033">SUMPRODUCT(TRANSPOSE($AA1033:$AG1033),OFFSET($L$9:$L$15,0,W$631-1))</f>
        <v>16.8502200646615</v>
      </c>
      <c r="X1033" s="135" cm="1">
        <f ca="1" t="array" ref="X1033">SUMPRODUCT(TRANSPOSE($AA1033:$AG1033),OFFSET($L$9:$L$15,0,X$631-1))</f>
        <v>20</v>
      </c>
      <c r="Y1033" s="135" cm="1">
        <f ca="1" t="array" ref="Y1033">SUMPRODUCT(TRANSPOSE($AA1033:$AG1033),OFFSET($L$9:$L$15,0,Y$631-1))</f>
        <v>10</v>
      </c>
      <c r="Z1033" s="135" cm="1">
        <f ca="1" t="array" ref="Z1033">SUMPRODUCT(TRANSPOSE($AA1033:$AG1033),OFFSET($L$9:$L$15,0,Z$631-1))</f>
        <v>3.14977993533847</v>
      </c>
      <c r="AA1033" s="136">
        <f ca="1" t="shared" ref="AA1033:AG1033" si="1049">AH1033-AH1032</f>
        <v>0</v>
      </c>
      <c r="AB1033" s="136">
        <f ca="1" t="shared" si="1049"/>
        <v>0</v>
      </c>
      <c r="AC1033" s="136">
        <f ca="1" t="shared" si="1049"/>
        <v>0</v>
      </c>
      <c r="AD1033" s="136">
        <f ca="1" t="shared" si="1049"/>
        <v>0</v>
      </c>
      <c r="AE1033" s="136">
        <f ca="1" t="shared" si="1049"/>
        <v>0</v>
      </c>
      <c r="AF1033" s="136">
        <f ca="1" t="shared" si="1049"/>
        <v>0</v>
      </c>
      <c r="AG1033" s="136">
        <f ca="1" t="shared" si="1049"/>
        <v>100</v>
      </c>
      <c r="AH1033" s="136">
        <f ca="1" t="shared" si="1021"/>
        <v>450</v>
      </c>
      <c r="AI1033" s="136">
        <f ca="1" t="shared" ref="AI1033:AN1033" si="1050">IF($C1033&gt;OFFSET($Q$8,MATCH(AI$634,$AH$634:$AN$634,0),0),OFFSET($P$8,MATCH(AI$634,$AH$634:$AN$634,0),0),MAX(0,$C1033-OFFSET($Q$8,RIGHT(AI$634,1)-1,0)))</f>
        <v>909</v>
      </c>
      <c r="AJ1033" s="136">
        <f ca="1" t="shared" si="1050"/>
        <v>1818</v>
      </c>
      <c r="AK1033" s="136">
        <f ca="1" t="shared" si="1050"/>
        <v>2727</v>
      </c>
      <c r="AL1033" s="136">
        <f ca="1" t="shared" si="1050"/>
        <v>3636</v>
      </c>
      <c r="AM1033" s="136">
        <f ca="1" t="shared" si="1050"/>
        <v>4545</v>
      </c>
      <c r="AN1033" s="136">
        <f ca="1" t="shared" si="1050"/>
        <v>25815</v>
      </c>
    </row>
    <row r="1034" s="106" customFormat="1" ht="16.5" spans="2:40">
      <c r="B1034" s="117">
        <v>400</v>
      </c>
      <c r="C1034" s="130">
        <f t="shared" si="1019"/>
        <v>40000</v>
      </c>
      <c r="D1034" s="131" cm="1">
        <f ca="1" t="array" ref="D1034">IF(D1636=1,OFFSET($W$634,$B1034,D$631-1)/SUMPRODUCT(--($D$631:$V$631=D$631),--($D1636:$V1636=1)),0)+SUM(D1033)+IF(COUNTIF(D$1237:D1636,1)=1,5,0)+IF(COUNTIF(E1034:$W1034,"&gt;"&amp;0)&lt;5,IF(AND(COUNTIF(D$1237:D1636,1)&gt;7,MOD(1+IFERROR(MATCH($C1034,总览!$D$46:$D$345,1)+1,1),7)=0),$C$3,0),0)</f>
        <v>2574.39952515236</v>
      </c>
      <c r="E1034" s="131" cm="1">
        <f ca="1" t="array" ref="E1034">IF(E1636=1,OFFSET($W$634,$B1034,E$631-1)/SUMPRODUCT(--($D$631:$V$631=E$631),--($D1636:$V1636=1)),0)+SUM(E1033)+IF(COUNTIF(E$1237:E1636,1)=1,5,0)+IF(COUNTIF(F1034:$W1034,"&gt;"&amp;0)&lt;5,IF(AND(COUNTIF(E$1237:E1636,1)&gt;7,MOD(1+IFERROR(MATCH($C1034,总览!$D$46:$D$345,1)+1,1),7)=0),$C$3,0),0)</f>
        <v>2574.39952515236</v>
      </c>
      <c r="F1034" s="131" cm="1">
        <f ca="1" t="array" ref="F1034">IF(F1636=1,OFFSET($W$634,$B1034,F$631-1)/SUMPRODUCT(--($D$631:$V$631=F$631),--($D1636:$V1636=1)),0)+SUM(F1033)+IF(COUNTIF(F$1237:F1636,1)=1,5,0)+IF(COUNTIF(G1034:$W1034,"&gt;"&amp;0)&lt;5,IF(AND(COUNTIF(F$1237:F1636,1)&gt;7,MOD(1+IFERROR(MATCH($C1034,总览!$D$46:$D$345,1)+1,1),7)=0),$C$3,0),0)</f>
        <v>2574.39952515236</v>
      </c>
      <c r="G1034" s="131" cm="1">
        <f ca="1" t="array" ref="G1034">IF(G1636=1,OFFSET($W$634,$B1034,G$631-1)/SUMPRODUCT(--($D$631:$V$631=G$631),--($D1636:$V1636=1)),0)+SUM(G1033)+IF(COUNTIF(G$1237:G1636,1)=1,5,0)+IF(COUNTIF(H1034:$W1034,"&gt;"&amp;0)&lt;5,IF(AND(COUNTIF(G$1237:G1636,1)&gt;7,MOD(1+IFERROR(MATCH($C1034,总览!$D$46:$D$345,1)+1,1),7)=0),$C$3,0),0)</f>
        <v>1272.73333333333</v>
      </c>
      <c r="H1034" s="131" cm="1">
        <f ca="1" t="array" ref="H1034">IF(H1636=1,OFFSET($W$634,$B1034,H$631-1)/SUMPRODUCT(--($D$631:$V$631=H$631),--($D1636:$V1636=1)),0)+SUM(H1033)+IF(COUNTIF(H$1237:H1636,1)=1,5,0)+IF(COUNTIF(I1034:$W1034,"&gt;"&amp;0)&lt;5,IF(AND(COUNTIF(H$1237:H1636,1)&gt;7,MOD(1+IFERROR(MATCH($C1034,总览!$D$46:$D$345,1)+1,1),7)=0),$C$3,0),0)</f>
        <v>1272.73333333333</v>
      </c>
      <c r="I1034" s="131" cm="1">
        <f ca="1" t="array" ref="I1034">IF(I1636=1,OFFSET($W$634,$B1034,I$631-1)/SUMPRODUCT(--($D$631:$V$631=I$631),--($D1636:$V1636=1)),0)+SUM(I1033)+IF(COUNTIF(I$1237:I1636,1)=1,5,0)+IF(COUNTIF(J1034:$W1034,"&gt;"&amp;0)&lt;5,IF(AND(COUNTIF(I$1237:I1636,1)&gt;7,MOD(1+IFERROR(MATCH($C1034,总览!$D$46:$D$345,1)+1,1),7)=0),$C$3,0),0)</f>
        <v>1272.73333333333</v>
      </c>
      <c r="J1034" s="131" cm="1">
        <f ca="1" t="array" ref="J1034">IF(J1636=1,OFFSET($W$634,$B1034,J$631-1)/SUMPRODUCT(--($D$631:$V$631=J$631),--($D1636:$V1636=1)),0)+SUM(J1033)+IF(COUNTIF(J$1237:J1636,1)=1,5,0)+IF(COUNTIF(K1034:$W1034,"&gt;"&amp;0)&lt;5,IF(AND(COUNTIF(J$1237:J1636,1)&gt;7,MOD(1+IFERROR(MATCH($C1034,总览!$D$46:$D$345,1)+1,1),7)=0),$C$3,0),0)</f>
        <v>1269.4</v>
      </c>
      <c r="K1034" s="131" cm="1">
        <f ca="1" t="array" ref="K1034">IF(K1636=1,OFFSET($W$634,$B1034,K$631-1)/SUMPRODUCT(--($D$631:$V$631=K$631),--($D1636:$V1636=1)),0)+SUM(K1033)+IF(COUNTIF(K$1237:K1636,1)=1,5,0)+IF(COUNTIF(L1034:$W1034,"&gt;"&amp;0)&lt;5,IF(AND(COUNTIF(K$1237:K1636,1)&gt;7,MOD(1+IFERROR(MATCH($C1034,总览!$D$46:$D$345,1)+1,1),7)=0),$C$3,0),0)</f>
        <v>1266.9</v>
      </c>
      <c r="L1034" s="131" cm="1">
        <f ca="1" t="array" ref="L1034">IF(L1636=1,OFFSET($W$634,$B1034,L$631-1)/SUMPRODUCT(--($D$631:$V$631=L$631),--($D1636:$V1636=1)),0)+SUM(L1033)+IF(COUNTIF(L$1237:L1636,1)=1,5,0)+IF(COUNTIF(M1034:$W1034,"&gt;"&amp;0)&lt;5,IF(AND(COUNTIF(L$1237:L1636,1)&gt;7,MOD(1+IFERROR(MATCH($C1034,总览!$D$46:$D$345,1)+1,1),7)=0),$C$3,0),0)</f>
        <v>1266.9</v>
      </c>
      <c r="M1034" s="131" cm="1">
        <f ca="1" t="array" ref="M1034">IF(M1636=1,OFFSET($W$634,$B1034,M$631-1)/SUMPRODUCT(--($D$631:$V$631=M$631),--($D1636:$V1636=1)),0)+SUM(M1033)+IF(COUNTIF(M$1237:M1636,1)=1,5,0)+IF(COUNTIF(N1034:$W1034,"&gt;"&amp;0)&lt;5,IF(AND(COUNTIF(M$1237:M1636,1)&gt;7,MOD(1+IFERROR(MATCH($C1034,总览!$D$46:$D$345,1)+1,1),7)=0),$C$3,0),0)</f>
        <v>529.181250000002</v>
      </c>
      <c r="N1034" s="131" cm="1">
        <f ca="1" t="array" ref="N1034">IF(N1636=1,OFFSET($W$634,$B1034,N$631-1)/SUMPRODUCT(--($D$631:$V$631=N$631),--($D1636:$V1636=1)),0)+SUM(N1033)+IF(COUNTIF(N$1237:N1636,1)=1,5,0)+IF(COUNTIF(O1034:$W1034,"&gt;"&amp;0)&lt;5,IF(AND(COUNTIF(N$1237:N1636,1)&gt;7,MOD(1+IFERROR(MATCH($C1034,总览!$D$46:$D$345,1)+1,1),7)=0),$C$3,0),0)</f>
        <v>530.431250000002</v>
      </c>
      <c r="O1034" s="131" cm="1">
        <f ca="1" t="array" ref="O1034">IF(O1636=1,OFFSET($W$634,$B1034,O$631-1)/SUMPRODUCT(--($D$631:$V$631=O$631),--($D1636:$V1636=1)),0)+SUM(O1033)+IF(COUNTIF(O$1237:O1636,1)=1,5,0)+IF(COUNTIF(P1034:$W1034,"&gt;"&amp;0)&lt;5,IF(AND(COUNTIF(O$1237:O1636,1)&gt;7,MOD(1+IFERROR(MATCH($C1034,总览!$D$46:$D$345,1)+1,1),7)=0),$C$3,0),0)</f>
        <v>535.431250000002</v>
      </c>
      <c r="P1034" s="131" cm="1">
        <f ca="1" t="array" ref="P1034">IF(P1636=1,OFFSET($W$634,$B1034,P$631-1)/SUMPRODUCT(--($D$631:$V$631=P$631),--($D1636:$V1636=1)),0)+SUM(P1033)+IF(COUNTIF(P$1237:P1636,1)=1,5,0)+IF(COUNTIF(Q1034:$W1034,"&gt;"&amp;0)&lt;5,IF(AND(COUNTIF(P$1237:P1636,1)&gt;7,MOD(1+IFERROR(MATCH($C1034,总览!$D$46:$D$345,1)+1,1),7)=0),$C$3,0),0)</f>
        <v>524.550000000002</v>
      </c>
      <c r="Q1034" s="131" cm="1">
        <f ca="1" t="array" ref="Q1034">IF(Q1636=1,OFFSET($W$634,$B1034,Q$631-1)/SUMPRODUCT(--($D$631:$V$631=Q$631),--($D1636:$V1636=1)),0)+SUM(Q1033)+IF(COUNTIF(Q$1237:Q1636,1)=1,5,0)+IF(COUNTIF(R1034:$W1034,"&gt;"&amp;0)&lt;5,IF(AND(COUNTIF(Q$1237:Q1636,1)&gt;7,MOD(1+IFERROR(MATCH($C1034,总览!$D$46:$D$345,1)+1,1),7)=0),$C$3,0),0)</f>
        <v>537.931250000002</v>
      </c>
      <c r="R1034" s="131" cm="1">
        <f ca="1" t="array" ref="R1034">IF(R1636=1,OFFSET($W$634,$B1034,R$631-1)/SUMPRODUCT(--($D$631:$V$631=R$631),--($D1636:$V1636=1)),0)+SUM(R1033)+IF(COUNTIF(R$1237:R1636,1)=1,5,0)+IF(COUNTIF(S1034:$W1034,"&gt;"&amp;0)&lt;5,IF(AND(COUNTIF(R$1237:R1636,1)&gt;7,MOD(1+IFERROR(MATCH($C1034,总览!$D$46:$D$345,1)+1,1),7)=0),$C$3,0),0)</f>
        <v>529.550000000002</v>
      </c>
      <c r="S1034" s="131" cm="1">
        <f ca="1" t="array" ref="S1034">IF(S1636=1,OFFSET($W$634,$B1034,S$631-1)/SUMPRODUCT(--($D$631:$V$631=S$631),--($D1636:$V1636=1)),0)+SUM(S1033)+IF(COUNTIF(S$1237:S1636,1)=1,5,0)+IF(COUNTIF(T1034:$W1034,"&gt;"&amp;0)&lt;5,IF(AND(COUNTIF(S$1237:S1636,1)&gt;7,MOD(1+IFERROR(MATCH($C1034,总览!$D$46:$D$345,1)+1,1),7)=0),$C$3,0),0)</f>
        <v>622.050000000003</v>
      </c>
      <c r="T1034" s="131" cm="1">
        <f ca="1" t="array" ref="T1034">IF(T1636=1,OFFSET($W$634,$B1034,T$631-1)/SUMPRODUCT(--($D$631:$V$631=T$631),--($D1636:$V1636=1)),0)+SUM(T1033)+IF(COUNTIF(T$1237:T1636,1)=1,5,0)+IF(COUNTIF(U1034:$W1034,"&gt;"&amp;0)&lt;5,IF(AND(COUNTIF(T$1237:T1636,1)&gt;7,MOD(1+IFERROR(MATCH($C1034,总览!$D$46:$D$345,1)+1,1),7)=0),$C$3,0),0)</f>
        <v>455.135950706645</v>
      </c>
      <c r="U1034" s="131" cm="1">
        <f ca="1" t="array" ref="U1034">IF(U1636=1,OFFSET($W$634,$B1034,U$631-1)/SUMPRODUCT(--($D$631:$V$631=U$631),--($D1636:$V1636=1)),0)+SUM(U1033)+IF(COUNTIF(U$1237:U1636,1)=1,5,0)+IF(COUNTIF(V1034:$W1034,"&gt;"&amp;0)&lt;5,IF(AND(COUNTIF(U$1237:U1636,1)&gt;7,MOD(1+IFERROR(MATCH($C1034,总览!$D$46:$D$345,1)+1,1),7)=0),$C$3,0),0)</f>
        <v>460.656737061944</v>
      </c>
      <c r="V1034" s="131" cm="1">
        <f ca="1" t="array" ref="V1034">IF(V1636=1,OFFSET($W$634,$B1034,V$631-1)/SUMPRODUCT(--($D$631:$V$631=V$631),--($D1636:$V1636=1)),0)+SUM(V1033)+IF(COUNTIF(V$1237:V1636,1)=1,5,0)+IF(COUNTIF(W1034:$W1034,"&gt;"&amp;0)&lt;5,IF(AND(COUNTIF(V$1237:V1636,1)&gt;7,MOD(1+IFERROR(MATCH($C1034,总览!$D$46:$D$345,1)+1,1),7)=0),$C$3,0),0)</f>
        <v>480.483736774377</v>
      </c>
      <c r="W1034" s="135" cm="1">
        <f ca="1" t="array" ref="W1034">SUMPRODUCT(TRANSPOSE($AA1034:$AG1034),OFFSET($L$9:$L$15,0,W$631-1))</f>
        <v>16.8502200646615</v>
      </c>
      <c r="X1034" s="135" cm="1">
        <f ca="1" t="array" ref="X1034">SUMPRODUCT(TRANSPOSE($AA1034:$AG1034),OFFSET($L$9:$L$15,0,X$631-1))</f>
        <v>20</v>
      </c>
      <c r="Y1034" s="135" cm="1">
        <f ca="1" t="array" ref="Y1034">SUMPRODUCT(TRANSPOSE($AA1034:$AG1034),OFFSET($L$9:$L$15,0,Y$631-1))</f>
        <v>10</v>
      </c>
      <c r="Z1034" s="135" cm="1">
        <f ca="1" t="array" ref="Z1034">SUMPRODUCT(TRANSPOSE($AA1034:$AG1034),OFFSET($L$9:$L$15,0,Z$631-1))</f>
        <v>3.14977993533847</v>
      </c>
      <c r="AA1034" s="136">
        <f ca="1" t="shared" ref="AA1034:AG1034" si="1051">AH1034-AH1033</f>
        <v>0</v>
      </c>
      <c r="AB1034" s="136">
        <f ca="1" t="shared" si="1051"/>
        <v>0</v>
      </c>
      <c r="AC1034" s="136">
        <f ca="1" t="shared" si="1051"/>
        <v>0</v>
      </c>
      <c r="AD1034" s="136">
        <f ca="1" t="shared" si="1051"/>
        <v>0</v>
      </c>
      <c r="AE1034" s="136">
        <f ca="1" t="shared" si="1051"/>
        <v>0</v>
      </c>
      <c r="AF1034" s="136">
        <f ca="1" t="shared" si="1051"/>
        <v>0</v>
      </c>
      <c r="AG1034" s="136">
        <f ca="1" t="shared" si="1051"/>
        <v>100</v>
      </c>
      <c r="AH1034" s="136">
        <f ca="1" t="shared" si="1021"/>
        <v>450</v>
      </c>
      <c r="AI1034" s="136">
        <f ca="1" t="shared" ref="AI1034:AN1034" si="1052">IF($C1034&gt;OFFSET($Q$8,MATCH(AI$634,$AH$634:$AN$634,0),0),OFFSET($P$8,MATCH(AI$634,$AH$634:$AN$634,0),0),MAX(0,$C1034-OFFSET($Q$8,RIGHT(AI$634,1)-1,0)))</f>
        <v>909</v>
      </c>
      <c r="AJ1034" s="136">
        <f ca="1" t="shared" si="1052"/>
        <v>1818</v>
      </c>
      <c r="AK1034" s="136">
        <f ca="1" t="shared" si="1052"/>
        <v>2727</v>
      </c>
      <c r="AL1034" s="136">
        <f ca="1" t="shared" si="1052"/>
        <v>3636</v>
      </c>
      <c r="AM1034" s="136">
        <f ca="1" t="shared" si="1052"/>
        <v>4545</v>
      </c>
      <c r="AN1034" s="136">
        <f ca="1" t="shared" si="1052"/>
        <v>25915</v>
      </c>
    </row>
    <row r="1035" s="106" customFormat="1" ht="16.5" spans="2:40">
      <c r="B1035" s="117">
        <v>401</v>
      </c>
      <c r="C1035" s="130">
        <f t="shared" si="1019"/>
        <v>40100</v>
      </c>
      <c r="D1035" s="131" cm="1">
        <f ca="1" t="array" ref="D1035">IF(D1637=1,OFFSET($W$634,$B1035,D$631-1)/SUMPRODUCT(--($D$631:$V$631=D$631),--($D1637:$V1637=1)),0)+SUM(D1034)+IF(COUNTIF(D$1237:D1637,1)=1,5,0)+IF(COUNTIF(E1035:$W1035,"&gt;"&amp;0)&lt;5,IF(AND(COUNTIF(D$1237:D1637,1)&gt;7,MOD(1+IFERROR(MATCH($C1035,总览!$D$46:$D$345,1)+1,1),7)=0),$C$3,0),0)</f>
        <v>2580.01626517391</v>
      </c>
      <c r="E1035" s="131" cm="1">
        <f ca="1" t="array" ref="E1035">IF(E1637=1,OFFSET($W$634,$B1035,E$631-1)/SUMPRODUCT(--($D$631:$V$631=E$631),--($D1637:$V1637=1)),0)+SUM(E1034)+IF(COUNTIF(E$1237:E1637,1)=1,5,0)+IF(COUNTIF(F1035:$W1035,"&gt;"&amp;0)&lt;5,IF(AND(COUNTIF(E$1237:E1637,1)&gt;7,MOD(1+IFERROR(MATCH($C1035,总览!$D$46:$D$345,1)+1,1),7)=0),$C$3,0),0)</f>
        <v>2580.01626517391</v>
      </c>
      <c r="F1035" s="131" cm="1">
        <f ca="1" t="array" ref="F1035">IF(F1637=1,OFFSET($W$634,$B1035,F$631-1)/SUMPRODUCT(--($D$631:$V$631=F$631),--($D1637:$V1637=1)),0)+SUM(F1034)+IF(COUNTIF(F$1237:F1637,1)=1,5,0)+IF(COUNTIF(G1035:$W1035,"&gt;"&amp;0)&lt;5,IF(AND(COUNTIF(F$1237:F1637,1)&gt;7,MOD(1+IFERROR(MATCH($C1035,总览!$D$46:$D$345,1)+1,1),7)=0),$C$3,0),0)</f>
        <v>2580.01626517391</v>
      </c>
      <c r="G1035" s="131" cm="1">
        <f ca="1" t="array" ref="G1035">IF(G1637=1,OFFSET($W$634,$B1035,G$631-1)/SUMPRODUCT(--($D$631:$V$631=G$631),--($D1637:$V1637=1)),0)+SUM(G1034)+IF(COUNTIF(G$1237:G1637,1)=1,5,0)+IF(COUNTIF(H1035:$W1035,"&gt;"&amp;0)&lt;5,IF(AND(COUNTIF(G$1237:G1637,1)&gt;7,MOD(1+IFERROR(MATCH($C1035,总览!$D$46:$D$345,1)+1,1),7)=0),$C$3,0),0)</f>
        <v>1276.06666666667</v>
      </c>
      <c r="H1035" s="131" cm="1">
        <f ca="1" t="array" ref="H1035">IF(H1637=1,OFFSET($W$634,$B1035,H$631-1)/SUMPRODUCT(--($D$631:$V$631=H$631),--($D1637:$V1637=1)),0)+SUM(H1034)+IF(COUNTIF(H$1237:H1637,1)=1,5,0)+IF(COUNTIF(I1035:$W1035,"&gt;"&amp;0)&lt;5,IF(AND(COUNTIF(H$1237:H1637,1)&gt;7,MOD(1+IFERROR(MATCH($C1035,总览!$D$46:$D$345,1)+1,1),7)=0),$C$3,0),0)</f>
        <v>1276.06666666667</v>
      </c>
      <c r="I1035" s="131" cm="1">
        <f ca="1" t="array" ref="I1035">IF(I1637=1,OFFSET($W$634,$B1035,I$631-1)/SUMPRODUCT(--($D$631:$V$631=I$631),--($D1637:$V1637=1)),0)+SUM(I1034)+IF(COUNTIF(I$1237:I1637,1)=1,5,0)+IF(COUNTIF(J1035:$W1035,"&gt;"&amp;0)&lt;5,IF(AND(COUNTIF(I$1237:I1637,1)&gt;7,MOD(1+IFERROR(MATCH($C1035,总览!$D$46:$D$345,1)+1,1),7)=0),$C$3,0),0)</f>
        <v>1276.06666666667</v>
      </c>
      <c r="J1035" s="131" cm="1">
        <f ca="1" t="array" ref="J1035">IF(J1637=1,OFFSET($W$634,$B1035,J$631-1)/SUMPRODUCT(--($D$631:$V$631=J$631),--($D1637:$V1637=1)),0)+SUM(J1034)+IF(COUNTIF(J$1237:J1637,1)=1,5,0)+IF(COUNTIF(K1035:$W1035,"&gt;"&amp;0)&lt;5,IF(AND(COUNTIF(J$1237:J1637,1)&gt;7,MOD(1+IFERROR(MATCH($C1035,总览!$D$46:$D$345,1)+1,1),7)=0),$C$3,0),0)</f>
        <v>1272.73333333333</v>
      </c>
      <c r="K1035" s="131" cm="1">
        <f ca="1" t="array" ref="K1035">IF(K1637=1,OFFSET($W$634,$B1035,K$631-1)/SUMPRODUCT(--($D$631:$V$631=K$631),--($D1637:$V1637=1)),0)+SUM(K1034)+IF(COUNTIF(K$1237:K1637,1)=1,5,0)+IF(COUNTIF(L1035:$W1035,"&gt;"&amp;0)&lt;5,IF(AND(COUNTIF(K$1237:K1637,1)&gt;7,MOD(1+IFERROR(MATCH($C1035,总览!$D$46:$D$345,1)+1,1),7)=0),$C$3,0),0)</f>
        <v>1270.23333333333</v>
      </c>
      <c r="L1035" s="131" cm="1">
        <f ca="1" t="array" ref="L1035">IF(L1637=1,OFFSET($W$634,$B1035,L$631-1)/SUMPRODUCT(--($D$631:$V$631=L$631),--($D1637:$V1637=1)),0)+SUM(L1034)+IF(COUNTIF(L$1237:L1637,1)=1,5,0)+IF(COUNTIF(M1035:$W1035,"&gt;"&amp;0)&lt;5,IF(AND(COUNTIF(L$1237:L1637,1)&gt;7,MOD(1+IFERROR(MATCH($C1035,总览!$D$46:$D$345,1)+1,1),7)=0),$C$3,0),0)</f>
        <v>1270.23333333333</v>
      </c>
      <c r="M1035" s="131" cm="1">
        <f ca="1" t="array" ref="M1035">IF(M1637=1,OFFSET($W$634,$B1035,M$631-1)/SUMPRODUCT(--($D$631:$V$631=M$631),--($D1637:$V1637=1)),0)+SUM(M1034)+IF(COUNTIF(M$1237:M1637,1)=1,5,0)+IF(COUNTIF(N1035:$W1035,"&gt;"&amp;0)&lt;5,IF(AND(COUNTIF(M$1237:M1637,1)&gt;7,MOD(1+IFERROR(MATCH($C1035,总览!$D$46:$D$345,1)+1,1),7)=0),$C$3,0),0)</f>
        <v>530.609821428573</v>
      </c>
      <c r="N1035" s="131" cm="1">
        <f ca="1" t="array" ref="N1035">IF(N1637=1,OFFSET($W$634,$B1035,N$631-1)/SUMPRODUCT(--($D$631:$V$631=N$631),--($D1637:$V1637=1)),0)+SUM(N1034)+IF(COUNTIF(N$1237:N1637,1)=1,5,0)+IF(COUNTIF(O1035:$W1035,"&gt;"&amp;0)&lt;5,IF(AND(COUNTIF(N$1237:N1637,1)&gt;7,MOD(1+IFERROR(MATCH($C1035,总览!$D$46:$D$345,1)+1,1),7)=0),$C$3,0),0)</f>
        <v>531.859821428573</v>
      </c>
      <c r="O1035" s="131" cm="1">
        <f ca="1" t="array" ref="O1035">IF(O1637=1,OFFSET($W$634,$B1035,O$631-1)/SUMPRODUCT(--($D$631:$V$631=O$631),--($D1637:$V1637=1)),0)+SUM(O1034)+IF(COUNTIF(O$1237:O1637,1)=1,5,0)+IF(COUNTIF(P1035:$W1035,"&gt;"&amp;0)&lt;5,IF(AND(COUNTIF(O$1237:O1637,1)&gt;7,MOD(1+IFERROR(MATCH($C1035,总览!$D$46:$D$345,1)+1,1),7)=0),$C$3,0),0)</f>
        <v>536.859821428573</v>
      </c>
      <c r="P1035" s="131" cm="1">
        <f ca="1" t="array" ref="P1035">IF(P1637=1,OFFSET($W$634,$B1035,P$631-1)/SUMPRODUCT(--($D$631:$V$631=P$631),--($D1637:$V1637=1)),0)+SUM(P1034)+IF(COUNTIF(P$1237:P1637,1)=1,5,0)+IF(COUNTIF(Q1035:$W1035,"&gt;"&amp;0)&lt;5,IF(AND(COUNTIF(P$1237:P1637,1)&gt;7,MOD(1+IFERROR(MATCH($C1035,总览!$D$46:$D$345,1)+1,1),7)=0),$C$3,0),0)</f>
        <v>525.978571428573</v>
      </c>
      <c r="Q1035" s="131" cm="1">
        <f ca="1" t="array" ref="Q1035">IF(Q1637=1,OFFSET($W$634,$B1035,Q$631-1)/SUMPRODUCT(--($D$631:$V$631=Q$631),--($D1637:$V1637=1)),0)+SUM(Q1034)+IF(COUNTIF(Q$1237:Q1637,1)=1,5,0)+IF(COUNTIF(R1035:$W1035,"&gt;"&amp;0)&lt;5,IF(AND(COUNTIF(Q$1237:Q1637,1)&gt;7,MOD(1+IFERROR(MATCH($C1035,总览!$D$46:$D$345,1)+1,1),7)=0),$C$3,0),0)</f>
        <v>539.359821428573</v>
      </c>
      <c r="R1035" s="131" cm="1">
        <f ca="1" t="array" ref="R1035">IF(R1637=1,OFFSET($W$634,$B1035,R$631-1)/SUMPRODUCT(--($D$631:$V$631=R$631),--($D1637:$V1637=1)),0)+SUM(R1034)+IF(COUNTIF(R$1237:R1637,1)=1,5,0)+IF(COUNTIF(S1035:$W1035,"&gt;"&amp;0)&lt;5,IF(AND(COUNTIF(R$1237:R1637,1)&gt;7,MOD(1+IFERROR(MATCH($C1035,总览!$D$46:$D$345,1)+1,1),7)=0),$C$3,0),0)</f>
        <v>530.978571428573</v>
      </c>
      <c r="S1035" s="131" cm="1">
        <f ca="1" t="array" ref="S1035">IF(S1637=1,OFFSET($W$634,$B1035,S$631-1)/SUMPRODUCT(--($D$631:$V$631=S$631),--($D1637:$V1637=1)),0)+SUM(S1034)+IF(COUNTIF(S$1237:S1637,1)=1,5,0)+IF(COUNTIF(T1035:$W1035,"&gt;"&amp;0)&lt;5,IF(AND(COUNTIF(S$1237:S1637,1)&gt;7,MOD(1+IFERROR(MATCH($C1035,总览!$D$46:$D$345,1)+1,1),7)=0),$C$3,0),0)</f>
        <v>623.478571428574</v>
      </c>
      <c r="T1035" s="131" cm="1">
        <f ca="1" t="array" ref="T1035">IF(T1637=1,OFFSET($W$634,$B1035,T$631-1)/SUMPRODUCT(--($D$631:$V$631=T$631),--($D1637:$V1637=1)),0)+SUM(T1034)+IF(COUNTIF(T$1237:T1637,1)=1,5,0)+IF(COUNTIF(U1035:$W1035,"&gt;"&amp;0)&lt;5,IF(AND(COUNTIF(T$1237:T1637,1)&gt;7,MOD(1+IFERROR(MATCH($C1035,总览!$D$46:$D$345,1)+1,1),7)=0),$C$3,0),0)</f>
        <v>456.185877351758</v>
      </c>
      <c r="U1035" s="131" cm="1">
        <f ca="1" t="array" ref="U1035">IF(U1637=1,OFFSET($W$634,$B1035,U$631-1)/SUMPRODUCT(--($D$631:$V$631=U$631),--($D1637:$V1637=1)),0)+SUM(U1034)+IF(COUNTIF(U$1237:U1637,1)=1,5,0)+IF(COUNTIF(V1035:$W1035,"&gt;"&amp;0)&lt;5,IF(AND(COUNTIF(U$1237:U1637,1)&gt;7,MOD(1+IFERROR(MATCH($C1035,总览!$D$46:$D$345,1)+1,1),7)=0),$C$3,0),0)</f>
        <v>461.706663707057</v>
      </c>
      <c r="V1035" s="131" cm="1">
        <f ca="1" t="array" ref="V1035">IF(V1637=1,OFFSET($W$634,$B1035,V$631-1)/SUMPRODUCT(--($D$631:$V$631=V$631),--($D1637:$V1637=1)),0)+SUM(V1034)+IF(COUNTIF(V$1237:V1637,1)=1,5,0)+IF(COUNTIF(W1035:$W1035,"&gt;"&amp;0)&lt;5,IF(AND(COUNTIF(V$1237:V1637,1)&gt;7,MOD(1+IFERROR(MATCH($C1035,总览!$D$46:$D$345,1)+1,1),7)=0),$C$3,0),0)</f>
        <v>481.53366341949</v>
      </c>
      <c r="W1035" s="135" cm="1">
        <f ca="1" t="array" ref="W1035">SUMPRODUCT(TRANSPOSE($AA1035:$AG1035),OFFSET($L$9:$L$15,0,W$631-1))</f>
        <v>16.8502200646615</v>
      </c>
      <c r="X1035" s="135" cm="1">
        <f ca="1" t="array" ref="X1035">SUMPRODUCT(TRANSPOSE($AA1035:$AG1035),OFFSET($L$9:$L$15,0,X$631-1))</f>
        <v>20</v>
      </c>
      <c r="Y1035" s="135" cm="1">
        <f ca="1" t="array" ref="Y1035">SUMPRODUCT(TRANSPOSE($AA1035:$AG1035),OFFSET($L$9:$L$15,0,Y$631-1))</f>
        <v>10</v>
      </c>
      <c r="Z1035" s="135" cm="1">
        <f ca="1" t="array" ref="Z1035">SUMPRODUCT(TRANSPOSE($AA1035:$AG1035),OFFSET($L$9:$L$15,0,Z$631-1))</f>
        <v>3.14977993533847</v>
      </c>
      <c r="AA1035" s="136">
        <f ca="1" t="shared" ref="AA1035:AG1035" si="1053">AH1035-AH1034</f>
        <v>0</v>
      </c>
      <c r="AB1035" s="136">
        <f ca="1" t="shared" si="1053"/>
        <v>0</v>
      </c>
      <c r="AC1035" s="136">
        <f ca="1" t="shared" si="1053"/>
        <v>0</v>
      </c>
      <c r="AD1035" s="136">
        <f ca="1" t="shared" si="1053"/>
        <v>0</v>
      </c>
      <c r="AE1035" s="136">
        <f ca="1" t="shared" si="1053"/>
        <v>0</v>
      </c>
      <c r="AF1035" s="136">
        <f ca="1" t="shared" si="1053"/>
        <v>0</v>
      </c>
      <c r="AG1035" s="136">
        <f ca="1" t="shared" si="1053"/>
        <v>100</v>
      </c>
      <c r="AH1035" s="136">
        <f ca="1" t="shared" si="1021"/>
        <v>450</v>
      </c>
      <c r="AI1035" s="136">
        <f ca="1" t="shared" ref="AI1035:AN1035" si="1054">IF($C1035&gt;OFFSET($Q$8,MATCH(AI$634,$AH$634:$AN$634,0),0),OFFSET($P$8,MATCH(AI$634,$AH$634:$AN$634,0),0),MAX(0,$C1035-OFFSET($Q$8,RIGHT(AI$634,1)-1,0)))</f>
        <v>909</v>
      </c>
      <c r="AJ1035" s="136">
        <f ca="1" t="shared" si="1054"/>
        <v>1818</v>
      </c>
      <c r="AK1035" s="136">
        <f ca="1" t="shared" si="1054"/>
        <v>2727</v>
      </c>
      <c r="AL1035" s="136">
        <f ca="1" t="shared" si="1054"/>
        <v>3636</v>
      </c>
      <c r="AM1035" s="136">
        <f ca="1" t="shared" si="1054"/>
        <v>4545</v>
      </c>
      <c r="AN1035" s="136">
        <f ca="1" t="shared" si="1054"/>
        <v>26015</v>
      </c>
    </row>
    <row r="1036" s="106" customFormat="1" ht="16.5" spans="2:40">
      <c r="B1036" s="117">
        <v>402</v>
      </c>
      <c r="C1036" s="130">
        <f t="shared" si="1019"/>
        <v>40200</v>
      </c>
      <c r="D1036" s="131" cm="1">
        <f ca="1" t="array" ref="D1036">IF(D1638=1,OFFSET($W$634,$B1036,D$631-1)/SUMPRODUCT(--($D$631:$V$631=D$631),--($D1638:$V1638=1)),0)+SUM(D1035)+IF(COUNTIF(D$1237:D1638,1)=1,5,0)+IF(COUNTIF(E1036:$W1036,"&gt;"&amp;0)&lt;5,IF(AND(COUNTIF(D$1237:D1638,1)&gt;7,MOD(1+IFERROR(MATCH($C1036,总览!$D$46:$D$345,1)+1,1),7)=0),$C$3,0),0)</f>
        <v>2585.63300519547</v>
      </c>
      <c r="E1036" s="131" cm="1">
        <f ca="1" t="array" ref="E1036">IF(E1638=1,OFFSET($W$634,$B1036,E$631-1)/SUMPRODUCT(--($D$631:$V$631=E$631),--($D1638:$V1638=1)),0)+SUM(E1035)+IF(COUNTIF(E$1237:E1638,1)=1,5,0)+IF(COUNTIF(F1036:$W1036,"&gt;"&amp;0)&lt;5,IF(AND(COUNTIF(E$1237:E1638,1)&gt;7,MOD(1+IFERROR(MATCH($C1036,总览!$D$46:$D$345,1)+1,1),7)=0),$C$3,0),0)</f>
        <v>2585.63300519547</v>
      </c>
      <c r="F1036" s="131" cm="1">
        <f ca="1" t="array" ref="F1036">IF(F1638=1,OFFSET($W$634,$B1036,F$631-1)/SUMPRODUCT(--($D$631:$V$631=F$631),--($D1638:$V1638=1)),0)+SUM(F1035)+IF(COUNTIF(F$1237:F1638,1)=1,5,0)+IF(COUNTIF(G1036:$W1036,"&gt;"&amp;0)&lt;5,IF(AND(COUNTIF(F$1237:F1638,1)&gt;7,MOD(1+IFERROR(MATCH($C1036,总览!$D$46:$D$345,1)+1,1),7)=0),$C$3,0),0)</f>
        <v>2585.63300519547</v>
      </c>
      <c r="G1036" s="131" cm="1">
        <f ca="1" t="array" ref="G1036">IF(G1638=1,OFFSET($W$634,$B1036,G$631-1)/SUMPRODUCT(--($D$631:$V$631=G$631),--($D1638:$V1638=1)),0)+SUM(G1035)+IF(COUNTIF(G$1237:G1638,1)=1,5,0)+IF(COUNTIF(H1036:$W1036,"&gt;"&amp;0)&lt;5,IF(AND(COUNTIF(G$1237:G1638,1)&gt;7,MOD(1+IFERROR(MATCH($C1036,总览!$D$46:$D$345,1)+1,1),7)=0),$C$3,0),0)</f>
        <v>1279.4</v>
      </c>
      <c r="H1036" s="131" cm="1">
        <f ca="1" t="array" ref="H1036">IF(H1638=1,OFFSET($W$634,$B1036,H$631-1)/SUMPRODUCT(--($D$631:$V$631=H$631),--($D1638:$V1638=1)),0)+SUM(H1035)+IF(COUNTIF(H$1237:H1638,1)=1,5,0)+IF(COUNTIF(I1036:$W1036,"&gt;"&amp;0)&lt;5,IF(AND(COUNTIF(H$1237:H1638,1)&gt;7,MOD(1+IFERROR(MATCH($C1036,总览!$D$46:$D$345,1)+1,1),7)=0),$C$3,0),0)</f>
        <v>1279.4</v>
      </c>
      <c r="I1036" s="131" cm="1">
        <f ca="1" t="array" ref="I1036">IF(I1638=1,OFFSET($W$634,$B1036,I$631-1)/SUMPRODUCT(--($D$631:$V$631=I$631),--($D1638:$V1638=1)),0)+SUM(I1035)+IF(COUNTIF(I$1237:I1638,1)=1,5,0)+IF(COUNTIF(J1036:$W1036,"&gt;"&amp;0)&lt;5,IF(AND(COUNTIF(I$1237:I1638,1)&gt;7,MOD(1+IFERROR(MATCH($C1036,总览!$D$46:$D$345,1)+1,1),7)=0),$C$3,0),0)</f>
        <v>1279.4</v>
      </c>
      <c r="J1036" s="131" cm="1">
        <f ca="1" t="array" ref="J1036">IF(J1638=1,OFFSET($W$634,$B1036,J$631-1)/SUMPRODUCT(--($D$631:$V$631=J$631),--($D1638:$V1638=1)),0)+SUM(J1035)+IF(COUNTIF(J$1237:J1638,1)=1,5,0)+IF(COUNTIF(K1036:$W1036,"&gt;"&amp;0)&lt;5,IF(AND(COUNTIF(J$1237:J1638,1)&gt;7,MOD(1+IFERROR(MATCH($C1036,总览!$D$46:$D$345,1)+1,1),7)=0),$C$3,0),0)</f>
        <v>1276.06666666667</v>
      </c>
      <c r="K1036" s="131" cm="1">
        <f ca="1" t="array" ref="K1036">IF(K1638=1,OFFSET($W$634,$B1036,K$631-1)/SUMPRODUCT(--($D$631:$V$631=K$631),--($D1638:$V1638=1)),0)+SUM(K1035)+IF(COUNTIF(K$1237:K1638,1)=1,5,0)+IF(COUNTIF(L1036:$W1036,"&gt;"&amp;0)&lt;5,IF(AND(COUNTIF(K$1237:K1638,1)&gt;7,MOD(1+IFERROR(MATCH($C1036,总览!$D$46:$D$345,1)+1,1),7)=0),$C$3,0),0)</f>
        <v>1273.56666666667</v>
      </c>
      <c r="L1036" s="131" cm="1">
        <f ca="1" t="array" ref="L1036">IF(L1638=1,OFFSET($W$634,$B1036,L$631-1)/SUMPRODUCT(--($D$631:$V$631=L$631),--($D1638:$V1638=1)),0)+SUM(L1035)+IF(COUNTIF(L$1237:L1638,1)=1,5,0)+IF(COUNTIF(M1036:$W1036,"&gt;"&amp;0)&lt;5,IF(AND(COUNTIF(L$1237:L1638,1)&gt;7,MOD(1+IFERROR(MATCH($C1036,总览!$D$46:$D$345,1)+1,1),7)=0),$C$3,0),0)</f>
        <v>1273.56666666667</v>
      </c>
      <c r="M1036" s="131" cm="1">
        <f ca="1" t="array" ref="M1036">IF(M1638=1,OFFSET($W$634,$B1036,M$631-1)/SUMPRODUCT(--($D$631:$V$631=M$631),--($D1638:$V1638=1)),0)+SUM(M1035)+IF(COUNTIF(M$1237:M1638,1)=1,5,0)+IF(COUNTIF(N1036:$W1036,"&gt;"&amp;0)&lt;5,IF(AND(COUNTIF(M$1237:M1638,1)&gt;7,MOD(1+IFERROR(MATCH($C1036,总览!$D$46:$D$345,1)+1,1),7)=0),$C$3,0),0)</f>
        <v>532.038392857145</v>
      </c>
      <c r="N1036" s="131" cm="1">
        <f ca="1" t="array" ref="N1036">IF(N1638=1,OFFSET($W$634,$B1036,N$631-1)/SUMPRODUCT(--($D$631:$V$631=N$631),--($D1638:$V1638=1)),0)+SUM(N1035)+IF(COUNTIF(N$1237:N1638,1)=1,5,0)+IF(COUNTIF(O1036:$W1036,"&gt;"&amp;0)&lt;5,IF(AND(COUNTIF(N$1237:N1638,1)&gt;7,MOD(1+IFERROR(MATCH($C1036,总览!$D$46:$D$345,1)+1,1),7)=0),$C$3,0),0)</f>
        <v>533.288392857145</v>
      </c>
      <c r="O1036" s="131" cm="1">
        <f ca="1" t="array" ref="O1036">IF(O1638=1,OFFSET($W$634,$B1036,O$631-1)/SUMPRODUCT(--($D$631:$V$631=O$631),--($D1638:$V1638=1)),0)+SUM(O1035)+IF(COUNTIF(O$1237:O1638,1)=1,5,0)+IF(COUNTIF(P1036:$W1036,"&gt;"&amp;0)&lt;5,IF(AND(COUNTIF(O$1237:O1638,1)&gt;7,MOD(1+IFERROR(MATCH($C1036,总览!$D$46:$D$345,1)+1,1),7)=0),$C$3,0),0)</f>
        <v>538.288392857145</v>
      </c>
      <c r="P1036" s="131" cm="1">
        <f ca="1" t="array" ref="P1036">IF(P1638=1,OFFSET($W$634,$B1036,P$631-1)/SUMPRODUCT(--($D$631:$V$631=P$631),--($D1638:$V1638=1)),0)+SUM(P1035)+IF(COUNTIF(P$1237:P1638,1)=1,5,0)+IF(COUNTIF(Q1036:$W1036,"&gt;"&amp;0)&lt;5,IF(AND(COUNTIF(P$1237:P1638,1)&gt;7,MOD(1+IFERROR(MATCH($C1036,总览!$D$46:$D$345,1)+1,1),7)=0),$C$3,0),0)</f>
        <v>527.407142857145</v>
      </c>
      <c r="Q1036" s="131" cm="1">
        <f ca="1" t="array" ref="Q1036">IF(Q1638=1,OFFSET($W$634,$B1036,Q$631-1)/SUMPRODUCT(--($D$631:$V$631=Q$631),--($D1638:$V1638=1)),0)+SUM(Q1035)+IF(COUNTIF(Q$1237:Q1638,1)=1,5,0)+IF(COUNTIF(R1036:$W1036,"&gt;"&amp;0)&lt;5,IF(AND(COUNTIF(Q$1237:Q1638,1)&gt;7,MOD(1+IFERROR(MATCH($C1036,总览!$D$46:$D$345,1)+1,1),7)=0),$C$3,0),0)</f>
        <v>540.788392857145</v>
      </c>
      <c r="R1036" s="131" cm="1">
        <f ca="1" t="array" ref="R1036">IF(R1638=1,OFFSET($W$634,$B1036,R$631-1)/SUMPRODUCT(--($D$631:$V$631=R$631),--($D1638:$V1638=1)),0)+SUM(R1035)+IF(COUNTIF(R$1237:R1638,1)=1,5,0)+IF(COUNTIF(S1036:$W1036,"&gt;"&amp;0)&lt;5,IF(AND(COUNTIF(R$1237:R1638,1)&gt;7,MOD(1+IFERROR(MATCH($C1036,总览!$D$46:$D$345,1)+1,1),7)=0),$C$3,0),0)</f>
        <v>532.407142857145</v>
      </c>
      <c r="S1036" s="131" cm="1">
        <f ca="1" t="array" ref="S1036">IF(S1638=1,OFFSET($W$634,$B1036,S$631-1)/SUMPRODUCT(--($D$631:$V$631=S$631),--($D1638:$V1638=1)),0)+SUM(S1035)+IF(COUNTIF(S$1237:S1638,1)=1,5,0)+IF(COUNTIF(T1036:$W1036,"&gt;"&amp;0)&lt;5,IF(AND(COUNTIF(S$1237:S1638,1)&gt;7,MOD(1+IFERROR(MATCH($C1036,总览!$D$46:$D$345,1)+1,1),7)=0),$C$3,0),0)</f>
        <v>624.907142857146</v>
      </c>
      <c r="T1036" s="131" cm="1">
        <f ca="1" t="array" ref="T1036">IF(T1638=1,OFFSET($W$634,$B1036,T$631-1)/SUMPRODUCT(--($D$631:$V$631=T$631),--($D1638:$V1638=1)),0)+SUM(T1035)+IF(COUNTIF(T$1237:T1638,1)=1,5,0)+IF(COUNTIF(U1036:$W1036,"&gt;"&amp;0)&lt;5,IF(AND(COUNTIF(T$1237:T1638,1)&gt;7,MOD(1+IFERROR(MATCH($C1036,总览!$D$46:$D$345,1)+1,1),7)=0),$C$3,0),0)</f>
        <v>457.235803996871</v>
      </c>
      <c r="U1036" s="131" cm="1">
        <f ca="1" t="array" ref="U1036">IF(U1638=1,OFFSET($W$634,$B1036,U$631-1)/SUMPRODUCT(--($D$631:$V$631=U$631),--($D1638:$V1638=1)),0)+SUM(U1035)+IF(COUNTIF(U$1237:U1638,1)=1,5,0)+IF(COUNTIF(V1036:$W1036,"&gt;"&amp;0)&lt;5,IF(AND(COUNTIF(U$1237:U1638,1)&gt;7,MOD(1+IFERROR(MATCH($C1036,总览!$D$46:$D$345,1)+1,1),7)=0),$C$3,0),0)</f>
        <v>462.75659035217</v>
      </c>
      <c r="V1036" s="131" cm="1">
        <f ca="1" t="array" ref="V1036">IF(V1638=1,OFFSET($W$634,$B1036,V$631-1)/SUMPRODUCT(--($D$631:$V$631=V$631),--($D1638:$V1638=1)),0)+SUM(V1035)+IF(COUNTIF(V$1237:V1638,1)=1,5,0)+IF(COUNTIF(W1036:$W1036,"&gt;"&amp;0)&lt;5,IF(AND(COUNTIF(V$1237:V1638,1)&gt;7,MOD(1+IFERROR(MATCH($C1036,总览!$D$46:$D$345,1)+1,1),7)=0),$C$3,0),0)</f>
        <v>482.583590064603</v>
      </c>
      <c r="W1036" s="135" cm="1">
        <f ca="1" t="array" ref="W1036">SUMPRODUCT(TRANSPOSE($AA1036:$AG1036),OFFSET($L$9:$L$15,0,W$631-1))</f>
        <v>16.8502200646615</v>
      </c>
      <c r="X1036" s="135" cm="1">
        <f ca="1" t="array" ref="X1036">SUMPRODUCT(TRANSPOSE($AA1036:$AG1036),OFFSET($L$9:$L$15,0,X$631-1))</f>
        <v>20</v>
      </c>
      <c r="Y1036" s="135" cm="1">
        <f ca="1" t="array" ref="Y1036">SUMPRODUCT(TRANSPOSE($AA1036:$AG1036),OFFSET($L$9:$L$15,0,Y$631-1))</f>
        <v>10</v>
      </c>
      <c r="Z1036" s="135" cm="1">
        <f ca="1" t="array" ref="Z1036">SUMPRODUCT(TRANSPOSE($AA1036:$AG1036),OFFSET($L$9:$L$15,0,Z$631-1))</f>
        <v>3.14977993533847</v>
      </c>
      <c r="AA1036" s="136">
        <f ca="1" t="shared" ref="AA1036:AG1036" si="1055">AH1036-AH1035</f>
        <v>0</v>
      </c>
      <c r="AB1036" s="136">
        <f ca="1" t="shared" si="1055"/>
        <v>0</v>
      </c>
      <c r="AC1036" s="136">
        <f ca="1" t="shared" si="1055"/>
        <v>0</v>
      </c>
      <c r="AD1036" s="136">
        <f ca="1" t="shared" si="1055"/>
        <v>0</v>
      </c>
      <c r="AE1036" s="136">
        <f ca="1" t="shared" si="1055"/>
        <v>0</v>
      </c>
      <c r="AF1036" s="136">
        <f ca="1" t="shared" si="1055"/>
        <v>0</v>
      </c>
      <c r="AG1036" s="136">
        <f ca="1" t="shared" si="1055"/>
        <v>100</v>
      </c>
      <c r="AH1036" s="136">
        <f ca="1" t="shared" si="1021"/>
        <v>450</v>
      </c>
      <c r="AI1036" s="136">
        <f ca="1" t="shared" ref="AI1036:AN1036" si="1056">IF($C1036&gt;OFFSET($Q$8,MATCH(AI$634,$AH$634:$AN$634,0),0),OFFSET($P$8,MATCH(AI$634,$AH$634:$AN$634,0),0),MAX(0,$C1036-OFFSET($Q$8,RIGHT(AI$634,1)-1,0)))</f>
        <v>909</v>
      </c>
      <c r="AJ1036" s="136">
        <f ca="1" t="shared" si="1056"/>
        <v>1818</v>
      </c>
      <c r="AK1036" s="136">
        <f ca="1" t="shared" si="1056"/>
        <v>2727</v>
      </c>
      <c r="AL1036" s="136">
        <f ca="1" t="shared" si="1056"/>
        <v>3636</v>
      </c>
      <c r="AM1036" s="136">
        <f ca="1" t="shared" si="1056"/>
        <v>4545</v>
      </c>
      <c r="AN1036" s="136">
        <f ca="1" t="shared" si="1056"/>
        <v>26115</v>
      </c>
    </row>
    <row r="1037" s="106" customFormat="1" ht="16.5" spans="2:40">
      <c r="B1037" s="117">
        <v>403</v>
      </c>
      <c r="C1037" s="130">
        <f t="shared" si="1019"/>
        <v>40300</v>
      </c>
      <c r="D1037" s="131" cm="1">
        <f ca="1" t="array" ref="D1037">IF(D1639=1,OFFSET($W$634,$B1037,D$631-1)/SUMPRODUCT(--($D$631:$V$631=D$631),--($D1639:$V1639=1)),0)+SUM(D1036)+IF(COUNTIF(D$1237:D1639,1)=1,5,0)+IF(COUNTIF(E1037:$W1037,"&gt;"&amp;0)&lt;5,IF(AND(COUNTIF(D$1237:D1639,1)&gt;7,MOD(1+IFERROR(MATCH($C1037,总览!$D$46:$D$345,1)+1,1),7)=0),$C$3,0),0)</f>
        <v>2591.24974521702</v>
      </c>
      <c r="E1037" s="131" cm="1">
        <f ca="1" t="array" ref="E1037">IF(E1639=1,OFFSET($W$634,$B1037,E$631-1)/SUMPRODUCT(--($D$631:$V$631=E$631),--($D1639:$V1639=1)),0)+SUM(E1036)+IF(COUNTIF(E$1237:E1639,1)=1,5,0)+IF(COUNTIF(F1037:$W1037,"&gt;"&amp;0)&lt;5,IF(AND(COUNTIF(E$1237:E1639,1)&gt;7,MOD(1+IFERROR(MATCH($C1037,总览!$D$46:$D$345,1)+1,1),7)=0),$C$3,0),0)</f>
        <v>2591.24974521702</v>
      </c>
      <c r="F1037" s="131" cm="1">
        <f ca="1" t="array" ref="F1037">IF(F1639=1,OFFSET($W$634,$B1037,F$631-1)/SUMPRODUCT(--($D$631:$V$631=F$631),--($D1639:$V1639=1)),0)+SUM(F1036)+IF(COUNTIF(F$1237:F1639,1)=1,5,0)+IF(COUNTIF(G1037:$W1037,"&gt;"&amp;0)&lt;5,IF(AND(COUNTIF(F$1237:F1639,1)&gt;7,MOD(1+IFERROR(MATCH($C1037,总览!$D$46:$D$345,1)+1,1),7)=0),$C$3,0),0)</f>
        <v>2591.24974521702</v>
      </c>
      <c r="G1037" s="131" cm="1">
        <f ca="1" t="array" ref="G1037">IF(G1639=1,OFFSET($W$634,$B1037,G$631-1)/SUMPRODUCT(--($D$631:$V$631=G$631),--($D1639:$V1639=1)),0)+SUM(G1036)+IF(COUNTIF(G$1237:G1639,1)=1,5,0)+IF(COUNTIF(H1037:$W1037,"&gt;"&amp;0)&lt;5,IF(AND(COUNTIF(G$1237:G1639,1)&gt;7,MOD(1+IFERROR(MATCH($C1037,总览!$D$46:$D$345,1)+1,1),7)=0),$C$3,0),0)</f>
        <v>1282.73333333333</v>
      </c>
      <c r="H1037" s="131" cm="1">
        <f ca="1" t="array" ref="H1037">IF(H1639=1,OFFSET($W$634,$B1037,H$631-1)/SUMPRODUCT(--($D$631:$V$631=H$631),--($D1639:$V1639=1)),0)+SUM(H1036)+IF(COUNTIF(H$1237:H1639,1)=1,5,0)+IF(COUNTIF(I1037:$W1037,"&gt;"&amp;0)&lt;5,IF(AND(COUNTIF(H$1237:H1639,1)&gt;7,MOD(1+IFERROR(MATCH($C1037,总览!$D$46:$D$345,1)+1,1),7)=0),$C$3,0),0)</f>
        <v>1282.73333333333</v>
      </c>
      <c r="I1037" s="131" cm="1">
        <f ca="1" t="array" ref="I1037">IF(I1639=1,OFFSET($W$634,$B1037,I$631-1)/SUMPRODUCT(--($D$631:$V$631=I$631),--($D1639:$V1639=1)),0)+SUM(I1036)+IF(COUNTIF(I$1237:I1639,1)=1,5,0)+IF(COUNTIF(J1037:$W1037,"&gt;"&amp;0)&lt;5,IF(AND(COUNTIF(I$1237:I1639,1)&gt;7,MOD(1+IFERROR(MATCH($C1037,总览!$D$46:$D$345,1)+1,1),7)=0),$C$3,0),0)</f>
        <v>1282.73333333333</v>
      </c>
      <c r="J1037" s="131" cm="1">
        <f ca="1" t="array" ref="J1037">IF(J1639=1,OFFSET($W$634,$B1037,J$631-1)/SUMPRODUCT(--($D$631:$V$631=J$631),--($D1639:$V1639=1)),0)+SUM(J1036)+IF(COUNTIF(J$1237:J1639,1)=1,5,0)+IF(COUNTIF(K1037:$W1037,"&gt;"&amp;0)&lt;5,IF(AND(COUNTIF(J$1237:J1639,1)&gt;7,MOD(1+IFERROR(MATCH($C1037,总览!$D$46:$D$345,1)+1,1),7)=0),$C$3,0),0)</f>
        <v>1279.4</v>
      </c>
      <c r="K1037" s="131" cm="1">
        <f ca="1" t="array" ref="K1037">IF(K1639=1,OFFSET($W$634,$B1037,K$631-1)/SUMPRODUCT(--($D$631:$V$631=K$631),--($D1639:$V1639=1)),0)+SUM(K1036)+IF(COUNTIF(K$1237:K1639,1)=1,5,0)+IF(COUNTIF(L1037:$W1037,"&gt;"&amp;0)&lt;5,IF(AND(COUNTIF(K$1237:K1639,1)&gt;7,MOD(1+IFERROR(MATCH($C1037,总览!$D$46:$D$345,1)+1,1),7)=0),$C$3,0),0)</f>
        <v>1276.9</v>
      </c>
      <c r="L1037" s="131" cm="1">
        <f ca="1" t="array" ref="L1037">IF(L1639=1,OFFSET($W$634,$B1037,L$631-1)/SUMPRODUCT(--($D$631:$V$631=L$631),--($D1639:$V1639=1)),0)+SUM(L1036)+IF(COUNTIF(L$1237:L1639,1)=1,5,0)+IF(COUNTIF(M1037:$W1037,"&gt;"&amp;0)&lt;5,IF(AND(COUNTIF(L$1237:L1639,1)&gt;7,MOD(1+IFERROR(MATCH($C1037,总览!$D$46:$D$345,1)+1,1),7)=0),$C$3,0),0)</f>
        <v>1276.9</v>
      </c>
      <c r="M1037" s="131" cm="1">
        <f ca="1" t="array" ref="M1037">IF(M1639=1,OFFSET($W$634,$B1037,M$631-1)/SUMPRODUCT(--($D$631:$V$631=M$631),--($D1639:$V1639=1)),0)+SUM(M1036)+IF(COUNTIF(M$1237:M1639,1)=1,5,0)+IF(COUNTIF(N1037:$W1037,"&gt;"&amp;0)&lt;5,IF(AND(COUNTIF(M$1237:M1639,1)&gt;7,MOD(1+IFERROR(MATCH($C1037,总览!$D$46:$D$345,1)+1,1),7)=0),$C$3,0),0)</f>
        <v>533.466964285716</v>
      </c>
      <c r="N1037" s="131" cm="1">
        <f ca="1" t="array" ref="N1037">IF(N1639=1,OFFSET($W$634,$B1037,N$631-1)/SUMPRODUCT(--($D$631:$V$631=N$631),--($D1639:$V1639=1)),0)+SUM(N1036)+IF(COUNTIF(N$1237:N1639,1)=1,5,0)+IF(COUNTIF(O1037:$W1037,"&gt;"&amp;0)&lt;5,IF(AND(COUNTIF(N$1237:N1639,1)&gt;7,MOD(1+IFERROR(MATCH($C1037,总览!$D$46:$D$345,1)+1,1),7)=0),$C$3,0),0)</f>
        <v>534.716964285716</v>
      </c>
      <c r="O1037" s="131" cm="1">
        <f ca="1" t="array" ref="O1037">IF(O1639=1,OFFSET($W$634,$B1037,O$631-1)/SUMPRODUCT(--($D$631:$V$631=O$631),--($D1639:$V1639=1)),0)+SUM(O1036)+IF(COUNTIF(O$1237:O1639,1)=1,5,0)+IF(COUNTIF(P1037:$W1037,"&gt;"&amp;0)&lt;5,IF(AND(COUNTIF(O$1237:O1639,1)&gt;7,MOD(1+IFERROR(MATCH($C1037,总览!$D$46:$D$345,1)+1,1),7)=0),$C$3,0),0)</f>
        <v>539.716964285716</v>
      </c>
      <c r="P1037" s="131" cm="1">
        <f ca="1" t="array" ref="P1037">IF(P1639=1,OFFSET($W$634,$B1037,P$631-1)/SUMPRODUCT(--($D$631:$V$631=P$631),--($D1639:$V1639=1)),0)+SUM(P1036)+IF(COUNTIF(P$1237:P1639,1)=1,5,0)+IF(COUNTIF(Q1037:$W1037,"&gt;"&amp;0)&lt;5,IF(AND(COUNTIF(P$1237:P1639,1)&gt;7,MOD(1+IFERROR(MATCH($C1037,总览!$D$46:$D$345,1)+1,1),7)=0),$C$3,0),0)</f>
        <v>528.835714285716</v>
      </c>
      <c r="Q1037" s="131" cm="1">
        <f ca="1" t="array" ref="Q1037">IF(Q1639=1,OFFSET($W$634,$B1037,Q$631-1)/SUMPRODUCT(--($D$631:$V$631=Q$631),--($D1639:$V1639=1)),0)+SUM(Q1036)+IF(COUNTIF(Q$1237:Q1639,1)=1,5,0)+IF(COUNTIF(R1037:$W1037,"&gt;"&amp;0)&lt;5,IF(AND(COUNTIF(Q$1237:Q1639,1)&gt;7,MOD(1+IFERROR(MATCH($C1037,总览!$D$46:$D$345,1)+1,1),7)=0),$C$3,0),0)</f>
        <v>542.216964285716</v>
      </c>
      <c r="R1037" s="131" cm="1">
        <f ca="1" t="array" ref="R1037">IF(R1639=1,OFFSET($W$634,$B1037,R$631-1)/SUMPRODUCT(--($D$631:$V$631=R$631),--($D1639:$V1639=1)),0)+SUM(R1036)+IF(COUNTIF(R$1237:R1639,1)=1,5,0)+IF(COUNTIF(S1037:$W1037,"&gt;"&amp;0)&lt;5,IF(AND(COUNTIF(R$1237:R1639,1)&gt;7,MOD(1+IFERROR(MATCH($C1037,总览!$D$46:$D$345,1)+1,1),7)=0),$C$3,0),0)</f>
        <v>533.835714285716</v>
      </c>
      <c r="S1037" s="131" cm="1">
        <f ca="1" t="array" ref="S1037">IF(S1639=1,OFFSET($W$634,$B1037,S$631-1)/SUMPRODUCT(--($D$631:$V$631=S$631),--($D1639:$V1639=1)),0)+SUM(S1036)+IF(COUNTIF(S$1237:S1639,1)=1,5,0)+IF(COUNTIF(T1037:$W1037,"&gt;"&amp;0)&lt;5,IF(AND(COUNTIF(S$1237:S1639,1)&gt;7,MOD(1+IFERROR(MATCH($C1037,总览!$D$46:$D$345,1)+1,1),7)=0),$C$3,0),0)</f>
        <v>626.335714285717</v>
      </c>
      <c r="T1037" s="131" cm="1">
        <f ca="1" t="array" ref="T1037">IF(T1639=1,OFFSET($W$634,$B1037,T$631-1)/SUMPRODUCT(--($D$631:$V$631=T$631),--($D1639:$V1639=1)),0)+SUM(T1036)+IF(COUNTIF(T$1237:T1639,1)=1,5,0)+IF(COUNTIF(U1037:$W1037,"&gt;"&amp;0)&lt;5,IF(AND(COUNTIF(T$1237:T1639,1)&gt;7,MOD(1+IFERROR(MATCH($C1037,总览!$D$46:$D$345,1)+1,1),7)=0),$C$3,0),0)</f>
        <v>458.285730641983</v>
      </c>
      <c r="U1037" s="131" cm="1">
        <f ca="1" t="array" ref="U1037">IF(U1639=1,OFFSET($W$634,$B1037,U$631-1)/SUMPRODUCT(--($D$631:$V$631=U$631),--($D1639:$V1639=1)),0)+SUM(U1036)+IF(COUNTIF(U$1237:U1639,1)=1,5,0)+IF(COUNTIF(V1037:$W1037,"&gt;"&amp;0)&lt;5,IF(AND(COUNTIF(U$1237:U1639,1)&gt;7,MOD(1+IFERROR(MATCH($C1037,总览!$D$46:$D$345,1)+1,1),7)=0),$C$3,0),0)</f>
        <v>463.806516997283</v>
      </c>
      <c r="V1037" s="131" cm="1">
        <f ca="1" t="array" ref="V1037">IF(V1639=1,OFFSET($W$634,$B1037,V$631-1)/SUMPRODUCT(--($D$631:$V$631=V$631),--($D1639:$V1639=1)),0)+SUM(V1036)+IF(COUNTIF(V$1237:V1639,1)=1,5,0)+IF(COUNTIF(W1037:$W1037,"&gt;"&amp;0)&lt;5,IF(AND(COUNTIF(V$1237:V1639,1)&gt;7,MOD(1+IFERROR(MATCH($C1037,总览!$D$46:$D$345,1)+1,1),7)=0),$C$3,0),0)</f>
        <v>483.633516709716</v>
      </c>
      <c r="W1037" s="135" cm="1">
        <f ca="1" t="array" ref="W1037">SUMPRODUCT(TRANSPOSE($AA1037:$AG1037),OFFSET($L$9:$L$15,0,W$631-1))</f>
        <v>16.8502200646615</v>
      </c>
      <c r="X1037" s="135" cm="1">
        <f ca="1" t="array" ref="X1037">SUMPRODUCT(TRANSPOSE($AA1037:$AG1037),OFFSET($L$9:$L$15,0,X$631-1))</f>
        <v>20</v>
      </c>
      <c r="Y1037" s="135" cm="1">
        <f ca="1" t="array" ref="Y1037">SUMPRODUCT(TRANSPOSE($AA1037:$AG1037),OFFSET($L$9:$L$15,0,Y$631-1))</f>
        <v>10</v>
      </c>
      <c r="Z1037" s="135" cm="1">
        <f ca="1" t="array" ref="Z1037">SUMPRODUCT(TRANSPOSE($AA1037:$AG1037),OFFSET($L$9:$L$15,0,Z$631-1))</f>
        <v>3.14977993533847</v>
      </c>
      <c r="AA1037" s="136">
        <f ca="1" t="shared" ref="AA1037:AG1037" si="1057">AH1037-AH1036</f>
        <v>0</v>
      </c>
      <c r="AB1037" s="136">
        <f ca="1" t="shared" si="1057"/>
        <v>0</v>
      </c>
      <c r="AC1037" s="136">
        <f ca="1" t="shared" si="1057"/>
        <v>0</v>
      </c>
      <c r="AD1037" s="136">
        <f ca="1" t="shared" si="1057"/>
        <v>0</v>
      </c>
      <c r="AE1037" s="136">
        <f ca="1" t="shared" si="1057"/>
        <v>0</v>
      </c>
      <c r="AF1037" s="136">
        <f ca="1" t="shared" si="1057"/>
        <v>0</v>
      </c>
      <c r="AG1037" s="136">
        <f ca="1" t="shared" si="1057"/>
        <v>100</v>
      </c>
      <c r="AH1037" s="136">
        <f ca="1" t="shared" si="1021"/>
        <v>450</v>
      </c>
      <c r="AI1037" s="136">
        <f ca="1" t="shared" ref="AI1037:AN1037" si="1058">IF($C1037&gt;OFFSET($Q$8,MATCH(AI$634,$AH$634:$AN$634,0),0),OFFSET($P$8,MATCH(AI$634,$AH$634:$AN$634,0),0),MAX(0,$C1037-OFFSET($Q$8,RIGHT(AI$634,1)-1,0)))</f>
        <v>909</v>
      </c>
      <c r="AJ1037" s="136">
        <f ca="1" t="shared" si="1058"/>
        <v>1818</v>
      </c>
      <c r="AK1037" s="136">
        <f ca="1" t="shared" si="1058"/>
        <v>2727</v>
      </c>
      <c r="AL1037" s="136">
        <f ca="1" t="shared" si="1058"/>
        <v>3636</v>
      </c>
      <c r="AM1037" s="136">
        <f ca="1" t="shared" si="1058"/>
        <v>4545</v>
      </c>
      <c r="AN1037" s="136">
        <f ca="1" t="shared" si="1058"/>
        <v>26215</v>
      </c>
    </row>
    <row r="1038" s="106" customFormat="1" ht="16.5" spans="2:40">
      <c r="B1038" s="117">
        <v>404</v>
      </c>
      <c r="C1038" s="130">
        <f t="shared" si="1019"/>
        <v>40400</v>
      </c>
      <c r="D1038" s="131" cm="1">
        <f ca="1" t="array" ref="D1038">IF(D1640=1,OFFSET($W$634,$B1038,D$631-1)/SUMPRODUCT(--($D$631:$V$631=D$631),--($D1640:$V1640=1)),0)+SUM(D1037)+IF(COUNTIF(D$1237:D1640,1)=1,5,0)+IF(COUNTIF(E1038:$W1038,"&gt;"&amp;0)&lt;5,IF(AND(COUNTIF(D$1237:D1640,1)&gt;7,MOD(1+IFERROR(MATCH($C1038,总览!$D$46:$D$345,1)+1,1),7)=0),$C$3,0),0)</f>
        <v>2596.86648523857</v>
      </c>
      <c r="E1038" s="131" cm="1">
        <f ca="1" t="array" ref="E1038">IF(E1640=1,OFFSET($W$634,$B1038,E$631-1)/SUMPRODUCT(--($D$631:$V$631=E$631),--($D1640:$V1640=1)),0)+SUM(E1037)+IF(COUNTIF(E$1237:E1640,1)=1,5,0)+IF(COUNTIF(F1038:$W1038,"&gt;"&amp;0)&lt;5,IF(AND(COUNTIF(E$1237:E1640,1)&gt;7,MOD(1+IFERROR(MATCH($C1038,总览!$D$46:$D$345,1)+1,1),7)=0),$C$3,0),0)</f>
        <v>2596.86648523857</v>
      </c>
      <c r="F1038" s="131" cm="1">
        <f ca="1" t="array" ref="F1038">IF(F1640=1,OFFSET($W$634,$B1038,F$631-1)/SUMPRODUCT(--($D$631:$V$631=F$631),--($D1640:$V1640=1)),0)+SUM(F1037)+IF(COUNTIF(F$1237:F1640,1)=1,5,0)+IF(COUNTIF(G1038:$W1038,"&gt;"&amp;0)&lt;5,IF(AND(COUNTIF(F$1237:F1640,1)&gt;7,MOD(1+IFERROR(MATCH($C1038,总览!$D$46:$D$345,1)+1,1),7)=0),$C$3,0),0)</f>
        <v>2596.86648523857</v>
      </c>
      <c r="G1038" s="131" cm="1">
        <f ca="1" t="array" ref="G1038">IF(G1640=1,OFFSET($W$634,$B1038,G$631-1)/SUMPRODUCT(--($D$631:$V$631=G$631),--($D1640:$V1640=1)),0)+SUM(G1037)+IF(COUNTIF(G$1237:G1640,1)=1,5,0)+IF(COUNTIF(H1038:$W1038,"&gt;"&amp;0)&lt;5,IF(AND(COUNTIF(G$1237:G1640,1)&gt;7,MOD(1+IFERROR(MATCH($C1038,总览!$D$46:$D$345,1)+1,1),7)=0),$C$3,0),0)</f>
        <v>1286.06666666667</v>
      </c>
      <c r="H1038" s="131" cm="1">
        <f ca="1" t="array" ref="H1038">IF(H1640=1,OFFSET($W$634,$B1038,H$631-1)/SUMPRODUCT(--($D$631:$V$631=H$631),--($D1640:$V1640=1)),0)+SUM(H1037)+IF(COUNTIF(H$1237:H1640,1)=1,5,0)+IF(COUNTIF(I1038:$W1038,"&gt;"&amp;0)&lt;5,IF(AND(COUNTIF(H$1237:H1640,1)&gt;7,MOD(1+IFERROR(MATCH($C1038,总览!$D$46:$D$345,1)+1,1),7)=0),$C$3,0),0)</f>
        <v>1286.06666666667</v>
      </c>
      <c r="I1038" s="131" cm="1">
        <f ca="1" t="array" ref="I1038">IF(I1640=1,OFFSET($W$634,$B1038,I$631-1)/SUMPRODUCT(--($D$631:$V$631=I$631),--($D1640:$V1640=1)),0)+SUM(I1037)+IF(COUNTIF(I$1237:I1640,1)=1,5,0)+IF(COUNTIF(J1038:$W1038,"&gt;"&amp;0)&lt;5,IF(AND(COUNTIF(I$1237:I1640,1)&gt;7,MOD(1+IFERROR(MATCH($C1038,总览!$D$46:$D$345,1)+1,1),7)=0),$C$3,0),0)</f>
        <v>1286.06666666667</v>
      </c>
      <c r="J1038" s="131" cm="1">
        <f ca="1" t="array" ref="J1038">IF(J1640=1,OFFSET($W$634,$B1038,J$631-1)/SUMPRODUCT(--($D$631:$V$631=J$631),--($D1640:$V1640=1)),0)+SUM(J1037)+IF(COUNTIF(J$1237:J1640,1)=1,5,0)+IF(COUNTIF(K1038:$W1038,"&gt;"&amp;0)&lt;5,IF(AND(COUNTIF(J$1237:J1640,1)&gt;7,MOD(1+IFERROR(MATCH($C1038,总览!$D$46:$D$345,1)+1,1),7)=0),$C$3,0),0)</f>
        <v>1282.73333333333</v>
      </c>
      <c r="K1038" s="131" cm="1">
        <f ca="1" t="array" ref="K1038">IF(K1640=1,OFFSET($W$634,$B1038,K$631-1)/SUMPRODUCT(--($D$631:$V$631=K$631),--($D1640:$V1640=1)),0)+SUM(K1037)+IF(COUNTIF(K$1237:K1640,1)=1,5,0)+IF(COUNTIF(L1038:$W1038,"&gt;"&amp;0)&lt;5,IF(AND(COUNTIF(K$1237:K1640,1)&gt;7,MOD(1+IFERROR(MATCH($C1038,总览!$D$46:$D$345,1)+1,1),7)=0),$C$3,0),0)</f>
        <v>1280.23333333333</v>
      </c>
      <c r="L1038" s="131" cm="1">
        <f ca="1" t="array" ref="L1038">IF(L1640=1,OFFSET($W$634,$B1038,L$631-1)/SUMPRODUCT(--($D$631:$V$631=L$631),--($D1640:$V1640=1)),0)+SUM(L1037)+IF(COUNTIF(L$1237:L1640,1)=1,5,0)+IF(COUNTIF(M1038:$W1038,"&gt;"&amp;0)&lt;5,IF(AND(COUNTIF(L$1237:L1640,1)&gt;7,MOD(1+IFERROR(MATCH($C1038,总览!$D$46:$D$345,1)+1,1),7)=0),$C$3,0),0)</f>
        <v>1280.23333333333</v>
      </c>
      <c r="M1038" s="131" cm="1">
        <f ca="1" t="array" ref="M1038">IF(M1640=1,OFFSET($W$634,$B1038,M$631-1)/SUMPRODUCT(--($D$631:$V$631=M$631),--($D1640:$V1640=1)),0)+SUM(M1037)+IF(COUNTIF(M$1237:M1640,1)=1,5,0)+IF(COUNTIF(N1038:$W1038,"&gt;"&amp;0)&lt;5,IF(AND(COUNTIF(M$1237:M1640,1)&gt;7,MOD(1+IFERROR(MATCH($C1038,总览!$D$46:$D$345,1)+1,1),7)=0),$C$3,0),0)</f>
        <v>534.895535714288</v>
      </c>
      <c r="N1038" s="131" cm="1">
        <f ca="1" t="array" ref="N1038">IF(N1640=1,OFFSET($W$634,$B1038,N$631-1)/SUMPRODUCT(--($D$631:$V$631=N$631),--($D1640:$V1640=1)),0)+SUM(N1037)+IF(COUNTIF(N$1237:N1640,1)=1,5,0)+IF(COUNTIF(O1038:$W1038,"&gt;"&amp;0)&lt;5,IF(AND(COUNTIF(N$1237:N1640,1)&gt;7,MOD(1+IFERROR(MATCH($C1038,总览!$D$46:$D$345,1)+1,1),7)=0),$C$3,0),0)</f>
        <v>536.145535714288</v>
      </c>
      <c r="O1038" s="131" cm="1">
        <f ca="1" t="array" ref="O1038">IF(O1640=1,OFFSET($W$634,$B1038,O$631-1)/SUMPRODUCT(--($D$631:$V$631=O$631),--($D1640:$V1640=1)),0)+SUM(O1037)+IF(COUNTIF(O$1237:O1640,1)=1,5,0)+IF(COUNTIF(P1038:$W1038,"&gt;"&amp;0)&lt;5,IF(AND(COUNTIF(O$1237:O1640,1)&gt;7,MOD(1+IFERROR(MATCH($C1038,总览!$D$46:$D$345,1)+1,1),7)=0),$C$3,0),0)</f>
        <v>541.145535714288</v>
      </c>
      <c r="P1038" s="131" cm="1">
        <f ca="1" t="array" ref="P1038">IF(P1640=1,OFFSET($W$634,$B1038,P$631-1)/SUMPRODUCT(--($D$631:$V$631=P$631),--($D1640:$V1640=1)),0)+SUM(P1037)+IF(COUNTIF(P$1237:P1640,1)=1,5,0)+IF(COUNTIF(Q1038:$W1038,"&gt;"&amp;0)&lt;5,IF(AND(COUNTIF(P$1237:P1640,1)&gt;7,MOD(1+IFERROR(MATCH($C1038,总览!$D$46:$D$345,1)+1,1),7)=0),$C$3,0),0)</f>
        <v>530.264285714288</v>
      </c>
      <c r="Q1038" s="131" cm="1">
        <f ca="1" t="array" ref="Q1038">IF(Q1640=1,OFFSET($W$634,$B1038,Q$631-1)/SUMPRODUCT(--($D$631:$V$631=Q$631),--($D1640:$V1640=1)),0)+SUM(Q1037)+IF(COUNTIF(Q$1237:Q1640,1)=1,5,0)+IF(COUNTIF(R1038:$W1038,"&gt;"&amp;0)&lt;5,IF(AND(COUNTIF(Q$1237:Q1640,1)&gt;7,MOD(1+IFERROR(MATCH($C1038,总览!$D$46:$D$345,1)+1,1),7)=0),$C$3,0),0)</f>
        <v>543.645535714288</v>
      </c>
      <c r="R1038" s="131" cm="1">
        <f ca="1" t="array" ref="R1038">IF(R1640=1,OFFSET($W$634,$B1038,R$631-1)/SUMPRODUCT(--($D$631:$V$631=R$631),--($D1640:$V1640=1)),0)+SUM(R1037)+IF(COUNTIF(R$1237:R1640,1)=1,5,0)+IF(COUNTIF(S1038:$W1038,"&gt;"&amp;0)&lt;5,IF(AND(COUNTIF(R$1237:R1640,1)&gt;7,MOD(1+IFERROR(MATCH($C1038,总览!$D$46:$D$345,1)+1,1),7)=0),$C$3,0),0)</f>
        <v>535.264285714288</v>
      </c>
      <c r="S1038" s="131" cm="1">
        <f ca="1" t="array" ref="S1038">IF(S1640=1,OFFSET($W$634,$B1038,S$631-1)/SUMPRODUCT(--($D$631:$V$631=S$631),--($D1640:$V1640=1)),0)+SUM(S1037)+IF(COUNTIF(S$1237:S1640,1)=1,5,0)+IF(COUNTIF(T1038:$W1038,"&gt;"&amp;0)&lt;5,IF(AND(COUNTIF(S$1237:S1640,1)&gt;7,MOD(1+IFERROR(MATCH($C1038,总览!$D$46:$D$345,1)+1,1),7)=0),$C$3,0),0)</f>
        <v>627.764285714289</v>
      </c>
      <c r="T1038" s="131" cm="1">
        <f ca="1" t="array" ref="T1038">IF(T1640=1,OFFSET($W$634,$B1038,T$631-1)/SUMPRODUCT(--($D$631:$V$631=T$631),--($D1640:$V1640=1)),0)+SUM(T1037)+IF(COUNTIF(T$1237:T1640,1)=1,5,0)+IF(COUNTIF(U1038:$W1038,"&gt;"&amp;0)&lt;5,IF(AND(COUNTIF(T$1237:T1640,1)&gt;7,MOD(1+IFERROR(MATCH($C1038,总览!$D$46:$D$345,1)+1,1),7)=0),$C$3,0),0)</f>
        <v>459.335657287096</v>
      </c>
      <c r="U1038" s="131" cm="1">
        <f ca="1" t="array" ref="U1038">IF(U1640=1,OFFSET($W$634,$B1038,U$631-1)/SUMPRODUCT(--($D$631:$V$631=U$631),--($D1640:$V1640=1)),0)+SUM(U1037)+IF(COUNTIF(U$1237:U1640,1)=1,5,0)+IF(COUNTIF(V1038:$W1038,"&gt;"&amp;0)&lt;5,IF(AND(COUNTIF(U$1237:U1640,1)&gt;7,MOD(1+IFERROR(MATCH($C1038,总览!$D$46:$D$345,1)+1,1),7)=0),$C$3,0),0)</f>
        <v>464.856443642396</v>
      </c>
      <c r="V1038" s="131" cm="1">
        <f ca="1" t="array" ref="V1038">IF(V1640=1,OFFSET($W$634,$B1038,V$631-1)/SUMPRODUCT(--($D$631:$V$631=V$631),--($D1640:$V1640=1)),0)+SUM(V1037)+IF(COUNTIF(V$1237:V1640,1)=1,5,0)+IF(COUNTIF(W1038:$W1038,"&gt;"&amp;0)&lt;5,IF(AND(COUNTIF(V$1237:V1640,1)&gt;7,MOD(1+IFERROR(MATCH($C1038,总览!$D$46:$D$345,1)+1,1),7)=0),$C$3,0),0)</f>
        <v>484.683443354829</v>
      </c>
      <c r="W1038" s="135" cm="1">
        <f ca="1" t="array" ref="W1038">SUMPRODUCT(TRANSPOSE($AA1038:$AG1038),OFFSET($L$9:$L$15,0,W$631-1))</f>
        <v>16.8502200646615</v>
      </c>
      <c r="X1038" s="135" cm="1">
        <f ca="1" t="array" ref="X1038">SUMPRODUCT(TRANSPOSE($AA1038:$AG1038),OFFSET($L$9:$L$15,0,X$631-1))</f>
        <v>20</v>
      </c>
      <c r="Y1038" s="135" cm="1">
        <f ca="1" t="array" ref="Y1038">SUMPRODUCT(TRANSPOSE($AA1038:$AG1038),OFFSET($L$9:$L$15,0,Y$631-1))</f>
        <v>10</v>
      </c>
      <c r="Z1038" s="135" cm="1">
        <f ca="1" t="array" ref="Z1038">SUMPRODUCT(TRANSPOSE($AA1038:$AG1038),OFFSET($L$9:$L$15,0,Z$631-1))</f>
        <v>3.14977993533847</v>
      </c>
      <c r="AA1038" s="136">
        <f ca="1" t="shared" ref="AA1038:AG1038" si="1059">AH1038-AH1037</f>
        <v>0</v>
      </c>
      <c r="AB1038" s="136">
        <f ca="1" t="shared" si="1059"/>
        <v>0</v>
      </c>
      <c r="AC1038" s="136">
        <f ca="1" t="shared" si="1059"/>
        <v>0</v>
      </c>
      <c r="AD1038" s="136">
        <f ca="1" t="shared" si="1059"/>
        <v>0</v>
      </c>
      <c r="AE1038" s="136">
        <f ca="1" t="shared" si="1059"/>
        <v>0</v>
      </c>
      <c r="AF1038" s="136">
        <f ca="1" t="shared" si="1059"/>
        <v>0</v>
      </c>
      <c r="AG1038" s="136">
        <f ca="1" t="shared" si="1059"/>
        <v>100</v>
      </c>
      <c r="AH1038" s="136">
        <f ca="1" t="shared" si="1021"/>
        <v>450</v>
      </c>
      <c r="AI1038" s="136">
        <f ca="1" t="shared" ref="AI1038:AN1038" si="1060">IF($C1038&gt;OFFSET($Q$8,MATCH(AI$634,$AH$634:$AN$634,0),0),OFFSET($P$8,MATCH(AI$634,$AH$634:$AN$634,0),0),MAX(0,$C1038-OFFSET($Q$8,RIGHT(AI$634,1)-1,0)))</f>
        <v>909</v>
      </c>
      <c r="AJ1038" s="136">
        <f ca="1" t="shared" si="1060"/>
        <v>1818</v>
      </c>
      <c r="AK1038" s="136">
        <f ca="1" t="shared" si="1060"/>
        <v>2727</v>
      </c>
      <c r="AL1038" s="136">
        <f ca="1" t="shared" si="1060"/>
        <v>3636</v>
      </c>
      <c r="AM1038" s="136">
        <f ca="1" t="shared" si="1060"/>
        <v>4545</v>
      </c>
      <c r="AN1038" s="136">
        <f ca="1" t="shared" si="1060"/>
        <v>26315</v>
      </c>
    </row>
    <row r="1039" s="106" customFormat="1" ht="16.5" spans="2:40">
      <c r="B1039" s="117">
        <v>405</v>
      </c>
      <c r="C1039" s="130">
        <f t="shared" si="1019"/>
        <v>40500</v>
      </c>
      <c r="D1039" s="131" cm="1">
        <f ca="1" t="array" ref="D1039">IF(D1641=1,OFFSET($W$634,$B1039,D$631-1)/SUMPRODUCT(--($D$631:$V$631=D$631),--($D1641:$V1641=1)),0)+SUM(D1038)+IF(COUNTIF(D$1237:D1641,1)=1,5,0)+IF(COUNTIF(E1039:$W1039,"&gt;"&amp;0)&lt;5,IF(AND(COUNTIF(D$1237:D1641,1)&gt;7,MOD(1+IFERROR(MATCH($C1039,总览!$D$46:$D$345,1)+1,1),7)=0),$C$3,0),0)</f>
        <v>2602.48322526013</v>
      </c>
      <c r="E1039" s="131" cm="1">
        <f ca="1" t="array" ref="E1039">IF(E1641=1,OFFSET($W$634,$B1039,E$631-1)/SUMPRODUCT(--($D$631:$V$631=E$631),--($D1641:$V1641=1)),0)+SUM(E1038)+IF(COUNTIF(E$1237:E1641,1)=1,5,0)+IF(COUNTIF(F1039:$W1039,"&gt;"&amp;0)&lt;5,IF(AND(COUNTIF(E$1237:E1641,1)&gt;7,MOD(1+IFERROR(MATCH($C1039,总览!$D$46:$D$345,1)+1,1),7)=0),$C$3,0),0)</f>
        <v>2602.48322526013</v>
      </c>
      <c r="F1039" s="131" cm="1">
        <f ca="1" t="array" ref="F1039">IF(F1641=1,OFFSET($W$634,$B1039,F$631-1)/SUMPRODUCT(--($D$631:$V$631=F$631),--($D1641:$V1641=1)),0)+SUM(F1038)+IF(COUNTIF(F$1237:F1641,1)=1,5,0)+IF(COUNTIF(G1039:$W1039,"&gt;"&amp;0)&lt;5,IF(AND(COUNTIF(F$1237:F1641,1)&gt;7,MOD(1+IFERROR(MATCH($C1039,总览!$D$46:$D$345,1)+1,1),7)=0),$C$3,0),0)</f>
        <v>2602.48322526013</v>
      </c>
      <c r="G1039" s="131" cm="1">
        <f ca="1" t="array" ref="G1039">IF(G1641=1,OFFSET($W$634,$B1039,G$631-1)/SUMPRODUCT(--($D$631:$V$631=G$631),--($D1641:$V1641=1)),0)+SUM(G1038)+IF(COUNTIF(G$1237:G1641,1)=1,5,0)+IF(COUNTIF(H1039:$W1039,"&gt;"&amp;0)&lt;5,IF(AND(COUNTIF(G$1237:G1641,1)&gt;7,MOD(1+IFERROR(MATCH($C1039,总览!$D$46:$D$345,1)+1,1),7)=0),$C$3,0),0)</f>
        <v>1289.4</v>
      </c>
      <c r="H1039" s="131" cm="1">
        <f ca="1" t="array" ref="H1039">IF(H1641=1,OFFSET($W$634,$B1039,H$631-1)/SUMPRODUCT(--($D$631:$V$631=H$631),--($D1641:$V1641=1)),0)+SUM(H1038)+IF(COUNTIF(H$1237:H1641,1)=1,5,0)+IF(COUNTIF(I1039:$W1039,"&gt;"&amp;0)&lt;5,IF(AND(COUNTIF(H$1237:H1641,1)&gt;7,MOD(1+IFERROR(MATCH($C1039,总览!$D$46:$D$345,1)+1,1),7)=0),$C$3,0),0)</f>
        <v>1289.4</v>
      </c>
      <c r="I1039" s="131" cm="1">
        <f ca="1" t="array" ref="I1039">IF(I1641=1,OFFSET($W$634,$B1039,I$631-1)/SUMPRODUCT(--($D$631:$V$631=I$631),--($D1641:$V1641=1)),0)+SUM(I1038)+IF(COUNTIF(I$1237:I1641,1)=1,5,0)+IF(COUNTIF(J1039:$W1039,"&gt;"&amp;0)&lt;5,IF(AND(COUNTIF(I$1237:I1641,1)&gt;7,MOD(1+IFERROR(MATCH($C1039,总览!$D$46:$D$345,1)+1,1),7)=0),$C$3,0),0)</f>
        <v>1289.4</v>
      </c>
      <c r="J1039" s="131" cm="1">
        <f ca="1" t="array" ref="J1039">IF(J1641=1,OFFSET($W$634,$B1039,J$631-1)/SUMPRODUCT(--($D$631:$V$631=J$631),--($D1641:$V1641=1)),0)+SUM(J1038)+IF(COUNTIF(J$1237:J1641,1)=1,5,0)+IF(COUNTIF(K1039:$W1039,"&gt;"&amp;0)&lt;5,IF(AND(COUNTIF(J$1237:J1641,1)&gt;7,MOD(1+IFERROR(MATCH($C1039,总览!$D$46:$D$345,1)+1,1),7)=0),$C$3,0),0)</f>
        <v>1286.06666666667</v>
      </c>
      <c r="K1039" s="131" cm="1">
        <f ca="1" t="array" ref="K1039">IF(K1641=1,OFFSET($W$634,$B1039,K$631-1)/SUMPRODUCT(--($D$631:$V$631=K$631),--($D1641:$V1641=1)),0)+SUM(K1038)+IF(COUNTIF(K$1237:K1641,1)=1,5,0)+IF(COUNTIF(L1039:$W1039,"&gt;"&amp;0)&lt;5,IF(AND(COUNTIF(K$1237:K1641,1)&gt;7,MOD(1+IFERROR(MATCH($C1039,总览!$D$46:$D$345,1)+1,1),7)=0),$C$3,0),0)</f>
        <v>1283.56666666667</v>
      </c>
      <c r="L1039" s="131" cm="1">
        <f ca="1" t="array" ref="L1039">IF(L1641=1,OFFSET($W$634,$B1039,L$631-1)/SUMPRODUCT(--($D$631:$V$631=L$631),--($D1641:$V1641=1)),0)+SUM(L1038)+IF(COUNTIF(L$1237:L1641,1)=1,5,0)+IF(COUNTIF(M1039:$W1039,"&gt;"&amp;0)&lt;5,IF(AND(COUNTIF(L$1237:L1641,1)&gt;7,MOD(1+IFERROR(MATCH($C1039,总览!$D$46:$D$345,1)+1,1),7)=0),$C$3,0),0)</f>
        <v>1283.56666666667</v>
      </c>
      <c r="M1039" s="131" cm="1">
        <f ca="1" t="array" ref="M1039">IF(M1641=1,OFFSET($W$634,$B1039,M$631-1)/SUMPRODUCT(--($D$631:$V$631=M$631),--($D1641:$V1641=1)),0)+SUM(M1038)+IF(COUNTIF(M$1237:M1641,1)=1,5,0)+IF(COUNTIF(N1039:$W1039,"&gt;"&amp;0)&lt;5,IF(AND(COUNTIF(M$1237:M1641,1)&gt;7,MOD(1+IFERROR(MATCH($C1039,总览!$D$46:$D$345,1)+1,1),7)=0),$C$3,0),0)</f>
        <v>536.324107142859</v>
      </c>
      <c r="N1039" s="131" cm="1">
        <f ca="1" t="array" ref="N1039">IF(N1641=1,OFFSET($W$634,$B1039,N$631-1)/SUMPRODUCT(--($D$631:$V$631=N$631),--($D1641:$V1641=1)),0)+SUM(N1038)+IF(COUNTIF(N$1237:N1641,1)=1,5,0)+IF(COUNTIF(O1039:$W1039,"&gt;"&amp;0)&lt;5,IF(AND(COUNTIF(N$1237:N1641,1)&gt;7,MOD(1+IFERROR(MATCH($C1039,总览!$D$46:$D$345,1)+1,1),7)=0),$C$3,0),0)</f>
        <v>537.574107142859</v>
      </c>
      <c r="O1039" s="131" cm="1">
        <f ca="1" t="array" ref="O1039">IF(O1641=1,OFFSET($W$634,$B1039,O$631-1)/SUMPRODUCT(--($D$631:$V$631=O$631),--($D1641:$V1641=1)),0)+SUM(O1038)+IF(COUNTIF(O$1237:O1641,1)=1,5,0)+IF(COUNTIF(P1039:$W1039,"&gt;"&amp;0)&lt;5,IF(AND(COUNTIF(O$1237:O1641,1)&gt;7,MOD(1+IFERROR(MATCH($C1039,总览!$D$46:$D$345,1)+1,1),7)=0),$C$3,0),0)</f>
        <v>542.574107142859</v>
      </c>
      <c r="P1039" s="131" cm="1">
        <f ca="1" t="array" ref="P1039">IF(P1641=1,OFFSET($W$634,$B1039,P$631-1)/SUMPRODUCT(--($D$631:$V$631=P$631),--($D1641:$V1641=1)),0)+SUM(P1038)+IF(COUNTIF(P$1237:P1641,1)=1,5,0)+IF(COUNTIF(Q1039:$W1039,"&gt;"&amp;0)&lt;5,IF(AND(COUNTIF(P$1237:P1641,1)&gt;7,MOD(1+IFERROR(MATCH($C1039,总览!$D$46:$D$345,1)+1,1),7)=0),$C$3,0),0)</f>
        <v>531.692857142859</v>
      </c>
      <c r="Q1039" s="131" cm="1">
        <f ca="1" t="array" ref="Q1039">IF(Q1641=1,OFFSET($W$634,$B1039,Q$631-1)/SUMPRODUCT(--($D$631:$V$631=Q$631),--($D1641:$V1641=1)),0)+SUM(Q1038)+IF(COUNTIF(Q$1237:Q1641,1)=1,5,0)+IF(COUNTIF(R1039:$W1039,"&gt;"&amp;0)&lt;5,IF(AND(COUNTIF(Q$1237:Q1641,1)&gt;7,MOD(1+IFERROR(MATCH($C1039,总览!$D$46:$D$345,1)+1,1),7)=0),$C$3,0),0)</f>
        <v>545.074107142859</v>
      </c>
      <c r="R1039" s="131" cm="1">
        <f ca="1" t="array" ref="R1039">IF(R1641=1,OFFSET($W$634,$B1039,R$631-1)/SUMPRODUCT(--($D$631:$V$631=R$631),--($D1641:$V1641=1)),0)+SUM(R1038)+IF(COUNTIF(R$1237:R1641,1)=1,5,0)+IF(COUNTIF(S1039:$W1039,"&gt;"&amp;0)&lt;5,IF(AND(COUNTIF(R$1237:R1641,1)&gt;7,MOD(1+IFERROR(MATCH($C1039,总览!$D$46:$D$345,1)+1,1),7)=0),$C$3,0),0)</f>
        <v>536.692857142859</v>
      </c>
      <c r="S1039" s="131" cm="1">
        <f ca="1" t="array" ref="S1039">IF(S1641=1,OFFSET($W$634,$B1039,S$631-1)/SUMPRODUCT(--($D$631:$V$631=S$631),--($D1641:$V1641=1)),0)+SUM(S1038)+IF(COUNTIF(S$1237:S1641,1)=1,5,0)+IF(COUNTIF(T1039:$W1039,"&gt;"&amp;0)&lt;5,IF(AND(COUNTIF(S$1237:S1641,1)&gt;7,MOD(1+IFERROR(MATCH($C1039,总览!$D$46:$D$345,1)+1,1),7)=0),$C$3,0),0)</f>
        <v>629.19285714286</v>
      </c>
      <c r="T1039" s="131" cm="1">
        <f ca="1" t="array" ref="T1039">IF(T1641=1,OFFSET($W$634,$B1039,T$631-1)/SUMPRODUCT(--($D$631:$V$631=T$631),--($D1641:$V1641=1)),0)+SUM(T1038)+IF(COUNTIF(T$1237:T1641,1)=1,5,0)+IF(COUNTIF(U1039:$W1039,"&gt;"&amp;0)&lt;5,IF(AND(COUNTIF(T$1237:T1641,1)&gt;7,MOD(1+IFERROR(MATCH($C1039,总览!$D$46:$D$345,1)+1,1),7)=0),$C$3,0),0)</f>
        <v>460.385583932209</v>
      </c>
      <c r="U1039" s="131" cm="1">
        <f ca="1" t="array" ref="U1039">IF(U1641=1,OFFSET($W$634,$B1039,U$631-1)/SUMPRODUCT(--($D$631:$V$631=U$631),--($D1641:$V1641=1)),0)+SUM(U1038)+IF(COUNTIF(U$1237:U1641,1)=1,5,0)+IF(COUNTIF(V1039:$W1039,"&gt;"&amp;0)&lt;5,IF(AND(COUNTIF(U$1237:U1641,1)&gt;7,MOD(1+IFERROR(MATCH($C1039,总览!$D$46:$D$345,1)+1,1),7)=0),$C$3,0),0)</f>
        <v>465.906370287508</v>
      </c>
      <c r="V1039" s="131" cm="1">
        <f ca="1" t="array" ref="V1039">IF(V1641=1,OFFSET($W$634,$B1039,V$631-1)/SUMPRODUCT(--($D$631:$V$631=V$631),--($D1641:$V1641=1)),0)+SUM(V1038)+IF(COUNTIF(V$1237:V1641,1)=1,5,0)+IF(COUNTIF(W1039:$W1039,"&gt;"&amp;0)&lt;5,IF(AND(COUNTIF(V$1237:V1641,1)&gt;7,MOD(1+IFERROR(MATCH($C1039,总览!$D$46:$D$345,1)+1,1),7)=0),$C$3,0),0)</f>
        <v>485.733369999941</v>
      </c>
      <c r="W1039" s="135" cm="1">
        <f ca="1" t="array" ref="W1039">SUMPRODUCT(TRANSPOSE($AA1039:$AG1039),OFFSET($L$9:$L$15,0,W$631-1))</f>
        <v>16.8502200646615</v>
      </c>
      <c r="X1039" s="135" cm="1">
        <f ca="1" t="array" ref="X1039">SUMPRODUCT(TRANSPOSE($AA1039:$AG1039),OFFSET($L$9:$L$15,0,X$631-1))</f>
        <v>20</v>
      </c>
      <c r="Y1039" s="135" cm="1">
        <f ca="1" t="array" ref="Y1039">SUMPRODUCT(TRANSPOSE($AA1039:$AG1039),OFFSET($L$9:$L$15,0,Y$631-1))</f>
        <v>10</v>
      </c>
      <c r="Z1039" s="135" cm="1">
        <f ca="1" t="array" ref="Z1039">SUMPRODUCT(TRANSPOSE($AA1039:$AG1039),OFFSET($L$9:$L$15,0,Z$631-1))</f>
        <v>3.14977993533847</v>
      </c>
      <c r="AA1039" s="136">
        <f ca="1" t="shared" ref="AA1039:AG1039" si="1061">AH1039-AH1038</f>
        <v>0</v>
      </c>
      <c r="AB1039" s="136">
        <f ca="1" t="shared" si="1061"/>
        <v>0</v>
      </c>
      <c r="AC1039" s="136">
        <f ca="1" t="shared" si="1061"/>
        <v>0</v>
      </c>
      <c r="AD1039" s="136">
        <f ca="1" t="shared" si="1061"/>
        <v>0</v>
      </c>
      <c r="AE1039" s="136">
        <f ca="1" t="shared" si="1061"/>
        <v>0</v>
      </c>
      <c r="AF1039" s="136">
        <f ca="1" t="shared" si="1061"/>
        <v>0</v>
      </c>
      <c r="AG1039" s="136">
        <f ca="1" t="shared" si="1061"/>
        <v>100</v>
      </c>
      <c r="AH1039" s="136">
        <f ca="1" t="shared" si="1021"/>
        <v>450</v>
      </c>
      <c r="AI1039" s="136">
        <f ca="1" t="shared" ref="AI1039:AN1039" si="1062">IF($C1039&gt;OFFSET($Q$8,MATCH(AI$634,$AH$634:$AN$634,0),0),OFFSET($P$8,MATCH(AI$634,$AH$634:$AN$634,0),0),MAX(0,$C1039-OFFSET($Q$8,RIGHT(AI$634,1)-1,0)))</f>
        <v>909</v>
      </c>
      <c r="AJ1039" s="136">
        <f ca="1" t="shared" si="1062"/>
        <v>1818</v>
      </c>
      <c r="AK1039" s="136">
        <f ca="1" t="shared" si="1062"/>
        <v>2727</v>
      </c>
      <c r="AL1039" s="136">
        <f ca="1" t="shared" si="1062"/>
        <v>3636</v>
      </c>
      <c r="AM1039" s="136">
        <f ca="1" t="shared" si="1062"/>
        <v>4545</v>
      </c>
      <c r="AN1039" s="136">
        <f ca="1" t="shared" si="1062"/>
        <v>26415</v>
      </c>
    </row>
    <row r="1040" s="106" customFormat="1" ht="16.5" spans="2:40">
      <c r="B1040" s="117">
        <v>406</v>
      </c>
      <c r="C1040" s="130">
        <f t="shared" si="1019"/>
        <v>40600</v>
      </c>
      <c r="D1040" s="131" cm="1">
        <f ca="1" t="array" ref="D1040">IF(D1642=1,OFFSET($W$634,$B1040,D$631-1)/SUMPRODUCT(--($D$631:$V$631=D$631),--($D1642:$V1642=1)),0)+SUM(D1039)+IF(COUNTIF(D$1237:D1642,1)=1,5,0)+IF(COUNTIF(E1040:$W1040,"&gt;"&amp;0)&lt;5,IF(AND(COUNTIF(D$1237:D1642,1)&gt;7,MOD(1+IFERROR(MATCH($C1040,总览!$D$46:$D$345,1)+1,1),7)=0),$C$3,0),0)</f>
        <v>2608.09996528168</v>
      </c>
      <c r="E1040" s="131" cm="1">
        <f ca="1" t="array" ref="E1040">IF(E1642=1,OFFSET($W$634,$B1040,E$631-1)/SUMPRODUCT(--($D$631:$V$631=E$631),--($D1642:$V1642=1)),0)+SUM(E1039)+IF(COUNTIF(E$1237:E1642,1)=1,5,0)+IF(COUNTIF(F1040:$W1040,"&gt;"&amp;0)&lt;5,IF(AND(COUNTIF(E$1237:E1642,1)&gt;7,MOD(1+IFERROR(MATCH($C1040,总览!$D$46:$D$345,1)+1,1),7)=0),$C$3,0),0)</f>
        <v>2608.09996528168</v>
      </c>
      <c r="F1040" s="131" cm="1">
        <f ca="1" t="array" ref="F1040">IF(F1642=1,OFFSET($W$634,$B1040,F$631-1)/SUMPRODUCT(--($D$631:$V$631=F$631),--($D1642:$V1642=1)),0)+SUM(F1039)+IF(COUNTIF(F$1237:F1642,1)=1,5,0)+IF(COUNTIF(G1040:$W1040,"&gt;"&amp;0)&lt;5,IF(AND(COUNTIF(F$1237:F1642,1)&gt;7,MOD(1+IFERROR(MATCH($C1040,总览!$D$46:$D$345,1)+1,1),7)=0),$C$3,0),0)</f>
        <v>2608.09996528168</v>
      </c>
      <c r="G1040" s="131" cm="1">
        <f ca="1" t="array" ref="G1040">IF(G1642=1,OFFSET($W$634,$B1040,G$631-1)/SUMPRODUCT(--($D$631:$V$631=G$631),--($D1642:$V1642=1)),0)+SUM(G1039)+IF(COUNTIF(G$1237:G1642,1)=1,5,0)+IF(COUNTIF(H1040:$W1040,"&gt;"&amp;0)&lt;5,IF(AND(COUNTIF(G$1237:G1642,1)&gt;7,MOD(1+IFERROR(MATCH($C1040,总览!$D$46:$D$345,1)+1,1),7)=0),$C$3,0),0)</f>
        <v>1292.73333333333</v>
      </c>
      <c r="H1040" s="131" cm="1">
        <f ca="1" t="array" ref="H1040">IF(H1642=1,OFFSET($W$634,$B1040,H$631-1)/SUMPRODUCT(--($D$631:$V$631=H$631),--($D1642:$V1642=1)),0)+SUM(H1039)+IF(COUNTIF(H$1237:H1642,1)=1,5,0)+IF(COUNTIF(I1040:$W1040,"&gt;"&amp;0)&lt;5,IF(AND(COUNTIF(H$1237:H1642,1)&gt;7,MOD(1+IFERROR(MATCH($C1040,总览!$D$46:$D$345,1)+1,1),7)=0),$C$3,0),0)</f>
        <v>1292.73333333333</v>
      </c>
      <c r="I1040" s="131" cm="1">
        <f ca="1" t="array" ref="I1040">IF(I1642=1,OFFSET($W$634,$B1040,I$631-1)/SUMPRODUCT(--($D$631:$V$631=I$631),--($D1642:$V1642=1)),0)+SUM(I1039)+IF(COUNTIF(I$1237:I1642,1)=1,5,0)+IF(COUNTIF(J1040:$W1040,"&gt;"&amp;0)&lt;5,IF(AND(COUNTIF(I$1237:I1642,1)&gt;7,MOD(1+IFERROR(MATCH($C1040,总览!$D$46:$D$345,1)+1,1),7)=0),$C$3,0),0)</f>
        <v>1292.73333333333</v>
      </c>
      <c r="J1040" s="131" cm="1">
        <f ca="1" t="array" ref="J1040">IF(J1642=1,OFFSET($W$634,$B1040,J$631-1)/SUMPRODUCT(--($D$631:$V$631=J$631),--($D1642:$V1642=1)),0)+SUM(J1039)+IF(COUNTIF(J$1237:J1642,1)=1,5,0)+IF(COUNTIF(K1040:$W1040,"&gt;"&amp;0)&lt;5,IF(AND(COUNTIF(J$1237:J1642,1)&gt;7,MOD(1+IFERROR(MATCH($C1040,总览!$D$46:$D$345,1)+1,1),7)=0),$C$3,0),0)</f>
        <v>1289.4</v>
      </c>
      <c r="K1040" s="131" cm="1">
        <f ca="1" t="array" ref="K1040">IF(K1642=1,OFFSET($W$634,$B1040,K$631-1)/SUMPRODUCT(--($D$631:$V$631=K$631),--($D1642:$V1642=1)),0)+SUM(K1039)+IF(COUNTIF(K$1237:K1642,1)=1,5,0)+IF(COUNTIF(L1040:$W1040,"&gt;"&amp;0)&lt;5,IF(AND(COUNTIF(K$1237:K1642,1)&gt;7,MOD(1+IFERROR(MATCH($C1040,总览!$D$46:$D$345,1)+1,1),7)=0),$C$3,0),0)</f>
        <v>1286.9</v>
      </c>
      <c r="L1040" s="131" cm="1">
        <f ca="1" t="array" ref="L1040">IF(L1642=1,OFFSET($W$634,$B1040,L$631-1)/SUMPRODUCT(--($D$631:$V$631=L$631),--($D1642:$V1642=1)),0)+SUM(L1039)+IF(COUNTIF(L$1237:L1642,1)=1,5,0)+IF(COUNTIF(M1040:$W1040,"&gt;"&amp;0)&lt;5,IF(AND(COUNTIF(L$1237:L1642,1)&gt;7,MOD(1+IFERROR(MATCH($C1040,总览!$D$46:$D$345,1)+1,1),7)=0),$C$3,0),0)</f>
        <v>1286.9</v>
      </c>
      <c r="M1040" s="131" cm="1">
        <f ca="1" t="array" ref="M1040">IF(M1642=1,OFFSET($W$634,$B1040,M$631-1)/SUMPRODUCT(--($D$631:$V$631=M$631),--($D1642:$V1642=1)),0)+SUM(M1039)+IF(COUNTIF(M$1237:M1642,1)=1,5,0)+IF(COUNTIF(N1040:$W1040,"&gt;"&amp;0)&lt;5,IF(AND(COUNTIF(M$1237:M1642,1)&gt;7,MOD(1+IFERROR(MATCH($C1040,总览!$D$46:$D$345,1)+1,1),7)=0),$C$3,0),0)</f>
        <v>537.752678571431</v>
      </c>
      <c r="N1040" s="131" cm="1">
        <f ca="1" t="array" ref="N1040">IF(N1642=1,OFFSET($W$634,$B1040,N$631-1)/SUMPRODUCT(--($D$631:$V$631=N$631),--($D1642:$V1642=1)),0)+SUM(N1039)+IF(COUNTIF(N$1237:N1642,1)=1,5,0)+IF(COUNTIF(O1040:$W1040,"&gt;"&amp;0)&lt;5,IF(AND(COUNTIF(N$1237:N1642,1)&gt;7,MOD(1+IFERROR(MATCH($C1040,总览!$D$46:$D$345,1)+1,1),7)=0),$C$3,0),0)</f>
        <v>539.002678571431</v>
      </c>
      <c r="O1040" s="131" cm="1">
        <f ca="1" t="array" ref="O1040">IF(O1642=1,OFFSET($W$634,$B1040,O$631-1)/SUMPRODUCT(--($D$631:$V$631=O$631),--($D1642:$V1642=1)),0)+SUM(O1039)+IF(COUNTIF(O$1237:O1642,1)=1,5,0)+IF(COUNTIF(P1040:$W1040,"&gt;"&amp;0)&lt;5,IF(AND(COUNTIF(O$1237:O1642,1)&gt;7,MOD(1+IFERROR(MATCH($C1040,总览!$D$46:$D$345,1)+1,1),7)=0),$C$3,0),0)</f>
        <v>544.002678571431</v>
      </c>
      <c r="P1040" s="131" cm="1">
        <f ca="1" t="array" ref="P1040">IF(P1642=1,OFFSET($W$634,$B1040,P$631-1)/SUMPRODUCT(--($D$631:$V$631=P$631),--($D1642:$V1642=1)),0)+SUM(P1039)+IF(COUNTIF(P$1237:P1642,1)=1,5,0)+IF(COUNTIF(Q1040:$W1040,"&gt;"&amp;0)&lt;5,IF(AND(COUNTIF(P$1237:P1642,1)&gt;7,MOD(1+IFERROR(MATCH($C1040,总览!$D$46:$D$345,1)+1,1),7)=0),$C$3,0),0)</f>
        <v>533.121428571431</v>
      </c>
      <c r="Q1040" s="131" cm="1">
        <f ca="1" t="array" ref="Q1040">IF(Q1642=1,OFFSET($W$634,$B1040,Q$631-1)/SUMPRODUCT(--($D$631:$V$631=Q$631),--($D1642:$V1642=1)),0)+SUM(Q1039)+IF(COUNTIF(Q$1237:Q1642,1)=1,5,0)+IF(COUNTIF(R1040:$W1040,"&gt;"&amp;0)&lt;5,IF(AND(COUNTIF(Q$1237:Q1642,1)&gt;7,MOD(1+IFERROR(MATCH($C1040,总览!$D$46:$D$345,1)+1,1),7)=0),$C$3,0),0)</f>
        <v>546.502678571431</v>
      </c>
      <c r="R1040" s="131" cm="1">
        <f ca="1" t="array" ref="R1040">IF(R1642=1,OFFSET($W$634,$B1040,R$631-1)/SUMPRODUCT(--($D$631:$V$631=R$631),--($D1642:$V1642=1)),0)+SUM(R1039)+IF(COUNTIF(R$1237:R1642,1)=1,5,0)+IF(COUNTIF(S1040:$W1040,"&gt;"&amp;0)&lt;5,IF(AND(COUNTIF(R$1237:R1642,1)&gt;7,MOD(1+IFERROR(MATCH($C1040,总览!$D$46:$D$345,1)+1,1),7)=0),$C$3,0),0)</f>
        <v>538.121428571431</v>
      </c>
      <c r="S1040" s="131" cm="1">
        <f ca="1" t="array" ref="S1040">IF(S1642=1,OFFSET($W$634,$B1040,S$631-1)/SUMPRODUCT(--($D$631:$V$631=S$631),--($D1642:$V1642=1)),0)+SUM(S1039)+IF(COUNTIF(S$1237:S1642,1)=1,5,0)+IF(COUNTIF(T1040:$W1040,"&gt;"&amp;0)&lt;5,IF(AND(COUNTIF(S$1237:S1642,1)&gt;7,MOD(1+IFERROR(MATCH($C1040,总览!$D$46:$D$345,1)+1,1),7)=0),$C$3,0),0)</f>
        <v>630.621428571432</v>
      </c>
      <c r="T1040" s="131" cm="1">
        <f ca="1" t="array" ref="T1040">IF(T1642=1,OFFSET($W$634,$B1040,T$631-1)/SUMPRODUCT(--($D$631:$V$631=T$631),--($D1642:$V1642=1)),0)+SUM(T1039)+IF(COUNTIF(T$1237:T1642,1)=1,5,0)+IF(COUNTIF(U1040:$W1040,"&gt;"&amp;0)&lt;5,IF(AND(COUNTIF(T$1237:T1642,1)&gt;7,MOD(1+IFERROR(MATCH($C1040,总览!$D$46:$D$345,1)+1,1),7)=0),$C$3,0),0)</f>
        <v>461.435510577322</v>
      </c>
      <c r="U1040" s="131" cm="1">
        <f ca="1" t="array" ref="U1040">IF(U1642=1,OFFSET($W$634,$B1040,U$631-1)/SUMPRODUCT(--($D$631:$V$631=U$631),--($D1642:$V1642=1)),0)+SUM(U1039)+IF(COUNTIF(U$1237:U1642,1)=1,5,0)+IF(COUNTIF(V1040:$W1040,"&gt;"&amp;0)&lt;5,IF(AND(COUNTIF(U$1237:U1642,1)&gt;7,MOD(1+IFERROR(MATCH($C1040,总览!$D$46:$D$345,1)+1,1),7)=0),$C$3,0),0)</f>
        <v>466.956296932621</v>
      </c>
      <c r="V1040" s="131" cm="1">
        <f ca="1" t="array" ref="V1040">IF(V1642=1,OFFSET($W$634,$B1040,V$631-1)/SUMPRODUCT(--($D$631:$V$631=V$631),--($D1642:$V1642=1)),0)+SUM(V1039)+IF(COUNTIF(V$1237:V1642,1)=1,5,0)+IF(COUNTIF(W1040:$W1040,"&gt;"&amp;0)&lt;5,IF(AND(COUNTIF(V$1237:V1642,1)&gt;7,MOD(1+IFERROR(MATCH($C1040,总览!$D$46:$D$345,1)+1,1),7)=0),$C$3,0),0)</f>
        <v>486.783296645054</v>
      </c>
      <c r="W1040" s="135" cm="1">
        <f ca="1" t="array" ref="W1040">SUMPRODUCT(TRANSPOSE($AA1040:$AG1040),OFFSET($L$9:$L$15,0,W$631-1))</f>
        <v>16.8502200646615</v>
      </c>
      <c r="X1040" s="135" cm="1">
        <f ca="1" t="array" ref="X1040">SUMPRODUCT(TRANSPOSE($AA1040:$AG1040),OFFSET($L$9:$L$15,0,X$631-1))</f>
        <v>20</v>
      </c>
      <c r="Y1040" s="135" cm="1">
        <f ca="1" t="array" ref="Y1040">SUMPRODUCT(TRANSPOSE($AA1040:$AG1040),OFFSET($L$9:$L$15,0,Y$631-1))</f>
        <v>10</v>
      </c>
      <c r="Z1040" s="135" cm="1">
        <f ca="1" t="array" ref="Z1040">SUMPRODUCT(TRANSPOSE($AA1040:$AG1040),OFFSET($L$9:$L$15,0,Z$631-1))</f>
        <v>3.14977993533847</v>
      </c>
      <c r="AA1040" s="136">
        <f ca="1" t="shared" ref="AA1040:AG1040" si="1063">AH1040-AH1039</f>
        <v>0</v>
      </c>
      <c r="AB1040" s="136">
        <f ca="1" t="shared" si="1063"/>
        <v>0</v>
      </c>
      <c r="AC1040" s="136">
        <f ca="1" t="shared" si="1063"/>
        <v>0</v>
      </c>
      <c r="AD1040" s="136">
        <f ca="1" t="shared" si="1063"/>
        <v>0</v>
      </c>
      <c r="AE1040" s="136">
        <f ca="1" t="shared" si="1063"/>
        <v>0</v>
      </c>
      <c r="AF1040" s="136">
        <f ca="1" t="shared" si="1063"/>
        <v>0</v>
      </c>
      <c r="AG1040" s="136">
        <f ca="1" t="shared" si="1063"/>
        <v>100</v>
      </c>
      <c r="AH1040" s="136">
        <f ca="1" t="shared" si="1021"/>
        <v>450</v>
      </c>
      <c r="AI1040" s="136">
        <f ca="1" t="shared" ref="AI1040:AN1040" si="1064">IF($C1040&gt;OFFSET($Q$8,MATCH(AI$634,$AH$634:$AN$634,0),0),OFFSET($P$8,MATCH(AI$634,$AH$634:$AN$634,0),0),MAX(0,$C1040-OFFSET($Q$8,RIGHT(AI$634,1)-1,0)))</f>
        <v>909</v>
      </c>
      <c r="AJ1040" s="136">
        <f ca="1" t="shared" si="1064"/>
        <v>1818</v>
      </c>
      <c r="AK1040" s="136">
        <f ca="1" t="shared" si="1064"/>
        <v>2727</v>
      </c>
      <c r="AL1040" s="136">
        <f ca="1" t="shared" si="1064"/>
        <v>3636</v>
      </c>
      <c r="AM1040" s="136">
        <f ca="1" t="shared" si="1064"/>
        <v>4545</v>
      </c>
      <c r="AN1040" s="136">
        <f ca="1" t="shared" si="1064"/>
        <v>26515</v>
      </c>
    </row>
    <row r="1041" s="106" customFormat="1" ht="16.5" spans="2:40">
      <c r="B1041" s="117">
        <v>407</v>
      </c>
      <c r="C1041" s="130">
        <f t="shared" si="1019"/>
        <v>40700</v>
      </c>
      <c r="D1041" s="131" cm="1">
        <f ca="1" t="array" ref="D1041">IF(D1643=1,OFFSET($W$634,$B1041,D$631-1)/SUMPRODUCT(--($D$631:$V$631=D$631),--($D1643:$V1643=1)),0)+SUM(D1040)+IF(COUNTIF(D$1237:D1643,1)=1,5,0)+IF(COUNTIF(E1041:$W1041,"&gt;"&amp;0)&lt;5,IF(AND(COUNTIF(D$1237:D1643,1)&gt;7,MOD(1+IFERROR(MATCH($C1041,总览!$D$46:$D$345,1)+1,1),7)=0),$C$3,0),0)</f>
        <v>2613.71670530324</v>
      </c>
      <c r="E1041" s="131" cm="1">
        <f ca="1" t="array" ref="E1041">IF(E1643=1,OFFSET($W$634,$B1041,E$631-1)/SUMPRODUCT(--($D$631:$V$631=E$631),--($D1643:$V1643=1)),0)+SUM(E1040)+IF(COUNTIF(E$1237:E1643,1)=1,5,0)+IF(COUNTIF(F1041:$W1041,"&gt;"&amp;0)&lt;5,IF(AND(COUNTIF(E$1237:E1643,1)&gt;7,MOD(1+IFERROR(MATCH($C1041,总览!$D$46:$D$345,1)+1,1),7)=0),$C$3,0),0)</f>
        <v>2613.71670530324</v>
      </c>
      <c r="F1041" s="131" cm="1">
        <f ca="1" t="array" ref="F1041">IF(F1643=1,OFFSET($W$634,$B1041,F$631-1)/SUMPRODUCT(--($D$631:$V$631=F$631),--($D1643:$V1643=1)),0)+SUM(F1040)+IF(COUNTIF(F$1237:F1643,1)=1,5,0)+IF(COUNTIF(G1041:$W1041,"&gt;"&amp;0)&lt;5,IF(AND(COUNTIF(F$1237:F1643,1)&gt;7,MOD(1+IFERROR(MATCH($C1041,总览!$D$46:$D$345,1)+1,1),7)=0),$C$3,0),0)</f>
        <v>2613.71670530324</v>
      </c>
      <c r="G1041" s="131" cm="1">
        <f ca="1" t="array" ref="G1041">IF(G1643=1,OFFSET($W$634,$B1041,G$631-1)/SUMPRODUCT(--($D$631:$V$631=G$631),--($D1643:$V1643=1)),0)+SUM(G1040)+IF(COUNTIF(G$1237:G1643,1)=1,5,0)+IF(COUNTIF(H1041:$W1041,"&gt;"&amp;0)&lt;5,IF(AND(COUNTIF(G$1237:G1643,1)&gt;7,MOD(1+IFERROR(MATCH($C1041,总览!$D$46:$D$345,1)+1,1),7)=0),$C$3,0),0)</f>
        <v>1296.06666666667</v>
      </c>
      <c r="H1041" s="131" cm="1">
        <f ca="1" t="array" ref="H1041">IF(H1643=1,OFFSET($W$634,$B1041,H$631-1)/SUMPRODUCT(--($D$631:$V$631=H$631),--($D1643:$V1643=1)),0)+SUM(H1040)+IF(COUNTIF(H$1237:H1643,1)=1,5,0)+IF(COUNTIF(I1041:$W1041,"&gt;"&amp;0)&lt;5,IF(AND(COUNTIF(H$1237:H1643,1)&gt;7,MOD(1+IFERROR(MATCH($C1041,总览!$D$46:$D$345,1)+1,1),7)=0),$C$3,0),0)</f>
        <v>1296.06666666667</v>
      </c>
      <c r="I1041" s="131" cm="1">
        <f ca="1" t="array" ref="I1041">IF(I1643=1,OFFSET($W$634,$B1041,I$631-1)/SUMPRODUCT(--($D$631:$V$631=I$631),--($D1643:$V1643=1)),0)+SUM(I1040)+IF(COUNTIF(I$1237:I1643,1)=1,5,0)+IF(COUNTIF(J1041:$W1041,"&gt;"&amp;0)&lt;5,IF(AND(COUNTIF(I$1237:I1643,1)&gt;7,MOD(1+IFERROR(MATCH($C1041,总览!$D$46:$D$345,1)+1,1),7)=0),$C$3,0),0)</f>
        <v>1296.06666666667</v>
      </c>
      <c r="J1041" s="131" cm="1">
        <f ca="1" t="array" ref="J1041">IF(J1643=1,OFFSET($W$634,$B1041,J$631-1)/SUMPRODUCT(--($D$631:$V$631=J$631),--($D1643:$V1643=1)),0)+SUM(J1040)+IF(COUNTIF(J$1237:J1643,1)=1,5,0)+IF(COUNTIF(K1041:$W1041,"&gt;"&amp;0)&lt;5,IF(AND(COUNTIF(J$1237:J1643,1)&gt;7,MOD(1+IFERROR(MATCH($C1041,总览!$D$46:$D$345,1)+1,1),7)=0),$C$3,0),0)</f>
        <v>1292.73333333333</v>
      </c>
      <c r="K1041" s="131" cm="1">
        <f ca="1" t="array" ref="K1041">IF(K1643=1,OFFSET($W$634,$B1041,K$631-1)/SUMPRODUCT(--($D$631:$V$631=K$631),--($D1643:$V1643=1)),0)+SUM(K1040)+IF(COUNTIF(K$1237:K1643,1)=1,5,0)+IF(COUNTIF(L1041:$W1041,"&gt;"&amp;0)&lt;5,IF(AND(COUNTIF(K$1237:K1643,1)&gt;7,MOD(1+IFERROR(MATCH($C1041,总览!$D$46:$D$345,1)+1,1),7)=0),$C$3,0),0)</f>
        <v>1290.23333333333</v>
      </c>
      <c r="L1041" s="131" cm="1">
        <f ca="1" t="array" ref="L1041">IF(L1643=1,OFFSET($W$634,$B1041,L$631-1)/SUMPRODUCT(--($D$631:$V$631=L$631),--($D1643:$V1643=1)),0)+SUM(L1040)+IF(COUNTIF(L$1237:L1643,1)=1,5,0)+IF(COUNTIF(M1041:$W1041,"&gt;"&amp;0)&lt;5,IF(AND(COUNTIF(L$1237:L1643,1)&gt;7,MOD(1+IFERROR(MATCH($C1041,总览!$D$46:$D$345,1)+1,1),7)=0),$C$3,0),0)</f>
        <v>1290.23333333333</v>
      </c>
      <c r="M1041" s="131" cm="1">
        <f ca="1" t="array" ref="M1041">IF(M1643=1,OFFSET($W$634,$B1041,M$631-1)/SUMPRODUCT(--($D$631:$V$631=M$631),--($D1643:$V1643=1)),0)+SUM(M1040)+IF(COUNTIF(M$1237:M1643,1)=1,5,0)+IF(COUNTIF(N1041:$W1041,"&gt;"&amp;0)&lt;5,IF(AND(COUNTIF(M$1237:M1643,1)&gt;7,MOD(1+IFERROR(MATCH($C1041,总览!$D$46:$D$345,1)+1,1),7)=0),$C$3,0),0)</f>
        <v>539.181250000002</v>
      </c>
      <c r="N1041" s="131" cm="1">
        <f ca="1" t="array" ref="N1041">IF(N1643=1,OFFSET($W$634,$B1041,N$631-1)/SUMPRODUCT(--($D$631:$V$631=N$631),--($D1643:$V1643=1)),0)+SUM(N1040)+IF(COUNTIF(N$1237:N1643,1)=1,5,0)+IF(COUNTIF(O1041:$W1041,"&gt;"&amp;0)&lt;5,IF(AND(COUNTIF(N$1237:N1643,1)&gt;7,MOD(1+IFERROR(MATCH($C1041,总览!$D$46:$D$345,1)+1,1),7)=0),$C$3,0),0)</f>
        <v>540.431250000002</v>
      </c>
      <c r="O1041" s="131" cm="1">
        <f ca="1" t="array" ref="O1041">IF(O1643=1,OFFSET($W$634,$B1041,O$631-1)/SUMPRODUCT(--($D$631:$V$631=O$631),--($D1643:$V1643=1)),0)+SUM(O1040)+IF(COUNTIF(O$1237:O1643,1)=1,5,0)+IF(COUNTIF(P1041:$W1041,"&gt;"&amp;0)&lt;5,IF(AND(COUNTIF(O$1237:O1643,1)&gt;7,MOD(1+IFERROR(MATCH($C1041,总览!$D$46:$D$345,1)+1,1),7)=0),$C$3,0),0)</f>
        <v>545.431250000002</v>
      </c>
      <c r="P1041" s="131" cm="1">
        <f ca="1" t="array" ref="P1041">IF(P1643=1,OFFSET($W$634,$B1041,P$631-1)/SUMPRODUCT(--($D$631:$V$631=P$631),--($D1643:$V1643=1)),0)+SUM(P1040)+IF(COUNTIF(P$1237:P1643,1)=1,5,0)+IF(COUNTIF(Q1041:$W1041,"&gt;"&amp;0)&lt;5,IF(AND(COUNTIF(P$1237:P1643,1)&gt;7,MOD(1+IFERROR(MATCH($C1041,总览!$D$46:$D$345,1)+1,1),7)=0),$C$3,0),0)</f>
        <v>534.550000000002</v>
      </c>
      <c r="Q1041" s="131" cm="1">
        <f ca="1" t="array" ref="Q1041">IF(Q1643=1,OFFSET($W$634,$B1041,Q$631-1)/SUMPRODUCT(--($D$631:$V$631=Q$631),--($D1643:$V1643=1)),0)+SUM(Q1040)+IF(COUNTIF(Q$1237:Q1643,1)=1,5,0)+IF(COUNTIF(R1041:$W1041,"&gt;"&amp;0)&lt;5,IF(AND(COUNTIF(Q$1237:Q1643,1)&gt;7,MOD(1+IFERROR(MATCH($C1041,总览!$D$46:$D$345,1)+1,1),7)=0),$C$3,0),0)</f>
        <v>547.931250000002</v>
      </c>
      <c r="R1041" s="131" cm="1">
        <f ca="1" t="array" ref="R1041">IF(R1643=1,OFFSET($W$634,$B1041,R$631-1)/SUMPRODUCT(--($D$631:$V$631=R$631),--($D1643:$V1643=1)),0)+SUM(R1040)+IF(COUNTIF(R$1237:R1643,1)=1,5,0)+IF(COUNTIF(S1041:$W1041,"&gt;"&amp;0)&lt;5,IF(AND(COUNTIF(R$1237:R1643,1)&gt;7,MOD(1+IFERROR(MATCH($C1041,总览!$D$46:$D$345,1)+1,1),7)=0),$C$3,0),0)</f>
        <v>539.550000000002</v>
      </c>
      <c r="S1041" s="131" cm="1">
        <f ca="1" t="array" ref="S1041">IF(S1643=1,OFFSET($W$634,$B1041,S$631-1)/SUMPRODUCT(--($D$631:$V$631=S$631),--($D1643:$V1643=1)),0)+SUM(S1040)+IF(COUNTIF(S$1237:S1643,1)=1,5,0)+IF(COUNTIF(T1041:$W1041,"&gt;"&amp;0)&lt;5,IF(AND(COUNTIF(S$1237:S1643,1)&gt;7,MOD(1+IFERROR(MATCH($C1041,总览!$D$46:$D$345,1)+1,1),7)=0),$C$3,0),0)</f>
        <v>632.050000000003</v>
      </c>
      <c r="T1041" s="131" cm="1">
        <f ca="1" t="array" ref="T1041">IF(T1643=1,OFFSET($W$634,$B1041,T$631-1)/SUMPRODUCT(--($D$631:$V$631=T$631),--($D1643:$V1643=1)),0)+SUM(T1040)+IF(COUNTIF(T$1237:T1643,1)=1,5,0)+IF(COUNTIF(U1041:$W1041,"&gt;"&amp;0)&lt;5,IF(AND(COUNTIF(T$1237:T1643,1)&gt;7,MOD(1+IFERROR(MATCH($C1041,总览!$D$46:$D$345,1)+1,1),7)=0),$C$3,0),0)</f>
        <v>462.485437222435</v>
      </c>
      <c r="U1041" s="131" cm="1">
        <f ca="1" t="array" ref="U1041">IF(U1643=1,OFFSET($W$634,$B1041,U$631-1)/SUMPRODUCT(--($D$631:$V$631=U$631),--($D1643:$V1643=1)),0)+SUM(U1040)+IF(COUNTIF(U$1237:U1643,1)=1,5,0)+IF(COUNTIF(V1041:$W1041,"&gt;"&amp;0)&lt;5,IF(AND(COUNTIF(U$1237:U1643,1)&gt;7,MOD(1+IFERROR(MATCH($C1041,总览!$D$46:$D$345,1)+1,1),7)=0),$C$3,0),0)</f>
        <v>468.006223577734</v>
      </c>
      <c r="V1041" s="131" cm="1">
        <f ca="1" t="array" ref="V1041">IF(V1643=1,OFFSET($W$634,$B1041,V$631-1)/SUMPRODUCT(--($D$631:$V$631=V$631),--($D1643:$V1643=1)),0)+SUM(V1040)+IF(COUNTIF(V$1237:V1643,1)=1,5,0)+IF(COUNTIF(W1041:$W1041,"&gt;"&amp;0)&lt;5,IF(AND(COUNTIF(V$1237:V1643,1)&gt;7,MOD(1+IFERROR(MATCH($C1041,总览!$D$46:$D$345,1)+1,1),7)=0),$C$3,0),0)</f>
        <v>487.833223290167</v>
      </c>
      <c r="W1041" s="135" cm="1">
        <f ca="1" t="array" ref="W1041">SUMPRODUCT(TRANSPOSE($AA1041:$AG1041),OFFSET($L$9:$L$15,0,W$631-1))</f>
        <v>16.8502200646615</v>
      </c>
      <c r="X1041" s="135" cm="1">
        <f ca="1" t="array" ref="X1041">SUMPRODUCT(TRANSPOSE($AA1041:$AG1041),OFFSET($L$9:$L$15,0,X$631-1))</f>
        <v>20</v>
      </c>
      <c r="Y1041" s="135" cm="1">
        <f ca="1" t="array" ref="Y1041">SUMPRODUCT(TRANSPOSE($AA1041:$AG1041),OFFSET($L$9:$L$15,0,Y$631-1))</f>
        <v>10</v>
      </c>
      <c r="Z1041" s="135" cm="1">
        <f ca="1" t="array" ref="Z1041">SUMPRODUCT(TRANSPOSE($AA1041:$AG1041),OFFSET($L$9:$L$15,0,Z$631-1))</f>
        <v>3.14977993533847</v>
      </c>
      <c r="AA1041" s="136">
        <f ca="1" t="shared" ref="AA1041:AG1041" si="1065">AH1041-AH1040</f>
        <v>0</v>
      </c>
      <c r="AB1041" s="136">
        <f ca="1" t="shared" si="1065"/>
        <v>0</v>
      </c>
      <c r="AC1041" s="136">
        <f ca="1" t="shared" si="1065"/>
        <v>0</v>
      </c>
      <c r="AD1041" s="136">
        <f ca="1" t="shared" si="1065"/>
        <v>0</v>
      </c>
      <c r="AE1041" s="136">
        <f ca="1" t="shared" si="1065"/>
        <v>0</v>
      </c>
      <c r="AF1041" s="136">
        <f ca="1" t="shared" si="1065"/>
        <v>0</v>
      </c>
      <c r="AG1041" s="136">
        <f ca="1" t="shared" si="1065"/>
        <v>100</v>
      </c>
      <c r="AH1041" s="136">
        <f ca="1" t="shared" si="1021"/>
        <v>450</v>
      </c>
      <c r="AI1041" s="136">
        <f ca="1" t="shared" ref="AI1041:AN1041" si="1066">IF($C1041&gt;OFFSET($Q$8,MATCH(AI$634,$AH$634:$AN$634,0),0),OFFSET($P$8,MATCH(AI$634,$AH$634:$AN$634,0),0),MAX(0,$C1041-OFFSET($Q$8,RIGHT(AI$634,1)-1,0)))</f>
        <v>909</v>
      </c>
      <c r="AJ1041" s="136">
        <f ca="1" t="shared" si="1066"/>
        <v>1818</v>
      </c>
      <c r="AK1041" s="136">
        <f ca="1" t="shared" si="1066"/>
        <v>2727</v>
      </c>
      <c r="AL1041" s="136">
        <f ca="1" t="shared" si="1066"/>
        <v>3636</v>
      </c>
      <c r="AM1041" s="136">
        <f ca="1" t="shared" si="1066"/>
        <v>4545</v>
      </c>
      <c r="AN1041" s="136">
        <f ca="1" t="shared" si="1066"/>
        <v>26615</v>
      </c>
    </row>
    <row r="1042" s="106" customFormat="1" ht="16.5" spans="2:40">
      <c r="B1042" s="117">
        <v>408</v>
      </c>
      <c r="C1042" s="130">
        <f t="shared" si="1019"/>
        <v>40800</v>
      </c>
      <c r="D1042" s="131" cm="1">
        <f ca="1" t="array" ref="D1042">IF(D1644=1,OFFSET($W$634,$B1042,D$631-1)/SUMPRODUCT(--($D$631:$V$631=D$631),--($D1644:$V1644=1)),0)+SUM(D1041)+IF(COUNTIF(D$1237:D1644,1)=1,5,0)+IF(COUNTIF(E1042:$W1042,"&gt;"&amp;0)&lt;5,IF(AND(COUNTIF(D$1237:D1644,1)&gt;7,MOD(1+IFERROR(MATCH($C1042,总览!$D$46:$D$345,1)+1,1),7)=0),$C$3,0),0)</f>
        <v>2619.33344532479</v>
      </c>
      <c r="E1042" s="131" cm="1">
        <f ca="1" t="array" ref="E1042">IF(E1644=1,OFFSET($W$634,$B1042,E$631-1)/SUMPRODUCT(--($D$631:$V$631=E$631),--($D1644:$V1644=1)),0)+SUM(E1041)+IF(COUNTIF(E$1237:E1644,1)=1,5,0)+IF(COUNTIF(F1042:$W1042,"&gt;"&amp;0)&lt;5,IF(AND(COUNTIF(E$1237:E1644,1)&gt;7,MOD(1+IFERROR(MATCH($C1042,总览!$D$46:$D$345,1)+1,1),7)=0),$C$3,0),0)</f>
        <v>2619.33344532479</v>
      </c>
      <c r="F1042" s="131" cm="1">
        <f ca="1" t="array" ref="F1042">IF(F1644=1,OFFSET($W$634,$B1042,F$631-1)/SUMPRODUCT(--($D$631:$V$631=F$631),--($D1644:$V1644=1)),0)+SUM(F1041)+IF(COUNTIF(F$1237:F1644,1)=1,5,0)+IF(COUNTIF(G1042:$W1042,"&gt;"&amp;0)&lt;5,IF(AND(COUNTIF(F$1237:F1644,1)&gt;7,MOD(1+IFERROR(MATCH($C1042,总览!$D$46:$D$345,1)+1,1),7)=0),$C$3,0),0)</f>
        <v>2619.33344532479</v>
      </c>
      <c r="G1042" s="131" cm="1">
        <f ca="1" t="array" ref="G1042">IF(G1644=1,OFFSET($W$634,$B1042,G$631-1)/SUMPRODUCT(--($D$631:$V$631=G$631),--($D1644:$V1644=1)),0)+SUM(G1041)+IF(COUNTIF(G$1237:G1644,1)=1,5,0)+IF(COUNTIF(H1042:$W1042,"&gt;"&amp;0)&lt;5,IF(AND(COUNTIF(G$1237:G1644,1)&gt;7,MOD(1+IFERROR(MATCH($C1042,总览!$D$46:$D$345,1)+1,1),7)=0),$C$3,0),0)</f>
        <v>1299.4</v>
      </c>
      <c r="H1042" s="131" cm="1">
        <f ca="1" t="array" ref="H1042">IF(H1644=1,OFFSET($W$634,$B1042,H$631-1)/SUMPRODUCT(--($D$631:$V$631=H$631),--($D1644:$V1644=1)),0)+SUM(H1041)+IF(COUNTIF(H$1237:H1644,1)=1,5,0)+IF(COUNTIF(I1042:$W1042,"&gt;"&amp;0)&lt;5,IF(AND(COUNTIF(H$1237:H1644,1)&gt;7,MOD(1+IFERROR(MATCH($C1042,总览!$D$46:$D$345,1)+1,1),7)=0),$C$3,0),0)</f>
        <v>1299.4</v>
      </c>
      <c r="I1042" s="131" cm="1">
        <f ca="1" t="array" ref="I1042">IF(I1644=1,OFFSET($W$634,$B1042,I$631-1)/SUMPRODUCT(--($D$631:$V$631=I$631),--($D1644:$V1644=1)),0)+SUM(I1041)+IF(COUNTIF(I$1237:I1644,1)=1,5,0)+IF(COUNTIF(J1042:$W1042,"&gt;"&amp;0)&lt;5,IF(AND(COUNTIF(I$1237:I1644,1)&gt;7,MOD(1+IFERROR(MATCH($C1042,总览!$D$46:$D$345,1)+1,1),7)=0),$C$3,0),0)</f>
        <v>1299.4</v>
      </c>
      <c r="J1042" s="131" cm="1">
        <f ca="1" t="array" ref="J1042">IF(J1644=1,OFFSET($W$634,$B1042,J$631-1)/SUMPRODUCT(--($D$631:$V$631=J$631),--($D1644:$V1644=1)),0)+SUM(J1041)+IF(COUNTIF(J$1237:J1644,1)=1,5,0)+IF(COUNTIF(K1042:$W1042,"&gt;"&amp;0)&lt;5,IF(AND(COUNTIF(J$1237:J1644,1)&gt;7,MOD(1+IFERROR(MATCH($C1042,总览!$D$46:$D$345,1)+1,1),7)=0),$C$3,0),0)</f>
        <v>1296.06666666667</v>
      </c>
      <c r="K1042" s="131" cm="1">
        <f ca="1" t="array" ref="K1042">IF(K1644=1,OFFSET($W$634,$B1042,K$631-1)/SUMPRODUCT(--($D$631:$V$631=K$631),--($D1644:$V1644=1)),0)+SUM(K1041)+IF(COUNTIF(K$1237:K1644,1)=1,5,0)+IF(COUNTIF(L1042:$W1042,"&gt;"&amp;0)&lt;5,IF(AND(COUNTIF(K$1237:K1644,1)&gt;7,MOD(1+IFERROR(MATCH($C1042,总览!$D$46:$D$345,1)+1,1),7)=0),$C$3,0),0)</f>
        <v>1293.56666666667</v>
      </c>
      <c r="L1042" s="131" cm="1">
        <f ca="1" t="array" ref="L1042">IF(L1644=1,OFFSET($W$634,$B1042,L$631-1)/SUMPRODUCT(--($D$631:$V$631=L$631),--($D1644:$V1644=1)),0)+SUM(L1041)+IF(COUNTIF(L$1237:L1644,1)=1,5,0)+IF(COUNTIF(M1042:$W1042,"&gt;"&amp;0)&lt;5,IF(AND(COUNTIF(L$1237:L1644,1)&gt;7,MOD(1+IFERROR(MATCH($C1042,总览!$D$46:$D$345,1)+1,1),7)=0),$C$3,0),0)</f>
        <v>1293.56666666667</v>
      </c>
      <c r="M1042" s="131" cm="1">
        <f ca="1" t="array" ref="M1042">IF(M1644=1,OFFSET($W$634,$B1042,M$631-1)/SUMPRODUCT(--($D$631:$V$631=M$631),--($D1644:$V1644=1)),0)+SUM(M1041)+IF(COUNTIF(M$1237:M1644,1)=1,5,0)+IF(COUNTIF(N1042:$W1042,"&gt;"&amp;0)&lt;5,IF(AND(COUNTIF(M$1237:M1644,1)&gt;7,MOD(1+IFERROR(MATCH($C1042,总览!$D$46:$D$345,1)+1,1),7)=0),$C$3,0),0)</f>
        <v>540.609821428573</v>
      </c>
      <c r="N1042" s="131" cm="1">
        <f ca="1" t="array" ref="N1042">IF(N1644=1,OFFSET($W$634,$B1042,N$631-1)/SUMPRODUCT(--($D$631:$V$631=N$631),--($D1644:$V1644=1)),0)+SUM(N1041)+IF(COUNTIF(N$1237:N1644,1)=1,5,0)+IF(COUNTIF(O1042:$W1042,"&gt;"&amp;0)&lt;5,IF(AND(COUNTIF(N$1237:N1644,1)&gt;7,MOD(1+IFERROR(MATCH($C1042,总览!$D$46:$D$345,1)+1,1),7)=0),$C$3,0),0)</f>
        <v>541.859821428573</v>
      </c>
      <c r="O1042" s="131" cm="1">
        <f ca="1" t="array" ref="O1042">IF(O1644=1,OFFSET($W$634,$B1042,O$631-1)/SUMPRODUCT(--($D$631:$V$631=O$631),--($D1644:$V1644=1)),0)+SUM(O1041)+IF(COUNTIF(O$1237:O1644,1)=1,5,0)+IF(COUNTIF(P1042:$W1042,"&gt;"&amp;0)&lt;5,IF(AND(COUNTIF(O$1237:O1644,1)&gt;7,MOD(1+IFERROR(MATCH($C1042,总览!$D$46:$D$345,1)+1,1),7)=0),$C$3,0),0)</f>
        <v>546.859821428573</v>
      </c>
      <c r="P1042" s="131" cm="1">
        <f ca="1" t="array" ref="P1042">IF(P1644=1,OFFSET($W$634,$B1042,P$631-1)/SUMPRODUCT(--($D$631:$V$631=P$631),--($D1644:$V1644=1)),0)+SUM(P1041)+IF(COUNTIF(P$1237:P1644,1)=1,5,0)+IF(COUNTIF(Q1042:$W1042,"&gt;"&amp;0)&lt;5,IF(AND(COUNTIF(P$1237:P1644,1)&gt;7,MOD(1+IFERROR(MATCH($C1042,总览!$D$46:$D$345,1)+1,1),7)=0),$C$3,0),0)</f>
        <v>535.978571428573</v>
      </c>
      <c r="Q1042" s="131" cm="1">
        <f ca="1" t="array" ref="Q1042">IF(Q1644=1,OFFSET($W$634,$B1042,Q$631-1)/SUMPRODUCT(--($D$631:$V$631=Q$631),--($D1644:$V1644=1)),0)+SUM(Q1041)+IF(COUNTIF(Q$1237:Q1644,1)=1,5,0)+IF(COUNTIF(R1042:$W1042,"&gt;"&amp;0)&lt;5,IF(AND(COUNTIF(Q$1237:Q1644,1)&gt;7,MOD(1+IFERROR(MATCH($C1042,总览!$D$46:$D$345,1)+1,1),7)=0),$C$3,0),0)</f>
        <v>549.359821428573</v>
      </c>
      <c r="R1042" s="131" cm="1">
        <f ca="1" t="array" ref="R1042">IF(R1644=1,OFFSET($W$634,$B1042,R$631-1)/SUMPRODUCT(--($D$631:$V$631=R$631),--($D1644:$V1644=1)),0)+SUM(R1041)+IF(COUNTIF(R$1237:R1644,1)=1,5,0)+IF(COUNTIF(S1042:$W1042,"&gt;"&amp;0)&lt;5,IF(AND(COUNTIF(R$1237:R1644,1)&gt;7,MOD(1+IFERROR(MATCH($C1042,总览!$D$46:$D$345,1)+1,1),7)=0),$C$3,0),0)</f>
        <v>540.978571428573</v>
      </c>
      <c r="S1042" s="131" cm="1">
        <f ca="1" t="array" ref="S1042">IF(S1644=1,OFFSET($W$634,$B1042,S$631-1)/SUMPRODUCT(--($D$631:$V$631=S$631),--($D1644:$V1644=1)),0)+SUM(S1041)+IF(COUNTIF(S$1237:S1644,1)=1,5,0)+IF(COUNTIF(T1042:$W1042,"&gt;"&amp;0)&lt;5,IF(AND(COUNTIF(S$1237:S1644,1)&gt;7,MOD(1+IFERROR(MATCH($C1042,总览!$D$46:$D$345,1)+1,1),7)=0),$C$3,0),0)</f>
        <v>633.478571428575</v>
      </c>
      <c r="T1042" s="131" cm="1">
        <f ca="1" t="array" ref="T1042">IF(T1644=1,OFFSET($W$634,$B1042,T$631-1)/SUMPRODUCT(--($D$631:$V$631=T$631),--($D1644:$V1644=1)),0)+SUM(T1041)+IF(COUNTIF(T$1237:T1644,1)=1,5,0)+IF(COUNTIF(U1042:$W1042,"&gt;"&amp;0)&lt;5,IF(AND(COUNTIF(T$1237:T1644,1)&gt;7,MOD(1+IFERROR(MATCH($C1042,总览!$D$46:$D$345,1)+1,1),7)=0),$C$3,0),0)</f>
        <v>463.535363867547</v>
      </c>
      <c r="U1042" s="131" cm="1">
        <f ca="1" t="array" ref="U1042">IF(U1644=1,OFFSET($W$634,$B1042,U$631-1)/SUMPRODUCT(--($D$631:$V$631=U$631),--($D1644:$V1644=1)),0)+SUM(U1041)+IF(COUNTIF(U$1237:U1644,1)=1,5,0)+IF(COUNTIF(V1042:$W1042,"&gt;"&amp;0)&lt;5,IF(AND(COUNTIF(U$1237:U1644,1)&gt;7,MOD(1+IFERROR(MATCH($C1042,总览!$D$46:$D$345,1)+1,1),7)=0),$C$3,0),0)</f>
        <v>469.056150222847</v>
      </c>
      <c r="V1042" s="131" cm="1">
        <f ca="1" t="array" ref="V1042">IF(V1644=1,OFFSET($W$634,$B1042,V$631-1)/SUMPRODUCT(--($D$631:$V$631=V$631),--($D1644:$V1644=1)),0)+SUM(V1041)+IF(COUNTIF(V$1237:V1644,1)=1,5,0)+IF(COUNTIF(W1042:$W1042,"&gt;"&amp;0)&lt;5,IF(AND(COUNTIF(V$1237:V1644,1)&gt;7,MOD(1+IFERROR(MATCH($C1042,总览!$D$46:$D$345,1)+1,1),7)=0),$C$3,0),0)</f>
        <v>488.88314993528</v>
      </c>
      <c r="W1042" s="135" cm="1">
        <f ca="1" t="array" ref="W1042">SUMPRODUCT(TRANSPOSE($AA1042:$AG1042),OFFSET($L$9:$L$15,0,W$631-1))</f>
        <v>16.8502200646615</v>
      </c>
      <c r="X1042" s="135" cm="1">
        <f ca="1" t="array" ref="X1042">SUMPRODUCT(TRANSPOSE($AA1042:$AG1042),OFFSET($L$9:$L$15,0,X$631-1))</f>
        <v>20</v>
      </c>
      <c r="Y1042" s="135" cm="1">
        <f ca="1" t="array" ref="Y1042">SUMPRODUCT(TRANSPOSE($AA1042:$AG1042),OFFSET($L$9:$L$15,0,Y$631-1))</f>
        <v>10</v>
      </c>
      <c r="Z1042" s="135" cm="1">
        <f ca="1" t="array" ref="Z1042">SUMPRODUCT(TRANSPOSE($AA1042:$AG1042),OFFSET($L$9:$L$15,0,Z$631-1))</f>
        <v>3.14977993533847</v>
      </c>
      <c r="AA1042" s="136">
        <f ca="1" t="shared" ref="AA1042:AG1042" si="1067">AH1042-AH1041</f>
        <v>0</v>
      </c>
      <c r="AB1042" s="136">
        <f ca="1" t="shared" si="1067"/>
        <v>0</v>
      </c>
      <c r="AC1042" s="136">
        <f ca="1" t="shared" si="1067"/>
        <v>0</v>
      </c>
      <c r="AD1042" s="136">
        <f ca="1" t="shared" si="1067"/>
        <v>0</v>
      </c>
      <c r="AE1042" s="136">
        <f ca="1" t="shared" si="1067"/>
        <v>0</v>
      </c>
      <c r="AF1042" s="136">
        <f ca="1" t="shared" si="1067"/>
        <v>0</v>
      </c>
      <c r="AG1042" s="136">
        <f ca="1" t="shared" si="1067"/>
        <v>100</v>
      </c>
      <c r="AH1042" s="136">
        <f ca="1" t="shared" si="1021"/>
        <v>450</v>
      </c>
      <c r="AI1042" s="136">
        <f ca="1" t="shared" ref="AI1042:AN1042" si="1068">IF($C1042&gt;OFFSET($Q$8,MATCH(AI$634,$AH$634:$AN$634,0),0),OFFSET($P$8,MATCH(AI$634,$AH$634:$AN$634,0),0),MAX(0,$C1042-OFFSET($Q$8,RIGHT(AI$634,1)-1,0)))</f>
        <v>909</v>
      </c>
      <c r="AJ1042" s="136">
        <f ca="1" t="shared" si="1068"/>
        <v>1818</v>
      </c>
      <c r="AK1042" s="136">
        <f ca="1" t="shared" si="1068"/>
        <v>2727</v>
      </c>
      <c r="AL1042" s="136">
        <f ca="1" t="shared" si="1068"/>
        <v>3636</v>
      </c>
      <c r="AM1042" s="136">
        <f ca="1" t="shared" si="1068"/>
        <v>4545</v>
      </c>
      <c r="AN1042" s="136">
        <f ca="1" t="shared" si="1068"/>
        <v>26715</v>
      </c>
    </row>
    <row r="1043" s="106" customFormat="1" ht="16.5" spans="2:40">
      <c r="B1043" s="117">
        <v>409</v>
      </c>
      <c r="C1043" s="130">
        <f t="shared" si="1019"/>
        <v>40900</v>
      </c>
      <c r="D1043" s="131" cm="1">
        <f ca="1" t="array" ref="D1043">IF(D1645=1,OFFSET($W$634,$B1043,D$631-1)/SUMPRODUCT(--($D$631:$V$631=D$631),--($D1645:$V1645=1)),0)+SUM(D1042)+IF(COUNTIF(D$1237:D1645,1)=1,5,0)+IF(COUNTIF(E1043:$W1043,"&gt;"&amp;0)&lt;5,IF(AND(COUNTIF(D$1237:D1645,1)&gt;7,MOD(1+IFERROR(MATCH($C1043,总览!$D$46:$D$345,1)+1,1),7)=0),$C$3,0),0)</f>
        <v>2624.95018534634</v>
      </c>
      <c r="E1043" s="131" cm="1">
        <f ca="1" t="array" ref="E1043">IF(E1645=1,OFFSET($W$634,$B1043,E$631-1)/SUMPRODUCT(--($D$631:$V$631=E$631),--($D1645:$V1645=1)),0)+SUM(E1042)+IF(COUNTIF(E$1237:E1645,1)=1,5,0)+IF(COUNTIF(F1043:$W1043,"&gt;"&amp;0)&lt;5,IF(AND(COUNTIF(E$1237:E1645,1)&gt;7,MOD(1+IFERROR(MATCH($C1043,总览!$D$46:$D$345,1)+1,1),7)=0),$C$3,0),0)</f>
        <v>2624.95018534634</v>
      </c>
      <c r="F1043" s="131" cm="1">
        <f ca="1" t="array" ref="F1043">IF(F1645=1,OFFSET($W$634,$B1043,F$631-1)/SUMPRODUCT(--($D$631:$V$631=F$631),--($D1645:$V1645=1)),0)+SUM(F1042)+IF(COUNTIF(F$1237:F1645,1)=1,5,0)+IF(COUNTIF(G1043:$W1043,"&gt;"&amp;0)&lt;5,IF(AND(COUNTIF(F$1237:F1645,1)&gt;7,MOD(1+IFERROR(MATCH($C1043,总览!$D$46:$D$345,1)+1,1),7)=0),$C$3,0),0)</f>
        <v>2624.95018534634</v>
      </c>
      <c r="G1043" s="131" cm="1">
        <f ca="1" t="array" ref="G1043">IF(G1645=1,OFFSET($W$634,$B1043,G$631-1)/SUMPRODUCT(--($D$631:$V$631=G$631),--($D1645:$V1645=1)),0)+SUM(G1042)+IF(COUNTIF(G$1237:G1645,1)=1,5,0)+IF(COUNTIF(H1043:$W1043,"&gt;"&amp;0)&lt;5,IF(AND(COUNTIF(G$1237:G1645,1)&gt;7,MOD(1+IFERROR(MATCH($C1043,总览!$D$46:$D$345,1)+1,1),7)=0),$C$3,0),0)</f>
        <v>1302.73333333333</v>
      </c>
      <c r="H1043" s="131" cm="1">
        <f ca="1" t="array" ref="H1043">IF(H1645=1,OFFSET($W$634,$B1043,H$631-1)/SUMPRODUCT(--($D$631:$V$631=H$631),--($D1645:$V1645=1)),0)+SUM(H1042)+IF(COUNTIF(H$1237:H1645,1)=1,5,0)+IF(COUNTIF(I1043:$W1043,"&gt;"&amp;0)&lt;5,IF(AND(COUNTIF(H$1237:H1645,1)&gt;7,MOD(1+IFERROR(MATCH($C1043,总览!$D$46:$D$345,1)+1,1),7)=0),$C$3,0),0)</f>
        <v>1302.73333333333</v>
      </c>
      <c r="I1043" s="131" cm="1">
        <f ca="1" t="array" ref="I1043">IF(I1645=1,OFFSET($W$634,$B1043,I$631-1)/SUMPRODUCT(--($D$631:$V$631=I$631),--($D1645:$V1645=1)),0)+SUM(I1042)+IF(COUNTIF(I$1237:I1645,1)=1,5,0)+IF(COUNTIF(J1043:$W1043,"&gt;"&amp;0)&lt;5,IF(AND(COUNTIF(I$1237:I1645,1)&gt;7,MOD(1+IFERROR(MATCH($C1043,总览!$D$46:$D$345,1)+1,1),7)=0),$C$3,0),0)</f>
        <v>1302.73333333333</v>
      </c>
      <c r="J1043" s="131" cm="1">
        <f ca="1" t="array" ref="J1043">IF(J1645=1,OFFSET($W$634,$B1043,J$631-1)/SUMPRODUCT(--($D$631:$V$631=J$631),--($D1645:$V1645=1)),0)+SUM(J1042)+IF(COUNTIF(J$1237:J1645,1)=1,5,0)+IF(COUNTIF(K1043:$W1043,"&gt;"&amp;0)&lt;5,IF(AND(COUNTIF(J$1237:J1645,1)&gt;7,MOD(1+IFERROR(MATCH($C1043,总览!$D$46:$D$345,1)+1,1),7)=0),$C$3,0),0)</f>
        <v>1299.4</v>
      </c>
      <c r="K1043" s="131" cm="1">
        <f ca="1" t="array" ref="K1043">IF(K1645=1,OFFSET($W$634,$B1043,K$631-1)/SUMPRODUCT(--($D$631:$V$631=K$631),--($D1645:$V1645=1)),0)+SUM(K1042)+IF(COUNTIF(K$1237:K1645,1)=1,5,0)+IF(COUNTIF(L1043:$W1043,"&gt;"&amp;0)&lt;5,IF(AND(COUNTIF(K$1237:K1645,1)&gt;7,MOD(1+IFERROR(MATCH($C1043,总览!$D$46:$D$345,1)+1,1),7)=0),$C$3,0),0)</f>
        <v>1296.9</v>
      </c>
      <c r="L1043" s="131" cm="1">
        <f ca="1" t="array" ref="L1043">IF(L1645=1,OFFSET($W$634,$B1043,L$631-1)/SUMPRODUCT(--($D$631:$V$631=L$631),--($D1645:$V1645=1)),0)+SUM(L1042)+IF(COUNTIF(L$1237:L1645,1)=1,5,0)+IF(COUNTIF(M1043:$W1043,"&gt;"&amp;0)&lt;5,IF(AND(COUNTIF(L$1237:L1645,1)&gt;7,MOD(1+IFERROR(MATCH($C1043,总览!$D$46:$D$345,1)+1,1),7)=0),$C$3,0),0)</f>
        <v>1296.9</v>
      </c>
      <c r="M1043" s="131" cm="1">
        <f ca="1" t="array" ref="M1043">IF(M1645=1,OFFSET($W$634,$B1043,M$631-1)/SUMPRODUCT(--($D$631:$V$631=M$631),--($D1645:$V1645=1)),0)+SUM(M1042)+IF(COUNTIF(M$1237:M1645,1)=1,5,0)+IF(COUNTIF(N1043:$W1043,"&gt;"&amp;0)&lt;5,IF(AND(COUNTIF(M$1237:M1645,1)&gt;7,MOD(1+IFERROR(MATCH($C1043,总览!$D$46:$D$345,1)+1,1),7)=0),$C$3,0),0)</f>
        <v>542.038392857145</v>
      </c>
      <c r="N1043" s="131" cm="1">
        <f ca="1" t="array" ref="N1043">IF(N1645=1,OFFSET($W$634,$B1043,N$631-1)/SUMPRODUCT(--($D$631:$V$631=N$631),--($D1645:$V1645=1)),0)+SUM(N1042)+IF(COUNTIF(N$1237:N1645,1)=1,5,0)+IF(COUNTIF(O1043:$W1043,"&gt;"&amp;0)&lt;5,IF(AND(COUNTIF(N$1237:N1645,1)&gt;7,MOD(1+IFERROR(MATCH($C1043,总览!$D$46:$D$345,1)+1,1),7)=0),$C$3,0),0)</f>
        <v>543.288392857145</v>
      </c>
      <c r="O1043" s="131" cm="1">
        <f ca="1" t="array" ref="O1043">IF(O1645=1,OFFSET($W$634,$B1043,O$631-1)/SUMPRODUCT(--($D$631:$V$631=O$631),--($D1645:$V1645=1)),0)+SUM(O1042)+IF(COUNTIF(O$1237:O1645,1)=1,5,0)+IF(COUNTIF(P1043:$W1043,"&gt;"&amp;0)&lt;5,IF(AND(COUNTIF(O$1237:O1645,1)&gt;7,MOD(1+IFERROR(MATCH($C1043,总览!$D$46:$D$345,1)+1,1),7)=0),$C$3,0),0)</f>
        <v>548.288392857145</v>
      </c>
      <c r="P1043" s="131" cm="1">
        <f ca="1" t="array" ref="P1043">IF(P1645=1,OFFSET($W$634,$B1043,P$631-1)/SUMPRODUCT(--($D$631:$V$631=P$631),--($D1645:$V1645=1)),0)+SUM(P1042)+IF(COUNTIF(P$1237:P1645,1)=1,5,0)+IF(COUNTIF(Q1043:$W1043,"&gt;"&amp;0)&lt;5,IF(AND(COUNTIF(P$1237:P1645,1)&gt;7,MOD(1+IFERROR(MATCH($C1043,总览!$D$46:$D$345,1)+1,1),7)=0),$C$3,0),0)</f>
        <v>537.407142857145</v>
      </c>
      <c r="Q1043" s="131" cm="1">
        <f ca="1" t="array" ref="Q1043">IF(Q1645=1,OFFSET($W$634,$B1043,Q$631-1)/SUMPRODUCT(--($D$631:$V$631=Q$631),--($D1645:$V1645=1)),0)+SUM(Q1042)+IF(COUNTIF(Q$1237:Q1645,1)=1,5,0)+IF(COUNTIF(R1043:$W1043,"&gt;"&amp;0)&lt;5,IF(AND(COUNTIF(Q$1237:Q1645,1)&gt;7,MOD(1+IFERROR(MATCH($C1043,总览!$D$46:$D$345,1)+1,1),7)=0),$C$3,0),0)</f>
        <v>550.788392857145</v>
      </c>
      <c r="R1043" s="131" cm="1">
        <f ca="1" t="array" ref="R1043">IF(R1645=1,OFFSET($W$634,$B1043,R$631-1)/SUMPRODUCT(--($D$631:$V$631=R$631),--($D1645:$V1645=1)),0)+SUM(R1042)+IF(COUNTIF(R$1237:R1645,1)=1,5,0)+IF(COUNTIF(S1043:$W1043,"&gt;"&amp;0)&lt;5,IF(AND(COUNTIF(R$1237:R1645,1)&gt;7,MOD(1+IFERROR(MATCH($C1043,总览!$D$46:$D$345,1)+1,1),7)=0),$C$3,0),0)</f>
        <v>542.407142857145</v>
      </c>
      <c r="S1043" s="131" cm="1">
        <f ca="1" t="array" ref="S1043">IF(S1645=1,OFFSET($W$634,$B1043,S$631-1)/SUMPRODUCT(--($D$631:$V$631=S$631),--($D1645:$V1645=1)),0)+SUM(S1042)+IF(COUNTIF(S$1237:S1645,1)=1,5,0)+IF(COUNTIF(T1043:$W1043,"&gt;"&amp;0)&lt;5,IF(AND(COUNTIF(S$1237:S1645,1)&gt;7,MOD(1+IFERROR(MATCH($C1043,总览!$D$46:$D$345,1)+1,1),7)=0),$C$3,0),0)</f>
        <v>634.907142857146</v>
      </c>
      <c r="T1043" s="131" cm="1">
        <f ca="1" t="array" ref="T1043">IF(T1645=1,OFFSET($W$634,$B1043,T$631-1)/SUMPRODUCT(--($D$631:$V$631=T$631),--($D1645:$V1645=1)),0)+SUM(T1042)+IF(COUNTIF(T$1237:T1645,1)=1,5,0)+IF(COUNTIF(U1043:$W1043,"&gt;"&amp;0)&lt;5,IF(AND(COUNTIF(T$1237:T1645,1)&gt;7,MOD(1+IFERROR(MATCH($C1043,总览!$D$46:$D$345,1)+1,1),7)=0),$C$3,0),0)</f>
        <v>464.58529051266</v>
      </c>
      <c r="U1043" s="131" cm="1">
        <f ca="1" t="array" ref="U1043">IF(U1645=1,OFFSET($W$634,$B1043,U$631-1)/SUMPRODUCT(--($D$631:$V$631=U$631),--($D1645:$V1645=1)),0)+SUM(U1042)+IF(COUNTIF(U$1237:U1645,1)=1,5,0)+IF(COUNTIF(V1043:$W1043,"&gt;"&amp;0)&lt;5,IF(AND(COUNTIF(U$1237:U1645,1)&gt;7,MOD(1+IFERROR(MATCH($C1043,总览!$D$46:$D$345,1)+1,1),7)=0),$C$3,0),0)</f>
        <v>470.10607686796</v>
      </c>
      <c r="V1043" s="131" cm="1">
        <f ca="1" t="array" ref="V1043">IF(V1645=1,OFFSET($W$634,$B1043,V$631-1)/SUMPRODUCT(--($D$631:$V$631=V$631),--($D1645:$V1645=1)),0)+SUM(V1042)+IF(COUNTIF(V$1237:V1645,1)=1,5,0)+IF(COUNTIF(W1043:$W1043,"&gt;"&amp;0)&lt;5,IF(AND(COUNTIF(V$1237:V1645,1)&gt;7,MOD(1+IFERROR(MATCH($C1043,总览!$D$46:$D$345,1)+1,1),7)=0),$C$3,0),0)</f>
        <v>489.933076580393</v>
      </c>
      <c r="W1043" s="135" cm="1">
        <f ca="1" t="array" ref="W1043">SUMPRODUCT(TRANSPOSE($AA1043:$AG1043),OFFSET($L$9:$L$15,0,W$631-1))</f>
        <v>16.8502200646615</v>
      </c>
      <c r="X1043" s="135" cm="1">
        <f ca="1" t="array" ref="X1043">SUMPRODUCT(TRANSPOSE($AA1043:$AG1043),OFFSET($L$9:$L$15,0,X$631-1))</f>
        <v>20</v>
      </c>
      <c r="Y1043" s="135" cm="1">
        <f ca="1" t="array" ref="Y1043">SUMPRODUCT(TRANSPOSE($AA1043:$AG1043),OFFSET($L$9:$L$15,0,Y$631-1))</f>
        <v>10</v>
      </c>
      <c r="Z1043" s="135" cm="1">
        <f ca="1" t="array" ref="Z1043">SUMPRODUCT(TRANSPOSE($AA1043:$AG1043),OFFSET($L$9:$L$15,0,Z$631-1))</f>
        <v>3.14977993533847</v>
      </c>
      <c r="AA1043" s="136">
        <f ca="1" t="shared" ref="AA1043:AG1043" si="1069">AH1043-AH1042</f>
        <v>0</v>
      </c>
      <c r="AB1043" s="136">
        <f ca="1" t="shared" si="1069"/>
        <v>0</v>
      </c>
      <c r="AC1043" s="136">
        <f ca="1" t="shared" si="1069"/>
        <v>0</v>
      </c>
      <c r="AD1043" s="136">
        <f ca="1" t="shared" si="1069"/>
        <v>0</v>
      </c>
      <c r="AE1043" s="136">
        <f ca="1" t="shared" si="1069"/>
        <v>0</v>
      </c>
      <c r="AF1043" s="136">
        <f ca="1" t="shared" si="1069"/>
        <v>0</v>
      </c>
      <c r="AG1043" s="136">
        <f ca="1" t="shared" si="1069"/>
        <v>100</v>
      </c>
      <c r="AH1043" s="136">
        <f ca="1" t="shared" si="1021"/>
        <v>450</v>
      </c>
      <c r="AI1043" s="136">
        <f ca="1" t="shared" ref="AI1043:AN1043" si="1070">IF($C1043&gt;OFFSET($Q$8,MATCH(AI$634,$AH$634:$AN$634,0),0),OFFSET($P$8,MATCH(AI$634,$AH$634:$AN$634,0),0),MAX(0,$C1043-OFFSET($Q$8,RIGHT(AI$634,1)-1,0)))</f>
        <v>909</v>
      </c>
      <c r="AJ1043" s="136">
        <f ca="1" t="shared" si="1070"/>
        <v>1818</v>
      </c>
      <c r="AK1043" s="136">
        <f ca="1" t="shared" si="1070"/>
        <v>2727</v>
      </c>
      <c r="AL1043" s="136">
        <f ca="1" t="shared" si="1070"/>
        <v>3636</v>
      </c>
      <c r="AM1043" s="136">
        <f ca="1" t="shared" si="1070"/>
        <v>4545</v>
      </c>
      <c r="AN1043" s="136">
        <f ca="1" t="shared" si="1070"/>
        <v>26815</v>
      </c>
    </row>
    <row r="1044" s="106" customFormat="1" ht="16.5" spans="2:40">
      <c r="B1044" s="117">
        <v>410</v>
      </c>
      <c r="C1044" s="130">
        <f t="shared" si="1019"/>
        <v>41000</v>
      </c>
      <c r="D1044" s="131" cm="1">
        <f ca="1" t="array" ref="D1044">IF(D1646=1,OFFSET($W$634,$B1044,D$631-1)/SUMPRODUCT(--($D$631:$V$631=D$631),--($D1646:$V1646=1)),0)+SUM(D1043)+IF(COUNTIF(D$1237:D1646,1)=1,5,0)+IF(COUNTIF(E1044:$W1044,"&gt;"&amp;0)&lt;5,IF(AND(COUNTIF(D$1237:D1646,1)&gt;7,MOD(1+IFERROR(MATCH($C1044,总览!$D$46:$D$345,1)+1,1),7)=0),$C$3,0),0)</f>
        <v>2630.5669253679</v>
      </c>
      <c r="E1044" s="131" cm="1">
        <f ca="1" t="array" ref="E1044">IF(E1646=1,OFFSET($W$634,$B1044,E$631-1)/SUMPRODUCT(--($D$631:$V$631=E$631),--($D1646:$V1646=1)),0)+SUM(E1043)+IF(COUNTIF(E$1237:E1646,1)=1,5,0)+IF(COUNTIF(F1044:$W1044,"&gt;"&amp;0)&lt;5,IF(AND(COUNTIF(E$1237:E1646,1)&gt;7,MOD(1+IFERROR(MATCH($C1044,总览!$D$46:$D$345,1)+1,1),7)=0),$C$3,0),0)</f>
        <v>2630.5669253679</v>
      </c>
      <c r="F1044" s="131" cm="1">
        <f ca="1" t="array" ref="F1044">IF(F1646=1,OFFSET($W$634,$B1044,F$631-1)/SUMPRODUCT(--($D$631:$V$631=F$631),--($D1646:$V1646=1)),0)+SUM(F1043)+IF(COUNTIF(F$1237:F1646,1)=1,5,0)+IF(COUNTIF(G1044:$W1044,"&gt;"&amp;0)&lt;5,IF(AND(COUNTIF(F$1237:F1646,1)&gt;7,MOD(1+IFERROR(MATCH($C1044,总览!$D$46:$D$345,1)+1,1),7)=0),$C$3,0),0)</f>
        <v>2630.5669253679</v>
      </c>
      <c r="G1044" s="131" cm="1">
        <f ca="1" t="array" ref="G1044">IF(G1646=1,OFFSET($W$634,$B1044,G$631-1)/SUMPRODUCT(--($D$631:$V$631=G$631),--($D1646:$V1646=1)),0)+SUM(G1043)+IF(COUNTIF(G$1237:G1646,1)=1,5,0)+IF(COUNTIF(H1044:$W1044,"&gt;"&amp;0)&lt;5,IF(AND(COUNTIF(G$1237:G1646,1)&gt;7,MOD(1+IFERROR(MATCH($C1044,总览!$D$46:$D$345,1)+1,1),7)=0),$C$3,0),0)</f>
        <v>1306.06666666666</v>
      </c>
      <c r="H1044" s="131" cm="1">
        <f ca="1" t="array" ref="H1044">IF(H1646=1,OFFSET($W$634,$B1044,H$631-1)/SUMPRODUCT(--($D$631:$V$631=H$631),--($D1646:$V1646=1)),0)+SUM(H1043)+IF(COUNTIF(H$1237:H1646,1)=1,5,0)+IF(COUNTIF(I1044:$W1044,"&gt;"&amp;0)&lt;5,IF(AND(COUNTIF(H$1237:H1646,1)&gt;7,MOD(1+IFERROR(MATCH($C1044,总览!$D$46:$D$345,1)+1,1),7)=0),$C$3,0),0)</f>
        <v>1306.06666666666</v>
      </c>
      <c r="I1044" s="131" cm="1">
        <f ca="1" t="array" ref="I1044">IF(I1646=1,OFFSET($W$634,$B1044,I$631-1)/SUMPRODUCT(--($D$631:$V$631=I$631),--($D1646:$V1646=1)),0)+SUM(I1043)+IF(COUNTIF(I$1237:I1646,1)=1,5,0)+IF(COUNTIF(J1044:$W1044,"&gt;"&amp;0)&lt;5,IF(AND(COUNTIF(I$1237:I1646,1)&gt;7,MOD(1+IFERROR(MATCH($C1044,总览!$D$46:$D$345,1)+1,1),7)=0),$C$3,0),0)</f>
        <v>1306.06666666666</v>
      </c>
      <c r="J1044" s="131" cm="1">
        <f ca="1" t="array" ref="J1044">IF(J1646=1,OFFSET($W$634,$B1044,J$631-1)/SUMPRODUCT(--($D$631:$V$631=J$631),--($D1646:$V1646=1)),0)+SUM(J1043)+IF(COUNTIF(J$1237:J1646,1)=1,5,0)+IF(COUNTIF(K1044:$W1044,"&gt;"&amp;0)&lt;5,IF(AND(COUNTIF(J$1237:J1646,1)&gt;7,MOD(1+IFERROR(MATCH($C1044,总览!$D$46:$D$345,1)+1,1),7)=0),$C$3,0),0)</f>
        <v>1302.73333333333</v>
      </c>
      <c r="K1044" s="131" cm="1">
        <f ca="1" t="array" ref="K1044">IF(K1646=1,OFFSET($W$634,$B1044,K$631-1)/SUMPRODUCT(--($D$631:$V$631=K$631),--($D1646:$V1646=1)),0)+SUM(K1043)+IF(COUNTIF(K$1237:K1646,1)=1,5,0)+IF(COUNTIF(L1044:$W1044,"&gt;"&amp;0)&lt;5,IF(AND(COUNTIF(K$1237:K1646,1)&gt;7,MOD(1+IFERROR(MATCH($C1044,总览!$D$46:$D$345,1)+1,1),7)=0),$C$3,0),0)</f>
        <v>1300.23333333333</v>
      </c>
      <c r="L1044" s="131" cm="1">
        <f ca="1" t="array" ref="L1044">IF(L1646=1,OFFSET($W$634,$B1044,L$631-1)/SUMPRODUCT(--($D$631:$V$631=L$631),--($D1646:$V1646=1)),0)+SUM(L1043)+IF(COUNTIF(L$1237:L1646,1)=1,5,0)+IF(COUNTIF(M1044:$W1044,"&gt;"&amp;0)&lt;5,IF(AND(COUNTIF(L$1237:L1646,1)&gt;7,MOD(1+IFERROR(MATCH($C1044,总览!$D$46:$D$345,1)+1,1),7)=0),$C$3,0),0)</f>
        <v>1300.23333333333</v>
      </c>
      <c r="M1044" s="131" cm="1">
        <f ca="1" t="array" ref="M1044">IF(M1646=1,OFFSET($W$634,$B1044,M$631-1)/SUMPRODUCT(--($D$631:$V$631=M$631),--($D1646:$V1646=1)),0)+SUM(M1043)+IF(COUNTIF(M$1237:M1646,1)=1,5,0)+IF(COUNTIF(N1044:$W1044,"&gt;"&amp;0)&lt;5,IF(AND(COUNTIF(M$1237:M1646,1)&gt;7,MOD(1+IFERROR(MATCH($C1044,总览!$D$46:$D$345,1)+1,1),7)=0),$C$3,0),0)</f>
        <v>543.466964285716</v>
      </c>
      <c r="N1044" s="131" cm="1">
        <f ca="1" t="array" ref="N1044">IF(N1646=1,OFFSET($W$634,$B1044,N$631-1)/SUMPRODUCT(--($D$631:$V$631=N$631),--($D1646:$V1646=1)),0)+SUM(N1043)+IF(COUNTIF(N$1237:N1646,1)=1,5,0)+IF(COUNTIF(O1044:$W1044,"&gt;"&amp;0)&lt;5,IF(AND(COUNTIF(N$1237:N1646,1)&gt;7,MOD(1+IFERROR(MATCH($C1044,总览!$D$46:$D$345,1)+1,1),7)=0),$C$3,0),0)</f>
        <v>544.716964285716</v>
      </c>
      <c r="O1044" s="131" cm="1">
        <f ca="1" t="array" ref="O1044">IF(O1646=1,OFFSET($W$634,$B1044,O$631-1)/SUMPRODUCT(--($D$631:$V$631=O$631),--($D1646:$V1646=1)),0)+SUM(O1043)+IF(COUNTIF(O$1237:O1646,1)=1,5,0)+IF(COUNTIF(P1044:$W1044,"&gt;"&amp;0)&lt;5,IF(AND(COUNTIF(O$1237:O1646,1)&gt;7,MOD(1+IFERROR(MATCH($C1044,总览!$D$46:$D$345,1)+1,1),7)=0),$C$3,0),0)</f>
        <v>549.716964285716</v>
      </c>
      <c r="P1044" s="131" cm="1">
        <f ca="1" t="array" ref="P1044">IF(P1646=1,OFFSET($W$634,$B1044,P$631-1)/SUMPRODUCT(--($D$631:$V$631=P$631),--($D1646:$V1646=1)),0)+SUM(P1043)+IF(COUNTIF(P$1237:P1646,1)=1,5,0)+IF(COUNTIF(Q1044:$W1044,"&gt;"&amp;0)&lt;5,IF(AND(COUNTIF(P$1237:P1646,1)&gt;7,MOD(1+IFERROR(MATCH($C1044,总览!$D$46:$D$345,1)+1,1),7)=0),$C$3,0),0)</f>
        <v>538.835714285716</v>
      </c>
      <c r="Q1044" s="131" cm="1">
        <f ca="1" t="array" ref="Q1044">IF(Q1646=1,OFFSET($W$634,$B1044,Q$631-1)/SUMPRODUCT(--($D$631:$V$631=Q$631),--($D1646:$V1646=1)),0)+SUM(Q1043)+IF(COUNTIF(Q$1237:Q1646,1)=1,5,0)+IF(COUNTIF(R1044:$W1044,"&gt;"&amp;0)&lt;5,IF(AND(COUNTIF(Q$1237:Q1646,1)&gt;7,MOD(1+IFERROR(MATCH($C1044,总览!$D$46:$D$345,1)+1,1),7)=0),$C$3,0),0)</f>
        <v>552.216964285716</v>
      </c>
      <c r="R1044" s="131" cm="1">
        <f ca="1" t="array" ref="R1044">IF(R1646=1,OFFSET($W$634,$B1044,R$631-1)/SUMPRODUCT(--($D$631:$V$631=R$631),--($D1646:$V1646=1)),0)+SUM(R1043)+IF(COUNTIF(R$1237:R1646,1)=1,5,0)+IF(COUNTIF(S1044:$W1044,"&gt;"&amp;0)&lt;5,IF(AND(COUNTIF(R$1237:R1646,1)&gt;7,MOD(1+IFERROR(MATCH($C1044,总览!$D$46:$D$345,1)+1,1),7)=0),$C$3,0),0)</f>
        <v>543.835714285716</v>
      </c>
      <c r="S1044" s="131" cm="1">
        <f ca="1" t="array" ref="S1044">IF(S1646=1,OFFSET($W$634,$B1044,S$631-1)/SUMPRODUCT(--($D$631:$V$631=S$631),--($D1646:$V1646=1)),0)+SUM(S1043)+IF(COUNTIF(S$1237:S1646,1)=1,5,0)+IF(COUNTIF(T1044:$W1044,"&gt;"&amp;0)&lt;5,IF(AND(COUNTIF(S$1237:S1646,1)&gt;7,MOD(1+IFERROR(MATCH($C1044,总览!$D$46:$D$345,1)+1,1),7)=0),$C$3,0),0)</f>
        <v>636.335714285717</v>
      </c>
      <c r="T1044" s="131" cm="1">
        <f ca="1" t="array" ref="T1044">IF(T1646=1,OFFSET($W$634,$B1044,T$631-1)/SUMPRODUCT(--($D$631:$V$631=T$631),--($D1646:$V1646=1)),0)+SUM(T1043)+IF(COUNTIF(T$1237:T1646,1)=1,5,0)+IF(COUNTIF(U1044:$W1044,"&gt;"&amp;0)&lt;5,IF(AND(COUNTIF(T$1237:T1646,1)&gt;7,MOD(1+IFERROR(MATCH($C1044,总览!$D$46:$D$345,1)+1,1),7)=0),$C$3,0),0)</f>
        <v>465.635217157773</v>
      </c>
      <c r="U1044" s="131" cm="1">
        <f ca="1" t="array" ref="U1044">IF(U1646=1,OFFSET($W$634,$B1044,U$631-1)/SUMPRODUCT(--($D$631:$V$631=U$631),--($D1646:$V1646=1)),0)+SUM(U1043)+IF(COUNTIF(U$1237:U1646,1)=1,5,0)+IF(COUNTIF(V1044:$W1044,"&gt;"&amp;0)&lt;5,IF(AND(COUNTIF(U$1237:U1646,1)&gt;7,MOD(1+IFERROR(MATCH($C1044,总览!$D$46:$D$345,1)+1,1),7)=0),$C$3,0),0)</f>
        <v>471.156003513073</v>
      </c>
      <c r="V1044" s="131" cm="1">
        <f ca="1" t="array" ref="V1044">IF(V1646=1,OFFSET($W$634,$B1044,V$631-1)/SUMPRODUCT(--($D$631:$V$631=V$631),--($D1646:$V1646=1)),0)+SUM(V1043)+IF(COUNTIF(V$1237:V1646,1)=1,5,0)+IF(COUNTIF(W1044:$W1044,"&gt;"&amp;0)&lt;5,IF(AND(COUNTIF(V$1237:V1646,1)&gt;7,MOD(1+IFERROR(MATCH($C1044,总览!$D$46:$D$345,1)+1,1),7)=0),$C$3,0),0)</f>
        <v>490.983003225506</v>
      </c>
      <c r="W1044" s="135" cm="1">
        <f ca="1" t="array" ref="W1044">SUMPRODUCT(TRANSPOSE($AA1044:$AG1044),OFFSET($L$9:$L$15,0,W$631-1))</f>
        <v>16.8502200646615</v>
      </c>
      <c r="X1044" s="135" cm="1">
        <f ca="1" t="array" ref="X1044">SUMPRODUCT(TRANSPOSE($AA1044:$AG1044),OFFSET($L$9:$L$15,0,X$631-1))</f>
        <v>20</v>
      </c>
      <c r="Y1044" s="135" cm="1">
        <f ca="1" t="array" ref="Y1044">SUMPRODUCT(TRANSPOSE($AA1044:$AG1044),OFFSET($L$9:$L$15,0,Y$631-1))</f>
        <v>10</v>
      </c>
      <c r="Z1044" s="135" cm="1">
        <f ca="1" t="array" ref="Z1044">SUMPRODUCT(TRANSPOSE($AA1044:$AG1044),OFFSET($L$9:$L$15,0,Z$631-1))</f>
        <v>3.14977993533847</v>
      </c>
      <c r="AA1044" s="136">
        <f ca="1" t="shared" ref="AA1044:AG1044" si="1071">AH1044-AH1043</f>
        <v>0</v>
      </c>
      <c r="AB1044" s="136">
        <f ca="1" t="shared" si="1071"/>
        <v>0</v>
      </c>
      <c r="AC1044" s="136">
        <f ca="1" t="shared" si="1071"/>
        <v>0</v>
      </c>
      <c r="AD1044" s="136">
        <f ca="1" t="shared" si="1071"/>
        <v>0</v>
      </c>
      <c r="AE1044" s="136">
        <f ca="1" t="shared" si="1071"/>
        <v>0</v>
      </c>
      <c r="AF1044" s="136">
        <f ca="1" t="shared" si="1071"/>
        <v>0</v>
      </c>
      <c r="AG1044" s="136">
        <f ca="1" t="shared" si="1071"/>
        <v>100</v>
      </c>
      <c r="AH1044" s="136">
        <f ca="1" t="shared" si="1021"/>
        <v>450</v>
      </c>
      <c r="AI1044" s="136">
        <f ca="1" t="shared" ref="AI1044:AN1044" si="1072">IF($C1044&gt;OFFSET($Q$8,MATCH(AI$634,$AH$634:$AN$634,0),0),OFFSET($P$8,MATCH(AI$634,$AH$634:$AN$634,0),0),MAX(0,$C1044-OFFSET($Q$8,RIGHT(AI$634,1)-1,0)))</f>
        <v>909</v>
      </c>
      <c r="AJ1044" s="136">
        <f ca="1" t="shared" si="1072"/>
        <v>1818</v>
      </c>
      <c r="AK1044" s="136">
        <f ca="1" t="shared" si="1072"/>
        <v>2727</v>
      </c>
      <c r="AL1044" s="136">
        <f ca="1" t="shared" si="1072"/>
        <v>3636</v>
      </c>
      <c r="AM1044" s="136">
        <f ca="1" t="shared" si="1072"/>
        <v>4545</v>
      </c>
      <c r="AN1044" s="136">
        <f ca="1" t="shared" si="1072"/>
        <v>26915</v>
      </c>
    </row>
    <row r="1045" s="106" customFormat="1" ht="16.5" spans="2:40">
      <c r="B1045" s="117">
        <v>411</v>
      </c>
      <c r="C1045" s="130">
        <f t="shared" si="1019"/>
        <v>41100</v>
      </c>
      <c r="D1045" s="131" cm="1">
        <f ca="1" t="array" ref="D1045">IF(D1647=1,OFFSET($W$634,$B1045,D$631-1)/SUMPRODUCT(--($D$631:$V$631=D$631),--($D1647:$V1647=1)),0)+SUM(D1044)+IF(COUNTIF(D$1237:D1647,1)=1,5,0)+IF(COUNTIF(E1045:$W1045,"&gt;"&amp;0)&lt;5,IF(AND(COUNTIF(D$1237:D1647,1)&gt;7,MOD(1+IFERROR(MATCH($C1045,总览!$D$46:$D$345,1)+1,1),7)=0),$C$3,0),0)</f>
        <v>2636.18366538945</v>
      </c>
      <c r="E1045" s="131" cm="1">
        <f ca="1" t="array" ref="E1045">IF(E1647=1,OFFSET($W$634,$B1045,E$631-1)/SUMPRODUCT(--($D$631:$V$631=E$631),--($D1647:$V1647=1)),0)+SUM(E1044)+IF(COUNTIF(E$1237:E1647,1)=1,5,0)+IF(COUNTIF(F1045:$W1045,"&gt;"&amp;0)&lt;5,IF(AND(COUNTIF(E$1237:E1647,1)&gt;7,MOD(1+IFERROR(MATCH($C1045,总览!$D$46:$D$345,1)+1,1),7)=0),$C$3,0),0)</f>
        <v>2636.18366538945</v>
      </c>
      <c r="F1045" s="131" cm="1">
        <f ca="1" t="array" ref="F1045">IF(F1647=1,OFFSET($W$634,$B1045,F$631-1)/SUMPRODUCT(--($D$631:$V$631=F$631),--($D1647:$V1647=1)),0)+SUM(F1044)+IF(COUNTIF(F$1237:F1647,1)=1,5,0)+IF(COUNTIF(G1045:$W1045,"&gt;"&amp;0)&lt;5,IF(AND(COUNTIF(F$1237:F1647,1)&gt;7,MOD(1+IFERROR(MATCH($C1045,总览!$D$46:$D$345,1)+1,1),7)=0),$C$3,0),0)</f>
        <v>2636.18366538945</v>
      </c>
      <c r="G1045" s="131" cm="1">
        <f ca="1" t="array" ref="G1045">IF(G1647=1,OFFSET($W$634,$B1045,G$631-1)/SUMPRODUCT(--($D$631:$V$631=G$631),--($D1647:$V1647=1)),0)+SUM(G1044)+IF(COUNTIF(G$1237:G1647,1)=1,5,0)+IF(COUNTIF(H1045:$W1045,"&gt;"&amp;0)&lt;5,IF(AND(COUNTIF(G$1237:G1647,1)&gt;7,MOD(1+IFERROR(MATCH($C1045,总览!$D$46:$D$345,1)+1,1),7)=0),$C$3,0),0)</f>
        <v>1309.4</v>
      </c>
      <c r="H1045" s="131" cm="1">
        <f ca="1" t="array" ref="H1045">IF(H1647=1,OFFSET($W$634,$B1045,H$631-1)/SUMPRODUCT(--($D$631:$V$631=H$631),--($D1647:$V1647=1)),0)+SUM(H1044)+IF(COUNTIF(H$1237:H1647,1)=1,5,0)+IF(COUNTIF(I1045:$W1045,"&gt;"&amp;0)&lt;5,IF(AND(COUNTIF(H$1237:H1647,1)&gt;7,MOD(1+IFERROR(MATCH($C1045,总览!$D$46:$D$345,1)+1,1),7)=0),$C$3,0),0)</f>
        <v>1309.4</v>
      </c>
      <c r="I1045" s="131" cm="1">
        <f ca="1" t="array" ref="I1045">IF(I1647=1,OFFSET($W$634,$B1045,I$631-1)/SUMPRODUCT(--($D$631:$V$631=I$631),--($D1647:$V1647=1)),0)+SUM(I1044)+IF(COUNTIF(I$1237:I1647,1)=1,5,0)+IF(COUNTIF(J1045:$W1045,"&gt;"&amp;0)&lt;5,IF(AND(COUNTIF(I$1237:I1647,1)&gt;7,MOD(1+IFERROR(MATCH($C1045,总览!$D$46:$D$345,1)+1,1),7)=0),$C$3,0),0)</f>
        <v>1309.4</v>
      </c>
      <c r="J1045" s="131" cm="1">
        <f ca="1" t="array" ref="J1045">IF(J1647=1,OFFSET($W$634,$B1045,J$631-1)/SUMPRODUCT(--($D$631:$V$631=J$631),--($D1647:$V1647=1)),0)+SUM(J1044)+IF(COUNTIF(J$1237:J1647,1)=1,5,0)+IF(COUNTIF(K1045:$W1045,"&gt;"&amp;0)&lt;5,IF(AND(COUNTIF(J$1237:J1647,1)&gt;7,MOD(1+IFERROR(MATCH($C1045,总览!$D$46:$D$345,1)+1,1),7)=0),$C$3,0),0)</f>
        <v>1306.06666666666</v>
      </c>
      <c r="K1045" s="131" cm="1">
        <f ca="1" t="array" ref="K1045">IF(K1647=1,OFFSET($W$634,$B1045,K$631-1)/SUMPRODUCT(--($D$631:$V$631=K$631),--($D1647:$V1647=1)),0)+SUM(K1044)+IF(COUNTIF(K$1237:K1647,1)=1,5,0)+IF(COUNTIF(L1045:$W1045,"&gt;"&amp;0)&lt;5,IF(AND(COUNTIF(K$1237:K1647,1)&gt;7,MOD(1+IFERROR(MATCH($C1045,总览!$D$46:$D$345,1)+1,1),7)=0),$C$3,0),0)</f>
        <v>1303.56666666666</v>
      </c>
      <c r="L1045" s="131" cm="1">
        <f ca="1" t="array" ref="L1045">IF(L1647=1,OFFSET($W$634,$B1045,L$631-1)/SUMPRODUCT(--($D$631:$V$631=L$631),--($D1647:$V1647=1)),0)+SUM(L1044)+IF(COUNTIF(L$1237:L1647,1)=1,5,0)+IF(COUNTIF(M1045:$W1045,"&gt;"&amp;0)&lt;5,IF(AND(COUNTIF(L$1237:L1647,1)&gt;7,MOD(1+IFERROR(MATCH($C1045,总览!$D$46:$D$345,1)+1,1),7)=0),$C$3,0),0)</f>
        <v>1303.56666666666</v>
      </c>
      <c r="M1045" s="131" cm="1">
        <f ca="1" t="array" ref="M1045">IF(M1647=1,OFFSET($W$634,$B1045,M$631-1)/SUMPRODUCT(--($D$631:$V$631=M$631),--($D1647:$V1647=1)),0)+SUM(M1044)+IF(COUNTIF(M$1237:M1647,1)=1,5,0)+IF(COUNTIF(N1045:$W1045,"&gt;"&amp;0)&lt;5,IF(AND(COUNTIF(M$1237:M1647,1)&gt;7,MOD(1+IFERROR(MATCH($C1045,总览!$D$46:$D$345,1)+1,1),7)=0),$C$3,0),0)</f>
        <v>544.895535714288</v>
      </c>
      <c r="N1045" s="131" cm="1">
        <f ca="1" t="array" ref="N1045">IF(N1647=1,OFFSET($W$634,$B1045,N$631-1)/SUMPRODUCT(--($D$631:$V$631=N$631),--($D1647:$V1647=1)),0)+SUM(N1044)+IF(COUNTIF(N$1237:N1647,1)=1,5,0)+IF(COUNTIF(O1045:$W1045,"&gt;"&amp;0)&lt;5,IF(AND(COUNTIF(N$1237:N1647,1)&gt;7,MOD(1+IFERROR(MATCH($C1045,总览!$D$46:$D$345,1)+1,1),7)=0),$C$3,0),0)</f>
        <v>546.145535714288</v>
      </c>
      <c r="O1045" s="131" cm="1">
        <f ca="1" t="array" ref="O1045">IF(O1647=1,OFFSET($W$634,$B1045,O$631-1)/SUMPRODUCT(--($D$631:$V$631=O$631),--($D1647:$V1647=1)),0)+SUM(O1044)+IF(COUNTIF(O$1237:O1647,1)=1,5,0)+IF(COUNTIF(P1045:$W1045,"&gt;"&amp;0)&lt;5,IF(AND(COUNTIF(O$1237:O1647,1)&gt;7,MOD(1+IFERROR(MATCH($C1045,总览!$D$46:$D$345,1)+1,1),7)=0),$C$3,0),0)</f>
        <v>551.145535714288</v>
      </c>
      <c r="P1045" s="131" cm="1">
        <f ca="1" t="array" ref="P1045">IF(P1647=1,OFFSET($W$634,$B1045,P$631-1)/SUMPRODUCT(--($D$631:$V$631=P$631),--($D1647:$V1647=1)),0)+SUM(P1044)+IF(COUNTIF(P$1237:P1647,1)=1,5,0)+IF(COUNTIF(Q1045:$W1045,"&gt;"&amp;0)&lt;5,IF(AND(COUNTIF(P$1237:P1647,1)&gt;7,MOD(1+IFERROR(MATCH($C1045,总览!$D$46:$D$345,1)+1,1),7)=0),$C$3,0),0)</f>
        <v>540.264285714288</v>
      </c>
      <c r="Q1045" s="131" cm="1">
        <f ca="1" t="array" ref="Q1045">IF(Q1647=1,OFFSET($W$634,$B1045,Q$631-1)/SUMPRODUCT(--($D$631:$V$631=Q$631),--($D1647:$V1647=1)),0)+SUM(Q1044)+IF(COUNTIF(Q$1237:Q1647,1)=1,5,0)+IF(COUNTIF(R1045:$W1045,"&gt;"&amp;0)&lt;5,IF(AND(COUNTIF(Q$1237:Q1647,1)&gt;7,MOD(1+IFERROR(MATCH($C1045,总览!$D$46:$D$345,1)+1,1),7)=0),$C$3,0),0)</f>
        <v>553.645535714288</v>
      </c>
      <c r="R1045" s="131" cm="1">
        <f ca="1" t="array" ref="R1045">IF(R1647=1,OFFSET($W$634,$B1045,R$631-1)/SUMPRODUCT(--($D$631:$V$631=R$631),--($D1647:$V1647=1)),0)+SUM(R1044)+IF(COUNTIF(R$1237:R1647,1)=1,5,0)+IF(COUNTIF(S1045:$W1045,"&gt;"&amp;0)&lt;5,IF(AND(COUNTIF(R$1237:R1647,1)&gt;7,MOD(1+IFERROR(MATCH($C1045,总览!$D$46:$D$345,1)+1,1),7)=0),$C$3,0),0)</f>
        <v>545.264285714288</v>
      </c>
      <c r="S1045" s="131" cm="1">
        <f ca="1" t="array" ref="S1045">IF(S1647=1,OFFSET($W$634,$B1045,S$631-1)/SUMPRODUCT(--($D$631:$V$631=S$631),--($D1647:$V1647=1)),0)+SUM(S1044)+IF(COUNTIF(S$1237:S1647,1)=1,5,0)+IF(COUNTIF(T1045:$W1045,"&gt;"&amp;0)&lt;5,IF(AND(COUNTIF(S$1237:S1647,1)&gt;7,MOD(1+IFERROR(MATCH($C1045,总览!$D$46:$D$345,1)+1,1),7)=0),$C$3,0),0)</f>
        <v>637.764285714289</v>
      </c>
      <c r="T1045" s="131" cm="1">
        <f ca="1" t="array" ref="T1045">IF(T1647=1,OFFSET($W$634,$B1045,T$631-1)/SUMPRODUCT(--($D$631:$V$631=T$631),--($D1647:$V1647=1)),0)+SUM(T1044)+IF(COUNTIF(T$1237:T1647,1)=1,5,0)+IF(COUNTIF(U1045:$W1045,"&gt;"&amp;0)&lt;5,IF(AND(COUNTIF(T$1237:T1647,1)&gt;7,MOD(1+IFERROR(MATCH($C1045,总览!$D$46:$D$345,1)+1,1),7)=0),$C$3,0),0)</f>
        <v>466.685143802886</v>
      </c>
      <c r="U1045" s="131" cm="1">
        <f ca="1" t="array" ref="U1045">IF(U1647=1,OFFSET($W$634,$B1045,U$631-1)/SUMPRODUCT(--($D$631:$V$631=U$631),--($D1647:$V1647=1)),0)+SUM(U1044)+IF(COUNTIF(U$1237:U1647,1)=1,5,0)+IF(COUNTIF(V1045:$W1045,"&gt;"&amp;0)&lt;5,IF(AND(COUNTIF(U$1237:U1647,1)&gt;7,MOD(1+IFERROR(MATCH($C1045,总览!$D$46:$D$345,1)+1,1),7)=0),$C$3,0),0)</f>
        <v>472.205930158185</v>
      </c>
      <c r="V1045" s="131" cm="1">
        <f ca="1" t="array" ref="V1045">IF(V1647=1,OFFSET($W$634,$B1045,V$631-1)/SUMPRODUCT(--($D$631:$V$631=V$631),--($D1647:$V1647=1)),0)+SUM(V1044)+IF(COUNTIF(V$1237:V1647,1)=1,5,0)+IF(COUNTIF(W1045:$W1045,"&gt;"&amp;0)&lt;5,IF(AND(COUNTIF(V$1237:V1647,1)&gt;7,MOD(1+IFERROR(MATCH($C1045,总览!$D$46:$D$345,1)+1,1),7)=0),$C$3,0),0)</f>
        <v>492.032929870618</v>
      </c>
      <c r="W1045" s="135" cm="1">
        <f ca="1" t="array" ref="W1045">SUMPRODUCT(TRANSPOSE($AA1045:$AG1045),OFFSET($L$9:$L$15,0,W$631-1))</f>
        <v>16.8502200646615</v>
      </c>
      <c r="X1045" s="135" cm="1">
        <f ca="1" t="array" ref="X1045">SUMPRODUCT(TRANSPOSE($AA1045:$AG1045),OFFSET($L$9:$L$15,0,X$631-1))</f>
        <v>20</v>
      </c>
      <c r="Y1045" s="135" cm="1">
        <f ca="1" t="array" ref="Y1045">SUMPRODUCT(TRANSPOSE($AA1045:$AG1045),OFFSET($L$9:$L$15,0,Y$631-1))</f>
        <v>10</v>
      </c>
      <c r="Z1045" s="135" cm="1">
        <f ca="1" t="array" ref="Z1045">SUMPRODUCT(TRANSPOSE($AA1045:$AG1045),OFFSET($L$9:$L$15,0,Z$631-1))</f>
        <v>3.14977993533847</v>
      </c>
      <c r="AA1045" s="136">
        <f ca="1" t="shared" ref="AA1045:AG1045" si="1073">AH1045-AH1044</f>
        <v>0</v>
      </c>
      <c r="AB1045" s="136">
        <f ca="1" t="shared" si="1073"/>
        <v>0</v>
      </c>
      <c r="AC1045" s="136">
        <f ca="1" t="shared" si="1073"/>
        <v>0</v>
      </c>
      <c r="AD1045" s="136">
        <f ca="1" t="shared" si="1073"/>
        <v>0</v>
      </c>
      <c r="AE1045" s="136">
        <f ca="1" t="shared" si="1073"/>
        <v>0</v>
      </c>
      <c r="AF1045" s="136">
        <f ca="1" t="shared" si="1073"/>
        <v>0</v>
      </c>
      <c r="AG1045" s="136">
        <f ca="1" t="shared" si="1073"/>
        <v>100</v>
      </c>
      <c r="AH1045" s="136">
        <f ca="1" t="shared" si="1021"/>
        <v>450</v>
      </c>
      <c r="AI1045" s="136">
        <f ca="1" t="shared" ref="AI1045:AN1045" si="1074">IF($C1045&gt;OFFSET($Q$8,MATCH(AI$634,$AH$634:$AN$634,0),0),OFFSET($P$8,MATCH(AI$634,$AH$634:$AN$634,0),0),MAX(0,$C1045-OFFSET($Q$8,RIGHT(AI$634,1)-1,0)))</f>
        <v>909</v>
      </c>
      <c r="AJ1045" s="136">
        <f ca="1" t="shared" si="1074"/>
        <v>1818</v>
      </c>
      <c r="AK1045" s="136">
        <f ca="1" t="shared" si="1074"/>
        <v>2727</v>
      </c>
      <c r="AL1045" s="136">
        <f ca="1" t="shared" si="1074"/>
        <v>3636</v>
      </c>
      <c r="AM1045" s="136">
        <f ca="1" t="shared" si="1074"/>
        <v>4545</v>
      </c>
      <c r="AN1045" s="136">
        <f ca="1" t="shared" si="1074"/>
        <v>27015</v>
      </c>
    </row>
    <row r="1046" s="106" customFormat="1" ht="16.5" spans="2:40">
      <c r="B1046" s="117">
        <v>412</v>
      </c>
      <c r="C1046" s="130">
        <f t="shared" si="1019"/>
        <v>41200</v>
      </c>
      <c r="D1046" s="131" cm="1">
        <f ca="1" t="array" ref="D1046">IF(D1648=1,OFFSET($W$634,$B1046,D$631-1)/SUMPRODUCT(--($D$631:$V$631=D$631),--($D1648:$V1648=1)),0)+SUM(D1045)+IF(COUNTIF(D$1237:D1648,1)=1,5,0)+IF(COUNTIF(E1046:$W1046,"&gt;"&amp;0)&lt;5,IF(AND(COUNTIF(D$1237:D1648,1)&gt;7,MOD(1+IFERROR(MATCH($C1046,总览!$D$46:$D$345,1)+1,1),7)=0),$C$3,0),0)</f>
        <v>2641.80040541101</v>
      </c>
      <c r="E1046" s="131" cm="1">
        <f ca="1" t="array" ref="E1046">IF(E1648=1,OFFSET($W$634,$B1046,E$631-1)/SUMPRODUCT(--($D$631:$V$631=E$631),--($D1648:$V1648=1)),0)+SUM(E1045)+IF(COUNTIF(E$1237:E1648,1)=1,5,0)+IF(COUNTIF(F1046:$W1046,"&gt;"&amp;0)&lt;5,IF(AND(COUNTIF(E$1237:E1648,1)&gt;7,MOD(1+IFERROR(MATCH($C1046,总览!$D$46:$D$345,1)+1,1),7)=0),$C$3,0),0)</f>
        <v>2641.80040541101</v>
      </c>
      <c r="F1046" s="131" cm="1">
        <f ca="1" t="array" ref="F1046">IF(F1648=1,OFFSET($W$634,$B1046,F$631-1)/SUMPRODUCT(--($D$631:$V$631=F$631),--($D1648:$V1648=1)),0)+SUM(F1045)+IF(COUNTIF(F$1237:F1648,1)=1,5,0)+IF(COUNTIF(G1046:$W1046,"&gt;"&amp;0)&lt;5,IF(AND(COUNTIF(F$1237:F1648,1)&gt;7,MOD(1+IFERROR(MATCH($C1046,总览!$D$46:$D$345,1)+1,1),7)=0),$C$3,0),0)</f>
        <v>2641.80040541101</v>
      </c>
      <c r="G1046" s="131" cm="1">
        <f ca="1" t="array" ref="G1046">IF(G1648=1,OFFSET($W$634,$B1046,G$631-1)/SUMPRODUCT(--($D$631:$V$631=G$631),--($D1648:$V1648=1)),0)+SUM(G1045)+IF(COUNTIF(G$1237:G1648,1)=1,5,0)+IF(COUNTIF(H1046:$W1046,"&gt;"&amp;0)&lt;5,IF(AND(COUNTIF(G$1237:G1648,1)&gt;7,MOD(1+IFERROR(MATCH($C1046,总览!$D$46:$D$345,1)+1,1),7)=0),$C$3,0),0)</f>
        <v>1312.73333333333</v>
      </c>
      <c r="H1046" s="131" cm="1">
        <f ca="1" t="array" ref="H1046">IF(H1648=1,OFFSET($W$634,$B1046,H$631-1)/SUMPRODUCT(--($D$631:$V$631=H$631),--($D1648:$V1648=1)),0)+SUM(H1045)+IF(COUNTIF(H$1237:H1648,1)=1,5,0)+IF(COUNTIF(I1046:$W1046,"&gt;"&amp;0)&lt;5,IF(AND(COUNTIF(H$1237:H1648,1)&gt;7,MOD(1+IFERROR(MATCH($C1046,总览!$D$46:$D$345,1)+1,1),7)=0),$C$3,0),0)</f>
        <v>1312.73333333333</v>
      </c>
      <c r="I1046" s="131" cm="1">
        <f ca="1" t="array" ref="I1046">IF(I1648=1,OFFSET($W$634,$B1046,I$631-1)/SUMPRODUCT(--($D$631:$V$631=I$631),--($D1648:$V1648=1)),0)+SUM(I1045)+IF(COUNTIF(I$1237:I1648,1)=1,5,0)+IF(COUNTIF(J1046:$W1046,"&gt;"&amp;0)&lt;5,IF(AND(COUNTIF(I$1237:I1648,1)&gt;7,MOD(1+IFERROR(MATCH($C1046,总览!$D$46:$D$345,1)+1,1),7)=0),$C$3,0),0)</f>
        <v>1312.73333333333</v>
      </c>
      <c r="J1046" s="131" cm="1">
        <f ca="1" t="array" ref="J1046">IF(J1648=1,OFFSET($W$634,$B1046,J$631-1)/SUMPRODUCT(--($D$631:$V$631=J$631),--($D1648:$V1648=1)),0)+SUM(J1045)+IF(COUNTIF(J$1237:J1648,1)=1,5,0)+IF(COUNTIF(K1046:$W1046,"&gt;"&amp;0)&lt;5,IF(AND(COUNTIF(J$1237:J1648,1)&gt;7,MOD(1+IFERROR(MATCH($C1046,总览!$D$46:$D$345,1)+1,1),7)=0),$C$3,0),0)</f>
        <v>1309.4</v>
      </c>
      <c r="K1046" s="131" cm="1">
        <f ca="1" t="array" ref="K1046">IF(K1648=1,OFFSET($W$634,$B1046,K$631-1)/SUMPRODUCT(--($D$631:$V$631=K$631),--($D1648:$V1648=1)),0)+SUM(K1045)+IF(COUNTIF(K$1237:K1648,1)=1,5,0)+IF(COUNTIF(L1046:$W1046,"&gt;"&amp;0)&lt;5,IF(AND(COUNTIF(K$1237:K1648,1)&gt;7,MOD(1+IFERROR(MATCH($C1046,总览!$D$46:$D$345,1)+1,1),7)=0),$C$3,0),0)</f>
        <v>1306.9</v>
      </c>
      <c r="L1046" s="131" cm="1">
        <f ca="1" t="array" ref="L1046">IF(L1648=1,OFFSET($W$634,$B1046,L$631-1)/SUMPRODUCT(--($D$631:$V$631=L$631),--($D1648:$V1648=1)),0)+SUM(L1045)+IF(COUNTIF(L$1237:L1648,1)=1,5,0)+IF(COUNTIF(M1046:$W1046,"&gt;"&amp;0)&lt;5,IF(AND(COUNTIF(L$1237:L1648,1)&gt;7,MOD(1+IFERROR(MATCH($C1046,总览!$D$46:$D$345,1)+1,1),7)=0),$C$3,0),0)</f>
        <v>1306.9</v>
      </c>
      <c r="M1046" s="131" cm="1">
        <f ca="1" t="array" ref="M1046">IF(M1648=1,OFFSET($W$634,$B1046,M$631-1)/SUMPRODUCT(--($D$631:$V$631=M$631),--($D1648:$V1648=1)),0)+SUM(M1045)+IF(COUNTIF(M$1237:M1648,1)=1,5,0)+IF(COUNTIF(N1046:$W1046,"&gt;"&amp;0)&lt;5,IF(AND(COUNTIF(M$1237:M1648,1)&gt;7,MOD(1+IFERROR(MATCH($C1046,总览!$D$46:$D$345,1)+1,1),7)=0),$C$3,0),0)</f>
        <v>546.324107142859</v>
      </c>
      <c r="N1046" s="131" cm="1">
        <f ca="1" t="array" ref="N1046">IF(N1648=1,OFFSET($W$634,$B1046,N$631-1)/SUMPRODUCT(--($D$631:$V$631=N$631),--($D1648:$V1648=1)),0)+SUM(N1045)+IF(COUNTIF(N$1237:N1648,1)=1,5,0)+IF(COUNTIF(O1046:$W1046,"&gt;"&amp;0)&lt;5,IF(AND(COUNTIF(N$1237:N1648,1)&gt;7,MOD(1+IFERROR(MATCH($C1046,总览!$D$46:$D$345,1)+1,1),7)=0),$C$3,0),0)</f>
        <v>547.574107142859</v>
      </c>
      <c r="O1046" s="131" cm="1">
        <f ca="1" t="array" ref="O1046">IF(O1648=1,OFFSET($W$634,$B1046,O$631-1)/SUMPRODUCT(--($D$631:$V$631=O$631),--($D1648:$V1648=1)),0)+SUM(O1045)+IF(COUNTIF(O$1237:O1648,1)=1,5,0)+IF(COUNTIF(P1046:$W1046,"&gt;"&amp;0)&lt;5,IF(AND(COUNTIF(O$1237:O1648,1)&gt;7,MOD(1+IFERROR(MATCH($C1046,总览!$D$46:$D$345,1)+1,1),7)=0),$C$3,0),0)</f>
        <v>552.574107142859</v>
      </c>
      <c r="P1046" s="131" cm="1">
        <f ca="1" t="array" ref="P1046">IF(P1648=1,OFFSET($W$634,$B1046,P$631-1)/SUMPRODUCT(--($D$631:$V$631=P$631),--($D1648:$V1648=1)),0)+SUM(P1045)+IF(COUNTIF(P$1237:P1648,1)=1,5,0)+IF(COUNTIF(Q1046:$W1046,"&gt;"&amp;0)&lt;5,IF(AND(COUNTIF(P$1237:P1648,1)&gt;7,MOD(1+IFERROR(MATCH($C1046,总览!$D$46:$D$345,1)+1,1),7)=0),$C$3,0),0)</f>
        <v>541.692857142859</v>
      </c>
      <c r="Q1046" s="131" cm="1">
        <f ca="1" t="array" ref="Q1046">IF(Q1648=1,OFFSET($W$634,$B1046,Q$631-1)/SUMPRODUCT(--($D$631:$V$631=Q$631),--($D1648:$V1648=1)),0)+SUM(Q1045)+IF(COUNTIF(Q$1237:Q1648,1)=1,5,0)+IF(COUNTIF(R1046:$W1046,"&gt;"&amp;0)&lt;5,IF(AND(COUNTIF(Q$1237:Q1648,1)&gt;7,MOD(1+IFERROR(MATCH($C1046,总览!$D$46:$D$345,1)+1,1),7)=0),$C$3,0),0)</f>
        <v>555.074107142859</v>
      </c>
      <c r="R1046" s="131" cm="1">
        <f ca="1" t="array" ref="R1046">IF(R1648=1,OFFSET($W$634,$B1046,R$631-1)/SUMPRODUCT(--($D$631:$V$631=R$631),--($D1648:$V1648=1)),0)+SUM(R1045)+IF(COUNTIF(R$1237:R1648,1)=1,5,0)+IF(COUNTIF(S1046:$W1046,"&gt;"&amp;0)&lt;5,IF(AND(COUNTIF(R$1237:R1648,1)&gt;7,MOD(1+IFERROR(MATCH($C1046,总览!$D$46:$D$345,1)+1,1),7)=0),$C$3,0),0)</f>
        <v>546.692857142859</v>
      </c>
      <c r="S1046" s="131" cm="1">
        <f ca="1" t="array" ref="S1046">IF(S1648=1,OFFSET($W$634,$B1046,S$631-1)/SUMPRODUCT(--($D$631:$V$631=S$631),--($D1648:$V1648=1)),0)+SUM(S1045)+IF(COUNTIF(S$1237:S1648,1)=1,5,0)+IF(COUNTIF(T1046:$W1046,"&gt;"&amp;0)&lt;5,IF(AND(COUNTIF(S$1237:S1648,1)&gt;7,MOD(1+IFERROR(MATCH($C1046,总览!$D$46:$D$345,1)+1,1),7)=0),$C$3,0),0)</f>
        <v>639.19285714286</v>
      </c>
      <c r="T1046" s="131" cm="1">
        <f ca="1" t="array" ref="T1046">IF(T1648=1,OFFSET($W$634,$B1046,T$631-1)/SUMPRODUCT(--($D$631:$V$631=T$631),--($D1648:$V1648=1)),0)+SUM(T1045)+IF(COUNTIF(T$1237:T1648,1)=1,5,0)+IF(COUNTIF(U1046:$W1046,"&gt;"&amp;0)&lt;5,IF(AND(COUNTIF(T$1237:T1648,1)&gt;7,MOD(1+IFERROR(MATCH($C1046,总览!$D$46:$D$345,1)+1,1),7)=0),$C$3,0),0)</f>
        <v>467.735070447999</v>
      </c>
      <c r="U1046" s="131" cm="1">
        <f ca="1" t="array" ref="U1046">IF(U1648=1,OFFSET($W$634,$B1046,U$631-1)/SUMPRODUCT(--($D$631:$V$631=U$631),--($D1648:$V1648=1)),0)+SUM(U1045)+IF(COUNTIF(U$1237:U1648,1)=1,5,0)+IF(COUNTIF(V1046:$W1046,"&gt;"&amp;0)&lt;5,IF(AND(COUNTIF(U$1237:U1648,1)&gt;7,MOD(1+IFERROR(MATCH($C1046,总览!$D$46:$D$345,1)+1,1),7)=0),$C$3,0),0)</f>
        <v>473.255856803298</v>
      </c>
      <c r="V1046" s="131" cm="1">
        <f ca="1" t="array" ref="V1046">IF(V1648=1,OFFSET($W$634,$B1046,V$631-1)/SUMPRODUCT(--($D$631:$V$631=V$631),--($D1648:$V1648=1)),0)+SUM(V1045)+IF(COUNTIF(V$1237:V1648,1)=1,5,0)+IF(COUNTIF(W1046:$W1046,"&gt;"&amp;0)&lt;5,IF(AND(COUNTIF(V$1237:V1648,1)&gt;7,MOD(1+IFERROR(MATCH($C1046,总览!$D$46:$D$345,1)+1,1),7)=0),$C$3,0),0)</f>
        <v>493.082856515731</v>
      </c>
      <c r="W1046" s="135" cm="1">
        <f ca="1" t="array" ref="W1046">SUMPRODUCT(TRANSPOSE($AA1046:$AG1046),OFFSET($L$9:$L$15,0,W$631-1))</f>
        <v>16.8502200646615</v>
      </c>
      <c r="X1046" s="135" cm="1">
        <f ca="1" t="array" ref="X1046">SUMPRODUCT(TRANSPOSE($AA1046:$AG1046),OFFSET($L$9:$L$15,0,X$631-1))</f>
        <v>20</v>
      </c>
      <c r="Y1046" s="135" cm="1">
        <f ca="1" t="array" ref="Y1046">SUMPRODUCT(TRANSPOSE($AA1046:$AG1046),OFFSET($L$9:$L$15,0,Y$631-1))</f>
        <v>10</v>
      </c>
      <c r="Z1046" s="135" cm="1">
        <f ca="1" t="array" ref="Z1046">SUMPRODUCT(TRANSPOSE($AA1046:$AG1046),OFFSET($L$9:$L$15,0,Z$631-1))</f>
        <v>3.14977993533847</v>
      </c>
      <c r="AA1046" s="136">
        <f ca="1" t="shared" ref="AA1046:AG1046" si="1075">AH1046-AH1045</f>
        <v>0</v>
      </c>
      <c r="AB1046" s="136">
        <f ca="1" t="shared" si="1075"/>
        <v>0</v>
      </c>
      <c r="AC1046" s="136">
        <f ca="1" t="shared" si="1075"/>
        <v>0</v>
      </c>
      <c r="AD1046" s="136">
        <f ca="1" t="shared" si="1075"/>
        <v>0</v>
      </c>
      <c r="AE1046" s="136">
        <f ca="1" t="shared" si="1075"/>
        <v>0</v>
      </c>
      <c r="AF1046" s="136">
        <f ca="1" t="shared" si="1075"/>
        <v>0</v>
      </c>
      <c r="AG1046" s="136">
        <f ca="1" t="shared" si="1075"/>
        <v>100</v>
      </c>
      <c r="AH1046" s="136">
        <f ca="1" t="shared" si="1021"/>
        <v>450</v>
      </c>
      <c r="AI1046" s="136">
        <f ca="1" t="shared" ref="AI1046:AN1046" si="1076">IF($C1046&gt;OFFSET($Q$8,MATCH(AI$634,$AH$634:$AN$634,0),0),OFFSET($P$8,MATCH(AI$634,$AH$634:$AN$634,0),0),MAX(0,$C1046-OFFSET($Q$8,RIGHT(AI$634,1)-1,0)))</f>
        <v>909</v>
      </c>
      <c r="AJ1046" s="136">
        <f ca="1" t="shared" si="1076"/>
        <v>1818</v>
      </c>
      <c r="AK1046" s="136">
        <f ca="1" t="shared" si="1076"/>
        <v>2727</v>
      </c>
      <c r="AL1046" s="136">
        <f ca="1" t="shared" si="1076"/>
        <v>3636</v>
      </c>
      <c r="AM1046" s="136">
        <f ca="1" t="shared" si="1076"/>
        <v>4545</v>
      </c>
      <c r="AN1046" s="136">
        <f ca="1" t="shared" si="1076"/>
        <v>27115</v>
      </c>
    </row>
    <row r="1047" s="106" customFormat="1" ht="16.5" spans="2:40">
      <c r="B1047" s="117">
        <v>413</v>
      </c>
      <c r="C1047" s="130">
        <f t="shared" si="1019"/>
        <v>41300</v>
      </c>
      <c r="D1047" s="131" cm="1">
        <f ca="1" t="array" ref="D1047">IF(D1649=1,OFFSET($W$634,$B1047,D$631-1)/SUMPRODUCT(--($D$631:$V$631=D$631),--($D1649:$V1649=1)),0)+SUM(D1046)+IF(COUNTIF(D$1237:D1649,1)=1,5,0)+IF(COUNTIF(E1047:$W1047,"&gt;"&amp;0)&lt;5,IF(AND(COUNTIF(D$1237:D1649,1)&gt;7,MOD(1+IFERROR(MATCH($C1047,总览!$D$46:$D$345,1)+1,1),7)=0),$C$3,0),0)</f>
        <v>2647.41714543256</v>
      </c>
      <c r="E1047" s="131" cm="1">
        <f ca="1" t="array" ref="E1047">IF(E1649=1,OFFSET($W$634,$B1047,E$631-1)/SUMPRODUCT(--($D$631:$V$631=E$631),--($D1649:$V1649=1)),0)+SUM(E1046)+IF(COUNTIF(E$1237:E1649,1)=1,5,0)+IF(COUNTIF(F1047:$W1047,"&gt;"&amp;0)&lt;5,IF(AND(COUNTIF(E$1237:E1649,1)&gt;7,MOD(1+IFERROR(MATCH($C1047,总览!$D$46:$D$345,1)+1,1),7)=0),$C$3,0),0)</f>
        <v>2647.41714543256</v>
      </c>
      <c r="F1047" s="131" cm="1">
        <f ca="1" t="array" ref="F1047">IF(F1649=1,OFFSET($W$634,$B1047,F$631-1)/SUMPRODUCT(--($D$631:$V$631=F$631),--($D1649:$V1649=1)),0)+SUM(F1046)+IF(COUNTIF(F$1237:F1649,1)=1,5,0)+IF(COUNTIF(G1047:$W1047,"&gt;"&amp;0)&lt;5,IF(AND(COUNTIF(F$1237:F1649,1)&gt;7,MOD(1+IFERROR(MATCH($C1047,总览!$D$46:$D$345,1)+1,1),7)=0),$C$3,0),0)</f>
        <v>2647.41714543256</v>
      </c>
      <c r="G1047" s="131" cm="1">
        <f ca="1" t="array" ref="G1047">IF(G1649=1,OFFSET($W$634,$B1047,G$631-1)/SUMPRODUCT(--($D$631:$V$631=G$631),--($D1649:$V1649=1)),0)+SUM(G1046)+IF(COUNTIF(G$1237:G1649,1)=1,5,0)+IF(COUNTIF(H1047:$W1047,"&gt;"&amp;0)&lt;5,IF(AND(COUNTIF(G$1237:G1649,1)&gt;7,MOD(1+IFERROR(MATCH($C1047,总览!$D$46:$D$345,1)+1,1),7)=0),$C$3,0),0)</f>
        <v>1316.06666666666</v>
      </c>
      <c r="H1047" s="131" cm="1">
        <f ca="1" t="array" ref="H1047">IF(H1649=1,OFFSET($W$634,$B1047,H$631-1)/SUMPRODUCT(--($D$631:$V$631=H$631),--($D1649:$V1649=1)),0)+SUM(H1046)+IF(COUNTIF(H$1237:H1649,1)=1,5,0)+IF(COUNTIF(I1047:$W1047,"&gt;"&amp;0)&lt;5,IF(AND(COUNTIF(H$1237:H1649,1)&gt;7,MOD(1+IFERROR(MATCH($C1047,总览!$D$46:$D$345,1)+1,1),7)=0),$C$3,0),0)</f>
        <v>1316.06666666666</v>
      </c>
      <c r="I1047" s="131" cm="1">
        <f ca="1" t="array" ref="I1047">IF(I1649=1,OFFSET($W$634,$B1047,I$631-1)/SUMPRODUCT(--($D$631:$V$631=I$631),--($D1649:$V1649=1)),0)+SUM(I1046)+IF(COUNTIF(I$1237:I1649,1)=1,5,0)+IF(COUNTIF(J1047:$W1047,"&gt;"&amp;0)&lt;5,IF(AND(COUNTIF(I$1237:I1649,1)&gt;7,MOD(1+IFERROR(MATCH($C1047,总览!$D$46:$D$345,1)+1,1),7)=0),$C$3,0),0)</f>
        <v>1316.06666666666</v>
      </c>
      <c r="J1047" s="131" cm="1">
        <f ca="1" t="array" ref="J1047">IF(J1649=1,OFFSET($W$634,$B1047,J$631-1)/SUMPRODUCT(--($D$631:$V$631=J$631),--($D1649:$V1649=1)),0)+SUM(J1046)+IF(COUNTIF(J$1237:J1649,1)=1,5,0)+IF(COUNTIF(K1047:$W1047,"&gt;"&amp;0)&lt;5,IF(AND(COUNTIF(J$1237:J1649,1)&gt;7,MOD(1+IFERROR(MATCH($C1047,总览!$D$46:$D$345,1)+1,1),7)=0),$C$3,0),0)</f>
        <v>1312.73333333333</v>
      </c>
      <c r="K1047" s="131" cm="1">
        <f ca="1" t="array" ref="K1047">IF(K1649=1,OFFSET($W$634,$B1047,K$631-1)/SUMPRODUCT(--($D$631:$V$631=K$631),--($D1649:$V1649=1)),0)+SUM(K1046)+IF(COUNTIF(K$1237:K1649,1)=1,5,0)+IF(COUNTIF(L1047:$W1047,"&gt;"&amp;0)&lt;5,IF(AND(COUNTIF(K$1237:K1649,1)&gt;7,MOD(1+IFERROR(MATCH($C1047,总览!$D$46:$D$345,1)+1,1),7)=0),$C$3,0),0)</f>
        <v>1310.23333333333</v>
      </c>
      <c r="L1047" s="131" cm="1">
        <f ca="1" t="array" ref="L1047">IF(L1649=1,OFFSET($W$634,$B1047,L$631-1)/SUMPRODUCT(--($D$631:$V$631=L$631),--($D1649:$V1649=1)),0)+SUM(L1046)+IF(COUNTIF(L$1237:L1649,1)=1,5,0)+IF(COUNTIF(M1047:$W1047,"&gt;"&amp;0)&lt;5,IF(AND(COUNTIF(L$1237:L1649,1)&gt;7,MOD(1+IFERROR(MATCH($C1047,总览!$D$46:$D$345,1)+1,1),7)=0),$C$3,0),0)</f>
        <v>1310.23333333333</v>
      </c>
      <c r="M1047" s="131" cm="1">
        <f ca="1" t="array" ref="M1047">IF(M1649=1,OFFSET($W$634,$B1047,M$631-1)/SUMPRODUCT(--($D$631:$V$631=M$631),--($D1649:$V1649=1)),0)+SUM(M1046)+IF(COUNTIF(M$1237:M1649,1)=1,5,0)+IF(COUNTIF(N1047:$W1047,"&gt;"&amp;0)&lt;5,IF(AND(COUNTIF(M$1237:M1649,1)&gt;7,MOD(1+IFERROR(MATCH($C1047,总览!$D$46:$D$345,1)+1,1),7)=0),$C$3,0),0)</f>
        <v>547.752678571431</v>
      </c>
      <c r="N1047" s="131" cm="1">
        <f ca="1" t="array" ref="N1047">IF(N1649=1,OFFSET($W$634,$B1047,N$631-1)/SUMPRODUCT(--($D$631:$V$631=N$631),--($D1649:$V1649=1)),0)+SUM(N1046)+IF(COUNTIF(N$1237:N1649,1)=1,5,0)+IF(COUNTIF(O1047:$W1047,"&gt;"&amp;0)&lt;5,IF(AND(COUNTIF(N$1237:N1649,1)&gt;7,MOD(1+IFERROR(MATCH($C1047,总览!$D$46:$D$345,1)+1,1),7)=0),$C$3,0),0)</f>
        <v>549.002678571431</v>
      </c>
      <c r="O1047" s="131" cm="1">
        <f ca="1" t="array" ref="O1047">IF(O1649=1,OFFSET($W$634,$B1047,O$631-1)/SUMPRODUCT(--($D$631:$V$631=O$631),--($D1649:$V1649=1)),0)+SUM(O1046)+IF(COUNTIF(O$1237:O1649,1)=1,5,0)+IF(COUNTIF(P1047:$W1047,"&gt;"&amp;0)&lt;5,IF(AND(COUNTIF(O$1237:O1649,1)&gt;7,MOD(1+IFERROR(MATCH($C1047,总览!$D$46:$D$345,1)+1,1),7)=0),$C$3,0),0)</f>
        <v>554.002678571431</v>
      </c>
      <c r="P1047" s="131" cm="1">
        <f ca="1" t="array" ref="P1047">IF(P1649=1,OFFSET($W$634,$B1047,P$631-1)/SUMPRODUCT(--($D$631:$V$631=P$631),--($D1649:$V1649=1)),0)+SUM(P1046)+IF(COUNTIF(P$1237:P1649,1)=1,5,0)+IF(COUNTIF(Q1047:$W1047,"&gt;"&amp;0)&lt;5,IF(AND(COUNTIF(P$1237:P1649,1)&gt;7,MOD(1+IFERROR(MATCH($C1047,总览!$D$46:$D$345,1)+1,1),7)=0),$C$3,0),0)</f>
        <v>543.121428571431</v>
      </c>
      <c r="Q1047" s="131" cm="1">
        <f ca="1" t="array" ref="Q1047">IF(Q1649=1,OFFSET($W$634,$B1047,Q$631-1)/SUMPRODUCT(--($D$631:$V$631=Q$631),--($D1649:$V1649=1)),0)+SUM(Q1046)+IF(COUNTIF(Q$1237:Q1649,1)=1,5,0)+IF(COUNTIF(R1047:$W1047,"&gt;"&amp;0)&lt;5,IF(AND(COUNTIF(Q$1237:Q1649,1)&gt;7,MOD(1+IFERROR(MATCH($C1047,总览!$D$46:$D$345,1)+1,1),7)=0),$C$3,0),0)</f>
        <v>556.502678571431</v>
      </c>
      <c r="R1047" s="131" cm="1">
        <f ca="1" t="array" ref="R1047">IF(R1649=1,OFFSET($W$634,$B1047,R$631-1)/SUMPRODUCT(--($D$631:$V$631=R$631),--($D1649:$V1649=1)),0)+SUM(R1046)+IF(COUNTIF(R$1237:R1649,1)=1,5,0)+IF(COUNTIF(S1047:$W1047,"&gt;"&amp;0)&lt;5,IF(AND(COUNTIF(R$1237:R1649,1)&gt;7,MOD(1+IFERROR(MATCH($C1047,总览!$D$46:$D$345,1)+1,1),7)=0),$C$3,0),0)</f>
        <v>548.121428571431</v>
      </c>
      <c r="S1047" s="131" cm="1">
        <f ca="1" t="array" ref="S1047">IF(S1649=1,OFFSET($W$634,$B1047,S$631-1)/SUMPRODUCT(--($D$631:$V$631=S$631),--($D1649:$V1649=1)),0)+SUM(S1046)+IF(COUNTIF(S$1237:S1649,1)=1,5,0)+IF(COUNTIF(T1047:$W1047,"&gt;"&amp;0)&lt;5,IF(AND(COUNTIF(S$1237:S1649,1)&gt;7,MOD(1+IFERROR(MATCH($C1047,总览!$D$46:$D$345,1)+1,1),7)=0),$C$3,0),0)</f>
        <v>640.621428571432</v>
      </c>
      <c r="T1047" s="131" cm="1">
        <f ca="1" t="array" ref="T1047">IF(T1649=1,OFFSET($W$634,$B1047,T$631-1)/SUMPRODUCT(--($D$631:$V$631=T$631),--($D1649:$V1649=1)),0)+SUM(T1046)+IF(COUNTIF(T$1237:T1649,1)=1,5,0)+IF(COUNTIF(U1047:$W1047,"&gt;"&amp;0)&lt;5,IF(AND(COUNTIF(T$1237:T1649,1)&gt;7,MOD(1+IFERROR(MATCH($C1047,总览!$D$46:$D$345,1)+1,1),7)=0),$C$3,0),0)</f>
        <v>468.784997093111</v>
      </c>
      <c r="U1047" s="131" cm="1">
        <f ca="1" t="array" ref="U1047">IF(U1649=1,OFFSET($W$634,$B1047,U$631-1)/SUMPRODUCT(--($D$631:$V$631=U$631),--($D1649:$V1649=1)),0)+SUM(U1046)+IF(COUNTIF(U$1237:U1649,1)=1,5,0)+IF(COUNTIF(V1047:$W1047,"&gt;"&amp;0)&lt;5,IF(AND(COUNTIF(U$1237:U1649,1)&gt;7,MOD(1+IFERROR(MATCH($C1047,总览!$D$46:$D$345,1)+1,1),7)=0),$C$3,0),0)</f>
        <v>474.305783448411</v>
      </c>
      <c r="V1047" s="131" cm="1">
        <f ca="1" t="array" ref="V1047">IF(V1649=1,OFFSET($W$634,$B1047,V$631-1)/SUMPRODUCT(--($D$631:$V$631=V$631),--($D1649:$V1649=1)),0)+SUM(V1046)+IF(COUNTIF(V$1237:V1649,1)=1,5,0)+IF(COUNTIF(W1047:$W1047,"&gt;"&amp;0)&lt;5,IF(AND(COUNTIF(V$1237:V1649,1)&gt;7,MOD(1+IFERROR(MATCH($C1047,总览!$D$46:$D$345,1)+1,1),7)=0),$C$3,0),0)</f>
        <v>494.132783160844</v>
      </c>
      <c r="W1047" s="135" cm="1">
        <f ca="1" t="array" ref="W1047">SUMPRODUCT(TRANSPOSE($AA1047:$AG1047),OFFSET($L$9:$L$15,0,W$631-1))</f>
        <v>16.8502200646615</v>
      </c>
      <c r="X1047" s="135" cm="1">
        <f ca="1" t="array" ref="X1047">SUMPRODUCT(TRANSPOSE($AA1047:$AG1047),OFFSET($L$9:$L$15,0,X$631-1))</f>
        <v>20</v>
      </c>
      <c r="Y1047" s="135" cm="1">
        <f ca="1" t="array" ref="Y1047">SUMPRODUCT(TRANSPOSE($AA1047:$AG1047),OFFSET($L$9:$L$15,0,Y$631-1))</f>
        <v>10</v>
      </c>
      <c r="Z1047" s="135" cm="1">
        <f ca="1" t="array" ref="Z1047">SUMPRODUCT(TRANSPOSE($AA1047:$AG1047),OFFSET($L$9:$L$15,0,Z$631-1))</f>
        <v>3.14977993533847</v>
      </c>
      <c r="AA1047" s="136">
        <f ca="1" t="shared" ref="AA1047:AG1047" si="1077">AH1047-AH1046</f>
        <v>0</v>
      </c>
      <c r="AB1047" s="136">
        <f ca="1" t="shared" si="1077"/>
        <v>0</v>
      </c>
      <c r="AC1047" s="136">
        <f ca="1" t="shared" si="1077"/>
        <v>0</v>
      </c>
      <c r="AD1047" s="136">
        <f ca="1" t="shared" si="1077"/>
        <v>0</v>
      </c>
      <c r="AE1047" s="136">
        <f ca="1" t="shared" si="1077"/>
        <v>0</v>
      </c>
      <c r="AF1047" s="136">
        <f ca="1" t="shared" si="1077"/>
        <v>0</v>
      </c>
      <c r="AG1047" s="136">
        <f ca="1" t="shared" si="1077"/>
        <v>100</v>
      </c>
      <c r="AH1047" s="136">
        <f ca="1" t="shared" si="1021"/>
        <v>450</v>
      </c>
      <c r="AI1047" s="136">
        <f ca="1" t="shared" ref="AI1047:AN1047" si="1078">IF($C1047&gt;OFFSET($Q$8,MATCH(AI$634,$AH$634:$AN$634,0),0),OFFSET($P$8,MATCH(AI$634,$AH$634:$AN$634,0),0),MAX(0,$C1047-OFFSET($Q$8,RIGHT(AI$634,1)-1,0)))</f>
        <v>909</v>
      </c>
      <c r="AJ1047" s="136">
        <f ca="1" t="shared" si="1078"/>
        <v>1818</v>
      </c>
      <c r="AK1047" s="136">
        <f ca="1" t="shared" si="1078"/>
        <v>2727</v>
      </c>
      <c r="AL1047" s="136">
        <f ca="1" t="shared" si="1078"/>
        <v>3636</v>
      </c>
      <c r="AM1047" s="136">
        <f ca="1" t="shared" si="1078"/>
        <v>4545</v>
      </c>
      <c r="AN1047" s="136">
        <f ca="1" t="shared" si="1078"/>
        <v>27215</v>
      </c>
    </row>
    <row r="1048" s="106" customFormat="1" ht="16.5" spans="2:40">
      <c r="B1048" s="117">
        <v>414</v>
      </c>
      <c r="C1048" s="130">
        <f t="shared" si="1019"/>
        <v>41400</v>
      </c>
      <c r="D1048" s="131" cm="1">
        <f ca="1" t="array" ref="D1048">IF(D1650=1,OFFSET($W$634,$B1048,D$631-1)/SUMPRODUCT(--($D$631:$V$631=D$631),--($D1650:$V1650=1)),0)+SUM(D1047)+IF(COUNTIF(D$1237:D1650,1)=1,5,0)+IF(COUNTIF(E1048:$W1048,"&gt;"&amp;0)&lt;5,IF(AND(COUNTIF(D$1237:D1650,1)&gt;7,MOD(1+IFERROR(MATCH($C1048,总览!$D$46:$D$345,1)+1,1),7)=0),$C$3,0),0)</f>
        <v>2653.03388545411</v>
      </c>
      <c r="E1048" s="131" cm="1">
        <f ca="1" t="array" ref="E1048">IF(E1650=1,OFFSET($W$634,$B1048,E$631-1)/SUMPRODUCT(--($D$631:$V$631=E$631),--($D1650:$V1650=1)),0)+SUM(E1047)+IF(COUNTIF(E$1237:E1650,1)=1,5,0)+IF(COUNTIF(F1048:$W1048,"&gt;"&amp;0)&lt;5,IF(AND(COUNTIF(E$1237:E1650,1)&gt;7,MOD(1+IFERROR(MATCH($C1048,总览!$D$46:$D$345,1)+1,1),7)=0),$C$3,0),0)</f>
        <v>2653.03388545411</v>
      </c>
      <c r="F1048" s="131" cm="1">
        <f ca="1" t="array" ref="F1048">IF(F1650=1,OFFSET($W$634,$B1048,F$631-1)/SUMPRODUCT(--($D$631:$V$631=F$631),--($D1650:$V1650=1)),0)+SUM(F1047)+IF(COUNTIF(F$1237:F1650,1)=1,5,0)+IF(COUNTIF(G1048:$W1048,"&gt;"&amp;0)&lt;5,IF(AND(COUNTIF(F$1237:F1650,1)&gt;7,MOD(1+IFERROR(MATCH($C1048,总览!$D$46:$D$345,1)+1,1),7)=0),$C$3,0),0)</f>
        <v>2653.03388545411</v>
      </c>
      <c r="G1048" s="131" cm="1">
        <f ca="1" t="array" ref="G1048">IF(G1650=1,OFFSET($W$634,$B1048,G$631-1)/SUMPRODUCT(--($D$631:$V$631=G$631),--($D1650:$V1650=1)),0)+SUM(G1047)+IF(COUNTIF(G$1237:G1650,1)=1,5,0)+IF(COUNTIF(H1048:$W1048,"&gt;"&amp;0)&lt;5,IF(AND(COUNTIF(G$1237:G1650,1)&gt;7,MOD(1+IFERROR(MATCH($C1048,总览!$D$46:$D$345,1)+1,1),7)=0),$C$3,0),0)</f>
        <v>1319.4</v>
      </c>
      <c r="H1048" s="131" cm="1">
        <f ca="1" t="array" ref="H1048">IF(H1650=1,OFFSET($W$634,$B1048,H$631-1)/SUMPRODUCT(--($D$631:$V$631=H$631),--($D1650:$V1650=1)),0)+SUM(H1047)+IF(COUNTIF(H$1237:H1650,1)=1,5,0)+IF(COUNTIF(I1048:$W1048,"&gt;"&amp;0)&lt;5,IF(AND(COUNTIF(H$1237:H1650,1)&gt;7,MOD(1+IFERROR(MATCH($C1048,总览!$D$46:$D$345,1)+1,1),7)=0),$C$3,0),0)</f>
        <v>1319.4</v>
      </c>
      <c r="I1048" s="131" cm="1">
        <f ca="1" t="array" ref="I1048">IF(I1650=1,OFFSET($W$634,$B1048,I$631-1)/SUMPRODUCT(--($D$631:$V$631=I$631),--($D1650:$V1650=1)),0)+SUM(I1047)+IF(COUNTIF(I$1237:I1650,1)=1,5,0)+IF(COUNTIF(J1048:$W1048,"&gt;"&amp;0)&lt;5,IF(AND(COUNTIF(I$1237:I1650,1)&gt;7,MOD(1+IFERROR(MATCH($C1048,总览!$D$46:$D$345,1)+1,1),7)=0),$C$3,0),0)</f>
        <v>1319.4</v>
      </c>
      <c r="J1048" s="131" cm="1">
        <f ca="1" t="array" ref="J1048">IF(J1650=1,OFFSET($W$634,$B1048,J$631-1)/SUMPRODUCT(--($D$631:$V$631=J$631),--($D1650:$V1650=1)),0)+SUM(J1047)+IF(COUNTIF(J$1237:J1650,1)=1,5,0)+IF(COUNTIF(K1048:$W1048,"&gt;"&amp;0)&lt;5,IF(AND(COUNTIF(J$1237:J1650,1)&gt;7,MOD(1+IFERROR(MATCH($C1048,总览!$D$46:$D$345,1)+1,1),7)=0),$C$3,0),0)</f>
        <v>1316.06666666666</v>
      </c>
      <c r="K1048" s="131" cm="1">
        <f ca="1" t="array" ref="K1048">IF(K1650=1,OFFSET($W$634,$B1048,K$631-1)/SUMPRODUCT(--($D$631:$V$631=K$631),--($D1650:$V1650=1)),0)+SUM(K1047)+IF(COUNTIF(K$1237:K1650,1)=1,5,0)+IF(COUNTIF(L1048:$W1048,"&gt;"&amp;0)&lt;5,IF(AND(COUNTIF(K$1237:K1650,1)&gt;7,MOD(1+IFERROR(MATCH($C1048,总览!$D$46:$D$345,1)+1,1),7)=0),$C$3,0),0)</f>
        <v>1313.56666666666</v>
      </c>
      <c r="L1048" s="131" cm="1">
        <f ca="1" t="array" ref="L1048">IF(L1650=1,OFFSET($W$634,$B1048,L$631-1)/SUMPRODUCT(--($D$631:$V$631=L$631),--($D1650:$V1650=1)),0)+SUM(L1047)+IF(COUNTIF(L$1237:L1650,1)=1,5,0)+IF(COUNTIF(M1048:$W1048,"&gt;"&amp;0)&lt;5,IF(AND(COUNTIF(L$1237:L1650,1)&gt;7,MOD(1+IFERROR(MATCH($C1048,总览!$D$46:$D$345,1)+1,1),7)=0),$C$3,0),0)</f>
        <v>1313.56666666666</v>
      </c>
      <c r="M1048" s="131" cm="1">
        <f ca="1" t="array" ref="M1048">IF(M1650=1,OFFSET($W$634,$B1048,M$631-1)/SUMPRODUCT(--($D$631:$V$631=M$631),--($D1650:$V1650=1)),0)+SUM(M1047)+IF(COUNTIF(M$1237:M1650,1)=1,5,0)+IF(COUNTIF(N1048:$W1048,"&gt;"&amp;0)&lt;5,IF(AND(COUNTIF(M$1237:M1650,1)&gt;7,MOD(1+IFERROR(MATCH($C1048,总览!$D$46:$D$345,1)+1,1),7)=0),$C$3,0),0)</f>
        <v>549.181250000002</v>
      </c>
      <c r="N1048" s="131" cm="1">
        <f ca="1" t="array" ref="N1048">IF(N1650=1,OFFSET($W$634,$B1048,N$631-1)/SUMPRODUCT(--($D$631:$V$631=N$631),--($D1650:$V1650=1)),0)+SUM(N1047)+IF(COUNTIF(N$1237:N1650,1)=1,5,0)+IF(COUNTIF(O1048:$W1048,"&gt;"&amp;0)&lt;5,IF(AND(COUNTIF(N$1237:N1650,1)&gt;7,MOD(1+IFERROR(MATCH($C1048,总览!$D$46:$D$345,1)+1,1),7)=0),$C$3,0),0)</f>
        <v>550.431250000002</v>
      </c>
      <c r="O1048" s="131" cm="1">
        <f ca="1" t="array" ref="O1048">IF(O1650=1,OFFSET($W$634,$B1048,O$631-1)/SUMPRODUCT(--($D$631:$V$631=O$631),--($D1650:$V1650=1)),0)+SUM(O1047)+IF(COUNTIF(O$1237:O1650,1)=1,5,0)+IF(COUNTIF(P1048:$W1048,"&gt;"&amp;0)&lt;5,IF(AND(COUNTIF(O$1237:O1650,1)&gt;7,MOD(1+IFERROR(MATCH($C1048,总览!$D$46:$D$345,1)+1,1),7)=0),$C$3,0),0)</f>
        <v>555.431250000002</v>
      </c>
      <c r="P1048" s="131" cm="1">
        <f ca="1" t="array" ref="P1048">IF(P1650=1,OFFSET($W$634,$B1048,P$631-1)/SUMPRODUCT(--($D$631:$V$631=P$631),--($D1650:$V1650=1)),0)+SUM(P1047)+IF(COUNTIF(P$1237:P1650,1)=1,5,0)+IF(COUNTIF(Q1048:$W1048,"&gt;"&amp;0)&lt;5,IF(AND(COUNTIF(P$1237:P1650,1)&gt;7,MOD(1+IFERROR(MATCH($C1048,总览!$D$46:$D$345,1)+1,1),7)=0),$C$3,0),0)</f>
        <v>544.550000000002</v>
      </c>
      <c r="Q1048" s="131" cm="1">
        <f ca="1" t="array" ref="Q1048">IF(Q1650=1,OFFSET($W$634,$B1048,Q$631-1)/SUMPRODUCT(--($D$631:$V$631=Q$631),--($D1650:$V1650=1)),0)+SUM(Q1047)+IF(COUNTIF(Q$1237:Q1650,1)=1,5,0)+IF(COUNTIF(R1048:$W1048,"&gt;"&amp;0)&lt;5,IF(AND(COUNTIF(Q$1237:Q1650,1)&gt;7,MOD(1+IFERROR(MATCH($C1048,总览!$D$46:$D$345,1)+1,1),7)=0),$C$3,0),0)</f>
        <v>557.931250000002</v>
      </c>
      <c r="R1048" s="131" cm="1">
        <f ca="1" t="array" ref="R1048">IF(R1650=1,OFFSET($W$634,$B1048,R$631-1)/SUMPRODUCT(--($D$631:$V$631=R$631),--($D1650:$V1650=1)),0)+SUM(R1047)+IF(COUNTIF(R$1237:R1650,1)=1,5,0)+IF(COUNTIF(S1048:$W1048,"&gt;"&amp;0)&lt;5,IF(AND(COUNTIF(R$1237:R1650,1)&gt;7,MOD(1+IFERROR(MATCH($C1048,总览!$D$46:$D$345,1)+1,1),7)=0),$C$3,0),0)</f>
        <v>549.550000000002</v>
      </c>
      <c r="S1048" s="131" cm="1">
        <f ca="1" t="array" ref="S1048">IF(S1650=1,OFFSET($W$634,$B1048,S$631-1)/SUMPRODUCT(--($D$631:$V$631=S$631),--($D1650:$V1650=1)),0)+SUM(S1047)+IF(COUNTIF(S$1237:S1650,1)=1,5,0)+IF(COUNTIF(T1048:$W1048,"&gt;"&amp;0)&lt;5,IF(AND(COUNTIF(S$1237:S1650,1)&gt;7,MOD(1+IFERROR(MATCH($C1048,总览!$D$46:$D$345,1)+1,1),7)=0),$C$3,0),0)</f>
        <v>642.050000000003</v>
      </c>
      <c r="T1048" s="131" cm="1">
        <f ca="1" t="array" ref="T1048">IF(T1650=1,OFFSET($W$634,$B1048,T$631-1)/SUMPRODUCT(--($D$631:$V$631=T$631),--($D1650:$V1650=1)),0)+SUM(T1047)+IF(COUNTIF(T$1237:T1650,1)=1,5,0)+IF(COUNTIF(U1048:$W1048,"&gt;"&amp;0)&lt;5,IF(AND(COUNTIF(T$1237:T1650,1)&gt;7,MOD(1+IFERROR(MATCH($C1048,总览!$D$46:$D$345,1)+1,1),7)=0),$C$3,0),0)</f>
        <v>469.834923738224</v>
      </c>
      <c r="U1048" s="131" cm="1">
        <f ca="1" t="array" ref="U1048">IF(U1650=1,OFFSET($W$634,$B1048,U$631-1)/SUMPRODUCT(--($D$631:$V$631=U$631),--($D1650:$V1650=1)),0)+SUM(U1047)+IF(COUNTIF(U$1237:U1650,1)=1,5,0)+IF(COUNTIF(V1048:$W1048,"&gt;"&amp;0)&lt;5,IF(AND(COUNTIF(U$1237:U1650,1)&gt;7,MOD(1+IFERROR(MATCH($C1048,总览!$D$46:$D$345,1)+1,1),7)=0),$C$3,0),0)</f>
        <v>475.355710093524</v>
      </c>
      <c r="V1048" s="131" cm="1">
        <f ca="1" t="array" ref="V1048">IF(V1650=1,OFFSET($W$634,$B1048,V$631-1)/SUMPRODUCT(--($D$631:$V$631=V$631),--($D1650:$V1650=1)),0)+SUM(V1047)+IF(COUNTIF(V$1237:V1650,1)=1,5,0)+IF(COUNTIF(W1048:$W1048,"&gt;"&amp;0)&lt;5,IF(AND(COUNTIF(V$1237:V1650,1)&gt;7,MOD(1+IFERROR(MATCH($C1048,总览!$D$46:$D$345,1)+1,1),7)=0),$C$3,0),0)</f>
        <v>495.182709805957</v>
      </c>
      <c r="W1048" s="135" cm="1">
        <f ca="1" t="array" ref="W1048">SUMPRODUCT(TRANSPOSE($AA1048:$AG1048),OFFSET($L$9:$L$15,0,W$631-1))</f>
        <v>16.8502200646615</v>
      </c>
      <c r="X1048" s="135" cm="1">
        <f ca="1" t="array" ref="X1048">SUMPRODUCT(TRANSPOSE($AA1048:$AG1048),OFFSET($L$9:$L$15,0,X$631-1))</f>
        <v>20</v>
      </c>
      <c r="Y1048" s="135" cm="1">
        <f ca="1" t="array" ref="Y1048">SUMPRODUCT(TRANSPOSE($AA1048:$AG1048),OFFSET($L$9:$L$15,0,Y$631-1))</f>
        <v>10</v>
      </c>
      <c r="Z1048" s="135" cm="1">
        <f ca="1" t="array" ref="Z1048">SUMPRODUCT(TRANSPOSE($AA1048:$AG1048),OFFSET($L$9:$L$15,0,Z$631-1))</f>
        <v>3.14977993533847</v>
      </c>
      <c r="AA1048" s="136">
        <f ca="1" t="shared" ref="AA1048:AG1048" si="1079">AH1048-AH1047</f>
        <v>0</v>
      </c>
      <c r="AB1048" s="136">
        <f ca="1" t="shared" si="1079"/>
        <v>0</v>
      </c>
      <c r="AC1048" s="136">
        <f ca="1" t="shared" si="1079"/>
        <v>0</v>
      </c>
      <c r="AD1048" s="136">
        <f ca="1" t="shared" si="1079"/>
        <v>0</v>
      </c>
      <c r="AE1048" s="136">
        <f ca="1" t="shared" si="1079"/>
        <v>0</v>
      </c>
      <c r="AF1048" s="136">
        <f ca="1" t="shared" si="1079"/>
        <v>0</v>
      </c>
      <c r="AG1048" s="136">
        <f ca="1" t="shared" si="1079"/>
        <v>100</v>
      </c>
      <c r="AH1048" s="136">
        <f ca="1" t="shared" si="1021"/>
        <v>450</v>
      </c>
      <c r="AI1048" s="136">
        <f ca="1" t="shared" ref="AI1048:AN1048" si="1080">IF($C1048&gt;OFFSET($Q$8,MATCH(AI$634,$AH$634:$AN$634,0),0),OFFSET($P$8,MATCH(AI$634,$AH$634:$AN$634,0),0),MAX(0,$C1048-OFFSET($Q$8,RIGHT(AI$634,1)-1,0)))</f>
        <v>909</v>
      </c>
      <c r="AJ1048" s="136">
        <f ca="1" t="shared" si="1080"/>
        <v>1818</v>
      </c>
      <c r="AK1048" s="136">
        <f ca="1" t="shared" si="1080"/>
        <v>2727</v>
      </c>
      <c r="AL1048" s="136">
        <f ca="1" t="shared" si="1080"/>
        <v>3636</v>
      </c>
      <c r="AM1048" s="136">
        <f ca="1" t="shared" si="1080"/>
        <v>4545</v>
      </c>
      <c r="AN1048" s="136">
        <f ca="1" t="shared" si="1080"/>
        <v>27315</v>
      </c>
    </row>
    <row r="1049" s="106" customFormat="1" ht="16.5" spans="2:40">
      <c r="B1049" s="117">
        <v>415</v>
      </c>
      <c r="C1049" s="130">
        <f t="shared" si="1019"/>
        <v>41500</v>
      </c>
      <c r="D1049" s="131" cm="1">
        <f ca="1" t="array" ref="D1049">IF(D1651=1,OFFSET($W$634,$B1049,D$631-1)/SUMPRODUCT(--($D$631:$V$631=D$631),--($D1651:$V1651=1)),0)+SUM(D1048)+IF(COUNTIF(D$1237:D1651,1)=1,5,0)+IF(COUNTIF(E1049:$W1049,"&gt;"&amp;0)&lt;5,IF(AND(COUNTIF(D$1237:D1651,1)&gt;7,MOD(1+IFERROR(MATCH($C1049,总览!$D$46:$D$345,1)+1,1),7)=0),$C$3,0),0)</f>
        <v>2658.65062547567</v>
      </c>
      <c r="E1049" s="131" cm="1">
        <f ca="1" t="array" ref="E1049">IF(E1651=1,OFFSET($W$634,$B1049,E$631-1)/SUMPRODUCT(--($D$631:$V$631=E$631),--($D1651:$V1651=1)),0)+SUM(E1048)+IF(COUNTIF(E$1237:E1651,1)=1,5,0)+IF(COUNTIF(F1049:$W1049,"&gt;"&amp;0)&lt;5,IF(AND(COUNTIF(E$1237:E1651,1)&gt;7,MOD(1+IFERROR(MATCH($C1049,总览!$D$46:$D$345,1)+1,1),7)=0),$C$3,0),0)</f>
        <v>2658.65062547567</v>
      </c>
      <c r="F1049" s="131" cm="1">
        <f ca="1" t="array" ref="F1049">IF(F1651=1,OFFSET($W$634,$B1049,F$631-1)/SUMPRODUCT(--($D$631:$V$631=F$631),--($D1651:$V1651=1)),0)+SUM(F1048)+IF(COUNTIF(F$1237:F1651,1)=1,5,0)+IF(COUNTIF(G1049:$W1049,"&gt;"&amp;0)&lt;5,IF(AND(COUNTIF(F$1237:F1651,1)&gt;7,MOD(1+IFERROR(MATCH($C1049,总览!$D$46:$D$345,1)+1,1),7)=0),$C$3,0),0)</f>
        <v>2658.65062547567</v>
      </c>
      <c r="G1049" s="131" cm="1">
        <f ca="1" t="array" ref="G1049">IF(G1651=1,OFFSET($W$634,$B1049,G$631-1)/SUMPRODUCT(--($D$631:$V$631=G$631),--($D1651:$V1651=1)),0)+SUM(G1048)+IF(COUNTIF(G$1237:G1651,1)=1,5,0)+IF(COUNTIF(H1049:$W1049,"&gt;"&amp;0)&lt;5,IF(AND(COUNTIF(G$1237:G1651,1)&gt;7,MOD(1+IFERROR(MATCH($C1049,总览!$D$46:$D$345,1)+1,1),7)=0),$C$3,0),0)</f>
        <v>1322.73333333333</v>
      </c>
      <c r="H1049" s="131" cm="1">
        <f ca="1" t="array" ref="H1049">IF(H1651=1,OFFSET($W$634,$B1049,H$631-1)/SUMPRODUCT(--($D$631:$V$631=H$631),--($D1651:$V1651=1)),0)+SUM(H1048)+IF(COUNTIF(H$1237:H1651,1)=1,5,0)+IF(COUNTIF(I1049:$W1049,"&gt;"&amp;0)&lt;5,IF(AND(COUNTIF(H$1237:H1651,1)&gt;7,MOD(1+IFERROR(MATCH($C1049,总览!$D$46:$D$345,1)+1,1),7)=0),$C$3,0),0)</f>
        <v>1322.73333333333</v>
      </c>
      <c r="I1049" s="131" cm="1">
        <f ca="1" t="array" ref="I1049">IF(I1651=1,OFFSET($W$634,$B1049,I$631-1)/SUMPRODUCT(--($D$631:$V$631=I$631),--($D1651:$V1651=1)),0)+SUM(I1048)+IF(COUNTIF(I$1237:I1651,1)=1,5,0)+IF(COUNTIF(J1049:$W1049,"&gt;"&amp;0)&lt;5,IF(AND(COUNTIF(I$1237:I1651,1)&gt;7,MOD(1+IFERROR(MATCH($C1049,总览!$D$46:$D$345,1)+1,1),7)=0),$C$3,0),0)</f>
        <v>1322.73333333333</v>
      </c>
      <c r="J1049" s="131" cm="1">
        <f ca="1" t="array" ref="J1049">IF(J1651=1,OFFSET($W$634,$B1049,J$631-1)/SUMPRODUCT(--($D$631:$V$631=J$631),--($D1651:$V1651=1)),0)+SUM(J1048)+IF(COUNTIF(J$1237:J1651,1)=1,5,0)+IF(COUNTIF(K1049:$W1049,"&gt;"&amp;0)&lt;5,IF(AND(COUNTIF(J$1237:J1651,1)&gt;7,MOD(1+IFERROR(MATCH($C1049,总览!$D$46:$D$345,1)+1,1),7)=0),$C$3,0),0)</f>
        <v>1319.4</v>
      </c>
      <c r="K1049" s="131" cm="1">
        <f ca="1" t="array" ref="K1049">IF(K1651=1,OFFSET($W$634,$B1049,K$631-1)/SUMPRODUCT(--($D$631:$V$631=K$631),--($D1651:$V1651=1)),0)+SUM(K1048)+IF(COUNTIF(K$1237:K1651,1)=1,5,0)+IF(COUNTIF(L1049:$W1049,"&gt;"&amp;0)&lt;5,IF(AND(COUNTIF(K$1237:K1651,1)&gt;7,MOD(1+IFERROR(MATCH($C1049,总览!$D$46:$D$345,1)+1,1),7)=0),$C$3,0),0)</f>
        <v>1316.9</v>
      </c>
      <c r="L1049" s="131" cm="1">
        <f ca="1" t="array" ref="L1049">IF(L1651=1,OFFSET($W$634,$B1049,L$631-1)/SUMPRODUCT(--($D$631:$V$631=L$631),--($D1651:$V1651=1)),0)+SUM(L1048)+IF(COUNTIF(L$1237:L1651,1)=1,5,0)+IF(COUNTIF(M1049:$W1049,"&gt;"&amp;0)&lt;5,IF(AND(COUNTIF(L$1237:L1651,1)&gt;7,MOD(1+IFERROR(MATCH($C1049,总览!$D$46:$D$345,1)+1,1),7)=0),$C$3,0),0)</f>
        <v>1316.9</v>
      </c>
      <c r="M1049" s="131" cm="1">
        <f ca="1" t="array" ref="M1049">IF(M1651=1,OFFSET($W$634,$B1049,M$631-1)/SUMPRODUCT(--($D$631:$V$631=M$631),--($D1651:$V1651=1)),0)+SUM(M1048)+IF(COUNTIF(M$1237:M1651,1)=1,5,0)+IF(COUNTIF(N1049:$W1049,"&gt;"&amp;0)&lt;5,IF(AND(COUNTIF(M$1237:M1651,1)&gt;7,MOD(1+IFERROR(MATCH($C1049,总览!$D$46:$D$345,1)+1,1),7)=0),$C$3,0),0)</f>
        <v>550.609821428574</v>
      </c>
      <c r="N1049" s="131" cm="1">
        <f ca="1" t="array" ref="N1049">IF(N1651=1,OFFSET($W$634,$B1049,N$631-1)/SUMPRODUCT(--($D$631:$V$631=N$631),--($D1651:$V1651=1)),0)+SUM(N1048)+IF(COUNTIF(N$1237:N1651,1)=1,5,0)+IF(COUNTIF(O1049:$W1049,"&gt;"&amp;0)&lt;5,IF(AND(COUNTIF(N$1237:N1651,1)&gt;7,MOD(1+IFERROR(MATCH($C1049,总览!$D$46:$D$345,1)+1,1),7)=0),$C$3,0),0)</f>
        <v>551.859821428574</v>
      </c>
      <c r="O1049" s="131" cm="1">
        <f ca="1" t="array" ref="O1049">IF(O1651=1,OFFSET($W$634,$B1049,O$631-1)/SUMPRODUCT(--($D$631:$V$631=O$631),--($D1651:$V1651=1)),0)+SUM(O1048)+IF(COUNTIF(O$1237:O1651,1)=1,5,0)+IF(COUNTIF(P1049:$W1049,"&gt;"&amp;0)&lt;5,IF(AND(COUNTIF(O$1237:O1651,1)&gt;7,MOD(1+IFERROR(MATCH($C1049,总览!$D$46:$D$345,1)+1,1),7)=0),$C$3,0),0)</f>
        <v>556.859821428574</v>
      </c>
      <c r="P1049" s="131" cm="1">
        <f ca="1" t="array" ref="P1049">IF(P1651=1,OFFSET($W$634,$B1049,P$631-1)/SUMPRODUCT(--($D$631:$V$631=P$631),--($D1651:$V1651=1)),0)+SUM(P1048)+IF(COUNTIF(P$1237:P1651,1)=1,5,0)+IF(COUNTIF(Q1049:$W1049,"&gt;"&amp;0)&lt;5,IF(AND(COUNTIF(P$1237:P1651,1)&gt;7,MOD(1+IFERROR(MATCH($C1049,总览!$D$46:$D$345,1)+1,1),7)=0),$C$3,0),0)</f>
        <v>545.978571428574</v>
      </c>
      <c r="Q1049" s="131" cm="1">
        <f ca="1" t="array" ref="Q1049">IF(Q1651=1,OFFSET($W$634,$B1049,Q$631-1)/SUMPRODUCT(--($D$631:$V$631=Q$631),--($D1651:$V1651=1)),0)+SUM(Q1048)+IF(COUNTIF(Q$1237:Q1651,1)=1,5,0)+IF(COUNTIF(R1049:$W1049,"&gt;"&amp;0)&lt;5,IF(AND(COUNTIF(Q$1237:Q1651,1)&gt;7,MOD(1+IFERROR(MATCH($C1049,总览!$D$46:$D$345,1)+1,1),7)=0),$C$3,0),0)</f>
        <v>559.359821428574</v>
      </c>
      <c r="R1049" s="131" cm="1">
        <f ca="1" t="array" ref="R1049">IF(R1651=1,OFFSET($W$634,$B1049,R$631-1)/SUMPRODUCT(--($D$631:$V$631=R$631),--($D1651:$V1651=1)),0)+SUM(R1048)+IF(COUNTIF(R$1237:R1651,1)=1,5,0)+IF(COUNTIF(S1049:$W1049,"&gt;"&amp;0)&lt;5,IF(AND(COUNTIF(R$1237:R1651,1)&gt;7,MOD(1+IFERROR(MATCH($C1049,总览!$D$46:$D$345,1)+1,1),7)=0),$C$3,0),0)</f>
        <v>550.978571428574</v>
      </c>
      <c r="S1049" s="131" cm="1">
        <f ca="1" t="array" ref="S1049">IF(S1651=1,OFFSET($W$634,$B1049,S$631-1)/SUMPRODUCT(--($D$631:$V$631=S$631),--($D1651:$V1651=1)),0)+SUM(S1048)+IF(COUNTIF(S$1237:S1651,1)=1,5,0)+IF(COUNTIF(T1049:$W1049,"&gt;"&amp;0)&lt;5,IF(AND(COUNTIF(S$1237:S1651,1)&gt;7,MOD(1+IFERROR(MATCH($C1049,总览!$D$46:$D$345,1)+1,1),7)=0),$C$3,0),0)</f>
        <v>643.478571428575</v>
      </c>
      <c r="T1049" s="131" cm="1">
        <f ca="1" t="array" ref="T1049">IF(T1651=1,OFFSET($W$634,$B1049,T$631-1)/SUMPRODUCT(--($D$631:$V$631=T$631),--($D1651:$V1651=1)),0)+SUM(T1048)+IF(COUNTIF(T$1237:T1651,1)=1,5,0)+IF(COUNTIF(U1049:$W1049,"&gt;"&amp;0)&lt;5,IF(AND(COUNTIF(T$1237:T1651,1)&gt;7,MOD(1+IFERROR(MATCH($C1049,总览!$D$46:$D$345,1)+1,1),7)=0),$C$3,0),0)</f>
        <v>470.884850383337</v>
      </c>
      <c r="U1049" s="131" cm="1">
        <f ca="1" t="array" ref="U1049">IF(U1651=1,OFFSET($W$634,$B1049,U$631-1)/SUMPRODUCT(--($D$631:$V$631=U$631),--($D1651:$V1651=1)),0)+SUM(U1048)+IF(COUNTIF(U$1237:U1651,1)=1,5,0)+IF(COUNTIF(V1049:$W1049,"&gt;"&amp;0)&lt;5,IF(AND(COUNTIF(U$1237:U1651,1)&gt;7,MOD(1+IFERROR(MATCH($C1049,总览!$D$46:$D$345,1)+1,1),7)=0),$C$3,0),0)</f>
        <v>476.405636738637</v>
      </c>
      <c r="V1049" s="131" cm="1">
        <f ca="1" t="array" ref="V1049">IF(V1651=1,OFFSET($W$634,$B1049,V$631-1)/SUMPRODUCT(--($D$631:$V$631=V$631),--($D1651:$V1651=1)),0)+SUM(V1048)+IF(COUNTIF(V$1237:V1651,1)=1,5,0)+IF(COUNTIF(W1049:$W1049,"&gt;"&amp;0)&lt;5,IF(AND(COUNTIF(V$1237:V1651,1)&gt;7,MOD(1+IFERROR(MATCH($C1049,总览!$D$46:$D$345,1)+1,1),7)=0),$C$3,0),0)</f>
        <v>496.23263645107</v>
      </c>
      <c r="W1049" s="135" cm="1">
        <f ca="1" t="array" ref="W1049">SUMPRODUCT(TRANSPOSE($AA1049:$AG1049),OFFSET($L$9:$L$15,0,W$631-1))</f>
        <v>16.8502200646615</v>
      </c>
      <c r="X1049" s="135" cm="1">
        <f ca="1" t="array" ref="X1049">SUMPRODUCT(TRANSPOSE($AA1049:$AG1049),OFFSET($L$9:$L$15,0,X$631-1))</f>
        <v>20</v>
      </c>
      <c r="Y1049" s="135" cm="1">
        <f ca="1" t="array" ref="Y1049">SUMPRODUCT(TRANSPOSE($AA1049:$AG1049),OFFSET($L$9:$L$15,0,Y$631-1))</f>
        <v>10</v>
      </c>
      <c r="Z1049" s="135" cm="1">
        <f ca="1" t="array" ref="Z1049">SUMPRODUCT(TRANSPOSE($AA1049:$AG1049),OFFSET($L$9:$L$15,0,Z$631-1))</f>
        <v>3.14977993533847</v>
      </c>
      <c r="AA1049" s="136">
        <f ca="1" t="shared" ref="AA1049:AG1049" si="1081">AH1049-AH1048</f>
        <v>0</v>
      </c>
      <c r="AB1049" s="136">
        <f ca="1" t="shared" si="1081"/>
        <v>0</v>
      </c>
      <c r="AC1049" s="136">
        <f ca="1" t="shared" si="1081"/>
        <v>0</v>
      </c>
      <c r="AD1049" s="136">
        <f ca="1" t="shared" si="1081"/>
        <v>0</v>
      </c>
      <c r="AE1049" s="136">
        <f ca="1" t="shared" si="1081"/>
        <v>0</v>
      </c>
      <c r="AF1049" s="136">
        <f ca="1" t="shared" si="1081"/>
        <v>0</v>
      </c>
      <c r="AG1049" s="136">
        <f ca="1" t="shared" si="1081"/>
        <v>100</v>
      </c>
      <c r="AH1049" s="136">
        <f ca="1" t="shared" si="1021"/>
        <v>450</v>
      </c>
      <c r="AI1049" s="136">
        <f ca="1" t="shared" ref="AI1049:AN1049" si="1082">IF($C1049&gt;OFFSET($Q$8,MATCH(AI$634,$AH$634:$AN$634,0),0),OFFSET($P$8,MATCH(AI$634,$AH$634:$AN$634,0),0),MAX(0,$C1049-OFFSET($Q$8,RIGHT(AI$634,1)-1,0)))</f>
        <v>909</v>
      </c>
      <c r="AJ1049" s="136">
        <f ca="1" t="shared" si="1082"/>
        <v>1818</v>
      </c>
      <c r="AK1049" s="136">
        <f ca="1" t="shared" si="1082"/>
        <v>2727</v>
      </c>
      <c r="AL1049" s="136">
        <f ca="1" t="shared" si="1082"/>
        <v>3636</v>
      </c>
      <c r="AM1049" s="136">
        <f ca="1" t="shared" si="1082"/>
        <v>4545</v>
      </c>
      <c r="AN1049" s="136">
        <f ca="1" t="shared" si="1082"/>
        <v>27415</v>
      </c>
    </row>
    <row r="1050" s="106" customFormat="1" ht="16.5" spans="2:40">
      <c r="B1050" s="117">
        <v>416</v>
      </c>
      <c r="C1050" s="130">
        <f t="shared" si="1019"/>
        <v>41600</v>
      </c>
      <c r="D1050" s="131" cm="1">
        <f ca="1" t="array" ref="D1050">IF(D1652=1,OFFSET($W$634,$B1050,D$631-1)/SUMPRODUCT(--($D$631:$V$631=D$631),--($D1652:$V1652=1)),0)+SUM(D1049)+IF(COUNTIF(D$1237:D1652,1)=1,5,0)+IF(COUNTIF(E1050:$W1050,"&gt;"&amp;0)&lt;5,IF(AND(COUNTIF(D$1237:D1652,1)&gt;7,MOD(1+IFERROR(MATCH($C1050,总览!$D$46:$D$345,1)+1,1),7)=0),$C$3,0),0)</f>
        <v>2664.26736549722</v>
      </c>
      <c r="E1050" s="131" cm="1">
        <f ca="1" t="array" ref="E1050">IF(E1652=1,OFFSET($W$634,$B1050,E$631-1)/SUMPRODUCT(--($D$631:$V$631=E$631),--($D1652:$V1652=1)),0)+SUM(E1049)+IF(COUNTIF(E$1237:E1652,1)=1,5,0)+IF(COUNTIF(F1050:$W1050,"&gt;"&amp;0)&lt;5,IF(AND(COUNTIF(E$1237:E1652,1)&gt;7,MOD(1+IFERROR(MATCH($C1050,总览!$D$46:$D$345,1)+1,1),7)=0),$C$3,0),0)</f>
        <v>2664.26736549722</v>
      </c>
      <c r="F1050" s="131" cm="1">
        <f ca="1" t="array" ref="F1050">IF(F1652=1,OFFSET($W$634,$B1050,F$631-1)/SUMPRODUCT(--($D$631:$V$631=F$631),--($D1652:$V1652=1)),0)+SUM(F1049)+IF(COUNTIF(F$1237:F1652,1)=1,5,0)+IF(COUNTIF(G1050:$W1050,"&gt;"&amp;0)&lt;5,IF(AND(COUNTIF(F$1237:F1652,1)&gt;7,MOD(1+IFERROR(MATCH($C1050,总览!$D$46:$D$345,1)+1,1),7)=0),$C$3,0),0)</f>
        <v>2664.26736549722</v>
      </c>
      <c r="G1050" s="131" cm="1">
        <f ca="1" t="array" ref="G1050">IF(G1652=1,OFFSET($W$634,$B1050,G$631-1)/SUMPRODUCT(--($D$631:$V$631=G$631),--($D1652:$V1652=1)),0)+SUM(G1049)+IF(COUNTIF(G$1237:G1652,1)=1,5,0)+IF(COUNTIF(H1050:$W1050,"&gt;"&amp;0)&lt;5,IF(AND(COUNTIF(G$1237:G1652,1)&gt;7,MOD(1+IFERROR(MATCH($C1050,总览!$D$46:$D$345,1)+1,1),7)=0),$C$3,0),0)</f>
        <v>1326.06666666666</v>
      </c>
      <c r="H1050" s="131" cm="1">
        <f ca="1" t="array" ref="H1050">IF(H1652=1,OFFSET($W$634,$B1050,H$631-1)/SUMPRODUCT(--($D$631:$V$631=H$631),--($D1652:$V1652=1)),0)+SUM(H1049)+IF(COUNTIF(H$1237:H1652,1)=1,5,0)+IF(COUNTIF(I1050:$W1050,"&gt;"&amp;0)&lt;5,IF(AND(COUNTIF(H$1237:H1652,1)&gt;7,MOD(1+IFERROR(MATCH($C1050,总览!$D$46:$D$345,1)+1,1),7)=0),$C$3,0),0)</f>
        <v>1326.06666666666</v>
      </c>
      <c r="I1050" s="131" cm="1">
        <f ca="1" t="array" ref="I1050">IF(I1652=1,OFFSET($W$634,$B1050,I$631-1)/SUMPRODUCT(--($D$631:$V$631=I$631),--($D1652:$V1652=1)),0)+SUM(I1049)+IF(COUNTIF(I$1237:I1652,1)=1,5,0)+IF(COUNTIF(J1050:$W1050,"&gt;"&amp;0)&lt;5,IF(AND(COUNTIF(I$1237:I1652,1)&gt;7,MOD(1+IFERROR(MATCH($C1050,总览!$D$46:$D$345,1)+1,1),7)=0),$C$3,0),0)</f>
        <v>1326.06666666666</v>
      </c>
      <c r="J1050" s="131" cm="1">
        <f ca="1" t="array" ref="J1050">IF(J1652=1,OFFSET($W$634,$B1050,J$631-1)/SUMPRODUCT(--($D$631:$V$631=J$631),--($D1652:$V1652=1)),0)+SUM(J1049)+IF(COUNTIF(J$1237:J1652,1)=1,5,0)+IF(COUNTIF(K1050:$W1050,"&gt;"&amp;0)&lt;5,IF(AND(COUNTIF(J$1237:J1652,1)&gt;7,MOD(1+IFERROR(MATCH($C1050,总览!$D$46:$D$345,1)+1,1),7)=0),$C$3,0),0)</f>
        <v>1322.73333333333</v>
      </c>
      <c r="K1050" s="131" cm="1">
        <f ca="1" t="array" ref="K1050">IF(K1652=1,OFFSET($W$634,$B1050,K$631-1)/SUMPRODUCT(--($D$631:$V$631=K$631),--($D1652:$V1652=1)),0)+SUM(K1049)+IF(COUNTIF(K$1237:K1652,1)=1,5,0)+IF(COUNTIF(L1050:$W1050,"&gt;"&amp;0)&lt;5,IF(AND(COUNTIF(K$1237:K1652,1)&gt;7,MOD(1+IFERROR(MATCH($C1050,总览!$D$46:$D$345,1)+1,1),7)=0),$C$3,0),0)</f>
        <v>1320.23333333333</v>
      </c>
      <c r="L1050" s="131" cm="1">
        <f ca="1" t="array" ref="L1050">IF(L1652=1,OFFSET($W$634,$B1050,L$631-1)/SUMPRODUCT(--($D$631:$V$631=L$631),--($D1652:$V1652=1)),0)+SUM(L1049)+IF(COUNTIF(L$1237:L1652,1)=1,5,0)+IF(COUNTIF(M1050:$W1050,"&gt;"&amp;0)&lt;5,IF(AND(COUNTIF(L$1237:L1652,1)&gt;7,MOD(1+IFERROR(MATCH($C1050,总览!$D$46:$D$345,1)+1,1),7)=0),$C$3,0),0)</f>
        <v>1320.23333333333</v>
      </c>
      <c r="M1050" s="131" cm="1">
        <f ca="1" t="array" ref="M1050">IF(M1652=1,OFFSET($W$634,$B1050,M$631-1)/SUMPRODUCT(--($D$631:$V$631=M$631),--($D1652:$V1652=1)),0)+SUM(M1049)+IF(COUNTIF(M$1237:M1652,1)=1,5,0)+IF(COUNTIF(N1050:$W1050,"&gt;"&amp;0)&lt;5,IF(AND(COUNTIF(M$1237:M1652,1)&gt;7,MOD(1+IFERROR(MATCH($C1050,总览!$D$46:$D$345,1)+1,1),7)=0),$C$3,0),0)</f>
        <v>552.038392857145</v>
      </c>
      <c r="N1050" s="131" cm="1">
        <f ca="1" t="array" ref="N1050">IF(N1652=1,OFFSET($W$634,$B1050,N$631-1)/SUMPRODUCT(--($D$631:$V$631=N$631),--($D1652:$V1652=1)),0)+SUM(N1049)+IF(COUNTIF(N$1237:N1652,1)=1,5,0)+IF(COUNTIF(O1050:$W1050,"&gt;"&amp;0)&lt;5,IF(AND(COUNTIF(N$1237:N1652,1)&gt;7,MOD(1+IFERROR(MATCH($C1050,总览!$D$46:$D$345,1)+1,1),7)=0),$C$3,0),0)</f>
        <v>553.288392857145</v>
      </c>
      <c r="O1050" s="131" cm="1">
        <f ca="1" t="array" ref="O1050">IF(O1652=1,OFFSET($W$634,$B1050,O$631-1)/SUMPRODUCT(--($D$631:$V$631=O$631),--($D1652:$V1652=1)),0)+SUM(O1049)+IF(COUNTIF(O$1237:O1652,1)=1,5,0)+IF(COUNTIF(P1050:$W1050,"&gt;"&amp;0)&lt;5,IF(AND(COUNTIF(O$1237:O1652,1)&gt;7,MOD(1+IFERROR(MATCH($C1050,总览!$D$46:$D$345,1)+1,1),7)=0),$C$3,0),0)</f>
        <v>558.288392857145</v>
      </c>
      <c r="P1050" s="131" cm="1">
        <f ca="1" t="array" ref="P1050">IF(P1652=1,OFFSET($W$634,$B1050,P$631-1)/SUMPRODUCT(--($D$631:$V$631=P$631),--($D1652:$V1652=1)),0)+SUM(P1049)+IF(COUNTIF(P$1237:P1652,1)=1,5,0)+IF(COUNTIF(Q1050:$W1050,"&gt;"&amp;0)&lt;5,IF(AND(COUNTIF(P$1237:P1652,1)&gt;7,MOD(1+IFERROR(MATCH($C1050,总览!$D$46:$D$345,1)+1,1),7)=0),$C$3,0),0)</f>
        <v>547.407142857145</v>
      </c>
      <c r="Q1050" s="131" cm="1">
        <f ca="1" t="array" ref="Q1050">IF(Q1652=1,OFFSET($W$634,$B1050,Q$631-1)/SUMPRODUCT(--($D$631:$V$631=Q$631),--($D1652:$V1652=1)),0)+SUM(Q1049)+IF(COUNTIF(Q$1237:Q1652,1)=1,5,0)+IF(COUNTIF(R1050:$W1050,"&gt;"&amp;0)&lt;5,IF(AND(COUNTIF(Q$1237:Q1652,1)&gt;7,MOD(1+IFERROR(MATCH($C1050,总览!$D$46:$D$345,1)+1,1),7)=0),$C$3,0),0)</f>
        <v>560.788392857145</v>
      </c>
      <c r="R1050" s="131" cm="1">
        <f ca="1" t="array" ref="R1050">IF(R1652=1,OFFSET($W$634,$B1050,R$631-1)/SUMPRODUCT(--($D$631:$V$631=R$631),--($D1652:$V1652=1)),0)+SUM(R1049)+IF(COUNTIF(R$1237:R1652,1)=1,5,0)+IF(COUNTIF(S1050:$W1050,"&gt;"&amp;0)&lt;5,IF(AND(COUNTIF(R$1237:R1652,1)&gt;7,MOD(1+IFERROR(MATCH($C1050,总览!$D$46:$D$345,1)+1,1),7)=0),$C$3,0),0)</f>
        <v>552.407142857145</v>
      </c>
      <c r="S1050" s="131" cm="1">
        <f ca="1" t="array" ref="S1050">IF(S1652=1,OFFSET($W$634,$B1050,S$631-1)/SUMPRODUCT(--($D$631:$V$631=S$631),--($D1652:$V1652=1)),0)+SUM(S1049)+IF(COUNTIF(S$1237:S1652,1)=1,5,0)+IF(COUNTIF(T1050:$W1050,"&gt;"&amp;0)&lt;5,IF(AND(COUNTIF(S$1237:S1652,1)&gt;7,MOD(1+IFERROR(MATCH($C1050,总览!$D$46:$D$345,1)+1,1),7)=0),$C$3,0),0)</f>
        <v>644.907142857146</v>
      </c>
      <c r="T1050" s="131" cm="1">
        <f ca="1" t="array" ref="T1050">IF(T1652=1,OFFSET($W$634,$B1050,T$631-1)/SUMPRODUCT(--($D$631:$V$631=T$631),--($D1652:$V1652=1)),0)+SUM(T1049)+IF(COUNTIF(T$1237:T1652,1)=1,5,0)+IF(COUNTIF(U1050:$W1050,"&gt;"&amp;0)&lt;5,IF(AND(COUNTIF(T$1237:T1652,1)&gt;7,MOD(1+IFERROR(MATCH($C1050,总览!$D$46:$D$345,1)+1,1),7)=0),$C$3,0),0)</f>
        <v>471.93477702845</v>
      </c>
      <c r="U1050" s="131" cm="1">
        <f ca="1" t="array" ref="U1050">IF(U1652=1,OFFSET($W$634,$B1050,U$631-1)/SUMPRODUCT(--($D$631:$V$631=U$631),--($D1652:$V1652=1)),0)+SUM(U1049)+IF(COUNTIF(U$1237:U1652,1)=1,5,0)+IF(COUNTIF(V1050:$W1050,"&gt;"&amp;0)&lt;5,IF(AND(COUNTIF(U$1237:U1652,1)&gt;7,MOD(1+IFERROR(MATCH($C1050,总览!$D$46:$D$345,1)+1,1),7)=0),$C$3,0),0)</f>
        <v>477.455563383749</v>
      </c>
      <c r="V1050" s="131" cm="1">
        <f ca="1" t="array" ref="V1050">IF(V1652=1,OFFSET($W$634,$B1050,V$631-1)/SUMPRODUCT(--($D$631:$V$631=V$631),--($D1652:$V1652=1)),0)+SUM(V1049)+IF(COUNTIF(V$1237:V1652,1)=1,5,0)+IF(COUNTIF(W1050:$W1050,"&gt;"&amp;0)&lt;5,IF(AND(COUNTIF(V$1237:V1652,1)&gt;7,MOD(1+IFERROR(MATCH($C1050,总览!$D$46:$D$345,1)+1,1),7)=0),$C$3,0),0)</f>
        <v>497.282563096182</v>
      </c>
      <c r="W1050" s="135" cm="1">
        <f ca="1" t="array" ref="W1050">SUMPRODUCT(TRANSPOSE($AA1050:$AG1050),OFFSET($L$9:$L$15,0,W$631-1))</f>
        <v>16.8502200646615</v>
      </c>
      <c r="X1050" s="135" cm="1">
        <f ca="1" t="array" ref="X1050">SUMPRODUCT(TRANSPOSE($AA1050:$AG1050),OFFSET($L$9:$L$15,0,X$631-1))</f>
        <v>20</v>
      </c>
      <c r="Y1050" s="135" cm="1">
        <f ca="1" t="array" ref="Y1050">SUMPRODUCT(TRANSPOSE($AA1050:$AG1050),OFFSET($L$9:$L$15,0,Y$631-1))</f>
        <v>10</v>
      </c>
      <c r="Z1050" s="135" cm="1">
        <f ca="1" t="array" ref="Z1050">SUMPRODUCT(TRANSPOSE($AA1050:$AG1050),OFFSET($L$9:$L$15,0,Z$631-1))</f>
        <v>3.14977993533847</v>
      </c>
      <c r="AA1050" s="136">
        <f ca="1" t="shared" ref="AA1050:AG1050" si="1083">AH1050-AH1049</f>
        <v>0</v>
      </c>
      <c r="AB1050" s="136">
        <f ca="1" t="shared" si="1083"/>
        <v>0</v>
      </c>
      <c r="AC1050" s="136">
        <f ca="1" t="shared" si="1083"/>
        <v>0</v>
      </c>
      <c r="AD1050" s="136">
        <f ca="1" t="shared" si="1083"/>
        <v>0</v>
      </c>
      <c r="AE1050" s="136">
        <f ca="1" t="shared" si="1083"/>
        <v>0</v>
      </c>
      <c r="AF1050" s="136">
        <f ca="1" t="shared" si="1083"/>
        <v>0</v>
      </c>
      <c r="AG1050" s="136">
        <f ca="1" t="shared" si="1083"/>
        <v>100</v>
      </c>
      <c r="AH1050" s="136">
        <f ca="1" t="shared" si="1021"/>
        <v>450</v>
      </c>
      <c r="AI1050" s="136">
        <f ca="1" t="shared" ref="AI1050:AN1050" si="1084">IF($C1050&gt;OFFSET($Q$8,MATCH(AI$634,$AH$634:$AN$634,0),0),OFFSET($P$8,MATCH(AI$634,$AH$634:$AN$634,0),0),MAX(0,$C1050-OFFSET($Q$8,RIGHT(AI$634,1)-1,0)))</f>
        <v>909</v>
      </c>
      <c r="AJ1050" s="136">
        <f ca="1" t="shared" si="1084"/>
        <v>1818</v>
      </c>
      <c r="AK1050" s="136">
        <f ca="1" t="shared" si="1084"/>
        <v>2727</v>
      </c>
      <c r="AL1050" s="136">
        <f ca="1" t="shared" si="1084"/>
        <v>3636</v>
      </c>
      <c r="AM1050" s="136">
        <f ca="1" t="shared" si="1084"/>
        <v>4545</v>
      </c>
      <c r="AN1050" s="136">
        <f ca="1" t="shared" si="1084"/>
        <v>27515</v>
      </c>
    </row>
    <row r="1051" s="106" customFormat="1" ht="16.5" spans="2:40">
      <c r="B1051" s="117">
        <v>417</v>
      </c>
      <c r="C1051" s="130">
        <f t="shared" si="1019"/>
        <v>41700</v>
      </c>
      <c r="D1051" s="131" cm="1">
        <f ca="1" t="array" ref="D1051">IF(D1653=1,OFFSET($W$634,$B1051,D$631-1)/SUMPRODUCT(--($D$631:$V$631=D$631),--($D1653:$V1653=1)),0)+SUM(D1050)+IF(COUNTIF(D$1237:D1653,1)=1,5,0)+IF(COUNTIF(E1051:$W1051,"&gt;"&amp;0)&lt;5,IF(AND(COUNTIF(D$1237:D1653,1)&gt;7,MOD(1+IFERROR(MATCH($C1051,总览!$D$46:$D$345,1)+1,1),7)=0),$C$3,0),0)</f>
        <v>2669.88410551878</v>
      </c>
      <c r="E1051" s="131" cm="1">
        <f ca="1" t="array" ref="E1051">IF(E1653=1,OFFSET($W$634,$B1051,E$631-1)/SUMPRODUCT(--($D$631:$V$631=E$631),--($D1653:$V1653=1)),0)+SUM(E1050)+IF(COUNTIF(E$1237:E1653,1)=1,5,0)+IF(COUNTIF(F1051:$W1051,"&gt;"&amp;0)&lt;5,IF(AND(COUNTIF(E$1237:E1653,1)&gt;7,MOD(1+IFERROR(MATCH($C1051,总览!$D$46:$D$345,1)+1,1),7)=0),$C$3,0),0)</f>
        <v>2669.88410551878</v>
      </c>
      <c r="F1051" s="131" cm="1">
        <f ca="1" t="array" ref="F1051">IF(F1653=1,OFFSET($W$634,$B1051,F$631-1)/SUMPRODUCT(--($D$631:$V$631=F$631),--($D1653:$V1653=1)),0)+SUM(F1050)+IF(COUNTIF(F$1237:F1653,1)=1,5,0)+IF(COUNTIF(G1051:$W1051,"&gt;"&amp;0)&lt;5,IF(AND(COUNTIF(F$1237:F1653,1)&gt;7,MOD(1+IFERROR(MATCH($C1051,总览!$D$46:$D$345,1)+1,1),7)=0),$C$3,0),0)</f>
        <v>2669.88410551878</v>
      </c>
      <c r="G1051" s="131" cm="1">
        <f ca="1" t="array" ref="G1051">IF(G1653=1,OFFSET($W$634,$B1051,G$631-1)/SUMPRODUCT(--($D$631:$V$631=G$631),--($D1653:$V1653=1)),0)+SUM(G1050)+IF(COUNTIF(G$1237:G1653,1)=1,5,0)+IF(COUNTIF(H1051:$W1051,"&gt;"&amp;0)&lt;5,IF(AND(COUNTIF(G$1237:G1653,1)&gt;7,MOD(1+IFERROR(MATCH($C1051,总览!$D$46:$D$345,1)+1,1),7)=0),$C$3,0),0)</f>
        <v>1329.4</v>
      </c>
      <c r="H1051" s="131" cm="1">
        <f ca="1" t="array" ref="H1051">IF(H1653=1,OFFSET($W$634,$B1051,H$631-1)/SUMPRODUCT(--($D$631:$V$631=H$631),--($D1653:$V1653=1)),0)+SUM(H1050)+IF(COUNTIF(H$1237:H1653,1)=1,5,0)+IF(COUNTIF(I1051:$W1051,"&gt;"&amp;0)&lt;5,IF(AND(COUNTIF(H$1237:H1653,1)&gt;7,MOD(1+IFERROR(MATCH($C1051,总览!$D$46:$D$345,1)+1,1),7)=0),$C$3,0),0)</f>
        <v>1329.4</v>
      </c>
      <c r="I1051" s="131" cm="1">
        <f ca="1" t="array" ref="I1051">IF(I1653=1,OFFSET($W$634,$B1051,I$631-1)/SUMPRODUCT(--($D$631:$V$631=I$631),--($D1653:$V1653=1)),0)+SUM(I1050)+IF(COUNTIF(I$1237:I1653,1)=1,5,0)+IF(COUNTIF(J1051:$W1051,"&gt;"&amp;0)&lt;5,IF(AND(COUNTIF(I$1237:I1653,1)&gt;7,MOD(1+IFERROR(MATCH($C1051,总览!$D$46:$D$345,1)+1,1),7)=0),$C$3,0),0)</f>
        <v>1329.4</v>
      </c>
      <c r="J1051" s="131" cm="1">
        <f ca="1" t="array" ref="J1051">IF(J1653=1,OFFSET($W$634,$B1051,J$631-1)/SUMPRODUCT(--($D$631:$V$631=J$631),--($D1653:$V1653=1)),0)+SUM(J1050)+IF(COUNTIF(J$1237:J1653,1)=1,5,0)+IF(COUNTIF(K1051:$W1051,"&gt;"&amp;0)&lt;5,IF(AND(COUNTIF(J$1237:J1653,1)&gt;7,MOD(1+IFERROR(MATCH($C1051,总览!$D$46:$D$345,1)+1,1),7)=0),$C$3,0),0)</f>
        <v>1326.06666666666</v>
      </c>
      <c r="K1051" s="131" cm="1">
        <f ca="1" t="array" ref="K1051">IF(K1653=1,OFFSET($W$634,$B1051,K$631-1)/SUMPRODUCT(--($D$631:$V$631=K$631),--($D1653:$V1653=1)),0)+SUM(K1050)+IF(COUNTIF(K$1237:K1653,1)=1,5,0)+IF(COUNTIF(L1051:$W1051,"&gt;"&amp;0)&lt;5,IF(AND(COUNTIF(K$1237:K1653,1)&gt;7,MOD(1+IFERROR(MATCH($C1051,总览!$D$46:$D$345,1)+1,1),7)=0),$C$3,0),0)</f>
        <v>1323.56666666666</v>
      </c>
      <c r="L1051" s="131" cm="1">
        <f ca="1" t="array" ref="L1051">IF(L1653=1,OFFSET($W$634,$B1051,L$631-1)/SUMPRODUCT(--($D$631:$V$631=L$631),--($D1653:$V1653=1)),0)+SUM(L1050)+IF(COUNTIF(L$1237:L1653,1)=1,5,0)+IF(COUNTIF(M1051:$W1051,"&gt;"&amp;0)&lt;5,IF(AND(COUNTIF(L$1237:L1653,1)&gt;7,MOD(1+IFERROR(MATCH($C1051,总览!$D$46:$D$345,1)+1,1),7)=0),$C$3,0),0)</f>
        <v>1323.56666666666</v>
      </c>
      <c r="M1051" s="131" cm="1">
        <f ca="1" t="array" ref="M1051">IF(M1653=1,OFFSET($W$634,$B1051,M$631-1)/SUMPRODUCT(--($D$631:$V$631=M$631),--($D1653:$V1653=1)),0)+SUM(M1050)+IF(COUNTIF(M$1237:M1653,1)=1,5,0)+IF(COUNTIF(N1051:$W1051,"&gt;"&amp;0)&lt;5,IF(AND(COUNTIF(M$1237:M1653,1)&gt;7,MOD(1+IFERROR(MATCH($C1051,总览!$D$46:$D$345,1)+1,1),7)=0),$C$3,0),0)</f>
        <v>553.466964285716</v>
      </c>
      <c r="N1051" s="131" cm="1">
        <f ca="1" t="array" ref="N1051">IF(N1653=1,OFFSET($W$634,$B1051,N$631-1)/SUMPRODUCT(--($D$631:$V$631=N$631),--($D1653:$V1653=1)),0)+SUM(N1050)+IF(COUNTIF(N$1237:N1653,1)=1,5,0)+IF(COUNTIF(O1051:$W1051,"&gt;"&amp;0)&lt;5,IF(AND(COUNTIF(N$1237:N1653,1)&gt;7,MOD(1+IFERROR(MATCH($C1051,总览!$D$46:$D$345,1)+1,1),7)=0),$C$3,0),0)</f>
        <v>554.716964285716</v>
      </c>
      <c r="O1051" s="131" cm="1">
        <f ca="1" t="array" ref="O1051">IF(O1653=1,OFFSET($W$634,$B1051,O$631-1)/SUMPRODUCT(--($D$631:$V$631=O$631),--($D1653:$V1653=1)),0)+SUM(O1050)+IF(COUNTIF(O$1237:O1653,1)=1,5,0)+IF(COUNTIF(P1051:$W1051,"&gt;"&amp;0)&lt;5,IF(AND(COUNTIF(O$1237:O1653,1)&gt;7,MOD(1+IFERROR(MATCH($C1051,总览!$D$46:$D$345,1)+1,1),7)=0),$C$3,0),0)</f>
        <v>559.716964285716</v>
      </c>
      <c r="P1051" s="131" cm="1">
        <f ca="1" t="array" ref="P1051">IF(P1653=1,OFFSET($W$634,$B1051,P$631-1)/SUMPRODUCT(--($D$631:$V$631=P$631),--($D1653:$V1653=1)),0)+SUM(P1050)+IF(COUNTIF(P$1237:P1653,1)=1,5,0)+IF(COUNTIF(Q1051:$W1051,"&gt;"&amp;0)&lt;5,IF(AND(COUNTIF(P$1237:P1653,1)&gt;7,MOD(1+IFERROR(MATCH($C1051,总览!$D$46:$D$345,1)+1,1),7)=0),$C$3,0),0)</f>
        <v>548.835714285716</v>
      </c>
      <c r="Q1051" s="131" cm="1">
        <f ca="1" t="array" ref="Q1051">IF(Q1653=1,OFFSET($W$634,$B1051,Q$631-1)/SUMPRODUCT(--($D$631:$V$631=Q$631),--($D1653:$V1653=1)),0)+SUM(Q1050)+IF(COUNTIF(Q$1237:Q1653,1)=1,5,0)+IF(COUNTIF(R1051:$W1051,"&gt;"&amp;0)&lt;5,IF(AND(COUNTIF(Q$1237:Q1653,1)&gt;7,MOD(1+IFERROR(MATCH($C1051,总览!$D$46:$D$345,1)+1,1),7)=0),$C$3,0),0)</f>
        <v>562.216964285716</v>
      </c>
      <c r="R1051" s="131" cm="1">
        <f ca="1" t="array" ref="R1051">IF(R1653=1,OFFSET($W$634,$B1051,R$631-1)/SUMPRODUCT(--($D$631:$V$631=R$631),--($D1653:$V1653=1)),0)+SUM(R1050)+IF(COUNTIF(R$1237:R1653,1)=1,5,0)+IF(COUNTIF(S1051:$W1051,"&gt;"&amp;0)&lt;5,IF(AND(COUNTIF(R$1237:R1653,1)&gt;7,MOD(1+IFERROR(MATCH($C1051,总览!$D$46:$D$345,1)+1,1),7)=0),$C$3,0),0)</f>
        <v>553.835714285716</v>
      </c>
      <c r="S1051" s="131" cm="1">
        <f ca="1" t="array" ref="S1051">IF(S1653=1,OFFSET($W$634,$B1051,S$631-1)/SUMPRODUCT(--($D$631:$V$631=S$631),--($D1653:$V1653=1)),0)+SUM(S1050)+IF(COUNTIF(S$1237:S1653,1)=1,5,0)+IF(COUNTIF(T1051:$W1051,"&gt;"&amp;0)&lt;5,IF(AND(COUNTIF(S$1237:S1653,1)&gt;7,MOD(1+IFERROR(MATCH($C1051,总览!$D$46:$D$345,1)+1,1),7)=0),$C$3,0),0)</f>
        <v>646.335714285718</v>
      </c>
      <c r="T1051" s="131" cm="1">
        <f ca="1" t="array" ref="T1051">IF(T1653=1,OFFSET($W$634,$B1051,T$631-1)/SUMPRODUCT(--($D$631:$V$631=T$631),--($D1653:$V1653=1)),0)+SUM(T1050)+IF(COUNTIF(T$1237:T1653,1)=1,5,0)+IF(COUNTIF(U1051:$W1051,"&gt;"&amp;0)&lt;5,IF(AND(COUNTIF(T$1237:T1653,1)&gt;7,MOD(1+IFERROR(MATCH($C1051,总览!$D$46:$D$345,1)+1,1),7)=0),$C$3,0),0)</f>
        <v>472.984703673563</v>
      </c>
      <c r="U1051" s="131" cm="1">
        <f ca="1" t="array" ref="U1051">IF(U1653=1,OFFSET($W$634,$B1051,U$631-1)/SUMPRODUCT(--($D$631:$V$631=U$631),--($D1653:$V1653=1)),0)+SUM(U1050)+IF(COUNTIF(U$1237:U1653,1)=1,5,0)+IF(COUNTIF(V1051:$W1051,"&gt;"&amp;0)&lt;5,IF(AND(COUNTIF(U$1237:U1653,1)&gt;7,MOD(1+IFERROR(MATCH($C1051,总览!$D$46:$D$345,1)+1,1),7)=0),$C$3,0),0)</f>
        <v>478.505490028862</v>
      </c>
      <c r="V1051" s="131" cm="1">
        <f ca="1" t="array" ref="V1051">IF(V1653=1,OFFSET($W$634,$B1051,V$631-1)/SUMPRODUCT(--($D$631:$V$631=V$631),--($D1653:$V1653=1)),0)+SUM(V1050)+IF(COUNTIF(V$1237:V1653,1)=1,5,0)+IF(COUNTIF(W1051:$W1051,"&gt;"&amp;0)&lt;5,IF(AND(COUNTIF(V$1237:V1653,1)&gt;7,MOD(1+IFERROR(MATCH($C1051,总览!$D$46:$D$345,1)+1,1),7)=0),$C$3,0),0)</f>
        <v>498.332489741295</v>
      </c>
      <c r="W1051" s="135" cm="1">
        <f ca="1" t="array" ref="W1051">SUMPRODUCT(TRANSPOSE($AA1051:$AG1051),OFFSET($L$9:$L$15,0,W$631-1))</f>
        <v>16.8502200646615</v>
      </c>
      <c r="X1051" s="135" cm="1">
        <f ca="1" t="array" ref="X1051">SUMPRODUCT(TRANSPOSE($AA1051:$AG1051),OFFSET($L$9:$L$15,0,X$631-1))</f>
        <v>20</v>
      </c>
      <c r="Y1051" s="135" cm="1">
        <f ca="1" t="array" ref="Y1051">SUMPRODUCT(TRANSPOSE($AA1051:$AG1051),OFFSET($L$9:$L$15,0,Y$631-1))</f>
        <v>10</v>
      </c>
      <c r="Z1051" s="135" cm="1">
        <f ca="1" t="array" ref="Z1051">SUMPRODUCT(TRANSPOSE($AA1051:$AG1051),OFFSET($L$9:$L$15,0,Z$631-1))</f>
        <v>3.14977993533847</v>
      </c>
      <c r="AA1051" s="136">
        <f ca="1" t="shared" ref="AA1051:AG1051" si="1085">AH1051-AH1050</f>
        <v>0</v>
      </c>
      <c r="AB1051" s="136">
        <f ca="1" t="shared" si="1085"/>
        <v>0</v>
      </c>
      <c r="AC1051" s="136">
        <f ca="1" t="shared" si="1085"/>
        <v>0</v>
      </c>
      <c r="AD1051" s="136">
        <f ca="1" t="shared" si="1085"/>
        <v>0</v>
      </c>
      <c r="AE1051" s="136">
        <f ca="1" t="shared" si="1085"/>
        <v>0</v>
      </c>
      <c r="AF1051" s="136">
        <f ca="1" t="shared" si="1085"/>
        <v>0</v>
      </c>
      <c r="AG1051" s="136">
        <f ca="1" t="shared" si="1085"/>
        <v>100</v>
      </c>
      <c r="AH1051" s="136">
        <f ca="1" t="shared" si="1021"/>
        <v>450</v>
      </c>
      <c r="AI1051" s="136">
        <f ca="1" t="shared" ref="AI1051:AN1051" si="1086">IF($C1051&gt;OFFSET($Q$8,MATCH(AI$634,$AH$634:$AN$634,0),0),OFFSET($P$8,MATCH(AI$634,$AH$634:$AN$634,0),0),MAX(0,$C1051-OFFSET($Q$8,RIGHT(AI$634,1)-1,0)))</f>
        <v>909</v>
      </c>
      <c r="AJ1051" s="136">
        <f ca="1" t="shared" si="1086"/>
        <v>1818</v>
      </c>
      <c r="AK1051" s="136">
        <f ca="1" t="shared" si="1086"/>
        <v>2727</v>
      </c>
      <c r="AL1051" s="136">
        <f ca="1" t="shared" si="1086"/>
        <v>3636</v>
      </c>
      <c r="AM1051" s="136">
        <f ca="1" t="shared" si="1086"/>
        <v>4545</v>
      </c>
      <c r="AN1051" s="136">
        <f ca="1" t="shared" si="1086"/>
        <v>27615</v>
      </c>
    </row>
    <row r="1052" s="106" customFormat="1" ht="16.5" spans="2:40">
      <c r="B1052" s="117">
        <v>418</v>
      </c>
      <c r="C1052" s="130">
        <f t="shared" si="1019"/>
        <v>41800</v>
      </c>
      <c r="D1052" s="131" cm="1">
        <f ca="1" t="array" ref="D1052">IF(D1654=1,OFFSET($W$634,$B1052,D$631-1)/SUMPRODUCT(--($D$631:$V$631=D$631),--($D1654:$V1654=1)),0)+SUM(D1051)+IF(COUNTIF(D$1237:D1654,1)=1,5,0)+IF(COUNTIF(E1052:$W1052,"&gt;"&amp;0)&lt;5,IF(AND(COUNTIF(D$1237:D1654,1)&gt;7,MOD(1+IFERROR(MATCH($C1052,总览!$D$46:$D$345,1)+1,1),7)=0),$C$3,0),0)</f>
        <v>2675.50084554033</v>
      </c>
      <c r="E1052" s="131" cm="1">
        <f ca="1" t="array" ref="E1052">IF(E1654=1,OFFSET($W$634,$B1052,E$631-1)/SUMPRODUCT(--($D$631:$V$631=E$631),--($D1654:$V1654=1)),0)+SUM(E1051)+IF(COUNTIF(E$1237:E1654,1)=1,5,0)+IF(COUNTIF(F1052:$W1052,"&gt;"&amp;0)&lt;5,IF(AND(COUNTIF(E$1237:E1654,1)&gt;7,MOD(1+IFERROR(MATCH($C1052,总览!$D$46:$D$345,1)+1,1),7)=0),$C$3,0),0)</f>
        <v>2675.50084554033</v>
      </c>
      <c r="F1052" s="131" cm="1">
        <f ca="1" t="array" ref="F1052">IF(F1654=1,OFFSET($W$634,$B1052,F$631-1)/SUMPRODUCT(--($D$631:$V$631=F$631),--($D1654:$V1654=1)),0)+SUM(F1051)+IF(COUNTIF(F$1237:F1654,1)=1,5,0)+IF(COUNTIF(G1052:$W1052,"&gt;"&amp;0)&lt;5,IF(AND(COUNTIF(F$1237:F1654,1)&gt;7,MOD(1+IFERROR(MATCH($C1052,总览!$D$46:$D$345,1)+1,1),7)=0),$C$3,0),0)</f>
        <v>2675.50084554033</v>
      </c>
      <c r="G1052" s="131" cm="1">
        <f ca="1" t="array" ref="G1052">IF(G1654=1,OFFSET($W$634,$B1052,G$631-1)/SUMPRODUCT(--($D$631:$V$631=G$631),--($D1654:$V1654=1)),0)+SUM(G1051)+IF(COUNTIF(G$1237:G1654,1)=1,5,0)+IF(COUNTIF(H1052:$W1052,"&gt;"&amp;0)&lt;5,IF(AND(COUNTIF(G$1237:G1654,1)&gt;7,MOD(1+IFERROR(MATCH($C1052,总览!$D$46:$D$345,1)+1,1),7)=0),$C$3,0),0)</f>
        <v>1332.73333333333</v>
      </c>
      <c r="H1052" s="131" cm="1">
        <f ca="1" t="array" ref="H1052">IF(H1654=1,OFFSET($W$634,$B1052,H$631-1)/SUMPRODUCT(--($D$631:$V$631=H$631),--($D1654:$V1654=1)),0)+SUM(H1051)+IF(COUNTIF(H$1237:H1654,1)=1,5,0)+IF(COUNTIF(I1052:$W1052,"&gt;"&amp;0)&lt;5,IF(AND(COUNTIF(H$1237:H1654,1)&gt;7,MOD(1+IFERROR(MATCH($C1052,总览!$D$46:$D$345,1)+1,1),7)=0),$C$3,0),0)</f>
        <v>1332.73333333333</v>
      </c>
      <c r="I1052" s="131" cm="1">
        <f ca="1" t="array" ref="I1052">IF(I1654=1,OFFSET($W$634,$B1052,I$631-1)/SUMPRODUCT(--($D$631:$V$631=I$631),--($D1654:$V1654=1)),0)+SUM(I1051)+IF(COUNTIF(I$1237:I1654,1)=1,5,0)+IF(COUNTIF(J1052:$W1052,"&gt;"&amp;0)&lt;5,IF(AND(COUNTIF(I$1237:I1654,1)&gt;7,MOD(1+IFERROR(MATCH($C1052,总览!$D$46:$D$345,1)+1,1),7)=0),$C$3,0),0)</f>
        <v>1332.73333333333</v>
      </c>
      <c r="J1052" s="131" cm="1">
        <f ca="1" t="array" ref="J1052">IF(J1654=1,OFFSET($W$634,$B1052,J$631-1)/SUMPRODUCT(--($D$631:$V$631=J$631),--($D1654:$V1654=1)),0)+SUM(J1051)+IF(COUNTIF(J$1237:J1654,1)=1,5,0)+IF(COUNTIF(K1052:$W1052,"&gt;"&amp;0)&lt;5,IF(AND(COUNTIF(J$1237:J1654,1)&gt;7,MOD(1+IFERROR(MATCH($C1052,总览!$D$46:$D$345,1)+1,1),7)=0),$C$3,0),0)</f>
        <v>1329.4</v>
      </c>
      <c r="K1052" s="131" cm="1">
        <f ca="1" t="array" ref="K1052">IF(K1654=1,OFFSET($W$634,$B1052,K$631-1)/SUMPRODUCT(--($D$631:$V$631=K$631),--($D1654:$V1654=1)),0)+SUM(K1051)+IF(COUNTIF(K$1237:K1654,1)=1,5,0)+IF(COUNTIF(L1052:$W1052,"&gt;"&amp;0)&lt;5,IF(AND(COUNTIF(K$1237:K1654,1)&gt;7,MOD(1+IFERROR(MATCH($C1052,总览!$D$46:$D$345,1)+1,1),7)=0),$C$3,0),0)</f>
        <v>1326.9</v>
      </c>
      <c r="L1052" s="131" cm="1">
        <f ca="1" t="array" ref="L1052">IF(L1654=1,OFFSET($W$634,$B1052,L$631-1)/SUMPRODUCT(--($D$631:$V$631=L$631),--($D1654:$V1654=1)),0)+SUM(L1051)+IF(COUNTIF(L$1237:L1654,1)=1,5,0)+IF(COUNTIF(M1052:$W1052,"&gt;"&amp;0)&lt;5,IF(AND(COUNTIF(L$1237:L1654,1)&gt;7,MOD(1+IFERROR(MATCH($C1052,总览!$D$46:$D$345,1)+1,1),7)=0),$C$3,0),0)</f>
        <v>1326.9</v>
      </c>
      <c r="M1052" s="131" cm="1">
        <f ca="1" t="array" ref="M1052">IF(M1654=1,OFFSET($W$634,$B1052,M$631-1)/SUMPRODUCT(--($D$631:$V$631=M$631),--($D1654:$V1654=1)),0)+SUM(M1051)+IF(COUNTIF(M$1237:M1654,1)=1,5,0)+IF(COUNTIF(N1052:$W1052,"&gt;"&amp;0)&lt;5,IF(AND(COUNTIF(M$1237:M1654,1)&gt;7,MOD(1+IFERROR(MATCH($C1052,总览!$D$46:$D$345,1)+1,1),7)=0),$C$3,0),0)</f>
        <v>554.895535714288</v>
      </c>
      <c r="N1052" s="131" cm="1">
        <f ca="1" t="array" ref="N1052">IF(N1654=1,OFFSET($W$634,$B1052,N$631-1)/SUMPRODUCT(--($D$631:$V$631=N$631),--($D1654:$V1654=1)),0)+SUM(N1051)+IF(COUNTIF(N$1237:N1654,1)=1,5,0)+IF(COUNTIF(O1052:$W1052,"&gt;"&amp;0)&lt;5,IF(AND(COUNTIF(N$1237:N1654,1)&gt;7,MOD(1+IFERROR(MATCH($C1052,总览!$D$46:$D$345,1)+1,1),7)=0),$C$3,0),0)</f>
        <v>556.145535714288</v>
      </c>
      <c r="O1052" s="131" cm="1">
        <f ca="1" t="array" ref="O1052">IF(O1654=1,OFFSET($W$634,$B1052,O$631-1)/SUMPRODUCT(--($D$631:$V$631=O$631),--($D1654:$V1654=1)),0)+SUM(O1051)+IF(COUNTIF(O$1237:O1654,1)=1,5,0)+IF(COUNTIF(P1052:$W1052,"&gt;"&amp;0)&lt;5,IF(AND(COUNTIF(O$1237:O1654,1)&gt;7,MOD(1+IFERROR(MATCH($C1052,总览!$D$46:$D$345,1)+1,1),7)=0),$C$3,0),0)</f>
        <v>561.145535714288</v>
      </c>
      <c r="P1052" s="131" cm="1">
        <f ca="1" t="array" ref="P1052">IF(P1654=1,OFFSET($W$634,$B1052,P$631-1)/SUMPRODUCT(--($D$631:$V$631=P$631),--($D1654:$V1654=1)),0)+SUM(P1051)+IF(COUNTIF(P$1237:P1654,1)=1,5,0)+IF(COUNTIF(Q1052:$W1052,"&gt;"&amp;0)&lt;5,IF(AND(COUNTIF(P$1237:P1654,1)&gt;7,MOD(1+IFERROR(MATCH($C1052,总览!$D$46:$D$345,1)+1,1),7)=0),$C$3,0),0)</f>
        <v>550.264285714288</v>
      </c>
      <c r="Q1052" s="131" cm="1">
        <f ca="1" t="array" ref="Q1052">IF(Q1654=1,OFFSET($W$634,$B1052,Q$631-1)/SUMPRODUCT(--($D$631:$V$631=Q$631),--($D1654:$V1654=1)),0)+SUM(Q1051)+IF(COUNTIF(Q$1237:Q1654,1)=1,5,0)+IF(COUNTIF(R1052:$W1052,"&gt;"&amp;0)&lt;5,IF(AND(COUNTIF(Q$1237:Q1654,1)&gt;7,MOD(1+IFERROR(MATCH($C1052,总览!$D$46:$D$345,1)+1,1),7)=0),$C$3,0),0)</f>
        <v>563.645535714288</v>
      </c>
      <c r="R1052" s="131" cm="1">
        <f ca="1" t="array" ref="R1052">IF(R1654=1,OFFSET($W$634,$B1052,R$631-1)/SUMPRODUCT(--($D$631:$V$631=R$631),--($D1654:$V1654=1)),0)+SUM(R1051)+IF(COUNTIF(R$1237:R1654,1)=1,5,0)+IF(COUNTIF(S1052:$W1052,"&gt;"&amp;0)&lt;5,IF(AND(COUNTIF(R$1237:R1654,1)&gt;7,MOD(1+IFERROR(MATCH($C1052,总览!$D$46:$D$345,1)+1,1),7)=0),$C$3,0),0)</f>
        <v>555.264285714288</v>
      </c>
      <c r="S1052" s="131" cm="1">
        <f ca="1" t="array" ref="S1052">IF(S1654=1,OFFSET($W$634,$B1052,S$631-1)/SUMPRODUCT(--($D$631:$V$631=S$631),--($D1654:$V1654=1)),0)+SUM(S1051)+IF(COUNTIF(S$1237:S1654,1)=1,5,0)+IF(COUNTIF(T1052:$W1052,"&gt;"&amp;0)&lt;5,IF(AND(COUNTIF(S$1237:S1654,1)&gt;7,MOD(1+IFERROR(MATCH($C1052,总览!$D$46:$D$345,1)+1,1),7)=0),$C$3,0),0)</f>
        <v>647.764285714289</v>
      </c>
      <c r="T1052" s="131" cm="1">
        <f ca="1" t="array" ref="T1052">IF(T1654=1,OFFSET($W$634,$B1052,T$631-1)/SUMPRODUCT(--($D$631:$V$631=T$631),--($D1654:$V1654=1)),0)+SUM(T1051)+IF(COUNTIF(T$1237:T1654,1)=1,5,0)+IF(COUNTIF(U1052:$W1052,"&gt;"&amp;0)&lt;5,IF(AND(COUNTIF(T$1237:T1654,1)&gt;7,MOD(1+IFERROR(MATCH($C1052,总览!$D$46:$D$345,1)+1,1),7)=0),$C$3,0),0)</f>
        <v>474.034630318675</v>
      </c>
      <c r="U1052" s="131" cm="1">
        <f ca="1" t="array" ref="U1052">IF(U1654=1,OFFSET($W$634,$B1052,U$631-1)/SUMPRODUCT(--($D$631:$V$631=U$631),--($D1654:$V1654=1)),0)+SUM(U1051)+IF(COUNTIF(U$1237:U1654,1)=1,5,0)+IF(COUNTIF(V1052:$W1052,"&gt;"&amp;0)&lt;5,IF(AND(COUNTIF(U$1237:U1654,1)&gt;7,MOD(1+IFERROR(MATCH($C1052,总览!$D$46:$D$345,1)+1,1),7)=0),$C$3,0),0)</f>
        <v>479.555416673975</v>
      </c>
      <c r="V1052" s="131" cm="1">
        <f ca="1" t="array" ref="V1052">IF(V1654=1,OFFSET($W$634,$B1052,V$631-1)/SUMPRODUCT(--($D$631:$V$631=V$631),--($D1654:$V1654=1)),0)+SUM(V1051)+IF(COUNTIF(V$1237:V1654,1)=1,5,0)+IF(COUNTIF(W1052:$W1052,"&gt;"&amp;0)&lt;5,IF(AND(COUNTIF(V$1237:V1654,1)&gt;7,MOD(1+IFERROR(MATCH($C1052,总览!$D$46:$D$345,1)+1,1),7)=0),$C$3,0),0)</f>
        <v>499.382416386408</v>
      </c>
      <c r="W1052" s="135" cm="1">
        <f ca="1" t="array" ref="W1052">SUMPRODUCT(TRANSPOSE($AA1052:$AG1052),OFFSET($L$9:$L$15,0,W$631-1))</f>
        <v>16.8502200646615</v>
      </c>
      <c r="X1052" s="135" cm="1">
        <f ca="1" t="array" ref="X1052">SUMPRODUCT(TRANSPOSE($AA1052:$AG1052),OFFSET($L$9:$L$15,0,X$631-1))</f>
        <v>20</v>
      </c>
      <c r="Y1052" s="135" cm="1">
        <f ca="1" t="array" ref="Y1052">SUMPRODUCT(TRANSPOSE($AA1052:$AG1052),OFFSET($L$9:$L$15,0,Y$631-1))</f>
        <v>10</v>
      </c>
      <c r="Z1052" s="135" cm="1">
        <f ca="1" t="array" ref="Z1052">SUMPRODUCT(TRANSPOSE($AA1052:$AG1052),OFFSET($L$9:$L$15,0,Z$631-1))</f>
        <v>3.14977993533847</v>
      </c>
      <c r="AA1052" s="136">
        <f ca="1" t="shared" ref="AA1052:AG1052" si="1087">AH1052-AH1051</f>
        <v>0</v>
      </c>
      <c r="AB1052" s="136">
        <f ca="1" t="shared" si="1087"/>
        <v>0</v>
      </c>
      <c r="AC1052" s="136">
        <f ca="1" t="shared" si="1087"/>
        <v>0</v>
      </c>
      <c r="AD1052" s="136">
        <f ca="1" t="shared" si="1087"/>
        <v>0</v>
      </c>
      <c r="AE1052" s="136">
        <f ca="1" t="shared" si="1087"/>
        <v>0</v>
      </c>
      <c r="AF1052" s="136">
        <f ca="1" t="shared" si="1087"/>
        <v>0</v>
      </c>
      <c r="AG1052" s="136">
        <f ca="1" t="shared" si="1087"/>
        <v>100</v>
      </c>
      <c r="AH1052" s="136">
        <f ca="1" t="shared" si="1021"/>
        <v>450</v>
      </c>
      <c r="AI1052" s="136">
        <f ca="1" t="shared" ref="AI1052:AN1052" si="1088">IF($C1052&gt;OFFSET($Q$8,MATCH(AI$634,$AH$634:$AN$634,0),0),OFFSET($P$8,MATCH(AI$634,$AH$634:$AN$634,0),0),MAX(0,$C1052-OFFSET($Q$8,RIGHT(AI$634,1)-1,0)))</f>
        <v>909</v>
      </c>
      <c r="AJ1052" s="136">
        <f ca="1" t="shared" si="1088"/>
        <v>1818</v>
      </c>
      <c r="AK1052" s="136">
        <f ca="1" t="shared" si="1088"/>
        <v>2727</v>
      </c>
      <c r="AL1052" s="136">
        <f ca="1" t="shared" si="1088"/>
        <v>3636</v>
      </c>
      <c r="AM1052" s="136">
        <f ca="1" t="shared" si="1088"/>
        <v>4545</v>
      </c>
      <c r="AN1052" s="136">
        <f ca="1" t="shared" si="1088"/>
        <v>27715</v>
      </c>
    </row>
    <row r="1053" s="106" customFormat="1" ht="16.5" spans="2:40">
      <c r="B1053" s="117">
        <v>419</v>
      </c>
      <c r="C1053" s="130">
        <f t="shared" si="1019"/>
        <v>41900</v>
      </c>
      <c r="D1053" s="131" cm="1">
        <f ca="1" t="array" ref="D1053">IF(D1655=1,OFFSET($W$634,$B1053,D$631-1)/SUMPRODUCT(--($D$631:$V$631=D$631),--($D1655:$V1655=1)),0)+SUM(D1052)+IF(COUNTIF(D$1237:D1655,1)=1,5,0)+IF(COUNTIF(E1053:$W1053,"&gt;"&amp;0)&lt;5,IF(AND(COUNTIF(D$1237:D1655,1)&gt;7,MOD(1+IFERROR(MATCH($C1053,总览!$D$46:$D$345,1)+1,1),7)=0),$C$3,0),0)</f>
        <v>2681.11758556188</v>
      </c>
      <c r="E1053" s="131" cm="1">
        <f ca="1" t="array" ref="E1053">IF(E1655=1,OFFSET($W$634,$B1053,E$631-1)/SUMPRODUCT(--($D$631:$V$631=E$631),--($D1655:$V1655=1)),0)+SUM(E1052)+IF(COUNTIF(E$1237:E1655,1)=1,5,0)+IF(COUNTIF(F1053:$W1053,"&gt;"&amp;0)&lt;5,IF(AND(COUNTIF(E$1237:E1655,1)&gt;7,MOD(1+IFERROR(MATCH($C1053,总览!$D$46:$D$345,1)+1,1),7)=0),$C$3,0),0)</f>
        <v>2681.11758556188</v>
      </c>
      <c r="F1053" s="131" cm="1">
        <f ca="1" t="array" ref="F1053">IF(F1655=1,OFFSET($W$634,$B1053,F$631-1)/SUMPRODUCT(--($D$631:$V$631=F$631),--($D1655:$V1655=1)),0)+SUM(F1052)+IF(COUNTIF(F$1237:F1655,1)=1,5,0)+IF(COUNTIF(G1053:$W1053,"&gt;"&amp;0)&lt;5,IF(AND(COUNTIF(F$1237:F1655,1)&gt;7,MOD(1+IFERROR(MATCH($C1053,总览!$D$46:$D$345,1)+1,1),7)=0),$C$3,0),0)</f>
        <v>2681.11758556188</v>
      </c>
      <c r="G1053" s="131" cm="1">
        <f ca="1" t="array" ref="G1053">IF(G1655=1,OFFSET($W$634,$B1053,G$631-1)/SUMPRODUCT(--($D$631:$V$631=G$631),--($D1655:$V1655=1)),0)+SUM(G1052)+IF(COUNTIF(G$1237:G1655,1)=1,5,0)+IF(COUNTIF(H1053:$W1053,"&gt;"&amp;0)&lt;5,IF(AND(COUNTIF(G$1237:G1655,1)&gt;7,MOD(1+IFERROR(MATCH($C1053,总览!$D$46:$D$345,1)+1,1),7)=0),$C$3,0),0)</f>
        <v>1336.06666666666</v>
      </c>
      <c r="H1053" s="131" cm="1">
        <f ca="1" t="array" ref="H1053">IF(H1655=1,OFFSET($W$634,$B1053,H$631-1)/SUMPRODUCT(--($D$631:$V$631=H$631),--($D1655:$V1655=1)),0)+SUM(H1052)+IF(COUNTIF(H$1237:H1655,1)=1,5,0)+IF(COUNTIF(I1053:$W1053,"&gt;"&amp;0)&lt;5,IF(AND(COUNTIF(H$1237:H1655,1)&gt;7,MOD(1+IFERROR(MATCH($C1053,总览!$D$46:$D$345,1)+1,1),7)=0),$C$3,0),0)</f>
        <v>1336.06666666666</v>
      </c>
      <c r="I1053" s="131" cm="1">
        <f ca="1" t="array" ref="I1053">IF(I1655=1,OFFSET($W$634,$B1053,I$631-1)/SUMPRODUCT(--($D$631:$V$631=I$631),--($D1655:$V1655=1)),0)+SUM(I1052)+IF(COUNTIF(I$1237:I1655,1)=1,5,0)+IF(COUNTIF(J1053:$W1053,"&gt;"&amp;0)&lt;5,IF(AND(COUNTIF(I$1237:I1655,1)&gt;7,MOD(1+IFERROR(MATCH($C1053,总览!$D$46:$D$345,1)+1,1),7)=0),$C$3,0),0)</f>
        <v>1336.06666666666</v>
      </c>
      <c r="J1053" s="131" cm="1">
        <f ca="1" t="array" ref="J1053">IF(J1655=1,OFFSET($W$634,$B1053,J$631-1)/SUMPRODUCT(--($D$631:$V$631=J$631),--($D1655:$V1655=1)),0)+SUM(J1052)+IF(COUNTIF(J$1237:J1655,1)=1,5,0)+IF(COUNTIF(K1053:$W1053,"&gt;"&amp;0)&lt;5,IF(AND(COUNTIF(J$1237:J1655,1)&gt;7,MOD(1+IFERROR(MATCH($C1053,总览!$D$46:$D$345,1)+1,1),7)=0),$C$3,0),0)</f>
        <v>1332.73333333333</v>
      </c>
      <c r="K1053" s="131" cm="1">
        <f ca="1" t="array" ref="K1053">IF(K1655=1,OFFSET($W$634,$B1053,K$631-1)/SUMPRODUCT(--($D$631:$V$631=K$631),--($D1655:$V1655=1)),0)+SUM(K1052)+IF(COUNTIF(K$1237:K1655,1)=1,5,0)+IF(COUNTIF(L1053:$W1053,"&gt;"&amp;0)&lt;5,IF(AND(COUNTIF(K$1237:K1655,1)&gt;7,MOD(1+IFERROR(MATCH($C1053,总览!$D$46:$D$345,1)+1,1),7)=0),$C$3,0),0)</f>
        <v>1330.23333333333</v>
      </c>
      <c r="L1053" s="131" cm="1">
        <f ca="1" t="array" ref="L1053">IF(L1655=1,OFFSET($W$634,$B1053,L$631-1)/SUMPRODUCT(--($D$631:$V$631=L$631),--($D1655:$V1655=1)),0)+SUM(L1052)+IF(COUNTIF(L$1237:L1655,1)=1,5,0)+IF(COUNTIF(M1053:$W1053,"&gt;"&amp;0)&lt;5,IF(AND(COUNTIF(L$1237:L1655,1)&gt;7,MOD(1+IFERROR(MATCH($C1053,总览!$D$46:$D$345,1)+1,1),7)=0),$C$3,0),0)</f>
        <v>1330.23333333333</v>
      </c>
      <c r="M1053" s="131" cm="1">
        <f ca="1" t="array" ref="M1053">IF(M1655=1,OFFSET($W$634,$B1053,M$631-1)/SUMPRODUCT(--($D$631:$V$631=M$631),--($D1655:$V1655=1)),0)+SUM(M1052)+IF(COUNTIF(M$1237:M1655,1)=1,5,0)+IF(COUNTIF(N1053:$W1053,"&gt;"&amp;0)&lt;5,IF(AND(COUNTIF(M$1237:M1655,1)&gt;7,MOD(1+IFERROR(MATCH($C1053,总览!$D$46:$D$345,1)+1,1),7)=0),$C$3,0),0)</f>
        <v>556.324107142859</v>
      </c>
      <c r="N1053" s="131" cm="1">
        <f ca="1" t="array" ref="N1053">IF(N1655=1,OFFSET($W$634,$B1053,N$631-1)/SUMPRODUCT(--($D$631:$V$631=N$631),--($D1655:$V1655=1)),0)+SUM(N1052)+IF(COUNTIF(N$1237:N1655,1)=1,5,0)+IF(COUNTIF(O1053:$W1053,"&gt;"&amp;0)&lt;5,IF(AND(COUNTIF(N$1237:N1655,1)&gt;7,MOD(1+IFERROR(MATCH($C1053,总览!$D$46:$D$345,1)+1,1),7)=0),$C$3,0),0)</f>
        <v>557.574107142859</v>
      </c>
      <c r="O1053" s="131" cm="1">
        <f ca="1" t="array" ref="O1053">IF(O1655=1,OFFSET($W$634,$B1053,O$631-1)/SUMPRODUCT(--($D$631:$V$631=O$631),--($D1655:$V1655=1)),0)+SUM(O1052)+IF(COUNTIF(O$1237:O1655,1)=1,5,0)+IF(COUNTIF(P1053:$W1053,"&gt;"&amp;0)&lt;5,IF(AND(COUNTIF(O$1237:O1655,1)&gt;7,MOD(1+IFERROR(MATCH($C1053,总览!$D$46:$D$345,1)+1,1),7)=0),$C$3,0),0)</f>
        <v>562.574107142859</v>
      </c>
      <c r="P1053" s="131" cm="1">
        <f ca="1" t="array" ref="P1053">IF(P1655=1,OFFSET($W$634,$B1053,P$631-1)/SUMPRODUCT(--($D$631:$V$631=P$631),--($D1655:$V1655=1)),0)+SUM(P1052)+IF(COUNTIF(P$1237:P1655,1)=1,5,0)+IF(COUNTIF(Q1053:$W1053,"&gt;"&amp;0)&lt;5,IF(AND(COUNTIF(P$1237:P1655,1)&gt;7,MOD(1+IFERROR(MATCH($C1053,总览!$D$46:$D$345,1)+1,1),7)=0),$C$3,0),0)</f>
        <v>551.692857142859</v>
      </c>
      <c r="Q1053" s="131" cm="1">
        <f ca="1" t="array" ref="Q1053">IF(Q1655=1,OFFSET($W$634,$B1053,Q$631-1)/SUMPRODUCT(--($D$631:$V$631=Q$631),--($D1655:$V1655=1)),0)+SUM(Q1052)+IF(COUNTIF(Q$1237:Q1655,1)=1,5,0)+IF(COUNTIF(R1053:$W1053,"&gt;"&amp;0)&lt;5,IF(AND(COUNTIF(Q$1237:Q1655,1)&gt;7,MOD(1+IFERROR(MATCH($C1053,总览!$D$46:$D$345,1)+1,1),7)=0),$C$3,0),0)</f>
        <v>565.074107142859</v>
      </c>
      <c r="R1053" s="131" cm="1">
        <f ca="1" t="array" ref="R1053">IF(R1655=1,OFFSET($W$634,$B1053,R$631-1)/SUMPRODUCT(--($D$631:$V$631=R$631),--($D1655:$V1655=1)),0)+SUM(R1052)+IF(COUNTIF(R$1237:R1655,1)=1,5,0)+IF(COUNTIF(S1053:$W1053,"&gt;"&amp;0)&lt;5,IF(AND(COUNTIF(R$1237:R1655,1)&gt;7,MOD(1+IFERROR(MATCH($C1053,总览!$D$46:$D$345,1)+1,1),7)=0),$C$3,0),0)</f>
        <v>556.692857142859</v>
      </c>
      <c r="S1053" s="131" cm="1">
        <f ca="1" t="array" ref="S1053">IF(S1655=1,OFFSET($W$634,$B1053,S$631-1)/SUMPRODUCT(--($D$631:$V$631=S$631),--($D1655:$V1655=1)),0)+SUM(S1052)+IF(COUNTIF(S$1237:S1655,1)=1,5,0)+IF(COUNTIF(T1053:$W1053,"&gt;"&amp;0)&lt;5,IF(AND(COUNTIF(S$1237:S1655,1)&gt;7,MOD(1+IFERROR(MATCH($C1053,总览!$D$46:$D$345,1)+1,1),7)=0),$C$3,0),0)</f>
        <v>649.19285714286</v>
      </c>
      <c r="T1053" s="131" cm="1">
        <f ca="1" t="array" ref="T1053">IF(T1655=1,OFFSET($W$634,$B1053,T$631-1)/SUMPRODUCT(--($D$631:$V$631=T$631),--($D1655:$V1655=1)),0)+SUM(T1052)+IF(COUNTIF(T$1237:T1655,1)=1,5,0)+IF(COUNTIF(U1053:$W1053,"&gt;"&amp;0)&lt;5,IF(AND(COUNTIF(T$1237:T1655,1)&gt;7,MOD(1+IFERROR(MATCH($C1053,总览!$D$46:$D$345,1)+1,1),7)=0),$C$3,0),0)</f>
        <v>475.084556963788</v>
      </c>
      <c r="U1053" s="131" cm="1">
        <f ca="1" t="array" ref="U1053">IF(U1655=1,OFFSET($W$634,$B1053,U$631-1)/SUMPRODUCT(--($D$631:$V$631=U$631),--($D1655:$V1655=1)),0)+SUM(U1052)+IF(COUNTIF(U$1237:U1655,1)=1,5,0)+IF(COUNTIF(V1053:$W1053,"&gt;"&amp;0)&lt;5,IF(AND(COUNTIF(U$1237:U1655,1)&gt;7,MOD(1+IFERROR(MATCH($C1053,总览!$D$46:$D$345,1)+1,1),7)=0),$C$3,0),0)</f>
        <v>480.605343319088</v>
      </c>
      <c r="V1053" s="131" cm="1">
        <f ca="1" t="array" ref="V1053">IF(V1655=1,OFFSET($W$634,$B1053,V$631-1)/SUMPRODUCT(--($D$631:$V$631=V$631),--($D1655:$V1655=1)),0)+SUM(V1052)+IF(COUNTIF(V$1237:V1655,1)=1,5,0)+IF(COUNTIF(W1053:$W1053,"&gt;"&amp;0)&lt;5,IF(AND(COUNTIF(V$1237:V1655,1)&gt;7,MOD(1+IFERROR(MATCH($C1053,总览!$D$46:$D$345,1)+1,1),7)=0),$C$3,0),0)</f>
        <v>500.432343031521</v>
      </c>
      <c r="W1053" s="135" cm="1">
        <f ca="1" t="array" ref="W1053">SUMPRODUCT(TRANSPOSE($AA1053:$AG1053),OFFSET($L$9:$L$15,0,W$631-1))</f>
        <v>16.8502200646615</v>
      </c>
      <c r="X1053" s="135" cm="1">
        <f ca="1" t="array" ref="X1053">SUMPRODUCT(TRANSPOSE($AA1053:$AG1053),OFFSET($L$9:$L$15,0,X$631-1))</f>
        <v>20</v>
      </c>
      <c r="Y1053" s="135" cm="1">
        <f ca="1" t="array" ref="Y1053">SUMPRODUCT(TRANSPOSE($AA1053:$AG1053),OFFSET($L$9:$L$15,0,Y$631-1))</f>
        <v>10</v>
      </c>
      <c r="Z1053" s="135" cm="1">
        <f ca="1" t="array" ref="Z1053">SUMPRODUCT(TRANSPOSE($AA1053:$AG1053),OFFSET($L$9:$L$15,0,Z$631-1))</f>
        <v>3.14977993533847</v>
      </c>
      <c r="AA1053" s="136">
        <f ca="1" t="shared" ref="AA1053:AG1053" si="1089">AH1053-AH1052</f>
        <v>0</v>
      </c>
      <c r="AB1053" s="136">
        <f ca="1" t="shared" si="1089"/>
        <v>0</v>
      </c>
      <c r="AC1053" s="136">
        <f ca="1" t="shared" si="1089"/>
        <v>0</v>
      </c>
      <c r="AD1053" s="136">
        <f ca="1" t="shared" si="1089"/>
        <v>0</v>
      </c>
      <c r="AE1053" s="136">
        <f ca="1" t="shared" si="1089"/>
        <v>0</v>
      </c>
      <c r="AF1053" s="136">
        <f ca="1" t="shared" si="1089"/>
        <v>0</v>
      </c>
      <c r="AG1053" s="136">
        <f ca="1" t="shared" si="1089"/>
        <v>100</v>
      </c>
      <c r="AH1053" s="136">
        <f ca="1" t="shared" si="1021"/>
        <v>450</v>
      </c>
      <c r="AI1053" s="136">
        <f ca="1" t="shared" ref="AI1053:AN1053" si="1090">IF($C1053&gt;OFFSET($Q$8,MATCH(AI$634,$AH$634:$AN$634,0),0),OFFSET($P$8,MATCH(AI$634,$AH$634:$AN$634,0),0),MAX(0,$C1053-OFFSET($Q$8,RIGHT(AI$634,1)-1,0)))</f>
        <v>909</v>
      </c>
      <c r="AJ1053" s="136">
        <f ca="1" t="shared" si="1090"/>
        <v>1818</v>
      </c>
      <c r="AK1053" s="136">
        <f ca="1" t="shared" si="1090"/>
        <v>2727</v>
      </c>
      <c r="AL1053" s="136">
        <f ca="1" t="shared" si="1090"/>
        <v>3636</v>
      </c>
      <c r="AM1053" s="136">
        <f ca="1" t="shared" si="1090"/>
        <v>4545</v>
      </c>
      <c r="AN1053" s="136">
        <f ca="1" t="shared" si="1090"/>
        <v>27815</v>
      </c>
    </row>
    <row r="1054" s="106" customFormat="1" ht="16.5" spans="2:40">
      <c r="B1054" s="117">
        <v>420</v>
      </c>
      <c r="C1054" s="130">
        <f t="shared" si="1019"/>
        <v>42000</v>
      </c>
      <c r="D1054" s="131" cm="1">
        <f ca="1" t="array" ref="D1054">IF(D1656=1,OFFSET($W$634,$B1054,D$631-1)/SUMPRODUCT(--($D$631:$V$631=D$631),--($D1656:$V1656=1)),0)+SUM(D1053)+IF(COUNTIF(D$1237:D1656,1)=1,5,0)+IF(COUNTIF(E1054:$W1054,"&gt;"&amp;0)&lt;5,IF(AND(COUNTIF(D$1237:D1656,1)&gt;7,MOD(1+IFERROR(MATCH($C1054,总览!$D$46:$D$345,1)+1,1),7)=0),$C$3,0),0)</f>
        <v>2686.73432558344</v>
      </c>
      <c r="E1054" s="131" cm="1">
        <f ca="1" t="array" ref="E1054">IF(E1656=1,OFFSET($W$634,$B1054,E$631-1)/SUMPRODUCT(--($D$631:$V$631=E$631),--($D1656:$V1656=1)),0)+SUM(E1053)+IF(COUNTIF(E$1237:E1656,1)=1,5,0)+IF(COUNTIF(F1054:$W1054,"&gt;"&amp;0)&lt;5,IF(AND(COUNTIF(E$1237:E1656,1)&gt;7,MOD(1+IFERROR(MATCH($C1054,总览!$D$46:$D$345,1)+1,1),7)=0),$C$3,0),0)</f>
        <v>2686.73432558344</v>
      </c>
      <c r="F1054" s="131" cm="1">
        <f ca="1" t="array" ref="F1054">IF(F1656=1,OFFSET($W$634,$B1054,F$631-1)/SUMPRODUCT(--($D$631:$V$631=F$631),--($D1656:$V1656=1)),0)+SUM(F1053)+IF(COUNTIF(F$1237:F1656,1)=1,5,0)+IF(COUNTIF(G1054:$W1054,"&gt;"&amp;0)&lt;5,IF(AND(COUNTIF(F$1237:F1656,1)&gt;7,MOD(1+IFERROR(MATCH($C1054,总览!$D$46:$D$345,1)+1,1),7)=0),$C$3,0),0)</f>
        <v>2686.73432558344</v>
      </c>
      <c r="G1054" s="131" cm="1">
        <f ca="1" t="array" ref="G1054">IF(G1656=1,OFFSET($W$634,$B1054,G$631-1)/SUMPRODUCT(--($D$631:$V$631=G$631),--($D1656:$V1656=1)),0)+SUM(G1053)+IF(COUNTIF(G$1237:G1656,1)=1,5,0)+IF(COUNTIF(H1054:$W1054,"&gt;"&amp;0)&lt;5,IF(AND(COUNTIF(G$1237:G1656,1)&gt;7,MOD(1+IFERROR(MATCH($C1054,总览!$D$46:$D$345,1)+1,1),7)=0),$C$3,0),0)</f>
        <v>1339.4</v>
      </c>
      <c r="H1054" s="131" cm="1">
        <f ca="1" t="array" ref="H1054">IF(H1656=1,OFFSET($W$634,$B1054,H$631-1)/SUMPRODUCT(--($D$631:$V$631=H$631),--($D1656:$V1656=1)),0)+SUM(H1053)+IF(COUNTIF(H$1237:H1656,1)=1,5,0)+IF(COUNTIF(I1054:$W1054,"&gt;"&amp;0)&lt;5,IF(AND(COUNTIF(H$1237:H1656,1)&gt;7,MOD(1+IFERROR(MATCH($C1054,总览!$D$46:$D$345,1)+1,1),7)=0),$C$3,0),0)</f>
        <v>1339.4</v>
      </c>
      <c r="I1054" s="131" cm="1">
        <f ca="1" t="array" ref="I1054">IF(I1656=1,OFFSET($W$634,$B1054,I$631-1)/SUMPRODUCT(--($D$631:$V$631=I$631),--($D1656:$V1656=1)),0)+SUM(I1053)+IF(COUNTIF(I$1237:I1656,1)=1,5,0)+IF(COUNTIF(J1054:$W1054,"&gt;"&amp;0)&lt;5,IF(AND(COUNTIF(I$1237:I1656,1)&gt;7,MOD(1+IFERROR(MATCH($C1054,总览!$D$46:$D$345,1)+1,1),7)=0),$C$3,0),0)</f>
        <v>1339.4</v>
      </c>
      <c r="J1054" s="131" cm="1">
        <f ca="1" t="array" ref="J1054">IF(J1656=1,OFFSET($W$634,$B1054,J$631-1)/SUMPRODUCT(--($D$631:$V$631=J$631),--($D1656:$V1656=1)),0)+SUM(J1053)+IF(COUNTIF(J$1237:J1656,1)=1,5,0)+IF(COUNTIF(K1054:$W1054,"&gt;"&amp;0)&lt;5,IF(AND(COUNTIF(J$1237:J1656,1)&gt;7,MOD(1+IFERROR(MATCH($C1054,总览!$D$46:$D$345,1)+1,1),7)=0),$C$3,0),0)</f>
        <v>1336.06666666666</v>
      </c>
      <c r="K1054" s="131" cm="1">
        <f ca="1" t="array" ref="K1054">IF(K1656=1,OFFSET($W$634,$B1054,K$631-1)/SUMPRODUCT(--($D$631:$V$631=K$631),--($D1656:$V1656=1)),0)+SUM(K1053)+IF(COUNTIF(K$1237:K1656,1)=1,5,0)+IF(COUNTIF(L1054:$W1054,"&gt;"&amp;0)&lt;5,IF(AND(COUNTIF(K$1237:K1656,1)&gt;7,MOD(1+IFERROR(MATCH($C1054,总览!$D$46:$D$345,1)+1,1),7)=0),$C$3,0),0)</f>
        <v>1333.56666666666</v>
      </c>
      <c r="L1054" s="131" cm="1">
        <f ca="1" t="array" ref="L1054">IF(L1656=1,OFFSET($W$634,$B1054,L$631-1)/SUMPRODUCT(--($D$631:$V$631=L$631),--($D1656:$V1656=1)),0)+SUM(L1053)+IF(COUNTIF(L$1237:L1656,1)=1,5,0)+IF(COUNTIF(M1054:$W1054,"&gt;"&amp;0)&lt;5,IF(AND(COUNTIF(L$1237:L1656,1)&gt;7,MOD(1+IFERROR(MATCH($C1054,总览!$D$46:$D$345,1)+1,1),7)=0),$C$3,0),0)</f>
        <v>1333.56666666666</v>
      </c>
      <c r="M1054" s="131" cm="1">
        <f ca="1" t="array" ref="M1054">IF(M1656=1,OFFSET($W$634,$B1054,M$631-1)/SUMPRODUCT(--($D$631:$V$631=M$631),--($D1656:$V1656=1)),0)+SUM(M1053)+IF(COUNTIF(M$1237:M1656,1)=1,5,0)+IF(COUNTIF(N1054:$W1054,"&gt;"&amp;0)&lt;5,IF(AND(COUNTIF(M$1237:M1656,1)&gt;7,MOD(1+IFERROR(MATCH($C1054,总览!$D$46:$D$345,1)+1,1),7)=0),$C$3,0),0)</f>
        <v>557.752678571431</v>
      </c>
      <c r="N1054" s="131" cm="1">
        <f ca="1" t="array" ref="N1054">IF(N1656=1,OFFSET($W$634,$B1054,N$631-1)/SUMPRODUCT(--($D$631:$V$631=N$631),--($D1656:$V1656=1)),0)+SUM(N1053)+IF(COUNTIF(N$1237:N1656,1)=1,5,0)+IF(COUNTIF(O1054:$W1054,"&gt;"&amp;0)&lt;5,IF(AND(COUNTIF(N$1237:N1656,1)&gt;7,MOD(1+IFERROR(MATCH($C1054,总览!$D$46:$D$345,1)+1,1),7)=0),$C$3,0),0)</f>
        <v>559.002678571431</v>
      </c>
      <c r="O1054" s="131" cm="1">
        <f ca="1" t="array" ref="O1054">IF(O1656=1,OFFSET($W$634,$B1054,O$631-1)/SUMPRODUCT(--($D$631:$V$631=O$631),--($D1656:$V1656=1)),0)+SUM(O1053)+IF(COUNTIF(O$1237:O1656,1)=1,5,0)+IF(COUNTIF(P1054:$W1054,"&gt;"&amp;0)&lt;5,IF(AND(COUNTIF(O$1237:O1656,1)&gt;7,MOD(1+IFERROR(MATCH($C1054,总览!$D$46:$D$345,1)+1,1),7)=0),$C$3,0),0)</f>
        <v>564.002678571431</v>
      </c>
      <c r="P1054" s="131" cm="1">
        <f ca="1" t="array" ref="P1054">IF(P1656=1,OFFSET($W$634,$B1054,P$631-1)/SUMPRODUCT(--($D$631:$V$631=P$631),--($D1656:$V1656=1)),0)+SUM(P1053)+IF(COUNTIF(P$1237:P1656,1)=1,5,0)+IF(COUNTIF(Q1054:$W1054,"&gt;"&amp;0)&lt;5,IF(AND(COUNTIF(P$1237:P1656,1)&gt;7,MOD(1+IFERROR(MATCH($C1054,总览!$D$46:$D$345,1)+1,1),7)=0),$C$3,0),0)</f>
        <v>553.121428571431</v>
      </c>
      <c r="Q1054" s="131" cm="1">
        <f ca="1" t="array" ref="Q1054">IF(Q1656=1,OFFSET($W$634,$B1054,Q$631-1)/SUMPRODUCT(--($D$631:$V$631=Q$631),--($D1656:$V1656=1)),0)+SUM(Q1053)+IF(COUNTIF(Q$1237:Q1656,1)=1,5,0)+IF(COUNTIF(R1054:$W1054,"&gt;"&amp;0)&lt;5,IF(AND(COUNTIF(Q$1237:Q1656,1)&gt;7,MOD(1+IFERROR(MATCH($C1054,总览!$D$46:$D$345,1)+1,1),7)=0),$C$3,0),0)</f>
        <v>566.502678571431</v>
      </c>
      <c r="R1054" s="131" cm="1">
        <f ca="1" t="array" ref="R1054">IF(R1656=1,OFFSET($W$634,$B1054,R$631-1)/SUMPRODUCT(--($D$631:$V$631=R$631),--($D1656:$V1656=1)),0)+SUM(R1053)+IF(COUNTIF(R$1237:R1656,1)=1,5,0)+IF(COUNTIF(S1054:$W1054,"&gt;"&amp;0)&lt;5,IF(AND(COUNTIF(R$1237:R1656,1)&gt;7,MOD(1+IFERROR(MATCH($C1054,总览!$D$46:$D$345,1)+1,1),7)=0),$C$3,0),0)</f>
        <v>558.121428571431</v>
      </c>
      <c r="S1054" s="131" cm="1">
        <f ca="1" t="array" ref="S1054">IF(S1656=1,OFFSET($W$634,$B1054,S$631-1)/SUMPRODUCT(--($D$631:$V$631=S$631),--($D1656:$V1656=1)),0)+SUM(S1053)+IF(COUNTIF(S$1237:S1656,1)=1,5,0)+IF(COUNTIF(T1054:$W1054,"&gt;"&amp;0)&lt;5,IF(AND(COUNTIF(S$1237:S1656,1)&gt;7,MOD(1+IFERROR(MATCH($C1054,总览!$D$46:$D$345,1)+1,1),7)=0),$C$3,0),0)</f>
        <v>650.621428571432</v>
      </c>
      <c r="T1054" s="131" cm="1">
        <f ca="1" t="array" ref="T1054">IF(T1656=1,OFFSET($W$634,$B1054,T$631-1)/SUMPRODUCT(--($D$631:$V$631=T$631),--($D1656:$V1656=1)),0)+SUM(T1053)+IF(COUNTIF(T$1237:T1656,1)=1,5,0)+IF(COUNTIF(U1054:$W1054,"&gt;"&amp;0)&lt;5,IF(AND(COUNTIF(T$1237:T1656,1)&gt;7,MOD(1+IFERROR(MATCH($C1054,总览!$D$46:$D$345,1)+1,1),7)=0),$C$3,0),0)</f>
        <v>476.134483608901</v>
      </c>
      <c r="U1054" s="131" cm="1">
        <f ca="1" t="array" ref="U1054">IF(U1656=1,OFFSET($W$634,$B1054,U$631-1)/SUMPRODUCT(--($D$631:$V$631=U$631),--($D1656:$V1656=1)),0)+SUM(U1053)+IF(COUNTIF(U$1237:U1656,1)=1,5,0)+IF(COUNTIF(V1054:$W1054,"&gt;"&amp;0)&lt;5,IF(AND(COUNTIF(U$1237:U1656,1)&gt;7,MOD(1+IFERROR(MATCH($C1054,总览!$D$46:$D$345,1)+1,1),7)=0),$C$3,0),0)</f>
        <v>481.655269964201</v>
      </c>
      <c r="V1054" s="131" cm="1">
        <f ca="1" t="array" ref="V1054">IF(V1656=1,OFFSET($W$634,$B1054,V$631-1)/SUMPRODUCT(--($D$631:$V$631=V$631),--($D1656:$V1656=1)),0)+SUM(V1053)+IF(COUNTIF(V$1237:V1656,1)=1,5,0)+IF(COUNTIF(W1054:$W1054,"&gt;"&amp;0)&lt;5,IF(AND(COUNTIF(V$1237:V1656,1)&gt;7,MOD(1+IFERROR(MATCH($C1054,总览!$D$46:$D$345,1)+1,1),7)=0),$C$3,0),0)</f>
        <v>501.482269676634</v>
      </c>
      <c r="W1054" s="135" cm="1">
        <f ca="1" t="array" ref="W1054">SUMPRODUCT(TRANSPOSE($AA1054:$AG1054),OFFSET($L$9:$L$15,0,W$631-1))</f>
        <v>16.8502200646615</v>
      </c>
      <c r="X1054" s="135" cm="1">
        <f ca="1" t="array" ref="X1054">SUMPRODUCT(TRANSPOSE($AA1054:$AG1054),OFFSET($L$9:$L$15,0,X$631-1))</f>
        <v>20</v>
      </c>
      <c r="Y1054" s="135" cm="1">
        <f ca="1" t="array" ref="Y1054">SUMPRODUCT(TRANSPOSE($AA1054:$AG1054),OFFSET($L$9:$L$15,0,Y$631-1))</f>
        <v>10</v>
      </c>
      <c r="Z1054" s="135" cm="1">
        <f ca="1" t="array" ref="Z1054">SUMPRODUCT(TRANSPOSE($AA1054:$AG1054),OFFSET($L$9:$L$15,0,Z$631-1))</f>
        <v>3.14977993533847</v>
      </c>
      <c r="AA1054" s="136">
        <f ca="1" t="shared" ref="AA1054:AG1054" si="1091">AH1054-AH1053</f>
        <v>0</v>
      </c>
      <c r="AB1054" s="136">
        <f ca="1" t="shared" si="1091"/>
        <v>0</v>
      </c>
      <c r="AC1054" s="136">
        <f ca="1" t="shared" si="1091"/>
        <v>0</v>
      </c>
      <c r="AD1054" s="136">
        <f ca="1" t="shared" si="1091"/>
        <v>0</v>
      </c>
      <c r="AE1054" s="136">
        <f ca="1" t="shared" si="1091"/>
        <v>0</v>
      </c>
      <c r="AF1054" s="136">
        <f ca="1" t="shared" si="1091"/>
        <v>0</v>
      </c>
      <c r="AG1054" s="136">
        <f ca="1" t="shared" si="1091"/>
        <v>100</v>
      </c>
      <c r="AH1054" s="136">
        <f ca="1" t="shared" si="1021"/>
        <v>450</v>
      </c>
      <c r="AI1054" s="136">
        <f ca="1" t="shared" ref="AI1054:AN1054" si="1092">IF($C1054&gt;OFFSET($Q$8,MATCH(AI$634,$AH$634:$AN$634,0),0),OFFSET($P$8,MATCH(AI$634,$AH$634:$AN$634,0),0),MAX(0,$C1054-OFFSET($Q$8,RIGHT(AI$634,1)-1,0)))</f>
        <v>909</v>
      </c>
      <c r="AJ1054" s="136">
        <f ca="1" t="shared" si="1092"/>
        <v>1818</v>
      </c>
      <c r="AK1054" s="136">
        <f ca="1" t="shared" si="1092"/>
        <v>2727</v>
      </c>
      <c r="AL1054" s="136">
        <f ca="1" t="shared" si="1092"/>
        <v>3636</v>
      </c>
      <c r="AM1054" s="136">
        <f ca="1" t="shared" si="1092"/>
        <v>4545</v>
      </c>
      <c r="AN1054" s="136">
        <f ca="1" t="shared" si="1092"/>
        <v>27915</v>
      </c>
    </row>
    <row r="1055" s="106" customFormat="1" ht="16.5" spans="2:40">
      <c r="B1055" s="117">
        <v>421</v>
      </c>
      <c r="C1055" s="130">
        <f t="shared" si="1019"/>
        <v>42100</v>
      </c>
      <c r="D1055" s="131" cm="1">
        <f ca="1" t="array" ref="D1055">IF(D1657=1,OFFSET($W$634,$B1055,D$631-1)/SUMPRODUCT(--($D$631:$V$631=D$631),--($D1657:$V1657=1)),0)+SUM(D1054)+IF(COUNTIF(D$1237:D1657,1)=1,5,0)+IF(COUNTIF(E1055:$W1055,"&gt;"&amp;0)&lt;5,IF(AND(COUNTIF(D$1237:D1657,1)&gt;7,MOD(1+IFERROR(MATCH($C1055,总览!$D$46:$D$345,1)+1,1),7)=0),$C$3,0),0)</f>
        <v>2692.35106560499</v>
      </c>
      <c r="E1055" s="131" cm="1">
        <f ca="1" t="array" ref="E1055">IF(E1657=1,OFFSET($W$634,$B1055,E$631-1)/SUMPRODUCT(--($D$631:$V$631=E$631),--($D1657:$V1657=1)),0)+SUM(E1054)+IF(COUNTIF(E$1237:E1657,1)=1,5,0)+IF(COUNTIF(F1055:$W1055,"&gt;"&amp;0)&lt;5,IF(AND(COUNTIF(E$1237:E1657,1)&gt;7,MOD(1+IFERROR(MATCH($C1055,总览!$D$46:$D$345,1)+1,1),7)=0),$C$3,0),0)</f>
        <v>2692.35106560499</v>
      </c>
      <c r="F1055" s="131" cm="1">
        <f ca="1" t="array" ref="F1055">IF(F1657=1,OFFSET($W$634,$B1055,F$631-1)/SUMPRODUCT(--($D$631:$V$631=F$631),--($D1657:$V1657=1)),0)+SUM(F1054)+IF(COUNTIF(F$1237:F1657,1)=1,5,0)+IF(COUNTIF(G1055:$W1055,"&gt;"&amp;0)&lt;5,IF(AND(COUNTIF(F$1237:F1657,1)&gt;7,MOD(1+IFERROR(MATCH($C1055,总览!$D$46:$D$345,1)+1,1),7)=0),$C$3,0),0)</f>
        <v>2692.35106560499</v>
      </c>
      <c r="G1055" s="131" cm="1">
        <f ca="1" t="array" ref="G1055">IF(G1657=1,OFFSET($W$634,$B1055,G$631-1)/SUMPRODUCT(--($D$631:$V$631=G$631),--($D1657:$V1657=1)),0)+SUM(G1054)+IF(COUNTIF(G$1237:G1657,1)=1,5,0)+IF(COUNTIF(H1055:$W1055,"&gt;"&amp;0)&lt;5,IF(AND(COUNTIF(G$1237:G1657,1)&gt;7,MOD(1+IFERROR(MATCH($C1055,总览!$D$46:$D$345,1)+1,1),7)=0),$C$3,0),0)</f>
        <v>1342.73333333333</v>
      </c>
      <c r="H1055" s="131" cm="1">
        <f ca="1" t="array" ref="H1055">IF(H1657=1,OFFSET($W$634,$B1055,H$631-1)/SUMPRODUCT(--($D$631:$V$631=H$631),--($D1657:$V1657=1)),0)+SUM(H1054)+IF(COUNTIF(H$1237:H1657,1)=1,5,0)+IF(COUNTIF(I1055:$W1055,"&gt;"&amp;0)&lt;5,IF(AND(COUNTIF(H$1237:H1657,1)&gt;7,MOD(1+IFERROR(MATCH($C1055,总览!$D$46:$D$345,1)+1,1),7)=0),$C$3,0),0)</f>
        <v>1342.73333333333</v>
      </c>
      <c r="I1055" s="131" cm="1">
        <f ca="1" t="array" ref="I1055">IF(I1657=1,OFFSET($W$634,$B1055,I$631-1)/SUMPRODUCT(--($D$631:$V$631=I$631),--($D1657:$V1657=1)),0)+SUM(I1054)+IF(COUNTIF(I$1237:I1657,1)=1,5,0)+IF(COUNTIF(J1055:$W1055,"&gt;"&amp;0)&lt;5,IF(AND(COUNTIF(I$1237:I1657,1)&gt;7,MOD(1+IFERROR(MATCH($C1055,总览!$D$46:$D$345,1)+1,1),7)=0),$C$3,0),0)</f>
        <v>1342.73333333333</v>
      </c>
      <c r="J1055" s="131" cm="1">
        <f ca="1" t="array" ref="J1055">IF(J1657=1,OFFSET($W$634,$B1055,J$631-1)/SUMPRODUCT(--($D$631:$V$631=J$631),--($D1657:$V1657=1)),0)+SUM(J1054)+IF(COUNTIF(J$1237:J1657,1)=1,5,0)+IF(COUNTIF(K1055:$W1055,"&gt;"&amp;0)&lt;5,IF(AND(COUNTIF(J$1237:J1657,1)&gt;7,MOD(1+IFERROR(MATCH($C1055,总览!$D$46:$D$345,1)+1,1),7)=0),$C$3,0),0)</f>
        <v>1339.4</v>
      </c>
      <c r="K1055" s="131" cm="1">
        <f ca="1" t="array" ref="K1055">IF(K1657=1,OFFSET($W$634,$B1055,K$631-1)/SUMPRODUCT(--($D$631:$V$631=K$631),--($D1657:$V1657=1)),0)+SUM(K1054)+IF(COUNTIF(K$1237:K1657,1)=1,5,0)+IF(COUNTIF(L1055:$W1055,"&gt;"&amp;0)&lt;5,IF(AND(COUNTIF(K$1237:K1657,1)&gt;7,MOD(1+IFERROR(MATCH($C1055,总览!$D$46:$D$345,1)+1,1),7)=0),$C$3,0),0)</f>
        <v>1336.9</v>
      </c>
      <c r="L1055" s="131" cm="1">
        <f ca="1" t="array" ref="L1055">IF(L1657=1,OFFSET($W$634,$B1055,L$631-1)/SUMPRODUCT(--($D$631:$V$631=L$631),--($D1657:$V1657=1)),0)+SUM(L1054)+IF(COUNTIF(L$1237:L1657,1)=1,5,0)+IF(COUNTIF(M1055:$W1055,"&gt;"&amp;0)&lt;5,IF(AND(COUNTIF(L$1237:L1657,1)&gt;7,MOD(1+IFERROR(MATCH($C1055,总览!$D$46:$D$345,1)+1,1),7)=0),$C$3,0),0)</f>
        <v>1336.9</v>
      </c>
      <c r="M1055" s="131" cm="1">
        <f ca="1" t="array" ref="M1055">IF(M1657=1,OFFSET($W$634,$B1055,M$631-1)/SUMPRODUCT(--($D$631:$V$631=M$631),--($D1657:$V1657=1)),0)+SUM(M1054)+IF(COUNTIF(M$1237:M1657,1)=1,5,0)+IF(COUNTIF(N1055:$W1055,"&gt;"&amp;0)&lt;5,IF(AND(COUNTIF(M$1237:M1657,1)&gt;7,MOD(1+IFERROR(MATCH($C1055,总览!$D$46:$D$345,1)+1,1),7)=0),$C$3,0),0)</f>
        <v>559.181250000002</v>
      </c>
      <c r="N1055" s="131" cm="1">
        <f ca="1" t="array" ref="N1055">IF(N1657=1,OFFSET($W$634,$B1055,N$631-1)/SUMPRODUCT(--($D$631:$V$631=N$631),--($D1657:$V1657=1)),0)+SUM(N1054)+IF(COUNTIF(N$1237:N1657,1)=1,5,0)+IF(COUNTIF(O1055:$W1055,"&gt;"&amp;0)&lt;5,IF(AND(COUNTIF(N$1237:N1657,1)&gt;7,MOD(1+IFERROR(MATCH($C1055,总览!$D$46:$D$345,1)+1,1),7)=0),$C$3,0),0)</f>
        <v>560.431250000002</v>
      </c>
      <c r="O1055" s="131" cm="1">
        <f ca="1" t="array" ref="O1055">IF(O1657=1,OFFSET($W$634,$B1055,O$631-1)/SUMPRODUCT(--($D$631:$V$631=O$631),--($D1657:$V1657=1)),0)+SUM(O1054)+IF(COUNTIF(O$1237:O1657,1)=1,5,0)+IF(COUNTIF(P1055:$W1055,"&gt;"&amp;0)&lt;5,IF(AND(COUNTIF(O$1237:O1657,1)&gt;7,MOD(1+IFERROR(MATCH($C1055,总览!$D$46:$D$345,1)+1,1),7)=0),$C$3,0),0)</f>
        <v>565.431250000002</v>
      </c>
      <c r="P1055" s="131" cm="1">
        <f ca="1" t="array" ref="P1055">IF(P1657=1,OFFSET($W$634,$B1055,P$631-1)/SUMPRODUCT(--($D$631:$V$631=P$631),--($D1657:$V1657=1)),0)+SUM(P1054)+IF(COUNTIF(P$1237:P1657,1)=1,5,0)+IF(COUNTIF(Q1055:$W1055,"&gt;"&amp;0)&lt;5,IF(AND(COUNTIF(P$1237:P1657,1)&gt;7,MOD(1+IFERROR(MATCH($C1055,总览!$D$46:$D$345,1)+1,1),7)=0),$C$3,0),0)</f>
        <v>554.550000000002</v>
      </c>
      <c r="Q1055" s="131" cm="1">
        <f ca="1" t="array" ref="Q1055">IF(Q1657=1,OFFSET($W$634,$B1055,Q$631-1)/SUMPRODUCT(--($D$631:$V$631=Q$631),--($D1657:$V1657=1)),0)+SUM(Q1054)+IF(COUNTIF(Q$1237:Q1657,1)=1,5,0)+IF(COUNTIF(R1055:$W1055,"&gt;"&amp;0)&lt;5,IF(AND(COUNTIF(Q$1237:Q1657,1)&gt;7,MOD(1+IFERROR(MATCH($C1055,总览!$D$46:$D$345,1)+1,1),7)=0),$C$3,0),0)</f>
        <v>567.931250000002</v>
      </c>
      <c r="R1055" s="131" cm="1">
        <f ca="1" t="array" ref="R1055">IF(R1657=1,OFFSET($W$634,$B1055,R$631-1)/SUMPRODUCT(--($D$631:$V$631=R$631),--($D1657:$V1657=1)),0)+SUM(R1054)+IF(COUNTIF(R$1237:R1657,1)=1,5,0)+IF(COUNTIF(S1055:$W1055,"&gt;"&amp;0)&lt;5,IF(AND(COUNTIF(R$1237:R1657,1)&gt;7,MOD(1+IFERROR(MATCH($C1055,总览!$D$46:$D$345,1)+1,1),7)=0),$C$3,0),0)</f>
        <v>559.550000000002</v>
      </c>
      <c r="S1055" s="131" cm="1">
        <f ca="1" t="array" ref="S1055">IF(S1657=1,OFFSET($W$634,$B1055,S$631-1)/SUMPRODUCT(--($D$631:$V$631=S$631),--($D1657:$V1657=1)),0)+SUM(S1054)+IF(COUNTIF(S$1237:S1657,1)=1,5,0)+IF(COUNTIF(T1055:$W1055,"&gt;"&amp;0)&lt;5,IF(AND(COUNTIF(S$1237:S1657,1)&gt;7,MOD(1+IFERROR(MATCH($C1055,总览!$D$46:$D$345,1)+1,1),7)=0),$C$3,0),0)</f>
        <v>652.050000000003</v>
      </c>
      <c r="T1055" s="131" cm="1">
        <f ca="1" t="array" ref="T1055">IF(T1657=1,OFFSET($W$634,$B1055,T$631-1)/SUMPRODUCT(--($D$631:$V$631=T$631),--($D1657:$V1657=1)),0)+SUM(T1054)+IF(COUNTIF(T$1237:T1657,1)=1,5,0)+IF(COUNTIF(U1055:$W1055,"&gt;"&amp;0)&lt;5,IF(AND(COUNTIF(T$1237:T1657,1)&gt;7,MOD(1+IFERROR(MATCH($C1055,总览!$D$46:$D$345,1)+1,1),7)=0),$C$3,0),0)</f>
        <v>477.184410254014</v>
      </c>
      <c r="U1055" s="131" cm="1">
        <f ca="1" t="array" ref="U1055">IF(U1657=1,OFFSET($W$634,$B1055,U$631-1)/SUMPRODUCT(--($D$631:$V$631=U$631),--($D1657:$V1657=1)),0)+SUM(U1054)+IF(COUNTIF(U$1237:U1657,1)=1,5,0)+IF(COUNTIF(V1055:$W1055,"&gt;"&amp;0)&lt;5,IF(AND(COUNTIF(U$1237:U1657,1)&gt;7,MOD(1+IFERROR(MATCH($C1055,总览!$D$46:$D$345,1)+1,1),7)=0),$C$3,0),0)</f>
        <v>482.705196609313</v>
      </c>
      <c r="V1055" s="131" cm="1">
        <f ca="1" t="array" ref="V1055">IF(V1657=1,OFFSET($W$634,$B1055,V$631-1)/SUMPRODUCT(--($D$631:$V$631=V$631),--($D1657:$V1657=1)),0)+SUM(V1054)+IF(COUNTIF(V$1237:V1657,1)=1,5,0)+IF(COUNTIF(W1055:$W1055,"&gt;"&amp;0)&lt;5,IF(AND(COUNTIF(V$1237:V1657,1)&gt;7,MOD(1+IFERROR(MATCH($C1055,总览!$D$46:$D$345,1)+1,1),7)=0),$C$3,0),0)</f>
        <v>502.532196321746</v>
      </c>
      <c r="W1055" s="135" cm="1">
        <f ca="1" t="array" ref="W1055">SUMPRODUCT(TRANSPOSE($AA1055:$AG1055),OFFSET($L$9:$L$15,0,W$631-1))</f>
        <v>16.8502200646615</v>
      </c>
      <c r="X1055" s="135" cm="1">
        <f ca="1" t="array" ref="X1055">SUMPRODUCT(TRANSPOSE($AA1055:$AG1055),OFFSET($L$9:$L$15,0,X$631-1))</f>
        <v>20</v>
      </c>
      <c r="Y1055" s="135" cm="1">
        <f ca="1" t="array" ref="Y1055">SUMPRODUCT(TRANSPOSE($AA1055:$AG1055),OFFSET($L$9:$L$15,0,Y$631-1))</f>
        <v>10</v>
      </c>
      <c r="Z1055" s="135" cm="1">
        <f ca="1" t="array" ref="Z1055">SUMPRODUCT(TRANSPOSE($AA1055:$AG1055),OFFSET($L$9:$L$15,0,Z$631-1))</f>
        <v>3.14977993533847</v>
      </c>
      <c r="AA1055" s="136">
        <f ca="1" t="shared" ref="AA1055:AG1055" si="1093">AH1055-AH1054</f>
        <v>0</v>
      </c>
      <c r="AB1055" s="136">
        <f ca="1" t="shared" si="1093"/>
        <v>0</v>
      </c>
      <c r="AC1055" s="136">
        <f ca="1" t="shared" si="1093"/>
        <v>0</v>
      </c>
      <c r="AD1055" s="136">
        <f ca="1" t="shared" si="1093"/>
        <v>0</v>
      </c>
      <c r="AE1055" s="136">
        <f ca="1" t="shared" si="1093"/>
        <v>0</v>
      </c>
      <c r="AF1055" s="136">
        <f ca="1" t="shared" si="1093"/>
        <v>0</v>
      </c>
      <c r="AG1055" s="136">
        <f ca="1" t="shared" si="1093"/>
        <v>100</v>
      </c>
      <c r="AH1055" s="136">
        <f ca="1" t="shared" si="1021"/>
        <v>450</v>
      </c>
      <c r="AI1055" s="136">
        <f ca="1" t="shared" ref="AI1055:AN1055" si="1094">IF($C1055&gt;OFFSET($Q$8,MATCH(AI$634,$AH$634:$AN$634,0),0),OFFSET($P$8,MATCH(AI$634,$AH$634:$AN$634,0),0),MAX(0,$C1055-OFFSET($Q$8,RIGHT(AI$634,1)-1,0)))</f>
        <v>909</v>
      </c>
      <c r="AJ1055" s="136">
        <f ca="1" t="shared" si="1094"/>
        <v>1818</v>
      </c>
      <c r="AK1055" s="136">
        <f ca="1" t="shared" si="1094"/>
        <v>2727</v>
      </c>
      <c r="AL1055" s="136">
        <f ca="1" t="shared" si="1094"/>
        <v>3636</v>
      </c>
      <c r="AM1055" s="136">
        <f ca="1" t="shared" si="1094"/>
        <v>4545</v>
      </c>
      <c r="AN1055" s="136">
        <f ca="1" t="shared" si="1094"/>
        <v>28015</v>
      </c>
    </row>
    <row r="1056" s="106" customFormat="1" ht="16.5" spans="2:40">
      <c r="B1056" s="117">
        <v>422</v>
      </c>
      <c r="C1056" s="130">
        <f t="shared" si="1019"/>
        <v>42200</v>
      </c>
      <c r="D1056" s="131" cm="1">
        <f ca="1" t="array" ref="D1056">IF(D1658=1,OFFSET($W$634,$B1056,D$631-1)/SUMPRODUCT(--($D$631:$V$631=D$631),--($D1658:$V1658=1)),0)+SUM(D1055)+IF(COUNTIF(D$1237:D1658,1)=1,5,0)+IF(COUNTIF(E1056:$W1056,"&gt;"&amp;0)&lt;5,IF(AND(COUNTIF(D$1237:D1658,1)&gt;7,MOD(1+IFERROR(MATCH($C1056,总览!$D$46:$D$345,1)+1,1),7)=0),$C$3,0),0)</f>
        <v>2697.96780562655</v>
      </c>
      <c r="E1056" s="131" cm="1">
        <f ca="1" t="array" ref="E1056">IF(E1658=1,OFFSET($W$634,$B1056,E$631-1)/SUMPRODUCT(--($D$631:$V$631=E$631),--($D1658:$V1658=1)),0)+SUM(E1055)+IF(COUNTIF(E$1237:E1658,1)=1,5,0)+IF(COUNTIF(F1056:$W1056,"&gt;"&amp;0)&lt;5,IF(AND(COUNTIF(E$1237:E1658,1)&gt;7,MOD(1+IFERROR(MATCH($C1056,总览!$D$46:$D$345,1)+1,1),7)=0),$C$3,0),0)</f>
        <v>2697.96780562655</v>
      </c>
      <c r="F1056" s="131" cm="1">
        <f ca="1" t="array" ref="F1056">IF(F1658=1,OFFSET($W$634,$B1056,F$631-1)/SUMPRODUCT(--($D$631:$V$631=F$631),--($D1658:$V1658=1)),0)+SUM(F1055)+IF(COUNTIF(F$1237:F1658,1)=1,5,0)+IF(COUNTIF(G1056:$W1056,"&gt;"&amp;0)&lt;5,IF(AND(COUNTIF(F$1237:F1658,1)&gt;7,MOD(1+IFERROR(MATCH($C1056,总览!$D$46:$D$345,1)+1,1),7)=0),$C$3,0),0)</f>
        <v>2697.96780562655</v>
      </c>
      <c r="G1056" s="131" cm="1">
        <f ca="1" t="array" ref="G1056">IF(G1658=1,OFFSET($W$634,$B1056,G$631-1)/SUMPRODUCT(--($D$631:$V$631=G$631),--($D1658:$V1658=1)),0)+SUM(G1055)+IF(COUNTIF(G$1237:G1658,1)=1,5,0)+IF(COUNTIF(H1056:$W1056,"&gt;"&amp;0)&lt;5,IF(AND(COUNTIF(G$1237:G1658,1)&gt;7,MOD(1+IFERROR(MATCH($C1056,总览!$D$46:$D$345,1)+1,1),7)=0),$C$3,0),0)</f>
        <v>1346.06666666666</v>
      </c>
      <c r="H1056" s="131" cm="1">
        <f ca="1" t="array" ref="H1056">IF(H1658=1,OFFSET($W$634,$B1056,H$631-1)/SUMPRODUCT(--($D$631:$V$631=H$631),--($D1658:$V1658=1)),0)+SUM(H1055)+IF(COUNTIF(H$1237:H1658,1)=1,5,0)+IF(COUNTIF(I1056:$W1056,"&gt;"&amp;0)&lt;5,IF(AND(COUNTIF(H$1237:H1658,1)&gt;7,MOD(1+IFERROR(MATCH($C1056,总览!$D$46:$D$345,1)+1,1),7)=0),$C$3,0),0)</f>
        <v>1346.06666666666</v>
      </c>
      <c r="I1056" s="131" cm="1">
        <f ca="1" t="array" ref="I1056">IF(I1658=1,OFFSET($W$634,$B1056,I$631-1)/SUMPRODUCT(--($D$631:$V$631=I$631),--($D1658:$V1658=1)),0)+SUM(I1055)+IF(COUNTIF(I$1237:I1658,1)=1,5,0)+IF(COUNTIF(J1056:$W1056,"&gt;"&amp;0)&lt;5,IF(AND(COUNTIF(I$1237:I1658,1)&gt;7,MOD(1+IFERROR(MATCH($C1056,总览!$D$46:$D$345,1)+1,1),7)=0),$C$3,0),0)</f>
        <v>1346.06666666666</v>
      </c>
      <c r="J1056" s="131" cm="1">
        <f ca="1" t="array" ref="J1056">IF(J1658=1,OFFSET($W$634,$B1056,J$631-1)/SUMPRODUCT(--($D$631:$V$631=J$631),--($D1658:$V1658=1)),0)+SUM(J1055)+IF(COUNTIF(J$1237:J1658,1)=1,5,0)+IF(COUNTIF(K1056:$W1056,"&gt;"&amp;0)&lt;5,IF(AND(COUNTIF(J$1237:J1658,1)&gt;7,MOD(1+IFERROR(MATCH($C1056,总览!$D$46:$D$345,1)+1,1),7)=0),$C$3,0),0)</f>
        <v>1342.73333333333</v>
      </c>
      <c r="K1056" s="131" cm="1">
        <f ca="1" t="array" ref="K1056">IF(K1658=1,OFFSET($W$634,$B1056,K$631-1)/SUMPRODUCT(--($D$631:$V$631=K$631),--($D1658:$V1658=1)),0)+SUM(K1055)+IF(COUNTIF(K$1237:K1658,1)=1,5,0)+IF(COUNTIF(L1056:$W1056,"&gt;"&amp;0)&lt;5,IF(AND(COUNTIF(K$1237:K1658,1)&gt;7,MOD(1+IFERROR(MATCH($C1056,总览!$D$46:$D$345,1)+1,1),7)=0),$C$3,0),0)</f>
        <v>1340.23333333333</v>
      </c>
      <c r="L1056" s="131" cm="1">
        <f ca="1" t="array" ref="L1056">IF(L1658=1,OFFSET($W$634,$B1056,L$631-1)/SUMPRODUCT(--($D$631:$V$631=L$631),--($D1658:$V1658=1)),0)+SUM(L1055)+IF(COUNTIF(L$1237:L1658,1)=1,5,0)+IF(COUNTIF(M1056:$W1056,"&gt;"&amp;0)&lt;5,IF(AND(COUNTIF(L$1237:L1658,1)&gt;7,MOD(1+IFERROR(MATCH($C1056,总览!$D$46:$D$345,1)+1,1),7)=0),$C$3,0),0)</f>
        <v>1340.23333333333</v>
      </c>
      <c r="M1056" s="131" cm="1">
        <f ca="1" t="array" ref="M1056">IF(M1658=1,OFFSET($W$634,$B1056,M$631-1)/SUMPRODUCT(--($D$631:$V$631=M$631),--($D1658:$V1658=1)),0)+SUM(M1055)+IF(COUNTIF(M$1237:M1658,1)=1,5,0)+IF(COUNTIF(N1056:$W1056,"&gt;"&amp;0)&lt;5,IF(AND(COUNTIF(M$1237:M1658,1)&gt;7,MOD(1+IFERROR(MATCH($C1056,总览!$D$46:$D$345,1)+1,1),7)=0),$C$3,0),0)</f>
        <v>560.609821428574</v>
      </c>
      <c r="N1056" s="131" cm="1">
        <f ca="1" t="array" ref="N1056">IF(N1658=1,OFFSET($W$634,$B1056,N$631-1)/SUMPRODUCT(--($D$631:$V$631=N$631),--($D1658:$V1658=1)),0)+SUM(N1055)+IF(COUNTIF(N$1237:N1658,1)=1,5,0)+IF(COUNTIF(O1056:$W1056,"&gt;"&amp;0)&lt;5,IF(AND(COUNTIF(N$1237:N1658,1)&gt;7,MOD(1+IFERROR(MATCH($C1056,总览!$D$46:$D$345,1)+1,1),7)=0),$C$3,0),0)</f>
        <v>561.859821428574</v>
      </c>
      <c r="O1056" s="131" cm="1">
        <f ca="1" t="array" ref="O1056">IF(O1658=1,OFFSET($W$634,$B1056,O$631-1)/SUMPRODUCT(--($D$631:$V$631=O$631),--($D1658:$V1658=1)),0)+SUM(O1055)+IF(COUNTIF(O$1237:O1658,1)=1,5,0)+IF(COUNTIF(P1056:$W1056,"&gt;"&amp;0)&lt;5,IF(AND(COUNTIF(O$1237:O1658,1)&gt;7,MOD(1+IFERROR(MATCH($C1056,总览!$D$46:$D$345,1)+1,1),7)=0),$C$3,0),0)</f>
        <v>566.859821428574</v>
      </c>
      <c r="P1056" s="131" cm="1">
        <f ca="1" t="array" ref="P1056">IF(P1658=1,OFFSET($W$634,$B1056,P$631-1)/SUMPRODUCT(--($D$631:$V$631=P$631),--($D1658:$V1658=1)),0)+SUM(P1055)+IF(COUNTIF(P$1237:P1658,1)=1,5,0)+IF(COUNTIF(Q1056:$W1056,"&gt;"&amp;0)&lt;5,IF(AND(COUNTIF(P$1237:P1658,1)&gt;7,MOD(1+IFERROR(MATCH($C1056,总览!$D$46:$D$345,1)+1,1),7)=0),$C$3,0),0)</f>
        <v>555.978571428574</v>
      </c>
      <c r="Q1056" s="131" cm="1">
        <f ca="1" t="array" ref="Q1056">IF(Q1658=1,OFFSET($W$634,$B1056,Q$631-1)/SUMPRODUCT(--($D$631:$V$631=Q$631),--($D1658:$V1658=1)),0)+SUM(Q1055)+IF(COUNTIF(Q$1237:Q1658,1)=1,5,0)+IF(COUNTIF(R1056:$W1056,"&gt;"&amp;0)&lt;5,IF(AND(COUNTIF(Q$1237:Q1658,1)&gt;7,MOD(1+IFERROR(MATCH($C1056,总览!$D$46:$D$345,1)+1,1),7)=0),$C$3,0),0)</f>
        <v>569.359821428574</v>
      </c>
      <c r="R1056" s="131" cm="1">
        <f ca="1" t="array" ref="R1056">IF(R1658=1,OFFSET($W$634,$B1056,R$631-1)/SUMPRODUCT(--($D$631:$V$631=R$631),--($D1658:$V1658=1)),0)+SUM(R1055)+IF(COUNTIF(R$1237:R1658,1)=1,5,0)+IF(COUNTIF(S1056:$W1056,"&gt;"&amp;0)&lt;5,IF(AND(COUNTIF(R$1237:R1658,1)&gt;7,MOD(1+IFERROR(MATCH($C1056,总览!$D$46:$D$345,1)+1,1),7)=0),$C$3,0),0)</f>
        <v>560.978571428574</v>
      </c>
      <c r="S1056" s="131" cm="1">
        <f ca="1" t="array" ref="S1056">IF(S1658=1,OFFSET($W$634,$B1056,S$631-1)/SUMPRODUCT(--($D$631:$V$631=S$631),--($D1658:$V1658=1)),0)+SUM(S1055)+IF(COUNTIF(S$1237:S1658,1)=1,5,0)+IF(COUNTIF(T1056:$W1056,"&gt;"&amp;0)&lt;5,IF(AND(COUNTIF(S$1237:S1658,1)&gt;7,MOD(1+IFERROR(MATCH($C1056,总览!$D$46:$D$345,1)+1,1),7)=0),$C$3,0),0)</f>
        <v>653.478571428575</v>
      </c>
      <c r="T1056" s="131" cm="1">
        <f ca="1" t="array" ref="T1056">IF(T1658=1,OFFSET($W$634,$B1056,T$631-1)/SUMPRODUCT(--($D$631:$V$631=T$631),--($D1658:$V1658=1)),0)+SUM(T1055)+IF(COUNTIF(T$1237:T1658,1)=1,5,0)+IF(COUNTIF(U1056:$W1056,"&gt;"&amp;0)&lt;5,IF(AND(COUNTIF(T$1237:T1658,1)&gt;7,MOD(1+IFERROR(MATCH($C1056,总览!$D$46:$D$345,1)+1,1),7)=0),$C$3,0),0)</f>
        <v>478.234336899127</v>
      </c>
      <c r="U1056" s="131" cm="1">
        <f ca="1" t="array" ref="U1056">IF(U1658=1,OFFSET($W$634,$B1056,U$631-1)/SUMPRODUCT(--($D$631:$V$631=U$631),--($D1658:$V1658=1)),0)+SUM(U1055)+IF(COUNTIF(U$1237:U1658,1)=1,5,0)+IF(COUNTIF(V1056:$W1056,"&gt;"&amp;0)&lt;5,IF(AND(COUNTIF(U$1237:U1658,1)&gt;7,MOD(1+IFERROR(MATCH($C1056,总览!$D$46:$D$345,1)+1,1),7)=0),$C$3,0),0)</f>
        <v>483.755123254426</v>
      </c>
      <c r="V1056" s="131" cm="1">
        <f ca="1" t="array" ref="V1056">IF(V1658=1,OFFSET($W$634,$B1056,V$631-1)/SUMPRODUCT(--($D$631:$V$631=V$631),--($D1658:$V1658=1)),0)+SUM(V1055)+IF(COUNTIF(V$1237:V1658,1)=1,5,0)+IF(COUNTIF(W1056:$W1056,"&gt;"&amp;0)&lt;5,IF(AND(COUNTIF(V$1237:V1658,1)&gt;7,MOD(1+IFERROR(MATCH($C1056,总览!$D$46:$D$345,1)+1,1),7)=0),$C$3,0),0)</f>
        <v>503.582122966859</v>
      </c>
      <c r="W1056" s="135" cm="1">
        <f ca="1" t="array" ref="W1056">SUMPRODUCT(TRANSPOSE($AA1056:$AG1056),OFFSET($L$9:$L$15,0,W$631-1))</f>
        <v>16.8502200646615</v>
      </c>
      <c r="X1056" s="135" cm="1">
        <f ca="1" t="array" ref="X1056">SUMPRODUCT(TRANSPOSE($AA1056:$AG1056),OFFSET($L$9:$L$15,0,X$631-1))</f>
        <v>20</v>
      </c>
      <c r="Y1056" s="135" cm="1">
        <f ca="1" t="array" ref="Y1056">SUMPRODUCT(TRANSPOSE($AA1056:$AG1056),OFFSET($L$9:$L$15,0,Y$631-1))</f>
        <v>10</v>
      </c>
      <c r="Z1056" s="135" cm="1">
        <f ca="1" t="array" ref="Z1056">SUMPRODUCT(TRANSPOSE($AA1056:$AG1056),OFFSET($L$9:$L$15,0,Z$631-1))</f>
        <v>3.14977993533847</v>
      </c>
      <c r="AA1056" s="136">
        <f ca="1" t="shared" ref="AA1056:AG1056" si="1095">AH1056-AH1055</f>
        <v>0</v>
      </c>
      <c r="AB1056" s="136">
        <f ca="1" t="shared" si="1095"/>
        <v>0</v>
      </c>
      <c r="AC1056" s="136">
        <f ca="1" t="shared" si="1095"/>
        <v>0</v>
      </c>
      <c r="AD1056" s="136">
        <f ca="1" t="shared" si="1095"/>
        <v>0</v>
      </c>
      <c r="AE1056" s="136">
        <f ca="1" t="shared" si="1095"/>
        <v>0</v>
      </c>
      <c r="AF1056" s="136">
        <f ca="1" t="shared" si="1095"/>
        <v>0</v>
      </c>
      <c r="AG1056" s="136">
        <f ca="1" t="shared" si="1095"/>
        <v>100</v>
      </c>
      <c r="AH1056" s="136">
        <f ca="1" t="shared" si="1021"/>
        <v>450</v>
      </c>
      <c r="AI1056" s="136">
        <f ca="1" t="shared" ref="AI1056:AN1056" si="1096">IF($C1056&gt;OFFSET($Q$8,MATCH(AI$634,$AH$634:$AN$634,0),0),OFFSET($P$8,MATCH(AI$634,$AH$634:$AN$634,0),0),MAX(0,$C1056-OFFSET($Q$8,RIGHT(AI$634,1)-1,0)))</f>
        <v>909</v>
      </c>
      <c r="AJ1056" s="136">
        <f ca="1" t="shared" si="1096"/>
        <v>1818</v>
      </c>
      <c r="AK1056" s="136">
        <f ca="1" t="shared" si="1096"/>
        <v>2727</v>
      </c>
      <c r="AL1056" s="136">
        <f ca="1" t="shared" si="1096"/>
        <v>3636</v>
      </c>
      <c r="AM1056" s="136">
        <f ca="1" t="shared" si="1096"/>
        <v>4545</v>
      </c>
      <c r="AN1056" s="136">
        <f ca="1" t="shared" si="1096"/>
        <v>28115</v>
      </c>
    </row>
    <row r="1057" s="106" customFormat="1" ht="16.5" spans="2:40">
      <c r="B1057" s="117">
        <v>423</v>
      </c>
      <c r="C1057" s="130">
        <f t="shared" si="1019"/>
        <v>42300</v>
      </c>
      <c r="D1057" s="131" cm="1">
        <f ca="1" t="array" ref="D1057">IF(D1659=1,OFFSET($W$634,$B1057,D$631-1)/SUMPRODUCT(--($D$631:$V$631=D$631),--($D1659:$V1659=1)),0)+SUM(D1056)+IF(COUNTIF(D$1237:D1659,1)=1,5,0)+IF(COUNTIF(E1057:$W1057,"&gt;"&amp;0)&lt;5,IF(AND(COUNTIF(D$1237:D1659,1)&gt;7,MOD(1+IFERROR(MATCH($C1057,总览!$D$46:$D$345,1)+1,1),7)=0),$C$3,0),0)</f>
        <v>2703.5845456481</v>
      </c>
      <c r="E1057" s="131" cm="1">
        <f ca="1" t="array" ref="E1057">IF(E1659=1,OFFSET($W$634,$B1057,E$631-1)/SUMPRODUCT(--($D$631:$V$631=E$631),--($D1659:$V1659=1)),0)+SUM(E1056)+IF(COUNTIF(E$1237:E1659,1)=1,5,0)+IF(COUNTIF(F1057:$W1057,"&gt;"&amp;0)&lt;5,IF(AND(COUNTIF(E$1237:E1659,1)&gt;7,MOD(1+IFERROR(MATCH($C1057,总览!$D$46:$D$345,1)+1,1),7)=0),$C$3,0),0)</f>
        <v>2703.5845456481</v>
      </c>
      <c r="F1057" s="131" cm="1">
        <f ca="1" t="array" ref="F1057">IF(F1659=1,OFFSET($W$634,$B1057,F$631-1)/SUMPRODUCT(--($D$631:$V$631=F$631),--($D1659:$V1659=1)),0)+SUM(F1056)+IF(COUNTIF(F$1237:F1659,1)=1,5,0)+IF(COUNTIF(G1057:$W1057,"&gt;"&amp;0)&lt;5,IF(AND(COUNTIF(F$1237:F1659,1)&gt;7,MOD(1+IFERROR(MATCH($C1057,总览!$D$46:$D$345,1)+1,1),7)=0),$C$3,0),0)</f>
        <v>2703.5845456481</v>
      </c>
      <c r="G1057" s="131" cm="1">
        <f ca="1" t="array" ref="G1057">IF(G1659=1,OFFSET($W$634,$B1057,G$631-1)/SUMPRODUCT(--($D$631:$V$631=G$631),--($D1659:$V1659=1)),0)+SUM(G1056)+IF(COUNTIF(G$1237:G1659,1)=1,5,0)+IF(COUNTIF(H1057:$W1057,"&gt;"&amp;0)&lt;5,IF(AND(COUNTIF(G$1237:G1659,1)&gt;7,MOD(1+IFERROR(MATCH($C1057,总览!$D$46:$D$345,1)+1,1),7)=0),$C$3,0),0)</f>
        <v>1349.4</v>
      </c>
      <c r="H1057" s="131" cm="1">
        <f ca="1" t="array" ref="H1057">IF(H1659=1,OFFSET($W$634,$B1057,H$631-1)/SUMPRODUCT(--($D$631:$V$631=H$631),--($D1659:$V1659=1)),0)+SUM(H1056)+IF(COUNTIF(H$1237:H1659,1)=1,5,0)+IF(COUNTIF(I1057:$W1057,"&gt;"&amp;0)&lt;5,IF(AND(COUNTIF(H$1237:H1659,1)&gt;7,MOD(1+IFERROR(MATCH($C1057,总览!$D$46:$D$345,1)+1,1),7)=0),$C$3,0),0)</f>
        <v>1349.4</v>
      </c>
      <c r="I1057" s="131" cm="1">
        <f ca="1" t="array" ref="I1057">IF(I1659=1,OFFSET($W$634,$B1057,I$631-1)/SUMPRODUCT(--($D$631:$V$631=I$631),--($D1659:$V1659=1)),0)+SUM(I1056)+IF(COUNTIF(I$1237:I1659,1)=1,5,0)+IF(COUNTIF(J1057:$W1057,"&gt;"&amp;0)&lt;5,IF(AND(COUNTIF(I$1237:I1659,1)&gt;7,MOD(1+IFERROR(MATCH($C1057,总览!$D$46:$D$345,1)+1,1),7)=0),$C$3,0),0)</f>
        <v>1349.4</v>
      </c>
      <c r="J1057" s="131" cm="1">
        <f ca="1" t="array" ref="J1057">IF(J1659=1,OFFSET($W$634,$B1057,J$631-1)/SUMPRODUCT(--($D$631:$V$631=J$631),--($D1659:$V1659=1)),0)+SUM(J1056)+IF(COUNTIF(J$1237:J1659,1)=1,5,0)+IF(COUNTIF(K1057:$W1057,"&gt;"&amp;0)&lt;5,IF(AND(COUNTIF(J$1237:J1659,1)&gt;7,MOD(1+IFERROR(MATCH($C1057,总览!$D$46:$D$345,1)+1,1),7)=0),$C$3,0),0)</f>
        <v>1346.06666666666</v>
      </c>
      <c r="K1057" s="131" cm="1">
        <f ca="1" t="array" ref="K1057">IF(K1659=1,OFFSET($W$634,$B1057,K$631-1)/SUMPRODUCT(--($D$631:$V$631=K$631),--($D1659:$V1659=1)),0)+SUM(K1056)+IF(COUNTIF(K$1237:K1659,1)=1,5,0)+IF(COUNTIF(L1057:$W1057,"&gt;"&amp;0)&lt;5,IF(AND(COUNTIF(K$1237:K1659,1)&gt;7,MOD(1+IFERROR(MATCH($C1057,总览!$D$46:$D$345,1)+1,1),7)=0),$C$3,0),0)</f>
        <v>1343.56666666666</v>
      </c>
      <c r="L1057" s="131" cm="1">
        <f ca="1" t="array" ref="L1057">IF(L1659=1,OFFSET($W$634,$B1057,L$631-1)/SUMPRODUCT(--($D$631:$V$631=L$631),--($D1659:$V1659=1)),0)+SUM(L1056)+IF(COUNTIF(L$1237:L1659,1)=1,5,0)+IF(COUNTIF(M1057:$W1057,"&gt;"&amp;0)&lt;5,IF(AND(COUNTIF(L$1237:L1659,1)&gt;7,MOD(1+IFERROR(MATCH($C1057,总览!$D$46:$D$345,1)+1,1),7)=0),$C$3,0),0)</f>
        <v>1343.56666666666</v>
      </c>
      <c r="M1057" s="131" cm="1">
        <f ca="1" t="array" ref="M1057">IF(M1659=1,OFFSET($W$634,$B1057,M$631-1)/SUMPRODUCT(--($D$631:$V$631=M$631),--($D1659:$V1659=1)),0)+SUM(M1056)+IF(COUNTIF(M$1237:M1659,1)=1,5,0)+IF(COUNTIF(N1057:$W1057,"&gt;"&amp;0)&lt;5,IF(AND(COUNTIF(M$1237:M1659,1)&gt;7,MOD(1+IFERROR(MATCH($C1057,总览!$D$46:$D$345,1)+1,1),7)=0),$C$3,0),0)</f>
        <v>562.038392857145</v>
      </c>
      <c r="N1057" s="131" cm="1">
        <f ca="1" t="array" ref="N1057">IF(N1659=1,OFFSET($W$634,$B1057,N$631-1)/SUMPRODUCT(--($D$631:$V$631=N$631),--($D1659:$V1659=1)),0)+SUM(N1056)+IF(COUNTIF(N$1237:N1659,1)=1,5,0)+IF(COUNTIF(O1057:$W1057,"&gt;"&amp;0)&lt;5,IF(AND(COUNTIF(N$1237:N1659,1)&gt;7,MOD(1+IFERROR(MATCH($C1057,总览!$D$46:$D$345,1)+1,1),7)=0),$C$3,0),0)</f>
        <v>563.288392857145</v>
      </c>
      <c r="O1057" s="131" cm="1">
        <f ca="1" t="array" ref="O1057">IF(O1659=1,OFFSET($W$634,$B1057,O$631-1)/SUMPRODUCT(--($D$631:$V$631=O$631),--($D1659:$V1659=1)),0)+SUM(O1056)+IF(COUNTIF(O$1237:O1659,1)=1,5,0)+IF(COUNTIF(P1057:$W1057,"&gt;"&amp;0)&lt;5,IF(AND(COUNTIF(O$1237:O1659,1)&gt;7,MOD(1+IFERROR(MATCH($C1057,总览!$D$46:$D$345,1)+1,1),7)=0),$C$3,0),0)</f>
        <v>568.288392857145</v>
      </c>
      <c r="P1057" s="131" cm="1">
        <f ca="1" t="array" ref="P1057">IF(P1659=1,OFFSET($W$634,$B1057,P$631-1)/SUMPRODUCT(--($D$631:$V$631=P$631),--($D1659:$V1659=1)),0)+SUM(P1056)+IF(COUNTIF(P$1237:P1659,1)=1,5,0)+IF(COUNTIF(Q1057:$W1057,"&gt;"&amp;0)&lt;5,IF(AND(COUNTIF(P$1237:P1659,1)&gt;7,MOD(1+IFERROR(MATCH($C1057,总览!$D$46:$D$345,1)+1,1),7)=0),$C$3,0),0)</f>
        <v>557.407142857145</v>
      </c>
      <c r="Q1057" s="131" cm="1">
        <f ca="1" t="array" ref="Q1057">IF(Q1659=1,OFFSET($W$634,$B1057,Q$631-1)/SUMPRODUCT(--($D$631:$V$631=Q$631),--($D1659:$V1659=1)),0)+SUM(Q1056)+IF(COUNTIF(Q$1237:Q1659,1)=1,5,0)+IF(COUNTIF(R1057:$W1057,"&gt;"&amp;0)&lt;5,IF(AND(COUNTIF(Q$1237:Q1659,1)&gt;7,MOD(1+IFERROR(MATCH($C1057,总览!$D$46:$D$345,1)+1,1),7)=0),$C$3,0),0)</f>
        <v>570.788392857145</v>
      </c>
      <c r="R1057" s="131" cm="1">
        <f ca="1" t="array" ref="R1057">IF(R1659=1,OFFSET($W$634,$B1057,R$631-1)/SUMPRODUCT(--($D$631:$V$631=R$631),--($D1659:$V1659=1)),0)+SUM(R1056)+IF(COUNTIF(R$1237:R1659,1)=1,5,0)+IF(COUNTIF(S1057:$W1057,"&gt;"&amp;0)&lt;5,IF(AND(COUNTIF(R$1237:R1659,1)&gt;7,MOD(1+IFERROR(MATCH($C1057,总览!$D$46:$D$345,1)+1,1),7)=0),$C$3,0),0)</f>
        <v>562.407142857145</v>
      </c>
      <c r="S1057" s="131" cm="1">
        <f ca="1" t="array" ref="S1057">IF(S1659=1,OFFSET($W$634,$B1057,S$631-1)/SUMPRODUCT(--($D$631:$V$631=S$631),--($D1659:$V1659=1)),0)+SUM(S1056)+IF(COUNTIF(S$1237:S1659,1)=1,5,0)+IF(COUNTIF(T1057:$W1057,"&gt;"&amp;0)&lt;5,IF(AND(COUNTIF(S$1237:S1659,1)&gt;7,MOD(1+IFERROR(MATCH($C1057,总览!$D$46:$D$345,1)+1,1),7)=0),$C$3,0),0)</f>
        <v>654.907142857146</v>
      </c>
      <c r="T1057" s="131" cm="1">
        <f ca="1" t="array" ref="T1057">IF(T1659=1,OFFSET($W$634,$B1057,T$631-1)/SUMPRODUCT(--($D$631:$V$631=T$631),--($D1659:$V1659=1)),0)+SUM(T1056)+IF(COUNTIF(T$1237:T1659,1)=1,5,0)+IF(COUNTIF(U1057:$W1057,"&gt;"&amp;0)&lt;5,IF(AND(COUNTIF(T$1237:T1659,1)&gt;7,MOD(1+IFERROR(MATCH($C1057,总览!$D$46:$D$345,1)+1,1),7)=0),$C$3,0),0)</f>
        <v>479.284263544239</v>
      </c>
      <c r="U1057" s="131" cm="1">
        <f ca="1" t="array" ref="U1057">IF(U1659=1,OFFSET($W$634,$B1057,U$631-1)/SUMPRODUCT(--($D$631:$V$631=U$631),--($D1659:$V1659=1)),0)+SUM(U1056)+IF(COUNTIF(U$1237:U1659,1)=1,5,0)+IF(COUNTIF(V1057:$W1057,"&gt;"&amp;0)&lt;5,IF(AND(COUNTIF(U$1237:U1659,1)&gt;7,MOD(1+IFERROR(MATCH($C1057,总览!$D$46:$D$345,1)+1,1),7)=0),$C$3,0),0)</f>
        <v>484.805049899539</v>
      </c>
      <c r="V1057" s="131" cm="1">
        <f ca="1" t="array" ref="V1057">IF(V1659=1,OFFSET($W$634,$B1057,V$631-1)/SUMPRODUCT(--($D$631:$V$631=V$631),--($D1659:$V1659=1)),0)+SUM(V1056)+IF(COUNTIF(V$1237:V1659,1)=1,5,0)+IF(COUNTIF(W1057:$W1057,"&gt;"&amp;0)&lt;5,IF(AND(COUNTIF(V$1237:V1659,1)&gt;7,MOD(1+IFERROR(MATCH($C1057,总览!$D$46:$D$345,1)+1,1),7)=0),$C$3,0),0)</f>
        <v>504.632049611972</v>
      </c>
      <c r="W1057" s="135" cm="1">
        <f ca="1" t="array" ref="W1057">SUMPRODUCT(TRANSPOSE($AA1057:$AG1057),OFFSET($L$9:$L$15,0,W$631-1))</f>
        <v>16.8502200646615</v>
      </c>
      <c r="X1057" s="135" cm="1">
        <f ca="1" t="array" ref="X1057">SUMPRODUCT(TRANSPOSE($AA1057:$AG1057),OFFSET($L$9:$L$15,0,X$631-1))</f>
        <v>20</v>
      </c>
      <c r="Y1057" s="135" cm="1">
        <f ca="1" t="array" ref="Y1057">SUMPRODUCT(TRANSPOSE($AA1057:$AG1057),OFFSET($L$9:$L$15,0,Y$631-1))</f>
        <v>10</v>
      </c>
      <c r="Z1057" s="135" cm="1">
        <f ca="1" t="array" ref="Z1057">SUMPRODUCT(TRANSPOSE($AA1057:$AG1057),OFFSET($L$9:$L$15,0,Z$631-1))</f>
        <v>3.14977993533847</v>
      </c>
      <c r="AA1057" s="136">
        <f ca="1" t="shared" ref="AA1057:AG1057" si="1097">AH1057-AH1056</f>
        <v>0</v>
      </c>
      <c r="AB1057" s="136">
        <f ca="1" t="shared" si="1097"/>
        <v>0</v>
      </c>
      <c r="AC1057" s="136">
        <f ca="1" t="shared" si="1097"/>
        <v>0</v>
      </c>
      <c r="AD1057" s="136">
        <f ca="1" t="shared" si="1097"/>
        <v>0</v>
      </c>
      <c r="AE1057" s="136">
        <f ca="1" t="shared" si="1097"/>
        <v>0</v>
      </c>
      <c r="AF1057" s="136">
        <f ca="1" t="shared" si="1097"/>
        <v>0</v>
      </c>
      <c r="AG1057" s="136">
        <f ca="1" t="shared" si="1097"/>
        <v>100</v>
      </c>
      <c r="AH1057" s="136">
        <f ca="1" t="shared" si="1021"/>
        <v>450</v>
      </c>
      <c r="AI1057" s="136">
        <f ca="1" t="shared" ref="AI1057:AN1057" si="1098">IF($C1057&gt;OFFSET($Q$8,MATCH(AI$634,$AH$634:$AN$634,0),0),OFFSET($P$8,MATCH(AI$634,$AH$634:$AN$634,0),0),MAX(0,$C1057-OFFSET($Q$8,RIGHT(AI$634,1)-1,0)))</f>
        <v>909</v>
      </c>
      <c r="AJ1057" s="136">
        <f ca="1" t="shared" si="1098"/>
        <v>1818</v>
      </c>
      <c r="AK1057" s="136">
        <f ca="1" t="shared" si="1098"/>
        <v>2727</v>
      </c>
      <c r="AL1057" s="136">
        <f ca="1" t="shared" si="1098"/>
        <v>3636</v>
      </c>
      <c r="AM1057" s="136">
        <f ca="1" t="shared" si="1098"/>
        <v>4545</v>
      </c>
      <c r="AN1057" s="136">
        <f ca="1" t="shared" si="1098"/>
        <v>28215</v>
      </c>
    </row>
    <row r="1058" s="106" customFormat="1" ht="16.5" spans="2:40">
      <c r="B1058" s="117">
        <v>424</v>
      </c>
      <c r="C1058" s="130">
        <f t="shared" si="1019"/>
        <v>42400</v>
      </c>
      <c r="D1058" s="131" cm="1">
        <f ca="1" t="array" ref="D1058">IF(D1660=1,OFFSET($W$634,$B1058,D$631-1)/SUMPRODUCT(--($D$631:$V$631=D$631),--($D1660:$V1660=1)),0)+SUM(D1057)+IF(COUNTIF(D$1237:D1660,1)=1,5,0)+IF(COUNTIF(E1058:$W1058,"&gt;"&amp;0)&lt;5,IF(AND(COUNTIF(D$1237:D1660,1)&gt;7,MOD(1+IFERROR(MATCH($C1058,总览!$D$46:$D$345,1)+1,1),7)=0),$C$3,0),0)</f>
        <v>2709.20128566965</v>
      </c>
      <c r="E1058" s="131" cm="1">
        <f ca="1" t="array" ref="E1058">IF(E1660=1,OFFSET($W$634,$B1058,E$631-1)/SUMPRODUCT(--($D$631:$V$631=E$631),--($D1660:$V1660=1)),0)+SUM(E1057)+IF(COUNTIF(E$1237:E1660,1)=1,5,0)+IF(COUNTIF(F1058:$W1058,"&gt;"&amp;0)&lt;5,IF(AND(COUNTIF(E$1237:E1660,1)&gt;7,MOD(1+IFERROR(MATCH($C1058,总览!$D$46:$D$345,1)+1,1),7)=0),$C$3,0),0)</f>
        <v>2709.20128566965</v>
      </c>
      <c r="F1058" s="131" cm="1">
        <f ca="1" t="array" ref="F1058">IF(F1660=1,OFFSET($W$634,$B1058,F$631-1)/SUMPRODUCT(--($D$631:$V$631=F$631),--($D1660:$V1660=1)),0)+SUM(F1057)+IF(COUNTIF(F$1237:F1660,1)=1,5,0)+IF(COUNTIF(G1058:$W1058,"&gt;"&amp;0)&lt;5,IF(AND(COUNTIF(F$1237:F1660,1)&gt;7,MOD(1+IFERROR(MATCH($C1058,总览!$D$46:$D$345,1)+1,1),7)=0),$C$3,0),0)</f>
        <v>2709.20128566965</v>
      </c>
      <c r="G1058" s="131" cm="1">
        <f ca="1" t="array" ref="G1058">IF(G1660=1,OFFSET($W$634,$B1058,G$631-1)/SUMPRODUCT(--($D$631:$V$631=G$631),--($D1660:$V1660=1)),0)+SUM(G1057)+IF(COUNTIF(G$1237:G1660,1)=1,5,0)+IF(COUNTIF(H1058:$W1058,"&gt;"&amp;0)&lt;5,IF(AND(COUNTIF(G$1237:G1660,1)&gt;7,MOD(1+IFERROR(MATCH($C1058,总览!$D$46:$D$345,1)+1,1),7)=0),$C$3,0),0)</f>
        <v>1352.73333333333</v>
      </c>
      <c r="H1058" s="131" cm="1">
        <f ca="1" t="array" ref="H1058">IF(H1660=1,OFFSET($W$634,$B1058,H$631-1)/SUMPRODUCT(--($D$631:$V$631=H$631),--($D1660:$V1660=1)),0)+SUM(H1057)+IF(COUNTIF(H$1237:H1660,1)=1,5,0)+IF(COUNTIF(I1058:$W1058,"&gt;"&amp;0)&lt;5,IF(AND(COUNTIF(H$1237:H1660,1)&gt;7,MOD(1+IFERROR(MATCH($C1058,总览!$D$46:$D$345,1)+1,1),7)=0),$C$3,0),0)</f>
        <v>1352.73333333333</v>
      </c>
      <c r="I1058" s="131" cm="1">
        <f ca="1" t="array" ref="I1058">IF(I1660=1,OFFSET($W$634,$B1058,I$631-1)/SUMPRODUCT(--($D$631:$V$631=I$631),--($D1660:$V1660=1)),0)+SUM(I1057)+IF(COUNTIF(I$1237:I1660,1)=1,5,0)+IF(COUNTIF(J1058:$W1058,"&gt;"&amp;0)&lt;5,IF(AND(COUNTIF(I$1237:I1660,1)&gt;7,MOD(1+IFERROR(MATCH($C1058,总览!$D$46:$D$345,1)+1,1),7)=0),$C$3,0),0)</f>
        <v>1352.73333333333</v>
      </c>
      <c r="J1058" s="131" cm="1">
        <f ca="1" t="array" ref="J1058">IF(J1660=1,OFFSET($W$634,$B1058,J$631-1)/SUMPRODUCT(--($D$631:$V$631=J$631),--($D1660:$V1660=1)),0)+SUM(J1057)+IF(COUNTIF(J$1237:J1660,1)=1,5,0)+IF(COUNTIF(K1058:$W1058,"&gt;"&amp;0)&lt;5,IF(AND(COUNTIF(J$1237:J1660,1)&gt;7,MOD(1+IFERROR(MATCH($C1058,总览!$D$46:$D$345,1)+1,1),7)=0),$C$3,0),0)</f>
        <v>1349.4</v>
      </c>
      <c r="K1058" s="131" cm="1">
        <f ca="1" t="array" ref="K1058">IF(K1660=1,OFFSET($W$634,$B1058,K$631-1)/SUMPRODUCT(--($D$631:$V$631=K$631),--($D1660:$V1660=1)),0)+SUM(K1057)+IF(COUNTIF(K$1237:K1660,1)=1,5,0)+IF(COUNTIF(L1058:$W1058,"&gt;"&amp;0)&lt;5,IF(AND(COUNTIF(K$1237:K1660,1)&gt;7,MOD(1+IFERROR(MATCH($C1058,总览!$D$46:$D$345,1)+1,1),7)=0),$C$3,0),0)</f>
        <v>1346.9</v>
      </c>
      <c r="L1058" s="131" cm="1">
        <f ca="1" t="array" ref="L1058">IF(L1660=1,OFFSET($W$634,$B1058,L$631-1)/SUMPRODUCT(--($D$631:$V$631=L$631),--($D1660:$V1660=1)),0)+SUM(L1057)+IF(COUNTIF(L$1237:L1660,1)=1,5,0)+IF(COUNTIF(M1058:$W1058,"&gt;"&amp;0)&lt;5,IF(AND(COUNTIF(L$1237:L1660,1)&gt;7,MOD(1+IFERROR(MATCH($C1058,总览!$D$46:$D$345,1)+1,1),7)=0),$C$3,0),0)</f>
        <v>1346.9</v>
      </c>
      <c r="M1058" s="131" cm="1">
        <f ca="1" t="array" ref="M1058">IF(M1660=1,OFFSET($W$634,$B1058,M$631-1)/SUMPRODUCT(--($D$631:$V$631=M$631),--($D1660:$V1660=1)),0)+SUM(M1057)+IF(COUNTIF(M$1237:M1660,1)=1,5,0)+IF(COUNTIF(N1058:$W1058,"&gt;"&amp;0)&lt;5,IF(AND(COUNTIF(M$1237:M1660,1)&gt;7,MOD(1+IFERROR(MATCH($C1058,总览!$D$46:$D$345,1)+1,1),7)=0),$C$3,0),0)</f>
        <v>563.466964285717</v>
      </c>
      <c r="N1058" s="131" cm="1">
        <f ca="1" t="array" ref="N1058">IF(N1660=1,OFFSET($W$634,$B1058,N$631-1)/SUMPRODUCT(--($D$631:$V$631=N$631),--($D1660:$V1660=1)),0)+SUM(N1057)+IF(COUNTIF(N$1237:N1660,1)=1,5,0)+IF(COUNTIF(O1058:$W1058,"&gt;"&amp;0)&lt;5,IF(AND(COUNTIF(N$1237:N1660,1)&gt;7,MOD(1+IFERROR(MATCH($C1058,总览!$D$46:$D$345,1)+1,1),7)=0),$C$3,0),0)</f>
        <v>564.716964285717</v>
      </c>
      <c r="O1058" s="131" cm="1">
        <f ca="1" t="array" ref="O1058">IF(O1660=1,OFFSET($W$634,$B1058,O$631-1)/SUMPRODUCT(--($D$631:$V$631=O$631),--($D1660:$V1660=1)),0)+SUM(O1057)+IF(COUNTIF(O$1237:O1660,1)=1,5,0)+IF(COUNTIF(P1058:$W1058,"&gt;"&amp;0)&lt;5,IF(AND(COUNTIF(O$1237:O1660,1)&gt;7,MOD(1+IFERROR(MATCH($C1058,总览!$D$46:$D$345,1)+1,1),7)=0),$C$3,0),0)</f>
        <v>569.716964285717</v>
      </c>
      <c r="P1058" s="131" cm="1">
        <f ca="1" t="array" ref="P1058">IF(P1660=1,OFFSET($W$634,$B1058,P$631-1)/SUMPRODUCT(--($D$631:$V$631=P$631),--($D1660:$V1660=1)),0)+SUM(P1057)+IF(COUNTIF(P$1237:P1660,1)=1,5,0)+IF(COUNTIF(Q1058:$W1058,"&gt;"&amp;0)&lt;5,IF(AND(COUNTIF(P$1237:P1660,1)&gt;7,MOD(1+IFERROR(MATCH($C1058,总览!$D$46:$D$345,1)+1,1),7)=0),$C$3,0),0)</f>
        <v>558.835714285717</v>
      </c>
      <c r="Q1058" s="131" cm="1">
        <f ca="1" t="array" ref="Q1058">IF(Q1660=1,OFFSET($W$634,$B1058,Q$631-1)/SUMPRODUCT(--($D$631:$V$631=Q$631),--($D1660:$V1660=1)),0)+SUM(Q1057)+IF(COUNTIF(Q$1237:Q1660,1)=1,5,0)+IF(COUNTIF(R1058:$W1058,"&gt;"&amp;0)&lt;5,IF(AND(COUNTIF(Q$1237:Q1660,1)&gt;7,MOD(1+IFERROR(MATCH($C1058,总览!$D$46:$D$345,1)+1,1),7)=0),$C$3,0),0)</f>
        <v>572.216964285717</v>
      </c>
      <c r="R1058" s="131" cm="1">
        <f ca="1" t="array" ref="R1058">IF(R1660=1,OFFSET($W$634,$B1058,R$631-1)/SUMPRODUCT(--($D$631:$V$631=R$631),--($D1660:$V1660=1)),0)+SUM(R1057)+IF(COUNTIF(R$1237:R1660,1)=1,5,0)+IF(COUNTIF(S1058:$W1058,"&gt;"&amp;0)&lt;5,IF(AND(COUNTIF(R$1237:R1660,1)&gt;7,MOD(1+IFERROR(MATCH($C1058,总览!$D$46:$D$345,1)+1,1),7)=0),$C$3,0),0)</f>
        <v>563.835714285717</v>
      </c>
      <c r="S1058" s="131" cm="1">
        <f ca="1" t="array" ref="S1058">IF(S1660=1,OFFSET($W$634,$B1058,S$631-1)/SUMPRODUCT(--($D$631:$V$631=S$631),--($D1660:$V1660=1)),0)+SUM(S1057)+IF(COUNTIF(S$1237:S1660,1)=1,5,0)+IF(COUNTIF(T1058:$W1058,"&gt;"&amp;0)&lt;5,IF(AND(COUNTIF(S$1237:S1660,1)&gt;7,MOD(1+IFERROR(MATCH($C1058,总览!$D$46:$D$345,1)+1,1),7)=0),$C$3,0),0)</f>
        <v>656.335714285718</v>
      </c>
      <c r="T1058" s="131" cm="1">
        <f ca="1" t="array" ref="T1058">IF(T1660=1,OFFSET($W$634,$B1058,T$631-1)/SUMPRODUCT(--($D$631:$V$631=T$631),--($D1660:$V1660=1)),0)+SUM(T1057)+IF(COUNTIF(T$1237:T1660,1)=1,5,0)+IF(COUNTIF(U1058:$W1058,"&gt;"&amp;0)&lt;5,IF(AND(COUNTIF(T$1237:T1660,1)&gt;7,MOD(1+IFERROR(MATCH($C1058,总览!$D$46:$D$345,1)+1,1),7)=0),$C$3,0),0)</f>
        <v>480.334190189352</v>
      </c>
      <c r="U1058" s="131" cm="1">
        <f ca="1" t="array" ref="U1058">IF(U1660=1,OFFSET($W$634,$B1058,U$631-1)/SUMPRODUCT(--($D$631:$V$631=U$631),--($D1660:$V1660=1)),0)+SUM(U1057)+IF(COUNTIF(U$1237:U1660,1)=1,5,0)+IF(COUNTIF(V1058:$W1058,"&gt;"&amp;0)&lt;5,IF(AND(COUNTIF(U$1237:U1660,1)&gt;7,MOD(1+IFERROR(MATCH($C1058,总览!$D$46:$D$345,1)+1,1),7)=0),$C$3,0),0)</f>
        <v>485.854976544652</v>
      </c>
      <c r="V1058" s="131" cm="1">
        <f ca="1" t="array" ref="V1058">IF(V1660=1,OFFSET($W$634,$B1058,V$631-1)/SUMPRODUCT(--($D$631:$V$631=V$631),--($D1660:$V1660=1)),0)+SUM(V1057)+IF(COUNTIF(V$1237:V1660,1)=1,5,0)+IF(COUNTIF(W1058:$W1058,"&gt;"&amp;0)&lt;5,IF(AND(COUNTIF(V$1237:V1660,1)&gt;7,MOD(1+IFERROR(MATCH($C1058,总览!$D$46:$D$345,1)+1,1),7)=0),$C$3,0),0)</f>
        <v>505.681976257085</v>
      </c>
      <c r="W1058" s="135" cm="1">
        <f ca="1" t="array" ref="W1058">SUMPRODUCT(TRANSPOSE($AA1058:$AG1058),OFFSET($L$9:$L$15,0,W$631-1))</f>
        <v>16.8502200646615</v>
      </c>
      <c r="X1058" s="135" cm="1">
        <f ca="1" t="array" ref="X1058">SUMPRODUCT(TRANSPOSE($AA1058:$AG1058),OFFSET($L$9:$L$15,0,X$631-1))</f>
        <v>20</v>
      </c>
      <c r="Y1058" s="135" cm="1">
        <f ca="1" t="array" ref="Y1058">SUMPRODUCT(TRANSPOSE($AA1058:$AG1058),OFFSET($L$9:$L$15,0,Y$631-1))</f>
        <v>10</v>
      </c>
      <c r="Z1058" s="135" cm="1">
        <f ca="1" t="array" ref="Z1058">SUMPRODUCT(TRANSPOSE($AA1058:$AG1058),OFFSET($L$9:$L$15,0,Z$631-1))</f>
        <v>3.14977993533847</v>
      </c>
      <c r="AA1058" s="136">
        <f ca="1" t="shared" ref="AA1058:AG1058" si="1099">AH1058-AH1057</f>
        <v>0</v>
      </c>
      <c r="AB1058" s="136">
        <f ca="1" t="shared" si="1099"/>
        <v>0</v>
      </c>
      <c r="AC1058" s="136">
        <f ca="1" t="shared" si="1099"/>
        <v>0</v>
      </c>
      <c r="AD1058" s="136">
        <f ca="1" t="shared" si="1099"/>
        <v>0</v>
      </c>
      <c r="AE1058" s="136">
        <f ca="1" t="shared" si="1099"/>
        <v>0</v>
      </c>
      <c r="AF1058" s="136">
        <f ca="1" t="shared" si="1099"/>
        <v>0</v>
      </c>
      <c r="AG1058" s="136">
        <f ca="1" t="shared" si="1099"/>
        <v>100</v>
      </c>
      <c r="AH1058" s="136">
        <f ca="1" t="shared" si="1021"/>
        <v>450</v>
      </c>
      <c r="AI1058" s="136">
        <f ca="1" t="shared" ref="AI1058:AN1058" si="1100">IF($C1058&gt;OFFSET($Q$8,MATCH(AI$634,$AH$634:$AN$634,0),0),OFFSET($P$8,MATCH(AI$634,$AH$634:$AN$634,0),0),MAX(0,$C1058-OFFSET($Q$8,RIGHT(AI$634,1)-1,0)))</f>
        <v>909</v>
      </c>
      <c r="AJ1058" s="136">
        <f ca="1" t="shared" si="1100"/>
        <v>1818</v>
      </c>
      <c r="AK1058" s="136">
        <f ca="1" t="shared" si="1100"/>
        <v>2727</v>
      </c>
      <c r="AL1058" s="136">
        <f ca="1" t="shared" si="1100"/>
        <v>3636</v>
      </c>
      <c r="AM1058" s="136">
        <f ca="1" t="shared" si="1100"/>
        <v>4545</v>
      </c>
      <c r="AN1058" s="136">
        <f ca="1" t="shared" si="1100"/>
        <v>28315</v>
      </c>
    </row>
    <row r="1059" s="106" customFormat="1" ht="16.5" spans="2:40">
      <c r="B1059" s="117">
        <v>425</v>
      </c>
      <c r="C1059" s="130">
        <f t="shared" si="1019"/>
        <v>42500</v>
      </c>
      <c r="D1059" s="131" cm="1">
        <f ca="1" t="array" ref="D1059">IF(D1661=1,OFFSET($W$634,$B1059,D$631-1)/SUMPRODUCT(--($D$631:$V$631=D$631),--($D1661:$V1661=1)),0)+SUM(D1058)+IF(COUNTIF(D$1237:D1661,1)=1,5,0)+IF(COUNTIF(E1059:$W1059,"&gt;"&amp;0)&lt;5,IF(AND(COUNTIF(D$1237:D1661,1)&gt;7,MOD(1+IFERROR(MATCH($C1059,总览!$D$46:$D$345,1)+1,1),7)=0),$C$3,0),0)</f>
        <v>2714.81802569121</v>
      </c>
      <c r="E1059" s="131" cm="1">
        <f ca="1" t="array" ref="E1059">IF(E1661=1,OFFSET($W$634,$B1059,E$631-1)/SUMPRODUCT(--($D$631:$V$631=E$631),--($D1661:$V1661=1)),0)+SUM(E1058)+IF(COUNTIF(E$1237:E1661,1)=1,5,0)+IF(COUNTIF(F1059:$W1059,"&gt;"&amp;0)&lt;5,IF(AND(COUNTIF(E$1237:E1661,1)&gt;7,MOD(1+IFERROR(MATCH($C1059,总览!$D$46:$D$345,1)+1,1),7)=0),$C$3,0),0)</f>
        <v>2714.81802569121</v>
      </c>
      <c r="F1059" s="131" cm="1">
        <f ca="1" t="array" ref="F1059">IF(F1661=1,OFFSET($W$634,$B1059,F$631-1)/SUMPRODUCT(--($D$631:$V$631=F$631),--($D1661:$V1661=1)),0)+SUM(F1058)+IF(COUNTIF(F$1237:F1661,1)=1,5,0)+IF(COUNTIF(G1059:$W1059,"&gt;"&amp;0)&lt;5,IF(AND(COUNTIF(F$1237:F1661,1)&gt;7,MOD(1+IFERROR(MATCH($C1059,总览!$D$46:$D$345,1)+1,1),7)=0),$C$3,0),0)</f>
        <v>2714.81802569121</v>
      </c>
      <c r="G1059" s="131" cm="1">
        <f ca="1" t="array" ref="G1059">IF(G1661=1,OFFSET($W$634,$B1059,G$631-1)/SUMPRODUCT(--($D$631:$V$631=G$631),--($D1661:$V1661=1)),0)+SUM(G1058)+IF(COUNTIF(G$1237:G1661,1)=1,5,0)+IF(COUNTIF(H1059:$W1059,"&gt;"&amp;0)&lt;5,IF(AND(COUNTIF(G$1237:G1661,1)&gt;7,MOD(1+IFERROR(MATCH($C1059,总览!$D$46:$D$345,1)+1,1),7)=0),$C$3,0),0)</f>
        <v>1356.06666666666</v>
      </c>
      <c r="H1059" s="131" cm="1">
        <f ca="1" t="array" ref="H1059">IF(H1661=1,OFFSET($W$634,$B1059,H$631-1)/SUMPRODUCT(--($D$631:$V$631=H$631),--($D1661:$V1661=1)),0)+SUM(H1058)+IF(COUNTIF(H$1237:H1661,1)=1,5,0)+IF(COUNTIF(I1059:$W1059,"&gt;"&amp;0)&lt;5,IF(AND(COUNTIF(H$1237:H1661,1)&gt;7,MOD(1+IFERROR(MATCH($C1059,总览!$D$46:$D$345,1)+1,1),7)=0),$C$3,0),0)</f>
        <v>1356.06666666666</v>
      </c>
      <c r="I1059" s="131" cm="1">
        <f ca="1" t="array" ref="I1059">IF(I1661=1,OFFSET($W$634,$B1059,I$631-1)/SUMPRODUCT(--($D$631:$V$631=I$631),--($D1661:$V1661=1)),0)+SUM(I1058)+IF(COUNTIF(I$1237:I1661,1)=1,5,0)+IF(COUNTIF(J1059:$W1059,"&gt;"&amp;0)&lt;5,IF(AND(COUNTIF(I$1237:I1661,1)&gt;7,MOD(1+IFERROR(MATCH($C1059,总览!$D$46:$D$345,1)+1,1),7)=0),$C$3,0),0)</f>
        <v>1356.06666666666</v>
      </c>
      <c r="J1059" s="131" cm="1">
        <f ca="1" t="array" ref="J1059">IF(J1661=1,OFFSET($W$634,$B1059,J$631-1)/SUMPRODUCT(--($D$631:$V$631=J$631),--($D1661:$V1661=1)),0)+SUM(J1058)+IF(COUNTIF(J$1237:J1661,1)=1,5,0)+IF(COUNTIF(K1059:$W1059,"&gt;"&amp;0)&lt;5,IF(AND(COUNTIF(J$1237:J1661,1)&gt;7,MOD(1+IFERROR(MATCH($C1059,总览!$D$46:$D$345,1)+1,1),7)=0),$C$3,0),0)</f>
        <v>1352.73333333333</v>
      </c>
      <c r="K1059" s="131" cm="1">
        <f ca="1" t="array" ref="K1059">IF(K1661=1,OFFSET($W$634,$B1059,K$631-1)/SUMPRODUCT(--($D$631:$V$631=K$631),--($D1661:$V1661=1)),0)+SUM(K1058)+IF(COUNTIF(K$1237:K1661,1)=1,5,0)+IF(COUNTIF(L1059:$W1059,"&gt;"&amp;0)&lt;5,IF(AND(COUNTIF(K$1237:K1661,1)&gt;7,MOD(1+IFERROR(MATCH($C1059,总览!$D$46:$D$345,1)+1,1),7)=0),$C$3,0),0)</f>
        <v>1350.23333333333</v>
      </c>
      <c r="L1059" s="131" cm="1">
        <f ca="1" t="array" ref="L1059">IF(L1661=1,OFFSET($W$634,$B1059,L$631-1)/SUMPRODUCT(--($D$631:$V$631=L$631),--($D1661:$V1661=1)),0)+SUM(L1058)+IF(COUNTIF(L$1237:L1661,1)=1,5,0)+IF(COUNTIF(M1059:$W1059,"&gt;"&amp;0)&lt;5,IF(AND(COUNTIF(L$1237:L1661,1)&gt;7,MOD(1+IFERROR(MATCH($C1059,总览!$D$46:$D$345,1)+1,1),7)=0),$C$3,0),0)</f>
        <v>1350.23333333333</v>
      </c>
      <c r="M1059" s="131" cm="1">
        <f ca="1" t="array" ref="M1059">IF(M1661=1,OFFSET($W$634,$B1059,M$631-1)/SUMPRODUCT(--($D$631:$V$631=M$631),--($D1661:$V1661=1)),0)+SUM(M1058)+IF(COUNTIF(M$1237:M1661,1)=1,5,0)+IF(COUNTIF(N1059:$W1059,"&gt;"&amp;0)&lt;5,IF(AND(COUNTIF(M$1237:M1661,1)&gt;7,MOD(1+IFERROR(MATCH($C1059,总览!$D$46:$D$345,1)+1,1),7)=0),$C$3,0),0)</f>
        <v>564.895535714288</v>
      </c>
      <c r="N1059" s="131" cm="1">
        <f ca="1" t="array" ref="N1059">IF(N1661=1,OFFSET($W$634,$B1059,N$631-1)/SUMPRODUCT(--($D$631:$V$631=N$631),--($D1661:$V1661=1)),0)+SUM(N1058)+IF(COUNTIF(N$1237:N1661,1)=1,5,0)+IF(COUNTIF(O1059:$W1059,"&gt;"&amp;0)&lt;5,IF(AND(COUNTIF(N$1237:N1661,1)&gt;7,MOD(1+IFERROR(MATCH($C1059,总览!$D$46:$D$345,1)+1,1),7)=0),$C$3,0),0)</f>
        <v>566.145535714288</v>
      </c>
      <c r="O1059" s="131" cm="1">
        <f ca="1" t="array" ref="O1059">IF(O1661=1,OFFSET($W$634,$B1059,O$631-1)/SUMPRODUCT(--($D$631:$V$631=O$631),--($D1661:$V1661=1)),0)+SUM(O1058)+IF(COUNTIF(O$1237:O1661,1)=1,5,0)+IF(COUNTIF(P1059:$W1059,"&gt;"&amp;0)&lt;5,IF(AND(COUNTIF(O$1237:O1661,1)&gt;7,MOD(1+IFERROR(MATCH($C1059,总览!$D$46:$D$345,1)+1,1),7)=0),$C$3,0),0)</f>
        <v>571.145535714288</v>
      </c>
      <c r="P1059" s="131" cm="1">
        <f ca="1" t="array" ref="P1059">IF(P1661=1,OFFSET($W$634,$B1059,P$631-1)/SUMPRODUCT(--($D$631:$V$631=P$631),--($D1661:$V1661=1)),0)+SUM(P1058)+IF(COUNTIF(P$1237:P1661,1)=1,5,0)+IF(COUNTIF(Q1059:$W1059,"&gt;"&amp;0)&lt;5,IF(AND(COUNTIF(P$1237:P1661,1)&gt;7,MOD(1+IFERROR(MATCH($C1059,总览!$D$46:$D$345,1)+1,1),7)=0),$C$3,0),0)</f>
        <v>560.264285714288</v>
      </c>
      <c r="Q1059" s="131" cm="1">
        <f ca="1" t="array" ref="Q1059">IF(Q1661=1,OFFSET($W$634,$B1059,Q$631-1)/SUMPRODUCT(--($D$631:$V$631=Q$631),--($D1661:$V1661=1)),0)+SUM(Q1058)+IF(COUNTIF(Q$1237:Q1661,1)=1,5,0)+IF(COUNTIF(R1059:$W1059,"&gt;"&amp;0)&lt;5,IF(AND(COUNTIF(Q$1237:Q1661,1)&gt;7,MOD(1+IFERROR(MATCH($C1059,总览!$D$46:$D$345,1)+1,1),7)=0),$C$3,0),0)</f>
        <v>573.645535714288</v>
      </c>
      <c r="R1059" s="131" cm="1">
        <f ca="1" t="array" ref="R1059">IF(R1661=1,OFFSET($W$634,$B1059,R$631-1)/SUMPRODUCT(--($D$631:$V$631=R$631),--($D1661:$V1661=1)),0)+SUM(R1058)+IF(COUNTIF(R$1237:R1661,1)=1,5,0)+IF(COUNTIF(S1059:$W1059,"&gt;"&amp;0)&lt;5,IF(AND(COUNTIF(R$1237:R1661,1)&gt;7,MOD(1+IFERROR(MATCH($C1059,总览!$D$46:$D$345,1)+1,1),7)=0),$C$3,0),0)</f>
        <v>565.264285714288</v>
      </c>
      <c r="S1059" s="131" cm="1">
        <f ca="1" t="array" ref="S1059">IF(S1661=1,OFFSET($W$634,$B1059,S$631-1)/SUMPRODUCT(--($D$631:$V$631=S$631),--($D1661:$V1661=1)),0)+SUM(S1058)+IF(COUNTIF(S$1237:S1661,1)=1,5,0)+IF(COUNTIF(T1059:$W1059,"&gt;"&amp;0)&lt;5,IF(AND(COUNTIF(S$1237:S1661,1)&gt;7,MOD(1+IFERROR(MATCH($C1059,总览!$D$46:$D$345,1)+1,1),7)=0),$C$3,0),0)</f>
        <v>657.764285714289</v>
      </c>
      <c r="T1059" s="131" cm="1">
        <f ca="1" t="array" ref="T1059">IF(T1661=1,OFFSET($W$634,$B1059,T$631-1)/SUMPRODUCT(--($D$631:$V$631=T$631),--($D1661:$V1661=1)),0)+SUM(T1058)+IF(COUNTIF(T$1237:T1661,1)=1,5,0)+IF(COUNTIF(U1059:$W1059,"&gt;"&amp;0)&lt;5,IF(AND(COUNTIF(T$1237:T1661,1)&gt;7,MOD(1+IFERROR(MATCH($C1059,总览!$D$46:$D$345,1)+1,1),7)=0),$C$3,0),0)</f>
        <v>481.384116834465</v>
      </c>
      <c r="U1059" s="131" cm="1">
        <f ca="1" t="array" ref="U1059">IF(U1661=1,OFFSET($W$634,$B1059,U$631-1)/SUMPRODUCT(--($D$631:$V$631=U$631),--($D1661:$V1661=1)),0)+SUM(U1058)+IF(COUNTIF(U$1237:U1661,1)=1,5,0)+IF(COUNTIF(V1059:$W1059,"&gt;"&amp;0)&lt;5,IF(AND(COUNTIF(U$1237:U1661,1)&gt;7,MOD(1+IFERROR(MATCH($C1059,总览!$D$46:$D$345,1)+1,1),7)=0),$C$3,0),0)</f>
        <v>486.904903189765</v>
      </c>
      <c r="V1059" s="131" cm="1">
        <f ca="1" t="array" ref="V1059">IF(V1661=1,OFFSET($W$634,$B1059,V$631-1)/SUMPRODUCT(--($D$631:$V$631=V$631),--($D1661:$V1661=1)),0)+SUM(V1058)+IF(COUNTIF(V$1237:V1661,1)=1,5,0)+IF(COUNTIF(W1059:$W1059,"&gt;"&amp;0)&lt;5,IF(AND(COUNTIF(V$1237:V1661,1)&gt;7,MOD(1+IFERROR(MATCH($C1059,总览!$D$46:$D$345,1)+1,1),7)=0),$C$3,0),0)</f>
        <v>506.731902902198</v>
      </c>
      <c r="W1059" s="135" cm="1">
        <f ca="1" t="array" ref="W1059">SUMPRODUCT(TRANSPOSE($AA1059:$AG1059),OFFSET($L$9:$L$15,0,W$631-1))</f>
        <v>16.8502200646615</v>
      </c>
      <c r="X1059" s="135" cm="1">
        <f ca="1" t="array" ref="X1059">SUMPRODUCT(TRANSPOSE($AA1059:$AG1059),OFFSET($L$9:$L$15,0,X$631-1))</f>
        <v>20</v>
      </c>
      <c r="Y1059" s="135" cm="1">
        <f ca="1" t="array" ref="Y1059">SUMPRODUCT(TRANSPOSE($AA1059:$AG1059),OFFSET($L$9:$L$15,0,Y$631-1))</f>
        <v>10</v>
      </c>
      <c r="Z1059" s="135" cm="1">
        <f ca="1" t="array" ref="Z1059">SUMPRODUCT(TRANSPOSE($AA1059:$AG1059),OFFSET($L$9:$L$15,0,Z$631-1))</f>
        <v>3.14977993533847</v>
      </c>
      <c r="AA1059" s="136">
        <f ca="1" t="shared" ref="AA1059:AG1059" si="1101">AH1059-AH1058</f>
        <v>0</v>
      </c>
      <c r="AB1059" s="136">
        <f ca="1" t="shared" si="1101"/>
        <v>0</v>
      </c>
      <c r="AC1059" s="136">
        <f ca="1" t="shared" si="1101"/>
        <v>0</v>
      </c>
      <c r="AD1059" s="136">
        <f ca="1" t="shared" si="1101"/>
        <v>0</v>
      </c>
      <c r="AE1059" s="136">
        <f ca="1" t="shared" si="1101"/>
        <v>0</v>
      </c>
      <c r="AF1059" s="136">
        <f ca="1" t="shared" si="1101"/>
        <v>0</v>
      </c>
      <c r="AG1059" s="136">
        <f ca="1" t="shared" si="1101"/>
        <v>100</v>
      </c>
      <c r="AH1059" s="136">
        <f ca="1" t="shared" si="1021"/>
        <v>450</v>
      </c>
      <c r="AI1059" s="136">
        <f ca="1" t="shared" ref="AI1059:AN1059" si="1102">IF($C1059&gt;OFFSET($Q$8,MATCH(AI$634,$AH$634:$AN$634,0),0),OFFSET($P$8,MATCH(AI$634,$AH$634:$AN$634,0),0),MAX(0,$C1059-OFFSET($Q$8,RIGHT(AI$634,1)-1,0)))</f>
        <v>909</v>
      </c>
      <c r="AJ1059" s="136">
        <f ca="1" t="shared" si="1102"/>
        <v>1818</v>
      </c>
      <c r="AK1059" s="136">
        <f ca="1" t="shared" si="1102"/>
        <v>2727</v>
      </c>
      <c r="AL1059" s="136">
        <f ca="1" t="shared" si="1102"/>
        <v>3636</v>
      </c>
      <c r="AM1059" s="136">
        <f ca="1" t="shared" si="1102"/>
        <v>4545</v>
      </c>
      <c r="AN1059" s="136">
        <f ca="1" t="shared" si="1102"/>
        <v>28415</v>
      </c>
    </row>
    <row r="1060" s="106" customFormat="1" ht="16.5" spans="2:40">
      <c r="B1060" s="117">
        <v>426</v>
      </c>
      <c r="C1060" s="130">
        <f t="shared" si="1019"/>
        <v>42600</v>
      </c>
      <c r="D1060" s="131" cm="1">
        <f ca="1" t="array" ref="D1060">IF(D1662=1,OFFSET($W$634,$B1060,D$631-1)/SUMPRODUCT(--($D$631:$V$631=D$631),--($D1662:$V1662=1)),0)+SUM(D1059)+IF(COUNTIF(D$1237:D1662,1)=1,5,0)+IF(COUNTIF(E1060:$W1060,"&gt;"&amp;0)&lt;5,IF(AND(COUNTIF(D$1237:D1662,1)&gt;7,MOD(1+IFERROR(MATCH($C1060,总览!$D$46:$D$345,1)+1,1),7)=0),$C$3,0),0)</f>
        <v>2720.43476571276</v>
      </c>
      <c r="E1060" s="131" cm="1">
        <f ca="1" t="array" ref="E1060">IF(E1662=1,OFFSET($W$634,$B1060,E$631-1)/SUMPRODUCT(--($D$631:$V$631=E$631),--($D1662:$V1662=1)),0)+SUM(E1059)+IF(COUNTIF(E$1237:E1662,1)=1,5,0)+IF(COUNTIF(F1060:$W1060,"&gt;"&amp;0)&lt;5,IF(AND(COUNTIF(E$1237:E1662,1)&gt;7,MOD(1+IFERROR(MATCH($C1060,总览!$D$46:$D$345,1)+1,1),7)=0),$C$3,0),0)</f>
        <v>2720.43476571276</v>
      </c>
      <c r="F1060" s="131" cm="1">
        <f ca="1" t="array" ref="F1060">IF(F1662=1,OFFSET($W$634,$B1060,F$631-1)/SUMPRODUCT(--($D$631:$V$631=F$631),--($D1662:$V1662=1)),0)+SUM(F1059)+IF(COUNTIF(F$1237:F1662,1)=1,5,0)+IF(COUNTIF(G1060:$W1060,"&gt;"&amp;0)&lt;5,IF(AND(COUNTIF(F$1237:F1662,1)&gt;7,MOD(1+IFERROR(MATCH($C1060,总览!$D$46:$D$345,1)+1,1),7)=0),$C$3,0),0)</f>
        <v>2720.43476571276</v>
      </c>
      <c r="G1060" s="131" cm="1">
        <f ca="1" t="array" ref="G1060">IF(G1662=1,OFFSET($W$634,$B1060,G$631-1)/SUMPRODUCT(--($D$631:$V$631=G$631),--($D1662:$V1662=1)),0)+SUM(G1059)+IF(COUNTIF(G$1237:G1662,1)=1,5,0)+IF(COUNTIF(H1060:$W1060,"&gt;"&amp;0)&lt;5,IF(AND(COUNTIF(G$1237:G1662,1)&gt;7,MOD(1+IFERROR(MATCH($C1060,总览!$D$46:$D$345,1)+1,1),7)=0),$C$3,0),0)</f>
        <v>1359.4</v>
      </c>
      <c r="H1060" s="131" cm="1">
        <f ca="1" t="array" ref="H1060">IF(H1662=1,OFFSET($W$634,$B1060,H$631-1)/SUMPRODUCT(--($D$631:$V$631=H$631),--($D1662:$V1662=1)),0)+SUM(H1059)+IF(COUNTIF(H$1237:H1662,1)=1,5,0)+IF(COUNTIF(I1060:$W1060,"&gt;"&amp;0)&lt;5,IF(AND(COUNTIF(H$1237:H1662,1)&gt;7,MOD(1+IFERROR(MATCH($C1060,总览!$D$46:$D$345,1)+1,1),7)=0),$C$3,0),0)</f>
        <v>1359.4</v>
      </c>
      <c r="I1060" s="131" cm="1">
        <f ca="1" t="array" ref="I1060">IF(I1662=1,OFFSET($W$634,$B1060,I$631-1)/SUMPRODUCT(--($D$631:$V$631=I$631),--($D1662:$V1662=1)),0)+SUM(I1059)+IF(COUNTIF(I$1237:I1662,1)=1,5,0)+IF(COUNTIF(J1060:$W1060,"&gt;"&amp;0)&lt;5,IF(AND(COUNTIF(I$1237:I1662,1)&gt;7,MOD(1+IFERROR(MATCH($C1060,总览!$D$46:$D$345,1)+1,1),7)=0),$C$3,0),0)</f>
        <v>1359.4</v>
      </c>
      <c r="J1060" s="131" cm="1">
        <f ca="1" t="array" ref="J1060">IF(J1662=1,OFFSET($W$634,$B1060,J$631-1)/SUMPRODUCT(--($D$631:$V$631=J$631),--($D1662:$V1662=1)),0)+SUM(J1059)+IF(COUNTIF(J$1237:J1662,1)=1,5,0)+IF(COUNTIF(K1060:$W1060,"&gt;"&amp;0)&lt;5,IF(AND(COUNTIF(J$1237:J1662,1)&gt;7,MOD(1+IFERROR(MATCH($C1060,总览!$D$46:$D$345,1)+1,1),7)=0),$C$3,0),0)</f>
        <v>1356.06666666666</v>
      </c>
      <c r="K1060" s="131" cm="1">
        <f ca="1" t="array" ref="K1060">IF(K1662=1,OFFSET($W$634,$B1060,K$631-1)/SUMPRODUCT(--($D$631:$V$631=K$631),--($D1662:$V1662=1)),0)+SUM(K1059)+IF(COUNTIF(K$1237:K1662,1)=1,5,0)+IF(COUNTIF(L1060:$W1060,"&gt;"&amp;0)&lt;5,IF(AND(COUNTIF(K$1237:K1662,1)&gt;7,MOD(1+IFERROR(MATCH($C1060,总览!$D$46:$D$345,1)+1,1),7)=0),$C$3,0),0)</f>
        <v>1353.56666666666</v>
      </c>
      <c r="L1060" s="131" cm="1">
        <f ca="1" t="array" ref="L1060">IF(L1662=1,OFFSET($W$634,$B1060,L$631-1)/SUMPRODUCT(--($D$631:$V$631=L$631),--($D1662:$V1662=1)),0)+SUM(L1059)+IF(COUNTIF(L$1237:L1662,1)=1,5,0)+IF(COUNTIF(M1060:$W1060,"&gt;"&amp;0)&lt;5,IF(AND(COUNTIF(L$1237:L1662,1)&gt;7,MOD(1+IFERROR(MATCH($C1060,总览!$D$46:$D$345,1)+1,1),7)=0),$C$3,0),0)</f>
        <v>1353.56666666666</v>
      </c>
      <c r="M1060" s="131" cm="1">
        <f ca="1" t="array" ref="M1060">IF(M1662=1,OFFSET($W$634,$B1060,M$631-1)/SUMPRODUCT(--($D$631:$V$631=M$631),--($D1662:$V1662=1)),0)+SUM(M1059)+IF(COUNTIF(M$1237:M1662,1)=1,5,0)+IF(COUNTIF(N1060:$W1060,"&gt;"&amp;0)&lt;5,IF(AND(COUNTIF(M$1237:M1662,1)&gt;7,MOD(1+IFERROR(MATCH($C1060,总览!$D$46:$D$345,1)+1,1),7)=0),$C$3,0),0)</f>
        <v>566.324107142859</v>
      </c>
      <c r="N1060" s="131" cm="1">
        <f ca="1" t="array" ref="N1060">IF(N1662=1,OFFSET($W$634,$B1060,N$631-1)/SUMPRODUCT(--($D$631:$V$631=N$631),--($D1662:$V1662=1)),0)+SUM(N1059)+IF(COUNTIF(N$1237:N1662,1)=1,5,0)+IF(COUNTIF(O1060:$W1060,"&gt;"&amp;0)&lt;5,IF(AND(COUNTIF(N$1237:N1662,1)&gt;7,MOD(1+IFERROR(MATCH($C1060,总览!$D$46:$D$345,1)+1,1),7)=0),$C$3,0),0)</f>
        <v>567.574107142859</v>
      </c>
      <c r="O1060" s="131" cm="1">
        <f ca="1" t="array" ref="O1060">IF(O1662=1,OFFSET($W$634,$B1060,O$631-1)/SUMPRODUCT(--($D$631:$V$631=O$631),--($D1662:$V1662=1)),0)+SUM(O1059)+IF(COUNTIF(O$1237:O1662,1)=1,5,0)+IF(COUNTIF(P1060:$W1060,"&gt;"&amp;0)&lt;5,IF(AND(COUNTIF(O$1237:O1662,1)&gt;7,MOD(1+IFERROR(MATCH($C1060,总览!$D$46:$D$345,1)+1,1),7)=0),$C$3,0),0)</f>
        <v>572.574107142859</v>
      </c>
      <c r="P1060" s="131" cm="1">
        <f ca="1" t="array" ref="P1060">IF(P1662=1,OFFSET($W$634,$B1060,P$631-1)/SUMPRODUCT(--($D$631:$V$631=P$631),--($D1662:$V1662=1)),0)+SUM(P1059)+IF(COUNTIF(P$1237:P1662,1)=1,5,0)+IF(COUNTIF(Q1060:$W1060,"&gt;"&amp;0)&lt;5,IF(AND(COUNTIF(P$1237:P1662,1)&gt;7,MOD(1+IFERROR(MATCH($C1060,总览!$D$46:$D$345,1)+1,1),7)=0),$C$3,0),0)</f>
        <v>561.692857142859</v>
      </c>
      <c r="Q1060" s="131" cm="1">
        <f ca="1" t="array" ref="Q1060">IF(Q1662=1,OFFSET($W$634,$B1060,Q$631-1)/SUMPRODUCT(--($D$631:$V$631=Q$631),--($D1662:$V1662=1)),0)+SUM(Q1059)+IF(COUNTIF(Q$1237:Q1662,1)=1,5,0)+IF(COUNTIF(R1060:$W1060,"&gt;"&amp;0)&lt;5,IF(AND(COUNTIF(Q$1237:Q1662,1)&gt;7,MOD(1+IFERROR(MATCH($C1060,总览!$D$46:$D$345,1)+1,1),7)=0),$C$3,0),0)</f>
        <v>575.074107142859</v>
      </c>
      <c r="R1060" s="131" cm="1">
        <f ca="1" t="array" ref="R1060">IF(R1662=1,OFFSET($W$634,$B1060,R$631-1)/SUMPRODUCT(--($D$631:$V$631=R$631),--($D1662:$V1662=1)),0)+SUM(R1059)+IF(COUNTIF(R$1237:R1662,1)=1,5,0)+IF(COUNTIF(S1060:$W1060,"&gt;"&amp;0)&lt;5,IF(AND(COUNTIF(R$1237:R1662,1)&gt;7,MOD(1+IFERROR(MATCH($C1060,总览!$D$46:$D$345,1)+1,1),7)=0),$C$3,0),0)</f>
        <v>566.692857142859</v>
      </c>
      <c r="S1060" s="131" cm="1">
        <f ca="1" t="array" ref="S1060">IF(S1662=1,OFFSET($W$634,$B1060,S$631-1)/SUMPRODUCT(--($D$631:$V$631=S$631),--($D1662:$V1662=1)),0)+SUM(S1059)+IF(COUNTIF(S$1237:S1662,1)=1,5,0)+IF(COUNTIF(T1060:$W1060,"&gt;"&amp;0)&lt;5,IF(AND(COUNTIF(S$1237:S1662,1)&gt;7,MOD(1+IFERROR(MATCH($C1060,总览!$D$46:$D$345,1)+1,1),7)=0),$C$3,0),0)</f>
        <v>659.192857142861</v>
      </c>
      <c r="T1060" s="131" cm="1">
        <f ca="1" t="array" ref="T1060">IF(T1662=1,OFFSET($W$634,$B1060,T$631-1)/SUMPRODUCT(--($D$631:$V$631=T$631),--($D1662:$V1662=1)),0)+SUM(T1059)+IF(COUNTIF(T$1237:T1662,1)=1,5,0)+IF(COUNTIF(U1060:$W1060,"&gt;"&amp;0)&lt;5,IF(AND(COUNTIF(T$1237:T1662,1)&gt;7,MOD(1+IFERROR(MATCH($C1060,总览!$D$46:$D$345,1)+1,1),7)=0),$C$3,0),0)</f>
        <v>482.434043479578</v>
      </c>
      <c r="U1060" s="131" cm="1">
        <f ca="1" t="array" ref="U1060">IF(U1662=1,OFFSET($W$634,$B1060,U$631-1)/SUMPRODUCT(--($D$631:$V$631=U$631),--($D1662:$V1662=1)),0)+SUM(U1059)+IF(COUNTIF(U$1237:U1662,1)=1,5,0)+IF(COUNTIF(V1060:$W1060,"&gt;"&amp;0)&lt;5,IF(AND(COUNTIF(U$1237:U1662,1)&gt;7,MOD(1+IFERROR(MATCH($C1060,总览!$D$46:$D$345,1)+1,1),7)=0),$C$3,0),0)</f>
        <v>487.954829834877</v>
      </c>
      <c r="V1060" s="131" cm="1">
        <f ca="1" t="array" ref="V1060">IF(V1662=1,OFFSET($W$634,$B1060,V$631-1)/SUMPRODUCT(--($D$631:$V$631=V$631),--($D1662:$V1662=1)),0)+SUM(V1059)+IF(COUNTIF(V$1237:V1662,1)=1,5,0)+IF(COUNTIF(W1060:$W1060,"&gt;"&amp;0)&lt;5,IF(AND(COUNTIF(V$1237:V1662,1)&gt;7,MOD(1+IFERROR(MATCH($C1060,总览!$D$46:$D$345,1)+1,1),7)=0),$C$3,0),0)</f>
        <v>507.78182954731</v>
      </c>
      <c r="W1060" s="135" cm="1">
        <f ca="1" t="array" ref="W1060">SUMPRODUCT(TRANSPOSE($AA1060:$AG1060),OFFSET($L$9:$L$15,0,W$631-1))</f>
        <v>16.8502200646615</v>
      </c>
      <c r="X1060" s="135" cm="1">
        <f ca="1" t="array" ref="X1060">SUMPRODUCT(TRANSPOSE($AA1060:$AG1060),OFFSET($L$9:$L$15,0,X$631-1))</f>
        <v>20</v>
      </c>
      <c r="Y1060" s="135" cm="1">
        <f ca="1" t="array" ref="Y1060">SUMPRODUCT(TRANSPOSE($AA1060:$AG1060),OFFSET($L$9:$L$15,0,Y$631-1))</f>
        <v>10</v>
      </c>
      <c r="Z1060" s="135" cm="1">
        <f ca="1" t="array" ref="Z1060">SUMPRODUCT(TRANSPOSE($AA1060:$AG1060),OFFSET($L$9:$L$15,0,Z$631-1))</f>
        <v>3.14977993533847</v>
      </c>
      <c r="AA1060" s="136">
        <f ca="1" t="shared" ref="AA1060:AG1060" si="1103">AH1060-AH1059</f>
        <v>0</v>
      </c>
      <c r="AB1060" s="136">
        <f ca="1" t="shared" si="1103"/>
        <v>0</v>
      </c>
      <c r="AC1060" s="136">
        <f ca="1" t="shared" si="1103"/>
        <v>0</v>
      </c>
      <c r="AD1060" s="136">
        <f ca="1" t="shared" si="1103"/>
        <v>0</v>
      </c>
      <c r="AE1060" s="136">
        <f ca="1" t="shared" si="1103"/>
        <v>0</v>
      </c>
      <c r="AF1060" s="136">
        <f ca="1" t="shared" si="1103"/>
        <v>0</v>
      </c>
      <c r="AG1060" s="136">
        <f ca="1" t="shared" si="1103"/>
        <v>100</v>
      </c>
      <c r="AH1060" s="136">
        <f ca="1" t="shared" si="1021"/>
        <v>450</v>
      </c>
      <c r="AI1060" s="136">
        <f ca="1" t="shared" ref="AI1060:AN1060" si="1104">IF($C1060&gt;OFFSET($Q$8,MATCH(AI$634,$AH$634:$AN$634,0),0),OFFSET($P$8,MATCH(AI$634,$AH$634:$AN$634,0),0),MAX(0,$C1060-OFFSET($Q$8,RIGHT(AI$634,1)-1,0)))</f>
        <v>909</v>
      </c>
      <c r="AJ1060" s="136">
        <f ca="1" t="shared" si="1104"/>
        <v>1818</v>
      </c>
      <c r="AK1060" s="136">
        <f ca="1" t="shared" si="1104"/>
        <v>2727</v>
      </c>
      <c r="AL1060" s="136">
        <f ca="1" t="shared" si="1104"/>
        <v>3636</v>
      </c>
      <c r="AM1060" s="136">
        <f ca="1" t="shared" si="1104"/>
        <v>4545</v>
      </c>
      <c r="AN1060" s="136">
        <f ca="1" t="shared" si="1104"/>
        <v>28515</v>
      </c>
    </row>
    <row r="1061" s="106" customFormat="1" ht="16.5" spans="2:40">
      <c r="B1061" s="117">
        <v>427</v>
      </c>
      <c r="C1061" s="130">
        <f t="shared" si="1019"/>
        <v>42700</v>
      </c>
      <c r="D1061" s="131" cm="1">
        <f ca="1" t="array" ref="D1061">IF(D1663=1,OFFSET($W$634,$B1061,D$631-1)/SUMPRODUCT(--($D$631:$V$631=D$631),--($D1663:$V1663=1)),0)+SUM(D1060)+IF(COUNTIF(D$1237:D1663,1)=1,5,0)+IF(COUNTIF(E1061:$W1061,"&gt;"&amp;0)&lt;5,IF(AND(COUNTIF(D$1237:D1663,1)&gt;7,MOD(1+IFERROR(MATCH($C1061,总览!$D$46:$D$345,1)+1,1),7)=0),$C$3,0),0)</f>
        <v>2726.05150573432</v>
      </c>
      <c r="E1061" s="131" cm="1">
        <f ca="1" t="array" ref="E1061">IF(E1663=1,OFFSET($W$634,$B1061,E$631-1)/SUMPRODUCT(--($D$631:$V$631=E$631),--($D1663:$V1663=1)),0)+SUM(E1060)+IF(COUNTIF(E$1237:E1663,1)=1,5,0)+IF(COUNTIF(F1061:$W1061,"&gt;"&amp;0)&lt;5,IF(AND(COUNTIF(E$1237:E1663,1)&gt;7,MOD(1+IFERROR(MATCH($C1061,总览!$D$46:$D$345,1)+1,1),7)=0),$C$3,0),0)</f>
        <v>2726.05150573432</v>
      </c>
      <c r="F1061" s="131" cm="1">
        <f ca="1" t="array" ref="F1061">IF(F1663=1,OFFSET($W$634,$B1061,F$631-1)/SUMPRODUCT(--($D$631:$V$631=F$631),--($D1663:$V1663=1)),0)+SUM(F1060)+IF(COUNTIF(F$1237:F1663,1)=1,5,0)+IF(COUNTIF(G1061:$W1061,"&gt;"&amp;0)&lt;5,IF(AND(COUNTIF(F$1237:F1663,1)&gt;7,MOD(1+IFERROR(MATCH($C1061,总览!$D$46:$D$345,1)+1,1),7)=0),$C$3,0),0)</f>
        <v>2726.05150573432</v>
      </c>
      <c r="G1061" s="131" cm="1">
        <f ca="1" t="array" ref="G1061">IF(G1663=1,OFFSET($W$634,$B1061,G$631-1)/SUMPRODUCT(--($D$631:$V$631=G$631),--($D1663:$V1663=1)),0)+SUM(G1060)+IF(COUNTIF(G$1237:G1663,1)=1,5,0)+IF(COUNTIF(H1061:$W1061,"&gt;"&amp;0)&lt;5,IF(AND(COUNTIF(G$1237:G1663,1)&gt;7,MOD(1+IFERROR(MATCH($C1061,总览!$D$46:$D$345,1)+1,1),7)=0),$C$3,0),0)</f>
        <v>1362.73333333333</v>
      </c>
      <c r="H1061" s="131" cm="1">
        <f ca="1" t="array" ref="H1061">IF(H1663=1,OFFSET($W$634,$B1061,H$631-1)/SUMPRODUCT(--($D$631:$V$631=H$631),--($D1663:$V1663=1)),0)+SUM(H1060)+IF(COUNTIF(H$1237:H1663,1)=1,5,0)+IF(COUNTIF(I1061:$W1061,"&gt;"&amp;0)&lt;5,IF(AND(COUNTIF(H$1237:H1663,1)&gt;7,MOD(1+IFERROR(MATCH($C1061,总览!$D$46:$D$345,1)+1,1),7)=0),$C$3,0),0)</f>
        <v>1362.73333333333</v>
      </c>
      <c r="I1061" s="131" cm="1">
        <f ca="1" t="array" ref="I1061">IF(I1663=1,OFFSET($W$634,$B1061,I$631-1)/SUMPRODUCT(--($D$631:$V$631=I$631),--($D1663:$V1663=1)),0)+SUM(I1060)+IF(COUNTIF(I$1237:I1663,1)=1,5,0)+IF(COUNTIF(J1061:$W1061,"&gt;"&amp;0)&lt;5,IF(AND(COUNTIF(I$1237:I1663,1)&gt;7,MOD(1+IFERROR(MATCH($C1061,总览!$D$46:$D$345,1)+1,1),7)=0),$C$3,0),0)</f>
        <v>1362.73333333333</v>
      </c>
      <c r="J1061" s="131" cm="1">
        <f ca="1" t="array" ref="J1061">IF(J1663=1,OFFSET($W$634,$B1061,J$631-1)/SUMPRODUCT(--($D$631:$V$631=J$631),--($D1663:$V1663=1)),0)+SUM(J1060)+IF(COUNTIF(J$1237:J1663,1)=1,5,0)+IF(COUNTIF(K1061:$W1061,"&gt;"&amp;0)&lt;5,IF(AND(COUNTIF(J$1237:J1663,1)&gt;7,MOD(1+IFERROR(MATCH($C1061,总览!$D$46:$D$345,1)+1,1),7)=0),$C$3,0),0)</f>
        <v>1359.4</v>
      </c>
      <c r="K1061" s="131" cm="1">
        <f ca="1" t="array" ref="K1061">IF(K1663=1,OFFSET($W$634,$B1061,K$631-1)/SUMPRODUCT(--($D$631:$V$631=K$631),--($D1663:$V1663=1)),0)+SUM(K1060)+IF(COUNTIF(K$1237:K1663,1)=1,5,0)+IF(COUNTIF(L1061:$W1061,"&gt;"&amp;0)&lt;5,IF(AND(COUNTIF(K$1237:K1663,1)&gt;7,MOD(1+IFERROR(MATCH($C1061,总览!$D$46:$D$345,1)+1,1),7)=0),$C$3,0),0)</f>
        <v>1356.9</v>
      </c>
      <c r="L1061" s="131" cm="1">
        <f ca="1" t="array" ref="L1061">IF(L1663=1,OFFSET($W$634,$B1061,L$631-1)/SUMPRODUCT(--($D$631:$V$631=L$631),--($D1663:$V1663=1)),0)+SUM(L1060)+IF(COUNTIF(L$1237:L1663,1)=1,5,0)+IF(COUNTIF(M1061:$W1061,"&gt;"&amp;0)&lt;5,IF(AND(COUNTIF(L$1237:L1663,1)&gt;7,MOD(1+IFERROR(MATCH($C1061,总览!$D$46:$D$345,1)+1,1),7)=0),$C$3,0),0)</f>
        <v>1356.9</v>
      </c>
      <c r="M1061" s="131" cm="1">
        <f ca="1" t="array" ref="M1061">IF(M1663=1,OFFSET($W$634,$B1061,M$631-1)/SUMPRODUCT(--($D$631:$V$631=M$631),--($D1663:$V1663=1)),0)+SUM(M1060)+IF(COUNTIF(M$1237:M1663,1)=1,5,0)+IF(COUNTIF(N1061:$W1061,"&gt;"&amp;0)&lt;5,IF(AND(COUNTIF(M$1237:M1663,1)&gt;7,MOD(1+IFERROR(MATCH($C1061,总览!$D$46:$D$345,1)+1,1),7)=0),$C$3,0),0)</f>
        <v>567.752678571431</v>
      </c>
      <c r="N1061" s="131" cm="1">
        <f ca="1" t="array" ref="N1061">IF(N1663=1,OFFSET($W$634,$B1061,N$631-1)/SUMPRODUCT(--($D$631:$V$631=N$631),--($D1663:$V1663=1)),0)+SUM(N1060)+IF(COUNTIF(N$1237:N1663,1)=1,5,0)+IF(COUNTIF(O1061:$W1061,"&gt;"&amp;0)&lt;5,IF(AND(COUNTIF(N$1237:N1663,1)&gt;7,MOD(1+IFERROR(MATCH($C1061,总览!$D$46:$D$345,1)+1,1),7)=0),$C$3,0),0)</f>
        <v>569.002678571431</v>
      </c>
      <c r="O1061" s="131" cm="1">
        <f ca="1" t="array" ref="O1061">IF(O1663=1,OFFSET($W$634,$B1061,O$631-1)/SUMPRODUCT(--($D$631:$V$631=O$631),--($D1663:$V1663=1)),0)+SUM(O1060)+IF(COUNTIF(O$1237:O1663,1)=1,5,0)+IF(COUNTIF(P1061:$W1061,"&gt;"&amp;0)&lt;5,IF(AND(COUNTIF(O$1237:O1663,1)&gt;7,MOD(1+IFERROR(MATCH($C1061,总览!$D$46:$D$345,1)+1,1),7)=0),$C$3,0),0)</f>
        <v>574.002678571431</v>
      </c>
      <c r="P1061" s="131" cm="1">
        <f ca="1" t="array" ref="P1061">IF(P1663=1,OFFSET($W$634,$B1061,P$631-1)/SUMPRODUCT(--($D$631:$V$631=P$631),--($D1663:$V1663=1)),0)+SUM(P1060)+IF(COUNTIF(P$1237:P1663,1)=1,5,0)+IF(COUNTIF(Q1061:$W1061,"&gt;"&amp;0)&lt;5,IF(AND(COUNTIF(P$1237:P1663,1)&gt;7,MOD(1+IFERROR(MATCH($C1061,总览!$D$46:$D$345,1)+1,1),7)=0),$C$3,0),0)</f>
        <v>563.121428571431</v>
      </c>
      <c r="Q1061" s="131" cm="1">
        <f ca="1" t="array" ref="Q1061">IF(Q1663=1,OFFSET($W$634,$B1061,Q$631-1)/SUMPRODUCT(--($D$631:$V$631=Q$631),--($D1663:$V1663=1)),0)+SUM(Q1060)+IF(COUNTIF(Q$1237:Q1663,1)=1,5,0)+IF(COUNTIF(R1061:$W1061,"&gt;"&amp;0)&lt;5,IF(AND(COUNTIF(Q$1237:Q1663,1)&gt;7,MOD(1+IFERROR(MATCH($C1061,总览!$D$46:$D$345,1)+1,1),7)=0),$C$3,0),0)</f>
        <v>576.502678571431</v>
      </c>
      <c r="R1061" s="131" cm="1">
        <f ca="1" t="array" ref="R1061">IF(R1663=1,OFFSET($W$634,$B1061,R$631-1)/SUMPRODUCT(--($D$631:$V$631=R$631),--($D1663:$V1663=1)),0)+SUM(R1060)+IF(COUNTIF(R$1237:R1663,1)=1,5,0)+IF(COUNTIF(S1061:$W1061,"&gt;"&amp;0)&lt;5,IF(AND(COUNTIF(R$1237:R1663,1)&gt;7,MOD(1+IFERROR(MATCH($C1061,总览!$D$46:$D$345,1)+1,1),7)=0),$C$3,0),0)</f>
        <v>568.121428571431</v>
      </c>
      <c r="S1061" s="131" cm="1">
        <f ca="1" t="array" ref="S1061">IF(S1663=1,OFFSET($W$634,$B1061,S$631-1)/SUMPRODUCT(--($D$631:$V$631=S$631),--($D1663:$V1663=1)),0)+SUM(S1060)+IF(COUNTIF(S$1237:S1663,1)=1,5,0)+IF(COUNTIF(T1061:$W1061,"&gt;"&amp;0)&lt;5,IF(AND(COUNTIF(S$1237:S1663,1)&gt;7,MOD(1+IFERROR(MATCH($C1061,总览!$D$46:$D$345,1)+1,1),7)=0),$C$3,0),0)</f>
        <v>660.621428571432</v>
      </c>
      <c r="T1061" s="131" cm="1">
        <f ca="1" t="array" ref="T1061">IF(T1663=1,OFFSET($W$634,$B1061,T$631-1)/SUMPRODUCT(--($D$631:$V$631=T$631),--($D1663:$V1663=1)),0)+SUM(T1060)+IF(COUNTIF(T$1237:T1663,1)=1,5,0)+IF(COUNTIF(U1061:$W1061,"&gt;"&amp;0)&lt;5,IF(AND(COUNTIF(T$1237:T1663,1)&gt;7,MOD(1+IFERROR(MATCH($C1061,总览!$D$46:$D$345,1)+1,1),7)=0),$C$3,0),0)</f>
        <v>483.483970124691</v>
      </c>
      <c r="U1061" s="131" cm="1">
        <f ca="1" t="array" ref="U1061">IF(U1663=1,OFFSET($W$634,$B1061,U$631-1)/SUMPRODUCT(--($D$631:$V$631=U$631),--($D1663:$V1663=1)),0)+SUM(U1060)+IF(COUNTIF(U$1237:U1663,1)=1,5,0)+IF(COUNTIF(V1061:$W1061,"&gt;"&amp;0)&lt;5,IF(AND(COUNTIF(U$1237:U1663,1)&gt;7,MOD(1+IFERROR(MATCH($C1061,总览!$D$46:$D$345,1)+1,1),7)=0),$C$3,0),0)</f>
        <v>489.00475647999</v>
      </c>
      <c r="V1061" s="131" cm="1">
        <f ca="1" t="array" ref="V1061">IF(V1663=1,OFFSET($W$634,$B1061,V$631-1)/SUMPRODUCT(--($D$631:$V$631=V$631),--($D1663:$V1663=1)),0)+SUM(V1060)+IF(COUNTIF(V$1237:V1663,1)=1,5,0)+IF(COUNTIF(W1061:$W1061,"&gt;"&amp;0)&lt;5,IF(AND(COUNTIF(V$1237:V1663,1)&gt;7,MOD(1+IFERROR(MATCH($C1061,总览!$D$46:$D$345,1)+1,1),7)=0),$C$3,0),0)</f>
        <v>508.831756192423</v>
      </c>
      <c r="W1061" s="135" cm="1">
        <f ca="1" t="array" ref="W1061">SUMPRODUCT(TRANSPOSE($AA1061:$AG1061),OFFSET($L$9:$L$15,0,W$631-1))</f>
        <v>16.8502200646615</v>
      </c>
      <c r="X1061" s="135" cm="1">
        <f ca="1" t="array" ref="X1061">SUMPRODUCT(TRANSPOSE($AA1061:$AG1061),OFFSET($L$9:$L$15,0,X$631-1))</f>
        <v>20</v>
      </c>
      <c r="Y1061" s="135" cm="1">
        <f ca="1" t="array" ref="Y1061">SUMPRODUCT(TRANSPOSE($AA1061:$AG1061),OFFSET($L$9:$L$15,0,Y$631-1))</f>
        <v>10</v>
      </c>
      <c r="Z1061" s="135" cm="1">
        <f ca="1" t="array" ref="Z1061">SUMPRODUCT(TRANSPOSE($AA1061:$AG1061),OFFSET($L$9:$L$15,0,Z$631-1))</f>
        <v>3.14977993533847</v>
      </c>
      <c r="AA1061" s="136">
        <f ca="1" t="shared" ref="AA1061:AG1061" si="1105">AH1061-AH1060</f>
        <v>0</v>
      </c>
      <c r="AB1061" s="136">
        <f ca="1" t="shared" si="1105"/>
        <v>0</v>
      </c>
      <c r="AC1061" s="136">
        <f ca="1" t="shared" si="1105"/>
        <v>0</v>
      </c>
      <c r="AD1061" s="136">
        <f ca="1" t="shared" si="1105"/>
        <v>0</v>
      </c>
      <c r="AE1061" s="136">
        <f ca="1" t="shared" si="1105"/>
        <v>0</v>
      </c>
      <c r="AF1061" s="136">
        <f ca="1" t="shared" si="1105"/>
        <v>0</v>
      </c>
      <c r="AG1061" s="136">
        <f ca="1" t="shared" si="1105"/>
        <v>100</v>
      </c>
      <c r="AH1061" s="136">
        <f ca="1" t="shared" si="1021"/>
        <v>450</v>
      </c>
      <c r="AI1061" s="136">
        <f ca="1" t="shared" ref="AI1061:AN1061" si="1106">IF($C1061&gt;OFFSET($Q$8,MATCH(AI$634,$AH$634:$AN$634,0),0),OFFSET($P$8,MATCH(AI$634,$AH$634:$AN$634,0),0),MAX(0,$C1061-OFFSET($Q$8,RIGHT(AI$634,1)-1,0)))</f>
        <v>909</v>
      </c>
      <c r="AJ1061" s="136">
        <f ca="1" t="shared" si="1106"/>
        <v>1818</v>
      </c>
      <c r="AK1061" s="136">
        <f ca="1" t="shared" si="1106"/>
        <v>2727</v>
      </c>
      <c r="AL1061" s="136">
        <f ca="1" t="shared" si="1106"/>
        <v>3636</v>
      </c>
      <c r="AM1061" s="136">
        <f ca="1" t="shared" si="1106"/>
        <v>4545</v>
      </c>
      <c r="AN1061" s="136">
        <f ca="1" t="shared" si="1106"/>
        <v>28615</v>
      </c>
    </row>
    <row r="1062" s="106" customFormat="1" ht="16.5" spans="2:40">
      <c r="B1062" s="117">
        <v>428</v>
      </c>
      <c r="C1062" s="130">
        <f t="shared" si="1019"/>
        <v>42800</v>
      </c>
      <c r="D1062" s="131" cm="1">
        <f ca="1" t="array" ref="D1062">IF(D1664=1,OFFSET($W$634,$B1062,D$631-1)/SUMPRODUCT(--($D$631:$V$631=D$631),--($D1664:$V1664=1)),0)+SUM(D1061)+IF(COUNTIF(D$1237:D1664,1)=1,5,0)+IF(COUNTIF(E1062:$W1062,"&gt;"&amp;0)&lt;5,IF(AND(COUNTIF(D$1237:D1664,1)&gt;7,MOD(1+IFERROR(MATCH($C1062,总览!$D$46:$D$345,1)+1,1),7)=0),$C$3,0),0)</f>
        <v>2731.66824575587</v>
      </c>
      <c r="E1062" s="131" cm="1">
        <f ca="1" t="array" ref="E1062">IF(E1664=1,OFFSET($W$634,$B1062,E$631-1)/SUMPRODUCT(--($D$631:$V$631=E$631),--($D1664:$V1664=1)),0)+SUM(E1061)+IF(COUNTIF(E$1237:E1664,1)=1,5,0)+IF(COUNTIF(F1062:$W1062,"&gt;"&amp;0)&lt;5,IF(AND(COUNTIF(E$1237:E1664,1)&gt;7,MOD(1+IFERROR(MATCH($C1062,总览!$D$46:$D$345,1)+1,1),7)=0),$C$3,0),0)</f>
        <v>2731.66824575587</v>
      </c>
      <c r="F1062" s="131" cm="1">
        <f ca="1" t="array" ref="F1062">IF(F1664=1,OFFSET($W$634,$B1062,F$631-1)/SUMPRODUCT(--($D$631:$V$631=F$631),--($D1664:$V1664=1)),0)+SUM(F1061)+IF(COUNTIF(F$1237:F1664,1)=1,5,0)+IF(COUNTIF(G1062:$W1062,"&gt;"&amp;0)&lt;5,IF(AND(COUNTIF(F$1237:F1664,1)&gt;7,MOD(1+IFERROR(MATCH($C1062,总览!$D$46:$D$345,1)+1,1),7)=0),$C$3,0),0)</f>
        <v>2731.66824575587</v>
      </c>
      <c r="G1062" s="131" cm="1">
        <f ca="1" t="array" ref="G1062">IF(G1664=1,OFFSET($W$634,$B1062,G$631-1)/SUMPRODUCT(--($D$631:$V$631=G$631),--($D1664:$V1664=1)),0)+SUM(G1061)+IF(COUNTIF(G$1237:G1664,1)=1,5,0)+IF(COUNTIF(H1062:$W1062,"&gt;"&amp;0)&lt;5,IF(AND(COUNTIF(G$1237:G1664,1)&gt;7,MOD(1+IFERROR(MATCH($C1062,总览!$D$46:$D$345,1)+1,1),7)=0),$C$3,0),0)</f>
        <v>1366.06666666666</v>
      </c>
      <c r="H1062" s="131" cm="1">
        <f ca="1" t="array" ref="H1062">IF(H1664=1,OFFSET($W$634,$B1062,H$631-1)/SUMPRODUCT(--($D$631:$V$631=H$631),--($D1664:$V1664=1)),0)+SUM(H1061)+IF(COUNTIF(H$1237:H1664,1)=1,5,0)+IF(COUNTIF(I1062:$W1062,"&gt;"&amp;0)&lt;5,IF(AND(COUNTIF(H$1237:H1664,1)&gt;7,MOD(1+IFERROR(MATCH($C1062,总览!$D$46:$D$345,1)+1,1),7)=0),$C$3,0),0)</f>
        <v>1366.06666666666</v>
      </c>
      <c r="I1062" s="131" cm="1">
        <f ca="1" t="array" ref="I1062">IF(I1664=1,OFFSET($W$634,$B1062,I$631-1)/SUMPRODUCT(--($D$631:$V$631=I$631),--($D1664:$V1664=1)),0)+SUM(I1061)+IF(COUNTIF(I$1237:I1664,1)=1,5,0)+IF(COUNTIF(J1062:$W1062,"&gt;"&amp;0)&lt;5,IF(AND(COUNTIF(I$1237:I1664,1)&gt;7,MOD(1+IFERROR(MATCH($C1062,总览!$D$46:$D$345,1)+1,1),7)=0),$C$3,0),0)</f>
        <v>1366.06666666666</v>
      </c>
      <c r="J1062" s="131" cm="1">
        <f ca="1" t="array" ref="J1062">IF(J1664=1,OFFSET($W$634,$B1062,J$631-1)/SUMPRODUCT(--($D$631:$V$631=J$631),--($D1664:$V1664=1)),0)+SUM(J1061)+IF(COUNTIF(J$1237:J1664,1)=1,5,0)+IF(COUNTIF(K1062:$W1062,"&gt;"&amp;0)&lt;5,IF(AND(COUNTIF(J$1237:J1664,1)&gt;7,MOD(1+IFERROR(MATCH($C1062,总览!$D$46:$D$345,1)+1,1),7)=0),$C$3,0),0)</f>
        <v>1362.73333333333</v>
      </c>
      <c r="K1062" s="131" cm="1">
        <f ca="1" t="array" ref="K1062">IF(K1664=1,OFFSET($W$634,$B1062,K$631-1)/SUMPRODUCT(--($D$631:$V$631=K$631),--($D1664:$V1664=1)),0)+SUM(K1061)+IF(COUNTIF(K$1237:K1664,1)=1,5,0)+IF(COUNTIF(L1062:$W1062,"&gt;"&amp;0)&lt;5,IF(AND(COUNTIF(K$1237:K1664,1)&gt;7,MOD(1+IFERROR(MATCH($C1062,总览!$D$46:$D$345,1)+1,1),7)=0),$C$3,0),0)</f>
        <v>1360.23333333333</v>
      </c>
      <c r="L1062" s="131" cm="1">
        <f ca="1" t="array" ref="L1062">IF(L1664=1,OFFSET($W$634,$B1062,L$631-1)/SUMPRODUCT(--($D$631:$V$631=L$631),--($D1664:$V1664=1)),0)+SUM(L1061)+IF(COUNTIF(L$1237:L1664,1)=1,5,0)+IF(COUNTIF(M1062:$W1062,"&gt;"&amp;0)&lt;5,IF(AND(COUNTIF(L$1237:L1664,1)&gt;7,MOD(1+IFERROR(MATCH($C1062,总览!$D$46:$D$345,1)+1,1),7)=0),$C$3,0),0)</f>
        <v>1360.23333333333</v>
      </c>
      <c r="M1062" s="131" cm="1">
        <f ca="1" t="array" ref="M1062">IF(M1664=1,OFFSET($W$634,$B1062,M$631-1)/SUMPRODUCT(--($D$631:$V$631=M$631),--($D1664:$V1664=1)),0)+SUM(M1061)+IF(COUNTIF(M$1237:M1664,1)=1,5,0)+IF(COUNTIF(N1062:$W1062,"&gt;"&amp;0)&lt;5,IF(AND(COUNTIF(M$1237:M1664,1)&gt;7,MOD(1+IFERROR(MATCH($C1062,总览!$D$46:$D$345,1)+1,1),7)=0),$C$3,0),0)</f>
        <v>569.181250000002</v>
      </c>
      <c r="N1062" s="131" cm="1">
        <f ca="1" t="array" ref="N1062">IF(N1664=1,OFFSET($W$634,$B1062,N$631-1)/SUMPRODUCT(--($D$631:$V$631=N$631),--($D1664:$V1664=1)),0)+SUM(N1061)+IF(COUNTIF(N$1237:N1664,1)=1,5,0)+IF(COUNTIF(O1062:$W1062,"&gt;"&amp;0)&lt;5,IF(AND(COUNTIF(N$1237:N1664,1)&gt;7,MOD(1+IFERROR(MATCH($C1062,总览!$D$46:$D$345,1)+1,1),7)=0),$C$3,0),0)</f>
        <v>570.431250000002</v>
      </c>
      <c r="O1062" s="131" cm="1">
        <f ca="1" t="array" ref="O1062">IF(O1664=1,OFFSET($W$634,$B1062,O$631-1)/SUMPRODUCT(--($D$631:$V$631=O$631),--($D1664:$V1664=1)),0)+SUM(O1061)+IF(COUNTIF(O$1237:O1664,1)=1,5,0)+IF(COUNTIF(P1062:$W1062,"&gt;"&amp;0)&lt;5,IF(AND(COUNTIF(O$1237:O1664,1)&gt;7,MOD(1+IFERROR(MATCH($C1062,总览!$D$46:$D$345,1)+1,1),7)=0),$C$3,0),0)</f>
        <v>575.431250000002</v>
      </c>
      <c r="P1062" s="131" cm="1">
        <f ca="1" t="array" ref="P1062">IF(P1664=1,OFFSET($W$634,$B1062,P$631-1)/SUMPRODUCT(--($D$631:$V$631=P$631),--($D1664:$V1664=1)),0)+SUM(P1061)+IF(COUNTIF(P$1237:P1664,1)=1,5,0)+IF(COUNTIF(Q1062:$W1062,"&gt;"&amp;0)&lt;5,IF(AND(COUNTIF(P$1237:P1664,1)&gt;7,MOD(1+IFERROR(MATCH($C1062,总览!$D$46:$D$345,1)+1,1),7)=0),$C$3,0),0)</f>
        <v>564.550000000002</v>
      </c>
      <c r="Q1062" s="131" cm="1">
        <f ca="1" t="array" ref="Q1062">IF(Q1664=1,OFFSET($W$634,$B1062,Q$631-1)/SUMPRODUCT(--($D$631:$V$631=Q$631),--($D1664:$V1664=1)),0)+SUM(Q1061)+IF(COUNTIF(Q$1237:Q1664,1)=1,5,0)+IF(COUNTIF(R1062:$W1062,"&gt;"&amp;0)&lt;5,IF(AND(COUNTIF(Q$1237:Q1664,1)&gt;7,MOD(1+IFERROR(MATCH($C1062,总览!$D$46:$D$345,1)+1,1),7)=0),$C$3,0),0)</f>
        <v>577.931250000002</v>
      </c>
      <c r="R1062" s="131" cm="1">
        <f ca="1" t="array" ref="R1062">IF(R1664=1,OFFSET($W$634,$B1062,R$631-1)/SUMPRODUCT(--($D$631:$V$631=R$631),--($D1664:$V1664=1)),0)+SUM(R1061)+IF(COUNTIF(R$1237:R1664,1)=1,5,0)+IF(COUNTIF(S1062:$W1062,"&gt;"&amp;0)&lt;5,IF(AND(COUNTIF(R$1237:R1664,1)&gt;7,MOD(1+IFERROR(MATCH($C1062,总览!$D$46:$D$345,1)+1,1),7)=0),$C$3,0),0)</f>
        <v>569.550000000002</v>
      </c>
      <c r="S1062" s="131" cm="1">
        <f ca="1" t="array" ref="S1062">IF(S1664=1,OFFSET($W$634,$B1062,S$631-1)/SUMPRODUCT(--($D$631:$V$631=S$631),--($D1664:$V1664=1)),0)+SUM(S1061)+IF(COUNTIF(S$1237:S1664,1)=1,5,0)+IF(COUNTIF(T1062:$W1062,"&gt;"&amp;0)&lt;5,IF(AND(COUNTIF(S$1237:S1664,1)&gt;7,MOD(1+IFERROR(MATCH($C1062,总览!$D$46:$D$345,1)+1,1),7)=0),$C$3,0),0)</f>
        <v>662.050000000003</v>
      </c>
      <c r="T1062" s="131" cm="1">
        <f ca="1" t="array" ref="T1062">IF(T1664=1,OFFSET($W$634,$B1062,T$631-1)/SUMPRODUCT(--($D$631:$V$631=T$631),--($D1664:$V1664=1)),0)+SUM(T1061)+IF(COUNTIF(T$1237:T1664,1)=1,5,0)+IF(COUNTIF(U1062:$W1062,"&gt;"&amp;0)&lt;5,IF(AND(COUNTIF(T$1237:T1664,1)&gt;7,MOD(1+IFERROR(MATCH($C1062,总览!$D$46:$D$345,1)+1,1),7)=0),$C$3,0),0)</f>
        <v>484.533896769804</v>
      </c>
      <c r="U1062" s="131" cm="1">
        <f ca="1" t="array" ref="U1062">IF(U1664=1,OFFSET($W$634,$B1062,U$631-1)/SUMPRODUCT(--($D$631:$V$631=U$631),--($D1664:$V1664=1)),0)+SUM(U1061)+IF(COUNTIF(U$1237:U1664,1)=1,5,0)+IF(COUNTIF(V1062:$W1062,"&gt;"&amp;0)&lt;5,IF(AND(COUNTIF(U$1237:U1664,1)&gt;7,MOD(1+IFERROR(MATCH($C1062,总览!$D$46:$D$345,1)+1,1),7)=0),$C$3,0),0)</f>
        <v>490.054683125103</v>
      </c>
      <c r="V1062" s="131" cm="1">
        <f ca="1" t="array" ref="V1062">IF(V1664=1,OFFSET($W$634,$B1062,V$631-1)/SUMPRODUCT(--($D$631:$V$631=V$631),--($D1664:$V1664=1)),0)+SUM(V1061)+IF(COUNTIF(V$1237:V1664,1)=1,5,0)+IF(COUNTIF(W1062:$W1062,"&gt;"&amp;0)&lt;5,IF(AND(COUNTIF(V$1237:V1664,1)&gt;7,MOD(1+IFERROR(MATCH($C1062,总览!$D$46:$D$345,1)+1,1),7)=0),$C$3,0),0)</f>
        <v>509.881682837536</v>
      </c>
      <c r="W1062" s="135" cm="1">
        <f ca="1" t="array" ref="W1062">SUMPRODUCT(TRANSPOSE($AA1062:$AG1062),OFFSET($L$9:$L$15,0,W$631-1))</f>
        <v>16.8502200646615</v>
      </c>
      <c r="X1062" s="135" cm="1">
        <f ca="1" t="array" ref="X1062">SUMPRODUCT(TRANSPOSE($AA1062:$AG1062),OFFSET($L$9:$L$15,0,X$631-1))</f>
        <v>20</v>
      </c>
      <c r="Y1062" s="135" cm="1">
        <f ca="1" t="array" ref="Y1062">SUMPRODUCT(TRANSPOSE($AA1062:$AG1062),OFFSET($L$9:$L$15,0,Y$631-1))</f>
        <v>10</v>
      </c>
      <c r="Z1062" s="135" cm="1">
        <f ca="1" t="array" ref="Z1062">SUMPRODUCT(TRANSPOSE($AA1062:$AG1062),OFFSET($L$9:$L$15,0,Z$631-1))</f>
        <v>3.14977993533847</v>
      </c>
      <c r="AA1062" s="136">
        <f ca="1" t="shared" ref="AA1062:AG1062" si="1107">AH1062-AH1061</f>
        <v>0</v>
      </c>
      <c r="AB1062" s="136">
        <f ca="1" t="shared" si="1107"/>
        <v>0</v>
      </c>
      <c r="AC1062" s="136">
        <f ca="1" t="shared" si="1107"/>
        <v>0</v>
      </c>
      <c r="AD1062" s="136">
        <f ca="1" t="shared" si="1107"/>
        <v>0</v>
      </c>
      <c r="AE1062" s="136">
        <f ca="1" t="shared" si="1107"/>
        <v>0</v>
      </c>
      <c r="AF1062" s="136">
        <f ca="1" t="shared" si="1107"/>
        <v>0</v>
      </c>
      <c r="AG1062" s="136">
        <f ca="1" t="shared" si="1107"/>
        <v>100</v>
      </c>
      <c r="AH1062" s="136">
        <f ca="1" t="shared" si="1021"/>
        <v>450</v>
      </c>
      <c r="AI1062" s="136">
        <f ca="1" t="shared" ref="AI1062:AN1062" si="1108">IF($C1062&gt;OFFSET($Q$8,MATCH(AI$634,$AH$634:$AN$634,0),0),OFFSET($P$8,MATCH(AI$634,$AH$634:$AN$634,0),0),MAX(0,$C1062-OFFSET($Q$8,RIGHT(AI$634,1)-1,0)))</f>
        <v>909</v>
      </c>
      <c r="AJ1062" s="136">
        <f ca="1" t="shared" si="1108"/>
        <v>1818</v>
      </c>
      <c r="AK1062" s="136">
        <f ca="1" t="shared" si="1108"/>
        <v>2727</v>
      </c>
      <c r="AL1062" s="136">
        <f ca="1" t="shared" si="1108"/>
        <v>3636</v>
      </c>
      <c r="AM1062" s="136">
        <f ca="1" t="shared" si="1108"/>
        <v>4545</v>
      </c>
      <c r="AN1062" s="136">
        <f ca="1" t="shared" si="1108"/>
        <v>28715</v>
      </c>
    </row>
    <row r="1063" s="106" customFormat="1" ht="16.5" spans="2:40">
      <c r="B1063" s="117">
        <v>429</v>
      </c>
      <c r="C1063" s="130">
        <f t="shared" si="1019"/>
        <v>42900</v>
      </c>
      <c r="D1063" s="131" cm="1">
        <f ca="1" t="array" ref="D1063">IF(D1665=1,OFFSET($W$634,$B1063,D$631-1)/SUMPRODUCT(--($D$631:$V$631=D$631),--($D1665:$V1665=1)),0)+SUM(D1062)+IF(COUNTIF(D$1237:D1665,1)=1,5,0)+IF(COUNTIF(E1063:$W1063,"&gt;"&amp;0)&lt;5,IF(AND(COUNTIF(D$1237:D1665,1)&gt;7,MOD(1+IFERROR(MATCH($C1063,总览!$D$46:$D$345,1)+1,1),7)=0),$C$3,0),0)</f>
        <v>2737.28498577742</v>
      </c>
      <c r="E1063" s="131" cm="1">
        <f ca="1" t="array" ref="E1063">IF(E1665=1,OFFSET($W$634,$B1063,E$631-1)/SUMPRODUCT(--($D$631:$V$631=E$631),--($D1665:$V1665=1)),0)+SUM(E1062)+IF(COUNTIF(E$1237:E1665,1)=1,5,0)+IF(COUNTIF(F1063:$W1063,"&gt;"&amp;0)&lt;5,IF(AND(COUNTIF(E$1237:E1665,1)&gt;7,MOD(1+IFERROR(MATCH($C1063,总览!$D$46:$D$345,1)+1,1),7)=0),$C$3,0),0)</f>
        <v>2737.28498577742</v>
      </c>
      <c r="F1063" s="131" cm="1">
        <f ca="1" t="array" ref="F1063">IF(F1665=1,OFFSET($W$634,$B1063,F$631-1)/SUMPRODUCT(--($D$631:$V$631=F$631),--($D1665:$V1665=1)),0)+SUM(F1062)+IF(COUNTIF(F$1237:F1665,1)=1,5,0)+IF(COUNTIF(G1063:$W1063,"&gt;"&amp;0)&lt;5,IF(AND(COUNTIF(F$1237:F1665,1)&gt;7,MOD(1+IFERROR(MATCH($C1063,总览!$D$46:$D$345,1)+1,1),7)=0),$C$3,0),0)</f>
        <v>2737.28498577742</v>
      </c>
      <c r="G1063" s="131" cm="1">
        <f ca="1" t="array" ref="G1063">IF(G1665=1,OFFSET($W$634,$B1063,G$631-1)/SUMPRODUCT(--($D$631:$V$631=G$631),--($D1665:$V1665=1)),0)+SUM(G1062)+IF(COUNTIF(G$1237:G1665,1)=1,5,0)+IF(COUNTIF(H1063:$W1063,"&gt;"&amp;0)&lt;5,IF(AND(COUNTIF(G$1237:G1665,1)&gt;7,MOD(1+IFERROR(MATCH($C1063,总览!$D$46:$D$345,1)+1,1),7)=0),$C$3,0),0)</f>
        <v>1369.4</v>
      </c>
      <c r="H1063" s="131" cm="1">
        <f ca="1" t="array" ref="H1063">IF(H1665=1,OFFSET($W$634,$B1063,H$631-1)/SUMPRODUCT(--($D$631:$V$631=H$631),--($D1665:$V1665=1)),0)+SUM(H1062)+IF(COUNTIF(H$1237:H1665,1)=1,5,0)+IF(COUNTIF(I1063:$W1063,"&gt;"&amp;0)&lt;5,IF(AND(COUNTIF(H$1237:H1665,1)&gt;7,MOD(1+IFERROR(MATCH($C1063,总览!$D$46:$D$345,1)+1,1),7)=0),$C$3,0),0)</f>
        <v>1369.4</v>
      </c>
      <c r="I1063" s="131" cm="1">
        <f ca="1" t="array" ref="I1063">IF(I1665=1,OFFSET($W$634,$B1063,I$631-1)/SUMPRODUCT(--($D$631:$V$631=I$631),--($D1665:$V1665=1)),0)+SUM(I1062)+IF(COUNTIF(I$1237:I1665,1)=1,5,0)+IF(COUNTIF(J1063:$W1063,"&gt;"&amp;0)&lt;5,IF(AND(COUNTIF(I$1237:I1665,1)&gt;7,MOD(1+IFERROR(MATCH($C1063,总览!$D$46:$D$345,1)+1,1),7)=0),$C$3,0),0)</f>
        <v>1369.4</v>
      </c>
      <c r="J1063" s="131" cm="1">
        <f ca="1" t="array" ref="J1063">IF(J1665=1,OFFSET($W$634,$B1063,J$631-1)/SUMPRODUCT(--($D$631:$V$631=J$631),--($D1665:$V1665=1)),0)+SUM(J1062)+IF(COUNTIF(J$1237:J1665,1)=1,5,0)+IF(COUNTIF(K1063:$W1063,"&gt;"&amp;0)&lt;5,IF(AND(COUNTIF(J$1237:J1665,1)&gt;7,MOD(1+IFERROR(MATCH($C1063,总览!$D$46:$D$345,1)+1,1),7)=0),$C$3,0),0)</f>
        <v>1366.06666666666</v>
      </c>
      <c r="K1063" s="131" cm="1">
        <f ca="1" t="array" ref="K1063">IF(K1665=1,OFFSET($W$634,$B1063,K$631-1)/SUMPRODUCT(--($D$631:$V$631=K$631),--($D1665:$V1665=1)),0)+SUM(K1062)+IF(COUNTIF(K$1237:K1665,1)=1,5,0)+IF(COUNTIF(L1063:$W1063,"&gt;"&amp;0)&lt;5,IF(AND(COUNTIF(K$1237:K1665,1)&gt;7,MOD(1+IFERROR(MATCH($C1063,总览!$D$46:$D$345,1)+1,1),7)=0),$C$3,0),0)</f>
        <v>1363.56666666666</v>
      </c>
      <c r="L1063" s="131" cm="1">
        <f ca="1" t="array" ref="L1063">IF(L1665=1,OFFSET($W$634,$B1063,L$631-1)/SUMPRODUCT(--($D$631:$V$631=L$631),--($D1665:$V1665=1)),0)+SUM(L1062)+IF(COUNTIF(L$1237:L1665,1)=1,5,0)+IF(COUNTIF(M1063:$W1063,"&gt;"&amp;0)&lt;5,IF(AND(COUNTIF(L$1237:L1665,1)&gt;7,MOD(1+IFERROR(MATCH($C1063,总览!$D$46:$D$345,1)+1,1),7)=0),$C$3,0),0)</f>
        <v>1363.56666666666</v>
      </c>
      <c r="M1063" s="131" cm="1">
        <f ca="1" t="array" ref="M1063">IF(M1665=1,OFFSET($W$634,$B1063,M$631-1)/SUMPRODUCT(--($D$631:$V$631=M$631),--($D1665:$V1665=1)),0)+SUM(M1062)+IF(COUNTIF(M$1237:M1665,1)=1,5,0)+IF(COUNTIF(N1063:$W1063,"&gt;"&amp;0)&lt;5,IF(AND(COUNTIF(M$1237:M1665,1)&gt;7,MOD(1+IFERROR(MATCH($C1063,总览!$D$46:$D$345,1)+1,1),7)=0),$C$3,0),0)</f>
        <v>570.609821428574</v>
      </c>
      <c r="N1063" s="131" cm="1">
        <f ca="1" t="array" ref="N1063">IF(N1665=1,OFFSET($W$634,$B1063,N$631-1)/SUMPRODUCT(--($D$631:$V$631=N$631),--($D1665:$V1665=1)),0)+SUM(N1062)+IF(COUNTIF(N$1237:N1665,1)=1,5,0)+IF(COUNTIF(O1063:$W1063,"&gt;"&amp;0)&lt;5,IF(AND(COUNTIF(N$1237:N1665,1)&gt;7,MOD(1+IFERROR(MATCH($C1063,总览!$D$46:$D$345,1)+1,1),7)=0),$C$3,0),0)</f>
        <v>571.859821428574</v>
      </c>
      <c r="O1063" s="131" cm="1">
        <f ca="1" t="array" ref="O1063">IF(O1665=1,OFFSET($W$634,$B1063,O$631-1)/SUMPRODUCT(--($D$631:$V$631=O$631),--($D1665:$V1665=1)),0)+SUM(O1062)+IF(COUNTIF(O$1237:O1665,1)=1,5,0)+IF(COUNTIF(P1063:$W1063,"&gt;"&amp;0)&lt;5,IF(AND(COUNTIF(O$1237:O1665,1)&gt;7,MOD(1+IFERROR(MATCH($C1063,总览!$D$46:$D$345,1)+1,1),7)=0),$C$3,0),0)</f>
        <v>576.859821428574</v>
      </c>
      <c r="P1063" s="131" cm="1">
        <f ca="1" t="array" ref="P1063">IF(P1665=1,OFFSET($W$634,$B1063,P$631-1)/SUMPRODUCT(--($D$631:$V$631=P$631),--($D1665:$V1665=1)),0)+SUM(P1062)+IF(COUNTIF(P$1237:P1665,1)=1,5,0)+IF(COUNTIF(Q1063:$W1063,"&gt;"&amp;0)&lt;5,IF(AND(COUNTIF(P$1237:P1665,1)&gt;7,MOD(1+IFERROR(MATCH($C1063,总览!$D$46:$D$345,1)+1,1),7)=0),$C$3,0),0)</f>
        <v>565.978571428574</v>
      </c>
      <c r="Q1063" s="131" cm="1">
        <f ca="1" t="array" ref="Q1063">IF(Q1665=1,OFFSET($W$634,$B1063,Q$631-1)/SUMPRODUCT(--($D$631:$V$631=Q$631),--($D1665:$V1665=1)),0)+SUM(Q1062)+IF(COUNTIF(Q$1237:Q1665,1)=1,5,0)+IF(COUNTIF(R1063:$W1063,"&gt;"&amp;0)&lt;5,IF(AND(COUNTIF(Q$1237:Q1665,1)&gt;7,MOD(1+IFERROR(MATCH($C1063,总览!$D$46:$D$345,1)+1,1),7)=0),$C$3,0),0)</f>
        <v>579.359821428574</v>
      </c>
      <c r="R1063" s="131" cm="1">
        <f ca="1" t="array" ref="R1063">IF(R1665=1,OFFSET($W$634,$B1063,R$631-1)/SUMPRODUCT(--($D$631:$V$631=R$631),--($D1665:$V1665=1)),0)+SUM(R1062)+IF(COUNTIF(R$1237:R1665,1)=1,5,0)+IF(COUNTIF(S1063:$W1063,"&gt;"&amp;0)&lt;5,IF(AND(COUNTIF(R$1237:R1665,1)&gt;7,MOD(1+IFERROR(MATCH($C1063,总览!$D$46:$D$345,1)+1,1),7)=0),$C$3,0),0)</f>
        <v>570.978571428574</v>
      </c>
      <c r="S1063" s="131" cm="1">
        <f ca="1" t="array" ref="S1063">IF(S1665=1,OFFSET($W$634,$B1063,S$631-1)/SUMPRODUCT(--($D$631:$V$631=S$631),--($D1665:$V1665=1)),0)+SUM(S1062)+IF(COUNTIF(S$1237:S1665,1)=1,5,0)+IF(COUNTIF(T1063:$W1063,"&gt;"&amp;0)&lt;5,IF(AND(COUNTIF(S$1237:S1665,1)&gt;7,MOD(1+IFERROR(MATCH($C1063,总览!$D$46:$D$345,1)+1,1),7)=0),$C$3,0),0)</f>
        <v>663.478571428575</v>
      </c>
      <c r="T1063" s="131" cm="1">
        <f ca="1" t="array" ref="T1063">IF(T1665=1,OFFSET($W$634,$B1063,T$631-1)/SUMPRODUCT(--($D$631:$V$631=T$631),--($D1665:$V1665=1)),0)+SUM(T1062)+IF(COUNTIF(T$1237:T1665,1)=1,5,0)+IF(COUNTIF(U1063:$W1063,"&gt;"&amp;0)&lt;5,IF(AND(COUNTIF(T$1237:T1665,1)&gt;7,MOD(1+IFERROR(MATCH($C1063,总览!$D$46:$D$345,1)+1,1),7)=0),$C$3,0),0)</f>
        <v>485.583823414916</v>
      </c>
      <c r="U1063" s="131" cm="1">
        <f ca="1" t="array" ref="U1063">IF(U1665=1,OFFSET($W$634,$B1063,U$631-1)/SUMPRODUCT(--($D$631:$V$631=U$631),--($D1665:$V1665=1)),0)+SUM(U1062)+IF(COUNTIF(U$1237:U1665,1)=1,5,0)+IF(COUNTIF(V1063:$W1063,"&gt;"&amp;0)&lt;5,IF(AND(COUNTIF(U$1237:U1665,1)&gt;7,MOD(1+IFERROR(MATCH($C1063,总览!$D$46:$D$345,1)+1,1),7)=0),$C$3,0),0)</f>
        <v>491.104609770216</v>
      </c>
      <c r="V1063" s="131" cm="1">
        <f ca="1" t="array" ref="V1063">IF(V1665=1,OFFSET($W$634,$B1063,V$631-1)/SUMPRODUCT(--($D$631:$V$631=V$631),--($D1665:$V1665=1)),0)+SUM(V1062)+IF(COUNTIF(V$1237:V1665,1)=1,5,0)+IF(COUNTIF(W1063:$W1063,"&gt;"&amp;0)&lt;5,IF(AND(COUNTIF(V$1237:V1665,1)&gt;7,MOD(1+IFERROR(MATCH($C1063,总览!$D$46:$D$345,1)+1,1),7)=0),$C$3,0),0)</f>
        <v>510.931609482649</v>
      </c>
      <c r="W1063" s="135" cm="1">
        <f ca="1" t="array" ref="W1063">SUMPRODUCT(TRANSPOSE($AA1063:$AG1063),OFFSET($L$9:$L$15,0,W$631-1))</f>
        <v>16.8502200646615</v>
      </c>
      <c r="X1063" s="135" cm="1">
        <f ca="1" t="array" ref="X1063">SUMPRODUCT(TRANSPOSE($AA1063:$AG1063),OFFSET($L$9:$L$15,0,X$631-1))</f>
        <v>20</v>
      </c>
      <c r="Y1063" s="135" cm="1">
        <f ca="1" t="array" ref="Y1063">SUMPRODUCT(TRANSPOSE($AA1063:$AG1063),OFFSET($L$9:$L$15,0,Y$631-1))</f>
        <v>10</v>
      </c>
      <c r="Z1063" s="135" cm="1">
        <f ca="1" t="array" ref="Z1063">SUMPRODUCT(TRANSPOSE($AA1063:$AG1063),OFFSET($L$9:$L$15,0,Z$631-1))</f>
        <v>3.14977993533847</v>
      </c>
      <c r="AA1063" s="136">
        <f ca="1" t="shared" ref="AA1063:AG1063" si="1109">AH1063-AH1062</f>
        <v>0</v>
      </c>
      <c r="AB1063" s="136">
        <f ca="1" t="shared" si="1109"/>
        <v>0</v>
      </c>
      <c r="AC1063" s="136">
        <f ca="1" t="shared" si="1109"/>
        <v>0</v>
      </c>
      <c r="AD1063" s="136">
        <f ca="1" t="shared" si="1109"/>
        <v>0</v>
      </c>
      <c r="AE1063" s="136">
        <f ca="1" t="shared" si="1109"/>
        <v>0</v>
      </c>
      <c r="AF1063" s="136">
        <f ca="1" t="shared" si="1109"/>
        <v>0</v>
      </c>
      <c r="AG1063" s="136">
        <f ca="1" t="shared" si="1109"/>
        <v>100</v>
      </c>
      <c r="AH1063" s="136">
        <f ca="1" t="shared" si="1021"/>
        <v>450</v>
      </c>
      <c r="AI1063" s="136">
        <f ca="1" t="shared" ref="AI1063:AN1063" si="1110">IF($C1063&gt;OFFSET($Q$8,MATCH(AI$634,$AH$634:$AN$634,0),0),OFFSET($P$8,MATCH(AI$634,$AH$634:$AN$634,0),0),MAX(0,$C1063-OFFSET($Q$8,RIGHT(AI$634,1)-1,0)))</f>
        <v>909</v>
      </c>
      <c r="AJ1063" s="136">
        <f ca="1" t="shared" si="1110"/>
        <v>1818</v>
      </c>
      <c r="AK1063" s="136">
        <f ca="1" t="shared" si="1110"/>
        <v>2727</v>
      </c>
      <c r="AL1063" s="136">
        <f ca="1" t="shared" si="1110"/>
        <v>3636</v>
      </c>
      <c r="AM1063" s="136">
        <f ca="1" t="shared" si="1110"/>
        <v>4545</v>
      </c>
      <c r="AN1063" s="136">
        <f ca="1" t="shared" si="1110"/>
        <v>28815</v>
      </c>
    </row>
    <row r="1064" s="106" customFormat="1" ht="16.5" spans="2:40">
      <c r="B1064" s="117">
        <v>430</v>
      </c>
      <c r="C1064" s="130">
        <f t="shared" si="1019"/>
        <v>43000</v>
      </c>
      <c r="D1064" s="131" cm="1">
        <f ca="1" t="array" ref="D1064">IF(D1666=1,OFFSET($W$634,$B1064,D$631-1)/SUMPRODUCT(--($D$631:$V$631=D$631),--($D1666:$V1666=1)),0)+SUM(D1063)+IF(COUNTIF(D$1237:D1666,1)=1,5,0)+IF(COUNTIF(E1064:$W1064,"&gt;"&amp;0)&lt;5,IF(AND(COUNTIF(D$1237:D1666,1)&gt;7,MOD(1+IFERROR(MATCH($C1064,总览!$D$46:$D$345,1)+1,1),7)=0),$C$3,0),0)</f>
        <v>2742.90172579898</v>
      </c>
      <c r="E1064" s="131" cm="1">
        <f ca="1" t="array" ref="E1064">IF(E1666=1,OFFSET($W$634,$B1064,E$631-1)/SUMPRODUCT(--($D$631:$V$631=E$631),--($D1666:$V1666=1)),0)+SUM(E1063)+IF(COUNTIF(E$1237:E1666,1)=1,5,0)+IF(COUNTIF(F1064:$W1064,"&gt;"&amp;0)&lt;5,IF(AND(COUNTIF(E$1237:E1666,1)&gt;7,MOD(1+IFERROR(MATCH($C1064,总览!$D$46:$D$345,1)+1,1),7)=0),$C$3,0),0)</f>
        <v>2742.90172579898</v>
      </c>
      <c r="F1064" s="131" cm="1">
        <f ca="1" t="array" ref="F1064">IF(F1666=1,OFFSET($W$634,$B1064,F$631-1)/SUMPRODUCT(--($D$631:$V$631=F$631),--($D1666:$V1666=1)),0)+SUM(F1063)+IF(COUNTIF(F$1237:F1666,1)=1,5,0)+IF(COUNTIF(G1064:$W1064,"&gt;"&amp;0)&lt;5,IF(AND(COUNTIF(F$1237:F1666,1)&gt;7,MOD(1+IFERROR(MATCH($C1064,总览!$D$46:$D$345,1)+1,1),7)=0),$C$3,0),0)</f>
        <v>2742.90172579898</v>
      </c>
      <c r="G1064" s="131" cm="1">
        <f ca="1" t="array" ref="G1064">IF(G1666=1,OFFSET($W$634,$B1064,G$631-1)/SUMPRODUCT(--($D$631:$V$631=G$631),--($D1666:$V1666=1)),0)+SUM(G1063)+IF(COUNTIF(G$1237:G1666,1)=1,5,0)+IF(COUNTIF(H1064:$W1064,"&gt;"&amp;0)&lt;5,IF(AND(COUNTIF(G$1237:G1666,1)&gt;7,MOD(1+IFERROR(MATCH($C1064,总览!$D$46:$D$345,1)+1,1),7)=0),$C$3,0),0)</f>
        <v>1372.73333333333</v>
      </c>
      <c r="H1064" s="131" cm="1">
        <f ca="1" t="array" ref="H1064">IF(H1666=1,OFFSET($W$634,$B1064,H$631-1)/SUMPRODUCT(--($D$631:$V$631=H$631),--($D1666:$V1666=1)),0)+SUM(H1063)+IF(COUNTIF(H$1237:H1666,1)=1,5,0)+IF(COUNTIF(I1064:$W1064,"&gt;"&amp;0)&lt;5,IF(AND(COUNTIF(H$1237:H1666,1)&gt;7,MOD(1+IFERROR(MATCH($C1064,总览!$D$46:$D$345,1)+1,1),7)=0),$C$3,0),0)</f>
        <v>1372.73333333333</v>
      </c>
      <c r="I1064" s="131" cm="1">
        <f ca="1" t="array" ref="I1064">IF(I1666=1,OFFSET($W$634,$B1064,I$631-1)/SUMPRODUCT(--($D$631:$V$631=I$631),--($D1666:$V1666=1)),0)+SUM(I1063)+IF(COUNTIF(I$1237:I1666,1)=1,5,0)+IF(COUNTIF(J1064:$W1064,"&gt;"&amp;0)&lt;5,IF(AND(COUNTIF(I$1237:I1666,1)&gt;7,MOD(1+IFERROR(MATCH($C1064,总览!$D$46:$D$345,1)+1,1),7)=0),$C$3,0),0)</f>
        <v>1372.73333333333</v>
      </c>
      <c r="J1064" s="131" cm="1">
        <f ca="1" t="array" ref="J1064">IF(J1666=1,OFFSET($W$634,$B1064,J$631-1)/SUMPRODUCT(--($D$631:$V$631=J$631),--($D1666:$V1666=1)),0)+SUM(J1063)+IF(COUNTIF(J$1237:J1666,1)=1,5,0)+IF(COUNTIF(K1064:$W1064,"&gt;"&amp;0)&lt;5,IF(AND(COUNTIF(J$1237:J1666,1)&gt;7,MOD(1+IFERROR(MATCH($C1064,总览!$D$46:$D$345,1)+1,1),7)=0),$C$3,0),0)</f>
        <v>1369.4</v>
      </c>
      <c r="K1064" s="131" cm="1">
        <f ca="1" t="array" ref="K1064">IF(K1666=1,OFFSET($W$634,$B1064,K$631-1)/SUMPRODUCT(--($D$631:$V$631=K$631),--($D1666:$V1666=1)),0)+SUM(K1063)+IF(COUNTIF(K$1237:K1666,1)=1,5,0)+IF(COUNTIF(L1064:$W1064,"&gt;"&amp;0)&lt;5,IF(AND(COUNTIF(K$1237:K1666,1)&gt;7,MOD(1+IFERROR(MATCH($C1064,总览!$D$46:$D$345,1)+1,1),7)=0),$C$3,0),0)</f>
        <v>1366.9</v>
      </c>
      <c r="L1064" s="131" cm="1">
        <f ca="1" t="array" ref="L1064">IF(L1666=1,OFFSET($W$634,$B1064,L$631-1)/SUMPRODUCT(--($D$631:$V$631=L$631),--($D1666:$V1666=1)),0)+SUM(L1063)+IF(COUNTIF(L$1237:L1666,1)=1,5,0)+IF(COUNTIF(M1064:$W1064,"&gt;"&amp;0)&lt;5,IF(AND(COUNTIF(L$1237:L1666,1)&gt;7,MOD(1+IFERROR(MATCH($C1064,总览!$D$46:$D$345,1)+1,1),7)=0),$C$3,0),0)</f>
        <v>1366.9</v>
      </c>
      <c r="M1064" s="131" cm="1">
        <f ca="1" t="array" ref="M1064">IF(M1666=1,OFFSET($W$634,$B1064,M$631-1)/SUMPRODUCT(--($D$631:$V$631=M$631),--($D1666:$V1666=1)),0)+SUM(M1063)+IF(COUNTIF(M$1237:M1666,1)=1,5,0)+IF(COUNTIF(N1064:$W1064,"&gt;"&amp;0)&lt;5,IF(AND(COUNTIF(M$1237:M1666,1)&gt;7,MOD(1+IFERROR(MATCH($C1064,总览!$D$46:$D$345,1)+1,1),7)=0),$C$3,0),0)</f>
        <v>572.038392857145</v>
      </c>
      <c r="N1064" s="131" cm="1">
        <f ca="1" t="array" ref="N1064">IF(N1666=1,OFFSET($W$634,$B1064,N$631-1)/SUMPRODUCT(--($D$631:$V$631=N$631),--($D1666:$V1666=1)),0)+SUM(N1063)+IF(COUNTIF(N$1237:N1666,1)=1,5,0)+IF(COUNTIF(O1064:$W1064,"&gt;"&amp;0)&lt;5,IF(AND(COUNTIF(N$1237:N1666,1)&gt;7,MOD(1+IFERROR(MATCH($C1064,总览!$D$46:$D$345,1)+1,1),7)=0),$C$3,0),0)</f>
        <v>573.288392857145</v>
      </c>
      <c r="O1064" s="131" cm="1">
        <f ca="1" t="array" ref="O1064">IF(O1666=1,OFFSET($W$634,$B1064,O$631-1)/SUMPRODUCT(--($D$631:$V$631=O$631),--($D1666:$V1666=1)),0)+SUM(O1063)+IF(COUNTIF(O$1237:O1666,1)=1,5,0)+IF(COUNTIF(P1064:$W1064,"&gt;"&amp;0)&lt;5,IF(AND(COUNTIF(O$1237:O1666,1)&gt;7,MOD(1+IFERROR(MATCH($C1064,总览!$D$46:$D$345,1)+1,1),7)=0),$C$3,0),0)</f>
        <v>578.288392857145</v>
      </c>
      <c r="P1064" s="131" cm="1">
        <f ca="1" t="array" ref="P1064">IF(P1666=1,OFFSET($W$634,$B1064,P$631-1)/SUMPRODUCT(--($D$631:$V$631=P$631),--($D1666:$V1666=1)),0)+SUM(P1063)+IF(COUNTIF(P$1237:P1666,1)=1,5,0)+IF(COUNTIF(Q1064:$W1064,"&gt;"&amp;0)&lt;5,IF(AND(COUNTIF(P$1237:P1666,1)&gt;7,MOD(1+IFERROR(MATCH($C1064,总览!$D$46:$D$345,1)+1,1),7)=0),$C$3,0),0)</f>
        <v>567.407142857145</v>
      </c>
      <c r="Q1064" s="131" cm="1">
        <f ca="1" t="array" ref="Q1064">IF(Q1666=1,OFFSET($W$634,$B1064,Q$631-1)/SUMPRODUCT(--($D$631:$V$631=Q$631),--($D1666:$V1666=1)),0)+SUM(Q1063)+IF(COUNTIF(Q$1237:Q1666,1)=1,5,0)+IF(COUNTIF(R1064:$W1064,"&gt;"&amp;0)&lt;5,IF(AND(COUNTIF(Q$1237:Q1666,1)&gt;7,MOD(1+IFERROR(MATCH($C1064,总览!$D$46:$D$345,1)+1,1),7)=0),$C$3,0),0)</f>
        <v>580.788392857145</v>
      </c>
      <c r="R1064" s="131" cm="1">
        <f ca="1" t="array" ref="R1064">IF(R1666=1,OFFSET($W$634,$B1064,R$631-1)/SUMPRODUCT(--($D$631:$V$631=R$631),--($D1666:$V1666=1)),0)+SUM(R1063)+IF(COUNTIF(R$1237:R1666,1)=1,5,0)+IF(COUNTIF(S1064:$W1064,"&gt;"&amp;0)&lt;5,IF(AND(COUNTIF(R$1237:R1666,1)&gt;7,MOD(1+IFERROR(MATCH($C1064,总览!$D$46:$D$345,1)+1,1),7)=0),$C$3,0),0)</f>
        <v>572.407142857145</v>
      </c>
      <c r="S1064" s="131" cm="1">
        <f ca="1" t="array" ref="S1064">IF(S1666=1,OFFSET($W$634,$B1064,S$631-1)/SUMPRODUCT(--($D$631:$V$631=S$631),--($D1666:$V1666=1)),0)+SUM(S1063)+IF(COUNTIF(S$1237:S1666,1)=1,5,0)+IF(COUNTIF(T1064:$W1064,"&gt;"&amp;0)&lt;5,IF(AND(COUNTIF(S$1237:S1666,1)&gt;7,MOD(1+IFERROR(MATCH($C1064,总览!$D$46:$D$345,1)+1,1),7)=0),$C$3,0),0)</f>
        <v>664.907142857146</v>
      </c>
      <c r="T1064" s="131" cm="1">
        <f ca="1" t="array" ref="T1064">IF(T1666=1,OFFSET($W$634,$B1064,T$631-1)/SUMPRODUCT(--($D$631:$V$631=T$631),--($D1666:$V1666=1)),0)+SUM(T1063)+IF(COUNTIF(T$1237:T1666,1)=1,5,0)+IF(COUNTIF(U1064:$W1064,"&gt;"&amp;0)&lt;5,IF(AND(COUNTIF(T$1237:T1666,1)&gt;7,MOD(1+IFERROR(MATCH($C1064,总览!$D$46:$D$345,1)+1,1),7)=0),$C$3,0),0)</f>
        <v>486.633750060029</v>
      </c>
      <c r="U1064" s="131" cm="1">
        <f ca="1" t="array" ref="U1064">IF(U1666=1,OFFSET($W$634,$B1064,U$631-1)/SUMPRODUCT(--($D$631:$V$631=U$631),--($D1666:$V1666=1)),0)+SUM(U1063)+IF(COUNTIF(U$1237:U1666,1)=1,5,0)+IF(COUNTIF(V1064:$W1064,"&gt;"&amp;0)&lt;5,IF(AND(COUNTIF(U$1237:U1666,1)&gt;7,MOD(1+IFERROR(MATCH($C1064,总览!$D$46:$D$345,1)+1,1),7)=0),$C$3,0),0)</f>
        <v>492.154536415329</v>
      </c>
      <c r="V1064" s="131" cm="1">
        <f ca="1" t="array" ref="V1064">IF(V1666=1,OFFSET($W$634,$B1064,V$631-1)/SUMPRODUCT(--($D$631:$V$631=V$631),--($D1666:$V1666=1)),0)+SUM(V1063)+IF(COUNTIF(V$1237:V1666,1)=1,5,0)+IF(COUNTIF(W1064:$W1064,"&gt;"&amp;0)&lt;5,IF(AND(COUNTIF(V$1237:V1666,1)&gt;7,MOD(1+IFERROR(MATCH($C1064,总览!$D$46:$D$345,1)+1,1),7)=0),$C$3,0),0)</f>
        <v>511.981536127762</v>
      </c>
      <c r="W1064" s="135" cm="1">
        <f ca="1" t="array" ref="W1064">SUMPRODUCT(TRANSPOSE($AA1064:$AG1064),OFFSET($L$9:$L$15,0,W$631-1))</f>
        <v>16.8502200646615</v>
      </c>
      <c r="X1064" s="135" cm="1">
        <f ca="1" t="array" ref="X1064">SUMPRODUCT(TRANSPOSE($AA1064:$AG1064),OFFSET($L$9:$L$15,0,X$631-1))</f>
        <v>20</v>
      </c>
      <c r="Y1064" s="135" cm="1">
        <f ca="1" t="array" ref="Y1064">SUMPRODUCT(TRANSPOSE($AA1064:$AG1064),OFFSET($L$9:$L$15,0,Y$631-1))</f>
        <v>10</v>
      </c>
      <c r="Z1064" s="135" cm="1">
        <f ca="1" t="array" ref="Z1064">SUMPRODUCT(TRANSPOSE($AA1064:$AG1064),OFFSET($L$9:$L$15,0,Z$631-1))</f>
        <v>3.14977993533847</v>
      </c>
      <c r="AA1064" s="136">
        <f ca="1" t="shared" ref="AA1064:AG1064" si="1111">AH1064-AH1063</f>
        <v>0</v>
      </c>
      <c r="AB1064" s="136">
        <f ca="1" t="shared" si="1111"/>
        <v>0</v>
      </c>
      <c r="AC1064" s="136">
        <f ca="1" t="shared" si="1111"/>
        <v>0</v>
      </c>
      <c r="AD1064" s="136">
        <f ca="1" t="shared" si="1111"/>
        <v>0</v>
      </c>
      <c r="AE1064" s="136">
        <f ca="1" t="shared" si="1111"/>
        <v>0</v>
      </c>
      <c r="AF1064" s="136">
        <f ca="1" t="shared" si="1111"/>
        <v>0</v>
      </c>
      <c r="AG1064" s="136">
        <f ca="1" t="shared" si="1111"/>
        <v>100</v>
      </c>
      <c r="AH1064" s="136">
        <f ca="1" t="shared" si="1021"/>
        <v>450</v>
      </c>
      <c r="AI1064" s="136">
        <f ca="1" t="shared" ref="AI1064:AN1064" si="1112">IF($C1064&gt;OFFSET($Q$8,MATCH(AI$634,$AH$634:$AN$634,0),0),OFFSET($P$8,MATCH(AI$634,$AH$634:$AN$634,0),0),MAX(0,$C1064-OFFSET($Q$8,RIGHT(AI$634,1)-1,0)))</f>
        <v>909</v>
      </c>
      <c r="AJ1064" s="136">
        <f ca="1" t="shared" si="1112"/>
        <v>1818</v>
      </c>
      <c r="AK1064" s="136">
        <f ca="1" t="shared" si="1112"/>
        <v>2727</v>
      </c>
      <c r="AL1064" s="136">
        <f ca="1" t="shared" si="1112"/>
        <v>3636</v>
      </c>
      <c r="AM1064" s="136">
        <f ca="1" t="shared" si="1112"/>
        <v>4545</v>
      </c>
      <c r="AN1064" s="136">
        <f ca="1" t="shared" si="1112"/>
        <v>28915</v>
      </c>
    </row>
    <row r="1065" s="106" customFormat="1" ht="16.5" spans="2:40">
      <c r="B1065" s="117">
        <v>431</v>
      </c>
      <c r="C1065" s="130">
        <f t="shared" si="1019"/>
        <v>43100</v>
      </c>
      <c r="D1065" s="131" cm="1">
        <f ca="1" t="array" ref="D1065">IF(D1667=1,OFFSET($W$634,$B1065,D$631-1)/SUMPRODUCT(--($D$631:$V$631=D$631),--($D1667:$V1667=1)),0)+SUM(D1064)+IF(COUNTIF(D$1237:D1667,1)=1,5,0)+IF(COUNTIF(E1065:$W1065,"&gt;"&amp;0)&lt;5,IF(AND(COUNTIF(D$1237:D1667,1)&gt;7,MOD(1+IFERROR(MATCH($C1065,总览!$D$46:$D$345,1)+1,1),7)=0),$C$3,0),0)</f>
        <v>2748.51846582053</v>
      </c>
      <c r="E1065" s="131" cm="1">
        <f ca="1" t="array" ref="E1065">IF(E1667=1,OFFSET($W$634,$B1065,E$631-1)/SUMPRODUCT(--($D$631:$V$631=E$631),--($D1667:$V1667=1)),0)+SUM(E1064)+IF(COUNTIF(E$1237:E1667,1)=1,5,0)+IF(COUNTIF(F1065:$W1065,"&gt;"&amp;0)&lt;5,IF(AND(COUNTIF(E$1237:E1667,1)&gt;7,MOD(1+IFERROR(MATCH($C1065,总览!$D$46:$D$345,1)+1,1),7)=0),$C$3,0),0)</f>
        <v>2748.51846582053</v>
      </c>
      <c r="F1065" s="131" cm="1">
        <f ca="1" t="array" ref="F1065">IF(F1667=1,OFFSET($W$634,$B1065,F$631-1)/SUMPRODUCT(--($D$631:$V$631=F$631),--($D1667:$V1667=1)),0)+SUM(F1064)+IF(COUNTIF(F$1237:F1667,1)=1,5,0)+IF(COUNTIF(G1065:$W1065,"&gt;"&amp;0)&lt;5,IF(AND(COUNTIF(F$1237:F1667,1)&gt;7,MOD(1+IFERROR(MATCH($C1065,总览!$D$46:$D$345,1)+1,1),7)=0),$C$3,0),0)</f>
        <v>2748.51846582053</v>
      </c>
      <c r="G1065" s="131" cm="1">
        <f ca="1" t="array" ref="G1065">IF(G1667=1,OFFSET($W$634,$B1065,G$631-1)/SUMPRODUCT(--($D$631:$V$631=G$631),--($D1667:$V1667=1)),0)+SUM(G1064)+IF(COUNTIF(G$1237:G1667,1)=1,5,0)+IF(COUNTIF(H1065:$W1065,"&gt;"&amp;0)&lt;5,IF(AND(COUNTIF(G$1237:G1667,1)&gt;7,MOD(1+IFERROR(MATCH($C1065,总览!$D$46:$D$345,1)+1,1),7)=0),$C$3,0),0)</f>
        <v>1376.06666666666</v>
      </c>
      <c r="H1065" s="131" cm="1">
        <f ca="1" t="array" ref="H1065">IF(H1667=1,OFFSET($W$634,$B1065,H$631-1)/SUMPRODUCT(--($D$631:$V$631=H$631),--($D1667:$V1667=1)),0)+SUM(H1064)+IF(COUNTIF(H$1237:H1667,1)=1,5,0)+IF(COUNTIF(I1065:$W1065,"&gt;"&amp;0)&lt;5,IF(AND(COUNTIF(H$1237:H1667,1)&gt;7,MOD(1+IFERROR(MATCH($C1065,总览!$D$46:$D$345,1)+1,1),7)=0),$C$3,0),0)</f>
        <v>1376.06666666666</v>
      </c>
      <c r="I1065" s="131" cm="1">
        <f ca="1" t="array" ref="I1065">IF(I1667=1,OFFSET($W$634,$B1065,I$631-1)/SUMPRODUCT(--($D$631:$V$631=I$631),--($D1667:$V1667=1)),0)+SUM(I1064)+IF(COUNTIF(I$1237:I1667,1)=1,5,0)+IF(COUNTIF(J1065:$W1065,"&gt;"&amp;0)&lt;5,IF(AND(COUNTIF(I$1237:I1667,1)&gt;7,MOD(1+IFERROR(MATCH($C1065,总览!$D$46:$D$345,1)+1,1),7)=0),$C$3,0),0)</f>
        <v>1376.06666666666</v>
      </c>
      <c r="J1065" s="131" cm="1">
        <f ca="1" t="array" ref="J1065">IF(J1667=1,OFFSET($W$634,$B1065,J$631-1)/SUMPRODUCT(--($D$631:$V$631=J$631),--($D1667:$V1667=1)),0)+SUM(J1064)+IF(COUNTIF(J$1237:J1667,1)=1,5,0)+IF(COUNTIF(K1065:$W1065,"&gt;"&amp;0)&lt;5,IF(AND(COUNTIF(J$1237:J1667,1)&gt;7,MOD(1+IFERROR(MATCH($C1065,总览!$D$46:$D$345,1)+1,1),7)=0),$C$3,0),0)</f>
        <v>1372.73333333333</v>
      </c>
      <c r="K1065" s="131" cm="1">
        <f ca="1" t="array" ref="K1065">IF(K1667=1,OFFSET($W$634,$B1065,K$631-1)/SUMPRODUCT(--($D$631:$V$631=K$631),--($D1667:$V1667=1)),0)+SUM(K1064)+IF(COUNTIF(K$1237:K1667,1)=1,5,0)+IF(COUNTIF(L1065:$W1065,"&gt;"&amp;0)&lt;5,IF(AND(COUNTIF(K$1237:K1667,1)&gt;7,MOD(1+IFERROR(MATCH($C1065,总览!$D$46:$D$345,1)+1,1),7)=0),$C$3,0),0)</f>
        <v>1370.23333333333</v>
      </c>
      <c r="L1065" s="131" cm="1">
        <f ca="1" t="array" ref="L1065">IF(L1667=1,OFFSET($W$634,$B1065,L$631-1)/SUMPRODUCT(--($D$631:$V$631=L$631),--($D1667:$V1667=1)),0)+SUM(L1064)+IF(COUNTIF(L$1237:L1667,1)=1,5,0)+IF(COUNTIF(M1065:$W1065,"&gt;"&amp;0)&lt;5,IF(AND(COUNTIF(L$1237:L1667,1)&gt;7,MOD(1+IFERROR(MATCH($C1065,总览!$D$46:$D$345,1)+1,1),7)=0),$C$3,0),0)</f>
        <v>1370.23333333333</v>
      </c>
      <c r="M1065" s="131" cm="1">
        <f ca="1" t="array" ref="M1065">IF(M1667=1,OFFSET($W$634,$B1065,M$631-1)/SUMPRODUCT(--($D$631:$V$631=M$631),--($D1667:$V1667=1)),0)+SUM(M1064)+IF(COUNTIF(M$1237:M1667,1)=1,5,0)+IF(COUNTIF(N1065:$W1065,"&gt;"&amp;0)&lt;5,IF(AND(COUNTIF(M$1237:M1667,1)&gt;7,MOD(1+IFERROR(MATCH($C1065,总览!$D$46:$D$345,1)+1,1),7)=0),$C$3,0),0)</f>
        <v>573.466964285717</v>
      </c>
      <c r="N1065" s="131" cm="1">
        <f ca="1" t="array" ref="N1065">IF(N1667=1,OFFSET($W$634,$B1065,N$631-1)/SUMPRODUCT(--($D$631:$V$631=N$631),--($D1667:$V1667=1)),0)+SUM(N1064)+IF(COUNTIF(N$1237:N1667,1)=1,5,0)+IF(COUNTIF(O1065:$W1065,"&gt;"&amp;0)&lt;5,IF(AND(COUNTIF(N$1237:N1667,1)&gt;7,MOD(1+IFERROR(MATCH($C1065,总览!$D$46:$D$345,1)+1,1),7)=0),$C$3,0),0)</f>
        <v>574.716964285717</v>
      </c>
      <c r="O1065" s="131" cm="1">
        <f ca="1" t="array" ref="O1065">IF(O1667=1,OFFSET($W$634,$B1065,O$631-1)/SUMPRODUCT(--($D$631:$V$631=O$631),--($D1667:$V1667=1)),0)+SUM(O1064)+IF(COUNTIF(O$1237:O1667,1)=1,5,0)+IF(COUNTIF(P1065:$W1065,"&gt;"&amp;0)&lt;5,IF(AND(COUNTIF(O$1237:O1667,1)&gt;7,MOD(1+IFERROR(MATCH($C1065,总览!$D$46:$D$345,1)+1,1),7)=0),$C$3,0),0)</f>
        <v>579.716964285717</v>
      </c>
      <c r="P1065" s="131" cm="1">
        <f ca="1" t="array" ref="P1065">IF(P1667=1,OFFSET($W$634,$B1065,P$631-1)/SUMPRODUCT(--($D$631:$V$631=P$631),--($D1667:$V1667=1)),0)+SUM(P1064)+IF(COUNTIF(P$1237:P1667,1)=1,5,0)+IF(COUNTIF(Q1065:$W1065,"&gt;"&amp;0)&lt;5,IF(AND(COUNTIF(P$1237:P1667,1)&gt;7,MOD(1+IFERROR(MATCH($C1065,总览!$D$46:$D$345,1)+1,1),7)=0),$C$3,0),0)</f>
        <v>568.835714285717</v>
      </c>
      <c r="Q1065" s="131" cm="1">
        <f ca="1" t="array" ref="Q1065">IF(Q1667=1,OFFSET($W$634,$B1065,Q$631-1)/SUMPRODUCT(--($D$631:$V$631=Q$631),--($D1667:$V1667=1)),0)+SUM(Q1064)+IF(COUNTIF(Q$1237:Q1667,1)=1,5,0)+IF(COUNTIF(R1065:$W1065,"&gt;"&amp;0)&lt;5,IF(AND(COUNTIF(Q$1237:Q1667,1)&gt;7,MOD(1+IFERROR(MATCH($C1065,总览!$D$46:$D$345,1)+1,1),7)=0),$C$3,0),0)</f>
        <v>582.216964285717</v>
      </c>
      <c r="R1065" s="131" cm="1">
        <f ca="1" t="array" ref="R1065">IF(R1667=1,OFFSET($W$634,$B1065,R$631-1)/SUMPRODUCT(--($D$631:$V$631=R$631),--($D1667:$V1667=1)),0)+SUM(R1064)+IF(COUNTIF(R$1237:R1667,1)=1,5,0)+IF(COUNTIF(S1065:$W1065,"&gt;"&amp;0)&lt;5,IF(AND(COUNTIF(R$1237:R1667,1)&gt;7,MOD(1+IFERROR(MATCH($C1065,总览!$D$46:$D$345,1)+1,1),7)=0),$C$3,0),0)</f>
        <v>573.835714285717</v>
      </c>
      <c r="S1065" s="131" cm="1">
        <f ca="1" t="array" ref="S1065">IF(S1667=1,OFFSET($W$634,$B1065,S$631-1)/SUMPRODUCT(--($D$631:$V$631=S$631),--($D1667:$V1667=1)),0)+SUM(S1064)+IF(COUNTIF(S$1237:S1667,1)=1,5,0)+IF(COUNTIF(T1065:$W1065,"&gt;"&amp;0)&lt;5,IF(AND(COUNTIF(S$1237:S1667,1)&gt;7,MOD(1+IFERROR(MATCH($C1065,总览!$D$46:$D$345,1)+1,1),7)=0),$C$3,0),0)</f>
        <v>666.335714285718</v>
      </c>
      <c r="T1065" s="131" cm="1">
        <f ca="1" t="array" ref="T1065">IF(T1667=1,OFFSET($W$634,$B1065,T$631-1)/SUMPRODUCT(--($D$631:$V$631=T$631),--($D1667:$V1667=1)),0)+SUM(T1064)+IF(COUNTIF(T$1237:T1667,1)=1,5,0)+IF(COUNTIF(U1065:$W1065,"&gt;"&amp;0)&lt;5,IF(AND(COUNTIF(T$1237:T1667,1)&gt;7,MOD(1+IFERROR(MATCH($C1065,总览!$D$46:$D$345,1)+1,1),7)=0),$C$3,0),0)</f>
        <v>487.683676705142</v>
      </c>
      <c r="U1065" s="131" cm="1">
        <f ca="1" t="array" ref="U1065">IF(U1667=1,OFFSET($W$634,$B1065,U$631-1)/SUMPRODUCT(--($D$631:$V$631=U$631),--($D1667:$V1667=1)),0)+SUM(U1064)+IF(COUNTIF(U$1237:U1667,1)=1,5,0)+IF(COUNTIF(V1065:$W1065,"&gt;"&amp;0)&lt;5,IF(AND(COUNTIF(U$1237:U1667,1)&gt;7,MOD(1+IFERROR(MATCH($C1065,总览!$D$46:$D$345,1)+1,1),7)=0),$C$3,0),0)</f>
        <v>493.204463060441</v>
      </c>
      <c r="V1065" s="131" cm="1">
        <f ca="1" t="array" ref="V1065">IF(V1667=1,OFFSET($W$634,$B1065,V$631-1)/SUMPRODUCT(--($D$631:$V$631=V$631),--($D1667:$V1667=1)),0)+SUM(V1064)+IF(COUNTIF(V$1237:V1667,1)=1,5,0)+IF(COUNTIF(W1065:$W1065,"&gt;"&amp;0)&lt;5,IF(AND(COUNTIF(V$1237:V1667,1)&gt;7,MOD(1+IFERROR(MATCH($C1065,总览!$D$46:$D$345,1)+1,1),7)=0),$C$3,0),0)</f>
        <v>513.031462772874</v>
      </c>
      <c r="W1065" s="135" cm="1">
        <f ca="1" t="array" ref="W1065">SUMPRODUCT(TRANSPOSE($AA1065:$AG1065),OFFSET($L$9:$L$15,0,W$631-1))</f>
        <v>16.8502200646615</v>
      </c>
      <c r="X1065" s="135" cm="1">
        <f ca="1" t="array" ref="X1065">SUMPRODUCT(TRANSPOSE($AA1065:$AG1065),OFFSET($L$9:$L$15,0,X$631-1))</f>
        <v>20</v>
      </c>
      <c r="Y1065" s="135" cm="1">
        <f ca="1" t="array" ref="Y1065">SUMPRODUCT(TRANSPOSE($AA1065:$AG1065),OFFSET($L$9:$L$15,0,Y$631-1))</f>
        <v>10</v>
      </c>
      <c r="Z1065" s="135" cm="1">
        <f ca="1" t="array" ref="Z1065">SUMPRODUCT(TRANSPOSE($AA1065:$AG1065),OFFSET($L$9:$L$15,0,Z$631-1))</f>
        <v>3.14977993533847</v>
      </c>
      <c r="AA1065" s="136">
        <f ca="1" t="shared" ref="AA1065:AG1065" si="1113">AH1065-AH1064</f>
        <v>0</v>
      </c>
      <c r="AB1065" s="136">
        <f ca="1" t="shared" si="1113"/>
        <v>0</v>
      </c>
      <c r="AC1065" s="136">
        <f ca="1" t="shared" si="1113"/>
        <v>0</v>
      </c>
      <c r="AD1065" s="136">
        <f ca="1" t="shared" si="1113"/>
        <v>0</v>
      </c>
      <c r="AE1065" s="136">
        <f ca="1" t="shared" si="1113"/>
        <v>0</v>
      </c>
      <c r="AF1065" s="136">
        <f ca="1" t="shared" si="1113"/>
        <v>0</v>
      </c>
      <c r="AG1065" s="136">
        <f ca="1" t="shared" si="1113"/>
        <v>100</v>
      </c>
      <c r="AH1065" s="136">
        <f ca="1" t="shared" si="1021"/>
        <v>450</v>
      </c>
      <c r="AI1065" s="136">
        <f ca="1" t="shared" ref="AI1065:AN1065" si="1114">IF($C1065&gt;OFFSET($Q$8,MATCH(AI$634,$AH$634:$AN$634,0),0),OFFSET($P$8,MATCH(AI$634,$AH$634:$AN$634,0),0),MAX(0,$C1065-OFFSET($Q$8,RIGHT(AI$634,1)-1,0)))</f>
        <v>909</v>
      </c>
      <c r="AJ1065" s="136">
        <f ca="1" t="shared" si="1114"/>
        <v>1818</v>
      </c>
      <c r="AK1065" s="136">
        <f ca="1" t="shared" si="1114"/>
        <v>2727</v>
      </c>
      <c r="AL1065" s="136">
        <f ca="1" t="shared" si="1114"/>
        <v>3636</v>
      </c>
      <c r="AM1065" s="136">
        <f ca="1" t="shared" si="1114"/>
        <v>4545</v>
      </c>
      <c r="AN1065" s="136">
        <f ca="1" t="shared" si="1114"/>
        <v>29015</v>
      </c>
    </row>
    <row r="1066" s="106" customFormat="1" ht="16.5" spans="2:40">
      <c r="B1066" s="117">
        <v>432</v>
      </c>
      <c r="C1066" s="130">
        <f t="shared" si="1019"/>
        <v>43200</v>
      </c>
      <c r="D1066" s="131" cm="1">
        <f ca="1" t="array" ref="D1066">IF(D1668=1,OFFSET($W$634,$B1066,D$631-1)/SUMPRODUCT(--($D$631:$V$631=D$631),--($D1668:$V1668=1)),0)+SUM(D1065)+IF(COUNTIF(D$1237:D1668,1)=1,5,0)+IF(COUNTIF(E1066:$W1066,"&gt;"&amp;0)&lt;5,IF(AND(COUNTIF(D$1237:D1668,1)&gt;7,MOD(1+IFERROR(MATCH($C1066,总览!$D$46:$D$345,1)+1,1),7)=0),$C$3,0),0)</f>
        <v>2754.13520584209</v>
      </c>
      <c r="E1066" s="131" cm="1">
        <f ca="1" t="array" ref="E1066">IF(E1668=1,OFFSET($W$634,$B1066,E$631-1)/SUMPRODUCT(--($D$631:$V$631=E$631),--($D1668:$V1668=1)),0)+SUM(E1065)+IF(COUNTIF(E$1237:E1668,1)=1,5,0)+IF(COUNTIF(F1066:$W1066,"&gt;"&amp;0)&lt;5,IF(AND(COUNTIF(E$1237:E1668,1)&gt;7,MOD(1+IFERROR(MATCH($C1066,总览!$D$46:$D$345,1)+1,1),7)=0),$C$3,0),0)</f>
        <v>2754.13520584209</v>
      </c>
      <c r="F1066" s="131" cm="1">
        <f ca="1" t="array" ref="F1066">IF(F1668=1,OFFSET($W$634,$B1066,F$631-1)/SUMPRODUCT(--($D$631:$V$631=F$631),--($D1668:$V1668=1)),0)+SUM(F1065)+IF(COUNTIF(F$1237:F1668,1)=1,5,0)+IF(COUNTIF(G1066:$W1066,"&gt;"&amp;0)&lt;5,IF(AND(COUNTIF(F$1237:F1668,1)&gt;7,MOD(1+IFERROR(MATCH($C1066,总览!$D$46:$D$345,1)+1,1),7)=0),$C$3,0),0)</f>
        <v>2754.13520584209</v>
      </c>
      <c r="G1066" s="131" cm="1">
        <f ca="1" t="array" ref="G1066">IF(G1668=1,OFFSET($W$634,$B1066,G$631-1)/SUMPRODUCT(--($D$631:$V$631=G$631),--($D1668:$V1668=1)),0)+SUM(G1065)+IF(COUNTIF(G$1237:G1668,1)=1,5,0)+IF(COUNTIF(H1066:$W1066,"&gt;"&amp;0)&lt;5,IF(AND(COUNTIF(G$1237:G1668,1)&gt;7,MOD(1+IFERROR(MATCH($C1066,总览!$D$46:$D$345,1)+1,1),7)=0),$C$3,0),0)</f>
        <v>1379.4</v>
      </c>
      <c r="H1066" s="131" cm="1">
        <f ca="1" t="array" ref="H1066">IF(H1668=1,OFFSET($W$634,$B1066,H$631-1)/SUMPRODUCT(--($D$631:$V$631=H$631),--($D1668:$V1668=1)),0)+SUM(H1065)+IF(COUNTIF(H$1237:H1668,1)=1,5,0)+IF(COUNTIF(I1066:$W1066,"&gt;"&amp;0)&lt;5,IF(AND(COUNTIF(H$1237:H1668,1)&gt;7,MOD(1+IFERROR(MATCH($C1066,总览!$D$46:$D$345,1)+1,1),7)=0),$C$3,0),0)</f>
        <v>1379.4</v>
      </c>
      <c r="I1066" s="131" cm="1">
        <f ca="1" t="array" ref="I1066">IF(I1668=1,OFFSET($W$634,$B1066,I$631-1)/SUMPRODUCT(--($D$631:$V$631=I$631),--($D1668:$V1668=1)),0)+SUM(I1065)+IF(COUNTIF(I$1237:I1668,1)=1,5,0)+IF(COUNTIF(J1066:$W1066,"&gt;"&amp;0)&lt;5,IF(AND(COUNTIF(I$1237:I1668,1)&gt;7,MOD(1+IFERROR(MATCH($C1066,总览!$D$46:$D$345,1)+1,1),7)=0),$C$3,0),0)</f>
        <v>1379.4</v>
      </c>
      <c r="J1066" s="131" cm="1">
        <f ca="1" t="array" ref="J1066">IF(J1668=1,OFFSET($W$634,$B1066,J$631-1)/SUMPRODUCT(--($D$631:$V$631=J$631),--($D1668:$V1668=1)),0)+SUM(J1065)+IF(COUNTIF(J$1237:J1668,1)=1,5,0)+IF(COUNTIF(K1066:$W1066,"&gt;"&amp;0)&lt;5,IF(AND(COUNTIF(J$1237:J1668,1)&gt;7,MOD(1+IFERROR(MATCH($C1066,总览!$D$46:$D$345,1)+1,1),7)=0),$C$3,0),0)</f>
        <v>1376.06666666666</v>
      </c>
      <c r="K1066" s="131" cm="1">
        <f ca="1" t="array" ref="K1066">IF(K1668=1,OFFSET($W$634,$B1066,K$631-1)/SUMPRODUCT(--($D$631:$V$631=K$631),--($D1668:$V1668=1)),0)+SUM(K1065)+IF(COUNTIF(K$1237:K1668,1)=1,5,0)+IF(COUNTIF(L1066:$W1066,"&gt;"&amp;0)&lt;5,IF(AND(COUNTIF(K$1237:K1668,1)&gt;7,MOD(1+IFERROR(MATCH($C1066,总览!$D$46:$D$345,1)+1,1),7)=0),$C$3,0),0)</f>
        <v>1373.56666666666</v>
      </c>
      <c r="L1066" s="131" cm="1">
        <f ca="1" t="array" ref="L1066">IF(L1668=1,OFFSET($W$634,$B1066,L$631-1)/SUMPRODUCT(--($D$631:$V$631=L$631),--($D1668:$V1668=1)),0)+SUM(L1065)+IF(COUNTIF(L$1237:L1668,1)=1,5,0)+IF(COUNTIF(M1066:$W1066,"&gt;"&amp;0)&lt;5,IF(AND(COUNTIF(L$1237:L1668,1)&gt;7,MOD(1+IFERROR(MATCH($C1066,总览!$D$46:$D$345,1)+1,1),7)=0),$C$3,0),0)</f>
        <v>1373.56666666666</v>
      </c>
      <c r="M1066" s="131" cm="1">
        <f ca="1" t="array" ref="M1066">IF(M1668=1,OFFSET($W$634,$B1066,M$631-1)/SUMPRODUCT(--($D$631:$V$631=M$631),--($D1668:$V1668=1)),0)+SUM(M1065)+IF(COUNTIF(M$1237:M1668,1)=1,5,0)+IF(COUNTIF(N1066:$W1066,"&gt;"&amp;0)&lt;5,IF(AND(COUNTIF(M$1237:M1668,1)&gt;7,MOD(1+IFERROR(MATCH($C1066,总览!$D$46:$D$345,1)+1,1),7)=0),$C$3,0),0)</f>
        <v>574.895535714288</v>
      </c>
      <c r="N1066" s="131" cm="1">
        <f ca="1" t="array" ref="N1066">IF(N1668=1,OFFSET($W$634,$B1066,N$631-1)/SUMPRODUCT(--($D$631:$V$631=N$631),--($D1668:$V1668=1)),0)+SUM(N1065)+IF(COUNTIF(N$1237:N1668,1)=1,5,0)+IF(COUNTIF(O1066:$W1066,"&gt;"&amp;0)&lt;5,IF(AND(COUNTIF(N$1237:N1668,1)&gt;7,MOD(1+IFERROR(MATCH($C1066,总览!$D$46:$D$345,1)+1,1),7)=0),$C$3,0),0)</f>
        <v>576.145535714288</v>
      </c>
      <c r="O1066" s="131" cm="1">
        <f ca="1" t="array" ref="O1066">IF(O1668=1,OFFSET($W$634,$B1066,O$631-1)/SUMPRODUCT(--($D$631:$V$631=O$631),--($D1668:$V1668=1)),0)+SUM(O1065)+IF(COUNTIF(O$1237:O1668,1)=1,5,0)+IF(COUNTIF(P1066:$W1066,"&gt;"&amp;0)&lt;5,IF(AND(COUNTIF(O$1237:O1668,1)&gt;7,MOD(1+IFERROR(MATCH($C1066,总览!$D$46:$D$345,1)+1,1),7)=0),$C$3,0),0)</f>
        <v>581.145535714288</v>
      </c>
      <c r="P1066" s="131" cm="1">
        <f ca="1" t="array" ref="P1066">IF(P1668=1,OFFSET($W$634,$B1066,P$631-1)/SUMPRODUCT(--($D$631:$V$631=P$631),--($D1668:$V1668=1)),0)+SUM(P1065)+IF(COUNTIF(P$1237:P1668,1)=1,5,0)+IF(COUNTIF(Q1066:$W1066,"&gt;"&amp;0)&lt;5,IF(AND(COUNTIF(P$1237:P1668,1)&gt;7,MOD(1+IFERROR(MATCH($C1066,总览!$D$46:$D$345,1)+1,1),7)=0),$C$3,0),0)</f>
        <v>570.264285714288</v>
      </c>
      <c r="Q1066" s="131" cm="1">
        <f ca="1" t="array" ref="Q1066">IF(Q1668=1,OFFSET($W$634,$B1066,Q$631-1)/SUMPRODUCT(--($D$631:$V$631=Q$631),--($D1668:$V1668=1)),0)+SUM(Q1065)+IF(COUNTIF(Q$1237:Q1668,1)=1,5,0)+IF(COUNTIF(R1066:$W1066,"&gt;"&amp;0)&lt;5,IF(AND(COUNTIF(Q$1237:Q1668,1)&gt;7,MOD(1+IFERROR(MATCH($C1066,总览!$D$46:$D$345,1)+1,1),7)=0),$C$3,0),0)</f>
        <v>583.645535714288</v>
      </c>
      <c r="R1066" s="131" cm="1">
        <f ca="1" t="array" ref="R1066">IF(R1668=1,OFFSET($W$634,$B1066,R$631-1)/SUMPRODUCT(--($D$631:$V$631=R$631),--($D1668:$V1668=1)),0)+SUM(R1065)+IF(COUNTIF(R$1237:R1668,1)=1,5,0)+IF(COUNTIF(S1066:$W1066,"&gt;"&amp;0)&lt;5,IF(AND(COUNTIF(R$1237:R1668,1)&gt;7,MOD(1+IFERROR(MATCH($C1066,总览!$D$46:$D$345,1)+1,1),7)=0),$C$3,0),0)</f>
        <v>575.264285714288</v>
      </c>
      <c r="S1066" s="131" cm="1">
        <f ca="1" t="array" ref="S1066">IF(S1668=1,OFFSET($W$634,$B1066,S$631-1)/SUMPRODUCT(--($D$631:$V$631=S$631),--($D1668:$V1668=1)),0)+SUM(S1065)+IF(COUNTIF(S$1237:S1668,1)=1,5,0)+IF(COUNTIF(T1066:$W1066,"&gt;"&amp;0)&lt;5,IF(AND(COUNTIF(S$1237:S1668,1)&gt;7,MOD(1+IFERROR(MATCH($C1066,总览!$D$46:$D$345,1)+1,1),7)=0),$C$3,0),0)</f>
        <v>667.764285714289</v>
      </c>
      <c r="T1066" s="131" cm="1">
        <f ca="1" t="array" ref="T1066">IF(T1668=1,OFFSET($W$634,$B1066,T$631-1)/SUMPRODUCT(--($D$631:$V$631=T$631),--($D1668:$V1668=1)),0)+SUM(T1065)+IF(COUNTIF(T$1237:T1668,1)=1,5,0)+IF(COUNTIF(U1066:$W1066,"&gt;"&amp;0)&lt;5,IF(AND(COUNTIF(T$1237:T1668,1)&gt;7,MOD(1+IFERROR(MATCH($C1066,总览!$D$46:$D$345,1)+1,1),7)=0),$C$3,0),0)</f>
        <v>488.733603350255</v>
      </c>
      <c r="U1066" s="131" cm="1">
        <f ca="1" t="array" ref="U1066">IF(U1668=1,OFFSET($W$634,$B1066,U$631-1)/SUMPRODUCT(--($D$631:$V$631=U$631),--($D1668:$V1668=1)),0)+SUM(U1065)+IF(COUNTIF(U$1237:U1668,1)=1,5,0)+IF(COUNTIF(V1066:$W1066,"&gt;"&amp;0)&lt;5,IF(AND(COUNTIF(U$1237:U1668,1)&gt;7,MOD(1+IFERROR(MATCH($C1066,总览!$D$46:$D$345,1)+1,1),7)=0),$C$3,0),0)</f>
        <v>494.254389705554</v>
      </c>
      <c r="V1066" s="131" cm="1">
        <f ca="1" t="array" ref="V1066">IF(V1668=1,OFFSET($W$634,$B1066,V$631-1)/SUMPRODUCT(--($D$631:$V$631=V$631),--($D1668:$V1668=1)),0)+SUM(V1065)+IF(COUNTIF(V$1237:V1668,1)=1,5,0)+IF(COUNTIF(W1066:$W1066,"&gt;"&amp;0)&lt;5,IF(AND(COUNTIF(V$1237:V1668,1)&gt;7,MOD(1+IFERROR(MATCH($C1066,总览!$D$46:$D$345,1)+1,1),7)=0),$C$3,0),0)</f>
        <v>514.081389417987</v>
      </c>
      <c r="W1066" s="135" cm="1">
        <f ca="1" t="array" ref="W1066">SUMPRODUCT(TRANSPOSE($AA1066:$AG1066),OFFSET($L$9:$L$15,0,W$631-1))</f>
        <v>16.8502200646615</v>
      </c>
      <c r="X1066" s="135" cm="1">
        <f ca="1" t="array" ref="X1066">SUMPRODUCT(TRANSPOSE($AA1066:$AG1066),OFFSET($L$9:$L$15,0,X$631-1))</f>
        <v>20</v>
      </c>
      <c r="Y1066" s="135" cm="1">
        <f ca="1" t="array" ref="Y1066">SUMPRODUCT(TRANSPOSE($AA1066:$AG1066),OFFSET($L$9:$L$15,0,Y$631-1))</f>
        <v>10</v>
      </c>
      <c r="Z1066" s="135" cm="1">
        <f ca="1" t="array" ref="Z1066">SUMPRODUCT(TRANSPOSE($AA1066:$AG1066),OFFSET($L$9:$L$15,0,Z$631-1))</f>
        <v>3.14977993533847</v>
      </c>
      <c r="AA1066" s="136">
        <f ca="1" t="shared" ref="AA1066:AG1066" si="1115">AH1066-AH1065</f>
        <v>0</v>
      </c>
      <c r="AB1066" s="136">
        <f ca="1" t="shared" si="1115"/>
        <v>0</v>
      </c>
      <c r="AC1066" s="136">
        <f ca="1" t="shared" si="1115"/>
        <v>0</v>
      </c>
      <c r="AD1066" s="136">
        <f ca="1" t="shared" si="1115"/>
        <v>0</v>
      </c>
      <c r="AE1066" s="136">
        <f ca="1" t="shared" si="1115"/>
        <v>0</v>
      </c>
      <c r="AF1066" s="136">
        <f ca="1" t="shared" si="1115"/>
        <v>0</v>
      </c>
      <c r="AG1066" s="136">
        <f ca="1" t="shared" si="1115"/>
        <v>100</v>
      </c>
      <c r="AH1066" s="136">
        <f ca="1" t="shared" si="1021"/>
        <v>450</v>
      </c>
      <c r="AI1066" s="136">
        <f ca="1" t="shared" ref="AI1066:AN1066" si="1116">IF($C1066&gt;OFFSET($Q$8,MATCH(AI$634,$AH$634:$AN$634,0),0),OFFSET($P$8,MATCH(AI$634,$AH$634:$AN$634,0),0),MAX(0,$C1066-OFFSET($Q$8,RIGHT(AI$634,1)-1,0)))</f>
        <v>909</v>
      </c>
      <c r="AJ1066" s="136">
        <f ca="1" t="shared" si="1116"/>
        <v>1818</v>
      </c>
      <c r="AK1066" s="136">
        <f ca="1" t="shared" si="1116"/>
        <v>2727</v>
      </c>
      <c r="AL1066" s="136">
        <f ca="1" t="shared" si="1116"/>
        <v>3636</v>
      </c>
      <c r="AM1066" s="136">
        <f ca="1" t="shared" si="1116"/>
        <v>4545</v>
      </c>
      <c r="AN1066" s="136">
        <f ca="1" t="shared" si="1116"/>
        <v>29115</v>
      </c>
    </row>
    <row r="1067" s="106" customFormat="1" ht="16.5" spans="2:40">
      <c r="B1067" s="117">
        <v>433</v>
      </c>
      <c r="C1067" s="130">
        <f t="shared" si="1019"/>
        <v>43300</v>
      </c>
      <c r="D1067" s="131" cm="1">
        <f ca="1" t="array" ref="D1067">IF(D1669=1,OFFSET($W$634,$B1067,D$631-1)/SUMPRODUCT(--($D$631:$V$631=D$631),--($D1669:$V1669=1)),0)+SUM(D1066)+IF(COUNTIF(D$1237:D1669,1)=1,5,0)+IF(COUNTIF(E1067:$W1067,"&gt;"&amp;0)&lt;5,IF(AND(COUNTIF(D$1237:D1669,1)&gt;7,MOD(1+IFERROR(MATCH($C1067,总览!$D$46:$D$345,1)+1,1),7)=0),$C$3,0),0)</f>
        <v>2759.75194586364</v>
      </c>
      <c r="E1067" s="131" cm="1">
        <f ca="1" t="array" ref="E1067">IF(E1669=1,OFFSET($W$634,$B1067,E$631-1)/SUMPRODUCT(--($D$631:$V$631=E$631),--($D1669:$V1669=1)),0)+SUM(E1066)+IF(COUNTIF(E$1237:E1669,1)=1,5,0)+IF(COUNTIF(F1067:$W1067,"&gt;"&amp;0)&lt;5,IF(AND(COUNTIF(E$1237:E1669,1)&gt;7,MOD(1+IFERROR(MATCH($C1067,总览!$D$46:$D$345,1)+1,1),7)=0),$C$3,0),0)</f>
        <v>2759.75194586364</v>
      </c>
      <c r="F1067" s="131" cm="1">
        <f ca="1" t="array" ref="F1067">IF(F1669=1,OFFSET($W$634,$B1067,F$631-1)/SUMPRODUCT(--($D$631:$V$631=F$631),--($D1669:$V1669=1)),0)+SUM(F1066)+IF(COUNTIF(F$1237:F1669,1)=1,5,0)+IF(COUNTIF(G1067:$W1067,"&gt;"&amp;0)&lt;5,IF(AND(COUNTIF(F$1237:F1669,1)&gt;7,MOD(1+IFERROR(MATCH($C1067,总览!$D$46:$D$345,1)+1,1),7)=0),$C$3,0),0)</f>
        <v>2759.75194586364</v>
      </c>
      <c r="G1067" s="131" cm="1">
        <f ca="1" t="array" ref="G1067">IF(G1669=1,OFFSET($W$634,$B1067,G$631-1)/SUMPRODUCT(--($D$631:$V$631=G$631),--($D1669:$V1669=1)),0)+SUM(G1066)+IF(COUNTIF(G$1237:G1669,1)=1,5,0)+IF(COUNTIF(H1067:$W1067,"&gt;"&amp;0)&lt;5,IF(AND(COUNTIF(G$1237:G1669,1)&gt;7,MOD(1+IFERROR(MATCH($C1067,总览!$D$46:$D$345,1)+1,1),7)=0),$C$3,0),0)</f>
        <v>1382.73333333333</v>
      </c>
      <c r="H1067" s="131" cm="1">
        <f ca="1" t="array" ref="H1067">IF(H1669=1,OFFSET($W$634,$B1067,H$631-1)/SUMPRODUCT(--($D$631:$V$631=H$631),--($D1669:$V1669=1)),0)+SUM(H1066)+IF(COUNTIF(H$1237:H1669,1)=1,5,0)+IF(COUNTIF(I1067:$W1067,"&gt;"&amp;0)&lt;5,IF(AND(COUNTIF(H$1237:H1669,1)&gt;7,MOD(1+IFERROR(MATCH($C1067,总览!$D$46:$D$345,1)+1,1),7)=0),$C$3,0),0)</f>
        <v>1382.73333333333</v>
      </c>
      <c r="I1067" s="131" cm="1">
        <f ca="1" t="array" ref="I1067">IF(I1669=1,OFFSET($W$634,$B1067,I$631-1)/SUMPRODUCT(--($D$631:$V$631=I$631),--($D1669:$V1669=1)),0)+SUM(I1066)+IF(COUNTIF(I$1237:I1669,1)=1,5,0)+IF(COUNTIF(J1067:$W1067,"&gt;"&amp;0)&lt;5,IF(AND(COUNTIF(I$1237:I1669,1)&gt;7,MOD(1+IFERROR(MATCH($C1067,总览!$D$46:$D$345,1)+1,1),7)=0),$C$3,0),0)</f>
        <v>1382.73333333333</v>
      </c>
      <c r="J1067" s="131" cm="1">
        <f ca="1" t="array" ref="J1067">IF(J1669=1,OFFSET($W$634,$B1067,J$631-1)/SUMPRODUCT(--($D$631:$V$631=J$631),--($D1669:$V1669=1)),0)+SUM(J1066)+IF(COUNTIF(J$1237:J1669,1)=1,5,0)+IF(COUNTIF(K1067:$W1067,"&gt;"&amp;0)&lt;5,IF(AND(COUNTIF(J$1237:J1669,1)&gt;7,MOD(1+IFERROR(MATCH($C1067,总览!$D$46:$D$345,1)+1,1),7)=0),$C$3,0),0)</f>
        <v>1379.4</v>
      </c>
      <c r="K1067" s="131" cm="1">
        <f ca="1" t="array" ref="K1067">IF(K1669=1,OFFSET($W$634,$B1067,K$631-1)/SUMPRODUCT(--($D$631:$V$631=K$631),--($D1669:$V1669=1)),0)+SUM(K1066)+IF(COUNTIF(K$1237:K1669,1)=1,5,0)+IF(COUNTIF(L1067:$W1067,"&gt;"&amp;0)&lt;5,IF(AND(COUNTIF(K$1237:K1669,1)&gt;7,MOD(1+IFERROR(MATCH($C1067,总览!$D$46:$D$345,1)+1,1),7)=0),$C$3,0),0)</f>
        <v>1376.9</v>
      </c>
      <c r="L1067" s="131" cm="1">
        <f ca="1" t="array" ref="L1067">IF(L1669=1,OFFSET($W$634,$B1067,L$631-1)/SUMPRODUCT(--($D$631:$V$631=L$631),--($D1669:$V1669=1)),0)+SUM(L1066)+IF(COUNTIF(L$1237:L1669,1)=1,5,0)+IF(COUNTIF(M1067:$W1067,"&gt;"&amp;0)&lt;5,IF(AND(COUNTIF(L$1237:L1669,1)&gt;7,MOD(1+IFERROR(MATCH($C1067,总览!$D$46:$D$345,1)+1,1),7)=0),$C$3,0),0)</f>
        <v>1376.9</v>
      </c>
      <c r="M1067" s="131" cm="1">
        <f ca="1" t="array" ref="M1067">IF(M1669=1,OFFSET($W$634,$B1067,M$631-1)/SUMPRODUCT(--($D$631:$V$631=M$631),--($D1669:$V1669=1)),0)+SUM(M1066)+IF(COUNTIF(M$1237:M1669,1)=1,5,0)+IF(COUNTIF(N1067:$W1067,"&gt;"&amp;0)&lt;5,IF(AND(COUNTIF(M$1237:M1669,1)&gt;7,MOD(1+IFERROR(MATCH($C1067,总览!$D$46:$D$345,1)+1,1),7)=0),$C$3,0),0)</f>
        <v>576.32410714286</v>
      </c>
      <c r="N1067" s="131" cm="1">
        <f ca="1" t="array" ref="N1067">IF(N1669=1,OFFSET($W$634,$B1067,N$631-1)/SUMPRODUCT(--($D$631:$V$631=N$631),--($D1669:$V1669=1)),0)+SUM(N1066)+IF(COUNTIF(N$1237:N1669,1)=1,5,0)+IF(COUNTIF(O1067:$W1067,"&gt;"&amp;0)&lt;5,IF(AND(COUNTIF(N$1237:N1669,1)&gt;7,MOD(1+IFERROR(MATCH($C1067,总览!$D$46:$D$345,1)+1,1),7)=0),$C$3,0),0)</f>
        <v>577.57410714286</v>
      </c>
      <c r="O1067" s="131" cm="1">
        <f ca="1" t="array" ref="O1067">IF(O1669=1,OFFSET($W$634,$B1067,O$631-1)/SUMPRODUCT(--($D$631:$V$631=O$631),--($D1669:$V1669=1)),0)+SUM(O1066)+IF(COUNTIF(O$1237:O1669,1)=1,5,0)+IF(COUNTIF(P1067:$W1067,"&gt;"&amp;0)&lt;5,IF(AND(COUNTIF(O$1237:O1669,1)&gt;7,MOD(1+IFERROR(MATCH($C1067,总览!$D$46:$D$345,1)+1,1),7)=0),$C$3,0),0)</f>
        <v>582.57410714286</v>
      </c>
      <c r="P1067" s="131" cm="1">
        <f ca="1" t="array" ref="P1067">IF(P1669=1,OFFSET($W$634,$B1067,P$631-1)/SUMPRODUCT(--($D$631:$V$631=P$631),--($D1669:$V1669=1)),0)+SUM(P1066)+IF(COUNTIF(P$1237:P1669,1)=1,5,0)+IF(COUNTIF(Q1067:$W1067,"&gt;"&amp;0)&lt;5,IF(AND(COUNTIF(P$1237:P1669,1)&gt;7,MOD(1+IFERROR(MATCH($C1067,总览!$D$46:$D$345,1)+1,1),7)=0),$C$3,0),0)</f>
        <v>571.69285714286</v>
      </c>
      <c r="Q1067" s="131" cm="1">
        <f ca="1" t="array" ref="Q1067">IF(Q1669=1,OFFSET($W$634,$B1067,Q$631-1)/SUMPRODUCT(--($D$631:$V$631=Q$631),--($D1669:$V1669=1)),0)+SUM(Q1066)+IF(COUNTIF(Q$1237:Q1669,1)=1,5,0)+IF(COUNTIF(R1067:$W1067,"&gt;"&amp;0)&lt;5,IF(AND(COUNTIF(Q$1237:Q1669,1)&gt;7,MOD(1+IFERROR(MATCH($C1067,总览!$D$46:$D$345,1)+1,1),7)=0),$C$3,0),0)</f>
        <v>585.07410714286</v>
      </c>
      <c r="R1067" s="131" cm="1">
        <f ca="1" t="array" ref="R1067">IF(R1669=1,OFFSET($W$634,$B1067,R$631-1)/SUMPRODUCT(--($D$631:$V$631=R$631),--($D1669:$V1669=1)),0)+SUM(R1066)+IF(COUNTIF(R$1237:R1669,1)=1,5,0)+IF(COUNTIF(S1067:$W1067,"&gt;"&amp;0)&lt;5,IF(AND(COUNTIF(R$1237:R1669,1)&gt;7,MOD(1+IFERROR(MATCH($C1067,总览!$D$46:$D$345,1)+1,1),7)=0),$C$3,0),0)</f>
        <v>576.69285714286</v>
      </c>
      <c r="S1067" s="131" cm="1">
        <f ca="1" t="array" ref="S1067">IF(S1669=1,OFFSET($W$634,$B1067,S$631-1)/SUMPRODUCT(--($D$631:$V$631=S$631),--($D1669:$V1669=1)),0)+SUM(S1066)+IF(COUNTIF(S$1237:S1669,1)=1,5,0)+IF(COUNTIF(T1067:$W1067,"&gt;"&amp;0)&lt;5,IF(AND(COUNTIF(S$1237:S1669,1)&gt;7,MOD(1+IFERROR(MATCH($C1067,总览!$D$46:$D$345,1)+1,1),7)=0),$C$3,0),0)</f>
        <v>669.192857142861</v>
      </c>
      <c r="T1067" s="131" cm="1">
        <f ca="1" t="array" ref="T1067">IF(T1669=1,OFFSET($W$634,$B1067,T$631-1)/SUMPRODUCT(--($D$631:$V$631=T$631),--($D1669:$V1669=1)),0)+SUM(T1066)+IF(COUNTIF(T$1237:T1669,1)=1,5,0)+IF(COUNTIF(U1067:$W1067,"&gt;"&amp;0)&lt;5,IF(AND(COUNTIF(T$1237:T1669,1)&gt;7,MOD(1+IFERROR(MATCH($C1067,总览!$D$46:$D$345,1)+1,1),7)=0),$C$3,0),0)</f>
        <v>489.783529995368</v>
      </c>
      <c r="U1067" s="131" cm="1">
        <f ca="1" t="array" ref="U1067">IF(U1669=1,OFFSET($W$634,$B1067,U$631-1)/SUMPRODUCT(--($D$631:$V$631=U$631),--($D1669:$V1669=1)),0)+SUM(U1066)+IF(COUNTIF(U$1237:U1669,1)=1,5,0)+IF(COUNTIF(V1067:$W1067,"&gt;"&amp;0)&lt;5,IF(AND(COUNTIF(U$1237:U1669,1)&gt;7,MOD(1+IFERROR(MATCH($C1067,总览!$D$46:$D$345,1)+1,1),7)=0),$C$3,0),0)</f>
        <v>495.304316350667</v>
      </c>
      <c r="V1067" s="131" cm="1">
        <f ca="1" t="array" ref="V1067">IF(V1669=1,OFFSET($W$634,$B1067,V$631-1)/SUMPRODUCT(--($D$631:$V$631=V$631),--($D1669:$V1669=1)),0)+SUM(V1066)+IF(COUNTIF(V$1237:V1669,1)=1,5,0)+IF(COUNTIF(W1067:$W1067,"&gt;"&amp;0)&lt;5,IF(AND(COUNTIF(V$1237:V1669,1)&gt;7,MOD(1+IFERROR(MATCH($C1067,总览!$D$46:$D$345,1)+1,1),7)=0),$C$3,0),0)</f>
        <v>515.1313160631</v>
      </c>
      <c r="W1067" s="135" cm="1">
        <f ca="1" t="array" ref="W1067">SUMPRODUCT(TRANSPOSE($AA1067:$AG1067),OFFSET($L$9:$L$15,0,W$631-1))</f>
        <v>16.8502200646615</v>
      </c>
      <c r="X1067" s="135" cm="1">
        <f ca="1" t="array" ref="X1067">SUMPRODUCT(TRANSPOSE($AA1067:$AG1067),OFFSET($L$9:$L$15,0,X$631-1))</f>
        <v>20</v>
      </c>
      <c r="Y1067" s="135" cm="1">
        <f ca="1" t="array" ref="Y1067">SUMPRODUCT(TRANSPOSE($AA1067:$AG1067),OFFSET($L$9:$L$15,0,Y$631-1))</f>
        <v>10</v>
      </c>
      <c r="Z1067" s="135" cm="1">
        <f ca="1" t="array" ref="Z1067">SUMPRODUCT(TRANSPOSE($AA1067:$AG1067),OFFSET($L$9:$L$15,0,Z$631-1))</f>
        <v>3.14977993533847</v>
      </c>
      <c r="AA1067" s="136">
        <f ca="1" t="shared" ref="AA1067:AG1067" si="1117">AH1067-AH1066</f>
        <v>0</v>
      </c>
      <c r="AB1067" s="136">
        <f ca="1" t="shared" si="1117"/>
        <v>0</v>
      </c>
      <c r="AC1067" s="136">
        <f ca="1" t="shared" si="1117"/>
        <v>0</v>
      </c>
      <c r="AD1067" s="136">
        <f ca="1" t="shared" si="1117"/>
        <v>0</v>
      </c>
      <c r="AE1067" s="136">
        <f ca="1" t="shared" si="1117"/>
        <v>0</v>
      </c>
      <c r="AF1067" s="136">
        <f ca="1" t="shared" si="1117"/>
        <v>0</v>
      </c>
      <c r="AG1067" s="136">
        <f ca="1" t="shared" si="1117"/>
        <v>100</v>
      </c>
      <c r="AH1067" s="136">
        <f ca="1" t="shared" si="1021"/>
        <v>450</v>
      </c>
      <c r="AI1067" s="136">
        <f ca="1" t="shared" ref="AI1067:AN1067" si="1118">IF($C1067&gt;OFFSET($Q$8,MATCH(AI$634,$AH$634:$AN$634,0),0),OFFSET($P$8,MATCH(AI$634,$AH$634:$AN$634,0),0),MAX(0,$C1067-OFFSET($Q$8,RIGHT(AI$634,1)-1,0)))</f>
        <v>909</v>
      </c>
      <c r="AJ1067" s="136">
        <f ca="1" t="shared" si="1118"/>
        <v>1818</v>
      </c>
      <c r="AK1067" s="136">
        <f ca="1" t="shared" si="1118"/>
        <v>2727</v>
      </c>
      <c r="AL1067" s="136">
        <f ca="1" t="shared" si="1118"/>
        <v>3636</v>
      </c>
      <c r="AM1067" s="136">
        <f ca="1" t="shared" si="1118"/>
        <v>4545</v>
      </c>
      <c r="AN1067" s="136">
        <f ca="1" t="shared" si="1118"/>
        <v>29215</v>
      </c>
    </row>
    <row r="1068" s="106" customFormat="1" ht="16.5" spans="2:40">
      <c r="B1068" s="117">
        <v>434</v>
      </c>
      <c r="C1068" s="130">
        <f t="shared" si="1019"/>
        <v>43400</v>
      </c>
      <c r="D1068" s="131" cm="1">
        <f ca="1" t="array" ref="D1068">IF(D1670=1,OFFSET($W$634,$B1068,D$631-1)/SUMPRODUCT(--($D$631:$V$631=D$631),--($D1670:$V1670=1)),0)+SUM(D1067)+IF(COUNTIF(D$1237:D1670,1)=1,5,0)+IF(COUNTIF(E1068:$W1068,"&gt;"&amp;0)&lt;5,IF(AND(COUNTIF(D$1237:D1670,1)&gt;7,MOD(1+IFERROR(MATCH($C1068,总览!$D$46:$D$345,1)+1,1),7)=0),$C$3,0),0)</f>
        <v>2765.3686858852</v>
      </c>
      <c r="E1068" s="131" cm="1">
        <f ca="1" t="array" ref="E1068">IF(E1670=1,OFFSET($W$634,$B1068,E$631-1)/SUMPRODUCT(--($D$631:$V$631=E$631),--($D1670:$V1670=1)),0)+SUM(E1067)+IF(COUNTIF(E$1237:E1670,1)=1,5,0)+IF(COUNTIF(F1068:$W1068,"&gt;"&amp;0)&lt;5,IF(AND(COUNTIF(E$1237:E1670,1)&gt;7,MOD(1+IFERROR(MATCH($C1068,总览!$D$46:$D$345,1)+1,1),7)=0),$C$3,0),0)</f>
        <v>2765.3686858852</v>
      </c>
      <c r="F1068" s="131" cm="1">
        <f ca="1" t="array" ref="F1068">IF(F1670=1,OFFSET($W$634,$B1068,F$631-1)/SUMPRODUCT(--($D$631:$V$631=F$631),--($D1670:$V1670=1)),0)+SUM(F1067)+IF(COUNTIF(F$1237:F1670,1)=1,5,0)+IF(COUNTIF(G1068:$W1068,"&gt;"&amp;0)&lt;5,IF(AND(COUNTIF(F$1237:F1670,1)&gt;7,MOD(1+IFERROR(MATCH($C1068,总览!$D$46:$D$345,1)+1,1),7)=0),$C$3,0),0)</f>
        <v>2765.3686858852</v>
      </c>
      <c r="G1068" s="131" cm="1">
        <f ca="1" t="array" ref="G1068">IF(G1670=1,OFFSET($W$634,$B1068,G$631-1)/SUMPRODUCT(--($D$631:$V$631=G$631),--($D1670:$V1670=1)),0)+SUM(G1067)+IF(COUNTIF(G$1237:G1670,1)=1,5,0)+IF(COUNTIF(H1068:$W1068,"&gt;"&amp;0)&lt;5,IF(AND(COUNTIF(G$1237:G1670,1)&gt;7,MOD(1+IFERROR(MATCH($C1068,总览!$D$46:$D$345,1)+1,1),7)=0),$C$3,0),0)</f>
        <v>1386.06666666666</v>
      </c>
      <c r="H1068" s="131" cm="1">
        <f ca="1" t="array" ref="H1068">IF(H1670=1,OFFSET($W$634,$B1068,H$631-1)/SUMPRODUCT(--($D$631:$V$631=H$631),--($D1670:$V1670=1)),0)+SUM(H1067)+IF(COUNTIF(H$1237:H1670,1)=1,5,0)+IF(COUNTIF(I1068:$W1068,"&gt;"&amp;0)&lt;5,IF(AND(COUNTIF(H$1237:H1670,1)&gt;7,MOD(1+IFERROR(MATCH($C1068,总览!$D$46:$D$345,1)+1,1),7)=0),$C$3,0),0)</f>
        <v>1386.06666666666</v>
      </c>
      <c r="I1068" s="131" cm="1">
        <f ca="1" t="array" ref="I1068">IF(I1670=1,OFFSET($W$634,$B1068,I$631-1)/SUMPRODUCT(--($D$631:$V$631=I$631),--($D1670:$V1670=1)),0)+SUM(I1067)+IF(COUNTIF(I$1237:I1670,1)=1,5,0)+IF(COUNTIF(J1068:$W1068,"&gt;"&amp;0)&lt;5,IF(AND(COUNTIF(I$1237:I1670,1)&gt;7,MOD(1+IFERROR(MATCH($C1068,总览!$D$46:$D$345,1)+1,1),7)=0),$C$3,0),0)</f>
        <v>1386.06666666666</v>
      </c>
      <c r="J1068" s="131" cm="1">
        <f ca="1" t="array" ref="J1068">IF(J1670=1,OFFSET($W$634,$B1068,J$631-1)/SUMPRODUCT(--($D$631:$V$631=J$631),--($D1670:$V1670=1)),0)+SUM(J1067)+IF(COUNTIF(J$1237:J1670,1)=1,5,0)+IF(COUNTIF(K1068:$W1068,"&gt;"&amp;0)&lt;5,IF(AND(COUNTIF(J$1237:J1670,1)&gt;7,MOD(1+IFERROR(MATCH($C1068,总览!$D$46:$D$345,1)+1,1),7)=0),$C$3,0),0)</f>
        <v>1382.73333333333</v>
      </c>
      <c r="K1068" s="131" cm="1">
        <f ca="1" t="array" ref="K1068">IF(K1670=1,OFFSET($W$634,$B1068,K$631-1)/SUMPRODUCT(--($D$631:$V$631=K$631),--($D1670:$V1670=1)),0)+SUM(K1067)+IF(COUNTIF(K$1237:K1670,1)=1,5,0)+IF(COUNTIF(L1068:$W1068,"&gt;"&amp;0)&lt;5,IF(AND(COUNTIF(K$1237:K1670,1)&gt;7,MOD(1+IFERROR(MATCH($C1068,总览!$D$46:$D$345,1)+1,1),7)=0),$C$3,0),0)</f>
        <v>1380.23333333333</v>
      </c>
      <c r="L1068" s="131" cm="1">
        <f ca="1" t="array" ref="L1068">IF(L1670=1,OFFSET($W$634,$B1068,L$631-1)/SUMPRODUCT(--($D$631:$V$631=L$631),--($D1670:$V1670=1)),0)+SUM(L1067)+IF(COUNTIF(L$1237:L1670,1)=1,5,0)+IF(COUNTIF(M1068:$W1068,"&gt;"&amp;0)&lt;5,IF(AND(COUNTIF(L$1237:L1670,1)&gt;7,MOD(1+IFERROR(MATCH($C1068,总览!$D$46:$D$345,1)+1,1),7)=0),$C$3,0),0)</f>
        <v>1380.23333333333</v>
      </c>
      <c r="M1068" s="131" cm="1">
        <f ca="1" t="array" ref="M1068">IF(M1670=1,OFFSET($W$634,$B1068,M$631-1)/SUMPRODUCT(--($D$631:$V$631=M$631),--($D1670:$V1670=1)),0)+SUM(M1067)+IF(COUNTIF(M$1237:M1670,1)=1,5,0)+IF(COUNTIF(N1068:$W1068,"&gt;"&amp;0)&lt;5,IF(AND(COUNTIF(M$1237:M1670,1)&gt;7,MOD(1+IFERROR(MATCH($C1068,总览!$D$46:$D$345,1)+1,1),7)=0),$C$3,0),0)</f>
        <v>577.752678571431</v>
      </c>
      <c r="N1068" s="131" cm="1">
        <f ca="1" t="array" ref="N1068">IF(N1670=1,OFFSET($W$634,$B1068,N$631-1)/SUMPRODUCT(--($D$631:$V$631=N$631),--($D1670:$V1670=1)),0)+SUM(N1067)+IF(COUNTIF(N$1237:N1670,1)=1,5,0)+IF(COUNTIF(O1068:$W1068,"&gt;"&amp;0)&lt;5,IF(AND(COUNTIF(N$1237:N1670,1)&gt;7,MOD(1+IFERROR(MATCH($C1068,总览!$D$46:$D$345,1)+1,1),7)=0),$C$3,0),0)</f>
        <v>579.002678571431</v>
      </c>
      <c r="O1068" s="131" cm="1">
        <f ca="1" t="array" ref="O1068">IF(O1670=1,OFFSET($W$634,$B1068,O$631-1)/SUMPRODUCT(--($D$631:$V$631=O$631),--($D1670:$V1670=1)),0)+SUM(O1067)+IF(COUNTIF(O$1237:O1670,1)=1,5,0)+IF(COUNTIF(P1068:$W1068,"&gt;"&amp;0)&lt;5,IF(AND(COUNTIF(O$1237:O1670,1)&gt;7,MOD(1+IFERROR(MATCH($C1068,总览!$D$46:$D$345,1)+1,1),7)=0),$C$3,0),0)</f>
        <v>584.002678571431</v>
      </c>
      <c r="P1068" s="131" cm="1">
        <f ca="1" t="array" ref="P1068">IF(P1670=1,OFFSET($W$634,$B1068,P$631-1)/SUMPRODUCT(--($D$631:$V$631=P$631),--($D1670:$V1670=1)),0)+SUM(P1067)+IF(COUNTIF(P$1237:P1670,1)=1,5,0)+IF(COUNTIF(Q1068:$W1068,"&gt;"&amp;0)&lt;5,IF(AND(COUNTIF(P$1237:P1670,1)&gt;7,MOD(1+IFERROR(MATCH($C1068,总览!$D$46:$D$345,1)+1,1),7)=0),$C$3,0),0)</f>
        <v>573.121428571431</v>
      </c>
      <c r="Q1068" s="131" cm="1">
        <f ca="1" t="array" ref="Q1068">IF(Q1670=1,OFFSET($W$634,$B1068,Q$631-1)/SUMPRODUCT(--($D$631:$V$631=Q$631),--($D1670:$V1670=1)),0)+SUM(Q1067)+IF(COUNTIF(Q$1237:Q1670,1)=1,5,0)+IF(COUNTIF(R1068:$W1068,"&gt;"&amp;0)&lt;5,IF(AND(COUNTIF(Q$1237:Q1670,1)&gt;7,MOD(1+IFERROR(MATCH($C1068,总览!$D$46:$D$345,1)+1,1),7)=0),$C$3,0),0)</f>
        <v>586.502678571431</v>
      </c>
      <c r="R1068" s="131" cm="1">
        <f ca="1" t="array" ref="R1068">IF(R1670=1,OFFSET($W$634,$B1068,R$631-1)/SUMPRODUCT(--($D$631:$V$631=R$631),--($D1670:$V1670=1)),0)+SUM(R1067)+IF(COUNTIF(R$1237:R1670,1)=1,5,0)+IF(COUNTIF(S1068:$W1068,"&gt;"&amp;0)&lt;5,IF(AND(COUNTIF(R$1237:R1670,1)&gt;7,MOD(1+IFERROR(MATCH($C1068,总览!$D$46:$D$345,1)+1,1),7)=0),$C$3,0),0)</f>
        <v>578.121428571431</v>
      </c>
      <c r="S1068" s="131" cm="1">
        <f ca="1" t="array" ref="S1068">IF(S1670=1,OFFSET($W$634,$B1068,S$631-1)/SUMPRODUCT(--($D$631:$V$631=S$631),--($D1670:$V1670=1)),0)+SUM(S1067)+IF(COUNTIF(S$1237:S1670,1)=1,5,0)+IF(COUNTIF(T1068:$W1068,"&gt;"&amp;0)&lt;5,IF(AND(COUNTIF(S$1237:S1670,1)&gt;7,MOD(1+IFERROR(MATCH($C1068,总览!$D$46:$D$345,1)+1,1),7)=0),$C$3,0),0)</f>
        <v>670.621428571432</v>
      </c>
      <c r="T1068" s="131" cm="1">
        <f ca="1" t="array" ref="T1068">IF(T1670=1,OFFSET($W$634,$B1068,T$631-1)/SUMPRODUCT(--($D$631:$V$631=T$631),--($D1670:$V1670=1)),0)+SUM(T1067)+IF(COUNTIF(T$1237:T1670,1)=1,5,0)+IF(COUNTIF(U1068:$W1068,"&gt;"&amp;0)&lt;5,IF(AND(COUNTIF(T$1237:T1670,1)&gt;7,MOD(1+IFERROR(MATCH($C1068,总览!$D$46:$D$345,1)+1,1),7)=0),$C$3,0),0)</f>
        <v>490.83345664048</v>
      </c>
      <c r="U1068" s="131" cm="1">
        <f ca="1" t="array" ref="U1068">IF(U1670=1,OFFSET($W$634,$B1068,U$631-1)/SUMPRODUCT(--($D$631:$V$631=U$631),--($D1670:$V1670=1)),0)+SUM(U1067)+IF(COUNTIF(U$1237:U1670,1)=1,5,0)+IF(COUNTIF(V1068:$W1068,"&gt;"&amp;0)&lt;5,IF(AND(COUNTIF(U$1237:U1670,1)&gt;7,MOD(1+IFERROR(MATCH($C1068,总览!$D$46:$D$345,1)+1,1),7)=0),$C$3,0),0)</f>
        <v>496.35424299578</v>
      </c>
      <c r="V1068" s="131" cm="1">
        <f ca="1" t="array" ref="V1068">IF(V1670=1,OFFSET($W$634,$B1068,V$631-1)/SUMPRODUCT(--($D$631:$V$631=V$631),--($D1670:$V1670=1)),0)+SUM(V1067)+IF(COUNTIF(V$1237:V1670,1)=1,5,0)+IF(COUNTIF(W1068:$W1068,"&gt;"&amp;0)&lt;5,IF(AND(COUNTIF(V$1237:V1670,1)&gt;7,MOD(1+IFERROR(MATCH($C1068,总览!$D$46:$D$345,1)+1,1),7)=0),$C$3,0),0)</f>
        <v>516.181242708213</v>
      </c>
      <c r="W1068" s="135" cm="1">
        <f ca="1" t="array" ref="W1068">SUMPRODUCT(TRANSPOSE($AA1068:$AG1068),OFFSET($L$9:$L$15,0,W$631-1))</f>
        <v>16.8502200646615</v>
      </c>
      <c r="X1068" s="135" cm="1">
        <f ca="1" t="array" ref="X1068">SUMPRODUCT(TRANSPOSE($AA1068:$AG1068),OFFSET($L$9:$L$15,0,X$631-1))</f>
        <v>20</v>
      </c>
      <c r="Y1068" s="135" cm="1">
        <f ca="1" t="array" ref="Y1068">SUMPRODUCT(TRANSPOSE($AA1068:$AG1068),OFFSET($L$9:$L$15,0,Y$631-1))</f>
        <v>10</v>
      </c>
      <c r="Z1068" s="135" cm="1">
        <f ca="1" t="array" ref="Z1068">SUMPRODUCT(TRANSPOSE($AA1068:$AG1068),OFFSET($L$9:$L$15,0,Z$631-1))</f>
        <v>3.14977993533847</v>
      </c>
      <c r="AA1068" s="136">
        <f ca="1" t="shared" ref="AA1068:AG1068" si="1119">AH1068-AH1067</f>
        <v>0</v>
      </c>
      <c r="AB1068" s="136">
        <f ca="1" t="shared" si="1119"/>
        <v>0</v>
      </c>
      <c r="AC1068" s="136">
        <f ca="1" t="shared" si="1119"/>
        <v>0</v>
      </c>
      <c r="AD1068" s="136">
        <f ca="1" t="shared" si="1119"/>
        <v>0</v>
      </c>
      <c r="AE1068" s="136">
        <f ca="1" t="shared" si="1119"/>
        <v>0</v>
      </c>
      <c r="AF1068" s="136">
        <f ca="1" t="shared" si="1119"/>
        <v>0</v>
      </c>
      <c r="AG1068" s="136">
        <f ca="1" t="shared" si="1119"/>
        <v>100</v>
      </c>
      <c r="AH1068" s="136">
        <f ca="1" t="shared" si="1021"/>
        <v>450</v>
      </c>
      <c r="AI1068" s="136">
        <f ca="1" t="shared" ref="AI1068:AN1068" si="1120">IF($C1068&gt;OFFSET($Q$8,MATCH(AI$634,$AH$634:$AN$634,0),0),OFFSET($P$8,MATCH(AI$634,$AH$634:$AN$634,0),0),MAX(0,$C1068-OFFSET($Q$8,RIGHT(AI$634,1)-1,0)))</f>
        <v>909</v>
      </c>
      <c r="AJ1068" s="136">
        <f ca="1" t="shared" si="1120"/>
        <v>1818</v>
      </c>
      <c r="AK1068" s="136">
        <f ca="1" t="shared" si="1120"/>
        <v>2727</v>
      </c>
      <c r="AL1068" s="136">
        <f ca="1" t="shared" si="1120"/>
        <v>3636</v>
      </c>
      <c r="AM1068" s="136">
        <f ca="1" t="shared" si="1120"/>
        <v>4545</v>
      </c>
      <c r="AN1068" s="136">
        <f ca="1" t="shared" si="1120"/>
        <v>29315</v>
      </c>
    </row>
    <row r="1069" s="106" customFormat="1" ht="16.5" spans="2:40">
      <c r="B1069" s="117">
        <v>435</v>
      </c>
      <c r="C1069" s="130">
        <f t="shared" si="1019"/>
        <v>43500</v>
      </c>
      <c r="D1069" s="131" cm="1">
        <f ca="1" t="array" ref="D1069">IF(D1671=1,OFFSET($W$634,$B1069,D$631-1)/SUMPRODUCT(--($D$631:$V$631=D$631),--($D1671:$V1671=1)),0)+SUM(D1068)+IF(COUNTIF(D$1237:D1671,1)=1,5,0)+IF(COUNTIF(E1069:$W1069,"&gt;"&amp;0)&lt;5,IF(AND(COUNTIF(D$1237:D1671,1)&gt;7,MOD(1+IFERROR(MATCH($C1069,总览!$D$46:$D$345,1)+1,1),7)=0),$C$3,0),0)</f>
        <v>2770.98542590675</v>
      </c>
      <c r="E1069" s="131" cm="1">
        <f ca="1" t="array" ref="E1069">IF(E1671=1,OFFSET($W$634,$B1069,E$631-1)/SUMPRODUCT(--($D$631:$V$631=E$631),--($D1671:$V1671=1)),0)+SUM(E1068)+IF(COUNTIF(E$1237:E1671,1)=1,5,0)+IF(COUNTIF(F1069:$W1069,"&gt;"&amp;0)&lt;5,IF(AND(COUNTIF(E$1237:E1671,1)&gt;7,MOD(1+IFERROR(MATCH($C1069,总览!$D$46:$D$345,1)+1,1),7)=0),$C$3,0),0)</f>
        <v>2770.98542590675</v>
      </c>
      <c r="F1069" s="131" cm="1">
        <f ca="1" t="array" ref="F1069">IF(F1671=1,OFFSET($W$634,$B1069,F$631-1)/SUMPRODUCT(--($D$631:$V$631=F$631),--($D1671:$V1671=1)),0)+SUM(F1068)+IF(COUNTIF(F$1237:F1671,1)=1,5,0)+IF(COUNTIF(G1069:$W1069,"&gt;"&amp;0)&lt;5,IF(AND(COUNTIF(F$1237:F1671,1)&gt;7,MOD(1+IFERROR(MATCH($C1069,总览!$D$46:$D$345,1)+1,1),7)=0),$C$3,0),0)</f>
        <v>2770.98542590675</v>
      </c>
      <c r="G1069" s="131" cm="1">
        <f ca="1" t="array" ref="G1069">IF(G1671=1,OFFSET($W$634,$B1069,G$631-1)/SUMPRODUCT(--($D$631:$V$631=G$631),--($D1671:$V1671=1)),0)+SUM(G1068)+IF(COUNTIF(G$1237:G1671,1)=1,5,0)+IF(COUNTIF(H1069:$W1069,"&gt;"&amp;0)&lt;5,IF(AND(COUNTIF(G$1237:G1671,1)&gt;7,MOD(1+IFERROR(MATCH($C1069,总览!$D$46:$D$345,1)+1,1),7)=0),$C$3,0),0)</f>
        <v>1389.4</v>
      </c>
      <c r="H1069" s="131" cm="1">
        <f ca="1" t="array" ref="H1069">IF(H1671=1,OFFSET($W$634,$B1069,H$631-1)/SUMPRODUCT(--($D$631:$V$631=H$631),--($D1671:$V1671=1)),0)+SUM(H1068)+IF(COUNTIF(H$1237:H1671,1)=1,5,0)+IF(COUNTIF(I1069:$W1069,"&gt;"&amp;0)&lt;5,IF(AND(COUNTIF(H$1237:H1671,1)&gt;7,MOD(1+IFERROR(MATCH($C1069,总览!$D$46:$D$345,1)+1,1),7)=0),$C$3,0),0)</f>
        <v>1389.4</v>
      </c>
      <c r="I1069" s="131" cm="1">
        <f ca="1" t="array" ref="I1069">IF(I1671=1,OFFSET($W$634,$B1069,I$631-1)/SUMPRODUCT(--($D$631:$V$631=I$631),--($D1671:$V1671=1)),0)+SUM(I1068)+IF(COUNTIF(I$1237:I1671,1)=1,5,0)+IF(COUNTIF(J1069:$W1069,"&gt;"&amp;0)&lt;5,IF(AND(COUNTIF(I$1237:I1671,1)&gt;7,MOD(1+IFERROR(MATCH($C1069,总览!$D$46:$D$345,1)+1,1),7)=0),$C$3,0),0)</f>
        <v>1389.4</v>
      </c>
      <c r="J1069" s="131" cm="1">
        <f ca="1" t="array" ref="J1069">IF(J1671=1,OFFSET($W$634,$B1069,J$631-1)/SUMPRODUCT(--($D$631:$V$631=J$631),--($D1671:$V1671=1)),0)+SUM(J1068)+IF(COUNTIF(J$1237:J1671,1)=1,5,0)+IF(COUNTIF(K1069:$W1069,"&gt;"&amp;0)&lt;5,IF(AND(COUNTIF(J$1237:J1671,1)&gt;7,MOD(1+IFERROR(MATCH($C1069,总览!$D$46:$D$345,1)+1,1),7)=0),$C$3,0),0)</f>
        <v>1386.06666666666</v>
      </c>
      <c r="K1069" s="131" cm="1">
        <f ca="1" t="array" ref="K1069">IF(K1671=1,OFFSET($W$634,$B1069,K$631-1)/SUMPRODUCT(--($D$631:$V$631=K$631),--($D1671:$V1671=1)),0)+SUM(K1068)+IF(COUNTIF(K$1237:K1671,1)=1,5,0)+IF(COUNTIF(L1069:$W1069,"&gt;"&amp;0)&lt;5,IF(AND(COUNTIF(K$1237:K1671,1)&gt;7,MOD(1+IFERROR(MATCH($C1069,总览!$D$46:$D$345,1)+1,1),7)=0),$C$3,0),0)</f>
        <v>1383.56666666666</v>
      </c>
      <c r="L1069" s="131" cm="1">
        <f ca="1" t="array" ref="L1069">IF(L1671=1,OFFSET($W$634,$B1069,L$631-1)/SUMPRODUCT(--($D$631:$V$631=L$631),--($D1671:$V1671=1)),0)+SUM(L1068)+IF(COUNTIF(L$1237:L1671,1)=1,5,0)+IF(COUNTIF(M1069:$W1069,"&gt;"&amp;0)&lt;5,IF(AND(COUNTIF(L$1237:L1671,1)&gt;7,MOD(1+IFERROR(MATCH($C1069,总览!$D$46:$D$345,1)+1,1),7)=0),$C$3,0),0)</f>
        <v>1383.56666666666</v>
      </c>
      <c r="M1069" s="131" cm="1">
        <f ca="1" t="array" ref="M1069">IF(M1671=1,OFFSET($W$634,$B1069,M$631-1)/SUMPRODUCT(--($D$631:$V$631=M$631),--($D1671:$V1671=1)),0)+SUM(M1068)+IF(COUNTIF(M$1237:M1671,1)=1,5,0)+IF(COUNTIF(N1069:$W1069,"&gt;"&amp;0)&lt;5,IF(AND(COUNTIF(M$1237:M1671,1)&gt;7,MOD(1+IFERROR(MATCH($C1069,总览!$D$46:$D$345,1)+1,1),7)=0),$C$3,0),0)</f>
        <v>579.181250000002</v>
      </c>
      <c r="N1069" s="131" cm="1">
        <f ca="1" t="array" ref="N1069">IF(N1671=1,OFFSET($W$634,$B1069,N$631-1)/SUMPRODUCT(--($D$631:$V$631=N$631),--($D1671:$V1671=1)),0)+SUM(N1068)+IF(COUNTIF(N$1237:N1671,1)=1,5,0)+IF(COUNTIF(O1069:$W1069,"&gt;"&amp;0)&lt;5,IF(AND(COUNTIF(N$1237:N1671,1)&gt;7,MOD(1+IFERROR(MATCH($C1069,总览!$D$46:$D$345,1)+1,1),7)=0),$C$3,0),0)</f>
        <v>580.431250000002</v>
      </c>
      <c r="O1069" s="131" cm="1">
        <f ca="1" t="array" ref="O1069">IF(O1671=1,OFFSET($W$634,$B1069,O$631-1)/SUMPRODUCT(--($D$631:$V$631=O$631),--($D1671:$V1671=1)),0)+SUM(O1068)+IF(COUNTIF(O$1237:O1671,1)=1,5,0)+IF(COUNTIF(P1069:$W1069,"&gt;"&amp;0)&lt;5,IF(AND(COUNTIF(O$1237:O1671,1)&gt;7,MOD(1+IFERROR(MATCH($C1069,总览!$D$46:$D$345,1)+1,1),7)=0),$C$3,0),0)</f>
        <v>585.431250000002</v>
      </c>
      <c r="P1069" s="131" cm="1">
        <f ca="1" t="array" ref="P1069">IF(P1671=1,OFFSET($W$634,$B1069,P$631-1)/SUMPRODUCT(--($D$631:$V$631=P$631),--($D1671:$V1671=1)),0)+SUM(P1068)+IF(COUNTIF(P$1237:P1671,1)=1,5,0)+IF(COUNTIF(Q1069:$W1069,"&gt;"&amp;0)&lt;5,IF(AND(COUNTIF(P$1237:P1671,1)&gt;7,MOD(1+IFERROR(MATCH($C1069,总览!$D$46:$D$345,1)+1,1),7)=0),$C$3,0),0)</f>
        <v>574.550000000002</v>
      </c>
      <c r="Q1069" s="131" cm="1">
        <f ca="1" t="array" ref="Q1069">IF(Q1671=1,OFFSET($W$634,$B1069,Q$631-1)/SUMPRODUCT(--($D$631:$V$631=Q$631),--($D1671:$V1671=1)),0)+SUM(Q1068)+IF(COUNTIF(Q$1237:Q1671,1)=1,5,0)+IF(COUNTIF(R1069:$W1069,"&gt;"&amp;0)&lt;5,IF(AND(COUNTIF(Q$1237:Q1671,1)&gt;7,MOD(1+IFERROR(MATCH($C1069,总览!$D$46:$D$345,1)+1,1),7)=0),$C$3,0),0)</f>
        <v>587.931250000002</v>
      </c>
      <c r="R1069" s="131" cm="1">
        <f ca="1" t="array" ref="R1069">IF(R1671=1,OFFSET($W$634,$B1069,R$631-1)/SUMPRODUCT(--($D$631:$V$631=R$631),--($D1671:$V1671=1)),0)+SUM(R1068)+IF(COUNTIF(R$1237:R1671,1)=1,5,0)+IF(COUNTIF(S1069:$W1069,"&gt;"&amp;0)&lt;5,IF(AND(COUNTIF(R$1237:R1671,1)&gt;7,MOD(1+IFERROR(MATCH($C1069,总览!$D$46:$D$345,1)+1,1),7)=0),$C$3,0),0)</f>
        <v>579.550000000002</v>
      </c>
      <c r="S1069" s="131" cm="1">
        <f ca="1" t="array" ref="S1069">IF(S1671=1,OFFSET($W$634,$B1069,S$631-1)/SUMPRODUCT(--($D$631:$V$631=S$631),--($D1671:$V1671=1)),0)+SUM(S1068)+IF(COUNTIF(S$1237:S1671,1)=1,5,0)+IF(COUNTIF(T1069:$W1069,"&gt;"&amp;0)&lt;5,IF(AND(COUNTIF(S$1237:S1671,1)&gt;7,MOD(1+IFERROR(MATCH($C1069,总览!$D$46:$D$345,1)+1,1),7)=0),$C$3,0),0)</f>
        <v>672.050000000004</v>
      </c>
      <c r="T1069" s="131" cm="1">
        <f ca="1" t="array" ref="T1069">IF(T1671=1,OFFSET($W$634,$B1069,T$631-1)/SUMPRODUCT(--($D$631:$V$631=T$631),--($D1671:$V1671=1)),0)+SUM(T1068)+IF(COUNTIF(T$1237:T1671,1)=1,5,0)+IF(COUNTIF(U1069:$W1069,"&gt;"&amp;0)&lt;5,IF(AND(COUNTIF(T$1237:T1671,1)&gt;7,MOD(1+IFERROR(MATCH($C1069,总览!$D$46:$D$345,1)+1,1),7)=0),$C$3,0),0)</f>
        <v>491.883383285593</v>
      </c>
      <c r="U1069" s="131" cm="1">
        <f ca="1" t="array" ref="U1069">IF(U1671=1,OFFSET($W$634,$B1069,U$631-1)/SUMPRODUCT(--($D$631:$V$631=U$631),--($D1671:$V1671=1)),0)+SUM(U1068)+IF(COUNTIF(U$1237:U1671,1)=1,5,0)+IF(COUNTIF(V1069:$W1069,"&gt;"&amp;0)&lt;5,IF(AND(COUNTIF(U$1237:U1671,1)&gt;7,MOD(1+IFERROR(MATCH($C1069,总览!$D$46:$D$345,1)+1,1),7)=0),$C$3,0),0)</f>
        <v>497.404169640893</v>
      </c>
      <c r="V1069" s="131" cm="1">
        <f ca="1" t="array" ref="V1069">IF(V1671=1,OFFSET($W$634,$B1069,V$631-1)/SUMPRODUCT(--($D$631:$V$631=V$631),--($D1671:$V1671=1)),0)+SUM(V1068)+IF(COUNTIF(V$1237:V1671,1)=1,5,0)+IF(COUNTIF(W1069:$W1069,"&gt;"&amp;0)&lt;5,IF(AND(COUNTIF(V$1237:V1671,1)&gt;7,MOD(1+IFERROR(MATCH($C1069,总览!$D$46:$D$345,1)+1,1),7)=0),$C$3,0),0)</f>
        <v>517.231169353326</v>
      </c>
      <c r="W1069" s="135" cm="1">
        <f ca="1" t="array" ref="W1069">SUMPRODUCT(TRANSPOSE($AA1069:$AG1069),OFFSET($L$9:$L$15,0,W$631-1))</f>
        <v>16.8502200646615</v>
      </c>
      <c r="X1069" s="135" cm="1">
        <f ca="1" t="array" ref="X1069">SUMPRODUCT(TRANSPOSE($AA1069:$AG1069),OFFSET($L$9:$L$15,0,X$631-1))</f>
        <v>20</v>
      </c>
      <c r="Y1069" s="135" cm="1">
        <f ca="1" t="array" ref="Y1069">SUMPRODUCT(TRANSPOSE($AA1069:$AG1069),OFFSET($L$9:$L$15,0,Y$631-1))</f>
        <v>10</v>
      </c>
      <c r="Z1069" s="135" cm="1">
        <f ca="1" t="array" ref="Z1069">SUMPRODUCT(TRANSPOSE($AA1069:$AG1069),OFFSET($L$9:$L$15,0,Z$631-1))</f>
        <v>3.14977993533847</v>
      </c>
      <c r="AA1069" s="136">
        <f ca="1" t="shared" ref="AA1069:AG1069" si="1121">AH1069-AH1068</f>
        <v>0</v>
      </c>
      <c r="AB1069" s="136">
        <f ca="1" t="shared" si="1121"/>
        <v>0</v>
      </c>
      <c r="AC1069" s="136">
        <f ca="1" t="shared" si="1121"/>
        <v>0</v>
      </c>
      <c r="AD1069" s="136">
        <f ca="1" t="shared" si="1121"/>
        <v>0</v>
      </c>
      <c r="AE1069" s="136">
        <f ca="1" t="shared" si="1121"/>
        <v>0</v>
      </c>
      <c r="AF1069" s="136">
        <f ca="1" t="shared" si="1121"/>
        <v>0</v>
      </c>
      <c r="AG1069" s="136">
        <f ca="1" t="shared" si="1121"/>
        <v>100</v>
      </c>
      <c r="AH1069" s="136">
        <f ca="1" t="shared" si="1021"/>
        <v>450</v>
      </c>
      <c r="AI1069" s="136">
        <f ca="1" t="shared" ref="AI1069:AN1069" si="1122">IF($C1069&gt;OFFSET($Q$8,MATCH(AI$634,$AH$634:$AN$634,0),0),OFFSET($P$8,MATCH(AI$634,$AH$634:$AN$634,0),0),MAX(0,$C1069-OFFSET($Q$8,RIGHT(AI$634,1)-1,0)))</f>
        <v>909</v>
      </c>
      <c r="AJ1069" s="136">
        <f ca="1" t="shared" si="1122"/>
        <v>1818</v>
      </c>
      <c r="AK1069" s="136">
        <f ca="1" t="shared" si="1122"/>
        <v>2727</v>
      </c>
      <c r="AL1069" s="136">
        <f ca="1" t="shared" si="1122"/>
        <v>3636</v>
      </c>
      <c r="AM1069" s="136">
        <f ca="1" t="shared" si="1122"/>
        <v>4545</v>
      </c>
      <c r="AN1069" s="136">
        <f ca="1" t="shared" si="1122"/>
        <v>29415</v>
      </c>
    </row>
    <row r="1070" s="106" customFormat="1" ht="16.5" spans="2:40">
      <c r="B1070" s="117">
        <v>436</v>
      </c>
      <c r="C1070" s="130">
        <f t="shared" si="1019"/>
        <v>43600</v>
      </c>
      <c r="D1070" s="131" cm="1">
        <f ca="1" t="array" ref="D1070">IF(D1672=1,OFFSET($W$634,$B1070,D$631-1)/SUMPRODUCT(--($D$631:$V$631=D$631),--($D1672:$V1672=1)),0)+SUM(D1069)+IF(COUNTIF(D$1237:D1672,1)=1,5,0)+IF(COUNTIF(E1070:$W1070,"&gt;"&amp;0)&lt;5,IF(AND(COUNTIF(D$1237:D1672,1)&gt;7,MOD(1+IFERROR(MATCH($C1070,总览!$D$46:$D$345,1)+1,1),7)=0),$C$3,0),0)</f>
        <v>2776.6021659283</v>
      </c>
      <c r="E1070" s="131" cm="1">
        <f ca="1" t="array" ref="E1070">IF(E1672=1,OFFSET($W$634,$B1070,E$631-1)/SUMPRODUCT(--($D$631:$V$631=E$631),--($D1672:$V1672=1)),0)+SUM(E1069)+IF(COUNTIF(E$1237:E1672,1)=1,5,0)+IF(COUNTIF(F1070:$W1070,"&gt;"&amp;0)&lt;5,IF(AND(COUNTIF(E$1237:E1672,1)&gt;7,MOD(1+IFERROR(MATCH($C1070,总览!$D$46:$D$345,1)+1,1),7)=0),$C$3,0),0)</f>
        <v>2776.6021659283</v>
      </c>
      <c r="F1070" s="131" cm="1">
        <f ca="1" t="array" ref="F1070">IF(F1672=1,OFFSET($W$634,$B1070,F$631-1)/SUMPRODUCT(--($D$631:$V$631=F$631),--($D1672:$V1672=1)),0)+SUM(F1069)+IF(COUNTIF(F$1237:F1672,1)=1,5,0)+IF(COUNTIF(G1070:$W1070,"&gt;"&amp;0)&lt;5,IF(AND(COUNTIF(F$1237:F1672,1)&gt;7,MOD(1+IFERROR(MATCH($C1070,总览!$D$46:$D$345,1)+1,1),7)=0),$C$3,0),0)</f>
        <v>2776.6021659283</v>
      </c>
      <c r="G1070" s="131" cm="1">
        <f ca="1" t="array" ref="G1070">IF(G1672=1,OFFSET($W$634,$B1070,G$631-1)/SUMPRODUCT(--($D$631:$V$631=G$631),--($D1672:$V1672=1)),0)+SUM(G1069)+IF(COUNTIF(G$1237:G1672,1)=1,5,0)+IF(COUNTIF(H1070:$W1070,"&gt;"&amp;0)&lt;5,IF(AND(COUNTIF(G$1237:G1672,1)&gt;7,MOD(1+IFERROR(MATCH($C1070,总览!$D$46:$D$345,1)+1,1),7)=0),$C$3,0),0)</f>
        <v>1392.73333333333</v>
      </c>
      <c r="H1070" s="131" cm="1">
        <f ca="1" t="array" ref="H1070">IF(H1672=1,OFFSET($W$634,$B1070,H$631-1)/SUMPRODUCT(--($D$631:$V$631=H$631),--($D1672:$V1672=1)),0)+SUM(H1069)+IF(COUNTIF(H$1237:H1672,1)=1,5,0)+IF(COUNTIF(I1070:$W1070,"&gt;"&amp;0)&lt;5,IF(AND(COUNTIF(H$1237:H1672,1)&gt;7,MOD(1+IFERROR(MATCH($C1070,总览!$D$46:$D$345,1)+1,1),7)=0),$C$3,0),0)</f>
        <v>1392.73333333333</v>
      </c>
      <c r="I1070" s="131" cm="1">
        <f ca="1" t="array" ref="I1070">IF(I1672=1,OFFSET($W$634,$B1070,I$631-1)/SUMPRODUCT(--($D$631:$V$631=I$631),--($D1672:$V1672=1)),0)+SUM(I1069)+IF(COUNTIF(I$1237:I1672,1)=1,5,0)+IF(COUNTIF(J1070:$W1070,"&gt;"&amp;0)&lt;5,IF(AND(COUNTIF(I$1237:I1672,1)&gt;7,MOD(1+IFERROR(MATCH($C1070,总览!$D$46:$D$345,1)+1,1),7)=0),$C$3,0),0)</f>
        <v>1392.73333333333</v>
      </c>
      <c r="J1070" s="131" cm="1">
        <f ca="1" t="array" ref="J1070">IF(J1672=1,OFFSET($W$634,$B1070,J$631-1)/SUMPRODUCT(--($D$631:$V$631=J$631),--($D1672:$V1672=1)),0)+SUM(J1069)+IF(COUNTIF(J$1237:J1672,1)=1,5,0)+IF(COUNTIF(K1070:$W1070,"&gt;"&amp;0)&lt;5,IF(AND(COUNTIF(J$1237:J1672,1)&gt;7,MOD(1+IFERROR(MATCH($C1070,总览!$D$46:$D$345,1)+1,1),7)=0),$C$3,0),0)</f>
        <v>1389.4</v>
      </c>
      <c r="K1070" s="131" cm="1">
        <f ca="1" t="array" ref="K1070">IF(K1672=1,OFFSET($W$634,$B1070,K$631-1)/SUMPRODUCT(--($D$631:$V$631=K$631),--($D1672:$V1672=1)),0)+SUM(K1069)+IF(COUNTIF(K$1237:K1672,1)=1,5,0)+IF(COUNTIF(L1070:$W1070,"&gt;"&amp;0)&lt;5,IF(AND(COUNTIF(K$1237:K1672,1)&gt;7,MOD(1+IFERROR(MATCH($C1070,总览!$D$46:$D$345,1)+1,1),7)=0),$C$3,0),0)</f>
        <v>1386.9</v>
      </c>
      <c r="L1070" s="131" cm="1">
        <f ca="1" t="array" ref="L1070">IF(L1672=1,OFFSET($W$634,$B1070,L$631-1)/SUMPRODUCT(--($D$631:$V$631=L$631),--($D1672:$V1672=1)),0)+SUM(L1069)+IF(COUNTIF(L$1237:L1672,1)=1,5,0)+IF(COUNTIF(M1070:$W1070,"&gt;"&amp;0)&lt;5,IF(AND(COUNTIF(L$1237:L1672,1)&gt;7,MOD(1+IFERROR(MATCH($C1070,总览!$D$46:$D$345,1)+1,1),7)=0),$C$3,0),0)</f>
        <v>1386.9</v>
      </c>
      <c r="M1070" s="131" cm="1">
        <f ca="1" t="array" ref="M1070">IF(M1672=1,OFFSET($W$634,$B1070,M$631-1)/SUMPRODUCT(--($D$631:$V$631=M$631),--($D1672:$V1672=1)),0)+SUM(M1069)+IF(COUNTIF(M$1237:M1672,1)=1,5,0)+IF(COUNTIF(N1070:$W1070,"&gt;"&amp;0)&lt;5,IF(AND(COUNTIF(M$1237:M1672,1)&gt;7,MOD(1+IFERROR(MATCH($C1070,总览!$D$46:$D$345,1)+1,1),7)=0),$C$3,0),0)</f>
        <v>580.609821428574</v>
      </c>
      <c r="N1070" s="131" cm="1">
        <f ca="1" t="array" ref="N1070">IF(N1672=1,OFFSET($W$634,$B1070,N$631-1)/SUMPRODUCT(--($D$631:$V$631=N$631),--($D1672:$V1672=1)),0)+SUM(N1069)+IF(COUNTIF(N$1237:N1672,1)=1,5,0)+IF(COUNTIF(O1070:$W1070,"&gt;"&amp;0)&lt;5,IF(AND(COUNTIF(N$1237:N1672,1)&gt;7,MOD(1+IFERROR(MATCH($C1070,总览!$D$46:$D$345,1)+1,1),7)=0),$C$3,0),0)</f>
        <v>581.859821428574</v>
      </c>
      <c r="O1070" s="131" cm="1">
        <f ca="1" t="array" ref="O1070">IF(O1672=1,OFFSET($W$634,$B1070,O$631-1)/SUMPRODUCT(--($D$631:$V$631=O$631),--($D1672:$V1672=1)),0)+SUM(O1069)+IF(COUNTIF(O$1237:O1672,1)=1,5,0)+IF(COUNTIF(P1070:$W1070,"&gt;"&amp;0)&lt;5,IF(AND(COUNTIF(O$1237:O1672,1)&gt;7,MOD(1+IFERROR(MATCH($C1070,总览!$D$46:$D$345,1)+1,1),7)=0),$C$3,0),0)</f>
        <v>586.859821428574</v>
      </c>
      <c r="P1070" s="131" cm="1">
        <f ca="1" t="array" ref="P1070">IF(P1672=1,OFFSET($W$634,$B1070,P$631-1)/SUMPRODUCT(--($D$631:$V$631=P$631),--($D1672:$V1672=1)),0)+SUM(P1069)+IF(COUNTIF(P$1237:P1672,1)=1,5,0)+IF(COUNTIF(Q1070:$W1070,"&gt;"&amp;0)&lt;5,IF(AND(COUNTIF(P$1237:P1672,1)&gt;7,MOD(1+IFERROR(MATCH($C1070,总览!$D$46:$D$345,1)+1,1),7)=0),$C$3,0),0)</f>
        <v>575.978571428574</v>
      </c>
      <c r="Q1070" s="131" cm="1">
        <f ca="1" t="array" ref="Q1070">IF(Q1672=1,OFFSET($W$634,$B1070,Q$631-1)/SUMPRODUCT(--($D$631:$V$631=Q$631),--($D1672:$V1672=1)),0)+SUM(Q1069)+IF(COUNTIF(Q$1237:Q1672,1)=1,5,0)+IF(COUNTIF(R1070:$W1070,"&gt;"&amp;0)&lt;5,IF(AND(COUNTIF(Q$1237:Q1672,1)&gt;7,MOD(1+IFERROR(MATCH($C1070,总览!$D$46:$D$345,1)+1,1),7)=0),$C$3,0),0)</f>
        <v>589.359821428574</v>
      </c>
      <c r="R1070" s="131" cm="1">
        <f ca="1" t="array" ref="R1070">IF(R1672=1,OFFSET($W$634,$B1070,R$631-1)/SUMPRODUCT(--($D$631:$V$631=R$631),--($D1672:$V1672=1)),0)+SUM(R1069)+IF(COUNTIF(R$1237:R1672,1)=1,5,0)+IF(COUNTIF(S1070:$W1070,"&gt;"&amp;0)&lt;5,IF(AND(COUNTIF(R$1237:R1672,1)&gt;7,MOD(1+IFERROR(MATCH($C1070,总览!$D$46:$D$345,1)+1,1),7)=0),$C$3,0),0)</f>
        <v>580.978571428574</v>
      </c>
      <c r="S1070" s="131" cm="1">
        <f ca="1" t="array" ref="S1070">IF(S1672=1,OFFSET($W$634,$B1070,S$631-1)/SUMPRODUCT(--($D$631:$V$631=S$631),--($D1672:$V1672=1)),0)+SUM(S1069)+IF(COUNTIF(S$1237:S1672,1)=1,5,0)+IF(COUNTIF(T1070:$W1070,"&gt;"&amp;0)&lt;5,IF(AND(COUNTIF(S$1237:S1672,1)&gt;7,MOD(1+IFERROR(MATCH($C1070,总览!$D$46:$D$345,1)+1,1),7)=0),$C$3,0),0)</f>
        <v>673.478571428575</v>
      </c>
      <c r="T1070" s="131" cm="1">
        <f ca="1" t="array" ref="T1070">IF(T1672=1,OFFSET($W$634,$B1070,T$631-1)/SUMPRODUCT(--($D$631:$V$631=T$631),--($D1672:$V1672=1)),0)+SUM(T1069)+IF(COUNTIF(T$1237:T1672,1)=1,5,0)+IF(COUNTIF(U1070:$W1070,"&gt;"&amp;0)&lt;5,IF(AND(COUNTIF(T$1237:T1672,1)&gt;7,MOD(1+IFERROR(MATCH($C1070,总览!$D$46:$D$345,1)+1,1),7)=0),$C$3,0),0)</f>
        <v>492.933309930706</v>
      </c>
      <c r="U1070" s="131" cm="1">
        <f ca="1" t="array" ref="U1070">IF(U1672=1,OFFSET($W$634,$B1070,U$631-1)/SUMPRODUCT(--($D$631:$V$631=U$631),--($D1672:$V1672=1)),0)+SUM(U1069)+IF(COUNTIF(U$1237:U1672,1)=1,5,0)+IF(COUNTIF(V1070:$W1070,"&gt;"&amp;0)&lt;5,IF(AND(COUNTIF(U$1237:U1672,1)&gt;7,MOD(1+IFERROR(MATCH($C1070,总览!$D$46:$D$345,1)+1,1),7)=0),$C$3,0),0)</f>
        <v>498.454096286005</v>
      </c>
      <c r="V1070" s="131" cm="1">
        <f ca="1" t="array" ref="V1070">IF(V1672=1,OFFSET($W$634,$B1070,V$631-1)/SUMPRODUCT(--($D$631:$V$631=V$631),--($D1672:$V1672=1)),0)+SUM(V1069)+IF(COUNTIF(V$1237:V1672,1)=1,5,0)+IF(COUNTIF(W1070:$W1070,"&gt;"&amp;0)&lt;5,IF(AND(COUNTIF(V$1237:V1672,1)&gt;7,MOD(1+IFERROR(MATCH($C1070,总览!$D$46:$D$345,1)+1,1),7)=0),$C$3,0),0)</f>
        <v>518.281095998438</v>
      </c>
      <c r="W1070" s="135" cm="1">
        <f ca="1" t="array" ref="W1070">SUMPRODUCT(TRANSPOSE($AA1070:$AG1070),OFFSET($L$9:$L$15,0,W$631-1))</f>
        <v>16.8502200646615</v>
      </c>
      <c r="X1070" s="135" cm="1">
        <f ca="1" t="array" ref="X1070">SUMPRODUCT(TRANSPOSE($AA1070:$AG1070),OFFSET($L$9:$L$15,0,X$631-1))</f>
        <v>20</v>
      </c>
      <c r="Y1070" s="135" cm="1">
        <f ca="1" t="array" ref="Y1070">SUMPRODUCT(TRANSPOSE($AA1070:$AG1070),OFFSET($L$9:$L$15,0,Y$631-1))</f>
        <v>10</v>
      </c>
      <c r="Z1070" s="135" cm="1">
        <f ca="1" t="array" ref="Z1070">SUMPRODUCT(TRANSPOSE($AA1070:$AG1070),OFFSET($L$9:$L$15,0,Z$631-1))</f>
        <v>3.14977993533847</v>
      </c>
      <c r="AA1070" s="136">
        <f ca="1" t="shared" ref="AA1070:AG1070" si="1123">AH1070-AH1069</f>
        <v>0</v>
      </c>
      <c r="AB1070" s="136">
        <f ca="1" t="shared" si="1123"/>
        <v>0</v>
      </c>
      <c r="AC1070" s="136">
        <f ca="1" t="shared" si="1123"/>
        <v>0</v>
      </c>
      <c r="AD1070" s="136">
        <f ca="1" t="shared" si="1123"/>
        <v>0</v>
      </c>
      <c r="AE1070" s="136">
        <f ca="1" t="shared" si="1123"/>
        <v>0</v>
      </c>
      <c r="AF1070" s="136">
        <f ca="1" t="shared" si="1123"/>
        <v>0</v>
      </c>
      <c r="AG1070" s="136">
        <f ca="1" t="shared" si="1123"/>
        <v>100</v>
      </c>
      <c r="AH1070" s="136">
        <f ca="1" t="shared" si="1021"/>
        <v>450</v>
      </c>
      <c r="AI1070" s="136">
        <f ca="1" t="shared" ref="AI1070:AN1070" si="1124">IF($C1070&gt;OFFSET($Q$8,MATCH(AI$634,$AH$634:$AN$634,0),0),OFFSET($P$8,MATCH(AI$634,$AH$634:$AN$634,0),0),MAX(0,$C1070-OFFSET($Q$8,RIGHT(AI$634,1)-1,0)))</f>
        <v>909</v>
      </c>
      <c r="AJ1070" s="136">
        <f ca="1" t="shared" si="1124"/>
        <v>1818</v>
      </c>
      <c r="AK1070" s="136">
        <f ca="1" t="shared" si="1124"/>
        <v>2727</v>
      </c>
      <c r="AL1070" s="136">
        <f ca="1" t="shared" si="1124"/>
        <v>3636</v>
      </c>
      <c r="AM1070" s="136">
        <f ca="1" t="shared" si="1124"/>
        <v>4545</v>
      </c>
      <c r="AN1070" s="136">
        <f ca="1" t="shared" si="1124"/>
        <v>29515</v>
      </c>
    </row>
    <row r="1071" s="106" customFormat="1" ht="16.5" spans="2:40">
      <c r="B1071" s="117">
        <v>437</v>
      </c>
      <c r="C1071" s="130">
        <f t="shared" si="1019"/>
        <v>43700</v>
      </c>
      <c r="D1071" s="131" cm="1">
        <f ca="1" t="array" ref="D1071">IF(D1673=1,OFFSET($W$634,$B1071,D$631-1)/SUMPRODUCT(--($D$631:$V$631=D$631),--($D1673:$V1673=1)),0)+SUM(D1070)+IF(COUNTIF(D$1237:D1673,1)=1,5,0)+IF(COUNTIF(E1071:$W1071,"&gt;"&amp;0)&lt;5,IF(AND(COUNTIF(D$1237:D1673,1)&gt;7,MOD(1+IFERROR(MATCH($C1071,总览!$D$46:$D$345,1)+1,1),7)=0),$C$3,0),0)</f>
        <v>2782.21890594986</v>
      </c>
      <c r="E1071" s="131" cm="1">
        <f ca="1" t="array" ref="E1071">IF(E1673=1,OFFSET($W$634,$B1071,E$631-1)/SUMPRODUCT(--($D$631:$V$631=E$631),--($D1673:$V1673=1)),0)+SUM(E1070)+IF(COUNTIF(E$1237:E1673,1)=1,5,0)+IF(COUNTIF(F1071:$W1071,"&gt;"&amp;0)&lt;5,IF(AND(COUNTIF(E$1237:E1673,1)&gt;7,MOD(1+IFERROR(MATCH($C1071,总览!$D$46:$D$345,1)+1,1),7)=0),$C$3,0),0)</f>
        <v>2782.21890594986</v>
      </c>
      <c r="F1071" s="131" cm="1">
        <f ca="1" t="array" ref="F1071">IF(F1673=1,OFFSET($W$634,$B1071,F$631-1)/SUMPRODUCT(--($D$631:$V$631=F$631),--($D1673:$V1673=1)),0)+SUM(F1070)+IF(COUNTIF(F$1237:F1673,1)=1,5,0)+IF(COUNTIF(G1071:$W1071,"&gt;"&amp;0)&lt;5,IF(AND(COUNTIF(F$1237:F1673,1)&gt;7,MOD(1+IFERROR(MATCH($C1071,总览!$D$46:$D$345,1)+1,1),7)=0),$C$3,0),0)</f>
        <v>2782.21890594986</v>
      </c>
      <c r="G1071" s="131" cm="1">
        <f ca="1" t="array" ref="G1071">IF(G1673=1,OFFSET($W$634,$B1071,G$631-1)/SUMPRODUCT(--($D$631:$V$631=G$631),--($D1673:$V1673=1)),0)+SUM(G1070)+IF(COUNTIF(G$1237:G1673,1)=1,5,0)+IF(COUNTIF(H1071:$W1071,"&gt;"&amp;0)&lt;5,IF(AND(COUNTIF(G$1237:G1673,1)&gt;7,MOD(1+IFERROR(MATCH($C1071,总览!$D$46:$D$345,1)+1,1),7)=0),$C$3,0),0)</f>
        <v>1396.06666666666</v>
      </c>
      <c r="H1071" s="131" cm="1">
        <f ca="1" t="array" ref="H1071">IF(H1673=1,OFFSET($W$634,$B1071,H$631-1)/SUMPRODUCT(--($D$631:$V$631=H$631),--($D1673:$V1673=1)),0)+SUM(H1070)+IF(COUNTIF(H$1237:H1673,1)=1,5,0)+IF(COUNTIF(I1071:$W1071,"&gt;"&amp;0)&lt;5,IF(AND(COUNTIF(H$1237:H1673,1)&gt;7,MOD(1+IFERROR(MATCH($C1071,总览!$D$46:$D$345,1)+1,1),7)=0),$C$3,0),0)</f>
        <v>1396.06666666666</v>
      </c>
      <c r="I1071" s="131" cm="1">
        <f ca="1" t="array" ref="I1071">IF(I1673=1,OFFSET($W$634,$B1071,I$631-1)/SUMPRODUCT(--($D$631:$V$631=I$631),--($D1673:$V1673=1)),0)+SUM(I1070)+IF(COUNTIF(I$1237:I1673,1)=1,5,0)+IF(COUNTIF(J1071:$W1071,"&gt;"&amp;0)&lt;5,IF(AND(COUNTIF(I$1237:I1673,1)&gt;7,MOD(1+IFERROR(MATCH($C1071,总览!$D$46:$D$345,1)+1,1),7)=0),$C$3,0),0)</f>
        <v>1396.06666666666</v>
      </c>
      <c r="J1071" s="131" cm="1">
        <f ca="1" t="array" ref="J1071">IF(J1673=1,OFFSET($W$634,$B1071,J$631-1)/SUMPRODUCT(--($D$631:$V$631=J$631),--($D1673:$V1673=1)),0)+SUM(J1070)+IF(COUNTIF(J$1237:J1673,1)=1,5,0)+IF(COUNTIF(K1071:$W1071,"&gt;"&amp;0)&lt;5,IF(AND(COUNTIF(J$1237:J1673,1)&gt;7,MOD(1+IFERROR(MATCH($C1071,总览!$D$46:$D$345,1)+1,1),7)=0),$C$3,0),0)</f>
        <v>1392.73333333333</v>
      </c>
      <c r="K1071" s="131" cm="1">
        <f ca="1" t="array" ref="K1071">IF(K1673=1,OFFSET($W$634,$B1071,K$631-1)/SUMPRODUCT(--($D$631:$V$631=K$631),--($D1673:$V1673=1)),0)+SUM(K1070)+IF(COUNTIF(K$1237:K1673,1)=1,5,0)+IF(COUNTIF(L1071:$W1071,"&gt;"&amp;0)&lt;5,IF(AND(COUNTIF(K$1237:K1673,1)&gt;7,MOD(1+IFERROR(MATCH($C1071,总览!$D$46:$D$345,1)+1,1),7)=0),$C$3,0),0)</f>
        <v>1390.23333333333</v>
      </c>
      <c r="L1071" s="131" cm="1">
        <f ca="1" t="array" ref="L1071">IF(L1673=1,OFFSET($W$634,$B1071,L$631-1)/SUMPRODUCT(--($D$631:$V$631=L$631),--($D1673:$V1673=1)),0)+SUM(L1070)+IF(COUNTIF(L$1237:L1673,1)=1,5,0)+IF(COUNTIF(M1071:$W1071,"&gt;"&amp;0)&lt;5,IF(AND(COUNTIF(L$1237:L1673,1)&gt;7,MOD(1+IFERROR(MATCH($C1071,总览!$D$46:$D$345,1)+1,1),7)=0),$C$3,0),0)</f>
        <v>1390.23333333333</v>
      </c>
      <c r="M1071" s="131" cm="1">
        <f ca="1" t="array" ref="M1071">IF(M1673=1,OFFSET($W$634,$B1071,M$631-1)/SUMPRODUCT(--($D$631:$V$631=M$631),--($D1673:$V1673=1)),0)+SUM(M1070)+IF(COUNTIF(M$1237:M1673,1)=1,5,0)+IF(COUNTIF(N1071:$W1071,"&gt;"&amp;0)&lt;5,IF(AND(COUNTIF(M$1237:M1673,1)&gt;7,MOD(1+IFERROR(MATCH($C1071,总览!$D$46:$D$345,1)+1,1),7)=0),$C$3,0),0)</f>
        <v>582.038392857145</v>
      </c>
      <c r="N1071" s="131" cm="1">
        <f ca="1" t="array" ref="N1071">IF(N1673=1,OFFSET($W$634,$B1071,N$631-1)/SUMPRODUCT(--($D$631:$V$631=N$631),--($D1673:$V1673=1)),0)+SUM(N1070)+IF(COUNTIF(N$1237:N1673,1)=1,5,0)+IF(COUNTIF(O1071:$W1071,"&gt;"&amp;0)&lt;5,IF(AND(COUNTIF(N$1237:N1673,1)&gt;7,MOD(1+IFERROR(MATCH($C1071,总览!$D$46:$D$345,1)+1,1),7)=0),$C$3,0),0)</f>
        <v>583.288392857145</v>
      </c>
      <c r="O1071" s="131" cm="1">
        <f ca="1" t="array" ref="O1071">IF(O1673=1,OFFSET($W$634,$B1071,O$631-1)/SUMPRODUCT(--($D$631:$V$631=O$631),--($D1673:$V1673=1)),0)+SUM(O1070)+IF(COUNTIF(O$1237:O1673,1)=1,5,0)+IF(COUNTIF(P1071:$W1071,"&gt;"&amp;0)&lt;5,IF(AND(COUNTIF(O$1237:O1673,1)&gt;7,MOD(1+IFERROR(MATCH($C1071,总览!$D$46:$D$345,1)+1,1),7)=0),$C$3,0),0)</f>
        <v>588.288392857145</v>
      </c>
      <c r="P1071" s="131" cm="1">
        <f ca="1" t="array" ref="P1071">IF(P1673=1,OFFSET($W$634,$B1071,P$631-1)/SUMPRODUCT(--($D$631:$V$631=P$631),--($D1673:$V1673=1)),0)+SUM(P1070)+IF(COUNTIF(P$1237:P1673,1)=1,5,0)+IF(COUNTIF(Q1071:$W1071,"&gt;"&amp;0)&lt;5,IF(AND(COUNTIF(P$1237:P1673,1)&gt;7,MOD(1+IFERROR(MATCH($C1071,总览!$D$46:$D$345,1)+1,1),7)=0),$C$3,0),0)</f>
        <v>577.407142857145</v>
      </c>
      <c r="Q1071" s="131" cm="1">
        <f ca="1" t="array" ref="Q1071">IF(Q1673=1,OFFSET($W$634,$B1071,Q$631-1)/SUMPRODUCT(--($D$631:$V$631=Q$631),--($D1673:$V1673=1)),0)+SUM(Q1070)+IF(COUNTIF(Q$1237:Q1673,1)=1,5,0)+IF(COUNTIF(R1071:$W1071,"&gt;"&amp;0)&lt;5,IF(AND(COUNTIF(Q$1237:Q1673,1)&gt;7,MOD(1+IFERROR(MATCH($C1071,总览!$D$46:$D$345,1)+1,1),7)=0),$C$3,0),0)</f>
        <v>590.788392857145</v>
      </c>
      <c r="R1071" s="131" cm="1">
        <f ca="1" t="array" ref="R1071">IF(R1673=1,OFFSET($W$634,$B1071,R$631-1)/SUMPRODUCT(--($D$631:$V$631=R$631),--($D1673:$V1673=1)),0)+SUM(R1070)+IF(COUNTIF(R$1237:R1673,1)=1,5,0)+IF(COUNTIF(S1071:$W1071,"&gt;"&amp;0)&lt;5,IF(AND(COUNTIF(R$1237:R1673,1)&gt;7,MOD(1+IFERROR(MATCH($C1071,总览!$D$46:$D$345,1)+1,1),7)=0),$C$3,0),0)</f>
        <v>582.407142857145</v>
      </c>
      <c r="S1071" s="131" cm="1">
        <f ca="1" t="array" ref="S1071">IF(S1673=1,OFFSET($W$634,$B1071,S$631-1)/SUMPRODUCT(--($D$631:$V$631=S$631),--($D1673:$V1673=1)),0)+SUM(S1070)+IF(COUNTIF(S$1237:S1673,1)=1,5,0)+IF(COUNTIF(T1071:$W1071,"&gt;"&amp;0)&lt;5,IF(AND(COUNTIF(S$1237:S1673,1)&gt;7,MOD(1+IFERROR(MATCH($C1071,总览!$D$46:$D$345,1)+1,1),7)=0),$C$3,0),0)</f>
        <v>674.907142857146</v>
      </c>
      <c r="T1071" s="131" cm="1">
        <f ca="1" t="array" ref="T1071">IF(T1673=1,OFFSET($W$634,$B1071,T$631-1)/SUMPRODUCT(--($D$631:$V$631=T$631),--($D1673:$V1673=1)),0)+SUM(T1070)+IF(COUNTIF(T$1237:T1673,1)=1,5,0)+IF(COUNTIF(U1071:$W1071,"&gt;"&amp;0)&lt;5,IF(AND(COUNTIF(T$1237:T1673,1)&gt;7,MOD(1+IFERROR(MATCH($C1071,总览!$D$46:$D$345,1)+1,1),7)=0),$C$3,0),0)</f>
        <v>493.983236575819</v>
      </c>
      <c r="U1071" s="131" cm="1">
        <f ca="1" t="array" ref="U1071">IF(U1673=1,OFFSET($W$634,$B1071,U$631-1)/SUMPRODUCT(--($D$631:$V$631=U$631),--($D1673:$V1673=1)),0)+SUM(U1070)+IF(COUNTIF(U$1237:U1673,1)=1,5,0)+IF(COUNTIF(V1071:$W1071,"&gt;"&amp;0)&lt;5,IF(AND(COUNTIF(U$1237:U1673,1)&gt;7,MOD(1+IFERROR(MATCH($C1071,总览!$D$46:$D$345,1)+1,1),7)=0),$C$3,0),0)</f>
        <v>499.504022931118</v>
      </c>
      <c r="V1071" s="131" cm="1">
        <f ca="1" t="array" ref="V1071">IF(V1673=1,OFFSET($W$634,$B1071,V$631-1)/SUMPRODUCT(--($D$631:$V$631=V$631),--($D1673:$V1673=1)),0)+SUM(V1070)+IF(COUNTIF(V$1237:V1673,1)=1,5,0)+IF(COUNTIF(W1071:$W1071,"&gt;"&amp;0)&lt;5,IF(AND(COUNTIF(V$1237:V1673,1)&gt;7,MOD(1+IFERROR(MATCH($C1071,总览!$D$46:$D$345,1)+1,1),7)=0),$C$3,0),0)</f>
        <v>519.331022643551</v>
      </c>
      <c r="W1071" s="135" cm="1">
        <f ca="1" t="array" ref="W1071">SUMPRODUCT(TRANSPOSE($AA1071:$AG1071),OFFSET($L$9:$L$15,0,W$631-1))</f>
        <v>16.8502200646615</v>
      </c>
      <c r="X1071" s="135" cm="1">
        <f ca="1" t="array" ref="X1071">SUMPRODUCT(TRANSPOSE($AA1071:$AG1071),OFFSET($L$9:$L$15,0,X$631-1))</f>
        <v>20</v>
      </c>
      <c r="Y1071" s="135" cm="1">
        <f ca="1" t="array" ref="Y1071">SUMPRODUCT(TRANSPOSE($AA1071:$AG1071),OFFSET($L$9:$L$15,0,Y$631-1))</f>
        <v>10</v>
      </c>
      <c r="Z1071" s="135" cm="1">
        <f ca="1" t="array" ref="Z1071">SUMPRODUCT(TRANSPOSE($AA1071:$AG1071),OFFSET($L$9:$L$15,0,Z$631-1))</f>
        <v>3.14977993533847</v>
      </c>
      <c r="AA1071" s="136">
        <f ca="1" t="shared" ref="AA1071:AG1071" si="1125">AH1071-AH1070</f>
        <v>0</v>
      </c>
      <c r="AB1071" s="136">
        <f ca="1" t="shared" si="1125"/>
        <v>0</v>
      </c>
      <c r="AC1071" s="136">
        <f ca="1" t="shared" si="1125"/>
        <v>0</v>
      </c>
      <c r="AD1071" s="136">
        <f ca="1" t="shared" si="1125"/>
        <v>0</v>
      </c>
      <c r="AE1071" s="136">
        <f ca="1" t="shared" si="1125"/>
        <v>0</v>
      </c>
      <c r="AF1071" s="136">
        <f ca="1" t="shared" si="1125"/>
        <v>0</v>
      </c>
      <c r="AG1071" s="136">
        <f ca="1" t="shared" si="1125"/>
        <v>100</v>
      </c>
      <c r="AH1071" s="136">
        <f ca="1" t="shared" si="1021"/>
        <v>450</v>
      </c>
      <c r="AI1071" s="136">
        <f ca="1" t="shared" ref="AI1071:AN1071" si="1126">IF($C1071&gt;OFFSET($Q$8,MATCH(AI$634,$AH$634:$AN$634,0),0),OFFSET($P$8,MATCH(AI$634,$AH$634:$AN$634,0),0),MAX(0,$C1071-OFFSET($Q$8,RIGHT(AI$634,1)-1,0)))</f>
        <v>909</v>
      </c>
      <c r="AJ1071" s="136">
        <f ca="1" t="shared" si="1126"/>
        <v>1818</v>
      </c>
      <c r="AK1071" s="136">
        <f ca="1" t="shared" si="1126"/>
        <v>2727</v>
      </c>
      <c r="AL1071" s="136">
        <f ca="1" t="shared" si="1126"/>
        <v>3636</v>
      </c>
      <c r="AM1071" s="136">
        <f ca="1" t="shared" si="1126"/>
        <v>4545</v>
      </c>
      <c r="AN1071" s="136">
        <f ca="1" t="shared" si="1126"/>
        <v>29615</v>
      </c>
    </row>
    <row r="1072" s="106" customFormat="1" ht="16.5" spans="2:40">
      <c r="B1072" s="117">
        <v>438</v>
      </c>
      <c r="C1072" s="130">
        <f t="shared" si="1019"/>
        <v>43800</v>
      </c>
      <c r="D1072" s="131" cm="1">
        <f ca="1" t="array" ref="D1072">IF(D1674=1,OFFSET($W$634,$B1072,D$631-1)/SUMPRODUCT(--($D$631:$V$631=D$631),--($D1674:$V1674=1)),0)+SUM(D1071)+IF(COUNTIF(D$1237:D1674,1)=1,5,0)+IF(COUNTIF(E1072:$W1072,"&gt;"&amp;0)&lt;5,IF(AND(COUNTIF(D$1237:D1674,1)&gt;7,MOD(1+IFERROR(MATCH($C1072,总览!$D$46:$D$345,1)+1,1),7)=0),$C$3,0),0)</f>
        <v>2787.83564597141</v>
      </c>
      <c r="E1072" s="131" cm="1">
        <f ca="1" t="array" ref="E1072">IF(E1674=1,OFFSET($W$634,$B1072,E$631-1)/SUMPRODUCT(--($D$631:$V$631=E$631),--($D1674:$V1674=1)),0)+SUM(E1071)+IF(COUNTIF(E$1237:E1674,1)=1,5,0)+IF(COUNTIF(F1072:$W1072,"&gt;"&amp;0)&lt;5,IF(AND(COUNTIF(E$1237:E1674,1)&gt;7,MOD(1+IFERROR(MATCH($C1072,总览!$D$46:$D$345,1)+1,1),7)=0),$C$3,0),0)</f>
        <v>2787.83564597141</v>
      </c>
      <c r="F1072" s="131" cm="1">
        <f ca="1" t="array" ref="F1072">IF(F1674=1,OFFSET($W$634,$B1072,F$631-1)/SUMPRODUCT(--($D$631:$V$631=F$631),--($D1674:$V1674=1)),0)+SUM(F1071)+IF(COUNTIF(F$1237:F1674,1)=1,5,0)+IF(COUNTIF(G1072:$W1072,"&gt;"&amp;0)&lt;5,IF(AND(COUNTIF(F$1237:F1674,1)&gt;7,MOD(1+IFERROR(MATCH($C1072,总览!$D$46:$D$345,1)+1,1),7)=0),$C$3,0),0)</f>
        <v>2787.83564597141</v>
      </c>
      <c r="G1072" s="131" cm="1">
        <f ca="1" t="array" ref="G1072">IF(G1674=1,OFFSET($W$634,$B1072,G$631-1)/SUMPRODUCT(--($D$631:$V$631=G$631),--($D1674:$V1674=1)),0)+SUM(G1071)+IF(COUNTIF(G$1237:G1674,1)=1,5,0)+IF(COUNTIF(H1072:$W1072,"&gt;"&amp;0)&lt;5,IF(AND(COUNTIF(G$1237:G1674,1)&gt;7,MOD(1+IFERROR(MATCH($C1072,总览!$D$46:$D$345,1)+1,1),7)=0),$C$3,0),0)</f>
        <v>1399.4</v>
      </c>
      <c r="H1072" s="131" cm="1">
        <f ca="1" t="array" ref="H1072">IF(H1674=1,OFFSET($W$634,$B1072,H$631-1)/SUMPRODUCT(--($D$631:$V$631=H$631),--($D1674:$V1674=1)),0)+SUM(H1071)+IF(COUNTIF(H$1237:H1674,1)=1,5,0)+IF(COUNTIF(I1072:$W1072,"&gt;"&amp;0)&lt;5,IF(AND(COUNTIF(H$1237:H1674,1)&gt;7,MOD(1+IFERROR(MATCH($C1072,总览!$D$46:$D$345,1)+1,1),7)=0),$C$3,0),0)</f>
        <v>1399.4</v>
      </c>
      <c r="I1072" s="131" cm="1">
        <f ca="1" t="array" ref="I1072">IF(I1674=1,OFFSET($W$634,$B1072,I$631-1)/SUMPRODUCT(--($D$631:$V$631=I$631),--($D1674:$V1674=1)),0)+SUM(I1071)+IF(COUNTIF(I$1237:I1674,1)=1,5,0)+IF(COUNTIF(J1072:$W1072,"&gt;"&amp;0)&lt;5,IF(AND(COUNTIF(I$1237:I1674,1)&gt;7,MOD(1+IFERROR(MATCH($C1072,总览!$D$46:$D$345,1)+1,1),7)=0),$C$3,0),0)</f>
        <v>1399.4</v>
      </c>
      <c r="J1072" s="131" cm="1">
        <f ca="1" t="array" ref="J1072">IF(J1674=1,OFFSET($W$634,$B1072,J$631-1)/SUMPRODUCT(--($D$631:$V$631=J$631),--($D1674:$V1674=1)),0)+SUM(J1071)+IF(COUNTIF(J$1237:J1674,1)=1,5,0)+IF(COUNTIF(K1072:$W1072,"&gt;"&amp;0)&lt;5,IF(AND(COUNTIF(J$1237:J1674,1)&gt;7,MOD(1+IFERROR(MATCH($C1072,总览!$D$46:$D$345,1)+1,1),7)=0),$C$3,0),0)</f>
        <v>1396.06666666666</v>
      </c>
      <c r="K1072" s="131" cm="1">
        <f ca="1" t="array" ref="K1072">IF(K1674=1,OFFSET($W$634,$B1072,K$631-1)/SUMPRODUCT(--($D$631:$V$631=K$631),--($D1674:$V1674=1)),0)+SUM(K1071)+IF(COUNTIF(K$1237:K1674,1)=1,5,0)+IF(COUNTIF(L1072:$W1072,"&gt;"&amp;0)&lt;5,IF(AND(COUNTIF(K$1237:K1674,1)&gt;7,MOD(1+IFERROR(MATCH($C1072,总览!$D$46:$D$345,1)+1,1),7)=0),$C$3,0),0)</f>
        <v>1393.56666666666</v>
      </c>
      <c r="L1072" s="131" cm="1">
        <f ca="1" t="array" ref="L1072">IF(L1674=1,OFFSET($W$634,$B1072,L$631-1)/SUMPRODUCT(--($D$631:$V$631=L$631),--($D1674:$V1674=1)),0)+SUM(L1071)+IF(COUNTIF(L$1237:L1674,1)=1,5,0)+IF(COUNTIF(M1072:$W1072,"&gt;"&amp;0)&lt;5,IF(AND(COUNTIF(L$1237:L1674,1)&gt;7,MOD(1+IFERROR(MATCH($C1072,总览!$D$46:$D$345,1)+1,1),7)=0),$C$3,0),0)</f>
        <v>1393.56666666666</v>
      </c>
      <c r="M1072" s="131" cm="1">
        <f ca="1" t="array" ref="M1072">IF(M1674=1,OFFSET($W$634,$B1072,M$631-1)/SUMPRODUCT(--($D$631:$V$631=M$631),--($D1674:$V1674=1)),0)+SUM(M1071)+IF(COUNTIF(M$1237:M1674,1)=1,5,0)+IF(COUNTIF(N1072:$W1072,"&gt;"&amp;0)&lt;5,IF(AND(COUNTIF(M$1237:M1674,1)&gt;7,MOD(1+IFERROR(MATCH($C1072,总览!$D$46:$D$345,1)+1,1),7)=0),$C$3,0),0)</f>
        <v>583.466964285717</v>
      </c>
      <c r="N1072" s="131" cm="1">
        <f ca="1" t="array" ref="N1072">IF(N1674=1,OFFSET($W$634,$B1072,N$631-1)/SUMPRODUCT(--($D$631:$V$631=N$631),--($D1674:$V1674=1)),0)+SUM(N1071)+IF(COUNTIF(N$1237:N1674,1)=1,5,0)+IF(COUNTIF(O1072:$W1072,"&gt;"&amp;0)&lt;5,IF(AND(COUNTIF(N$1237:N1674,1)&gt;7,MOD(1+IFERROR(MATCH($C1072,总览!$D$46:$D$345,1)+1,1),7)=0),$C$3,0),0)</f>
        <v>584.716964285717</v>
      </c>
      <c r="O1072" s="131" cm="1">
        <f ca="1" t="array" ref="O1072">IF(O1674=1,OFFSET($W$634,$B1072,O$631-1)/SUMPRODUCT(--($D$631:$V$631=O$631),--($D1674:$V1674=1)),0)+SUM(O1071)+IF(COUNTIF(O$1237:O1674,1)=1,5,0)+IF(COUNTIF(P1072:$W1072,"&gt;"&amp;0)&lt;5,IF(AND(COUNTIF(O$1237:O1674,1)&gt;7,MOD(1+IFERROR(MATCH($C1072,总览!$D$46:$D$345,1)+1,1),7)=0),$C$3,0),0)</f>
        <v>589.716964285717</v>
      </c>
      <c r="P1072" s="131" cm="1">
        <f ca="1" t="array" ref="P1072">IF(P1674=1,OFFSET($W$634,$B1072,P$631-1)/SUMPRODUCT(--($D$631:$V$631=P$631),--($D1674:$V1674=1)),0)+SUM(P1071)+IF(COUNTIF(P$1237:P1674,1)=1,5,0)+IF(COUNTIF(Q1072:$W1072,"&gt;"&amp;0)&lt;5,IF(AND(COUNTIF(P$1237:P1674,1)&gt;7,MOD(1+IFERROR(MATCH($C1072,总览!$D$46:$D$345,1)+1,1),7)=0),$C$3,0),0)</f>
        <v>578.835714285717</v>
      </c>
      <c r="Q1072" s="131" cm="1">
        <f ca="1" t="array" ref="Q1072">IF(Q1674=1,OFFSET($W$634,$B1072,Q$631-1)/SUMPRODUCT(--($D$631:$V$631=Q$631),--($D1674:$V1674=1)),0)+SUM(Q1071)+IF(COUNTIF(Q$1237:Q1674,1)=1,5,0)+IF(COUNTIF(R1072:$W1072,"&gt;"&amp;0)&lt;5,IF(AND(COUNTIF(Q$1237:Q1674,1)&gt;7,MOD(1+IFERROR(MATCH($C1072,总览!$D$46:$D$345,1)+1,1),7)=0),$C$3,0),0)</f>
        <v>592.216964285717</v>
      </c>
      <c r="R1072" s="131" cm="1">
        <f ca="1" t="array" ref="R1072">IF(R1674=1,OFFSET($W$634,$B1072,R$631-1)/SUMPRODUCT(--($D$631:$V$631=R$631),--($D1674:$V1674=1)),0)+SUM(R1071)+IF(COUNTIF(R$1237:R1674,1)=1,5,0)+IF(COUNTIF(S1072:$W1072,"&gt;"&amp;0)&lt;5,IF(AND(COUNTIF(R$1237:R1674,1)&gt;7,MOD(1+IFERROR(MATCH($C1072,总览!$D$46:$D$345,1)+1,1),7)=0),$C$3,0),0)</f>
        <v>583.835714285717</v>
      </c>
      <c r="S1072" s="131" cm="1">
        <f ca="1" t="array" ref="S1072">IF(S1674=1,OFFSET($W$634,$B1072,S$631-1)/SUMPRODUCT(--($D$631:$V$631=S$631),--($D1674:$V1674=1)),0)+SUM(S1071)+IF(COUNTIF(S$1237:S1674,1)=1,5,0)+IF(COUNTIF(T1072:$W1072,"&gt;"&amp;0)&lt;5,IF(AND(COUNTIF(S$1237:S1674,1)&gt;7,MOD(1+IFERROR(MATCH($C1072,总览!$D$46:$D$345,1)+1,1),7)=0),$C$3,0),0)</f>
        <v>676.335714285718</v>
      </c>
      <c r="T1072" s="131" cm="1">
        <f ca="1" t="array" ref="T1072">IF(T1674=1,OFFSET($W$634,$B1072,T$631-1)/SUMPRODUCT(--($D$631:$V$631=T$631),--($D1674:$V1674=1)),0)+SUM(T1071)+IF(COUNTIF(T$1237:T1674,1)=1,5,0)+IF(COUNTIF(U1072:$W1072,"&gt;"&amp;0)&lt;5,IF(AND(COUNTIF(T$1237:T1674,1)&gt;7,MOD(1+IFERROR(MATCH($C1072,总览!$D$46:$D$345,1)+1,1),7)=0),$C$3,0),0)</f>
        <v>495.033163220932</v>
      </c>
      <c r="U1072" s="131" cm="1">
        <f ca="1" t="array" ref="U1072">IF(U1674=1,OFFSET($W$634,$B1072,U$631-1)/SUMPRODUCT(--($D$631:$V$631=U$631),--($D1674:$V1674=1)),0)+SUM(U1071)+IF(COUNTIF(U$1237:U1674,1)=1,5,0)+IF(COUNTIF(V1072:$W1072,"&gt;"&amp;0)&lt;5,IF(AND(COUNTIF(U$1237:U1674,1)&gt;7,MOD(1+IFERROR(MATCH($C1072,总览!$D$46:$D$345,1)+1,1),7)=0),$C$3,0),0)</f>
        <v>500.553949576231</v>
      </c>
      <c r="V1072" s="131" cm="1">
        <f ca="1" t="array" ref="V1072">IF(V1674=1,OFFSET($W$634,$B1072,V$631-1)/SUMPRODUCT(--($D$631:$V$631=V$631),--($D1674:$V1674=1)),0)+SUM(V1071)+IF(COUNTIF(V$1237:V1674,1)=1,5,0)+IF(COUNTIF(W1072:$W1072,"&gt;"&amp;0)&lt;5,IF(AND(COUNTIF(V$1237:V1674,1)&gt;7,MOD(1+IFERROR(MATCH($C1072,总览!$D$46:$D$345,1)+1,1),7)=0),$C$3,0),0)</f>
        <v>520.380949288664</v>
      </c>
      <c r="W1072" s="135" cm="1">
        <f ca="1" t="array" ref="W1072">SUMPRODUCT(TRANSPOSE($AA1072:$AG1072),OFFSET($L$9:$L$15,0,W$631-1))</f>
        <v>16.8502200646615</v>
      </c>
      <c r="X1072" s="135" cm="1">
        <f ca="1" t="array" ref="X1072">SUMPRODUCT(TRANSPOSE($AA1072:$AG1072),OFFSET($L$9:$L$15,0,X$631-1))</f>
        <v>20</v>
      </c>
      <c r="Y1072" s="135" cm="1">
        <f ca="1" t="array" ref="Y1072">SUMPRODUCT(TRANSPOSE($AA1072:$AG1072),OFFSET($L$9:$L$15,0,Y$631-1))</f>
        <v>10</v>
      </c>
      <c r="Z1072" s="135" cm="1">
        <f ca="1" t="array" ref="Z1072">SUMPRODUCT(TRANSPOSE($AA1072:$AG1072),OFFSET($L$9:$L$15,0,Z$631-1))</f>
        <v>3.14977993533847</v>
      </c>
      <c r="AA1072" s="136">
        <f ca="1" t="shared" ref="AA1072:AG1072" si="1127">AH1072-AH1071</f>
        <v>0</v>
      </c>
      <c r="AB1072" s="136">
        <f ca="1" t="shared" si="1127"/>
        <v>0</v>
      </c>
      <c r="AC1072" s="136">
        <f ca="1" t="shared" si="1127"/>
        <v>0</v>
      </c>
      <c r="AD1072" s="136">
        <f ca="1" t="shared" si="1127"/>
        <v>0</v>
      </c>
      <c r="AE1072" s="136">
        <f ca="1" t="shared" si="1127"/>
        <v>0</v>
      </c>
      <c r="AF1072" s="136">
        <f ca="1" t="shared" si="1127"/>
        <v>0</v>
      </c>
      <c r="AG1072" s="136">
        <f ca="1" t="shared" si="1127"/>
        <v>100</v>
      </c>
      <c r="AH1072" s="136">
        <f ca="1" t="shared" si="1021"/>
        <v>450</v>
      </c>
      <c r="AI1072" s="136">
        <f ca="1" t="shared" ref="AI1072:AN1072" si="1128">IF($C1072&gt;OFFSET($Q$8,MATCH(AI$634,$AH$634:$AN$634,0),0),OFFSET($P$8,MATCH(AI$634,$AH$634:$AN$634,0),0),MAX(0,$C1072-OFFSET($Q$8,RIGHT(AI$634,1)-1,0)))</f>
        <v>909</v>
      </c>
      <c r="AJ1072" s="136">
        <f ca="1" t="shared" si="1128"/>
        <v>1818</v>
      </c>
      <c r="AK1072" s="136">
        <f ca="1" t="shared" si="1128"/>
        <v>2727</v>
      </c>
      <c r="AL1072" s="136">
        <f ca="1" t="shared" si="1128"/>
        <v>3636</v>
      </c>
      <c r="AM1072" s="136">
        <f ca="1" t="shared" si="1128"/>
        <v>4545</v>
      </c>
      <c r="AN1072" s="136">
        <f ca="1" t="shared" si="1128"/>
        <v>29715</v>
      </c>
    </row>
    <row r="1073" s="106" customFormat="1" ht="16.5" spans="2:40">
      <c r="B1073" s="117">
        <v>439</v>
      </c>
      <c r="C1073" s="130">
        <f t="shared" si="1019"/>
        <v>43900</v>
      </c>
      <c r="D1073" s="131" cm="1">
        <f ca="1" t="array" ref="D1073">IF(D1675=1,OFFSET($W$634,$B1073,D$631-1)/SUMPRODUCT(--($D$631:$V$631=D$631),--($D1675:$V1675=1)),0)+SUM(D1072)+IF(COUNTIF(D$1237:D1675,1)=1,5,0)+IF(COUNTIF(E1073:$W1073,"&gt;"&amp;0)&lt;5,IF(AND(COUNTIF(D$1237:D1675,1)&gt;7,MOD(1+IFERROR(MATCH($C1073,总览!$D$46:$D$345,1)+1,1),7)=0),$C$3,0),0)</f>
        <v>2793.45238599297</v>
      </c>
      <c r="E1073" s="131" cm="1">
        <f ca="1" t="array" ref="E1073">IF(E1675=1,OFFSET($W$634,$B1073,E$631-1)/SUMPRODUCT(--($D$631:$V$631=E$631),--($D1675:$V1675=1)),0)+SUM(E1072)+IF(COUNTIF(E$1237:E1675,1)=1,5,0)+IF(COUNTIF(F1073:$W1073,"&gt;"&amp;0)&lt;5,IF(AND(COUNTIF(E$1237:E1675,1)&gt;7,MOD(1+IFERROR(MATCH($C1073,总览!$D$46:$D$345,1)+1,1),7)=0),$C$3,0),0)</f>
        <v>2793.45238599297</v>
      </c>
      <c r="F1073" s="131" cm="1">
        <f ca="1" t="array" ref="F1073">IF(F1675=1,OFFSET($W$634,$B1073,F$631-1)/SUMPRODUCT(--($D$631:$V$631=F$631),--($D1675:$V1675=1)),0)+SUM(F1072)+IF(COUNTIF(F$1237:F1675,1)=1,5,0)+IF(COUNTIF(G1073:$W1073,"&gt;"&amp;0)&lt;5,IF(AND(COUNTIF(F$1237:F1675,1)&gt;7,MOD(1+IFERROR(MATCH($C1073,总览!$D$46:$D$345,1)+1,1),7)=0),$C$3,0),0)</f>
        <v>2793.45238599297</v>
      </c>
      <c r="G1073" s="131" cm="1">
        <f ca="1" t="array" ref="G1073">IF(G1675=1,OFFSET($W$634,$B1073,G$631-1)/SUMPRODUCT(--($D$631:$V$631=G$631),--($D1675:$V1675=1)),0)+SUM(G1072)+IF(COUNTIF(G$1237:G1675,1)=1,5,0)+IF(COUNTIF(H1073:$W1073,"&gt;"&amp;0)&lt;5,IF(AND(COUNTIF(G$1237:G1675,1)&gt;7,MOD(1+IFERROR(MATCH($C1073,总览!$D$46:$D$345,1)+1,1),7)=0),$C$3,0),0)</f>
        <v>1402.73333333333</v>
      </c>
      <c r="H1073" s="131" cm="1">
        <f ca="1" t="array" ref="H1073">IF(H1675=1,OFFSET($W$634,$B1073,H$631-1)/SUMPRODUCT(--($D$631:$V$631=H$631),--($D1675:$V1675=1)),0)+SUM(H1072)+IF(COUNTIF(H$1237:H1675,1)=1,5,0)+IF(COUNTIF(I1073:$W1073,"&gt;"&amp;0)&lt;5,IF(AND(COUNTIF(H$1237:H1675,1)&gt;7,MOD(1+IFERROR(MATCH($C1073,总览!$D$46:$D$345,1)+1,1),7)=0),$C$3,0),0)</f>
        <v>1402.73333333333</v>
      </c>
      <c r="I1073" s="131" cm="1">
        <f ca="1" t="array" ref="I1073">IF(I1675=1,OFFSET($W$634,$B1073,I$631-1)/SUMPRODUCT(--($D$631:$V$631=I$631),--($D1675:$V1675=1)),0)+SUM(I1072)+IF(COUNTIF(I$1237:I1675,1)=1,5,0)+IF(COUNTIF(J1073:$W1073,"&gt;"&amp;0)&lt;5,IF(AND(COUNTIF(I$1237:I1675,1)&gt;7,MOD(1+IFERROR(MATCH($C1073,总览!$D$46:$D$345,1)+1,1),7)=0),$C$3,0),0)</f>
        <v>1402.73333333333</v>
      </c>
      <c r="J1073" s="131" cm="1">
        <f ca="1" t="array" ref="J1073">IF(J1675=1,OFFSET($W$634,$B1073,J$631-1)/SUMPRODUCT(--($D$631:$V$631=J$631),--($D1675:$V1675=1)),0)+SUM(J1072)+IF(COUNTIF(J$1237:J1675,1)=1,5,0)+IF(COUNTIF(K1073:$W1073,"&gt;"&amp;0)&lt;5,IF(AND(COUNTIF(J$1237:J1675,1)&gt;7,MOD(1+IFERROR(MATCH($C1073,总览!$D$46:$D$345,1)+1,1),7)=0),$C$3,0),0)</f>
        <v>1399.4</v>
      </c>
      <c r="K1073" s="131" cm="1">
        <f ca="1" t="array" ref="K1073">IF(K1675=1,OFFSET($W$634,$B1073,K$631-1)/SUMPRODUCT(--($D$631:$V$631=K$631),--($D1675:$V1675=1)),0)+SUM(K1072)+IF(COUNTIF(K$1237:K1675,1)=1,5,0)+IF(COUNTIF(L1073:$W1073,"&gt;"&amp;0)&lt;5,IF(AND(COUNTIF(K$1237:K1675,1)&gt;7,MOD(1+IFERROR(MATCH($C1073,总览!$D$46:$D$345,1)+1,1),7)=0),$C$3,0),0)</f>
        <v>1396.9</v>
      </c>
      <c r="L1073" s="131" cm="1">
        <f ca="1" t="array" ref="L1073">IF(L1675=1,OFFSET($W$634,$B1073,L$631-1)/SUMPRODUCT(--($D$631:$V$631=L$631),--($D1675:$V1675=1)),0)+SUM(L1072)+IF(COUNTIF(L$1237:L1675,1)=1,5,0)+IF(COUNTIF(M1073:$W1073,"&gt;"&amp;0)&lt;5,IF(AND(COUNTIF(L$1237:L1675,1)&gt;7,MOD(1+IFERROR(MATCH($C1073,总览!$D$46:$D$345,1)+1,1),7)=0),$C$3,0),0)</f>
        <v>1396.9</v>
      </c>
      <c r="M1073" s="131" cm="1">
        <f ca="1" t="array" ref="M1073">IF(M1675=1,OFFSET($W$634,$B1073,M$631-1)/SUMPRODUCT(--($D$631:$V$631=M$631),--($D1675:$V1675=1)),0)+SUM(M1072)+IF(COUNTIF(M$1237:M1675,1)=1,5,0)+IF(COUNTIF(N1073:$W1073,"&gt;"&amp;0)&lt;5,IF(AND(COUNTIF(M$1237:M1675,1)&gt;7,MOD(1+IFERROR(MATCH($C1073,总览!$D$46:$D$345,1)+1,1),7)=0),$C$3,0),0)</f>
        <v>584.895535714288</v>
      </c>
      <c r="N1073" s="131" cm="1">
        <f ca="1" t="array" ref="N1073">IF(N1675=1,OFFSET($W$634,$B1073,N$631-1)/SUMPRODUCT(--($D$631:$V$631=N$631),--($D1675:$V1675=1)),0)+SUM(N1072)+IF(COUNTIF(N$1237:N1675,1)=1,5,0)+IF(COUNTIF(O1073:$W1073,"&gt;"&amp;0)&lt;5,IF(AND(COUNTIF(N$1237:N1675,1)&gt;7,MOD(1+IFERROR(MATCH($C1073,总览!$D$46:$D$345,1)+1,1),7)=0),$C$3,0),0)</f>
        <v>586.145535714288</v>
      </c>
      <c r="O1073" s="131" cm="1">
        <f ca="1" t="array" ref="O1073">IF(O1675=1,OFFSET($W$634,$B1073,O$631-1)/SUMPRODUCT(--($D$631:$V$631=O$631),--($D1675:$V1675=1)),0)+SUM(O1072)+IF(COUNTIF(O$1237:O1675,1)=1,5,0)+IF(COUNTIF(P1073:$W1073,"&gt;"&amp;0)&lt;5,IF(AND(COUNTIF(O$1237:O1675,1)&gt;7,MOD(1+IFERROR(MATCH($C1073,总览!$D$46:$D$345,1)+1,1),7)=0),$C$3,0),0)</f>
        <v>591.145535714288</v>
      </c>
      <c r="P1073" s="131" cm="1">
        <f ca="1" t="array" ref="P1073">IF(P1675=1,OFFSET($W$634,$B1073,P$631-1)/SUMPRODUCT(--($D$631:$V$631=P$631),--($D1675:$V1675=1)),0)+SUM(P1072)+IF(COUNTIF(P$1237:P1675,1)=1,5,0)+IF(COUNTIF(Q1073:$W1073,"&gt;"&amp;0)&lt;5,IF(AND(COUNTIF(P$1237:P1675,1)&gt;7,MOD(1+IFERROR(MATCH($C1073,总览!$D$46:$D$345,1)+1,1),7)=0),$C$3,0),0)</f>
        <v>580.264285714288</v>
      </c>
      <c r="Q1073" s="131" cm="1">
        <f ca="1" t="array" ref="Q1073">IF(Q1675=1,OFFSET($W$634,$B1073,Q$631-1)/SUMPRODUCT(--($D$631:$V$631=Q$631),--($D1675:$V1675=1)),0)+SUM(Q1072)+IF(COUNTIF(Q$1237:Q1675,1)=1,5,0)+IF(COUNTIF(R1073:$W1073,"&gt;"&amp;0)&lt;5,IF(AND(COUNTIF(Q$1237:Q1675,1)&gt;7,MOD(1+IFERROR(MATCH($C1073,总览!$D$46:$D$345,1)+1,1),7)=0),$C$3,0),0)</f>
        <v>593.645535714288</v>
      </c>
      <c r="R1073" s="131" cm="1">
        <f ca="1" t="array" ref="R1073">IF(R1675=1,OFFSET($W$634,$B1073,R$631-1)/SUMPRODUCT(--($D$631:$V$631=R$631),--($D1675:$V1675=1)),0)+SUM(R1072)+IF(COUNTIF(R$1237:R1675,1)=1,5,0)+IF(COUNTIF(S1073:$W1073,"&gt;"&amp;0)&lt;5,IF(AND(COUNTIF(R$1237:R1675,1)&gt;7,MOD(1+IFERROR(MATCH($C1073,总览!$D$46:$D$345,1)+1,1),7)=0),$C$3,0),0)</f>
        <v>585.264285714288</v>
      </c>
      <c r="S1073" s="131" cm="1">
        <f ca="1" t="array" ref="S1073">IF(S1675=1,OFFSET($W$634,$B1073,S$631-1)/SUMPRODUCT(--($D$631:$V$631=S$631),--($D1675:$V1675=1)),0)+SUM(S1072)+IF(COUNTIF(S$1237:S1675,1)=1,5,0)+IF(COUNTIF(T1073:$W1073,"&gt;"&amp;0)&lt;5,IF(AND(COUNTIF(S$1237:S1675,1)&gt;7,MOD(1+IFERROR(MATCH($C1073,总览!$D$46:$D$345,1)+1,1),7)=0),$C$3,0),0)</f>
        <v>677.764285714289</v>
      </c>
      <c r="T1073" s="131" cm="1">
        <f ca="1" t="array" ref="T1073">IF(T1675=1,OFFSET($W$634,$B1073,T$631-1)/SUMPRODUCT(--($D$631:$V$631=T$631),--($D1675:$V1675=1)),0)+SUM(T1072)+IF(COUNTIF(T$1237:T1675,1)=1,5,0)+IF(COUNTIF(U1073:$W1073,"&gt;"&amp;0)&lt;5,IF(AND(COUNTIF(T$1237:T1675,1)&gt;7,MOD(1+IFERROR(MATCH($C1073,总览!$D$46:$D$345,1)+1,1),7)=0),$C$3,0),0)</f>
        <v>496.083089866044</v>
      </c>
      <c r="U1073" s="131" cm="1">
        <f ca="1" t="array" ref="U1073">IF(U1675=1,OFFSET($W$634,$B1073,U$631-1)/SUMPRODUCT(--($D$631:$V$631=U$631),--($D1675:$V1675=1)),0)+SUM(U1072)+IF(COUNTIF(U$1237:U1675,1)=1,5,0)+IF(COUNTIF(V1073:$W1073,"&gt;"&amp;0)&lt;5,IF(AND(COUNTIF(U$1237:U1675,1)&gt;7,MOD(1+IFERROR(MATCH($C1073,总览!$D$46:$D$345,1)+1,1),7)=0),$C$3,0),0)</f>
        <v>501.603876221344</v>
      </c>
      <c r="V1073" s="131" cm="1">
        <f ca="1" t="array" ref="V1073">IF(V1675=1,OFFSET($W$634,$B1073,V$631-1)/SUMPRODUCT(--($D$631:$V$631=V$631),--($D1675:$V1675=1)),0)+SUM(V1072)+IF(COUNTIF(V$1237:V1675,1)=1,5,0)+IF(COUNTIF(W1073:$W1073,"&gt;"&amp;0)&lt;5,IF(AND(COUNTIF(V$1237:V1675,1)&gt;7,MOD(1+IFERROR(MATCH($C1073,总览!$D$46:$D$345,1)+1,1),7)=0),$C$3,0),0)</f>
        <v>521.430875933777</v>
      </c>
      <c r="W1073" s="135" cm="1">
        <f ca="1" t="array" ref="W1073">SUMPRODUCT(TRANSPOSE($AA1073:$AG1073),OFFSET($L$9:$L$15,0,W$631-1))</f>
        <v>16.8502200646615</v>
      </c>
      <c r="X1073" s="135" cm="1">
        <f ca="1" t="array" ref="X1073">SUMPRODUCT(TRANSPOSE($AA1073:$AG1073),OFFSET($L$9:$L$15,0,X$631-1))</f>
        <v>20</v>
      </c>
      <c r="Y1073" s="135" cm="1">
        <f ca="1" t="array" ref="Y1073">SUMPRODUCT(TRANSPOSE($AA1073:$AG1073),OFFSET($L$9:$L$15,0,Y$631-1))</f>
        <v>10</v>
      </c>
      <c r="Z1073" s="135" cm="1">
        <f ca="1" t="array" ref="Z1073">SUMPRODUCT(TRANSPOSE($AA1073:$AG1073),OFFSET($L$9:$L$15,0,Z$631-1))</f>
        <v>3.14977993533847</v>
      </c>
      <c r="AA1073" s="136">
        <f ca="1" t="shared" ref="AA1073:AG1073" si="1129">AH1073-AH1072</f>
        <v>0</v>
      </c>
      <c r="AB1073" s="136">
        <f ca="1" t="shared" si="1129"/>
        <v>0</v>
      </c>
      <c r="AC1073" s="136">
        <f ca="1" t="shared" si="1129"/>
        <v>0</v>
      </c>
      <c r="AD1073" s="136">
        <f ca="1" t="shared" si="1129"/>
        <v>0</v>
      </c>
      <c r="AE1073" s="136">
        <f ca="1" t="shared" si="1129"/>
        <v>0</v>
      </c>
      <c r="AF1073" s="136">
        <f ca="1" t="shared" si="1129"/>
        <v>0</v>
      </c>
      <c r="AG1073" s="136">
        <f ca="1" t="shared" si="1129"/>
        <v>100</v>
      </c>
      <c r="AH1073" s="136">
        <f ca="1" t="shared" si="1021"/>
        <v>450</v>
      </c>
      <c r="AI1073" s="136">
        <f ca="1" t="shared" ref="AI1073:AN1073" si="1130">IF($C1073&gt;OFFSET($Q$8,MATCH(AI$634,$AH$634:$AN$634,0),0),OFFSET($P$8,MATCH(AI$634,$AH$634:$AN$634,0),0),MAX(0,$C1073-OFFSET($Q$8,RIGHT(AI$634,1)-1,0)))</f>
        <v>909</v>
      </c>
      <c r="AJ1073" s="136">
        <f ca="1" t="shared" si="1130"/>
        <v>1818</v>
      </c>
      <c r="AK1073" s="136">
        <f ca="1" t="shared" si="1130"/>
        <v>2727</v>
      </c>
      <c r="AL1073" s="136">
        <f ca="1" t="shared" si="1130"/>
        <v>3636</v>
      </c>
      <c r="AM1073" s="136">
        <f ca="1" t="shared" si="1130"/>
        <v>4545</v>
      </c>
      <c r="AN1073" s="136">
        <f ca="1" t="shared" si="1130"/>
        <v>29815</v>
      </c>
    </row>
    <row r="1074" s="106" customFormat="1" ht="16.5" spans="2:40">
      <c r="B1074" s="117">
        <v>440</v>
      </c>
      <c r="C1074" s="130">
        <f t="shared" si="1019"/>
        <v>44000</v>
      </c>
      <c r="D1074" s="131" cm="1">
        <f ca="1" t="array" ref="D1074">IF(D1676=1,OFFSET($W$634,$B1074,D$631-1)/SUMPRODUCT(--($D$631:$V$631=D$631),--($D1676:$V1676=1)),0)+SUM(D1073)+IF(COUNTIF(D$1237:D1676,1)=1,5,0)+IF(COUNTIF(E1074:$W1074,"&gt;"&amp;0)&lt;5,IF(AND(COUNTIF(D$1237:D1676,1)&gt;7,MOD(1+IFERROR(MATCH($C1074,总览!$D$46:$D$345,1)+1,1),7)=0),$C$3,0),0)</f>
        <v>2799.06912601452</v>
      </c>
      <c r="E1074" s="131" cm="1">
        <f ca="1" t="array" ref="E1074">IF(E1676=1,OFFSET($W$634,$B1074,E$631-1)/SUMPRODUCT(--($D$631:$V$631=E$631),--($D1676:$V1676=1)),0)+SUM(E1073)+IF(COUNTIF(E$1237:E1676,1)=1,5,0)+IF(COUNTIF(F1074:$W1074,"&gt;"&amp;0)&lt;5,IF(AND(COUNTIF(E$1237:E1676,1)&gt;7,MOD(1+IFERROR(MATCH($C1074,总览!$D$46:$D$345,1)+1,1),7)=0),$C$3,0),0)</f>
        <v>2799.06912601452</v>
      </c>
      <c r="F1074" s="131" cm="1">
        <f ca="1" t="array" ref="F1074">IF(F1676=1,OFFSET($W$634,$B1074,F$631-1)/SUMPRODUCT(--($D$631:$V$631=F$631),--($D1676:$V1676=1)),0)+SUM(F1073)+IF(COUNTIF(F$1237:F1676,1)=1,5,0)+IF(COUNTIF(G1074:$W1074,"&gt;"&amp;0)&lt;5,IF(AND(COUNTIF(F$1237:F1676,1)&gt;7,MOD(1+IFERROR(MATCH($C1074,总览!$D$46:$D$345,1)+1,1),7)=0),$C$3,0),0)</f>
        <v>2799.06912601452</v>
      </c>
      <c r="G1074" s="131" cm="1">
        <f ca="1" t="array" ref="G1074">IF(G1676=1,OFFSET($W$634,$B1074,G$631-1)/SUMPRODUCT(--($D$631:$V$631=G$631),--($D1676:$V1676=1)),0)+SUM(G1073)+IF(COUNTIF(G$1237:G1676,1)=1,5,0)+IF(COUNTIF(H1074:$W1074,"&gt;"&amp;0)&lt;5,IF(AND(COUNTIF(G$1237:G1676,1)&gt;7,MOD(1+IFERROR(MATCH($C1074,总览!$D$46:$D$345,1)+1,1),7)=0),$C$3,0),0)</f>
        <v>1406.06666666666</v>
      </c>
      <c r="H1074" s="131" cm="1">
        <f ca="1" t="array" ref="H1074">IF(H1676=1,OFFSET($W$634,$B1074,H$631-1)/SUMPRODUCT(--($D$631:$V$631=H$631),--($D1676:$V1676=1)),0)+SUM(H1073)+IF(COUNTIF(H$1237:H1676,1)=1,5,0)+IF(COUNTIF(I1074:$W1074,"&gt;"&amp;0)&lt;5,IF(AND(COUNTIF(H$1237:H1676,1)&gt;7,MOD(1+IFERROR(MATCH($C1074,总览!$D$46:$D$345,1)+1,1),7)=0),$C$3,0),0)</f>
        <v>1406.06666666666</v>
      </c>
      <c r="I1074" s="131" cm="1">
        <f ca="1" t="array" ref="I1074">IF(I1676=1,OFFSET($W$634,$B1074,I$631-1)/SUMPRODUCT(--($D$631:$V$631=I$631),--($D1676:$V1676=1)),0)+SUM(I1073)+IF(COUNTIF(I$1237:I1676,1)=1,5,0)+IF(COUNTIF(J1074:$W1074,"&gt;"&amp;0)&lt;5,IF(AND(COUNTIF(I$1237:I1676,1)&gt;7,MOD(1+IFERROR(MATCH($C1074,总览!$D$46:$D$345,1)+1,1),7)=0),$C$3,0),0)</f>
        <v>1406.06666666666</v>
      </c>
      <c r="J1074" s="131" cm="1">
        <f ca="1" t="array" ref="J1074">IF(J1676=1,OFFSET($W$634,$B1074,J$631-1)/SUMPRODUCT(--($D$631:$V$631=J$631),--($D1676:$V1676=1)),0)+SUM(J1073)+IF(COUNTIF(J$1237:J1676,1)=1,5,0)+IF(COUNTIF(K1074:$W1074,"&gt;"&amp;0)&lt;5,IF(AND(COUNTIF(J$1237:J1676,1)&gt;7,MOD(1+IFERROR(MATCH($C1074,总览!$D$46:$D$345,1)+1,1),7)=0),$C$3,0),0)</f>
        <v>1402.73333333333</v>
      </c>
      <c r="K1074" s="131" cm="1">
        <f ca="1" t="array" ref="K1074">IF(K1676=1,OFFSET($W$634,$B1074,K$631-1)/SUMPRODUCT(--($D$631:$V$631=K$631),--($D1676:$V1676=1)),0)+SUM(K1073)+IF(COUNTIF(K$1237:K1676,1)=1,5,0)+IF(COUNTIF(L1074:$W1074,"&gt;"&amp;0)&lt;5,IF(AND(COUNTIF(K$1237:K1676,1)&gt;7,MOD(1+IFERROR(MATCH($C1074,总览!$D$46:$D$345,1)+1,1),7)=0),$C$3,0),0)</f>
        <v>1400.23333333333</v>
      </c>
      <c r="L1074" s="131" cm="1">
        <f ca="1" t="array" ref="L1074">IF(L1676=1,OFFSET($W$634,$B1074,L$631-1)/SUMPRODUCT(--($D$631:$V$631=L$631),--($D1676:$V1676=1)),0)+SUM(L1073)+IF(COUNTIF(L$1237:L1676,1)=1,5,0)+IF(COUNTIF(M1074:$W1074,"&gt;"&amp;0)&lt;5,IF(AND(COUNTIF(L$1237:L1676,1)&gt;7,MOD(1+IFERROR(MATCH($C1074,总览!$D$46:$D$345,1)+1,1),7)=0),$C$3,0),0)</f>
        <v>1400.23333333333</v>
      </c>
      <c r="M1074" s="131" cm="1">
        <f ca="1" t="array" ref="M1074">IF(M1676=1,OFFSET($W$634,$B1074,M$631-1)/SUMPRODUCT(--($D$631:$V$631=M$631),--($D1676:$V1676=1)),0)+SUM(M1073)+IF(COUNTIF(M$1237:M1676,1)=1,5,0)+IF(COUNTIF(N1074:$W1074,"&gt;"&amp;0)&lt;5,IF(AND(COUNTIF(M$1237:M1676,1)&gt;7,MOD(1+IFERROR(MATCH($C1074,总览!$D$46:$D$345,1)+1,1),7)=0),$C$3,0),0)</f>
        <v>586.32410714286</v>
      </c>
      <c r="N1074" s="131" cm="1">
        <f ca="1" t="array" ref="N1074">IF(N1676=1,OFFSET($W$634,$B1074,N$631-1)/SUMPRODUCT(--($D$631:$V$631=N$631),--($D1676:$V1676=1)),0)+SUM(N1073)+IF(COUNTIF(N$1237:N1676,1)=1,5,0)+IF(COUNTIF(O1074:$W1074,"&gt;"&amp;0)&lt;5,IF(AND(COUNTIF(N$1237:N1676,1)&gt;7,MOD(1+IFERROR(MATCH($C1074,总览!$D$46:$D$345,1)+1,1),7)=0),$C$3,0),0)</f>
        <v>587.57410714286</v>
      </c>
      <c r="O1074" s="131" cm="1">
        <f ca="1" t="array" ref="O1074">IF(O1676=1,OFFSET($W$634,$B1074,O$631-1)/SUMPRODUCT(--($D$631:$V$631=O$631),--($D1676:$V1676=1)),0)+SUM(O1073)+IF(COUNTIF(O$1237:O1676,1)=1,5,0)+IF(COUNTIF(P1074:$W1074,"&gt;"&amp;0)&lt;5,IF(AND(COUNTIF(O$1237:O1676,1)&gt;7,MOD(1+IFERROR(MATCH($C1074,总览!$D$46:$D$345,1)+1,1),7)=0),$C$3,0),0)</f>
        <v>592.57410714286</v>
      </c>
      <c r="P1074" s="131" cm="1">
        <f ca="1" t="array" ref="P1074">IF(P1676=1,OFFSET($W$634,$B1074,P$631-1)/SUMPRODUCT(--($D$631:$V$631=P$631),--($D1676:$V1676=1)),0)+SUM(P1073)+IF(COUNTIF(P$1237:P1676,1)=1,5,0)+IF(COUNTIF(Q1074:$W1074,"&gt;"&amp;0)&lt;5,IF(AND(COUNTIF(P$1237:P1676,1)&gt;7,MOD(1+IFERROR(MATCH($C1074,总览!$D$46:$D$345,1)+1,1),7)=0),$C$3,0),0)</f>
        <v>581.69285714286</v>
      </c>
      <c r="Q1074" s="131" cm="1">
        <f ca="1" t="array" ref="Q1074">IF(Q1676=1,OFFSET($W$634,$B1074,Q$631-1)/SUMPRODUCT(--($D$631:$V$631=Q$631),--($D1676:$V1676=1)),0)+SUM(Q1073)+IF(COUNTIF(Q$1237:Q1676,1)=1,5,0)+IF(COUNTIF(R1074:$W1074,"&gt;"&amp;0)&lt;5,IF(AND(COUNTIF(Q$1237:Q1676,1)&gt;7,MOD(1+IFERROR(MATCH($C1074,总览!$D$46:$D$345,1)+1,1),7)=0),$C$3,0),0)</f>
        <v>595.07410714286</v>
      </c>
      <c r="R1074" s="131" cm="1">
        <f ca="1" t="array" ref="R1074">IF(R1676=1,OFFSET($W$634,$B1074,R$631-1)/SUMPRODUCT(--($D$631:$V$631=R$631),--($D1676:$V1676=1)),0)+SUM(R1073)+IF(COUNTIF(R$1237:R1676,1)=1,5,0)+IF(COUNTIF(S1074:$W1074,"&gt;"&amp;0)&lt;5,IF(AND(COUNTIF(R$1237:R1676,1)&gt;7,MOD(1+IFERROR(MATCH($C1074,总览!$D$46:$D$345,1)+1,1),7)=0),$C$3,0),0)</f>
        <v>586.69285714286</v>
      </c>
      <c r="S1074" s="131" cm="1">
        <f ca="1" t="array" ref="S1074">IF(S1676=1,OFFSET($W$634,$B1074,S$631-1)/SUMPRODUCT(--($D$631:$V$631=S$631),--($D1676:$V1676=1)),0)+SUM(S1073)+IF(COUNTIF(S$1237:S1676,1)=1,5,0)+IF(COUNTIF(T1074:$W1074,"&gt;"&amp;0)&lt;5,IF(AND(COUNTIF(S$1237:S1676,1)&gt;7,MOD(1+IFERROR(MATCH($C1074,总览!$D$46:$D$345,1)+1,1),7)=0),$C$3,0),0)</f>
        <v>679.192857142861</v>
      </c>
      <c r="T1074" s="131" cm="1">
        <f ca="1" t="array" ref="T1074">IF(T1676=1,OFFSET($W$634,$B1074,T$631-1)/SUMPRODUCT(--($D$631:$V$631=T$631),--($D1676:$V1676=1)),0)+SUM(T1073)+IF(COUNTIF(T$1237:T1676,1)=1,5,0)+IF(COUNTIF(U1074:$W1074,"&gt;"&amp;0)&lt;5,IF(AND(COUNTIF(T$1237:T1676,1)&gt;7,MOD(1+IFERROR(MATCH($C1074,总览!$D$46:$D$345,1)+1,1),7)=0),$C$3,0),0)</f>
        <v>497.133016511157</v>
      </c>
      <c r="U1074" s="131" cm="1">
        <f ca="1" t="array" ref="U1074">IF(U1676=1,OFFSET($W$634,$B1074,U$631-1)/SUMPRODUCT(--($D$631:$V$631=U$631),--($D1676:$V1676=1)),0)+SUM(U1073)+IF(COUNTIF(U$1237:U1676,1)=1,5,0)+IF(COUNTIF(V1074:$W1074,"&gt;"&amp;0)&lt;5,IF(AND(COUNTIF(U$1237:U1676,1)&gt;7,MOD(1+IFERROR(MATCH($C1074,总览!$D$46:$D$345,1)+1,1),7)=0),$C$3,0),0)</f>
        <v>502.653802866457</v>
      </c>
      <c r="V1074" s="131" cm="1">
        <f ca="1" t="array" ref="V1074">IF(V1676=1,OFFSET($W$634,$B1074,V$631-1)/SUMPRODUCT(--($D$631:$V$631=V$631),--($D1676:$V1676=1)),0)+SUM(V1073)+IF(COUNTIF(V$1237:V1676,1)=1,5,0)+IF(COUNTIF(W1074:$W1074,"&gt;"&amp;0)&lt;5,IF(AND(COUNTIF(V$1237:V1676,1)&gt;7,MOD(1+IFERROR(MATCH($C1074,总览!$D$46:$D$345,1)+1,1),7)=0),$C$3,0),0)</f>
        <v>522.48080257889</v>
      </c>
      <c r="W1074" s="135" cm="1">
        <f ca="1" t="array" ref="W1074">SUMPRODUCT(TRANSPOSE($AA1074:$AG1074),OFFSET($L$9:$L$15,0,W$631-1))</f>
        <v>16.8502200646615</v>
      </c>
      <c r="X1074" s="135" cm="1">
        <f ca="1" t="array" ref="X1074">SUMPRODUCT(TRANSPOSE($AA1074:$AG1074),OFFSET($L$9:$L$15,0,X$631-1))</f>
        <v>20</v>
      </c>
      <c r="Y1074" s="135" cm="1">
        <f ca="1" t="array" ref="Y1074">SUMPRODUCT(TRANSPOSE($AA1074:$AG1074),OFFSET($L$9:$L$15,0,Y$631-1))</f>
        <v>10</v>
      </c>
      <c r="Z1074" s="135" cm="1">
        <f ca="1" t="array" ref="Z1074">SUMPRODUCT(TRANSPOSE($AA1074:$AG1074),OFFSET($L$9:$L$15,0,Z$631-1))</f>
        <v>3.14977993533847</v>
      </c>
      <c r="AA1074" s="136">
        <f ca="1" t="shared" ref="AA1074:AG1074" si="1131">AH1074-AH1073</f>
        <v>0</v>
      </c>
      <c r="AB1074" s="136">
        <f ca="1" t="shared" si="1131"/>
        <v>0</v>
      </c>
      <c r="AC1074" s="136">
        <f ca="1" t="shared" si="1131"/>
        <v>0</v>
      </c>
      <c r="AD1074" s="136">
        <f ca="1" t="shared" si="1131"/>
        <v>0</v>
      </c>
      <c r="AE1074" s="136">
        <f ca="1" t="shared" si="1131"/>
        <v>0</v>
      </c>
      <c r="AF1074" s="136">
        <f ca="1" t="shared" si="1131"/>
        <v>0</v>
      </c>
      <c r="AG1074" s="136">
        <f ca="1" t="shared" si="1131"/>
        <v>100</v>
      </c>
      <c r="AH1074" s="136">
        <f ca="1" t="shared" si="1021"/>
        <v>450</v>
      </c>
      <c r="AI1074" s="136">
        <f ca="1" t="shared" ref="AI1074:AN1074" si="1132">IF($C1074&gt;OFFSET($Q$8,MATCH(AI$634,$AH$634:$AN$634,0),0),OFFSET($P$8,MATCH(AI$634,$AH$634:$AN$634,0),0),MAX(0,$C1074-OFFSET($Q$8,RIGHT(AI$634,1)-1,0)))</f>
        <v>909</v>
      </c>
      <c r="AJ1074" s="136">
        <f ca="1" t="shared" si="1132"/>
        <v>1818</v>
      </c>
      <c r="AK1074" s="136">
        <f ca="1" t="shared" si="1132"/>
        <v>2727</v>
      </c>
      <c r="AL1074" s="136">
        <f ca="1" t="shared" si="1132"/>
        <v>3636</v>
      </c>
      <c r="AM1074" s="136">
        <f ca="1" t="shared" si="1132"/>
        <v>4545</v>
      </c>
      <c r="AN1074" s="136">
        <f ca="1" t="shared" si="1132"/>
        <v>29915</v>
      </c>
    </row>
    <row r="1075" s="106" customFormat="1" ht="16.5" spans="2:40">
      <c r="B1075" s="117">
        <v>441</v>
      </c>
      <c r="C1075" s="130">
        <f t="shared" si="1019"/>
        <v>44100</v>
      </c>
      <c r="D1075" s="131" cm="1">
        <f ca="1" t="array" ref="D1075">IF(D1677=1,OFFSET($W$634,$B1075,D$631-1)/SUMPRODUCT(--($D$631:$V$631=D$631),--($D1677:$V1677=1)),0)+SUM(D1074)+IF(COUNTIF(D$1237:D1677,1)=1,5,0)+IF(COUNTIF(E1075:$W1075,"&gt;"&amp;0)&lt;5,IF(AND(COUNTIF(D$1237:D1677,1)&gt;7,MOD(1+IFERROR(MATCH($C1075,总览!$D$46:$D$345,1)+1,1),7)=0),$C$3,0),0)</f>
        <v>2804.68586603607</v>
      </c>
      <c r="E1075" s="131" cm="1">
        <f ca="1" t="array" ref="E1075">IF(E1677=1,OFFSET($W$634,$B1075,E$631-1)/SUMPRODUCT(--($D$631:$V$631=E$631),--($D1677:$V1677=1)),0)+SUM(E1074)+IF(COUNTIF(E$1237:E1677,1)=1,5,0)+IF(COUNTIF(F1075:$W1075,"&gt;"&amp;0)&lt;5,IF(AND(COUNTIF(E$1237:E1677,1)&gt;7,MOD(1+IFERROR(MATCH($C1075,总览!$D$46:$D$345,1)+1,1),7)=0),$C$3,0),0)</f>
        <v>2804.68586603607</v>
      </c>
      <c r="F1075" s="131" cm="1">
        <f ca="1" t="array" ref="F1075">IF(F1677=1,OFFSET($W$634,$B1075,F$631-1)/SUMPRODUCT(--($D$631:$V$631=F$631),--($D1677:$V1677=1)),0)+SUM(F1074)+IF(COUNTIF(F$1237:F1677,1)=1,5,0)+IF(COUNTIF(G1075:$W1075,"&gt;"&amp;0)&lt;5,IF(AND(COUNTIF(F$1237:F1677,1)&gt;7,MOD(1+IFERROR(MATCH($C1075,总览!$D$46:$D$345,1)+1,1),7)=0),$C$3,0),0)</f>
        <v>2804.68586603607</v>
      </c>
      <c r="G1075" s="131" cm="1">
        <f ca="1" t="array" ref="G1075">IF(G1677=1,OFFSET($W$634,$B1075,G$631-1)/SUMPRODUCT(--($D$631:$V$631=G$631),--($D1677:$V1677=1)),0)+SUM(G1074)+IF(COUNTIF(G$1237:G1677,1)=1,5,0)+IF(COUNTIF(H1075:$W1075,"&gt;"&amp;0)&lt;5,IF(AND(COUNTIF(G$1237:G1677,1)&gt;7,MOD(1+IFERROR(MATCH($C1075,总览!$D$46:$D$345,1)+1,1),7)=0),$C$3,0),0)</f>
        <v>1409.4</v>
      </c>
      <c r="H1075" s="131" cm="1">
        <f ca="1" t="array" ref="H1075">IF(H1677=1,OFFSET($W$634,$B1075,H$631-1)/SUMPRODUCT(--($D$631:$V$631=H$631),--($D1677:$V1677=1)),0)+SUM(H1074)+IF(COUNTIF(H$1237:H1677,1)=1,5,0)+IF(COUNTIF(I1075:$W1075,"&gt;"&amp;0)&lt;5,IF(AND(COUNTIF(H$1237:H1677,1)&gt;7,MOD(1+IFERROR(MATCH($C1075,总览!$D$46:$D$345,1)+1,1),7)=0),$C$3,0),0)</f>
        <v>1409.4</v>
      </c>
      <c r="I1075" s="131" cm="1">
        <f ca="1" t="array" ref="I1075">IF(I1677=1,OFFSET($W$634,$B1075,I$631-1)/SUMPRODUCT(--($D$631:$V$631=I$631),--($D1677:$V1677=1)),0)+SUM(I1074)+IF(COUNTIF(I$1237:I1677,1)=1,5,0)+IF(COUNTIF(J1075:$W1075,"&gt;"&amp;0)&lt;5,IF(AND(COUNTIF(I$1237:I1677,1)&gt;7,MOD(1+IFERROR(MATCH($C1075,总览!$D$46:$D$345,1)+1,1),7)=0),$C$3,0),0)</f>
        <v>1409.4</v>
      </c>
      <c r="J1075" s="131" cm="1">
        <f ca="1" t="array" ref="J1075">IF(J1677=1,OFFSET($W$634,$B1075,J$631-1)/SUMPRODUCT(--($D$631:$V$631=J$631),--($D1677:$V1677=1)),0)+SUM(J1074)+IF(COUNTIF(J$1237:J1677,1)=1,5,0)+IF(COUNTIF(K1075:$W1075,"&gt;"&amp;0)&lt;5,IF(AND(COUNTIF(J$1237:J1677,1)&gt;7,MOD(1+IFERROR(MATCH($C1075,总览!$D$46:$D$345,1)+1,1),7)=0),$C$3,0),0)</f>
        <v>1406.06666666666</v>
      </c>
      <c r="K1075" s="131" cm="1">
        <f ca="1" t="array" ref="K1075">IF(K1677=1,OFFSET($W$634,$B1075,K$631-1)/SUMPRODUCT(--($D$631:$V$631=K$631),--($D1677:$V1677=1)),0)+SUM(K1074)+IF(COUNTIF(K$1237:K1677,1)=1,5,0)+IF(COUNTIF(L1075:$W1075,"&gt;"&amp;0)&lt;5,IF(AND(COUNTIF(K$1237:K1677,1)&gt;7,MOD(1+IFERROR(MATCH($C1075,总览!$D$46:$D$345,1)+1,1),7)=0),$C$3,0),0)</f>
        <v>1403.56666666666</v>
      </c>
      <c r="L1075" s="131" cm="1">
        <f ca="1" t="array" ref="L1075">IF(L1677=1,OFFSET($W$634,$B1075,L$631-1)/SUMPRODUCT(--($D$631:$V$631=L$631),--($D1677:$V1677=1)),0)+SUM(L1074)+IF(COUNTIF(L$1237:L1677,1)=1,5,0)+IF(COUNTIF(M1075:$W1075,"&gt;"&amp;0)&lt;5,IF(AND(COUNTIF(L$1237:L1677,1)&gt;7,MOD(1+IFERROR(MATCH($C1075,总览!$D$46:$D$345,1)+1,1),7)=0),$C$3,0),0)</f>
        <v>1403.56666666666</v>
      </c>
      <c r="M1075" s="131" cm="1">
        <f ca="1" t="array" ref="M1075">IF(M1677=1,OFFSET($W$634,$B1075,M$631-1)/SUMPRODUCT(--($D$631:$V$631=M$631),--($D1677:$V1677=1)),0)+SUM(M1074)+IF(COUNTIF(M$1237:M1677,1)=1,5,0)+IF(COUNTIF(N1075:$W1075,"&gt;"&amp;0)&lt;5,IF(AND(COUNTIF(M$1237:M1677,1)&gt;7,MOD(1+IFERROR(MATCH($C1075,总览!$D$46:$D$345,1)+1,1),7)=0),$C$3,0),0)</f>
        <v>587.752678571431</v>
      </c>
      <c r="N1075" s="131" cm="1">
        <f ca="1" t="array" ref="N1075">IF(N1677=1,OFFSET($W$634,$B1075,N$631-1)/SUMPRODUCT(--($D$631:$V$631=N$631),--($D1677:$V1677=1)),0)+SUM(N1074)+IF(COUNTIF(N$1237:N1677,1)=1,5,0)+IF(COUNTIF(O1075:$W1075,"&gt;"&amp;0)&lt;5,IF(AND(COUNTIF(N$1237:N1677,1)&gt;7,MOD(1+IFERROR(MATCH($C1075,总览!$D$46:$D$345,1)+1,1),7)=0),$C$3,0),0)</f>
        <v>589.002678571431</v>
      </c>
      <c r="O1075" s="131" cm="1">
        <f ca="1" t="array" ref="O1075">IF(O1677=1,OFFSET($W$634,$B1075,O$631-1)/SUMPRODUCT(--($D$631:$V$631=O$631),--($D1677:$V1677=1)),0)+SUM(O1074)+IF(COUNTIF(O$1237:O1677,1)=1,5,0)+IF(COUNTIF(P1075:$W1075,"&gt;"&amp;0)&lt;5,IF(AND(COUNTIF(O$1237:O1677,1)&gt;7,MOD(1+IFERROR(MATCH($C1075,总览!$D$46:$D$345,1)+1,1),7)=0),$C$3,0),0)</f>
        <v>594.002678571431</v>
      </c>
      <c r="P1075" s="131" cm="1">
        <f ca="1" t="array" ref="P1075">IF(P1677=1,OFFSET($W$634,$B1075,P$631-1)/SUMPRODUCT(--($D$631:$V$631=P$631),--($D1677:$V1677=1)),0)+SUM(P1074)+IF(COUNTIF(P$1237:P1677,1)=1,5,0)+IF(COUNTIF(Q1075:$W1075,"&gt;"&amp;0)&lt;5,IF(AND(COUNTIF(P$1237:P1677,1)&gt;7,MOD(1+IFERROR(MATCH($C1075,总览!$D$46:$D$345,1)+1,1),7)=0),$C$3,0),0)</f>
        <v>583.121428571431</v>
      </c>
      <c r="Q1075" s="131" cm="1">
        <f ca="1" t="array" ref="Q1075">IF(Q1677=1,OFFSET($W$634,$B1075,Q$631-1)/SUMPRODUCT(--($D$631:$V$631=Q$631),--($D1677:$V1677=1)),0)+SUM(Q1074)+IF(COUNTIF(Q$1237:Q1677,1)=1,5,0)+IF(COUNTIF(R1075:$W1075,"&gt;"&amp;0)&lt;5,IF(AND(COUNTIF(Q$1237:Q1677,1)&gt;7,MOD(1+IFERROR(MATCH($C1075,总览!$D$46:$D$345,1)+1,1),7)=0),$C$3,0),0)</f>
        <v>596.502678571431</v>
      </c>
      <c r="R1075" s="131" cm="1">
        <f ca="1" t="array" ref="R1075">IF(R1677=1,OFFSET($W$634,$B1075,R$631-1)/SUMPRODUCT(--($D$631:$V$631=R$631),--($D1677:$V1677=1)),0)+SUM(R1074)+IF(COUNTIF(R$1237:R1677,1)=1,5,0)+IF(COUNTIF(S1075:$W1075,"&gt;"&amp;0)&lt;5,IF(AND(COUNTIF(R$1237:R1677,1)&gt;7,MOD(1+IFERROR(MATCH($C1075,总览!$D$46:$D$345,1)+1,1),7)=0),$C$3,0),0)</f>
        <v>588.121428571431</v>
      </c>
      <c r="S1075" s="131" cm="1">
        <f ca="1" t="array" ref="S1075">IF(S1677=1,OFFSET($W$634,$B1075,S$631-1)/SUMPRODUCT(--($D$631:$V$631=S$631),--($D1677:$V1677=1)),0)+SUM(S1074)+IF(COUNTIF(S$1237:S1677,1)=1,5,0)+IF(COUNTIF(T1075:$W1075,"&gt;"&amp;0)&lt;5,IF(AND(COUNTIF(S$1237:S1677,1)&gt;7,MOD(1+IFERROR(MATCH($C1075,总览!$D$46:$D$345,1)+1,1),7)=0),$C$3,0),0)</f>
        <v>680.621428571432</v>
      </c>
      <c r="T1075" s="131" cm="1">
        <f ca="1" t="array" ref="T1075">IF(T1677=1,OFFSET($W$634,$B1075,T$631-1)/SUMPRODUCT(--($D$631:$V$631=T$631),--($D1677:$V1677=1)),0)+SUM(T1074)+IF(COUNTIF(T$1237:T1677,1)=1,5,0)+IF(COUNTIF(U1075:$W1075,"&gt;"&amp;0)&lt;5,IF(AND(COUNTIF(T$1237:T1677,1)&gt;7,MOD(1+IFERROR(MATCH($C1075,总览!$D$46:$D$345,1)+1,1),7)=0),$C$3,0),0)</f>
        <v>498.18294315627</v>
      </c>
      <c r="U1075" s="131" cm="1">
        <f ca="1" t="array" ref="U1075">IF(U1677=1,OFFSET($W$634,$B1075,U$631-1)/SUMPRODUCT(--($D$631:$V$631=U$631),--($D1677:$V1677=1)),0)+SUM(U1074)+IF(COUNTIF(U$1237:U1677,1)=1,5,0)+IF(COUNTIF(V1075:$W1075,"&gt;"&amp;0)&lt;5,IF(AND(COUNTIF(U$1237:U1677,1)&gt;7,MOD(1+IFERROR(MATCH($C1075,总览!$D$46:$D$345,1)+1,1),7)=0),$C$3,0),0)</f>
        <v>503.703729511569</v>
      </c>
      <c r="V1075" s="131" cm="1">
        <f ca="1" t="array" ref="V1075">IF(V1677=1,OFFSET($W$634,$B1075,V$631-1)/SUMPRODUCT(--($D$631:$V$631=V$631),--($D1677:$V1677=1)),0)+SUM(V1074)+IF(COUNTIF(V$1237:V1677,1)=1,5,0)+IF(COUNTIF(W1075:$W1075,"&gt;"&amp;0)&lt;5,IF(AND(COUNTIF(V$1237:V1677,1)&gt;7,MOD(1+IFERROR(MATCH($C1075,总览!$D$46:$D$345,1)+1,1),7)=0),$C$3,0),0)</f>
        <v>523.530729224002</v>
      </c>
      <c r="W1075" s="135" cm="1">
        <f ca="1" t="array" ref="W1075">SUMPRODUCT(TRANSPOSE($AA1075:$AG1075),OFFSET($L$9:$L$15,0,W$631-1))</f>
        <v>16.8502200646615</v>
      </c>
      <c r="X1075" s="135" cm="1">
        <f ca="1" t="array" ref="X1075">SUMPRODUCT(TRANSPOSE($AA1075:$AG1075),OFFSET($L$9:$L$15,0,X$631-1))</f>
        <v>20</v>
      </c>
      <c r="Y1075" s="135" cm="1">
        <f ca="1" t="array" ref="Y1075">SUMPRODUCT(TRANSPOSE($AA1075:$AG1075),OFFSET($L$9:$L$15,0,Y$631-1))</f>
        <v>10</v>
      </c>
      <c r="Z1075" s="135" cm="1">
        <f ca="1" t="array" ref="Z1075">SUMPRODUCT(TRANSPOSE($AA1075:$AG1075),OFFSET($L$9:$L$15,0,Z$631-1))</f>
        <v>3.14977993533847</v>
      </c>
      <c r="AA1075" s="136">
        <f ca="1" t="shared" ref="AA1075:AG1075" si="1133">AH1075-AH1074</f>
        <v>0</v>
      </c>
      <c r="AB1075" s="136">
        <f ca="1" t="shared" si="1133"/>
        <v>0</v>
      </c>
      <c r="AC1075" s="136">
        <f ca="1" t="shared" si="1133"/>
        <v>0</v>
      </c>
      <c r="AD1075" s="136">
        <f ca="1" t="shared" si="1133"/>
        <v>0</v>
      </c>
      <c r="AE1075" s="136">
        <f ca="1" t="shared" si="1133"/>
        <v>0</v>
      </c>
      <c r="AF1075" s="136">
        <f ca="1" t="shared" si="1133"/>
        <v>0</v>
      </c>
      <c r="AG1075" s="136">
        <f ca="1" t="shared" si="1133"/>
        <v>100</v>
      </c>
      <c r="AH1075" s="136">
        <f ca="1" t="shared" si="1021"/>
        <v>450</v>
      </c>
      <c r="AI1075" s="136">
        <f ca="1" t="shared" ref="AI1075:AN1075" si="1134">IF($C1075&gt;OFFSET($Q$8,MATCH(AI$634,$AH$634:$AN$634,0),0),OFFSET($P$8,MATCH(AI$634,$AH$634:$AN$634,0),0),MAX(0,$C1075-OFFSET($Q$8,RIGHT(AI$634,1)-1,0)))</f>
        <v>909</v>
      </c>
      <c r="AJ1075" s="136">
        <f ca="1" t="shared" si="1134"/>
        <v>1818</v>
      </c>
      <c r="AK1075" s="136">
        <f ca="1" t="shared" si="1134"/>
        <v>2727</v>
      </c>
      <c r="AL1075" s="136">
        <f ca="1" t="shared" si="1134"/>
        <v>3636</v>
      </c>
      <c r="AM1075" s="136">
        <f ca="1" t="shared" si="1134"/>
        <v>4545</v>
      </c>
      <c r="AN1075" s="136">
        <f ca="1" t="shared" si="1134"/>
        <v>30015</v>
      </c>
    </row>
    <row r="1076" s="106" customFormat="1" ht="16.5" spans="2:40">
      <c r="B1076" s="117">
        <v>442</v>
      </c>
      <c r="C1076" s="130">
        <f t="shared" si="1019"/>
        <v>44200</v>
      </c>
      <c r="D1076" s="131" cm="1">
        <f ca="1" t="array" ref="D1076">IF(D1678=1,OFFSET($W$634,$B1076,D$631-1)/SUMPRODUCT(--($D$631:$V$631=D$631),--($D1678:$V1678=1)),0)+SUM(D1075)+IF(COUNTIF(D$1237:D1678,1)=1,5,0)+IF(COUNTIF(E1076:$W1076,"&gt;"&amp;0)&lt;5,IF(AND(COUNTIF(D$1237:D1678,1)&gt;7,MOD(1+IFERROR(MATCH($C1076,总览!$D$46:$D$345,1)+1,1),7)=0),$C$3,0),0)</f>
        <v>2810.30260605763</v>
      </c>
      <c r="E1076" s="131" cm="1">
        <f ca="1" t="array" ref="E1076">IF(E1678=1,OFFSET($W$634,$B1076,E$631-1)/SUMPRODUCT(--($D$631:$V$631=E$631),--($D1678:$V1678=1)),0)+SUM(E1075)+IF(COUNTIF(E$1237:E1678,1)=1,5,0)+IF(COUNTIF(F1076:$W1076,"&gt;"&amp;0)&lt;5,IF(AND(COUNTIF(E$1237:E1678,1)&gt;7,MOD(1+IFERROR(MATCH($C1076,总览!$D$46:$D$345,1)+1,1),7)=0),$C$3,0),0)</f>
        <v>2810.30260605763</v>
      </c>
      <c r="F1076" s="131" cm="1">
        <f ca="1" t="array" ref="F1076">IF(F1678=1,OFFSET($W$634,$B1076,F$631-1)/SUMPRODUCT(--($D$631:$V$631=F$631),--($D1678:$V1678=1)),0)+SUM(F1075)+IF(COUNTIF(F$1237:F1678,1)=1,5,0)+IF(COUNTIF(G1076:$W1076,"&gt;"&amp;0)&lt;5,IF(AND(COUNTIF(F$1237:F1678,1)&gt;7,MOD(1+IFERROR(MATCH($C1076,总览!$D$46:$D$345,1)+1,1),7)=0),$C$3,0),0)</f>
        <v>2810.30260605763</v>
      </c>
      <c r="G1076" s="131" cm="1">
        <f ca="1" t="array" ref="G1076">IF(G1678=1,OFFSET($W$634,$B1076,G$631-1)/SUMPRODUCT(--($D$631:$V$631=G$631),--($D1678:$V1678=1)),0)+SUM(G1075)+IF(COUNTIF(G$1237:G1678,1)=1,5,0)+IF(COUNTIF(H1076:$W1076,"&gt;"&amp;0)&lt;5,IF(AND(COUNTIF(G$1237:G1678,1)&gt;7,MOD(1+IFERROR(MATCH($C1076,总览!$D$46:$D$345,1)+1,1),7)=0),$C$3,0),0)</f>
        <v>1412.73333333333</v>
      </c>
      <c r="H1076" s="131" cm="1">
        <f ca="1" t="array" ref="H1076">IF(H1678=1,OFFSET($W$634,$B1076,H$631-1)/SUMPRODUCT(--($D$631:$V$631=H$631),--($D1678:$V1678=1)),0)+SUM(H1075)+IF(COUNTIF(H$1237:H1678,1)=1,5,0)+IF(COUNTIF(I1076:$W1076,"&gt;"&amp;0)&lt;5,IF(AND(COUNTIF(H$1237:H1678,1)&gt;7,MOD(1+IFERROR(MATCH($C1076,总览!$D$46:$D$345,1)+1,1),7)=0),$C$3,0),0)</f>
        <v>1412.73333333333</v>
      </c>
      <c r="I1076" s="131" cm="1">
        <f ca="1" t="array" ref="I1076">IF(I1678=1,OFFSET($W$634,$B1076,I$631-1)/SUMPRODUCT(--($D$631:$V$631=I$631),--($D1678:$V1678=1)),0)+SUM(I1075)+IF(COUNTIF(I$1237:I1678,1)=1,5,0)+IF(COUNTIF(J1076:$W1076,"&gt;"&amp;0)&lt;5,IF(AND(COUNTIF(I$1237:I1678,1)&gt;7,MOD(1+IFERROR(MATCH($C1076,总览!$D$46:$D$345,1)+1,1),7)=0),$C$3,0),0)</f>
        <v>1412.73333333333</v>
      </c>
      <c r="J1076" s="131" cm="1">
        <f ca="1" t="array" ref="J1076">IF(J1678=1,OFFSET($W$634,$B1076,J$631-1)/SUMPRODUCT(--($D$631:$V$631=J$631),--($D1678:$V1678=1)),0)+SUM(J1075)+IF(COUNTIF(J$1237:J1678,1)=1,5,0)+IF(COUNTIF(K1076:$W1076,"&gt;"&amp;0)&lt;5,IF(AND(COUNTIF(J$1237:J1678,1)&gt;7,MOD(1+IFERROR(MATCH($C1076,总览!$D$46:$D$345,1)+1,1),7)=0),$C$3,0),0)</f>
        <v>1409.4</v>
      </c>
      <c r="K1076" s="131" cm="1">
        <f ca="1" t="array" ref="K1076">IF(K1678=1,OFFSET($W$634,$B1076,K$631-1)/SUMPRODUCT(--($D$631:$V$631=K$631),--($D1678:$V1678=1)),0)+SUM(K1075)+IF(COUNTIF(K$1237:K1678,1)=1,5,0)+IF(COUNTIF(L1076:$W1076,"&gt;"&amp;0)&lt;5,IF(AND(COUNTIF(K$1237:K1678,1)&gt;7,MOD(1+IFERROR(MATCH($C1076,总览!$D$46:$D$345,1)+1,1),7)=0),$C$3,0),0)</f>
        <v>1406.9</v>
      </c>
      <c r="L1076" s="131" cm="1">
        <f ca="1" t="array" ref="L1076">IF(L1678=1,OFFSET($W$634,$B1076,L$631-1)/SUMPRODUCT(--($D$631:$V$631=L$631),--($D1678:$V1678=1)),0)+SUM(L1075)+IF(COUNTIF(L$1237:L1678,1)=1,5,0)+IF(COUNTIF(M1076:$W1076,"&gt;"&amp;0)&lt;5,IF(AND(COUNTIF(L$1237:L1678,1)&gt;7,MOD(1+IFERROR(MATCH($C1076,总览!$D$46:$D$345,1)+1,1),7)=0),$C$3,0),0)</f>
        <v>1406.9</v>
      </c>
      <c r="M1076" s="131" cm="1">
        <f ca="1" t="array" ref="M1076">IF(M1678=1,OFFSET($W$634,$B1076,M$631-1)/SUMPRODUCT(--($D$631:$V$631=M$631),--($D1678:$V1678=1)),0)+SUM(M1075)+IF(COUNTIF(M$1237:M1678,1)=1,5,0)+IF(COUNTIF(N1076:$W1076,"&gt;"&amp;0)&lt;5,IF(AND(COUNTIF(M$1237:M1678,1)&gt;7,MOD(1+IFERROR(MATCH($C1076,总览!$D$46:$D$345,1)+1,1),7)=0),$C$3,0),0)</f>
        <v>589.181250000003</v>
      </c>
      <c r="N1076" s="131" cm="1">
        <f ca="1" t="array" ref="N1076">IF(N1678=1,OFFSET($W$634,$B1076,N$631-1)/SUMPRODUCT(--($D$631:$V$631=N$631),--($D1678:$V1678=1)),0)+SUM(N1075)+IF(COUNTIF(N$1237:N1678,1)=1,5,0)+IF(COUNTIF(O1076:$W1076,"&gt;"&amp;0)&lt;5,IF(AND(COUNTIF(N$1237:N1678,1)&gt;7,MOD(1+IFERROR(MATCH($C1076,总览!$D$46:$D$345,1)+1,1),7)=0),$C$3,0),0)</f>
        <v>590.431250000003</v>
      </c>
      <c r="O1076" s="131" cm="1">
        <f ca="1" t="array" ref="O1076">IF(O1678=1,OFFSET($W$634,$B1076,O$631-1)/SUMPRODUCT(--($D$631:$V$631=O$631),--($D1678:$V1678=1)),0)+SUM(O1075)+IF(COUNTIF(O$1237:O1678,1)=1,5,0)+IF(COUNTIF(P1076:$W1076,"&gt;"&amp;0)&lt;5,IF(AND(COUNTIF(O$1237:O1678,1)&gt;7,MOD(1+IFERROR(MATCH($C1076,总览!$D$46:$D$345,1)+1,1),7)=0),$C$3,0),0)</f>
        <v>595.431250000003</v>
      </c>
      <c r="P1076" s="131" cm="1">
        <f ca="1" t="array" ref="P1076">IF(P1678=1,OFFSET($W$634,$B1076,P$631-1)/SUMPRODUCT(--($D$631:$V$631=P$631),--($D1678:$V1678=1)),0)+SUM(P1075)+IF(COUNTIF(P$1237:P1678,1)=1,5,0)+IF(COUNTIF(Q1076:$W1076,"&gt;"&amp;0)&lt;5,IF(AND(COUNTIF(P$1237:P1678,1)&gt;7,MOD(1+IFERROR(MATCH($C1076,总览!$D$46:$D$345,1)+1,1),7)=0),$C$3,0),0)</f>
        <v>584.550000000003</v>
      </c>
      <c r="Q1076" s="131" cm="1">
        <f ca="1" t="array" ref="Q1076">IF(Q1678=1,OFFSET($W$634,$B1076,Q$631-1)/SUMPRODUCT(--($D$631:$V$631=Q$631),--($D1678:$V1678=1)),0)+SUM(Q1075)+IF(COUNTIF(Q$1237:Q1678,1)=1,5,0)+IF(COUNTIF(R1076:$W1076,"&gt;"&amp;0)&lt;5,IF(AND(COUNTIF(Q$1237:Q1678,1)&gt;7,MOD(1+IFERROR(MATCH($C1076,总览!$D$46:$D$345,1)+1,1),7)=0),$C$3,0),0)</f>
        <v>597.931250000003</v>
      </c>
      <c r="R1076" s="131" cm="1">
        <f ca="1" t="array" ref="R1076">IF(R1678=1,OFFSET($W$634,$B1076,R$631-1)/SUMPRODUCT(--($D$631:$V$631=R$631),--($D1678:$V1678=1)),0)+SUM(R1075)+IF(COUNTIF(R$1237:R1678,1)=1,5,0)+IF(COUNTIF(S1076:$W1076,"&gt;"&amp;0)&lt;5,IF(AND(COUNTIF(R$1237:R1678,1)&gt;7,MOD(1+IFERROR(MATCH($C1076,总览!$D$46:$D$345,1)+1,1),7)=0),$C$3,0),0)</f>
        <v>589.550000000003</v>
      </c>
      <c r="S1076" s="131" cm="1">
        <f ca="1" t="array" ref="S1076">IF(S1678=1,OFFSET($W$634,$B1076,S$631-1)/SUMPRODUCT(--($D$631:$V$631=S$631),--($D1678:$V1678=1)),0)+SUM(S1075)+IF(COUNTIF(S$1237:S1678,1)=1,5,0)+IF(COUNTIF(T1076:$W1076,"&gt;"&amp;0)&lt;5,IF(AND(COUNTIF(S$1237:S1678,1)&gt;7,MOD(1+IFERROR(MATCH($C1076,总览!$D$46:$D$345,1)+1,1),7)=0),$C$3,0),0)</f>
        <v>682.050000000004</v>
      </c>
      <c r="T1076" s="131" cm="1">
        <f ca="1" t="array" ref="T1076">IF(T1678=1,OFFSET($W$634,$B1076,T$631-1)/SUMPRODUCT(--($D$631:$V$631=T$631),--($D1678:$V1678=1)),0)+SUM(T1075)+IF(COUNTIF(T$1237:T1678,1)=1,5,0)+IF(COUNTIF(U1076:$W1076,"&gt;"&amp;0)&lt;5,IF(AND(COUNTIF(T$1237:T1678,1)&gt;7,MOD(1+IFERROR(MATCH($C1076,总览!$D$46:$D$345,1)+1,1),7)=0),$C$3,0),0)</f>
        <v>499.232869801383</v>
      </c>
      <c r="U1076" s="131" cm="1">
        <f ca="1" t="array" ref="U1076">IF(U1678=1,OFFSET($W$634,$B1076,U$631-1)/SUMPRODUCT(--($D$631:$V$631=U$631),--($D1678:$V1678=1)),0)+SUM(U1075)+IF(COUNTIF(U$1237:U1678,1)=1,5,0)+IF(COUNTIF(V1076:$W1076,"&gt;"&amp;0)&lt;5,IF(AND(COUNTIF(U$1237:U1678,1)&gt;7,MOD(1+IFERROR(MATCH($C1076,总览!$D$46:$D$345,1)+1,1),7)=0),$C$3,0),0)</f>
        <v>504.753656156682</v>
      </c>
      <c r="V1076" s="131" cm="1">
        <f ca="1" t="array" ref="V1076">IF(V1678=1,OFFSET($W$634,$B1076,V$631-1)/SUMPRODUCT(--($D$631:$V$631=V$631),--($D1678:$V1678=1)),0)+SUM(V1075)+IF(COUNTIF(V$1237:V1678,1)=1,5,0)+IF(COUNTIF(W1076:$W1076,"&gt;"&amp;0)&lt;5,IF(AND(COUNTIF(V$1237:V1678,1)&gt;7,MOD(1+IFERROR(MATCH($C1076,总览!$D$46:$D$345,1)+1,1),7)=0),$C$3,0),0)</f>
        <v>524.580655869115</v>
      </c>
      <c r="W1076" s="135" cm="1">
        <f ca="1" t="array" ref="W1076">SUMPRODUCT(TRANSPOSE($AA1076:$AG1076),OFFSET($L$9:$L$15,0,W$631-1))</f>
        <v>16.8502200646615</v>
      </c>
      <c r="X1076" s="135" cm="1">
        <f ca="1" t="array" ref="X1076">SUMPRODUCT(TRANSPOSE($AA1076:$AG1076),OFFSET($L$9:$L$15,0,X$631-1))</f>
        <v>20</v>
      </c>
      <c r="Y1076" s="135" cm="1">
        <f ca="1" t="array" ref="Y1076">SUMPRODUCT(TRANSPOSE($AA1076:$AG1076),OFFSET($L$9:$L$15,0,Y$631-1))</f>
        <v>10</v>
      </c>
      <c r="Z1076" s="135" cm="1">
        <f ca="1" t="array" ref="Z1076">SUMPRODUCT(TRANSPOSE($AA1076:$AG1076),OFFSET($L$9:$L$15,0,Z$631-1))</f>
        <v>3.14977993533847</v>
      </c>
      <c r="AA1076" s="136">
        <f ca="1" t="shared" ref="AA1076:AG1076" si="1135">AH1076-AH1075</f>
        <v>0</v>
      </c>
      <c r="AB1076" s="136">
        <f ca="1" t="shared" si="1135"/>
        <v>0</v>
      </c>
      <c r="AC1076" s="136">
        <f ca="1" t="shared" si="1135"/>
        <v>0</v>
      </c>
      <c r="AD1076" s="136">
        <f ca="1" t="shared" si="1135"/>
        <v>0</v>
      </c>
      <c r="AE1076" s="136">
        <f ca="1" t="shared" si="1135"/>
        <v>0</v>
      </c>
      <c r="AF1076" s="136">
        <f ca="1" t="shared" si="1135"/>
        <v>0</v>
      </c>
      <c r="AG1076" s="136">
        <f ca="1" t="shared" si="1135"/>
        <v>100</v>
      </c>
      <c r="AH1076" s="136">
        <f ca="1" t="shared" si="1021"/>
        <v>450</v>
      </c>
      <c r="AI1076" s="136">
        <f ca="1" t="shared" ref="AI1076:AN1076" si="1136">IF($C1076&gt;OFFSET($Q$8,MATCH(AI$634,$AH$634:$AN$634,0),0),OFFSET($P$8,MATCH(AI$634,$AH$634:$AN$634,0),0),MAX(0,$C1076-OFFSET($Q$8,RIGHT(AI$634,1)-1,0)))</f>
        <v>909</v>
      </c>
      <c r="AJ1076" s="136">
        <f ca="1" t="shared" si="1136"/>
        <v>1818</v>
      </c>
      <c r="AK1076" s="136">
        <f ca="1" t="shared" si="1136"/>
        <v>2727</v>
      </c>
      <c r="AL1076" s="136">
        <f ca="1" t="shared" si="1136"/>
        <v>3636</v>
      </c>
      <c r="AM1076" s="136">
        <f ca="1" t="shared" si="1136"/>
        <v>4545</v>
      </c>
      <c r="AN1076" s="136">
        <f ca="1" t="shared" si="1136"/>
        <v>30115</v>
      </c>
    </row>
    <row r="1077" s="106" customFormat="1" ht="16.5" spans="2:40">
      <c r="B1077" s="117">
        <v>443</v>
      </c>
      <c r="C1077" s="130">
        <f t="shared" si="1019"/>
        <v>44300</v>
      </c>
      <c r="D1077" s="131" cm="1">
        <f ca="1" t="array" ref="D1077">IF(D1679=1,OFFSET($W$634,$B1077,D$631-1)/SUMPRODUCT(--($D$631:$V$631=D$631),--($D1679:$V1679=1)),0)+SUM(D1076)+IF(COUNTIF(D$1237:D1679,1)=1,5,0)+IF(COUNTIF(E1077:$W1077,"&gt;"&amp;0)&lt;5,IF(AND(COUNTIF(D$1237:D1679,1)&gt;7,MOD(1+IFERROR(MATCH($C1077,总览!$D$46:$D$345,1)+1,1),7)=0),$C$3,0),0)</f>
        <v>2815.91934607918</v>
      </c>
      <c r="E1077" s="131" cm="1">
        <f ca="1" t="array" ref="E1077">IF(E1679=1,OFFSET($W$634,$B1077,E$631-1)/SUMPRODUCT(--($D$631:$V$631=E$631),--($D1679:$V1679=1)),0)+SUM(E1076)+IF(COUNTIF(E$1237:E1679,1)=1,5,0)+IF(COUNTIF(F1077:$W1077,"&gt;"&amp;0)&lt;5,IF(AND(COUNTIF(E$1237:E1679,1)&gt;7,MOD(1+IFERROR(MATCH($C1077,总览!$D$46:$D$345,1)+1,1),7)=0),$C$3,0),0)</f>
        <v>2815.91934607918</v>
      </c>
      <c r="F1077" s="131" cm="1">
        <f ca="1" t="array" ref="F1077">IF(F1679=1,OFFSET($W$634,$B1077,F$631-1)/SUMPRODUCT(--($D$631:$V$631=F$631),--($D1679:$V1679=1)),0)+SUM(F1076)+IF(COUNTIF(F$1237:F1679,1)=1,5,0)+IF(COUNTIF(G1077:$W1077,"&gt;"&amp;0)&lt;5,IF(AND(COUNTIF(F$1237:F1679,1)&gt;7,MOD(1+IFERROR(MATCH($C1077,总览!$D$46:$D$345,1)+1,1),7)=0),$C$3,0),0)</f>
        <v>2815.91934607918</v>
      </c>
      <c r="G1077" s="131" cm="1">
        <f ca="1" t="array" ref="G1077">IF(G1679=1,OFFSET($W$634,$B1077,G$631-1)/SUMPRODUCT(--($D$631:$V$631=G$631),--($D1679:$V1679=1)),0)+SUM(G1076)+IF(COUNTIF(G$1237:G1679,1)=1,5,0)+IF(COUNTIF(H1077:$W1077,"&gt;"&amp;0)&lt;5,IF(AND(COUNTIF(G$1237:G1679,1)&gt;7,MOD(1+IFERROR(MATCH($C1077,总览!$D$46:$D$345,1)+1,1),7)=0),$C$3,0),0)</f>
        <v>1416.06666666666</v>
      </c>
      <c r="H1077" s="131" cm="1">
        <f ca="1" t="array" ref="H1077">IF(H1679=1,OFFSET($W$634,$B1077,H$631-1)/SUMPRODUCT(--($D$631:$V$631=H$631),--($D1679:$V1679=1)),0)+SUM(H1076)+IF(COUNTIF(H$1237:H1679,1)=1,5,0)+IF(COUNTIF(I1077:$W1077,"&gt;"&amp;0)&lt;5,IF(AND(COUNTIF(H$1237:H1679,1)&gt;7,MOD(1+IFERROR(MATCH($C1077,总览!$D$46:$D$345,1)+1,1),7)=0),$C$3,0),0)</f>
        <v>1416.06666666666</v>
      </c>
      <c r="I1077" s="131" cm="1">
        <f ca="1" t="array" ref="I1077">IF(I1679=1,OFFSET($W$634,$B1077,I$631-1)/SUMPRODUCT(--($D$631:$V$631=I$631),--($D1679:$V1679=1)),0)+SUM(I1076)+IF(COUNTIF(I$1237:I1679,1)=1,5,0)+IF(COUNTIF(J1077:$W1077,"&gt;"&amp;0)&lt;5,IF(AND(COUNTIF(I$1237:I1679,1)&gt;7,MOD(1+IFERROR(MATCH($C1077,总览!$D$46:$D$345,1)+1,1),7)=0),$C$3,0),0)</f>
        <v>1416.06666666666</v>
      </c>
      <c r="J1077" s="131" cm="1">
        <f ca="1" t="array" ref="J1077">IF(J1679=1,OFFSET($W$634,$B1077,J$631-1)/SUMPRODUCT(--($D$631:$V$631=J$631),--($D1679:$V1679=1)),0)+SUM(J1076)+IF(COUNTIF(J$1237:J1679,1)=1,5,0)+IF(COUNTIF(K1077:$W1077,"&gt;"&amp;0)&lt;5,IF(AND(COUNTIF(J$1237:J1679,1)&gt;7,MOD(1+IFERROR(MATCH($C1077,总览!$D$46:$D$345,1)+1,1),7)=0),$C$3,0),0)</f>
        <v>1412.73333333333</v>
      </c>
      <c r="K1077" s="131" cm="1">
        <f ca="1" t="array" ref="K1077">IF(K1679=1,OFFSET($W$634,$B1077,K$631-1)/SUMPRODUCT(--($D$631:$V$631=K$631),--($D1679:$V1679=1)),0)+SUM(K1076)+IF(COUNTIF(K$1237:K1679,1)=1,5,0)+IF(COUNTIF(L1077:$W1077,"&gt;"&amp;0)&lt;5,IF(AND(COUNTIF(K$1237:K1679,1)&gt;7,MOD(1+IFERROR(MATCH($C1077,总览!$D$46:$D$345,1)+1,1),7)=0),$C$3,0),0)</f>
        <v>1410.23333333333</v>
      </c>
      <c r="L1077" s="131" cm="1">
        <f ca="1" t="array" ref="L1077">IF(L1679=1,OFFSET($W$634,$B1077,L$631-1)/SUMPRODUCT(--($D$631:$V$631=L$631),--($D1679:$V1679=1)),0)+SUM(L1076)+IF(COUNTIF(L$1237:L1679,1)=1,5,0)+IF(COUNTIF(M1077:$W1077,"&gt;"&amp;0)&lt;5,IF(AND(COUNTIF(L$1237:L1679,1)&gt;7,MOD(1+IFERROR(MATCH($C1077,总览!$D$46:$D$345,1)+1,1),7)=0),$C$3,0),0)</f>
        <v>1410.23333333333</v>
      </c>
      <c r="M1077" s="131" cm="1">
        <f ca="1" t="array" ref="M1077">IF(M1679=1,OFFSET($W$634,$B1077,M$631-1)/SUMPRODUCT(--($D$631:$V$631=M$631),--($D1679:$V1679=1)),0)+SUM(M1076)+IF(COUNTIF(M$1237:M1679,1)=1,5,0)+IF(COUNTIF(N1077:$W1077,"&gt;"&amp;0)&lt;5,IF(AND(COUNTIF(M$1237:M1679,1)&gt;7,MOD(1+IFERROR(MATCH($C1077,总览!$D$46:$D$345,1)+1,1),7)=0),$C$3,0),0)</f>
        <v>590.609821428574</v>
      </c>
      <c r="N1077" s="131" cm="1">
        <f ca="1" t="array" ref="N1077">IF(N1679=1,OFFSET($W$634,$B1077,N$631-1)/SUMPRODUCT(--($D$631:$V$631=N$631),--($D1679:$V1679=1)),0)+SUM(N1076)+IF(COUNTIF(N$1237:N1679,1)=1,5,0)+IF(COUNTIF(O1077:$W1077,"&gt;"&amp;0)&lt;5,IF(AND(COUNTIF(N$1237:N1679,1)&gt;7,MOD(1+IFERROR(MATCH($C1077,总览!$D$46:$D$345,1)+1,1),7)=0),$C$3,0),0)</f>
        <v>591.859821428574</v>
      </c>
      <c r="O1077" s="131" cm="1">
        <f ca="1" t="array" ref="O1077">IF(O1679=1,OFFSET($W$634,$B1077,O$631-1)/SUMPRODUCT(--($D$631:$V$631=O$631),--($D1679:$V1679=1)),0)+SUM(O1076)+IF(COUNTIF(O$1237:O1679,1)=1,5,0)+IF(COUNTIF(P1077:$W1077,"&gt;"&amp;0)&lt;5,IF(AND(COUNTIF(O$1237:O1679,1)&gt;7,MOD(1+IFERROR(MATCH($C1077,总览!$D$46:$D$345,1)+1,1),7)=0),$C$3,0),0)</f>
        <v>596.859821428574</v>
      </c>
      <c r="P1077" s="131" cm="1">
        <f ca="1" t="array" ref="P1077">IF(P1679=1,OFFSET($W$634,$B1077,P$631-1)/SUMPRODUCT(--($D$631:$V$631=P$631),--($D1679:$V1679=1)),0)+SUM(P1076)+IF(COUNTIF(P$1237:P1679,1)=1,5,0)+IF(COUNTIF(Q1077:$W1077,"&gt;"&amp;0)&lt;5,IF(AND(COUNTIF(P$1237:P1679,1)&gt;7,MOD(1+IFERROR(MATCH($C1077,总览!$D$46:$D$345,1)+1,1),7)=0),$C$3,0),0)</f>
        <v>585.978571428574</v>
      </c>
      <c r="Q1077" s="131" cm="1">
        <f ca="1" t="array" ref="Q1077">IF(Q1679=1,OFFSET($W$634,$B1077,Q$631-1)/SUMPRODUCT(--($D$631:$V$631=Q$631),--($D1679:$V1679=1)),0)+SUM(Q1076)+IF(COUNTIF(Q$1237:Q1679,1)=1,5,0)+IF(COUNTIF(R1077:$W1077,"&gt;"&amp;0)&lt;5,IF(AND(COUNTIF(Q$1237:Q1679,1)&gt;7,MOD(1+IFERROR(MATCH($C1077,总览!$D$46:$D$345,1)+1,1),7)=0),$C$3,0),0)</f>
        <v>599.359821428574</v>
      </c>
      <c r="R1077" s="131" cm="1">
        <f ca="1" t="array" ref="R1077">IF(R1679=1,OFFSET($W$634,$B1077,R$631-1)/SUMPRODUCT(--($D$631:$V$631=R$631),--($D1679:$V1679=1)),0)+SUM(R1076)+IF(COUNTIF(R$1237:R1679,1)=1,5,0)+IF(COUNTIF(S1077:$W1077,"&gt;"&amp;0)&lt;5,IF(AND(COUNTIF(R$1237:R1679,1)&gt;7,MOD(1+IFERROR(MATCH($C1077,总览!$D$46:$D$345,1)+1,1),7)=0),$C$3,0),0)</f>
        <v>590.978571428574</v>
      </c>
      <c r="S1077" s="131" cm="1">
        <f ca="1" t="array" ref="S1077">IF(S1679=1,OFFSET($W$634,$B1077,S$631-1)/SUMPRODUCT(--($D$631:$V$631=S$631),--($D1679:$V1679=1)),0)+SUM(S1076)+IF(COUNTIF(S$1237:S1679,1)=1,5,0)+IF(COUNTIF(T1077:$W1077,"&gt;"&amp;0)&lt;5,IF(AND(COUNTIF(S$1237:S1679,1)&gt;7,MOD(1+IFERROR(MATCH($C1077,总览!$D$46:$D$345,1)+1,1),7)=0),$C$3,0),0)</f>
        <v>683.478571428575</v>
      </c>
      <c r="T1077" s="131" cm="1">
        <f ca="1" t="array" ref="T1077">IF(T1679=1,OFFSET($W$634,$B1077,T$631-1)/SUMPRODUCT(--($D$631:$V$631=T$631),--($D1679:$V1679=1)),0)+SUM(T1076)+IF(COUNTIF(T$1237:T1679,1)=1,5,0)+IF(COUNTIF(U1077:$W1077,"&gt;"&amp;0)&lt;5,IF(AND(COUNTIF(T$1237:T1679,1)&gt;7,MOD(1+IFERROR(MATCH($C1077,总览!$D$46:$D$345,1)+1,1),7)=0),$C$3,0),0)</f>
        <v>500.282796446496</v>
      </c>
      <c r="U1077" s="131" cm="1">
        <f ca="1" t="array" ref="U1077">IF(U1679=1,OFFSET($W$634,$B1077,U$631-1)/SUMPRODUCT(--($D$631:$V$631=U$631),--($D1679:$V1679=1)),0)+SUM(U1076)+IF(COUNTIF(U$1237:U1679,1)=1,5,0)+IF(COUNTIF(V1077:$W1077,"&gt;"&amp;0)&lt;5,IF(AND(COUNTIF(U$1237:U1679,1)&gt;7,MOD(1+IFERROR(MATCH($C1077,总览!$D$46:$D$345,1)+1,1),7)=0),$C$3,0),0)</f>
        <v>505.803582801795</v>
      </c>
      <c r="V1077" s="131" cm="1">
        <f ca="1" t="array" ref="V1077">IF(V1679=1,OFFSET($W$634,$B1077,V$631-1)/SUMPRODUCT(--($D$631:$V$631=V$631),--($D1679:$V1679=1)),0)+SUM(V1076)+IF(COUNTIF(V$1237:V1679,1)=1,5,0)+IF(COUNTIF(W1077:$W1077,"&gt;"&amp;0)&lt;5,IF(AND(COUNTIF(V$1237:V1679,1)&gt;7,MOD(1+IFERROR(MATCH($C1077,总览!$D$46:$D$345,1)+1,1),7)=0),$C$3,0),0)</f>
        <v>525.630582514228</v>
      </c>
      <c r="W1077" s="135" cm="1">
        <f ca="1" t="array" ref="W1077">SUMPRODUCT(TRANSPOSE($AA1077:$AG1077),OFFSET($L$9:$L$15,0,W$631-1))</f>
        <v>16.8502200646615</v>
      </c>
      <c r="X1077" s="135" cm="1">
        <f ca="1" t="array" ref="X1077">SUMPRODUCT(TRANSPOSE($AA1077:$AG1077),OFFSET($L$9:$L$15,0,X$631-1))</f>
        <v>20</v>
      </c>
      <c r="Y1077" s="135" cm="1">
        <f ca="1" t="array" ref="Y1077">SUMPRODUCT(TRANSPOSE($AA1077:$AG1077),OFFSET($L$9:$L$15,0,Y$631-1))</f>
        <v>10</v>
      </c>
      <c r="Z1077" s="135" cm="1">
        <f ca="1" t="array" ref="Z1077">SUMPRODUCT(TRANSPOSE($AA1077:$AG1077),OFFSET($L$9:$L$15,0,Z$631-1))</f>
        <v>3.14977993533847</v>
      </c>
      <c r="AA1077" s="136">
        <f ca="1" t="shared" ref="AA1077:AG1077" si="1137">AH1077-AH1076</f>
        <v>0</v>
      </c>
      <c r="AB1077" s="136">
        <f ca="1" t="shared" si="1137"/>
        <v>0</v>
      </c>
      <c r="AC1077" s="136">
        <f ca="1" t="shared" si="1137"/>
        <v>0</v>
      </c>
      <c r="AD1077" s="136">
        <f ca="1" t="shared" si="1137"/>
        <v>0</v>
      </c>
      <c r="AE1077" s="136">
        <f ca="1" t="shared" si="1137"/>
        <v>0</v>
      </c>
      <c r="AF1077" s="136">
        <f ca="1" t="shared" si="1137"/>
        <v>0</v>
      </c>
      <c r="AG1077" s="136">
        <f ca="1" t="shared" si="1137"/>
        <v>100</v>
      </c>
      <c r="AH1077" s="136">
        <f ca="1" t="shared" si="1021"/>
        <v>450</v>
      </c>
      <c r="AI1077" s="136">
        <f ca="1" t="shared" ref="AI1077:AN1077" si="1138">IF($C1077&gt;OFFSET($Q$8,MATCH(AI$634,$AH$634:$AN$634,0),0),OFFSET($P$8,MATCH(AI$634,$AH$634:$AN$634,0),0),MAX(0,$C1077-OFFSET($Q$8,RIGHT(AI$634,1)-1,0)))</f>
        <v>909</v>
      </c>
      <c r="AJ1077" s="136">
        <f ca="1" t="shared" si="1138"/>
        <v>1818</v>
      </c>
      <c r="AK1077" s="136">
        <f ca="1" t="shared" si="1138"/>
        <v>2727</v>
      </c>
      <c r="AL1077" s="136">
        <f ca="1" t="shared" si="1138"/>
        <v>3636</v>
      </c>
      <c r="AM1077" s="136">
        <f ca="1" t="shared" si="1138"/>
        <v>4545</v>
      </c>
      <c r="AN1077" s="136">
        <f ca="1" t="shared" si="1138"/>
        <v>30215</v>
      </c>
    </row>
    <row r="1078" s="106" customFormat="1" ht="16.5" spans="2:40">
      <c r="B1078" s="117">
        <v>444</v>
      </c>
      <c r="C1078" s="130">
        <f t="shared" si="1019"/>
        <v>44400</v>
      </c>
      <c r="D1078" s="131" cm="1">
        <f ca="1" t="array" ref="D1078">IF(D1680=1,OFFSET($W$634,$B1078,D$631-1)/SUMPRODUCT(--($D$631:$V$631=D$631),--($D1680:$V1680=1)),0)+SUM(D1077)+IF(COUNTIF(D$1237:D1680,1)=1,5,0)+IF(COUNTIF(E1078:$W1078,"&gt;"&amp;0)&lt;5,IF(AND(COUNTIF(D$1237:D1680,1)&gt;7,MOD(1+IFERROR(MATCH($C1078,总览!$D$46:$D$345,1)+1,1),7)=0),$C$3,0),0)</f>
        <v>2821.53608610074</v>
      </c>
      <c r="E1078" s="131" cm="1">
        <f ca="1" t="array" ref="E1078">IF(E1680=1,OFFSET($W$634,$B1078,E$631-1)/SUMPRODUCT(--($D$631:$V$631=E$631),--($D1680:$V1680=1)),0)+SUM(E1077)+IF(COUNTIF(E$1237:E1680,1)=1,5,0)+IF(COUNTIF(F1078:$W1078,"&gt;"&amp;0)&lt;5,IF(AND(COUNTIF(E$1237:E1680,1)&gt;7,MOD(1+IFERROR(MATCH($C1078,总览!$D$46:$D$345,1)+1,1),7)=0),$C$3,0),0)</f>
        <v>2821.53608610074</v>
      </c>
      <c r="F1078" s="131" cm="1">
        <f ca="1" t="array" ref="F1078">IF(F1680=1,OFFSET($W$634,$B1078,F$631-1)/SUMPRODUCT(--($D$631:$V$631=F$631),--($D1680:$V1680=1)),0)+SUM(F1077)+IF(COUNTIF(F$1237:F1680,1)=1,5,0)+IF(COUNTIF(G1078:$W1078,"&gt;"&amp;0)&lt;5,IF(AND(COUNTIF(F$1237:F1680,1)&gt;7,MOD(1+IFERROR(MATCH($C1078,总览!$D$46:$D$345,1)+1,1),7)=0),$C$3,0),0)</f>
        <v>2821.53608610074</v>
      </c>
      <c r="G1078" s="131" cm="1">
        <f ca="1" t="array" ref="G1078">IF(G1680=1,OFFSET($W$634,$B1078,G$631-1)/SUMPRODUCT(--($D$631:$V$631=G$631),--($D1680:$V1680=1)),0)+SUM(G1077)+IF(COUNTIF(G$1237:G1680,1)=1,5,0)+IF(COUNTIF(H1078:$W1078,"&gt;"&amp;0)&lt;5,IF(AND(COUNTIF(G$1237:G1680,1)&gt;7,MOD(1+IFERROR(MATCH($C1078,总览!$D$46:$D$345,1)+1,1),7)=0),$C$3,0),0)</f>
        <v>1419.4</v>
      </c>
      <c r="H1078" s="131" cm="1">
        <f ca="1" t="array" ref="H1078">IF(H1680=1,OFFSET($W$634,$B1078,H$631-1)/SUMPRODUCT(--($D$631:$V$631=H$631),--($D1680:$V1680=1)),0)+SUM(H1077)+IF(COUNTIF(H$1237:H1680,1)=1,5,0)+IF(COUNTIF(I1078:$W1078,"&gt;"&amp;0)&lt;5,IF(AND(COUNTIF(H$1237:H1680,1)&gt;7,MOD(1+IFERROR(MATCH($C1078,总览!$D$46:$D$345,1)+1,1),7)=0),$C$3,0),0)</f>
        <v>1419.4</v>
      </c>
      <c r="I1078" s="131" cm="1">
        <f ca="1" t="array" ref="I1078">IF(I1680=1,OFFSET($W$634,$B1078,I$631-1)/SUMPRODUCT(--($D$631:$V$631=I$631),--($D1680:$V1680=1)),0)+SUM(I1077)+IF(COUNTIF(I$1237:I1680,1)=1,5,0)+IF(COUNTIF(J1078:$W1078,"&gt;"&amp;0)&lt;5,IF(AND(COUNTIF(I$1237:I1680,1)&gt;7,MOD(1+IFERROR(MATCH($C1078,总览!$D$46:$D$345,1)+1,1),7)=0),$C$3,0),0)</f>
        <v>1419.4</v>
      </c>
      <c r="J1078" s="131" cm="1">
        <f ca="1" t="array" ref="J1078">IF(J1680=1,OFFSET($W$634,$B1078,J$631-1)/SUMPRODUCT(--($D$631:$V$631=J$631),--($D1680:$V1680=1)),0)+SUM(J1077)+IF(COUNTIF(J$1237:J1680,1)=1,5,0)+IF(COUNTIF(K1078:$W1078,"&gt;"&amp;0)&lt;5,IF(AND(COUNTIF(J$1237:J1680,1)&gt;7,MOD(1+IFERROR(MATCH($C1078,总览!$D$46:$D$345,1)+1,1),7)=0),$C$3,0),0)</f>
        <v>1416.06666666666</v>
      </c>
      <c r="K1078" s="131" cm="1">
        <f ca="1" t="array" ref="K1078">IF(K1680=1,OFFSET($W$634,$B1078,K$631-1)/SUMPRODUCT(--($D$631:$V$631=K$631),--($D1680:$V1680=1)),0)+SUM(K1077)+IF(COUNTIF(K$1237:K1680,1)=1,5,0)+IF(COUNTIF(L1078:$W1078,"&gt;"&amp;0)&lt;5,IF(AND(COUNTIF(K$1237:K1680,1)&gt;7,MOD(1+IFERROR(MATCH($C1078,总览!$D$46:$D$345,1)+1,1),7)=0),$C$3,0),0)</f>
        <v>1413.56666666666</v>
      </c>
      <c r="L1078" s="131" cm="1">
        <f ca="1" t="array" ref="L1078">IF(L1680=1,OFFSET($W$634,$B1078,L$631-1)/SUMPRODUCT(--($D$631:$V$631=L$631),--($D1680:$V1680=1)),0)+SUM(L1077)+IF(COUNTIF(L$1237:L1680,1)=1,5,0)+IF(COUNTIF(M1078:$W1078,"&gt;"&amp;0)&lt;5,IF(AND(COUNTIF(L$1237:L1680,1)&gt;7,MOD(1+IFERROR(MATCH($C1078,总览!$D$46:$D$345,1)+1,1),7)=0),$C$3,0),0)</f>
        <v>1413.56666666666</v>
      </c>
      <c r="M1078" s="131" cm="1">
        <f ca="1" t="array" ref="M1078">IF(M1680=1,OFFSET($W$634,$B1078,M$631-1)/SUMPRODUCT(--($D$631:$V$631=M$631),--($D1680:$V1680=1)),0)+SUM(M1077)+IF(COUNTIF(M$1237:M1680,1)=1,5,0)+IF(COUNTIF(N1078:$W1078,"&gt;"&amp;0)&lt;5,IF(AND(COUNTIF(M$1237:M1680,1)&gt;7,MOD(1+IFERROR(MATCH($C1078,总览!$D$46:$D$345,1)+1,1),7)=0),$C$3,0),0)</f>
        <v>592.038392857145</v>
      </c>
      <c r="N1078" s="131" cm="1">
        <f ca="1" t="array" ref="N1078">IF(N1680=1,OFFSET($W$634,$B1078,N$631-1)/SUMPRODUCT(--($D$631:$V$631=N$631),--($D1680:$V1680=1)),0)+SUM(N1077)+IF(COUNTIF(N$1237:N1680,1)=1,5,0)+IF(COUNTIF(O1078:$W1078,"&gt;"&amp;0)&lt;5,IF(AND(COUNTIF(N$1237:N1680,1)&gt;7,MOD(1+IFERROR(MATCH($C1078,总览!$D$46:$D$345,1)+1,1),7)=0),$C$3,0),0)</f>
        <v>593.288392857145</v>
      </c>
      <c r="O1078" s="131" cm="1">
        <f ca="1" t="array" ref="O1078">IF(O1680=1,OFFSET($W$634,$B1078,O$631-1)/SUMPRODUCT(--($D$631:$V$631=O$631),--($D1680:$V1680=1)),0)+SUM(O1077)+IF(COUNTIF(O$1237:O1680,1)=1,5,0)+IF(COUNTIF(P1078:$W1078,"&gt;"&amp;0)&lt;5,IF(AND(COUNTIF(O$1237:O1680,1)&gt;7,MOD(1+IFERROR(MATCH($C1078,总览!$D$46:$D$345,1)+1,1),7)=0),$C$3,0),0)</f>
        <v>598.288392857145</v>
      </c>
      <c r="P1078" s="131" cm="1">
        <f ca="1" t="array" ref="P1078">IF(P1680=1,OFFSET($W$634,$B1078,P$631-1)/SUMPRODUCT(--($D$631:$V$631=P$631),--($D1680:$V1680=1)),0)+SUM(P1077)+IF(COUNTIF(P$1237:P1680,1)=1,5,0)+IF(COUNTIF(Q1078:$W1078,"&gt;"&amp;0)&lt;5,IF(AND(COUNTIF(P$1237:P1680,1)&gt;7,MOD(1+IFERROR(MATCH($C1078,总览!$D$46:$D$345,1)+1,1),7)=0),$C$3,0),0)</f>
        <v>587.407142857145</v>
      </c>
      <c r="Q1078" s="131" cm="1">
        <f ca="1" t="array" ref="Q1078">IF(Q1680=1,OFFSET($W$634,$B1078,Q$631-1)/SUMPRODUCT(--($D$631:$V$631=Q$631),--($D1680:$V1680=1)),0)+SUM(Q1077)+IF(COUNTIF(Q$1237:Q1680,1)=1,5,0)+IF(COUNTIF(R1078:$W1078,"&gt;"&amp;0)&lt;5,IF(AND(COUNTIF(Q$1237:Q1680,1)&gt;7,MOD(1+IFERROR(MATCH($C1078,总览!$D$46:$D$345,1)+1,1),7)=0),$C$3,0),0)</f>
        <v>600.788392857145</v>
      </c>
      <c r="R1078" s="131" cm="1">
        <f ca="1" t="array" ref="R1078">IF(R1680=1,OFFSET($W$634,$B1078,R$631-1)/SUMPRODUCT(--($D$631:$V$631=R$631),--($D1680:$V1680=1)),0)+SUM(R1077)+IF(COUNTIF(R$1237:R1680,1)=1,5,0)+IF(COUNTIF(S1078:$W1078,"&gt;"&amp;0)&lt;5,IF(AND(COUNTIF(R$1237:R1680,1)&gt;7,MOD(1+IFERROR(MATCH($C1078,总览!$D$46:$D$345,1)+1,1),7)=0),$C$3,0),0)</f>
        <v>592.407142857145</v>
      </c>
      <c r="S1078" s="131" cm="1">
        <f ca="1" t="array" ref="S1078">IF(S1680=1,OFFSET($W$634,$B1078,S$631-1)/SUMPRODUCT(--($D$631:$V$631=S$631),--($D1680:$V1680=1)),0)+SUM(S1077)+IF(COUNTIF(S$1237:S1680,1)=1,5,0)+IF(COUNTIF(T1078:$W1078,"&gt;"&amp;0)&lt;5,IF(AND(COUNTIF(S$1237:S1680,1)&gt;7,MOD(1+IFERROR(MATCH($C1078,总览!$D$46:$D$345,1)+1,1),7)=0),$C$3,0),0)</f>
        <v>684.907142857147</v>
      </c>
      <c r="T1078" s="131" cm="1">
        <f ca="1" t="array" ref="T1078">IF(T1680=1,OFFSET($W$634,$B1078,T$631-1)/SUMPRODUCT(--($D$631:$V$631=T$631),--($D1680:$V1680=1)),0)+SUM(T1077)+IF(COUNTIF(T$1237:T1680,1)=1,5,0)+IF(COUNTIF(U1078:$W1078,"&gt;"&amp;0)&lt;5,IF(AND(COUNTIF(T$1237:T1680,1)&gt;7,MOD(1+IFERROR(MATCH($C1078,总览!$D$46:$D$345,1)+1,1),7)=0),$C$3,0),0)</f>
        <v>501.332723091608</v>
      </c>
      <c r="U1078" s="131" cm="1">
        <f ca="1" t="array" ref="U1078">IF(U1680=1,OFFSET($W$634,$B1078,U$631-1)/SUMPRODUCT(--($D$631:$V$631=U$631),--($D1680:$V1680=1)),0)+SUM(U1077)+IF(COUNTIF(U$1237:U1680,1)=1,5,0)+IF(COUNTIF(V1078:$W1078,"&gt;"&amp;0)&lt;5,IF(AND(COUNTIF(U$1237:U1680,1)&gt;7,MOD(1+IFERROR(MATCH($C1078,总览!$D$46:$D$345,1)+1,1),7)=0),$C$3,0),0)</f>
        <v>506.853509446908</v>
      </c>
      <c r="V1078" s="131" cm="1">
        <f ca="1" t="array" ref="V1078">IF(V1680=1,OFFSET($W$634,$B1078,V$631-1)/SUMPRODUCT(--($D$631:$V$631=V$631),--($D1680:$V1680=1)),0)+SUM(V1077)+IF(COUNTIF(V$1237:V1680,1)=1,5,0)+IF(COUNTIF(W1078:$W1078,"&gt;"&amp;0)&lt;5,IF(AND(COUNTIF(V$1237:V1680,1)&gt;7,MOD(1+IFERROR(MATCH($C1078,总览!$D$46:$D$345,1)+1,1),7)=0),$C$3,0),0)</f>
        <v>526.680509159341</v>
      </c>
      <c r="W1078" s="135" cm="1">
        <f ca="1" t="array" ref="W1078">SUMPRODUCT(TRANSPOSE($AA1078:$AG1078),OFFSET($L$9:$L$15,0,W$631-1))</f>
        <v>16.8502200646615</v>
      </c>
      <c r="X1078" s="135" cm="1">
        <f ca="1" t="array" ref="X1078">SUMPRODUCT(TRANSPOSE($AA1078:$AG1078),OFFSET($L$9:$L$15,0,X$631-1))</f>
        <v>20</v>
      </c>
      <c r="Y1078" s="135" cm="1">
        <f ca="1" t="array" ref="Y1078">SUMPRODUCT(TRANSPOSE($AA1078:$AG1078),OFFSET($L$9:$L$15,0,Y$631-1))</f>
        <v>10</v>
      </c>
      <c r="Z1078" s="135" cm="1">
        <f ca="1" t="array" ref="Z1078">SUMPRODUCT(TRANSPOSE($AA1078:$AG1078),OFFSET($L$9:$L$15,0,Z$631-1))</f>
        <v>3.14977993533847</v>
      </c>
      <c r="AA1078" s="136">
        <f ca="1" t="shared" ref="AA1078:AG1078" si="1139">AH1078-AH1077</f>
        <v>0</v>
      </c>
      <c r="AB1078" s="136">
        <f ca="1" t="shared" si="1139"/>
        <v>0</v>
      </c>
      <c r="AC1078" s="136">
        <f ca="1" t="shared" si="1139"/>
        <v>0</v>
      </c>
      <c r="AD1078" s="136">
        <f ca="1" t="shared" si="1139"/>
        <v>0</v>
      </c>
      <c r="AE1078" s="136">
        <f ca="1" t="shared" si="1139"/>
        <v>0</v>
      </c>
      <c r="AF1078" s="136">
        <f ca="1" t="shared" si="1139"/>
        <v>0</v>
      </c>
      <c r="AG1078" s="136">
        <f ca="1" t="shared" si="1139"/>
        <v>100</v>
      </c>
      <c r="AH1078" s="136">
        <f ca="1" t="shared" si="1021"/>
        <v>450</v>
      </c>
      <c r="AI1078" s="136">
        <f ca="1" t="shared" ref="AI1078:AN1078" si="1140">IF($C1078&gt;OFFSET($Q$8,MATCH(AI$634,$AH$634:$AN$634,0),0),OFFSET($P$8,MATCH(AI$634,$AH$634:$AN$634,0),0),MAX(0,$C1078-OFFSET($Q$8,RIGHT(AI$634,1)-1,0)))</f>
        <v>909</v>
      </c>
      <c r="AJ1078" s="136">
        <f ca="1" t="shared" si="1140"/>
        <v>1818</v>
      </c>
      <c r="AK1078" s="136">
        <f ca="1" t="shared" si="1140"/>
        <v>2727</v>
      </c>
      <c r="AL1078" s="136">
        <f ca="1" t="shared" si="1140"/>
        <v>3636</v>
      </c>
      <c r="AM1078" s="136">
        <f ca="1" t="shared" si="1140"/>
        <v>4545</v>
      </c>
      <c r="AN1078" s="136">
        <f ca="1" t="shared" si="1140"/>
        <v>30315</v>
      </c>
    </row>
    <row r="1079" s="106" customFormat="1" ht="16.5" spans="2:40">
      <c r="B1079" s="117">
        <v>445</v>
      </c>
      <c r="C1079" s="130">
        <f t="shared" si="1019"/>
        <v>44500</v>
      </c>
      <c r="D1079" s="131" cm="1">
        <f ca="1" t="array" ref="D1079">IF(D1681=1,OFFSET($W$634,$B1079,D$631-1)/SUMPRODUCT(--($D$631:$V$631=D$631),--($D1681:$V1681=1)),0)+SUM(D1078)+IF(COUNTIF(D$1237:D1681,1)=1,5,0)+IF(COUNTIF(E1079:$W1079,"&gt;"&amp;0)&lt;5,IF(AND(COUNTIF(D$1237:D1681,1)&gt;7,MOD(1+IFERROR(MATCH($C1079,总览!$D$46:$D$345,1)+1,1),7)=0),$C$3,0),0)</f>
        <v>2827.15282612229</v>
      </c>
      <c r="E1079" s="131" cm="1">
        <f ca="1" t="array" ref="E1079">IF(E1681=1,OFFSET($W$634,$B1079,E$631-1)/SUMPRODUCT(--($D$631:$V$631=E$631),--($D1681:$V1681=1)),0)+SUM(E1078)+IF(COUNTIF(E$1237:E1681,1)=1,5,0)+IF(COUNTIF(F1079:$W1079,"&gt;"&amp;0)&lt;5,IF(AND(COUNTIF(E$1237:E1681,1)&gt;7,MOD(1+IFERROR(MATCH($C1079,总览!$D$46:$D$345,1)+1,1),7)=0),$C$3,0),0)</f>
        <v>2827.15282612229</v>
      </c>
      <c r="F1079" s="131" cm="1">
        <f ca="1" t="array" ref="F1079">IF(F1681=1,OFFSET($W$634,$B1079,F$631-1)/SUMPRODUCT(--($D$631:$V$631=F$631),--($D1681:$V1681=1)),0)+SUM(F1078)+IF(COUNTIF(F$1237:F1681,1)=1,5,0)+IF(COUNTIF(G1079:$W1079,"&gt;"&amp;0)&lt;5,IF(AND(COUNTIF(F$1237:F1681,1)&gt;7,MOD(1+IFERROR(MATCH($C1079,总览!$D$46:$D$345,1)+1,1),7)=0),$C$3,0),0)</f>
        <v>2827.15282612229</v>
      </c>
      <c r="G1079" s="131" cm="1">
        <f ca="1" t="array" ref="G1079">IF(G1681=1,OFFSET($W$634,$B1079,G$631-1)/SUMPRODUCT(--($D$631:$V$631=G$631),--($D1681:$V1681=1)),0)+SUM(G1078)+IF(COUNTIF(G$1237:G1681,1)=1,5,0)+IF(COUNTIF(H1079:$W1079,"&gt;"&amp;0)&lt;5,IF(AND(COUNTIF(G$1237:G1681,1)&gt;7,MOD(1+IFERROR(MATCH($C1079,总览!$D$46:$D$345,1)+1,1),7)=0),$C$3,0),0)</f>
        <v>1422.73333333333</v>
      </c>
      <c r="H1079" s="131" cm="1">
        <f ca="1" t="array" ref="H1079">IF(H1681=1,OFFSET($W$634,$B1079,H$631-1)/SUMPRODUCT(--($D$631:$V$631=H$631),--($D1681:$V1681=1)),0)+SUM(H1078)+IF(COUNTIF(H$1237:H1681,1)=1,5,0)+IF(COUNTIF(I1079:$W1079,"&gt;"&amp;0)&lt;5,IF(AND(COUNTIF(H$1237:H1681,1)&gt;7,MOD(1+IFERROR(MATCH($C1079,总览!$D$46:$D$345,1)+1,1),7)=0),$C$3,0),0)</f>
        <v>1422.73333333333</v>
      </c>
      <c r="I1079" s="131" cm="1">
        <f ca="1" t="array" ref="I1079">IF(I1681=1,OFFSET($W$634,$B1079,I$631-1)/SUMPRODUCT(--($D$631:$V$631=I$631),--($D1681:$V1681=1)),0)+SUM(I1078)+IF(COUNTIF(I$1237:I1681,1)=1,5,0)+IF(COUNTIF(J1079:$W1079,"&gt;"&amp;0)&lt;5,IF(AND(COUNTIF(I$1237:I1681,1)&gt;7,MOD(1+IFERROR(MATCH($C1079,总览!$D$46:$D$345,1)+1,1),7)=0),$C$3,0),0)</f>
        <v>1422.73333333333</v>
      </c>
      <c r="J1079" s="131" cm="1">
        <f ca="1" t="array" ref="J1079">IF(J1681=1,OFFSET($W$634,$B1079,J$631-1)/SUMPRODUCT(--($D$631:$V$631=J$631),--($D1681:$V1681=1)),0)+SUM(J1078)+IF(COUNTIF(J$1237:J1681,1)=1,5,0)+IF(COUNTIF(K1079:$W1079,"&gt;"&amp;0)&lt;5,IF(AND(COUNTIF(J$1237:J1681,1)&gt;7,MOD(1+IFERROR(MATCH($C1079,总览!$D$46:$D$345,1)+1,1),7)=0),$C$3,0),0)</f>
        <v>1419.4</v>
      </c>
      <c r="K1079" s="131" cm="1">
        <f ca="1" t="array" ref="K1079">IF(K1681=1,OFFSET($W$634,$B1079,K$631-1)/SUMPRODUCT(--($D$631:$V$631=K$631),--($D1681:$V1681=1)),0)+SUM(K1078)+IF(COUNTIF(K$1237:K1681,1)=1,5,0)+IF(COUNTIF(L1079:$W1079,"&gt;"&amp;0)&lt;5,IF(AND(COUNTIF(K$1237:K1681,1)&gt;7,MOD(1+IFERROR(MATCH($C1079,总览!$D$46:$D$345,1)+1,1),7)=0),$C$3,0),0)</f>
        <v>1416.9</v>
      </c>
      <c r="L1079" s="131" cm="1">
        <f ca="1" t="array" ref="L1079">IF(L1681=1,OFFSET($W$634,$B1079,L$631-1)/SUMPRODUCT(--($D$631:$V$631=L$631),--($D1681:$V1681=1)),0)+SUM(L1078)+IF(COUNTIF(L$1237:L1681,1)=1,5,0)+IF(COUNTIF(M1079:$W1079,"&gt;"&amp;0)&lt;5,IF(AND(COUNTIF(L$1237:L1681,1)&gt;7,MOD(1+IFERROR(MATCH($C1079,总览!$D$46:$D$345,1)+1,1),7)=0),$C$3,0),0)</f>
        <v>1416.9</v>
      </c>
      <c r="M1079" s="131" cm="1">
        <f ca="1" t="array" ref="M1079">IF(M1681=1,OFFSET($W$634,$B1079,M$631-1)/SUMPRODUCT(--($D$631:$V$631=M$631),--($D1681:$V1681=1)),0)+SUM(M1078)+IF(COUNTIF(M$1237:M1681,1)=1,5,0)+IF(COUNTIF(N1079:$W1079,"&gt;"&amp;0)&lt;5,IF(AND(COUNTIF(M$1237:M1681,1)&gt;7,MOD(1+IFERROR(MATCH($C1079,总览!$D$46:$D$345,1)+1,1),7)=0),$C$3,0),0)</f>
        <v>593.466964285717</v>
      </c>
      <c r="N1079" s="131" cm="1">
        <f ca="1" t="array" ref="N1079">IF(N1681=1,OFFSET($W$634,$B1079,N$631-1)/SUMPRODUCT(--($D$631:$V$631=N$631),--($D1681:$V1681=1)),0)+SUM(N1078)+IF(COUNTIF(N$1237:N1681,1)=1,5,0)+IF(COUNTIF(O1079:$W1079,"&gt;"&amp;0)&lt;5,IF(AND(COUNTIF(N$1237:N1681,1)&gt;7,MOD(1+IFERROR(MATCH($C1079,总览!$D$46:$D$345,1)+1,1),7)=0),$C$3,0),0)</f>
        <v>594.716964285717</v>
      </c>
      <c r="O1079" s="131" cm="1">
        <f ca="1" t="array" ref="O1079">IF(O1681=1,OFFSET($W$634,$B1079,O$631-1)/SUMPRODUCT(--($D$631:$V$631=O$631),--($D1681:$V1681=1)),0)+SUM(O1078)+IF(COUNTIF(O$1237:O1681,1)=1,5,0)+IF(COUNTIF(P1079:$W1079,"&gt;"&amp;0)&lt;5,IF(AND(COUNTIF(O$1237:O1681,1)&gt;7,MOD(1+IFERROR(MATCH($C1079,总览!$D$46:$D$345,1)+1,1),7)=0),$C$3,0),0)</f>
        <v>599.716964285717</v>
      </c>
      <c r="P1079" s="131" cm="1">
        <f ca="1" t="array" ref="P1079">IF(P1681=1,OFFSET($W$634,$B1079,P$631-1)/SUMPRODUCT(--($D$631:$V$631=P$631),--($D1681:$V1681=1)),0)+SUM(P1078)+IF(COUNTIF(P$1237:P1681,1)=1,5,0)+IF(COUNTIF(Q1079:$W1079,"&gt;"&amp;0)&lt;5,IF(AND(COUNTIF(P$1237:P1681,1)&gt;7,MOD(1+IFERROR(MATCH($C1079,总览!$D$46:$D$345,1)+1,1),7)=0),$C$3,0),0)</f>
        <v>588.835714285717</v>
      </c>
      <c r="Q1079" s="131" cm="1">
        <f ca="1" t="array" ref="Q1079">IF(Q1681=1,OFFSET($W$634,$B1079,Q$631-1)/SUMPRODUCT(--($D$631:$V$631=Q$631),--($D1681:$V1681=1)),0)+SUM(Q1078)+IF(COUNTIF(Q$1237:Q1681,1)=1,5,0)+IF(COUNTIF(R1079:$W1079,"&gt;"&amp;0)&lt;5,IF(AND(COUNTIF(Q$1237:Q1681,1)&gt;7,MOD(1+IFERROR(MATCH($C1079,总览!$D$46:$D$345,1)+1,1),7)=0),$C$3,0),0)</f>
        <v>602.216964285717</v>
      </c>
      <c r="R1079" s="131" cm="1">
        <f ca="1" t="array" ref="R1079">IF(R1681=1,OFFSET($W$634,$B1079,R$631-1)/SUMPRODUCT(--($D$631:$V$631=R$631),--($D1681:$V1681=1)),0)+SUM(R1078)+IF(COUNTIF(R$1237:R1681,1)=1,5,0)+IF(COUNTIF(S1079:$W1079,"&gt;"&amp;0)&lt;5,IF(AND(COUNTIF(R$1237:R1681,1)&gt;7,MOD(1+IFERROR(MATCH($C1079,总览!$D$46:$D$345,1)+1,1),7)=0),$C$3,0),0)</f>
        <v>593.835714285717</v>
      </c>
      <c r="S1079" s="131" cm="1">
        <f ca="1" t="array" ref="S1079">IF(S1681=1,OFFSET($W$634,$B1079,S$631-1)/SUMPRODUCT(--($D$631:$V$631=S$631),--($D1681:$V1681=1)),0)+SUM(S1078)+IF(COUNTIF(S$1237:S1681,1)=1,5,0)+IF(COUNTIF(T1079:$W1079,"&gt;"&amp;0)&lt;5,IF(AND(COUNTIF(S$1237:S1681,1)&gt;7,MOD(1+IFERROR(MATCH($C1079,总览!$D$46:$D$345,1)+1,1),7)=0),$C$3,0),0)</f>
        <v>686.335714285718</v>
      </c>
      <c r="T1079" s="131" cm="1">
        <f ca="1" t="array" ref="T1079">IF(T1681=1,OFFSET($W$634,$B1079,T$631-1)/SUMPRODUCT(--($D$631:$V$631=T$631),--($D1681:$V1681=1)),0)+SUM(T1078)+IF(COUNTIF(T$1237:T1681,1)=1,5,0)+IF(COUNTIF(U1079:$W1079,"&gt;"&amp;0)&lt;5,IF(AND(COUNTIF(T$1237:T1681,1)&gt;7,MOD(1+IFERROR(MATCH($C1079,总览!$D$46:$D$345,1)+1,1),7)=0),$C$3,0),0)</f>
        <v>502.382649736721</v>
      </c>
      <c r="U1079" s="131" cm="1">
        <f ca="1" t="array" ref="U1079">IF(U1681=1,OFFSET($W$634,$B1079,U$631-1)/SUMPRODUCT(--($D$631:$V$631=U$631),--($D1681:$V1681=1)),0)+SUM(U1078)+IF(COUNTIF(U$1237:U1681,1)=1,5,0)+IF(COUNTIF(V1079:$W1079,"&gt;"&amp;0)&lt;5,IF(AND(COUNTIF(U$1237:U1681,1)&gt;7,MOD(1+IFERROR(MATCH($C1079,总览!$D$46:$D$345,1)+1,1),7)=0),$C$3,0),0)</f>
        <v>507.903436092021</v>
      </c>
      <c r="V1079" s="131" cm="1">
        <f ca="1" t="array" ref="V1079">IF(V1681=1,OFFSET($W$634,$B1079,V$631-1)/SUMPRODUCT(--($D$631:$V$631=V$631),--($D1681:$V1681=1)),0)+SUM(V1078)+IF(COUNTIF(V$1237:V1681,1)=1,5,0)+IF(COUNTIF(W1079:$W1079,"&gt;"&amp;0)&lt;5,IF(AND(COUNTIF(V$1237:V1681,1)&gt;7,MOD(1+IFERROR(MATCH($C1079,总览!$D$46:$D$345,1)+1,1),7)=0),$C$3,0),0)</f>
        <v>527.730435804454</v>
      </c>
      <c r="W1079" s="135" cm="1">
        <f ca="1" t="array" ref="W1079">SUMPRODUCT(TRANSPOSE($AA1079:$AG1079),OFFSET($L$9:$L$15,0,W$631-1))</f>
        <v>16.8502200646615</v>
      </c>
      <c r="X1079" s="135" cm="1">
        <f ca="1" t="array" ref="X1079">SUMPRODUCT(TRANSPOSE($AA1079:$AG1079),OFFSET($L$9:$L$15,0,X$631-1))</f>
        <v>20</v>
      </c>
      <c r="Y1079" s="135" cm="1">
        <f ca="1" t="array" ref="Y1079">SUMPRODUCT(TRANSPOSE($AA1079:$AG1079),OFFSET($L$9:$L$15,0,Y$631-1))</f>
        <v>10</v>
      </c>
      <c r="Z1079" s="135" cm="1">
        <f ca="1" t="array" ref="Z1079">SUMPRODUCT(TRANSPOSE($AA1079:$AG1079),OFFSET($L$9:$L$15,0,Z$631-1))</f>
        <v>3.14977993533847</v>
      </c>
      <c r="AA1079" s="136">
        <f ca="1" t="shared" ref="AA1079:AG1079" si="1141">AH1079-AH1078</f>
        <v>0</v>
      </c>
      <c r="AB1079" s="136">
        <f ca="1" t="shared" si="1141"/>
        <v>0</v>
      </c>
      <c r="AC1079" s="136">
        <f ca="1" t="shared" si="1141"/>
        <v>0</v>
      </c>
      <c r="AD1079" s="136">
        <f ca="1" t="shared" si="1141"/>
        <v>0</v>
      </c>
      <c r="AE1079" s="136">
        <f ca="1" t="shared" si="1141"/>
        <v>0</v>
      </c>
      <c r="AF1079" s="136">
        <f ca="1" t="shared" si="1141"/>
        <v>0</v>
      </c>
      <c r="AG1079" s="136">
        <f ca="1" t="shared" si="1141"/>
        <v>100</v>
      </c>
      <c r="AH1079" s="136">
        <f ca="1" t="shared" si="1021"/>
        <v>450</v>
      </c>
      <c r="AI1079" s="136">
        <f ca="1" t="shared" ref="AI1079:AN1079" si="1142">IF($C1079&gt;OFFSET($Q$8,MATCH(AI$634,$AH$634:$AN$634,0),0),OFFSET($P$8,MATCH(AI$634,$AH$634:$AN$634,0),0),MAX(0,$C1079-OFFSET($Q$8,RIGHT(AI$634,1)-1,0)))</f>
        <v>909</v>
      </c>
      <c r="AJ1079" s="136">
        <f ca="1" t="shared" si="1142"/>
        <v>1818</v>
      </c>
      <c r="AK1079" s="136">
        <f ca="1" t="shared" si="1142"/>
        <v>2727</v>
      </c>
      <c r="AL1079" s="136">
        <f ca="1" t="shared" si="1142"/>
        <v>3636</v>
      </c>
      <c r="AM1079" s="136">
        <f ca="1" t="shared" si="1142"/>
        <v>4545</v>
      </c>
      <c r="AN1079" s="136">
        <f ca="1" t="shared" si="1142"/>
        <v>30415</v>
      </c>
    </row>
    <row r="1080" s="106" customFormat="1" ht="16.5" spans="2:40">
      <c r="B1080" s="117">
        <v>446</v>
      </c>
      <c r="C1080" s="130">
        <f t="shared" si="1019"/>
        <v>44600</v>
      </c>
      <c r="D1080" s="131" cm="1">
        <f ca="1" t="array" ref="D1080">IF(D1682=1,OFFSET($W$634,$B1080,D$631-1)/SUMPRODUCT(--($D$631:$V$631=D$631),--($D1682:$V1682=1)),0)+SUM(D1079)+IF(COUNTIF(D$1237:D1682,1)=1,5,0)+IF(COUNTIF(E1080:$W1080,"&gt;"&amp;0)&lt;5,IF(AND(COUNTIF(D$1237:D1682,1)&gt;7,MOD(1+IFERROR(MATCH($C1080,总览!$D$46:$D$345,1)+1,1),7)=0),$C$3,0),0)</f>
        <v>2832.76956614384</v>
      </c>
      <c r="E1080" s="131" cm="1">
        <f ca="1" t="array" ref="E1080">IF(E1682=1,OFFSET($W$634,$B1080,E$631-1)/SUMPRODUCT(--($D$631:$V$631=E$631),--($D1682:$V1682=1)),0)+SUM(E1079)+IF(COUNTIF(E$1237:E1682,1)=1,5,0)+IF(COUNTIF(F1080:$W1080,"&gt;"&amp;0)&lt;5,IF(AND(COUNTIF(E$1237:E1682,1)&gt;7,MOD(1+IFERROR(MATCH($C1080,总览!$D$46:$D$345,1)+1,1),7)=0),$C$3,0),0)</f>
        <v>2832.76956614384</v>
      </c>
      <c r="F1080" s="131" cm="1">
        <f ca="1" t="array" ref="F1080">IF(F1682=1,OFFSET($W$634,$B1080,F$631-1)/SUMPRODUCT(--($D$631:$V$631=F$631),--($D1682:$V1682=1)),0)+SUM(F1079)+IF(COUNTIF(F$1237:F1682,1)=1,5,0)+IF(COUNTIF(G1080:$W1080,"&gt;"&amp;0)&lt;5,IF(AND(COUNTIF(F$1237:F1682,1)&gt;7,MOD(1+IFERROR(MATCH($C1080,总览!$D$46:$D$345,1)+1,1),7)=0),$C$3,0),0)</f>
        <v>2832.76956614384</v>
      </c>
      <c r="G1080" s="131" cm="1">
        <f ca="1" t="array" ref="G1080">IF(G1682=1,OFFSET($W$634,$B1080,G$631-1)/SUMPRODUCT(--($D$631:$V$631=G$631),--($D1682:$V1682=1)),0)+SUM(G1079)+IF(COUNTIF(G$1237:G1682,1)=1,5,0)+IF(COUNTIF(H1080:$W1080,"&gt;"&amp;0)&lt;5,IF(AND(COUNTIF(G$1237:G1682,1)&gt;7,MOD(1+IFERROR(MATCH($C1080,总览!$D$46:$D$345,1)+1,1),7)=0),$C$3,0),0)</f>
        <v>1426.06666666666</v>
      </c>
      <c r="H1080" s="131" cm="1">
        <f ca="1" t="array" ref="H1080">IF(H1682=1,OFFSET($W$634,$B1080,H$631-1)/SUMPRODUCT(--($D$631:$V$631=H$631),--($D1682:$V1682=1)),0)+SUM(H1079)+IF(COUNTIF(H$1237:H1682,1)=1,5,0)+IF(COUNTIF(I1080:$W1080,"&gt;"&amp;0)&lt;5,IF(AND(COUNTIF(H$1237:H1682,1)&gt;7,MOD(1+IFERROR(MATCH($C1080,总览!$D$46:$D$345,1)+1,1),7)=0),$C$3,0),0)</f>
        <v>1426.06666666666</v>
      </c>
      <c r="I1080" s="131" cm="1">
        <f ca="1" t="array" ref="I1080">IF(I1682=1,OFFSET($W$634,$B1080,I$631-1)/SUMPRODUCT(--($D$631:$V$631=I$631),--($D1682:$V1682=1)),0)+SUM(I1079)+IF(COUNTIF(I$1237:I1682,1)=1,5,0)+IF(COUNTIF(J1080:$W1080,"&gt;"&amp;0)&lt;5,IF(AND(COUNTIF(I$1237:I1682,1)&gt;7,MOD(1+IFERROR(MATCH($C1080,总览!$D$46:$D$345,1)+1,1),7)=0),$C$3,0),0)</f>
        <v>1426.06666666666</v>
      </c>
      <c r="J1080" s="131" cm="1">
        <f ca="1" t="array" ref="J1080">IF(J1682=1,OFFSET($W$634,$B1080,J$631-1)/SUMPRODUCT(--($D$631:$V$631=J$631),--($D1682:$V1682=1)),0)+SUM(J1079)+IF(COUNTIF(J$1237:J1682,1)=1,5,0)+IF(COUNTIF(K1080:$W1080,"&gt;"&amp;0)&lt;5,IF(AND(COUNTIF(J$1237:J1682,1)&gt;7,MOD(1+IFERROR(MATCH($C1080,总览!$D$46:$D$345,1)+1,1),7)=0),$C$3,0),0)</f>
        <v>1422.73333333333</v>
      </c>
      <c r="K1080" s="131" cm="1">
        <f ca="1" t="array" ref="K1080">IF(K1682=1,OFFSET($W$634,$B1080,K$631-1)/SUMPRODUCT(--($D$631:$V$631=K$631),--($D1682:$V1682=1)),0)+SUM(K1079)+IF(COUNTIF(K$1237:K1682,1)=1,5,0)+IF(COUNTIF(L1080:$W1080,"&gt;"&amp;0)&lt;5,IF(AND(COUNTIF(K$1237:K1682,1)&gt;7,MOD(1+IFERROR(MATCH($C1080,总览!$D$46:$D$345,1)+1,1),7)=0),$C$3,0),0)</f>
        <v>1420.23333333333</v>
      </c>
      <c r="L1080" s="131" cm="1">
        <f ca="1" t="array" ref="L1080">IF(L1682=1,OFFSET($W$634,$B1080,L$631-1)/SUMPRODUCT(--($D$631:$V$631=L$631),--($D1682:$V1682=1)),0)+SUM(L1079)+IF(COUNTIF(L$1237:L1682,1)=1,5,0)+IF(COUNTIF(M1080:$W1080,"&gt;"&amp;0)&lt;5,IF(AND(COUNTIF(L$1237:L1682,1)&gt;7,MOD(1+IFERROR(MATCH($C1080,总览!$D$46:$D$345,1)+1,1),7)=0),$C$3,0),0)</f>
        <v>1420.23333333333</v>
      </c>
      <c r="M1080" s="131" cm="1">
        <f ca="1" t="array" ref="M1080">IF(M1682=1,OFFSET($W$634,$B1080,M$631-1)/SUMPRODUCT(--($D$631:$V$631=M$631),--($D1682:$V1682=1)),0)+SUM(M1079)+IF(COUNTIF(M$1237:M1682,1)=1,5,0)+IF(COUNTIF(N1080:$W1080,"&gt;"&amp;0)&lt;5,IF(AND(COUNTIF(M$1237:M1682,1)&gt;7,MOD(1+IFERROR(MATCH($C1080,总览!$D$46:$D$345,1)+1,1),7)=0),$C$3,0),0)</f>
        <v>594.895535714288</v>
      </c>
      <c r="N1080" s="131" cm="1">
        <f ca="1" t="array" ref="N1080">IF(N1682=1,OFFSET($W$634,$B1080,N$631-1)/SUMPRODUCT(--($D$631:$V$631=N$631),--($D1682:$V1682=1)),0)+SUM(N1079)+IF(COUNTIF(N$1237:N1682,1)=1,5,0)+IF(COUNTIF(O1080:$W1080,"&gt;"&amp;0)&lt;5,IF(AND(COUNTIF(N$1237:N1682,1)&gt;7,MOD(1+IFERROR(MATCH($C1080,总览!$D$46:$D$345,1)+1,1),7)=0),$C$3,0),0)</f>
        <v>596.145535714288</v>
      </c>
      <c r="O1080" s="131" cm="1">
        <f ca="1" t="array" ref="O1080">IF(O1682=1,OFFSET($W$634,$B1080,O$631-1)/SUMPRODUCT(--($D$631:$V$631=O$631),--($D1682:$V1682=1)),0)+SUM(O1079)+IF(COUNTIF(O$1237:O1682,1)=1,5,0)+IF(COUNTIF(P1080:$W1080,"&gt;"&amp;0)&lt;5,IF(AND(COUNTIF(O$1237:O1682,1)&gt;7,MOD(1+IFERROR(MATCH($C1080,总览!$D$46:$D$345,1)+1,1),7)=0),$C$3,0),0)</f>
        <v>601.145535714288</v>
      </c>
      <c r="P1080" s="131" cm="1">
        <f ca="1" t="array" ref="P1080">IF(P1682=1,OFFSET($W$634,$B1080,P$631-1)/SUMPRODUCT(--($D$631:$V$631=P$631),--($D1682:$V1682=1)),0)+SUM(P1079)+IF(COUNTIF(P$1237:P1682,1)=1,5,0)+IF(COUNTIF(Q1080:$W1080,"&gt;"&amp;0)&lt;5,IF(AND(COUNTIF(P$1237:P1682,1)&gt;7,MOD(1+IFERROR(MATCH($C1080,总览!$D$46:$D$345,1)+1,1),7)=0),$C$3,0),0)</f>
        <v>590.264285714288</v>
      </c>
      <c r="Q1080" s="131" cm="1">
        <f ca="1" t="array" ref="Q1080">IF(Q1682=1,OFFSET($W$634,$B1080,Q$631-1)/SUMPRODUCT(--($D$631:$V$631=Q$631),--($D1682:$V1682=1)),0)+SUM(Q1079)+IF(COUNTIF(Q$1237:Q1682,1)=1,5,0)+IF(COUNTIF(R1080:$W1080,"&gt;"&amp;0)&lt;5,IF(AND(COUNTIF(Q$1237:Q1682,1)&gt;7,MOD(1+IFERROR(MATCH($C1080,总览!$D$46:$D$345,1)+1,1),7)=0),$C$3,0),0)</f>
        <v>603.645535714288</v>
      </c>
      <c r="R1080" s="131" cm="1">
        <f ca="1" t="array" ref="R1080">IF(R1682=1,OFFSET($W$634,$B1080,R$631-1)/SUMPRODUCT(--($D$631:$V$631=R$631),--($D1682:$V1682=1)),0)+SUM(R1079)+IF(COUNTIF(R$1237:R1682,1)=1,5,0)+IF(COUNTIF(S1080:$W1080,"&gt;"&amp;0)&lt;5,IF(AND(COUNTIF(R$1237:R1682,1)&gt;7,MOD(1+IFERROR(MATCH($C1080,总览!$D$46:$D$345,1)+1,1),7)=0),$C$3,0),0)</f>
        <v>595.264285714288</v>
      </c>
      <c r="S1080" s="131" cm="1">
        <f ca="1" t="array" ref="S1080">IF(S1682=1,OFFSET($W$634,$B1080,S$631-1)/SUMPRODUCT(--($D$631:$V$631=S$631),--($D1682:$V1682=1)),0)+SUM(S1079)+IF(COUNTIF(S$1237:S1682,1)=1,5,0)+IF(COUNTIF(T1080:$W1080,"&gt;"&amp;0)&lt;5,IF(AND(COUNTIF(S$1237:S1682,1)&gt;7,MOD(1+IFERROR(MATCH($C1080,总览!$D$46:$D$345,1)+1,1),7)=0),$C$3,0),0)</f>
        <v>687.764285714289</v>
      </c>
      <c r="T1080" s="131" cm="1">
        <f ca="1" t="array" ref="T1080">IF(T1682=1,OFFSET($W$634,$B1080,T$631-1)/SUMPRODUCT(--($D$631:$V$631=T$631),--($D1682:$V1682=1)),0)+SUM(T1079)+IF(COUNTIF(T$1237:T1682,1)=1,5,0)+IF(COUNTIF(U1080:$W1080,"&gt;"&amp;0)&lt;5,IF(AND(COUNTIF(T$1237:T1682,1)&gt;7,MOD(1+IFERROR(MATCH($C1080,总览!$D$46:$D$345,1)+1,1),7)=0),$C$3,0),0)</f>
        <v>503.432576381834</v>
      </c>
      <c r="U1080" s="131" cm="1">
        <f ca="1" t="array" ref="U1080">IF(U1682=1,OFFSET($W$634,$B1080,U$631-1)/SUMPRODUCT(--($D$631:$V$631=U$631),--($D1682:$V1682=1)),0)+SUM(U1079)+IF(COUNTIF(U$1237:U1682,1)=1,5,0)+IF(COUNTIF(V1080:$W1080,"&gt;"&amp;0)&lt;5,IF(AND(COUNTIF(U$1237:U1682,1)&gt;7,MOD(1+IFERROR(MATCH($C1080,总览!$D$46:$D$345,1)+1,1),7)=0),$C$3,0),0)</f>
        <v>508.953362737133</v>
      </c>
      <c r="V1080" s="131" cm="1">
        <f ca="1" t="array" ref="V1080">IF(V1682=1,OFFSET($W$634,$B1080,V$631-1)/SUMPRODUCT(--($D$631:$V$631=V$631),--($D1682:$V1682=1)),0)+SUM(V1079)+IF(COUNTIF(V$1237:V1682,1)=1,5,0)+IF(COUNTIF(W1080:$W1080,"&gt;"&amp;0)&lt;5,IF(AND(COUNTIF(V$1237:V1682,1)&gt;7,MOD(1+IFERROR(MATCH($C1080,总览!$D$46:$D$345,1)+1,1),7)=0),$C$3,0),0)</f>
        <v>528.780362449566</v>
      </c>
      <c r="W1080" s="135" cm="1">
        <f ca="1" t="array" ref="W1080">SUMPRODUCT(TRANSPOSE($AA1080:$AG1080),OFFSET($L$9:$L$15,0,W$631-1))</f>
        <v>16.8502200646615</v>
      </c>
      <c r="X1080" s="135" cm="1">
        <f ca="1" t="array" ref="X1080">SUMPRODUCT(TRANSPOSE($AA1080:$AG1080),OFFSET($L$9:$L$15,0,X$631-1))</f>
        <v>20</v>
      </c>
      <c r="Y1080" s="135" cm="1">
        <f ca="1" t="array" ref="Y1080">SUMPRODUCT(TRANSPOSE($AA1080:$AG1080),OFFSET($L$9:$L$15,0,Y$631-1))</f>
        <v>10</v>
      </c>
      <c r="Z1080" s="135" cm="1">
        <f ca="1" t="array" ref="Z1080">SUMPRODUCT(TRANSPOSE($AA1080:$AG1080),OFFSET($L$9:$L$15,0,Z$631-1))</f>
        <v>3.14977993533847</v>
      </c>
      <c r="AA1080" s="136">
        <f ca="1" t="shared" ref="AA1080:AG1080" si="1143">AH1080-AH1079</f>
        <v>0</v>
      </c>
      <c r="AB1080" s="136">
        <f ca="1" t="shared" si="1143"/>
        <v>0</v>
      </c>
      <c r="AC1080" s="136">
        <f ca="1" t="shared" si="1143"/>
        <v>0</v>
      </c>
      <c r="AD1080" s="136">
        <f ca="1" t="shared" si="1143"/>
        <v>0</v>
      </c>
      <c r="AE1080" s="136">
        <f ca="1" t="shared" si="1143"/>
        <v>0</v>
      </c>
      <c r="AF1080" s="136">
        <f ca="1" t="shared" si="1143"/>
        <v>0</v>
      </c>
      <c r="AG1080" s="136">
        <f ca="1" t="shared" si="1143"/>
        <v>100</v>
      </c>
      <c r="AH1080" s="136">
        <f ca="1" t="shared" si="1021"/>
        <v>450</v>
      </c>
      <c r="AI1080" s="136">
        <f ca="1" t="shared" ref="AI1080:AN1080" si="1144">IF($C1080&gt;OFFSET($Q$8,MATCH(AI$634,$AH$634:$AN$634,0),0),OFFSET($P$8,MATCH(AI$634,$AH$634:$AN$634,0),0),MAX(0,$C1080-OFFSET($Q$8,RIGHT(AI$634,1)-1,0)))</f>
        <v>909</v>
      </c>
      <c r="AJ1080" s="136">
        <f ca="1" t="shared" si="1144"/>
        <v>1818</v>
      </c>
      <c r="AK1080" s="136">
        <f ca="1" t="shared" si="1144"/>
        <v>2727</v>
      </c>
      <c r="AL1080" s="136">
        <f ca="1" t="shared" si="1144"/>
        <v>3636</v>
      </c>
      <c r="AM1080" s="136">
        <f ca="1" t="shared" si="1144"/>
        <v>4545</v>
      </c>
      <c r="AN1080" s="136">
        <f ca="1" t="shared" si="1144"/>
        <v>30515</v>
      </c>
    </row>
    <row r="1081" s="106" customFormat="1" ht="16.5" spans="2:40">
      <c r="B1081" s="117">
        <v>447</v>
      </c>
      <c r="C1081" s="130">
        <f t="shared" si="1019"/>
        <v>44700</v>
      </c>
      <c r="D1081" s="131" cm="1">
        <f ca="1" t="array" ref="D1081">IF(D1683=1,OFFSET($W$634,$B1081,D$631-1)/SUMPRODUCT(--($D$631:$V$631=D$631),--($D1683:$V1683=1)),0)+SUM(D1080)+IF(COUNTIF(D$1237:D1683,1)=1,5,0)+IF(COUNTIF(E1081:$W1081,"&gt;"&amp;0)&lt;5,IF(AND(COUNTIF(D$1237:D1683,1)&gt;7,MOD(1+IFERROR(MATCH($C1081,总览!$D$46:$D$345,1)+1,1),7)=0),$C$3,0),0)</f>
        <v>2838.3863061654</v>
      </c>
      <c r="E1081" s="131" cm="1">
        <f ca="1" t="array" ref="E1081">IF(E1683=1,OFFSET($W$634,$B1081,E$631-1)/SUMPRODUCT(--($D$631:$V$631=E$631),--($D1683:$V1683=1)),0)+SUM(E1080)+IF(COUNTIF(E$1237:E1683,1)=1,5,0)+IF(COUNTIF(F1081:$W1081,"&gt;"&amp;0)&lt;5,IF(AND(COUNTIF(E$1237:E1683,1)&gt;7,MOD(1+IFERROR(MATCH($C1081,总览!$D$46:$D$345,1)+1,1),7)=0),$C$3,0),0)</f>
        <v>2838.3863061654</v>
      </c>
      <c r="F1081" s="131" cm="1">
        <f ca="1" t="array" ref="F1081">IF(F1683=1,OFFSET($W$634,$B1081,F$631-1)/SUMPRODUCT(--($D$631:$V$631=F$631),--($D1683:$V1683=1)),0)+SUM(F1080)+IF(COUNTIF(F$1237:F1683,1)=1,5,0)+IF(COUNTIF(G1081:$W1081,"&gt;"&amp;0)&lt;5,IF(AND(COUNTIF(F$1237:F1683,1)&gt;7,MOD(1+IFERROR(MATCH($C1081,总览!$D$46:$D$345,1)+1,1),7)=0),$C$3,0),0)</f>
        <v>2838.3863061654</v>
      </c>
      <c r="G1081" s="131" cm="1">
        <f ca="1" t="array" ref="G1081">IF(G1683=1,OFFSET($W$634,$B1081,G$631-1)/SUMPRODUCT(--($D$631:$V$631=G$631),--($D1683:$V1683=1)),0)+SUM(G1080)+IF(COUNTIF(G$1237:G1683,1)=1,5,0)+IF(COUNTIF(H1081:$W1081,"&gt;"&amp;0)&lt;5,IF(AND(COUNTIF(G$1237:G1683,1)&gt;7,MOD(1+IFERROR(MATCH($C1081,总览!$D$46:$D$345,1)+1,1),7)=0),$C$3,0),0)</f>
        <v>1429.4</v>
      </c>
      <c r="H1081" s="131" cm="1">
        <f ca="1" t="array" ref="H1081">IF(H1683=1,OFFSET($W$634,$B1081,H$631-1)/SUMPRODUCT(--($D$631:$V$631=H$631),--($D1683:$V1683=1)),0)+SUM(H1080)+IF(COUNTIF(H$1237:H1683,1)=1,5,0)+IF(COUNTIF(I1081:$W1081,"&gt;"&amp;0)&lt;5,IF(AND(COUNTIF(H$1237:H1683,1)&gt;7,MOD(1+IFERROR(MATCH($C1081,总览!$D$46:$D$345,1)+1,1),7)=0),$C$3,0),0)</f>
        <v>1429.4</v>
      </c>
      <c r="I1081" s="131" cm="1">
        <f ca="1" t="array" ref="I1081">IF(I1683=1,OFFSET($W$634,$B1081,I$631-1)/SUMPRODUCT(--($D$631:$V$631=I$631),--($D1683:$V1683=1)),0)+SUM(I1080)+IF(COUNTIF(I$1237:I1683,1)=1,5,0)+IF(COUNTIF(J1081:$W1081,"&gt;"&amp;0)&lt;5,IF(AND(COUNTIF(I$1237:I1683,1)&gt;7,MOD(1+IFERROR(MATCH($C1081,总览!$D$46:$D$345,1)+1,1),7)=0),$C$3,0),0)</f>
        <v>1429.4</v>
      </c>
      <c r="J1081" s="131" cm="1">
        <f ca="1" t="array" ref="J1081">IF(J1683=1,OFFSET($W$634,$B1081,J$631-1)/SUMPRODUCT(--($D$631:$V$631=J$631),--($D1683:$V1683=1)),0)+SUM(J1080)+IF(COUNTIF(J$1237:J1683,1)=1,5,0)+IF(COUNTIF(K1081:$W1081,"&gt;"&amp;0)&lt;5,IF(AND(COUNTIF(J$1237:J1683,1)&gt;7,MOD(1+IFERROR(MATCH($C1081,总览!$D$46:$D$345,1)+1,1),7)=0),$C$3,0),0)</f>
        <v>1426.06666666666</v>
      </c>
      <c r="K1081" s="131" cm="1">
        <f ca="1" t="array" ref="K1081">IF(K1683=1,OFFSET($W$634,$B1081,K$631-1)/SUMPRODUCT(--($D$631:$V$631=K$631),--($D1683:$V1683=1)),0)+SUM(K1080)+IF(COUNTIF(K$1237:K1683,1)=1,5,0)+IF(COUNTIF(L1081:$W1081,"&gt;"&amp;0)&lt;5,IF(AND(COUNTIF(K$1237:K1683,1)&gt;7,MOD(1+IFERROR(MATCH($C1081,总览!$D$46:$D$345,1)+1,1),7)=0),$C$3,0),0)</f>
        <v>1423.56666666666</v>
      </c>
      <c r="L1081" s="131" cm="1">
        <f ca="1" t="array" ref="L1081">IF(L1683=1,OFFSET($W$634,$B1081,L$631-1)/SUMPRODUCT(--($D$631:$V$631=L$631),--($D1683:$V1683=1)),0)+SUM(L1080)+IF(COUNTIF(L$1237:L1683,1)=1,5,0)+IF(COUNTIF(M1081:$W1081,"&gt;"&amp;0)&lt;5,IF(AND(COUNTIF(L$1237:L1683,1)&gt;7,MOD(1+IFERROR(MATCH($C1081,总览!$D$46:$D$345,1)+1,1),7)=0),$C$3,0),0)</f>
        <v>1423.56666666666</v>
      </c>
      <c r="M1081" s="131" cm="1">
        <f ca="1" t="array" ref="M1081">IF(M1683=1,OFFSET($W$634,$B1081,M$631-1)/SUMPRODUCT(--($D$631:$V$631=M$631),--($D1683:$V1683=1)),0)+SUM(M1080)+IF(COUNTIF(M$1237:M1683,1)=1,5,0)+IF(COUNTIF(N1081:$W1081,"&gt;"&amp;0)&lt;5,IF(AND(COUNTIF(M$1237:M1683,1)&gt;7,MOD(1+IFERROR(MATCH($C1081,总览!$D$46:$D$345,1)+1,1),7)=0),$C$3,0),0)</f>
        <v>596.32410714286</v>
      </c>
      <c r="N1081" s="131" cm="1">
        <f ca="1" t="array" ref="N1081">IF(N1683=1,OFFSET($W$634,$B1081,N$631-1)/SUMPRODUCT(--($D$631:$V$631=N$631),--($D1683:$V1683=1)),0)+SUM(N1080)+IF(COUNTIF(N$1237:N1683,1)=1,5,0)+IF(COUNTIF(O1081:$W1081,"&gt;"&amp;0)&lt;5,IF(AND(COUNTIF(N$1237:N1683,1)&gt;7,MOD(1+IFERROR(MATCH($C1081,总览!$D$46:$D$345,1)+1,1),7)=0),$C$3,0),0)</f>
        <v>597.57410714286</v>
      </c>
      <c r="O1081" s="131" cm="1">
        <f ca="1" t="array" ref="O1081">IF(O1683=1,OFFSET($W$634,$B1081,O$631-1)/SUMPRODUCT(--($D$631:$V$631=O$631),--($D1683:$V1683=1)),0)+SUM(O1080)+IF(COUNTIF(O$1237:O1683,1)=1,5,0)+IF(COUNTIF(P1081:$W1081,"&gt;"&amp;0)&lt;5,IF(AND(COUNTIF(O$1237:O1683,1)&gt;7,MOD(1+IFERROR(MATCH($C1081,总览!$D$46:$D$345,1)+1,1),7)=0),$C$3,0),0)</f>
        <v>602.57410714286</v>
      </c>
      <c r="P1081" s="131" cm="1">
        <f ca="1" t="array" ref="P1081">IF(P1683=1,OFFSET($W$634,$B1081,P$631-1)/SUMPRODUCT(--($D$631:$V$631=P$631),--($D1683:$V1683=1)),0)+SUM(P1080)+IF(COUNTIF(P$1237:P1683,1)=1,5,0)+IF(COUNTIF(Q1081:$W1081,"&gt;"&amp;0)&lt;5,IF(AND(COUNTIF(P$1237:P1683,1)&gt;7,MOD(1+IFERROR(MATCH($C1081,总览!$D$46:$D$345,1)+1,1),7)=0),$C$3,0),0)</f>
        <v>591.69285714286</v>
      </c>
      <c r="Q1081" s="131" cm="1">
        <f ca="1" t="array" ref="Q1081">IF(Q1683=1,OFFSET($W$634,$B1081,Q$631-1)/SUMPRODUCT(--($D$631:$V$631=Q$631),--($D1683:$V1683=1)),0)+SUM(Q1080)+IF(COUNTIF(Q$1237:Q1683,1)=1,5,0)+IF(COUNTIF(R1081:$W1081,"&gt;"&amp;0)&lt;5,IF(AND(COUNTIF(Q$1237:Q1683,1)&gt;7,MOD(1+IFERROR(MATCH($C1081,总览!$D$46:$D$345,1)+1,1),7)=0),$C$3,0),0)</f>
        <v>605.07410714286</v>
      </c>
      <c r="R1081" s="131" cm="1">
        <f ca="1" t="array" ref="R1081">IF(R1683=1,OFFSET($W$634,$B1081,R$631-1)/SUMPRODUCT(--($D$631:$V$631=R$631),--($D1683:$V1683=1)),0)+SUM(R1080)+IF(COUNTIF(R$1237:R1683,1)=1,5,0)+IF(COUNTIF(S1081:$W1081,"&gt;"&amp;0)&lt;5,IF(AND(COUNTIF(R$1237:R1683,1)&gt;7,MOD(1+IFERROR(MATCH($C1081,总览!$D$46:$D$345,1)+1,1),7)=0),$C$3,0),0)</f>
        <v>596.69285714286</v>
      </c>
      <c r="S1081" s="131" cm="1">
        <f ca="1" t="array" ref="S1081">IF(S1683=1,OFFSET($W$634,$B1081,S$631-1)/SUMPRODUCT(--($D$631:$V$631=S$631),--($D1683:$V1683=1)),0)+SUM(S1080)+IF(COUNTIF(S$1237:S1683,1)=1,5,0)+IF(COUNTIF(T1081:$W1081,"&gt;"&amp;0)&lt;5,IF(AND(COUNTIF(S$1237:S1683,1)&gt;7,MOD(1+IFERROR(MATCH($C1081,总览!$D$46:$D$345,1)+1,1),7)=0),$C$3,0),0)</f>
        <v>689.192857142861</v>
      </c>
      <c r="T1081" s="131" cm="1">
        <f ca="1" t="array" ref="T1081">IF(T1683=1,OFFSET($W$634,$B1081,T$631-1)/SUMPRODUCT(--($D$631:$V$631=T$631),--($D1683:$V1683=1)),0)+SUM(T1080)+IF(COUNTIF(T$1237:T1683,1)=1,5,0)+IF(COUNTIF(U1081:$W1081,"&gt;"&amp;0)&lt;5,IF(AND(COUNTIF(T$1237:T1683,1)&gt;7,MOD(1+IFERROR(MATCH($C1081,总览!$D$46:$D$345,1)+1,1),7)=0),$C$3,0),0)</f>
        <v>504.482503026947</v>
      </c>
      <c r="U1081" s="131" cm="1">
        <f ca="1" t="array" ref="U1081">IF(U1683=1,OFFSET($W$634,$B1081,U$631-1)/SUMPRODUCT(--($D$631:$V$631=U$631),--($D1683:$V1683=1)),0)+SUM(U1080)+IF(COUNTIF(U$1237:U1683,1)=1,5,0)+IF(COUNTIF(V1081:$W1081,"&gt;"&amp;0)&lt;5,IF(AND(COUNTIF(U$1237:U1683,1)&gt;7,MOD(1+IFERROR(MATCH($C1081,总览!$D$46:$D$345,1)+1,1),7)=0),$C$3,0),0)</f>
        <v>510.003289382246</v>
      </c>
      <c r="V1081" s="131" cm="1">
        <f ca="1" t="array" ref="V1081">IF(V1683=1,OFFSET($W$634,$B1081,V$631-1)/SUMPRODUCT(--($D$631:$V$631=V$631),--($D1683:$V1683=1)),0)+SUM(V1080)+IF(COUNTIF(V$1237:V1683,1)=1,5,0)+IF(COUNTIF(W1081:$W1081,"&gt;"&amp;0)&lt;5,IF(AND(COUNTIF(V$1237:V1683,1)&gt;7,MOD(1+IFERROR(MATCH($C1081,总览!$D$46:$D$345,1)+1,1),7)=0),$C$3,0),0)</f>
        <v>529.830289094679</v>
      </c>
      <c r="W1081" s="135" cm="1">
        <f ca="1" t="array" ref="W1081">SUMPRODUCT(TRANSPOSE($AA1081:$AG1081),OFFSET($L$9:$L$15,0,W$631-1))</f>
        <v>16.8502200646615</v>
      </c>
      <c r="X1081" s="135" cm="1">
        <f ca="1" t="array" ref="X1081">SUMPRODUCT(TRANSPOSE($AA1081:$AG1081),OFFSET($L$9:$L$15,0,X$631-1))</f>
        <v>20</v>
      </c>
      <c r="Y1081" s="135" cm="1">
        <f ca="1" t="array" ref="Y1081">SUMPRODUCT(TRANSPOSE($AA1081:$AG1081),OFFSET($L$9:$L$15,0,Y$631-1))</f>
        <v>10</v>
      </c>
      <c r="Z1081" s="135" cm="1">
        <f ca="1" t="array" ref="Z1081">SUMPRODUCT(TRANSPOSE($AA1081:$AG1081),OFFSET($L$9:$L$15,0,Z$631-1))</f>
        <v>3.14977993533847</v>
      </c>
      <c r="AA1081" s="136">
        <f ca="1" t="shared" ref="AA1081:AG1081" si="1145">AH1081-AH1080</f>
        <v>0</v>
      </c>
      <c r="AB1081" s="136">
        <f ca="1" t="shared" si="1145"/>
        <v>0</v>
      </c>
      <c r="AC1081" s="136">
        <f ca="1" t="shared" si="1145"/>
        <v>0</v>
      </c>
      <c r="AD1081" s="136">
        <f ca="1" t="shared" si="1145"/>
        <v>0</v>
      </c>
      <c r="AE1081" s="136">
        <f ca="1" t="shared" si="1145"/>
        <v>0</v>
      </c>
      <c r="AF1081" s="136">
        <f ca="1" t="shared" si="1145"/>
        <v>0</v>
      </c>
      <c r="AG1081" s="136">
        <f ca="1" t="shared" si="1145"/>
        <v>100</v>
      </c>
      <c r="AH1081" s="136">
        <f ca="1" t="shared" si="1021"/>
        <v>450</v>
      </c>
      <c r="AI1081" s="136">
        <f ca="1" t="shared" ref="AI1081:AN1081" si="1146">IF($C1081&gt;OFFSET($Q$8,MATCH(AI$634,$AH$634:$AN$634,0),0),OFFSET($P$8,MATCH(AI$634,$AH$634:$AN$634,0),0),MAX(0,$C1081-OFFSET($Q$8,RIGHT(AI$634,1)-1,0)))</f>
        <v>909</v>
      </c>
      <c r="AJ1081" s="136">
        <f ca="1" t="shared" si="1146"/>
        <v>1818</v>
      </c>
      <c r="AK1081" s="136">
        <f ca="1" t="shared" si="1146"/>
        <v>2727</v>
      </c>
      <c r="AL1081" s="136">
        <f ca="1" t="shared" si="1146"/>
        <v>3636</v>
      </c>
      <c r="AM1081" s="136">
        <f ca="1" t="shared" si="1146"/>
        <v>4545</v>
      </c>
      <c r="AN1081" s="136">
        <f ca="1" t="shared" si="1146"/>
        <v>30615</v>
      </c>
    </row>
    <row r="1082" s="106" customFormat="1" ht="16.5" spans="2:40">
      <c r="B1082" s="117">
        <v>448</v>
      </c>
      <c r="C1082" s="130">
        <f t="shared" si="1019"/>
        <v>44800</v>
      </c>
      <c r="D1082" s="131" cm="1">
        <f ca="1" t="array" ref="D1082">IF(D1684=1,OFFSET($W$634,$B1082,D$631-1)/SUMPRODUCT(--($D$631:$V$631=D$631),--($D1684:$V1684=1)),0)+SUM(D1081)+IF(COUNTIF(D$1237:D1684,1)=1,5,0)+IF(COUNTIF(E1082:$W1082,"&gt;"&amp;0)&lt;5,IF(AND(COUNTIF(D$1237:D1684,1)&gt;7,MOD(1+IFERROR(MATCH($C1082,总览!$D$46:$D$345,1)+1,1),7)=0),$C$3,0),0)</f>
        <v>2844.00304618695</v>
      </c>
      <c r="E1082" s="131" cm="1">
        <f ca="1" t="array" ref="E1082">IF(E1684=1,OFFSET($W$634,$B1082,E$631-1)/SUMPRODUCT(--($D$631:$V$631=E$631),--($D1684:$V1684=1)),0)+SUM(E1081)+IF(COUNTIF(E$1237:E1684,1)=1,5,0)+IF(COUNTIF(F1082:$W1082,"&gt;"&amp;0)&lt;5,IF(AND(COUNTIF(E$1237:E1684,1)&gt;7,MOD(1+IFERROR(MATCH($C1082,总览!$D$46:$D$345,1)+1,1),7)=0),$C$3,0),0)</f>
        <v>2844.00304618695</v>
      </c>
      <c r="F1082" s="131" cm="1">
        <f ca="1" t="array" ref="F1082">IF(F1684=1,OFFSET($W$634,$B1082,F$631-1)/SUMPRODUCT(--($D$631:$V$631=F$631),--($D1684:$V1684=1)),0)+SUM(F1081)+IF(COUNTIF(F$1237:F1684,1)=1,5,0)+IF(COUNTIF(G1082:$W1082,"&gt;"&amp;0)&lt;5,IF(AND(COUNTIF(F$1237:F1684,1)&gt;7,MOD(1+IFERROR(MATCH($C1082,总览!$D$46:$D$345,1)+1,1),7)=0),$C$3,0),0)</f>
        <v>2844.00304618695</v>
      </c>
      <c r="G1082" s="131" cm="1">
        <f ca="1" t="array" ref="G1082">IF(G1684=1,OFFSET($W$634,$B1082,G$631-1)/SUMPRODUCT(--($D$631:$V$631=G$631),--($D1684:$V1684=1)),0)+SUM(G1081)+IF(COUNTIF(G$1237:G1684,1)=1,5,0)+IF(COUNTIF(H1082:$W1082,"&gt;"&amp;0)&lt;5,IF(AND(COUNTIF(G$1237:G1684,1)&gt;7,MOD(1+IFERROR(MATCH($C1082,总览!$D$46:$D$345,1)+1,1),7)=0),$C$3,0),0)</f>
        <v>1432.73333333333</v>
      </c>
      <c r="H1082" s="131" cm="1">
        <f ca="1" t="array" ref="H1082">IF(H1684=1,OFFSET($W$634,$B1082,H$631-1)/SUMPRODUCT(--($D$631:$V$631=H$631),--($D1684:$V1684=1)),0)+SUM(H1081)+IF(COUNTIF(H$1237:H1684,1)=1,5,0)+IF(COUNTIF(I1082:$W1082,"&gt;"&amp;0)&lt;5,IF(AND(COUNTIF(H$1237:H1684,1)&gt;7,MOD(1+IFERROR(MATCH($C1082,总览!$D$46:$D$345,1)+1,1),7)=0),$C$3,0),0)</f>
        <v>1432.73333333333</v>
      </c>
      <c r="I1082" s="131" cm="1">
        <f ca="1" t="array" ref="I1082">IF(I1684=1,OFFSET($W$634,$B1082,I$631-1)/SUMPRODUCT(--($D$631:$V$631=I$631),--($D1684:$V1684=1)),0)+SUM(I1081)+IF(COUNTIF(I$1237:I1684,1)=1,5,0)+IF(COUNTIF(J1082:$W1082,"&gt;"&amp;0)&lt;5,IF(AND(COUNTIF(I$1237:I1684,1)&gt;7,MOD(1+IFERROR(MATCH($C1082,总览!$D$46:$D$345,1)+1,1),7)=0),$C$3,0),0)</f>
        <v>1432.73333333333</v>
      </c>
      <c r="J1082" s="131" cm="1">
        <f ca="1" t="array" ref="J1082">IF(J1684=1,OFFSET($W$634,$B1082,J$631-1)/SUMPRODUCT(--($D$631:$V$631=J$631),--($D1684:$V1684=1)),0)+SUM(J1081)+IF(COUNTIF(J$1237:J1684,1)=1,5,0)+IF(COUNTIF(K1082:$W1082,"&gt;"&amp;0)&lt;5,IF(AND(COUNTIF(J$1237:J1684,1)&gt;7,MOD(1+IFERROR(MATCH($C1082,总览!$D$46:$D$345,1)+1,1),7)=0),$C$3,0),0)</f>
        <v>1429.4</v>
      </c>
      <c r="K1082" s="131" cm="1">
        <f ca="1" t="array" ref="K1082">IF(K1684=1,OFFSET($W$634,$B1082,K$631-1)/SUMPRODUCT(--($D$631:$V$631=K$631),--($D1684:$V1684=1)),0)+SUM(K1081)+IF(COUNTIF(K$1237:K1684,1)=1,5,0)+IF(COUNTIF(L1082:$W1082,"&gt;"&amp;0)&lt;5,IF(AND(COUNTIF(K$1237:K1684,1)&gt;7,MOD(1+IFERROR(MATCH($C1082,总览!$D$46:$D$345,1)+1,1),7)=0),$C$3,0),0)</f>
        <v>1426.9</v>
      </c>
      <c r="L1082" s="131" cm="1">
        <f ca="1" t="array" ref="L1082">IF(L1684=1,OFFSET($W$634,$B1082,L$631-1)/SUMPRODUCT(--($D$631:$V$631=L$631),--($D1684:$V1684=1)),0)+SUM(L1081)+IF(COUNTIF(L$1237:L1684,1)=1,5,0)+IF(COUNTIF(M1082:$W1082,"&gt;"&amp;0)&lt;5,IF(AND(COUNTIF(L$1237:L1684,1)&gt;7,MOD(1+IFERROR(MATCH($C1082,总览!$D$46:$D$345,1)+1,1),7)=0),$C$3,0),0)</f>
        <v>1426.9</v>
      </c>
      <c r="M1082" s="131" cm="1">
        <f ca="1" t="array" ref="M1082">IF(M1684=1,OFFSET($W$634,$B1082,M$631-1)/SUMPRODUCT(--($D$631:$V$631=M$631),--($D1684:$V1684=1)),0)+SUM(M1081)+IF(COUNTIF(M$1237:M1684,1)=1,5,0)+IF(COUNTIF(N1082:$W1082,"&gt;"&amp;0)&lt;5,IF(AND(COUNTIF(M$1237:M1684,1)&gt;7,MOD(1+IFERROR(MATCH($C1082,总览!$D$46:$D$345,1)+1,1),7)=0),$C$3,0),0)</f>
        <v>597.752678571431</v>
      </c>
      <c r="N1082" s="131" cm="1">
        <f ca="1" t="array" ref="N1082">IF(N1684=1,OFFSET($W$634,$B1082,N$631-1)/SUMPRODUCT(--($D$631:$V$631=N$631),--($D1684:$V1684=1)),0)+SUM(N1081)+IF(COUNTIF(N$1237:N1684,1)=1,5,0)+IF(COUNTIF(O1082:$W1082,"&gt;"&amp;0)&lt;5,IF(AND(COUNTIF(N$1237:N1684,1)&gt;7,MOD(1+IFERROR(MATCH($C1082,总览!$D$46:$D$345,1)+1,1),7)=0),$C$3,0),0)</f>
        <v>599.002678571431</v>
      </c>
      <c r="O1082" s="131" cm="1">
        <f ca="1" t="array" ref="O1082">IF(O1684=1,OFFSET($W$634,$B1082,O$631-1)/SUMPRODUCT(--($D$631:$V$631=O$631),--($D1684:$V1684=1)),0)+SUM(O1081)+IF(COUNTIF(O$1237:O1684,1)=1,5,0)+IF(COUNTIF(P1082:$W1082,"&gt;"&amp;0)&lt;5,IF(AND(COUNTIF(O$1237:O1684,1)&gt;7,MOD(1+IFERROR(MATCH($C1082,总览!$D$46:$D$345,1)+1,1),7)=0),$C$3,0),0)</f>
        <v>604.002678571431</v>
      </c>
      <c r="P1082" s="131" cm="1">
        <f ca="1" t="array" ref="P1082">IF(P1684=1,OFFSET($W$634,$B1082,P$631-1)/SUMPRODUCT(--($D$631:$V$631=P$631),--($D1684:$V1684=1)),0)+SUM(P1081)+IF(COUNTIF(P$1237:P1684,1)=1,5,0)+IF(COUNTIF(Q1082:$W1082,"&gt;"&amp;0)&lt;5,IF(AND(COUNTIF(P$1237:P1684,1)&gt;7,MOD(1+IFERROR(MATCH($C1082,总览!$D$46:$D$345,1)+1,1),7)=0),$C$3,0),0)</f>
        <v>593.121428571431</v>
      </c>
      <c r="Q1082" s="131" cm="1">
        <f ca="1" t="array" ref="Q1082">IF(Q1684=1,OFFSET($W$634,$B1082,Q$631-1)/SUMPRODUCT(--($D$631:$V$631=Q$631),--($D1684:$V1684=1)),0)+SUM(Q1081)+IF(COUNTIF(Q$1237:Q1684,1)=1,5,0)+IF(COUNTIF(R1082:$W1082,"&gt;"&amp;0)&lt;5,IF(AND(COUNTIF(Q$1237:Q1684,1)&gt;7,MOD(1+IFERROR(MATCH($C1082,总览!$D$46:$D$345,1)+1,1),7)=0),$C$3,0),0)</f>
        <v>606.502678571431</v>
      </c>
      <c r="R1082" s="131" cm="1">
        <f ca="1" t="array" ref="R1082">IF(R1684=1,OFFSET($W$634,$B1082,R$631-1)/SUMPRODUCT(--($D$631:$V$631=R$631),--($D1684:$V1684=1)),0)+SUM(R1081)+IF(COUNTIF(R$1237:R1684,1)=1,5,0)+IF(COUNTIF(S1082:$W1082,"&gt;"&amp;0)&lt;5,IF(AND(COUNTIF(R$1237:R1684,1)&gt;7,MOD(1+IFERROR(MATCH($C1082,总览!$D$46:$D$345,1)+1,1),7)=0),$C$3,0),0)</f>
        <v>598.121428571431</v>
      </c>
      <c r="S1082" s="131" cm="1">
        <f ca="1" t="array" ref="S1082">IF(S1684=1,OFFSET($W$634,$B1082,S$631-1)/SUMPRODUCT(--($D$631:$V$631=S$631),--($D1684:$V1684=1)),0)+SUM(S1081)+IF(COUNTIF(S$1237:S1684,1)=1,5,0)+IF(COUNTIF(T1082:$W1082,"&gt;"&amp;0)&lt;5,IF(AND(COUNTIF(S$1237:S1684,1)&gt;7,MOD(1+IFERROR(MATCH($C1082,总览!$D$46:$D$345,1)+1,1),7)=0),$C$3,0),0)</f>
        <v>690.621428571432</v>
      </c>
      <c r="T1082" s="131" cm="1">
        <f ca="1" t="array" ref="T1082">IF(T1684=1,OFFSET($W$634,$B1082,T$631-1)/SUMPRODUCT(--($D$631:$V$631=T$631),--($D1684:$V1684=1)),0)+SUM(T1081)+IF(COUNTIF(T$1237:T1684,1)=1,5,0)+IF(COUNTIF(U1082:$W1082,"&gt;"&amp;0)&lt;5,IF(AND(COUNTIF(T$1237:T1684,1)&gt;7,MOD(1+IFERROR(MATCH($C1082,总览!$D$46:$D$345,1)+1,1),7)=0),$C$3,0),0)</f>
        <v>505.53242967206</v>
      </c>
      <c r="U1082" s="131" cm="1">
        <f ca="1" t="array" ref="U1082">IF(U1684=1,OFFSET($W$634,$B1082,U$631-1)/SUMPRODUCT(--($D$631:$V$631=U$631),--($D1684:$V1684=1)),0)+SUM(U1081)+IF(COUNTIF(U$1237:U1684,1)=1,5,0)+IF(COUNTIF(V1082:$W1082,"&gt;"&amp;0)&lt;5,IF(AND(COUNTIF(U$1237:U1684,1)&gt;7,MOD(1+IFERROR(MATCH($C1082,总览!$D$46:$D$345,1)+1,1),7)=0),$C$3,0),0)</f>
        <v>511.053216027359</v>
      </c>
      <c r="V1082" s="131" cm="1">
        <f ca="1" t="array" ref="V1082">IF(V1684=1,OFFSET($W$634,$B1082,V$631-1)/SUMPRODUCT(--($D$631:$V$631=V$631),--($D1684:$V1684=1)),0)+SUM(V1081)+IF(COUNTIF(V$1237:V1684,1)=1,5,0)+IF(COUNTIF(W1082:$W1082,"&gt;"&amp;0)&lt;5,IF(AND(COUNTIF(V$1237:V1684,1)&gt;7,MOD(1+IFERROR(MATCH($C1082,总览!$D$46:$D$345,1)+1,1),7)=0),$C$3,0),0)</f>
        <v>530.880215739792</v>
      </c>
      <c r="W1082" s="135" cm="1">
        <f ca="1" t="array" ref="W1082">SUMPRODUCT(TRANSPOSE($AA1082:$AG1082),OFFSET($L$9:$L$15,0,W$631-1))</f>
        <v>16.8502200646615</v>
      </c>
      <c r="X1082" s="135" cm="1">
        <f ca="1" t="array" ref="X1082">SUMPRODUCT(TRANSPOSE($AA1082:$AG1082),OFFSET($L$9:$L$15,0,X$631-1))</f>
        <v>20</v>
      </c>
      <c r="Y1082" s="135" cm="1">
        <f ca="1" t="array" ref="Y1082">SUMPRODUCT(TRANSPOSE($AA1082:$AG1082),OFFSET($L$9:$L$15,0,Y$631-1))</f>
        <v>10</v>
      </c>
      <c r="Z1082" s="135" cm="1">
        <f ca="1" t="array" ref="Z1082">SUMPRODUCT(TRANSPOSE($AA1082:$AG1082),OFFSET($L$9:$L$15,0,Z$631-1))</f>
        <v>3.14977993533847</v>
      </c>
      <c r="AA1082" s="136">
        <f ca="1" t="shared" ref="AA1082:AG1082" si="1147">AH1082-AH1081</f>
        <v>0</v>
      </c>
      <c r="AB1082" s="136">
        <f ca="1" t="shared" si="1147"/>
        <v>0</v>
      </c>
      <c r="AC1082" s="136">
        <f ca="1" t="shared" si="1147"/>
        <v>0</v>
      </c>
      <c r="AD1082" s="136">
        <f ca="1" t="shared" si="1147"/>
        <v>0</v>
      </c>
      <c r="AE1082" s="136">
        <f ca="1" t="shared" si="1147"/>
        <v>0</v>
      </c>
      <c r="AF1082" s="136">
        <f ca="1" t="shared" si="1147"/>
        <v>0</v>
      </c>
      <c r="AG1082" s="136">
        <f ca="1" t="shared" si="1147"/>
        <v>100</v>
      </c>
      <c r="AH1082" s="136">
        <f ca="1" t="shared" si="1021"/>
        <v>450</v>
      </c>
      <c r="AI1082" s="136">
        <f ca="1" t="shared" ref="AI1082:AN1082" si="1148">IF($C1082&gt;OFFSET($Q$8,MATCH(AI$634,$AH$634:$AN$634,0),0),OFFSET($P$8,MATCH(AI$634,$AH$634:$AN$634,0),0),MAX(0,$C1082-OFFSET($Q$8,RIGHT(AI$634,1)-1,0)))</f>
        <v>909</v>
      </c>
      <c r="AJ1082" s="136">
        <f ca="1" t="shared" si="1148"/>
        <v>1818</v>
      </c>
      <c r="AK1082" s="136">
        <f ca="1" t="shared" si="1148"/>
        <v>2727</v>
      </c>
      <c r="AL1082" s="136">
        <f ca="1" t="shared" si="1148"/>
        <v>3636</v>
      </c>
      <c r="AM1082" s="136">
        <f ca="1" t="shared" si="1148"/>
        <v>4545</v>
      </c>
      <c r="AN1082" s="136">
        <f ca="1" t="shared" si="1148"/>
        <v>30715</v>
      </c>
    </row>
    <row r="1083" s="106" customFormat="1" ht="16.5" spans="2:40">
      <c r="B1083" s="117">
        <v>449</v>
      </c>
      <c r="C1083" s="130">
        <f t="shared" ref="C1083:C1146" si="1149">C478</f>
        <v>44900</v>
      </c>
      <c r="D1083" s="131" cm="1">
        <f ca="1" t="array" ref="D1083">IF(D1685=1,OFFSET($W$634,$B1083,D$631-1)/SUMPRODUCT(--($D$631:$V$631=D$631),--($D1685:$V1685=1)),0)+SUM(D1082)+IF(COUNTIF(D$1237:D1685,1)=1,5,0)+IF(COUNTIF(E1083:$W1083,"&gt;"&amp;0)&lt;5,IF(AND(COUNTIF(D$1237:D1685,1)&gt;7,MOD(1+IFERROR(MATCH($C1083,总览!$D$46:$D$345,1)+1,1),7)=0),$C$3,0),0)</f>
        <v>2849.61978620851</v>
      </c>
      <c r="E1083" s="131" cm="1">
        <f ca="1" t="array" ref="E1083">IF(E1685=1,OFFSET($W$634,$B1083,E$631-1)/SUMPRODUCT(--($D$631:$V$631=E$631),--($D1685:$V1685=1)),0)+SUM(E1082)+IF(COUNTIF(E$1237:E1685,1)=1,5,0)+IF(COUNTIF(F1083:$W1083,"&gt;"&amp;0)&lt;5,IF(AND(COUNTIF(E$1237:E1685,1)&gt;7,MOD(1+IFERROR(MATCH($C1083,总览!$D$46:$D$345,1)+1,1),7)=0),$C$3,0),0)</f>
        <v>2849.61978620851</v>
      </c>
      <c r="F1083" s="131" cm="1">
        <f ca="1" t="array" ref="F1083">IF(F1685=1,OFFSET($W$634,$B1083,F$631-1)/SUMPRODUCT(--($D$631:$V$631=F$631),--($D1685:$V1685=1)),0)+SUM(F1082)+IF(COUNTIF(F$1237:F1685,1)=1,5,0)+IF(COUNTIF(G1083:$W1083,"&gt;"&amp;0)&lt;5,IF(AND(COUNTIF(F$1237:F1685,1)&gt;7,MOD(1+IFERROR(MATCH($C1083,总览!$D$46:$D$345,1)+1,1),7)=0),$C$3,0),0)</f>
        <v>2849.61978620851</v>
      </c>
      <c r="G1083" s="131" cm="1">
        <f ca="1" t="array" ref="G1083">IF(G1685=1,OFFSET($W$634,$B1083,G$631-1)/SUMPRODUCT(--($D$631:$V$631=G$631),--($D1685:$V1685=1)),0)+SUM(G1082)+IF(COUNTIF(G$1237:G1685,1)=1,5,0)+IF(COUNTIF(H1083:$W1083,"&gt;"&amp;0)&lt;5,IF(AND(COUNTIF(G$1237:G1685,1)&gt;7,MOD(1+IFERROR(MATCH($C1083,总览!$D$46:$D$345,1)+1,1),7)=0),$C$3,0),0)</f>
        <v>1436.06666666666</v>
      </c>
      <c r="H1083" s="131" cm="1">
        <f ca="1" t="array" ref="H1083">IF(H1685=1,OFFSET($W$634,$B1083,H$631-1)/SUMPRODUCT(--($D$631:$V$631=H$631),--($D1685:$V1685=1)),0)+SUM(H1082)+IF(COUNTIF(H$1237:H1685,1)=1,5,0)+IF(COUNTIF(I1083:$W1083,"&gt;"&amp;0)&lt;5,IF(AND(COUNTIF(H$1237:H1685,1)&gt;7,MOD(1+IFERROR(MATCH($C1083,总览!$D$46:$D$345,1)+1,1),7)=0),$C$3,0),0)</f>
        <v>1436.06666666666</v>
      </c>
      <c r="I1083" s="131" cm="1">
        <f ca="1" t="array" ref="I1083">IF(I1685=1,OFFSET($W$634,$B1083,I$631-1)/SUMPRODUCT(--($D$631:$V$631=I$631),--($D1685:$V1685=1)),0)+SUM(I1082)+IF(COUNTIF(I$1237:I1685,1)=1,5,0)+IF(COUNTIF(J1083:$W1083,"&gt;"&amp;0)&lt;5,IF(AND(COUNTIF(I$1237:I1685,1)&gt;7,MOD(1+IFERROR(MATCH($C1083,总览!$D$46:$D$345,1)+1,1),7)=0),$C$3,0),0)</f>
        <v>1436.06666666666</v>
      </c>
      <c r="J1083" s="131" cm="1">
        <f ca="1" t="array" ref="J1083">IF(J1685=1,OFFSET($W$634,$B1083,J$631-1)/SUMPRODUCT(--($D$631:$V$631=J$631),--($D1685:$V1685=1)),0)+SUM(J1082)+IF(COUNTIF(J$1237:J1685,1)=1,5,0)+IF(COUNTIF(K1083:$W1083,"&gt;"&amp;0)&lt;5,IF(AND(COUNTIF(J$1237:J1685,1)&gt;7,MOD(1+IFERROR(MATCH($C1083,总览!$D$46:$D$345,1)+1,1),7)=0),$C$3,0),0)</f>
        <v>1432.73333333333</v>
      </c>
      <c r="K1083" s="131" cm="1">
        <f ca="1" t="array" ref="K1083">IF(K1685=1,OFFSET($W$634,$B1083,K$631-1)/SUMPRODUCT(--($D$631:$V$631=K$631),--($D1685:$V1685=1)),0)+SUM(K1082)+IF(COUNTIF(K$1237:K1685,1)=1,5,0)+IF(COUNTIF(L1083:$W1083,"&gt;"&amp;0)&lt;5,IF(AND(COUNTIF(K$1237:K1685,1)&gt;7,MOD(1+IFERROR(MATCH($C1083,总览!$D$46:$D$345,1)+1,1),7)=0),$C$3,0),0)</f>
        <v>1430.23333333333</v>
      </c>
      <c r="L1083" s="131" cm="1">
        <f ca="1" t="array" ref="L1083">IF(L1685=1,OFFSET($W$634,$B1083,L$631-1)/SUMPRODUCT(--($D$631:$V$631=L$631),--($D1685:$V1685=1)),0)+SUM(L1082)+IF(COUNTIF(L$1237:L1685,1)=1,5,0)+IF(COUNTIF(M1083:$W1083,"&gt;"&amp;0)&lt;5,IF(AND(COUNTIF(L$1237:L1685,1)&gt;7,MOD(1+IFERROR(MATCH($C1083,总览!$D$46:$D$345,1)+1,1),7)=0),$C$3,0),0)</f>
        <v>1430.23333333333</v>
      </c>
      <c r="M1083" s="131" cm="1">
        <f ca="1" t="array" ref="M1083">IF(M1685=1,OFFSET($W$634,$B1083,M$631-1)/SUMPRODUCT(--($D$631:$V$631=M$631),--($D1685:$V1685=1)),0)+SUM(M1082)+IF(COUNTIF(M$1237:M1685,1)=1,5,0)+IF(COUNTIF(N1083:$W1083,"&gt;"&amp;0)&lt;5,IF(AND(COUNTIF(M$1237:M1685,1)&gt;7,MOD(1+IFERROR(MATCH($C1083,总览!$D$46:$D$345,1)+1,1),7)=0),$C$3,0),0)</f>
        <v>599.181250000003</v>
      </c>
      <c r="N1083" s="131" cm="1">
        <f ca="1" t="array" ref="N1083">IF(N1685=1,OFFSET($W$634,$B1083,N$631-1)/SUMPRODUCT(--($D$631:$V$631=N$631),--($D1685:$V1685=1)),0)+SUM(N1082)+IF(COUNTIF(N$1237:N1685,1)=1,5,0)+IF(COUNTIF(O1083:$W1083,"&gt;"&amp;0)&lt;5,IF(AND(COUNTIF(N$1237:N1685,1)&gt;7,MOD(1+IFERROR(MATCH($C1083,总览!$D$46:$D$345,1)+1,1),7)=0),$C$3,0),0)</f>
        <v>600.431250000003</v>
      </c>
      <c r="O1083" s="131" cm="1">
        <f ca="1" t="array" ref="O1083">IF(O1685=1,OFFSET($W$634,$B1083,O$631-1)/SUMPRODUCT(--($D$631:$V$631=O$631),--($D1685:$V1685=1)),0)+SUM(O1082)+IF(COUNTIF(O$1237:O1685,1)=1,5,0)+IF(COUNTIF(P1083:$W1083,"&gt;"&amp;0)&lt;5,IF(AND(COUNTIF(O$1237:O1685,1)&gt;7,MOD(1+IFERROR(MATCH($C1083,总览!$D$46:$D$345,1)+1,1),7)=0),$C$3,0),0)</f>
        <v>605.431250000003</v>
      </c>
      <c r="P1083" s="131" cm="1">
        <f ca="1" t="array" ref="P1083">IF(P1685=1,OFFSET($W$634,$B1083,P$631-1)/SUMPRODUCT(--($D$631:$V$631=P$631),--($D1685:$V1685=1)),0)+SUM(P1082)+IF(COUNTIF(P$1237:P1685,1)=1,5,0)+IF(COUNTIF(Q1083:$W1083,"&gt;"&amp;0)&lt;5,IF(AND(COUNTIF(P$1237:P1685,1)&gt;7,MOD(1+IFERROR(MATCH($C1083,总览!$D$46:$D$345,1)+1,1),7)=0),$C$3,0),0)</f>
        <v>594.550000000003</v>
      </c>
      <c r="Q1083" s="131" cm="1">
        <f ca="1" t="array" ref="Q1083">IF(Q1685=1,OFFSET($W$634,$B1083,Q$631-1)/SUMPRODUCT(--($D$631:$V$631=Q$631),--($D1685:$V1685=1)),0)+SUM(Q1082)+IF(COUNTIF(Q$1237:Q1685,1)=1,5,0)+IF(COUNTIF(R1083:$W1083,"&gt;"&amp;0)&lt;5,IF(AND(COUNTIF(Q$1237:Q1685,1)&gt;7,MOD(1+IFERROR(MATCH($C1083,总览!$D$46:$D$345,1)+1,1),7)=0),$C$3,0),0)</f>
        <v>607.931250000003</v>
      </c>
      <c r="R1083" s="131" cm="1">
        <f ca="1" t="array" ref="R1083">IF(R1685=1,OFFSET($W$634,$B1083,R$631-1)/SUMPRODUCT(--($D$631:$V$631=R$631),--($D1685:$V1685=1)),0)+SUM(R1082)+IF(COUNTIF(R$1237:R1685,1)=1,5,0)+IF(COUNTIF(S1083:$W1083,"&gt;"&amp;0)&lt;5,IF(AND(COUNTIF(R$1237:R1685,1)&gt;7,MOD(1+IFERROR(MATCH($C1083,总览!$D$46:$D$345,1)+1,1),7)=0),$C$3,0),0)</f>
        <v>599.550000000003</v>
      </c>
      <c r="S1083" s="131" cm="1">
        <f ca="1" t="array" ref="S1083">IF(S1685=1,OFFSET($W$634,$B1083,S$631-1)/SUMPRODUCT(--($D$631:$V$631=S$631),--($D1685:$V1685=1)),0)+SUM(S1082)+IF(COUNTIF(S$1237:S1685,1)=1,5,0)+IF(COUNTIF(T1083:$W1083,"&gt;"&amp;0)&lt;5,IF(AND(COUNTIF(S$1237:S1685,1)&gt;7,MOD(1+IFERROR(MATCH($C1083,总览!$D$46:$D$345,1)+1,1),7)=0),$C$3,0),0)</f>
        <v>692.050000000004</v>
      </c>
      <c r="T1083" s="131" cm="1">
        <f ca="1" t="array" ref="T1083">IF(T1685=1,OFFSET($W$634,$B1083,T$631-1)/SUMPRODUCT(--($D$631:$V$631=T$631),--($D1685:$V1685=1)),0)+SUM(T1082)+IF(COUNTIF(T$1237:T1685,1)=1,5,0)+IF(COUNTIF(U1083:$W1083,"&gt;"&amp;0)&lt;5,IF(AND(COUNTIF(T$1237:T1685,1)&gt;7,MOD(1+IFERROR(MATCH($C1083,总览!$D$46:$D$345,1)+1,1),7)=0),$C$3,0),0)</f>
        <v>506.582356317172</v>
      </c>
      <c r="U1083" s="131" cm="1">
        <f ca="1" t="array" ref="U1083">IF(U1685=1,OFFSET($W$634,$B1083,U$631-1)/SUMPRODUCT(--($D$631:$V$631=U$631),--($D1685:$V1685=1)),0)+SUM(U1082)+IF(COUNTIF(U$1237:U1685,1)=1,5,0)+IF(COUNTIF(V1083:$W1083,"&gt;"&amp;0)&lt;5,IF(AND(COUNTIF(U$1237:U1685,1)&gt;7,MOD(1+IFERROR(MATCH($C1083,总览!$D$46:$D$345,1)+1,1),7)=0),$C$3,0),0)</f>
        <v>512.103142672472</v>
      </c>
      <c r="V1083" s="131" cm="1">
        <f ca="1" t="array" ref="V1083">IF(V1685=1,OFFSET($W$634,$B1083,V$631-1)/SUMPRODUCT(--($D$631:$V$631=V$631),--($D1685:$V1685=1)),0)+SUM(V1082)+IF(COUNTIF(V$1237:V1685,1)=1,5,0)+IF(COUNTIF(W1083:$W1083,"&gt;"&amp;0)&lt;5,IF(AND(COUNTIF(V$1237:V1685,1)&gt;7,MOD(1+IFERROR(MATCH($C1083,总览!$D$46:$D$345,1)+1,1),7)=0),$C$3,0),0)</f>
        <v>531.930142384905</v>
      </c>
      <c r="W1083" s="135" cm="1">
        <f ca="1" t="array" ref="W1083">SUMPRODUCT(TRANSPOSE($AA1083:$AG1083),OFFSET($L$9:$L$15,0,W$631-1))</f>
        <v>16.8502200646615</v>
      </c>
      <c r="X1083" s="135" cm="1">
        <f ca="1" t="array" ref="X1083">SUMPRODUCT(TRANSPOSE($AA1083:$AG1083),OFFSET($L$9:$L$15,0,X$631-1))</f>
        <v>20</v>
      </c>
      <c r="Y1083" s="135" cm="1">
        <f ca="1" t="array" ref="Y1083">SUMPRODUCT(TRANSPOSE($AA1083:$AG1083),OFFSET($L$9:$L$15,0,Y$631-1))</f>
        <v>10</v>
      </c>
      <c r="Z1083" s="135" cm="1">
        <f ca="1" t="array" ref="Z1083">SUMPRODUCT(TRANSPOSE($AA1083:$AG1083),OFFSET($L$9:$L$15,0,Z$631-1))</f>
        <v>3.14977993533847</v>
      </c>
      <c r="AA1083" s="136">
        <f ca="1" t="shared" ref="AA1083:AG1083" si="1150">AH1083-AH1082</f>
        <v>0</v>
      </c>
      <c r="AB1083" s="136">
        <f ca="1" t="shared" si="1150"/>
        <v>0</v>
      </c>
      <c r="AC1083" s="136">
        <f ca="1" t="shared" si="1150"/>
        <v>0</v>
      </c>
      <c r="AD1083" s="136">
        <f ca="1" t="shared" si="1150"/>
        <v>0</v>
      </c>
      <c r="AE1083" s="136">
        <f ca="1" t="shared" si="1150"/>
        <v>0</v>
      </c>
      <c r="AF1083" s="136">
        <f ca="1" t="shared" si="1150"/>
        <v>0</v>
      </c>
      <c r="AG1083" s="136">
        <f ca="1" t="shared" si="1150"/>
        <v>100</v>
      </c>
      <c r="AH1083" s="136">
        <f ca="1" t="shared" ref="AH1083:AH1146" si="1151">IF($C1083&gt;OFFSET($Q$8,MATCH(AH$634,$AH$634:$AN$634,0),0),OFFSET($P$8,MATCH(AH$634,$AH$634:$AN$634,0),0),$C1083)</f>
        <v>450</v>
      </c>
      <c r="AI1083" s="136">
        <f ca="1" t="shared" ref="AI1083:AN1083" si="1152">IF($C1083&gt;OFFSET($Q$8,MATCH(AI$634,$AH$634:$AN$634,0),0),OFFSET($P$8,MATCH(AI$634,$AH$634:$AN$634,0),0),MAX(0,$C1083-OFFSET($Q$8,RIGHT(AI$634,1)-1,0)))</f>
        <v>909</v>
      </c>
      <c r="AJ1083" s="136">
        <f ca="1" t="shared" si="1152"/>
        <v>1818</v>
      </c>
      <c r="AK1083" s="136">
        <f ca="1" t="shared" si="1152"/>
        <v>2727</v>
      </c>
      <c r="AL1083" s="136">
        <f ca="1" t="shared" si="1152"/>
        <v>3636</v>
      </c>
      <c r="AM1083" s="136">
        <f ca="1" t="shared" si="1152"/>
        <v>4545</v>
      </c>
      <c r="AN1083" s="136">
        <f ca="1" t="shared" si="1152"/>
        <v>30815</v>
      </c>
    </row>
    <row r="1084" s="106" customFormat="1" ht="16.5" spans="2:40">
      <c r="B1084" s="117">
        <v>450</v>
      </c>
      <c r="C1084" s="130">
        <f t="shared" si="1149"/>
        <v>45000</v>
      </c>
      <c r="D1084" s="131" cm="1">
        <f ca="1" t="array" ref="D1084">IF(D1686=1,OFFSET($W$634,$B1084,D$631-1)/SUMPRODUCT(--($D$631:$V$631=D$631),--($D1686:$V1686=1)),0)+SUM(D1083)+IF(COUNTIF(D$1237:D1686,1)=1,5,0)+IF(COUNTIF(E1084:$W1084,"&gt;"&amp;0)&lt;5,IF(AND(COUNTIF(D$1237:D1686,1)&gt;7,MOD(1+IFERROR(MATCH($C1084,总览!$D$46:$D$345,1)+1,1),7)=0),$C$3,0),0)</f>
        <v>2855.23652623006</v>
      </c>
      <c r="E1084" s="131" cm="1">
        <f ca="1" t="array" ref="E1084">IF(E1686=1,OFFSET($W$634,$B1084,E$631-1)/SUMPRODUCT(--($D$631:$V$631=E$631),--($D1686:$V1686=1)),0)+SUM(E1083)+IF(COUNTIF(E$1237:E1686,1)=1,5,0)+IF(COUNTIF(F1084:$W1084,"&gt;"&amp;0)&lt;5,IF(AND(COUNTIF(E$1237:E1686,1)&gt;7,MOD(1+IFERROR(MATCH($C1084,总览!$D$46:$D$345,1)+1,1),7)=0),$C$3,0),0)</f>
        <v>2855.23652623006</v>
      </c>
      <c r="F1084" s="131" cm="1">
        <f ca="1" t="array" ref="F1084">IF(F1686=1,OFFSET($W$634,$B1084,F$631-1)/SUMPRODUCT(--($D$631:$V$631=F$631),--($D1686:$V1686=1)),0)+SUM(F1083)+IF(COUNTIF(F$1237:F1686,1)=1,5,0)+IF(COUNTIF(G1084:$W1084,"&gt;"&amp;0)&lt;5,IF(AND(COUNTIF(F$1237:F1686,1)&gt;7,MOD(1+IFERROR(MATCH($C1084,总览!$D$46:$D$345,1)+1,1),7)=0),$C$3,0),0)</f>
        <v>2855.23652623006</v>
      </c>
      <c r="G1084" s="131" cm="1">
        <f ca="1" t="array" ref="G1084">IF(G1686=1,OFFSET($W$634,$B1084,G$631-1)/SUMPRODUCT(--($D$631:$V$631=G$631),--($D1686:$V1686=1)),0)+SUM(G1083)+IF(COUNTIF(G$1237:G1686,1)=1,5,0)+IF(COUNTIF(H1084:$W1084,"&gt;"&amp;0)&lt;5,IF(AND(COUNTIF(G$1237:G1686,1)&gt;7,MOD(1+IFERROR(MATCH($C1084,总览!$D$46:$D$345,1)+1,1),7)=0),$C$3,0),0)</f>
        <v>1439.4</v>
      </c>
      <c r="H1084" s="131" cm="1">
        <f ca="1" t="array" ref="H1084">IF(H1686=1,OFFSET($W$634,$B1084,H$631-1)/SUMPRODUCT(--($D$631:$V$631=H$631),--($D1686:$V1686=1)),0)+SUM(H1083)+IF(COUNTIF(H$1237:H1686,1)=1,5,0)+IF(COUNTIF(I1084:$W1084,"&gt;"&amp;0)&lt;5,IF(AND(COUNTIF(H$1237:H1686,1)&gt;7,MOD(1+IFERROR(MATCH($C1084,总览!$D$46:$D$345,1)+1,1),7)=0),$C$3,0),0)</f>
        <v>1439.4</v>
      </c>
      <c r="I1084" s="131" cm="1">
        <f ca="1" t="array" ref="I1084">IF(I1686=1,OFFSET($W$634,$B1084,I$631-1)/SUMPRODUCT(--($D$631:$V$631=I$631),--($D1686:$V1686=1)),0)+SUM(I1083)+IF(COUNTIF(I$1237:I1686,1)=1,5,0)+IF(COUNTIF(J1084:$W1084,"&gt;"&amp;0)&lt;5,IF(AND(COUNTIF(I$1237:I1686,1)&gt;7,MOD(1+IFERROR(MATCH($C1084,总览!$D$46:$D$345,1)+1,1),7)=0),$C$3,0),0)</f>
        <v>1439.4</v>
      </c>
      <c r="J1084" s="131" cm="1">
        <f ca="1" t="array" ref="J1084">IF(J1686=1,OFFSET($W$634,$B1084,J$631-1)/SUMPRODUCT(--($D$631:$V$631=J$631),--($D1686:$V1686=1)),0)+SUM(J1083)+IF(COUNTIF(J$1237:J1686,1)=1,5,0)+IF(COUNTIF(K1084:$W1084,"&gt;"&amp;0)&lt;5,IF(AND(COUNTIF(J$1237:J1686,1)&gt;7,MOD(1+IFERROR(MATCH($C1084,总览!$D$46:$D$345,1)+1,1),7)=0),$C$3,0),0)</f>
        <v>1436.06666666666</v>
      </c>
      <c r="K1084" s="131" cm="1">
        <f ca="1" t="array" ref="K1084">IF(K1686=1,OFFSET($W$634,$B1084,K$631-1)/SUMPRODUCT(--($D$631:$V$631=K$631),--($D1686:$V1686=1)),0)+SUM(K1083)+IF(COUNTIF(K$1237:K1686,1)=1,5,0)+IF(COUNTIF(L1084:$W1084,"&gt;"&amp;0)&lt;5,IF(AND(COUNTIF(K$1237:K1686,1)&gt;7,MOD(1+IFERROR(MATCH($C1084,总览!$D$46:$D$345,1)+1,1),7)=0),$C$3,0),0)</f>
        <v>1433.56666666666</v>
      </c>
      <c r="L1084" s="131" cm="1">
        <f ca="1" t="array" ref="L1084">IF(L1686=1,OFFSET($W$634,$B1084,L$631-1)/SUMPRODUCT(--($D$631:$V$631=L$631),--($D1686:$V1686=1)),0)+SUM(L1083)+IF(COUNTIF(L$1237:L1686,1)=1,5,0)+IF(COUNTIF(M1084:$W1084,"&gt;"&amp;0)&lt;5,IF(AND(COUNTIF(L$1237:L1686,1)&gt;7,MOD(1+IFERROR(MATCH($C1084,总览!$D$46:$D$345,1)+1,1),7)=0),$C$3,0),0)</f>
        <v>1433.56666666666</v>
      </c>
      <c r="M1084" s="131" cm="1">
        <f ca="1" t="array" ref="M1084">IF(M1686=1,OFFSET($W$634,$B1084,M$631-1)/SUMPRODUCT(--($D$631:$V$631=M$631),--($D1686:$V1686=1)),0)+SUM(M1083)+IF(COUNTIF(M$1237:M1686,1)=1,5,0)+IF(COUNTIF(N1084:$W1084,"&gt;"&amp;0)&lt;5,IF(AND(COUNTIF(M$1237:M1686,1)&gt;7,MOD(1+IFERROR(MATCH($C1084,总览!$D$46:$D$345,1)+1,1),7)=0),$C$3,0),0)</f>
        <v>600.609821428574</v>
      </c>
      <c r="N1084" s="131" cm="1">
        <f ca="1" t="array" ref="N1084">IF(N1686=1,OFFSET($W$634,$B1084,N$631-1)/SUMPRODUCT(--($D$631:$V$631=N$631),--($D1686:$V1686=1)),0)+SUM(N1083)+IF(COUNTIF(N$1237:N1686,1)=1,5,0)+IF(COUNTIF(O1084:$W1084,"&gt;"&amp;0)&lt;5,IF(AND(COUNTIF(N$1237:N1686,1)&gt;7,MOD(1+IFERROR(MATCH($C1084,总览!$D$46:$D$345,1)+1,1),7)=0),$C$3,0),0)</f>
        <v>601.859821428574</v>
      </c>
      <c r="O1084" s="131" cm="1">
        <f ca="1" t="array" ref="O1084">IF(O1686=1,OFFSET($W$634,$B1084,O$631-1)/SUMPRODUCT(--($D$631:$V$631=O$631),--($D1686:$V1686=1)),0)+SUM(O1083)+IF(COUNTIF(O$1237:O1686,1)=1,5,0)+IF(COUNTIF(P1084:$W1084,"&gt;"&amp;0)&lt;5,IF(AND(COUNTIF(O$1237:O1686,1)&gt;7,MOD(1+IFERROR(MATCH($C1084,总览!$D$46:$D$345,1)+1,1),7)=0),$C$3,0),0)</f>
        <v>606.859821428574</v>
      </c>
      <c r="P1084" s="131" cm="1">
        <f ca="1" t="array" ref="P1084">IF(P1686=1,OFFSET($W$634,$B1084,P$631-1)/SUMPRODUCT(--($D$631:$V$631=P$631),--($D1686:$V1686=1)),0)+SUM(P1083)+IF(COUNTIF(P$1237:P1686,1)=1,5,0)+IF(COUNTIF(Q1084:$W1084,"&gt;"&amp;0)&lt;5,IF(AND(COUNTIF(P$1237:P1686,1)&gt;7,MOD(1+IFERROR(MATCH($C1084,总览!$D$46:$D$345,1)+1,1),7)=0),$C$3,0),0)</f>
        <v>595.978571428574</v>
      </c>
      <c r="Q1084" s="131" cm="1">
        <f ca="1" t="array" ref="Q1084">IF(Q1686=1,OFFSET($W$634,$B1084,Q$631-1)/SUMPRODUCT(--($D$631:$V$631=Q$631),--($D1686:$V1686=1)),0)+SUM(Q1083)+IF(COUNTIF(Q$1237:Q1686,1)=1,5,0)+IF(COUNTIF(R1084:$W1084,"&gt;"&amp;0)&lt;5,IF(AND(COUNTIF(Q$1237:Q1686,1)&gt;7,MOD(1+IFERROR(MATCH($C1084,总览!$D$46:$D$345,1)+1,1),7)=0),$C$3,0),0)</f>
        <v>609.359821428574</v>
      </c>
      <c r="R1084" s="131" cm="1">
        <f ca="1" t="array" ref="R1084">IF(R1686=1,OFFSET($W$634,$B1084,R$631-1)/SUMPRODUCT(--($D$631:$V$631=R$631),--($D1686:$V1686=1)),0)+SUM(R1083)+IF(COUNTIF(R$1237:R1686,1)=1,5,0)+IF(COUNTIF(S1084:$W1084,"&gt;"&amp;0)&lt;5,IF(AND(COUNTIF(R$1237:R1686,1)&gt;7,MOD(1+IFERROR(MATCH($C1084,总览!$D$46:$D$345,1)+1,1),7)=0),$C$3,0),0)</f>
        <v>600.978571428574</v>
      </c>
      <c r="S1084" s="131" cm="1">
        <f ca="1" t="array" ref="S1084">IF(S1686=1,OFFSET($W$634,$B1084,S$631-1)/SUMPRODUCT(--($D$631:$V$631=S$631),--($D1686:$V1686=1)),0)+SUM(S1083)+IF(COUNTIF(S$1237:S1686,1)=1,5,0)+IF(COUNTIF(T1084:$W1084,"&gt;"&amp;0)&lt;5,IF(AND(COUNTIF(S$1237:S1686,1)&gt;7,MOD(1+IFERROR(MATCH($C1084,总览!$D$46:$D$345,1)+1,1),7)=0),$C$3,0),0)</f>
        <v>693.478571428575</v>
      </c>
      <c r="T1084" s="131" cm="1">
        <f ca="1" t="array" ref="T1084">IF(T1686=1,OFFSET($W$634,$B1084,T$631-1)/SUMPRODUCT(--($D$631:$V$631=T$631),--($D1686:$V1686=1)),0)+SUM(T1083)+IF(COUNTIF(T$1237:T1686,1)=1,5,0)+IF(COUNTIF(U1084:$W1084,"&gt;"&amp;0)&lt;5,IF(AND(COUNTIF(T$1237:T1686,1)&gt;7,MOD(1+IFERROR(MATCH($C1084,总览!$D$46:$D$345,1)+1,1),7)=0),$C$3,0),0)</f>
        <v>507.632282962285</v>
      </c>
      <c r="U1084" s="131" cm="1">
        <f ca="1" t="array" ref="U1084">IF(U1686=1,OFFSET($W$634,$B1084,U$631-1)/SUMPRODUCT(--($D$631:$V$631=U$631),--($D1686:$V1686=1)),0)+SUM(U1083)+IF(COUNTIF(U$1237:U1686,1)=1,5,0)+IF(COUNTIF(V1084:$W1084,"&gt;"&amp;0)&lt;5,IF(AND(COUNTIF(U$1237:U1686,1)&gt;7,MOD(1+IFERROR(MATCH($C1084,总览!$D$46:$D$345,1)+1,1),7)=0),$C$3,0),0)</f>
        <v>513.153069317585</v>
      </c>
      <c r="V1084" s="131" cm="1">
        <f ca="1" t="array" ref="V1084">IF(V1686=1,OFFSET($W$634,$B1084,V$631-1)/SUMPRODUCT(--($D$631:$V$631=V$631),--($D1686:$V1686=1)),0)+SUM(V1083)+IF(COUNTIF(V$1237:V1686,1)=1,5,0)+IF(COUNTIF(W1084:$W1084,"&gt;"&amp;0)&lt;5,IF(AND(COUNTIF(V$1237:V1686,1)&gt;7,MOD(1+IFERROR(MATCH($C1084,总览!$D$46:$D$345,1)+1,1),7)=0),$C$3,0),0)</f>
        <v>532.980069030018</v>
      </c>
      <c r="W1084" s="135" cm="1">
        <f ca="1" t="array" ref="W1084">SUMPRODUCT(TRANSPOSE($AA1084:$AG1084),OFFSET($L$9:$L$15,0,W$631-1))</f>
        <v>16.8502200646615</v>
      </c>
      <c r="X1084" s="135" cm="1">
        <f ca="1" t="array" ref="X1084">SUMPRODUCT(TRANSPOSE($AA1084:$AG1084),OFFSET($L$9:$L$15,0,X$631-1))</f>
        <v>20</v>
      </c>
      <c r="Y1084" s="135" cm="1">
        <f ca="1" t="array" ref="Y1084">SUMPRODUCT(TRANSPOSE($AA1084:$AG1084),OFFSET($L$9:$L$15,0,Y$631-1))</f>
        <v>10</v>
      </c>
      <c r="Z1084" s="135" cm="1">
        <f ca="1" t="array" ref="Z1084">SUMPRODUCT(TRANSPOSE($AA1084:$AG1084),OFFSET($L$9:$L$15,0,Z$631-1))</f>
        <v>3.14977993533847</v>
      </c>
      <c r="AA1084" s="136">
        <f ca="1" t="shared" ref="AA1084:AG1084" si="1153">AH1084-AH1083</f>
        <v>0</v>
      </c>
      <c r="AB1084" s="136">
        <f ca="1" t="shared" si="1153"/>
        <v>0</v>
      </c>
      <c r="AC1084" s="136">
        <f ca="1" t="shared" si="1153"/>
        <v>0</v>
      </c>
      <c r="AD1084" s="136">
        <f ca="1" t="shared" si="1153"/>
        <v>0</v>
      </c>
      <c r="AE1084" s="136">
        <f ca="1" t="shared" si="1153"/>
        <v>0</v>
      </c>
      <c r="AF1084" s="136">
        <f ca="1" t="shared" si="1153"/>
        <v>0</v>
      </c>
      <c r="AG1084" s="136">
        <f ca="1" t="shared" si="1153"/>
        <v>100</v>
      </c>
      <c r="AH1084" s="136">
        <f ca="1" t="shared" si="1151"/>
        <v>450</v>
      </c>
      <c r="AI1084" s="136">
        <f ca="1" t="shared" ref="AI1084:AN1084" si="1154">IF($C1084&gt;OFFSET($Q$8,MATCH(AI$634,$AH$634:$AN$634,0),0),OFFSET($P$8,MATCH(AI$634,$AH$634:$AN$634,0),0),MAX(0,$C1084-OFFSET($Q$8,RIGHT(AI$634,1)-1,0)))</f>
        <v>909</v>
      </c>
      <c r="AJ1084" s="136">
        <f ca="1" t="shared" si="1154"/>
        <v>1818</v>
      </c>
      <c r="AK1084" s="136">
        <f ca="1" t="shared" si="1154"/>
        <v>2727</v>
      </c>
      <c r="AL1084" s="136">
        <f ca="1" t="shared" si="1154"/>
        <v>3636</v>
      </c>
      <c r="AM1084" s="136">
        <f ca="1" t="shared" si="1154"/>
        <v>4545</v>
      </c>
      <c r="AN1084" s="136">
        <f ca="1" t="shared" si="1154"/>
        <v>30915</v>
      </c>
    </row>
    <row r="1085" s="106" customFormat="1" ht="16.5" spans="2:40">
      <c r="B1085" s="117">
        <v>451</v>
      </c>
      <c r="C1085" s="130">
        <f t="shared" si="1149"/>
        <v>45100</v>
      </c>
      <c r="D1085" s="131" cm="1">
        <f ca="1" t="array" ref="D1085">IF(D1687=1,OFFSET($W$634,$B1085,D$631-1)/SUMPRODUCT(--($D$631:$V$631=D$631),--($D1687:$V1687=1)),0)+SUM(D1084)+IF(COUNTIF(D$1237:D1687,1)=1,5,0)+IF(COUNTIF(E1085:$W1085,"&gt;"&amp;0)&lt;5,IF(AND(COUNTIF(D$1237:D1687,1)&gt;7,MOD(1+IFERROR(MATCH($C1085,总览!$D$46:$D$345,1)+1,1),7)=0),$C$3,0),0)</f>
        <v>2860.85326625161</v>
      </c>
      <c r="E1085" s="131" cm="1">
        <f ca="1" t="array" ref="E1085">IF(E1687=1,OFFSET($W$634,$B1085,E$631-1)/SUMPRODUCT(--($D$631:$V$631=E$631),--($D1687:$V1687=1)),0)+SUM(E1084)+IF(COUNTIF(E$1237:E1687,1)=1,5,0)+IF(COUNTIF(F1085:$W1085,"&gt;"&amp;0)&lt;5,IF(AND(COUNTIF(E$1237:E1687,1)&gt;7,MOD(1+IFERROR(MATCH($C1085,总览!$D$46:$D$345,1)+1,1),7)=0),$C$3,0),0)</f>
        <v>2860.85326625161</v>
      </c>
      <c r="F1085" s="131" cm="1">
        <f ca="1" t="array" ref="F1085">IF(F1687=1,OFFSET($W$634,$B1085,F$631-1)/SUMPRODUCT(--($D$631:$V$631=F$631),--($D1687:$V1687=1)),0)+SUM(F1084)+IF(COUNTIF(F$1237:F1687,1)=1,5,0)+IF(COUNTIF(G1085:$W1085,"&gt;"&amp;0)&lt;5,IF(AND(COUNTIF(F$1237:F1687,1)&gt;7,MOD(1+IFERROR(MATCH($C1085,总览!$D$46:$D$345,1)+1,1),7)=0),$C$3,0),0)</f>
        <v>2860.85326625161</v>
      </c>
      <c r="G1085" s="131" cm="1">
        <f ca="1" t="array" ref="G1085">IF(G1687=1,OFFSET($W$634,$B1085,G$631-1)/SUMPRODUCT(--($D$631:$V$631=G$631),--($D1687:$V1687=1)),0)+SUM(G1084)+IF(COUNTIF(G$1237:G1687,1)=1,5,0)+IF(COUNTIF(H1085:$W1085,"&gt;"&amp;0)&lt;5,IF(AND(COUNTIF(G$1237:G1687,1)&gt;7,MOD(1+IFERROR(MATCH($C1085,总览!$D$46:$D$345,1)+1,1),7)=0),$C$3,0),0)</f>
        <v>1442.73333333333</v>
      </c>
      <c r="H1085" s="131" cm="1">
        <f ca="1" t="array" ref="H1085">IF(H1687=1,OFFSET($W$634,$B1085,H$631-1)/SUMPRODUCT(--($D$631:$V$631=H$631),--($D1687:$V1687=1)),0)+SUM(H1084)+IF(COUNTIF(H$1237:H1687,1)=1,5,0)+IF(COUNTIF(I1085:$W1085,"&gt;"&amp;0)&lt;5,IF(AND(COUNTIF(H$1237:H1687,1)&gt;7,MOD(1+IFERROR(MATCH($C1085,总览!$D$46:$D$345,1)+1,1),7)=0),$C$3,0),0)</f>
        <v>1442.73333333333</v>
      </c>
      <c r="I1085" s="131" cm="1">
        <f ca="1" t="array" ref="I1085">IF(I1687=1,OFFSET($W$634,$B1085,I$631-1)/SUMPRODUCT(--($D$631:$V$631=I$631),--($D1687:$V1687=1)),0)+SUM(I1084)+IF(COUNTIF(I$1237:I1687,1)=1,5,0)+IF(COUNTIF(J1085:$W1085,"&gt;"&amp;0)&lt;5,IF(AND(COUNTIF(I$1237:I1687,1)&gt;7,MOD(1+IFERROR(MATCH($C1085,总览!$D$46:$D$345,1)+1,1),7)=0),$C$3,0),0)</f>
        <v>1442.73333333333</v>
      </c>
      <c r="J1085" s="131" cm="1">
        <f ca="1" t="array" ref="J1085">IF(J1687=1,OFFSET($W$634,$B1085,J$631-1)/SUMPRODUCT(--($D$631:$V$631=J$631),--($D1687:$V1687=1)),0)+SUM(J1084)+IF(COUNTIF(J$1237:J1687,1)=1,5,0)+IF(COUNTIF(K1085:$W1085,"&gt;"&amp;0)&lt;5,IF(AND(COUNTIF(J$1237:J1687,1)&gt;7,MOD(1+IFERROR(MATCH($C1085,总览!$D$46:$D$345,1)+1,1),7)=0),$C$3,0),0)</f>
        <v>1439.4</v>
      </c>
      <c r="K1085" s="131" cm="1">
        <f ca="1" t="array" ref="K1085">IF(K1687=1,OFFSET($W$634,$B1085,K$631-1)/SUMPRODUCT(--($D$631:$V$631=K$631),--($D1687:$V1687=1)),0)+SUM(K1084)+IF(COUNTIF(K$1237:K1687,1)=1,5,0)+IF(COUNTIF(L1085:$W1085,"&gt;"&amp;0)&lt;5,IF(AND(COUNTIF(K$1237:K1687,1)&gt;7,MOD(1+IFERROR(MATCH($C1085,总览!$D$46:$D$345,1)+1,1),7)=0),$C$3,0),0)</f>
        <v>1436.9</v>
      </c>
      <c r="L1085" s="131" cm="1">
        <f ca="1" t="array" ref="L1085">IF(L1687=1,OFFSET($W$634,$B1085,L$631-1)/SUMPRODUCT(--($D$631:$V$631=L$631),--($D1687:$V1687=1)),0)+SUM(L1084)+IF(COUNTIF(L$1237:L1687,1)=1,5,0)+IF(COUNTIF(M1085:$W1085,"&gt;"&amp;0)&lt;5,IF(AND(COUNTIF(L$1237:L1687,1)&gt;7,MOD(1+IFERROR(MATCH($C1085,总览!$D$46:$D$345,1)+1,1),7)=0),$C$3,0),0)</f>
        <v>1436.9</v>
      </c>
      <c r="M1085" s="131" cm="1">
        <f ca="1" t="array" ref="M1085">IF(M1687=1,OFFSET($W$634,$B1085,M$631-1)/SUMPRODUCT(--($D$631:$V$631=M$631),--($D1687:$V1687=1)),0)+SUM(M1084)+IF(COUNTIF(M$1237:M1687,1)=1,5,0)+IF(COUNTIF(N1085:$W1085,"&gt;"&amp;0)&lt;5,IF(AND(COUNTIF(M$1237:M1687,1)&gt;7,MOD(1+IFERROR(MATCH($C1085,总览!$D$46:$D$345,1)+1,1),7)=0),$C$3,0),0)</f>
        <v>602.038392857146</v>
      </c>
      <c r="N1085" s="131" cm="1">
        <f ca="1" t="array" ref="N1085">IF(N1687=1,OFFSET($W$634,$B1085,N$631-1)/SUMPRODUCT(--($D$631:$V$631=N$631),--($D1687:$V1687=1)),0)+SUM(N1084)+IF(COUNTIF(N$1237:N1687,1)=1,5,0)+IF(COUNTIF(O1085:$W1085,"&gt;"&amp;0)&lt;5,IF(AND(COUNTIF(N$1237:N1687,1)&gt;7,MOD(1+IFERROR(MATCH($C1085,总览!$D$46:$D$345,1)+1,1),7)=0),$C$3,0),0)</f>
        <v>603.288392857146</v>
      </c>
      <c r="O1085" s="131" cm="1">
        <f ca="1" t="array" ref="O1085">IF(O1687=1,OFFSET($W$634,$B1085,O$631-1)/SUMPRODUCT(--($D$631:$V$631=O$631),--($D1687:$V1687=1)),0)+SUM(O1084)+IF(COUNTIF(O$1237:O1687,1)=1,5,0)+IF(COUNTIF(P1085:$W1085,"&gt;"&amp;0)&lt;5,IF(AND(COUNTIF(O$1237:O1687,1)&gt;7,MOD(1+IFERROR(MATCH($C1085,总览!$D$46:$D$345,1)+1,1),7)=0),$C$3,0),0)</f>
        <v>608.288392857146</v>
      </c>
      <c r="P1085" s="131" cm="1">
        <f ca="1" t="array" ref="P1085">IF(P1687=1,OFFSET($W$634,$B1085,P$631-1)/SUMPRODUCT(--($D$631:$V$631=P$631),--($D1687:$V1687=1)),0)+SUM(P1084)+IF(COUNTIF(P$1237:P1687,1)=1,5,0)+IF(COUNTIF(Q1085:$W1085,"&gt;"&amp;0)&lt;5,IF(AND(COUNTIF(P$1237:P1687,1)&gt;7,MOD(1+IFERROR(MATCH($C1085,总览!$D$46:$D$345,1)+1,1),7)=0),$C$3,0),0)</f>
        <v>597.407142857146</v>
      </c>
      <c r="Q1085" s="131" cm="1">
        <f ca="1" t="array" ref="Q1085">IF(Q1687=1,OFFSET($W$634,$B1085,Q$631-1)/SUMPRODUCT(--($D$631:$V$631=Q$631),--($D1687:$V1687=1)),0)+SUM(Q1084)+IF(COUNTIF(Q$1237:Q1687,1)=1,5,0)+IF(COUNTIF(R1085:$W1085,"&gt;"&amp;0)&lt;5,IF(AND(COUNTIF(Q$1237:Q1687,1)&gt;7,MOD(1+IFERROR(MATCH($C1085,总览!$D$46:$D$345,1)+1,1),7)=0),$C$3,0),0)</f>
        <v>610.788392857146</v>
      </c>
      <c r="R1085" s="131" cm="1">
        <f ca="1" t="array" ref="R1085">IF(R1687=1,OFFSET($W$634,$B1085,R$631-1)/SUMPRODUCT(--($D$631:$V$631=R$631),--($D1687:$V1687=1)),0)+SUM(R1084)+IF(COUNTIF(R$1237:R1687,1)=1,5,0)+IF(COUNTIF(S1085:$W1085,"&gt;"&amp;0)&lt;5,IF(AND(COUNTIF(R$1237:R1687,1)&gt;7,MOD(1+IFERROR(MATCH($C1085,总览!$D$46:$D$345,1)+1,1),7)=0),$C$3,0),0)</f>
        <v>602.407142857146</v>
      </c>
      <c r="S1085" s="131" cm="1">
        <f ca="1" t="array" ref="S1085">IF(S1687=1,OFFSET($W$634,$B1085,S$631-1)/SUMPRODUCT(--($D$631:$V$631=S$631),--($D1687:$V1687=1)),0)+SUM(S1084)+IF(COUNTIF(S$1237:S1687,1)=1,5,0)+IF(COUNTIF(T1085:$W1085,"&gt;"&amp;0)&lt;5,IF(AND(COUNTIF(S$1237:S1687,1)&gt;7,MOD(1+IFERROR(MATCH($C1085,总览!$D$46:$D$345,1)+1,1),7)=0),$C$3,0),0)</f>
        <v>694.907142857147</v>
      </c>
      <c r="T1085" s="131" cm="1">
        <f ca="1" t="array" ref="T1085">IF(T1687=1,OFFSET($W$634,$B1085,T$631-1)/SUMPRODUCT(--($D$631:$V$631=T$631),--($D1687:$V1687=1)),0)+SUM(T1084)+IF(COUNTIF(T$1237:T1687,1)=1,5,0)+IF(COUNTIF(U1085:$W1085,"&gt;"&amp;0)&lt;5,IF(AND(COUNTIF(T$1237:T1687,1)&gt;7,MOD(1+IFERROR(MATCH($C1085,总览!$D$46:$D$345,1)+1,1),7)=0),$C$3,0),0)</f>
        <v>508.682209607398</v>
      </c>
      <c r="U1085" s="131" cm="1">
        <f ca="1" t="array" ref="U1085">IF(U1687=1,OFFSET($W$634,$B1085,U$631-1)/SUMPRODUCT(--($D$631:$V$631=U$631),--($D1687:$V1687=1)),0)+SUM(U1084)+IF(COUNTIF(U$1237:U1687,1)=1,5,0)+IF(COUNTIF(V1085:$W1085,"&gt;"&amp;0)&lt;5,IF(AND(COUNTIF(U$1237:U1687,1)&gt;7,MOD(1+IFERROR(MATCH($C1085,总览!$D$46:$D$345,1)+1,1),7)=0),$C$3,0),0)</f>
        <v>514.202995962698</v>
      </c>
      <c r="V1085" s="131" cm="1">
        <f ca="1" t="array" ref="V1085">IF(V1687=1,OFFSET($W$634,$B1085,V$631-1)/SUMPRODUCT(--($D$631:$V$631=V$631),--($D1687:$V1687=1)),0)+SUM(V1084)+IF(COUNTIF(V$1237:V1687,1)=1,5,0)+IF(COUNTIF(W1085:$W1085,"&gt;"&amp;0)&lt;5,IF(AND(COUNTIF(V$1237:V1687,1)&gt;7,MOD(1+IFERROR(MATCH($C1085,总览!$D$46:$D$345,1)+1,1),7)=0),$C$3,0),0)</f>
        <v>534.029995675131</v>
      </c>
      <c r="W1085" s="135" cm="1">
        <f ca="1" t="array" ref="W1085">SUMPRODUCT(TRANSPOSE($AA1085:$AG1085),OFFSET($L$9:$L$15,0,W$631-1))</f>
        <v>16.8502200646615</v>
      </c>
      <c r="X1085" s="135" cm="1">
        <f ca="1" t="array" ref="X1085">SUMPRODUCT(TRANSPOSE($AA1085:$AG1085),OFFSET($L$9:$L$15,0,X$631-1))</f>
        <v>20</v>
      </c>
      <c r="Y1085" s="135" cm="1">
        <f ca="1" t="array" ref="Y1085">SUMPRODUCT(TRANSPOSE($AA1085:$AG1085),OFFSET($L$9:$L$15,0,Y$631-1))</f>
        <v>10</v>
      </c>
      <c r="Z1085" s="135" cm="1">
        <f ca="1" t="array" ref="Z1085">SUMPRODUCT(TRANSPOSE($AA1085:$AG1085),OFFSET($L$9:$L$15,0,Z$631-1))</f>
        <v>3.14977993533847</v>
      </c>
      <c r="AA1085" s="136">
        <f ca="1" t="shared" ref="AA1085:AG1085" si="1155">AH1085-AH1084</f>
        <v>0</v>
      </c>
      <c r="AB1085" s="136">
        <f ca="1" t="shared" si="1155"/>
        <v>0</v>
      </c>
      <c r="AC1085" s="136">
        <f ca="1" t="shared" si="1155"/>
        <v>0</v>
      </c>
      <c r="AD1085" s="136">
        <f ca="1" t="shared" si="1155"/>
        <v>0</v>
      </c>
      <c r="AE1085" s="136">
        <f ca="1" t="shared" si="1155"/>
        <v>0</v>
      </c>
      <c r="AF1085" s="136">
        <f ca="1" t="shared" si="1155"/>
        <v>0</v>
      </c>
      <c r="AG1085" s="136">
        <f ca="1" t="shared" si="1155"/>
        <v>100</v>
      </c>
      <c r="AH1085" s="136">
        <f ca="1" t="shared" si="1151"/>
        <v>450</v>
      </c>
      <c r="AI1085" s="136">
        <f ca="1" t="shared" ref="AI1085:AN1085" si="1156">IF($C1085&gt;OFFSET($Q$8,MATCH(AI$634,$AH$634:$AN$634,0),0),OFFSET($P$8,MATCH(AI$634,$AH$634:$AN$634,0),0),MAX(0,$C1085-OFFSET($Q$8,RIGHT(AI$634,1)-1,0)))</f>
        <v>909</v>
      </c>
      <c r="AJ1085" s="136">
        <f ca="1" t="shared" si="1156"/>
        <v>1818</v>
      </c>
      <c r="AK1085" s="136">
        <f ca="1" t="shared" si="1156"/>
        <v>2727</v>
      </c>
      <c r="AL1085" s="136">
        <f ca="1" t="shared" si="1156"/>
        <v>3636</v>
      </c>
      <c r="AM1085" s="136">
        <f ca="1" t="shared" si="1156"/>
        <v>4545</v>
      </c>
      <c r="AN1085" s="136">
        <f ca="1" t="shared" si="1156"/>
        <v>31015</v>
      </c>
    </row>
    <row r="1086" s="106" customFormat="1" ht="16.5" spans="2:40">
      <c r="B1086" s="117">
        <v>452</v>
      </c>
      <c r="C1086" s="130">
        <f t="shared" si="1149"/>
        <v>45200</v>
      </c>
      <c r="D1086" s="131" cm="1">
        <f ca="1" t="array" ref="D1086">IF(D1688=1,OFFSET($W$634,$B1086,D$631-1)/SUMPRODUCT(--($D$631:$V$631=D$631),--($D1688:$V1688=1)),0)+SUM(D1085)+IF(COUNTIF(D$1237:D1688,1)=1,5,0)+IF(COUNTIF(E1086:$W1086,"&gt;"&amp;0)&lt;5,IF(AND(COUNTIF(D$1237:D1688,1)&gt;7,MOD(1+IFERROR(MATCH($C1086,总览!$D$46:$D$345,1)+1,1),7)=0),$C$3,0),0)</f>
        <v>2866.47000627317</v>
      </c>
      <c r="E1086" s="131" cm="1">
        <f ca="1" t="array" ref="E1086">IF(E1688=1,OFFSET($W$634,$B1086,E$631-1)/SUMPRODUCT(--($D$631:$V$631=E$631),--($D1688:$V1688=1)),0)+SUM(E1085)+IF(COUNTIF(E$1237:E1688,1)=1,5,0)+IF(COUNTIF(F1086:$W1086,"&gt;"&amp;0)&lt;5,IF(AND(COUNTIF(E$1237:E1688,1)&gt;7,MOD(1+IFERROR(MATCH($C1086,总览!$D$46:$D$345,1)+1,1),7)=0),$C$3,0),0)</f>
        <v>2866.47000627317</v>
      </c>
      <c r="F1086" s="131" cm="1">
        <f ca="1" t="array" ref="F1086">IF(F1688=1,OFFSET($W$634,$B1086,F$631-1)/SUMPRODUCT(--($D$631:$V$631=F$631),--($D1688:$V1688=1)),0)+SUM(F1085)+IF(COUNTIF(F$1237:F1688,1)=1,5,0)+IF(COUNTIF(G1086:$W1086,"&gt;"&amp;0)&lt;5,IF(AND(COUNTIF(F$1237:F1688,1)&gt;7,MOD(1+IFERROR(MATCH($C1086,总览!$D$46:$D$345,1)+1,1),7)=0),$C$3,0),0)</f>
        <v>2866.47000627317</v>
      </c>
      <c r="G1086" s="131" cm="1">
        <f ca="1" t="array" ref="G1086">IF(G1688=1,OFFSET($W$634,$B1086,G$631-1)/SUMPRODUCT(--($D$631:$V$631=G$631),--($D1688:$V1688=1)),0)+SUM(G1085)+IF(COUNTIF(G$1237:G1688,1)=1,5,0)+IF(COUNTIF(H1086:$W1086,"&gt;"&amp;0)&lt;5,IF(AND(COUNTIF(G$1237:G1688,1)&gt;7,MOD(1+IFERROR(MATCH($C1086,总览!$D$46:$D$345,1)+1,1),7)=0),$C$3,0),0)</f>
        <v>1446.06666666666</v>
      </c>
      <c r="H1086" s="131" cm="1">
        <f ca="1" t="array" ref="H1086">IF(H1688=1,OFFSET($W$634,$B1086,H$631-1)/SUMPRODUCT(--($D$631:$V$631=H$631),--($D1688:$V1688=1)),0)+SUM(H1085)+IF(COUNTIF(H$1237:H1688,1)=1,5,0)+IF(COUNTIF(I1086:$W1086,"&gt;"&amp;0)&lt;5,IF(AND(COUNTIF(H$1237:H1688,1)&gt;7,MOD(1+IFERROR(MATCH($C1086,总览!$D$46:$D$345,1)+1,1),7)=0),$C$3,0),0)</f>
        <v>1446.06666666666</v>
      </c>
      <c r="I1086" s="131" cm="1">
        <f ca="1" t="array" ref="I1086">IF(I1688=1,OFFSET($W$634,$B1086,I$631-1)/SUMPRODUCT(--($D$631:$V$631=I$631),--($D1688:$V1688=1)),0)+SUM(I1085)+IF(COUNTIF(I$1237:I1688,1)=1,5,0)+IF(COUNTIF(J1086:$W1086,"&gt;"&amp;0)&lt;5,IF(AND(COUNTIF(I$1237:I1688,1)&gt;7,MOD(1+IFERROR(MATCH($C1086,总览!$D$46:$D$345,1)+1,1),7)=0),$C$3,0),0)</f>
        <v>1446.06666666666</v>
      </c>
      <c r="J1086" s="131" cm="1">
        <f ca="1" t="array" ref="J1086">IF(J1688=1,OFFSET($W$634,$B1086,J$631-1)/SUMPRODUCT(--($D$631:$V$631=J$631),--($D1688:$V1688=1)),0)+SUM(J1085)+IF(COUNTIF(J$1237:J1688,1)=1,5,0)+IF(COUNTIF(K1086:$W1086,"&gt;"&amp;0)&lt;5,IF(AND(COUNTIF(J$1237:J1688,1)&gt;7,MOD(1+IFERROR(MATCH($C1086,总览!$D$46:$D$345,1)+1,1),7)=0),$C$3,0),0)</f>
        <v>1442.73333333333</v>
      </c>
      <c r="K1086" s="131" cm="1">
        <f ca="1" t="array" ref="K1086">IF(K1688=1,OFFSET($W$634,$B1086,K$631-1)/SUMPRODUCT(--($D$631:$V$631=K$631),--($D1688:$V1688=1)),0)+SUM(K1085)+IF(COUNTIF(K$1237:K1688,1)=1,5,0)+IF(COUNTIF(L1086:$W1086,"&gt;"&amp;0)&lt;5,IF(AND(COUNTIF(K$1237:K1688,1)&gt;7,MOD(1+IFERROR(MATCH($C1086,总览!$D$46:$D$345,1)+1,1),7)=0),$C$3,0),0)</f>
        <v>1440.23333333333</v>
      </c>
      <c r="L1086" s="131" cm="1">
        <f ca="1" t="array" ref="L1086">IF(L1688=1,OFFSET($W$634,$B1086,L$631-1)/SUMPRODUCT(--($D$631:$V$631=L$631),--($D1688:$V1688=1)),0)+SUM(L1085)+IF(COUNTIF(L$1237:L1688,1)=1,5,0)+IF(COUNTIF(M1086:$W1086,"&gt;"&amp;0)&lt;5,IF(AND(COUNTIF(L$1237:L1688,1)&gt;7,MOD(1+IFERROR(MATCH($C1086,总览!$D$46:$D$345,1)+1,1),7)=0),$C$3,0),0)</f>
        <v>1440.23333333333</v>
      </c>
      <c r="M1086" s="131" cm="1">
        <f ca="1" t="array" ref="M1086">IF(M1688=1,OFFSET($W$634,$B1086,M$631-1)/SUMPRODUCT(--($D$631:$V$631=M$631),--($D1688:$V1688=1)),0)+SUM(M1085)+IF(COUNTIF(M$1237:M1688,1)=1,5,0)+IF(COUNTIF(N1086:$W1086,"&gt;"&amp;0)&lt;5,IF(AND(COUNTIF(M$1237:M1688,1)&gt;7,MOD(1+IFERROR(MATCH($C1086,总览!$D$46:$D$345,1)+1,1),7)=0),$C$3,0),0)</f>
        <v>603.466964285717</v>
      </c>
      <c r="N1086" s="131" cm="1">
        <f ca="1" t="array" ref="N1086">IF(N1688=1,OFFSET($W$634,$B1086,N$631-1)/SUMPRODUCT(--($D$631:$V$631=N$631),--($D1688:$V1688=1)),0)+SUM(N1085)+IF(COUNTIF(N$1237:N1688,1)=1,5,0)+IF(COUNTIF(O1086:$W1086,"&gt;"&amp;0)&lt;5,IF(AND(COUNTIF(N$1237:N1688,1)&gt;7,MOD(1+IFERROR(MATCH($C1086,总览!$D$46:$D$345,1)+1,1),7)=0),$C$3,0),0)</f>
        <v>604.716964285717</v>
      </c>
      <c r="O1086" s="131" cm="1">
        <f ca="1" t="array" ref="O1086">IF(O1688=1,OFFSET($W$634,$B1086,O$631-1)/SUMPRODUCT(--($D$631:$V$631=O$631),--($D1688:$V1688=1)),0)+SUM(O1085)+IF(COUNTIF(O$1237:O1688,1)=1,5,0)+IF(COUNTIF(P1086:$W1086,"&gt;"&amp;0)&lt;5,IF(AND(COUNTIF(O$1237:O1688,1)&gt;7,MOD(1+IFERROR(MATCH($C1086,总览!$D$46:$D$345,1)+1,1),7)=0),$C$3,0),0)</f>
        <v>609.716964285717</v>
      </c>
      <c r="P1086" s="131" cm="1">
        <f ca="1" t="array" ref="P1086">IF(P1688=1,OFFSET($W$634,$B1086,P$631-1)/SUMPRODUCT(--($D$631:$V$631=P$631),--($D1688:$V1688=1)),0)+SUM(P1085)+IF(COUNTIF(P$1237:P1688,1)=1,5,0)+IF(COUNTIF(Q1086:$W1086,"&gt;"&amp;0)&lt;5,IF(AND(COUNTIF(P$1237:P1688,1)&gt;7,MOD(1+IFERROR(MATCH($C1086,总览!$D$46:$D$345,1)+1,1),7)=0),$C$3,0),0)</f>
        <v>598.835714285717</v>
      </c>
      <c r="Q1086" s="131" cm="1">
        <f ca="1" t="array" ref="Q1086">IF(Q1688=1,OFFSET($W$634,$B1086,Q$631-1)/SUMPRODUCT(--($D$631:$V$631=Q$631),--($D1688:$V1688=1)),0)+SUM(Q1085)+IF(COUNTIF(Q$1237:Q1688,1)=1,5,0)+IF(COUNTIF(R1086:$W1086,"&gt;"&amp;0)&lt;5,IF(AND(COUNTIF(Q$1237:Q1688,1)&gt;7,MOD(1+IFERROR(MATCH($C1086,总览!$D$46:$D$345,1)+1,1),7)=0),$C$3,0),0)</f>
        <v>612.216964285717</v>
      </c>
      <c r="R1086" s="131" cm="1">
        <f ca="1" t="array" ref="R1086">IF(R1688=1,OFFSET($W$634,$B1086,R$631-1)/SUMPRODUCT(--($D$631:$V$631=R$631),--($D1688:$V1688=1)),0)+SUM(R1085)+IF(COUNTIF(R$1237:R1688,1)=1,5,0)+IF(COUNTIF(S1086:$W1086,"&gt;"&amp;0)&lt;5,IF(AND(COUNTIF(R$1237:R1688,1)&gt;7,MOD(1+IFERROR(MATCH($C1086,总览!$D$46:$D$345,1)+1,1),7)=0),$C$3,0),0)</f>
        <v>603.835714285717</v>
      </c>
      <c r="S1086" s="131" cm="1">
        <f ca="1" t="array" ref="S1086">IF(S1688=1,OFFSET($W$634,$B1086,S$631-1)/SUMPRODUCT(--($D$631:$V$631=S$631),--($D1688:$V1688=1)),0)+SUM(S1085)+IF(COUNTIF(S$1237:S1688,1)=1,5,0)+IF(COUNTIF(T1086:$W1086,"&gt;"&amp;0)&lt;5,IF(AND(COUNTIF(S$1237:S1688,1)&gt;7,MOD(1+IFERROR(MATCH($C1086,总览!$D$46:$D$345,1)+1,1),7)=0),$C$3,0),0)</f>
        <v>696.335714285718</v>
      </c>
      <c r="T1086" s="131" cm="1">
        <f ca="1" t="array" ref="T1086">IF(T1688=1,OFFSET($W$634,$B1086,T$631-1)/SUMPRODUCT(--($D$631:$V$631=T$631),--($D1688:$V1688=1)),0)+SUM(T1085)+IF(COUNTIF(T$1237:T1688,1)=1,5,0)+IF(COUNTIF(U1086:$W1086,"&gt;"&amp;0)&lt;5,IF(AND(COUNTIF(T$1237:T1688,1)&gt;7,MOD(1+IFERROR(MATCH($C1086,总览!$D$46:$D$345,1)+1,1),7)=0),$C$3,0),0)</f>
        <v>509.732136252511</v>
      </c>
      <c r="U1086" s="131" cm="1">
        <f ca="1" t="array" ref="U1086">IF(U1688=1,OFFSET($W$634,$B1086,U$631-1)/SUMPRODUCT(--($D$631:$V$631=U$631),--($D1688:$V1688=1)),0)+SUM(U1085)+IF(COUNTIF(U$1237:U1688,1)=1,5,0)+IF(COUNTIF(V1086:$W1086,"&gt;"&amp;0)&lt;5,IF(AND(COUNTIF(U$1237:U1688,1)&gt;7,MOD(1+IFERROR(MATCH($C1086,总览!$D$46:$D$345,1)+1,1),7)=0),$C$3,0),0)</f>
        <v>515.25292260781</v>
      </c>
      <c r="V1086" s="131" cm="1">
        <f ca="1" t="array" ref="V1086">IF(V1688=1,OFFSET($W$634,$B1086,V$631-1)/SUMPRODUCT(--($D$631:$V$631=V$631),--($D1688:$V1688=1)),0)+SUM(V1085)+IF(COUNTIF(V$1237:V1688,1)=1,5,0)+IF(COUNTIF(W1086:$W1086,"&gt;"&amp;0)&lt;5,IF(AND(COUNTIF(V$1237:V1688,1)&gt;7,MOD(1+IFERROR(MATCH($C1086,总览!$D$46:$D$345,1)+1,1),7)=0),$C$3,0),0)</f>
        <v>535.079922320243</v>
      </c>
      <c r="W1086" s="135" cm="1">
        <f ca="1" t="array" ref="W1086">SUMPRODUCT(TRANSPOSE($AA1086:$AG1086),OFFSET($L$9:$L$15,0,W$631-1))</f>
        <v>16.8502200646615</v>
      </c>
      <c r="X1086" s="135" cm="1">
        <f ca="1" t="array" ref="X1086">SUMPRODUCT(TRANSPOSE($AA1086:$AG1086),OFFSET($L$9:$L$15,0,X$631-1))</f>
        <v>20</v>
      </c>
      <c r="Y1086" s="135" cm="1">
        <f ca="1" t="array" ref="Y1086">SUMPRODUCT(TRANSPOSE($AA1086:$AG1086),OFFSET($L$9:$L$15,0,Y$631-1))</f>
        <v>10</v>
      </c>
      <c r="Z1086" s="135" cm="1">
        <f ca="1" t="array" ref="Z1086">SUMPRODUCT(TRANSPOSE($AA1086:$AG1086),OFFSET($L$9:$L$15,0,Z$631-1))</f>
        <v>3.14977993533847</v>
      </c>
      <c r="AA1086" s="136">
        <f ca="1" t="shared" ref="AA1086:AG1086" si="1157">AH1086-AH1085</f>
        <v>0</v>
      </c>
      <c r="AB1086" s="136">
        <f ca="1" t="shared" si="1157"/>
        <v>0</v>
      </c>
      <c r="AC1086" s="136">
        <f ca="1" t="shared" si="1157"/>
        <v>0</v>
      </c>
      <c r="AD1086" s="136">
        <f ca="1" t="shared" si="1157"/>
        <v>0</v>
      </c>
      <c r="AE1086" s="136">
        <f ca="1" t="shared" si="1157"/>
        <v>0</v>
      </c>
      <c r="AF1086" s="136">
        <f ca="1" t="shared" si="1157"/>
        <v>0</v>
      </c>
      <c r="AG1086" s="136">
        <f ca="1" t="shared" si="1157"/>
        <v>100</v>
      </c>
      <c r="AH1086" s="136">
        <f ca="1" t="shared" si="1151"/>
        <v>450</v>
      </c>
      <c r="AI1086" s="136">
        <f ca="1" t="shared" ref="AI1086:AN1086" si="1158">IF($C1086&gt;OFFSET($Q$8,MATCH(AI$634,$AH$634:$AN$634,0),0),OFFSET($P$8,MATCH(AI$634,$AH$634:$AN$634,0),0),MAX(0,$C1086-OFFSET($Q$8,RIGHT(AI$634,1)-1,0)))</f>
        <v>909</v>
      </c>
      <c r="AJ1086" s="136">
        <f ca="1" t="shared" si="1158"/>
        <v>1818</v>
      </c>
      <c r="AK1086" s="136">
        <f ca="1" t="shared" si="1158"/>
        <v>2727</v>
      </c>
      <c r="AL1086" s="136">
        <f ca="1" t="shared" si="1158"/>
        <v>3636</v>
      </c>
      <c r="AM1086" s="136">
        <f ca="1" t="shared" si="1158"/>
        <v>4545</v>
      </c>
      <c r="AN1086" s="136">
        <f ca="1" t="shared" si="1158"/>
        <v>31115</v>
      </c>
    </row>
    <row r="1087" s="106" customFormat="1" ht="16.5" spans="2:40">
      <c r="B1087" s="117">
        <v>453</v>
      </c>
      <c r="C1087" s="130">
        <f t="shared" si="1149"/>
        <v>45300</v>
      </c>
      <c r="D1087" s="131" cm="1">
        <f ca="1" t="array" ref="D1087">IF(D1689=1,OFFSET($W$634,$B1087,D$631-1)/SUMPRODUCT(--($D$631:$V$631=D$631),--($D1689:$V1689=1)),0)+SUM(D1086)+IF(COUNTIF(D$1237:D1689,1)=1,5,0)+IF(COUNTIF(E1087:$W1087,"&gt;"&amp;0)&lt;5,IF(AND(COUNTIF(D$1237:D1689,1)&gt;7,MOD(1+IFERROR(MATCH($C1087,总览!$D$46:$D$345,1)+1,1),7)=0),$C$3,0),0)</f>
        <v>2872.08674629472</v>
      </c>
      <c r="E1087" s="131" cm="1">
        <f ca="1" t="array" ref="E1087">IF(E1689=1,OFFSET($W$634,$B1087,E$631-1)/SUMPRODUCT(--($D$631:$V$631=E$631),--($D1689:$V1689=1)),0)+SUM(E1086)+IF(COUNTIF(E$1237:E1689,1)=1,5,0)+IF(COUNTIF(F1087:$W1087,"&gt;"&amp;0)&lt;5,IF(AND(COUNTIF(E$1237:E1689,1)&gt;7,MOD(1+IFERROR(MATCH($C1087,总览!$D$46:$D$345,1)+1,1),7)=0),$C$3,0),0)</f>
        <v>2872.08674629472</v>
      </c>
      <c r="F1087" s="131" cm="1">
        <f ca="1" t="array" ref="F1087">IF(F1689=1,OFFSET($W$634,$B1087,F$631-1)/SUMPRODUCT(--($D$631:$V$631=F$631),--($D1689:$V1689=1)),0)+SUM(F1086)+IF(COUNTIF(F$1237:F1689,1)=1,5,0)+IF(COUNTIF(G1087:$W1087,"&gt;"&amp;0)&lt;5,IF(AND(COUNTIF(F$1237:F1689,1)&gt;7,MOD(1+IFERROR(MATCH($C1087,总览!$D$46:$D$345,1)+1,1),7)=0),$C$3,0),0)</f>
        <v>2872.08674629472</v>
      </c>
      <c r="G1087" s="131" cm="1">
        <f ca="1" t="array" ref="G1087">IF(G1689=1,OFFSET($W$634,$B1087,G$631-1)/SUMPRODUCT(--($D$631:$V$631=G$631),--($D1689:$V1689=1)),0)+SUM(G1086)+IF(COUNTIF(G$1237:G1689,1)=1,5,0)+IF(COUNTIF(H1087:$W1087,"&gt;"&amp;0)&lt;5,IF(AND(COUNTIF(G$1237:G1689,1)&gt;7,MOD(1+IFERROR(MATCH($C1087,总览!$D$46:$D$345,1)+1,1),7)=0),$C$3,0),0)</f>
        <v>1449.39999999999</v>
      </c>
      <c r="H1087" s="131" cm="1">
        <f ca="1" t="array" ref="H1087">IF(H1689=1,OFFSET($W$634,$B1087,H$631-1)/SUMPRODUCT(--($D$631:$V$631=H$631),--($D1689:$V1689=1)),0)+SUM(H1086)+IF(COUNTIF(H$1237:H1689,1)=1,5,0)+IF(COUNTIF(I1087:$W1087,"&gt;"&amp;0)&lt;5,IF(AND(COUNTIF(H$1237:H1689,1)&gt;7,MOD(1+IFERROR(MATCH($C1087,总览!$D$46:$D$345,1)+1,1),7)=0),$C$3,0),0)</f>
        <v>1449.39999999999</v>
      </c>
      <c r="I1087" s="131" cm="1">
        <f ca="1" t="array" ref="I1087">IF(I1689=1,OFFSET($W$634,$B1087,I$631-1)/SUMPRODUCT(--($D$631:$V$631=I$631),--($D1689:$V1689=1)),0)+SUM(I1086)+IF(COUNTIF(I$1237:I1689,1)=1,5,0)+IF(COUNTIF(J1087:$W1087,"&gt;"&amp;0)&lt;5,IF(AND(COUNTIF(I$1237:I1689,1)&gt;7,MOD(1+IFERROR(MATCH($C1087,总览!$D$46:$D$345,1)+1,1),7)=0),$C$3,0),0)</f>
        <v>1449.39999999999</v>
      </c>
      <c r="J1087" s="131" cm="1">
        <f ca="1" t="array" ref="J1087">IF(J1689=1,OFFSET($W$634,$B1087,J$631-1)/SUMPRODUCT(--($D$631:$V$631=J$631),--($D1689:$V1689=1)),0)+SUM(J1086)+IF(COUNTIF(J$1237:J1689,1)=1,5,0)+IF(COUNTIF(K1087:$W1087,"&gt;"&amp;0)&lt;5,IF(AND(COUNTIF(J$1237:J1689,1)&gt;7,MOD(1+IFERROR(MATCH($C1087,总览!$D$46:$D$345,1)+1,1),7)=0),$C$3,0),0)</f>
        <v>1446.06666666666</v>
      </c>
      <c r="K1087" s="131" cm="1">
        <f ca="1" t="array" ref="K1087">IF(K1689=1,OFFSET($W$634,$B1087,K$631-1)/SUMPRODUCT(--($D$631:$V$631=K$631),--($D1689:$V1689=1)),0)+SUM(K1086)+IF(COUNTIF(K$1237:K1689,1)=1,5,0)+IF(COUNTIF(L1087:$W1087,"&gt;"&amp;0)&lt;5,IF(AND(COUNTIF(K$1237:K1689,1)&gt;7,MOD(1+IFERROR(MATCH($C1087,总览!$D$46:$D$345,1)+1,1),7)=0),$C$3,0),0)</f>
        <v>1443.56666666666</v>
      </c>
      <c r="L1087" s="131" cm="1">
        <f ca="1" t="array" ref="L1087">IF(L1689=1,OFFSET($W$634,$B1087,L$631-1)/SUMPRODUCT(--($D$631:$V$631=L$631),--($D1689:$V1689=1)),0)+SUM(L1086)+IF(COUNTIF(L$1237:L1689,1)=1,5,0)+IF(COUNTIF(M1087:$W1087,"&gt;"&amp;0)&lt;5,IF(AND(COUNTIF(L$1237:L1689,1)&gt;7,MOD(1+IFERROR(MATCH($C1087,总览!$D$46:$D$345,1)+1,1),7)=0),$C$3,0),0)</f>
        <v>1443.56666666666</v>
      </c>
      <c r="M1087" s="131" cm="1">
        <f ca="1" t="array" ref="M1087">IF(M1689=1,OFFSET($W$634,$B1087,M$631-1)/SUMPRODUCT(--($D$631:$V$631=M$631),--($D1689:$V1689=1)),0)+SUM(M1086)+IF(COUNTIF(M$1237:M1689,1)=1,5,0)+IF(COUNTIF(N1087:$W1087,"&gt;"&amp;0)&lt;5,IF(AND(COUNTIF(M$1237:M1689,1)&gt;7,MOD(1+IFERROR(MATCH($C1087,总览!$D$46:$D$345,1)+1,1),7)=0),$C$3,0),0)</f>
        <v>604.895535714288</v>
      </c>
      <c r="N1087" s="131" cm="1">
        <f ca="1" t="array" ref="N1087">IF(N1689=1,OFFSET($W$634,$B1087,N$631-1)/SUMPRODUCT(--($D$631:$V$631=N$631),--($D1689:$V1689=1)),0)+SUM(N1086)+IF(COUNTIF(N$1237:N1689,1)=1,5,0)+IF(COUNTIF(O1087:$W1087,"&gt;"&amp;0)&lt;5,IF(AND(COUNTIF(N$1237:N1689,1)&gt;7,MOD(1+IFERROR(MATCH($C1087,总览!$D$46:$D$345,1)+1,1),7)=0),$C$3,0),0)</f>
        <v>606.145535714288</v>
      </c>
      <c r="O1087" s="131" cm="1">
        <f ca="1" t="array" ref="O1087">IF(O1689=1,OFFSET($W$634,$B1087,O$631-1)/SUMPRODUCT(--($D$631:$V$631=O$631),--($D1689:$V1689=1)),0)+SUM(O1086)+IF(COUNTIF(O$1237:O1689,1)=1,5,0)+IF(COUNTIF(P1087:$W1087,"&gt;"&amp;0)&lt;5,IF(AND(COUNTIF(O$1237:O1689,1)&gt;7,MOD(1+IFERROR(MATCH($C1087,总览!$D$46:$D$345,1)+1,1),7)=0),$C$3,0),0)</f>
        <v>611.145535714288</v>
      </c>
      <c r="P1087" s="131" cm="1">
        <f ca="1" t="array" ref="P1087">IF(P1689=1,OFFSET($W$634,$B1087,P$631-1)/SUMPRODUCT(--($D$631:$V$631=P$631),--($D1689:$V1689=1)),0)+SUM(P1086)+IF(COUNTIF(P$1237:P1689,1)=1,5,0)+IF(COUNTIF(Q1087:$W1087,"&gt;"&amp;0)&lt;5,IF(AND(COUNTIF(P$1237:P1689,1)&gt;7,MOD(1+IFERROR(MATCH($C1087,总览!$D$46:$D$345,1)+1,1),7)=0),$C$3,0),0)</f>
        <v>600.264285714288</v>
      </c>
      <c r="Q1087" s="131" cm="1">
        <f ca="1" t="array" ref="Q1087">IF(Q1689=1,OFFSET($W$634,$B1087,Q$631-1)/SUMPRODUCT(--($D$631:$V$631=Q$631),--($D1689:$V1689=1)),0)+SUM(Q1086)+IF(COUNTIF(Q$1237:Q1689,1)=1,5,0)+IF(COUNTIF(R1087:$W1087,"&gt;"&amp;0)&lt;5,IF(AND(COUNTIF(Q$1237:Q1689,1)&gt;7,MOD(1+IFERROR(MATCH($C1087,总览!$D$46:$D$345,1)+1,1),7)=0),$C$3,0),0)</f>
        <v>613.645535714288</v>
      </c>
      <c r="R1087" s="131" cm="1">
        <f ca="1" t="array" ref="R1087">IF(R1689=1,OFFSET($W$634,$B1087,R$631-1)/SUMPRODUCT(--($D$631:$V$631=R$631),--($D1689:$V1689=1)),0)+SUM(R1086)+IF(COUNTIF(R$1237:R1689,1)=1,5,0)+IF(COUNTIF(S1087:$W1087,"&gt;"&amp;0)&lt;5,IF(AND(COUNTIF(R$1237:R1689,1)&gt;7,MOD(1+IFERROR(MATCH($C1087,总览!$D$46:$D$345,1)+1,1),7)=0),$C$3,0),0)</f>
        <v>605.264285714288</v>
      </c>
      <c r="S1087" s="131" cm="1">
        <f ca="1" t="array" ref="S1087">IF(S1689=1,OFFSET($W$634,$B1087,S$631-1)/SUMPRODUCT(--($D$631:$V$631=S$631),--($D1689:$V1689=1)),0)+SUM(S1086)+IF(COUNTIF(S$1237:S1689,1)=1,5,0)+IF(COUNTIF(T1087:$W1087,"&gt;"&amp;0)&lt;5,IF(AND(COUNTIF(S$1237:S1689,1)&gt;7,MOD(1+IFERROR(MATCH($C1087,总览!$D$46:$D$345,1)+1,1),7)=0),$C$3,0),0)</f>
        <v>697.76428571429</v>
      </c>
      <c r="T1087" s="131" cm="1">
        <f ca="1" t="array" ref="T1087">IF(T1689=1,OFFSET($W$634,$B1087,T$631-1)/SUMPRODUCT(--($D$631:$V$631=T$631),--($D1689:$V1689=1)),0)+SUM(T1086)+IF(COUNTIF(T$1237:T1689,1)=1,5,0)+IF(COUNTIF(U1087:$W1087,"&gt;"&amp;0)&lt;5,IF(AND(COUNTIF(T$1237:T1689,1)&gt;7,MOD(1+IFERROR(MATCH($C1087,总览!$D$46:$D$345,1)+1,1),7)=0),$C$3,0),0)</f>
        <v>510.782062897624</v>
      </c>
      <c r="U1087" s="131" cm="1">
        <f ca="1" t="array" ref="U1087">IF(U1689=1,OFFSET($W$634,$B1087,U$631-1)/SUMPRODUCT(--($D$631:$V$631=U$631),--($D1689:$V1689=1)),0)+SUM(U1086)+IF(COUNTIF(U$1237:U1689,1)=1,5,0)+IF(COUNTIF(V1087:$W1087,"&gt;"&amp;0)&lt;5,IF(AND(COUNTIF(U$1237:U1689,1)&gt;7,MOD(1+IFERROR(MATCH($C1087,总览!$D$46:$D$345,1)+1,1),7)=0),$C$3,0),0)</f>
        <v>516.302849252923</v>
      </c>
      <c r="V1087" s="131" cm="1">
        <f ca="1" t="array" ref="V1087">IF(V1689=1,OFFSET($W$634,$B1087,V$631-1)/SUMPRODUCT(--($D$631:$V$631=V$631),--($D1689:$V1689=1)),0)+SUM(V1086)+IF(COUNTIF(V$1237:V1689,1)=1,5,0)+IF(COUNTIF(W1087:$W1087,"&gt;"&amp;0)&lt;5,IF(AND(COUNTIF(V$1237:V1689,1)&gt;7,MOD(1+IFERROR(MATCH($C1087,总览!$D$46:$D$345,1)+1,1),7)=0),$C$3,0),0)</f>
        <v>536.129848965356</v>
      </c>
      <c r="W1087" s="135" cm="1">
        <f ca="1" t="array" ref="W1087">SUMPRODUCT(TRANSPOSE($AA1087:$AG1087),OFFSET($L$9:$L$15,0,W$631-1))</f>
        <v>16.8502200646615</v>
      </c>
      <c r="X1087" s="135" cm="1">
        <f ca="1" t="array" ref="X1087">SUMPRODUCT(TRANSPOSE($AA1087:$AG1087),OFFSET($L$9:$L$15,0,X$631-1))</f>
        <v>20</v>
      </c>
      <c r="Y1087" s="135" cm="1">
        <f ca="1" t="array" ref="Y1087">SUMPRODUCT(TRANSPOSE($AA1087:$AG1087),OFFSET($L$9:$L$15,0,Y$631-1))</f>
        <v>10</v>
      </c>
      <c r="Z1087" s="135" cm="1">
        <f ca="1" t="array" ref="Z1087">SUMPRODUCT(TRANSPOSE($AA1087:$AG1087),OFFSET($L$9:$L$15,0,Z$631-1))</f>
        <v>3.14977993533847</v>
      </c>
      <c r="AA1087" s="136">
        <f ca="1" t="shared" ref="AA1087:AG1087" si="1159">AH1087-AH1086</f>
        <v>0</v>
      </c>
      <c r="AB1087" s="136">
        <f ca="1" t="shared" si="1159"/>
        <v>0</v>
      </c>
      <c r="AC1087" s="136">
        <f ca="1" t="shared" si="1159"/>
        <v>0</v>
      </c>
      <c r="AD1087" s="136">
        <f ca="1" t="shared" si="1159"/>
        <v>0</v>
      </c>
      <c r="AE1087" s="136">
        <f ca="1" t="shared" si="1159"/>
        <v>0</v>
      </c>
      <c r="AF1087" s="136">
        <f ca="1" t="shared" si="1159"/>
        <v>0</v>
      </c>
      <c r="AG1087" s="136">
        <f ca="1" t="shared" si="1159"/>
        <v>100</v>
      </c>
      <c r="AH1087" s="136">
        <f ca="1" t="shared" si="1151"/>
        <v>450</v>
      </c>
      <c r="AI1087" s="136">
        <f ca="1" t="shared" ref="AI1087:AN1087" si="1160">IF($C1087&gt;OFFSET($Q$8,MATCH(AI$634,$AH$634:$AN$634,0),0),OFFSET($P$8,MATCH(AI$634,$AH$634:$AN$634,0),0),MAX(0,$C1087-OFFSET($Q$8,RIGHT(AI$634,1)-1,0)))</f>
        <v>909</v>
      </c>
      <c r="AJ1087" s="136">
        <f ca="1" t="shared" si="1160"/>
        <v>1818</v>
      </c>
      <c r="AK1087" s="136">
        <f ca="1" t="shared" si="1160"/>
        <v>2727</v>
      </c>
      <c r="AL1087" s="136">
        <f ca="1" t="shared" si="1160"/>
        <v>3636</v>
      </c>
      <c r="AM1087" s="136">
        <f ca="1" t="shared" si="1160"/>
        <v>4545</v>
      </c>
      <c r="AN1087" s="136">
        <f ca="1" t="shared" si="1160"/>
        <v>31215</v>
      </c>
    </row>
    <row r="1088" s="106" customFormat="1" ht="16.5" spans="2:40">
      <c r="B1088" s="117">
        <v>454</v>
      </c>
      <c r="C1088" s="130">
        <f t="shared" si="1149"/>
        <v>45400</v>
      </c>
      <c r="D1088" s="131" cm="1">
        <f ca="1" t="array" ref="D1088">IF(D1690=1,OFFSET($W$634,$B1088,D$631-1)/SUMPRODUCT(--($D$631:$V$631=D$631),--($D1690:$V1690=1)),0)+SUM(D1087)+IF(COUNTIF(D$1237:D1690,1)=1,5,0)+IF(COUNTIF(E1088:$W1088,"&gt;"&amp;0)&lt;5,IF(AND(COUNTIF(D$1237:D1690,1)&gt;7,MOD(1+IFERROR(MATCH($C1088,总览!$D$46:$D$345,1)+1,1),7)=0),$C$3,0),0)</f>
        <v>2877.70348631628</v>
      </c>
      <c r="E1088" s="131" cm="1">
        <f ca="1" t="array" ref="E1088">IF(E1690=1,OFFSET($W$634,$B1088,E$631-1)/SUMPRODUCT(--($D$631:$V$631=E$631),--($D1690:$V1690=1)),0)+SUM(E1087)+IF(COUNTIF(E$1237:E1690,1)=1,5,0)+IF(COUNTIF(F1088:$W1088,"&gt;"&amp;0)&lt;5,IF(AND(COUNTIF(E$1237:E1690,1)&gt;7,MOD(1+IFERROR(MATCH($C1088,总览!$D$46:$D$345,1)+1,1),7)=0),$C$3,0),0)</f>
        <v>2877.70348631628</v>
      </c>
      <c r="F1088" s="131" cm="1">
        <f ca="1" t="array" ref="F1088">IF(F1690=1,OFFSET($W$634,$B1088,F$631-1)/SUMPRODUCT(--($D$631:$V$631=F$631),--($D1690:$V1690=1)),0)+SUM(F1087)+IF(COUNTIF(F$1237:F1690,1)=1,5,0)+IF(COUNTIF(G1088:$W1088,"&gt;"&amp;0)&lt;5,IF(AND(COUNTIF(F$1237:F1690,1)&gt;7,MOD(1+IFERROR(MATCH($C1088,总览!$D$46:$D$345,1)+1,1),7)=0),$C$3,0),0)</f>
        <v>2877.70348631628</v>
      </c>
      <c r="G1088" s="131" cm="1">
        <f ca="1" t="array" ref="G1088">IF(G1690=1,OFFSET($W$634,$B1088,G$631-1)/SUMPRODUCT(--($D$631:$V$631=G$631),--($D1690:$V1690=1)),0)+SUM(G1087)+IF(COUNTIF(G$1237:G1690,1)=1,5,0)+IF(COUNTIF(H1088:$W1088,"&gt;"&amp;0)&lt;5,IF(AND(COUNTIF(G$1237:G1690,1)&gt;7,MOD(1+IFERROR(MATCH($C1088,总览!$D$46:$D$345,1)+1,1),7)=0),$C$3,0),0)</f>
        <v>1452.73333333333</v>
      </c>
      <c r="H1088" s="131" cm="1">
        <f ca="1" t="array" ref="H1088">IF(H1690=1,OFFSET($W$634,$B1088,H$631-1)/SUMPRODUCT(--($D$631:$V$631=H$631),--($D1690:$V1690=1)),0)+SUM(H1087)+IF(COUNTIF(H$1237:H1690,1)=1,5,0)+IF(COUNTIF(I1088:$W1088,"&gt;"&amp;0)&lt;5,IF(AND(COUNTIF(H$1237:H1690,1)&gt;7,MOD(1+IFERROR(MATCH($C1088,总览!$D$46:$D$345,1)+1,1),7)=0),$C$3,0),0)</f>
        <v>1452.73333333333</v>
      </c>
      <c r="I1088" s="131" cm="1">
        <f ca="1" t="array" ref="I1088">IF(I1690=1,OFFSET($W$634,$B1088,I$631-1)/SUMPRODUCT(--($D$631:$V$631=I$631),--($D1690:$V1690=1)),0)+SUM(I1087)+IF(COUNTIF(I$1237:I1690,1)=1,5,0)+IF(COUNTIF(J1088:$W1088,"&gt;"&amp;0)&lt;5,IF(AND(COUNTIF(I$1237:I1690,1)&gt;7,MOD(1+IFERROR(MATCH($C1088,总览!$D$46:$D$345,1)+1,1),7)=0),$C$3,0),0)</f>
        <v>1452.73333333333</v>
      </c>
      <c r="J1088" s="131" cm="1">
        <f ca="1" t="array" ref="J1088">IF(J1690=1,OFFSET($W$634,$B1088,J$631-1)/SUMPRODUCT(--($D$631:$V$631=J$631),--($D1690:$V1690=1)),0)+SUM(J1087)+IF(COUNTIF(J$1237:J1690,1)=1,5,0)+IF(COUNTIF(K1088:$W1088,"&gt;"&amp;0)&lt;5,IF(AND(COUNTIF(J$1237:J1690,1)&gt;7,MOD(1+IFERROR(MATCH($C1088,总览!$D$46:$D$345,1)+1,1),7)=0),$C$3,0),0)</f>
        <v>1449.39999999999</v>
      </c>
      <c r="K1088" s="131" cm="1">
        <f ca="1" t="array" ref="K1088">IF(K1690=1,OFFSET($W$634,$B1088,K$631-1)/SUMPRODUCT(--($D$631:$V$631=K$631),--($D1690:$V1690=1)),0)+SUM(K1087)+IF(COUNTIF(K$1237:K1690,1)=1,5,0)+IF(COUNTIF(L1088:$W1088,"&gt;"&amp;0)&lt;5,IF(AND(COUNTIF(K$1237:K1690,1)&gt;7,MOD(1+IFERROR(MATCH($C1088,总览!$D$46:$D$345,1)+1,1),7)=0),$C$3,0),0)</f>
        <v>1446.89999999999</v>
      </c>
      <c r="L1088" s="131" cm="1">
        <f ca="1" t="array" ref="L1088">IF(L1690=1,OFFSET($W$634,$B1088,L$631-1)/SUMPRODUCT(--($D$631:$V$631=L$631),--($D1690:$V1690=1)),0)+SUM(L1087)+IF(COUNTIF(L$1237:L1690,1)=1,5,0)+IF(COUNTIF(M1088:$W1088,"&gt;"&amp;0)&lt;5,IF(AND(COUNTIF(L$1237:L1690,1)&gt;7,MOD(1+IFERROR(MATCH($C1088,总览!$D$46:$D$345,1)+1,1),7)=0),$C$3,0),0)</f>
        <v>1446.89999999999</v>
      </c>
      <c r="M1088" s="131" cm="1">
        <f ca="1" t="array" ref="M1088">IF(M1690=1,OFFSET($W$634,$B1088,M$631-1)/SUMPRODUCT(--($D$631:$V$631=M$631),--($D1690:$V1690=1)),0)+SUM(M1087)+IF(COUNTIF(M$1237:M1690,1)=1,5,0)+IF(COUNTIF(N1088:$W1088,"&gt;"&amp;0)&lt;5,IF(AND(COUNTIF(M$1237:M1690,1)&gt;7,MOD(1+IFERROR(MATCH($C1088,总览!$D$46:$D$345,1)+1,1),7)=0),$C$3,0),0)</f>
        <v>606.32410714286</v>
      </c>
      <c r="N1088" s="131" cm="1">
        <f ca="1" t="array" ref="N1088">IF(N1690=1,OFFSET($W$634,$B1088,N$631-1)/SUMPRODUCT(--($D$631:$V$631=N$631),--($D1690:$V1690=1)),0)+SUM(N1087)+IF(COUNTIF(N$1237:N1690,1)=1,5,0)+IF(COUNTIF(O1088:$W1088,"&gt;"&amp;0)&lt;5,IF(AND(COUNTIF(N$1237:N1690,1)&gt;7,MOD(1+IFERROR(MATCH($C1088,总览!$D$46:$D$345,1)+1,1),7)=0),$C$3,0),0)</f>
        <v>607.57410714286</v>
      </c>
      <c r="O1088" s="131" cm="1">
        <f ca="1" t="array" ref="O1088">IF(O1690=1,OFFSET($W$634,$B1088,O$631-1)/SUMPRODUCT(--($D$631:$V$631=O$631),--($D1690:$V1690=1)),0)+SUM(O1087)+IF(COUNTIF(O$1237:O1690,1)=1,5,0)+IF(COUNTIF(P1088:$W1088,"&gt;"&amp;0)&lt;5,IF(AND(COUNTIF(O$1237:O1690,1)&gt;7,MOD(1+IFERROR(MATCH($C1088,总览!$D$46:$D$345,1)+1,1),7)=0),$C$3,0),0)</f>
        <v>612.57410714286</v>
      </c>
      <c r="P1088" s="131" cm="1">
        <f ca="1" t="array" ref="P1088">IF(P1690=1,OFFSET($W$634,$B1088,P$631-1)/SUMPRODUCT(--($D$631:$V$631=P$631),--($D1690:$V1690=1)),0)+SUM(P1087)+IF(COUNTIF(P$1237:P1690,1)=1,5,0)+IF(COUNTIF(Q1088:$W1088,"&gt;"&amp;0)&lt;5,IF(AND(COUNTIF(P$1237:P1690,1)&gt;7,MOD(1+IFERROR(MATCH($C1088,总览!$D$46:$D$345,1)+1,1),7)=0),$C$3,0),0)</f>
        <v>601.69285714286</v>
      </c>
      <c r="Q1088" s="131" cm="1">
        <f ca="1" t="array" ref="Q1088">IF(Q1690=1,OFFSET($W$634,$B1088,Q$631-1)/SUMPRODUCT(--($D$631:$V$631=Q$631),--($D1690:$V1690=1)),0)+SUM(Q1087)+IF(COUNTIF(Q$1237:Q1690,1)=1,5,0)+IF(COUNTIF(R1088:$W1088,"&gt;"&amp;0)&lt;5,IF(AND(COUNTIF(Q$1237:Q1690,1)&gt;7,MOD(1+IFERROR(MATCH($C1088,总览!$D$46:$D$345,1)+1,1),7)=0),$C$3,0),0)</f>
        <v>615.07410714286</v>
      </c>
      <c r="R1088" s="131" cm="1">
        <f ca="1" t="array" ref="R1088">IF(R1690=1,OFFSET($W$634,$B1088,R$631-1)/SUMPRODUCT(--($D$631:$V$631=R$631),--($D1690:$V1690=1)),0)+SUM(R1087)+IF(COUNTIF(R$1237:R1690,1)=1,5,0)+IF(COUNTIF(S1088:$W1088,"&gt;"&amp;0)&lt;5,IF(AND(COUNTIF(R$1237:R1690,1)&gt;7,MOD(1+IFERROR(MATCH($C1088,总览!$D$46:$D$345,1)+1,1),7)=0),$C$3,0),0)</f>
        <v>606.69285714286</v>
      </c>
      <c r="S1088" s="131" cm="1">
        <f ca="1" t="array" ref="S1088">IF(S1690=1,OFFSET($W$634,$B1088,S$631-1)/SUMPRODUCT(--($D$631:$V$631=S$631),--($D1690:$V1690=1)),0)+SUM(S1087)+IF(COUNTIF(S$1237:S1690,1)=1,5,0)+IF(COUNTIF(T1088:$W1088,"&gt;"&amp;0)&lt;5,IF(AND(COUNTIF(S$1237:S1690,1)&gt;7,MOD(1+IFERROR(MATCH($C1088,总览!$D$46:$D$345,1)+1,1),7)=0),$C$3,0),0)</f>
        <v>699.192857142861</v>
      </c>
      <c r="T1088" s="131" cm="1">
        <f ca="1" t="array" ref="T1088">IF(T1690=1,OFFSET($W$634,$B1088,T$631-1)/SUMPRODUCT(--($D$631:$V$631=T$631),--($D1690:$V1690=1)),0)+SUM(T1087)+IF(COUNTIF(T$1237:T1690,1)=1,5,0)+IF(COUNTIF(U1088:$W1088,"&gt;"&amp;0)&lt;5,IF(AND(COUNTIF(T$1237:T1690,1)&gt;7,MOD(1+IFERROR(MATCH($C1088,总览!$D$46:$D$345,1)+1,1),7)=0),$C$3,0),0)</f>
        <v>511.831989542736</v>
      </c>
      <c r="U1088" s="131" cm="1">
        <f ca="1" t="array" ref="U1088">IF(U1690=1,OFFSET($W$634,$B1088,U$631-1)/SUMPRODUCT(--($D$631:$V$631=U$631),--($D1690:$V1690=1)),0)+SUM(U1087)+IF(COUNTIF(U$1237:U1690,1)=1,5,0)+IF(COUNTIF(V1088:$W1088,"&gt;"&amp;0)&lt;5,IF(AND(COUNTIF(U$1237:U1690,1)&gt;7,MOD(1+IFERROR(MATCH($C1088,总览!$D$46:$D$345,1)+1,1),7)=0),$C$3,0),0)</f>
        <v>517.352775898036</v>
      </c>
      <c r="V1088" s="131" cm="1">
        <f ca="1" t="array" ref="V1088">IF(V1690=1,OFFSET($W$634,$B1088,V$631-1)/SUMPRODUCT(--($D$631:$V$631=V$631),--($D1690:$V1690=1)),0)+SUM(V1087)+IF(COUNTIF(V$1237:V1690,1)=1,5,0)+IF(COUNTIF(W1088:$W1088,"&gt;"&amp;0)&lt;5,IF(AND(COUNTIF(V$1237:V1690,1)&gt;7,MOD(1+IFERROR(MATCH($C1088,总览!$D$46:$D$345,1)+1,1),7)=0),$C$3,0),0)</f>
        <v>537.179775610469</v>
      </c>
      <c r="W1088" s="135" cm="1">
        <f ca="1" t="array" ref="W1088">SUMPRODUCT(TRANSPOSE($AA1088:$AG1088),OFFSET($L$9:$L$15,0,W$631-1))</f>
        <v>16.8502200646615</v>
      </c>
      <c r="X1088" s="135" cm="1">
        <f ca="1" t="array" ref="X1088">SUMPRODUCT(TRANSPOSE($AA1088:$AG1088),OFFSET($L$9:$L$15,0,X$631-1))</f>
        <v>20</v>
      </c>
      <c r="Y1088" s="135" cm="1">
        <f ca="1" t="array" ref="Y1088">SUMPRODUCT(TRANSPOSE($AA1088:$AG1088),OFFSET($L$9:$L$15,0,Y$631-1))</f>
        <v>10</v>
      </c>
      <c r="Z1088" s="135" cm="1">
        <f ca="1" t="array" ref="Z1088">SUMPRODUCT(TRANSPOSE($AA1088:$AG1088),OFFSET($L$9:$L$15,0,Z$631-1))</f>
        <v>3.14977993533847</v>
      </c>
      <c r="AA1088" s="136">
        <f ca="1" t="shared" ref="AA1088:AG1088" si="1161">AH1088-AH1087</f>
        <v>0</v>
      </c>
      <c r="AB1088" s="136">
        <f ca="1" t="shared" si="1161"/>
        <v>0</v>
      </c>
      <c r="AC1088" s="136">
        <f ca="1" t="shared" si="1161"/>
        <v>0</v>
      </c>
      <c r="AD1088" s="136">
        <f ca="1" t="shared" si="1161"/>
        <v>0</v>
      </c>
      <c r="AE1088" s="136">
        <f ca="1" t="shared" si="1161"/>
        <v>0</v>
      </c>
      <c r="AF1088" s="136">
        <f ca="1" t="shared" si="1161"/>
        <v>0</v>
      </c>
      <c r="AG1088" s="136">
        <f ca="1" t="shared" si="1161"/>
        <v>100</v>
      </c>
      <c r="AH1088" s="136">
        <f ca="1" t="shared" si="1151"/>
        <v>450</v>
      </c>
      <c r="AI1088" s="136">
        <f ca="1" t="shared" ref="AI1088:AN1088" si="1162">IF($C1088&gt;OFFSET($Q$8,MATCH(AI$634,$AH$634:$AN$634,0),0),OFFSET($P$8,MATCH(AI$634,$AH$634:$AN$634,0),0),MAX(0,$C1088-OFFSET($Q$8,RIGHT(AI$634,1)-1,0)))</f>
        <v>909</v>
      </c>
      <c r="AJ1088" s="136">
        <f ca="1" t="shared" si="1162"/>
        <v>1818</v>
      </c>
      <c r="AK1088" s="136">
        <f ca="1" t="shared" si="1162"/>
        <v>2727</v>
      </c>
      <c r="AL1088" s="136">
        <f ca="1" t="shared" si="1162"/>
        <v>3636</v>
      </c>
      <c r="AM1088" s="136">
        <f ca="1" t="shared" si="1162"/>
        <v>4545</v>
      </c>
      <c r="AN1088" s="136">
        <f ca="1" t="shared" si="1162"/>
        <v>31315</v>
      </c>
    </row>
    <row r="1089" s="106" customFormat="1" ht="16.5" spans="2:40">
      <c r="B1089" s="117">
        <v>455</v>
      </c>
      <c r="C1089" s="130">
        <f t="shared" si="1149"/>
        <v>45500</v>
      </c>
      <c r="D1089" s="131" cm="1">
        <f ca="1" t="array" ref="D1089">IF(D1691=1,OFFSET($W$634,$B1089,D$631-1)/SUMPRODUCT(--($D$631:$V$631=D$631),--($D1691:$V1691=1)),0)+SUM(D1088)+IF(COUNTIF(D$1237:D1691,1)=1,5,0)+IF(COUNTIF(E1089:$W1089,"&gt;"&amp;0)&lt;5,IF(AND(COUNTIF(D$1237:D1691,1)&gt;7,MOD(1+IFERROR(MATCH($C1089,总览!$D$46:$D$345,1)+1,1),7)=0),$C$3,0),0)</f>
        <v>2883.32022633783</v>
      </c>
      <c r="E1089" s="131" cm="1">
        <f ca="1" t="array" ref="E1089">IF(E1691=1,OFFSET($W$634,$B1089,E$631-1)/SUMPRODUCT(--($D$631:$V$631=E$631),--($D1691:$V1691=1)),0)+SUM(E1088)+IF(COUNTIF(E$1237:E1691,1)=1,5,0)+IF(COUNTIF(F1089:$W1089,"&gt;"&amp;0)&lt;5,IF(AND(COUNTIF(E$1237:E1691,1)&gt;7,MOD(1+IFERROR(MATCH($C1089,总览!$D$46:$D$345,1)+1,1),7)=0),$C$3,0),0)</f>
        <v>2883.32022633783</v>
      </c>
      <c r="F1089" s="131" cm="1">
        <f ca="1" t="array" ref="F1089">IF(F1691=1,OFFSET($W$634,$B1089,F$631-1)/SUMPRODUCT(--($D$631:$V$631=F$631),--($D1691:$V1691=1)),0)+SUM(F1088)+IF(COUNTIF(F$1237:F1691,1)=1,5,0)+IF(COUNTIF(G1089:$W1089,"&gt;"&amp;0)&lt;5,IF(AND(COUNTIF(F$1237:F1691,1)&gt;7,MOD(1+IFERROR(MATCH($C1089,总览!$D$46:$D$345,1)+1,1),7)=0),$C$3,0),0)</f>
        <v>2883.32022633783</v>
      </c>
      <c r="G1089" s="131" cm="1">
        <f ca="1" t="array" ref="G1089">IF(G1691=1,OFFSET($W$634,$B1089,G$631-1)/SUMPRODUCT(--($D$631:$V$631=G$631),--($D1691:$V1691=1)),0)+SUM(G1088)+IF(COUNTIF(G$1237:G1691,1)=1,5,0)+IF(COUNTIF(H1089:$W1089,"&gt;"&amp;0)&lt;5,IF(AND(COUNTIF(G$1237:G1691,1)&gt;7,MOD(1+IFERROR(MATCH($C1089,总览!$D$46:$D$345,1)+1,1),7)=0),$C$3,0),0)</f>
        <v>1456.06666666666</v>
      </c>
      <c r="H1089" s="131" cm="1">
        <f ca="1" t="array" ref="H1089">IF(H1691=1,OFFSET($W$634,$B1089,H$631-1)/SUMPRODUCT(--($D$631:$V$631=H$631),--($D1691:$V1691=1)),0)+SUM(H1088)+IF(COUNTIF(H$1237:H1691,1)=1,5,0)+IF(COUNTIF(I1089:$W1089,"&gt;"&amp;0)&lt;5,IF(AND(COUNTIF(H$1237:H1691,1)&gt;7,MOD(1+IFERROR(MATCH($C1089,总览!$D$46:$D$345,1)+1,1),7)=0),$C$3,0),0)</f>
        <v>1456.06666666666</v>
      </c>
      <c r="I1089" s="131" cm="1">
        <f ca="1" t="array" ref="I1089">IF(I1691=1,OFFSET($W$634,$B1089,I$631-1)/SUMPRODUCT(--($D$631:$V$631=I$631),--($D1691:$V1691=1)),0)+SUM(I1088)+IF(COUNTIF(I$1237:I1691,1)=1,5,0)+IF(COUNTIF(J1089:$W1089,"&gt;"&amp;0)&lt;5,IF(AND(COUNTIF(I$1237:I1691,1)&gt;7,MOD(1+IFERROR(MATCH($C1089,总览!$D$46:$D$345,1)+1,1),7)=0),$C$3,0),0)</f>
        <v>1456.06666666666</v>
      </c>
      <c r="J1089" s="131" cm="1">
        <f ca="1" t="array" ref="J1089">IF(J1691=1,OFFSET($W$634,$B1089,J$631-1)/SUMPRODUCT(--($D$631:$V$631=J$631),--($D1691:$V1691=1)),0)+SUM(J1088)+IF(COUNTIF(J$1237:J1691,1)=1,5,0)+IF(COUNTIF(K1089:$W1089,"&gt;"&amp;0)&lt;5,IF(AND(COUNTIF(J$1237:J1691,1)&gt;7,MOD(1+IFERROR(MATCH($C1089,总览!$D$46:$D$345,1)+1,1),7)=0),$C$3,0),0)</f>
        <v>1452.73333333333</v>
      </c>
      <c r="K1089" s="131" cm="1">
        <f ca="1" t="array" ref="K1089">IF(K1691=1,OFFSET($W$634,$B1089,K$631-1)/SUMPRODUCT(--($D$631:$V$631=K$631),--($D1691:$V1691=1)),0)+SUM(K1088)+IF(COUNTIF(K$1237:K1691,1)=1,5,0)+IF(COUNTIF(L1089:$W1089,"&gt;"&amp;0)&lt;5,IF(AND(COUNTIF(K$1237:K1691,1)&gt;7,MOD(1+IFERROR(MATCH($C1089,总览!$D$46:$D$345,1)+1,1),7)=0),$C$3,0),0)</f>
        <v>1450.23333333333</v>
      </c>
      <c r="L1089" s="131" cm="1">
        <f ca="1" t="array" ref="L1089">IF(L1691=1,OFFSET($W$634,$B1089,L$631-1)/SUMPRODUCT(--($D$631:$V$631=L$631),--($D1691:$V1691=1)),0)+SUM(L1088)+IF(COUNTIF(L$1237:L1691,1)=1,5,0)+IF(COUNTIF(M1089:$W1089,"&gt;"&amp;0)&lt;5,IF(AND(COUNTIF(L$1237:L1691,1)&gt;7,MOD(1+IFERROR(MATCH($C1089,总览!$D$46:$D$345,1)+1,1),7)=0),$C$3,0),0)</f>
        <v>1450.23333333333</v>
      </c>
      <c r="M1089" s="131" cm="1">
        <f ca="1" t="array" ref="M1089">IF(M1691=1,OFFSET($W$634,$B1089,M$631-1)/SUMPRODUCT(--($D$631:$V$631=M$631),--($D1691:$V1691=1)),0)+SUM(M1088)+IF(COUNTIF(M$1237:M1691,1)=1,5,0)+IF(COUNTIF(N1089:$W1089,"&gt;"&amp;0)&lt;5,IF(AND(COUNTIF(M$1237:M1691,1)&gt;7,MOD(1+IFERROR(MATCH($C1089,总览!$D$46:$D$345,1)+1,1),7)=0),$C$3,0),0)</f>
        <v>607.752678571431</v>
      </c>
      <c r="N1089" s="131" cm="1">
        <f ca="1" t="array" ref="N1089">IF(N1691=1,OFFSET($W$634,$B1089,N$631-1)/SUMPRODUCT(--($D$631:$V$631=N$631),--($D1691:$V1691=1)),0)+SUM(N1088)+IF(COUNTIF(N$1237:N1691,1)=1,5,0)+IF(COUNTIF(O1089:$W1089,"&gt;"&amp;0)&lt;5,IF(AND(COUNTIF(N$1237:N1691,1)&gt;7,MOD(1+IFERROR(MATCH($C1089,总览!$D$46:$D$345,1)+1,1),7)=0),$C$3,0),0)</f>
        <v>609.002678571431</v>
      </c>
      <c r="O1089" s="131" cm="1">
        <f ca="1" t="array" ref="O1089">IF(O1691=1,OFFSET($W$634,$B1089,O$631-1)/SUMPRODUCT(--($D$631:$V$631=O$631),--($D1691:$V1691=1)),0)+SUM(O1088)+IF(COUNTIF(O$1237:O1691,1)=1,5,0)+IF(COUNTIF(P1089:$W1089,"&gt;"&amp;0)&lt;5,IF(AND(COUNTIF(O$1237:O1691,1)&gt;7,MOD(1+IFERROR(MATCH($C1089,总览!$D$46:$D$345,1)+1,1),7)=0),$C$3,0),0)</f>
        <v>614.002678571431</v>
      </c>
      <c r="P1089" s="131" cm="1">
        <f ca="1" t="array" ref="P1089">IF(P1691=1,OFFSET($W$634,$B1089,P$631-1)/SUMPRODUCT(--($D$631:$V$631=P$631),--($D1691:$V1691=1)),0)+SUM(P1088)+IF(COUNTIF(P$1237:P1691,1)=1,5,0)+IF(COUNTIF(Q1089:$W1089,"&gt;"&amp;0)&lt;5,IF(AND(COUNTIF(P$1237:P1691,1)&gt;7,MOD(1+IFERROR(MATCH($C1089,总览!$D$46:$D$345,1)+1,1),7)=0),$C$3,0),0)</f>
        <v>603.121428571431</v>
      </c>
      <c r="Q1089" s="131" cm="1">
        <f ca="1" t="array" ref="Q1089">IF(Q1691=1,OFFSET($W$634,$B1089,Q$631-1)/SUMPRODUCT(--($D$631:$V$631=Q$631),--($D1691:$V1691=1)),0)+SUM(Q1088)+IF(COUNTIF(Q$1237:Q1691,1)=1,5,0)+IF(COUNTIF(R1089:$W1089,"&gt;"&amp;0)&lt;5,IF(AND(COUNTIF(Q$1237:Q1691,1)&gt;7,MOD(1+IFERROR(MATCH($C1089,总览!$D$46:$D$345,1)+1,1),7)=0),$C$3,0),0)</f>
        <v>616.502678571431</v>
      </c>
      <c r="R1089" s="131" cm="1">
        <f ca="1" t="array" ref="R1089">IF(R1691=1,OFFSET($W$634,$B1089,R$631-1)/SUMPRODUCT(--($D$631:$V$631=R$631),--($D1691:$V1691=1)),0)+SUM(R1088)+IF(COUNTIF(R$1237:R1691,1)=1,5,0)+IF(COUNTIF(S1089:$W1089,"&gt;"&amp;0)&lt;5,IF(AND(COUNTIF(R$1237:R1691,1)&gt;7,MOD(1+IFERROR(MATCH($C1089,总览!$D$46:$D$345,1)+1,1),7)=0),$C$3,0),0)</f>
        <v>608.121428571431</v>
      </c>
      <c r="S1089" s="131" cm="1">
        <f ca="1" t="array" ref="S1089">IF(S1691=1,OFFSET($W$634,$B1089,S$631-1)/SUMPRODUCT(--($D$631:$V$631=S$631),--($D1691:$V1691=1)),0)+SUM(S1088)+IF(COUNTIF(S$1237:S1691,1)=1,5,0)+IF(COUNTIF(T1089:$W1089,"&gt;"&amp;0)&lt;5,IF(AND(COUNTIF(S$1237:S1691,1)&gt;7,MOD(1+IFERROR(MATCH($C1089,总览!$D$46:$D$345,1)+1,1),7)=0),$C$3,0),0)</f>
        <v>700.621428571432</v>
      </c>
      <c r="T1089" s="131" cm="1">
        <f ca="1" t="array" ref="T1089">IF(T1691=1,OFFSET($W$634,$B1089,T$631-1)/SUMPRODUCT(--($D$631:$V$631=T$631),--($D1691:$V1691=1)),0)+SUM(T1088)+IF(COUNTIF(T$1237:T1691,1)=1,5,0)+IF(COUNTIF(U1089:$W1089,"&gt;"&amp;0)&lt;5,IF(AND(COUNTIF(T$1237:T1691,1)&gt;7,MOD(1+IFERROR(MATCH($C1089,总览!$D$46:$D$345,1)+1,1),7)=0),$C$3,0),0)</f>
        <v>512.881916187849</v>
      </c>
      <c r="U1089" s="131" cm="1">
        <f ca="1" t="array" ref="U1089">IF(U1691=1,OFFSET($W$634,$B1089,U$631-1)/SUMPRODUCT(--($D$631:$V$631=U$631),--($D1691:$V1691=1)),0)+SUM(U1088)+IF(COUNTIF(U$1237:U1691,1)=1,5,0)+IF(COUNTIF(V1089:$W1089,"&gt;"&amp;0)&lt;5,IF(AND(COUNTIF(U$1237:U1691,1)&gt;7,MOD(1+IFERROR(MATCH($C1089,总览!$D$46:$D$345,1)+1,1),7)=0),$C$3,0),0)</f>
        <v>518.402702543149</v>
      </c>
      <c r="V1089" s="131" cm="1">
        <f ca="1" t="array" ref="V1089">IF(V1691=1,OFFSET($W$634,$B1089,V$631-1)/SUMPRODUCT(--($D$631:$V$631=V$631),--($D1691:$V1691=1)),0)+SUM(V1088)+IF(COUNTIF(V$1237:V1691,1)=1,5,0)+IF(COUNTIF(W1089:$W1089,"&gt;"&amp;0)&lt;5,IF(AND(COUNTIF(V$1237:V1691,1)&gt;7,MOD(1+IFERROR(MATCH($C1089,总览!$D$46:$D$345,1)+1,1),7)=0),$C$3,0),0)</f>
        <v>538.229702255582</v>
      </c>
      <c r="W1089" s="135" cm="1">
        <f ca="1" t="array" ref="W1089">SUMPRODUCT(TRANSPOSE($AA1089:$AG1089),OFFSET($L$9:$L$15,0,W$631-1))</f>
        <v>16.8502200646615</v>
      </c>
      <c r="X1089" s="135" cm="1">
        <f ca="1" t="array" ref="X1089">SUMPRODUCT(TRANSPOSE($AA1089:$AG1089),OFFSET($L$9:$L$15,0,X$631-1))</f>
        <v>20</v>
      </c>
      <c r="Y1089" s="135" cm="1">
        <f ca="1" t="array" ref="Y1089">SUMPRODUCT(TRANSPOSE($AA1089:$AG1089),OFFSET($L$9:$L$15,0,Y$631-1))</f>
        <v>10</v>
      </c>
      <c r="Z1089" s="135" cm="1">
        <f ca="1" t="array" ref="Z1089">SUMPRODUCT(TRANSPOSE($AA1089:$AG1089),OFFSET($L$9:$L$15,0,Z$631-1))</f>
        <v>3.14977993533847</v>
      </c>
      <c r="AA1089" s="136">
        <f ca="1" t="shared" ref="AA1089:AG1089" si="1163">AH1089-AH1088</f>
        <v>0</v>
      </c>
      <c r="AB1089" s="136">
        <f ca="1" t="shared" si="1163"/>
        <v>0</v>
      </c>
      <c r="AC1089" s="136">
        <f ca="1" t="shared" si="1163"/>
        <v>0</v>
      </c>
      <c r="AD1089" s="136">
        <f ca="1" t="shared" si="1163"/>
        <v>0</v>
      </c>
      <c r="AE1089" s="136">
        <f ca="1" t="shared" si="1163"/>
        <v>0</v>
      </c>
      <c r="AF1089" s="136">
        <f ca="1" t="shared" si="1163"/>
        <v>0</v>
      </c>
      <c r="AG1089" s="136">
        <f ca="1" t="shared" si="1163"/>
        <v>100</v>
      </c>
      <c r="AH1089" s="136">
        <f ca="1" t="shared" si="1151"/>
        <v>450</v>
      </c>
      <c r="AI1089" s="136">
        <f ca="1" t="shared" ref="AI1089:AN1089" si="1164">IF($C1089&gt;OFFSET($Q$8,MATCH(AI$634,$AH$634:$AN$634,0),0),OFFSET($P$8,MATCH(AI$634,$AH$634:$AN$634,0),0),MAX(0,$C1089-OFFSET($Q$8,RIGHT(AI$634,1)-1,0)))</f>
        <v>909</v>
      </c>
      <c r="AJ1089" s="136">
        <f ca="1" t="shared" si="1164"/>
        <v>1818</v>
      </c>
      <c r="AK1089" s="136">
        <f ca="1" t="shared" si="1164"/>
        <v>2727</v>
      </c>
      <c r="AL1089" s="136">
        <f ca="1" t="shared" si="1164"/>
        <v>3636</v>
      </c>
      <c r="AM1089" s="136">
        <f ca="1" t="shared" si="1164"/>
        <v>4545</v>
      </c>
      <c r="AN1089" s="136">
        <f ca="1" t="shared" si="1164"/>
        <v>31415</v>
      </c>
    </row>
    <row r="1090" s="106" customFormat="1" ht="16.5" spans="2:40">
      <c r="B1090" s="117">
        <v>456</v>
      </c>
      <c r="C1090" s="130">
        <f t="shared" si="1149"/>
        <v>45600</v>
      </c>
      <c r="D1090" s="131" cm="1">
        <f ca="1" t="array" ref="D1090">IF(D1692=1,OFFSET($W$634,$B1090,D$631-1)/SUMPRODUCT(--($D$631:$V$631=D$631),--($D1692:$V1692=1)),0)+SUM(D1089)+IF(COUNTIF(D$1237:D1692,1)=1,5,0)+IF(COUNTIF(E1090:$W1090,"&gt;"&amp;0)&lt;5,IF(AND(COUNTIF(D$1237:D1692,1)&gt;7,MOD(1+IFERROR(MATCH($C1090,总览!$D$46:$D$345,1)+1,1),7)=0),$C$3,0),0)</f>
        <v>2888.93696635938</v>
      </c>
      <c r="E1090" s="131" cm="1">
        <f ca="1" t="array" ref="E1090">IF(E1692=1,OFFSET($W$634,$B1090,E$631-1)/SUMPRODUCT(--($D$631:$V$631=E$631),--($D1692:$V1692=1)),0)+SUM(E1089)+IF(COUNTIF(E$1237:E1692,1)=1,5,0)+IF(COUNTIF(F1090:$W1090,"&gt;"&amp;0)&lt;5,IF(AND(COUNTIF(E$1237:E1692,1)&gt;7,MOD(1+IFERROR(MATCH($C1090,总览!$D$46:$D$345,1)+1,1),7)=0),$C$3,0),0)</f>
        <v>2888.93696635938</v>
      </c>
      <c r="F1090" s="131" cm="1">
        <f ca="1" t="array" ref="F1090">IF(F1692=1,OFFSET($W$634,$B1090,F$631-1)/SUMPRODUCT(--($D$631:$V$631=F$631),--($D1692:$V1692=1)),0)+SUM(F1089)+IF(COUNTIF(F$1237:F1692,1)=1,5,0)+IF(COUNTIF(G1090:$W1090,"&gt;"&amp;0)&lt;5,IF(AND(COUNTIF(F$1237:F1692,1)&gt;7,MOD(1+IFERROR(MATCH($C1090,总览!$D$46:$D$345,1)+1,1),7)=0),$C$3,0),0)</f>
        <v>2888.93696635938</v>
      </c>
      <c r="G1090" s="131" cm="1">
        <f ca="1" t="array" ref="G1090">IF(G1692=1,OFFSET($W$634,$B1090,G$631-1)/SUMPRODUCT(--($D$631:$V$631=G$631),--($D1692:$V1692=1)),0)+SUM(G1089)+IF(COUNTIF(G$1237:G1692,1)=1,5,0)+IF(COUNTIF(H1090:$W1090,"&gt;"&amp;0)&lt;5,IF(AND(COUNTIF(G$1237:G1692,1)&gt;7,MOD(1+IFERROR(MATCH($C1090,总览!$D$46:$D$345,1)+1,1),7)=0),$C$3,0),0)</f>
        <v>1459.39999999999</v>
      </c>
      <c r="H1090" s="131" cm="1">
        <f ca="1" t="array" ref="H1090">IF(H1692=1,OFFSET($W$634,$B1090,H$631-1)/SUMPRODUCT(--($D$631:$V$631=H$631),--($D1692:$V1692=1)),0)+SUM(H1089)+IF(COUNTIF(H$1237:H1692,1)=1,5,0)+IF(COUNTIF(I1090:$W1090,"&gt;"&amp;0)&lt;5,IF(AND(COUNTIF(H$1237:H1692,1)&gt;7,MOD(1+IFERROR(MATCH($C1090,总览!$D$46:$D$345,1)+1,1),7)=0),$C$3,0),0)</f>
        <v>1459.39999999999</v>
      </c>
      <c r="I1090" s="131" cm="1">
        <f ca="1" t="array" ref="I1090">IF(I1692=1,OFFSET($W$634,$B1090,I$631-1)/SUMPRODUCT(--($D$631:$V$631=I$631),--($D1692:$V1692=1)),0)+SUM(I1089)+IF(COUNTIF(I$1237:I1692,1)=1,5,0)+IF(COUNTIF(J1090:$W1090,"&gt;"&amp;0)&lt;5,IF(AND(COUNTIF(I$1237:I1692,1)&gt;7,MOD(1+IFERROR(MATCH($C1090,总览!$D$46:$D$345,1)+1,1),7)=0),$C$3,0),0)</f>
        <v>1459.39999999999</v>
      </c>
      <c r="J1090" s="131" cm="1">
        <f ca="1" t="array" ref="J1090">IF(J1692=1,OFFSET($W$634,$B1090,J$631-1)/SUMPRODUCT(--($D$631:$V$631=J$631),--($D1692:$V1692=1)),0)+SUM(J1089)+IF(COUNTIF(J$1237:J1692,1)=1,5,0)+IF(COUNTIF(K1090:$W1090,"&gt;"&amp;0)&lt;5,IF(AND(COUNTIF(J$1237:J1692,1)&gt;7,MOD(1+IFERROR(MATCH($C1090,总览!$D$46:$D$345,1)+1,1),7)=0),$C$3,0),0)</f>
        <v>1456.06666666666</v>
      </c>
      <c r="K1090" s="131" cm="1">
        <f ca="1" t="array" ref="K1090">IF(K1692=1,OFFSET($W$634,$B1090,K$631-1)/SUMPRODUCT(--($D$631:$V$631=K$631),--($D1692:$V1692=1)),0)+SUM(K1089)+IF(COUNTIF(K$1237:K1692,1)=1,5,0)+IF(COUNTIF(L1090:$W1090,"&gt;"&amp;0)&lt;5,IF(AND(COUNTIF(K$1237:K1692,1)&gt;7,MOD(1+IFERROR(MATCH($C1090,总览!$D$46:$D$345,1)+1,1),7)=0),$C$3,0),0)</f>
        <v>1453.56666666666</v>
      </c>
      <c r="L1090" s="131" cm="1">
        <f ca="1" t="array" ref="L1090">IF(L1692=1,OFFSET($W$634,$B1090,L$631-1)/SUMPRODUCT(--($D$631:$V$631=L$631),--($D1692:$V1692=1)),0)+SUM(L1089)+IF(COUNTIF(L$1237:L1692,1)=1,5,0)+IF(COUNTIF(M1090:$W1090,"&gt;"&amp;0)&lt;5,IF(AND(COUNTIF(L$1237:L1692,1)&gt;7,MOD(1+IFERROR(MATCH($C1090,总览!$D$46:$D$345,1)+1,1),7)=0),$C$3,0),0)</f>
        <v>1453.56666666666</v>
      </c>
      <c r="M1090" s="131" cm="1">
        <f ca="1" t="array" ref="M1090">IF(M1692=1,OFFSET($W$634,$B1090,M$631-1)/SUMPRODUCT(--($D$631:$V$631=M$631),--($D1692:$V1692=1)),0)+SUM(M1089)+IF(COUNTIF(M$1237:M1692,1)=1,5,0)+IF(COUNTIF(N1090:$W1090,"&gt;"&amp;0)&lt;5,IF(AND(COUNTIF(M$1237:M1692,1)&gt;7,MOD(1+IFERROR(MATCH($C1090,总览!$D$46:$D$345,1)+1,1),7)=0),$C$3,0),0)</f>
        <v>609.181250000003</v>
      </c>
      <c r="N1090" s="131" cm="1">
        <f ca="1" t="array" ref="N1090">IF(N1692=1,OFFSET($W$634,$B1090,N$631-1)/SUMPRODUCT(--($D$631:$V$631=N$631),--($D1692:$V1692=1)),0)+SUM(N1089)+IF(COUNTIF(N$1237:N1692,1)=1,5,0)+IF(COUNTIF(O1090:$W1090,"&gt;"&amp;0)&lt;5,IF(AND(COUNTIF(N$1237:N1692,1)&gt;7,MOD(1+IFERROR(MATCH($C1090,总览!$D$46:$D$345,1)+1,1),7)=0),$C$3,0),0)</f>
        <v>610.431250000003</v>
      </c>
      <c r="O1090" s="131" cm="1">
        <f ca="1" t="array" ref="O1090">IF(O1692=1,OFFSET($W$634,$B1090,O$631-1)/SUMPRODUCT(--($D$631:$V$631=O$631),--($D1692:$V1692=1)),0)+SUM(O1089)+IF(COUNTIF(O$1237:O1692,1)=1,5,0)+IF(COUNTIF(P1090:$W1090,"&gt;"&amp;0)&lt;5,IF(AND(COUNTIF(O$1237:O1692,1)&gt;7,MOD(1+IFERROR(MATCH($C1090,总览!$D$46:$D$345,1)+1,1),7)=0),$C$3,0),0)</f>
        <v>615.431250000003</v>
      </c>
      <c r="P1090" s="131" cm="1">
        <f ca="1" t="array" ref="P1090">IF(P1692=1,OFFSET($W$634,$B1090,P$631-1)/SUMPRODUCT(--($D$631:$V$631=P$631),--($D1692:$V1692=1)),0)+SUM(P1089)+IF(COUNTIF(P$1237:P1692,1)=1,5,0)+IF(COUNTIF(Q1090:$W1090,"&gt;"&amp;0)&lt;5,IF(AND(COUNTIF(P$1237:P1692,1)&gt;7,MOD(1+IFERROR(MATCH($C1090,总览!$D$46:$D$345,1)+1,1),7)=0),$C$3,0),0)</f>
        <v>604.550000000003</v>
      </c>
      <c r="Q1090" s="131" cm="1">
        <f ca="1" t="array" ref="Q1090">IF(Q1692=1,OFFSET($W$634,$B1090,Q$631-1)/SUMPRODUCT(--($D$631:$V$631=Q$631),--($D1692:$V1692=1)),0)+SUM(Q1089)+IF(COUNTIF(Q$1237:Q1692,1)=1,5,0)+IF(COUNTIF(R1090:$W1090,"&gt;"&amp;0)&lt;5,IF(AND(COUNTIF(Q$1237:Q1692,1)&gt;7,MOD(1+IFERROR(MATCH($C1090,总览!$D$46:$D$345,1)+1,1),7)=0),$C$3,0),0)</f>
        <v>617.931250000003</v>
      </c>
      <c r="R1090" s="131" cm="1">
        <f ca="1" t="array" ref="R1090">IF(R1692=1,OFFSET($W$634,$B1090,R$631-1)/SUMPRODUCT(--($D$631:$V$631=R$631),--($D1692:$V1692=1)),0)+SUM(R1089)+IF(COUNTIF(R$1237:R1692,1)=1,5,0)+IF(COUNTIF(S1090:$W1090,"&gt;"&amp;0)&lt;5,IF(AND(COUNTIF(R$1237:R1692,1)&gt;7,MOD(1+IFERROR(MATCH($C1090,总览!$D$46:$D$345,1)+1,1),7)=0),$C$3,0),0)</f>
        <v>609.550000000003</v>
      </c>
      <c r="S1090" s="131" cm="1">
        <f ca="1" t="array" ref="S1090">IF(S1692=1,OFFSET($W$634,$B1090,S$631-1)/SUMPRODUCT(--($D$631:$V$631=S$631),--($D1692:$V1692=1)),0)+SUM(S1089)+IF(COUNTIF(S$1237:S1692,1)=1,5,0)+IF(COUNTIF(T1090:$W1090,"&gt;"&amp;0)&lt;5,IF(AND(COUNTIF(S$1237:S1692,1)&gt;7,MOD(1+IFERROR(MATCH($C1090,总览!$D$46:$D$345,1)+1,1),7)=0),$C$3,0),0)</f>
        <v>702.050000000004</v>
      </c>
      <c r="T1090" s="131" cm="1">
        <f ca="1" t="array" ref="T1090">IF(T1692=1,OFFSET($W$634,$B1090,T$631-1)/SUMPRODUCT(--($D$631:$V$631=T$631),--($D1692:$V1692=1)),0)+SUM(T1089)+IF(COUNTIF(T$1237:T1692,1)=1,5,0)+IF(COUNTIF(U1090:$W1090,"&gt;"&amp;0)&lt;5,IF(AND(COUNTIF(T$1237:T1692,1)&gt;7,MOD(1+IFERROR(MATCH($C1090,总览!$D$46:$D$345,1)+1,1),7)=0),$C$3,0),0)</f>
        <v>513.931842832962</v>
      </c>
      <c r="U1090" s="131" cm="1">
        <f ca="1" t="array" ref="U1090">IF(U1692=1,OFFSET($W$634,$B1090,U$631-1)/SUMPRODUCT(--($D$631:$V$631=U$631),--($D1692:$V1692=1)),0)+SUM(U1089)+IF(COUNTIF(U$1237:U1692,1)=1,5,0)+IF(COUNTIF(V1090:$W1090,"&gt;"&amp;0)&lt;5,IF(AND(COUNTIF(U$1237:U1692,1)&gt;7,MOD(1+IFERROR(MATCH($C1090,总览!$D$46:$D$345,1)+1,1),7)=0),$C$3,0),0)</f>
        <v>519.452629188262</v>
      </c>
      <c r="V1090" s="131" cm="1">
        <f ca="1" t="array" ref="V1090">IF(V1692=1,OFFSET($W$634,$B1090,V$631-1)/SUMPRODUCT(--($D$631:$V$631=V$631),--($D1692:$V1692=1)),0)+SUM(V1089)+IF(COUNTIF(V$1237:V1692,1)=1,5,0)+IF(COUNTIF(W1090:$W1090,"&gt;"&amp;0)&lt;5,IF(AND(COUNTIF(V$1237:V1692,1)&gt;7,MOD(1+IFERROR(MATCH($C1090,总览!$D$46:$D$345,1)+1,1),7)=0),$C$3,0),0)</f>
        <v>539.279628900695</v>
      </c>
      <c r="W1090" s="135" cm="1">
        <f ca="1" t="array" ref="W1090">SUMPRODUCT(TRANSPOSE($AA1090:$AG1090),OFFSET($L$9:$L$15,0,W$631-1))</f>
        <v>16.8502200646615</v>
      </c>
      <c r="X1090" s="135" cm="1">
        <f ca="1" t="array" ref="X1090">SUMPRODUCT(TRANSPOSE($AA1090:$AG1090),OFFSET($L$9:$L$15,0,X$631-1))</f>
        <v>20</v>
      </c>
      <c r="Y1090" s="135" cm="1">
        <f ca="1" t="array" ref="Y1090">SUMPRODUCT(TRANSPOSE($AA1090:$AG1090),OFFSET($L$9:$L$15,0,Y$631-1))</f>
        <v>10</v>
      </c>
      <c r="Z1090" s="135" cm="1">
        <f ca="1" t="array" ref="Z1090">SUMPRODUCT(TRANSPOSE($AA1090:$AG1090),OFFSET($L$9:$L$15,0,Z$631-1))</f>
        <v>3.14977993533847</v>
      </c>
      <c r="AA1090" s="136">
        <f ca="1" t="shared" ref="AA1090:AG1090" si="1165">AH1090-AH1089</f>
        <v>0</v>
      </c>
      <c r="AB1090" s="136">
        <f ca="1" t="shared" si="1165"/>
        <v>0</v>
      </c>
      <c r="AC1090" s="136">
        <f ca="1" t="shared" si="1165"/>
        <v>0</v>
      </c>
      <c r="AD1090" s="136">
        <f ca="1" t="shared" si="1165"/>
        <v>0</v>
      </c>
      <c r="AE1090" s="136">
        <f ca="1" t="shared" si="1165"/>
        <v>0</v>
      </c>
      <c r="AF1090" s="136">
        <f ca="1" t="shared" si="1165"/>
        <v>0</v>
      </c>
      <c r="AG1090" s="136">
        <f ca="1" t="shared" si="1165"/>
        <v>100</v>
      </c>
      <c r="AH1090" s="136">
        <f ca="1" t="shared" si="1151"/>
        <v>450</v>
      </c>
      <c r="AI1090" s="136">
        <f ca="1" t="shared" ref="AI1090:AN1090" si="1166">IF($C1090&gt;OFFSET($Q$8,MATCH(AI$634,$AH$634:$AN$634,0),0),OFFSET($P$8,MATCH(AI$634,$AH$634:$AN$634,0),0),MAX(0,$C1090-OFFSET($Q$8,RIGHT(AI$634,1)-1,0)))</f>
        <v>909</v>
      </c>
      <c r="AJ1090" s="136">
        <f ca="1" t="shared" si="1166"/>
        <v>1818</v>
      </c>
      <c r="AK1090" s="136">
        <f ca="1" t="shared" si="1166"/>
        <v>2727</v>
      </c>
      <c r="AL1090" s="136">
        <f ca="1" t="shared" si="1166"/>
        <v>3636</v>
      </c>
      <c r="AM1090" s="136">
        <f ca="1" t="shared" si="1166"/>
        <v>4545</v>
      </c>
      <c r="AN1090" s="136">
        <f ca="1" t="shared" si="1166"/>
        <v>31515</v>
      </c>
    </row>
    <row r="1091" s="106" customFormat="1" ht="16.5" spans="2:40">
      <c r="B1091" s="117">
        <v>457</v>
      </c>
      <c r="C1091" s="130">
        <f t="shared" si="1149"/>
        <v>45700</v>
      </c>
      <c r="D1091" s="131" cm="1">
        <f ca="1" t="array" ref="D1091">IF(D1693=1,OFFSET($W$634,$B1091,D$631-1)/SUMPRODUCT(--($D$631:$V$631=D$631),--($D1693:$V1693=1)),0)+SUM(D1090)+IF(COUNTIF(D$1237:D1693,1)=1,5,0)+IF(COUNTIF(E1091:$W1091,"&gt;"&amp;0)&lt;5,IF(AND(COUNTIF(D$1237:D1693,1)&gt;7,MOD(1+IFERROR(MATCH($C1091,总览!$D$46:$D$345,1)+1,1),7)=0),$C$3,0),0)</f>
        <v>2894.55370638094</v>
      </c>
      <c r="E1091" s="131" cm="1">
        <f ca="1" t="array" ref="E1091">IF(E1693=1,OFFSET($W$634,$B1091,E$631-1)/SUMPRODUCT(--($D$631:$V$631=E$631),--($D1693:$V1693=1)),0)+SUM(E1090)+IF(COUNTIF(E$1237:E1693,1)=1,5,0)+IF(COUNTIF(F1091:$W1091,"&gt;"&amp;0)&lt;5,IF(AND(COUNTIF(E$1237:E1693,1)&gt;7,MOD(1+IFERROR(MATCH($C1091,总览!$D$46:$D$345,1)+1,1),7)=0),$C$3,0),0)</f>
        <v>2894.55370638094</v>
      </c>
      <c r="F1091" s="131" cm="1">
        <f ca="1" t="array" ref="F1091">IF(F1693=1,OFFSET($W$634,$B1091,F$631-1)/SUMPRODUCT(--($D$631:$V$631=F$631),--($D1693:$V1693=1)),0)+SUM(F1090)+IF(COUNTIF(F$1237:F1693,1)=1,5,0)+IF(COUNTIF(G1091:$W1091,"&gt;"&amp;0)&lt;5,IF(AND(COUNTIF(F$1237:F1693,1)&gt;7,MOD(1+IFERROR(MATCH($C1091,总览!$D$46:$D$345,1)+1,1),7)=0),$C$3,0),0)</f>
        <v>2894.55370638094</v>
      </c>
      <c r="G1091" s="131" cm="1">
        <f ca="1" t="array" ref="G1091">IF(G1693=1,OFFSET($W$634,$B1091,G$631-1)/SUMPRODUCT(--($D$631:$V$631=G$631),--($D1693:$V1693=1)),0)+SUM(G1090)+IF(COUNTIF(G$1237:G1693,1)=1,5,0)+IF(COUNTIF(H1091:$W1091,"&gt;"&amp;0)&lt;5,IF(AND(COUNTIF(G$1237:G1693,1)&gt;7,MOD(1+IFERROR(MATCH($C1091,总览!$D$46:$D$345,1)+1,1),7)=0),$C$3,0),0)</f>
        <v>1462.73333333333</v>
      </c>
      <c r="H1091" s="131" cm="1">
        <f ca="1" t="array" ref="H1091">IF(H1693=1,OFFSET($W$634,$B1091,H$631-1)/SUMPRODUCT(--($D$631:$V$631=H$631),--($D1693:$V1693=1)),0)+SUM(H1090)+IF(COUNTIF(H$1237:H1693,1)=1,5,0)+IF(COUNTIF(I1091:$W1091,"&gt;"&amp;0)&lt;5,IF(AND(COUNTIF(H$1237:H1693,1)&gt;7,MOD(1+IFERROR(MATCH($C1091,总览!$D$46:$D$345,1)+1,1),7)=0),$C$3,0),0)</f>
        <v>1462.73333333333</v>
      </c>
      <c r="I1091" s="131" cm="1">
        <f ca="1" t="array" ref="I1091">IF(I1693=1,OFFSET($W$634,$B1091,I$631-1)/SUMPRODUCT(--($D$631:$V$631=I$631),--($D1693:$V1693=1)),0)+SUM(I1090)+IF(COUNTIF(I$1237:I1693,1)=1,5,0)+IF(COUNTIF(J1091:$W1091,"&gt;"&amp;0)&lt;5,IF(AND(COUNTIF(I$1237:I1693,1)&gt;7,MOD(1+IFERROR(MATCH($C1091,总览!$D$46:$D$345,1)+1,1),7)=0),$C$3,0),0)</f>
        <v>1462.73333333333</v>
      </c>
      <c r="J1091" s="131" cm="1">
        <f ca="1" t="array" ref="J1091">IF(J1693=1,OFFSET($W$634,$B1091,J$631-1)/SUMPRODUCT(--($D$631:$V$631=J$631),--($D1693:$V1693=1)),0)+SUM(J1090)+IF(COUNTIF(J$1237:J1693,1)=1,5,0)+IF(COUNTIF(K1091:$W1091,"&gt;"&amp;0)&lt;5,IF(AND(COUNTIF(J$1237:J1693,1)&gt;7,MOD(1+IFERROR(MATCH($C1091,总览!$D$46:$D$345,1)+1,1),7)=0),$C$3,0),0)</f>
        <v>1459.39999999999</v>
      </c>
      <c r="K1091" s="131" cm="1">
        <f ca="1" t="array" ref="K1091">IF(K1693=1,OFFSET($W$634,$B1091,K$631-1)/SUMPRODUCT(--($D$631:$V$631=K$631),--($D1693:$V1693=1)),0)+SUM(K1090)+IF(COUNTIF(K$1237:K1693,1)=1,5,0)+IF(COUNTIF(L1091:$W1091,"&gt;"&amp;0)&lt;5,IF(AND(COUNTIF(K$1237:K1693,1)&gt;7,MOD(1+IFERROR(MATCH($C1091,总览!$D$46:$D$345,1)+1,1),7)=0),$C$3,0),0)</f>
        <v>1456.89999999999</v>
      </c>
      <c r="L1091" s="131" cm="1">
        <f ca="1" t="array" ref="L1091">IF(L1693=1,OFFSET($W$634,$B1091,L$631-1)/SUMPRODUCT(--($D$631:$V$631=L$631),--($D1693:$V1693=1)),0)+SUM(L1090)+IF(COUNTIF(L$1237:L1693,1)=1,5,0)+IF(COUNTIF(M1091:$W1091,"&gt;"&amp;0)&lt;5,IF(AND(COUNTIF(L$1237:L1693,1)&gt;7,MOD(1+IFERROR(MATCH($C1091,总览!$D$46:$D$345,1)+1,1),7)=0),$C$3,0),0)</f>
        <v>1456.89999999999</v>
      </c>
      <c r="M1091" s="131" cm="1">
        <f ca="1" t="array" ref="M1091">IF(M1693=1,OFFSET($W$634,$B1091,M$631-1)/SUMPRODUCT(--($D$631:$V$631=M$631),--($D1693:$V1693=1)),0)+SUM(M1090)+IF(COUNTIF(M$1237:M1693,1)=1,5,0)+IF(COUNTIF(N1091:$W1091,"&gt;"&amp;0)&lt;5,IF(AND(COUNTIF(M$1237:M1693,1)&gt;7,MOD(1+IFERROR(MATCH($C1091,总览!$D$46:$D$345,1)+1,1),7)=0),$C$3,0),0)</f>
        <v>610.609821428574</v>
      </c>
      <c r="N1091" s="131" cm="1">
        <f ca="1" t="array" ref="N1091">IF(N1693=1,OFFSET($W$634,$B1091,N$631-1)/SUMPRODUCT(--($D$631:$V$631=N$631),--($D1693:$V1693=1)),0)+SUM(N1090)+IF(COUNTIF(N$1237:N1693,1)=1,5,0)+IF(COUNTIF(O1091:$W1091,"&gt;"&amp;0)&lt;5,IF(AND(COUNTIF(N$1237:N1693,1)&gt;7,MOD(1+IFERROR(MATCH($C1091,总览!$D$46:$D$345,1)+1,1),7)=0),$C$3,0),0)</f>
        <v>611.859821428574</v>
      </c>
      <c r="O1091" s="131" cm="1">
        <f ca="1" t="array" ref="O1091">IF(O1693=1,OFFSET($W$634,$B1091,O$631-1)/SUMPRODUCT(--($D$631:$V$631=O$631),--($D1693:$V1693=1)),0)+SUM(O1090)+IF(COUNTIF(O$1237:O1693,1)=1,5,0)+IF(COUNTIF(P1091:$W1091,"&gt;"&amp;0)&lt;5,IF(AND(COUNTIF(O$1237:O1693,1)&gt;7,MOD(1+IFERROR(MATCH($C1091,总览!$D$46:$D$345,1)+1,1),7)=0),$C$3,0),0)</f>
        <v>616.859821428574</v>
      </c>
      <c r="P1091" s="131" cm="1">
        <f ca="1" t="array" ref="P1091">IF(P1693=1,OFFSET($W$634,$B1091,P$631-1)/SUMPRODUCT(--($D$631:$V$631=P$631),--($D1693:$V1693=1)),0)+SUM(P1090)+IF(COUNTIF(P$1237:P1693,1)=1,5,0)+IF(COUNTIF(Q1091:$W1091,"&gt;"&amp;0)&lt;5,IF(AND(COUNTIF(P$1237:P1693,1)&gt;7,MOD(1+IFERROR(MATCH($C1091,总览!$D$46:$D$345,1)+1,1),7)=0),$C$3,0),0)</f>
        <v>605.978571428574</v>
      </c>
      <c r="Q1091" s="131" cm="1">
        <f ca="1" t="array" ref="Q1091">IF(Q1693=1,OFFSET($W$634,$B1091,Q$631-1)/SUMPRODUCT(--($D$631:$V$631=Q$631),--($D1693:$V1693=1)),0)+SUM(Q1090)+IF(COUNTIF(Q$1237:Q1693,1)=1,5,0)+IF(COUNTIF(R1091:$W1091,"&gt;"&amp;0)&lt;5,IF(AND(COUNTIF(Q$1237:Q1693,1)&gt;7,MOD(1+IFERROR(MATCH($C1091,总览!$D$46:$D$345,1)+1,1),7)=0),$C$3,0),0)</f>
        <v>619.359821428574</v>
      </c>
      <c r="R1091" s="131" cm="1">
        <f ca="1" t="array" ref="R1091">IF(R1693=1,OFFSET($W$634,$B1091,R$631-1)/SUMPRODUCT(--($D$631:$V$631=R$631),--($D1693:$V1693=1)),0)+SUM(R1090)+IF(COUNTIF(R$1237:R1693,1)=1,5,0)+IF(COUNTIF(S1091:$W1091,"&gt;"&amp;0)&lt;5,IF(AND(COUNTIF(R$1237:R1693,1)&gt;7,MOD(1+IFERROR(MATCH($C1091,总览!$D$46:$D$345,1)+1,1),7)=0),$C$3,0),0)</f>
        <v>610.978571428574</v>
      </c>
      <c r="S1091" s="131" cm="1">
        <f ca="1" t="array" ref="S1091">IF(S1693=1,OFFSET($W$634,$B1091,S$631-1)/SUMPRODUCT(--($D$631:$V$631=S$631),--($D1693:$V1693=1)),0)+SUM(S1090)+IF(COUNTIF(S$1237:S1693,1)=1,5,0)+IF(COUNTIF(T1091:$W1091,"&gt;"&amp;0)&lt;5,IF(AND(COUNTIF(S$1237:S1693,1)&gt;7,MOD(1+IFERROR(MATCH($C1091,总览!$D$46:$D$345,1)+1,1),7)=0),$C$3,0),0)</f>
        <v>703.478571428575</v>
      </c>
      <c r="T1091" s="131" cm="1">
        <f ca="1" t="array" ref="T1091">IF(T1693=1,OFFSET($W$634,$B1091,T$631-1)/SUMPRODUCT(--($D$631:$V$631=T$631),--($D1693:$V1693=1)),0)+SUM(T1090)+IF(COUNTIF(T$1237:T1693,1)=1,5,0)+IF(COUNTIF(U1091:$W1091,"&gt;"&amp;0)&lt;5,IF(AND(COUNTIF(T$1237:T1693,1)&gt;7,MOD(1+IFERROR(MATCH($C1091,总览!$D$46:$D$345,1)+1,1),7)=0),$C$3,0),0)</f>
        <v>514.981769478075</v>
      </c>
      <c r="U1091" s="131" cm="1">
        <f ca="1" t="array" ref="U1091">IF(U1693=1,OFFSET($W$634,$B1091,U$631-1)/SUMPRODUCT(--($D$631:$V$631=U$631),--($D1693:$V1693=1)),0)+SUM(U1090)+IF(COUNTIF(U$1237:U1693,1)=1,5,0)+IF(COUNTIF(V1091:$W1091,"&gt;"&amp;0)&lt;5,IF(AND(COUNTIF(U$1237:U1693,1)&gt;7,MOD(1+IFERROR(MATCH($C1091,总览!$D$46:$D$345,1)+1,1),7)=0),$C$3,0),0)</f>
        <v>520.502555833374</v>
      </c>
      <c r="V1091" s="131" cm="1">
        <f ca="1" t="array" ref="V1091">IF(V1693=1,OFFSET($W$634,$B1091,V$631-1)/SUMPRODUCT(--($D$631:$V$631=V$631),--($D1693:$V1693=1)),0)+SUM(V1090)+IF(COUNTIF(V$1237:V1693,1)=1,5,0)+IF(COUNTIF(W1091:$W1091,"&gt;"&amp;0)&lt;5,IF(AND(COUNTIF(V$1237:V1693,1)&gt;7,MOD(1+IFERROR(MATCH($C1091,总览!$D$46:$D$345,1)+1,1),7)=0),$C$3,0),0)</f>
        <v>540.329555545807</v>
      </c>
      <c r="W1091" s="135" cm="1">
        <f ca="1" t="array" ref="W1091">SUMPRODUCT(TRANSPOSE($AA1091:$AG1091),OFFSET($L$9:$L$15,0,W$631-1))</f>
        <v>16.8502200646615</v>
      </c>
      <c r="X1091" s="135" cm="1">
        <f ca="1" t="array" ref="X1091">SUMPRODUCT(TRANSPOSE($AA1091:$AG1091),OFFSET($L$9:$L$15,0,X$631-1))</f>
        <v>20</v>
      </c>
      <c r="Y1091" s="135" cm="1">
        <f ca="1" t="array" ref="Y1091">SUMPRODUCT(TRANSPOSE($AA1091:$AG1091),OFFSET($L$9:$L$15,0,Y$631-1))</f>
        <v>10</v>
      </c>
      <c r="Z1091" s="135" cm="1">
        <f ca="1" t="array" ref="Z1091">SUMPRODUCT(TRANSPOSE($AA1091:$AG1091),OFFSET($L$9:$L$15,0,Z$631-1))</f>
        <v>3.14977993533847</v>
      </c>
      <c r="AA1091" s="136">
        <f ca="1" t="shared" ref="AA1091:AG1091" si="1167">AH1091-AH1090</f>
        <v>0</v>
      </c>
      <c r="AB1091" s="136">
        <f ca="1" t="shared" si="1167"/>
        <v>0</v>
      </c>
      <c r="AC1091" s="136">
        <f ca="1" t="shared" si="1167"/>
        <v>0</v>
      </c>
      <c r="AD1091" s="136">
        <f ca="1" t="shared" si="1167"/>
        <v>0</v>
      </c>
      <c r="AE1091" s="136">
        <f ca="1" t="shared" si="1167"/>
        <v>0</v>
      </c>
      <c r="AF1091" s="136">
        <f ca="1" t="shared" si="1167"/>
        <v>0</v>
      </c>
      <c r="AG1091" s="136">
        <f ca="1" t="shared" si="1167"/>
        <v>100</v>
      </c>
      <c r="AH1091" s="136">
        <f ca="1" t="shared" si="1151"/>
        <v>450</v>
      </c>
      <c r="AI1091" s="136">
        <f ca="1" t="shared" ref="AI1091:AN1091" si="1168">IF($C1091&gt;OFFSET($Q$8,MATCH(AI$634,$AH$634:$AN$634,0),0),OFFSET($P$8,MATCH(AI$634,$AH$634:$AN$634,0),0),MAX(0,$C1091-OFFSET($Q$8,RIGHT(AI$634,1)-1,0)))</f>
        <v>909</v>
      </c>
      <c r="AJ1091" s="136">
        <f ca="1" t="shared" si="1168"/>
        <v>1818</v>
      </c>
      <c r="AK1091" s="136">
        <f ca="1" t="shared" si="1168"/>
        <v>2727</v>
      </c>
      <c r="AL1091" s="136">
        <f ca="1" t="shared" si="1168"/>
        <v>3636</v>
      </c>
      <c r="AM1091" s="136">
        <f ca="1" t="shared" si="1168"/>
        <v>4545</v>
      </c>
      <c r="AN1091" s="136">
        <f ca="1" t="shared" si="1168"/>
        <v>31615</v>
      </c>
    </row>
    <row r="1092" s="106" customFormat="1" ht="16.5" spans="2:40">
      <c r="B1092" s="117">
        <v>458</v>
      </c>
      <c r="C1092" s="130">
        <f t="shared" si="1149"/>
        <v>45800</v>
      </c>
      <c r="D1092" s="131" cm="1">
        <f ca="1" t="array" ref="D1092">IF(D1694=1,OFFSET($W$634,$B1092,D$631-1)/SUMPRODUCT(--($D$631:$V$631=D$631),--($D1694:$V1694=1)),0)+SUM(D1091)+IF(COUNTIF(D$1237:D1694,1)=1,5,0)+IF(COUNTIF(E1092:$W1092,"&gt;"&amp;0)&lt;5,IF(AND(COUNTIF(D$1237:D1694,1)&gt;7,MOD(1+IFERROR(MATCH($C1092,总览!$D$46:$D$345,1)+1,1),7)=0),$C$3,0),0)</f>
        <v>2900.17044640249</v>
      </c>
      <c r="E1092" s="131" cm="1">
        <f ca="1" t="array" ref="E1092">IF(E1694=1,OFFSET($W$634,$B1092,E$631-1)/SUMPRODUCT(--($D$631:$V$631=E$631),--($D1694:$V1694=1)),0)+SUM(E1091)+IF(COUNTIF(E$1237:E1694,1)=1,5,0)+IF(COUNTIF(F1092:$W1092,"&gt;"&amp;0)&lt;5,IF(AND(COUNTIF(E$1237:E1694,1)&gt;7,MOD(1+IFERROR(MATCH($C1092,总览!$D$46:$D$345,1)+1,1),7)=0),$C$3,0),0)</f>
        <v>2900.17044640249</v>
      </c>
      <c r="F1092" s="131" cm="1">
        <f ca="1" t="array" ref="F1092">IF(F1694=1,OFFSET($W$634,$B1092,F$631-1)/SUMPRODUCT(--($D$631:$V$631=F$631),--($D1694:$V1694=1)),0)+SUM(F1091)+IF(COUNTIF(F$1237:F1694,1)=1,5,0)+IF(COUNTIF(G1092:$W1092,"&gt;"&amp;0)&lt;5,IF(AND(COUNTIF(F$1237:F1694,1)&gt;7,MOD(1+IFERROR(MATCH($C1092,总览!$D$46:$D$345,1)+1,1),7)=0),$C$3,0),0)</f>
        <v>2900.17044640249</v>
      </c>
      <c r="G1092" s="131" cm="1">
        <f ca="1" t="array" ref="G1092">IF(G1694=1,OFFSET($W$634,$B1092,G$631-1)/SUMPRODUCT(--($D$631:$V$631=G$631),--($D1694:$V1694=1)),0)+SUM(G1091)+IF(COUNTIF(G$1237:G1694,1)=1,5,0)+IF(COUNTIF(H1092:$W1092,"&gt;"&amp;0)&lt;5,IF(AND(COUNTIF(G$1237:G1694,1)&gt;7,MOD(1+IFERROR(MATCH($C1092,总览!$D$46:$D$345,1)+1,1),7)=0),$C$3,0),0)</f>
        <v>1466.06666666666</v>
      </c>
      <c r="H1092" s="131" cm="1">
        <f ca="1" t="array" ref="H1092">IF(H1694=1,OFFSET($W$634,$B1092,H$631-1)/SUMPRODUCT(--($D$631:$V$631=H$631),--($D1694:$V1694=1)),0)+SUM(H1091)+IF(COUNTIF(H$1237:H1694,1)=1,5,0)+IF(COUNTIF(I1092:$W1092,"&gt;"&amp;0)&lt;5,IF(AND(COUNTIF(H$1237:H1694,1)&gt;7,MOD(1+IFERROR(MATCH($C1092,总览!$D$46:$D$345,1)+1,1),7)=0),$C$3,0),0)</f>
        <v>1466.06666666666</v>
      </c>
      <c r="I1092" s="131" cm="1">
        <f ca="1" t="array" ref="I1092">IF(I1694=1,OFFSET($W$634,$B1092,I$631-1)/SUMPRODUCT(--($D$631:$V$631=I$631),--($D1694:$V1694=1)),0)+SUM(I1091)+IF(COUNTIF(I$1237:I1694,1)=1,5,0)+IF(COUNTIF(J1092:$W1092,"&gt;"&amp;0)&lt;5,IF(AND(COUNTIF(I$1237:I1694,1)&gt;7,MOD(1+IFERROR(MATCH($C1092,总览!$D$46:$D$345,1)+1,1),7)=0),$C$3,0),0)</f>
        <v>1466.06666666666</v>
      </c>
      <c r="J1092" s="131" cm="1">
        <f ca="1" t="array" ref="J1092">IF(J1694=1,OFFSET($W$634,$B1092,J$631-1)/SUMPRODUCT(--($D$631:$V$631=J$631),--($D1694:$V1694=1)),0)+SUM(J1091)+IF(COUNTIF(J$1237:J1694,1)=1,5,0)+IF(COUNTIF(K1092:$W1092,"&gt;"&amp;0)&lt;5,IF(AND(COUNTIF(J$1237:J1694,1)&gt;7,MOD(1+IFERROR(MATCH($C1092,总览!$D$46:$D$345,1)+1,1),7)=0),$C$3,0),0)</f>
        <v>1462.73333333333</v>
      </c>
      <c r="K1092" s="131" cm="1">
        <f ca="1" t="array" ref="K1092">IF(K1694=1,OFFSET($W$634,$B1092,K$631-1)/SUMPRODUCT(--($D$631:$V$631=K$631),--($D1694:$V1694=1)),0)+SUM(K1091)+IF(COUNTIF(K$1237:K1694,1)=1,5,0)+IF(COUNTIF(L1092:$W1092,"&gt;"&amp;0)&lt;5,IF(AND(COUNTIF(K$1237:K1694,1)&gt;7,MOD(1+IFERROR(MATCH($C1092,总览!$D$46:$D$345,1)+1,1),7)=0),$C$3,0),0)</f>
        <v>1460.23333333333</v>
      </c>
      <c r="L1092" s="131" cm="1">
        <f ca="1" t="array" ref="L1092">IF(L1694=1,OFFSET($W$634,$B1092,L$631-1)/SUMPRODUCT(--($D$631:$V$631=L$631),--($D1694:$V1694=1)),0)+SUM(L1091)+IF(COUNTIF(L$1237:L1694,1)=1,5,0)+IF(COUNTIF(M1092:$W1092,"&gt;"&amp;0)&lt;5,IF(AND(COUNTIF(L$1237:L1694,1)&gt;7,MOD(1+IFERROR(MATCH($C1092,总览!$D$46:$D$345,1)+1,1),7)=0),$C$3,0),0)</f>
        <v>1460.23333333333</v>
      </c>
      <c r="M1092" s="131" cm="1">
        <f ca="1" t="array" ref="M1092">IF(M1694=1,OFFSET($W$634,$B1092,M$631-1)/SUMPRODUCT(--($D$631:$V$631=M$631),--($D1694:$V1694=1)),0)+SUM(M1091)+IF(COUNTIF(M$1237:M1694,1)=1,5,0)+IF(COUNTIF(N1092:$W1092,"&gt;"&amp;0)&lt;5,IF(AND(COUNTIF(M$1237:M1694,1)&gt;7,MOD(1+IFERROR(MATCH($C1092,总览!$D$46:$D$345,1)+1,1),7)=0),$C$3,0),0)</f>
        <v>612.038392857146</v>
      </c>
      <c r="N1092" s="131" cm="1">
        <f ca="1" t="array" ref="N1092">IF(N1694=1,OFFSET($W$634,$B1092,N$631-1)/SUMPRODUCT(--($D$631:$V$631=N$631),--($D1694:$V1694=1)),0)+SUM(N1091)+IF(COUNTIF(N$1237:N1694,1)=1,5,0)+IF(COUNTIF(O1092:$W1092,"&gt;"&amp;0)&lt;5,IF(AND(COUNTIF(N$1237:N1694,1)&gt;7,MOD(1+IFERROR(MATCH($C1092,总览!$D$46:$D$345,1)+1,1),7)=0),$C$3,0),0)</f>
        <v>613.288392857146</v>
      </c>
      <c r="O1092" s="131" cm="1">
        <f ca="1" t="array" ref="O1092">IF(O1694=1,OFFSET($W$634,$B1092,O$631-1)/SUMPRODUCT(--($D$631:$V$631=O$631),--($D1694:$V1694=1)),0)+SUM(O1091)+IF(COUNTIF(O$1237:O1694,1)=1,5,0)+IF(COUNTIF(P1092:$W1092,"&gt;"&amp;0)&lt;5,IF(AND(COUNTIF(O$1237:O1694,1)&gt;7,MOD(1+IFERROR(MATCH($C1092,总览!$D$46:$D$345,1)+1,1),7)=0),$C$3,0),0)</f>
        <v>618.288392857146</v>
      </c>
      <c r="P1092" s="131" cm="1">
        <f ca="1" t="array" ref="P1092">IF(P1694=1,OFFSET($W$634,$B1092,P$631-1)/SUMPRODUCT(--($D$631:$V$631=P$631),--($D1694:$V1694=1)),0)+SUM(P1091)+IF(COUNTIF(P$1237:P1694,1)=1,5,0)+IF(COUNTIF(Q1092:$W1092,"&gt;"&amp;0)&lt;5,IF(AND(COUNTIF(P$1237:P1694,1)&gt;7,MOD(1+IFERROR(MATCH($C1092,总览!$D$46:$D$345,1)+1,1),7)=0),$C$3,0),0)</f>
        <v>607.407142857146</v>
      </c>
      <c r="Q1092" s="131" cm="1">
        <f ca="1" t="array" ref="Q1092">IF(Q1694=1,OFFSET($W$634,$B1092,Q$631-1)/SUMPRODUCT(--($D$631:$V$631=Q$631),--($D1694:$V1694=1)),0)+SUM(Q1091)+IF(COUNTIF(Q$1237:Q1694,1)=1,5,0)+IF(COUNTIF(R1092:$W1092,"&gt;"&amp;0)&lt;5,IF(AND(COUNTIF(Q$1237:Q1694,1)&gt;7,MOD(1+IFERROR(MATCH($C1092,总览!$D$46:$D$345,1)+1,1),7)=0),$C$3,0),0)</f>
        <v>620.788392857146</v>
      </c>
      <c r="R1092" s="131" cm="1">
        <f ca="1" t="array" ref="R1092">IF(R1694=1,OFFSET($W$634,$B1092,R$631-1)/SUMPRODUCT(--($D$631:$V$631=R$631),--($D1694:$V1694=1)),0)+SUM(R1091)+IF(COUNTIF(R$1237:R1694,1)=1,5,0)+IF(COUNTIF(S1092:$W1092,"&gt;"&amp;0)&lt;5,IF(AND(COUNTIF(R$1237:R1694,1)&gt;7,MOD(1+IFERROR(MATCH($C1092,总览!$D$46:$D$345,1)+1,1),7)=0),$C$3,0),0)</f>
        <v>612.407142857146</v>
      </c>
      <c r="S1092" s="131" cm="1">
        <f ca="1" t="array" ref="S1092">IF(S1694=1,OFFSET($W$634,$B1092,S$631-1)/SUMPRODUCT(--($D$631:$V$631=S$631),--($D1694:$V1694=1)),0)+SUM(S1091)+IF(COUNTIF(S$1237:S1694,1)=1,5,0)+IF(COUNTIF(T1092:$W1092,"&gt;"&amp;0)&lt;5,IF(AND(COUNTIF(S$1237:S1694,1)&gt;7,MOD(1+IFERROR(MATCH($C1092,总览!$D$46:$D$345,1)+1,1),7)=0),$C$3,0),0)</f>
        <v>704.907142857147</v>
      </c>
      <c r="T1092" s="131" cm="1">
        <f ca="1" t="array" ref="T1092">IF(T1694=1,OFFSET($W$634,$B1092,T$631-1)/SUMPRODUCT(--($D$631:$V$631=T$631),--($D1694:$V1694=1)),0)+SUM(T1091)+IF(COUNTIF(T$1237:T1694,1)=1,5,0)+IF(COUNTIF(U1092:$W1092,"&gt;"&amp;0)&lt;5,IF(AND(COUNTIF(T$1237:T1694,1)&gt;7,MOD(1+IFERROR(MATCH($C1092,总览!$D$46:$D$345,1)+1,1),7)=0),$C$3,0),0)</f>
        <v>516.031696123188</v>
      </c>
      <c r="U1092" s="131" cm="1">
        <f ca="1" t="array" ref="U1092">IF(U1694=1,OFFSET($W$634,$B1092,U$631-1)/SUMPRODUCT(--($D$631:$V$631=U$631),--($D1694:$V1694=1)),0)+SUM(U1091)+IF(COUNTIF(U$1237:U1694,1)=1,5,0)+IF(COUNTIF(V1092:$W1092,"&gt;"&amp;0)&lt;5,IF(AND(COUNTIF(U$1237:U1694,1)&gt;7,MOD(1+IFERROR(MATCH($C1092,总览!$D$46:$D$345,1)+1,1),7)=0),$C$3,0),0)</f>
        <v>521.552482478487</v>
      </c>
      <c r="V1092" s="131" cm="1">
        <f ca="1" t="array" ref="V1092">IF(V1694=1,OFFSET($W$634,$B1092,V$631-1)/SUMPRODUCT(--($D$631:$V$631=V$631),--($D1694:$V1694=1)),0)+SUM(V1091)+IF(COUNTIF(V$1237:V1694,1)=1,5,0)+IF(COUNTIF(W1092:$W1092,"&gt;"&amp;0)&lt;5,IF(AND(COUNTIF(V$1237:V1694,1)&gt;7,MOD(1+IFERROR(MATCH($C1092,总览!$D$46:$D$345,1)+1,1),7)=0),$C$3,0),0)</f>
        <v>541.37948219092</v>
      </c>
      <c r="W1092" s="135" cm="1">
        <f ca="1" t="array" ref="W1092">SUMPRODUCT(TRANSPOSE($AA1092:$AG1092),OFFSET($L$9:$L$15,0,W$631-1))</f>
        <v>16.8502200646615</v>
      </c>
      <c r="X1092" s="135" cm="1">
        <f ca="1" t="array" ref="X1092">SUMPRODUCT(TRANSPOSE($AA1092:$AG1092),OFFSET($L$9:$L$15,0,X$631-1))</f>
        <v>20</v>
      </c>
      <c r="Y1092" s="135" cm="1">
        <f ca="1" t="array" ref="Y1092">SUMPRODUCT(TRANSPOSE($AA1092:$AG1092),OFFSET($L$9:$L$15,0,Y$631-1))</f>
        <v>10</v>
      </c>
      <c r="Z1092" s="135" cm="1">
        <f ca="1" t="array" ref="Z1092">SUMPRODUCT(TRANSPOSE($AA1092:$AG1092),OFFSET($L$9:$L$15,0,Z$631-1))</f>
        <v>3.14977993533847</v>
      </c>
      <c r="AA1092" s="136">
        <f ca="1" t="shared" ref="AA1092:AG1092" si="1169">AH1092-AH1091</f>
        <v>0</v>
      </c>
      <c r="AB1092" s="136">
        <f ca="1" t="shared" si="1169"/>
        <v>0</v>
      </c>
      <c r="AC1092" s="136">
        <f ca="1" t="shared" si="1169"/>
        <v>0</v>
      </c>
      <c r="AD1092" s="136">
        <f ca="1" t="shared" si="1169"/>
        <v>0</v>
      </c>
      <c r="AE1092" s="136">
        <f ca="1" t="shared" si="1169"/>
        <v>0</v>
      </c>
      <c r="AF1092" s="136">
        <f ca="1" t="shared" si="1169"/>
        <v>0</v>
      </c>
      <c r="AG1092" s="136">
        <f ca="1" t="shared" si="1169"/>
        <v>100</v>
      </c>
      <c r="AH1092" s="136">
        <f ca="1" t="shared" si="1151"/>
        <v>450</v>
      </c>
      <c r="AI1092" s="136">
        <f ca="1" t="shared" ref="AI1092:AN1092" si="1170">IF($C1092&gt;OFFSET($Q$8,MATCH(AI$634,$AH$634:$AN$634,0),0),OFFSET($P$8,MATCH(AI$634,$AH$634:$AN$634,0),0),MAX(0,$C1092-OFFSET($Q$8,RIGHT(AI$634,1)-1,0)))</f>
        <v>909</v>
      </c>
      <c r="AJ1092" s="136">
        <f ca="1" t="shared" si="1170"/>
        <v>1818</v>
      </c>
      <c r="AK1092" s="136">
        <f ca="1" t="shared" si="1170"/>
        <v>2727</v>
      </c>
      <c r="AL1092" s="136">
        <f ca="1" t="shared" si="1170"/>
        <v>3636</v>
      </c>
      <c r="AM1092" s="136">
        <f ca="1" t="shared" si="1170"/>
        <v>4545</v>
      </c>
      <c r="AN1092" s="136">
        <f ca="1" t="shared" si="1170"/>
        <v>31715</v>
      </c>
    </row>
    <row r="1093" s="106" customFormat="1" ht="16.5" spans="2:40">
      <c r="B1093" s="117">
        <v>459</v>
      </c>
      <c r="C1093" s="130">
        <f t="shared" si="1149"/>
        <v>45900</v>
      </c>
      <c r="D1093" s="131" cm="1">
        <f ca="1" t="array" ref="D1093">IF(D1695=1,OFFSET($W$634,$B1093,D$631-1)/SUMPRODUCT(--($D$631:$V$631=D$631),--($D1695:$V1695=1)),0)+SUM(D1092)+IF(COUNTIF(D$1237:D1695,1)=1,5,0)+IF(COUNTIF(E1093:$W1093,"&gt;"&amp;0)&lt;5,IF(AND(COUNTIF(D$1237:D1695,1)&gt;7,MOD(1+IFERROR(MATCH($C1093,总览!$D$46:$D$345,1)+1,1),7)=0),$C$3,0),0)</f>
        <v>2905.78718642405</v>
      </c>
      <c r="E1093" s="131" cm="1">
        <f ca="1" t="array" ref="E1093">IF(E1695=1,OFFSET($W$634,$B1093,E$631-1)/SUMPRODUCT(--($D$631:$V$631=E$631),--($D1695:$V1695=1)),0)+SUM(E1092)+IF(COUNTIF(E$1237:E1695,1)=1,5,0)+IF(COUNTIF(F1093:$W1093,"&gt;"&amp;0)&lt;5,IF(AND(COUNTIF(E$1237:E1695,1)&gt;7,MOD(1+IFERROR(MATCH($C1093,总览!$D$46:$D$345,1)+1,1),7)=0),$C$3,0),0)</f>
        <v>2905.78718642405</v>
      </c>
      <c r="F1093" s="131" cm="1">
        <f ca="1" t="array" ref="F1093">IF(F1695=1,OFFSET($W$634,$B1093,F$631-1)/SUMPRODUCT(--($D$631:$V$631=F$631),--($D1695:$V1695=1)),0)+SUM(F1092)+IF(COUNTIF(F$1237:F1695,1)=1,5,0)+IF(COUNTIF(G1093:$W1093,"&gt;"&amp;0)&lt;5,IF(AND(COUNTIF(F$1237:F1695,1)&gt;7,MOD(1+IFERROR(MATCH($C1093,总览!$D$46:$D$345,1)+1,1),7)=0),$C$3,0),0)</f>
        <v>2905.78718642405</v>
      </c>
      <c r="G1093" s="131" cm="1">
        <f ca="1" t="array" ref="G1093">IF(G1695=1,OFFSET($W$634,$B1093,G$631-1)/SUMPRODUCT(--($D$631:$V$631=G$631),--($D1695:$V1695=1)),0)+SUM(G1092)+IF(COUNTIF(G$1237:G1695,1)=1,5,0)+IF(COUNTIF(H1093:$W1093,"&gt;"&amp;0)&lt;5,IF(AND(COUNTIF(G$1237:G1695,1)&gt;7,MOD(1+IFERROR(MATCH($C1093,总览!$D$46:$D$345,1)+1,1),7)=0),$C$3,0),0)</f>
        <v>1469.39999999999</v>
      </c>
      <c r="H1093" s="131" cm="1">
        <f ca="1" t="array" ref="H1093">IF(H1695=1,OFFSET($W$634,$B1093,H$631-1)/SUMPRODUCT(--($D$631:$V$631=H$631),--($D1695:$V1695=1)),0)+SUM(H1092)+IF(COUNTIF(H$1237:H1695,1)=1,5,0)+IF(COUNTIF(I1093:$W1093,"&gt;"&amp;0)&lt;5,IF(AND(COUNTIF(H$1237:H1695,1)&gt;7,MOD(1+IFERROR(MATCH($C1093,总览!$D$46:$D$345,1)+1,1),7)=0),$C$3,0),0)</f>
        <v>1469.39999999999</v>
      </c>
      <c r="I1093" s="131" cm="1">
        <f ca="1" t="array" ref="I1093">IF(I1695=1,OFFSET($W$634,$B1093,I$631-1)/SUMPRODUCT(--($D$631:$V$631=I$631),--($D1695:$V1695=1)),0)+SUM(I1092)+IF(COUNTIF(I$1237:I1695,1)=1,5,0)+IF(COUNTIF(J1093:$W1093,"&gt;"&amp;0)&lt;5,IF(AND(COUNTIF(I$1237:I1695,1)&gt;7,MOD(1+IFERROR(MATCH($C1093,总览!$D$46:$D$345,1)+1,1),7)=0),$C$3,0),0)</f>
        <v>1469.39999999999</v>
      </c>
      <c r="J1093" s="131" cm="1">
        <f ca="1" t="array" ref="J1093">IF(J1695=1,OFFSET($W$634,$B1093,J$631-1)/SUMPRODUCT(--($D$631:$V$631=J$631),--($D1695:$V1695=1)),0)+SUM(J1092)+IF(COUNTIF(J$1237:J1695,1)=1,5,0)+IF(COUNTIF(K1093:$W1093,"&gt;"&amp;0)&lt;5,IF(AND(COUNTIF(J$1237:J1695,1)&gt;7,MOD(1+IFERROR(MATCH($C1093,总览!$D$46:$D$345,1)+1,1),7)=0),$C$3,0),0)</f>
        <v>1466.06666666666</v>
      </c>
      <c r="K1093" s="131" cm="1">
        <f ca="1" t="array" ref="K1093">IF(K1695=1,OFFSET($W$634,$B1093,K$631-1)/SUMPRODUCT(--($D$631:$V$631=K$631),--($D1695:$V1695=1)),0)+SUM(K1092)+IF(COUNTIF(K$1237:K1695,1)=1,5,0)+IF(COUNTIF(L1093:$W1093,"&gt;"&amp;0)&lt;5,IF(AND(COUNTIF(K$1237:K1695,1)&gt;7,MOD(1+IFERROR(MATCH($C1093,总览!$D$46:$D$345,1)+1,1),7)=0),$C$3,0),0)</f>
        <v>1463.56666666666</v>
      </c>
      <c r="L1093" s="131" cm="1">
        <f ca="1" t="array" ref="L1093">IF(L1695=1,OFFSET($W$634,$B1093,L$631-1)/SUMPRODUCT(--($D$631:$V$631=L$631),--($D1695:$V1695=1)),0)+SUM(L1092)+IF(COUNTIF(L$1237:L1695,1)=1,5,0)+IF(COUNTIF(M1093:$W1093,"&gt;"&amp;0)&lt;5,IF(AND(COUNTIF(L$1237:L1695,1)&gt;7,MOD(1+IFERROR(MATCH($C1093,总览!$D$46:$D$345,1)+1,1),7)=0),$C$3,0),0)</f>
        <v>1463.56666666666</v>
      </c>
      <c r="M1093" s="131" cm="1">
        <f ca="1" t="array" ref="M1093">IF(M1695=1,OFFSET($W$634,$B1093,M$631-1)/SUMPRODUCT(--($D$631:$V$631=M$631),--($D1695:$V1695=1)),0)+SUM(M1092)+IF(COUNTIF(M$1237:M1695,1)=1,5,0)+IF(COUNTIF(N1093:$W1093,"&gt;"&amp;0)&lt;5,IF(AND(COUNTIF(M$1237:M1695,1)&gt;7,MOD(1+IFERROR(MATCH($C1093,总览!$D$46:$D$345,1)+1,1),7)=0),$C$3,0),0)</f>
        <v>613.466964285717</v>
      </c>
      <c r="N1093" s="131" cm="1">
        <f ca="1" t="array" ref="N1093">IF(N1695=1,OFFSET($W$634,$B1093,N$631-1)/SUMPRODUCT(--($D$631:$V$631=N$631),--($D1695:$V1695=1)),0)+SUM(N1092)+IF(COUNTIF(N$1237:N1695,1)=1,5,0)+IF(COUNTIF(O1093:$W1093,"&gt;"&amp;0)&lt;5,IF(AND(COUNTIF(N$1237:N1695,1)&gt;7,MOD(1+IFERROR(MATCH($C1093,总览!$D$46:$D$345,1)+1,1),7)=0),$C$3,0),0)</f>
        <v>614.716964285717</v>
      </c>
      <c r="O1093" s="131" cm="1">
        <f ca="1" t="array" ref="O1093">IF(O1695=1,OFFSET($W$634,$B1093,O$631-1)/SUMPRODUCT(--($D$631:$V$631=O$631),--($D1695:$V1695=1)),0)+SUM(O1092)+IF(COUNTIF(O$1237:O1695,1)=1,5,0)+IF(COUNTIF(P1093:$W1093,"&gt;"&amp;0)&lt;5,IF(AND(COUNTIF(O$1237:O1695,1)&gt;7,MOD(1+IFERROR(MATCH($C1093,总览!$D$46:$D$345,1)+1,1),7)=0),$C$3,0),0)</f>
        <v>619.716964285717</v>
      </c>
      <c r="P1093" s="131" cm="1">
        <f ca="1" t="array" ref="P1093">IF(P1695=1,OFFSET($W$634,$B1093,P$631-1)/SUMPRODUCT(--($D$631:$V$631=P$631),--($D1695:$V1695=1)),0)+SUM(P1092)+IF(COUNTIF(P$1237:P1695,1)=1,5,0)+IF(COUNTIF(Q1093:$W1093,"&gt;"&amp;0)&lt;5,IF(AND(COUNTIF(P$1237:P1695,1)&gt;7,MOD(1+IFERROR(MATCH($C1093,总览!$D$46:$D$345,1)+1,1),7)=0),$C$3,0),0)</f>
        <v>608.835714285717</v>
      </c>
      <c r="Q1093" s="131" cm="1">
        <f ca="1" t="array" ref="Q1093">IF(Q1695=1,OFFSET($W$634,$B1093,Q$631-1)/SUMPRODUCT(--($D$631:$V$631=Q$631),--($D1695:$V1695=1)),0)+SUM(Q1092)+IF(COUNTIF(Q$1237:Q1695,1)=1,5,0)+IF(COUNTIF(R1093:$W1093,"&gt;"&amp;0)&lt;5,IF(AND(COUNTIF(Q$1237:Q1695,1)&gt;7,MOD(1+IFERROR(MATCH($C1093,总览!$D$46:$D$345,1)+1,1),7)=0),$C$3,0),0)</f>
        <v>622.216964285717</v>
      </c>
      <c r="R1093" s="131" cm="1">
        <f ca="1" t="array" ref="R1093">IF(R1695=1,OFFSET($W$634,$B1093,R$631-1)/SUMPRODUCT(--($D$631:$V$631=R$631),--($D1695:$V1695=1)),0)+SUM(R1092)+IF(COUNTIF(R$1237:R1695,1)=1,5,0)+IF(COUNTIF(S1093:$W1093,"&gt;"&amp;0)&lt;5,IF(AND(COUNTIF(R$1237:R1695,1)&gt;7,MOD(1+IFERROR(MATCH($C1093,总览!$D$46:$D$345,1)+1,1),7)=0),$C$3,0),0)</f>
        <v>613.835714285717</v>
      </c>
      <c r="S1093" s="131" cm="1">
        <f ca="1" t="array" ref="S1093">IF(S1695=1,OFFSET($W$634,$B1093,S$631-1)/SUMPRODUCT(--($D$631:$V$631=S$631),--($D1695:$V1695=1)),0)+SUM(S1092)+IF(COUNTIF(S$1237:S1695,1)=1,5,0)+IF(COUNTIF(T1093:$W1093,"&gt;"&amp;0)&lt;5,IF(AND(COUNTIF(S$1237:S1695,1)&gt;7,MOD(1+IFERROR(MATCH($C1093,总览!$D$46:$D$345,1)+1,1),7)=0),$C$3,0),0)</f>
        <v>706.335714285718</v>
      </c>
      <c r="T1093" s="131" cm="1">
        <f ca="1" t="array" ref="T1093">IF(T1695=1,OFFSET($W$634,$B1093,T$631-1)/SUMPRODUCT(--($D$631:$V$631=T$631),--($D1695:$V1695=1)),0)+SUM(T1092)+IF(COUNTIF(T$1237:T1695,1)=1,5,0)+IF(COUNTIF(U1093:$W1093,"&gt;"&amp;0)&lt;5,IF(AND(COUNTIF(T$1237:T1695,1)&gt;7,MOD(1+IFERROR(MATCH($C1093,总览!$D$46:$D$345,1)+1,1),7)=0),$C$3,0),0)</f>
        <v>517.0816227683</v>
      </c>
      <c r="U1093" s="131" cm="1">
        <f ca="1" t="array" ref="U1093">IF(U1695=1,OFFSET($W$634,$B1093,U$631-1)/SUMPRODUCT(--($D$631:$V$631=U$631),--($D1695:$V1695=1)),0)+SUM(U1092)+IF(COUNTIF(U$1237:U1695,1)=1,5,0)+IF(COUNTIF(V1093:$W1093,"&gt;"&amp;0)&lt;5,IF(AND(COUNTIF(U$1237:U1695,1)&gt;7,MOD(1+IFERROR(MATCH($C1093,总览!$D$46:$D$345,1)+1,1),7)=0),$C$3,0),0)</f>
        <v>522.6024091236</v>
      </c>
      <c r="V1093" s="131" cm="1">
        <f ca="1" t="array" ref="V1093">IF(V1695=1,OFFSET($W$634,$B1093,V$631-1)/SUMPRODUCT(--($D$631:$V$631=V$631),--($D1695:$V1695=1)),0)+SUM(V1092)+IF(COUNTIF(V$1237:V1695,1)=1,5,0)+IF(COUNTIF(W1093:$W1093,"&gt;"&amp;0)&lt;5,IF(AND(COUNTIF(V$1237:V1695,1)&gt;7,MOD(1+IFERROR(MATCH($C1093,总览!$D$46:$D$345,1)+1,1),7)=0),$C$3,0),0)</f>
        <v>542.429408836033</v>
      </c>
      <c r="W1093" s="135" cm="1">
        <f ca="1" t="array" ref="W1093">SUMPRODUCT(TRANSPOSE($AA1093:$AG1093),OFFSET($L$9:$L$15,0,W$631-1))</f>
        <v>16.8502200646615</v>
      </c>
      <c r="X1093" s="135" cm="1">
        <f ca="1" t="array" ref="X1093">SUMPRODUCT(TRANSPOSE($AA1093:$AG1093),OFFSET($L$9:$L$15,0,X$631-1))</f>
        <v>20</v>
      </c>
      <c r="Y1093" s="135" cm="1">
        <f ca="1" t="array" ref="Y1093">SUMPRODUCT(TRANSPOSE($AA1093:$AG1093),OFFSET($L$9:$L$15,0,Y$631-1))</f>
        <v>10</v>
      </c>
      <c r="Z1093" s="135" cm="1">
        <f ca="1" t="array" ref="Z1093">SUMPRODUCT(TRANSPOSE($AA1093:$AG1093),OFFSET($L$9:$L$15,0,Z$631-1))</f>
        <v>3.14977993533847</v>
      </c>
      <c r="AA1093" s="136">
        <f ca="1" t="shared" ref="AA1093:AG1093" si="1171">AH1093-AH1092</f>
        <v>0</v>
      </c>
      <c r="AB1093" s="136">
        <f ca="1" t="shared" si="1171"/>
        <v>0</v>
      </c>
      <c r="AC1093" s="136">
        <f ca="1" t="shared" si="1171"/>
        <v>0</v>
      </c>
      <c r="AD1093" s="136">
        <f ca="1" t="shared" si="1171"/>
        <v>0</v>
      </c>
      <c r="AE1093" s="136">
        <f ca="1" t="shared" si="1171"/>
        <v>0</v>
      </c>
      <c r="AF1093" s="136">
        <f ca="1" t="shared" si="1171"/>
        <v>0</v>
      </c>
      <c r="AG1093" s="136">
        <f ca="1" t="shared" si="1171"/>
        <v>100</v>
      </c>
      <c r="AH1093" s="136">
        <f ca="1" t="shared" si="1151"/>
        <v>450</v>
      </c>
      <c r="AI1093" s="136">
        <f ca="1" t="shared" ref="AI1093:AN1093" si="1172">IF($C1093&gt;OFFSET($Q$8,MATCH(AI$634,$AH$634:$AN$634,0),0),OFFSET($P$8,MATCH(AI$634,$AH$634:$AN$634,0),0),MAX(0,$C1093-OFFSET($Q$8,RIGHT(AI$634,1)-1,0)))</f>
        <v>909</v>
      </c>
      <c r="AJ1093" s="136">
        <f ca="1" t="shared" si="1172"/>
        <v>1818</v>
      </c>
      <c r="AK1093" s="136">
        <f ca="1" t="shared" si="1172"/>
        <v>2727</v>
      </c>
      <c r="AL1093" s="136">
        <f ca="1" t="shared" si="1172"/>
        <v>3636</v>
      </c>
      <c r="AM1093" s="136">
        <f ca="1" t="shared" si="1172"/>
        <v>4545</v>
      </c>
      <c r="AN1093" s="136">
        <f ca="1" t="shared" si="1172"/>
        <v>31815</v>
      </c>
    </row>
    <row r="1094" s="106" customFormat="1" ht="16.5" spans="2:40">
      <c r="B1094" s="117">
        <v>460</v>
      </c>
      <c r="C1094" s="130">
        <f t="shared" si="1149"/>
        <v>46000</v>
      </c>
      <c r="D1094" s="131" cm="1">
        <f ca="1" t="array" ref="D1094">IF(D1696=1,OFFSET($W$634,$B1094,D$631-1)/SUMPRODUCT(--($D$631:$V$631=D$631),--($D1696:$V1696=1)),0)+SUM(D1093)+IF(COUNTIF(D$1237:D1696,1)=1,5,0)+IF(COUNTIF(E1094:$W1094,"&gt;"&amp;0)&lt;5,IF(AND(COUNTIF(D$1237:D1696,1)&gt;7,MOD(1+IFERROR(MATCH($C1094,总览!$D$46:$D$345,1)+1,1),7)=0),$C$3,0),0)</f>
        <v>2911.4039264456</v>
      </c>
      <c r="E1094" s="131" cm="1">
        <f ca="1" t="array" ref="E1094">IF(E1696=1,OFFSET($W$634,$B1094,E$631-1)/SUMPRODUCT(--($D$631:$V$631=E$631),--($D1696:$V1696=1)),0)+SUM(E1093)+IF(COUNTIF(E$1237:E1696,1)=1,5,0)+IF(COUNTIF(F1094:$W1094,"&gt;"&amp;0)&lt;5,IF(AND(COUNTIF(E$1237:E1696,1)&gt;7,MOD(1+IFERROR(MATCH($C1094,总览!$D$46:$D$345,1)+1,1),7)=0),$C$3,0),0)</f>
        <v>2911.4039264456</v>
      </c>
      <c r="F1094" s="131" cm="1">
        <f ca="1" t="array" ref="F1094">IF(F1696=1,OFFSET($W$634,$B1094,F$631-1)/SUMPRODUCT(--($D$631:$V$631=F$631),--($D1696:$V1696=1)),0)+SUM(F1093)+IF(COUNTIF(F$1237:F1696,1)=1,5,0)+IF(COUNTIF(G1094:$W1094,"&gt;"&amp;0)&lt;5,IF(AND(COUNTIF(F$1237:F1696,1)&gt;7,MOD(1+IFERROR(MATCH($C1094,总览!$D$46:$D$345,1)+1,1),7)=0),$C$3,0),0)</f>
        <v>2911.4039264456</v>
      </c>
      <c r="G1094" s="131" cm="1">
        <f ca="1" t="array" ref="G1094">IF(G1696=1,OFFSET($W$634,$B1094,G$631-1)/SUMPRODUCT(--($D$631:$V$631=G$631),--($D1696:$V1696=1)),0)+SUM(G1093)+IF(COUNTIF(G$1237:G1696,1)=1,5,0)+IF(COUNTIF(H1094:$W1094,"&gt;"&amp;0)&lt;5,IF(AND(COUNTIF(G$1237:G1696,1)&gt;7,MOD(1+IFERROR(MATCH($C1094,总览!$D$46:$D$345,1)+1,1),7)=0),$C$3,0),0)</f>
        <v>1472.73333333333</v>
      </c>
      <c r="H1094" s="131" cm="1">
        <f ca="1" t="array" ref="H1094">IF(H1696=1,OFFSET($W$634,$B1094,H$631-1)/SUMPRODUCT(--($D$631:$V$631=H$631),--($D1696:$V1696=1)),0)+SUM(H1093)+IF(COUNTIF(H$1237:H1696,1)=1,5,0)+IF(COUNTIF(I1094:$W1094,"&gt;"&amp;0)&lt;5,IF(AND(COUNTIF(H$1237:H1696,1)&gt;7,MOD(1+IFERROR(MATCH($C1094,总览!$D$46:$D$345,1)+1,1),7)=0),$C$3,0),0)</f>
        <v>1472.73333333333</v>
      </c>
      <c r="I1094" s="131" cm="1">
        <f ca="1" t="array" ref="I1094">IF(I1696=1,OFFSET($W$634,$B1094,I$631-1)/SUMPRODUCT(--($D$631:$V$631=I$631),--($D1696:$V1696=1)),0)+SUM(I1093)+IF(COUNTIF(I$1237:I1696,1)=1,5,0)+IF(COUNTIF(J1094:$W1094,"&gt;"&amp;0)&lt;5,IF(AND(COUNTIF(I$1237:I1696,1)&gt;7,MOD(1+IFERROR(MATCH($C1094,总览!$D$46:$D$345,1)+1,1),7)=0),$C$3,0),0)</f>
        <v>1472.73333333333</v>
      </c>
      <c r="J1094" s="131" cm="1">
        <f ca="1" t="array" ref="J1094">IF(J1696=1,OFFSET($W$634,$B1094,J$631-1)/SUMPRODUCT(--($D$631:$V$631=J$631),--($D1696:$V1696=1)),0)+SUM(J1093)+IF(COUNTIF(J$1237:J1696,1)=1,5,0)+IF(COUNTIF(K1094:$W1094,"&gt;"&amp;0)&lt;5,IF(AND(COUNTIF(J$1237:J1696,1)&gt;7,MOD(1+IFERROR(MATCH($C1094,总览!$D$46:$D$345,1)+1,1),7)=0),$C$3,0),0)</f>
        <v>1469.39999999999</v>
      </c>
      <c r="K1094" s="131" cm="1">
        <f ca="1" t="array" ref="K1094">IF(K1696=1,OFFSET($W$634,$B1094,K$631-1)/SUMPRODUCT(--($D$631:$V$631=K$631),--($D1696:$V1696=1)),0)+SUM(K1093)+IF(COUNTIF(K$1237:K1696,1)=1,5,0)+IF(COUNTIF(L1094:$W1094,"&gt;"&amp;0)&lt;5,IF(AND(COUNTIF(K$1237:K1696,1)&gt;7,MOD(1+IFERROR(MATCH($C1094,总览!$D$46:$D$345,1)+1,1),7)=0),$C$3,0),0)</f>
        <v>1466.89999999999</v>
      </c>
      <c r="L1094" s="131" cm="1">
        <f ca="1" t="array" ref="L1094">IF(L1696=1,OFFSET($W$634,$B1094,L$631-1)/SUMPRODUCT(--($D$631:$V$631=L$631),--($D1696:$V1696=1)),0)+SUM(L1093)+IF(COUNTIF(L$1237:L1696,1)=1,5,0)+IF(COUNTIF(M1094:$W1094,"&gt;"&amp;0)&lt;5,IF(AND(COUNTIF(L$1237:L1696,1)&gt;7,MOD(1+IFERROR(MATCH($C1094,总览!$D$46:$D$345,1)+1,1),7)=0),$C$3,0),0)</f>
        <v>1466.89999999999</v>
      </c>
      <c r="M1094" s="131" cm="1">
        <f ca="1" t="array" ref="M1094">IF(M1696=1,OFFSET($W$634,$B1094,M$631-1)/SUMPRODUCT(--($D$631:$V$631=M$631),--($D1696:$V1696=1)),0)+SUM(M1093)+IF(COUNTIF(M$1237:M1696,1)=1,5,0)+IF(COUNTIF(N1094:$W1094,"&gt;"&amp;0)&lt;5,IF(AND(COUNTIF(M$1237:M1696,1)&gt;7,MOD(1+IFERROR(MATCH($C1094,总览!$D$46:$D$345,1)+1,1),7)=0),$C$3,0),0)</f>
        <v>614.895535714289</v>
      </c>
      <c r="N1094" s="131" cm="1">
        <f ca="1" t="array" ref="N1094">IF(N1696=1,OFFSET($W$634,$B1094,N$631-1)/SUMPRODUCT(--($D$631:$V$631=N$631),--($D1696:$V1696=1)),0)+SUM(N1093)+IF(COUNTIF(N$1237:N1696,1)=1,5,0)+IF(COUNTIF(O1094:$W1094,"&gt;"&amp;0)&lt;5,IF(AND(COUNTIF(N$1237:N1696,1)&gt;7,MOD(1+IFERROR(MATCH($C1094,总览!$D$46:$D$345,1)+1,1),7)=0),$C$3,0),0)</f>
        <v>616.145535714289</v>
      </c>
      <c r="O1094" s="131" cm="1">
        <f ca="1" t="array" ref="O1094">IF(O1696=1,OFFSET($W$634,$B1094,O$631-1)/SUMPRODUCT(--($D$631:$V$631=O$631),--($D1696:$V1696=1)),0)+SUM(O1093)+IF(COUNTIF(O$1237:O1696,1)=1,5,0)+IF(COUNTIF(P1094:$W1094,"&gt;"&amp;0)&lt;5,IF(AND(COUNTIF(O$1237:O1696,1)&gt;7,MOD(1+IFERROR(MATCH($C1094,总览!$D$46:$D$345,1)+1,1),7)=0),$C$3,0),0)</f>
        <v>621.145535714289</v>
      </c>
      <c r="P1094" s="131" cm="1">
        <f ca="1" t="array" ref="P1094">IF(P1696=1,OFFSET($W$634,$B1094,P$631-1)/SUMPRODUCT(--($D$631:$V$631=P$631),--($D1696:$V1696=1)),0)+SUM(P1093)+IF(COUNTIF(P$1237:P1696,1)=1,5,0)+IF(COUNTIF(Q1094:$W1094,"&gt;"&amp;0)&lt;5,IF(AND(COUNTIF(P$1237:P1696,1)&gt;7,MOD(1+IFERROR(MATCH($C1094,总览!$D$46:$D$345,1)+1,1),7)=0),$C$3,0),0)</f>
        <v>610.264285714289</v>
      </c>
      <c r="Q1094" s="131" cm="1">
        <f ca="1" t="array" ref="Q1094">IF(Q1696=1,OFFSET($W$634,$B1094,Q$631-1)/SUMPRODUCT(--($D$631:$V$631=Q$631),--($D1696:$V1696=1)),0)+SUM(Q1093)+IF(COUNTIF(Q$1237:Q1696,1)=1,5,0)+IF(COUNTIF(R1094:$W1094,"&gt;"&amp;0)&lt;5,IF(AND(COUNTIF(Q$1237:Q1696,1)&gt;7,MOD(1+IFERROR(MATCH($C1094,总览!$D$46:$D$345,1)+1,1),7)=0),$C$3,0),0)</f>
        <v>623.645535714289</v>
      </c>
      <c r="R1094" s="131" cm="1">
        <f ca="1" t="array" ref="R1094">IF(R1696=1,OFFSET($W$634,$B1094,R$631-1)/SUMPRODUCT(--($D$631:$V$631=R$631),--($D1696:$V1696=1)),0)+SUM(R1093)+IF(COUNTIF(R$1237:R1696,1)=1,5,0)+IF(COUNTIF(S1094:$W1094,"&gt;"&amp;0)&lt;5,IF(AND(COUNTIF(R$1237:R1696,1)&gt;7,MOD(1+IFERROR(MATCH($C1094,总览!$D$46:$D$345,1)+1,1),7)=0),$C$3,0),0)</f>
        <v>615.264285714289</v>
      </c>
      <c r="S1094" s="131" cm="1">
        <f ca="1" t="array" ref="S1094">IF(S1696=1,OFFSET($W$634,$B1094,S$631-1)/SUMPRODUCT(--($D$631:$V$631=S$631),--($D1696:$V1696=1)),0)+SUM(S1093)+IF(COUNTIF(S$1237:S1696,1)=1,5,0)+IF(COUNTIF(T1094:$W1094,"&gt;"&amp;0)&lt;5,IF(AND(COUNTIF(S$1237:S1696,1)&gt;7,MOD(1+IFERROR(MATCH($C1094,总览!$D$46:$D$345,1)+1,1),7)=0),$C$3,0),0)</f>
        <v>707.76428571429</v>
      </c>
      <c r="T1094" s="131" cm="1">
        <f ca="1" t="array" ref="T1094">IF(T1696=1,OFFSET($W$634,$B1094,T$631-1)/SUMPRODUCT(--($D$631:$V$631=T$631),--($D1696:$V1696=1)),0)+SUM(T1093)+IF(COUNTIF(T$1237:T1696,1)=1,5,0)+IF(COUNTIF(U1094:$W1094,"&gt;"&amp;0)&lt;5,IF(AND(COUNTIF(T$1237:T1696,1)&gt;7,MOD(1+IFERROR(MATCH($C1094,总览!$D$46:$D$345,1)+1,1),7)=0),$C$3,0),0)</f>
        <v>518.131549413413</v>
      </c>
      <c r="U1094" s="131" cm="1">
        <f ca="1" t="array" ref="U1094">IF(U1696=1,OFFSET($W$634,$B1094,U$631-1)/SUMPRODUCT(--($D$631:$V$631=U$631),--($D1696:$V1696=1)),0)+SUM(U1093)+IF(COUNTIF(U$1237:U1696,1)=1,5,0)+IF(COUNTIF(V1094:$W1094,"&gt;"&amp;0)&lt;5,IF(AND(COUNTIF(U$1237:U1696,1)&gt;7,MOD(1+IFERROR(MATCH($C1094,总览!$D$46:$D$345,1)+1,1),7)=0),$C$3,0),0)</f>
        <v>523.652335768713</v>
      </c>
      <c r="V1094" s="131" cm="1">
        <f ca="1" t="array" ref="V1094">IF(V1696=1,OFFSET($W$634,$B1094,V$631-1)/SUMPRODUCT(--($D$631:$V$631=V$631),--($D1696:$V1696=1)),0)+SUM(V1093)+IF(COUNTIF(V$1237:V1696,1)=1,5,0)+IF(COUNTIF(W1094:$W1094,"&gt;"&amp;0)&lt;5,IF(AND(COUNTIF(V$1237:V1696,1)&gt;7,MOD(1+IFERROR(MATCH($C1094,总览!$D$46:$D$345,1)+1,1),7)=0),$C$3,0),0)</f>
        <v>543.479335481146</v>
      </c>
      <c r="W1094" s="135" cm="1">
        <f ca="1" t="array" ref="W1094">SUMPRODUCT(TRANSPOSE($AA1094:$AG1094),OFFSET($L$9:$L$15,0,W$631-1))</f>
        <v>16.8502200646615</v>
      </c>
      <c r="X1094" s="135" cm="1">
        <f ca="1" t="array" ref="X1094">SUMPRODUCT(TRANSPOSE($AA1094:$AG1094),OFFSET($L$9:$L$15,0,X$631-1))</f>
        <v>20</v>
      </c>
      <c r="Y1094" s="135" cm="1">
        <f ca="1" t="array" ref="Y1094">SUMPRODUCT(TRANSPOSE($AA1094:$AG1094),OFFSET($L$9:$L$15,0,Y$631-1))</f>
        <v>10</v>
      </c>
      <c r="Z1094" s="135" cm="1">
        <f ca="1" t="array" ref="Z1094">SUMPRODUCT(TRANSPOSE($AA1094:$AG1094),OFFSET($L$9:$L$15,0,Z$631-1))</f>
        <v>3.14977993533847</v>
      </c>
      <c r="AA1094" s="136">
        <f ca="1" t="shared" ref="AA1094:AG1094" si="1173">AH1094-AH1093</f>
        <v>0</v>
      </c>
      <c r="AB1094" s="136">
        <f ca="1" t="shared" si="1173"/>
        <v>0</v>
      </c>
      <c r="AC1094" s="136">
        <f ca="1" t="shared" si="1173"/>
        <v>0</v>
      </c>
      <c r="AD1094" s="136">
        <f ca="1" t="shared" si="1173"/>
        <v>0</v>
      </c>
      <c r="AE1094" s="136">
        <f ca="1" t="shared" si="1173"/>
        <v>0</v>
      </c>
      <c r="AF1094" s="136">
        <f ca="1" t="shared" si="1173"/>
        <v>0</v>
      </c>
      <c r="AG1094" s="136">
        <f ca="1" t="shared" si="1173"/>
        <v>100</v>
      </c>
      <c r="AH1094" s="136">
        <f ca="1" t="shared" si="1151"/>
        <v>450</v>
      </c>
      <c r="AI1094" s="136">
        <f ca="1" t="shared" ref="AI1094:AN1094" si="1174">IF($C1094&gt;OFFSET($Q$8,MATCH(AI$634,$AH$634:$AN$634,0),0),OFFSET($P$8,MATCH(AI$634,$AH$634:$AN$634,0),0),MAX(0,$C1094-OFFSET($Q$8,RIGHT(AI$634,1)-1,0)))</f>
        <v>909</v>
      </c>
      <c r="AJ1094" s="136">
        <f ca="1" t="shared" si="1174"/>
        <v>1818</v>
      </c>
      <c r="AK1094" s="136">
        <f ca="1" t="shared" si="1174"/>
        <v>2727</v>
      </c>
      <c r="AL1094" s="136">
        <f ca="1" t="shared" si="1174"/>
        <v>3636</v>
      </c>
      <c r="AM1094" s="136">
        <f ca="1" t="shared" si="1174"/>
        <v>4545</v>
      </c>
      <c r="AN1094" s="136">
        <f ca="1" t="shared" si="1174"/>
        <v>31915</v>
      </c>
    </row>
    <row r="1095" s="106" customFormat="1" ht="16.5" spans="2:40">
      <c r="B1095" s="117">
        <v>461</v>
      </c>
      <c r="C1095" s="130">
        <f t="shared" si="1149"/>
        <v>46100</v>
      </c>
      <c r="D1095" s="131" cm="1">
        <f ca="1" t="array" ref="D1095">IF(D1697=1,OFFSET($W$634,$B1095,D$631-1)/SUMPRODUCT(--($D$631:$V$631=D$631),--($D1697:$V1697=1)),0)+SUM(D1094)+IF(COUNTIF(D$1237:D1697,1)=1,5,0)+IF(COUNTIF(E1095:$W1095,"&gt;"&amp;0)&lt;5,IF(AND(COUNTIF(D$1237:D1697,1)&gt;7,MOD(1+IFERROR(MATCH($C1095,总览!$D$46:$D$345,1)+1,1),7)=0),$C$3,0),0)</f>
        <v>2917.02066646715</v>
      </c>
      <c r="E1095" s="131" cm="1">
        <f ca="1" t="array" ref="E1095">IF(E1697=1,OFFSET($W$634,$B1095,E$631-1)/SUMPRODUCT(--($D$631:$V$631=E$631),--($D1697:$V1697=1)),0)+SUM(E1094)+IF(COUNTIF(E$1237:E1697,1)=1,5,0)+IF(COUNTIF(F1095:$W1095,"&gt;"&amp;0)&lt;5,IF(AND(COUNTIF(E$1237:E1697,1)&gt;7,MOD(1+IFERROR(MATCH($C1095,总览!$D$46:$D$345,1)+1,1),7)=0),$C$3,0),0)</f>
        <v>2917.02066646715</v>
      </c>
      <c r="F1095" s="131" cm="1">
        <f ca="1" t="array" ref="F1095">IF(F1697=1,OFFSET($W$634,$B1095,F$631-1)/SUMPRODUCT(--($D$631:$V$631=F$631),--($D1697:$V1697=1)),0)+SUM(F1094)+IF(COUNTIF(F$1237:F1697,1)=1,5,0)+IF(COUNTIF(G1095:$W1095,"&gt;"&amp;0)&lt;5,IF(AND(COUNTIF(F$1237:F1697,1)&gt;7,MOD(1+IFERROR(MATCH($C1095,总览!$D$46:$D$345,1)+1,1),7)=0),$C$3,0),0)</f>
        <v>2917.02066646715</v>
      </c>
      <c r="G1095" s="131" cm="1">
        <f ca="1" t="array" ref="G1095">IF(G1697=1,OFFSET($W$634,$B1095,G$631-1)/SUMPRODUCT(--($D$631:$V$631=G$631),--($D1697:$V1697=1)),0)+SUM(G1094)+IF(COUNTIF(G$1237:G1697,1)=1,5,0)+IF(COUNTIF(H1095:$W1095,"&gt;"&amp;0)&lt;5,IF(AND(COUNTIF(G$1237:G1697,1)&gt;7,MOD(1+IFERROR(MATCH($C1095,总览!$D$46:$D$345,1)+1,1),7)=0),$C$3,0),0)</f>
        <v>1476.06666666666</v>
      </c>
      <c r="H1095" s="131" cm="1">
        <f ca="1" t="array" ref="H1095">IF(H1697=1,OFFSET($W$634,$B1095,H$631-1)/SUMPRODUCT(--($D$631:$V$631=H$631),--($D1697:$V1697=1)),0)+SUM(H1094)+IF(COUNTIF(H$1237:H1697,1)=1,5,0)+IF(COUNTIF(I1095:$W1095,"&gt;"&amp;0)&lt;5,IF(AND(COUNTIF(H$1237:H1697,1)&gt;7,MOD(1+IFERROR(MATCH($C1095,总览!$D$46:$D$345,1)+1,1),7)=0),$C$3,0),0)</f>
        <v>1476.06666666666</v>
      </c>
      <c r="I1095" s="131" cm="1">
        <f ca="1" t="array" ref="I1095">IF(I1697=1,OFFSET($W$634,$B1095,I$631-1)/SUMPRODUCT(--($D$631:$V$631=I$631),--($D1697:$V1697=1)),0)+SUM(I1094)+IF(COUNTIF(I$1237:I1697,1)=1,5,0)+IF(COUNTIF(J1095:$W1095,"&gt;"&amp;0)&lt;5,IF(AND(COUNTIF(I$1237:I1697,1)&gt;7,MOD(1+IFERROR(MATCH($C1095,总览!$D$46:$D$345,1)+1,1),7)=0),$C$3,0),0)</f>
        <v>1476.06666666666</v>
      </c>
      <c r="J1095" s="131" cm="1">
        <f ca="1" t="array" ref="J1095">IF(J1697=1,OFFSET($W$634,$B1095,J$631-1)/SUMPRODUCT(--($D$631:$V$631=J$631),--($D1697:$V1697=1)),0)+SUM(J1094)+IF(COUNTIF(J$1237:J1697,1)=1,5,0)+IF(COUNTIF(K1095:$W1095,"&gt;"&amp;0)&lt;5,IF(AND(COUNTIF(J$1237:J1697,1)&gt;7,MOD(1+IFERROR(MATCH($C1095,总览!$D$46:$D$345,1)+1,1),7)=0),$C$3,0),0)</f>
        <v>1472.73333333333</v>
      </c>
      <c r="K1095" s="131" cm="1">
        <f ca="1" t="array" ref="K1095">IF(K1697=1,OFFSET($W$634,$B1095,K$631-1)/SUMPRODUCT(--($D$631:$V$631=K$631),--($D1697:$V1697=1)),0)+SUM(K1094)+IF(COUNTIF(K$1237:K1697,1)=1,5,0)+IF(COUNTIF(L1095:$W1095,"&gt;"&amp;0)&lt;5,IF(AND(COUNTIF(K$1237:K1697,1)&gt;7,MOD(1+IFERROR(MATCH($C1095,总览!$D$46:$D$345,1)+1,1),7)=0),$C$3,0),0)</f>
        <v>1470.23333333333</v>
      </c>
      <c r="L1095" s="131" cm="1">
        <f ca="1" t="array" ref="L1095">IF(L1697=1,OFFSET($W$634,$B1095,L$631-1)/SUMPRODUCT(--($D$631:$V$631=L$631),--($D1697:$V1697=1)),0)+SUM(L1094)+IF(COUNTIF(L$1237:L1697,1)=1,5,0)+IF(COUNTIF(M1095:$W1095,"&gt;"&amp;0)&lt;5,IF(AND(COUNTIF(L$1237:L1697,1)&gt;7,MOD(1+IFERROR(MATCH($C1095,总览!$D$46:$D$345,1)+1,1),7)=0),$C$3,0),0)</f>
        <v>1470.23333333333</v>
      </c>
      <c r="M1095" s="131" cm="1">
        <f ca="1" t="array" ref="M1095">IF(M1697=1,OFFSET($W$634,$B1095,M$631-1)/SUMPRODUCT(--($D$631:$V$631=M$631),--($D1697:$V1697=1)),0)+SUM(M1094)+IF(COUNTIF(M$1237:M1697,1)=1,5,0)+IF(COUNTIF(N1095:$W1095,"&gt;"&amp;0)&lt;5,IF(AND(COUNTIF(M$1237:M1697,1)&gt;7,MOD(1+IFERROR(MATCH($C1095,总览!$D$46:$D$345,1)+1,1),7)=0),$C$3,0),0)</f>
        <v>616.32410714286</v>
      </c>
      <c r="N1095" s="131" cm="1">
        <f ca="1" t="array" ref="N1095">IF(N1697=1,OFFSET($W$634,$B1095,N$631-1)/SUMPRODUCT(--($D$631:$V$631=N$631),--($D1697:$V1697=1)),0)+SUM(N1094)+IF(COUNTIF(N$1237:N1697,1)=1,5,0)+IF(COUNTIF(O1095:$W1095,"&gt;"&amp;0)&lt;5,IF(AND(COUNTIF(N$1237:N1697,1)&gt;7,MOD(1+IFERROR(MATCH($C1095,总览!$D$46:$D$345,1)+1,1),7)=0),$C$3,0),0)</f>
        <v>617.57410714286</v>
      </c>
      <c r="O1095" s="131" cm="1">
        <f ca="1" t="array" ref="O1095">IF(O1697=1,OFFSET($W$634,$B1095,O$631-1)/SUMPRODUCT(--($D$631:$V$631=O$631),--($D1697:$V1697=1)),0)+SUM(O1094)+IF(COUNTIF(O$1237:O1697,1)=1,5,0)+IF(COUNTIF(P1095:$W1095,"&gt;"&amp;0)&lt;5,IF(AND(COUNTIF(O$1237:O1697,1)&gt;7,MOD(1+IFERROR(MATCH($C1095,总览!$D$46:$D$345,1)+1,1),7)=0),$C$3,0),0)</f>
        <v>622.57410714286</v>
      </c>
      <c r="P1095" s="131" cm="1">
        <f ca="1" t="array" ref="P1095">IF(P1697=1,OFFSET($W$634,$B1095,P$631-1)/SUMPRODUCT(--($D$631:$V$631=P$631),--($D1697:$V1697=1)),0)+SUM(P1094)+IF(COUNTIF(P$1237:P1697,1)=1,5,0)+IF(COUNTIF(Q1095:$W1095,"&gt;"&amp;0)&lt;5,IF(AND(COUNTIF(P$1237:P1697,1)&gt;7,MOD(1+IFERROR(MATCH($C1095,总览!$D$46:$D$345,1)+1,1),7)=0),$C$3,0),0)</f>
        <v>611.69285714286</v>
      </c>
      <c r="Q1095" s="131" cm="1">
        <f ca="1" t="array" ref="Q1095">IF(Q1697=1,OFFSET($W$634,$B1095,Q$631-1)/SUMPRODUCT(--($D$631:$V$631=Q$631),--($D1697:$V1697=1)),0)+SUM(Q1094)+IF(COUNTIF(Q$1237:Q1697,1)=1,5,0)+IF(COUNTIF(R1095:$W1095,"&gt;"&amp;0)&lt;5,IF(AND(COUNTIF(Q$1237:Q1697,1)&gt;7,MOD(1+IFERROR(MATCH($C1095,总览!$D$46:$D$345,1)+1,1),7)=0),$C$3,0),0)</f>
        <v>625.07410714286</v>
      </c>
      <c r="R1095" s="131" cm="1">
        <f ca="1" t="array" ref="R1095">IF(R1697=1,OFFSET($W$634,$B1095,R$631-1)/SUMPRODUCT(--($D$631:$V$631=R$631),--($D1697:$V1697=1)),0)+SUM(R1094)+IF(COUNTIF(R$1237:R1697,1)=1,5,0)+IF(COUNTIF(S1095:$W1095,"&gt;"&amp;0)&lt;5,IF(AND(COUNTIF(R$1237:R1697,1)&gt;7,MOD(1+IFERROR(MATCH($C1095,总览!$D$46:$D$345,1)+1,1),7)=0),$C$3,0),0)</f>
        <v>616.69285714286</v>
      </c>
      <c r="S1095" s="131" cm="1">
        <f ca="1" t="array" ref="S1095">IF(S1697=1,OFFSET($W$634,$B1095,S$631-1)/SUMPRODUCT(--($D$631:$V$631=S$631),--($D1697:$V1697=1)),0)+SUM(S1094)+IF(COUNTIF(S$1237:S1697,1)=1,5,0)+IF(COUNTIF(T1095:$W1095,"&gt;"&amp;0)&lt;5,IF(AND(COUNTIF(S$1237:S1697,1)&gt;7,MOD(1+IFERROR(MATCH($C1095,总览!$D$46:$D$345,1)+1,1),7)=0),$C$3,0),0)</f>
        <v>709.192857142861</v>
      </c>
      <c r="T1095" s="131" cm="1">
        <f ca="1" t="array" ref="T1095">IF(T1697=1,OFFSET($W$634,$B1095,T$631-1)/SUMPRODUCT(--($D$631:$V$631=T$631),--($D1697:$V1697=1)),0)+SUM(T1094)+IF(COUNTIF(T$1237:T1697,1)=1,5,0)+IF(COUNTIF(U1095:$W1095,"&gt;"&amp;0)&lt;5,IF(AND(COUNTIF(T$1237:T1697,1)&gt;7,MOD(1+IFERROR(MATCH($C1095,总览!$D$46:$D$345,1)+1,1),7)=0),$C$3,0),0)</f>
        <v>519.181476058526</v>
      </c>
      <c r="U1095" s="131" cm="1">
        <f ca="1" t="array" ref="U1095">IF(U1697=1,OFFSET($W$634,$B1095,U$631-1)/SUMPRODUCT(--($D$631:$V$631=U$631),--($D1697:$V1697=1)),0)+SUM(U1094)+IF(COUNTIF(U$1237:U1697,1)=1,5,0)+IF(COUNTIF(V1095:$W1095,"&gt;"&amp;0)&lt;5,IF(AND(COUNTIF(U$1237:U1697,1)&gt;7,MOD(1+IFERROR(MATCH($C1095,总览!$D$46:$D$345,1)+1,1),7)=0),$C$3,0),0)</f>
        <v>524.702262413826</v>
      </c>
      <c r="V1095" s="131" cm="1">
        <f ca="1" t="array" ref="V1095">IF(V1697=1,OFFSET($W$634,$B1095,V$631-1)/SUMPRODUCT(--($D$631:$V$631=V$631),--($D1697:$V1697=1)),0)+SUM(V1094)+IF(COUNTIF(V$1237:V1697,1)=1,5,0)+IF(COUNTIF(W1095:$W1095,"&gt;"&amp;0)&lt;5,IF(AND(COUNTIF(V$1237:V1697,1)&gt;7,MOD(1+IFERROR(MATCH($C1095,总览!$D$46:$D$345,1)+1,1),7)=0),$C$3,0),0)</f>
        <v>544.529262126259</v>
      </c>
      <c r="W1095" s="135" cm="1">
        <f ca="1" t="array" ref="W1095">SUMPRODUCT(TRANSPOSE($AA1095:$AG1095),OFFSET($L$9:$L$15,0,W$631-1))</f>
        <v>16.8502200646615</v>
      </c>
      <c r="X1095" s="135" cm="1">
        <f ca="1" t="array" ref="X1095">SUMPRODUCT(TRANSPOSE($AA1095:$AG1095),OFFSET($L$9:$L$15,0,X$631-1))</f>
        <v>20</v>
      </c>
      <c r="Y1095" s="135" cm="1">
        <f ca="1" t="array" ref="Y1095">SUMPRODUCT(TRANSPOSE($AA1095:$AG1095),OFFSET($L$9:$L$15,0,Y$631-1))</f>
        <v>10</v>
      </c>
      <c r="Z1095" s="135" cm="1">
        <f ca="1" t="array" ref="Z1095">SUMPRODUCT(TRANSPOSE($AA1095:$AG1095),OFFSET($L$9:$L$15,0,Z$631-1))</f>
        <v>3.14977993533847</v>
      </c>
      <c r="AA1095" s="136">
        <f ca="1" t="shared" ref="AA1095:AG1095" si="1175">AH1095-AH1094</f>
        <v>0</v>
      </c>
      <c r="AB1095" s="136">
        <f ca="1" t="shared" si="1175"/>
        <v>0</v>
      </c>
      <c r="AC1095" s="136">
        <f ca="1" t="shared" si="1175"/>
        <v>0</v>
      </c>
      <c r="AD1095" s="136">
        <f ca="1" t="shared" si="1175"/>
        <v>0</v>
      </c>
      <c r="AE1095" s="136">
        <f ca="1" t="shared" si="1175"/>
        <v>0</v>
      </c>
      <c r="AF1095" s="136">
        <f ca="1" t="shared" si="1175"/>
        <v>0</v>
      </c>
      <c r="AG1095" s="136">
        <f ca="1" t="shared" si="1175"/>
        <v>100</v>
      </c>
      <c r="AH1095" s="136">
        <f ca="1" t="shared" si="1151"/>
        <v>450</v>
      </c>
      <c r="AI1095" s="136">
        <f ca="1" t="shared" ref="AI1095:AN1095" si="1176">IF($C1095&gt;OFFSET($Q$8,MATCH(AI$634,$AH$634:$AN$634,0),0),OFFSET($P$8,MATCH(AI$634,$AH$634:$AN$634,0),0),MAX(0,$C1095-OFFSET($Q$8,RIGHT(AI$634,1)-1,0)))</f>
        <v>909</v>
      </c>
      <c r="AJ1095" s="136">
        <f ca="1" t="shared" si="1176"/>
        <v>1818</v>
      </c>
      <c r="AK1095" s="136">
        <f ca="1" t="shared" si="1176"/>
        <v>2727</v>
      </c>
      <c r="AL1095" s="136">
        <f ca="1" t="shared" si="1176"/>
        <v>3636</v>
      </c>
      <c r="AM1095" s="136">
        <f ca="1" t="shared" si="1176"/>
        <v>4545</v>
      </c>
      <c r="AN1095" s="136">
        <f ca="1" t="shared" si="1176"/>
        <v>32015</v>
      </c>
    </row>
    <row r="1096" s="106" customFormat="1" ht="16.5" spans="2:40">
      <c r="B1096" s="117">
        <v>462</v>
      </c>
      <c r="C1096" s="130">
        <f t="shared" si="1149"/>
        <v>46200</v>
      </c>
      <c r="D1096" s="131" cm="1">
        <f ca="1" t="array" ref="D1096">IF(D1698=1,OFFSET($W$634,$B1096,D$631-1)/SUMPRODUCT(--($D$631:$V$631=D$631),--($D1698:$V1698=1)),0)+SUM(D1095)+IF(COUNTIF(D$1237:D1698,1)=1,5,0)+IF(COUNTIF(E1096:$W1096,"&gt;"&amp;0)&lt;5,IF(AND(COUNTIF(D$1237:D1698,1)&gt;7,MOD(1+IFERROR(MATCH($C1096,总览!$D$46:$D$345,1)+1,1),7)=0),$C$3,0),0)</f>
        <v>2922.63740648871</v>
      </c>
      <c r="E1096" s="131" cm="1">
        <f ca="1" t="array" ref="E1096">IF(E1698=1,OFFSET($W$634,$B1096,E$631-1)/SUMPRODUCT(--($D$631:$V$631=E$631),--($D1698:$V1698=1)),0)+SUM(E1095)+IF(COUNTIF(E$1237:E1698,1)=1,5,0)+IF(COUNTIF(F1096:$W1096,"&gt;"&amp;0)&lt;5,IF(AND(COUNTIF(E$1237:E1698,1)&gt;7,MOD(1+IFERROR(MATCH($C1096,总览!$D$46:$D$345,1)+1,1),7)=0),$C$3,0),0)</f>
        <v>2922.63740648871</v>
      </c>
      <c r="F1096" s="131" cm="1">
        <f ca="1" t="array" ref="F1096">IF(F1698=1,OFFSET($W$634,$B1096,F$631-1)/SUMPRODUCT(--($D$631:$V$631=F$631),--($D1698:$V1698=1)),0)+SUM(F1095)+IF(COUNTIF(F$1237:F1698,1)=1,5,0)+IF(COUNTIF(G1096:$W1096,"&gt;"&amp;0)&lt;5,IF(AND(COUNTIF(F$1237:F1698,1)&gt;7,MOD(1+IFERROR(MATCH($C1096,总览!$D$46:$D$345,1)+1,1),7)=0),$C$3,0),0)</f>
        <v>2922.63740648871</v>
      </c>
      <c r="G1096" s="131" cm="1">
        <f ca="1" t="array" ref="G1096">IF(G1698=1,OFFSET($W$634,$B1096,G$631-1)/SUMPRODUCT(--($D$631:$V$631=G$631),--($D1698:$V1698=1)),0)+SUM(G1095)+IF(COUNTIF(G$1237:G1698,1)=1,5,0)+IF(COUNTIF(H1096:$W1096,"&gt;"&amp;0)&lt;5,IF(AND(COUNTIF(G$1237:G1698,1)&gt;7,MOD(1+IFERROR(MATCH($C1096,总览!$D$46:$D$345,1)+1,1),7)=0),$C$3,0),0)</f>
        <v>1479.39999999999</v>
      </c>
      <c r="H1096" s="131" cm="1">
        <f ca="1" t="array" ref="H1096">IF(H1698=1,OFFSET($W$634,$B1096,H$631-1)/SUMPRODUCT(--($D$631:$V$631=H$631),--($D1698:$V1698=1)),0)+SUM(H1095)+IF(COUNTIF(H$1237:H1698,1)=1,5,0)+IF(COUNTIF(I1096:$W1096,"&gt;"&amp;0)&lt;5,IF(AND(COUNTIF(H$1237:H1698,1)&gt;7,MOD(1+IFERROR(MATCH($C1096,总览!$D$46:$D$345,1)+1,1),7)=0),$C$3,0),0)</f>
        <v>1479.39999999999</v>
      </c>
      <c r="I1096" s="131" cm="1">
        <f ca="1" t="array" ref="I1096">IF(I1698=1,OFFSET($W$634,$B1096,I$631-1)/SUMPRODUCT(--($D$631:$V$631=I$631),--($D1698:$V1698=1)),0)+SUM(I1095)+IF(COUNTIF(I$1237:I1698,1)=1,5,0)+IF(COUNTIF(J1096:$W1096,"&gt;"&amp;0)&lt;5,IF(AND(COUNTIF(I$1237:I1698,1)&gt;7,MOD(1+IFERROR(MATCH($C1096,总览!$D$46:$D$345,1)+1,1),7)=0),$C$3,0),0)</f>
        <v>1479.39999999999</v>
      </c>
      <c r="J1096" s="131" cm="1">
        <f ca="1" t="array" ref="J1096">IF(J1698=1,OFFSET($W$634,$B1096,J$631-1)/SUMPRODUCT(--($D$631:$V$631=J$631),--($D1698:$V1698=1)),0)+SUM(J1095)+IF(COUNTIF(J$1237:J1698,1)=1,5,0)+IF(COUNTIF(K1096:$W1096,"&gt;"&amp;0)&lt;5,IF(AND(COUNTIF(J$1237:J1698,1)&gt;7,MOD(1+IFERROR(MATCH($C1096,总览!$D$46:$D$345,1)+1,1),7)=0),$C$3,0),0)</f>
        <v>1476.06666666666</v>
      </c>
      <c r="K1096" s="131" cm="1">
        <f ca="1" t="array" ref="K1096">IF(K1698=1,OFFSET($W$634,$B1096,K$631-1)/SUMPRODUCT(--($D$631:$V$631=K$631),--($D1698:$V1698=1)),0)+SUM(K1095)+IF(COUNTIF(K$1237:K1698,1)=1,5,0)+IF(COUNTIF(L1096:$W1096,"&gt;"&amp;0)&lt;5,IF(AND(COUNTIF(K$1237:K1698,1)&gt;7,MOD(1+IFERROR(MATCH($C1096,总览!$D$46:$D$345,1)+1,1),7)=0),$C$3,0),0)</f>
        <v>1473.56666666666</v>
      </c>
      <c r="L1096" s="131" cm="1">
        <f ca="1" t="array" ref="L1096">IF(L1698=1,OFFSET($W$634,$B1096,L$631-1)/SUMPRODUCT(--($D$631:$V$631=L$631),--($D1698:$V1698=1)),0)+SUM(L1095)+IF(COUNTIF(L$1237:L1698,1)=1,5,0)+IF(COUNTIF(M1096:$W1096,"&gt;"&amp;0)&lt;5,IF(AND(COUNTIF(L$1237:L1698,1)&gt;7,MOD(1+IFERROR(MATCH($C1096,总览!$D$46:$D$345,1)+1,1),7)=0),$C$3,0),0)</f>
        <v>1473.56666666666</v>
      </c>
      <c r="M1096" s="131" cm="1">
        <f ca="1" t="array" ref="M1096">IF(M1698=1,OFFSET($W$634,$B1096,M$631-1)/SUMPRODUCT(--($D$631:$V$631=M$631),--($D1698:$V1698=1)),0)+SUM(M1095)+IF(COUNTIF(M$1237:M1698,1)=1,5,0)+IF(COUNTIF(N1096:$W1096,"&gt;"&amp;0)&lt;5,IF(AND(COUNTIF(M$1237:M1698,1)&gt;7,MOD(1+IFERROR(MATCH($C1096,总览!$D$46:$D$345,1)+1,1),7)=0),$C$3,0),0)</f>
        <v>617.752678571431</v>
      </c>
      <c r="N1096" s="131" cm="1">
        <f ca="1" t="array" ref="N1096">IF(N1698=1,OFFSET($W$634,$B1096,N$631-1)/SUMPRODUCT(--($D$631:$V$631=N$631),--($D1698:$V1698=1)),0)+SUM(N1095)+IF(COUNTIF(N$1237:N1698,1)=1,5,0)+IF(COUNTIF(O1096:$W1096,"&gt;"&amp;0)&lt;5,IF(AND(COUNTIF(N$1237:N1698,1)&gt;7,MOD(1+IFERROR(MATCH($C1096,总览!$D$46:$D$345,1)+1,1),7)=0),$C$3,0),0)</f>
        <v>619.002678571431</v>
      </c>
      <c r="O1096" s="131" cm="1">
        <f ca="1" t="array" ref="O1096">IF(O1698=1,OFFSET($W$634,$B1096,O$631-1)/SUMPRODUCT(--($D$631:$V$631=O$631),--($D1698:$V1698=1)),0)+SUM(O1095)+IF(COUNTIF(O$1237:O1698,1)=1,5,0)+IF(COUNTIF(P1096:$W1096,"&gt;"&amp;0)&lt;5,IF(AND(COUNTIF(O$1237:O1698,1)&gt;7,MOD(1+IFERROR(MATCH($C1096,总览!$D$46:$D$345,1)+1,1),7)=0),$C$3,0),0)</f>
        <v>624.002678571431</v>
      </c>
      <c r="P1096" s="131" cm="1">
        <f ca="1" t="array" ref="P1096">IF(P1698=1,OFFSET($W$634,$B1096,P$631-1)/SUMPRODUCT(--($D$631:$V$631=P$631),--($D1698:$V1698=1)),0)+SUM(P1095)+IF(COUNTIF(P$1237:P1698,1)=1,5,0)+IF(COUNTIF(Q1096:$W1096,"&gt;"&amp;0)&lt;5,IF(AND(COUNTIF(P$1237:P1698,1)&gt;7,MOD(1+IFERROR(MATCH($C1096,总览!$D$46:$D$345,1)+1,1),7)=0),$C$3,0),0)</f>
        <v>613.121428571431</v>
      </c>
      <c r="Q1096" s="131" cm="1">
        <f ca="1" t="array" ref="Q1096">IF(Q1698=1,OFFSET($W$634,$B1096,Q$631-1)/SUMPRODUCT(--($D$631:$V$631=Q$631),--($D1698:$V1698=1)),0)+SUM(Q1095)+IF(COUNTIF(Q$1237:Q1698,1)=1,5,0)+IF(COUNTIF(R1096:$W1096,"&gt;"&amp;0)&lt;5,IF(AND(COUNTIF(Q$1237:Q1698,1)&gt;7,MOD(1+IFERROR(MATCH($C1096,总览!$D$46:$D$345,1)+1,1),7)=0),$C$3,0),0)</f>
        <v>626.502678571431</v>
      </c>
      <c r="R1096" s="131" cm="1">
        <f ca="1" t="array" ref="R1096">IF(R1698=1,OFFSET($W$634,$B1096,R$631-1)/SUMPRODUCT(--($D$631:$V$631=R$631),--($D1698:$V1698=1)),0)+SUM(R1095)+IF(COUNTIF(R$1237:R1698,1)=1,5,0)+IF(COUNTIF(S1096:$W1096,"&gt;"&amp;0)&lt;5,IF(AND(COUNTIF(R$1237:R1698,1)&gt;7,MOD(1+IFERROR(MATCH($C1096,总览!$D$46:$D$345,1)+1,1),7)=0),$C$3,0),0)</f>
        <v>618.121428571431</v>
      </c>
      <c r="S1096" s="131" cm="1">
        <f ca="1" t="array" ref="S1096">IF(S1698=1,OFFSET($W$634,$B1096,S$631-1)/SUMPRODUCT(--($D$631:$V$631=S$631),--($D1698:$V1698=1)),0)+SUM(S1095)+IF(COUNTIF(S$1237:S1698,1)=1,5,0)+IF(COUNTIF(T1096:$W1096,"&gt;"&amp;0)&lt;5,IF(AND(COUNTIF(S$1237:S1698,1)&gt;7,MOD(1+IFERROR(MATCH($C1096,总览!$D$46:$D$345,1)+1,1),7)=0),$C$3,0),0)</f>
        <v>710.621428571433</v>
      </c>
      <c r="T1096" s="131" cm="1">
        <f ca="1" t="array" ref="T1096">IF(T1698=1,OFFSET($W$634,$B1096,T$631-1)/SUMPRODUCT(--($D$631:$V$631=T$631),--($D1698:$V1698=1)),0)+SUM(T1095)+IF(COUNTIF(T$1237:T1698,1)=1,5,0)+IF(COUNTIF(U1096:$W1096,"&gt;"&amp;0)&lt;5,IF(AND(COUNTIF(T$1237:T1698,1)&gt;7,MOD(1+IFERROR(MATCH($C1096,总览!$D$46:$D$345,1)+1,1),7)=0),$C$3,0),0)</f>
        <v>520.231402703639</v>
      </c>
      <c r="U1096" s="131" cm="1">
        <f ca="1" t="array" ref="U1096">IF(U1698=1,OFFSET($W$634,$B1096,U$631-1)/SUMPRODUCT(--($D$631:$V$631=U$631),--($D1698:$V1698=1)),0)+SUM(U1095)+IF(COUNTIF(U$1237:U1698,1)=1,5,0)+IF(COUNTIF(V1096:$W1096,"&gt;"&amp;0)&lt;5,IF(AND(COUNTIF(U$1237:U1698,1)&gt;7,MOD(1+IFERROR(MATCH($C1096,总览!$D$46:$D$345,1)+1,1),7)=0),$C$3,0),0)</f>
        <v>525.752189058938</v>
      </c>
      <c r="V1096" s="131" cm="1">
        <f ca="1" t="array" ref="V1096">IF(V1698=1,OFFSET($W$634,$B1096,V$631-1)/SUMPRODUCT(--($D$631:$V$631=V$631),--($D1698:$V1698=1)),0)+SUM(V1095)+IF(COUNTIF(V$1237:V1698,1)=1,5,0)+IF(COUNTIF(W1096:$W1096,"&gt;"&amp;0)&lt;5,IF(AND(COUNTIF(V$1237:V1698,1)&gt;7,MOD(1+IFERROR(MATCH($C1096,总览!$D$46:$D$345,1)+1,1),7)=0),$C$3,0),0)</f>
        <v>545.579188771371</v>
      </c>
      <c r="W1096" s="135" cm="1">
        <f ca="1" t="array" ref="W1096">SUMPRODUCT(TRANSPOSE($AA1096:$AG1096),OFFSET($L$9:$L$15,0,W$631-1))</f>
        <v>16.8502200646615</v>
      </c>
      <c r="X1096" s="135" cm="1">
        <f ca="1" t="array" ref="X1096">SUMPRODUCT(TRANSPOSE($AA1096:$AG1096),OFFSET($L$9:$L$15,0,X$631-1))</f>
        <v>20</v>
      </c>
      <c r="Y1096" s="135" cm="1">
        <f ca="1" t="array" ref="Y1096">SUMPRODUCT(TRANSPOSE($AA1096:$AG1096),OFFSET($L$9:$L$15,0,Y$631-1))</f>
        <v>10</v>
      </c>
      <c r="Z1096" s="135" cm="1">
        <f ca="1" t="array" ref="Z1096">SUMPRODUCT(TRANSPOSE($AA1096:$AG1096),OFFSET($L$9:$L$15,0,Z$631-1))</f>
        <v>3.14977993533847</v>
      </c>
      <c r="AA1096" s="136">
        <f ca="1" t="shared" ref="AA1096:AG1096" si="1177">AH1096-AH1095</f>
        <v>0</v>
      </c>
      <c r="AB1096" s="136">
        <f ca="1" t="shared" si="1177"/>
        <v>0</v>
      </c>
      <c r="AC1096" s="136">
        <f ca="1" t="shared" si="1177"/>
        <v>0</v>
      </c>
      <c r="AD1096" s="136">
        <f ca="1" t="shared" si="1177"/>
        <v>0</v>
      </c>
      <c r="AE1096" s="136">
        <f ca="1" t="shared" si="1177"/>
        <v>0</v>
      </c>
      <c r="AF1096" s="136">
        <f ca="1" t="shared" si="1177"/>
        <v>0</v>
      </c>
      <c r="AG1096" s="136">
        <f ca="1" t="shared" si="1177"/>
        <v>100</v>
      </c>
      <c r="AH1096" s="136">
        <f ca="1" t="shared" si="1151"/>
        <v>450</v>
      </c>
      <c r="AI1096" s="136">
        <f ca="1" t="shared" ref="AI1096:AN1096" si="1178">IF($C1096&gt;OFFSET($Q$8,MATCH(AI$634,$AH$634:$AN$634,0),0),OFFSET($P$8,MATCH(AI$634,$AH$634:$AN$634,0),0),MAX(0,$C1096-OFFSET($Q$8,RIGHT(AI$634,1)-1,0)))</f>
        <v>909</v>
      </c>
      <c r="AJ1096" s="136">
        <f ca="1" t="shared" si="1178"/>
        <v>1818</v>
      </c>
      <c r="AK1096" s="136">
        <f ca="1" t="shared" si="1178"/>
        <v>2727</v>
      </c>
      <c r="AL1096" s="136">
        <f ca="1" t="shared" si="1178"/>
        <v>3636</v>
      </c>
      <c r="AM1096" s="136">
        <f ca="1" t="shared" si="1178"/>
        <v>4545</v>
      </c>
      <c r="AN1096" s="136">
        <f ca="1" t="shared" si="1178"/>
        <v>32115</v>
      </c>
    </row>
    <row r="1097" s="106" customFormat="1" ht="16.5" spans="2:40">
      <c r="B1097" s="117">
        <v>463</v>
      </c>
      <c r="C1097" s="130">
        <f t="shared" si="1149"/>
        <v>46300</v>
      </c>
      <c r="D1097" s="131" cm="1">
        <f ca="1" t="array" ref="D1097">IF(D1699=1,OFFSET($W$634,$B1097,D$631-1)/SUMPRODUCT(--($D$631:$V$631=D$631),--($D1699:$V1699=1)),0)+SUM(D1096)+IF(COUNTIF(D$1237:D1699,1)=1,5,0)+IF(COUNTIF(E1097:$W1097,"&gt;"&amp;0)&lt;5,IF(AND(COUNTIF(D$1237:D1699,1)&gt;7,MOD(1+IFERROR(MATCH($C1097,总览!$D$46:$D$345,1)+1,1),7)=0),$C$3,0),0)</f>
        <v>2928.25414651026</v>
      </c>
      <c r="E1097" s="131" cm="1">
        <f ca="1" t="array" ref="E1097">IF(E1699=1,OFFSET($W$634,$B1097,E$631-1)/SUMPRODUCT(--($D$631:$V$631=E$631),--($D1699:$V1699=1)),0)+SUM(E1096)+IF(COUNTIF(E$1237:E1699,1)=1,5,0)+IF(COUNTIF(F1097:$W1097,"&gt;"&amp;0)&lt;5,IF(AND(COUNTIF(E$1237:E1699,1)&gt;7,MOD(1+IFERROR(MATCH($C1097,总览!$D$46:$D$345,1)+1,1),7)=0),$C$3,0),0)</f>
        <v>2928.25414651026</v>
      </c>
      <c r="F1097" s="131" cm="1">
        <f ca="1" t="array" ref="F1097">IF(F1699=1,OFFSET($W$634,$B1097,F$631-1)/SUMPRODUCT(--($D$631:$V$631=F$631),--($D1699:$V1699=1)),0)+SUM(F1096)+IF(COUNTIF(F$1237:F1699,1)=1,5,0)+IF(COUNTIF(G1097:$W1097,"&gt;"&amp;0)&lt;5,IF(AND(COUNTIF(F$1237:F1699,1)&gt;7,MOD(1+IFERROR(MATCH($C1097,总览!$D$46:$D$345,1)+1,1),7)=0),$C$3,0),0)</f>
        <v>2928.25414651026</v>
      </c>
      <c r="G1097" s="131" cm="1">
        <f ca="1" t="array" ref="G1097">IF(G1699=1,OFFSET($W$634,$B1097,G$631-1)/SUMPRODUCT(--($D$631:$V$631=G$631),--($D1699:$V1699=1)),0)+SUM(G1096)+IF(COUNTIF(G$1237:G1699,1)=1,5,0)+IF(COUNTIF(H1097:$W1097,"&gt;"&amp;0)&lt;5,IF(AND(COUNTIF(G$1237:G1699,1)&gt;7,MOD(1+IFERROR(MATCH($C1097,总览!$D$46:$D$345,1)+1,1),7)=0),$C$3,0),0)</f>
        <v>1482.73333333333</v>
      </c>
      <c r="H1097" s="131" cm="1">
        <f ca="1" t="array" ref="H1097">IF(H1699=1,OFFSET($W$634,$B1097,H$631-1)/SUMPRODUCT(--($D$631:$V$631=H$631),--($D1699:$V1699=1)),0)+SUM(H1096)+IF(COUNTIF(H$1237:H1699,1)=1,5,0)+IF(COUNTIF(I1097:$W1097,"&gt;"&amp;0)&lt;5,IF(AND(COUNTIF(H$1237:H1699,1)&gt;7,MOD(1+IFERROR(MATCH($C1097,总览!$D$46:$D$345,1)+1,1),7)=0),$C$3,0),0)</f>
        <v>1482.73333333333</v>
      </c>
      <c r="I1097" s="131" cm="1">
        <f ca="1" t="array" ref="I1097">IF(I1699=1,OFFSET($W$634,$B1097,I$631-1)/SUMPRODUCT(--($D$631:$V$631=I$631),--($D1699:$V1699=1)),0)+SUM(I1096)+IF(COUNTIF(I$1237:I1699,1)=1,5,0)+IF(COUNTIF(J1097:$W1097,"&gt;"&amp;0)&lt;5,IF(AND(COUNTIF(I$1237:I1699,1)&gt;7,MOD(1+IFERROR(MATCH($C1097,总览!$D$46:$D$345,1)+1,1),7)=0),$C$3,0),0)</f>
        <v>1482.73333333333</v>
      </c>
      <c r="J1097" s="131" cm="1">
        <f ca="1" t="array" ref="J1097">IF(J1699=1,OFFSET($W$634,$B1097,J$631-1)/SUMPRODUCT(--($D$631:$V$631=J$631),--($D1699:$V1699=1)),0)+SUM(J1096)+IF(COUNTIF(J$1237:J1699,1)=1,5,0)+IF(COUNTIF(K1097:$W1097,"&gt;"&amp;0)&lt;5,IF(AND(COUNTIF(J$1237:J1699,1)&gt;7,MOD(1+IFERROR(MATCH($C1097,总览!$D$46:$D$345,1)+1,1),7)=0),$C$3,0),0)</f>
        <v>1479.39999999999</v>
      </c>
      <c r="K1097" s="131" cm="1">
        <f ca="1" t="array" ref="K1097">IF(K1699=1,OFFSET($W$634,$B1097,K$631-1)/SUMPRODUCT(--($D$631:$V$631=K$631),--($D1699:$V1699=1)),0)+SUM(K1096)+IF(COUNTIF(K$1237:K1699,1)=1,5,0)+IF(COUNTIF(L1097:$W1097,"&gt;"&amp;0)&lt;5,IF(AND(COUNTIF(K$1237:K1699,1)&gt;7,MOD(1+IFERROR(MATCH($C1097,总览!$D$46:$D$345,1)+1,1),7)=0),$C$3,0),0)</f>
        <v>1476.89999999999</v>
      </c>
      <c r="L1097" s="131" cm="1">
        <f ca="1" t="array" ref="L1097">IF(L1699=1,OFFSET($W$634,$B1097,L$631-1)/SUMPRODUCT(--($D$631:$V$631=L$631),--($D1699:$V1699=1)),0)+SUM(L1096)+IF(COUNTIF(L$1237:L1699,1)=1,5,0)+IF(COUNTIF(M1097:$W1097,"&gt;"&amp;0)&lt;5,IF(AND(COUNTIF(L$1237:L1699,1)&gt;7,MOD(1+IFERROR(MATCH($C1097,总览!$D$46:$D$345,1)+1,1),7)=0),$C$3,0),0)</f>
        <v>1476.89999999999</v>
      </c>
      <c r="M1097" s="131" cm="1">
        <f ca="1" t="array" ref="M1097">IF(M1699=1,OFFSET($W$634,$B1097,M$631-1)/SUMPRODUCT(--($D$631:$V$631=M$631),--($D1699:$V1699=1)),0)+SUM(M1096)+IF(COUNTIF(M$1237:M1699,1)=1,5,0)+IF(COUNTIF(N1097:$W1097,"&gt;"&amp;0)&lt;5,IF(AND(COUNTIF(M$1237:M1699,1)&gt;7,MOD(1+IFERROR(MATCH($C1097,总览!$D$46:$D$345,1)+1,1),7)=0),$C$3,0),0)</f>
        <v>619.181250000003</v>
      </c>
      <c r="N1097" s="131" cm="1">
        <f ca="1" t="array" ref="N1097">IF(N1699=1,OFFSET($W$634,$B1097,N$631-1)/SUMPRODUCT(--($D$631:$V$631=N$631),--($D1699:$V1699=1)),0)+SUM(N1096)+IF(COUNTIF(N$1237:N1699,1)=1,5,0)+IF(COUNTIF(O1097:$W1097,"&gt;"&amp;0)&lt;5,IF(AND(COUNTIF(N$1237:N1699,1)&gt;7,MOD(1+IFERROR(MATCH($C1097,总览!$D$46:$D$345,1)+1,1),7)=0),$C$3,0),0)</f>
        <v>620.431250000003</v>
      </c>
      <c r="O1097" s="131" cm="1">
        <f ca="1" t="array" ref="O1097">IF(O1699=1,OFFSET($W$634,$B1097,O$631-1)/SUMPRODUCT(--($D$631:$V$631=O$631),--($D1699:$V1699=1)),0)+SUM(O1096)+IF(COUNTIF(O$1237:O1699,1)=1,5,0)+IF(COUNTIF(P1097:$W1097,"&gt;"&amp;0)&lt;5,IF(AND(COUNTIF(O$1237:O1699,1)&gt;7,MOD(1+IFERROR(MATCH($C1097,总览!$D$46:$D$345,1)+1,1),7)=0),$C$3,0),0)</f>
        <v>625.431250000003</v>
      </c>
      <c r="P1097" s="131" cm="1">
        <f ca="1" t="array" ref="P1097">IF(P1699=1,OFFSET($W$634,$B1097,P$631-1)/SUMPRODUCT(--($D$631:$V$631=P$631),--($D1699:$V1699=1)),0)+SUM(P1096)+IF(COUNTIF(P$1237:P1699,1)=1,5,0)+IF(COUNTIF(Q1097:$W1097,"&gt;"&amp;0)&lt;5,IF(AND(COUNTIF(P$1237:P1699,1)&gt;7,MOD(1+IFERROR(MATCH($C1097,总览!$D$46:$D$345,1)+1,1),7)=0),$C$3,0),0)</f>
        <v>614.550000000003</v>
      </c>
      <c r="Q1097" s="131" cm="1">
        <f ca="1" t="array" ref="Q1097">IF(Q1699=1,OFFSET($W$634,$B1097,Q$631-1)/SUMPRODUCT(--($D$631:$V$631=Q$631),--($D1699:$V1699=1)),0)+SUM(Q1096)+IF(COUNTIF(Q$1237:Q1699,1)=1,5,0)+IF(COUNTIF(R1097:$W1097,"&gt;"&amp;0)&lt;5,IF(AND(COUNTIF(Q$1237:Q1699,1)&gt;7,MOD(1+IFERROR(MATCH($C1097,总览!$D$46:$D$345,1)+1,1),7)=0),$C$3,0),0)</f>
        <v>627.931250000003</v>
      </c>
      <c r="R1097" s="131" cm="1">
        <f ca="1" t="array" ref="R1097">IF(R1699=1,OFFSET($W$634,$B1097,R$631-1)/SUMPRODUCT(--($D$631:$V$631=R$631),--($D1699:$V1699=1)),0)+SUM(R1096)+IF(COUNTIF(R$1237:R1699,1)=1,5,0)+IF(COUNTIF(S1097:$W1097,"&gt;"&amp;0)&lt;5,IF(AND(COUNTIF(R$1237:R1699,1)&gt;7,MOD(1+IFERROR(MATCH($C1097,总览!$D$46:$D$345,1)+1,1),7)=0),$C$3,0),0)</f>
        <v>619.550000000003</v>
      </c>
      <c r="S1097" s="131" cm="1">
        <f ca="1" t="array" ref="S1097">IF(S1699=1,OFFSET($W$634,$B1097,S$631-1)/SUMPRODUCT(--($D$631:$V$631=S$631),--($D1699:$V1699=1)),0)+SUM(S1096)+IF(COUNTIF(S$1237:S1699,1)=1,5,0)+IF(COUNTIF(T1097:$W1097,"&gt;"&amp;0)&lt;5,IF(AND(COUNTIF(S$1237:S1699,1)&gt;7,MOD(1+IFERROR(MATCH($C1097,总览!$D$46:$D$345,1)+1,1),7)=0),$C$3,0),0)</f>
        <v>712.050000000004</v>
      </c>
      <c r="T1097" s="131" cm="1">
        <f ca="1" t="array" ref="T1097">IF(T1699=1,OFFSET($W$634,$B1097,T$631-1)/SUMPRODUCT(--($D$631:$V$631=T$631),--($D1699:$V1699=1)),0)+SUM(T1096)+IF(COUNTIF(T$1237:T1699,1)=1,5,0)+IF(COUNTIF(U1097:$W1097,"&gt;"&amp;0)&lt;5,IF(AND(COUNTIF(T$1237:T1699,1)&gt;7,MOD(1+IFERROR(MATCH($C1097,总览!$D$46:$D$345,1)+1,1),7)=0),$C$3,0),0)</f>
        <v>521.281329348752</v>
      </c>
      <c r="U1097" s="131" cm="1">
        <f ca="1" t="array" ref="U1097">IF(U1699=1,OFFSET($W$634,$B1097,U$631-1)/SUMPRODUCT(--($D$631:$V$631=U$631),--($D1699:$V1699=1)),0)+SUM(U1096)+IF(COUNTIF(U$1237:U1699,1)=1,5,0)+IF(COUNTIF(V1097:$W1097,"&gt;"&amp;0)&lt;5,IF(AND(COUNTIF(U$1237:U1699,1)&gt;7,MOD(1+IFERROR(MATCH($C1097,总览!$D$46:$D$345,1)+1,1),7)=0),$C$3,0),0)</f>
        <v>526.802115704051</v>
      </c>
      <c r="V1097" s="131" cm="1">
        <f ca="1" t="array" ref="V1097">IF(V1699=1,OFFSET($W$634,$B1097,V$631-1)/SUMPRODUCT(--($D$631:$V$631=V$631),--($D1699:$V1699=1)),0)+SUM(V1096)+IF(COUNTIF(V$1237:V1699,1)=1,5,0)+IF(COUNTIF(W1097:$W1097,"&gt;"&amp;0)&lt;5,IF(AND(COUNTIF(V$1237:V1699,1)&gt;7,MOD(1+IFERROR(MATCH($C1097,总览!$D$46:$D$345,1)+1,1),7)=0),$C$3,0),0)</f>
        <v>546.629115416484</v>
      </c>
      <c r="W1097" s="135" cm="1">
        <f ca="1" t="array" ref="W1097">SUMPRODUCT(TRANSPOSE($AA1097:$AG1097),OFFSET($L$9:$L$15,0,W$631-1))</f>
        <v>16.8502200646615</v>
      </c>
      <c r="X1097" s="135" cm="1">
        <f ca="1" t="array" ref="X1097">SUMPRODUCT(TRANSPOSE($AA1097:$AG1097),OFFSET($L$9:$L$15,0,X$631-1))</f>
        <v>20</v>
      </c>
      <c r="Y1097" s="135" cm="1">
        <f ca="1" t="array" ref="Y1097">SUMPRODUCT(TRANSPOSE($AA1097:$AG1097),OFFSET($L$9:$L$15,0,Y$631-1))</f>
        <v>10</v>
      </c>
      <c r="Z1097" s="135" cm="1">
        <f ca="1" t="array" ref="Z1097">SUMPRODUCT(TRANSPOSE($AA1097:$AG1097),OFFSET($L$9:$L$15,0,Z$631-1))</f>
        <v>3.14977993533847</v>
      </c>
      <c r="AA1097" s="136">
        <f ca="1" t="shared" ref="AA1097:AG1097" si="1179">AH1097-AH1096</f>
        <v>0</v>
      </c>
      <c r="AB1097" s="136">
        <f ca="1" t="shared" si="1179"/>
        <v>0</v>
      </c>
      <c r="AC1097" s="136">
        <f ca="1" t="shared" si="1179"/>
        <v>0</v>
      </c>
      <c r="AD1097" s="136">
        <f ca="1" t="shared" si="1179"/>
        <v>0</v>
      </c>
      <c r="AE1097" s="136">
        <f ca="1" t="shared" si="1179"/>
        <v>0</v>
      </c>
      <c r="AF1097" s="136">
        <f ca="1" t="shared" si="1179"/>
        <v>0</v>
      </c>
      <c r="AG1097" s="136">
        <f ca="1" t="shared" si="1179"/>
        <v>100</v>
      </c>
      <c r="AH1097" s="136">
        <f ca="1" t="shared" si="1151"/>
        <v>450</v>
      </c>
      <c r="AI1097" s="136">
        <f ca="1" t="shared" ref="AI1097:AN1097" si="1180">IF($C1097&gt;OFFSET($Q$8,MATCH(AI$634,$AH$634:$AN$634,0),0),OFFSET($P$8,MATCH(AI$634,$AH$634:$AN$634,0),0),MAX(0,$C1097-OFFSET($Q$8,RIGHT(AI$634,1)-1,0)))</f>
        <v>909</v>
      </c>
      <c r="AJ1097" s="136">
        <f ca="1" t="shared" si="1180"/>
        <v>1818</v>
      </c>
      <c r="AK1097" s="136">
        <f ca="1" t="shared" si="1180"/>
        <v>2727</v>
      </c>
      <c r="AL1097" s="136">
        <f ca="1" t="shared" si="1180"/>
        <v>3636</v>
      </c>
      <c r="AM1097" s="136">
        <f ca="1" t="shared" si="1180"/>
        <v>4545</v>
      </c>
      <c r="AN1097" s="136">
        <f ca="1" t="shared" si="1180"/>
        <v>32215</v>
      </c>
    </row>
    <row r="1098" s="106" customFormat="1" ht="16.5" spans="2:40">
      <c r="B1098" s="117">
        <v>464</v>
      </c>
      <c r="C1098" s="130">
        <f t="shared" si="1149"/>
        <v>46400</v>
      </c>
      <c r="D1098" s="131" cm="1">
        <f ca="1" t="array" ref="D1098">IF(D1700=1,OFFSET($W$634,$B1098,D$631-1)/SUMPRODUCT(--($D$631:$V$631=D$631),--($D1700:$V1700=1)),0)+SUM(D1097)+IF(COUNTIF(D$1237:D1700,1)=1,5,0)+IF(COUNTIF(E1098:$W1098,"&gt;"&amp;0)&lt;5,IF(AND(COUNTIF(D$1237:D1700,1)&gt;7,MOD(1+IFERROR(MATCH($C1098,总览!$D$46:$D$345,1)+1,1),7)=0),$C$3,0),0)</f>
        <v>2933.87088653182</v>
      </c>
      <c r="E1098" s="131" cm="1">
        <f ca="1" t="array" ref="E1098">IF(E1700=1,OFFSET($W$634,$B1098,E$631-1)/SUMPRODUCT(--($D$631:$V$631=E$631),--($D1700:$V1700=1)),0)+SUM(E1097)+IF(COUNTIF(E$1237:E1700,1)=1,5,0)+IF(COUNTIF(F1098:$W1098,"&gt;"&amp;0)&lt;5,IF(AND(COUNTIF(E$1237:E1700,1)&gt;7,MOD(1+IFERROR(MATCH($C1098,总览!$D$46:$D$345,1)+1,1),7)=0),$C$3,0),0)</f>
        <v>2933.87088653182</v>
      </c>
      <c r="F1098" s="131" cm="1">
        <f ca="1" t="array" ref="F1098">IF(F1700=1,OFFSET($W$634,$B1098,F$631-1)/SUMPRODUCT(--($D$631:$V$631=F$631),--($D1700:$V1700=1)),0)+SUM(F1097)+IF(COUNTIF(F$1237:F1700,1)=1,5,0)+IF(COUNTIF(G1098:$W1098,"&gt;"&amp;0)&lt;5,IF(AND(COUNTIF(F$1237:F1700,1)&gt;7,MOD(1+IFERROR(MATCH($C1098,总览!$D$46:$D$345,1)+1,1),7)=0),$C$3,0),0)</f>
        <v>2933.87088653182</v>
      </c>
      <c r="G1098" s="131" cm="1">
        <f ca="1" t="array" ref="G1098">IF(G1700=1,OFFSET($W$634,$B1098,G$631-1)/SUMPRODUCT(--($D$631:$V$631=G$631),--($D1700:$V1700=1)),0)+SUM(G1097)+IF(COUNTIF(G$1237:G1700,1)=1,5,0)+IF(COUNTIF(H1098:$W1098,"&gt;"&amp;0)&lt;5,IF(AND(COUNTIF(G$1237:G1700,1)&gt;7,MOD(1+IFERROR(MATCH($C1098,总览!$D$46:$D$345,1)+1,1),7)=0),$C$3,0),0)</f>
        <v>1486.06666666666</v>
      </c>
      <c r="H1098" s="131" cm="1">
        <f ca="1" t="array" ref="H1098">IF(H1700=1,OFFSET($W$634,$B1098,H$631-1)/SUMPRODUCT(--($D$631:$V$631=H$631),--($D1700:$V1700=1)),0)+SUM(H1097)+IF(COUNTIF(H$1237:H1700,1)=1,5,0)+IF(COUNTIF(I1098:$W1098,"&gt;"&amp;0)&lt;5,IF(AND(COUNTIF(H$1237:H1700,1)&gt;7,MOD(1+IFERROR(MATCH($C1098,总览!$D$46:$D$345,1)+1,1),7)=0),$C$3,0),0)</f>
        <v>1486.06666666666</v>
      </c>
      <c r="I1098" s="131" cm="1">
        <f ca="1" t="array" ref="I1098">IF(I1700=1,OFFSET($W$634,$B1098,I$631-1)/SUMPRODUCT(--($D$631:$V$631=I$631),--($D1700:$V1700=1)),0)+SUM(I1097)+IF(COUNTIF(I$1237:I1700,1)=1,5,0)+IF(COUNTIF(J1098:$W1098,"&gt;"&amp;0)&lt;5,IF(AND(COUNTIF(I$1237:I1700,1)&gt;7,MOD(1+IFERROR(MATCH($C1098,总览!$D$46:$D$345,1)+1,1),7)=0),$C$3,0),0)</f>
        <v>1486.06666666666</v>
      </c>
      <c r="J1098" s="131" cm="1">
        <f ca="1" t="array" ref="J1098">IF(J1700=1,OFFSET($W$634,$B1098,J$631-1)/SUMPRODUCT(--($D$631:$V$631=J$631),--($D1700:$V1700=1)),0)+SUM(J1097)+IF(COUNTIF(J$1237:J1700,1)=1,5,0)+IF(COUNTIF(K1098:$W1098,"&gt;"&amp;0)&lt;5,IF(AND(COUNTIF(J$1237:J1700,1)&gt;7,MOD(1+IFERROR(MATCH($C1098,总览!$D$46:$D$345,1)+1,1),7)=0),$C$3,0),0)</f>
        <v>1482.73333333333</v>
      </c>
      <c r="K1098" s="131" cm="1">
        <f ca="1" t="array" ref="K1098">IF(K1700=1,OFFSET($W$634,$B1098,K$631-1)/SUMPRODUCT(--($D$631:$V$631=K$631),--($D1700:$V1700=1)),0)+SUM(K1097)+IF(COUNTIF(K$1237:K1700,1)=1,5,0)+IF(COUNTIF(L1098:$W1098,"&gt;"&amp;0)&lt;5,IF(AND(COUNTIF(K$1237:K1700,1)&gt;7,MOD(1+IFERROR(MATCH($C1098,总览!$D$46:$D$345,1)+1,1),7)=0),$C$3,0),0)</f>
        <v>1480.23333333333</v>
      </c>
      <c r="L1098" s="131" cm="1">
        <f ca="1" t="array" ref="L1098">IF(L1700=1,OFFSET($W$634,$B1098,L$631-1)/SUMPRODUCT(--($D$631:$V$631=L$631),--($D1700:$V1700=1)),0)+SUM(L1097)+IF(COUNTIF(L$1237:L1700,1)=1,5,0)+IF(COUNTIF(M1098:$W1098,"&gt;"&amp;0)&lt;5,IF(AND(COUNTIF(L$1237:L1700,1)&gt;7,MOD(1+IFERROR(MATCH($C1098,总览!$D$46:$D$345,1)+1,1),7)=0),$C$3,0),0)</f>
        <v>1480.23333333333</v>
      </c>
      <c r="M1098" s="131" cm="1">
        <f ca="1" t="array" ref="M1098">IF(M1700=1,OFFSET($W$634,$B1098,M$631-1)/SUMPRODUCT(--($D$631:$V$631=M$631),--($D1700:$V1700=1)),0)+SUM(M1097)+IF(COUNTIF(M$1237:M1700,1)=1,5,0)+IF(COUNTIF(N1098:$W1098,"&gt;"&amp;0)&lt;5,IF(AND(COUNTIF(M$1237:M1700,1)&gt;7,MOD(1+IFERROR(MATCH($C1098,总览!$D$46:$D$345,1)+1,1),7)=0),$C$3,0),0)</f>
        <v>620.609821428574</v>
      </c>
      <c r="N1098" s="131" cm="1">
        <f ca="1" t="array" ref="N1098">IF(N1700=1,OFFSET($W$634,$B1098,N$631-1)/SUMPRODUCT(--($D$631:$V$631=N$631),--($D1700:$V1700=1)),0)+SUM(N1097)+IF(COUNTIF(N$1237:N1700,1)=1,5,0)+IF(COUNTIF(O1098:$W1098,"&gt;"&amp;0)&lt;5,IF(AND(COUNTIF(N$1237:N1700,1)&gt;7,MOD(1+IFERROR(MATCH($C1098,总览!$D$46:$D$345,1)+1,1),7)=0),$C$3,0),0)</f>
        <v>621.859821428574</v>
      </c>
      <c r="O1098" s="131" cm="1">
        <f ca="1" t="array" ref="O1098">IF(O1700=1,OFFSET($W$634,$B1098,O$631-1)/SUMPRODUCT(--($D$631:$V$631=O$631),--($D1700:$V1700=1)),0)+SUM(O1097)+IF(COUNTIF(O$1237:O1700,1)=1,5,0)+IF(COUNTIF(P1098:$W1098,"&gt;"&amp;0)&lt;5,IF(AND(COUNTIF(O$1237:O1700,1)&gt;7,MOD(1+IFERROR(MATCH($C1098,总览!$D$46:$D$345,1)+1,1),7)=0),$C$3,0),0)</f>
        <v>626.859821428574</v>
      </c>
      <c r="P1098" s="131" cm="1">
        <f ca="1" t="array" ref="P1098">IF(P1700=1,OFFSET($W$634,$B1098,P$631-1)/SUMPRODUCT(--($D$631:$V$631=P$631),--($D1700:$V1700=1)),0)+SUM(P1097)+IF(COUNTIF(P$1237:P1700,1)=1,5,0)+IF(COUNTIF(Q1098:$W1098,"&gt;"&amp;0)&lt;5,IF(AND(COUNTIF(P$1237:P1700,1)&gt;7,MOD(1+IFERROR(MATCH($C1098,总览!$D$46:$D$345,1)+1,1),7)=0),$C$3,0),0)</f>
        <v>615.978571428574</v>
      </c>
      <c r="Q1098" s="131" cm="1">
        <f ca="1" t="array" ref="Q1098">IF(Q1700=1,OFFSET($W$634,$B1098,Q$631-1)/SUMPRODUCT(--($D$631:$V$631=Q$631),--($D1700:$V1700=1)),0)+SUM(Q1097)+IF(COUNTIF(Q$1237:Q1700,1)=1,5,0)+IF(COUNTIF(R1098:$W1098,"&gt;"&amp;0)&lt;5,IF(AND(COUNTIF(Q$1237:Q1700,1)&gt;7,MOD(1+IFERROR(MATCH($C1098,总览!$D$46:$D$345,1)+1,1),7)=0),$C$3,0),0)</f>
        <v>629.359821428574</v>
      </c>
      <c r="R1098" s="131" cm="1">
        <f ca="1" t="array" ref="R1098">IF(R1700=1,OFFSET($W$634,$B1098,R$631-1)/SUMPRODUCT(--($D$631:$V$631=R$631),--($D1700:$V1700=1)),0)+SUM(R1097)+IF(COUNTIF(R$1237:R1700,1)=1,5,0)+IF(COUNTIF(S1098:$W1098,"&gt;"&amp;0)&lt;5,IF(AND(COUNTIF(R$1237:R1700,1)&gt;7,MOD(1+IFERROR(MATCH($C1098,总览!$D$46:$D$345,1)+1,1),7)=0),$C$3,0),0)</f>
        <v>620.978571428574</v>
      </c>
      <c r="S1098" s="131" cm="1">
        <f ca="1" t="array" ref="S1098">IF(S1700=1,OFFSET($W$634,$B1098,S$631-1)/SUMPRODUCT(--($D$631:$V$631=S$631),--($D1700:$V1700=1)),0)+SUM(S1097)+IF(COUNTIF(S$1237:S1700,1)=1,5,0)+IF(COUNTIF(T1098:$W1098,"&gt;"&amp;0)&lt;5,IF(AND(COUNTIF(S$1237:S1700,1)&gt;7,MOD(1+IFERROR(MATCH($C1098,总览!$D$46:$D$345,1)+1,1),7)=0),$C$3,0),0)</f>
        <v>713.478571428575</v>
      </c>
      <c r="T1098" s="131" cm="1">
        <f ca="1" t="array" ref="T1098">IF(T1700=1,OFFSET($W$634,$B1098,T$631-1)/SUMPRODUCT(--($D$631:$V$631=T$631),--($D1700:$V1700=1)),0)+SUM(T1097)+IF(COUNTIF(T$1237:T1700,1)=1,5,0)+IF(COUNTIF(U1098:$W1098,"&gt;"&amp;0)&lt;5,IF(AND(COUNTIF(T$1237:T1700,1)&gt;7,MOD(1+IFERROR(MATCH($C1098,总览!$D$46:$D$345,1)+1,1),7)=0),$C$3,0),0)</f>
        <v>522.331255993864</v>
      </c>
      <c r="U1098" s="131" cm="1">
        <f ca="1" t="array" ref="U1098">IF(U1700=1,OFFSET($W$634,$B1098,U$631-1)/SUMPRODUCT(--($D$631:$V$631=U$631),--($D1700:$V1700=1)),0)+SUM(U1097)+IF(COUNTIF(U$1237:U1700,1)=1,5,0)+IF(COUNTIF(V1098:$W1098,"&gt;"&amp;0)&lt;5,IF(AND(COUNTIF(U$1237:U1700,1)&gt;7,MOD(1+IFERROR(MATCH($C1098,总览!$D$46:$D$345,1)+1,1),7)=0),$C$3,0),0)</f>
        <v>527.852042349164</v>
      </c>
      <c r="V1098" s="131" cm="1">
        <f ca="1" t="array" ref="V1098">IF(V1700=1,OFFSET($W$634,$B1098,V$631-1)/SUMPRODUCT(--($D$631:$V$631=V$631),--($D1700:$V1700=1)),0)+SUM(V1097)+IF(COUNTIF(V$1237:V1700,1)=1,5,0)+IF(COUNTIF(W1098:$W1098,"&gt;"&amp;0)&lt;5,IF(AND(COUNTIF(V$1237:V1700,1)&gt;7,MOD(1+IFERROR(MATCH($C1098,总览!$D$46:$D$345,1)+1,1),7)=0),$C$3,0),0)</f>
        <v>547.679042061597</v>
      </c>
      <c r="W1098" s="135" cm="1">
        <f ca="1" t="array" ref="W1098">SUMPRODUCT(TRANSPOSE($AA1098:$AG1098),OFFSET($L$9:$L$15,0,W$631-1))</f>
        <v>16.8502200646615</v>
      </c>
      <c r="X1098" s="135" cm="1">
        <f ca="1" t="array" ref="X1098">SUMPRODUCT(TRANSPOSE($AA1098:$AG1098),OFFSET($L$9:$L$15,0,X$631-1))</f>
        <v>20</v>
      </c>
      <c r="Y1098" s="135" cm="1">
        <f ca="1" t="array" ref="Y1098">SUMPRODUCT(TRANSPOSE($AA1098:$AG1098),OFFSET($L$9:$L$15,0,Y$631-1))</f>
        <v>10</v>
      </c>
      <c r="Z1098" s="135" cm="1">
        <f ca="1" t="array" ref="Z1098">SUMPRODUCT(TRANSPOSE($AA1098:$AG1098),OFFSET($L$9:$L$15,0,Z$631-1))</f>
        <v>3.14977993533847</v>
      </c>
      <c r="AA1098" s="136">
        <f ca="1" t="shared" ref="AA1098:AG1098" si="1181">AH1098-AH1097</f>
        <v>0</v>
      </c>
      <c r="AB1098" s="136">
        <f ca="1" t="shared" si="1181"/>
        <v>0</v>
      </c>
      <c r="AC1098" s="136">
        <f ca="1" t="shared" si="1181"/>
        <v>0</v>
      </c>
      <c r="AD1098" s="136">
        <f ca="1" t="shared" si="1181"/>
        <v>0</v>
      </c>
      <c r="AE1098" s="136">
        <f ca="1" t="shared" si="1181"/>
        <v>0</v>
      </c>
      <c r="AF1098" s="136">
        <f ca="1" t="shared" si="1181"/>
        <v>0</v>
      </c>
      <c r="AG1098" s="136">
        <f ca="1" t="shared" si="1181"/>
        <v>100</v>
      </c>
      <c r="AH1098" s="136">
        <f ca="1" t="shared" si="1151"/>
        <v>450</v>
      </c>
      <c r="AI1098" s="136">
        <f ca="1" t="shared" ref="AI1098:AN1098" si="1182">IF($C1098&gt;OFFSET($Q$8,MATCH(AI$634,$AH$634:$AN$634,0),0),OFFSET($P$8,MATCH(AI$634,$AH$634:$AN$634,0),0),MAX(0,$C1098-OFFSET($Q$8,RIGHT(AI$634,1)-1,0)))</f>
        <v>909</v>
      </c>
      <c r="AJ1098" s="136">
        <f ca="1" t="shared" si="1182"/>
        <v>1818</v>
      </c>
      <c r="AK1098" s="136">
        <f ca="1" t="shared" si="1182"/>
        <v>2727</v>
      </c>
      <c r="AL1098" s="136">
        <f ca="1" t="shared" si="1182"/>
        <v>3636</v>
      </c>
      <c r="AM1098" s="136">
        <f ca="1" t="shared" si="1182"/>
        <v>4545</v>
      </c>
      <c r="AN1098" s="136">
        <f ca="1" t="shared" si="1182"/>
        <v>32315</v>
      </c>
    </row>
    <row r="1099" s="106" customFormat="1" ht="16.5" spans="2:40">
      <c r="B1099" s="117">
        <v>465</v>
      </c>
      <c r="C1099" s="130">
        <f t="shared" si="1149"/>
        <v>46500</v>
      </c>
      <c r="D1099" s="131" cm="1">
        <f ca="1" t="array" ref="D1099">IF(D1701=1,OFFSET($W$634,$B1099,D$631-1)/SUMPRODUCT(--($D$631:$V$631=D$631),--($D1701:$V1701=1)),0)+SUM(D1098)+IF(COUNTIF(D$1237:D1701,1)=1,5,0)+IF(COUNTIF(E1099:$W1099,"&gt;"&amp;0)&lt;5,IF(AND(COUNTIF(D$1237:D1701,1)&gt;7,MOD(1+IFERROR(MATCH($C1099,总览!$D$46:$D$345,1)+1,1),7)=0),$C$3,0),0)</f>
        <v>2939.48762655337</v>
      </c>
      <c r="E1099" s="131" cm="1">
        <f ca="1" t="array" ref="E1099">IF(E1701=1,OFFSET($W$634,$B1099,E$631-1)/SUMPRODUCT(--($D$631:$V$631=E$631),--($D1701:$V1701=1)),0)+SUM(E1098)+IF(COUNTIF(E$1237:E1701,1)=1,5,0)+IF(COUNTIF(F1099:$W1099,"&gt;"&amp;0)&lt;5,IF(AND(COUNTIF(E$1237:E1701,1)&gt;7,MOD(1+IFERROR(MATCH($C1099,总览!$D$46:$D$345,1)+1,1),7)=0),$C$3,0),0)</f>
        <v>2939.48762655337</v>
      </c>
      <c r="F1099" s="131" cm="1">
        <f ca="1" t="array" ref="F1099">IF(F1701=1,OFFSET($W$634,$B1099,F$631-1)/SUMPRODUCT(--($D$631:$V$631=F$631),--($D1701:$V1701=1)),0)+SUM(F1098)+IF(COUNTIF(F$1237:F1701,1)=1,5,0)+IF(COUNTIF(G1099:$W1099,"&gt;"&amp;0)&lt;5,IF(AND(COUNTIF(F$1237:F1701,1)&gt;7,MOD(1+IFERROR(MATCH($C1099,总览!$D$46:$D$345,1)+1,1),7)=0),$C$3,0),0)</f>
        <v>2939.48762655337</v>
      </c>
      <c r="G1099" s="131" cm="1">
        <f ca="1" t="array" ref="G1099">IF(G1701=1,OFFSET($W$634,$B1099,G$631-1)/SUMPRODUCT(--($D$631:$V$631=G$631),--($D1701:$V1701=1)),0)+SUM(G1098)+IF(COUNTIF(G$1237:G1701,1)=1,5,0)+IF(COUNTIF(H1099:$W1099,"&gt;"&amp;0)&lt;5,IF(AND(COUNTIF(G$1237:G1701,1)&gt;7,MOD(1+IFERROR(MATCH($C1099,总览!$D$46:$D$345,1)+1,1),7)=0),$C$3,0),0)</f>
        <v>1489.39999999999</v>
      </c>
      <c r="H1099" s="131" cm="1">
        <f ca="1" t="array" ref="H1099">IF(H1701=1,OFFSET($W$634,$B1099,H$631-1)/SUMPRODUCT(--($D$631:$V$631=H$631),--($D1701:$V1701=1)),0)+SUM(H1098)+IF(COUNTIF(H$1237:H1701,1)=1,5,0)+IF(COUNTIF(I1099:$W1099,"&gt;"&amp;0)&lt;5,IF(AND(COUNTIF(H$1237:H1701,1)&gt;7,MOD(1+IFERROR(MATCH($C1099,总览!$D$46:$D$345,1)+1,1),7)=0),$C$3,0),0)</f>
        <v>1489.39999999999</v>
      </c>
      <c r="I1099" s="131" cm="1">
        <f ca="1" t="array" ref="I1099">IF(I1701=1,OFFSET($W$634,$B1099,I$631-1)/SUMPRODUCT(--($D$631:$V$631=I$631),--($D1701:$V1701=1)),0)+SUM(I1098)+IF(COUNTIF(I$1237:I1701,1)=1,5,0)+IF(COUNTIF(J1099:$W1099,"&gt;"&amp;0)&lt;5,IF(AND(COUNTIF(I$1237:I1701,1)&gt;7,MOD(1+IFERROR(MATCH($C1099,总览!$D$46:$D$345,1)+1,1),7)=0),$C$3,0),0)</f>
        <v>1489.39999999999</v>
      </c>
      <c r="J1099" s="131" cm="1">
        <f ca="1" t="array" ref="J1099">IF(J1701=1,OFFSET($W$634,$B1099,J$631-1)/SUMPRODUCT(--($D$631:$V$631=J$631),--($D1701:$V1701=1)),0)+SUM(J1098)+IF(COUNTIF(J$1237:J1701,1)=1,5,0)+IF(COUNTIF(K1099:$W1099,"&gt;"&amp;0)&lt;5,IF(AND(COUNTIF(J$1237:J1701,1)&gt;7,MOD(1+IFERROR(MATCH($C1099,总览!$D$46:$D$345,1)+1,1),7)=0),$C$3,0),0)</f>
        <v>1486.06666666666</v>
      </c>
      <c r="K1099" s="131" cm="1">
        <f ca="1" t="array" ref="K1099">IF(K1701=1,OFFSET($W$634,$B1099,K$631-1)/SUMPRODUCT(--($D$631:$V$631=K$631),--($D1701:$V1701=1)),0)+SUM(K1098)+IF(COUNTIF(K$1237:K1701,1)=1,5,0)+IF(COUNTIF(L1099:$W1099,"&gt;"&amp;0)&lt;5,IF(AND(COUNTIF(K$1237:K1701,1)&gt;7,MOD(1+IFERROR(MATCH($C1099,总览!$D$46:$D$345,1)+1,1),7)=0),$C$3,0),0)</f>
        <v>1483.56666666666</v>
      </c>
      <c r="L1099" s="131" cm="1">
        <f ca="1" t="array" ref="L1099">IF(L1701=1,OFFSET($W$634,$B1099,L$631-1)/SUMPRODUCT(--($D$631:$V$631=L$631),--($D1701:$V1701=1)),0)+SUM(L1098)+IF(COUNTIF(L$1237:L1701,1)=1,5,0)+IF(COUNTIF(M1099:$W1099,"&gt;"&amp;0)&lt;5,IF(AND(COUNTIF(L$1237:L1701,1)&gt;7,MOD(1+IFERROR(MATCH($C1099,总览!$D$46:$D$345,1)+1,1),7)=0),$C$3,0),0)</f>
        <v>1483.56666666666</v>
      </c>
      <c r="M1099" s="131" cm="1">
        <f ca="1" t="array" ref="M1099">IF(M1701=1,OFFSET($W$634,$B1099,M$631-1)/SUMPRODUCT(--($D$631:$V$631=M$631),--($D1701:$V1701=1)),0)+SUM(M1098)+IF(COUNTIF(M$1237:M1701,1)=1,5,0)+IF(COUNTIF(N1099:$W1099,"&gt;"&amp;0)&lt;5,IF(AND(COUNTIF(M$1237:M1701,1)&gt;7,MOD(1+IFERROR(MATCH($C1099,总览!$D$46:$D$345,1)+1,1),7)=0),$C$3,0),0)</f>
        <v>622.038392857146</v>
      </c>
      <c r="N1099" s="131" cm="1">
        <f ca="1" t="array" ref="N1099">IF(N1701=1,OFFSET($W$634,$B1099,N$631-1)/SUMPRODUCT(--($D$631:$V$631=N$631),--($D1701:$V1701=1)),0)+SUM(N1098)+IF(COUNTIF(N$1237:N1701,1)=1,5,0)+IF(COUNTIF(O1099:$W1099,"&gt;"&amp;0)&lt;5,IF(AND(COUNTIF(N$1237:N1701,1)&gt;7,MOD(1+IFERROR(MATCH($C1099,总览!$D$46:$D$345,1)+1,1),7)=0),$C$3,0),0)</f>
        <v>623.288392857146</v>
      </c>
      <c r="O1099" s="131" cm="1">
        <f ca="1" t="array" ref="O1099">IF(O1701=1,OFFSET($W$634,$B1099,O$631-1)/SUMPRODUCT(--($D$631:$V$631=O$631),--($D1701:$V1701=1)),0)+SUM(O1098)+IF(COUNTIF(O$1237:O1701,1)=1,5,0)+IF(COUNTIF(P1099:$W1099,"&gt;"&amp;0)&lt;5,IF(AND(COUNTIF(O$1237:O1701,1)&gt;7,MOD(1+IFERROR(MATCH($C1099,总览!$D$46:$D$345,1)+1,1),7)=0),$C$3,0),0)</f>
        <v>628.288392857146</v>
      </c>
      <c r="P1099" s="131" cm="1">
        <f ca="1" t="array" ref="P1099">IF(P1701=1,OFFSET($W$634,$B1099,P$631-1)/SUMPRODUCT(--($D$631:$V$631=P$631),--($D1701:$V1701=1)),0)+SUM(P1098)+IF(COUNTIF(P$1237:P1701,1)=1,5,0)+IF(COUNTIF(Q1099:$W1099,"&gt;"&amp;0)&lt;5,IF(AND(COUNTIF(P$1237:P1701,1)&gt;7,MOD(1+IFERROR(MATCH($C1099,总览!$D$46:$D$345,1)+1,1),7)=0),$C$3,0),0)</f>
        <v>617.407142857146</v>
      </c>
      <c r="Q1099" s="131" cm="1">
        <f ca="1" t="array" ref="Q1099">IF(Q1701=1,OFFSET($W$634,$B1099,Q$631-1)/SUMPRODUCT(--($D$631:$V$631=Q$631),--($D1701:$V1701=1)),0)+SUM(Q1098)+IF(COUNTIF(Q$1237:Q1701,1)=1,5,0)+IF(COUNTIF(R1099:$W1099,"&gt;"&amp;0)&lt;5,IF(AND(COUNTIF(Q$1237:Q1701,1)&gt;7,MOD(1+IFERROR(MATCH($C1099,总览!$D$46:$D$345,1)+1,1),7)=0),$C$3,0),0)</f>
        <v>630.788392857146</v>
      </c>
      <c r="R1099" s="131" cm="1">
        <f ca="1" t="array" ref="R1099">IF(R1701=1,OFFSET($W$634,$B1099,R$631-1)/SUMPRODUCT(--($D$631:$V$631=R$631),--($D1701:$V1701=1)),0)+SUM(R1098)+IF(COUNTIF(R$1237:R1701,1)=1,5,0)+IF(COUNTIF(S1099:$W1099,"&gt;"&amp;0)&lt;5,IF(AND(COUNTIF(R$1237:R1701,1)&gt;7,MOD(1+IFERROR(MATCH($C1099,总览!$D$46:$D$345,1)+1,1),7)=0),$C$3,0),0)</f>
        <v>622.407142857146</v>
      </c>
      <c r="S1099" s="131" cm="1">
        <f ca="1" t="array" ref="S1099">IF(S1701=1,OFFSET($W$634,$B1099,S$631-1)/SUMPRODUCT(--($D$631:$V$631=S$631),--($D1701:$V1701=1)),0)+SUM(S1098)+IF(COUNTIF(S$1237:S1701,1)=1,5,0)+IF(COUNTIF(T1099:$W1099,"&gt;"&amp;0)&lt;5,IF(AND(COUNTIF(S$1237:S1701,1)&gt;7,MOD(1+IFERROR(MATCH($C1099,总览!$D$46:$D$345,1)+1,1),7)=0),$C$3,0),0)</f>
        <v>714.907142857147</v>
      </c>
      <c r="T1099" s="131" cm="1">
        <f ca="1" t="array" ref="T1099">IF(T1701=1,OFFSET($W$634,$B1099,T$631-1)/SUMPRODUCT(--($D$631:$V$631=T$631),--($D1701:$V1701=1)),0)+SUM(T1098)+IF(COUNTIF(T$1237:T1701,1)=1,5,0)+IF(COUNTIF(U1099:$W1099,"&gt;"&amp;0)&lt;5,IF(AND(COUNTIF(T$1237:T1701,1)&gt;7,MOD(1+IFERROR(MATCH($C1099,总览!$D$46:$D$345,1)+1,1),7)=0),$C$3,0),0)</f>
        <v>523.381182638977</v>
      </c>
      <c r="U1099" s="131" cm="1">
        <f ca="1" t="array" ref="U1099">IF(U1701=1,OFFSET($W$634,$B1099,U$631-1)/SUMPRODUCT(--($D$631:$V$631=U$631),--($D1701:$V1701=1)),0)+SUM(U1098)+IF(COUNTIF(U$1237:U1701,1)=1,5,0)+IF(COUNTIF(V1099:$W1099,"&gt;"&amp;0)&lt;5,IF(AND(COUNTIF(U$1237:U1701,1)&gt;7,MOD(1+IFERROR(MATCH($C1099,总览!$D$46:$D$345,1)+1,1),7)=0),$C$3,0),0)</f>
        <v>528.901968994277</v>
      </c>
      <c r="V1099" s="131" cm="1">
        <f ca="1" t="array" ref="V1099">IF(V1701=1,OFFSET($W$634,$B1099,V$631-1)/SUMPRODUCT(--($D$631:$V$631=V$631),--($D1701:$V1701=1)),0)+SUM(V1098)+IF(COUNTIF(V$1237:V1701,1)=1,5,0)+IF(COUNTIF(W1099:$W1099,"&gt;"&amp;0)&lt;5,IF(AND(COUNTIF(V$1237:V1701,1)&gt;7,MOD(1+IFERROR(MATCH($C1099,总览!$D$46:$D$345,1)+1,1),7)=0),$C$3,0),0)</f>
        <v>548.72896870671</v>
      </c>
      <c r="W1099" s="135" cm="1">
        <f ca="1" t="array" ref="W1099">SUMPRODUCT(TRANSPOSE($AA1099:$AG1099),OFFSET($L$9:$L$15,0,W$631-1))</f>
        <v>16.8502200646615</v>
      </c>
      <c r="X1099" s="135" cm="1">
        <f ca="1" t="array" ref="X1099">SUMPRODUCT(TRANSPOSE($AA1099:$AG1099),OFFSET($L$9:$L$15,0,X$631-1))</f>
        <v>20</v>
      </c>
      <c r="Y1099" s="135" cm="1">
        <f ca="1" t="array" ref="Y1099">SUMPRODUCT(TRANSPOSE($AA1099:$AG1099),OFFSET($L$9:$L$15,0,Y$631-1))</f>
        <v>10</v>
      </c>
      <c r="Z1099" s="135" cm="1">
        <f ca="1" t="array" ref="Z1099">SUMPRODUCT(TRANSPOSE($AA1099:$AG1099),OFFSET($L$9:$L$15,0,Z$631-1))</f>
        <v>3.14977993533847</v>
      </c>
      <c r="AA1099" s="136">
        <f ca="1" t="shared" ref="AA1099:AG1099" si="1183">AH1099-AH1098</f>
        <v>0</v>
      </c>
      <c r="AB1099" s="136">
        <f ca="1" t="shared" si="1183"/>
        <v>0</v>
      </c>
      <c r="AC1099" s="136">
        <f ca="1" t="shared" si="1183"/>
        <v>0</v>
      </c>
      <c r="AD1099" s="136">
        <f ca="1" t="shared" si="1183"/>
        <v>0</v>
      </c>
      <c r="AE1099" s="136">
        <f ca="1" t="shared" si="1183"/>
        <v>0</v>
      </c>
      <c r="AF1099" s="136">
        <f ca="1" t="shared" si="1183"/>
        <v>0</v>
      </c>
      <c r="AG1099" s="136">
        <f ca="1" t="shared" si="1183"/>
        <v>100</v>
      </c>
      <c r="AH1099" s="136">
        <f ca="1" t="shared" si="1151"/>
        <v>450</v>
      </c>
      <c r="AI1099" s="136">
        <f ca="1" t="shared" ref="AI1099:AN1099" si="1184">IF($C1099&gt;OFFSET($Q$8,MATCH(AI$634,$AH$634:$AN$634,0),0),OFFSET($P$8,MATCH(AI$634,$AH$634:$AN$634,0),0),MAX(0,$C1099-OFFSET($Q$8,RIGHT(AI$634,1)-1,0)))</f>
        <v>909</v>
      </c>
      <c r="AJ1099" s="136">
        <f ca="1" t="shared" si="1184"/>
        <v>1818</v>
      </c>
      <c r="AK1099" s="136">
        <f ca="1" t="shared" si="1184"/>
        <v>2727</v>
      </c>
      <c r="AL1099" s="136">
        <f ca="1" t="shared" si="1184"/>
        <v>3636</v>
      </c>
      <c r="AM1099" s="136">
        <f ca="1" t="shared" si="1184"/>
        <v>4545</v>
      </c>
      <c r="AN1099" s="136">
        <f ca="1" t="shared" si="1184"/>
        <v>32415</v>
      </c>
    </row>
    <row r="1100" s="106" customFormat="1" ht="16.5" spans="2:40">
      <c r="B1100" s="117">
        <v>466</v>
      </c>
      <c r="C1100" s="130">
        <f t="shared" si="1149"/>
        <v>46600</v>
      </c>
      <c r="D1100" s="131" cm="1">
        <f ca="1" t="array" ref="D1100">IF(D1702=1,OFFSET($W$634,$B1100,D$631-1)/SUMPRODUCT(--($D$631:$V$631=D$631),--($D1702:$V1702=1)),0)+SUM(D1099)+IF(COUNTIF(D$1237:D1702,1)=1,5,0)+IF(COUNTIF(E1100:$W1100,"&gt;"&amp;0)&lt;5,IF(AND(COUNTIF(D$1237:D1702,1)&gt;7,MOD(1+IFERROR(MATCH($C1100,总览!$D$46:$D$345,1)+1,1),7)=0),$C$3,0),0)</f>
        <v>2945.10436657492</v>
      </c>
      <c r="E1100" s="131" cm="1">
        <f ca="1" t="array" ref="E1100">IF(E1702=1,OFFSET($W$634,$B1100,E$631-1)/SUMPRODUCT(--($D$631:$V$631=E$631),--($D1702:$V1702=1)),0)+SUM(E1099)+IF(COUNTIF(E$1237:E1702,1)=1,5,0)+IF(COUNTIF(F1100:$W1100,"&gt;"&amp;0)&lt;5,IF(AND(COUNTIF(E$1237:E1702,1)&gt;7,MOD(1+IFERROR(MATCH($C1100,总览!$D$46:$D$345,1)+1,1),7)=0),$C$3,0),0)</f>
        <v>2945.10436657492</v>
      </c>
      <c r="F1100" s="131" cm="1">
        <f ca="1" t="array" ref="F1100">IF(F1702=1,OFFSET($W$634,$B1100,F$631-1)/SUMPRODUCT(--($D$631:$V$631=F$631),--($D1702:$V1702=1)),0)+SUM(F1099)+IF(COUNTIF(F$1237:F1702,1)=1,5,0)+IF(COUNTIF(G1100:$W1100,"&gt;"&amp;0)&lt;5,IF(AND(COUNTIF(F$1237:F1702,1)&gt;7,MOD(1+IFERROR(MATCH($C1100,总览!$D$46:$D$345,1)+1,1),7)=0),$C$3,0),0)</f>
        <v>2945.10436657492</v>
      </c>
      <c r="G1100" s="131" cm="1">
        <f ca="1" t="array" ref="G1100">IF(G1702=1,OFFSET($W$634,$B1100,G$631-1)/SUMPRODUCT(--($D$631:$V$631=G$631),--($D1702:$V1702=1)),0)+SUM(G1099)+IF(COUNTIF(G$1237:G1702,1)=1,5,0)+IF(COUNTIF(H1100:$W1100,"&gt;"&amp;0)&lt;5,IF(AND(COUNTIF(G$1237:G1702,1)&gt;7,MOD(1+IFERROR(MATCH($C1100,总览!$D$46:$D$345,1)+1,1),7)=0),$C$3,0),0)</f>
        <v>1492.73333333333</v>
      </c>
      <c r="H1100" s="131" cm="1">
        <f ca="1" t="array" ref="H1100">IF(H1702=1,OFFSET($W$634,$B1100,H$631-1)/SUMPRODUCT(--($D$631:$V$631=H$631),--($D1702:$V1702=1)),0)+SUM(H1099)+IF(COUNTIF(H$1237:H1702,1)=1,5,0)+IF(COUNTIF(I1100:$W1100,"&gt;"&amp;0)&lt;5,IF(AND(COUNTIF(H$1237:H1702,1)&gt;7,MOD(1+IFERROR(MATCH($C1100,总览!$D$46:$D$345,1)+1,1),7)=0),$C$3,0),0)</f>
        <v>1492.73333333333</v>
      </c>
      <c r="I1100" s="131" cm="1">
        <f ca="1" t="array" ref="I1100">IF(I1702=1,OFFSET($W$634,$B1100,I$631-1)/SUMPRODUCT(--($D$631:$V$631=I$631),--($D1702:$V1702=1)),0)+SUM(I1099)+IF(COUNTIF(I$1237:I1702,1)=1,5,0)+IF(COUNTIF(J1100:$W1100,"&gt;"&amp;0)&lt;5,IF(AND(COUNTIF(I$1237:I1702,1)&gt;7,MOD(1+IFERROR(MATCH($C1100,总览!$D$46:$D$345,1)+1,1),7)=0),$C$3,0),0)</f>
        <v>1492.73333333333</v>
      </c>
      <c r="J1100" s="131" cm="1">
        <f ca="1" t="array" ref="J1100">IF(J1702=1,OFFSET($W$634,$B1100,J$631-1)/SUMPRODUCT(--($D$631:$V$631=J$631),--($D1702:$V1702=1)),0)+SUM(J1099)+IF(COUNTIF(J$1237:J1702,1)=1,5,0)+IF(COUNTIF(K1100:$W1100,"&gt;"&amp;0)&lt;5,IF(AND(COUNTIF(J$1237:J1702,1)&gt;7,MOD(1+IFERROR(MATCH($C1100,总览!$D$46:$D$345,1)+1,1),7)=0),$C$3,0),0)</f>
        <v>1489.39999999999</v>
      </c>
      <c r="K1100" s="131" cm="1">
        <f ca="1" t="array" ref="K1100">IF(K1702=1,OFFSET($W$634,$B1100,K$631-1)/SUMPRODUCT(--($D$631:$V$631=K$631),--($D1702:$V1702=1)),0)+SUM(K1099)+IF(COUNTIF(K$1237:K1702,1)=1,5,0)+IF(COUNTIF(L1100:$W1100,"&gt;"&amp;0)&lt;5,IF(AND(COUNTIF(K$1237:K1702,1)&gt;7,MOD(1+IFERROR(MATCH($C1100,总览!$D$46:$D$345,1)+1,1),7)=0),$C$3,0),0)</f>
        <v>1486.89999999999</v>
      </c>
      <c r="L1100" s="131" cm="1">
        <f ca="1" t="array" ref="L1100">IF(L1702=1,OFFSET($W$634,$B1100,L$631-1)/SUMPRODUCT(--($D$631:$V$631=L$631),--($D1702:$V1702=1)),0)+SUM(L1099)+IF(COUNTIF(L$1237:L1702,1)=1,5,0)+IF(COUNTIF(M1100:$W1100,"&gt;"&amp;0)&lt;5,IF(AND(COUNTIF(L$1237:L1702,1)&gt;7,MOD(1+IFERROR(MATCH($C1100,总览!$D$46:$D$345,1)+1,1),7)=0),$C$3,0),0)</f>
        <v>1486.89999999999</v>
      </c>
      <c r="M1100" s="131" cm="1">
        <f ca="1" t="array" ref="M1100">IF(M1702=1,OFFSET($W$634,$B1100,M$631-1)/SUMPRODUCT(--($D$631:$V$631=M$631),--($D1702:$V1702=1)),0)+SUM(M1099)+IF(COUNTIF(M$1237:M1702,1)=1,5,0)+IF(COUNTIF(N1100:$W1100,"&gt;"&amp;0)&lt;5,IF(AND(COUNTIF(M$1237:M1702,1)&gt;7,MOD(1+IFERROR(MATCH($C1100,总览!$D$46:$D$345,1)+1,1),7)=0),$C$3,0),0)</f>
        <v>623.466964285717</v>
      </c>
      <c r="N1100" s="131" cm="1">
        <f ca="1" t="array" ref="N1100">IF(N1702=1,OFFSET($W$634,$B1100,N$631-1)/SUMPRODUCT(--($D$631:$V$631=N$631),--($D1702:$V1702=1)),0)+SUM(N1099)+IF(COUNTIF(N$1237:N1702,1)=1,5,0)+IF(COUNTIF(O1100:$W1100,"&gt;"&amp;0)&lt;5,IF(AND(COUNTIF(N$1237:N1702,1)&gt;7,MOD(1+IFERROR(MATCH($C1100,总览!$D$46:$D$345,1)+1,1),7)=0),$C$3,0),0)</f>
        <v>624.716964285717</v>
      </c>
      <c r="O1100" s="131" cm="1">
        <f ca="1" t="array" ref="O1100">IF(O1702=1,OFFSET($W$634,$B1100,O$631-1)/SUMPRODUCT(--($D$631:$V$631=O$631),--($D1702:$V1702=1)),0)+SUM(O1099)+IF(COUNTIF(O$1237:O1702,1)=1,5,0)+IF(COUNTIF(P1100:$W1100,"&gt;"&amp;0)&lt;5,IF(AND(COUNTIF(O$1237:O1702,1)&gt;7,MOD(1+IFERROR(MATCH($C1100,总览!$D$46:$D$345,1)+1,1),7)=0),$C$3,0),0)</f>
        <v>629.716964285717</v>
      </c>
      <c r="P1100" s="131" cm="1">
        <f ca="1" t="array" ref="P1100">IF(P1702=1,OFFSET($W$634,$B1100,P$631-1)/SUMPRODUCT(--($D$631:$V$631=P$631),--($D1702:$V1702=1)),0)+SUM(P1099)+IF(COUNTIF(P$1237:P1702,1)=1,5,0)+IF(COUNTIF(Q1100:$W1100,"&gt;"&amp;0)&lt;5,IF(AND(COUNTIF(P$1237:P1702,1)&gt;7,MOD(1+IFERROR(MATCH($C1100,总览!$D$46:$D$345,1)+1,1),7)=0),$C$3,0),0)</f>
        <v>618.835714285717</v>
      </c>
      <c r="Q1100" s="131" cm="1">
        <f ca="1" t="array" ref="Q1100">IF(Q1702=1,OFFSET($W$634,$B1100,Q$631-1)/SUMPRODUCT(--($D$631:$V$631=Q$631),--($D1702:$V1702=1)),0)+SUM(Q1099)+IF(COUNTIF(Q$1237:Q1702,1)=1,5,0)+IF(COUNTIF(R1100:$W1100,"&gt;"&amp;0)&lt;5,IF(AND(COUNTIF(Q$1237:Q1702,1)&gt;7,MOD(1+IFERROR(MATCH($C1100,总览!$D$46:$D$345,1)+1,1),7)=0),$C$3,0),0)</f>
        <v>632.216964285717</v>
      </c>
      <c r="R1100" s="131" cm="1">
        <f ca="1" t="array" ref="R1100">IF(R1702=1,OFFSET($W$634,$B1100,R$631-1)/SUMPRODUCT(--($D$631:$V$631=R$631),--($D1702:$V1702=1)),0)+SUM(R1099)+IF(COUNTIF(R$1237:R1702,1)=1,5,0)+IF(COUNTIF(S1100:$W1100,"&gt;"&amp;0)&lt;5,IF(AND(COUNTIF(R$1237:R1702,1)&gt;7,MOD(1+IFERROR(MATCH($C1100,总览!$D$46:$D$345,1)+1,1),7)=0),$C$3,0),0)</f>
        <v>623.835714285717</v>
      </c>
      <c r="S1100" s="131" cm="1">
        <f ca="1" t="array" ref="S1100">IF(S1702=1,OFFSET($W$634,$B1100,S$631-1)/SUMPRODUCT(--($D$631:$V$631=S$631),--($D1702:$V1702=1)),0)+SUM(S1099)+IF(COUNTIF(S$1237:S1702,1)=1,5,0)+IF(COUNTIF(T1100:$W1100,"&gt;"&amp;0)&lt;5,IF(AND(COUNTIF(S$1237:S1702,1)&gt;7,MOD(1+IFERROR(MATCH($C1100,总览!$D$46:$D$345,1)+1,1),7)=0),$C$3,0),0)</f>
        <v>716.335714285718</v>
      </c>
      <c r="T1100" s="131" cm="1">
        <f ca="1" t="array" ref="T1100">IF(T1702=1,OFFSET($W$634,$B1100,T$631-1)/SUMPRODUCT(--($D$631:$V$631=T$631),--($D1702:$V1702=1)),0)+SUM(T1099)+IF(COUNTIF(T$1237:T1702,1)=1,5,0)+IF(COUNTIF(U1100:$W1100,"&gt;"&amp;0)&lt;5,IF(AND(COUNTIF(T$1237:T1702,1)&gt;7,MOD(1+IFERROR(MATCH($C1100,总览!$D$46:$D$345,1)+1,1),7)=0),$C$3,0),0)</f>
        <v>524.43110928409</v>
      </c>
      <c r="U1100" s="131" cm="1">
        <f ca="1" t="array" ref="U1100">IF(U1702=1,OFFSET($W$634,$B1100,U$631-1)/SUMPRODUCT(--($D$631:$V$631=U$631),--($D1702:$V1702=1)),0)+SUM(U1099)+IF(COUNTIF(U$1237:U1702,1)=1,5,0)+IF(COUNTIF(V1100:$W1100,"&gt;"&amp;0)&lt;5,IF(AND(COUNTIF(U$1237:U1702,1)&gt;7,MOD(1+IFERROR(MATCH($C1100,总览!$D$46:$D$345,1)+1,1),7)=0),$C$3,0),0)</f>
        <v>529.95189563939</v>
      </c>
      <c r="V1100" s="131" cm="1">
        <f ca="1" t="array" ref="V1100">IF(V1702=1,OFFSET($W$634,$B1100,V$631-1)/SUMPRODUCT(--($D$631:$V$631=V$631),--($D1702:$V1702=1)),0)+SUM(V1099)+IF(COUNTIF(V$1237:V1702,1)=1,5,0)+IF(COUNTIF(W1100:$W1100,"&gt;"&amp;0)&lt;5,IF(AND(COUNTIF(V$1237:V1702,1)&gt;7,MOD(1+IFERROR(MATCH($C1100,总览!$D$46:$D$345,1)+1,1),7)=0),$C$3,0),0)</f>
        <v>549.778895351823</v>
      </c>
      <c r="W1100" s="135" cm="1">
        <f ca="1" t="array" ref="W1100">SUMPRODUCT(TRANSPOSE($AA1100:$AG1100),OFFSET($L$9:$L$15,0,W$631-1))</f>
        <v>16.8502200646615</v>
      </c>
      <c r="X1100" s="135" cm="1">
        <f ca="1" t="array" ref="X1100">SUMPRODUCT(TRANSPOSE($AA1100:$AG1100),OFFSET($L$9:$L$15,0,X$631-1))</f>
        <v>20</v>
      </c>
      <c r="Y1100" s="135" cm="1">
        <f ca="1" t="array" ref="Y1100">SUMPRODUCT(TRANSPOSE($AA1100:$AG1100),OFFSET($L$9:$L$15,0,Y$631-1))</f>
        <v>10</v>
      </c>
      <c r="Z1100" s="135" cm="1">
        <f ca="1" t="array" ref="Z1100">SUMPRODUCT(TRANSPOSE($AA1100:$AG1100),OFFSET($L$9:$L$15,0,Z$631-1))</f>
        <v>3.14977993533847</v>
      </c>
      <c r="AA1100" s="136">
        <f ca="1" t="shared" ref="AA1100:AG1100" si="1185">AH1100-AH1099</f>
        <v>0</v>
      </c>
      <c r="AB1100" s="136">
        <f ca="1" t="shared" si="1185"/>
        <v>0</v>
      </c>
      <c r="AC1100" s="136">
        <f ca="1" t="shared" si="1185"/>
        <v>0</v>
      </c>
      <c r="AD1100" s="136">
        <f ca="1" t="shared" si="1185"/>
        <v>0</v>
      </c>
      <c r="AE1100" s="136">
        <f ca="1" t="shared" si="1185"/>
        <v>0</v>
      </c>
      <c r="AF1100" s="136">
        <f ca="1" t="shared" si="1185"/>
        <v>0</v>
      </c>
      <c r="AG1100" s="136">
        <f ca="1" t="shared" si="1185"/>
        <v>100</v>
      </c>
      <c r="AH1100" s="136">
        <f ca="1" t="shared" si="1151"/>
        <v>450</v>
      </c>
      <c r="AI1100" s="136">
        <f ca="1" t="shared" ref="AI1100:AN1100" si="1186">IF($C1100&gt;OFFSET($Q$8,MATCH(AI$634,$AH$634:$AN$634,0),0),OFFSET($P$8,MATCH(AI$634,$AH$634:$AN$634,0),0),MAX(0,$C1100-OFFSET($Q$8,RIGHT(AI$634,1)-1,0)))</f>
        <v>909</v>
      </c>
      <c r="AJ1100" s="136">
        <f ca="1" t="shared" si="1186"/>
        <v>1818</v>
      </c>
      <c r="AK1100" s="136">
        <f ca="1" t="shared" si="1186"/>
        <v>2727</v>
      </c>
      <c r="AL1100" s="136">
        <f ca="1" t="shared" si="1186"/>
        <v>3636</v>
      </c>
      <c r="AM1100" s="136">
        <f ca="1" t="shared" si="1186"/>
        <v>4545</v>
      </c>
      <c r="AN1100" s="136">
        <f ca="1" t="shared" si="1186"/>
        <v>32515</v>
      </c>
    </row>
    <row r="1101" s="106" customFormat="1" ht="16.5" spans="2:40">
      <c r="B1101" s="117">
        <v>467</v>
      </c>
      <c r="C1101" s="130">
        <f t="shared" si="1149"/>
        <v>46700</v>
      </c>
      <c r="D1101" s="131" cm="1">
        <f ca="1" t="array" ref="D1101">IF(D1703=1,OFFSET($W$634,$B1101,D$631-1)/SUMPRODUCT(--($D$631:$V$631=D$631),--($D1703:$V1703=1)),0)+SUM(D1100)+IF(COUNTIF(D$1237:D1703,1)=1,5,0)+IF(COUNTIF(E1101:$W1101,"&gt;"&amp;0)&lt;5,IF(AND(COUNTIF(D$1237:D1703,1)&gt;7,MOD(1+IFERROR(MATCH($C1101,总览!$D$46:$D$345,1)+1,1),7)=0),$C$3,0),0)</f>
        <v>2950.72110659648</v>
      </c>
      <c r="E1101" s="131" cm="1">
        <f ca="1" t="array" ref="E1101">IF(E1703=1,OFFSET($W$634,$B1101,E$631-1)/SUMPRODUCT(--($D$631:$V$631=E$631),--($D1703:$V1703=1)),0)+SUM(E1100)+IF(COUNTIF(E$1237:E1703,1)=1,5,0)+IF(COUNTIF(F1101:$W1101,"&gt;"&amp;0)&lt;5,IF(AND(COUNTIF(E$1237:E1703,1)&gt;7,MOD(1+IFERROR(MATCH($C1101,总览!$D$46:$D$345,1)+1,1),7)=0),$C$3,0),0)</f>
        <v>2950.72110659648</v>
      </c>
      <c r="F1101" s="131" cm="1">
        <f ca="1" t="array" ref="F1101">IF(F1703=1,OFFSET($W$634,$B1101,F$631-1)/SUMPRODUCT(--($D$631:$V$631=F$631),--($D1703:$V1703=1)),0)+SUM(F1100)+IF(COUNTIF(F$1237:F1703,1)=1,5,0)+IF(COUNTIF(G1101:$W1101,"&gt;"&amp;0)&lt;5,IF(AND(COUNTIF(F$1237:F1703,1)&gt;7,MOD(1+IFERROR(MATCH($C1101,总览!$D$46:$D$345,1)+1,1),7)=0),$C$3,0),0)</f>
        <v>2950.72110659648</v>
      </c>
      <c r="G1101" s="131" cm="1">
        <f ca="1" t="array" ref="G1101">IF(G1703=1,OFFSET($W$634,$B1101,G$631-1)/SUMPRODUCT(--($D$631:$V$631=G$631),--($D1703:$V1703=1)),0)+SUM(G1100)+IF(COUNTIF(G$1237:G1703,1)=1,5,0)+IF(COUNTIF(H1101:$W1101,"&gt;"&amp;0)&lt;5,IF(AND(COUNTIF(G$1237:G1703,1)&gt;7,MOD(1+IFERROR(MATCH($C1101,总览!$D$46:$D$345,1)+1,1),7)=0),$C$3,0),0)</f>
        <v>1496.06666666666</v>
      </c>
      <c r="H1101" s="131" cm="1">
        <f ca="1" t="array" ref="H1101">IF(H1703=1,OFFSET($W$634,$B1101,H$631-1)/SUMPRODUCT(--($D$631:$V$631=H$631),--($D1703:$V1703=1)),0)+SUM(H1100)+IF(COUNTIF(H$1237:H1703,1)=1,5,0)+IF(COUNTIF(I1101:$W1101,"&gt;"&amp;0)&lt;5,IF(AND(COUNTIF(H$1237:H1703,1)&gt;7,MOD(1+IFERROR(MATCH($C1101,总览!$D$46:$D$345,1)+1,1),7)=0),$C$3,0),0)</f>
        <v>1496.06666666666</v>
      </c>
      <c r="I1101" s="131" cm="1">
        <f ca="1" t="array" ref="I1101">IF(I1703=1,OFFSET($W$634,$B1101,I$631-1)/SUMPRODUCT(--($D$631:$V$631=I$631),--($D1703:$V1703=1)),0)+SUM(I1100)+IF(COUNTIF(I$1237:I1703,1)=1,5,0)+IF(COUNTIF(J1101:$W1101,"&gt;"&amp;0)&lt;5,IF(AND(COUNTIF(I$1237:I1703,1)&gt;7,MOD(1+IFERROR(MATCH($C1101,总览!$D$46:$D$345,1)+1,1),7)=0),$C$3,0),0)</f>
        <v>1496.06666666666</v>
      </c>
      <c r="J1101" s="131" cm="1">
        <f ca="1" t="array" ref="J1101">IF(J1703=1,OFFSET($W$634,$B1101,J$631-1)/SUMPRODUCT(--($D$631:$V$631=J$631),--($D1703:$V1703=1)),0)+SUM(J1100)+IF(COUNTIF(J$1237:J1703,1)=1,5,0)+IF(COUNTIF(K1101:$W1101,"&gt;"&amp;0)&lt;5,IF(AND(COUNTIF(J$1237:J1703,1)&gt;7,MOD(1+IFERROR(MATCH($C1101,总览!$D$46:$D$345,1)+1,1),7)=0),$C$3,0),0)</f>
        <v>1492.73333333333</v>
      </c>
      <c r="K1101" s="131" cm="1">
        <f ca="1" t="array" ref="K1101">IF(K1703=1,OFFSET($W$634,$B1101,K$631-1)/SUMPRODUCT(--($D$631:$V$631=K$631),--($D1703:$V1703=1)),0)+SUM(K1100)+IF(COUNTIF(K$1237:K1703,1)=1,5,0)+IF(COUNTIF(L1101:$W1101,"&gt;"&amp;0)&lt;5,IF(AND(COUNTIF(K$1237:K1703,1)&gt;7,MOD(1+IFERROR(MATCH($C1101,总览!$D$46:$D$345,1)+1,1),7)=0),$C$3,0),0)</f>
        <v>1490.23333333333</v>
      </c>
      <c r="L1101" s="131" cm="1">
        <f ca="1" t="array" ref="L1101">IF(L1703=1,OFFSET($W$634,$B1101,L$631-1)/SUMPRODUCT(--($D$631:$V$631=L$631),--($D1703:$V1703=1)),0)+SUM(L1100)+IF(COUNTIF(L$1237:L1703,1)=1,5,0)+IF(COUNTIF(M1101:$W1101,"&gt;"&amp;0)&lt;5,IF(AND(COUNTIF(L$1237:L1703,1)&gt;7,MOD(1+IFERROR(MATCH($C1101,总览!$D$46:$D$345,1)+1,1),7)=0),$C$3,0),0)</f>
        <v>1490.23333333333</v>
      </c>
      <c r="M1101" s="131" cm="1">
        <f ca="1" t="array" ref="M1101">IF(M1703=1,OFFSET($W$634,$B1101,M$631-1)/SUMPRODUCT(--($D$631:$V$631=M$631),--($D1703:$V1703=1)),0)+SUM(M1100)+IF(COUNTIF(M$1237:M1703,1)=1,5,0)+IF(COUNTIF(N1101:$W1101,"&gt;"&amp;0)&lt;5,IF(AND(COUNTIF(M$1237:M1703,1)&gt;7,MOD(1+IFERROR(MATCH($C1101,总览!$D$46:$D$345,1)+1,1),7)=0),$C$3,0),0)</f>
        <v>624.895535714289</v>
      </c>
      <c r="N1101" s="131" cm="1">
        <f ca="1" t="array" ref="N1101">IF(N1703=1,OFFSET($W$634,$B1101,N$631-1)/SUMPRODUCT(--($D$631:$V$631=N$631),--($D1703:$V1703=1)),0)+SUM(N1100)+IF(COUNTIF(N$1237:N1703,1)=1,5,0)+IF(COUNTIF(O1101:$W1101,"&gt;"&amp;0)&lt;5,IF(AND(COUNTIF(N$1237:N1703,1)&gt;7,MOD(1+IFERROR(MATCH($C1101,总览!$D$46:$D$345,1)+1,1),7)=0),$C$3,0),0)</f>
        <v>626.145535714289</v>
      </c>
      <c r="O1101" s="131" cm="1">
        <f ca="1" t="array" ref="O1101">IF(O1703=1,OFFSET($W$634,$B1101,O$631-1)/SUMPRODUCT(--($D$631:$V$631=O$631),--($D1703:$V1703=1)),0)+SUM(O1100)+IF(COUNTIF(O$1237:O1703,1)=1,5,0)+IF(COUNTIF(P1101:$W1101,"&gt;"&amp;0)&lt;5,IF(AND(COUNTIF(O$1237:O1703,1)&gt;7,MOD(1+IFERROR(MATCH($C1101,总览!$D$46:$D$345,1)+1,1),7)=0),$C$3,0),0)</f>
        <v>631.145535714289</v>
      </c>
      <c r="P1101" s="131" cm="1">
        <f ca="1" t="array" ref="P1101">IF(P1703=1,OFFSET($W$634,$B1101,P$631-1)/SUMPRODUCT(--($D$631:$V$631=P$631),--($D1703:$V1703=1)),0)+SUM(P1100)+IF(COUNTIF(P$1237:P1703,1)=1,5,0)+IF(COUNTIF(Q1101:$W1101,"&gt;"&amp;0)&lt;5,IF(AND(COUNTIF(P$1237:P1703,1)&gt;7,MOD(1+IFERROR(MATCH($C1101,总览!$D$46:$D$345,1)+1,1),7)=0),$C$3,0),0)</f>
        <v>620.264285714289</v>
      </c>
      <c r="Q1101" s="131" cm="1">
        <f ca="1" t="array" ref="Q1101">IF(Q1703=1,OFFSET($W$634,$B1101,Q$631-1)/SUMPRODUCT(--($D$631:$V$631=Q$631),--($D1703:$V1703=1)),0)+SUM(Q1100)+IF(COUNTIF(Q$1237:Q1703,1)=1,5,0)+IF(COUNTIF(R1101:$W1101,"&gt;"&amp;0)&lt;5,IF(AND(COUNTIF(Q$1237:Q1703,1)&gt;7,MOD(1+IFERROR(MATCH($C1101,总览!$D$46:$D$345,1)+1,1),7)=0),$C$3,0),0)</f>
        <v>633.645535714289</v>
      </c>
      <c r="R1101" s="131" cm="1">
        <f ca="1" t="array" ref="R1101">IF(R1703=1,OFFSET($W$634,$B1101,R$631-1)/SUMPRODUCT(--($D$631:$V$631=R$631),--($D1703:$V1703=1)),0)+SUM(R1100)+IF(COUNTIF(R$1237:R1703,1)=1,5,0)+IF(COUNTIF(S1101:$W1101,"&gt;"&amp;0)&lt;5,IF(AND(COUNTIF(R$1237:R1703,1)&gt;7,MOD(1+IFERROR(MATCH($C1101,总览!$D$46:$D$345,1)+1,1),7)=0),$C$3,0),0)</f>
        <v>625.264285714289</v>
      </c>
      <c r="S1101" s="131" cm="1">
        <f ca="1" t="array" ref="S1101">IF(S1703=1,OFFSET($W$634,$B1101,S$631-1)/SUMPRODUCT(--($D$631:$V$631=S$631),--($D1703:$V1703=1)),0)+SUM(S1100)+IF(COUNTIF(S$1237:S1703,1)=1,5,0)+IF(COUNTIF(T1101:$W1101,"&gt;"&amp;0)&lt;5,IF(AND(COUNTIF(S$1237:S1703,1)&gt;7,MOD(1+IFERROR(MATCH($C1101,总览!$D$46:$D$345,1)+1,1),7)=0),$C$3,0),0)</f>
        <v>717.76428571429</v>
      </c>
      <c r="T1101" s="131" cm="1">
        <f ca="1" t="array" ref="T1101">IF(T1703=1,OFFSET($W$634,$B1101,T$631-1)/SUMPRODUCT(--($D$631:$V$631=T$631),--($D1703:$V1703=1)),0)+SUM(T1100)+IF(COUNTIF(T$1237:T1703,1)=1,5,0)+IF(COUNTIF(U1101:$W1101,"&gt;"&amp;0)&lt;5,IF(AND(COUNTIF(T$1237:T1703,1)&gt;7,MOD(1+IFERROR(MATCH($C1101,总览!$D$46:$D$345,1)+1,1),7)=0),$C$3,0),0)</f>
        <v>525.481035929203</v>
      </c>
      <c r="U1101" s="131" cm="1">
        <f ca="1" t="array" ref="U1101">IF(U1703=1,OFFSET($W$634,$B1101,U$631-1)/SUMPRODUCT(--($D$631:$V$631=U$631),--($D1703:$V1703=1)),0)+SUM(U1100)+IF(COUNTIF(U$1237:U1703,1)=1,5,0)+IF(COUNTIF(V1101:$W1101,"&gt;"&amp;0)&lt;5,IF(AND(COUNTIF(U$1237:U1703,1)&gt;7,MOD(1+IFERROR(MATCH($C1101,总览!$D$46:$D$345,1)+1,1),7)=0),$C$3,0),0)</f>
        <v>531.001822284502</v>
      </c>
      <c r="V1101" s="131" cm="1">
        <f ca="1" t="array" ref="V1101">IF(V1703=1,OFFSET($W$634,$B1101,V$631-1)/SUMPRODUCT(--($D$631:$V$631=V$631),--($D1703:$V1703=1)),0)+SUM(V1100)+IF(COUNTIF(V$1237:V1703,1)=1,5,0)+IF(COUNTIF(W1101:$W1101,"&gt;"&amp;0)&lt;5,IF(AND(COUNTIF(V$1237:V1703,1)&gt;7,MOD(1+IFERROR(MATCH($C1101,总览!$D$46:$D$345,1)+1,1),7)=0),$C$3,0),0)</f>
        <v>550.828821996935</v>
      </c>
      <c r="W1101" s="135" cm="1">
        <f ca="1" t="array" ref="W1101">SUMPRODUCT(TRANSPOSE($AA1101:$AG1101),OFFSET($L$9:$L$15,0,W$631-1))</f>
        <v>16.8502200646615</v>
      </c>
      <c r="X1101" s="135" cm="1">
        <f ca="1" t="array" ref="X1101">SUMPRODUCT(TRANSPOSE($AA1101:$AG1101),OFFSET($L$9:$L$15,0,X$631-1))</f>
        <v>20</v>
      </c>
      <c r="Y1101" s="135" cm="1">
        <f ca="1" t="array" ref="Y1101">SUMPRODUCT(TRANSPOSE($AA1101:$AG1101),OFFSET($L$9:$L$15,0,Y$631-1))</f>
        <v>10</v>
      </c>
      <c r="Z1101" s="135" cm="1">
        <f ca="1" t="array" ref="Z1101">SUMPRODUCT(TRANSPOSE($AA1101:$AG1101),OFFSET($L$9:$L$15,0,Z$631-1))</f>
        <v>3.14977993533847</v>
      </c>
      <c r="AA1101" s="136">
        <f ca="1" t="shared" ref="AA1101:AG1101" si="1187">AH1101-AH1100</f>
        <v>0</v>
      </c>
      <c r="AB1101" s="136">
        <f ca="1" t="shared" si="1187"/>
        <v>0</v>
      </c>
      <c r="AC1101" s="136">
        <f ca="1" t="shared" si="1187"/>
        <v>0</v>
      </c>
      <c r="AD1101" s="136">
        <f ca="1" t="shared" si="1187"/>
        <v>0</v>
      </c>
      <c r="AE1101" s="136">
        <f ca="1" t="shared" si="1187"/>
        <v>0</v>
      </c>
      <c r="AF1101" s="136">
        <f ca="1" t="shared" si="1187"/>
        <v>0</v>
      </c>
      <c r="AG1101" s="136">
        <f ca="1" t="shared" si="1187"/>
        <v>100</v>
      </c>
      <c r="AH1101" s="136">
        <f ca="1" t="shared" si="1151"/>
        <v>450</v>
      </c>
      <c r="AI1101" s="136">
        <f ca="1" t="shared" ref="AI1101:AN1101" si="1188">IF($C1101&gt;OFFSET($Q$8,MATCH(AI$634,$AH$634:$AN$634,0),0),OFFSET($P$8,MATCH(AI$634,$AH$634:$AN$634,0),0),MAX(0,$C1101-OFFSET($Q$8,RIGHT(AI$634,1)-1,0)))</f>
        <v>909</v>
      </c>
      <c r="AJ1101" s="136">
        <f ca="1" t="shared" si="1188"/>
        <v>1818</v>
      </c>
      <c r="AK1101" s="136">
        <f ca="1" t="shared" si="1188"/>
        <v>2727</v>
      </c>
      <c r="AL1101" s="136">
        <f ca="1" t="shared" si="1188"/>
        <v>3636</v>
      </c>
      <c r="AM1101" s="136">
        <f ca="1" t="shared" si="1188"/>
        <v>4545</v>
      </c>
      <c r="AN1101" s="136">
        <f ca="1" t="shared" si="1188"/>
        <v>32615</v>
      </c>
    </row>
    <row r="1102" s="106" customFormat="1" ht="16.5" spans="2:40">
      <c r="B1102" s="117">
        <v>468</v>
      </c>
      <c r="C1102" s="130">
        <f t="shared" si="1149"/>
        <v>46800</v>
      </c>
      <c r="D1102" s="131" cm="1">
        <f ca="1" t="array" ref="D1102">IF(D1704=1,OFFSET($W$634,$B1102,D$631-1)/SUMPRODUCT(--($D$631:$V$631=D$631),--($D1704:$V1704=1)),0)+SUM(D1101)+IF(COUNTIF(D$1237:D1704,1)=1,5,0)+IF(COUNTIF(E1102:$W1102,"&gt;"&amp;0)&lt;5,IF(AND(COUNTIF(D$1237:D1704,1)&gt;7,MOD(1+IFERROR(MATCH($C1102,总览!$D$46:$D$345,1)+1,1),7)=0),$C$3,0),0)</f>
        <v>2956.33784661803</v>
      </c>
      <c r="E1102" s="131" cm="1">
        <f ca="1" t="array" ref="E1102">IF(E1704=1,OFFSET($W$634,$B1102,E$631-1)/SUMPRODUCT(--($D$631:$V$631=E$631),--($D1704:$V1704=1)),0)+SUM(E1101)+IF(COUNTIF(E$1237:E1704,1)=1,5,0)+IF(COUNTIF(F1102:$W1102,"&gt;"&amp;0)&lt;5,IF(AND(COUNTIF(E$1237:E1704,1)&gt;7,MOD(1+IFERROR(MATCH($C1102,总览!$D$46:$D$345,1)+1,1),7)=0),$C$3,0),0)</f>
        <v>2956.33784661803</v>
      </c>
      <c r="F1102" s="131" cm="1">
        <f ca="1" t="array" ref="F1102">IF(F1704=1,OFFSET($W$634,$B1102,F$631-1)/SUMPRODUCT(--($D$631:$V$631=F$631),--($D1704:$V1704=1)),0)+SUM(F1101)+IF(COUNTIF(F$1237:F1704,1)=1,5,0)+IF(COUNTIF(G1102:$W1102,"&gt;"&amp;0)&lt;5,IF(AND(COUNTIF(F$1237:F1704,1)&gt;7,MOD(1+IFERROR(MATCH($C1102,总览!$D$46:$D$345,1)+1,1),7)=0),$C$3,0),0)</f>
        <v>2956.33784661803</v>
      </c>
      <c r="G1102" s="131" cm="1">
        <f ca="1" t="array" ref="G1102">IF(G1704=1,OFFSET($W$634,$B1102,G$631-1)/SUMPRODUCT(--($D$631:$V$631=G$631),--($D1704:$V1704=1)),0)+SUM(G1101)+IF(COUNTIF(G$1237:G1704,1)=1,5,0)+IF(COUNTIF(H1102:$W1102,"&gt;"&amp;0)&lt;5,IF(AND(COUNTIF(G$1237:G1704,1)&gt;7,MOD(1+IFERROR(MATCH($C1102,总览!$D$46:$D$345,1)+1,1),7)=0),$C$3,0),0)</f>
        <v>1499.39999999999</v>
      </c>
      <c r="H1102" s="131" cm="1">
        <f ca="1" t="array" ref="H1102">IF(H1704=1,OFFSET($W$634,$B1102,H$631-1)/SUMPRODUCT(--($D$631:$V$631=H$631),--($D1704:$V1704=1)),0)+SUM(H1101)+IF(COUNTIF(H$1237:H1704,1)=1,5,0)+IF(COUNTIF(I1102:$W1102,"&gt;"&amp;0)&lt;5,IF(AND(COUNTIF(H$1237:H1704,1)&gt;7,MOD(1+IFERROR(MATCH($C1102,总览!$D$46:$D$345,1)+1,1),7)=0),$C$3,0),0)</f>
        <v>1499.39999999999</v>
      </c>
      <c r="I1102" s="131" cm="1">
        <f ca="1" t="array" ref="I1102">IF(I1704=1,OFFSET($W$634,$B1102,I$631-1)/SUMPRODUCT(--($D$631:$V$631=I$631),--($D1704:$V1704=1)),0)+SUM(I1101)+IF(COUNTIF(I$1237:I1704,1)=1,5,0)+IF(COUNTIF(J1102:$W1102,"&gt;"&amp;0)&lt;5,IF(AND(COUNTIF(I$1237:I1704,1)&gt;7,MOD(1+IFERROR(MATCH($C1102,总览!$D$46:$D$345,1)+1,1),7)=0),$C$3,0),0)</f>
        <v>1499.39999999999</v>
      </c>
      <c r="J1102" s="131" cm="1">
        <f ca="1" t="array" ref="J1102">IF(J1704=1,OFFSET($W$634,$B1102,J$631-1)/SUMPRODUCT(--($D$631:$V$631=J$631),--($D1704:$V1704=1)),0)+SUM(J1101)+IF(COUNTIF(J$1237:J1704,1)=1,5,0)+IF(COUNTIF(K1102:$W1102,"&gt;"&amp;0)&lt;5,IF(AND(COUNTIF(J$1237:J1704,1)&gt;7,MOD(1+IFERROR(MATCH($C1102,总览!$D$46:$D$345,1)+1,1),7)=0),$C$3,0),0)</f>
        <v>1496.06666666666</v>
      </c>
      <c r="K1102" s="131" cm="1">
        <f ca="1" t="array" ref="K1102">IF(K1704=1,OFFSET($W$634,$B1102,K$631-1)/SUMPRODUCT(--($D$631:$V$631=K$631),--($D1704:$V1704=1)),0)+SUM(K1101)+IF(COUNTIF(K$1237:K1704,1)=1,5,0)+IF(COUNTIF(L1102:$W1102,"&gt;"&amp;0)&lt;5,IF(AND(COUNTIF(K$1237:K1704,1)&gt;7,MOD(1+IFERROR(MATCH($C1102,总览!$D$46:$D$345,1)+1,1),7)=0),$C$3,0),0)</f>
        <v>1493.56666666666</v>
      </c>
      <c r="L1102" s="131" cm="1">
        <f ca="1" t="array" ref="L1102">IF(L1704=1,OFFSET($W$634,$B1102,L$631-1)/SUMPRODUCT(--($D$631:$V$631=L$631),--($D1704:$V1704=1)),0)+SUM(L1101)+IF(COUNTIF(L$1237:L1704,1)=1,5,0)+IF(COUNTIF(M1102:$W1102,"&gt;"&amp;0)&lt;5,IF(AND(COUNTIF(L$1237:L1704,1)&gt;7,MOD(1+IFERROR(MATCH($C1102,总览!$D$46:$D$345,1)+1,1),7)=0),$C$3,0),0)</f>
        <v>1493.56666666666</v>
      </c>
      <c r="M1102" s="131" cm="1">
        <f ca="1" t="array" ref="M1102">IF(M1704=1,OFFSET($W$634,$B1102,M$631-1)/SUMPRODUCT(--($D$631:$V$631=M$631),--($D1704:$V1704=1)),0)+SUM(M1101)+IF(COUNTIF(M$1237:M1704,1)=1,5,0)+IF(COUNTIF(N1102:$W1102,"&gt;"&amp;0)&lt;5,IF(AND(COUNTIF(M$1237:M1704,1)&gt;7,MOD(1+IFERROR(MATCH($C1102,总览!$D$46:$D$345,1)+1,1),7)=0),$C$3,0),0)</f>
        <v>626.32410714286</v>
      </c>
      <c r="N1102" s="131" cm="1">
        <f ca="1" t="array" ref="N1102">IF(N1704=1,OFFSET($W$634,$B1102,N$631-1)/SUMPRODUCT(--($D$631:$V$631=N$631),--($D1704:$V1704=1)),0)+SUM(N1101)+IF(COUNTIF(N$1237:N1704,1)=1,5,0)+IF(COUNTIF(O1102:$W1102,"&gt;"&amp;0)&lt;5,IF(AND(COUNTIF(N$1237:N1704,1)&gt;7,MOD(1+IFERROR(MATCH($C1102,总览!$D$46:$D$345,1)+1,1),7)=0),$C$3,0),0)</f>
        <v>627.57410714286</v>
      </c>
      <c r="O1102" s="131" cm="1">
        <f ca="1" t="array" ref="O1102">IF(O1704=1,OFFSET($W$634,$B1102,O$631-1)/SUMPRODUCT(--($D$631:$V$631=O$631),--($D1704:$V1704=1)),0)+SUM(O1101)+IF(COUNTIF(O$1237:O1704,1)=1,5,0)+IF(COUNTIF(P1102:$W1102,"&gt;"&amp;0)&lt;5,IF(AND(COUNTIF(O$1237:O1704,1)&gt;7,MOD(1+IFERROR(MATCH($C1102,总览!$D$46:$D$345,1)+1,1),7)=0),$C$3,0),0)</f>
        <v>632.57410714286</v>
      </c>
      <c r="P1102" s="131" cm="1">
        <f ca="1" t="array" ref="P1102">IF(P1704=1,OFFSET($W$634,$B1102,P$631-1)/SUMPRODUCT(--($D$631:$V$631=P$631),--($D1704:$V1704=1)),0)+SUM(P1101)+IF(COUNTIF(P$1237:P1704,1)=1,5,0)+IF(COUNTIF(Q1102:$W1102,"&gt;"&amp;0)&lt;5,IF(AND(COUNTIF(P$1237:P1704,1)&gt;7,MOD(1+IFERROR(MATCH($C1102,总览!$D$46:$D$345,1)+1,1),7)=0),$C$3,0),0)</f>
        <v>621.69285714286</v>
      </c>
      <c r="Q1102" s="131" cm="1">
        <f ca="1" t="array" ref="Q1102">IF(Q1704=1,OFFSET($W$634,$B1102,Q$631-1)/SUMPRODUCT(--($D$631:$V$631=Q$631),--($D1704:$V1704=1)),0)+SUM(Q1101)+IF(COUNTIF(Q$1237:Q1704,1)=1,5,0)+IF(COUNTIF(R1102:$W1102,"&gt;"&amp;0)&lt;5,IF(AND(COUNTIF(Q$1237:Q1704,1)&gt;7,MOD(1+IFERROR(MATCH($C1102,总览!$D$46:$D$345,1)+1,1),7)=0),$C$3,0),0)</f>
        <v>635.07410714286</v>
      </c>
      <c r="R1102" s="131" cm="1">
        <f ca="1" t="array" ref="R1102">IF(R1704=1,OFFSET($W$634,$B1102,R$631-1)/SUMPRODUCT(--($D$631:$V$631=R$631),--($D1704:$V1704=1)),0)+SUM(R1101)+IF(COUNTIF(R$1237:R1704,1)=1,5,0)+IF(COUNTIF(S1102:$W1102,"&gt;"&amp;0)&lt;5,IF(AND(COUNTIF(R$1237:R1704,1)&gt;7,MOD(1+IFERROR(MATCH($C1102,总览!$D$46:$D$345,1)+1,1),7)=0),$C$3,0),0)</f>
        <v>626.69285714286</v>
      </c>
      <c r="S1102" s="131" cm="1">
        <f ca="1" t="array" ref="S1102">IF(S1704=1,OFFSET($W$634,$B1102,S$631-1)/SUMPRODUCT(--($D$631:$V$631=S$631),--($D1704:$V1704=1)),0)+SUM(S1101)+IF(COUNTIF(S$1237:S1704,1)=1,5,0)+IF(COUNTIF(T1102:$W1102,"&gt;"&amp;0)&lt;5,IF(AND(COUNTIF(S$1237:S1704,1)&gt;7,MOD(1+IFERROR(MATCH($C1102,总览!$D$46:$D$345,1)+1,1),7)=0),$C$3,0),0)</f>
        <v>719.192857142861</v>
      </c>
      <c r="T1102" s="131" cm="1">
        <f ca="1" t="array" ref="T1102">IF(T1704=1,OFFSET($W$634,$B1102,T$631-1)/SUMPRODUCT(--($D$631:$V$631=T$631),--($D1704:$V1704=1)),0)+SUM(T1101)+IF(COUNTIF(T$1237:T1704,1)=1,5,0)+IF(COUNTIF(U1102:$W1102,"&gt;"&amp;0)&lt;5,IF(AND(COUNTIF(T$1237:T1704,1)&gt;7,MOD(1+IFERROR(MATCH($C1102,总览!$D$46:$D$345,1)+1,1),7)=0),$C$3,0),0)</f>
        <v>526.530962574316</v>
      </c>
      <c r="U1102" s="131" cm="1">
        <f ca="1" t="array" ref="U1102">IF(U1704=1,OFFSET($W$634,$B1102,U$631-1)/SUMPRODUCT(--($D$631:$V$631=U$631),--($D1704:$V1704=1)),0)+SUM(U1101)+IF(COUNTIF(U$1237:U1704,1)=1,5,0)+IF(COUNTIF(V1102:$W1102,"&gt;"&amp;0)&lt;5,IF(AND(COUNTIF(U$1237:U1704,1)&gt;7,MOD(1+IFERROR(MATCH($C1102,总览!$D$46:$D$345,1)+1,1),7)=0),$C$3,0),0)</f>
        <v>532.051748929615</v>
      </c>
      <c r="V1102" s="131" cm="1">
        <f ca="1" t="array" ref="V1102">IF(V1704=1,OFFSET($W$634,$B1102,V$631-1)/SUMPRODUCT(--($D$631:$V$631=V$631),--($D1704:$V1704=1)),0)+SUM(V1101)+IF(COUNTIF(V$1237:V1704,1)=1,5,0)+IF(COUNTIF(W1102:$W1102,"&gt;"&amp;0)&lt;5,IF(AND(COUNTIF(V$1237:V1704,1)&gt;7,MOD(1+IFERROR(MATCH($C1102,总览!$D$46:$D$345,1)+1,1),7)=0),$C$3,0),0)</f>
        <v>551.878748642048</v>
      </c>
      <c r="W1102" s="135" cm="1">
        <f ca="1" t="array" ref="W1102">SUMPRODUCT(TRANSPOSE($AA1102:$AG1102),OFFSET($L$9:$L$15,0,W$631-1))</f>
        <v>16.8502200646615</v>
      </c>
      <c r="X1102" s="135" cm="1">
        <f ca="1" t="array" ref="X1102">SUMPRODUCT(TRANSPOSE($AA1102:$AG1102),OFFSET($L$9:$L$15,0,X$631-1))</f>
        <v>20</v>
      </c>
      <c r="Y1102" s="135" cm="1">
        <f ca="1" t="array" ref="Y1102">SUMPRODUCT(TRANSPOSE($AA1102:$AG1102),OFFSET($L$9:$L$15,0,Y$631-1))</f>
        <v>10</v>
      </c>
      <c r="Z1102" s="135" cm="1">
        <f ca="1" t="array" ref="Z1102">SUMPRODUCT(TRANSPOSE($AA1102:$AG1102),OFFSET($L$9:$L$15,0,Z$631-1))</f>
        <v>3.14977993533847</v>
      </c>
      <c r="AA1102" s="136">
        <f ca="1" t="shared" ref="AA1102:AG1102" si="1189">AH1102-AH1101</f>
        <v>0</v>
      </c>
      <c r="AB1102" s="136">
        <f ca="1" t="shared" si="1189"/>
        <v>0</v>
      </c>
      <c r="AC1102" s="136">
        <f ca="1" t="shared" si="1189"/>
        <v>0</v>
      </c>
      <c r="AD1102" s="136">
        <f ca="1" t="shared" si="1189"/>
        <v>0</v>
      </c>
      <c r="AE1102" s="136">
        <f ca="1" t="shared" si="1189"/>
        <v>0</v>
      </c>
      <c r="AF1102" s="136">
        <f ca="1" t="shared" si="1189"/>
        <v>0</v>
      </c>
      <c r="AG1102" s="136">
        <f ca="1" t="shared" si="1189"/>
        <v>100</v>
      </c>
      <c r="AH1102" s="136">
        <f ca="1" t="shared" si="1151"/>
        <v>450</v>
      </c>
      <c r="AI1102" s="136">
        <f ca="1" t="shared" ref="AI1102:AN1102" si="1190">IF($C1102&gt;OFFSET($Q$8,MATCH(AI$634,$AH$634:$AN$634,0),0),OFFSET($P$8,MATCH(AI$634,$AH$634:$AN$634,0),0),MAX(0,$C1102-OFFSET($Q$8,RIGHT(AI$634,1)-1,0)))</f>
        <v>909</v>
      </c>
      <c r="AJ1102" s="136">
        <f ca="1" t="shared" si="1190"/>
        <v>1818</v>
      </c>
      <c r="AK1102" s="136">
        <f ca="1" t="shared" si="1190"/>
        <v>2727</v>
      </c>
      <c r="AL1102" s="136">
        <f ca="1" t="shared" si="1190"/>
        <v>3636</v>
      </c>
      <c r="AM1102" s="136">
        <f ca="1" t="shared" si="1190"/>
        <v>4545</v>
      </c>
      <c r="AN1102" s="136">
        <f ca="1" t="shared" si="1190"/>
        <v>32715</v>
      </c>
    </row>
    <row r="1103" s="106" customFormat="1" ht="16.5" spans="2:40">
      <c r="B1103" s="117">
        <v>469</v>
      </c>
      <c r="C1103" s="130">
        <f t="shared" si="1149"/>
        <v>46900</v>
      </c>
      <c r="D1103" s="131" cm="1">
        <f ca="1" t="array" ref="D1103">IF(D1705=1,OFFSET($W$634,$B1103,D$631-1)/SUMPRODUCT(--($D$631:$V$631=D$631),--($D1705:$V1705=1)),0)+SUM(D1102)+IF(COUNTIF(D$1237:D1705,1)=1,5,0)+IF(COUNTIF(E1103:$W1103,"&gt;"&amp;0)&lt;5,IF(AND(COUNTIF(D$1237:D1705,1)&gt;7,MOD(1+IFERROR(MATCH($C1103,总览!$D$46:$D$345,1)+1,1),7)=0),$C$3,0),0)</f>
        <v>2961.95458663959</v>
      </c>
      <c r="E1103" s="131" cm="1">
        <f ca="1" t="array" ref="E1103">IF(E1705=1,OFFSET($W$634,$B1103,E$631-1)/SUMPRODUCT(--($D$631:$V$631=E$631),--($D1705:$V1705=1)),0)+SUM(E1102)+IF(COUNTIF(E$1237:E1705,1)=1,5,0)+IF(COUNTIF(F1103:$W1103,"&gt;"&amp;0)&lt;5,IF(AND(COUNTIF(E$1237:E1705,1)&gt;7,MOD(1+IFERROR(MATCH($C1103,总览!$D$46:$D$345,1)+1,1),7)=0),$C$3,0),0)</f>
        <v>2961.95458663959</v>
      </c>
      <c r="F1103" s="131" cm="1">
        <f ca="1" t="array" ref="F1103">IF(F1705=1,OFFSET($W$634,$B1103,F$631-1)/SUMPRODUCT(--($D$631:$V$631=F$631),--($D1705:$V1705=1)),0)+SUM(F1102)+IF(COUNTIF(F$1237:F1705,1)=1,5,0)+IF(COUNTIF(G1103:$W1103,"&gt;"&amp;0)&lt;5,IF(AND(COUNTIF(F$1237:F1705,1)&gt;7,MOD(1+IFERROR(MATCH($C1103,总览!$D$46:$D$345,1)+1,1),7)=0),$C$3,0),0)</f>
        <v>2961.95458663959</v>
      </c>
      <c r="G1103" s="131" cm="1">
        <f ca="1" t="array" ref="G1103">IF(G1705=1,OFFSET($W$634,$B1103,G$631-1)/SUMPRODUCT(--($D$631:$V$631=G$631),--($D1705:$V1705=1)),0)+SUM(G1102)+IF(COUNTIF(G$1237:G1705,1)=1,5,0)+IF(COUNTIF(H1103:$W1103,"&gt;"&amp;0)&lt;5,IF(AND(COUNTIF(G$1237:G1705,1)&gt;7,MOD(1+IFERROR(MATCH($C1103,总览!$D$46:$D$345,1)+1,1),7)=0),$C$3,0),0)</f>
        <v>1502.73333333333</v>
      </c>
      <c r="H1103" s="131" cm="1">
        <f ca="1" t="array" ref="H1103">IF(H1705=1,OFFSET($W$634,$B1103,H$631-1)/SUMPRODUCT(--($D$631:$V$631=H$631),--($D1705:$V1705=1)),0)+SUM(H1102)+IF(COUNTIF(H$1237:H1705,1)=1,5,0)+IF(COUNTIF(I1103:$W1103,"&gt;"&amp;0)&lt;5,IF(AND(COUNTIF(H$1237:H1705,1)&gt;7,MOD(1+IFERROR(MATCH($C1103,总览!$D$46:$D$345,1)+1,1),7)=0),$C$3,0),0)</f>
        <v>1502.73333333333</v>
      </c>
      <c r="I1103" s="131" cm="1">
        <f ca="1" t="array" ref="I1103">IF(I1705=1,OFFSET($W$634,$B1103,I$631-1)/SUMPRODUCT(--($D$631:$V$631=I$631),--($D1705:$V1705=1)),0)+SUM(I1102)+IF(COUNTIF(I$1237:I1705,1)=1,5,0)+IF(COUNTIF(J1103:$W1103,"&gt;"&amp;0)&lt;5,IF(AND(COUNTIF(I$1237:I1705,1)&gt;7,MOD(1+IFERROR(MATCH($C1103,总览!$D$46:$D$345,1)+1,1),7)=0),$C$3,0),0)</f>
        <v>1502.73333333333</v>
      </c>
      <c r="J1103" s="131" cm="1">
        <f ca="1" t="array" ref="J1103">IF(J1705=1,OFFSET($W$634,$B1103,J$631-1)/SUMPRODUCT(--($D$631:$V$631=J$631),--($D1705:$V1705=1)),0)+SUM(J1102)+IF(COUNTIF(J$1237:J1705,1)=1,5,0)+IF(COUNTIF(K1103:$W1103,"&gt;"&amp;0)&lt;5,IF(AND(COUNTIF(J$1237:J1705,1)&gt;7,MOD(1+IFERROR(MATCH($C1103,总览!$D$46:$D$345,1)+1,1),7)=0),$C$3,0),0)</f>
        <v>1499.39999999999</v>
      </c>
      <c r="K1103" s="131" cm="1">
        <f ca="1" t="array" ref="K1103">IF(K1705=1,OFFSET($W$634,$B1103,K$631-1)/SUMPRODUCT(--($D$631:$V$631=K$631),--($D1705:$V1705=1)),0)+SUM(K1102)+IF(COUNTIF(K$1237:K1705,1)=1,5,0)+IF(COUNTIF(L1103:$W1103,"&gt;"&amp;0)&lt;5,IF(AND(COUNTIF(K$1237:K1705,1)&gt;7,MOD(1+IFERROR(MATCH($C1103,总览!$D$46:$D$345,1)+1,1),7)=0),$C$3,0),0)</f>
        <v>1496.89999999999</v>
      </c>
      <c r="L1103" s="131" cm="1">
        <f ca="1" t="array" ref="L1103">IF(L1705=1,OFFSET($W$634,$B1103,L$631-1)/SUMPRODUCT(--($D$631:$V$631=L$631),--($D1705:$V1705=1)),0)+SUM(L1102)+IF(COUNTIF(L$1237:L1705,1)=1,5,0)+IF(COUNTIF(M1103:$W1103,"&gt;"&amp;0)&lt;5,IF(AND(COUNTIF(L$1237:L1705,1)&gt;7,MOD(1+IFERROR(MATCH($C1103,总览!$D$46:$D$345,1)+1,1),7)=0),$C$3,0),0)</f>
        <v>1496.89999999999</v>
      </c>
      <c r="M1103" s="131" cm="1">
        <f ca="1" t="array" ref="M1103">IF(M1705=1,OFFSET($W$634,$B1103,M$631-1)/SUMPRODUCT(--($D$631:$V$631=M$631),--($D1705:$V1705=1)),0)+SUM(M1102)+IF(COUNTIF(M$1237:M1705,1)=1,5,0)+IF(COUNTIF(N1103:$W1103,"&gt;"&amp;0)&lt;5,IF(AND(COUNTIF(M$1237:M1705,1)&gt;7,MOD(1+IFERROR(MATCH($C1103,总览!$D$46:$D$345,1)+1,1),7)=0),$C$3,0),0)</f>
        <v>627.752678571432</v>
      </c>
      <c r="N1103" s="131" cm="1">
        <f ca="1" t="array" ref="N1103">IF(N1705=1,OFFSET($W$634,$B1103,N$631-1)/SUMPRODUCT(--($D$631:$V$631=N$631),--($D1705:$V1705=1)),0)+SUM(N1102)+IF(COUNTIF(N$1237:N1705,1)=1,5,0)+IF(COUNTIF(O1103:$W1103,"&gt;"&amp;0)&lt;5,IF(AND(COUNTIF(N$1237:N1705,1)&gt;7,MOD(1+IFERROR(MATCH($C1103,总览!$D$46:$D$345,1)+1,1),7)=0),$C$3,0),0)</f>
        <v>629.002678571432</v>
      </c>
      <c r="O1103" s="131" cm="1">
        <f ca="1" t="array" ref="O1103">IF(O1705=1,OFFSET($W$634,$B1103,O$631-1)/SUMPRODUCT(--($D$631:$V$631=O$631),--($D1705:$V1705=1)),0)+SUM(O1102)+IF(COUNTIF(O$1237:O1705,1)=1,5,0)+IF(COUNTIF(P1103:$W1103,"&gt;"&amp;0)&lt;5,IF(AND(COUNTIF(O$1237:O1705,1)&gt;7,MOD(1+IFERROR(MATCH($C1103,总览!$D$46:$D$345,1)+1,1),7)=0),$C$3,0),0)</f>
        <v>634.002678571432</v>
      </c>
      <c r="P1103" s="131" cm="1">
        <f ca="1" t="array" ref="P1103">IF(P1705=1,OFFSET($W$634,$B1103,P$631-1)/SUMPRODUCT(--($D$631:$V$631=P$631),--($D1705:$V1705=1)),0)+SUM(P1102)+IF(COUNTIF(P$1237:P1705,1)=1,5,0)+IF(COUNTIF(Q1103:$W1103,"&gt;"&amp;0)&lt;5,IF(AND(COUNTIF(P$1237:P1705,1)&gt;7,MOD(1+IFERROR(MATCH($C1103,总览!$D$46:$D$345,1)+1,1),7)=0),$C$3,0),0)</f>
        <v>623.121428571432</v>
      </c>
      <c r="Q1103" s="131" cm="1">
        <f ca="1" t="array" ref="Q1103">IF(Q1705=1,OFFSET($W$634,$B1103,Q$631-1)/SUMPRODUCT(--($D$631:$V$631=Q$631),--($D1705:$V1705=1)),0)+SUM(Q1102)+IF(COUNTIF(Q$1237:Q1705,1)=1,5,0)+IF(COUNTIF(R1103:$W1103,"&gt;"&amp;0)&lt;5,IF(AND(COUNTIF(Q$1237:Q1705,1)&gt;7,MOD(1+IFERROR(MATCH($C1103,总览!$D$46:$D$345,1)+1,1),7)=0),$C$3,0),0)</f>
        <v>636.502678571432</v>
      </c>
      <c r="R1103" s="131" cm="1">
        <f ca="1" t="array" ref="R1103">IF(R1705=1,OFFSET($W$634,$B1103,R$631-1)/SUMPRODUCT(--($D$631:$V$631=R$631),--($D1705:$V1705=1)),0)+SUM(R1102)+IF(COUNTIF(R$1237:R1705,1)=1,5,0)+IF(COUNTIF(S1103:$W1103,"&gt;"&amp;0)&lt;5,IF(AND(COUNTIF(R$1237:R1705,1)&gt;7,MOD(1+IFERROR(MATCH($C1103,总览!$D$46:$D$345,1)+1,1),7)=0),$C$3,0),0)</f>
        <v>628.121428571432</v>
      </c>
      <c r="S1103" s="131" cm="1">
        <f ca="1" t="array" ref="S1103">IF(S1705=1,OFFSET($W$634,$B1103,S$631-1)/SUMPRODUCT(--($D$631:$V$631=S$631),--($D1705:$V1705=1)),0)+SUM(S1102)+IF(COUNTIF(S$1237:S1705,1)=1,5,0)+IF(COUNTIF(T1103:$W1103,"&gt;"&amp;0)&lt;5,IF(AND(COUNTIF(S$1237:S1705,1)&gt;7,MOD(1+IFERROR(MATCH($C1103,总览!$D$46:$D$345,1)+1,1),7)=0),$C$3,0),0)</f>
        <v>720.621428571433</v>
      </c>
      <c r="T1103" s="131" cm="1">
        <f ca="1" t="array" ref="T1103">IF(T1705=1,OFFSET($W$634,$B1103,T$631-1)/SUMPRODUCT(--($D$631:$V$631=T$631),--($D1705:$V1705=1)),0)+SUM(T1102)+IF(COUNTIF(T$1237:T1705,1)=1,5,0)+IF(COUNTIF(U1103:$W1103,"&gt;"&amp;0)&lt;5,IF(AND(COUNTIF(T$1237:T1705,1)&gt;7,MOD(1+IFERROR(MATCH($C1103,总览!$D$46:$D$345,1)+1,1),7)=0),$C$3,0),0)</f>
        <v>527.580889219429</v>
      </c>
      <c r="U1103" s="131" cm="1">
        <f ca="1" t="array" ref="U1103">IF(U1705=1,OFFSET($W$634,$B1103,U$631-1)/SUMPRODUCT(--($D$631:$V$631=U$631),--($D1705:$V1705=1)),0)+SUM(U1102)+IF(COUNTIF(U$1237:U1705,1)=1,5,0)+IF(COUNTIF(V1103:$W1103,"&gt;"&amp;0)&lt;5,IF(AND(COUNTIF(U$1237:U1705,1)&gt;7,MOD(1+IFERROR(MATCH($C1103,总览!$D$46:$D$345,1)+1,1),7)=0),$C$3,0),0)</f>
        <v>533.101675574728</v>
      </c>
      <c r="V1103" s="131" cm="1">
        <f ca="1" t="array" ref="V1103">IF(V1705=1,OFFSET($W$634,$B1103,V$631-1)/SUMPRODUCT(--($D$631:$V$631=V$631),--($D1705:$V1705=1)),0)+SUM(V1102)+IF(COUNTIF(V$1237:V1705,1)=1,5,0)+IF(COUNTIF(W1103:$W1103,"&gt;"&amp;0)&lt;5,IF(AND(COUNTIF(V$1237:V1705,1)&gt;7,MOD(1+IFERROR(MATCH($C1103,总览!$D$46:$D$345,1)+1,1),7)=0),$C$3,0),0)</f>
        <v>552.928675287161</v>
      </c>
      <c r="W1103" s="135" cm="1">
        <f ca="1" t="array" ref="W1103">SUMPRODUCT(TRANSPOSE($AA1103:$AG1103),OFFSET($L$9:$L$15,0,W$631-1))</f>
        <v>16.8502200646615</v>
      </c>
      <c r="X1103" s="135" cm="1">
        <f ca="1" t="array" ref="X1103">SUMPRODUCT(TRANSPOSE($AA1103:$AG1103),OFFSET($L$9:$L$15,0,X$631-1))</f>
        <v>20</v>
      </c>
      <c r="Y1103" s="135" cm="1">
        <f ca="1" t="array" ref="Y1103">SUMPRODUCT(TRANSPOSE($AA1103:$AG1103),OFFSET($L$9:$L$15,0,Y$631-1))</f>
        <v>10</v>
      </c>
      <c r="Z1103" s="135" cm="1">
        <f ca="1" t="array" ref="Z1103">SUMPRODUCT(TRANSPOSE($AA1103:$AG1103),OFFSET($L$9:$L$15,0,Z$631-1))</f>
        <v>3.14977993533847</v>
      </c>
      <c r="AA1103" s="136">
        <f ca="1" t="shared" ref="AA1103:AG1103" si="1191">AH1103-AH1102</f>
        <v>0</v>
      </c>
      <c r="AB1103" s="136">
        <f ca="1" t="shared" si="1191"/>
        <v>0</v>
      </c>
      <c r="AC1103" s="136">
        <f ca="1" t="shared" si="1191"/>
        <v>0</v>
      </c>
      <c r="AD1103" s="136">
        <f ca="1" t="shared" si="1191"/>
        <v>0</v>
      </c>
      <c r="AE1103" s="136">
        <f ca="1" t="shared" si="1191"/>
        <v>0</v>
      </c>
      <c r="AF1103" s="136">
        <f ca="1" t="shared" si="1191"/>
        <v>0</v>
      </c>
      <c r="AG1103" s="136">
        <f ca="1" t="shared" si="1191"/>
        <v>100</v>
      </c>
      <c r="AH1103" s="136">
        <f ca="1" t="shared" si="1151"/>
        <v>450</v>
      </c>
      <c r="AI1103" s="136">
        <f ca="1" t="shared" ref="AI1103:AN1103" si="1192">IF($C1103&gt;OFFSET($Q$8,MATCH(AI$634,$AH$634:$AN$634,0),0),OFFSET($P$8,MATCH(AI$634,$AH$634:$AN$634,0),0),MAX(0,$C1103-OFFSET($Q$8,RIGHT(AI$634,1)-1,0)))</f>
        <v>909</v>
      </c>
      <c r="AJ1103" s="136">
        <f ca="1" t="shared" si="1192"/>
        <v>1818</v>
      </c>
      <c r="AK1103" s="136">
        <f ca="1" t="shared" si="1192"/>
        <v>2727</v>
      </c>
      <c r="AL1103" s="136">
        <f ca="1" t="shared" si="1192"/>
        <v>3636</v>
      </c>
      <c r="AM1103" s="136">
        <f ca="1" t="shared" si="1192"/>
        <v>4545</v>
      </c>
      <c r="AN1103" s="136">
        <f ca="1" t="shared" si="1192"/>
        <v>32815</v>
      </c>
    </row>
    <row r="1104" s="106" customFormat="1" ht="16.5" spans="2:40">
      <c r="B1104" s="117">
        <v>470</v>
      </c>
      <c r="C1104" s="130">
        <f t="shared" si="1149"/>
        <v>47000</v>
      </c>
      <c r="D1104" s="131" cm="1">
        <f ca="1" t="array" ref="D1104">IF(D1706=1,OFFSET($W$634,$B1104,D$631-1)/SUMPRODUCT(--($D$631:$V$631=D$631),--($D1706:$V1706=1)),0)+SUM(D1103)+IF(COUNTIF(D$1237:D1706,1)=1,5,0)+IF(COUNTIF(E1104:$W1104,"&gt;"&amp;0)&lt;5,IF(AND(COUNTIF(D$1237:D1706,1)&gt;7,MOD(1+IFERROR(MATCH($C1104,总览!$D$46:$D$345,1)+1,1),7)=0),$C$3,0),0)</f>
        <v>2967.57132666114</v>
      </c>
      <c r="E1104" s="131" cm="1">
        <f ca="1" t="array" ref="E1104">IF(E1706=1,OFFSET($W$634,$B1104,E$631-1)/SUMPRODUCT(--($D$631:$V$631=E$631),--($D1706:$V1706=1)),0)+SUM(E1103)+IF(COUNTIF(E$1237:E1706,1)=1,5,0)+IF(COUNTIF(F1104:$W1104,"&gt;"&amp;0)&lt;5,IF(AND(COUNTIF(E$1237:E1706,1)&gt;7,MOD(1+IFERROR(MATCH($C1104,总览!$D$46:$D$345,1)+1,1),7)=0),$C$3,0),0)</f>
        <v>2967.57132666114</v>
      </c>
      <c r="F1104" s="131" cm="1">
        <f ca="1" t="array" ref="F1104">IF(F1706=1,OFFSET($W$634,$B1104,F$631-1)/SUMPRODUCT(--($D$631:$V$631=F$631),--($D1706:$V1706=1)),0)+SUM(F1103)+IF(COUNTIF(F$1237:F1706,1)=1,5,0)+IF(COUNTIF(G1104:$W1104,"&gt;"&amp;0)&lt;5,IF(AND(COUNTIF(F$1237:F1706,1)&gt;7,MOD(1+IFERROR(MATCH($C1104,总览!$D$46:$D$345,1)+1,1),7)=0),$C$3,0),0)</f>
        <v>2967.57132666114</v>
      </c>
      <c r="G1104" s="131" cm="1">
        <f ca="1" t="array" ref="G1104">IF(G1706=1,OFFSET($W$634,$B1104,G$631-1)/SUMPRODUCT(--($D$631:$V$631=G$631),--($D1706:$V1706=1)),0)+SUM(G1103)+IF(COUNTIF(G$1237:G1706,1)=1,5,0)+IF(COUNTIF(H1104:$W1104,"&gt;"&amp;0)&lt;5,IF(AND(COUNTIF(G$1237:G1706,1)&gt;7,MOD(1+IFERROR(MATCH($C1104,总览!$D$46:$D$345,1)+1,1),7)=0),$C$3,0),0)</f>
        <v>1506.06666666666</v>
      </c>
      <c r="H1104" s="131" cm="1">
        <f ca="1" t="array" ref="H1104">IF(H1706=1,OFFSET($W$634,$B1104,H$631-1)/SUMPRODUCT(--($D$631:$V$631=H$631),--($D1706:$V1706=1)),0)+SUM(H1103)+IF(COUNTIF(H$1237:H1706,1)=1,5,0)+IF(COUNTIF(I1104:$W1104,"&gt;"&amp;0)&lt;5,IF(AND(COUNTIF(H$1237:H1706,1)&gt;7,MOD(1+IFERROR(MATCH($C1104,总览!$D$46:$D$345,1)+1,1),7)=0),$C$3,0),0)</f>
        <v>1506.06666666666</v>
      </c>
      <c r="I1104" s="131" cm="1">
        <f ca="1" t="array" ref="I1104">IF(I1706=1,OFFSET($W$634,$B1104,I$631-1)/SUMPRODUCT(--($D$631:$V$631=I$631),--($D1706:$V1706=1)),0)+SUM(I1103)+IF(COUNTIF(I$1237:I1706,1)=1,5,0)+IF(COUNTIF(J1104:$W1104,"&gt;"&amp;0)&lt;5,IF(AND(COUNTIF(I$1237:I1706,1)&gt;7,MOD(1+IFERROR(MATCH($C1104,总览!$D$46:$D$345,1)+1,1),7)=0),$C$3,0),0)</f>
        <v>1506.06666666666</v>
      </c>
      <c r="J1104" s="131" cm="1">
        <f ca="1" t="array" ref="J1104">IF(J1706=1,OFFSET($W$634,$B1104,J$631-1)/SUMPRODUCT(--($D$631:$V$631=J$631),--($D1706:$V1706=1)),0)+SUM(J1103)+IF(COUNTIF(J$1237:J1706,1)=1,5,0)+IF(COUNTIF(K1104:$W1104,"&gt;"&amp;0)&lt;5,IF(AND(COUNTIF(J$1237:J1706,1)&gt;7,MOD(1+IFERROR(MATCH($C1104,总览!$D$46:$D$345,1)+1,1),7)=0),$C$3,0),0)</f>
        <v>1502.73333333333</v>
      </c>
      <c r="K1104" s="131" cm="1">
        <f ca="1" t="array" ref="K1104">IF(K1706=1,OFFSET($W$634,$B1104,K$631-1)/SUMPRODUCT(--($D$631:$V$631=K$631),--($D1706:$V1706=1)),0)+SUM(K1103)+IF(COUNTIF(K$1237:K1706,1)=1,5,0)+IF(COUNTIF(L1104:$W1104,"&gt;"&amp;0)&lt;5,IF(AND(COUNTIF(K$1237:K1706,1)&gt;7,MOD(1+IFERROR(MATCH($C1104,总览!$D$46:$D$345,1)+1,1),7)=0),$C$3,0),0)</f>
        <v>1500.23333333333</v>
      </c>
      <c r="L1104" s="131" cm="1">
        <f ca="1" t="array" ref="L1104">IF(L1706=1,OFFSET($W$634,$B1104,L$631-1)/SUMPRODUCT(--($D$631:$V$631=L$631),--($D1706:$V1706=1)),0)+SUM(L1103)+IF(COUNTIF(L$1237:L1706,1)=1,5,0)+IF(COUNTIF(M1104:$W1104,"&gt;"&amp;0)&lt;5,IF(AND(COUNTIF(L$1237:L1706,1)&gt;7,MOD(1+IFERROR(MATCH($C1104,总览!$D$46:$D$345,1)+1,1),7)=0),$C$3,0),0)</f>
        <v>1500.23333333333</v>
      </c>
      <c r="M1104" s="131" cm="1">
        <f ca="1" t="array" ref="M1104">IF(M1706=1,OFFSET($W$634,$B1104,M$631-1)/SUMPRODUCT(--($D$631:$V$631=M$631),--($D1706:$V1706=1)),0)+SUM(M1103)+IF(COUNTIF(M$1237:M1706,1)=1,5,0)+IF(COUNTIF(N1104:$W1104,"&gt;"&amp;0)&lt;5,IF(AND(COUNTIF(M$1237:M1706,1)&gt;7,MOD(1+IFERROR(MATCH($C1104,总览!$D$46:$D$345,1)+1,1),7)=0),$C$3,0),0)</f>
        <v>629.181250000003</v>
      </c>
      <c r="N1104" s="131" cm="1">
        <f ca="1" t="array" ref="N1104">IF(N1706=1,OFFSET($W$634,$B1104,N$631-1)/SUMPRODUCT(--($D$631:$V$631=N$631),--($D1706:$V1706=1)),0)+SUM(N1103)+IF(COUNTIF(N$1237:N1706,1)=1,5,0)+IF(COUNTIF(O1104:$W1104,"&gt;"&amp;0)&lt;5,IF(AND(COUNTIF(N$1237:N1706,1)&gt;7,MOD(1+IFERROR(MATCH($C1104,总览!$D$46:$D$345,1)+1,1),7)=0),$C$3,0),0)</f>
        <v>630.431250000003</v>
      </c>
      <c r="O1104" s="131" cm="1">
        <f ca="1" t="array" ref="O1104">IF(O1706=1,OFFSET($W$634,$B1104,O$631-1)/SUMPRODUCT(--($D$631:$V$631=O$631),--($D1706:$V1706=1)),0)+SUM(O1103)+IF(COUNTIF(O$1237:O1706,1)=1,5,0)+IF(COUNTIF(P1104:$W1104,"&gt;"&amp;0)&lt;5,IF(AND(COUNTIF(O$1237:O1706,1)&gt;7,MOD(1+IFERROR(MATCH($C1104,总览!$D$46:$D$345,1)+1,1),7)=0),$C$3,0),0)</f>
        <v>635.431250000003</v>
      </c>
      <c r="P1104" s="131" cm="1">
        <f ca="1" t="array" ref="P1104">IF(P1706=1,OFFSET($W$634,$B1104,P$631-1)/SUMPRODUCT(--($D$631:$V$631=P$631),--($D1706:$V1706=1)),0)+SUM(P1103)+IF(COUNTIF(P$1237:P1706,1)=1,5,0)+IF(COUNTIF(Q1104:$W1104,"&gt;"&amp;0)&lt;5,IF(AND(COUNTIF(P$1237:P1706,1)&gt;7,MOD(1+IFERROR(MATCH($C1104,总览!$D$46:$D$345,1)+1,1),7)=0),$C$3,0),0)</f>
        <v>624.550000000003</v>
      </c>
      <c r="Q1104" s="131" cm="1">
        <f ca="1" t="array" ref="Q1104">IF(Q1706=1,OFFSET($W$634,$B1104,Q$631-1)/SUMPRODUCT(--($D$631:$V$631=Q$631),--($D1706:$V1706=1)),0)+SUM(Q1103)+IF(COUNTIF(Q$1237:Q1706,1)=1,5,0)+IF(COUNTIF(R1104:$W1104,"&gt;"&amp;0)&lt;5,IF(AND(COUNTIF(Q$1237:Q1706,1)&gt;7,MOD(1+IFERROR(MATCH($C1104,总览!$D$46:$D$345,1)+1,1),7)=0),$C$3,0),0)</f>
        <v>637.931250000003</v>
      </c>
      <c r="R1104" s="131" cm="1">
        <f ca="1" t="array" ref="R1104">IF(R1706=1,OFFSET($W$634,$B1104,R$631-1)/SUMPRODUCT(--($D$631:$V$631=R$631),--($D1706:$V1706=1)),0)+SUM(R1103)+IF(COUNTIF(R$1237:R1706,1)=1,5,0)+IF(COUNTIF(S1104:$W1104,"&gt;"&amp;0)&lt;5,IF(AND(COUNTIF(R$1237:R1706,1)&gt;7,MOD(1+IFERROR(MATCH($C1104,总览!$D$46:$D$345,1)+1,1),7)=0),$C$3,0),0)</f>
        <v>629.550000000003</v>
      </c>
      <c r="S1104" s="131" cm="1">
        <f ca="1" t="array" ref="S1104">IF(S1706=1,OFFSET($W$634,$B1104,S$631-1)/SUMPRODUCT(--($D$631:$V$631=S$631),--($D1706:$V1706=1)),0)+SUM(S1103)+IF(COUNTIF(S$1237:S1706,1)=1,5,0)+IF(COUNTIF(T1104:$W1104,"&gt;"&amp;0)&lt;5,IF(AND(COUNTIF(S$1237:S1706,1)&gt;7,MOD(1+IFERROR(MATCH($C1104,总览!$D$46:$D$345,1)+1,1),7)=0),$C$3,0),0)</f>
        <v>722.050000000004</v>
      </c>
      <c r="T1104" s="131" cm="1">
        <f ca="1" t="array" ref="T1104">IF(T1706=1,OFFSET($W$634,$B1104,T$631-1)/SUMPRODUCT(--($D$631:$V$631=T$631),--($D1706:$V1706=1)),0)+SUM(T1103)+IF(COUNTIF(T$1237:T1706,1)=1,5,0)+IF(COUNTIF(U1104:$W1104,"&gt;"&amp;0)&lt;5,IF(AND(COUNTIF(T$1237:T1706,1)&gt;7,MOD(1+IFERROR(MATCH($C1104,总览!$D$46:$D$345,1)+1,1),7)=0),$C$3,0),0)</f>
        <v>528.630815864541</v>
      </c>
      <c r="U1104" s="131" cm="1">
        <f ca="1" t="array" ref="U1104">IF(U1706=1,OFFSET($W$634,$B1104,U$631-1)/SUMPRODUCT(--($D$631:$V$631=U$631),--($D1706:$V1706=1)),0)+SUM(U1103)+IF(COUNTIF(U$1237:U1706,1)=1,5,0)+IF(COUNTIF(V1104:$W1104,"&gt;"&amp;0)&lt;5,IF(AND(COUNTIF(U$1237:U1706,1)&gt;7,MOD(1+IFERROR(MATCH($C1104,总览!$D$46:$D$345,1)+1,1),7)=0),$C$3,0),0)</f>
        <v>534.151602219841</v>
      </c>
      <c r="V1104" s="131" cm="1">
        <f ca="1" t="array" ref="V1104">IF(V1706=1,OFFSET($W$634,$B1104,V$631-1)/SUMPRODUCT(--($D$631:$V$631=V$631),--($D1706:$V1706=1)),0)+SUM(V1103)+IF(COUNTIF(V$1237:V1706,1)=1,5,0)+IF(COUNTIF(W1104:$W1104,"&gt;"&amp;0)&lt;5,IF(AND(COUNTIF(V$1237:V1706,1)&gt;7,MOD(1+IFERROR(MATCH($C1104,总览!$D$46:$D$345,1)+1,1),7)=0),$C$3,0),0)</f>
        <v>553.978601932274</v>
      </c>
      <c r="W1104" s="135" cm="1">
        <f ca="1" t="array" ref="W1104">SUMPRODUCT(TRANSPOSE($AA1104:$AG1104),OFFSET($L$9:$L$15,0,W$631-1))</f>
        <v>16.8502200646615</v>
      </c>
      <c r="X1104" s="135" cm="1">
        <f ca="1" t="array" ref="X1104">SUMPRODUCT(TRANSPOSE($AA1104:$AG1104),OFFSET($L$9:$L$15,0,X$631-1))</f>
        <v>20</v>
      </c>
      <c r="Y1104" s="135" cm="1">
        <f ca="1" t="array" ref="Y1104">SUMPRODUCT(TRANSPOSE($AA1104:$AG1104),OFFSET($L$9:$L$15,0,Y$631-1))</f>
        <v>10</v>
      </c>
      <c r="Z1104" s="135" cm="1">
        <f ca="1" t="array" ref="Z1104">SUMPRODUCT(TRANSPOSE($AA1104:$AG1104),OFFSET($L$9:$L$15,0,Z$631-1))</f>
        <v>3.14977993533847</v>
      </c>
      <c r="AA1104" s="136">
        <f ca="1" t="shared" ref="AA1104:AG1104" si="1193">AH1104-AH1103</f>
        <v>0</v>
      </c>
      <c r="AB1104" s="136">
        <f ca="1" t="shared" si="1193"/>
        <v>0</v>
      </c>
      <c r="AC1104" s="136">
        <f ca="1" t="shared" si="1193"/>
        <v>0</v>
      </c>
      <c r="AD1104" s="136">
        <f ca="1" t="shared" si="1193"/>
        <v>0</v>
      </c>
      <c r="AE1104" s="136">
        <f ca="1" t="shared" si="1193"/>
        <v>0</v>
      </c>
      <c r="AF1104" s="136">
        <f ca="1" t="shared" si="1193"/>
        <v>0</v>
      </c>
      <c r="AG1104" s="136">
        <f ca="1" t="shared" si="1193"/>
        <v>100</v>
      </c>
      <c r="AH1104" s="136">
        <f ca="1" t="shared" si="1151"/>
        <v>450</v>
      </c>
      <c r="AI1104" s="136">
        <f ca="1" t="shared" ref="AI1104:AN1104" si="1194">IF($C1104&gt;OFFSET($Q$8,MATCH(AI$634,$AH$634:$AN$634,0),0),OFFSET($P$8,MATCH(AI$634,$AH$634:$AN$634,0),0),MAX(0,$C1104-OFFSET($Q$8,RIGHT(AI$634,1)-1,0)))</f>
        <v>909</v>
      </c>
      <c r="AJ1104" s="136">
        <f ca="1" t="shared" si="1194"/>
        <v>1818</v>
      </c>
      <c r="AK1104" s="136">
        <f ca="1" t="shared" si="1194"/>
        <v>2727</v>
      </c>
      <c r="AL1104" s="136">
        <f ca="1" t="shared" si="1194"/>
        <v>3636</v>
      </c>
      <c r="AM1104" s="136">
        <f ca="1" t="shared" si="1194"/>
        <v>4545</v>
      </c>
      <c r="AN1104" s="136">
        <f ca="1" t="shared" si="1194"/>
        <v>32915</v>
      </c>
    </row>
    <row r="1105" s="106" customFormat="1" ht="16.5" spans="2:40">
      <c r="B1105" s="117">
        <v>471</v>
      </c>
      <c r="C1105" s="130">
        <f t="shared" si="1149"/>
        <v>47100</v>
      </c>
      <c r="D1105" s="131" cm="1">
        <f ca="1" t="array" ref="D1105">IF(D1707=1,OFFSET($W$634,$B1105,D$631-1)/SUMPRODUCT(--($D$631:$V$631=D$631),--($D1707:$V1707=1)),0)+SUM(D1104)+IF(COUNTIF(D$1237:D1707,1)=1,5,0)+IF(COUNTIF(E1105:$W1105,"&gt;"&amp;0)&lt;5,IF(AND(COUNTIF(D$1237:D1707,1)&gt;7,MOD(1+IFERROR(MATCH($C1105,总览!$D$46:$D$345,1)+1,1),7)=0),$C$3,0),0)</f>
        <v>2973.1880666827</v>
      </c>
      <c r="E1105" s="131" cm="1">
        <f ca="1" t="array" ref="E1105">IF(E1707=1,OFFSET($W$634,$B1105,E$631-1)/SUMPRODUCT(--($D$631:$V$631=E$631),--($D1707:$V1707=1)),0)+SUM(E1104)+IF(COUNTIF(E$1237:E1707,1)=1,5,0)+IF(COUNTIF(F1105:$W1105,"&gt;"&amp;0)&lt;5,IF(AND(COUNTIF(E$1237:E1707,1)&gt;7,MOD(1+IFERROR(MATCH($C1105,总览!$D$46:$D$345,1)+1,1),7)=0),$C$3,0),0)</f>
        <v>2973.1880666827</v>
      </c>
      <c r="F1105" s="131" cm="1">
        <f ca="1" t="array" ref="F1105">IF(F1707=1,OFFSET($W$634,$B1105,F$631-1)/SUMPRODUCT(--($D$631:$V$631=F$631),--($D1707:$V1707=1)),0)+SUM(F1104)+IF(COUNTIF(F$1237:F1707,1)=1,5,0)+IF(COUNTIF(G1105:$W1105,"&gt;"&amp;0)&lt;5,IF(AND(COUNTIF(F$1237:F1707,1)&gt;7,MOD(1+IFERROR(MATCH($C1105,总览!$D$46:$D$345,1)+1,1),7)=0),$C$3,0),0)</f>
        <v>2973.1880666827</v>
      </c>
      <c r="G1105" s="131" cm="1">
        <f ca="1" t="array" ref="G1105">IF(G1707=1,OFFSET($W$634,$B1105,G$631-1)/SUMPRODUCT(--($D$631:$V$631=G$631),--($D1707:$V1707=1)),0)+SUM(G1104)+IF(COUNTIF(G$1237:G1707,1)=1,5,0)+IF(COUNTIF(H1105:$W1105,"&gt;"&amp;0)&lt;5,IF(AND(COUNTIF(G$1237:G1707,1)&gt;7,MOD(1+IFERROR(MATCH($C1105,总览!$D$46:$D$345,1)+1,1),7)=0),$C$3,0),0)</f>
        <v>1509.39999999999</v>
      </c>
      <c r="H1105" s="131" cm="1">
        <f ca="1" t="array" ref="H1105">IF(H1707=1,OFFSET($W$634,$B1105,H$631-1)/SUMPRODUCT(--($D$631:$V$631=H$631),--($D1707:$V1707=1)),0)+SUM(H1104)+IF(COUNTIF(H$1237:H1707,1)=1,5,0)+IF(COUNTIF(I1105:$W1105,"&gt;"&amp;0)&lt;5,IF(AND(COUNTIF(H$1237:H1707,1)&gt;7,MOD(1+IFERROR(MATCH($C1105,总览!$D$46:$D$345,1)+1,1),7)=0),$C$3,0),0)</f>
        <v>1509.39999999999</v>
      </c>
      <c r="I1105" s="131" cm="1">
        <f ca="1" t="array" ref="I1105">IF(I1707=1,OFFSET($W$634,$B1105,I$631-1)/SUMPRODUCT(--($D$631:$V$631=I$631),--($D1707:$V1707=1)),0)+SUM(I1104)+IF(COUNTIF(I$1237:I1707,1)=1,5,0)+IF(COUNTIF(J1105:$W1105,"&gt;"&amp;0)&lt;5,IF(AND(COUNTIF(I$1237:I1707,1)&gt;7,MOD(1+IFERROR(MATCH($C1105,总览!$D$46:$D$345,1)+1,1),7)=0),$C$3,0),0)</f>
        <v>1509.39999999999</v>
      </c>
      <c r="J1105" s="131" cm="1">
        <f ca="1" t="array" ref="J1105">IF(J1707=1,OFFSET($W$634,$B1105,J$631-1)/SUMPRODUCT(--($D$631:$V$631=J$631),--($D1707:$V1707=1)),0)+SUM(J1104)+IF(COUNTIF(J$1237:J1707,1)=1,5,0)+IF(COUNTIF(K1105:$W1105,"&gt;"&amp;0)&lt;5,IF(AND(COUNTIF(J$1237:J1707,1)&gt;7,MOD(1+IFERROR(MATCH($C1105,总览!$D$46:$D$345,1)+1,1),7)=0),$C$3,0),0)</f>
        <v>1506.06666666666</v>
      </c>
      <c r="K1105" s="131" cm="1">
        <f ca="1" t="array" ref="K1105">IF(K1707=1,OFFSET($W$634,$B1105,K$631-1)/SUMPRODUCT(--($D$631:$V$631=K$631),--($D1707:$V1707=1)),0)+SUM(K1104)+IF(COUNTIF(K$1237:K1707,1)=1,5,0)+IF(COUNTIF(L1105:$W1105,"&gt;"&amp;0)&lt;5,IF(AND(COUNTIF(K$1237:K1707,1)&gt;7,MOD(1+IFERROR(MATCH($C1105,总览!$D$46:$D$345,1)+1,1),7)=0),$C$3,0),0)</f>
        <v>1503.56666666666</v>
      </c>
      <c r="L1105" s="131" cm="1">
        <f ca="1" t="array" ref="L1105">IF(L1707=1,OFFSET($W$634,$B1105,L$631-1)/SUMPRODUCT(--($D$631:$V$631=L$631),--($D1707:$V1707=1)),0)+SUM(L1104)+IF(COUNTIF(L$1237:L1707,1)=1,5,0)+IF(COUNTIF(M1105:$W1105,"&gt;"&amp;0)&lt;5,IF(AND(COUNTIF(L$1237:L1707,1)&gt;7,MOD(1+IFERROR(MATCH($C1105,总览!$D$46:$D$345,1)+1,1),7)=0),$C$3,0),0)</f>
        <v>1503.56666666666</v>
      </c>
      <c r="M1105" s="131" cm="1">
        <f ca="1" t="array" ref="M1105">IF(M1707=1,OFFSET($W$634,$B1105,M$631-1)/SUMPRODUCT(--($D$631:$V$631=M$631),--($D1707:$V1707=1)),0)+SUM(M1104)+IF(COUNTIF(M$1237:M1707,1)=1,5,0)+IF(COUNTIF(N1105:$W1105,"&gt;"&amp;0)&lt;5,IF(AND(COUNTIF(M$1237:M1707,1)&gt;7,MOD(1+IFERROR(MATCH($C1105,总览!$D$46:$D$345,1)+1,1),7)=0),$C$3,0),0)</f>
        <v>630.609821428574</v>
      </c>
      <c r="N1105" s="131" cm="1">
        <f ca="1" t="array" ref="N1105">IF(N1707=1,OFFSET($W$634,$B1105,N$631-1)/SUMPRODUCT(--($D$631:$V$631=N$631),--($D1707:$V1707=1)),0)+SUM(N1104)+IF(COUNTIF(N$1237:N1707,1)=1,5,0)+IF(COUNTIF(O1105:$W1105,"&gt;"&amp;0)&lt;5,IF(AND(COUNTIF(N$1237:N1707,1)&gt;7,MOD(1+IFERROR(MATCH($C1105,总览!$D$46:$D$345,1)+1,1),7)=0),$C$3,0),0)</f>
        <v>631.859821428574</v>
      </c>
      <c r="O1105" s="131" cm="1">
        <f ca="1" t="array" ref="O1105">IF(O1707=1,OFFSET($W$634,$B1105,O$631-1)/SUMPRODUCT(--($D$631:$V$631=O$631),--($D1707:$V1707=1)),0)+SUM(O1104)+IF(COUNTIF(O$1237:O1707,1)=1,5,0)+IF(COUNTIF(P1105:$W1105,"&gt;"&amp;0)&lt;5,IF(AND(COUNTIF(O$1237:O1707,1)&gt;7,MOD(1+IFERROR(MATCH($C1105,总览!$D$46:$D$345,1)+1,1),7)=0),$C$3,0),0)</f>
        <v>636.859821428574</v>
      </c>
      <c r="P1105" s="131" cm="1">
        <f ca="1" t="array" ref="P1105">IF(P1707=1,OFFSET($W$634,$B1105,P$631-1)/SUMPRODUCT(--($D$631:$V$631=P$631),--($D1707:$V1707=1)),0)+SUM(P1104)+IF(COUNTIF(P$1237:P1707,1)=1,5,0)+IF(COUNTIF(Q1105:$W1105,"&gt;"&amp;0)&lt;5,IF(AND(COUNTIF(P$1237:P1707,1)&gt;7,MOD(1+IFERROR(MATCH($C1105,总览!$D$46:$D$345,1)+1,1),7)=0),$C$3,0),0)</f>
        <v>625.978571428574</v>
      </c>
      <c r="Q1105" s="131" cm="1">
        <f ca="1" t="array" ref="Q1105">IF(Q1707=1,OFFSET($W$634,$B1105,Q$631-1)/SUMPRODUCT(--($D$631:$V$631=Q$631),--($D1707:$V1707=1)),0)+SUM(Q1104)+IF(COUNTIF(Q$1237:Q1707,1)=1,5,0)+IF(COUNTIF(R1105:$W1105,"&gt;"&amp;0)&lt;5,IF(AND(COUNTIF(Q$1237:Q1707,1)&gt;7,MOD(1+IFERROR(MATCH($C1105,总览!$D$46:$D$345,1)+1,1),7)=0),$C$3,0),0)</f>
        <v>639.359821428574</v>
      </c>
      <c r="R1105" s="131" cm="1">
        <f ca="1" t="array" ref="R1105">IF(R1707=1,OFFSET($W$634,$B1105,R$631-1)/SUMPRODUCT(--($D$631:$V$631=R$631),--($D1707:$V1707=1)),0)+SUM(R1104)+IF(COUNTIF(R$1237:R1707,1)=1,5,0)+IF(COUNTIF(S1105:$W1105,"&gt;"&amp;0)&lt;5,IF(AND(COUNTIF(R$1237:R1707,1)&gt;7,MOD(1+IFERROR(MATCH($C1105,总览!$D$46:$D$345,1)+1,1),7)=0),$C$3,0),0)</f>
        <v>630.978571428574</v>
      </c>
      <c r="S1105" s="131" cm="1">
        <f ca="1" t="array" ref="S1105">IF(S1707=1,OFFSET($W$634,$B1105,S$631-1)/SUMPRODUCT(--($D$631:$V$631=S$631),--($D1707:$V1707=1)),0)+SUM(S1104)+IF(COUNTIF(S$1237:S1707,1)=1,5,0)+IF(COUNTIF(T1105:$W1105,"&gt;"&amp;0)&lt;5,IF(AND(COUNTIF(S$1237:S1707,1)&gt;7,MOD(1+IFERROR(MATCH($C1105,总览!$D$46:$D$345,1)+1,1),7)=0),$C$3,0),0)</f>
        <v>723.478571428576</v>
      </c>
      <c r="T1105" s="131" cm="1">
        <f ca="1" t="array" ref="T1105">IF(T1707=1,OFFSET($W$634,$B1105,T$631-1)/SUMPRODUCT(--($D$631:$V$631=T$631),--($D1707:$V1707=1)),0)+SUM(T1104)+IF(COUNTIF(T$1237:T1707,1)=1,5,0)+IF(COUNTIF(U1105:$W1105,"&gt;"&amp;0)&lt;5,IF(AND(COUNTIF(T$1237:T1707,1)&gt;7,MOD(1+IFERROR(MATCH($C1105,总览!$D$46:$D$345,1)+1,1),7)=0),$C$3,0),0)</f>
        <v>529.680742509654</v>
      </c>
      <c r="U1105" s="131" cm="1">
        <f ca="1" t="array" ref="U1105">IF(U1707=1,OFFSET($W$634,$B1105,U$631-1)/SUMPRODUCT(--($D$631:$V$631=U$631),--($D1707:$V1707=1)),0)+SUM(U1104)+IF(COUNTIF(U$1237:U1707,1)=1,5,0)+IF(COUNTIF(V1105:$W1105,"&gt;"&amp;0)&lt;5,IF(AND(COUNTIF(U$1237:U1707,1)&gt;7,MOD(1+IFERROR(MATCH($C1105,总览!$D$46:$D$345,1)+1,1),7)=0),$C$3,0),0)</f>
        <v>535.201528864954</v>
      </c>
      <c r="V1105" s="131" cm="1">
        <f ca="1" t="array" ref="V1105">IF(V1707=1,OFFSET($W$634,$B1105,V$631-1)/SUMPRODUCT(--($D$631:$V$631=V$631),--($D1707:$V1707=1)),0)+SUM(V1104)+IF(COUNTIF(V$1237:V1707,1)=1,5,0)+IF(COUNTIF(W1105:$W1105,"&gt;"&amp;0)&lt;5,IF(AND(COUNTIF(V$1237:V1707,1)&gt;7,MOD(1+IFERROR(MATCH($C1105,总览!$D$46:$D$345,1)+1,1),7)=0),$C$3,0),0)</f>
        <v>555.028528577387</v>
      </c>
      <c r="W1105" s="135" cm="1">
        <f ca="1" t="array" ref="W1105">SUMPRODUCT(TRANSPOSE($AA1105:$AG1105),OFFSET($L$9:$L$15,0,W$631-1))</f>
        <v>16.8502200646615</v>
      </c>
      <c r="X1105" s="135" cm="1">
        <f ca="1" t="array" ref="X1105">SUMPRODUCT(TRANSPOSE($AA1105:$AG1105),OFFSET($L$9:$L$15,0,X$631-1))</f>
        <v>20</v>
      </c>
      <c r="Y1105" s="135" cm="1">
        <f ca="1" t="array" ref="Y1105">SUMPRODUCT(TRANSPOSE($AA1105:$AG1105),OFFSET($L$9:$L$15,0,Y$631-1))</f>
        <v>10</v>
      </c>
      <c r="Z1105" s="135" cm="1">
        <f ca="1" t="array" ref="Z1105">SUMPRODUCT(TRANSPOSE($AA1105:$AG1105),OFFSET($L$9:$L$15,0,Z$631-1))</f>
        <v>3.14977993533847</v>
      </c>
      <c r="AA1105" s="136">
        <f ca="1" t="shared" ref="AA1105:AG1105" si="1195">AH1105-AH1104</f>
        <v>0</v>
      </c>
      <c r="AB1105" s="136">
        <f ca="1" t="shared" si="1195"/>
        <v>0</v>
      </c>
      <c r="AC1105" s="136">
        <f ca="1" t="shared" si="1195"/>
        <v>0</v>
      </c>
      <c r="AD1105" s="136">
        <f ca="1" t="shared" si="1195"/>
        <v>0</v>
      </c>
      <c r="AE1105" s="136">
        <f ca="1" t="shared" si="1195"/>
        <v>0</v>
      </c>
      <c r="AF1105" s="136">
        <f ca="1" t="shared" si="1195"/>
        <v>0</v>
      </c>
      <c r="AG1105" s="136">
        <f ca="1" t="shared" si="1195"/>
        <v>100</v>
      </c>
      <c r="AH1105" s="136">
        <f ca="1" t="shared" si="1151"/>
        <v>450</v>
      </c>
      <c r="AI1105" s="136">
        <f ca="1" t="shared" ref="AI1105:AN1105" si="1196">IF($C1105&gt;OFFSET($Q$8,MATCH(AI$634,$AH$634:$AN$634,0),0),OFFSET($P$8,MATCH(AI$634,$AH$634:$AN$634,0),0),MAX(0,$C1105-OFFSET($Q$8,RIGHT(AI$634,1)-1,0)))</f>
        <v>909</v>
      </c>
      <c r="AJ1105" s="136">
        <f ca="1" t="shared" si="1196"/>
        <v>1818</v>
      </c>
      <c r="AK1105" s="136">
        <f ca="1" t="shared" si="1196"/>
        <v>2727</v>
      </c>
      <c r="AL1105" s="136">
        <f ca="1" t="shared" si="1196"/>
        <v>3636</v>
      </c>
      <c r="AM1105" s="136">
        <f ca="1" t="shared" si="1196"/>
        <v>4545</v>
      </c>
      <c r="AN1105" s="136">
        <f ca="1" t="shared" si="1196"/>
        <v>33015</v>
      </c>
    </row>
    <row r="1106" s="106" customFormat="1" ht="16.5" spans="2:40">
      <c r="B1106" s="117">
        <v>472</v>
      </c>
      <c r="C1106" s="130">
        <f t="shared" si="1149"/>
        <v>47200</v>
      </c>
      <c r="D1106" s="131" cm="1">
        <f ca="1" t="array" ref="D1106">IF(D1708=1,OFFSET($W$634,$B1106,D$631-1)/SUMPRODUCT(--($D$631:$V$631=D$631),--($D1708:$V1708=1)),0)+SUM(D1105)+IF(COUNTIF(D$1237:D1708,1)=1,5,0)+IF(COUNTIF(E1106:$W1106,"&gt;"&amp;0)&lt;5,IF(AND(COUNTIF(D$1237:D1708,1)&gt;7,MOD(1+IFERROR(MATCH($C1106,总览!$D$46:$D$345,1)+1,1),7)=0),$C$3,0),0)</f>
        <v>2978.80480670425</v>
      </c>
      <c r="E1106" s="131" cm="1">
        <f ca="1" t="array" ref="E1106">IF(E1708=1,OFFSET($W$634,$B1106,E$631-1)/SUMPRODUCT(--($D$631:$V$631=E$631),--($D1708:$V1708=1)),0)+SUM(E1105)+IF(COUNTIF(E$1237:E1708,1)=1,5,0)+IF(COUNTIF(F1106:$W1106,"&gt;"&amp;0)&lt;5,IF(AND(COUNTIF(E$1237:E1708,1)&gt;7,MOD(1+IFERROR(MATCH($C1106,总览!$D$46:$D$345,1)+1,1),7)=0),$C$3,0),0)</f>
        <v>2978.80480670425</v>
      </c>
      <c r="F1106" s="131" cm="1">
        <f ca="1" t="array" ref="F1106">IF(F1708=1,OFFSET($W$634,$B1106,F$631-1)/SUMPRODUCT(--($D$631:$V$631=F$631),--($D1708:$V1708=1)),0)+SUM(F1105)+IF(COUNTIF(F$1237:F1708,1)=1,5,0)+IF(COUNTIF(G1106:$W1106,"&gt;"&amp;0)&lt;5,IF(AND(COUNTIF(F$1237:F1708,1)&gt;7,MOD(1+IFERROR(MATCH($C1106,总览!$D$46:$D$345,1)+1,1),7)=0),$C$3,0),0)</f>
        <v>2978.80480670425</v>
      </c>
      <c r="G1106" s="131" cm="1">
        <f ca="1" t="array" ref="G1106">IF(G1708=1,OFFSET($W$634,$B1106,G$631-1)/SUMPRODUCT(--($D$631:$V$631=G$631),--($D1708:$V1708=1)),0)+SUM(G1105)+IF(COUNTIF(G$1237:G1708,1)=1,5,0)+IF(COUNTIF(H1106:$W1106,"&gt;"&amp;0)&lt;5,IF(AND(COUNTIF(G$1237:G1708,1)&gt;7,MOD(1+IFERROR(MATCH($C1106,总览!$D$46:$D$345,1)+1,1),7)=0),$C$3,0),0)</f>
        <v>1512.73333333333</v>
      </c>
      <c r="H1106" s="131" cm="1">
        <f ca="1" t="array" ref="H1106">IF(H1708=1,OFFSET($W$634,$B1106,H$631-1)/SUMPRODUCT(--($D$631:$V$631=H$631),--($D1708:$V1708=1)),0)+SUM(H1105)+IF(COUNTIF(H$1237:H1708,1)=1,5,0)+IF(COUNTIF(I1106:$W1106,"&gt;"&amp;0)&lt;5,IF(AND(COUNTIF(H$1237:H1708,1)&gt;7,MOD(1+IFERROR(MATCH($C1106,总览!$D$46:$D$345,1)+1,1),7)=0),$C$3,0),0)</f>
        <v>1512.73333333333</v>
      </c>
      <c r="I1106" s="131" cm="1">
        <f ca="1" t="array" ref="I1106">IF(I1708=1,OFFSET($W$634,$B1106,I$631-1)/SUMPRODUCT(--($D$631:$V$631=I$631),--($D1708:$V1708=1)),0)+SUM(I1105)+IF(COUNTIF(I$1237:I1708,1)=1,5,0)+IF(COUNTIF(J1106:$W1106,"&gt;"&amp;0)&lt;5,IF(AND(COUNTIF(I$1237:I1708,1)&gt;7,MOD(1+IFERROR(MATCH($C1106,总览!$D$46:$D$345,1)+1,1),7)=0),$C$3,0),0)</f>
        <v>1512.73333333333</v>
      </c>
      <c r="J1106" s="131" cm="1">
        <f ca="1" t="array" ref="J1106">IF(J1708=1,OFFSET($W$634,$B1106,J$631-1)/SUMPRODUCT(--($D$631:$V$631=J$631),--($D1708:$V1708=1)),0)+SUM(J1105)+IF(COUNTIF(J$1237:J1708,1)=1,5,0)+IF(COUNTIF(K1106:$W1106,"&gt;"&amp;0)&lt;5,IF(AND(COUNTIF(J$1237:J1708,1)&gt;7,MOD(1+IFERROR(MATCH($C1106,总览!$D$46:$D$345,1)+1,1),7)=0),$C$3,0),0)</f>
        <v>1509.39999999999</v>
      </c>
      <c r="K1106" s="131" cm="1">
        <f ca="1" t="array" ref="K1106">IF(K1708=1,OFFSET($W$634,$B1106,K$631-1)/SUMPRODUCT(--($D$631:$V$631=K$631),--($D1708:$V1708=1)),0)+SUM(K1105)+IF(COUNTIF(K$1237:K1708,1)=1,5,0)+IF(COUNTIF(L1106:$W1106,"&gt;"&amp;0)&lt;5,IF(AND(COUNTIF(K$1237:K1708,1)&gt;7,MOD(1+IFERROR(MATCH($C1106,总览!$D$46:$D$345,1)+1,1),7)=0),$C$3,0),0)</f>
        <v>1506.89999999999</v>
      </c>
      <c r="L1106" s="131" cm="1">
        <f ca="1" t="array" ref="L1106">IF(L1708=1,OFFSET($W$634,$B1106,L$631-1)/SUMPRODUCT(--($D$631:$V$631=L$631),--($D1708:$V1708=1)),0)+SUM(L1105)+IF(COUNTIF(L$1237:L1708,1)=1,5,0)+IF(COUNTIF(M1106:$W1106,"&gt;"&amp;0)&lt;5,IF(AND(COUNTIF(L$1237:L1708,1)&gt;7,MOD(1+IFERROR(MATCH($C1106,总览!$D$46:$D$345,1)+1,1),7)=0),$C$3,0),0)</f>
        <v>1506.89999999999</v>
      </c>
      <c r="M1106" s="131" cm="1">
        <f ca="1" t="array" ref="M1106">IF(M1708=1,OFFSET($W$634,$B1106,M$631-1)/SUMPRODUCT(--($D$631:$V$631=M$631),--($D1708:$V1708=1)),0)+SUM(M1105)+IF(COUNTIF(M$1237:M1708,1)=1,5,0)+IF(COUNTIF(N1106:$W1106,"&gt;"&amp;0)&lt;5,IF(AND(COUNTIF(M$1237:M1708,1)&gt;7,MOD(1+IFERROR(MATCH($C1106,总览!$D$46:$D$345,1)+1,1),7)=0),$C$3,0),0)</f>
        <v>632.038392857146</v>
      </c>
      <c r="N1106" s="131" cm="1">
        <f ca="1" t="array" ref="N1106">IF(N1708=1,OFFSET($W$634,$B1106,N$631-1)/SUMPRODUCT(--($D$631:$V$631=N$631),--($D1708:$V1708=1)),0)+SUM(N1105)+IF(COUNTIF(N$1237:N1708,1)=1,5,0)+IF(COUNTIF(O1106:$W1106,"&gt;"&amp;0)&lt;5,IF(AND(COUNTIF(N$1237:N1708,1)&gt;7,MOD(1+IFERROR(MATCH($C1106,总览!$D$46:$D$345,1)+1,1),7)=0),$C$3,0),0)</f>
        <v>633.288392857146</v>
      </c>
      <c r="O1106" s="131" cm="1">
        <f ca="1" t="array" ref="O1106">IF(O1708=1,OFFSET($W$634,$B1106,O$631-1)/SUMPRODUCT(--($D$631:$V$631=O$631),--($D1708:$V1708=1)),0)+SUM(O1105)+IF(COUNTIF(O$1237:O1708,1)=1,5,0)+IF(COUNTIF(P1106:$W1106,"&gt;"&amp;0)&lt;5,IF(AND(COUNTIF(O$1237:O1708,1)&gt;7,MOD(1+IFERROR(MATCH($C1106,总览!$D$46:$D$345,1)+1,1),7)=0),$C$3,0),0)</f>
        <v>638.288392857146</v>
      </c>
      <c r="P1106" s="131" cm="1">
        <f ca="1" t="array" ref="P1106">IF(P1708=1,OFFSET($W$634,$B1106,P$631-1)/SUMPRODUCT(--($D$631:$V$631=P$631),--($D1708:$V1708=1)),0)+SUM(P1105)+IF(COUNTIF(P$1237:P1708,1)=1,5,0)+IF(COUNTIF(Q1106:$W1106,"&gt;"&amp;0)&lt;5,IF(AND(COUNTIF(P$1237:P1708,1)&gt;7,MOD(1+IFERROR(MATCH($C1106,总览!$D$46:$D$345,1)+1,1),7)=0),$C$3,0),0)</f>
        <v>627.407142857146</v>
      </c>
      <c r="Q1106" s="131" cm="1">
        <f ca="1" t="array" ref="Q1106">IF(Q1708=1,OFFSET($W$634,$B1106,Q$631-1)/SUMPRODUCT(--($D$631:$V$631=Q$631),--($D1708:$V1708=1)),0)+SUM(Q1105)+IF(COUNTIF(Q$1237:Q1708,1)=1,5,0)+IF(COUNTIF(R1106:$W1106,"&gt;"&amp;0)&lt;5,IF(AND(COUNTIF(Q$1237:Q1708,1)&gt;7,MOD(1+IFERROR(MATCH($C1106,总览!$D$46:$D$345,1)+1,1),7)=0),$C$3,0),0)</f>
        <v>640.788392857146</v>
      </c>
      <c r="R1106" s="131" cm="1">
        <f ca="1" t="array" ref="R1106">IF(R1708=1,OFFSET($W$634,$B1106,R$631-1)/SUMPRODUCT(--($D$631:$V$631=R$631),--($D1708:$V1708=1)),0)+SUM(R1105)+IF(COUNTIF(R$1237:R1708,1)=1,5,0)+IF(COUNTIF(S1106:$W1106,"&gt;"&amp;0)&lt;5,IF(AND(COUNTIF(R$1237:R1708,1)&gt;7,MOD(1+IFERROR(MATCH($C1106,总览!$D$46:$D$345,1)+1,1),7)=0),$C$3,0),0)</f>
        <v>632.407142857146</v>
      </c>
      <c r="S1106" s="131" cm="1">
        <f ca="1" t="array" ref="S1106">IF(S1708=1,OFFSET($W$634,$B1106,S$631-1)/SUMPRODUCT(--($D$631:$V$631=S$631),--($D1708:$V1708=1)),0)+SUM(S1105)+IF(COUNTIF(S$1237:S1708,1)=1,5,0)+IF(COUNTIF(T1106:$W1106,"&gt;"&amp;0)&lt;5,IF(AND(COUNTIF(S$1237:S1708,1)&gt;7,MOD(1+IFERROR(MATCH($C1106,总览!$D$46:$D$345,1)+1,1),7)=0),$C$3,0),0)</f>
        <v>724.907142857147</v>
      </c>
      <c r="T1106" s="131" cm="1">
        <f ca="1" t="array" ref="T1106">IF(T1708=1,OFFSET($W$634,$B1106,T$631-1)/SUMPRODUCT(--($D$631:$V$631=T$631),--($D1708:$V1708=1)),0)+SUM(T1105)+IF(COUNTIF(T$1237:T1708,1)=1,5,0)+IF(COUNTIF(U1106:$W1106,"&gt;"&amp;0)&lt;5,IF(AND(COUNTIF(T$1237:T1708,1)&gt;7,MOD(1+IFERROR(MATCH($C1106,总览!$D$46:$D$345,1)+1,1),7)=0),$C$3,0),0)</f>
        <v>530.730669154767</v>
      </c>
      <c r="U1106" s="131" cm="1">
        <f ca="1" t="array" ref="U1106">IF(U1708=1,OFFSET($W$634,$B1106,U$631-1)/SUMPRODUCT(--($D$631:$V$631=U$631),--($D1708:$V1708=1)),0)+SUM(U1105)+IF(COUNTIF(U$1237:U1708,1)=1,5,0)+IF(COUNTIF(V1106:$W1106,"&gt;"&amp;0)&lt;5,IF(AND(COUNTIF(U$1237:U1708,1)&gt;7,MOD(1+IFERROR(MATCH($C1106,总览!$D$46:$D$345,1)+1,1),7)=0),$C$3,0),0)</f>
        <v>536.251455510066</v>
      </c>
      <c r="V1106" s="131" cm="1">
        <f ca="1" t="array" ref="V1106">IF(V1708=1,OFFSET($W$634,$B1106,V$631-1)/SUMPRODUCT(--($D$631:$V$631=V$631),--($D1708:$V1708=1)),0)+SUM(V1105)+IF(COUNTIF(V$1237:V1708,1)=1,5,0)+IF(COUNTIF(W1106:$W1106,"&gt;"&amp;0)&lt;5,IF(AND(COUNTIF(V$1237:V1708,1)&gt;7,MOD(1+IFERROR(MATCH($C1106,总览!$D$46:$D$345,1)+1,1),7)=0),$C$3,0),0)</f>
        <v>556.078455222499</v>
      </c>
      <c r="W1106" s="135" cm="1">
        <f ca="1" t="array" ref="W1106">SUMPRODUCT(TRANSPOSE($AA1106:$AG1106),OFFSET($L$9:$L$15,0,W$631-1))</f>
        <v>16.8502200646615</v>
      </c>
      <c r="X1106" s="135" cm="1">
        <f ca="1" t="array" ref="X1106">SUMPRODUCT(TRANSPOSE($AA1106:$AG1106),OFFSET($L$9:$L$15,0,X$631-1))</f>
        <v>20</v>
      </c>
      <c r="Y1106" s="135" cm="1">
        <f ca="1" t="array" ref="Y1106">SUMPRODUCT(TRANSPOSE($AA1106:$AG1106),OFFSET($L$9:$L$15,0,Y$631-1))</f>
        <v>10</v>
      </c>
      <c r="Z1106" s="135" cm="1">
        <f ca="1" t="array" ref="Z1106">SUMPRODUCT(TRANSPOSE($AA1106:$AG1106),OFFSET($L$9:$L$15,0,Z$631-1))</f>
        <v>3.14977993533847</v>
      </c>
      <c r="AA1106" s="136">
        <f ca="1" t="shared" ref="AA1106:AG1106" si="1197">AH1106-AH1105</f>
        <v>0</v>
      </c>
      <c r="AB1106" s="136">
        <f ca="1" t="shared" si="1197"/>
        <v>0</v>
      </c>
      <c r="AC1106" s="136">
        <f ca="1" t="shared" si="1197"/>
        <v>0</v>
      </c>
      <c r="AD1106" s="136">
        <f ca="1" t="shared" si="1197"/>
        <v>0</v>
      </c>
      <c r="AE1106" s="136">
        <f ca="1" t="shared" si="1197"/>
        <v>0</v>
      </c>
      <c r="AF1106" s="136">
        <f ca="1" t="shared" si="1197"/>
        <v>0</v>
      </c>
      <c r="AG1106" s="136">
        <f ca="1" t="shared" si="1197"/>
        <v>100</v>
      </c>
      <c r="AH1106" s="136">
        <f ca="1" t="shared" si="1151"/>
        <v>450</v>
      </c>
      <c r="AI1106" s="136">
        <f ca="1" t="shared" ref="AI1106:AN1106" si="1198">IF($C1106&gt;OFFSET($Q$8,MATCH(AI$634,$AH$634:$AN$634,0),0),OFFSET($P$8,MATCH(AI$634,$AH$634:$AN$634,0),0),MAX(0,$C1106-OFFSET($Q$8,RIGHT(AI$634,1)-1,0)))</f>
        <v>909</v>
      </c>
      <c r="AJ1106" s="136">
        <f ca="1" t="shared" si="1198"/>
        <v>1818</v>
      </c>
      <c r="AK1106" s="136">
        <f ca="1" t="shared" si="1198"/>
        <v>2727</v>
      </c>
      <c r="AL1106" s="136">
        <f ca="1" t="shared" si="1198"/>
        <v>3636</v>
      </c>
      <c r="AM1106" s="136">
        <f ca="1" t="shared" si="1198"/>
        <v>4545</v>
      </c>
      <c r="AN1106" s="136">
        <f ca="1" t="shared" si="1198"/>
        <v>33115</v>
      </c>
    </row>
    <row r="1107" s="106" customFormat="1" ht="16.5" spans="2:40">
      <c r="B1107" s="117">
        <v>473</v>
      </c>
      <c r="C1107" s="130">
        <f t="shared" si="1149"/>
        <v>47300</v>
      </c>
      <c r="D1107" s="131" cm="1">
        <f ca="1" t="array" ref="D1107">IF(D1709=1,OFFSET($W$634,$B1107,D$631-1)/SUMPRODUCT(--($D$631:$V$631=D$631),--($D1709:$V1709=1)),0)+SUM(D1106)+IF(COUNTIF(D$1237:D1709,1)=1,5,0)+IF(COUNTIF(E1107:$W1107,"&gt;"&amp;0)&lt;5,IF(AND(COUNTIF(D$1237:D1709,1)&gt;7,MOD(1+IFERROR(MATCH($C1107,总览!$D$46:$D$345,1)+1,1),7)=0),$C$3,0),0)</f>
        <v>2984.4215467258</v>
      </c>
      <c r="E1107" s="131" cm="1">
        <f ca="1" t="array" ref="E1107">IF(E1709=1,OFFSET($W$634,$B1107,E$631-1)/SUMPRODUCT(--($D$631:$V$631=E$631),--($D1709:$V1709=1)),0)+SUM(E1106)+IF(COUNTIF(E$1237:E1709,1)=1,5,0)+IF(COUNTIF(F1107:$W1107,"&gt;"&amp;0)&lt;5,IF(AND(COUNTIF(E$1237:E1709,1)&gt;7,MOD(1+IFERROR(MATCH($C1107,总览!$D$46:$D$345,1)+1,1),7)=0),$C$3,0),0)</f>
        <v>2984.4215467258</v>
      </c>
      <c r="F1107" s="131" cm="1">
        <f ca="1" t="array" ref="F1107">IF(F1709=1,OFFSET($W$634,$B1107,F$631-1)/SUMPRODUCT(--($D$631:$V$631=F$631),--($D1709:$V1709=1)),0)+SUM(F1106)+IF(COUNTIF(F$1237:F1709,1)=1,5,0)+IF(COUNTIF(G1107:$W1107,"&gt;"&amp;0)&lt;5,IF(AND(COUNTIF(F$1237:F1709,1)&gt;7,MOD(1+IFERROR(MATCH($C1107,总览!$D$46:$D$345,1)+1,1),7)=0),$C$3,0),0)</f>
        <v>2984.4215467258</v>
      </c>
      <c r="G1107" s="131" cm="1">
        <f ca="1" t="array" ref="G1107">IF(G1709=1,OFFSET($W$634,$B1107,G$631-1)/SUMPRODUCT(--($D$631:$V$631=G$631),--($D1709:$V1709=1)),0)+SUM(G1106)+IF(COUNTIF(G$1237:G1709,1)=1,5,0)+IF(COUNTIF(H1107:$W1107,"&gt;"&amp;0)&lt;5,IF(AND(COUNTIF(G$1237:G1709,1)&gt;7,MOD(1+IFERROR(MATCH($C1107,总览!$D$46:$D$345,1)+1,1),7)=0),$C$3,0),0)</f>
        <v>1516.06666666666</v>
      </c>
      <c r="H1107" s="131" cm="1">
        <f ca="1" t="array" ref="H1107">IF(H1709=1,OFFSET($W$634,$B1107,H$631-1)/SUMPRODUCT(--($D$631:$V$631=H$631),--($D1709:$V1709=1)),0)+SUM(H1106)+IF(COUNTIF(H$1237:H1709,1)=1,5,0)+IF(COUNTIF(I1107:$W1107,"&gt;"&amp;0)&lt;5,IF(AND(COUNTIF(H$1237:H1709,1)&gt;7,MOD(1+IFERROR(MATCH($C1107,总览!$D$46:$D$345,1)+1,1),7)=0),$C$3,0),0)</f>
        <v>1516.06666666666</v>
      </c>
      <c r="I1107" s="131" cm="1">
        <f ca="1" t="array" ref="I1107">IF(I1709=1,OFFSET($W$634,$B1107,I$631-1)/SUMPRODUCT(--($D$631:$V$631=I$631),--($D1709:$V1709=1)),0)+SUM(I1106)+IF(COUNTIF(I$1237:I1709,1)=1,5,0)+IF(COUNTIF(J1107:$W1107,"&gt;"&amp;0)&lt;5,IF(AND(COUNTIF(I$1237:I1709,1)&gt;7,MOD(1+IFERROR(MATCH($C1107,总览!$D$46:$D$345,1)+1,1),7)=0),$C$3,0),0)</f>
        <v>1516.06666666666</v>
      </c>
      <c r="J1107" s="131" cm="1">
        <f ca="1" t="array" ref="J1107">IF(J1709=1,OFFSET($W$634,$B1107,J$631-1)/SUMPRODUCT(--($D$631:$V$631=J$631),--($D1709:$V1709=1)),0)+SUM(J1106)+IF(COUNTIF(J$1237:J1709,1)=1,5,0)+IF(COUNTIF(K1107:$W1107,"&gt;"&amp;0)&lt;5,IF(AND(COUNTIF(J$1237:J1709,1)&gt;7,MOD(1+IFERROR(MATCH($C1107,总览!$D$46:$D$345,1)+1,1),7)=0),$C$3,0),0)</f>
        <v>1512.73333333333</v>
      </c>
      <c r="K1107" s="131" cm="1">
        <f ca="1" t="array" ref="K1107">IF(K1709=1,OFFSET($W$634,$B1107,K$631-1)/SUMPRODUCT(--($D$631:$V$631=K$631),--($D1709:$V1709=1)),0)+SUM(K1106)+IF(COUNTIF(K$1237:K1709,1)=1,5,0)+IF(COUNTIF(L1107:$W1107,"&gt;"&amp;0)&lt;5,IF(AND(COUNTIF(K$1237:K1709,1)&gt;7,MOD(1+IFERROR(MATCH($C1107,总览!$D$46:$D$345,1)+1,1),7)=0),$C$3,0),0)</f>
        <v>1510.23333333333</v>
      </c>
      <c r="L1107" s="131" cm="1">
        <f ca="1" t="array" ref="L1107">IF(L1709=1,OFFSET($W$634,$B1107,L$631-1)/SUMPRODUCT(--($D$631:$V$631=L$631),--($D1709:$V1709=1)),0)+SUM(L1106)+IF(COUNTIF(L$1237:L1709,1)=1,5,0)+IF(COUNTIF(M1107:$W1107,"&gt;"&amp;0)&lt;5,IF(AND(COUNTIF(L$1237:L1709,1)&gt;7,MOD(1+IFERROR(MATCH($C1107,总览!$D$46:$D$345,1)+1,1),7)=0),$C$3,0),0)</f>
        <v>1510.23333333333</v>
      </c>
      <c r="M1107" s="131" cm="1">
        <f ca="1" t="array" ref="M1107">IF(M1709=1,OFFSET($W$634,$B1107,M$631-1)/SUMPRODUCT(--($D$631:$V$631=M$631),--($D1709:$V1709=1)),0)+SUM(M1106)+IF(COUNTIF(M$1237:M1709,1)=1,5,0)+IF(COUNTIF(N1107:$W1107,"&gt;"&amp;0)&lt;5,IF(AND(COUNTIF(M$1237:M1709,1)&gt;7,MOD(1+IFERROR(MATCH($C1107,总览!$D$46:$D$345,1)+1,1),7)=0),$C$3,0),0)</f>
        <v>633.466964285717</v>
      </c>
      <c r="N1107" s="131" cm="1">
        <f ca="1" t="array" ref="N1107">IF(N1709=1,OFFSET($W$634,$B1107,N$631-1)/SUMPRODUCT(--($D$631:$V$631=N$631),--($D1709:$V1709=1)),0)+SUM(N1106)+IF(COUNTIF(N$1237:N1709,1)=1,5,0)+IF(COUNTIF(O1107:$W1107,"&gt;"&amp;0)&lt;5,IF(AND(COUNTIF(N$1237:N1709,1)&gt;7,MOD(1+IFERROR(MATCH($C1107,总览!$D$46:$D$345,1)+1,1),7)=0),$C$3,0),0)</f>
        <v>634.716964285717</v>
      </c>
      <c r="O1107" s="131" cm="1">
        <f ca="1" t="array" ref="O1107">IF(O1709=1,OFFSET($W$634,$B1107,O$631-1)/SUMPRODUCT(--($D$631:$V$631=O$631),--($D1709:$V1709=1)),0)+SUM(O1106)+IF(COUNTIF(O$1237:O1709,1)=1,5,0)+IF(COUNTIF(P1107:$W1107,"&gt;"&amp;0)&lt;5,IF(AND(COUNTIF(O$1237:O1709,1)&gt;7,MOD(1+IFERROR(MATCH($C1107,总览!$D$46:$D$345,1)+1,1),7)=0),$C$3,0),0)</f>
        <v>639.716964285717</v>
      </c>
      <c r="P1107" s="131" cm="1">
        <f ca="1" t="array" ref="P1107">IF(P1709=1,OFFSET($W$634,$B1107,P$631-1)/SUMPRODUCT(--($D$631:$V$631=P$631),--($D1709:$V1709=1)),0)+SUM(P1106)+IF(COUNTIF(P$1237:P1709,1)=1,5,0)+IF(COUNTIF(Q1107:$W1107,"&gt;"&amp;0)&lt;5,IF(AND(COUNTIF(P$1237:P1709,1)&gt;7,MOD(1+IFERROR(MATCH($C1107,总览!$D$46:$D$345,1)+1,1),7)=0),$C$3,0),0)</f>
        <v>628.835714285717</v>
      </c>
      <c r="Q1107" s="131" cm="1">
        <f ca="1" t="array" ref="Q1107">IF(Q1709=1,OFFSET($W$634,$B1107,Q$631-1)/SUMPRODUCT(--($D$631:$V$631=Q$631),--($D1709:$V1709=1)),0)+SUM(Q1106)+IF(COUNTIF(Q$1237:Q1709,1)=1,5,0)+IF(COUNTIF(R1107:$W1107,"&gt;"&amp;0)&lt;5,IF(AND(COUNTIF(Q$1237:Q1709,1)&gt;7,MOD(1+IFERROR(MATCH($C1107,总览!$D$46:$D$345,1)+1,1),7)=0),$C$3,0),0)</f>
        <v>642.216964285717</v>
      </c>
      <c r="R1107" s="131" cm="1">
        <f ca="1" t="array" ref="R1107">IF(R1709=1,OFFSET($W$634,$B1107,R$631-1)/SUMPRODUCT(--($D$631:$V$631=R$631),--($D1709:$V1709=1)),0)+SUM(R1106)+IF(COUNTIF(R$1237:R1709,1)=1,5,0)+IF(COUNTIF(S1107:$W1107,"&gt;"&amp;0)&lt;5,IF(AND(COUNTIF(R$1237:R1709,1)&gt;7,MOD(1+IFERROR(MATCH($C1107,总览!$D$46:$D$345,1)+1,1),7)=0),$C$3,0),0)</f>
        <v>633.835714285717</v>
      </c>
      <c r="S1107" s="131" cm="1">
        <f ca="1" t="array" ref="S1107">IF(S1709=1,OFFSET($W$634,$B1107,S$631-1)/SUMPRODUCT(--($D$631:$V$631=S$631),--($D1709:$V1709=1)),0)+SUM(S1106)+IF(COUNTIF(S$1237:S1709,1)=1,5,0)+IF(COUNTIF(T1107:$W1107,"&gt;"&amp;0)&lt;5,IF(AND(COUNTIF(S$1237:S1709,1)&gt;7,MOD(1+IFERROR(MATCH($C1107,总览!$D$46:$D$345,1)+1,1),7)=0),$C$3,0),0)</f>
        <v>726.335714285718</v>
      </c>
      <c r="T1107" s="131" cm="1">
        <f ca="1" t="array" ref="T1107">IF(T1709=1,OFFSET($W$634,$B1107,T$631-1)/SUMPRODUCT(--($D$631:$V$631=T$631),--($D1709:$V1709=1)),0)+SUM(T1106)+IF(COUNTIF(T$1237:T1709,1)=1,5,0)+IF(COUNTIF(U1107:$W1107,"&gt;"&amp;0)&lt;5,IF(AND(COUNTIF(T$1237:T1709,1)&gt;7,MOD(1+IFERROR(MATCH($C1107,总览!$D$46:$D$345,1)+1,1),7)=0),$C$3,0),0)</f>
        <v>531.78059579988</v>
      </c>
      <c r="U1107" s="131" cm="1">
        <f ca="1" t="array" ref="U1107">IF(U1709=1,OFFSET($W$634,$B1107,U$631-1)/SUMPRODUCT(--($D$631:$V$631=U$631),--($D1709:$V1709=1)),0)+SUM(U1106)+IF(COUNTIF(U$1237:U1709,1)=1,5,0)+IF(COUNTIF(V1107:$W1107,"&gt;"&amp;0)&lt;5,IF(AND(COUNTIF(U$1237:U1709,1)&gt;7,MOD(1+IFERROR(MATCH($C1107,总览!$D$46:$D$345,1)+1,1),7)=0),$C$3,0),0)</f>
        <v>537.301382155179</v>
      </c>
      <c r="V1107" s="131" cm="1">
        <f ca="1" t="array" ref="V1107">IF(V1709=1,OFFSET($W$634,$B1107,V$631-1)/SUMPRODUCT(--($D$631:$V$631=V$631),--($D1709:$V1709=1)),0)+SUM(V1106)+IF(COUNTIF(V$1237:V1709,1)=1,5,0)+IF(COUNTIF(W1107:$W1107,"&gt;"&amp;0)&lt;5,IF(AND(COUNTIF(V$1237:V1709,1)&gt;7,MOD(1+IFERROR(MATCH($C1107,总览!$D$46:$D$345,1)+1,1),7)=0),$C$3,0),0)</f>
        <v>557.128381867612</v>
      </c>
      <c r="W1107" s="135" cm="1">
        <f ca="1" t="array" ref="W1107">SUMPRODUCT(TRANSPOSE($AA1107:$AG1107),OFFSET($L$9:$L$15,0,W$631-1))</f>
        <v>16.8502200646615</v>
      </c>
      <c r="X1107" s="135" cm="1">
        <f ca="1" t="array" ref="X1107">SUMPRODUCT(TRANSPOSE($AA1107:$AG1107),OFFSET($L$9:$L$15,0,X$631-1))</f>
        <v>20</v>
      </c>
      <c r="Y1107" s="135" cm="1">
        <f ca="1" t="array" ref="Y1107">SUMPRODUCT(TRANSPOSE($AA1107:$AG1107),OFFSET($L$9:$L$15,0,Y$631-1))</f>
        <v>10</v>
      </c>
      <c r="Z1107" s="135" cm="1">
        <f ca="1" t="array" ref="Z1107">SUMPRODUCT(TRANSPOSE($AA1107:$AG1107),OFFSET($L$9:$L$15,0,Z$631-1))</f>
        <v>3.14977993533847</v>
      </c>
      <c r="AA1107" s="136">
        <f ca="1" t="shared" ref="AA1107:AG1107" si="1199">AH1107-AH1106</f>
        <v>0</v>
      </c>
      <c r="AB1107" s="136">
        <f ca="1" t="shared" si="1199"/>
        <v>0</v>
      </c>
      <c r="AC1107" s="136">
        <f ca="1" t="shared" si="1199"/>
        <v>0</v>
      </c>
      <c r="AD1107" s="136">
        <f ca="1" t="shared" si="1199"/>
        <v>0</v>
      </c>
      <c r="AE1107" s="136">
        <f ca="1" t="shared" si="1199"/>
        <v>0</v>
      </c>
      <c r="AF1107" s="136">
        <f ca="1" t="shared" si="1199"/>
        <v>0</v>
      </c>
      <c r="AG1107" s="136">
        <f ca="1" t="shared" si="1199"/>
        <v>100</v>
      </c>
      <c r="AH1107" s="136">
        <f ca="1" t="shared" si="1151"/>
        <v>450</v>
      </c>
      <c r="AI1107" s="136">
        <f ca="1" t="shared" ref="AI1107:AN1107" si="1200">IF($C1107&gt;OFFSET($Q$8,MATCH(AI$634,$AH$634:$AN$634,0),0),OFFSET($P$8,MATCH(AI$634,$AH$634:$AN$634,0),0),MAX(0,$C1107-OFFSET($Q$8,RIGHT(AI$634,1)-1,0)))</f>
        <v>909</v>
      </c>
      <c r="AJ1107" s="136">
        <f ca="1" t="shared" si="1200"/>
        <v>1818</v>
      </c>
      <c r="AK1107" s="136">
        <f ca="1" t="shared" si="1200"/>
        <v>2727</v>
      </c>
      <c r="AL1107" s="136">
        <f ca="1" t="shared" si="1200"/>
        <v>3636</v>
      </c>
      <c r="AM1107" s="136">
        <f ca="1" t="shared" si="1200"/>
        <v>4545</v>
      </c>
      <c r="AN1107" s="136">
        <f ca="1" t="shared" si="1200"/>
        <v>33215</v>
      </c>
    </row>
    <row r="1108" s="106" customFormat="1" ht="16.5" spans="2:40">
      <c r="B1108" s="117">
        <v>474</v>
      </c>
      <c r="C1108" s="130">
        <f t="shared" si="1149"/>
        <v>47400</v>
      </c>
      <c r="D1108" s="131" cm="1">
        <f ca="1" t="array" ref="D1108">IF(D1710=1,OFFSET($W$634,$B1108,D$631-1)/SUMPRODUCT(--($D$631:$V$631=D$631),--($D1710:$V1710=1)),0)+SUM(D1107)+IF(COUNTIF(D$1237:D1710,1)=1,5,0)+IF(COUNTIF(E1108:$W1108,"&gt;"&amp;0)&lt;5,IF(AND(COUNTIF(D$1237:D1710,1)&gt;7,MOD(1+IFERROR(MATCH($C1108,总览!$D$46:$D$345,1)+1,1),7)=0),$C$3,0),0)</f>
        <v>2990.03828674736</v>
      </c>
      <c r="E1108" s="131" cm="1">
        <f ca="1" t="array" ref="E1108">IF(E1710=1,OFFSET($W$634,$B1108,E$631-1)/SUMPRODUCT(--($D$631:$V$631=E$631),--($D1710:$V1710=1)),0)+SUM(E1107)+IF(COUNTIF(E$1237:E1710,1)=1,5,0)+IF(COUNTIF(F1108:$W1108,"&gt;"&amp;0)&lt;5,IF(AND(COUNTIF(E$1237:E1710,1)&gt;7,MOD(1+IFERROR(MATCH($C1108,总览!$D$46:$D$345,1)+1,1),7)=0),$C$3,0),0)</f>
        <v>2990.03828674736</v>
      </c>
      <c r="F1108" s="131" cm="1">
        <f ca="1" t="array" ref="F1108">IF(F1710=1,OFFSET($W$634,$B1108,F$631-1)/SUMPRODUCT(--($D$631:$V$631=F$631),--($D1710:$V1710=1)),0)+SUM(F1107)+IF(COUNTIF(F$1237:F1710,1)=1,5,0)+IF(COUNTIF(G1108:$W1108,"&gt;"&amp;0)&lt;5,IF(AND(COUNTIF(F$1237:F1710,1)&gt;7,MOD(1+IFERROR(MATCH($C1108,总览!$D$46:$D$345,1)+1,1),7)=0),$C$3,0),0)</f>
        <v>2990.03828674736</v>
      </c>
      <c r="G1108" s="131" cm="1">
        <f ca="1" t="array" ref="G1108">IF(G1710=1,OFFSET($W$634,$B1108,G$631-1)/SUMPRODUCT(--($D$631:$V$631=G$631),--($D1710:$V1710=1)),0)+SUM(G1107)+IF(COUNTIF(G$1237:G1710,1)=1,5,0)+IF(COUNTIF(H1108:$W1108,"&gt;"&amp;0)&lt;5,IF(AND(COUNTIF(G$1237:G1710,1)&gt;7,MOD(1+IFERROR(MATCH($C1108,总览!$D$46:$D$345,1)+1,1),7)=0),$C$3,0),0)</f>
        <v>1519.39999999999</v>
      </c>
      <c r="H1108" s="131" cm="1">
        <f ca="1" t="array" ref="H1108">IF(H1710=1,OFFSET($W$634,$B1108,H$631-1)/SUMPRODUCT(--($D$631:$V$631=H$631),--($D1710:$V1710=1)),0)+SUM(H1107)+IF(COUNTIF(H$1237:H1710,1)=1,5,0)+IF(COUNTIF(I1108:$W1108,"&gt;"&amp;0)&lt;5,IF(AND(COUNTIF(H$1237:H1710,1)&gt;7,MOD(1+IFERROR(MATCH($C1108,总览!$D$46:$D$345,1)+1,1),7)=0),$C$3,0),0)</f>
        <v>1519.39999999999</v>
      </c>
      <c r="I1108" s="131" cm="1">
        <f ca="1" t="array" ref="I1108">IF(I1710=1,OFFSET($W$634,$B1108,I$631-1)/SUMPRODUCT(--($D$631:$V$631=I$631),--($D1710:$V1710=1)),0)+SUM(I1107)+IF(COUNTIF(I$1237:I1710,1)=1,5,0)+IF(COUNTIF(J1108:$W1108,"&gt;"&amp;0)&lt;5,IF(AND(COUNTIF(I$1237:I1710,1)&gt;7,MOD(1+IFERROR(MATCH($C1108,总览!$D$46:$D$345,1)+1,1),7)=0),$C$3,0),0)</f>
        <v>1519.39999999999</v>
      </c>
      <c r="J1108" s="131" cm="1">
        <f ca="1" t="array" ref="J1108">IF(J1710=1,OFFSET($W$634,$B1108,J$631-1)/SUMPRODUCT(--($D$631:$V$631=J$631),--($D1710:$V1710=1)),0)+SUM(J1107)+IF(COUNTIF(J$1237:J1710,1)=1,5,0)+IF(COUNTIF(K1108:$W1108,"&gt;"&amp;0)&lt;5,IF(AND(COUNTIF(J$1237:J1710,1)&gt;7,MOD(1+IFERROR(MATCH($C1108,总览!$D$46:$D$345,1)+1,1),7)=0),$C$3,0),0)</f>
        <v>1516.06666666666</v>
      </c>
      <c r="K1108" s="131" cm="1">
        <f ca="1" t="array" ref="K1108">IF(K1710=1,OFFSET($W$634,$B1108,K$631-1)/SUMPRODUCT(--($D$631:$V$631=K$631),--($D1710:$V1710=1)),0)+SUM(K1107)+IF(COUNTIF(K$1237:K1710,1)=1,5,0)+IF(COUNTIF(L1108:$W1108,"&gt;"&amp;0)&lt;5,IF(AND(COUNTIF(K$1237:K1710,1)&gt;7,MOD(1+IFERROR(MATCH($C1108,总览!$D$46:$D$345,1)+1,1),7)=0),$C$3,0),0)</f>
        <v>1513.56666666666</v>
      </c>
      <c r="L1108" s="131" cm="1">
        <f ca="1" t="array" ref="L1108">IF(L1710=1,OFFSET($W$634,$B1108,L$631-1)/SUMPRODUCT(--($D$631:$V$631=L$631),--($D1710:$V1710=1)),0)+SUM(L1107)+IF(COUNTIF(L$1237:L1710,1)=1,5,0)+IF(COUNTIF(M1108:$W1108,"&gt;"&amp;0)&lt;5,IF(AND(COUNTIF(L$1237:L1710,1)&gt;7,MOD(1+IFERROR(MATCH($C1108,总览!$D$46:$D$345,1)+1,1),7)=0),$C$3,0),0)</f>
        <v>1513.56666666666</v>
      </c>
      <c r="M1108" s="131" cm="1">
        <f ca="1" t="array" ref="M1108">IF(M1710=1,OFFSET($W$634,$B1108,M$631-1)/SUMPRODUCT(--($D$631:$V$631=M$631),--($D1710:$V1710=1)),0)+SUM(M1107)+IF(COUNTIF(M$1237:M1710,1)=1,5,0)+IF(COUNTIF(N1108:$W1108,"&gt;"&amp;0)&lt;5,IF(AND(COUNTIF(M$1237:M1710,1)&gt;7,MOD(1+IFERROR(MATCH($C1108,总览!$D$46:$D$345,1)+1,1),7)=0),$C$3,0),0)</f>
        <v>634.895535714289</v>
      </c>
      <c r="N1108" s="131" cm="1">
        <f ca="1" t="array" ref="N1108">IF(N1710=1,OFFSET($W$634,$B1108,N$631-1)/SUMPRODUCT(--($D$631:$V$631=N$631),--($D1710:$V1710=1)),0)+SUM(N1107)+IF(COUNTIF(N$1237:N1710,1)=1,5,0)+IF(COUNTIF(O1108:$W1108,"&gt;"&amp;0)&lt;5,IF(AND(COUNTIF(N$1237:N1710,1)&gt;7,MOD(1+IFERROR(MATCH($C1108,总览!$D$46:$D$345,1)+1,1),7)=0),$C$3,0),0)</f>
        <v>636.145535714289</v>
      </c>
      <c r="O1108" s="131" cm="1">
        <f ca="1" t="array" ref="O1108">IF(O1710=1,OFFSET($W$634,$B1108,O$631-1)/SUMPRODUCT(--($D$631:$V$631=O$631),--($D1710:$V1710=1)),0)+SUM(O1107)+IF(COUNTIF(O$1237:O1710,1)=1,5,0)+IF(COUNTIF(P1108:$W1108,"&gt;"&amp;0)&lt;5,IF(AND(COUNTIF(O$1237:O1710,1)&gt;7,MOD(1+IFERROR(MATCH($C1108,总览!$D$46:$D$345,1)+1,1),7)=0),$C$3,0),0)</f>
        <v>641.145535714289</v>
      </c>
      <c r="P1108" s="131" cm="1">
        <f ca="1" t="array" ref="P1108">IF(P1710=1,OFFSET($W$634,$B1108,P$631-1)/SUMPRODUCT(--($D$631:$V$631=P$631),--($D1710:$V1710=1)),0)+SUM(P1107)+IF(COUNTIF(P$1237:P1710,1)=1,5,0)+IF(COUNTIF(Q1108:$W1108,"&gt;"&amp;0)&lt;5,IF(AND(COUNTIF(P$1237:P1710,1)&gt;7,MOD(1+IFERROR(MATCH($C1108,总览!$D$46:$D$345,1)+1,1),7)=0),$C$3,0),0)</f>
        <v>630.264285714289</v>
      </c>
      <c r="Q1108" s="131" cm="1">
        <f ca="1" t="array" ref="Q1108">IF(Q1710=1,OFFSET($W$634,$B1108,Q$631-1)/SUMPRODUCT(--($D$631:$V$631=Q$631),--($D1710:$V1710=1)),0)+SUM(Q1107)+IF(COUNTIF(Q$1237:Q1710,1)=1,5,0)+IF(COUNTIF(R1108:$W1108,"&gt;"&amp;0)&lt;5,IF(AND(COUNTIF(Q$1237:Q1710,1)&gt;7,MOD(1+IFERROR(MATCH($C1108,总览!$D$46:$D$345,1)+1,1),7)=0),$C$3,0),0)</f>
        <v>643.645535714289</v>
      </c>
      <c r="R1108" s="131" cm="1">
        <f ca="1" t="array" ref="R1108">IF(R1710=1,OFFSET($W$634,$B1108,R$631-1)/SUMPRODUCT(--($D$631:$V$631=R$631),--($D1710:$V1710=1)),0)+SUM(R1107)+IF(COUNTIF(R$1237:R1710,1)=1,5,0)+IF(COUNTIF(S1108:$W1108,"&gt;"&amp;0)&lt;5,IF(AND(COUNTIF(R$1237:R1710,1)&gt;7,MOD(1+IFERROR(MATCH($C1108,总览!$D$46:$D$345,1)+1,1),7)=0),$C$3,0),0)</f>
        <v>635.264285714289</v>
      </c>
      <c r="S1108" s="131" cm="1">
        <f ca="1" t="array" ref="S1108">IF(S1710=1,OFFSET($W$634,$B1108,S$631-1)/SUMPRODUCT(--($D$631:$V$631=S$631),--($D1710:$V1710=1)),0)+SUM(S1107)+IF(COUNTIF(S$1237:S1710,1)=1,5,0)+IF(COUNTIF(T1108:$W1108,"&gt;"&amp;0)&lt;5,IF(AND(COUNTIF(S$1237:S1710,1)&gt;7,MOD(1+IFERROR(MATCH($C1108,总览!$D$46:$D$345,1)+1,1),7)=0),$C$3,0),0)</f>
        <v>727.76428571429</v>
      </c>
      <c r="T1108" s="131" cm="1">
        <f ca="1" t="array" ref="T1108">IF(T1710=1,OFFSET($W$634,$B1108,T$631-1)/SUMPRODUCT(--($D$631:$V$631=T$631),--($D1710:$V1710=1)),0)+SUM(T1107)+IF(COUNTIF(T$1237:T1710,1)=1,5,0)+IF(COUNTIF(U1108:$W1108,"&gt;"&amp;0)&lt;5,IF(AND(COUNTIF(T$1237:T1710,1)&gt;7,MOD(1+IFERROR(MATCH($C1108,总览!$D$46:$D$345,1)+1,1),7)=0),$C$3,0),0)</f>
        <v>532.830522444993</v>
      </c>
      <c r="U1108" s="131" cm="1">
        <f ca="1" t="array" ref="U1108">IF(U1710=1,OFFSET($W$634,$B1108,U$631-1)/SUMPRODUCT(--($D$631:$V$631=U$631),--($D1710:$V1710=1)),0)+SUM(U1107)+IF(COUNTIF(U$1237:U1710,1)=1,5,0)+IF(COUNTIF(V1108:$W1108,"&gt;"&amp;0)&lt;5,IF(AND(COUNTIF(U$1237:U1710,1)&gt;7,MOD(1+IFERROR(MATCH($C1108,总览!$D$46:$D$345,1)+1,1),7)=0),$C$3,0),0)</f>
        <v>538.351308800292</v>
      </c>
      <c r="V1108" s="131" cm="1">
        <f ca="1" t="array" ref="V1108">IF(V1710=1,OFFSET($W$634,$B1108,V$631-1)/SUMPRODUCT(--($D$631:$V$631=V$631),--($D1710:$V1710=1)),0)+SUM(V1107)+IF(COUNTIF(V$1237:V1710,1)=1,5,0)+IF(COUNTIF(W1108:$W1108,"&gt;"&amp;0)&lt;5,IF(AND(COUNTIF(V$1237:V1710,1)&gt;7,MOD(1+IFERROR(MATCH($C1108,总览!$D$46:$D$345,1)+1,1),7)=0),$C$3,0),0)</f>
        <v>558.178308512725</v>
      </c>
      <c r="W1108" s="135" cm="1">
        <f ca="1" t="array" ref="W1108">SUMPRODUCT(TRANSPOSE($AA1108:$AG1108),OFFSET($L$9:$L$15,0,W$631-1))</f>
        <v>16.8502200646615</v>
      </c>
      <c r="X1108" s="135" cm="1">
        <f ca="1" t="array" ref="X1108">SUMPRODUCT(TRANSPOSE($AA1108:$AG1108),OFFSET($L$9:$L$15,0,X$631-1))</f>
        <v>20</v>
      </c>
      <c r="Y1108" s="135" cm="1">
        <f ca="1" t="array" ref="Y1108">SUMPRODUCT(TRANSPOSE($AA1108:$AG1108),OFFSET($L$9:$L$15,0,Y$631-1))</f>
        <v>10</v>
      </c>
      <c r="Z1108" s="135" cm="1">
        <f ca="1" t="array" ref="Z1108">SUMPRODUCT(TRANSPOSE($AA1108:$AG1108),OFFSET($L$9:$L$15,0,Z$631-1))</f>
        <v>3.14977993533847</v>
      </c>
      <c r="AA1108" s="136">
        <f ca="1" t="shared" ref="AA1108:AG1108" si="1201">AH1108-AH1107</f>
        <v>0</v>
      </c>
      <c r="AB1108" s="136">
        <f ca="1" t="shared" si="1201"/>
        <v>0</v>
      </c>
      <c r="AC1108" s="136">
        <f ca="1" t="shared" si="1201"/>
        <v>0</v>
      </c>
      <c r="AD1108" s="136">
        <f ca="1" t="shared" si="1201"/>
        <v>0</v>
      </c>
      <c r="AE1108" s="136">
        <f ca="1" t="shared" si="1201"/>
        <v>0</v>
      </c>
      <c r="AF1108" s="136">
        <f ca="1" t="shared" si="1201"/>
        <v>0</v>
      </c>
      <c r="AG1108" s="136">
        <f ca="1" t="shared" si="1201"/>
        <v>100</v>
      </c>
      <c r="AH1108" s="136">
        <f ca="1" t="shared" si="1151"/>
        <v>450</v>
      </c>
      <c r="AI1108" s="136">
        <f ca="1" t="shared" ref="AI1108:AN1108" si="1202">IF($C1108&gt;OFFSET($Q$8,MATCH(AI$634,$AH$634:$AN$634,0),0),OFFSET($P$8,MATCH(AI$634,$AH$634:$AN$634,0),0),MAX(0,$C1108-OFFSET($Q$8,RIGHT(AI$634,1)-1,0)))</f>
        <v>909</v>
      </c>
      <c r="AJ1108" s="136">
        <f ca="1" t="shared" si="1202"/>
        <v>1818</v>
      </c>
      <c r="AK1108" s="136">
        <f ca="1" t="shared" si="1202"/>
        <v>2727</v>
      </c>
      <c r="AL1108" s="136">
        <f ca="1" t="shared" si="1202"/>
        <v>3636</v>
      </c>
      <c r="AM1108" s="136">
        <f ca="1" t="shared" si="1202"/>
        <v>4545</v>
      </c>
      <c r="AN1108" s="136">
        <f ca="1" t="shared" si="1202"/>
        <v>33315</v>
      </c>
    </row>
    <row r="1109" s="106" customFormat="1" ht="16.5" spans="2:40">
      <c r="B1109" s="117">
        <v>475</v>
      </c>
      <c r="C1109" s="130">
        <f t="shared" si="1149"/>
        <v>47500</v>
      </c>
      <c r="D1109" s="131" cm="1">
        <f ca="1" t="array" ref="D1109">IF(D1711=1,OFFSET($W$634,$B1109,D$631-1)/SUMPRODUCT(--($D$631:$V$631=D$631),--($D1711:$V1711=1)),0)+SUM(D1108)+IF(COUNTIF(D$1237:D1711,1)=1,5,0)+IF(COUNTIF(E1109:$W1109,"&gt;"&amp;0)&lt;5,IF(AND(COUNTIF(D$1237:D1711,1)&gt;7,MOD(1+IFERROR(MATCH($C1109,总览!$D$46:$D$345,1)+1,1),7)=0),$C$3,0),0)</f>
        <v>2995.65502676891</v>
      </c>
      <c r="E1109" s="131" cm="1">
        <f ca="1" t="array" ref="E1109">IF(E1711=1,OFFSET($W$634,$B1109,E$631-1)/SUMPRODUCT(--($D$631:$V$631=E$631),--($D1711:$V1711=1)),0)+SUM(E1108)+IF(COUNTIF(E$1237:E1711,1)=1,5,0)+IF(COUNTIF(F1109:$W1109,"&gt;"&amp;0)&lt;5,IF(AND(COUNTIF(E$1237:E1711,1)&gt;7,MOD(1+IFERROR(MATCH($C1109,总览!$D$46:$D$345,1)+1,1),7)=0),$C$3,0),0)</f>
        <v>2995.65502676891</v>
      </c>
      <c r="F1109" s="131" cm="1">
        <f ca="1" t="array" ref="F1109">IF(F1711=1,OFFSET($W$634,$B1109,F$631-1)/SUMPRODUCT(--($D$631:$V$631=F$631),--($D1711:$V1711=1)),0)+SUM(F1108)+IF(COUNTIF(F$1237:F1711,1)=1,5,0)+IF(COUNTIF(G1109:$W1109,"&gt;"&amp;0)&lt;5,IF(AND(COUNTIF(F$1237:F1711,1)&gt;7,MOD(1+IFERROR(MATCH($C1109,总览!$D$46:$D$345,1)+1,1),7)=0),$C$3,0),0)</f>
        <v>2995.65502676891</v>
      </c>
      <c r="G1109" s="131" cm="1">
        <f ca="1" t="array" ref="G1109">IF(G1711=1,OFFSET($W$634,$B1109,G$631-1)/SUMPRODUCT(--($D$631:$V$631=G$631),--($D1711:$V1711=1)),0)+SUM(G1108)+IF(COUNTIF(G$1237:G1711,1)=1,5,0)+IF(COUNTIF(H1109:$W1109,"&gt;"&amp;0)&lt;5,IF(AND(COUNTIF(G$1237:G1711,1)&gt;7,MOD(1+IFERROR(MATCH($C1109,总览!$D$46:$D$345,1)+1,1),7)=0),$C$3,0),0)</f>
        <v>1522.73333333333</v>
      </c>
      <c r="H1109" s="131" cm="1">
        <f ca="1" t="array" ref="H1109">IF(H1711=1,OFFSET($W$634,$B1109,H$631-1)/SUMPRODUCT(--($D$631:$V$631=H$631),--($D1711:$V1711=1)),0)+SUM(H1108)+IF(COUNTIF(H$1237:H1711,1)=1,5,0)+IF(COUNTIF(I1109:$W1109,"&gt;"&amp;0)&lt;5,IF(AND(COUNTIF(H$1237:H1711,1)&gt;7,MOD(1+IFERROR(MATCH($C1109,总览!$D$46:$D$345,1)+1,1),7)=0),$C$3,0),0)</f>
        <v>1522.73333333333</v>
      </c>
      <c r="I1109" s="131" cm="1">
        <f ca="1" t="array" ref="I1109">IF(I1711=1,OFFSET($W$634,$B1109,I$631-1)/SUMPRODUCT(--($D$631:$V$631=I$631),--($D1711:$V1711=1)),0)+SUM(I1108)+IF(COUNTIF(I$1237:I1711,1)=1,5,0)+IF(COUNTIF(J1109:$W1109,"&gt;"&amp;0)&lt;5,IF(AND(COUNTIF(I$1237:I1711,1)&gt;7,MOD(1+IFERROR(MATCH($C1109,总览!$D$46:$D$345,1)+1,1),7)=0),$C$3,0),0)</f>
        <v>1522.73333333333</v>
      </c>
      <c r="J1109" s="131" cm="1">
        <f ca="1" t="array" ref="J1109">IF(J1711=1,OFFSET($W$634,$B1109,J$631-1)/SUMPRODUCT(--($D$631:$V$631=J$631),--($D1711:$V1711=1)),0)+SUM(J1108)+IF(COUNTIF(J$1237:J1711,1)=1,5,0)+IF(COUNTIF(K1109:$W1109,"&gt;"&amp;0)&lt;5,IF(AND(COUNTIF(J$1237:J1711,1)&gt;7,MOD(1+IFERROR(MATCH($C1109,总览!$D$46:$D$345,1)+1,1),7)=0),$C$3,0),0)</f>
        <v>1519.39999999999</v>
      </c>
      <c r="K1109" s="131" cm="1">
        <f ca="1" t="array" ref="K1109">IF(K1711=1,OFFSET($W$634,$B1109,K$631-1)/SUMPRODUCT(--($D$631:$V$631=K$631),--($D1711:$V1711=1)),0)+SUM(K1108)+IF(COUNTIF(K$1237:K1711,1)=1,5,0)+IF(COUNTIF(L1109:$W1109,"&gt;"&amp;0)&lt;5,IF(AND(COUNTIF(K$1237:K1711,1)&gt;7,MOD(1+IFERROR(MATCH($C1109,总览!$D$46:$D$345,1)+1,1),7)=0),$C$3,0),0)</f>
        <v>1516.89999999999</v>
      </c>
      <c r="L1109" s="131" cm="1">
        <f ca="1" t="array" ref="L1109">IF(L1711=1,OFFSET($W$634,$B1109,L$631-1)/SUMPRODUCT(--($D$631:$V$631=L$631),--($D1711:$V1711=1)),0)+SUM(L1108)+IF(COUNTIF(L$1237:L1711,1)=1,5,0)+IF(COUNTIF(M1109:$W1109,"&gt;"&amp;0)&lt;5,IF(AND(COUNTIF(L$1237:L1711,1)&gt;7,MOD(1+IFERROR(MATCH($C1109,总览!$D$46:$D$345,1)+1,1),7)=0),$C$3,0),0)</f>
        <v>1516.89999999999</v>
      </c>
      <c r="M1109" s="131" cm="1">
        <f ca="1" t="array" ref="M1109">IF(M1711=1,OFFSET($W$634,$B1109,M$631-1)/SUMPRODUCT(--($D$631:$V$631=M$631),--($D1711:$V1711=1)),0)+SUM(M1108)+IF(COUNTIF(M$1237:M1711,1)=1,5,0)+IF(COUNTIF(N1109:$W1109,"&gt;"&amp;0)&lt;5,IF(AND(COUNTIF(M$1237:M1711,1)&gt;7,MOD(1+IFERROR(MATCH($C1109,总览!$D$46:$D$345,1)+1,1),7)=0),$C$3,0),0)</f>
        <v>636.32410714286</v>
      </c>
      <c r="N1109" s="131" cm="1">
        <f ca="1" t="array" ref="N1109">IF(N1711=1,OFFSET($W$634,$B1109,N$631-1)/SUMPRODUCT(--($D$631:$V$631=N$631),--($D1711:$V1711=1)),0)+SUM(N1108)+IF(COUNTIF(N$1237:N1711,1)=1,5,0)+IF(COUNTIF(O1109:$W1109,"&gt;"&amp;0)&lt;5,IF(AND(COUNTIF(N$1237:N1711,1)&gt;7,MOD(1+IFERROR(MATCH($C1109,总览!$D$46:$D$345,1)+1,1),7)=0),$C$3,0),0)</f>
        <v>637.57410714286</v>
      </c>
      <c r="O1109" s="131" cm="1">
        <f ca="1" t="array" ref="O1109">IF(O1711=1,OFFSET($W$634,$B1109,O$631-1)/SUMPRODUCT(--($D$631:$V$631=O$631),--($D1711:$V1711=1)),0)+SUM(O1108)+IF(COUNTIF(O$1237:O1711,1)=1,5,0)+IF(COUNTIF(P1109:$W1109,"&gt;"&amp;0)&lt;5,IF(AND(COUNTIF(O$1237:O1711,1)&gt;7,MOD(1+IFERROR(MATCH($C1109,总览!$D$46:$D$345,1)+1,1),7)=0),$C$3,0),0)</f>
        <v>642.57410714286</v>
      </c>
      <c r="P1109" s="131" cm="1">
        <f ca="1" t="array" ref="P1109">IF(P1711=1,OFFSET($W$634,$B1109,P$631-1)/SUMPRODUCT(--($D$631:$V$631=P$631),--($D1711:$V1711=1)),0)+SUM(P1108)+IF(COUNTIF(P$1237:P1711,1)=1,5,0)+IF(COUNTIF(Q1109:$W1109,"&gt;"&amp;0)&lt;5,IF(AND(COUNTIF(P$1237:P1711,1)&gt;7,MOD(1+IFERROR(MATCH($C1109,总览!$D$46:$D$345,1)+1,1),7)=0),$C$3,0),0)</f>
        <v>631.69285714286</v>
      </c>
      <c r="Q1109" s="131" cm="1">
        <f ca="1" t="array" ref="Q1109">IF(Q1711=1,OFFSET($W$634,$B1109,Q$631-1)/SUMPRODUCT(--($D$631:$V$631=Q$631),--($D1711:$V1711=1)),0)+SUM(Q1108)+IF(COUNTIF(Q$1237:Q1711,1)=1,5,0)+IF(COUNTIF(R1109:$W1109,"&gt;"&amp;0)&lt;5,IF(AND(COUNTIF(Q$1237:Q1711,1)&gt;7,MOD(1+IFERROR(MATCH($C1109,总览!$D$46:$D$345,1)+1,1),7)=0),$C$3,0),0)</f>
        <v>645.07410714286</v>
      </c>
      <c r="R1109" s="131" cm="1">
        <f ca="1" t="array" ref="R1109">IF(R1711=1,OFFSET($W$634,$B1109,R$631-1)/SUMPRODUCT(--($D$631:$V$631=R$631),--($D1711:$V1711=1)),0)+SUM(R1108)+IF(COUNTIF(R$1237:R1711,1)=1,5,0)+IF(COUNTIF(S1109:$W1109,"&gt;"&amp;0)&lt;5,IF(AND(COUNTIF(R$1237:R1711,1)&gt;7,MOD(1+IFERROR(MATCH($C1109,总览!$D$46:$D$345,1)+1,1),7)=0),$C$3,0),0)</f>
        <v>636.69285714286</v>
      </c>
      <c r="S1109" s="131" cm="1">
        <f ca="1" t="array" ref="S1109">IF(S1711=1,OFFSET($W$634,$B1109,S$631-1)/SUMPRODUCT(--($D$631:$V$631=S$631),--($D1711:$V1711=1)),0)+SUM(S1108)+IF(COUNTIF(S$1237:S1711,1)=1,5,0)+IF(COUNTIF(T1109:$W1109,"&gt;"&amp;0)&lt;5,IF(AND(COUNTIF(S$1237:S1711,1)&gt;7,MOD(1+IFERROR(MATCH($C1109,总览!$D$46:$D$345,1)+1,1),7)=0),$C$3,0),0)</f>
        <v>729.192857142861</v>
      </c>
      <c r="T1109" s="131" cm="1">
        <f ca="1" t="array" ref="T1109">IF(T1711=1,OFFSET($W$634,$B1109,T$631-1)/SUMPRODUCT(--($D$631:$V$631=T$631),--($D1711:$V1711=1)),0)+SUM(T1108)+IF(COUNTIF(T$1237:T1711,1)=1,5,0)+IF(COUNTIF(U1109:$W1109,"&gt;"&amp;0)&lt;5,IF(AND(COUNTIF(T$1237:T1711,1)&gt;7,MOD(1+IFERROR(MATCH($C1109,总览!$D$46:$D$345,1)+1,1),7)=0),$C$3,0),0)</f>
        <v>533.880449090105</v>
      </c>
      <c r="U1109" s="131" cm="1">
        <f ca="1" t="array" ref="U1109">IF(U1711=1,OFFSET($W$634,$B1109,U$631-1)/SUMPRODUCT(--($D$631:$V$631=U$631),--($D1711:$V1711=1)),0)+SUM(U1108)+IF(COUNTIF(U$1237:U1711,1)=1,5,0)+IF(COUNTIF(V1109:$W1109,"&gt;"&amp;0)&lt;5,IF(AND(COUNTIF(U$1237:U1711,1)&gt;7,MOD(1+IFERROR(MATCH($C1109,总览!$D$46:$D$345,1)+1,1),7)=0),$C$3,0),0)</f>
        <v>539.401235445405</v>
      </c>
      <c r="V1109" s="131" cm="1">
        <f ca="1" t="array" ref="V1109">IF(V1711=1,OFFSET($W$634,$B1109,V$631-1)/SUMPRODUCT(--($D$631:$V$631=V$631),--($D1711:$V1711=1)),0)+SUM(V1108)+IF(COUNTIF(V$1237:V1711,1)=1,5,0)+IF(COUNTIF(W1109:$W1109,"&gt;"&amp;0)&lt;5,IF(AND(COUNTIF(V$1237:V1711,1)&gt;7,MOD(1+IFERROR(MATCH($C1109,总览!$D$46:$D$345,1)+1,1),7)=0),$C$3,0),0)</f>
        <v>559.228235157838</v>
      </c>
      <c r="W1109" s="135" cm="1">
        <f ca="1" t="array" ref="W1109">SUMPRODUCT(TRANSPOSE($AA1109:$AG1109),OFFSET($L$9:$L$15,0,W$631-1))</f>
        <v>16.8502200646615</v>
      </c>
      <c r="X1109" s="135" cm="1">
        <f ca="1" t="array" ref="X1109">SUMPRODUCT(TRANSPOSE($AA1109:$AG1109),OFFSET($L$9:$L$15,0,X$631-1))</f>
        <v>20</v>
      </c>
      <c r="Y1109" s="135" cm="1">
        <f ca="1" t="array" ref="Y1109">SUMPRODUCT(TRANSPOSE($AA1109:$AG1109),OFFSET($L$9:$L$15,0,Y$631-1))</f>
        <v>10</v>
      </c>
      <c r="Z1109" s="135" cm="1">
        <f ca="1" t="array" ref="Z1109">SUMPRODUCT(TRANSPOSE($AA1109:$AG1109),OFFSET($L$9:$L$15,0,Z$631-1))</f>
        <v>3.14977993533847</v>
      </c>
      <c r="AA1109" s="136">
        <f ca="1" t="shared" ref="AA1109:AG1109" si="1203">AH1109-AH1108</f>
        <v>0</v>
      </c>
      <c r="AB1109" s="136">
        <f ca="1" t="shared" si="1203"/>
        <v>0</v>
      </c>
      <c r="AC1109" s="136">
        <f ca="1" t="shared" si="1203"/>
        <v>0</v>
      </c>
      <c r="AD1109" s="136">
        <f ca="1" t="shared" si="1203"/>
        <v>0</v>
      </c>
      <c r="AE1109" s="136">
        <f ca="1" t="shared" si="1203"/>
        <v>0</v>
      </c>
      <c r="AF1109" s="136">
        <f ca="1" t="shared" si="1203"/>
        <v>0</v>
      </c>
      <c r="AG1109" s="136">
        <f ca="1" t="shared" si="1203"/>
        <v>100</v>
      </c>
      <c r="AH1109" s="136">
        <f ca="1" t="shared" si="1151"/>
        <v>450</v>
      </c>
      <c r="AI1109" s="136">
        <f ca="1" t="shared" ref="AI1109:AN1109" si="1204">IF($C1109&gt;OFFSET($Q$8,MATCH(AI$634,$AH$634:$AN$634,0),0),OFFSET($P$8,MATCH(AI$634,$AH$634:$AN$634,0),0),MAX(0,$C1109-OFFSET($Q$8,RIGHT(AI$634,1)-1,0)))</f>
        <v>909</v>
      </c>
      <c r="AJ1109" s="136">
        <f ca="1" t="shared" si="1204"/>
        <v>1818</v>
      </c>
      <c r="AK1109" s="136">
        <f ca="1" t="shared" si="1204"/>
        <v>2727</v>
      </c>
      <c r="AL1109" s="136">
        <f ca="1" t="shared" si="1204"/>
        <v>3636</v>
      </c>
      <c r="AM1109" s="136">
        <f ca="1" t="shared" si="1204"/>
        <v>4545</v>
      </c>
      <c r="AN1109" s="136">
        <f ca="1" t="shared" si="1204"/>
        <v>33415</v>
      </c>
    </row>
    <row r="1110" s="106" customFormat="1" ht="16.5" spans="2:40">
      <c r="B1110" s="117">
        <v>476</v>
      </c>
      <c r="C1110" s="130">
        <f t="shared" si="1149"/>
        <v>47600</v>
      </c>
      <c r="D1110" s="131" cm="1">
        <f ca="1" t="array" ref="D1110">IF(D1712=1,OFFSET($W$634,$B1110,D$631-1)/SUMPRODUCT(--($D$631:$V$631=D$631),--($D1712:$V1712=1)),0)+SUM(D1109)+IF(COUNTIF(D$1237:D1712,1)=1,5,0)+IF(COUNTIF(E1110:$W1110,"&gt;"&amp;0)&lt;5,IF(AND(COUNTIF(D$1237:D1712,1)&gt;7,MOD(1+IFERROR(MATCH($C1110,总览!$D$46:$D$345,1)+1,1),7)=0),$C$3,0),0)</f>
        <v>3001.27176679047</v>
      </c>
      <c r="E1110" s="131" cm="1">
        <f ca="1" t="array" ref="E1110">IF(E1712=1,OFFSET($W$634,$B1110,E$631-1)/SUMPRODUCT(--($D$631:$V$631=E$631),--($D1712:$V1712=1)),0)+SUM(E1109)+IF(COUNTIF(E$1237:E1712,1)=1,5,0)+IF(COUNTIF(F1110:$W1110,"&gt;"&amp;0)&lt;5,IF(AND(COUNTIF(E$1237:E1712,1)&gt;7,MOD(1+IFERROR(MATCH($C1110,总览!$D$46:$D$345,1)+1,1),7)=0),$C$3,0),0)</f>
        <v>3001.27176679047</v>
      </c>
      <c r="F1110" s="131" cm="1">
        <f ca="1" t="array" ref="F1110">IF(F1712=1,OFFSET($W$634,$B1110,F$631-1)/SUMPRODUCT(--($D$631:$V$631=F$631),--($D1712:$V1712=1)),0)+SUM(F1109)+IF(COUNTIF(F$1237:F1712,1)=1,5,0)+IF(COUNTIF(G1110:$W1110,"&gt;"&amp;0)&lt;5,IF(AND(COUNTIF(F$1237:F1712,1)&gt;7,MOD(1+IFERROR(MATCH($C1110,总览!$D$46:$D$345,1)+1,1),7)=0),$C$3,0),0)</f>
        <v>3001.27176679047</v>
      </c>
      <c r="G1110" s="131" cm="1">
        <f ca="1" t="array" ref="G1110">IF(G1712=1,OFFSET($W$634,$B1110,G$631-1)/SUMPRODUCT(--($D$631:$V$631=G$631),--($D1712:$V1712=1)),0)+SUM(G1109)+IF(COUNTIF(G$1237:G1712,1)=1,5,0)+IF(COUNTIF(H1110:$W1110,"&gt;"&amp;0)&lt;5,IF(AND(COUNTIF(G$1237:G1712,1)&gt;7,MOD(1+IFERROR(MATCH($C1110,总览!$D$46:$D$345,1)+1,1),7)=0),$C$3,0),0)</f>
        <v>1526.06666666666</v>
      </c>
      <c r="H1110" s="131" cm="1">
        <f ca="1" t="array" ref="H1110">IF(H1712=1,OFFSET($W$634,$B1110,H$631-1)/SUMPRODUCT(--($D$631:$V$631=H$631),--($D1712:$V1712=1)),0)+SUM(H1109)+IF(COUNTIF(H$1237:H1712,1)=1,5,0)+IF(COUNTIF(I1110:$W1110,"&gt;"&amp;0)&lt;5,IF(AND(COUNTIF(H$1237:H1712,1)&gt;7,MOD(1+IFERROR(MATCH($C1110,总览!$D$46:$D$345,1)+1,1),7)=0),$C$3,0),0)</f>
        <v>1526.06666666666</v>
      </c>
      <c r="I1110" s="131" cm="1">
        <f ca="1" t="array" ref="I1110">IF(I1712=1,OFFSET($W$634,$B1110,I$631-1)/SUMPRODUCT(--($D$631:$V$631=I$631),--($D1712:$V1712=1)),0)+SUM(I1109)+IF(COUNTIF(I$1237:I1712,1)=1,5,0)+IF(COUNTIF(J1110:$W1110,"&gt;"&amp;0)&lt;5,IF(AND(COUNTIF(I$1237:I1712,1)&gt;7,MOD(1+IFERROR(MATCH($C1110,总览!$D$46:$D$345,1)+1,1),7)=0),$C$3,0),0)</f>
        <v>1526.06666666666</v>
      </c>
      <c r="J1110" s="131" cm="1">
        <f ca="1" t="array" ref="J1110">IF(J1712=1,OFFSET($W$634,$B1110,J$631-1)/SUMPRODUCT(--($D$631:$V$631=J$631),--($D1712:$V1712=1)),0)+SUM(J1109)+IF(COUNTIF(J$1237:J1712,1)=1,5,0)+IF(COUNTIF(K1110:$W1110,"&gt;"&amp;0)&lt;5,IF(AND(COUNTIF(J$1237:J1712,1)&gt;7,MOD(1+IFERROR(MATCH($C1110,总览!$D$46:$D$345,1)+1,1),7)=0),$C$3,0),0)</f>
        <v>1522.73333333333</v>
      </c>
      <c r="K1110" s="131" cm="1">
        <f ca="1" t="array" ref="K1110">IF(K1712=1,OFFSET($W$634,$B1110,K$631-1)/SUMPRODUCT(--($D$631:$V$631=K$631),--($D1712:$V1712=1)),0)+SUM(K1109)+IF(COUNTIF(K$1237:K1712,1)=1,5,0)+IF(COUNTIF(L1110:$W1110,"&gt;"&amp;0)&lt;5,IF(AND(COUNTIF(K$1237:K1712,1)&gt;7,MOD(1+IFERROR(MATCH($C1110,总览!$D$46:$D$345,1)+1,1),7)=0),$C$3,0),0)</f>
        <v>1520.23333333333</v>
      </c>
      <c r="L1110" s="131" cm="1">
        <f ca="1" t="array" ref="L1110">IF(L1712=1,OFFSET($W$634,$B1110,L$631-1)/SUMPRODUCT(--($D$631:$V$631=L$631),--($D1712:$V1712=1)),0)+SUM(L1109)+IF(COUNTIF(L$1237:L1712,1)=1,5,0)+IF(COUNTIF(M1110:$W1110,"&gt;"&amp;0)&lt;5,IF(AND(COUNTIF(L$1237:L1712,1)&gt;7,MOD(1+IFERROR(MATCH($C1110,总览!$D$46:$D$345,1)+1,1),7)=0),$C$3,0),0)</f>
        <v>1520.23333333333</v>
      </c>
      <c r="M1110" s="131" cm="1">
        <f ca="1" t="array" ref="M1110">IF(M1712=1,OFFSET($W$634,$B1110,M$631-1)/SUMPRODUCT(--($D$631:$V$631=M$631),--($D1712:$V1712=1)),0)+SUM(M1109)+IF(COUNTIF(M$1237:M1712,1)=1,5,0)+IF(COUNTIF(N1110:$W1110,"&gt;"&amp;0)&lt;5,IF(AND(COUNTIF(M$1237:M1712,1)&gt;7,MOD(1+IFERROR(MATCH($C1110,总览!$D$46:$D$345,1)+1,1),7)=0),$C$3,0),0)</f>
        <v>637.752678571432</v>
      </c>
      <c r="N1110" s="131" cm="1">
        <f ca="1" t="array" ref="N1110">IF(N1712=1,OFFSET($W$634,$B1110,N$631-1)/SUMPRODUCT(--($D$631:$V$631=N$631),--($D1712:$V1712=1)),0)+SUM(N1109)+IF(COUNTIF(N$1237:N1712,1)=1,5,0)+IF(COUNTIF(O1110:$W1110,"&gt;"&amp;0)&lt;5,IF(AND(COUNTIF(N$1237:N1712,1)&gt;7,MOD(1+IFERROR(MATCH($C1110,总览!$D$46:$D$345,1)+1,1),7)=0),$C$3,0),0)</f>
        <v>639.002678571432</v>
      </c>
      <c r="O1110" s="131" cm="1">
        <f ca="1" t="array" ref="O1110">IF(O1712=1,OFFSET($W$634,$B1110,O$631-1)/SUMPRODUCT(--($D$631:$V$631=O$631),--($D1712:$V1712=1)),0)+SUM(O1109)+IF(COUNTIF(O$1237:O1712,1)=1,5,0)+IF(COUNTIF(P1110:$W1110,"&gt;"&amp;0)&lt;5,IF(AND(COUNTIF(O$1237:O1712,1)&gt;7,MOD(1+IFERROR(MATCH($C1110,总览!$D$46:$D$345,1)+1,1),7)=0),$C$3,0),0)</f>
        <v>644.002678571432</v>
      </c>
      <c r="P1110" s="131" cm="1">
        <f ca="1" t="array" ref="P1110">IF(P1712=1,OFFSET($W$634,$B1110,P$631-1)/SUMPRODUCT(--($D$631:$V$631=P$631),--($D1712:$V1712=1)),0)+SUM(P1109)+IF(COUNTIF(P$1237:P1712,1)=1,5,0)+IF(COUNTIF(Q1110:$W1110,"&gt;"&amp;0)&lt;5,IF(AND(COUNTIF(P$1237:P1712,1)&gt;7,MOD(1+IFERROR(MATCH($C1110,总览!$D$46:$D$345,1)+1,1),7)=0),$C$3,0),0)</f>
        <v>633.121428571432</v>
      </c>
      <c r="Q1110" s="131" cm="1">
        <f ca="1" t="array" ref="Q1110">IF(Q1712=1,OFFSET($W$634,$B1110,Q$631-1)/SUMPRODUCT(--($D$631:$V$631=Q$631),--($D1712:$V1712=1)),0)+SUM(Q1109)+IF(COUNTIF(Q$1237:Q1712,1)=1,5,0)+IF(COUNTIF(R1110:$W1110,"&gt;"&amp;0)&lt;5,IF(AND(COUNTIF(Q$1237:Q1712,1)&gt;7,MOD(1+IFERROR(MATCH($C1110,总览!$D$46:$D$345,1)+1,1),7)=0),$C$3,0),0)</f>
        <v>646.502678571432</v>
      </c>
      <c r="R1110" s="131" cm="1">
        <f ca="1" t="array" ref="R1110">IF(R1712=1,OFFSET($W$634,$B1110,R$631-1)/SUMPRODUCT(--($D$631:$V$631=R$631),--($D1712:$V1712=1)),0)+SUM(R1109)+IF(COUNTIF(R$1237:R1712,1)=1,5,0)+IF(COUNTIF(S1110:$W1110,"&gt;"&amp;0)&lt;5,IF(AND(COUNTIF(R$1237:R1712,1)&gt;7,MOD(1+IFERROR(MATCH($C1110,总览!$D$46:$D$345,1)+1,1),7)=0),$C$3,0),0)</f>
        <v>638.121428571432</v>
      </c>
      <c r="S1110" s="131" cm="1">
        <f ca="1" t="array" ref="S1110">IF(S1712=1,OFFSET($W$634,$B1110,S$631-1)/SUMPRODUCT(--($D$631:$V$631=S$631),--($D1712:$V1712=1)),0)+SUM(S1109)+IF(COUNTIF(S$1237:S1712,1)=1,5,0)+IF(COUNTIF(T1110:$W1110,"&gt;"&amp;0)&lt;5,IF(AND(COUNTIF(S$1237:S1712,1)&gt;7,MOD(1+IFERROR(MATCH($C1110,总览!$D$46:$D$345,1)+1,1),7)=0),$C$3,0),0)</f>
        <v>730.621428571433</v>
      </c>
      <c r="T1110" s="131" cm="1">
        <f ca="1" t="array" ref="T1110">IF(T1712=1,OFFSET($W$634,$B1110,T$631-1)/SUMPRODUCT(--($D$631:$V$631=T$631),--($D1712:$V1712=1)),0)+SUM(T1109)+IF(COUNTIF(T$1237:T1712,1)=1,5,0)+IF(COUNTIF(U1110:$W1110,"&gt;"&amp;0)&lt;5,IF(AND(COUNTIF(T$1237:T1712,1)&gt;7,MOD(1+IFERROR(MATCH($C1110,总览!$D$46:$D$345,1)+1,1),7)=0),$C$3,0),0)</f>
        <v>534.930375735218</v>
      </c>
      <c r="U1110" s="131" cm="1">
        <f ca="1" t="array" ref="U1110">IF(U1712=1,OFFSET($W$634,$B1110,U$631-1)/SUMPRODUCT(--($D$631:$V$631=U$631),--($D1712:$V1712=1)),0)+SUM(U1109)+IF(COUNTIF(U$1237:U1712,1)=1,5,0)+IF(COUNTIF(V1110:$W1110,"&gt;"&amp;0)&lt;5,IF(AND(COUNTIF(U$1237:U1712,1)&gt;7,MOD(1+IFERROR(MATCH($C1110,总览!$D$46:$D$345,1)+1,1),7)=0),$C$3,0),0)</f>
        <v>540.451162090518</v>
      </c>
      <c r="V1110" s="131" cm="1">
        <f ca="1" t="array" ref="V1110">IF(V1712=1,OFFSET($W$634,$B1110,V$631-1)/SUMPRODUCT(--($D$631:$V$631=V$631),--($D1712:$V1712=1)),0)+SUM(V1109)+IF(COUNTIF(V$1237:V1712,1)=1,5,0)+IF(COUNTIF(W1110:$W1110,"&gt;"&amp;0)&lt;5,IF(AND(COUNTIF(V$1237:V1712,1)&gt;7,MOD(1+IFERROR(MATCH($C1110,总览!$D$46:$D$345,1)+1,1),7)=0),$C$3,0),0)</f>
        <v>560.278161802951</v>
      </c>
      <c r="W1110" s="135" cm="1">
        <f ca="1" t="array" ref="W1110">SUMPRODUCT(TRANSPOSE($AA1110:$AG1110),OFFSET($L$9:$L$15,0,W$631-1))</f>
        <v>16.8502200646615</v>
      </c>
      <c r="X1110" s="135" cm="1">
        <f ca="1" t="array" ref="X1110">SUMPRODUCT(TRANSPOSE($AA1110:$AG1110),OFFSET($L$9:$L$15,0,X$631-1))</f>
        <v>20</v>
      </c>
      <c r="Y1110" s="135" cm="1">
        <f ca="1" t="array" ref="Y1110">SUMPRODUCT(TRANSPOSE($AA1110:$AG1110),OFFSET($L$9:$L$15,0,Y$631-1))</f>
        <v>10</v>
      </c>
      <c r="Z1110" s="135" cm="1">
        <f ca="1" t="array" ref="Z1110">SUMPRODUCT(TRANSPOSE($AA1110:$AG1110),OFFSET($L$9:$L$15,0,Z$631-1))</f>
        <v>3.14977993533847</v>
      </c>
      <c r="AA1110" s="136">
        <f ca="1" t="shared" ref="AA1110:AG1110" si="1205">AH1110-AH1109</f>
        <v>0</v>
      </c>
      <c r="AB1110" s="136">
        <f ca="1" t="shared" si="1205"/>
        <v>0</v>
      </c>
      <c r="AC1110" s="136">
        <f ca="1" t="shared" si="1205"/>
        <v>0</v>
      </c>
      <c r="AD1110" s="136">
        <f ca="1" t="shared" si="1205"/>
        <v>0</v>
      </c>
      <c r="AE1110" s="136">
        <f ca="1" t="shared" si="1205"/>
        <v>0</v>
      </c>
      <c r="AF1110" s="136">
        <f ca="1" t="shared" si="1205"/>
        <v>0</v>
      </c>
      <c r="AG1110" s="136">
        <f ca="1" t="shared" si="1205"/>
        <v>100</v>
      </c>
      <c r="AH1110" s="136">
        <f ca="1" t="shared" si="1151"/>
        <v>450</v>
      </c>
      <c r="AI1110" s="136">
        <f ca="1" t="shared" ref="AI1110:AN1110" si="1206">IF($C1110&gt;OFFSET($Q$8,MATCH(AI$634,$AH$634:$AN$634,0),0),OFFSET($P$8,MATCH(AI$634,$AH$634:$AN$634,0),0),MAX(0,$C1110-OFFSET($Q$8,RIGHT(AI$634,1)-1,0)))</f>
        <v>909</v>
      </c>
      <c r="AJ1110" s="136">
        <f ca="1" t="shared" si="1206"/>
        <v>1818</v>
      </c>
      <c r="AK1110" s="136">
        <f ca="1" t="shared" si="1206"/>
        <v>2727</v>
      </c>
      <c r="AL1110" s="136">
        <f ca="1" t="shared" si="1206"/>
        <v>3636</v>
      </c>
      <c r="AM1110" s="136">
        <f ca="1" t="shared" si="1206"/>
        <v>4545</v>
      </c>
      <c r="AN1110" s="136">
        <f ca="1" t="shared" si="1206"/>
        <v>33515</v>
      </c>
    </row>
    <row r="1111" s="106" customFormat="1" ht="16.5" spans="2:40">
      <c r="B1111" s="117">
        <v>477</v>
      </c>
      <c r="C1111" s="130">
        <f t="shared" si="1149"/>
        <v>47700</v>
      </c>
      <c r="D1111" s="131" cm="1">
        <f ca="1" t="array" ref="D1111">IF(D1713=1,OFFSET($W$634,$B1111,D$631-1)/SUMPRODUCT(--($D$631:$V$631=D$631),--($D1713:$V1713=1)),0)+SUM(D1110)+IF(COUNTIF(D$1237:D1713,1)=1,5,0)+IF(COUNTIF(E1111:$W1111,"&gt;"&amp;0)&lt;5,IF(AND(COUNTIF(D$1237:D1713,1)&gt;7,MOD(1+IFERROR(MATCH($C1111,总览!$D$46:$D$345,1)+1,1),7)=0),$C$3,0),0)</f>
        <v>3006.88850681202</v>
      </c>
      <c r="E1111" s="131" cm="1">
        <f ca="1" t="array" ref="E1111">IF(E1713=1,OFFSET($W$634,$B1111,E$631-1)/SUMPRODUCT(--($D$631:$V$631=E$631),--($D1713:$V1713=1)),0)+SUM(E1110)+IF(COUNTIF(E$1237:E1713,1)=1,5,0)+IF(COUNTIF(F1111:$W1111,"&gt;"&amp;0)&lt;5,IF(AND(COUNTIF(E$1237:E1713,1)&gt;7,MOD(1+IFERROR(MATCH($C1111,总览!$D$46:$D$345,1)+1,1),7)=0),$C$3,0),0)</f>
        <v>3006.88850681202</v>
      </c>
      <c r="F1111" s="131" cm="1">
        <f ca="1" t="array" ref="F1111">IF(F1713=1,OFFSET($W$634,$B1111,F$631-1)/SUMPRODUCT(--($D$631:$V$631=F$631),--($D1713:$V1713=1)),0)+SUM(F1110)+IF(COUNTIF(F$1237:F1713,1)=1,5,0)+IF(COUNTIF(G1111:$W1111,"&gt;"&amp;0)&lt;5,IF(AND(COUNTIF(F$1237:F1713,1)&gt;7,MOD(1+IFERROR(MATCH($C1111,总览!$D$46:$D$345,1)+1,1),7)=0),$C$3,0),0)</f>
        <v>3006.88850681202</v>
      </c>
      <c r="G1111" s="131" cm="1">
        <f ca="1" t="array" ref="G1111">IF(G1713=1,OFFSET($W$634,$B1111,G$631-1)/SUMPRODUCT(--($D$631:$V$631=G$631),--($D1713:$V1713=1)),0)+SUM(G1110)+IF(COUNTIF(G$1237:G1713,1)=1,5,0)+IF(COUNTIF(H1111:$W1111,"&gt;"&amp;0)&lt;5,IF(AND(COUNTIF(G$1237:G1713,1)&gt;7,MOD(1+IFERROR(MATCH($C1111,总览!$D$46:$D$345,1)+1,1),7)=0),$C$3,0),0)</f>
        <v>1529.39999999999</v>
      </c>
      <c r="H1111" s="131" cm="1">
        <f ca="1" t="array" ref="H1111">IF(H1713=1,OFFSET($W$634,$B1111,H$631-1)/SUMPRODUCT(--($D$631:$V$631=H$631),--($D1713:$V1713=1)),0)+SUM(H1110)+IF(COUNTIF(H$1237:H1713,1)=1,5,0)+IF(COUNTIF(I1111:$W1111,"&gt;"&amp;0)&lt;5,IF(AND(COUNTIF(H$1237:H1713,1)&gt;7,MOD(1+IFERROR(MATCH($C1111,总览!$D$46:$D$345,1)+1,1),7)=0),$C$3,0),0)</f>
        <v>1529.39999999999</v>
      </c>
      <c r="I1111" s="131" cm="1">
        <f ca="1" t="array" ref="I1111">IF(I1713=1,OFFSET($W$634,$B1111,I$631-1)/SUMPRODUCT(--($D$631:$V$631=I$631),--($D1713:$V1713=1)),0)+SUM(I1110)+IF(COUNTIF(I$1237:I1713,1)=1,5,0)+IF(COUNTIF(J1111:$W1111,"&gt;"&amp;0)&lt;5,IF(AND(COUNTIF(I$1237:I1713,1)&gt;7,MOD(1+IFERROR(MATCH($C1111,总览!$D$46:$D$345,1)+1,1),7)=0),$C$3,0),0)</f>
        <v>1529.39999999999</v>
      </c>
      <c r="J1111" s="131" cm="1">
        <f ca="1" t="array" ref="J1111">IF(J1713=1,OFFSET($W$634,$B1111,J$631-1)/SUMPRODUCT(--($D$631:$V$631=J$631),--($D1713:$V1713=1)),0)+SUM(J1110)+IF(COUNTIF(J$1237:J1713,1)=1,5,0)+IF(COUNTIF(K1111:$W1111,"&gt;"&amp;0)&lt;5,IF(AND(COUNTIF(J$1237:J1713,1)&gt;7,MOD(1+IFERROR(MATCH($C1111,总览!$D$46:$D$345,1)+1,1),7)=0),$C$3,0),0)</f>
        <v>1526.06666666666</v>
      </c>
      <c r="K1111" s="131" cm="1">
        <f ca="1" t="array" ref="K1111">IF(K1713=1,OFFSET($W$634,$B1111,K$631-1)/SUMPRODUCT(--($D$631:$V$631=K$631),--($D1713:$V1713=1)),0)+SUM(K1110)+IF(COUNTIF(K$1237:K1713,1)=1,5,0)+IF(COUNTIF(L1111:$W1111,"&gt;"&amp;0)&lt;5,IF(AND(COUNTIF(K$1237:K1713,1)&gt;7,MOD(1+IFERROR(MATCH($C1111,总览!$D$46:$D$345,1)+1,1),7)=0),$C$3,0),0)</f>
        <v>1523.56666666666</v>
      </c>
      <c r="L1111" s="131" cm="1">
        <f ca="1" t="array" ref="L1111">IF(L1713=1,OFFSET($W$634,$B1111,L$631-1)/SUMPRODUCT(--($D$631:$V$631=L$631),--($D1713:$V1713=1)),0)+SUM(L1110)+IF(COUNTIF(L$1237:L1713,1)=1,5,0)+IF(COUNTIF(M1111:$W1111,"&gt;"&amp;0)&lt;5,IF(AND(COUNTIF(L$1237:L1713,1)&gt;7,MOD(1+IFERROR(MATCH($C1111,总览!$D$46:$D$345,1)+1,1),7)=0),$C$3,0),0)</f>
        <v>1523.56666666666</v>
      </c>
      <c r="M1111" s="131" cm="1">
        <f ca="1" t="array" ref="M1111">IF(M1713=1,OFFSET($W$634,$B1111,M$631-1)/SUMPRODUCT(--($D$631:$V$631=M$631),--($D1713:$V1713=1)),0)+SUM(M1110)+IF(COUNTIF(M$1237:M1713,1)=1,5,0)+IF(COUNTIF(N1111:$W1111,"&gt;"&amp;0)&lt;5,IF(AND(COUNTIF(M$1237:M1713,1)&gt;7,MOD(1+IFERROR(MATCH($C1111,总览!$D$46:$D$345,1)+1,1),7)=0),$C$3,0),0)</f>
        <v>639.181250000003</v>
      </c>
      <c r="N1111" s="131" cm="1">
        <f ca="1" t="array" ref="N1111">IF(N1713=1,OFFSET($W$634,$B1111,N$631-1)/SUMPRODUCT(--($D$631:$V$631=N$631),--($D1713:$V1713=1)),0)+SUM(N1110)+IF(COUNTIF(N$1237:N1713,1)=1,5,0)+IF(COUNTIF(O1111:$W1111,"&gt;"&amp;0)&lt;5,IF(AND(COUNTIF(N$1237:N1713,1)&gt;7,MOD(1+IFERROR(MATCH($C1111,总览!$D$46:$D$345,1)+1,1),7)=0),$C$3,0),0)</f>
        <v>640.431250000003</v>
      </c>
      <c r="O1111" s="131" cm="1">
        <f ca="1" t="array" ref="O1111">IF(O1713=1,OFFSET($W$634,$B1111,O$631-1)/SUMPRODUCT(--($D$631:$V$631=O$631),--($D1713:$V1713=1)),0)+SUM(O1110)+IF(COUNTIF(O$1237:O1713,1)=1,5,0)+IF(COUNTIF(P1111:$W1111,"&gt;"&amp;0)&lt;5,IF(AND(COUNTIF(O$1237:O1713,1)&gt;7,MOD(1+IFERROR(MATCH($C1111,总览!$D$46:$D$345,1)+1,1),7)=0),$C$3,0),0)</f>
        <v>645.431250000003</v>
      </c>
      <c r="P1111" s="131" cm="1">
        <f ca="1" t="array" ref="P1111">IF(P1713=1,OFFSET($W$634,$B1111,P$631-1)/SUMPRODUCT(--($D$631:$V$631=P$631),--($D1713:$V1713=1)),0)+SUM(P1110)+IF(COUNTIF(P$1237:P1713,1)=1,5,0)+IF(COUNTIF(Q1111:$W1111,"&gt;"&amp;0)&lt;5,IF(AND(COUNTIF(P$1237:P1713,1)&gt;7,MOD(1+IFERROR(MATCH($C1111,总览!$D$46:$D$345,1)+1,1),7)=0),$C$3,0),0)</f>
        <v>634.550000000003</v>
      </c>
      <c r="Q1111" s="131" cm="1">
        <f ca="1" t="array" ref="Q1111">IF(Q1713=1,OFFSET($W$634,$B1111,Q$631-1)/SUMPRODUCT(--($D$631:$V$631=Q$631),--($D1713:$V1713=1)),0)+SUM(Q1110)+IF(COUNTIF(Q$1237:Q1713,1)=1,5,0)+IF(COUNTIF(R1111:$W1111,"&gt;"&amp;0)&lt;5,IF(AND(COUNTIF(Q$1237:Q1713,1)&gt;7,MOD(1+IFERROR(MATCH($C1111,总览!$D$46:$D$345,1)+1,1),7)=0),$C$3,0),0)</f>
        <v>647.931250000003</v>
      </c>
      <c r="R1111" s="131" cm="1">
        <f ca="1" t="array" ref="R1111">IF(R1713=1,OFFSET($W$634,$B1111,R$631-1)/SUMPRODUCT(--($D$631:$V$631=R$631),--($D1713:$V1713=1)),0)+SUM(R1110)+IF(COUNTIF(R$1237:R1713,1)=1,5,0)+IF(COUNTIF(S1111:$W1111,"&gt;"&amp;0)&lt;5,IF(AND(COUNTIF(R$1237:R1713,1)&gt;7,MOD(1+IFERROR(MATCH($C1111,总览!$D$46:$D$345,1)+1,1),7)=0),$C$3,0),0)</f>
        <v>639.550000000003</v>
      </c>
      <c r="S1111" s="131" cm="1">
        <f ca="1" t="array" ref="S1111">IF(S1713=1,OFFSET($W$634,$B1111,S$631-1)/SUMPRODUCT(--($D$631:$V$631=S$631),--($D1713:$V1713=1)),0)+SUM(S1110)+IF(COUNTIF(S$1237:S1713,1)=1,5,0)+IF(COUNTIF(T1111:$W1111,"&gt;"&amp;0)&lt;5,IF(AND(COUNTIF(S$1237:S1713,1)&gt;7,MOD(1+IFERROR(MATCH($C1111,总览!$D$46:$D$345,1)+1,1),7)=0),$C$3,0),0)</f>
        <v>732.050000000004</v>
      </c>
      <c r="T1111" s="131" cm="1">
        <f ca="1" t="array" ref="T1111">IF(T1713=1,OFFSET($W$634,$B1111,T$631-1)/SUMPRODUCT(--($D$631:$V$631=T$631),--($D1713:$V1713=1)),0)+SUM(T1110)+IF(COUNTIF(T$1237:T1713,1)=1,5,0)+IF(COUNTIF(U1111:$W1111,"&gt;"&amp;0)&lt;5,IF(AND(COUNTIF(T$1237:T1713,1)&gt;7,MOD(1+IFERROR(MATCH($C1111,总览!$D$46:$D$345,1)+1,1),7)=0),$C$3,0),0)</f>
        <v>535.980302380331</v>
      </c>
      <c r="U1111" s="131" cm="1">
        <f ca="1" t="array" ref="U1111">IF(U1713=1,OFFSET($W$634,$B1111,U$631-1)/SUMPRODUCT(--($D$631:$V$631=U$631),--($D1713:$V1713=1)),0)+SUM(U1110)+IF(COUNTIF(U$1237:U1713,1)=1,5,0)+IF(COUNTIF(V1111:$W1111,"&gt;"&amp;0)&lt;5,IF(AND(COUNTIF(U$1237:U1713,1)&gt;7,MOD(1+IFERROR(MATCH($C1111,总览!$D$46:$D$345,1)+1,1),7)=0),$C$3,0),0)</f>
        <v>541.50108873563</v>
      </c>
      <c r="V1111" s="131" cm="1">
        <f ca="1" t="array" ref="V1111">IF(V1713=1,OFFSET($W$634,$B1111,V$631-1)/SUMPRODUCT(--($D$631:$V$631=V$631),--($D1713:$V1713=1)),0)+SUM(V1110)+IF(COUNTIF(V$1237:V1713,1)=1,5,0)+IF(COUNTIF(W1111:$W1111,"&gt;"&amp;0)&lt;5,IF(AND(COUNTIF(V$1237:V1713,1)&gt;7,MOD(1+IFERROR(MATCH($C1111,总览!$D$46:$D$345,1)+1,1),7)=0),$C$3,0),0)</f>
        <v>561.328088448063</v>
      </c>
      <c r="W1111" s="135" cm="1">
        <f ca="1" t="array" ref="W1111">SUMPRODUCT(TRANSPOSE($AA1111:$AG1111),OFFSET($L$9:$L$15,0,W$631-1))</f>
        <v>16.8502200646615</v>
      </c>
      <c r="X1111" s="135" cm="1">
        <f ca="1" t="array" ref="X1111">SUMPRODUCT(TRANSPOSE($AA1111:$AG1111),OFFSET($L$9:$L$15,0,X$631-1))</f>
        <v>20</v>
      </c>
      <c r="Y1111" s="135" cm="1">
        <f ca="1" t="array" ref="Y1111">SUMPRODUCT(TRANSPOSE($AA1111:$AG1111),OFFSET($L$9:$L$15,0,Y$631-1))</f>
        <v>10</v>
      </c>
      <c r="Z1111" s="135" cm="1">
        <f ca="1" t="array" ref="Z1111">SUMPRODUCT(TRANSPOSE($AA1111:$AG1111),OFFSET($L$9:$L$15,0,Z$631-1))</f>
        <v>3.14977993533847</v>
      </c>
      <c r="AA1111" s="136">
        <f ca="1" t="shared" ref="AA1111:AG1111" si="1207">AH1111-AH1110</f>
        <v>0</v>
      </c>
      <c r="AB1111" s="136">
        <f ca="1" t="shared" si="1207"/>
        <v>0</v>
      </c>
      <c r="AC1111" s="136">
        <f ca="1" t="shared" si="1207"/>
        <v>0</v>
      </c>
      <c r="AD1111" s="136">
        <f ca="1" t="shared" si="1207"/>
        <v>0</v>
      </c>
      <c r="AE1111" s="136">
        <f ca="1" t="shared" si="1207"/>
        <v>0</v>
      </c>
      <c r="AF1111" s="136">
        <f ca="1" t="shared" si="1207"/>
        <v>0</v>
      </c>
      <c r="AG1111" s="136">
        <f ca="1" t="shared" si="1207"/>
        <v>100</v>
      </c>
      <c r="AH1111" s="136">
        <f ca="1" t="shared" si="1151"/>
        <v>450</v>
      </c>
      <c r="AI1111" s="136">
        <f ca="1" t="shared" ref="AI1111:AN1111" si="1208">IF($C1111&gt;OFFSET($Q$8,MATCH(AI$634,$AH$634:$AN$634,0),0),OFFSET($P$8,MATCH(AI$634,$AH$634:$AN$634,0),0),MAX(0,$C1111-OFFSET($Q$8,RIGHT(AI$634,1)-1,0)))</f>
        <v>909</v>
      </c>
      <c r="AJ1111" s="136">
        <f ca="1" t="shared" si="1208"/>
        <v>1818</v>
      </c>
      <c r="AK1111" s="136">
        <f ca="1" t="shared" si="1208"/>
        <v>2727</v>
      </c>
      <c r="AL1111" s="136">
        <f ca="1" t="shared" si="1208"/>
        <v>3636</v>
      </c>
      <c r="AM1111" s="136">
        <f ca="1" t="shared" si="1208"/>
        <v>4545</v>
      </c>
      <c r="AN1111" s="136">
        <f ca="1" t="shared" si="1208"/>
        <v>33615</v>
      </c>
    </row>
    <row r="1112" s="106" customFormat="1" ht="16.5" spans="2:40">
      <c r="B1112" s="117">
        <v>478</v>
      </c>
      <c r="C1112" s="130">
        <f t="shared" si="1149"/>
        <v>47800</v>
      </c>
      <c r="D1112" s="131" cm="1">
        <f ca="1" t="array" ref="D1112">IF(D1714=1,OFFSET($W$634,$B1112,D$631-1)/SUMPRODUCT(--($D$631:$V$631=D$631),--($D1714:$V1714=1)),0)+SUM(D1111)+IF(COUNTIF(D$1237:D1714,1)=1,5,0)+IF(COUNTIF(E1112:$W1112,"&gt;"&amp;0)&lt;5,IF(AND(COUNTIF(D$1237:D1714,1)&gt;7,MOD(1+IFERROR(MATCH($C1112,总览!$D$46:$D$345,1)+1,1),7)=0),$C$3,0),0)</f>
        <v>3012.50524683357</v>
      </c>
      <c r="E1112" s="131" cm="1">
        <f ca="1" t="array" ref="E1112">IF(E1714=1,OFFSET($W$634,$B1112,E$631-1)/SUMPRODUCT(--($D$631:$V$631=E$631),--($D1714:$V1714=1)),0)+SUM(E1111)+IF(COUNTIF(E$1237:E1714,1)=1,5,0)+IF(COUNTIF(F1112:$W1112,"&gt;"&amp;0)&lt;5,IF(AND(COUNTIF(E$1237:E1714,1)&gt;7,MOD(1+IFERROR(MATCH($C1112,总览!$D$46:$D$345,1)+1,1),7)=0),$C$3,0),0)</f>
        <v>3012.50524683357</v>
      </c>
      <c r="F1112" s="131" cm="1">
        <f ca="1" t="array" ref="F1112">IF(F1714=1,OFFSET($W$634,$B1112,F$631-1)/SUMPRODUCT(--($D$631:$V$631=F$631),--($D1714:$V1714=1)),0)+SUM(F1111)+IF(COUNTIF(F$1237:F1714,1)=1,5,0)+IF(COUNTIF(G1112:$W1112,"&gt;"&amp;0)&lt;5,IF(AND(COUNTIF(F$1237:F1714,1)&gt;7,MOD(1+IFERROR(MATCH($C1112,总览!$D$46:$D$345,1)+1,1),7)=0),$C$3,0),0)</f>
        <v>3012.50524683357</v>
      </c>
      <c r="G1112" s="131" cm="1">
        <f ca="1" t="array" ref="G1112">IF(G1714=1,OFFSET($W$634,$B1112,G$631-1)/SUMPRODUCT(--($D$631:$V$631=G$631),--($D1714:$V1714=1)),0)+SUM(G1111)+IF(COUNTIF(G$1237:G1714,1)=1,5,0)+IF(COUNTIF(H1112:$W1112,"&gt;"&amp;0)&lt;5,IF(AND(COUNTIF(G$1237:G1714,1)&gt;7,MOD(1+IFERROR(MATCH($C1112,总览!$D$46:$D$345,1)+1,1),7)=0),$C$3,0),0)</f>
        <v>1532.73333333333</v>
      </c>
      <c r="H1112" s="131" cm="1">
        <f ca="1" t="array" ref="H1112">IF(H1714=1,OFFSET($W$634,$B1112,H$631-1)/SUMPRODUCT(--($D$631:$V$631=H$631),--($D1714:$V1714=1)),0)+SUM(H1111)+IF(COUNTIF(H$1237:H1714,1)=1,5,0)+IF(COUNTIF(I1112:$W1112,"&gt;"&amp;0)&lt;5,IF(AND(COUNTIF(H$1237:H1714,1)&gt;7,MOD(1+IFERROR(MATCH($C1112,总览!$D$46:$D$345,1)+1,1),7)=0),$C$3,0),0)</f>
        <v>1532.73333333333</v>
      </c>
      <c r="I1112" s="131" cm="1">
        <f ca="1" t="array" ref="I1112">IF(I1714=1,OFFSET($W$634,$B1112,I$631-1)/SUMPRODUCT(--($D$631:$V$631=I$631),--($D1714:$V1714=1)),0)+SUM(I1111)+IF(COUNTIF(I$1237:I1714,1)=1,5,0)+IF(COUNTIF(J1112:$W1112,"&gt;"&amp;0)&lt;5,IF(AND(COUNTIF(I$1237:I1714,1)&gt;7,MOD(1+IFERROR(MATCH($C1112,总览!$D$46:$D$345,1)+1,1),7)=0),$C$3,0),0)</f>
        <v>1532.73333333333</v>
      </c>
      <c r="J1112" s="131" cm="1">
        <f ca="1" t="array" ref="J1112">IF(J1714=1,OFFSET($W$634,$B1112,J$631-1)/SUMPRODUCT(--($D$631:$V$631=J$631),--($D1714:$V1714=1)),0)+SUM(J1111)+IF(COUNTIF(J$1237:J1714,1)=1,5,0)+IF(COUNTIF(K1112:$W1112,"&gt;"&amp;0)&lt;5,IF(AND(COUNTIF(J$1237:J1714,1)&gt;7,MOD(1+IFERROR(MATCH($C1112,总览!$D$46:$D$345,1)+1,1),7)=0),$C$3,0),0)</f>
        <v>1529.39999999999</v>
      </c>
      <c r="K1112" s="131" cm="1">
        <f ca="1" t="array" ref="K1112">IF(K1714=1,OFFSET($W$634,$B1112,K$631-1)/SUMPRODUCT(--($D$631:$V$631=K$631),--($D1714:$V1714=1)),0)+SUM(K1111)+IF(COUNTIF(K$1237:K1714,1)=1,5,0)+IF(COUNTIF(L1112:$W1112,"&gt;"&amp;0)&lt;5,IF(AND(COUNTIF(K$1237:K1714,1)&gt;7,MOD(1+IFERROR(MATCH($C1112,总览!$D$46:$D$345,1)+1,1),7)=0),$C$3,0),0)</f>
        <v>1526.89999999999</v>
      </c>
      <c r="L1112" s="131" cm="1">
        <f ca="1" t="array" ref="L1112">IF(L1714=1,OFFSET($W$634,$B1112,L$631-1)/SUMPRODUCT(--($D$631:$V$631=L$631),--($D1714:$V1714=1)),0)+SUM(L1111)+IF(COUNTIF(L$1237:L1714,1)=1,5,0)+IF(COUNTIF(M1112:$W1112,"&gt;"&amp;0)&lt;5,IF(AND(COUNTIF(L$1237:L1714,1)&gt;7,MOD(1+IFERROR(MATCH($C1112,总览!$D$46:$D$345,1)+1,1),7)=0),$C$3,0),0)</f>
        <v>1526.89999999999</v>
      </c>
      <c r="M1112" s="131" cm="1">
        <f ca="1" t="array" ref="M1112">IF(M1714=1,OFFSET($W$634,$B1112,M$631-1)/SUMPRODUCT(--($D$631:$V$631=M$631),--($D1714:$V1714=1)),0)+SUM(M1111)+IF(COUNTIF(M$1237:M1714,1)=1,5,0)+IF(COUNTIF(N1112:$W1112,"&gt;"&amp;0)&lt;5,IF(AND(COUNTIF(M$1237:M1714,1)&gt;7,MOD(1+IFERROR(MATCH($C1112,总览!$D$46:$D$345,1)+1,1),7)=0),$C$3,0),0)</f>
        <v>640.609821428575</v>
      </c>
      <c r="N1112" s="131" cm="1">
        <f ca="1" t="array" ref="N1112">IF(N1714=1,OFFSET($W$634,$B1112,N$631-1)/SUMPRODUCT(--($D$631:$V$631=N$631),--($D1714:$V1714=1)),0)+SUM(N1111)+IF(COUNTIF(N$1237:N1714,1)=1,5,0)+IF(COUNTIF(O1112:$W1112,"&gt;"&amp;0)&lt;5,IF(AND(COUNTIF(N$1237:N1714,1)&gt;7,MOD(1+IFERROR(MATCH($C1112,总览!$D$46:$D$345,1)+1,1),7)=0),$C$3,0),0)</f>
        <v>641.859821428575</v>
      </c>
      <c r="O1112" s="131" cm="1">
        <f ca="1" t="array" ref="O1112">IF(O1714=1,OFFSET($W$634,$B1112,O$631-1)/SUMPRODUCT(--($D$631:$V$631=O$631),--($D1714:$V1714=1)),0)+SUM(O1111)+IF(COUNTIF(O$1237:O1714,1)=1,5,0)+IF(COUNTIF(P1112:$W1112,"&gt;"&amp;0)&lt;5,IF(AND(COUNTIF(O$1237:O1714,1)&gt;7,MOD(1+IFERROR(MATCH($C1112,总览!$D$46:$D$345,1)+1,1),7)=0),$C$3,0),0)</f>
        <v>646.859821428575</v>
      </c>
      <c r="P1112" s="131" cm="1">
        <f ca="1" t="array" ref="P1112">IF(P1714=1,OFFSET($W$634,$B1112,P$631-1)/SUMPRODUCT(--($D$631:$V$631=P$631),--($D1714:$V1714=1)),0)+SUM(P1111)+IF(COUNTIF(P$1237:P1714,1)=1,5,0)+IF(COUNTIF(Q1112:$W1112,"&gt;"&amp;0)&lt;5,IF(AND(COUNTIF(P$1237:P1714,1)&gt;7,MOD(1+IFERROR(MATCH($C1112,总览!$D$46:$D$345,1)+1,1),7)=0),$C$3,0),0)</f>
        <v>635.978571428575</v>
      </c>
      <c r="Q1112" s="131" cm="1">
        <f ca="1" t="array" ref="Q1112">IF(Q1714=1,OFFSET($W$634,$B1112,Q$631-1)/SUMPRODUCT(--($D$631:$V$631=Q$631),--($D1714:$V1714=1)),0)+SUM(Q1111)+IF(COUNTIF(Q$1237:Q1714,1)=1,5,0)+IF(COUNTIF(R1112:$W1112,"&gt;"&amp;0)&lt;5,IF(AND(COUNTIF(Q$1237:Q1714,1)&gt;7,MOD(1+IFERROR(MATCH($C1112,总览!$D$46:$D$345,1)+1,1),7)=0),$C$3,0),0)</f>
        <v>649.359821428575</v>
      </c>
      <c r="R1112" s="131" cm="1">
        <f ca="1" t="array" ref="R1112">IF(R1714=1,OFFSET($W$634,$B1112,R$631-1)/SUMPRODUCT(--($D$631:$V$631=R$631),--($D1714:$V1714=1)),0)+SUM(R1111)+IF(COUNTIF(R$1237:R1714,1)=1,5,0)+IF(COUNTIF(S1112:$W1112,"&gt;"&amp;0)&lt;5,IF(AND(COUNTIF(R$1237:R1714,1)&gt;7,MOD(1+IFERROR(MATCH($C1112,总览!$D$46:$D$345,1)+1,1),7)=0),$C$3,0),0)</f>
        <v>640.978571428575</v>
      </c>
      <c r="S1112" s="131" cm="1">
        <f ca="1" t="array" ref="S1112">IF(S1714=1,OFFSET($W$634,$B1112,S$631-1)/SUMPRODUCT(--($D$631:$V$631=S$631),--($D1714:$V1714=1)),0)+SUM(S1111)+IF(COUNTIF(S$1237:S1714,1)=1,5,0)+IF(COUNTIF(T1112:$W1112,"&gt;"&amp;0)&lt;5,IF(AND(COUNTIF(S$1237:S1714,1)&gt;7,MOD(1+IFERROR(MATCH($C1112,总览!$D$46:$D$345,1)+1,1),7)=0),$C$3,0),0)</f>
        <v>733.478571428576</v>
      </c>
      <c r="T1112" s="131" cm="1">
        <f ca="1" t="array" ref="T1112">IF(T1714=1,OFFSET($W$634,$B1112,T$631-1)/SUMPRODUCT(--($D$631:$V$631=T$631),--($D1714:$V1714=1)),0)+SUM(T1111)+IF(COUNTIF(T$1237:T1714,1)=1,5,0)+IF(COUNTIF(U1112:$W1112,"&gt;"&amp;0)&lt;5,IF(AND(COUNTIF(T$1237:T1714,1)&gt;7,MOD(1+IFERROR(MATCH($C1112,总览!$D$46:$D$345,1)+1,1),7)=0),$C$3,0),0)</f>
        <v>537.030229025444</v>
      </c>
      <c r="U1112" s="131" cm="1">
        <f ca="1" t="array" ref="U1112">IF(U1714=1,OFFSET($W$634,$B1112,U$631-1)/SUMPRODUCT(--($D$631:$V$631=U$631),--($D1714:$V1714=1)),0)+SUM(U1111)+IF(COUNTIF(U$1237:U1714,1)=1,5,0)+IF(COUNTIF(V1112:$W1112,"&gt;"&amp;0)&lt;5,IF(AND(COUNTIF(U$1237:U1714,1)&gt;7,MOD(1+IFERROR(MATCH($C1112,总览!$D$46:$D$345,1)+1,1),7)=0),$C$3,0),0)</f>
        <v>542.551015380743</v>
      </c>
      <c r="V1112" s="131" cm="1">
        <f ca="1" t="array" ref="V1112">IF(V1714=1,OFFSET($W$634,$B1112,V$631-1)/SUMPRODUCT(--($D$631:$V$631=V$631),--($D1714:$V1714=1)),0)+SUM(V1111)+IF(COUNTIF(V$1237:V1714,1)=1,5,0)+IF(COUNTIF(W1112:$W1112,"&gt;"&amp;0)&lt;5,IF(AND(COUNTIF(V$1237:V1714,1)&gt;7,MOD(1+IFERROR(MATCH($C1112,总览!$D$46:$D$345,1)+1,1),7)=0),$C$3,0),0)</f>
        <v>562.378015093176</v>
      </c>
      <c r="W1112" s="135" cm="1">
        <f ca="1" t="array" ref="W1112">SUMPRODUCT(TRANSPOSE($AA1112:$AG1112),OFFSET($L$9:$L$15,0,W$631-1))</f>
        <v>16.8502200646615</v>
      </c>
      <c r="X1112" s="135" cm="1">
        <f ca="1" t="array" ref="X1112">SUMPRODUCT(TRANSPOSE($AA1112:$AG1112),OFFSET($L$9:$L$15,0,X$631-1))</f>
        <v>20</v>
      </c>
      <c r="Y1112" s="135" cm="1">
        <f ca="1" t="array" ref="Y1112">SUMPRODUCT(TRANSPOSE($AA1112:$AG1112),OFFSET($L$9:$L$15,0,Y$631-1))</f>
        <v>10</v>
      </c>
      <c r="Z1112" s="135" cm="1">
        <f ca="1" t="array" ref="Z1112">SUMPRODUCT(TRANSPOSE($AA1112:$AG1112),OFFSET($L$9:$L$15,0,Z$631-1))</f>
        <v>3.14977993533847</v>
      </c>
      <c r="AA1112" s="136">
        <f ca="1" t="shared" ref="AA1112:AG1112" si="1209">AH1112-AH1111</f>
        <v>0</v>
      </c>
      <c r="AB1112" s="136">
        <f ca="1" t="shared" si="1209"/>
        <v>0</v>
      </c>
      <c r="AC1112" s="136">
        <f ca="1" t="shared" si="1209"/>
        <v>0</v>
      </c>
      <c r="AD1112" s="136">
        <f ca="1" t="shared" si="1209"/>
        <v>0</v>
      </c>
      <c r="AE1112" s="136">
        <f ca="1" t="shared" si="1209"/>
        <v>0</v>
      </c>
      <c r="AF1112" s="136">
        <f ca="1" t="shared" si="1209"/>
        <v>0</v>
      </c>
      <c r="AG1112" s="136">
        <f ca="1" t="shared" si="1209"/>
        <v>100</v>
      </c>
      <c r="AH1112" s="136">
        <f ca="1" t="shared" si="1151"/>
        <v>450</v>
      </c>
      <c r="AI1112" s="136">
        <f ca="1" t="shared" ref="AI1112:AN1112" si="1210">IF($C1112&gt;OFFSET($Q$8,MATCH(AI$634,$AH$634:$AN$634,0),0),OFFSET($P$8,MATCH(AI$634,$AH$634:$AN$634,0),0),MAX(0,$C1112-OFFSET($Q$8,RIGHT(AI$634,1)-1,0)))</f>
        <v>909</v>
      </c>
      <c r="AJ1112" s="136">
        <f ca="1" t="shared" si="1210"/>
        <v>1818</v>
      </c>
      <c r="AK1112" s="136">
        <f ca="1" t="shared" si="1210"/>
        <v>2727</v>
      </c>
      <c r="AL1112" s="136">
        <f ca="1" t="shared" si="1210"/>
        <v>3636</v>
      </c>
      <c r="AM1112" s="136">
        <f ca="1" t="shared" si="1210"/>
        <v>4545</v>
      </c>
      <c r="AN1112" s="136">
        <f ca="1" t="shared" si="1210"/>
        <v>33715</v>
      </c>
    </row>
    <row r="1113" s="106" customFormat="1" ht="16.5" spans="2:40">
      <c r="B1113" s="117">
        <v>479</v>
      </c>
      <c r="C1113" s="130">
        <f t="shared" si="1149"/>
        <v>47900</v>
      </c>
      <c r="D1113" s="131" cm="1">
        <f ca="1" t="array" ref="D1113">IF(D1715=1,OFFSET($W$634,$B1113,D$631-1)/SUMPRODUCT(--($D$631:$V$631=D$631),--($D1715:$V1715=1)),0)+SUM(D1112)+IF(COUNTIF(D$1237:D1715,1)=1,5,0)+IF(COUNTIF(E1113:$W1113,"&gt;"&amp;0)&lt;5,IF(AND(COUNTIF(D$1237:D1715,1)&gt;7,MOD(1+IFERROR(MATCH($C1113,总览!$D$46:$D$345,1)+1,1),7)=0),$C$3,0),0)</f>
        <v>3018.12198685513</v>
      </c>
      <c r="E1113" s="131" cm="1">
        <f ca="1" t="array" ref="E1113">IF(E1715=1,OFFSET($W$634,$B1113,E$631-1)/SUMPRODUCT(--($D$631:$V$631=E$631),--($D1715:$V1715=1)),0)+SUM(E1112)+IF(COUNTIF(E$1237:E1715,1)=1,5,0)+IF(COUNTIF(F1113:$W1113,"&gt;"&amp;0)&lt;5,IF(AND(COUNTIF(E$1237:E1715,1)&gt;7,MOD(1+IFERROR(MATCH($C1113,总览!$D$46:$D$345,1)+1,1),7)=0),$C$3,0),0)</f>
        <v>3018.12198685513</v>
      </c>
      <c r="F1113" s="131" cm="1">
        <f ca="1" t="array" ref="F1113">IF(F1715=1,OFFSET($W$634,$B1113,F$631-1)/SUMPRODUCT(--($D$631:$V$631=F$631),--($D1715:$V1715=1)),0)+SUM(F1112)+IF(COUNTIF(F$1237:F1715,1)=1,5,0)+IF(COUNTIF(G1113:$W1113,"&gt;"&amp;0)&lt;5,IF(AND(COUNTIF(F$1237:F1715,1)&gt;7,MOD(1+IFERROR(MATCH($C1113,总览!$D$46:$D$345,1)+1,1),7)=0),$C$3,0),0)</f>
        <v>3018.12198685513</v>
      </c>
      <c r="G1113" s="131" cm="1">
        <f ca="1" t="array" ref="G1113">IF(G1715=1,OFFSET($W$634,$B1113,G$631-1)/SUMPRODUCT(--($D$631:$V$631=G$631),--($D1715:$V1715=1)),0)+SUM(G1112)+IF(COUNTIF(G$1237:G1715,1)=1,5,0)+IF(COUNTIF(H1113:$W1113,"&gt;"&amp;0)&lt;5,IF(AND(COUNTIF(G$1237:G1715,1)&gt;7,MOD(1+IFERROR(MATCH($C1113,总览!$D$46:$D$345,1)+1,1),7)=0),$C$3,0),0)</f>
        <v>1536.06666666666</v>
      </c>
      <c r="H1113" s="131" cm="1">
        <f ca="1" t="array" ref="H1113">IF(H1715=1,OFFSET($W$634,$B1113,H$631-1)/SUMPRODUCT(--($D$631:$V$631=H$631),--($D1715:$V1715=1)),0)+SUM(H1112)+IF(COUNTIF(H$1237:H1715,1)=1,5,0)+IF(COUNTIF(I1113:$W1113,"&gt;"&amp;0)&lt;5,IF(AND(COUNTIF(H$1237:H1715,1)&gt;7,MOD(1+IFERROR(MATCH($C1113,总览!$D$46:$D$345,1)+1,1),7)=0),$C$3,0),0)</f>
        <v>1536.06666666666</v>
      </c>
      <c r="I1113" s="131" cm="1">
        <f ca="1" t="array" ref="I1113">IF(I1715=1,OFFSET($W$634,$B1113,I$631-1)/SUMPRODUCT(--($D$631:$V$631=I$631),--($D1715:$V1715=1)),0)+SUM(I1112)+IF(COUNTIF(I$1237:I1715,1)=1,5,0)+IF(COUNTIF(J1113:$W1113,"&gt;"&amp;0)&lt;5,IF(AND(COUNTIF(I$1237:I1715,1)&gt;7,MOD(1+IFERROR(MATCH($C1113,总览!$D$46:$D$345,1)+1,1),7)=0),$C$3,0),0)</f>
        <v>1536.06666666666</v>
      </c>
      <c r="J1113" s="131" cm="1">
        <f ca="1" t="array" ref="J1113">IF(J1715=1,OFFSET($W$634,$B1113,J$631-1)/SUMPRODUCT(--($D$631:$V$631=J$631),--($D1715:$V1715=1)),0)+SUM(J1112)+IF(COUNTIF(J$1237:J1715,1)=1,5,0)+IF(COUNTIF(K1113:$W1113,"&gt;"&amp;0)&lt;5,IF(AND(COUNTIF(J$1237:J1715,1)&gt;7,MOD(1+IFERROR(MATCH($C1113,总览!$D$46:$D$345,1)+1,1),7)=0),$C$3,0),0)</f>
        <v>1532.73333333333</v>
      </c>
      <c r="K1113" s="131" cm="1">
        <f ca="1" t="array" ref="K1113">IF(K1715=1,OFFSET($W$634,$B1113,K$631-1)/SUMPRODUCT(--($D$631:$V$631=K$631),--($D1715:$V1715=1)),0)+SUM(K1112)+IF(COUNTIF(K$1237:K1715,1)=1,5,0)+IF(COUNTIF(L1113:$W1113,"&gt;"&amp;0)&lt;5,IF(AND(COUNTIF(K$1237:K1715,1)&gt;7,MOD(1+IFERROR(MATCH($C1113,总览!$D$46:$D$345,1)+1,1),7)=0),$C$3,0),0)</f>
        <v>1530.23333333333</v>
      </c>
      <c r="L1113" s="131" cm="1">
        <f ca="1" t="array" ref="L1113">IF(L1715=1,OFFSET($W$634,$B1113,L$631-1)/SUMPRODUCT(--($D$631:$V$631=L$631),--($D1715:$V1715=1)),0)+SUM(L1112)+IF(COUNTIF(L$1237:L1715,1)=1,5,0)+IF(COUNTIF(M1113:$W1113,"&gt;"&amp;0)&lt;5,IF(AND(COUNTIF(L$1237:L1715,1)&gt;7,MOD(1+IFERROR(MATCH($C1113,总览!$D$46:$D$345,1)+1,1),7)=0),$C$3,0),0)</f>
        <v>1530.23333333333</v>
      </c>
      <c r="M1113" s="131" cm="1">
        <f ca="1" t="array" ref="M1113">IF(M1715=1,OFFSET($W$634,$B1113,M$631-1)/SUMPRODUCT(--($D$631:$V$631=M$631),--($D1715:$V1715=1)),0)+SUM(M1112)+IF(COUNTIF(M$1237:M1715,1)=1,5,0)+IF(COUNTIF(N1113:$W1113,"&gt;"&amp;0)&lt;5,IF(AND(COUNTIF(M$1237:M1715,1)&gt;7,MOD(1+IFERROR(MATCH($C1113,总览!$D$46:$D$345,1)+1,1),7)=0),$C$3,0),0)</f>
        <v>642.038392857146</v>
      </c>
      <c r="N1113" s="131" cm="1">
        <f ca="1" t="array" ref="N1113">IF(N1715=1,OFFSET($W$634,$B1113,N$631-1)/SUMPRODUCT(--($D$631:$V$631=N$631),--($D1715:$V1715=1)),0)+SUM(N1112)+IF(COUNTIF(N$1237:N1715,1)=1,5,0)+IF(COUNTIF(O1113:$W1113,"&gt;"&amp;0)&lt;5,IF(AND(COUNTIF(N$1237:N1715,1)&gt;7,MOD(1+IFERROR(MATCH($C1113,总览!$D$46:$D$345,1)+1,1),7)=0),$C$3,0),0)</f>
        <v>643.288392857146</v>
      </c>
      <c r="O1113" s="131" cm="1">
        <f ca="1" t="array" ref="O1113">IF(O1715=1,OFFSET($W$634,$B1113,O$631-1)/SUMPRODUCT(--($D$631:$V$631=O$631),--($D1715:$V1715=1)),0)+SUM(O1112)+IF(COUNTIF(O$1237:O1715,1)=1,5,0)+IF(COUNTIF(P1113:$W1113,"&gt;"&amp;0)&lt;5,IF(AND(COUNTIF(O$1237:O1715,1)&gt;7,MOD(1+IFERROR(MATCH($C1113,总览!$D$46:$D$345,1)+1,1),7)=0),$C$3,0),0)</f>
        <v>648.288392857146</v>
      </c>
      <c r="P1113" s="131" cm="1">
        <f ca="1" t="array" ref="P1113">IF(P1715=1,OFFSET($W$634,$B1113,P$631-1)/SUMPRODUCT(--($D$631:$V$631=P$631),--($D1715:$V1715=1)),0)+SUM(P1112)+IF(COUNTIF(P$1237:P1715,1)=1,5,0)+IF(COUNTIF(Q1113:$W1113,"&gt;"&amp;0)&lt;5,IF(AND(COUNTIF(P$1237:P1715,1)&gt;7,MOD(1+IFERROR(MATCH($C1113,总览!$D$46:$D$345,1)+1,1),7)=0),$C$3,0),0)</f>
        <v>637.407142857146</v>
      </c>
      <c r="Q1113" s="131" cm="1">
        <f ca="1" t="array" ref="Q1113">IF(Q1715=1,OFFSET($W$634,$B1113,Q$631-1)/SUMPRODUCT(--($D$631:$V$631=Q$631),--($D1715:$V1715=1)),0)+SUM(Q1112)+IF(COUNTIF(Q$1237:Q1715,1)=1,5,0)+IF(COUNTIF(R1113:$W1113,"&gt;"&amp;0)&lt;5,IF(AND(COUNTIF(Q$1237:Q1715,1)&gt;7,MOD(1+IFERROR(MATCH($C1113,总览!$D$46:$D$345,1)+1,1),7)=0),$C$3,0),0)</f>
        <v>650.788392857146</v>
      </c>
      <c r="R1113" s="131" cm="1">
        <f ca="1" t="array" ref="R1113">IF(R1715=1,OFFSET($W$634,$B1113,R$631-1)/SUMPRODUCT(--($D$631:$V$631=R$631),--($D1715:$V1715=1)),0)+SUM(R1112)+IF(COUNTIF(R$1237:R1715,1)=1,5,0)+IF(COUNTIF(S1113:$W1113,"&gt;"&amp;0)&lt;5,IF(AND(COUNTIF(R$1237:R1715,1)&gt;7,MOD(1+IFERROR(MATCH($C1113,总览!$D$46:$D$345,1)+1,1),7)=0),$C$3,0),0)</f>
        <v>642.407142857146</v>
      </c>
      <c r="S1113" s="131" cm="1">
        <f ca="1" t="array" ref="S1113">IF(S1715=1,OFFSET($W$634,$B1113,S$631-1)/SUMPRODUCT(--($D$631:$V$631=S$631),--($D1715:$V1715=1)),0)+SUM(S1112)+IF(COUNTIF(S$1237:S1715,1)=1,5,0)+IF(COUNTIF(T1113:$W1113,"&gt;"&amp;0)&lt;5,IF(AND(COUNTIF(S$1237:S1715,1)&gt;7,MOD(1+IFERROR(MATCH($C1113,总览!$D$46:$D$345,1)+1,1),7)=0),$C$3,0),0)</f>
        <v>734.907142857147</v>
      </c>
      <c r="T1113" s="131" cm="1">
        <f ca="1" t="array" ref="T1113">IF(T1715=1,OFFSET($W$634,$B1113,T$631-1)/SUMPRODUCT(--($D$631:$V$631=T$631),--($D1715:$V1715=1)),0)+SUM(T1112)+IF(COUNTIF(T$1237:T1715,1)=1,5,0)+IF(COUNTIF(U1113:$W1113,"&gt;"&amp;0)&lt;5,IF(AND(COUNTIF(T$1237:T1715,1)&gt;7,MOD(1+IFERROR(MATCH($C1113,总览!$D$46:$D$345,1)+1,1),7)=0),$C$3,0),0)</f>
        <v>538.080155670557</v>
      </c>
      <c r="U1113" s="131" cm="1">
        <f ca="1" t="array" ref="U1113">IF(U1715=1,OFFSET($W$634,$B1113,U$631-1)/SUMPRODUCT(--($D$631:$V$631=U$631),--($D1715:$V1715=1)),0)+SUM(U1112)+IF(COUNTIF(U$1237:U1715,1)=1,5,0)+IF(COUNTIF(V1113:$W1113,"&gt;"&amp;0)&lt;5,IF(AND(COUNTIF(U$1237:U1715,1)&gt;7,MOD(1+IFERROR(MATCH($C1113,总览!$D$46:$D$345,1)+1,1),7)=0),$C$3,0),0)</f>
        <v>543.600942025856</v>
      </c>
      <c r="V1113" s="131" cm="1">
        <f ca="1" t="array" ref="V1113">IF(V1715=1,OFFSET($W$634,$B1113,V$631-1)/SUMPRODUCT(--($D$631:$V$631=V$631),--($D1715:$V1715=1)),0)+SUM(V1112)+IF(COUNTIF(V$1237:V1715,1)=1,5,0)+IF(COUNTIF(W1113:$W1113,"&gt;"&amp;0)&lt;5,IF(AND(COUNTIF(V$1237:V1715,1)&gt;7,MOD(1+IFERROR(MATCH($C1113,总览!$D$46:$D$345,1)+1,1),7)=0),$C$3,0),0)</f>
        <v>563.427941738289</v>
      </c>
      <c r="W1113" s="135" cm="1">
        <f ca="1" t="array" ref="W1113">SUMPRODUCT(TRANSPOSE($AA1113:$AG1113),OFFSET($L$9:$L$15,0,W$631-1))</f>
        <v>16.8502200646615</v>
      </c>
      <c r="X1113" s="135" cm="1">
        <f ca="1" t="array" ref="X1113">SUMPRODUCT(TRANSPOSE($AA1113:$AG1113),OFFSET($L$9:$L$15,0,X$631-1))</f>
        <v>20</v>
      </c>
      <c r="Y1113" s="135" cm="1">
        <f ca="1" t="array" ref="Y1113">SUMPRODUCT(TRANSPOSE($AA1113:$AG1113),OFFSET($L$9:$L$15,0,Y$631-1))</f>
        <v>10</v>
      </c>
      <c r="Z1113" s="135" cm="1">
        <f ca="1" t="array" ref="Z1113">SUMPRODUCT(TRANSPOSE($AA1113:$AG1113),OFFSET($L$9:$L$15,0,Z$631-1))</f>
        <v>3.14977993533847</v>
      </c>
      <c r="AA1113" s="136">
        <f ca="1" t="shared" ref="AA1113:AG1113" si="1211">AH1113-AH1112</f>
        <v>0</v>
      </c>
      <c r="AB1113" s="136">
        <f ca="1" t="shared" si="1211"/>
        <v>0</v>
      </c>
      <c r="AC1113" s="136">
        <f ca="1" t="shared" si="1211"/>
        <v>0</v>
      </c>
      <c r="AD1113" s="136">
        <f ca="1" t="shared" si="1211"/>
        <v>0</v>
      </c>
      <c r="AE1113" s="136">
        <f ca="1" t="shared" si="1211"/>
        <v>0</v>
      </c>
      <c r="AF1113" s="136">
        <f ca="1" t="shared" si="1211"/>
        <v>0</v>
      </c>
      <c r="AG1113" s="136">
        <f ca="1" t="shared" si="1211"/>
        <v>100</v>
      </c>
      <c r="AH1113" s="136">
        <f ca="1" t="shared" si="1151"/>
        <v>450</v>
      </c>
      <c r="AI1113" s="136">
        <f ca="1" t="shared" ref="AI1113:AN1113" si="1212">IF($C1113&gt;OFFSET($Q$8,MATCH(AI$634,$AH$634:$AN$634,0),0),OFFSET($P$8,MATCH(AI$634,$AH$634:$AN$634,0),0),MAX(0,$C1113-OFFSET($Q$8,RIGHT(AI$634,1)-1,0)))</f>
        <v>909</v>
      </c>
      <c r="AJ1113" s="136">
        <f ca="1" t="shared" si="1212"/>
        <v>1818</v>
      </c>
      <c r="AK1113" s="136">
        <f ca="1" t="shared" si="1212"/>
        <v>2727</v>
      </c>
      <c r="AL1113" s="136">
        <f ca="1" t="shared" si="1212"/>
        <v>3636</v>
      </c>
      <c r="AM1113" s="136">
        <f ca="1" t="shared" si="1212"/>
        <v>4545</v>
      </c>
      <c r="AN1113" s="136">
        <f ca="1" t="shared" si="1212"/>
        <v>33815</v>
      </c>
    </row>
    <row r="1114" s="106" customFormat="1" ht="16.5" spans="2:40">
      <c r="B1114" s="117">
        <v>480</v>
      </c>
      <c r="C1114" s="130">
        <f t="shared" si="1149"/>
        <v>48000</v>
      </c>
      <c r="D1114" s="131" cm="1">
        <f ca="1" t="array" ref="D1114">IF(D1716=1,OFFSET($W$634,$B1114,D$631-1)/SUMPRODUCT(--($D$631:$V$631=D$631),--($D1716:$V1716=1)),0)+SUM(D1113)+IF(COUNTIF(D$1237:D1716,1)=1,5,0)+IF(COUNTIF(E1114:$W1114,"&gt;"&amp;0)&lt;5,IF(AND(COUNTIF(D$1237:D1716,1)&gt;7,MOD(1+IFERROR(MATCH($C1114,总览!$D$46:$D$345,1)+1,1),7)=0),$C$3,0),0)</f>
        <v>3023.73872687668</v>
      </c>
      <c r="E1114" s="131" cm="1">
        <f ca="1" t="array" ref="E1114">IF(E1716=1,OFFSET($W$634,$B1114,E$631-1)/SUMPRODUCT(--($D$631:$V$631=E$631),--($D1716:$V1716=1)),0)+SUM(E1113)+IF(COUNTIF(E$1237:E1716,1)=1,5,0)+IF(COUNTIF(F1114:$W1114,"&gt;"&amp;0)&lt;5,IF(AND(COUNTIF(E$1237:E1716,1)&gt;7,MOD(1+IFERROR(MATCH($C1114,总览!$D$46:$D$345,1)+1,1),7)=0),$C$3,0),0)</f>
        <v>3023.73872687668</v>
      </c>
      <c r="F1114" s="131" cm="1">
        <f ca="1" t="array" ref="F1114">IF(F1716=1,OFFSET($W$634,$B1114,F$631-1)/SUMPRODUCT(--($D$631:$V$631=F$631),--($D1716:$V1716=1)),0)+SUM(F1113)+IF(COUNTIF(F$1237:F1716,1)=1,5,0)+IF(COUNTIF(G1114:$W1114,"&gt;"&amp;0)&lt;5,IF(AND(COUNTIF(F$1237:F1716,1)&gt;7,MOD(1+IFERROR(MATCH($C1114,总览!$D$46:$D$345,1)+1,1),7)=0),$C$3,0),0)</f>
        <v>3023.73872687668</v>
      </c>
      <c r="G1114" s="131" cm="1">
        <f ca="1" t="array" ref="G1114">IF(G1716=1,OFFSET($W$634,$B1114,G$631-1)/SUMPRODUCT(--($D$631:$V$631=G$631),--($D1716:$V1716=1)),0)+SUM(G1113)+IF(COUNTIF(G$1237:G1716,1)=1,5,0)+IF(COUNTIF(H1114:$W1114,"&gt;"&amp;0)&lt;5,IF(AND(COUNTIF(G$1237:G1716,1)&gt;7,MOD(1+IFERROR(MATCH($C1114,总览!$D$46:$D$345,1)+1,1),7)=0),$C$3,0),0)</f>
        <v>1539.39999999999</v>
      </c>
      <c r="H1114" s="131" cm="1">
        <f ca="1" t="array" ref="H1114">IF(H1716=1,OFFSET($W$634,$B1114,H$631-1)/SUMPRODUCT(--($D$631:$V$631=H$631),--($D1716:$V1716=1)),0)+SUM(H1113)+IF(COUNTIF(H$1237:H1716,1)=1,5,0)+IF(COUNTIF(I1114:$W1114,"&gt;"&amp;0)&lt;5,IF(AND(COUNTIF(H$1237:H1716,1)&gt;7,MOD(1+IFERROR(MATCH($C1114,总览!$D$46:$D$345,1)+1,1),7)=0),$C$3,0),0)</f>
        <v>1539.39999999999</v>
      </c>
      <c r="I1114" s="131" cm="1">
        <f ca="1" t="array" ref="I1114">IF(I1716=1,OFFSET($W$634,$B1114,I$631-1)/SUMPRODUCT(--($D$631:$V$631=I$631),--($D1716:$V1716=1)),0)+SUM(I1113)+IF(COUNTIF(I$1237:I1716,1)=1,5,0)+IF(COUNTIF(J1114:$W1114,"&gt;"&amp;0)&lt;5,IF(AND(COUNTIF(I$1237:I1716,1)&gt;7,MOD(1+IFERROR(MATCH($C1114,总览!$D$46:$D$345,1)+1,1),7)=0),$C$3,0),0)</f>
        <v>1539.39999999999</v>
      </c>
      <c r="J1114" s="131" cm="1">
        <f ca="1" t="array" ref="J1114">IF(J1716=1,OFFSET($W$634,$B1114,J$631-1)/SUMPRODUCT(--($D$631:$V$631=J$631),--($D1716:$V1716=1)),0)+SUM(J1113)+IF(COUNTIF(J$1237:J1716,1)=1,5,0)+IF(COUNTIF(K1114:$W1114,"&gt;"&amp;0)&lt;5,IF(AND(COUNTIF(J$1237:J1716,1)&gt;7,MOD(1+IFERROR(MATCH($C1114,总览!$D$46:$D$345,1)+1,1),7)=0),$C$3,0),0)</f>
        <v>1536.06666666666</v>
      </c>
      <c r="K1114" s="131" cm="1">
        <f ca="1" t="array" ref="K1114">IF(K1716=1,OFFSET($W$634,$B1114,K$631-1)/SUMPRODUCT(--($D$631:$V$631=K$631),--($D1716:$V1716=1)),0)+SUM(K1113)+IF(COUNTIF(K$1237:K1716,1)=1,5,0)+IF(COUNTIF(L1114:$W1114,"&gt;"&amp;0)&lt;5,IF(AND(COUNTIF(K$1237:K1716,1)&gt;7,MOD(1+IFERROR(MATCH($C1114,总览!$D$46:$D$345,1)+1,1),7)=0),$C$3,0),0)</f>
        <v>1533.56666666666</v>
      </c>
      <c r="L1114" s="131" cm="1">
        <f ca="1" t="array" ref="L1114">IF(L1716=1,OFFSET($W$634,$B1114,L$631-1)/SUMPRODUCT(--($D$631:$V$631=L$631),--($D1716:$V1716=1)),0)+SUM(L1113)+IF(COUNTIF(L$1237:L1716,1)=1,5,0)+IF(COUNTIF(M1114:$W1114,"&gt;"&amp;0)&lt;5,IF(AND(COUNTIF(L$1237:L1716,1)&gt;7,MOD(1+IFERROR(MATCH($C1114,总览!$D$46:$D$345,1)+1,1),7)=0),$C$3,0),0)</f>
        <v>1533.56666666666</v>
      </c>
      <c r="M1114" s="131" cm="1">
        <f ca="1" t="array" ref="M1114">IF(M1716=1,OFFSET($W$634,$B1114,M$631-1)/SUMPRODUCT(--($D$631:$V$631=M$631),--($D1716:$V1716=1)),0)+SUM(M1113)+IF(COUNTIF(M$1237:M1716,1)=1,5,0)+IF(COUNTIF(N1114:$W1114,"&gt;"&amp;0)&lt;5,IF(AND(COUNTIF(M$1237:M1716,1)&gt;7,MOD(1+IFERROR(MATCH($C1114,总览!$D$46:$D$345,1)+1,1),7)=0),$C$3,0),0)</f>
        <v>643.466964285717</v>
      </c>
      <c r="N1114" s="131" cm="1">
        <f ca="1" t="array" ref="N1114">IF(N1716=1,OFFSET($W$634,$B1114,N$631-1)/SUMPRODUCT(--($D$631:$V$631=N$631),--($D1716:$V1716=1)),0)+SUM(N1113)+IF(COUNTIF(N$1237:N1716,1)=1,5,0)+IF(COUNTIF(O1114:$W1114,"&gt;"&amp;0)&lt;5,IF(AND(COUNTIF(N$1237:N1716,1)&gt;7,MOD(1+IFERROR(MATCH($C1114,总览!$D$46:$D$345,1)+1,1),7)=0),$C$3,0),0)</f>
        <v>644.716964285717</v>
      </c>
      <c r="O1114" s="131" cm="1">
        <f ca="1" t="array" ref="O1114">IF(O1716=1,OFFSET($W$634,$B1114,O$631-1)/SUMPRODUCT(--($D$631:$V$631=O$631),--($D1716:$V1716=1)),0)+SUM(O1113)+IF(COUNTIF(O$1237:O1716,1)=1,5,0)+IF(COUNTIF(P1114:$W1114,"&gt;"&amp;0)&lt;5,IF(AND(COUNTIF(O$1237:O1716,1)&gt;7,MOD(1+IFERROR(MATCH($C1114,总览!$D$46:$D$345,1)+1,1),7)=0),$C$3,0),0)</f>
        <v>649.716964285717</v>
      </c>
      <c r="P1114" s="131" cm="1">
        <f ca="1" t="array" ref="P1114">IF(P1716=1,OFFSET($W$634,$B1114,P$631-1)/SUMPRODUCT(--($D$631:$V$631=P$631),--($D1716:$V1716=1)),0)+SUM(P1113)+IF(COUNTIF(P$1237:P1716,1)=1,5,0)+IF(COUNTIF(Q1114:$W1114,"&gt;"&amp;0)&lt;5,IF(AND(COUNTIF(P$1237:P1716,1)&gt;7,MOD(1+IFERROR(MATCH($C1114,总览!$D$46:$D$345,1)+1,1),7)=0),$C$3,0),0)</f>
        <v>638.835714285717</v>
      </c>
      <c r="Q1114" s="131" cm="1">
        <f ca="1" t="array" ref="Q1114">IF(Q1716=1,OFFSET($W$634,$B1114,Q$631-1)/SUMPRODUCT(--($D$631:$V$631=Q$631),--($D1716:$V1716=1)),0)+SUM(Q1113)+IF(COUNTIF(Q$1237:Q1716,1)=1,5,0)+IF(COUNTIF(R1114:$W1114,"&gt;"&amp;0)&lt;5,IF(AND(COUNTIF(Q$1237:Q1716,1)&gt;7,MOD(1+IFERROR(MATCH($C1114,总览!$D$46:$D$345,1)+1,1),7)=0),$C$3,0),0)</f>
        <v>652.216964285717</v>
      </c>
      <c r="R1114" s="131" cm="1">
        <f ca="1" t="array" ref="R1114">IF(R1716=1,OFFSET($W$634,$B1114,R$631-1)/SUMPRODUCT(--($D$631:$V$631=R$631),--($D1716:$V1716=1)),0)+SUM(R1113)+IF(COUNTIF(R$1237:R1716,1)=1,5,0)+IF(COUNTIF(S1114:$W1114,"&gt;"&amp;0)&lt;5,IF(AND(COUNTIF(R$1237:R1716,1)&gt;7,MOD(1+IFERROR(MATCH($C1114,总览!$D$46:$D$345,1)+1,1),7)=0),$C$3,0),0)</f>
        <v>643.835714285717</v>
      </c>
      <c r="S1114" s="131" cm="1">
        <f ca="1" t="array" ref="S1114">IF(S1716=1,OFFSET($W$634,$B1114,S$631-1)/SUMPRODUCT(--($D$631:$V$631=S$631),--($D1716:$V1716=1)),0)+SUM(S1113)+IF(COUNTIF(S$1237:S1716,1)=1,5,0)+IF(COUNTIF(T1114:$W1114,"&gt;"&amp;0)&lt;5,IF(AND(COUNTIF(S$1237:S1716,1)&gt;7,MOD(1+IFERROR(MATCH($C1114,总览!$D$46:$D$345,1)+1,1),7)=0),$C$3,0),0)</f>
        <v>736.335714285719</v>
      </c>
      <c r="T1114" s="131" cm="1">
        <f ca="1" t="array" ref="T1114">IF(T1716=1,OFFSET($W$634,$B1114,T$631-1)/SUMPRODUCT(--($D$631:$V$631=T$631),--($D1716:$V1716=1)),0)+SUM(T1113)+IF(COUNTIF(T$1237:T1716,1)=1,5,0)+IF(COUNTIF(U1114:$W1114,"&gt;"&amp;0)&lt;5,IF(AND(COUNTIF(T$1237:T1716,1)&gt;7,MOD(1+IFERROR(MATCH($C1114,总览!$D$46:$D$345,1)+1,1),7)=0),$C$3,0),0)</f>
        <v>539.130082315669</v>
      </c>
      <c r="U1114" s="131" cm="1">
        <f ca="1" t="array" ref="U1114">IF(U1716=1,OFFSET($W$634,$B1114,U$631-1)/SUMPRODUCT(--($D$631:$V$631=U$631),--($D1716:$V1716=1)),0)+SUM(U1113)+IF(COUNTIF(U$1237:U1716,1)=1,5,0)+IF(COUNTIF(V1114:$W1114,"&gt;"&amp;0)&lt;5,IF(AND(COUNTIF(U$1237:U1716,1)&gt;7,MOD(1+IFERROR(MATCH($C1114,总览!$D$46:$D$345,1)+1,1),7)=0),$C$3,0),0)</f>
        <v>544.650868670969</v>
      </c>
      <c r="V1114" s="131" cm="1">
        <f ca="1" t="array" ref="V1114">IF(V1716=1,OFFSET($W$634,$B1114,V$631-1)/SUMPRODUCT(--($D$631:$V$631=V$631),--($D1716:$V1716=1)),0)+SUM(V1113)+IF(COUNTIF(V$1237:V1716,1)=1,5,0)+IF(COUNTIF(W1114:$W1114,"&gt;"&amp;0)&lt;5,IF(AND(COUNTIF(V$1237:V1716,1)&gt;7,MOD(1+IFERROR(MATCH($C1114,总览!$D$46:$D$345,1)+1,1),7)=0),$C$3,0),0)</f>
        <v>564.477868383402</v>
      </c>
      <c r="W1114" s="135" cm="1">
        <f ca="1" t="array" ref="W1114">SUMPRODUCT(TRANSPOSE($AA1114:$AG1114),OFFSET($L$9:$L$15,0,W$631-1))</f>
        <v>16.8502200646615</v>
      </c>
      <c r="X1114" s="135" cm="1">
        <f ca="1" t="array" ref="X1114">SUMPRODUCT(TRANSPOSE($AA1114:$AG1114),OFFSET($L$9:$L$15,0,X$631-1))</f>
        <v>20</v>
      </c>
      <c r="Y1114" s="135" cm="1">
        <f ca="1" t="array" ref="Y1114">SUMPRODUCT(TRANSPOSE($AA1114:$AG1114),OFFSET($L$9:$L$15,0,Y$631-1))</f>
        <v>10</v>
      </c>
      <c r="Z1114" s="135" cm="1">
        <f ca="1" t="array" ref="Z1114">SUMPRODUCT(TRANSPOSE($AA1114:$AG1114),OFFSET($L$9:$L$15,0,Z$631-1))</f>
        <v>3.14977993533847</v>
      </c>
      <c r="AA1114" s="136">
        <f ca="1" t="shared" ref="AA1114:AG1114" si="1213">AH1114-AH1113</f>
        <v>0</v>
      </c>
      <c r="AB1114" s="136">
        <f ca="1" t="shared" si="1213"/>
        <v>0</v>
      </c>
      <c r="AC1114" s="136">
        <f ca="1" t="shared" si="1213"/>
        <v>0</v>
      </c>
      <c r="AD1114" s="136">
        <f ca="1" t="shared" si="1213"/>
        <v>0</v>
      </c>
      <c r="AE1114" s="136">
        <f ca="1" t="shared" si="1213"/>
        <v>0</v>
      </c>
      <c r="AF1114" s="136">
        <f ca="1" t="shared" si="1213"/>
        <v>0</v>
      </c>
      <c r="AG1114" s="136">
        <f ca="1" t="shared" si="1213"/>
        <v>100</v>
      </c>
      <c r="AH1114" s="136">
        <f ca="1" t="shared" si="1151"/>
        <v>450</v>
      </c>
      <c r="AI1114" s="136">
        <f ca="1" t="shared" ref="AI1114:AN1114" si="1214">IF($C1114&gt;OFFSET($Q$8,MATCH(AI$634,$AH$634:$AN$634,0),0),OFFSET($P$8,MATCH(AI$634,$AH$634:$AN$634,0),0),MAX(0,$C1114-OFFSET($Q$8,RIGHT(AI$634,1)-1,0)))</f>
        <v>909</v>
      </c>
      <c r="AJ1114" s="136">
        <f ca="1" t="shared" si="1214"/>
        <v>1818</v>
      </c>
      <c r="AK1114" s="136">
        <f ca="1" t="shared" si="1214"/>
        <v>2727</v>
      </c>
      <c r="AL1114" s="136">
        <f ca="1" t="shared" si="1214"/>
        <v>3636</v>
      </c>
      <c r="AM1114" s="136">
        <f ca="1" t="shared" si="1214"/>
        <v>4545</v>
      </c>
      <c r="AN1114" s="136">
        <f ca="1" t="shared" si="1214"/>
        <v>33915</v>
      </c>
    </row>
    <row r="1115" s="106" customFormat="1" ht="16.5" spans="2:40">
      <c r="B1115" s="117">
        <v>481</v>
      </c>
      <c r="C1115" s="130">
        <f t="shared" si="1149"/>
        <v>48100</v>
      </c>
      <c r="D1115" s="131" cm="1">
        <f ca="1" t="array" ref="D1115">IF(D1717=1,OFFSET($W$634,$B1115,D$631-1)/SUMPRODUCT(--($D$631:$V$631=D$631),--($D1717:$V1717=1)),0)+SUM(D1114)+IF(COUNTIF(D$1237:D1717,1)=1,5,0)+IF(COUNTIF(E1115:$W1115,"&gt;"&amp;0)&lt;5,IF(AND(COUNTIF(D$1237:D1717,1)&gt;7,MOD(1+IFERROR(MATCH($C1115,总览!$D$46:$D$345,1)+1,1),7)=0),$C$3,0),0)</f>
        <v>3029.35546689824</v>
      </c>
      <c r="E1115" s="131" cm="1">
        <f ca="1" t="array" ref="E1115">IF(E1717=1,OFFSET($W$634,$B1115,E$631-1)/SUMPRODUCT(--($D$631:$V$631=E$631),--($D1717:$V1717=1)),0)+SUM(E1114)+IF(COUNTIF(E$1237:E1717,1)=1,5,0)+IF(COUNTIF(F1115:$W1115,"&gt;"&amp;0)&lt;5,IF(AND(COUNTIF(E$1237:E1717,1)&gt;7,MOD(1+IFERROR(MATCH($C1115,总览!$D$46:$D$345,1)+1,1),7)=0),$C$3,0),0)</f>
        <v>3029.35546689824</v>
      </c>
      <c r="F1115" s="131" cm="1">
        <f ca="1" t="array" ref="F1115">IF(F1717=1,OFFSET($W$634,$B1115,F$631-1)/SUMPRODUCT(--($D$631:$V$631=F$631),--($D1717:$V1717=1)),0)+SUM(F1114)+IF(COUNTIF(F$1237:F1717,1)=1,5,0)+IF(COUNTIF(G1115:$W1115,"&gt;"&amp;0)&lt;5,IF(AND(COUNTIF(F$1237:F1717,1)&gt;7,MOD(1+IFERROR(MATCH($C1115,总览!$D$46:$D$345,1)+1,1),7)=0),$C$3,0),0)</f>
        <v>3029.35546689824</v>
      </c>
      <c r="G1115" s="131" cm="1">
        <f ca="1" t="array" ref="G1115">IF(G1717=1,OFFSET($W$634,$B1115,G$631-1)/SUMPRODUCT(--($D$631:$V$631=G$631),--($D1717:$V1717=1)),0)+SUM(G1114)+IF(COUNTIF(G$1237:G1717,1)=1,5,0)+IF(COUNTIF(H1115:$W1115,"&gt;"&amp;0)&lt;5,IF(AND(COUNTIF(G$1237:G1717,1)&gt;7,MOD(1+IFERROR(MATCH($C1115,总览!$D$46:$D$345,1)+1,1),7)=0),$C$3,0),0)</f>
        <v>1542.73333333333</v>
      </c>
      <c r="H1115" s="131" cm="1">
        <f ca="1" t="array" ref="H1115">IF(H1717=1,OFFSET($W$634,$B1115,H$631-1)/SUMPRODUCT(--($D$631:$V$631=H$631),--($D1717:$V1717=1)),0)+SUM(H1114)+IF(COUNTIF(H$1237:H1717,1)=1,5,0)+IF(COUNTIF(I1115:$W1115,"&gt;"&amp;0)&lt;5,IF(AND(COUNTIF(H$1237:H1717,1)&gt;7,MOD(1+IFERROR(MATCH($C1115,总览!$D$46:$D$345,1)+1,1),7)=0),$C$3,0),0)</f>
        <v>1542.73333333333</v>
      </c>
      <c r="I1115" s="131" cm="1">
        <f ca="1" t="array" ref="I1115">IF(I1717=1,OFFSET($W$634,$B1115,I$631-1)/SUMPRODUCT(--($D$631:$V$631=I$631),--($D1717:$V1717=1)),0)+SUM(I1114)+IF(COUNTIF(I$1237:I1717,1)=1,5,0)+IF(COUNTIF(J1115:$W1115,"&gt;"&amp;0)&lt;5,IF(AND(COUNTIF(I$1237:I1717,1)&gt;7,MOD(1+IFERROR(MATCH($C1115,总览!$D$46:$D$345,1)+1,1),7)=0),$C$3,0),0)</f>
        <v>1542.73333333333</v>
      </c>
      <c r="J1115" s="131" cm="1">
        <f ca="1" t="array" ref="J1115">IF(J1717=1,OFFSET($W$634,$B1115,J$631-1)/SUMPRODUCT(--($D$631:$V$631=J$631),--($D1717:$V1717=1)),0)+SUM(J1114)+IF(COUNTIF(J$1237:J1717,1)=1,5,0)+IF(COUNTIF(K1115:$W1115,"&gt;"&amp;0)&lt;5,IF(AND(COUNTIF(J$1237:J1717,1)&gt;7,MOD(1+IFERROR(MATCH($C1115,总览!$D$46:$D$345,1)+1,1),7)=0),$C$3,0),0)</f>
        <v>1539.39999999999</v>
      </c>
      <c r="K1115" s="131" cm="1">
        <f ca="1" t="array" ref="K1115">IF(K1717=1,OFFSET($W$634,$B1115,K$631-1)/SUMPRODUCT(--($D$631:$V$631=K$631),--($D1717:$V1717=1)),0)+SUM(K1114)+IF(COUNTIF(K$1237:K1717,1)=1,5,0)+IF(COUNTIF(L1115:$W1115,"&gt;"&amp;0)&lt;5,IF(AND(COUNTIF(K$1237:K1717,1)&gt;7,MOD(1+IFERROR(MATCH($C1115,总览!$D$46:$D$345,1)+1,1),7)=0),$C$3,0),0)</f>
        <v>1536.89999999999</v>
      </c>
      <c r="L1115" s="131" cm="1">
        <f ca="1" t="array" ref="L1115">IF(L1717=1,OFFSET($W$634,$B1115,L$631-1)/SUMPRODUCT(--($D$631:$V$631=L$631),--($D1717:$V1717=1)),0)+SUM(L1114)+IF(COUNTIF(L$1237:L1717,1)=1,5,0)+IF(COUNTIF(M1115:$W1115,"&gt;"&amp;0)&lt;5,IF(AND(COUNTIF(L$1237:L1717,1)&gt;7,MOD(1+IFERROR(MATCH($C1115,总览!$D$46:$D$345,1)+1,1),7)=0),$C$3,0),0)</f>
        <v>1536.89999999999</v>
      </c>
      <c r="M1115" s="131" cm="1">
        <f ca="1" t="array" ref="M1115">IF(M1717=1,OFFSET($W$634,$B1115,M$631-1)/SUMPRODUCT(--($D$631:$V$631=M$631),--($D1717:$V1717=1)),0)+SUM(M1114)+IF(COUNTIF(M$1237:M1717,1)=1,5,0)+IF(COUNTIF(N1115:$W1115,"&gt;"&amp;0)&lt;5,IF(AND(COUNTIF(M$1237:M1717,1)&gt;7,MOD(1+IFERROR(MATCH($C1115,总览!$D$46:$D$345,1)+1,1),7)=0),$C$3,0),0)</f>
        <v>644.895535714289</v>
      </c>
      <c r="N1115" s="131" cm="1">
        <f ca="1" t="array" ref="N1115">IF(N1717=1,OFFSET($W$634,$B1115,N$631-1)/SUMPRODUCT(--($D$631:$V$631=N$631),--($D1717:$V1717=1)),0)+SUM(N1114)+IF(COUNTIF(N$1237:N1717,1)=1,5,0)+IF(COUNTIF(O1115:$W1115,"&gt;"&amp;0)&lt;5,IF(AND(COUNTIF(N$1237:N1717,1)&gt;7,MOD(1+IFERROR(MATCH($C1115,总览!$D$46:$D$345,1)+1,1),7)=0),$C$3,0),0)</f>
        <v>646.145535714289</v>
      </c>
      <c r="O1115" s="131" cm="1">
        <f ca="1" t="array" ref="O1115">IF(O1717=1,OFFSET($W$634,$B1115,O$631-1)/SUMPRODUCT(--($D$631:$V$631=O$631),--($D1717:$V1717=1)),0)+SUM(O1114)+IF(COUNTIF(O$1237:O1717,1)=1,5,0)+IF(COUNTIF(P1115:$W1115,"&gt;"&amp;0)&lt;5,IF(AND(COUNTIF(O$1237:O1717,1)&gt;7,MOD(1+IFERROR(MATCH($C1115,总览!$D$46:$D$345,1)+1,1),7)=0),$C$3,0),0)</f>
        <v>651.145535714289</v>
      </c>
      <c r="P1115" s="131" cm="1">
        <f ca="1" t="array" ref="P1115">IF(P1717=1,OFFSET($W$634,$B1115,P$631-1)/SUMPRODUCT(--($D$631:$V$631=P$631),--($D1717:$V1717=1)),0)+SUM(P1114)+IF(COUNTIF(P$1237:P1717,1)=1,5,0)+IF(COUNTIF(Q1115:$W1115,"&gt;"&amp;0)&lt;5,IF(AND(COUNTIF(P$1237:P1717,1)&gt;7,MOD(1+IFERROR(MATCH($C1115,总览!$D$46:$D$345,1)+1,1),7)=0),$C$3,0),0)</f>
        <v>640.264285714289</v>
      </c>
      <c r="Q1115" s="131" cm="1">
        <f ca="1" t="array" ref="Q1115">IF(Q1717=1,OFFSET($W$634,$B1115,Q$631-1)/SUMPRODUCT(--($D$631:$V$631=Q$631),--($D1717:$V1717=1)),0)+SUM(Q1114)+IF(COUNTIF(Q$1237:Q1717,1)=1,5,0)+IF(COUNTIF(R1115:$W1115,"&gt;"&amp;0)&lt;5,IF(AND(COUNTIF(Q$1237:Q1717,1)&gt;7,MOD(1+IFERROR(MATCH($C1115,总览!$D$46:$D$345,1)+1,1),7)=0),$C$3,0),0)</f>
        <v>653.645535714289</v>
      </c>
      <c r="R1115" s="131" cm="1">
        <f ca="1" t="array" ref="R1115">IF(R1717=1,OFFSET($W$634,$B1115,R$631-1)/SUMPRODUCT(--($D$631:$V$631=R$631),--($D1717:$V1717=1)),0)+SUM(R1114)+IF(COUNTIF(R$1237:R1717,1)=1,5,0)+IF(COUNTIF(S1115:$W1115,"&gt;"&amp;0)&lt;5,IF(AND(COUNTIF(R$1237:R1717,1)&gt;7,MOD(1+IFERROR(MATCH($C1115,总览!$D$46:$D$345,1)+1,1),7)=0),$C$3,0),0)</f>
        <v>645.264285714289</v>
      </c>
      <c r="S1115" s="131" cm="1">
        <f ca="1" t="array" ref="S1115">IF(S1717=1,OFFSET($W$634,$B1115,S$631-1)/SUMPRODUCT(--($D$631:$V$631=S$631),--($D1717:$V1717=1)),0)+SUM(S1114)+IF(COUNTIF(S$1237:S1717,1)=1,5,0)+IF(COUNTIF(T1115:$W1115,"&gt;"&amp;0)&lt;5,IF(AND(COUNTIF(S$1237:S1717,1)&gt;7,MOD(1+IFERROR(MATCH($C1115,总览!$D$46:$D$345,1)+1,1),7)=0),$C$3,0),0)</f>
        <v>737.76428571429</v>
      </c>
      <c r="T1115" s="131" cm="1">
        <f ca="1" t="array" ref="T1115">IF(T1717=1,OFFSET($W$634,$B1115,T$631-1)/SUMPRODUCT(--($D$631:$V$631=T$631),--($D1717:$V1717=1)),0)+SUM(T1114)+IF(COUNTIF(T$1237:T1717,1)=1,5,0)+IF(COUNTIF(U1115:$W1115,"&gt;"&amp;0)&lt;5,IF(AND(COUNTIF(T$1237:T1717,1)&gt;7,MOD(1+IFERROR(MATCH($C1115,总览!$D$46:$D$345,1)+1,1),7)=0),$C$3,0),0)</f>
        <v>540.180008960782</v>
      </c>
      <c r="U1115" s="131" cm="1">
        <f ca="1" t="array" ref="U1115">IF(U1717=1,OFFSET($W$634,$B1115,U$631-1)/SUMPRODUCT(--($D$631:$V$631=U$631),--($D1717:$V1717=1)),0)+SUM(U1114)+IF(COUNTIF(U$1237:U1717,1)=1,5,0)+IF(COUNTIF(V1115:$W1115,"&gt;"&amp;0)&lt;5,IF(AND(COUNTIF(U$1237:U1717,1)&gt;7,MOD(1+IFERROR(MATCH($C1115,总览!$D$46:$D$345,1)+1,1),7)=0),$C$3,0),0)</f>
        <v>545.700795316082</v>
      </c>
      <c r="V1115" s="131" cm="1">
        <f ca="1" t="array" ref="V1115">IF(V1717=1,OFFSET($W$634,$B1115,V$631-1)/SUMPRODUCT(--($D$631:$V$631=V$631),--($D1717:$V1717=1)),0)+SUM(V1114)+IF(COUNTIF(V$1237:V1717,1)=1,5,0)+IF(COUNTIF(W1115:$W1115,"&gt;"&amp;0)&lt;5,IF(AND(COUNTIF(V$1237:V1717,1)&gt;7,MOD(1+IFERROR(MATCH($C1115,总览!$D$46:$D$345,1)+1,1),7)=0),$C$3,0),0)</f>
        <v>565.527795028515</v>
      </c>
      <c r="W1115" s="135" cm="1">
        <f ca="1" t="array" ref="W1115">SUMPRODUCT(TRANSPOSE($AA1115:$AG1115),OFFSET($L$9:$L$15,0,W$631-1))</f>
        <v>16.8502200646615</v>
      </c>
      <c r="X1115" s="135" cm="1">
        <f ca="1" t="array" ref="X1115">SUMPRODUCT(TRANSPOSE($AA1115:$AG1115),OFFSET($L$9:$L$15,0,X$631-1))</f>
        <v>20</v>
      </c>
      <c r="Y1115" s="135" cm="1">
        <f ca="1" t="array" ref="Y1115">SUMPRODUCT(TRANSPOSE($AA1115:$AG1115),OFFSET($L$9:$L$15,0,Y$631-1))</f>
        <v>10</v>
      </c>
      <c r="Z1115" s="135" cm="1">
        <f ca="1" t="array" ref="Z1115">SUMPRODUCT(TRANSPOSE($AA1115:$AG1115),OFFSET($L$9:$L$15,0,Z$631-1))</f>
        <v>3.14977993533847</v>
      </c>
      <c r="AA1115" s="136">
        <f ca="1" t="shared" ref="AA1115:AG1115" si="1215">AH1115-AH1114</f>
        <v>0</v>
      </c>
      <c r="AB1115" s="136">
        <f ca="1" t="shared" si="1215"/>
        <v>0</v>
      </c>
      <c r="AC1115" s="136">
        <f ca="1" t="shared" si="1215"/>
        <v>0</v>
      </c>
      <c r="AD1115" s="136">
        <f ca="1" t="shared" si="1215"/>
        <v>0</v>
      </c>
      <c r="AE1115" s="136">
        <f ca="1" t="shared" si="1215"/>
        <v>0</v>
      </c>
      <c r="AF1115" s="136">
        <f ca="1" t="shared" si="1215"/>
        <v>0</v>
      </c>
      <c r="AG1115" s="136">
        <f ca="1" t="shared" si="1215"/>
        <v>100</v>
      </c>
      <c r="AH1115" s="136">
        <f ca="1" t="shared" si="1151"/>
        <v>450</v>
      </c>
      <c r="AI1115" s="136">
        <f ca="1" t="shared" ref="AI1115:AN1115" si="1216">IF($C1115&gt;OFFSET($Q$8,MATCH(AI$634,$AH$634:$AN$634,0),0),OFFSET($P$8,MATCH(AI$634,$AH$634:$AN$634,0),0),MAX(0,$C1115-OFFSET($Q$8,RIGHT(AI$634,1)-1,0)))</f>
        <v>909</v>
      </c>
      <c r="AJ1115" s="136">
        <f ca="1" t="shared" si="1216"/>
        <v>1818</v>
      </c>
      <c r="AK1115" s="136">
        <f ca="1" t="shared" si="1216"/>
        <v>2727</v>
      </c>
      <c r="AL1115" s="136">
        <f ca="1" t="shared" si="1216"/>
        <v>3636</v>
      </c>
      <c r="AM1115" s="136">
        <f ca="1" t="shared" si="1216"/>
        <v>4545</v>
      </c>
      <c r="AN1115" s="136">
        <f ca="1" t="shared" si="1216"/>
        <v>34015</v>
      </c>
    </row>
    <row r="1116" s="106" customFormat="1" ht="16.5" spans="2:40">
      <c r="B1116" s="117">
        <v>482</v>
      </c>
      <c r="C1116" s="130">
        <f t="shared" si="1149"/>
        <v>48200</v>
      </c>
      <c r="D1116" s="131" cm="1">
        <f ca="1" t="array" ref="D1116">IF(D1718=1,OFFSET($W$634,$B1116,D$631-1)/SUMPRODUCT(--($D$631:$V$631=D$631),--($D1718:$V1718=1)),0)+SUM(D1115)+IF(COUNTIF(D$1237:D1718,1)=1,5,0)+IF(COUNTIF(E1116:$W1116,"&gt;"&amp;0)&lt;5,IF(AND(COUNTIF(D$1237:D1718,1)&gt;7,MOD(1+IFERROR(MATCH($C1116,总览!$D$46:$D$345,1)+1,1),7)=0),$C$3,0),0)</f>
        <v>3034.97220691979</v>
      </c>
      <c r="E1116" s="131" cm="1">
        <f ca="1" t="array" ref="E1116">IF(E1718=1,OFFSET($W$634,$B1116,E$631-1)/SUMPRODUCT(--($D$631:$V$631=E$631),--($D1718:$V1718=1)),0)+SUM(E1115)+IF(COUNTIF(E$1237:E1718,1)=1,5,0)+IF(COUNTIF(F1116:$W1116,"&gt;"&amp;0)&lt;5,IF(AND(COUNTIF(E$1237:E1718,1)&gt;7,MOD(1+IFERROR(MATCH($C1116,总览!$D$46:$D$345,1)+1,1),7)=0),$C$3,0),0)</f>
        <v>3034.97220691979</v>
      </c>
      <c r="F1116" s="131" cm="1">
        <f ca="1" t="array" ref="F1116">IF(F1718=1,OFFSET($W$634,$B1116,F$631-1)/SUMPRODUCT(--($D$631:$V$631=F$631),--($D1718:$V1718=1)),0)+SUM(F1115)+IF(COUNTIF(F$1237:F1718,1)=1,5,0)+IF(COUNTIF(G1116:$W1116,"&gt;"&amp;0)&lt;5,IF(AND(COUNTIF(F$1237:F1718,1)&gt;7,MOD(1+IFERROR(MATCH($C1116,总览!$D$46:$D$345,1)+1,1),7)=0),$C$3,0),0)</f>
        <v>3034.97220691979</v>
      </c>
      <c r="G1116" s="131" cm="1">
        <f ca="1" t="array" ref="G1116">IF(G1718=1,OFFSET($W$634,$B1116,G$631-1)/SUMPRODUCT(--($D$631:$V$631=G$631),--($D1718:$V1718=1)),0)+SUM(G1115)+IF(COUNTIF(G$1237:G1718,1)=1,5,0)+IF(COUNTIF(H1116:$W1116,"&gt;"&amp;0)&lt;5,IF(AND(COUNTIF(G$1237:G1718,1)&gt;7,MOD(1+IFERROR(MATCH($C1116,总览!$D$46:$D$345,1)+1,1),7)=0),$C$3,0),0)</f>
        <v>1546.06666666666</v>
      </c>
      <c r="H1116" s="131" cm="1">
        <f ca="1" t="array" ref="H1116">IF(H1718=1,OFFSET($W$634,$B1116,H$631-1)/SUMPRODUCT(--($D$631:$V$631=H$631),--($D1718:$V1718=1)),0)+SUM(H1115)+IF(COUNTIF(H$1237:H1718,1)=1,5,0)+IF(COUNTIF(I1116:$W1116,"&gt;"&amp;0)&lt;5,IF(AND(COUNTIF(H$1237:H1718,1)&gt;7,MOD(1+IFERROR(MATCH($C1116,总览!$D$46:$D$345,1)+1,1),7)=0),$C$3,0),0)</f>
        <v>1546.06666666666</v>
      </c>
      <c r="I1116" s="131" cm="1">
        <f ca="1" t="array" ref="I1116">IF(I1718=1,OFFSET($W$634,$B1116,I$631-1)/SUMPRODUCT(--($D$631:$V$631=I$631),--($D1718:$V1718=1)),0)+SUM(I1115)+IF(COUNTIF(I$1237:I1718,1)=1,5,0)+IF(COUNTIF(J1116:$W1116,"&gt;"&amp;0)&lt;5,IF(AND(COUNTIF(I$1237:I1718,1)&gt;7,MOD(1+IFERROR(MATCH($C1116,总览!$D$46:$D$345,1)+1,1),7)=0),$C$3,0),0)</f>
        <v>1546.06666666666</v>
      </c>
      <c r="J1116" s="131" cm="1">
        <f ca="1" t="array" ref="J1116">IF(J1718=1,OFFSET($W$634,$B1116,J$631-1)/SUMPRODUCT(--($D$631:$V$631=J$631),--($D1718:$V1718=1)),0)+SUM(J1115)+IF(COUNTIF(J$1237:J1718,1)=1,5,0)+IF(COUNTIF(K1116:$W1116,"&gt;"&amp;0)&lt;5,IF(AND(COUNTIF(J$1237:J1718,1)&gt;7,MOD(1+IFERROR(MATCH($C1116,总览!$D$46:$D$345,1)+1,1),7)=0),$C$3,0),0)</f>
        <v>1542.73333333333</v>
      </c>
      <c r="K1116" s="131" cm="1">
        <f ca="1" t="array" ref="K1116">IF(K1718=1,OFFSET($W$634,$B1116,K$631-1)/SUMPRODUCT(--($D$631:$V$631=K$631),--($D1718:$V1718=1)),0)+SUM(K1115)+IF(COUNTIF(K$1237:K1718,1)=1,5,0)+IF(COUNTIF(L1116:$W1116,"&gt;"&amp;0)&lt;5,IF(AND(COUNTIF(K$1237:K1718,1)&gt;7,MOD(1+IFERROR(MATCH($C1116,总览!$D$46:$D$345,1)+1,1),7)=0),$C$3,0),0)</f>
        <v>1540.23333333333</v>
      </c>
      <c r="L1116" s="131" cm="1">
        <f ca="1" t="array" ref="L1116">IF(L1718=1,OFFSET($W$634,$B1116,L$631-1)/SUMPRODUCT(--($D$631:$V$631=L$631),--($D1718:$V1718=1)),0)+SUM(L1115)+IF(COUNTIF(L$1237:L1718,1)=1,5,0)+IF(COUNTIF(M1116:$W1116,"&gt;"&amp;0)&lt;5,IF(AND(COUNTIF(L$1237:L1718,1)&gt;7,MOD(1+IFERROR(MATCH($C1116,总览!$D$46:$D$345,1)+1,1),7)=0),$C$3,0),0)</f>
        <v>1540.23333333333</v>
      </c>
      <c r="M1116" s="131" cm="1">
        <f ca="1" t="array" ref="M1116">IF(M1718=1,OFFSET($W$634,$B1116,M$631-1)/SUMPRODUCT(--($D$631:$V$631=M$631),--($D1718:$V1718=1)),0)+SUM(M1115)+IF(COUNTIF(M$1237:M1718,1)=1,5,0)+IF(COUNTIF(N1116:$W1116,"&gt;"&amp;0)&lt;5,IF(AND(COUNTIF(M$1237:M1718,1)&gt;7,MOD(1+IFERROR(MATCH($C1116,总览!$D$46:$D$345,1)+1,1),7)=0),$C$3,0),0)</f>
        <v>646.32410714286</v>
      </c>
      <c r="N1116" s="131" cm="1">
        <f ca="1" t="array" ref="N1116">IF(N1718=1,OFFSET($W$634,$B1116,N$631-1)/SUMPRODUCT(--($D$631:$V$631=N$631),--($D1718:$V1718=1)),0)+SUM(N1115)+IF(COUNTIF(N$1237:N1718,1)=1,5,0)+IF(COUNTIF(O1116:$W1116,"&gt;"&amp;0)&lt;5,IF(AND(COUNTIF(N$1237:N1718,1)&gt;7,MOD(1+IFERROR(MATCH($C1116,总览!$D$46:$D$345,1)+1,1),7)=0),$C$3,0),0)</f>
        <v>647.57410714286</v>
      </c>
      <c r="O1116" s="131" cm="1">
        <f ca="1" t="array" ref="O1116">IF(O1718=1,OFFSET($W$634,$B1116,O$631-1)/SUMPRODUCT(--($D$631:$V$631=O$631),--($D1718:$V1718=1)),0)+SUM(O1115)+IF(COUNTIF(O$1237:O1718,1)=1,5,0)+IF(COUNTIF(P1116:$W1116,"&gt;"&amp;0)&lt;5,IF(AND(COUNTIF(O$1237:O1718,1)&gt;7,MOD(1+IFERROR(MATCH($C1116,总览!$D$46:$D$345,1)+1,1),7)=0),$C$3,0),0)</f>
        <v>652.57410714286</v>
      </c>
      <c r="P1116" s="131" cm="1">
        <f ca="1" t="array" ref="P1116">IF(P1718=1,OFFSET($W$634,$B1116,P$631-1)/SUMPRODUCT(--($D$631:$V$631=P$631),--($D1718:$V1718=1)),0)+SUM(P1115)+IF(COUNTIF(P$1237:P1718,1)=1,5,0)+IF(COUNTIF(Q1116:$W1116,"&gt;"&amp;0)&lt;5,IF(AND(COUNTIF(P$1237:P1718,1)&gt;7,MOD(1+IFERROR(MATCH($C1116,总览!$D$46:$D$345,1)+1,1),7)=0),$C$3,0),0)</f>
        <v>641.69285714286</v>
      </c>
      <c r="Q1116" s="131" cm="1">
        <f ca="1" t="array" ref="Q1116">IF(Q1718=1,OFFSET($W$634,$B1116,Q$631-1)/SUMPRODUCT(--($D$631:$V$631=Q$631),--($D1718:$V1718=1)),0)+SUM(Q1115)+IF(COUNTIF(Q$1237:Q1718,1)=1,5,0)+IF(COUNTIF(R1116:$W1116,"&gt;"&amp;0)&lt;5,IF(AND(COUNTIF(Q$1237:Q1718,1)&gt;7,MOD(1+IFERROR(MATCH($C1116,总览!$D$46:$D$345,1)+1,1),7)=0),$C$3,0),0)</f>
        <v>655.07410714286</v>
      </c>
      <c r="R1116" s="131" cm="1">
        <f ca="1" t="array" ref="R1116">IF(R1718=1,OFFSET($W$634,$B1116,R$631-1)/SUMPRODUCT(--($D$631:$V$631=R$631),--($D1718:$V1718=1)),0)+SUM(R1115)+IF(COUNTIF(R$1237:R1718,1)=1,5,0)+IF(COUNTIF(S1116:$W1116,"&gt;"&amp;0)&lt;5,IF(AND(COUNTIF(R$1237:R1718,1)&gt;7,MOD(1+IFERROR(MATCH($C1116,总览!$D$46:$D$345,1)+1,1),7)=0),$C$3,0),0)</f>
        <v>646.69285714286</v>
      </c>
      <c r="S1116" s="131" cm="1">
        <f ca="1" t="array" ref="S1116">IF(S1718=1,OFFSET($W$634,$B1116,S$631-1)/SUMPRODUCT(--($D$631:$V$631=S$631),--($D1718:$V1718=1)),0)+SUM(S1115)+IF(COUNTIF(S$1237:S1718,1)=1,5,0)+IF(COUNTIF(T1116:$W1116,"&gt;"&amp;0)&lt;5,IF(AND(COUNTIF(S$1237:S1718,1)&gt;7,MOD(1+IFERROR(MATCH($C1116,总览!$D$46:$D$345,1)+1,1),7)=0),$C$3,0),0)</f>
        <v>739.192857142862</v>
      </c>
      <c r="T1116" s="131" cm="1">
        <f ca="1" t="array" ref="T1116">IF(T1718=1,OFFSET($W$634,$B1116,T$631-1)/SUMPRODUCT(--($D$631:$V$631=T$631),--($D1718:$V1718=1)),0)+SUM(T1115)+IF(COUNTIF(T$1237:T1718,1)=1,5,0)+IF(COUNTIF(U1116:$W1116,"&gt;"&amp;0)&lt;5,IF(AND(COUNTIF(T$1237:T1718,1)&gt;7,MOD(1+IFERROR(MATCH($C1116,总览!$D$46:$D$345,1)+1,1),7)=0),$C$3,0),0)</f>
        <v>541.229935605895</v>
      </c>
      <c r="U1116" s="131" cm="1">
        <f ca="1" t="array" ref="U1116">IF(U1718=1,OFFSET($W$634,$B1116,U$631-1)/SUMPRODUCT(--($D$631:$V$631=U$631),--($D1718:$V1718=1)),0)+SUM(U1115)+IF(COUNTIF(U$1237:U1718,1)=1,5,0)+IF(COUNTIF(V1116:$W1116,"&gt;"&amp;0)&lt;5,IF(AND(COUNTIF(U$1237:U1718,1)&gt;7,MOD(1+IFERROR(MATCH($C1116,总览!$D$46:$D$345,1)+1,1),7)=0),$C$3,0),0)</f>
        <v>546.750721961194</v>
      </c>
      <c r="V1116" s="131" cm="1">
        <f ca="1" t="array" ref="V1116">IF(V1718=1,OFFSET($W$634,$B1116,V$631-1)/SUMPRODUCT(--($D$631:$V$631=V$631),--($D1718:$V1718=1)),0)+SUM(V1115)+IF(COUNTIF(V$1237:V1718,1)=1,5,0)+IF(COUNTIF(W1116:$W1116,"&gt;"&amp;0)&lt;5,IF(AND(COUNTIF(V$1237:V1718,1)&gt;7,MOD(1+IFERROR(MATCH($C1116,总览!$D$46:$D$345,1)+1,1),7)=0),$C$3,0),0)</f>
        <v>566.577721673627</v>
      </c>
      <c r="W1116" s="135" cm="1">
        <f ca="1" t="array" ref="W1116">SUMPRODUCT(TRANSPOSE($AA1116:$AG1116),OFFSET($L$9:$L$15,0,W$631-1))</f>
        <v>16.8502200646615</v>
      </c>
      <c r="X1116" s="135" cm="1">
        <f ca="1" t="array" ref="X1116">SUMPRODUCT(TRANSPOSE($AA1116:$AG1116),OFFSET($L$9:$L$15,0,X$631-1))</f>
        <v>20</v>
      </c>
      <c r="Y1116" s="135" cm="1">
        <f ca="1" t="array" ref="Y1116">SUMPRODUCT(TRANSPOSE($AA1116:$AG1116),OFFSET($L$9:$L$15,0,Y$631-1))</f>
        <v>10</v>
      </c>
      <c r="Z1116" s="135" cm="1">
        <f ca="1" t="array" ref="Z1116">SUMPRODUCT(TRANSPOSE($AA1116:$AG1116),OFFSET($L$9:$L$15,0,Z$631-1))</f>
        <v>3.14977993533847</v>
      </c>
      <c r="AA1116" s="136">
        <f ca="1" t="shared" ref="AA1116:AG1116" si="1217">AH1116-AH1115</f>
        <v>0</v>
      </c>
      <c r="AB1116" s="136">
        <f ca="1" t="shared" si="1217"/>
        <v>0</v>
      </c>
      <c r="AC1116" s="136">
        <f ca="1" t="shared" si="1217"/>
        <v>0</v>
      </c>
      <c r="AD1116" s="136">
        <f ca="1" t="shared" si="1217"/>
        <v>0</v>
      </c>
      <c r="AE1116" s="136">
        <f ca="1" t="shared" si="1217"/>
        <v>0</v>
      </c>
      <c r="AF1116" s="136">
        <f ca="1" t="shared" si="1217"/>
        <v>0</v>
      </c>
      <c r="AG1116" s="136">
        <f ca="1" t="shared" si="1217"/>
        <v>100</v>
      </c>
      <c r="AH1116" s="136">
        <f ca="1" t="shared" si="1151"/>
        <v>450</v>
      </c>
      <c r="AI1116" s="136">
        <f ca="1" t="shared" ref="AI1116:AN1116" si="1218">IF($C1116&gt;OFFSET($Q$8,MATCH(AI$634,$AH$634:$AN$634,0),0),OFFSET($P$8,MATCH(AI$634,$AH$634:$AN$634,0),0),MAX(0,$C1116-OFFSET($Q$8,RIGHT(AI$634,1)-1,0)))</f>
        <v>909</v>
      </c>
      <c r="AJ1116" s="136">
        <f ca="1" t="shared" si="1218"/>
        <v>1818</v>
      </c>
      <c r="AK1116" s="136">
        <f ca="1" t="shared" si="1218"/>
        <v>2727</v>
      </c>
      <c r="AL1116" s="136">
        <f ca="1" t="shared" si="1218"/>
        <v>3636</v>
      </c>
      <c r="AM1116" s="136">
        <f ca="1" t="shared" si="1218"/>
        <v>4545</v>
      </c>
      <c r="AN1116" s="136">
        <f ca="1" t="shared" si="1218"/>
        <v>34115</v>
      </c>
    </row>
    <row r="1117" s="106" customFormat="1" ht="16.5" spans="2:40">
      <c r="B1117" s="117">
        <v>483</v>
      </c>
      <c r="C1117" s="130">
        <f t="shared" si="1149"/>
        <v>48300</v>
      </c>
      <c r="D1117" s="131" cm="1">
        <f ca="1" t="array" ref="D1117">IF(D1719=1,OFFSET($W$634,$B1117,D$631-1)/SUMPRODUCT(--($D$631:$V$631=D$631),--($D1719:$V1719=1)),0)+SUM(D1116)+IF(COUNTIF(D$1237:D1719,1)=1,5,0)+IF(COUNTIF(E1117:$W1117,"&gt;"&amp;0)&lt;5,IF(AND(COUNTIF(D$1237:D1719,1)&gt;7,MOD(1+IFERROR(MATCH($C1117,总览!$D$46:$D$345,1)+1,1),7)=0),$C$3,0),0)</f>
        <v>3040.58894694134</v>
      </c>
      <c r="E1117" s="131" cm="1">
        <f ca="1" t="array" ref="E1117">IF(E1719=1,OFFSET($W$634,$B1117,E$631-1)/SUMPRODUCT(--($D$631:$V$631=E$631),--($D1719:$V1719=1)),0)+SUM(E1116)+IF(COUNTIF(E$1237:E1719,1)=1,5,0)+IF(COUNTIF(F1117:$W1117,"&gt;"&amp;0)&lt;5,IF(AND(COUNTIF(E$1237:E1719,1)&gt;7,MOD(1+IFERROR(MATCH($C1117,总览!$D$46:$D$345,1)+1,1),7)=0),$C$3,0),0)</f>
        <v>3040.58894694134</v>
      </c>
      <c r="F1117" s="131" cm="1">
        <f ca="1" t="array" ref="F1117">IF(F1719=1,OFFSET($W$634,$B1117,F$631-1)/SUMPRODUCT(--($D$631:$V$631=F$631),--($D1719:$V1719=1)),0)+SUM(F1116)+IF(COUNTIF(F$1237:F1719,1)=1,5,0)+IF(COUNTIF(G1117:$W1117,"&gt;"&amp;0)&lt;5,IF(AND(COUNTIF(F$1237:F1719,1)&gt;7,MOD(1+IFERROR(MATCH($C1117,总览!$D$46:$D$345,1)+1,1),7)=0),$C$3,0),0)</f>
        <v>3040.58894694134</v>
      </c>
      <c r="G1117" s="131" cm="1">
        <f ca="1" t="array" ref="G1117">IF(G1719=1,OFFSET($W$634,$B1117,G$631-1)/SUMPRODUCT(--($D$631:$V$631=G$631),--($D1719:$V1719=1)),0)+SUM(G1116)+IF(COUNTIF(G$1237:G1719,1)=1,5,0)+IF(COUNTIF(H1117:$W1117,"&gt;"&amp;0)&lt;5,IF(AND(COUNTIF(G$1237:G1719,1)&gt;7,MOD(1+IFERROR(MATCH($C1117,总览!$D$46:$D$345,1)+1,1),7)=0),$C$3,0),0)</f>
        <v>1549.39999999999</v>
      </c>
      <c r="H1117" s="131" cm="1">
        <f ca="1" t="array" ref="H1117">IF(H1719=1,OFFSET($W$634,$B1117,H$631-1)/SUMPRODUCT(--($D$631:$V$631=H$631),--($D1719:$V1719=1)),0)+SUM(H1116)+IF(COUNTIF(H$1237:H1719,1)=1,5,0)+IF(COUNTIF(I1117:$W1117,"&gt;"&amp;0)&lt;5,IF(AND(COUNTIF(H$1237:H1719,1)&gt;7,MOD(1+IFERROR(MATCH($C1117,总览!$D$46:$D$345,1)+1,1),7)=0),$C$3,0),0)</f>
        <v>1549.39999999999</v>
      </c>
      <c r="I1117" s="131" cm="1">
        <f ca="1" t="array" ref="I1117">IF(I1719=1,OFFSET($W$634,$B1117,I$631-1)/SUMPRODUCT(--($D$631:$V$631=I$631),--($D1719:$V1719=1)),0)+SUM(I1116)+IF(COUNTIF(I$1237:I1719,1)=1,5,0)+IF(COUNTIF(J1117:$W1117,"&gt;"&amp;0)&lt;5,IF(AND(COUNTIF(I$1237:I1719,1)&gt;7,MOD(1+IFERROR(MATCH($C1117,总览!$D$46:$D$345,1)+1,1),7)=0),$C$3,0),0)</f>
        <v>1549.39999999999</v>
      </c>
      <c r="J1117" s="131" cm="1">
        <f ca="1" t="array" ref="J1117">IF(J1719=1,OFFSET($W$634,$B1117,J$631-1)/SUMPRODUCT(--($D$631:$V$631=J$631),--($D1719:$V1719=1)),0)+SUM(J1116)+IF(COUNTIF(J$1237:J1719,1)=1,5,0)+IF(COUNTIF(K1117:$W1117,"&gt;"&amp;0)&lt;5,IF(AND(COUNTIF(J$1237:J1719,1)&gt;7,MOD(1+IFERROR(MATCH($C1117,总览!$D$46:$D$345,1)+1,1),7)=0),$C$3,0),0)</f>
        <v>1546.06666666666</v>
      </c>
      <c r="K1117" s="131" cm="1">
        <f ca="1" t="array" ref="K1117">IF(K1719=1,OFFSET($W$634,$B1117,K$631-1)/SUMPRODUCT(--($D$631:$V$631=K$631),--($D1719:$V1719=1)),0)+SUM(K1116)+IF(COUNTIF(K$1237:K1719,1)=1,5,0)+IF(COUNTIF(L1117:$W1117,"&gt;"&amp;0)&lt;5,IF(AND(COUNTIF(K$1237:K1719,1)&gt;7,MOD(1+IFERROR(MATCH($C1117,总览!$D$46:$D$345,1)+1,1),7)=0),$C$3,0),0)</f>
        <v>1543.56666666666</v>
      </c>
      <c r="L1117" s="131" cm="1">
        <f ca="1" t="array" ref="L1117">IF(L1719=1,OFFSET($W$634,$B1117,L$631-1)/SUMPRODUCT(--($D$631:$V$631=L$631),--($D1719:$V1719=1)),0)+SUM(L1116)+IF(COUNTIF(L$1237:L1719,1)=1,5,0)+IF(COUNTIF(M1117:$W1117,"&gt;"&amp;0)&lt;5,IF(AND(COUNTIF(L$1237:L1719,1)&gt;7,MOD(1+IFERROR(MATCH($C1117,总览!$D$46:$D$345,1)+1,1),7)=0),$C$3,0),0)</f>
        <v>1543.56666666666</v>
      </c>
      <c r="M1117" s="131" cm="1">
        <f ca="1" t="array" ref="M1117">IF(M1719=1,OFFSET($W$634,$B1117,M$631-1)/SUMPRODUCT(--($D$631:$V$631=M$631),--($D1719:$V1719=1)),0)+SUM(M1116)+IF(COUNTIF(M$1237:M1719,1)=1,5,0)+IF(COUNTIF(N1117:$W1117,"&gt;"&amp;0)&lt;5,IF(AND(COUNTIF(M$1237:M1719,1)&gt;7,MOD(1+IFERROR(MATCH($C1117,总览!$D$46:$D$345,1)+1,1),7)=0),$C$3,0),0)</f>
        <v>647.752678571432</v>
      </c>
      <c r="N1117" s="131" cm="1">
        <f ca="1" t="array" ref="N1117">IF(N1719=1,OFFSET($W$634,$B1117,N$631-1)/SUMPRODUCT(--($D$631:$V$631=N$631),--($D1719:$V1719=1)),0)+SUM(N1116)+IF(COUNTIF(N$1237:N1719,1)=1,5,0)+IF(COUNTIF(O1117:$W1117,"&gt;"&amp;0)&lt;5,IF(AND(COUNTIF(N$1237:N1719,1)&gt;7,MOD(1+IFERROR(MATCH($C1117,总览!$D$46:$D$345,1)+1,1),7)=0),$C$3,0),0)</f>
        <v>649.002678571432</v>
      </c>
      <c r="O1117" s="131" cm="1">
        <f ca="1" t="array" ref="O1117">IF(O1719=1,OFFSET($W$634,$B1117,O$631-1)/SUMPRODUCT(--($D$631:$V$631=O$631),--($D1719:$V1719=1)),0)+SUM(O1116)+IF(COUNTIF(O$1237:O1719,1)=1,5,0)+IF(COUNTIF(P1117:$W1117,"&gt;"&amp;0)&lt;5,IF(AND(COUNTIF(O$1237:O1719,1)&gt;7,MOD(1+IFERROR(MATCH($C1117,总览!$D$46:$D$345,1)+1,1),7)=0),$C$3,0),0)</f>
        <v>654.002678571432</v>
      </c>
      <c r="P1117" s="131" cm="1">
        <f ca="1" t="array" ref="P1117">IF(P1719=1,OFFSET($W$634,$B1117,P$631-1)/SUMPRODUCT(--($D$631:$V$631=P$631),--($D1719:$V1719=1)),0)+SUM(P1116)+IF(COUNTIF(P$1237:P1719,1)=1,5,0)+IF(COUNTIF(Q1117:$W1117,"&gt;"&amp;0)&lt;5,IF(AND(COUNTIF(P$1237:P1719,1)&gt;7,MOD(1+IFERROR(MATCH($C1117,总览!$D$46:$D$345,1)+1,1),7)=0),$C$3,0),0)</f>
        <v>643.121428571432</v>
      </c>
      <c r="Q1117" s="131" cm="1">
        <f ca="1" t="array" ref="Q1117">IF(Q1719=1,OFFSET($W$634,$B1117,Q$631-1)/SUMPRODUCT(--($D$631:$V$631=Q$631),--($D1719:$V1719=1)),0)+SUM(Q1116)+IF(COUNTIF(Q$1237:Q1719,1)=1,5,0)+IF(COUNTIF(R1117:$W1117,"&gt;"&amp;0)&lt;5,IF(AND(COUNTIF(Q$1237:Q1719,1)&gt;7,MOD(1+IFERROR(MATCH($C1117,总览!$D$46:$D$345,1)+1,1),7)=0),$C$3,0),0)</f>
        <v>656.502678571432</v>
      </c>
      <c r="R1117" s="131" cm="1">
        <f ca="1" t="array" ref="R1117">IF(R1719=1,OFFSET($W$634,$B1117,R$631-1)/SUMPRODUCT(--($D$631:$V$631=R$631),--($D1719:$V1719=1)),0)+SUM(R1116)+IF(COUNTIF(R$1237:R1719,1)=1,5,0)+IF(COUNTIF(S1117:$W1117,"&gt;"&amp;0)&lt;5,IF(AND(COUNTIF(R$1237:R1719,1)&gt;7,MOD(1+IFERROR(MATCH($C1117,总览!$D$46:$D$345,1)+1,1),7)=0),$C$3,0),0)</f>
        <v>648.121428571432</v>
      </c>
      <c r="S1117" s="131" cm="1">
        <f ca="1" t="array" ref="S1117">IF(S1719=1,OFFSET($W$634,$B1117,S$631-1)/SUMPRODUCT(--($D$631:$V$631=S$631),--($D1719:$V1719=1)),0)+SUM(S1116)+IF(COUNTIF(S$1237:S1719,1)=1,5,0)+IF(COUNTIF(T1117:$W1117,"&gt;"&amp;0)&lt;5,IF(AND(COUNTIF(S$1237:S1719,1)&gt;7,MOD(1+IFERROR(MATCH($C1117,总览!$D$46:$D$345,1)+1,1),7)=0),$C$3,0),0)</f>
        <v>740.621428571433</v>
      </c>
      <c r="T1117" s="131" cm="1">
        <f ca="1" t="array" ref="T1117">IF(T1719=1,OFFSET($W$634,$B1117,T$631-1)/SUMPRODUCT(--($D$631:$V$631=T$631),--($D1719:$V1719=1)),0)+SUM(T1116)+IF(COUNTIF(T$1237:T1719,1)=1,5,0)+IF(COUNTIF(U1117:$W1117,"&gt;"&amp;0)&lt;5,IF(AND(COUNTIF(T$1237:T1719,1)&gt;7,MOD(1+IFERROR(MATCH($C1117,总览!$D$46:$D$345,1)+1,1),7)=0),$C$3,0),0)</f>
        <v>542.279862251008</v>
      </c>
      <c r="U1117" s="131" cm="1">
        <f ca="1" t="array" ref="U1117">IF(U1719=1,OFFSET($W$634,$B1117,U$631-1)/SUMPRODUCT(--($D$631:$V$631=U$631),--($D1719:$V1719=1)),0)+SUM(U1116)+IF(COUNTIF(U$1237:U1719,1)=1,5,0)+IF(COUNTIF(V1117:$W1117,"&gt;"&amp;0)&lt;5,IF(AND(COUNTIF(U$1237:U1719,1)&gt;7,MOD(1+IFERROR(MATCH($C1117,总览!$D$46:$D$345,1)+1,1),7)=0),$C$3,0),0)</f>
        <v>547.800648606307</v>
      </c>
      <c r="V1117" s="131" cm="1">
        <f ca="1" t="array" ref="V1117">IF(V1719=1,OFFSET($W$634,$B1117,V$631-1)/SUMPRODUCT(--($D$631:$V$631=V$631),--($D1719:$V1719=1)),0)+SUM(V1116)+IF(COUNTIF(V$1237:V1719,1)=1,5,0)+IF(COUNTIF(W1117:$W1117,"&gt;"&amp;0)&lt;5,IF(AND(COUNTIF(V$1237:V1719,1)&gt;7,MOD(1+IFERROR(MATCH($C1117,总览!$D$46:$D$345,1)+1,1),7)=0),$C$3,0),0)</f>
        <v>567.62764831874</v>
      </c>
      <c r="W1117" s="135" cm="1">
        <f ca="1" t="array" ref="W1117">SUMPRODUCT(TRANSPOSE($AA1117:$AG1117),OFFSET($L$9:$L$15,0,W$631-1))</f>
        <v>16.8502200646615</v>
      </c>
      <c r="X1117" s="135" cm="1">
        <f ca="1" t="array" ref="X1117">SUMPRODUCT(TRANSPOSE($AA1117:$AG1117),OFFSET($L$9:$L$15,0,X$631-1))</f>
        <v>20</v>
      </c>
      <c r="Y1117" s="135" cm="1">
        <f ca="1" t="array" ref="Y1117">SUMPRODUCT(TRANSPOSE($AA1117:$AG1117),OFFSET($L$9:$L$15,0,Y$631-1))</f>
        <v>10</v>
      </c>
      <c r="Z1117" s="135" cm="1">
        <f ca="1" t="array" ref="Z1117">SUMPRODUCT(TRANSPOSE($AA1117:$AG1117),OFFSET($L$9:$L$15,0,Z$631-1))</f>
        <v>3.14977993533847</v>
      </c>
      <c r="AA1117" s="136">
        <f ca="1" t="shared" ref="AA1117:AG1117" si="1219">AH1117-AH1116</f>
        <v>0</v>
      </c>
      <c r="AB1117" s="136">
        <f ca="1" t="shared" si="1219"/>
        <v>0</v>
      </c>
      <c r="AC1117" s="136">
        <f ca="1" t="shared" si="1219"/>
        <v>0</v>
      </c>
      <c r="AD1117" s="136">
        <f ca="1" t="shared" si="1219"/>
        <v>0</v>
      </c>
      <c r="AE1117" s="136">
        <f ca="1" t="shared" si="1219"/>
        <v>0</v>
      </c>
      <c r="AF1117" s="136">
        <f ca="1" t="shared" si="1219"/>
        <v>0</v>
      </c>
      <c r="AG1117" s="136">
        <f ca="1" t="shared" si="1219"/>
        <v>100</v>
      </c>
      <c r="AH1117" s="136">
        <f ca="1" t="shared" si="1151"/>
        <v>450</v>
      </c>
      <c r="AI1117" s="136">
        <f ca="1" t="shared" ref="AI1117:AN1117" si="1220">IF($C1117&gt;OFFSET($Q$8,MATCH(AI$634,$AH$634:$AN$634,0),0),OFFSET($P$8,MATCH(AI$634,$AH$634:$AN$634,0),0),MAX(0,$C1117-OFFSET($Q$8,RIGHT(AI$634,1)-1,0)))</f>
        <v>909</v>
      </c>
      <c r="AJ1117" s="136">
        <f ca="1" t="shared" si="1220"/>
        <v>1818</v>
      </c>
      <c r="AK1117" s="136">
        <f ca="1" t="shared" si="1220"/>
        <v>2727</v>
      </c>
      <c r="AL1117" s="136">
        <f ca="1" t="shared" si="1220"/>
        <v>3636</v>
      </c>
      <c r="AM1117" s="136">
        <f ca="1" t="shared" si="1220"/>
        <v>4545</v>
      </c>
      <c r="AN1117" s="136">
        <f ca="1" t="shared" si="1220"/>
        <v>34215</v>
      </c>
    </row>
    <row r="1118" s="106" customFormat="1" ht="16.5" spans="2:40">
      <c r="B1118" s="117">
        <v>484</v>
      </c>
      <c r="C1118" s="130">
        <f t="shared" si="1149"/>
        <v>48400</v>
      </c>
      <c r="D1118" s="131" cm="1">
        <f ca="1" t="array" ref="D1118">IF(D1720=1,OFFSET($W$634,$B1118,D$631-1)/SUMPRODUCT(--($D$631:$V$631=D$631),--($D1720:$V1720=1)),0)+SUM(D1117)+IF(COUNTIF(D$1237:D1720,1)=1,5,0)+IF(COUNTIF(E1118:$W1118,"&gt;"&amp;0)&lt;5,IF(AND(COUNTIF(D$1237:D1720,1)&gt;7,MOD(1+IFERROR(MATCH($C1118,总览!$D$46:$D$345,1)+1,1),7)=0),$C$3,0),0)</f>
        <v>3046.2056869629</v>
      </c>
      <c r="E1118" s="131" cm="1">
        <f ca="1" t="array" ref="E1118">IF(E1720=1,OFFSET($W$634,$B1118,E$631-1)/SUMPRODUCT(--($D$631:$V$631=E$631),--($D1720:$V1720=1)),0)+SUM(E1117)+IF(COUNTIF(E$1237:E1720,1)=1,5,0)+IF(COUNTIF(F1118:$W1118,"&gt;"&amp;0)&lt;5,IF(AND(COUNTIF(E$1237:E1720,1)&gt;7,MOD(1+IFERROR(MATCH($C1118,总览!$D$46:$D$345,1)+1,1),7)=0),$C$3,0),0)</f>
        <v>3046.2056869629</v>
      </c>
      <c r="F1118" s="131" cm="1">
        <f ca="1" t="array" ref="F1118">IF(F1720=1,OFFSET($W$634,$B1118,F$631-1)/SUMPRODUCT(--($D$631:$V$631=F$631),--($D1720:$V1720=1)),0)+SUM(F1117)+IF(COUNTIF(F$1237:F1720,1)=1,5,0)+IF(COUNTIF(G1118:$W1118,"&gt;"&amp;0)&lt;5,IF(AND(COUNTIF(F$1237:F1720,1)&gt;7,MOD(1+IFERROR(MATCH($C1118,总览!$D$46:$D$345,1)+1,1),7)=0),$C$3,0),0)</f>
        <v>3046.2056869629</v>
      </c>
      <c r="G1118" s="131" cm="1">
        <f ca="1" t="array" ref="G1118">IF(G1720=1,OFFSET($W$634,$B1118,G$631-1)/SUMPRODUCT(--($D$631:$V$631=G$631),--($D1720:$V1720=1)),0)+SUM(G1117)+IF(COUNTIF(G$1237:G1720,1)=1,5,0)+IF(COUNTIF(H1118:$W1118,"&gt;"&amp;0)&lt;5,IF(AND(COUNTIF(G$1237:G1720,1)&gt;7,MOD(1+IFERROR(MATCH($C1118,总览!$D$46:$D$345,1)+1,1),7)=0),$C$3,0),0)</f>
        <v>1552.73333333333</v>
      </c>
      <c r="H1118" s="131" cm="1">
        <f ca="1" t="array" ref="H1118">IF(H1720=1,OFFSET($W$634,$B1118,H$631-1)/SUMPRODUCT(--($D$631:$V$631=H$631),--($D1720:$V1720=1)),0)+SUM(H1117)+IF(COUNTIF(H$1237:H1720,1)=1,5,0)+IF(COUNTIF(I1118:$W1118,"&gt;"&amp;0)&lt;5,IF(AND(COUNTIF(H$1237:H1720,1)&gt;7,MOD(1+IFERROR(MATCH($C1118,总览!$D$46:$D$345,1)+1,1),7)=0),$C$3,0),0)</f>
        <v>1552.73333333333</v>
      </c>
      <c r="I1118" s="131" cm="1">
        <f ca="1" t="array" ref="I1118">IF(I1720=1,OFFSET($W$634,$B1118,I$631-1)/SUMPRODUCT(--($D$631:$V$631=I$631),--($D1720:$V1720=1)),0)+SUM(I1117)+IF(COUNTIF(I$1237:I1720,1)=1,5,0)+IF(COUNTIF(J1118:$W1118,"&gt;"&amp;0)&lt;5,IF(AND(COUNTIF(I$1237:I1720,1)&gt;7,MOD(1+IFERROR(MATCH($C1118,总览!$D$46:$D$345,1)+1,1),7)=0),$C$3,0),0)</f>
        <v>1552.73333333333</v>
      </c>
      <c r="J1118" s="131" cm="1">
        <f ca="1" t="array" ref="J1118">IF(J1720=1,OFFSET($W$634,$B1118,J$631-1)/SUMPRODUCT(--($D$631:$V$631=J$631),--($D1720:$V1720=1)),0)+SUM(J1117)+IF(COUNTIF(J$1237:J1720,1)=1,5,0)+IF(COUNTIF(K1118:$W1118,"&gt;"&amp;0)&lt;5,IF(AND(COUNTIF(J$1237:J1720,1)&gt;7,MOD(1+IFERROR(MATCH($C1118,总览!$D$46:$D$345,1)+1,1),7)=0),$C$3,0),0)</f>
        <v>1549.39999999999</v>
      </c>
      <c r="K1118" s="131" cm="1">
        <f ca="1" t="array" ref="K1118">IF(K1720=1,OFFSET($W$634,$B1118,K$631-1)/SUMPRODUCT(--($D$631:$V$631=K$631),--($D1720:$V1720=1)),0)+SUM(K1117)+IF(COUNTIF(K$1237:K1720,1)=1,5,0)+IF(COUNTIF(L1118:$W1118,"&gt;"&amp;0)&lt;5,IF(AND(COUNTIF(K$1237:K1720,1)&gt;7,MOD(1+IFERROR(MATCH($C1118,总览!$D$46:$D$345,1)+1,1),7)=0),$C$3,0),0)</f>
        <v>1546.89999999999</v>
      </c>
      <c r="L1118" s="131" cm="1">
        <f ca="1" t="array" ref="L1118">IF(L1720=1,OFFSET($W$634,$B1118,L$631-1)/SUMPRODUCT(--($D$631:$V$631=L$631),--($D1720:$V1720=1)),0)+SUM(L1117)+IF(COUNTIF(L$1237:L1720,1)=1,5,0)+IF(COUNTIF(M1118:$W1118,"&gt;"&amp;0)&lt;5,IF(AND(COUNTIF(L$1237:L1720,1)&gt;7,MOD(1+IFERROR(MATCH($C1118,总览!$D$46:$D$345,1)+1,1),7)=0),$C$3,0),0)</f>
        <v>1546.89999999999</v>
      </c>
      <c r="M1118" s="131" cm="1">
        <f ca="1" t="array" ref="M1118">IF(M1720=1,OFFSET($W$634,$B1118,M$631-1)/SUMPRODUCT(--($D$631:$V$631=M$631),--($D1720:$V1720=1)),0)+SUM(M1117)+IF(COUNTIF(M$1237:M1720,1)=1,5,0)+IF(COUNTIF(N1118:$W1118,"&gt;"&amp;0)&lt;5,IF(AND(COUNTIF(M$1237:M1720,1)&gt;7,MOD(1+IFERROR(MATCH($C1118,总览!$D$46:$D$345,1)+1,1),7)=0),$C$3,0),0)</f>
        <v>649.181250000003</v>
      </c>
      <c r="N1118" s="131" cm="1">
        <f ca="1" t="array" ref="N1118">IF(N1720=1,OFFSET($W$634,$B1118,N$631-1)/SUMPRODUCT(--($D$631:$V$631=N$631),--($D1720:$V1720=1)),0)+SUM(N1117)+IF(COUNTIF(N$1237:N1720,1)=1,5,0)+IF(COUNTIF(O1118:$W1118,"&gt;"&amp;0)&lt;5,IF(AND(COUNTIF(N$1237:N1720,1)&gt;7,MOD(1+IFERROR(MATCH($C1118,总览!$D$46:$D$345,1)+1,1),7)=0),$C$3,0),0)</f>
        <v>650.431250000003</v>
      </c>
      <c r="O1118" s="131" cm="1">
        <f ca="1" t="array" ref="O1118">IF(O1720=1,OFFSET($W$634,$B1118,O$631-1)/SUMPRODUCT(--($D$631:$V$631=O$631),--($D1720:$V1720=1)),0)+SUM(O1117)+IF(COUNTIF(O$1237:O1720,1)=1,5,0)+IF(COUNTIF(P1118:$W1118,"&gt;"&amp;0)&lt;5,IF(AND(COUNTIF(O$1237:O1720,1)&gt;7,MOD(1+IFERROR(MATCH($C1118,总览!$D$46:$D$345,1)+1,1),7)=0),$C$3,0),0)</f>
        <v>655.431250000003</v>
      </c>
      <c r="P1118" s="131" cm="1">
        <f ca="1" t="array" ref="P1118">IF(P1720=1,OFFSET($W$634,$B1118,P$631-1)/SUMPRODUCT(--($D$631:$V$631=P$631),--($D1720:$V1720=1)),0)+SUM(P1117)+IF(COUNTIF(P$1237:P1720,1)=1,5,0)+IF(COUNTIF(Q1118:$W1118,"&gt;"&amp;0)&lt;5,IF(AND(COUNTIF(P$1237:P1720,1)&gt;7,MOD(1+IFERROR(MATCH($C1118,总览!$D$46:$D$345,1)+1,1),7)=0),$C$3,0),0)</f>
        <v>644.550000000003</v>
      </c>
      <c r="Q1118" s="131" cm="1">
        <f ca="1" t="array" ref="Q1118">IF(Q1720=1,OFFSET($W$634,$B1118,Q$631-1)/SUMPRODUCT(--($D$631:$V$631=Q$631),--($D1720:$V1720=1)),0)+SUM(Q1117)+IF(COUNTIF(Q$1237:Q1720,1)=1,5,0)+IF(COUNTIF(R1118:$W1118,"&gt;"&amp;0)&lt;5,IF(AND(COUNTIF(Q$1237:Q1720,1)&gt;7,MOD(1+IFERROR(MATCH($C1118,总览!$D$46:$D$345,1)+1,1),7)=0),$C$3,0),0)</f>
        <v>657.931250000003</v>
      </c>
      <c r="R1118" s="131" cm="1">
        <f ca="1" t="array" ref="R1118">IF(R1720=1,OFFSET($W$634,$B1118,R$631-1)/SUMPRODUCT(--($D$631:$V$631=R$631),--($D1720:$V1720=1)),0)+SUM(R1117)+IF(COUNTIF(R$1237:R1720,1)=1,5,0)+IF(COUNTIF(S1118:$W1118,"&gt;"&amp;0)&lt;5,IF(AND(COUNTIF(R$1237:R1720,1)&gt;7,MOD(1+IFERROR(MATCH($C1118,总览!$D$46:$D$345,1)+1,1),7)=0),$C$3,0),0)</f>
        <v>649.550000000003</v>
      </c>
      <c r="S1118" s="131" cm="1">
        <f ca="1" t="array" ref="S1118">IF(S1720=1,OFFSET($W$634,$B1118,S$631-1)/SUMPRODUCT(--($D$631:$V$631=S$631),--($D1720:$V1720=1)),0)+SUM(S1117)+IF(COUNTIF(S$1237:S1720,1)=1,5,0)+IF(COUNTIF(T1118:$W1118,"&gt;"&amp;0)&lt;5,IF(AND(COUNTIF(S$1237:S1720,1)&gt;7,MOD(1+IFERROR(MATCH($C1118,总览!$D$46:$D$345,1)+1,1),7)=0),$C$3,0),0)</f>
        <v>742.050000000004</v>
      </c>
      <c r="T1118" s="131" cm="1">
        <f ca="1" t="array" ref="T1118">IF(T1720=1,OFFSET($W$634,$B1118,T$631-1)/SUMPRODUCT(--($D$631:$V$631=T$631),--($D1720:$V1720=1)),0)+SUM(T1117)+IF(COUNTIF(T$1237:T1720,1)=1,5,0)+IF(COUNTIF(U1118:$W1118,"&gt;"&amp;0)&lt;5,IF(AND(COUNTIF(T$1237:T1720,1)&gt;7,MOD(1+IFERROR(MATCH($C1118,总览!$D$46:$D$345,1)+1,1),7)=0),$C$3,0),0)</f>
        <v>543.329788896121</v>
      </c>
      <c r="U1118" s="131" cm="1">
        <f ca="1" t="array" ref="U1118">IF(U1720=1,OFFSET($W$634,$B1118,U$631-1)/SUMPRODUCT(--($D$631:$V$631=U$631),--($D1720:$V1720=1)),0)+SUM(U1117)+IF(COUNTIF(U$1237:U1720,1)=1,5,0)+IF(COUNTIF(V1118:$W1118,"&gt;"&amp;0)&lt;5,IF(AND(COUNTIF(U$1237:U1720,1)&gt;7,MOD(1+IFERROR(MATCH($C1118,总览!$D$46:$D$345,1)+1,1),7)=0),$C$3,0),0)</f>
        <v>548.85057525142</v>
      </c>
      <c r="V1118" s="131" cm="1">
        <f ca="1" t="array" ref="V1118">IF(V1720=1,OFFSET($W$634,$B1118,V$631-1)/SUMPRODUCT(--($D$631:$V$631=V$631),--($D1720:$V1720=1)),0)+SUM(V1117)+IF(COUNTIF(V$1237:V1720,1)=1,5,0)+IF(COUNTIF(W1118:$W1118,"&gt;"&amp;0)&lt;5,IF(AND(COUNTIF(V$1237:V1720,1)&gt;7,MOD(1+IFERROR(MATCH($C1118,总览!$D$46:$D$345,1)+1,1),7)=0),$C$3,0),0)</f>
        <v>568.677574963853</v>
      </c>
      <c r="W1118" s="135" cm="1">
        <f ca="1" t="array" ref="W1118">SUMPRODUCT(TRANSPOSE($AA1118:$AG1118),OFFSET($L$9:$L$15,0,W$631-1))</f>
        <v>16.8502200646615</v>
      </c>
      <c r="X1118" s="135" cm="1">
        <f ca="1" t="array" ref="X1118">SUMPRODUCT(TRANSPOSE($AA1118:$AG1118),OFFSET($L$9:$L$15,0,X$631-1))</f>
        <v>20</v>
      </c>
      <c r="Y1118" s="135" cm="1">
        <f ca="1" t="array" ref="Y1118">SUMPRODUCT(TRANSPOSE($AA1118:$AG1118),OFFSET($L$9:$L$15,0,Y$631-1))</f>
        <v>10</v>
      </c>
      <c r="Z1118" s="135" cm="1">
        <f ca="1" t="array" ref="Z1118">SUMPRODUCT(TRANSPOSE($AA1118:$AG1118),OFFSET($L$9:$L$15,0,Z$631-1))</f>
        <v>3.14977993533847</v>
      </c>
      <c r="AA1118" s="136">
        <f ca="1" t="shared" ref="AA1118:AG1118" si="1221">AH1118-AH1117</f>
        <v>0</v>
      </c>
      <c r="AB1118" s="136">
        <f ca="1" t="shared" si="1221"/>
        <v>0</v>
      </c>
      <c r="AC1118" s="136">
        <f ca="1" t="shared" si="1221"/>
        <v>0</v>
      </c>
      <c r="AD1118" s="136">
        <f ca="1" t="shared" si="1221"/>
        <v>0</v>
      </c>
      <c r="AE1118" s="136">
        <f ca="1" t="shared" si="1221"/>
        <v>0</v>
      </c>
      <c r="AF1118" s="136">
        <f ca="1" t="shared" si="1221"/>
        <v>0</v>
      </c>
      <c r="AG1118" s="136">
        <f ca="1" t="shared" si="1221"/>
        <v>100</v>
      </c>
      <c r="AH1118" s="136">
        <f ca="1" t="shared" si="1151"/>
        <v>450</v>
      </c>
      <c r="AI1118" s="136">
        <f ca="1" t="shared" ref="AI1118:AN1118" si="1222">IF($C1118&gt;OFFSET($Q$8,MATCH(AI$634,$AH$634:$AN$634,0),0),OFFSET($P$8,MATCH(AI$634,$AH$634:$AN$634,0),0),MAX(0,$C1118-OFFSET($Q$8,RIGHT(AI$634,1)-1,0)))</f>
        <v>909</v>
      </c>
      <c r="AJ1118" s="136">
        <f ca="1" t="shared" si="1222"/>
        <v>1818</v>
      </c>
      <c r="AK1118" s="136">
        <f ca="1" t="shared" si="1222"/>
        <v>2727</v>
      </c>
      <c r="AL1118" s="136">
        <f ca="1" t="shared" si="1222"/>
        <v>3636</v>
      </c>
      <c r="AM1118" s="136">
        <f ca="1" t="shared" si="1222"/>
        <v>4545</v>
      </c>
      <c r="AN1118" s="136">
        <f ca="1" t="shared" si="1222"/>
        <v>34315</v>
      </c>
    </row>
    <row r="1119" s="106" customFormat="1" ht="16.5" spans="2:40">
      <c r="B1119" s="117">
        <v>485</v>
      </c>
      <c r="C1119" s="130">
        <f t="shared" si="1149"/>
        <v>48500</v>
      </c>
      <c r="D1119" s="131" cm="1">
        <f ca="1" t="array" ref="D1119">IF(D1721=1,OFFSET($W$634,$B1119,D$631-1)/SUMPRODUCT(--($D$631:$V$631=D$631),--($D1721:$V1721=1)),0)+SUM(D1118)+IF(COUNTIF(D$1237:D1721,1)=1,5,0)+IF(COUNTIF(E1119:$W1119,"&gt;"&amp;0)&lt;5,IF(AND(COUNTIF(D$1237:D1721,1)&gt;7,MOD(1+IFERROR(MATCH($C1119,总览!$D$46:$D$345,1)+1,1),7)=0),$C$3,0),0)</f>
        <v>3051.82242698445</v>
      </c>
      <c r="E1119" s="131" cm="1">
        <f ca="1" t="array" ref="E1119">IF(E1721=1,OFFSET($W$634,$B1119,E$631-1)/SUMPRODUCT(--($D$631:$V$631=E$631),--($D1721:$V1721=1)),0)+SUM(E1118)+IF(COUNTIF(E$1237:E1721,1)=1,5,0)+IF(COUNTIF(F1119:$W1119,"&gt;"&amp;0)&lt;5,IF(AND(COUNTIF(E$1237:E1721,1)&gt;7,MOD(1+IFERROR(MATCH($C1119,总览!$D$46:$D$345,1)+1,1),7)=0),$C$3,0),0)</f>
        <v>3051.82242698445</v>
      </c>
      <c r="F1119" s="131" cm="1">
        <f ca="1" t="array" ref="F1119">IF(F1721=1,OFFSET($W$634,$B1119,F$631-1)/SUMPRODUCT(--($D$631:$V$631=F$631),--($D1721:$V1721=1)),0)+SUM(F1118)+IF(COUNTIF(F$1237:F1721,1)=1,5,0)+IF(COUNTIF(G1119:$W1119,"&gt;"&amp;0)&lt;5,IF(AND(COUNTIF(F$1237:F1721,1)&gt;7,MOD(1+IFERROR(MATCH($C1119,总览!$D$46:$D$345,1)+1,1),7)=0),$C$3,0),0)</f>
        <v>3051.82242698445</v>
      </c>
      <c r="G1119" s="131" cm="1">
        <f ca="1" t="array" ref="G1119">IF(G1721=1,OFFSET($W$634,$B1119,G$631-1)/SUMPRODUCT(--($D$631:$V$631=G$631),--($D1721:$V1721=1)),0)+SUM(G1118)+IF(COUNTIF(G$1237:G1721,1)=1,5,0)+IF(COUNTIF(H1119:$W1119,"&gt;"&amp;0)&lt;5,IF(AND(COUNTIF(G$1237:G1721,1)&gt;7,MOD(1+IFERROR(MATCH($C1119,总览!$D$46:$D$345,1)+1,1),7)=0),$C$3,0),0)</f>
        <v>1556.06666666666</v>
      </c>
      <c r="H1119" s="131" cm="1">
        <f ca="1" t="array" ref="H1119">IF(H1721=1,OFFSET($W$634,$B1119,H$631-1)/SUMPRODUCT(--($D$631:$V$631=H$631),--($D1721:$V1721=1)),0)+SUM(H1118)+IF(COUNTIF(H$1237:H1721,1)=1,5,0)+IF(COUNTIF(I1119:$W1119,"&gt;"&amp;0)&lt;5,IF(AND(COUNTIF(H$1237:H1721,1)&gt;7,MOD(1+IFERROR(MATCH($C1119,总览!$D$46:$D$345,1)+1,1),7)=0),$C$3,0),0)</f>
        <v>1556.06666666666</v>
      </c>
      <c r="I1119" s="131" cm="1">
        <f ca="1" t="array" ref="I1119">IF(I1721=1,OFFSET($W$634,$B1119,I$631-1)/SUMPRODUCT(--($D$631:$V$631=I$631),--($D1721:$V1721=1)),0)+SUM(I1118)+IF(COUNTIF(I$1237:I1721,1)=1,5,0)+IF(COUNTIF(J1119:$W1119,"&gt;"&amp;0)&lt;5,IF(AND(COUNTIF(I$1237:I1721,1)&gt;7,MOD(1+IFERROR(MATCH($C1119,总览!$D$46:$D$345,1)+1,1),7)=0),$C$3,0),0)</f>
        <v>1556.06666666666</v>
      </c>
      <c r="J1119" s="131" cm="1">
        <f ca="1" t="array" ref="J1119">IF(J1721=1,OFFSET($W$634,$B1119,J$631-1)/SUMPRODUCT(--($D$631:$V$631=J$631),--($D1721:$V1721=1)),0)+SUM(J1118)+IF(COUNTIF(J$1237:J1721,1)=1,5,0)+IF(COUNTIF(K1119:$W1119,"&gt;"&amp;0)&lt;5,IF(AND(COUNTIF(J$1237:J1721,1)&gt;7,MOD(1+IFERROR(MATCH($C1119,总览!$D$46:$D$345,1)+1,1),7)=0),$C$3,0),0)</f>
        <v>1552.73333333333</v>
      </c>
      <c r="K1119" s="131" cm="1">
        <f ca="1" t="array" ref="K1119">IF(K1721=1,OFFSET($W$634,$B1119,K$631-1)/SUMPRODUCT(--($D$631:$V$631=K$631),--($D1721:$V1721=1)),0)+SUM(K1118)+IF(COUNTIF(K$1237:K1721,1)=1,5,0)+IF(COUNTIF(L1119:$W1119,"&gt;"&amp;0)&lt;5,IF(AND(COUNTIF(K$1237:K1721,1)&gt;7,MOD(1+IFERROR(MATCH($C1119,总览!$D$46:$D$345,1)+1,1),7)=0),$C$3,0),0)</f>
        <v>1550.23333333333</v>
      </c>
      <c r="L1119" s="131" cm="1">
        <f ca="1" t="array" ref="L1119">IF(L1721=1,OFFSET($W$634,$B1119,L$631-1)/SUMPRODUCT(--($D$631:$V$631=L$631),--($D1721:$V1721=1)),0)+SUM(L1118)+IF(COUNTIF(L$1237:L1721,1)=1,5,0)+IF(COUNTIF(M1119:$W1119,"&gt;"&amp;0)&lt;5,IF(AND(COUNTIF(L$1237:L1721,1)&gt;7,MOD(1+IFERROR(MATCH($C1119,总览!$D$46:$D$345,1)+1,1),7)=0),$C$3,0),0)</f>
        <v>1550.23333333333</v>
      </c>
      <c r="M1119" s="131" cm="1">
        <f ca="1" t="array" ref="M1119">IF(M1721=1,OFFSET($W$634,$B1119,M$631-1)/SUMPRODUCT(--($D$631:$V$631=M$631),--($D1721:$V1721=1)),0)+SUM(M1118)+IF(COUNTIF(M$1237:M1721,1)=1,5,0)+IF(COUNTIF(N1119:$W1119,"&gt;"&amp;0)&lt;5,IF(AND(COUNTIF(M$1237:M1721,1)&gt;7,MOD(1+IFERROR(MATCH($C1119,总览!$D$46:$D$345,1)+1,1),7)=0),$C$3,0),0)</f>
        <v>650.609821428575</v>
      </c>
      <c r="N1119" s="131" cm="1">
        <f ca="1" t="array" ref="N1119">IF(N1721=1,OFFSET($W$634,$B1119,N$631-1)/SUMPRODUCT(--($D$631:$V$631=N$631),--($D1721:$V1721=1)),0)+SUM(N1118)+IF(COUNTIF(N$1237:N1721,1)=1,5,0)+IF(COUNTIF(O1119:$W1119,"&gt;"&amp;0)&lt;5,IF(AND(COUNTIF(N$1237:N1721,1)&gt;7,MOD(1+IFERROR(MATCH($C1119,总览!$D$46:$D$345,1)+1,1),7)=0),$C$3,0),0)</f>
        <v>651.859821428575</v>
      </c>
      <c r="O1119" s="131" cm="1">
        <f ca="1" t="array" ref="O1119">IF(O1721=1,OFFSET($W$634,$B1119,O$631-1)/SUMPRODUCT(--($D$631:$V$631=O$631),--($D1721:$V1721=1)),0)+SUM(O1118)+IF(COUNTIF(O$1237:O1721,1)=1,5,0)+IF(COUNTIF(P1119:$W1119,"&gt;"&amp;0)&lt;5,IF(AND(COUNTIF(O$1237:O1721,1)&gt;7,MOD(1+IFERROR(MATCH($C1119,总览!$D$46:$D$345,1)+1,1),7)=0),$C$3,0),0)</f>
        <v>656.859821428575</v>
      </c>
      <c r="P1119" s="131" cm="1">
        <f ca="1" t="array" ref="P1119">IF(P1721=1,OFFSET($W$634,$B1119,P$631-1)/SUMPRODUCT(--($D$631:$V$631=P$631),--($D1721:$V1721=1)),0)+SUM(P1118)+IF(COUNTIF(P$1237:P1721,1)=1,5,0)+IF(COUNTIF(Q1119:$W1119,"&gt;"&amp;0)&lt;5,IF(AND(COUNTIF(P$1237:P1721,1)&gt;7,MOD(1+IFERROR(MATCH($C1119,总览!$D$46:$D$345,1)+1,1),7)=0),$C$3,0),0)</f>
        <v>645.978571428575</v>
      </c>
      <c r="Q1119" s="131" cm="1">
        <f ca="1" t="array" ref="Q1119">IF(Q1721=1,OFFSET($W$634,$B1119,Q$631-1)/SUMPRODUCT(--($D$631:$V$631=Q$631),--($D1721:$V1721=1)),0)+SUM(Q1118)+IF(COUNTIF(Q$1237:Q1721,1)=1,5,0)+IF(COUNTIF(R1119:$W1119,"&gt;"&amp;0)&lt;5,IF(AND(COUNTIF(Q$1237:Q1721,1)&gt;7,MOD(1+IFERROR(MATCH($C1119,总览!$D$46:$D$345,1)+1,1),7)=0),$C$3,0),0)</f>
        <v>659.359821428575</v>
      </c>
      <c r="R1119" s="131" cm="1">
        <f ca="1" t="array" ref="R1119">IF(R1721=1,OFFSET($W$634,$B1119,R$631-1)/SUMPRODUCT(--($D$631:$V$631=R$631),--($D1721:$V1721=1)),0)+SUM(R1118)+IF(COUNTIF(R$1237:R1721,1)=1,5,0)+IF(COUNTIF(S1119:$W1119,"&gt;"&amp;0)&lt;5,IF(AND(COUNTIF(R$1237:R1721,1)&gt;7,MOD(1+IFERROR(MATCH($C1119,总览!$D$46:$D$345,1)+1,1),7)=0),$C$3,0),0)</f>
        <v>650.978571428575</v>
      </c>
      <c r="S1119" s="131" cm="1">
        <f ca="1" t="array" ref="S1119">IF(S1721=1,OFFSET($W$634,$B1119,S$631-1)/SUMPRODUCT(--($D$631:$V$631=S$631),--($D1721:$V1721=1)),0)+SUM(S1118)+IF(COUNTIF(S$1237:S1721,1)=1,5,0)+IF(COUNTIF(T1119:$W1119,"&gt;"&amp;0)&lt;5,IF(AND(COUNTIF(S$1237:S1721,1)&gt;7,MOD(1+IFERROR(MATCH($C1119,总览!$D$46:$D$345,1)+1,1),7)=0),$C$3,0),0)</f>
        <v>743.478571428576</v>
      </c>
      <c r="T1119" s="131" cm="1">
        <f ca="1" t="array" ref="T1119">IF(T1721=1,OFFSET($W$634,$B1119,T$631-1)/SUMPRODUCT(--($D$631:$V$631=T$631),--($D1721:$V1721=1)),0)+SUM(T1118)+IF(COUNTIF(T$1237:T1721,1)=1,5,0)+IF(COUNTIF(U1119:$W1119,"&gt;"&amp;0)&lt;5,IF(AND(COUNTIF(T$1237:T1721,1)&gt;7,MOD(1+IFERROR(MATCH($C1119,总览!$D$46:$D$345,1)+1,1),7)=0),$C$3,0),0)</f>
        <v>544.379715541233</v>
      </c>
      <c r="U1119" s="131" cm="1">
        <f ca="1" t="array" ref="U1119">IF(U1721=1,OFFSET($W$634,$B1119,U$631-1)/SUMPRODUCT(--($D$631:$V$631=U$631),--($D1721:$V1721=1)),0)+SUM(U1118)+IF(COUNTIF(U$1237:U1721,1)=1,5,0)+IF(COUNTIF(V1119:$W1119,"&gt;"&amp;0)&lt;5,IF(AND(COUNTIF(U$1237:U1721,1)&gt;7,MOD(1+IFERROR(MATCH($C1119,总览!$D$46:$D$345,1)+1,1),7)=0),$C$3,0),0)</f>
        <v>549.900501896533</v>
      </c>
      <c r="V1119" s="131" cm="1">
        <f ca="1" t="array" ref="V1119">IF(V1721=1,OFFSET($W$634,$B1119,V$631-1)/SUMPRODUCT(--($D$631:$V$631=V$631),--($D1721:$V1721=1)),0)+SUM(V1118)+IF(COUNTIF(V$1237:V1721,1)=1,5,0)+IF(COUNTIF(W1119:$W1119,"&gt;"&amp;0)&lt;5,IF(AND(COUNTIF(V$1237:V1721,1)&gt;7,MOD(1+IFERROR(MATCH($C1119,总览!$D$46:$D$345,1)+1,1),7)=0),$C$3,0),0)</f>
        <v>569.727501608966</v>
      </c>
      <c r="W1119" s="135" cm="1">
        <f ca="1" t="array" ref="W1119">SUMPRODUCT(TRANSPOSE($AA1119:$AG1119),OFFSET($L$9:$L$15,0,W$631-1))</f>
        <v>16.8502200646615</v>
      </c>
      <c r="X1119" s="135" cm="1">
        <f ca="1" t="array" ref="X1119">SUMPRODUCT(TRANSPOSE($AA1119:$AG1119),OFFSET($L$9:$L$15,0,X$631-1))</f>
        <v>20</v>
      </c>
      <c r="Y1119" s="135" cm="1">
        <f ca="1" t="array" ref="Y1119">SUMPRODUCT(TRANSPOSE($AA1119:$AG1119),OFFSET($L$9:$L$15,0,Y$631-1))</f>
        <v>10</v>
      </c>
      <c r="Z1119" s="135" cm="1">
        <f ca="1" t="array" ref="Z1119">SUMPRODUCT(TRANSPOSE($AA1119:$AG1119),OFFSET($L$9:$L$15,0,Z$631-1))</f>
        <v>3.14977993533847</v>
      </c>
      <c r="AA1119" s="136">
        <f ca="1" t="shared" ref="AA1119:AG1119" si="1223">AH1119-AH1118</f>
        <v>0</v>
      </c>
      <c r="AB1119" s="136">
        <f ca="1" t="shared" si="1223"/>
        <v>0</v>
      </c>
      <c r="AC1119" s="136">
        <f ca="1" t="shared" si="1223"/>
        <v>0</v>
      </c>
      <c r="AD1119" s="136">
        <f ca="1" t="shared" si="1223"/>
        <v>0</v>
      </c>
      <c r="AE1119" s="136">
        <f ca="1" t="shared" si="1223"/>
        <v>0</v>
      </c>
      <c r="AF1119" s="136">
        <f ca="1" t="shared" si="1223"/>
        <v>0</v>
      </c>
      <c r="AG1119" s="136">
        <f ca="1" t="shared" si="1223"/>
        <v>100</v>
      </c>
      <c r="AH1119" s="136">
        <f ca="1" t="shared" si="1151"/>
        <v>450</v>
      </c>
      <c r="AI1119" s="136">
        <f ca="1" t="shared" ref="AI1119:AN1119" si="1224">IF($C1119&gt;OFFSET($Q$8,MATCH(AI$634,$AH$634:$AN$634,0),0),OFFSET($P$8,MATCH(AI$634,$AH$634:$AN$634,0),0),MAX(0,$C1119-OFFSET($Q$8,RIGHT(AI$634,1)-1,0)))</f>
        <v>909</v>
      </c>
      <c r="AJ1119" s="136">
        <f ca="1" t="shared" si="1224"/>
        <v>1818</v>
      </c>
      <c r="AK1119" s="136">
        <f ca="1" t="shared" si="1224"/>
        <v>2727</v>
      </c>
      <c r="AL1119" s="136">
        <f ca="1" t="shared" si="1224"/>
        <v>3636</v>
      </c>
      <c r="AM1119" s="136">
        <f ca="1" t="shared" si="1224"/>
        <v>4545</v>
      </c>
      <c r="AN1119" s="136">
        <f ca="1" t="shared" si="1224"/>
        <v>34415</v>
      </c>
    </row>
    <row r="1120" s="106" customFormat="1" ht="16.5" spans="2:40">
      <c r="B1120" s="117">
        <v>486</v>
      </c>
      <c r="C1120" s="130">
        <f t="shared" si="1149"/>
        <v>48600</v>
      </c>
      <c r="D1120" s="131" cm="1">
        <f ca="1" t="array" ref="D1120">IF(D1722=1,OFFSET($W$634,$B1120,D$631-1)/SUMPRODUCT(--($D$631:$V$631=D$631),--($D1722:$V1722=1)),0)+SUM(D1119)+IF(COUNTIF(D$1237:D1722,1)=1,5,0)+IF(COUNTIF(E1120:$W1120,"&gt;"&amp;0)&lt;5,IF(AND(COUNTIF(D$1237:D1722,1)&gt;7,MOD(1+IFERROR(MATCH($C1120,总览!$D$46:$D$345,1)+1,1),7)=0),$C$3,0),0)</f>
        <v>3057.43916700601</v>
      </c>
      <c r="E1120" s="131" cm="1">
        <f ca="1" t="array" ref="E1120">IF(E1722=1,OFFSET($W$634,$B1120,E$631-1)/SUMPRODUCT(--($D$631:$V$631=E$631),--($D1722:$V1722=1)),0)+SUM(E1119)+IF(COUNTIF(E$1237:E1722,1)=1,5,0)+IF(COUNTIF(F1120:$W1120,"&gt;"&amp;0)&lt;5,IF(AND(COUNTIF(E$1237:E1722,1)&gt;7,MOD(1+IFERROR(MATCH($C1120,总览!$D$46:$D$345,1)+1,1),7)=0),$C$3,0),0)</f>
        <v>3057.43916700601</v>
      </c>
      <c r="F1120" s="131" cm="1">
        <f ca="1" t="array" ref="F1120">IF(F1722=1,OFFSET($W$634,$B1120,F$631-1)/SUMPRODUCT(--($D$631:$V$631=F$631),--($D1722:$V1722=1)),0)+SUM(F1119)+IF(COUNTIF(F$1237:F1722,1)=1,5,0)+IF(COUNTIF(G1120:$W1120,"&gt;"&amp;0)&lt;5,IF(AND(COUNTIF(F$1237:F1722,1)&gt;7,MOD(1+IFERROR(MATCH($C1120,总览!$D$46:$D$345,1)+1,1),7)=0),$C$3,0),0)</f>
        <v>3057.43916700601</v>
      </c>
      <c r="G1120" s="131" cm="1">
        <f ca="1" t="array" ref="G1120">IF(G1722=1,OFFSET($W$634,$B1120,G$631-1)/SUMPRODUCT(--($D$631:$V$631=G$631),--($D1722:$V1722=1)),0)+SUM(G1119)+IF(COUNTIF(G$1237:G1722,1)=1,5,0)+IF(COUNTIF(H1120:$W1120,"&gt;"&amp;0)&lt;5,IF(AND(COUNTIF(G$1237:G1722,1)&gt;7,MOD(1+IFERROR(MATCH($C1120,总览!$D$46:$D$345,1)+1,1),7)=0),$C$3,0),0)</f>
        <v>1559.39999999999</v>
      </c>
      <c r="H1120" s="131" cm="1">
        <f ca="1" t="array" ref="H1120">IF(H1722=1,OFFSET($W$634,$B1120,H$631-1)/SUMPRODUCT(--($D$631:$V$631=H$631),--($D1722:$V1722=1)),0)+SUM(H1119)+IF(COUNTIF(H$1237:H1722,1)=1,5,0)+IF(COUNTIF(I1120:$W1120,"&gt;"&amp;0)&lt;5,IF(AND(COUNTIF(H$1237:H1722,1)&gt;7,MOD(1+IFERROR(MATCH($C1120,总览!$D$46:$D$345,1)+1,1),7)=0),$C$3,0),0)</f>
        <v>1559.39999999999</v>
      </c>
      <c r="I1120" s="131" cm="1">
        <f ca="1" t="array" ref="I1120">IF(I1722=1,OFFSET($W$634,$B1120,I$631-1)/SUMPRODUCT(--($D$631:$V$631=I$631),--($D1722:$V1722=1)),0)+SUM(I1119)+IF(COUNTIF(I$1237:I1722,1)=1,5,0)+IF(COUNTIF(J1120:$W1120,"&gt;"&amp;0)&lt;5,IF(AND(COUNTIF(I$1237:I1722,1)&gt;7,MOD(1+IFERROR(MATCH($C1120,总览!$D$46:$D$345,1)+1,1),7)=0),$C$3,0),0)</f>
        <v>1559.39999999999</v>
      </c>
      <c r="J1120" s="131" cm="1">
        <f ca="1" t="array" ref="J1120">IF(J1722=1,OFFSET($W$634,$B1120,J$631-1)/SUMPRODUCT(--($D$631:$V$631=J$631),--($D1722:$V1722=1)),0)+SUM(J1119)+IF(COUNTIF(J$1237:J1722,1)=1,5,0)+IF(COUNTIF(K1120:$W1120,"&gt;"&amp;0)&lt;5,IF(AND(COUNTIF(J$1237:J1722,1)&gt;7,MOD(1+IFERROR(MATCH($C1120,总览!$D$46:$D$345,1)+1,1),7)=0),$C$3,0),0)</f>
        <v>1556.06666666666</v>
      </c>
      <c r="K1120" s="131" cm="1">
        <f ca="1" t="array" ref="K1120">IF(K1722=1,OFFSET($W$634,$B1120,K$631-1)/SUMPRODUCT(--($D$631:$V$631=K$631),--($D1722:$V1722=1)),0)+SUM(K1119)+IF(COUNTIF(K$1237:K1722,1)=1,5,0)+IF(COUNTIF(L1120:$W1120,"&gt;"&amp;0)&lt;5,IF(AND(COUNTIF(K$1237:K1722,1)&gt;7,MOD(1+IFERROR(MATCH($C1120,总览!$D$46:$D$345,1)+1,1),7)=0),$C$3,0),0)</f>
        <v>1553.56666666666</v>
      </c>
      <c r="L1120" s="131" cm="1">
        <f ca="1" t="array" ref="L1120">IF(L1722=1,OFFSET($W$634,$B1120,L$631-1)/SUMPRODUCT(--($D$631:$V$631=L$631),--($D1722:$V1722=1)),0)+SUM(L1119)+IF(COUNTIF(L$1237:L1722,1)=1,5,0)+IF(COUNTIF(M1120:$W1120,"&gt;"&amp;0)&lt;5,IF(AND(COUNTIF(L$1237:L1722,1)&gt;7,MOD(1+IFERROR(MATCH($C1120,总览!$D$46:$D$345,1)+1,1),7)=0),$C$3,0),0)</f>
        <v>1553.56666666666</v>
      </c>
      <c r="M1120" s="131" cm="1">
        <f ca="1" t="array" ref="M1120">IF(M1722=1,OFFSET($W$634,$B1120,M$631-1)/SUMPRODUCT(--($D$631:$V$631=M$631),--($D1722:$V1722=1)),0)+SUM(M1119)+IF(COUNTIF(M$1237:M1722,1)=1,5,0)+IF(COUNTIF(N1120:$W1120,"&gt;"&amp;0)&lt;5,IF(AND(COUNTIF(M$1237:M1722,1)&gt;7,MOD(1+IFERROR(MATCH($C1120,总览!$D$46:$D$345,1)+1,1),7)=0),$C$3,0),0)</f>
        <v>652.038392857146</v>
      </c>
      <c r="N1120" s="131" cm="1">
        <f ca="1" t="array" ref="N1120">IF(N1722=1,OFFSET($W$634,$B1120,N$631-1)/SUMPRODUCT(--($D$631:$V$631=N$631),--($D1722:$V1722=1)),0)+SUM(N1119)+IF(COUNTIF(N$1237:N1722,1)=1,5,0)+IF(COUNTIF(O1120:$W1120,"&gt;"&amp;0)&lt;5,IF(AND(COUNTIF(N$1237:N1722,1)&gt;7,MOD(1+IFERROR(MATCH($C1120,总览!$D$46:$D$345,1)+1,1),7)=0),$C$3,0),0)</f>
        <v>653.288392857146</v>
      </c>
      <c r="O1120" s="131" cm="1">
        <f ca="1" t="array" ref="O1120">IF(O1722=1,OFFSET($W$634,$B1120,O$631-1)/SUMPRODUCT(--($D$631:$V$631=O$631),--($D1722:$V1722=1)),0)+SUM(O1119)+IF(COUNTIF(O$1237:O1722,1)=1,5,0)+IF(COUNTIF(P1120:$W1120,"&gt;"&amp;0)&lt;5,IF(AND(COUNTIF(O$1237:O1722,1)&gt;7,MOD(1+IFERROR(MATCH($C1120,总览!$D$46:$D$345,1)+1,1),7)=0),$C$3,0),0)</f>
        <v>658.288392857146</v>
      </c>
      <c r="P1120" s="131" cm="1">
        <f ca="1" t="array" ref="P1120">IF(P1722=1,OFFSET($W$634,$B1120,P$631-1)/SUMPRODUCT(--($D$631:$V$631=P$631),--($D1722:$V1722=1)),0)+SUM(P1119)+IF(COUNTIF(P$1237:P1722,1)=1,5,0)+IF(COUNTIF(Q1120:$W1120,"&gt;"&amp;0)&lt;5,IF(AND(COUNTIF(P$1237:P1722,1)&gt;7,MOD(1+IFERROR(MATCH($C1120,总览!$D$46:$D$345,1)+1,1),7)=0),$C$3,0),0)</f>
        <v>647.407142857146</v>
      </c>
      <c r="Q1120" s="131" cm="1">
        <f ca="1" t="array" ref="Q1120">IF(Q1722=1,OFFSET($W$634,$B1120,Q$631-1)/SUMPRODUCT(--($D$631:$V$631=Q$631),--($D1722:$V1722=1)),0)+SUM(Q1119)+IF(COUNTIF(Q$1237:Q1722,1)=1,5,0)+IF(COUNTIF(R1120:$W1120,"&gt;"&amp;0)&lt;5,IF(AND(COUNTIF(Q$1237:Q1722,1)&gt;7,MOD(1+IFERROR(MATCH($C1120,总览!$D$46:$D$345,1)+1,1),7)=0),$C$3,0),0)</f>
        <v>660.788392857146</v>
      </c>
      <c r="R1120" s="131" cm="1">
        <f ca="1" t="array" ref="R1120">IF(R1722=1,OFFSET($W$634,$B1120,R$631-1)/SUMPRODUCT(--($D$631:$V$631=R$631),--($D1722:$V1722=1)),0)+SUM(R1119)+IF(COUNTIF(R$1237:R1722,1)=1,5,0)+IF(COUNTIF(S1120:$W1120,"&gt;"&amp;0)&lt;5,IF(AND(COUNTIF(R$1237:R1722,1)&gt;7,MOD(1+IFERROR(MATCH($C1120,总览!$D$46:$D$345,1)+1,1),7)=0),$C$3,0),0)</f>
        <v>652.407142857146</v>
      </c>
      <c r="S1120" s="131" cm="1">
        <f ca="1" t="array" ref="S1120">IF(S1722=1,OFFSET($W$634,$B1120,S$631-1)/SUMPRODUCT(--($D$631:$V$631=S$631),--($D1722:$V1722=1)),0)+SUM(S1119)+IF(COUNTIF(S$1237:S1722,1)=1,5,0)+IF(COUNTIF(T1120:$W1120,"&gt;"&amp;0)&lt;5,IF(AND(COUNTIF(S$1237:S1722,1)&gt;7,MOD(1+IFERROR(MATCH($C1120,总览!$D$46:$D$345,1)+1,1),7)=0),$C$3,0),0)</f>
        <v>744.907142857147</v>
      </c>
      <c r="T1120" s="131" cm="1">
        <f ca="1" t="array" ref="T1120">IF(T1722=1,OFFSET($W$634,$B1120,T$631-1)/SUMPRODUCT(--($D$631:$V$631=T$631),--($D1722:$V1722=1)),0)+SUM(T1119)+IF(COUNTIF(T$1237:T1722,1)=1,5,0)+IF(COUNTIF(U1120:$W1120,"&gt;"&amp;0)&lt;5,IF(AND(COUNTIF(T$1237:T1722,1)&gt;7,MOD(1+IFERROR(MATCH($C1120,总览!$D$46:$D$345,1)+1,1),7)=0),$C$3,0),0)</f>
        <v>545.429642186346</v>
      </c>
      <c r="U1120" s="131" cm="1">
        <f ca="1" t="array" ref="U1120">IF(U1722=1,OFFSET($W$634,$B1120,U$631-1)/SUMPRODUCT(--($D$631:$V$631=U$631),--($D1722:$V1722=1)),0)+SUM(U1119)+IF(COUNTIF(U$1237:U1722,1)=1,5,0)+IF(COUNTIF(V1120:$W1120,"&gt;"&amp;0)&lt;5,IF(AND(COUNTIF(U$1237:U1722,1)&gt;7,MOD(1+IFERROR(MATCH($C1120,总览!$D$46:$D$345,1)+1,1),7)=0),$C$3,0),0)</f>
        <v>550.950428541646</v>
      </c>
      <c r="V1120" s="131" cm="1">
        <f ca="1" t="array" ref="V1120">IF(V1722=1,OFFSET($W$634,$B1120,V$631-1)/SUMPRODUCT(--($D$631:$V$631=V$631),--($D1722:$V1722=1)),0)+SUM(V1119)+IF(COUNTIF(V$1237:V1722,1)=1,5,0)+IF(COUNTIF(W1120:$W1120,"&gt;"&amp;0)&lt;5,IF(AND(COUNTIF(V$1237:V1722,1)&gt;7,MOD(1+IFERROR(MATCH($C1120,总览!$D$46:$D$345,1)+1,1),7)=0),$C$3,0),0)</f>
        <v>570.777428254079</v>
      </c>
      <c r="W1120" s="135" cm="1">
        <f ca="1" t="array" ref="W1120">SUMPRODUCT(TRANSPOSE($AA1120:$AG1120),OFFSET($L$9:$L$15,0,W$631-1))</f>
        <v>16.8502200646615</v>
      </c>
      <c r="X1120" s="135" cm="1">
        <f ca="1" t="array" ref="X1120">SUMPRODUCT(TRANSPOSE($AA1120:$AG1120),OFFSET($L$9:$L$15,0,X$631-1))</f>
        <v>20</v>
      </c>
      <c r="Y1120" s="135" cm="1">
        <f ca="1" t="array" ref="Y1120">SUMPRODUCT(TRANSPOSE($AA1120:$AG1120),OFFSET($L$9:$L$15,0,Y$631-1))</f>
        <v>10</v>
      </c>
      <c r="Z1120" s="135" cm="1">
        <f ca="1" t="array" ref="Z1120">SUMPRODUCT(TRANSPOSE($AA1120:$AG1120),OFFSET($L$9:$L$15,0,Z$631-1))</f>
        <v>3.14977993533847</v>
      </c>
      <c r="AA1120" s="136">
        <f ca="1" t="shared" ref="AA1120:AG1120" si="1225">AH1120-AH1119</f>
        <v>0</v>
      </c>
      <c r="AB1120" s="136">
        <f ca="1" t="shared" si="1225"/>
        <v>0</v>
      </c>
      <c r="AC1120" s="136">
        <f ca="1" t="shared" si="1225"/>
        <v>0</v>
      </c>
      <c r="AD1120" s="136">
        <f ca="1" t="shared" si="1225"/>
        <v>0</v>
      </c>
      <c r="AE1120" s="136">
        <f ca="1" t="shared" si="1225"/>
        <v>0</v>
      </c>
      <c r="AF1120" s="136">
        <f ca="1" t="shared" si="1225"/>
        <v>0</v>
      </c>
      <c r="AG1120" s="136">
        <f ca="1" t="shared" si="1225"/>
        <v>100</v>
      </c>
      <c r="AH1120" s="136">
        <f ca="1" t="shared" si="1151"/>
        <v>450</v>
      </c>
      <c r="AI1120" s="136">
        <f ca="1" t="shared" ref="AI1120:AN1120" si="1226">IF($C1120&gt;OFFSET($Q$8,MATCH(AI$634,$AH$634:$AN$634,0),0),OFFSET($P$8,MATCH(AI$634,$AH$634:$AN$634,0),0),MAX(0,$C1120-OFFSET($Q$8,RIGHT(AI$634,1)-1,0)))</f>
        <v>909</v>
      </c>
      <c r="AJ1120" s="136">
        <f ca="1" t="shared" si="1226"/>
        <v>1818</v>
      </c>
      <c r="AK1120" s="136">
        <f ca="1" t="shared" si="1226"/>
        <v>2727</v>
      </c>
      <c r="AL1120" s="136">
        <f ca="1" t="shared" si="1226"/>
        <v>3636</v>
      </c>
      <c r="AM1120" s="136">
        <f ca="1" t="shared" si="1226"/>
        <v>4545</v>
      </c>
      <c r="AN1120" s="136">
        <f ca="1" t="shared" si="1226"/>
        <v>34515</v>
      </c>
    </row>
    <row r="1121" s="106" customFormat="1" ht="16.5" spans="2:40">
      <c r="B1121" s="117">
        <v>487</v>
      </c>
      <c r="C1121" s="130">
        <f t="shared" si="1149"/>
        <v>48700</v>
      </c>
      <c r="D1121" s="131" cm="1">
        <f ca="1" t="array" ref="D1121">IF(D1723=1,OFFSET($W$634,$B1121,D$631-1)/SUMPRODUCT(--($D$631:$V$631=D$631),--($D1723:$V1723=1)),0)+SUM(D1120)+IF(COUNTIF(D$1237:D1723,1)=1,5,0)+IF(COUNTIF(E1121:$W1121,"&gt;"&amp;0)&lt;5,IF(AND(COUNTIF(D$1237:D1723,1)&gt;7,MOD(1+IFERROR(MATCH($C1121,总览!$D$46:$D$345,1)+1,1),7)=0),$C$3,0),0)</f>
        <v>3063.05590702756</v>
      </c>
      <c r="E1121" s="131" cm="1">
        <f ca="1" t="array" ref="E1121">IF(E1723=1,OFFSET($W$634,$B1121,E$631-1)/SUMPRODUCT(--($D$631:$V$631=E$631),--($D1723:$V1723=1)),0)+SUM(E1120)+IF(COUNTIF(E$1237:E1723,1)=1,5,0)+IF(COUNTIF(F1121:$W1121,"&gt;"&amp;0)&lt;5,IF(AND(COUNTIF(E$1237:E1723,1)&gt;7,MOD(1+IFERROR(MATCH($C1121,总览!$D$46:$D$345,1)+1,1),7)=0),$C$3,0),0)</f>
        <v>3063.05590702756</v>
      </c>
      <c r="F1121" s="131" cm="1">
        <f ca="1" t="array" ref="F1121">IF(F1723=1,OFFSET($W$634,$B1121,F$631-1)/SUMPRODUCT(--($D$631:$V$631=F$631),--($D1723:$V1723=1)),0)+SUM(F1120)+IF(COUNTIF(F$1237:F1723,1)=1,5,0)+IF(COUNTIF(G1121:$W1121,"&gt;"&amp;0)&lt;5,IF(AND(COUNTIF(F$1237:F1723,1)&gt;7,MOD(1+IFERROR(MATCH($C1121,总览!$D$46:$D$345,1)+1,1),7)=0),$C$3,0),0)</f>
        <v>3063.05590702756</v>
      </c>
      <c r="G1121" s="131" cm="1">
        <f ca="1" t="array" ref="G1121">IF(G1723=1,OFFSET($W$634,$B1121,G$631-1)/SUMPRODUCT(--($D$631:$V$631=G$631),--($D1723:$V1723=1)),0)+SUM(G1120)+IF(COUNTIF(G$1237:G1723,1)=1,5,0)+IF(COUNTIF(H1121:$W1121,"&gt;"&amp;0)&lt;5,IF(AND(COUNTIF(G$1237:G1723,1)&gt;7,MOD(1+IFERROR(MATCH($C1121,总览!$D$46:$D$345,1)+1,1),7)=0),$C$3,0),0)</f>
        <v>1562.73333333333</v>
      </c>
      <c r="H1121" s="131" cm="1">
        <f ca="1" t="array" ref="H1121">IF(H1723=1,OFFSET($W$634,$B1121,H$631-1)/SUMPRODUCT(--($D$631:$V$631=H$631),--($D1723:$V1723=1)),0)+SUM(H1120)+IF(COUNTIF(H$1237:H1723,1)=1,5,0)+IF(COUNTIF(I1121:$W1121,"&gt;"&amp;0)&lt;5,IF(AND(COUNTIF(H$1237:H1723,1)&gt;7,MOD(1+IFERROR(MATCH($C1121,总览!$D$46:$D$345,1)+1,1),7)=0),$C$3,0),0)</f>
        <v>1562.73333333333</v>
      </c>
      <c r="I1121" s="131" cm="1">
        <f ca="1" t="array" ref="I1121">IF(I1723=1,OFFSET($W$634,$B1121,I$631-1)/SUMPRODUCT(--($D$631:$V$631=I$631),--($D1723:$V1723=1)),0)+SUM(I1120)+IF(COUNTIF(I$1237:I1723,1)=1,5,0)+IF(COUNTIF(J1121:$W1121,"&gt;"&amp;0)&lt;5,IF(AND(COUNTIF(I$1237:I1723,1)&gt;7,MOD(1+IFERROR(MATCH($C1121,总览!$D$46:$D$345,1)+1,1),7)=0),$C$3,0),0)</f>
        <v>1562.73333333333</v>
      </c>
      <c r="J1121" s="131" cm="1">
        <f ca="1" t="array" ref="J1121">IF(J1723=1,OFFSET($W$634,$B1121,J$631-1)/SUMPRODUCT(--($D$631:$V$631=J$631),--($D1723:$V1723=1)),0)+SUM(J1120)+IF(COUNTIF(J$1237:J1723,1)=1,5,0)+IF(COUNTIF(K1121:$W1121,"&gt;"&amp;0)&lt;5,IF(AND(COUNTIF(J$1237:J1723,1)&gt;7,MOD(1+IFERROR(MATCH($C1121,总览!$D$46:$D$345,1)+1,1),7)=0),$C$3,0),0)</f>
        <v>1559.39999999999</v>
      </c>
      <c r="K1121" s="131" cm="1">
        <f ca="1" t="array" ref="K1121">IF(K1723=1,OFFSET($W$634,$B1121,K$631-1)/SUMPRODUCT(--($D$631:$V$631=K$631),--($D1723:$V1723=1)),0)+SUM(K1120)+IF(COUNTIF(K$1237:K1723,1)=1,5,0)+IF(COUNTIF(L1121:$W1121,"&gt;"&amp;0)&lt;5,IF(AND(COUNTIF(K$1237:K1723,1)&gt;7,MOD(1+IFERROR(MATCH($C1121,总览!$D$46:$D$345,1)+1,1),7)=0),$C$3,0),0)</f>
        <v>1556.89999999999</v>
      </c>
      <c r="L1121" s="131" cm="1">
        <f ca="1" t="array" ref="L1121">IF(L1723=1,OFFSET($W$634,$B1121,L$631-1)/SUMPRODUCT(--($D$631:$V$631=L$631),--($D1723:$V1723=1)),0)+SUM(L1120)+IF(COUNTIF(L$1237:L1723,1)=1,5,0)+IF(COUNTIF(M1121:$W1121,"&gt;"&amp;0)&lt;5,IF(AND(COUNTIF(L$1237:L1723,1)&gt;7,MOD(1+IFERROR(MATCH($C1121,总览!$D$46:$D$345,1)+1,1),7)=0),$C$3,0),0)</f>
        <v>1556.89999999999</v>
      </c>
      <c r="M1121" s="131" cm="1">
        <f ca="1" t="array" ref="M1121">IF(M1723=1,OFFSET($W$634,$B1121,M$631-1)/SUMPRODUCT(--($D$631:$V$631=M$631),--($D1723:$V1723=1)),0)+SUM(M1120)+IF(COUNTIF(M$1237:M1723,1)=1,5,0)+IF(COUNTIF(N1121:$W1121,"&gt;"&amp;0)&lt;5,IF(AND(COUNTIF(M$1237:M1723,1)&gt;7,MOD(1+IFERROR(MATCH($C1121,总览!$D$46:$D$345,1)+1,1),7)=0),$C$3,0),0)</f>
        <v>653.466964285718</v>
      </c>
      <c r="N1121" s="131" cm="1">
        <f ca="1" t="array" ref="N1121">IF(N1723=1,OFFSET($W$634,$B1121,N$631-1)/SUMPRODUCT(--($D$631:$V$631=N$631),--($D1723:$V1723=1)),0)+SUM(N1120)+IF(COUNTIF(N$1237:N1723,1)=1,5,0)+IF(COUNTIF(O1121:$W1121,"&gt;"&amp;0)&lt;5,IF(AND(COUNTIF(N$1237:N1723,1)&gt;7,MOD(1+IFERROR(MATCH($C1121,总览!$D$46:$D$345,1)+1,1),7)=0),$C$3,0),0)</f>
        <v>654.716964285718</v>
      </c>
      <c r="O1121" s="131" cm="1">
        <f ca="1" t="array" ref="O1121">IF(O1723=1,OFFSET($W$634,$B1121,O$631-1)/SUMPRODUCT(--($D$631:$V$631=O$631),--($D1723:$V1723=1)),0)+SUM(O1120)+IF(COUNTIF(O$1237:O1723,1)=1,5,0)+IF(COUNTIF(P1121:$W1121,"&gt;"&amp;0)&lt;5,IF(AND(COUNTIF(O$1237:O1723,1)&gt;7,MOD(1+IFERROR(MATCH($C1121,总览!$D$46:$D$345,1)+1,1),7)=0),$C$3,0),0)</f>
        <v>659.716964285718</v>
      </c>
      <c r="P1121" s="131" cm="1">
        <f ca="1" t="array" ref="P1121">IF(P1723=1,OFFSET($W$634,$B1121,P$631-1)/SUMPRODUCT(--($D$631:$V$631=P$631),--($D1723:$V1723=1)),0)+SUM(P1120)+IF(COUNTIF(P$1237:P1723,1)=1,5,0)+IF(COUNTIF(Q1121:$W1121,"&gt;"&amp;0)&lt;5,IF(AND(COUNTIF(P$1237:P1723,1)&gt;7,MOD(1+IFERROR(MATCH($C1121,总览!$D$46:$D$345,1)+1,1),7)=0),$C$3,0),0)</f>
        <v>648.835714285718</v>
      </c>
      <c r="Q1121" s="131" cm="1">
        <f ca="1" t="array" ref="Q1121">IF(Q1723=1,OFFSET($W$634,$B1121,Q$631-1)/SUMPRODUCT(--($D$631:$V$631=Q$631),--($D1723:$V1723=1)),0)+SUM(Q1120)+IF(COUNTIF(Q$1237:Q1723,1)=1,5,0)+IF(COUNTIF(R1121:$W1121,"&gt;"&amp;0)&lt;5,IF(AND(COUNTIF(Q$1237:Q1723,1)&gt;7,MOD(1+IFERROR(MATCH($C1121,总览!$D$46:$D$345,1)+1,1),7)=0),$C$3,0),0)</f>
        <v>662.216964285718</v>
      </c>
      <c r="R1121" s="131" cm="1">
        <f ca="1" t="array" ref="R1121">IF(R1723=1,OFFSET($W$634,$B1121,R$631-1)/SUMPRODUCT(--($D$631:$V$631=R$631),--($D1723:$V1723=1)),0)+SUM(R1120)+IF(COUNTIF(R$1237:R1723,1)=1,5,0)+IF(COUNTIF(S1121:$W1121,"&gt;"&amp;0)&lt;5,IF(AND(COUNTIF(R$1237:R1723,1)&gt;7,MOD(1+IFERROR(MATCH($C1121,总览!$D$46:$D$345,1)+1,1),7)=0),$C$3,0),0)</f>
        <v>653.835714285718</v>
      </c>
      <c r="S1121" s="131" cm="1">
        <f ca="1" t="array" ref="S1121">IF(S1723=1,OFFSET($W$634,$B1121,S$631-1)/SUMPRODUCT(--($D$631:$V$631=S$631),--($D1723:$V1723=1)),0)+SUM(S1120)+IF(COUNTIF(S$1237:S1723,1)=1,5,0)+IF(COUNTIF(T1121:$W1121,"&gt;"&amp;0)&lt;5,IF(AND(COUNTIF(S$1237:S1723,1)&gt;7,MOD(1+IFERROR(MATCH($C1121,总览!$D$46:$D$345,1)+1,1),7)=0),$C$3,0),0)</f>
        <v>746.335714285719</v>
      </c>
      <c r="T1121" s="131" cm="1">
        <f ca="1" t="array" ref="T1121">IF(T1723=1,OFFSET($W$634,$B1121,T$631-1)/SUMPRODUCT(--($D$631:$V$631=T$631),--($D1723:$V1723=1)),0)+SUM(T1120)+IF(COUNTIF(T$1237:T1723,1)=1,5,0)+IF(COUNTIF(U1121:$W1121,"&gt;"&amp;0)&lt;5,IF(AND(COUNTIF(T$1237:T1723,1)&gt;7,MOD(1+IFERROR(MATCH($C1121,总览!$D$46:$D$345,1)+1,1),7)=0),$C$3,0),0)</f>
        <v>546.479568831459</v>
      </c>
      <c r="U1121" s="131" cm="1">
        <f ca="1" t="array" ref="U1121">IF(U1723=1,OFFSET($W$634,$B1121,U$631-1)/SUMPRODUCT(--($D$631:$V$631=U$631),--($D1723:$V1723=1)),0)+SUM(U1120)+IF(COUNTIF(U$1237:U1723,1)=1,5,0)+IF(COUNTIF(V1121:$W1121,"&gt;"&amp;0)&lt;5,IF(AND(COUNTIF(U$1237:U1723,1)&gt;7,MOD(1+IFERROR(MATCH($C1121,总览!$D$46:$D$345,1)+1,1),7)=0),$C$3,0),0)</f>
        <v>552.000355186758</v>
      </c>
      <c r="V1121" s="131" cm="1">
        <f ca="1" t="array" ref="V1121">IF(V1723=1,OFFSET($W$634,$B1121,V$631-1)/SUMPRODUCT(--($D$631:$V$631=V$631),--($D1723:$V1723=1)),0)+SUM(V1120)+IF(COUNTIF(V$1237:V1723,1)=1,5,0)+IF(COUNTIF(W1121:$W1121,"&gt;"&amp;0)&lt;5,IF(AND(COUNTIF(V$1237:V1723,1)&gt;7,MOD(1+IFERROR(MATCH($C1121,总览!$D$46:$D$345,1)+1,1),7)=0),$C$3,0),0)</f>
        <v>571.827354899192</v>
      </c>
      <c r="W1121" s="135" cm="1">
        <f ca="1" t="array" ref="W1121">SUMPRODUCT(TRANSPOSE($AA1121:$AG1121),OFFSET($L$9:$L$15,0,W$631-1))</f>
        <v>16.8502200646615</v>
      </c>
      <c r="X1121" s="135" cm="1">
        <f ca="1" t="array" ref="X1121">SUMPRODUCT(TRANSPOSE($AA1121:$AG1121),OFFSET($L$9:$L$15,0,X$631-1))</f>
        <v>20</v>
      </c>
      <c r="Y1121" s="135" cm="1">
        <f ca="1" t="array" ref="Y1121">SUMPRODUCT(TRANSPOSE($AA1121:$AG1121),OFFSET($L$9:$L$15,0,Y$631-1))</f>
        <v>10</v>
      </c>
      <c r="Z1121" s="135" cm="1">
        <f ca="1" t="array" ref="Z1121">SUMPRODUCT(TRANSPOSE($AA1121:$AG1121),OFFSET($L$9:$L$15,0,Z$631-1))</f>
        <v>3.14977993533847</v>
      </c>
      <c r="AA1121" s="136">
        <f ca="1" t="shared" ref="AA1121:AG1121" si="1227">AH1121-AH1120</f>
        <v>0</v>
      </c>
      <c r="AB1121" s="136">
        <f ca="1" t="shared" si="1227"/>
        <v>0</v>
      </c>
      <c r="AC1121" s="136">
        <f ca="1" t="shared" si="1227"/>
        <v>0</v>
      </c>
      <c r="AD1121" s="136">
        <f ca="1" t="shared" si="1227"/>
        <v>0</v>
      </c>
      <c r="AE1121" s="136">
        <f ca="1" t="shared" si="1227"/>
        <v>0</v>
      </c>
      <c r="AF1121" s="136">
        <f ca="1" t="shared" si="1227"/>
        <v>0</v>
      </c>
      <c r="AG1121" s="136">
        <f ca="1" t="shared" si="1227"/>
        <v>100</v>
      </c>
      <c r="AH1121" s="136">
        <f ca="1" t="shared" si="1151"/>
        <v>450</v>
      </c>
      <c r="AI1121" s="136">
        <f ca="1" t="shared" ref="AI1121:AN1121" si="1228">IF($C1121&gt;OFFSET($Q$8,MATCH(AI$634,$AH$634:$AN$634,0),0),OFFSET($P$8,MATCH(AI$634,$AH$634:$AN$634,0),0),MAX(0,$C1121-OFFSET($Q$8,RIGHT(AI$634,1)-1,0)))</f>
        <v>909</v>
      </c>
      <c r="AJ1121" s="136">
        <f ca="1" t="shared" si="1228"/>
        <v>1818</v>
      </c>
      <c r="AK1121" s="136">
        <f ca="1" t="shared" si="1228"/>
        <v>2727</v>
      </c>
      <c r="AL1121" s="136">
        <f ca="1" t="shared" si="1228"/>
        <v>3636</v>
      </c>
      <c r="AM1121" s="136">
        <f ca="1" t="shared" si="1228"/>
        <v>4545</v>
      </c>
      <c r="AN1121" s="136">
        <f ca="1" t="shared" si="1228"/>
        <v>34615</v>
      </c>
    </row>
    <row r="1122" s="106" customFormat="1" ht="16.5" spans="2:40">
      <c r="B1122" s="117">
        <v>488</v>
      </c>
      <c r="C1122" s="130">
        <f t="shared" si="1149"/>
        <v>48800</v>
      </c>
      <c r="D1122" s="131" cm="1">
        <f ca="1" t="array" ref="D1122">IF(D1724=1,OFFSET($W$634,$B1122,D$631-1)/SUMPRODUCT(--($D$631:$V$631=D$631),--($D1724:$V1724=1)),0)+SUM(D1121)+IF(COUNTIF(D$1237:D1724,1)=1,5,0)+IF(COUNTIF(E1122:$W1122,"&gt;"&amp;0)&lt;5,IF(AND(COUNTIF(D$1237:D1724,1)&gt;7,MOD(1+IFERROR(MATCH($C1122,总览!$D$46:$D$345,1)+1,1),7)=0),$C$3,0),0)</f>
        <v>3068.67264704911</v>
      </c>
      <c r="E1122" s="131" cm="1">
        <f ca="1" t="array" ref="E1122">IF(E1724=1,OFFSET($W$634,$B1122,E$631-1)/SUMPRODUCT(--($D$631:$V$631=E$631),--($D1724:$V1724=1)),0)+SUM(E1121)+IF(COUNTIF(E$1237:E1724,1)=1,5,0)+IF(COUNTIF(F1122:$W1122,"&gt;"&amp;0)&lt;5,IF(AND(COUNTIF(E$1237:E1724,1)&gt;7,MOD(1+IFERROR(MATCH($C1122,总览!$D$46:$D$345,1)+1,1),7)=0),$C$3,0),0)</f>
        <v>3068.67264704911</v>
      </c>
      <c r="F1122" s="131" cm="1">
        <f ca="1" t="array" ref="F1122">IF(F1724=1,OFFSET($W$634,$B1122,F$631-1)/SUMPRODUCT(--($D$631:$V$631=F$631),--($D1724:$V1724=1)),0)+SUM(F1121)+IF(COUNTIF(F$1237:F1724,1)=1,5,0)+IF(COUNTIF(G1122:$W1122,"&gt;"&amp;0)&lt;5,IF(AND(COUNTIF(F$1237:F1724,1)&gt;7,MOD(1+IFERROR(MATCH($C1122,总览!$D$46:$D$345,1)+1,1),7)=0),$C$3,0),0)</f>
        <v>3068.67264704911</v>
      </c>
      <c r="G1122" s="131" cm="1">
        <f ca="1" t="array" ref="G1122">IF(G1724=1,OFFSET($W$634,$B1122,G$631-1)/SUMPRODUCT(--($D$631:$V$631=G$631),--($D1724:$V1724=1)),0)+SUM(G1121)+IF(COUNTIF(G$1237:G1724,1)=1,5,0)+IF(COUNTIF(H1122:$W1122,"&gt;"&amp;0)&lt;5,IF(AND(COUNTIF(G$1237:G1724,1)&gt;7,MOD(1+IFERROR(MATCH($C1122,总览!$D$46:$D$345,1)+1,1),7)=0),$C$3,0),0)</f>
        <v>1566.06666666666</v>
      </c>
      <c r="H1122" s="131" cm="1">
        <f ca="1" t="array" ref="H1122">IF(H1724=1,OFFSET($W$634,$B1122,H$631-1)/SUMPRODUCT(--($D$631:$V$631=H$631),--($D1724:$V1724=1)),0)+SUM(H1121)+IF(COUNTIF(H$1237:H1724,1)=1,5,0)+IF(COUNTIF(I1122:$W1122,"&gt;"&amp;0)&lt;5,IF(AND(COUNTIF(H$1237:H1724,1)&gt;7,MOD(1+IFERROR(MATCH($C1122,总览!$D$46:$D$345,1)+1,1),7)=0),$C$3,0),0)</f>
        <v>1566.06666666666</v>
      </c>
      <c r="I1122" s="131" cm="1">
        <f ca="1" t="array" ref="I1122">IF(I1724=1,OFFSET($W$634,$B1122,I$631-1)/SUMPRODUCT(--($D$631:$V$631=I$631),--($D1724:$V1724=1)),0)+SUM(I1121)+IF(COUNTIF(I$1237:I1724,1)=1,5,0)+IF(COUNTIF(J1122:$W1122,"&gt;"&amp;0)&lt;5,IF(AND(COUNTIF(I$1237:I1724,1)&gt;7,MOD(1+IFERROR(MATCH($C1122,总览!$D$46:$D$345,1)+1,1),7)=0),$C$3,0),0)</f>
        <v>1566.06666666666</v>
      </c>
      <c r="J1122" s="131" cm="1">
        <f ca="1" t="array" ref="J1122">IF(J1724=1,OFFSET($W$634,$B1122,J$631-1)/SUMPRODUCT(--($D$631:$V$631=J$631),--($D1724:$V1724=1)),0)+SUM(J1121)+IF(COUNTIF(J$1237:J1724,1)=1,5,0)+IF(COUNTIF(K1122:$W1122,"&gt;"&amp;0)&lt;5,IF(AND(COUNTIF(J$1237:J1724,1)&gt;7,MOD(1+IFERROR(MATCH($C1122,总览!$D$46:$D$345,1)+1,1),7)=0),$C$3,0),0)</f>
        <v>1562.73333333333</v>
      </c>
      <c r="K1122" s="131" cm="1">
        <f ca="1" t="array" ref="K1122">IF(K1724=1,OFFSET($W$634,$B1122,K$631-1)/SUMPRODUCT(--($D$631:$V$631=K$631),--($D1724:$V1724=1)),0)+SUM(K1121)+IF(COUNTIF(K$1237:K1724,1)=1,5,0)+IF(COUNTIF(L1122:$W1122,"&gt;"&amp;0)&lt;5,IF(AND(COUNTIF(K$1237:K1724,1)&gt;7,MOD(1+IFERROR(MATCH($C1122,总览!$D$46:$D$345,1)+1,1),7)=0),$C$3,0),0)</f>
        <v>1560.23333333333</v>
      </c>
      <c r="L1122" s="131" cm="1">
        <f ca="1" t="array" ref="L1122">IF(L1724=1,OFFSET($W$634,$B1122,L$631-1)/SUMPRODUCT(--($D$631:$V$631=L$631),--($D1724:$V1724=1)),0)+SUM(L1121)+IF(COUNTIF(L$1237:L1724,1)=1,5,0)+IF(COUNTIF(M1122:$W1122,"&gt;"&amp;0)&lt;5,IF(AND(COUNTIF(L$1237:L1724,1)&gt;7,MOD(1+IFERROR(MATCH($C1122,总览!$D$46:$D$345,1)+1,1),7)=0),$C$3,0),0)</f>
        <v>1560.23333333333</v>
      </c>
      <c r="M1122" s="131" cm="1">
        <f ca="1" t="array" ref="M1122">IF(M1724=1,OFFSET($W$634,$B1122,M$631-1)/SUMPRODUCT(--($D$631:$V$631=M$631),--($D1724:$V1724=1)),0)+SUM(M1121)+IF(COUNTIF(M$1237:M1724,1)=1,5,0)+IF(COUNTIF(N1122:$W1122,"&gt;"&amp;0)&lt;5,IF(AND(COUNTIF(M$1237:M1724,1)&gt;7,MOD(1+IFERROR(MATCH($C1122,总览!$D$46:$D$345,1)+1,1),7)=0),$C$3,0),0)</f>
        <v>654.895535714289</v>
      </c>
      <c r="N1122" s="131" cm="1">
        <f ca="1" t="array" ref="N1122">IF(N1724=1,OFFSET($W$634,$B1122,N$631-1)/SUMPRODUCT(--($D$631:$V$631=N$631),--($D1724:$V1724=1)),0)+SUM(N1121)+IF(COUNTIF(N$1237:N1724,1)=1,5,0)+IF(COUNTIF(O1122:$W1122,"&gt;"&amp;0)&lt;5,IF(AND(COUNTIF(N$1237:N1724,1)&gt;7,MOD(1+IFERROR(MATCH($C1122,总览!$D$46:$D$345,1)+1,1),7)=0),$C$3,0),0)</f>
        <v>656.145535714289</v>
      </c>
      <c r="O1122" s="131" cm="1">
        <f ca="1" t="array" ref="O1122">IF(O1724=1,OFFSET($W$634,$B1122,O$631-1)/SUMPRODUCT(--($D$631:$V$631=O$631),--($D1724:$V1724=1)),0)+SUM(O1121)+IF(COUNTIF(O$1237:O1724,1)=1,5,0)+IF(COUNTIF(P1122:$W1122,"&gt;"&amp;0)&lt;5,IF(AND(COUNTIF(O$1237:O1724,1)&gt;7,MOD(1+IFERROR(MATCH($C1122,总览!$D$46:$D$345,1)+1,1),7)=0),$C$3,0),0)</f>
        <v>661.145535714289</v>
      </c>
      <c r="P1122" s="131" cm="1">
        <f ca="1" t="array" ref="P1122">IF(P1724=1,OFFSET($W$634,$B1122,P$631-1)/SUMPRODUCT(--($D$631:$V$631=P$631),--($D1724:$V1724=1)),0)+SUM(P1121)+IF(COUNTIF(P$1237:P1724,1)=1,5,0)+IF(COUNTIF(Q1122:$W1122,"&gt;"&amp;0)&lt;5,IF(AND(COUNTIF(P$1237:P1724,1)&gt;7,MOD(1+IFERROR(MATCH($C1122,总览!$D$46:$D$345,1)+1,1),7)=0),$C$3,0),0)</f>
        <v>650.264285714289</v>
      </c>
      <c r="Q1122" s="131" cm="1">
        <f ca="1" t="array" ref="Q1122">IF(Q1724=1,OFFSET($W$634,$B1122,Q$631-1)/SUMPRODUCT(--($D$631:$V$631=Q$631),--($D1724:$V1724=1)),0)+SUM(Q1121)+IF(COUNTIF(Q$1237:Q1724,1)=1,5,0)+IF(COUNTIF(R1122:$W1122,"&gt;"&amp;0)&lt;5,IF(AND(COUNTIF(Q$1237:Q1724,1)&gt;7,MOD(1+IFERROR(MATCH($C1122,总览!$D$46:$D$345,1)+1,1),7)=0),$C$3,0),0)</f>
        <v>663.645535714289</v>
      </c>
      <c r="R1122" s="131" cm="1">
        <f ca="1" t="array" ref="R1122">IF(R1724=1,OFFSET($W$634,$B1122,R$631-1)/SUMPRODUCT(--($D$631:$V$631=R$631),--($D1724:$V1724=1)),0)+SUM(R1121)+IF(COUNTIF(R$1237:R1724,1)=1,5,0)+IF(COUNTIF(S1122:$W1122,"&gt;"&amp;0)&lt;5,IF(AND(COUNTIF(R$1237:R1724,1)&gt;7,MOD(1+IFERROR(MATCH($C1122,总览!$D$46:$D$345,1)+1,1),7)=0),$C$3,0),0)</f>
        <v>655.264285714289</v>
      </c>
      <c r="S1122" s="131" cm="1">
        <f ca="1" t="array" ref="S1122">IF(S1724=1,OFFSET($W$634,$B1122,S$631-1)/SUMPRODUCT(--($D$631:$V$631=S$631),--($D1724:$V1724=1)),0)+SUM(S1121)+IF(COUNTIF(S$1237:S1724,1)=1,5,0)+IF(COUNTIF(T1122:$W1122,"&gt;"&amp;0)&lt;5,IF(AND(COUNTIF(S$1237:S1724,1)&gt;7,MOD(1+IFERROR(MATCH($C1122,总览!$D$46:$D$345,1)+1,1),7)=0),$C$3,0),0)</f>
        <v>747.76428571429</v>
      </c>
      <c r="T1122" s="131" cm="1">
        <f ca="1" t="array" ref="T1122">IF(T1724=1,OFFSET($W$634,$B1122,T$631-1)/SUMPRODUCT(--($D$631:$V$631=T$631),--($D1724:$V1724=1)),0)+SUM(T1121)+IF(COUNTIF(T$1237:T1724,1)=1,5,0)+IF(COUNTIF(U1122:$W1122,"&gt;"&amp;0)&lt;5,IF(AND(COUNTIF(T$1237:T1724,1)&gt;7,MOD(1+IFERROR(MATCH($C1122,总览!$D$46:$D$345,1)+1,1),7)=0),$C$3,0),0)</f>
        <v>547.529495476572</v>
      </c>
      <c r="U1122" s="131" cm="1">
        <f ca="1" t="array" ref="U1122">IF(U1724=1,OFFSET($W$634,$B1122,U$631-1)/SUMPRODUCT(--($D$631:$V$631=U$631),--($D1724:$V1724=1)),0)+SUM(U1121)+IF(COUNTIF(U$1237:U1724,1)=1,5,0)+IF(COUNTIF(V1122:$W1122,"&gt;"&amp;0)&lt;5,IF(AND(COUNTIF(U$1237:U1724,1)&gt;7,MOD(1+IFERROR(MATCH($C1122,总览!$D$46:$D$345,1)+1,1),7)=0),$C$3,0),0)</f>
        <v>553.050281831871</v>
      </c>
      <c r="V1122" s="131" cm="1">
        <f ca="1" t="array" ref="V1122">IF(V1724=1,OFFSET($W$634,$B1122,V$631-1)/SUMPRODUCT(--($D$631:$V$631=V$631),--($D1724:$V1724=1)),0)+SUM(V1121)+IF(COUNTIF(V$1237:V1724,1)=1,5,0)+IF(COUNTIF(W1122:$W1122,"&gt;"&amp;0)&lt;5,IF(AND(COUNTIF(V$1237:V1724,1)&gt;7,MOD(1+IFERROR(MATCH($C1122,总览!$D$46:$D$345,1)+1,1),7)=0),$C$3,0),0)</f>
        <v>572.877281544304</v>
      </c>
      <c r="W1122" s="135" cm="1">
        <f ca="1" t="array" ref="W1122">SUMPRODUCT(TRANSPOSE($AA1122:$AG1122),OFFSET($L$9:$L$15,0,W$631-1))</f>
        <v>16.8502200646615</v>
      </c>
      <c r="X1122" s="135" cm="1">
        <f ca="1" t="array" ref="X1122">SUMPRODUCT(TRANSPOSE($AA1122:$AG1122),OFFSET($L$9:$L$15,0,X$631-1))</f>
        <v>20</v>
      </c>
      <c r="Y1122" s="135" cm="1">
        <f ca="1" t="array" ref="Y1122">SUMPRODUCT(TRANSPOSE($AA1122:$AG1122),OFFSET($L$9:$L$15,0,Y$631-1))</f>
        <v>10</v>
      </c>
      <c r="Z1122" s="135" cm="1">
        <f ca="1" t="array" ref="Z1122">SUMPRODUCT(TRANSPOSE($AA1122:$AG1122),OFFSET($L$9:$L$15,0,Z$631-1))</f>
        <v>3.14977993533847</v>
      </c>
      <c r="AA1122" s="136">
        <f ca="1" t="shared" ref="AA1122:AG1122" si="1229">AH1122-AH1121</f>
        <v>0</v>
      </c>
      <c r="AB1122" s="136">
        <f ca="1" t="shared" si="1229"/>
        <v>0</v>
      </c>
      <c r="AC1122" s="136">
        <f ca="1" t="shared" si="1229"/>
        <v>0</v>
      </c>
      <c r="AD1122" s="136">
        <f ca="1" t="shared" si="1229"/>
        <v>0</v>
      </c>
      <c r="AE1122" s="136">
        <f ca="1" t="shared" si="1229"/>
        <v>0</v>
      </c>
      <c r="AF1122" s="136">
        <f ca="1" t="shared" si="1229"/>
        <v>0</v>
      </c>
      <c r="AG1122" s="136">
        <f ca="1" t="shared" si="1229"/>
        <v>100</v>
      </c>
      <c r="AH1122" s="136">
        <f ca="1" t="shared" si="1151"/>
        <v>450</v>
      </c>
      <c r="AI1122" s="136">
        <f ca="1" t="shared" ref="AI1122:AN1122" si="1230">IF($C1122&gt;OFFSET($Q$8,MATCH(AI$634,$AH$634:$AN$634,0),0),OFFSET($P$8,MATCH(AI$634,$AH$634:$AN$634,0),0),MAX(0,$C1122-OFFSET($Q$8,RIGHT(AI$634,1)-1,0)))</f>
        <v>909</v>
      </c>
      <c r="AJ1122" s="136">
        <f ca="1" t="shared" si="1230"/>
        <v>1818</v>
      </c>
      <c r="AK1122" s="136">
        <f ca="1" t="shared" si="1230"/>
        <v>2727</v>
      </c>
      <c r="AL1122" s="136">
        <f ca="1" t="shared" si="1230"/>
        <v>3636</v>
      </c>
      <c r="AM1122" s="136">
        <f ca="1" t="shared" si="1230"/>
        <v>4545</v>
      </c>
      <c r="AN1122" s="136">
        <f ca="1" t="shared" si="1230"/>
        <v>34715</v>
      </c>
    </row>
    <row r="1123" s="106" customFormat="1" ht="16.5" spans="2:40">
      <c r="B1123" s="117">
        <v>489</v>
      </c>
      <c r="C1123" s="130">
        <f t="shared" si="1149"/>
        <v>48900</v>
      </c>
      <c r="D1123" s="131" cm="1">
        <f ca="1" t="array" ref="D1123">IF(D1725=1,OFFSET($W$634,$B1123,D$631-1)/SUMPRODUCT(--($D$631:$V$631=D$631),--($D1725:$V1725=1)),0)+SUM(D1122)+IF(COUNTIF(D$1237:D1725,1)=1,5,0)+IF(COUNTIF(E1123:$W1123,"&gt;"&amp;0)&lt;5,IF(AND(COUNTIF(D$1237:D1725,1)&gt;7,MOD(1+IFERROR(MATCH($C1123,总览!$D$46:$D$345,1)+1,1),7)=0),$C$3,0),0)</f>
        <v>3074.28938707067</v>
      </c>
      <c r="E1123" s="131" cm="1">
        <f ca="1" t="array" ref="E1123">IF(E1725=1,OFFSET($W$634,$B1123,E$631-1)/SUMPRODUCT(--($D$631:$V$631=E$631),--($D1725:$V1725=1)),0)+SUM(E1122)+IF(COUNTIF(E$1237:E1725,1)=1,5,0)+IF(COUNTIF(F1123:$W1123,"&gt;"&amp;0)&lt;5,IF(AND(COUNTIF(E$1237:E1725,1)&gt;7,MOD(1+IFERROR(MATCH($C1123,总览!$D$46:$D$345,1)+1,1),7)=0),$C$3,0),0)</f>
        <v>3074.28938707067</v>
      </c>
      <c r="F1123" s="131" cm="1">
        <f ca="1" t="array" ref="F1123">IF(F1725=1,OFFSET($W$634,$B1123,F$631-1)/SUMPRODUCT(--($D$631:$V$631=F$631),--($D1725:$V1725=1)),0)+SUM(F1122)+IF(COUNTIF(F$1237:F1725,1)=1,5,0)+IF(COUNTIF(G1123:$W1123,"&gt;"&amp;0)&lt;5,IF(AND(COUNTIF(F$1237:F1725,1)&gt;7,MOD(1+IFERROR(MATCH($C1123,总览!$D$46:$D$345,1)+1,1),7)=0),$C$3,0),0)</f>
        <v>3074.28938707067</v>
      </c>
      <c r="G1123" s="131" cm="1">
        <f ca="1" t="array" ref="G1123">IF(G1725=1,OFFSET($W$634,$B1123,G$631-1)/SUMPRODUCT(--($D$631:$V$631=G$631),--($D1725:$V1725=1)),0)+SUM(G1122)+IF(COUNTIF(G$1237:G1725,1)=1,5,0)+IF(COUNTIF(H1123:$W1123,"&gt;"&amp;0)&lt;5,IF(AND(COUNTIF(G$1237:G1725,1)&gt;7,MOD(1+IFERROR(MATCH($C1123,总览!$D$46:$D$345,1)+1,1),7)=0),$C$3,0),0)</f>
        <v>1569.39999999999</v>
      </c>
      <c r="H1123" s="131" cm="1">
        <f ca="1" t="array" ref="H1123">IF(H1725=1,OFFSET($W$634,$B1123,H$631-1)/SUMPRODUCT(--($D$631:$V$631=H$631),--($D1725:$V1725=1)),0)+SUM(H1122)+IF(COUNTIF(H$1237:H1725,1)=1,5,0)+IF(COUNTIF(I1123:$W1123,"&gt;"&amp;0)&lt;5,IF(AND(COUNTIF(H$1237:H1725,1)&gt;7,MOD(1+IFERROR(MATCH($C1123,总览!$D$46:$D$345,1)+1,1),7)=0),$C$3,0),0)</f>
        <v>1569.39999999999</v>
      </c>
      <c r="I1123" s="131" cm="1">
        <f ca="1" t="array" ref="I1123">IF(I1725=1,OFFSET($W$634,$B1123,I$631-1)/SUMPRODUCT(--($D$631:$V$631=I$631),--($D1725:$V1725=1)),0)+SUM(I1122)+IF(COUNTIF(I$1237:I1725,1)=1,5,0)+IF(COUNTIF(J1123:$W1123,"&gt;"&amp;0)&lt;5,IF(AND(COUNTIF(I$1237:I1725,1)&gt;7,MOD(1+IFERROR(MATCH($C1123,总览!$D$46:$D$345,1)+1,1),7)=0),$C$3,0),0)</f>
        <v>1569.39999999999</v>
      </c>
      <c r="J1123" s="131" cm="1">
        <f ca="1" t="array" ref="J1123">IF(J1725=1,OFFSET($W$634,$B1123,J$631-1)/SUMPRODUCT(--($D$631:$V$631=J$631),--($D1725:$V1725=1)),0)+SUM(J1122)+IF(COUNTIF(J$1237:J1725,1)=1,5,0)+IF(COUNTIF(K1123:$W1123,"&gt;"&amp;0)&lt;5,IF(AND(COUNTIF(J$1237:J1725,1)&gt;7,MOD(1+IFERROR(MATCH($C1123,总览!$D$46:$D$345,1)+1,1),7)=0),$C$3,0),0)</f>
        <v>1566.06666666666</v>
      </c>
      <c r="K1123" s="131" cm="1">
        <f ca="1" t="array" ref="K1123">IF(K1725=1,OFFSET($W$634,$B1123,K$631-1)/SUMPRODUCT(--($D$631:$V$631=K$631),--($D1725:$V1725=1)),0)+SUM(K1122)+IF(COUNTIF(K$1237:K1725,1)=1,5,0)+IF(COUNTIF(L1123:$W1123,"&gt;"&amp;0)&lt;5,IF(AND(COUNTIF(K$1237:K1725,1)&gt;7,MOD(1+IFERROR(MATCH($C1123,总览!$D$46:$D$345,1)+1,1),7)=0),$C$3,0),0)</f>
        <v>1563.56666666666</v>
      </c>
      <c r="L1123" s="131" cm="1">
        <f ca="1" t="array" ref="L1123">IF(L1725=1,OFFSET($W$634,$B1123,L$631-1)/SUMPRODUCT(--($D$631:$V$631=L$631),--($D1725:$V1725=1)),0)+SUM(L1122)+IF(COUNTIF(L$1237:L1725,1)=1,5,0)+IF(COUNTIF(M1123:$W1123,"&gt;"&amp;0)&lt;5,IF(AND(COUNTIF(L$1237:L1725,1)&gt;7,MOD(1+IFERROR(MATCH($C1123,总览!$D$46:$D$345,1)+1,1),7)=0),$C$3,0),0)</f>
        <v>1563.56666666666</v>
      </c>
      <c r="M1123" s="131" cm="1">
        <f ca="1" t="array" ref="M1123">IF(M1725=1,OFFSET($W$634,$B1123,M$631-1)/SUMPRODUCT(--($D$631:$V$631=M$631),--($D1725:$V1725=1)),0)+SUM(M1122)+IF(COUNTIF(M$1237:M1725,1)=1,5,0)+IF(COUNTIF(N1123:$W1123,"&gt;"&amp;0)&lt;5,IF(AND(COUNTIF(M$1237:M1725,1)&gt;7,MOD(1+IFERROR(MATCH($C1123,总览!$D$46:$D$345,1)+1,1),7)=0),$C$3,0),0)</f>
        <v>656.32410714286</v>
      </c>
      <c r="N1123" s="131" cm="1">
        <f ca="1" t="array" ref="N1123">IF(N1725=1,OFFSET($W$634,$B1123,N$631-1)/SUMPRODUCT(--($D$631:$V$631=N$631),--($D1725:$V1725=1)),0)+SUM(N1122)+IF(COUNTIF(N$1237:N1725,1)=1,5,0)+IF(COUNTIF(O1123:$W1123,"&gt;"&amp;0)&lt;5,IF(AND(COUNTIF(N$1237:N1725,1)&gt;7,MOD(1+IFERROR(MATCH($C1123,总览!$D$46:$D$345,1)+1,1),7)=0),$C$3,0),0)</f>
        <v>657.57410714286</v>
      </c>
      <c r="O1123" s="131" cm="1">
        <f ca="1" t="array" ref="O1123">IF(O1725=1,OFFSET($W$634,$B1123,O$631-1)/SUMPRODUCT(--($D$631:$V$631=O$631),--($D1725:$V1725=1)),0)+SUM(O1122)+IF(COUNTIF(O$1237:O1725,1)=1,5,0)+IF(COUNTIF(P1123:$W1123,"&gt;"&amp;0)&lt;5,IF(AND(COUNTIF(O$1237:O1725,1)&gt;7,MOD(1+IFERROR(MATCH($C1123,总览!$D$46:$D$345,1)+1,1),7)=0),$C$3,0),0)</f>
        <v>662.57410714286</v>
      </c>
      <c r="P1123" s="131" cm="1">
        <f ca="1" t="array" ref="P1123">IF(P1725=1,OFFSET($W$634,$B1123,P$631-1)/SUMPRODUCT(--($D$631:$V$631=P$631),--($D1725:$V1725=1)),0)+SUM(P1122)+IF(COUNTIF(P$1237:P1725,1)=1,5,0)+IF(COUNTIF(Q1123:$W1123,"&gt;"&amp;0)&lt;5,IF(AND(COUNTIF(P$1237:P1725,1)&gt;7,MOD(1+IFERROR(MATCH($C1123,总览!$D$46:$D$345,1)+1,1),7)=0),$C$3,0),0)</f>
        <v>651.69285714286</v>
      </c>
      <c r="Q1123" s="131" cm="1">
        <f ca="1" t="array" ref="Q1123">IF(Q1725=1,OFFSET($W$634,$B1123,Q$631-1)/SUMPRODUCT(--($D$631:$V$631=Q$631),--($D1725:$V1725=1)),0)+SUM(Q1122)+IF(COUNTIF(Q$1237:Q1725,1)=1,5,0)+IF(COUNTIF(R1123:$W1123,"&gt;"&amp;0)&lt;5,IF(AND(COUNTIF(Q$1237:Q1725,1)&gt;7,MOD(1+IFERROR(MATCH($C1123,总览!$D$46:$D$345,1)+1,1),7)=0),$C$3,0),0)</f>
        <v>665.07410714286</v>
      </c>
      <c r="R1123" s="131" cm="1">
        <f ca="1" t="array" ref="R1123">IF(R1725=1,OFFSET($W$634,$B1123,R$631-1)/SUMPRODUCT(--($D$631:$V$631=R$631),--($D1725:$V1725=1)),0)+SUM(R1122)+IF(COUNTIF(R$1237:R1725,1)=1,5,0)+IF(COUNTIF(S1123:$W1123,"&gt;"&amp;0)&lt;5,IF(AND(COUNTIF(R$1237:R1725,1)&gt;7,MOD(1+IFERROR(MATCH($C1123,总览!$D$46:$D$345,1)+1,1),7)=0),$C$3,0),0)</f>
        <v>656.69285714286</v>
      </c>
      <c r="S1123" s="131" cm="1">
        <f ca="1" t="array" ref="S1123">IF(S1725=1,OFFSET($W$634,$B1123,S$631-1)/SUMPRODUCT(--($D$631:$V$631=S$631),--($D1725:$V1725=1)),0)+SUM(S1122)+IF(COUNTIF(S$1237:S1725,1)=1,5,0)+IF(COUNTIF(T1123:$W1123,"&gt;"&amp;0)&lt;5,IF(AND(COUNTIF(S$1237:S1725,1)&gt;7,MOD(1+IFERROR(MATCH($C1123,总览!$D$46:$D$345,1)+1,1),7)=0),$C$3,0),0)</f>
        <v>749.192857142862</v>
      </c>
      <c r="T1123" s="131" cm="1">
        <f ca="1" t="array" ref="T1123">IF(T1725=1,OFFSET($W$634,$B1123,T$631-1)/SUMPRODUCT(--($D$631:$V$631=T$631),--($D1725:$V1725=1)),0)+SUM(T1122)+IF(COUNTIF(T$1237:T1725,1)=1,5,0)+IF(COUNTIF(U1123:$W1123,"&gt;"&amp;0)&lt;5,IF(AND(COUNTIF(T$1237:T1725,1)&gt;7,MOD(1+IFERROR(MATCH($C1123,总览!$D$46:$D$345,1)+1,1),7)=0),$C$3,0),0)</f>
        <v>548.579422121685</v>
      </c>
      <c r="U1123" s="131" cm="1">
        <f ca="1" t="array" ref="U1123">IF(U1725=1,OFFSET($W$634,$B1123,U$631-1)/SUMPRODUCT(--($D$631:$V$631=U$631),--($D1725:$V1725=1)),0)+SUM(U1122)+IF(COUNTIF(U$1237:U1725,1)=1,5,0)+IF(COUNTIF(V1123:$W1123,"&gt;"&amp;0)&lt;5,IF(AND(COUNTIF(U$1237:U1725,1)&gt;7,MOD(1+IFERROR(MATCH($C1123,总览!$D$46:$D$345,1)+1,1),7)=0),$C$3,0),0)</f>
        <v>554.100208476984</v>
      </c>
      <c r="V1123" s="131" cm="1">
        <f ca="1" t="array" ref="V1123">IF(V1725=1,OFFSET($W$634,$B1123,V$631-1)/SUMPRODUCT(--($D$631:$V$631=V$631),--($D1725:$V1725=1)),0)+SUM(V1122)+IF(COUNTIF(V$1237:V1725,1)=1,5,0)+IF(COUNTIF(W1123:$W1123,"&gt;"&amp;0)&lt;5,IF(AND(COUNTIF(V$1237:V1725,1)&gt;7,MOD(1+IFERROR(MATCH($C1123,总览!$D$46:$D$345,1)+1,1),7)=0),$C$3,0),0)</f>
        <v>573.927208189417</v>
      </c>
      <c r="W1123" s="135" cm="1">
        <f ca="1" t="array" ref="W1123">SUMPRODUCT(TRANSPOSE($AA1123:$AG1123),OFFSET($L$9:$L$15,0,W$631-1))</f>
        <v>16.8502200646615</v>
      </c>
      <c r="X1123" s="135" cm="1">
        <f ca="1" t="array" ref="X1123">SUMPRODUCT(TRANSPOSE($AA1123:$AG1123),OFFSET($L$9:$L$15,0,X$631-1))</f>
        <v>20</v>
      </c>
      <c r="Y1123" s="135" cm="1">
        <f ca="1" t="array" ref="Y1123">SUMPRODUCT(TRANSPOSE($AA1123:$AG1123),OFFSET($L$9:$L$15,0,Y$631-1))</f>
        <v>10</v>
      </c>
      <c r="Z1123" s="135" cm="1">
        <f ca="1" t="array" ref="Z1123">SUMPRODUCT(TRANSPOSE($AA1123:$AG1123),OFFSET($L$9:$L$15,0,Z$631-1))</f>
        <v>3.14977993533847</v>
      </c>
      <c r="AA1123" s="136">
        <f ca="1" t="shared" ref="AA1123:AG1123" si="1231">AH1123-AH1122</f>
        <v>0</v>
      </c>
      <c r="AB1123" s="136">
        <f ca="1" t="shared" si="1231"/>
        <v>0</v>
      </c>
      <c r="AC1123" s="136">
        <f ca="1" t="shared" si="1231"/>
        <v>0</v>
      </c>
      <c r="AD1123" s="136">
        <f ca="1" t="shared" si="1231"/>
        <v>0</v>
      </c>
      <c r="AE1123" s="136">
        <f ca="1" t="shared" si="1231"/>
        <v>0</v>
      </c>
      <c r="AF1123" s="136">
        <f ca="1" t="shared" si="1231"/>
        <v>0</v>
      </c>
      <c r="AG1123" s="136">
        <f ca="1" t="shared" si="1231"/>
        <v>100</v>
      </c>
      <c r="AH1123" s="136">
        <f ca="1" t="shared" si="1151"/>
        <v>450</v>
      </c>
      <c r="AI1123" s="136">
        <f ca="1" t="shared" ref="AI1123:AN1123" si="1232">IF($C1123&gt;OFFSET($Q$8,MATCH(AI$634,$AH$634:$AN$634,0),0),OFFSET($P$8,MATCH(AI$634,$AH$634:$AN$634,0),0),MAX(0,$C1123-OFFSET($Q$8,RIGHT(AI$634,1)-1,0)))</f>
        <v>909</v>
      </c>
      <c r="AJ1123" s="136">
        <f ca="1" t="shared" si="1232"/>
        <v>1818</v>
      </c>
      <c r="AK1123" s="136">
        <f ca="1" t="shared" si="1232"/>
        <v>2727</v>
      </c>
      <c r="AL1123" s="136">
        <f ca="1" t="shared" si="1232"/>
        <v>3636</v>
      </c>
      <c r="AM1123" s="136">
        <f ca="1" t="shared" si="1232"/>
        <v>4545</v>
      </c>
      <c r="AN1123" s="136">
        <f ca="1" t="shared" si="1232"/>
        <v>34815</v>
      </c>
    </row>
    <row r="1124" s="106" customFormat="1" ht="16.5" spans="2:40">
      <c r="B1124" s="117">
        <v>490</v>
      </c>
      <c r="C1124" s="130">
        <f t="shared" si="1149"/>
        <v>49000</v>
      </c>
      <c r="D1124" s="131" cm="1">
        <f ca="1" t="array" ref="D1124">IF(D1726=1,OFFSET($W$634,$B1124,D$631-1)/SUMPRODUCT(--($D$631:$V$631=D$631),--($D1726:$V1726=1)),0)+SUM(D1123)+IF(COUNTIF(D$1237:D1726,1)=1,5,0)+IF(COUNTIF(E1124:$W1124,"&gt;"&amp;0)&lt;5,IF(AND(COUNTIF(D$1237:D1726,1)&gt;7,MOD(1+IFERROR(MATCH($C1124,总览!$D$46:$D$345,1)+1,1),7)=0),$C$3,0),0)</f>
        <v>3079.90612709222</v>
      </c>
      <c r="E1124" s="131" cm="1">
        <f ca="1" t="array" ref="E1124">IF(E1726=1,OFFSET($W$634,$B1124,E$631-1)/SUMPRODUCT(--($D$631:$V$631=E$631),--($D1726:$V1726=1)),0)+SUM(E1123)+IF(COUNTIF(E$1237:E1726,1)=1,5,0)+IF(COUNTIF(F1124:$W1124,"&gt;"&amp;0)&lt;5,IF(AND(COUNTIF(E$1237:E1726,1)&gt;7,MOD(1+IFERROR(MATCH($C1124,总览!$D$46:$D$345,1)+1,1),7)=0),$C$3,0),0)</f>
        <v>3079.90612709222</v>
      </c>
      <c r="F1124" s="131" cm="1">
        <f ca="1" t="array" ref="F1124">IF(F1726=1,OFFSET($W$634,$B1124,F$631-1)/SUMPRODUCT(--($D$631:$V$631=F$631),--($D1726:$V1726=1)),0)+SUM(F1123)+IF(COUNTIF(F$1237:F1726,1)=1,5,0)+IF(COUNTIF(G1124:$W1124,"&gt;"&amp;0)&lt;5,IF(AND(COUNTIF(F$1237:F1726,1)&gt;7,MOD(1+IFERROR(MATCH($C1124,总览!$D$46:$D$345,1)+1,1),7)=0),$C$3,0),0)</f>
        <v>3079.90612709222</v>
      </c>
      <c r="G1124" s="131" cm="1">
        <f ca="1" t="array" ref="G1124">IF(G1726=1,OFFSET($W$634,$B1124,G$631-1)/SUMPRODUCT(--($D$631:$V$631=G$631),--($D1726:$V1726=1)),0)+SUM(G1123)+IF(COUNTIF(G$1237:G1726,1)=1,5,0)+IF(COUNTIF(H1124:$W1124,"&gt;"&amp;0)&lt;5,IF(AND(COUNTIF(G$1237:G1726,1)&gt;7,MOD(1+IFERROR(MATCH($C1124,总览!$D$46:$D$345,1)+1,1),7)=0),$C$3,0),0)</f>
        <v>1572.73333333333</v>
      </c>
      <c r="H1124" s="131" cm="1">
        <f ca="1" t="array" ref="H1124">IF(H1726=1,OFFSET($W$634,$B1124,H$631-1)/SUMPRODUCT(--($D$631:$V$631=H$631),--($D1726:$V1726=1)),0)+SUM(H1123)+IF(COUNTIF(H$1237:H1726,1)=1,5,0)+IF(COUNTIF(I1124:$W1124,"&gt;"&amp;0)&lt;5,IF(AND(COUNTIF(H$1237:H1726,1)&gt;7,MOD(1+IFERROR(MATCH($C1124,总览!$D$46:$D$345,1)+1,1),7)=0),$C$3,0),0)</f>
        <v>1572.73333333333</v>
      </c>
      <c r="I1124" s="131" cm="1">
        <f ca="1" t="array" ref="I1124">IF(I1726=1,OFFSET($W$634,$B1124,I$631-1)/SUMPRODUCT(--($D$631:$V$631=I$631),--($D1726:$V1726=1)),0)+SUM(I1123)+IF(COUNTIF(I$1237:I1726,1)=1,5,0)+IF(COUNTIF(J1124:$W1124,"&gt;"&amp;0)&lt;5,IF(AND(COUNTIF(I$1237:I1726,1)&gt;7,MOD(1+IFERROR(MATCH($C1124,总览!$D$46:$D$345,1)+1,1),7)=0),$C$3,0),0)</f>
        <v>1572.73333333333</v>
      </c>
      <c r="J1124" s="131" cm="1">
        <f ca="1" t="array" ref="J1124">IF(J1726=1,OFFSET($W$634,$B1124,J$631-1)/SUMPRODUCT(--($D$631:$V$631=J$631),--($D1726:$V1726=1)),0)+SUM(J1123)+IF(COUNTIF(J$1237:J1726,1)=1,5,0)+IF(COUNTIF(K1124:$W1124,"&gt;"&amp;0)&lt;5,IF(AND(COUNTIF(J$1237:J1726,1)&gt;7,MOD(1+IFERROR(MATCH($C1124,总览!$D$46:$D$345,1)+1,1),7)=0),$C$3,0),0)</f>
        <v>1569.39999999999</v>
      </c>
      <c r="K1124" s="131" cm="1">
        <f ca="1" t="array" ref="K1124">IF(K1726=1,OFFSET($W$634,$B1124,K$631-1)/SUMPRODUCT(--($D$631:$V$631=K$631),--($D1726:$V1726=1)),0)+SUM(K1123)+IF(COUNTIF(K$1237:K1726,1)=1,5,0)+IF(COUNTIF(L1124:$W1124,"&gt;"&amp;0)&lt;5,IF(AND(COUNTIF(K$1237:K1726,1)&gt;7,MOD(1+IFERROR(MATCH($C1124,总览!$D$46:$D$345,1)+1,1),7)=0),$C$3,0),0)</f>
        <v>1566.89999999999</v>
      </c>
      <c r="L1124" s="131" cm="1">
        <f ca="1" t="array" ref="L1124">IF(L1726=1,OFFSET($W$634,$B1124,L$631-1)/SUMPRODUCT(--($D$631:$V$631=L$631),--($D1726:$V1726=1)),0)+SUM(L1123)+IF(COUNTIF(L$1237:L1726,1)=1,5,0)+IF(COUNTIF(M1124:$W1124,"&gt;"&amp;0)&lt;5,IF(AND(COUNTIF(L$1237:L1726,1)&gt;7,MOD(1+IFERROR(MATCH($C1124,总览!$D$46:$D$345,1)+1,1),7)=0),$C$3,0),0)</f>
        <v>1566.89999999999</v>
      </c>
      <c r="M1124" s="131" cm="1">
        <f ca="1" t="array" ref="M1124">IF(M1726=1,OFFSET($W$634,$B1124,M$631-1)/SUMPRODUCT(--($D$631:$V$631=M$631),--($D1726:$V1726=1)),0)+SUM(M1123)+IF(COUNTIF(M$1237:M1726,1)=1,5,0)+IF(COUNTIF(N1124:$W1124,"&gt;"&amp;0)&lt;5,IF(AND(COUNTIF(M$1237:M1726,1)&gt;7,MOD(1+IFERROR(MATCH($C1124,总览!$D$46:$D$345,1)+1,1),7)=0),$C$3,0),0)</f>
        <v>657.752678571432</v>
      </c>
      <c r="N1124" s="131" cm="1">
        <f ca="1" t="array" ref="N1124">IF(N1726=1,OFFSET($W$634,$B1124,N$631-1)/SUMPRODUCT(--($D$631:$V$631=N$631),--($D1726:$V1726=1)),0)+SUM(N1123)+IF(COUNTIF(N$1237:N1726,1)=1,5,0)+IF(COUNTIF(O1124:$W1124,"&gt;"&amp;0)&lt;5,IF(AND(COUNTIF(N$1237:N1726,1)&gt;7,MOD(1+IFERROR(MATCH($C1124,总览!$D$46:$D$345,1)+1,1),7)=0),$C$3,0),0)</f>
        <v>659.002678571432</v>
      </c>
      <c r="O1124" s="131" cm="1">
        <f ca="1" t="array" ref="O1124">IF(O1726=1,OFFSET($W$634,$B1124,O$631-1)/SUMPRODUCT(--($D$631:$V$631=O$631),--($D1726:$V1726=1)),0)+SUM(O1123)+IF(COUNTIF(O$1237:O1726,1)=1,5,0)+IF(COUNTIF(P1124:$W1124,"&gt;"&amp;0)&lt;5,IF(AND(COUNTIF(O$1237:O1726,1)&gt;7,MOD(1+IFERROR(MATCH($C1124,总览!$D$46:$D$345,1)+1,1),7)=0),$C$3,0),0)</f>
        <v>664.002678571432</v>
      </c>
      <c r="P1124" s="131" cm="1">
        <f ca="1" t="array" ref="P1124">IF(P1726=1,OFFSET($W$634,$B1124,P$631-1)/SUMPRODUCT(--($D$631:$V$631=P$631),--($D1726:$V1726=1)),0)+SUM(P1123)+IF(COUNTIF(P$1237:P1726,1)=1,5,0)+IF(COUNTIF(Q1124:$W1124,"&gt;"&amp;0)&lt;5,IF(AND(COUNTIF(P$1237:P1726,1)&gt;7,MOD(1+IFERROR(MATCH($C1124,总览!$D$46:$D$345,1)+1,1),7)=0),$C$3,0),0)</f>
        <v>653.121428571432</v>
      </c>
      <c r="Q1124" s="131" cm="1">
        <f ca="1" t="array" ref="Q1124">IF(Q1726=1,OFFSET($W$634,$B1124,Q$631-1)/SUMPRODUCT(--($D$631:$V$631=Q$631),--($D1726:$V1726=1)),0)+SUM(Q1123)+IF(COUNTIF(Q$1237:Q1726,1)=1,5,0)+IF(COUNTIF(R1124:$W1124,"&gt;"&amp;0)&lt;5,IF(AND(COUNTIF(Q$1237:Q1726,1)&gt;7,MOD(1+IFERROR(MATCH($C1124,总览!$D$46:$D$345,1)+1,1),7)=0),$C$3,0),0)</f>
        <v>666.502678571432</v>
      </c>
      <c r="R1124" s="131" cm="1">
        <f ca="1" t="array" ref="R1124">IF(R1726=1,OFFSET($W$634,$B1124,R$631-1)/SUMPRODUCT(--($D$631:$V$631=R$631),--($D1726:$V1726=1)),0)+SUM(R1123)+IF(COUNTIF(R$1237:R1726,1)=1,5,0)+IF(COUNTIF(S1124:$W1124,"&gt;"&amp;0)&lt;5,IF(AND(COUNTIF(R$1237:R1726,1)&gt;7,MOD(1+IFERROR(MATCH($C1124,总览!$D$46:$D$345,1)+1,1),7)=0),$C$3,0),0)</f>
        <v>658.121428571432</v>
      </c>
      <c r="S1124" s="131" cm="1">
        <f ca="1" t="array" ref="S1124">IF(S1726=1,OFFSET($W$634,$B1124,S$631-1)/SUMPRODUCT(--($D$631:$V$631=S$631),--($D1726:$V1726=1)),0)+SUM(S1123)+IF(COUNTIF(S$1237:S1726,1)=1,5,0)+IF(COUNTIF(T1124:$W1124,"&gt;"&amp;0)&lt;5,IF(AND(COUNTIF(S$1237:S1726,1)&gt;7,MOD(1+IFERROR(MATCH($C1124,总览!$D$46:$D$345,1)+1,1),7)=0),$C$3,0),0)</f>
        <v>750.621428571433</v>
      </c>
      <c r="T1124" s="131" cm="1">
        <f ca="1" t="array" ref="T1124">IF(T1726=1,OFFSET($W$634,$B1124,T$631-1)/SUMPRODUCT(--($D$631:$V$631=T$631),--($D1726:$V1726=1)),0)+SUM(T1123)+IF(COUNTIF(T$1237:T1726,1)=1,5,0)+IF(COUNTIF(U1124:$W1124,"&gt;"&amp;0)&lt;5,IF(AND(COUNTIF(T$1237:T1726,1)&gt;7,MOD(1+IFERROR(MATCH($C1124,总览!$D$46:$D$345,1)+1,1),7)=0),$C$3,0),0)</f>
        <v>549.629348766797</v>
      </c>
      <c r="U1124" s="131" cm="1">
        <f ca="1" t="array" ref="U1124">IF(U1726=1,OFFSET($W$634,$B1124,U$631-1)/SUMPRODUCT(--($D$631:$V$631=U$631),--($D1726:$V1726=1)),0)+SUM(U1123)+IF(COUNTIF(U$1237:U1726,1)=1,5,0)+IF(COUNTIF(V1124:$W1124,"&gt;"&amp;0)&lt;5,IF(AND(COUNTIF(U$1237:U1726,1)&gt;7,MOD(1+IFERROR(MATCH($C1124,总览!$D$46:$D$345,1)+1,1),7)=0),$C$3,0),0)</f>
        <v>555.150135122097</v>
      </c>
      <c r="V1124" s="131" cm="1">
        <f ca="1" t="array" ref="V1124">IF(V1726=1,OFFSET($W$634,$B1124,V$631-1)/SUMPRODUCT(--($D$631:$V$631=V$631),--($D1726:$V1726=1)),0)+SUM(V1123)+IF(COUNTIF(V$1237:V1726,1)=1,5,0)+IF(COUNTIF(W1124:$W1124,"&gt;"&amp;0)&lt;5,IF(AND(COUNTIF(V$1237:V1726,1)&gt;7,MOD(1+IFERROR(MATCH($C1124,总览!$D$46:$D$345,1)+1,1),7)=0),$C$3,0),0)</f>
        <v>574.97713483453</v>
      </c>
      <c r="W1124" s="135" cm="1">
        <f ca="1" t="array" ref="W1124">SUMPRODUCT(TRANSPOSE($AA1124:$AG1124),OFFSET($L$9:$L$15,0,W$631-1))</f>
        <v>16.8502200646615</v>
      </c>
      <c r="X1124" s="135" cm="1">
        <f ca="1" t="array" ref="X1124">SUMPRODUCT(TRANSPOSE($AA1124:$AG1124),OFFSET($L$9:$L$15,0,X$631-1))</f>
        <v>20</v>
      </c>
      <c r="Y1124" s="135" cm="1">
        <f ca="1" t="array" ref="Y1124">SUMPRODUCT(TRANSPOSE($AA1124:$AG1124),OFFSET($L$9:$L$15,0,Y$631-1))</f>
        <v>10</v>
      </c>
      <c r="Z1124" s="135" cm="1">
        <f ca="1" t="array" ref="Z1124">SUMPRODUCT(TRANSPOSE($AA1124:$AG1124),OFFSET($L$9:$L$15,0,Z$631-1))</f>
        <v>3.14977993533847</v>
      </c>
      <c r="AA1124" s="136">
        <f ca="1" t="shared" ref="AA1124:AG1124" si="1233">AH1124-AH1123</f>
        <v>0</v>
      </c>
      <c r="AB1124" s="136">
        <f ca="1" t="shared" si="1233"/>
        <v>0</v>
      </c>
      <c r="AC1124" s="136">
        <f ca="1" t="shared" si="1233"/>
        <v>0</v>
      </c>
      <c r="AD1124" s="136">
        <f ca="1" t="shared" si="1233"/>
        <v>0</v>
      </c>
      <c r="AE1124" s="136">
        <f ca="1" t="shared" si="1233"/>
        <v>0</v>
      </c>
      <c r="AF1124" s="136">
        <f ca="1" t="shared" si="1233"/>
        <v>0</v>
      </c>
      <c r="AG1124" s="136">
        <f ca="1" t="shared" si="1233"/>
        <v>100</v>
      </c>
      <c r="AH1124" s="136">
        <f ca="1" t="shared" si="1151"/>
        <v>450</v>
      </c>
      <c r="AI1124" s="136">
        <f ca="1" t="shared" ref="AI1124:AN1124" si="1234">IF($C1124&gt;OFFSET($Q$8,MATCH(AI$634,$AH$634:$AN$634,0),0),OFFSET($P$8,MATCH(AI$634,$AH$634:$AN$634,0),0),MAX(0,$C1124-OFFSET($Q$8,RIGHT(AI$634,1)-1,0)))</f>
        <v>909</v>
      </c>
      <c r="AJ1124" s="136">
        <f ca="1" t="shared" si="1234"/>
        <v>1818</v>
      </c>
      <c r="AK1124" s="136">
        <f ca="1" t="shared" si="1234"/>
        <v>2727</v>
      </c>
      <c r="AL1124" s="136">
        <f ca="1" t="shared" si="1234"/>
        <v>3636</v>
      </c>
      <c r="AM1124" s="136">
        <f ca="1" t="shared" si="1234"/>
        <v>4545</v>
      </c>
      <c r="AN1124" s="136">
        <f ca="1" t="shared" si="1234"/>
        <v>34915</v>
      </c>
    </row>
    <row r="1125" s="106" customFormat="1" ht="16.5" spans="2:40">
      <c r="B1125" s="117">
        <v>491</v>
      </c>
      <c r="C1125" s="130">
        <f t="shared" si="1149"/>
        <v>49100</v>
      </c>
      <c r="D1125" s="131" cm="1">
        <f ca="1" t="array" ref="D1125">IF(D1727=1,OFFSET($W$634,$B1125,D$631-1)/SUMPRODUCT(--($D$631:$V$631=D$631),--($D1727:$V1727=1)),0)+SUM(D1124)+IF(COUNTIF(D$1237:D1727,1)=1,5,0)+IF(COUNTIF(E1125:$W1125,"&gt;"&amp;0)&lt;5,IF(AND(COUNTIF(D$1237:D1727,1)&gt;7,MOD(1+IFERROR(MATCH($C1125,总览!$D$46:$D$345,1)+1,1),7)=0),$C$3,0),0)</f>
        <v>3085.52286711378</v>
      </c>
      <c r="E1125" s="131" cm="1">
        <f ca="1" t="array" ref="E1125">IF(E1727=1,OFFSET($W$634,$B1125,E$631-1)/SUMPRODUCT(--($D$631:$V$631=E$631),--($D1727:$V1727=1)),0)+SUM(E1124)+IF(COUNTIF(E$1237:E1727,1)=1,5,0)+IF(COUNTIF(F1125:$W1125,"&gt;"&amp;0)&lt;5,IF(AND(COUNTIF(E$1237:E1727,1)&gt;7,MOD(1+IFERROR(MATCH($C1125,总览!$D$46:$D$345,1)+1,1),7)=0),$C$3,0),0)</f>
        <v>3085.52286711378</v>
      </c>
      <c r="F1125" s="131" cm="1">
        <f ca="1" t="array" ref="F1125">IF(F1727=1,OFFSET($W$634,$B1125,F$631-1)/SUMPRODUCT(--($D$631:$V$631=F$631),--($D1727:$V1727=1)),0)+SUM(F1124)+IF(COUNTIF(F$1237:F1727,1)=1,5,0)+IF(COUNTIF(G1125:$W1125,"&gt;"&amp;0)&lt;5,IF(AND(COUNTIF(F$1237:F1727,1)&gt;7,MOD(1+IFERROR(MATCH($C1125,总览!$D$46:$D$345,1)+1,1),7)=0),$C$3,0),0)</f>
        <v>3085.52286711378</v>
      </c>
      <c r="G1125" s="131" cm="1">
        <f ca="1" t="array" ref="G1125">IF(G1727=1,OFFSET($W$634,$B1125,G$631-1)/SUMPRODUCT(--($D$631:$V$631=G$631),--($D1727:$V1727=1)),0)+SUM(G1124)+IF(COUNTIF(G$1237:G1727,1)=1,5,0)+IF(COUNTIF(H1125:$W1125,"&gt;"&amp;0)&lt;5,IF(AND(COUNTIF(G$1237:G1727,1)&gt;7,MOD(1+IFERROR(MATCH($C1125,总览!$D$46:$D$345,1)+1,1),7)=0),$C$3,0),0)</f>
        <v>1576.06666666666</v>
      </c>
      <c r="H1125" s="131" cm="1">
        <f ca="1" t="array" ref="H1125">IF(H1727=1,OFFSET($W$634,$B1125,H$631-1)/SUMPRODUCT(--($D$631:$V$631=H$631),--($D1727:$V1727=1)),0)+SUM(H1124)+IF(COUNTIF(H$1237:H1727,1)=1,5,0)+IF(COUNTIF(I1125:$W1125,"&gt;"&amp;0)&lt;5,IF(AND(COUNTIF(H$1237:H1727,1)&gt;7,MOD(1+IFERROR(MATCH($C1125,总览!$D$46:$D$345,1)+1,1),7)=0),$C$3,0),0)</f>
        <v>1576.06666666666</v>
      </c>
      <c r="I1125" s="131" cm="1">
        <f ca="1" t="array" ref="I1125">IF(I1727=1,OFFSET($W$634,$B1125,I$631-1)/SUMPRODUCT(--($D$631:$V$631=I$631),--($D1727:$V1727=1)),0)+SUM(I1124)+IF(COUNTIF(I$1237:I1727,1)=1,5,0)+IF(COUNTIF(J1125:$W1125,"&gt;"&amp;0)&lt;5,IF(AND(COUNTIF(I$1237:I1727,1)&gt;7,MOD(1+IFERROR(MATCH($C1125,总览!$D$46:$D$345,1)+1,1),7)=0),$C$3,0),0)</f>
        <v>1576.06666666666</v>
      </c>
      <c r="J1125" s="131" cm="1">
        <f ca="1" t="array" ref="J1125">IF(J1727=1,OFFSET($W$634,$B1125,J$631-1)/SUMPRODUCT(--($D$631:$V$631=J$631),--($D1727:$V1727=1)),0)+SUM(J1124)+IF(COUNTIF(J$1237:J1727,1)=1,5,0)+IF(COUNTIF(K1125:$W1125,"&gt;"&amp;0)&lt;5,IF(AND(COUNTIF(J$1237:J1727,1)&gt;7,MOD(1+IFERROR(MATCH($C1125,总览!$D$46:$D$345,1)+1,1),7)=0),$C$3,0),0)</f>
        <v>1572.73333333333</v>
      </c>
      <c r="K1125" s="131" cm="1">
        <f ca="1" t="array" ref="K1125">IF(K1727=1,OFFSET($W$634,$B1125,K$631-1)/SUMPRODUCT(--($D$631:$V$631=K$631),--($D1727:$V1727=1)),0)+SUM(K1124)+IF(COUNTIF(K$1237:K1727,1)=1,5,0)+IF(COUNTIF(L1125:$W1125,"&gt;"&amp;0)&lt;5,IF(AND(COUNTIF(K$1237:K1727,1)&gt;7,MOD(1+IFERROR(MATCH($C1125,总览!$D$46:$D$345,1)+1,1),7)=0),$C$3,0),0)</f>
        <v>1570.23333333333</v>
      </c>
      <c r="L1125" s="131" cm="1">
        <f ca="1" t="array" ref="L1125">IF(L1727=1,OFFSET($W$634,$B1125,L$631-1)/SUMPRODUCT(--($D$631:$V$631=L$631),--($D1727:$V1727=1)),0)+SUM(L1124)+IF(COUNTIF(L$1237:L1727,1)=1,5,0)+IF(COUNTIF(M1125:$W1125,"&gt;"&amp;0)&lt;5,IF(AND(COUNTIF(L$1237:L1727,1)&gt;7,MOD(1+IFERROR(MATCH($C1125,总览!$D$46:$D$345,1)+1,1),7)=0),$C$3,0),0)</f>
        <v>1570.23333333333</v>
      </c>
      <c r="M1125" s="131" cm="1">
        <f ca="1" t="array" ref="M1125">IF(M1727=1,OFFSET($W$634,$B1125,M$631-1)/SUMPRODUCT(--($D$631:$V$631=M$631),--($D1727:$V1727=1)),0)+SUM(M1124)+IF(COUNTIF(M$1237:M1727,1)=1,5,0)+IF(COUNTIF(N1125:$W1125,"&gt;"&amp;0)&lt;5,IF(AND(COUNTIF(M$1237:M1727,1)&gt;7,MOD(1+IFERROR(MATCH($C1125,总览!$D$46:$D$345,1)+1,1),7)=0),$C$3,0),0)</f>
        <v>659.181250000003</v>
      </c>
      <c r="N1125" s="131" cm="1">
        <f ca="1" t="array" ref="N1125">IF(N1727=1,OFFSET($W$634,$B1125,N$631-1)/SUMPRODUCT(--($D$631:$V$631=N$631),--($D1727:$V1727=1)),0)+SUM(N1124)+IF(COUNTIF(N$1237:N1727,1)=1,5,0)+IF(COUNTIF(O1125:$W1125,"&gt;"&amp;0)&lt;5,IF(AND(COUNTIF(N$1237:N1727,1)&gt;7,MOD(1+IFERROR(MATCH($C1125,总览!$D$46:$D$345,1)+1,1),7)=0),$C$3,0),0)</f>
        <v>660.431250000003</v>
      </c>
      <c r="O1125" s="131" cm="1">
        <f ca="1" t="array" ref="O1125">IF(O1727=1,OFFSET($W$634,$B1125,O$631-1)/SUMPRODUCT(--($D$631:$V$631=O$631),--($D1727:$V1727=1)),0)+SUM(O1124)+IF(COUNTIF(O$1237:O1727,1)=1,5,0)+IF(COUNTIF(P1125:$W1125,"&gt;"&amp;0)&lt;5,IF(AND(COUNTIF(O$1237:O1727,1)&gt;7,MOD(1+IFERROR(MATCH($C1125,总览!$D$46:$D$345,1)+1,1),7)=0),$C$3,0),0)</f>
        <v>665.431250000003</v>
      </c>
      <c r="P1125" s="131" cm="1">
        <f ca="1" t="array" ref="P1125">IF(P1727=1,OFFSET($W$634,$B1125,P$631-1)/SUMPRODUCT(--($D$631:$V$631=P$631),--($D1727:$V1727=1)),0)+SUM(P1124)+IF(COUNTIF(P$1237:P1727,1)=1,5,0)+IF(COUNTIF(Q1125:$W1125,"&gt;"&amp;0)&lt;5,IF(AND(COUNTIF(P$1237:P1727,1)&gt;7,MOD(1+IFERROR(MATCH($C1125,总览!$D$46:$D$345,1)+1,1),7)=0),$C$3,0),0)</f>
        <v>654.550000000003</v>
      </c>
      <c r="Q1125" s="131" cm="1">
        <f ca="1" t="array" ref="Q1125">IF(Q1727=1,OFFSET($W$634,$B1125,Q$631-1)/SUMPRODUCT(--($D$631:$V$631=Q$631),--($D1727:$V1727=1)),0)+SUM(Q1124)+IF(COUNTIF(Q$1237:Q1727,1)=1,5,0)+IF(COUNTIF(R1125:$W1125,"&gt;"&amp;0)&lt;5,IF(AND(COUNTIF(Q$1237:Q1727,1)&gt;7,MOD(1+IFERROR(MATCH($C1125,总览!$D$46:$D$345,1)+1,1),7)=0),$C$3,0),0)</f>
        <v>667.931250000003</v>
      </c>
      <c r="R1125" s="131" cm="1">
        <f ca="1" t="array" ref="R1125">IF(R1727=1,OFFSET($W$634,$B1125,R$631-1)/SUMPRODUCT(--($D$631:$V$631=R$631),--($D1727:$V1727=1)),0)+SUM(R1124)+IF(COUNTIF(R$1237:R1727,1)=1,5,0)+IF(COUNTIF(S1125:$W1125,"&gt;"&amp;0)&lt;5,IF(AND(COUNTIF(R$1237:R1727,1)&gt;7,MOD(1+IFERROR(MATCH($C1125,总览!$D$46:$D$345,1)+1,1),7)=0),$C$3,0),0)</f>
        <v>659.550000000003</v>
      </c>
      <c r="S1125" s="131" cm="1">
        <f ca="1" t="array" ref="S1125">IF(S1727=1,OFFSET($W$634,$B1125,S$631-1)/SUMPRODUCT(--($D$631:$V$631=S$631),--($D1727:$V1727=1)),0)+SUM(S1124)+IF(COUNTIF(S$1237:S1727,1)=1,5,0)+IF(COUNTIF(T1125:$W1125,"&gt;"&amp;0)&lt;5,IF(AND(COUNTIF(S$1237:S1727,1)&gt;7,MOD(1+IFERROR(MATCH($C1125,总览!$D$46:$D$345,1)+1,1),7)=0),$C$3,0),0)</f>
        <v>752.050000000005</v>
      </c>
      <c r="T1125" s="131" cm="1">
        <f ca="1" t="array" ref="T1125">IF(T1727=1,OFFSET($W$634,$B1125,T$631-1)/SUMPRODUCT(--($D$631:$V$631=T$631),--($D1727:$V1727=1)),0)+SUM(T1124)+IF(COUNTIF(T$1237:T1727,1)=1,5,0)+IF(COUNTIF(U1125:$W1125,"&gt;"&amp;0)&lt;5,IF(AND(COUNTIF(T$1237:T1727,1)&gt;7,MOD(1+IFERROR(MATCH($C1125,总览!$D$46:$D$345,1)+1,1),7)=0),$C$3,0),0)</f>
        <v>550.67927541191</v>
      </c>
      <c r="U1125" s="131" cm="1">
        <f ca="1" t="array" ref="U1125">IF(U1727=1,OFFSET($W$634,$B1125,U$631-1)/SUMPRODUCT(--($D$631:$V$631=U$631),--($D1727:$V1727=1)),0)+SUM(U1124)+IF(COUNTIF(U$1237:U1727,1)=1,5,0)+IF(COUNTIF(V1125:$W1125,"&gt;"&amp;0)&lt;5,IF(AND(COUNTIF(U$1237:U1727,1)&gt;7,MOD(1+IFERROR(MATCH($C1125,总览!$D$46:$D$345,1)+1,1),7)=0),$C$3,0),0)</f>
        <v>556.20006176721</v>
      </c>
      <c r="V1125" s="131" cm="1">
        <f ca="1" t="array" ref="V1125">IF(V1727=1,OFFSET($W$634,$B1125,V$631-1)/SUMPRODUCT(--($D$631:$V$631=V$631),--($D1727:$V1727=1)),0)+SUM(V1124)+IF(COUNTIF(V$1237:V1727,1)=1,5,0)+IF(COUNTIF(W1125:$W1125,"&gt;"&amp;0)&lt;5,IF(AND(COUNTIF(V$1237:V1727,1)&gt;7,MOD(1+IFERROR(MATCH($C1125,总览!$D$46:$D$345,1)+1,1),7)=0),$C$3,0),0)</f>
        <v>576.027061479643</v>
      </c>
      <c r="W1125" s="135" cm="1">
        <f ca="1" t="array" ref="W1125">SUMPRODUCT(TRANSPOSE($AA1125:$AG1125),OFFSET($L$9:$L$15,0,W$631-1))</f>
        <v>16.8502200646615</v>
      </c>
      <c r="X1125" s="135" cm="1">
        <f ca="1" t="array" ref="X1125">SUMPRODUCT(TRANSPOSE($AA1125:$AG1125),OFFSET($L$9:$L$15,0,X$631-1))</f>
        <v>20</v>
      </c>
      <c r="Y1125" s="135" cm="1">
        <f ca="1" t="array" ref="Y1125">SUMPRODUCT(TRANSPOSE($AA1125:$AG1125),OFFSET($L$9:$L$15,0,Y$631-1))</f>
        <v>10</v>
      </c>
      <c r="Z1125" s="135" cm="1">
        <f ca="1" t="array" ref="Z1125">SUMPRODUCT(TRANSPOSE($AA1125:$AG1125),OFFSET($L$9:$L$15,0,Z$631-1))</f>
        <v>3.14977993533847</v>
      </c>
      <c r="AA1125" s="136">
        <f ca="1" t="shared" ref="AA1125:AG1125" si="1235">AH1125-AH1124</f>
        <v>0</v>
      </c>
      <c r="AB1125" s="136">
        <f ca="1" t="shared" si="1235"/>
        <v>0</v>
      </c>
      <c r="AC1125" s="136">
        <f ca="1" t="shared" si="1235"/>
        <v>0</v>
      </c>
      <c r="AD1125" s="136">
        <f ca="1" t="shared" si="1235"/>
        <v>0</v>
      </c>
      <c r="AE1125" s="136">
        <f ca="1" t="shared" si="1235"/>
        <v>0</v>
      </c>
      <c r="AF1125" s="136">
        <f ca="1" t="shared" si="1235"/>
        <v>0</v>
      </c>
      <c r="AG1125" s="136">
        <f ca="1" t="shared" si="1235"/>
        <v>100</v>
      </c>
      <c r="AH1125" s="136">
        <f ca="1" t="shared" si="1151"/>
        <v>450</v>
      </c>
      <c r="AI1125" s="136">
        <f ca="1" t="shared" ref="AI1125:AN1125" si="1236">IF($C1125&gt;OFFSET($Q$8,MATCH(AI$634,$AH$634:$AN$634,0),0),OFFSET($P$8,MATCH(AI$634,$AH$634:$AN$634,0),0),MAX(0,$C1125-OFFSET($Q$8,RIGHT(AI$634,1)-1,0)))</f>
        <v>909</v>
      </c>
      <c r="AJ1125" s="136">
        <f ca="1" t="shared" si="1236"/>
        <v>1818</v>
      </c>
      <c r="AK1125" s="136">
        <f ca="1" t="shared" si="1236"/>
        <v>2727</v>
      </c>
      <c r="AL1125" s="136">
        <f ca="1" t="shared" si="1236"/>
        <v>3636</v>
      </c>
      <c r="AM1125" s="136">
        <f ca="1" t="shared" si="1236"/>
        <v>4545</v>
      </c>
      <c r="AN1125" s="136">
        <f ca="1" t="shared" si="1236"/>
        <v>35015</v>
      </c>
    </row>
    <row r="1126" s="106" customFormat="1" ht="16.5" spans="2:40">
      <c r="B1126" s="117">
        <v>492</v>
      </c>
      <c r="C1126" s="130">
        <f t="shared" si="1149"/>
        <v>49200</v>
      </c>
      <c r="D1126" s="131" cm="1">
        <f ca="1" t="array" ref="D1126">IF(D1728=1,OFFSET($W$634,$B1126,D$631-1)/SUMPRODUCT(--($D$631:$V$631=D$631),--($D1728:$V1728=1)),0)+SUM(D1125)+IF(COUNTIF(D$1237:D1728,1)=1,5,0)+IF(COUNTIF(E1126:$W1126,"&gt;"&amp;0)&lt;5,IF(AND(COUNTIF(D$1237:D1728,1)&gt;7,MOD(1+IFERROR(MATCH($C1126,总览!$D$46:$D$345,1)+1,1),7)=0),$C$3,0),0)</f>
        <v>3091.13960713533</v>
      </c>
      <c r="E1126" s="131" cm="1">
        <f ca="1" t="array" ref="E1126">IF(E1728=1,OFFSET($W$634,$B1126,E$631-1)/SUMPRODUCT(--($D$631:$V$631=E$631),--($D1728:$V1728=1)),0)+SUM(E1125)+IF(COUNTIF(E$1237:E1728,1)=1,5,0)+IF(COUNTIF(F1126:$W1126,"&gt;"&amp;0)&lt;5,IF(AND(COUNTIF(E$1237:E1728,1)&gt;7,MOD(1+IFERROR(MATCH($C1126,总览!$D$46:$D$345,1)+1,1),7)=0),$C$3,0),0)</f>
        <v>3091.13960713533</v>
      </c>
      <c r="F1126" s="131" cm="1">
        <f ca="1" t="array" ref="F1126">IF(F1728=1,OFFSET($W$634,$B1126,F$631-1)/SUMPRODUCT(--($D$631:$V$631=F$631),--($D1728:$V1728=1)),0)+SUM(F1125)+IF(COUNTIF(F$1237:F1728,1)=1,5,0)+IF(COUNTIF(G1126:$W1126,"&gt;"&amp;0)&lt;5,IF(AND(COUNTIF(F$1237:F1728,1)&gt;7,MOD(1+IFERROR(MATCH($C1126,总览!$D$46:$D$345,1)+1,1),7)=0),$C$3,0),0)</f>
        <v>3091.13960713533</v>
      </c>
      <c r="G1126" s="131" cm="1">
        <f ca="1" t="array" ref="G1126">IF(G1728=1,OFFSET($W$634,$B1126,G$631-1)/SUMPRODUCT(--($D$631:$V$631=G$631),--($D1728:$V1728=1)),0)+SUM(G1125)+IF(COUNTIF(G$1237:G1728,1)=1,5,0)+IF(COUNTIF(H1126:$W1126,"&gt;"&amp;0)&lt;5,IF(AND(COUNTIF(G$1237:G1728,1)&gt;7,MOD(1+IFERROR(MATCH($C1126,总览!$D$46:$D$345,1)+1,1),7)=0),$C$3,0),0)</f>
        <v>1579.39999999999</v>
      </c>
      <c r="H1126" s="131" cm="1">
        <f ca="1" t="array" ref="H1126">IF(H1728=1,OFFSET($W$634,$B1126,H$631-1)/SUMPRODUCT(--($D$631:$V$631=H$631),--($D1728:$V1728=1)),0)+SUM(H1125)+IF(COUNTIF(H$1237:H1728,1)=1,5,0)+IF(COUNTIF(I1126:$W1126,"&gt;"&amp;0)&lt;5,IF(AND(COUNTIF(H$1237:H1728,1)&gt;7,MOD(1+IFERROR(MATCH($C1126,总览!$D$46:$D$345,1)+1,1),7)=0),$C$3,0),0)</f>
        <v>1579.39999999999</v>
      </c>
      <c r="I1126" s="131" cm="1">
        <f ca="1" t="array" ref="I1126">IF(I1728=1,OFFSET($W$634,$B1126,I$631-1)/SUMPRODUCT(--($D$631:$V$631=I$631),--($D1728:$V1728=1)),0)+SUM(I1125)+IF(COUNTIF(I$1237:I1728,1)=1,5,0)+IF(COUNTIF(J1126:$W1126,"&gt;"&amp;0)&lt;5,IF(AND(COUNTIF(I$1237:I1728,1)&gt;7,MOD(1+IFERROR(MATCH($C1126,总览!$D$46:$D$345,1)+1,1),7)=0),$C$3,0),0)</f>
        <v>1579.39999999999</v>
      </c>
      <c r="J1126" s="131" cm="1">
        <f ca="1" t="array" ref="J1126">IF(J1728=1,OFFSET($W$634,$B1126,J$631-1)/SUMPRODUCT(--($D$631:$V$631=J$631),--($D1728:$V1728=1)),0)+SUM(J1125)+IF(COUNTIF(J$1237:J1728,1)=1,5,0)+IF(COUNTIF(K1126:$W1126,"&gt;"&amp;0)&lt;5,IF(AND(COUNTIF(J$1237:J1728,1)&gt;7,MOD(1+IFERROR(MATCH($C1126,总览!$D$46:$D$345,1)+1,1),7)=0),$C$3,0),0)</f>
        <v>1576.06666666666</v>
      </c>
      <c r="K1126" s="131" cm="1">
        <f ca="1" t="array" ref="K1126">IF(K1728=1,OFFSET($W$634,$B1126,K$631-1)/SUMPRODUCT(--($D$631:$V$631=K$631),--($D1728:$V1728=1)),0)+SUM(K1125)+IF(COUNTIF(K$1237:K1728,1)=1,5,0)+IF(COUNTIF(L1126:$W1126,"&gt;"&amp;0)&lt;5,IF(AND(COUNTIF(K$1237:K1728,1)&gt;7,MOD(1+IFERROR(MATCH($C1126,总览!$D$46:$D$345,1)+1,1),7)=0),$C$3,0),0)</f>
        <v>1573.56666666666</v>
      </c>
      <c r="L1126" s="131" cm="1">
        <f ca="1" t="array" ref="L1126">IF(L1728=1,OFFSET($W$634,$B1126,L$631-1)/SUMPRODUCT(--($D$631:$V$631=L$631),--($D1728:$V1728=1)),0)+SUM(L1125)+IF(COUNTIF(L$1237:L1728,1)=1,5,0)+IF(COUNTIF(M1126:$W1126,"&gt;"&amp;0)&lt;5,IF(AND(COUNTIF(L$1237:L1728,1)&gt;7,MOD(1+IFERROR(MATCH($C1126,总览!$D$46:$D$345,1)+1,1),7)=0),$C$3,0),0)</f>
        <v>1573.56666666666</v>
      </c>
      <c r="M1126" s="131" cm="1">
        <f ca="1" t="array" ref="M1126">IF(M1728=1,OFFSET($W$634,$B1126,M$631-1)/SUMPRODUCT(--($D$631:$V$631=M$631),--($D1728:$V1728=1)),0)+SUM(M1125)+IF(COUNTIF(M$1237:M1728,1)=1,5,0)+IF(COUNTIF(N1126:$W1126,"&gt;"&amp;0)&lt;5,IF(AND(COUNTIF(M$1237:M1728,1)&gt;7,MOD(1+IFERROR(MATCH($C1126,总览!$D$46:$D$345,1)+1,1),7)=0),$C$3,0),0)</f>
        <v>660.609821428575</v>
      </c>
      <c r="N1126" s="131" cm="1">
        <f ca="1" t="array" ref="N1126">IF(N1728=1,OFFSET($W$634,$B1126,N$631-1)/SUMPRODUCT(--($D$631:$V$631=N$631),--($D1728:$V1728=1)),0)+SUM(N1125)+IF(COUNTIF(N$1237:N1728,1)=1,5,0)+IF(COUNTIF(O1126:$W1126,"&gt;"&amp;0)&lt;5,IF(AND(COUNTIF(N$1237:N1728,1)&gt;7,MOD(1+IFERROR(MATCH($C1126,总览!$D$46:$D$345,1)+1,1),7)=0),$C$3,0),0)</f>
        <v>661.859821428575</v>
      </c>
      <c r="O1126" s="131" cm="1">
        <f ca="1" t="array" ref="O1126">IF(O1728=1,OFFSET($W$634,$B1126,O$631-1)/SUMPRODUCT(--($D$631:$V$631=O$631),--($D1728:$V1728=1)),0)+SUM(O1125)+IF(COUNTIF(O$1237:O1728,1)=1,5,0)+IF(COUNTIF(P1126:$W1126,"&gt;"&amp;0)&lt;5,IF(AND(COUNTIF(O$1237:O1728,1)&gt;7,MOD(1+IFERROR(MATCH($C1126,总览!$D$46:$D$345,1)+1,1),7)=0),$C$3,0),0)</f>
        <v>666.859821428575</v>
      </c>
      <c r="P1126" s="131" cm="1">
        <f ca="1" t="array" ref="P1126">IF(P1728=1,OFFSET($W$634,$B1126,P$631-1)/SUMPRODUCT(--($D$631:$V$631=P$631),--($D1728:$V1728=1)),0)+SUM(P1125)+IF(COUNTIF(P$1237:P1728,1)=1,5,0)+IF(COUNTIF(Q1126:$W1126,"&gt;"&amp;0)&lt;5,IF(AND(COUNTIF(P$1237:P1728,1)&gt;7,MOD(1+IFERROR(MATCH($C1126,总览!$D$46:$D$345,1)+1,1),7)=0),$C$3,0),0)</f>
        <v>655.978571428575</v>
      </c>
      <c r="Q1126" s="131" cm="1">
        <f ca="1" t="array" ref="Q1126">IF(Q1728=1,OFFSET($W$634,$B1126,Q$631-1)/SUMPRODUCT(--($D$631:$V$631=Q$631),--($D1728:$V1728=1)),0)+SUM(Q1125)+IF(COUNTIF(Q$1237:Q1728,1)=1,5,0)+IF(COUNTIF(R1126:$W1126,"&gt;"&amp;0)&lt;5,IF(AND(COUNTIF(Q$1237:Q1728,1)&gt;7,MOD(1+IFERROR(MATCH($C1126,总览!$D$46:$D$345,1)+1,1),7)=0),$C$3,0),0)</f>
        <v>669.359821428575</v>
      </c>
      <c r="R1126" s="131" cm="1">
        <f ca="1" t="array" ref="R1126">IF(R1728=1,OFFSET($W$634,$B1126,R$631-1)/SUMPRODUCT(--($D$631:$V$631=R$631),--($D1728:$V1728=1)),0)+SUM(R1125)+IF(COUNTIF(R$1237:R1728,1)=1,5,0)+IF(COUNTIF(S1126:$W1126,"&gt;"&amp;0)&lt;5,IF(AND(COUNTIF(R$1237:R1728,1)&gt;7,MOD(1+IFERROR(MATCH($C1126,总览!$D$46:$D$345,1)+1,1),7)=0),$C$3,0),0)</f>
        <v>660.978571428575</v>
      </c>
      <c r="S1126" s="131" cm="1">
        <f ca="1" t="array" ref="S1126">IF(S1728=1,OFFSET($W$634,$B1126,S$631-1)/SUMPRODUCT(--($D$631:$V$631=S$631),--($D1728:$V1728=1)),0)+SUM(S1125)+IF(COUNTIF(S$1237:S1728,1)=1,5,0)+IF(COUNTIF(T1126:$W1126,"&gt;"&amp;0)&lt;5,IF(AND(COUNTIF(S$1237:S1728,1)&gt;7,MOD(1+IFERROR(MATCH($C1126,总览!$D$46:$D$345,1)+1,1),7)=0),$C$3,0),0)</f>
        <v>753.478571428576</v>
      </c>
      <c r="T1126" s="131" cm="1">
        <f ca="1" t="array" ref="T1126">IF(T1728=1,OFFSET($W$634,$B1126,T$631-1)/SUMPRODUCT(--($D$631:$V$631=T$631),--($D1728:$V1728=1)),0)+SUM(T1125)+IF(COUNTIF(T$1237:T1728,1)=1,5,0)+IF(COUNTIF(U1126:$W1126,"&gt;"&amp;0)&lt;5,IF(AND(COUNTIF(T$1237:T1728,1)&gt;7,MOD(1+IFERROR(MATCH($C1126,总览!$D$46:$D$345,1)+1,1),7)=0),$C$3,0),0)</f>
        <v>551.729202057023</v>
      </c>
      <c r="U1126" s="131" cm="1">
        <f ca="1" t="array" ref="U1126">IF(U1728=1,OFFSET($W$634,$B1126,U$631-1)/SUMPRODUCT(--($D$631:$V$631=U$631),--($D1728:$V1728=1)),0)+SUM(U1125)+IF(COUNTIF(U$1237:U1728,1)=1,5,0)+IF(COUNTIF(V1126:$W1126,"&gt;"&amp;0)&lt;5,IF(AND(COUNTIF(U$1237:U1728,1)&gt;7,MOD(1+IFERROR(MATCH($C1126,总览!$D$46:$D$345,1)+1,1),7)=0),$C$3,0),0)</f>
        <v>557.249988412323</v>
      </c>
      <c r="V1126" s="131" cm="1">
        <f ca="1" t="array" ref="V1126">IF(V1728=1,OFFSET($W$634,$B1126,V$631-1)/SUMPRODUCT(--($D$631:$V$631=V$631),--($D1728:$V1728=1)),0)+SUM(V1125)+IF(COUNTIF(V$1237:V1728,1)=1,5,0)+IF(COUNTIF(W1126:$W1126,"&gt;"&amp;0)&lt;5,IF(AND(COUNTIF(V$1237:V1728,1)&gt;7,MOD(1+IFERROR(MATCH($C1126,总览!$D$46:$D$345,1)+1,1),7)=0),$C$3,0),0)</f>
        <v>577.076988124756</v>
      </c>
      <c r="W1126" s="135" cm="1">
        <f ca="1" t="array" ref="W1126">SUMPRODUCT(TRANSPOSE($AA1126:$AG1126),OFFSET($L$9:$L$15,0,W$631-1))</f>
        <v>16.8502200646615</v>
      </c>
      <c r="X1126" s="135" cm="1">
        <f ca="1" t="array" ref="X1126">SUMPRODUCT(TRANSPOSE($AA1126:$AG1126),OFFSET($L$9:$L$15,0,X$631-1))</f>
        <v>20</v>
      </c>
      <c r="Y1126" s="135" cm="1">
        <f ca="1" t="array" ref="Y1126">SUMPRODUCT(TRANSPOSE($AA1126:$AG1126),OFFSET($L$9:$L$15,0,Y$631-1))</f>
        <v>10</v>
      </c>
      <c r="Z1126" s="135" cm="1">
        <f ca="1" t="array" ref="Z1126">SUMPRODUCT(TRANSPOSE($AA1126:$AG1126),OFFSET($L$9:$L$15,0,Z$631-1))</f>
        <v>3.14977993533847</v>
      </c>
      <c r="AA1126" s="136">
        <f ca="1" t="shared" ref="AA1126:AG1126" si="1237">AH1126-AH1125</f>
        <v>0</v>
      </c>
      <c r="AB1126" s="136">
        <f ca="1" t="shared" si="1237"/>
        <v>0</v>
      </c>
      <c r="AC1126" s="136">
        <f ca="1" t="shared" si="1237"/>
        <v>0</v>
      </c>
      <c r="AD1126" s="136">
        <f ca="1" t="shared" si="1237"/>
        <v>0</v>
      </c>
      <c r="AE1126" s="136">
        <f ca="1" t="shared" si="1237"/>
        <v>0</v>
      </c>
      <c r="AF1126" s="136">
        <f ca="1" t="shared" si="1237"/>
        <v>0</v>
      </c>
      <c r="AG1126" s="136">
        <f ca="1" t="shared" si="1237"/>
        <v>100</v>
      </c>
      <c r="AH1126" s="136">
        <f ca="1" t="shared" si="1151"/>
        <v>450</v>
      </c>
      <c r="AI1126" s="136">
        <f ca="1" t="shared" ref="AI1126:AN1126" si="1238">IF($C1126&gt;OFFSET($Q$8,MATCH(AI$634,$AH$634:$AN$634,0),0),OFFSET($P$8,MATCH(AI$634,$AH$634:$AN$634,0),0),MAX(0,$C1126-OFFSET($Q$8,RIGHT(AI$634,1)-1,0)))</f>
        <v>909</v>
      </c>
      <c r="AJ1126" s="136">
        <f ca="1" t="shared" si="1238"/>
        <v>1818</v>
      </c>
      <c r="AK1126" s="136">
        <f ca="1" t="shared" si="1238"/>
        <v>2727</v>
      </c>
      <c r="AL1126" s="136">
        <f ca="1" t="shared" si="1238"/>
        <v>3636</v>
      </c>
      <c r="AM1126" s="136">
        <f ca="1" t="shared" si="1238"/>
        <v>4545</v>
      </c>
      <c r="AN1126" s="136">
        <f ca="1" t="shared" si="1238"/>
        <v>35115</v>
      </c>
    </row>
    <row r="1127" s="106" customFormat="1" ht="16.5" spans="2:40">
      <c r="B1127" s="117">
        <v>493</v>
      </c>
      <c r="C1127" s="130">
        <f t="shared" si="1149"/>
        <v>49300</v>
      </c>
      <c r="D1127" s="131" cm="1">
        <f ca="1" t="array" ref="D1127">IF(D1729=1,OFFSET($W$634,$B1127,D$631-1)/SUMPRODUCT(--($D$631:$V$631=D$631),--($D1729:$V1729=1)),0)+SUM(D1126)+IF(COUNTIF(D$1237:D1729,1)=1,5,0)+IF(COUNTIF(E1127:$W1127,"&gt;"&amp;0)&lt;5,IF(AND(COUNTIF(D$1237:D1729,1)&gt;7,MOD(1+IFERROR(MATCH($C1127,总览!$D$46:$D$345,1)+1,1),7)=0),$C$3,0),0)</f>
        <v>3096.75634715688</v>
      </c>
      <c r="E1127" s="131" cm="1">
        <f ca="1" t="array" ref="E1127">IF(E1729=1,OFFSET($W$634,$B1127,E$631-1)/SUMPRODUCT(--($D$631:$V$631=E$631),--($D1729:$V1729=1)),0)+SUM(E1126)+IF(COUNTIF(E$1237:E1729,1)=1,5,0)+IF(COUNTIF(F1127:$W1127,"&gt;"&amp;0)&lt;5,IF(AND(COUNTIF(E$1237:E1729,1)&gt;7,MOD(1+IFERROR(MATCH($C1127,总览!$D$46:$D$345,1)+1,1),7)=0),$C$3,0),0)</f>
        <v>3096.75634715688</v>
      </c>
      <c r="F1127" s="131" cm="1">
        <f ca="1" t="array" ref="F1127">IF(F1729=1,OFFSET($W$634,$B1127,F$631-1)/SUMPRODUCT(--($D$631:$V$631=F$631),--($D1729:$V1729=1)),0)+SUM(F1126)+IF(COUNTIF(F$1237:F1729,1)=1,5,0)+IF(COUNTIF(G1127:$W1127,"&gt;"&amp;0)&lt;5,IF(AND(COUNTIF(F$1237:F1729,1)&gt;7,MOD(1+IFERROR(MATCH($C1127,总览!$D$46:$D$345,1)+1,1),7)=0),$C$3,0),0)</f>
        <v>3096.75634715688</v>
      </c>
      <c r="G1127" s="131" cm="1">
        <f ca="1" t="array" ref="G1127">IF(G1729=1,OFFSET($W$634,$B1127,G$631-1)/SUMPRODUCT(--($D$631:$V$631=G$631),--($D1729:$V1729=1)),0)+SUM(G1126)+IF(COUNTIF(G$1237:G1729,1)=1,5,0)+IF(COUNTIF(H1127:$W1127,"&gt;"&amp;0)&lt;5,IF(AND(COUNTIF(G$1237:G1729,1)&gt;7,MOD(1+IFERROR(MATCH($C1127,总览!$D$46:$D$345,1)+1,1),7)=0),$C$3,0),0)</f>
        <v>1582.73333333333</v>
      </c>
      <c r="H1127" s="131" cm="1">
        <f ca="1" t="array" ref="H1127">IF(H1729=1,OFFSET($W$634,$B1127,H$631-1)/SUMPRODUCT(--($D$631:$V$631=H$631),--($D1729:$V1729=1)),0)+SUM(H1126)+IF(COUNTIF(H$1237:H1729,1)=1,5,0)+IF(COUNTIF(I1127:$W1127,"&gt;"&amp;0)&lt;5,IF(AND(COUNTIF(H$1237:H1729,1)&gt;7,MOD(1+IFERROR(MATCH($C1127,总览!$D$46:$D$345,1)+1,1),7)=0),$C$3,0),0)</f>
        <v>1582.73333333333</v>
      </c>
      <c r="I1127" s="131" cm="1">
        <f ca="1" t="array" ref="I1127">IF(I1729=1,OFFSET($W$634,$B1127,I$631-1)/SUMPRODUCT(--($D$631:$V$631=I$631),--($D1729:$V1729=1)),0)+SUM(I1126)+IF(COUNTIF(I$1237:I1729,1)=1,5,0)+IF(COUNTIF(J1127:$W1127,"&gt;"&amp;0)&lt;5,IF(AND(COUNTIF(I$1237:I1729,1)&gt;7,MOD(1+IFERROR(MATCH($C1127,总览!$D$46:$D$345,1)+1,1),7)=0),$C$3,0),0)</f>
        <v>1582.73333333333</v>
      </c>
      <c r="J1127" s="131" cm="1">
        <f ca="1" t="array" ref="J1127">IF(J1729=1,OFFSET($W$634,$B1127,J$631-1)/SUMPRODUCT(--($D$631:$V$631=J$631),--($D1729:$V1729=1)),0)+SUM(J1126)+IF(COUNTIF(J$1237:J1729,1)=1,5,0)+IF(COUNTIF(K1127:$W1127,"&gt;"&amp;0)&lt;5,IF(AND(COUNTIF(J$1237:J1729,1)&gt;7,MOD(1+IFERROR(MATCH($C1127,总览!$D$46:$D$345,1)+1,1),7)=0),$C$3,0),0)</f>
        <v>1579.39999999999</v>
      </c>
      <c r="K1127" s="131" cm="1">
        <f ca="1" t="array" ref="K1127">IF(K1729=1,OFFSET($W$634,$B1127,K$631-1)/SUMPRODUCT(--($D$631:$V$631=K$631),--($D1729:$V1729=1)),0)+SUM(K1126)+IF(COUNTIF(K$1237:K1729,1)=1,5,0)+IF(COUNTIF(L1127:$W1127,"&gt;"&amp;0)&lt;5,IF(AND(COUNTIF(K$1237:K1729,1)&gt;7,MOD(1+IFERROR(MATCH($C1127,总览!$D$46:$D$345,1)+1,1),7)=0),$C$3,0),0)</f>
        <v>1576.89999999999</v>
      </c>
      <c r="L1127" s="131" cm="1">
        <f ca="1" t="array" ref="L1127">IF(L1729=1,OFFSET($W$634,$B1127,L$631-1)/SUMPRODUCT(--($D$631:$V$631=L$631),--($D1729:$V1729=1)),0)+SUM(L1126)+IF(COUNTIF(L$1237:L1729,1)=1,5,0)+IF(COUNTIF(M1127:$W1127,"&gt;"&amp;0)&lt;5,IF(AND(COUNTIF(L$1237:L1729,1)&gt;7,MOD(1+IFERROR(MATCH($C1127,总览!$D$46:$D$345,1)+1,1),7)=0),$C$3,0),0)</f>
        <v>1576.89999999999</v>
      </c>
      <c r="M1127" s="131" cm="1">
        <f ca="1" t="array" ref="M1127">IF(M1729=1,OFFSET($W$634,$B1127,M$631-1)/SUMPRODUCT(--($D$631:$V$631=M$631),--($D1729:$V1729=1)),0)+SUM(M1126)+IF(COUNTIF(M$1237:M1729,1)=1,5,0)+IF(COUNTIF(N1127:$W1127,"&gt;"&amp;0)&lt;5,IF(AND(COUNTIF(M$1237:M1729,1)&gt;7,MOD(1+IFERROR(MATCH($C1127,总览!$D$46:$D$345,1)+1,1),7)=0),$C$3,0),0)</f>
        <v>662.038392857146</v>
      </c>
      <c r="N1127" s="131" cm="1">
        <f ca="1" t="array" ref="N1127">IF(N1729=1,OFFSET($W$634,$B1127,N$631-1)/SUMPRODUCT(--($D$631:$V$631=N$631),--($D1729:$V1729=1)),0)+SUM(N1126)+IF(COUNTIF(N$1237:N1729,1)=1,5,0)+IF(COUNTIF(O1127:$W1127,"&gt;"&amp;0)&lt;5,IF(AND(COUNTIF(N$1237:N1729,1)&gt;7,MOD(1+IFERROR(MATCH($C1127,总览!$D$46:$D$345,1)+1,1),7)=0),$C$3,0),0)</f>
        <v>663.288392857146</v>
      </c>
      <c r="O1127" s="131" cm="1">
        <f ca="1" t="array" ref="O1127">IF(O1729=1,OFFSET($W$634,$B1127,O$631-1)/SUMPRODUCT(--($D$631:$V$631=O$631),--($D1729:$V1729=1)),0)+SUM(O1126)+IF(COUNTIF(O$1237:O1729,1)=1,5,0)+IF(COUNTIF(P1127:$W1127,"&gt;"&amp;0)&lt;5,IF(AND(COUNTIF(O$1237:O1729,1)&gt;7,MOD(1+IFERROR(MATCH($C1127,总览!$D$46:$D$345,1)+1,1),7)=0),$C$3,0),0)</f>
        <v>668.288392857146</v>
      </c>
      <c r="P1127" s="131" cm="1">
        <f ca="1" t="array" ref="P1127">IF(P1729=1,OFFSET($W$634,$B1127,P$631-1)/SUMPRODUCT(--($D$631:$V$631=P$631),--($D1729:$V1729=1)),0)+SUM(P1126)+IF(COUNTIF(P$1237:P1729,1)=1,5,0)+IF(COUNTIF(Q1127:$W1127,"&gt;"&amp;0)&lt;5,IF(AND(COUNTIF(P$1237:P1729,1)&gt;7,MOD(1+IFERROR(MATCH($C1127,总览!$D$46:$D$345,1)+1,1),7)=0),$C$3,0),0)</f>
        <v>657.407142857146</v>
      </c>
      <c r="Q1127" s="131" cm="1">
        <f ca="1" t="array" ref="Q1127">IF(Q1729=1,OFFSET($W$634,$B1127,Q$631-1)/SUMPRODUCT(--($D$631:$V$631=Q$631),--($D1729:$V1729=1)),0)+SUM(Q1126)+IF(COUNTIF(Q$1237:Q1729,1)=1,5,0)+IF(COUNTIF(R1127:$W1127,"&gt;"&amp;0)&lt;5,IF(AND(COUNTIF(Q$1237:Q1729,1)&gt;7,MOD(1+IFERROR(MATCH($C1127,总览!$D$46:$D$345,1)+1,1),7)=0),$C$3,0),0)</f>
        <v>670.788392857146</v>
      </c>
      <c r="R1127" s="131" cm="1">
        <f ca="1" t="array" ref="R1127">IF(R1729=1,OFFSET($W$634,$B1127,R$631-1)/SUMPRODUCT(--($D$631:$V$631=R$631),--($D1729:$V1729=1)),0)+SUM(R1126)+IF(COUNTIF(R$1237:R1729,1)=1,5,0)+IF(COUNTIF(S1127:$W1127,"&gt;"&amp;0)&lt;5,IF(AND(COUNTIF(R$1237:R1729,1)&gt;7,MOD(1+IFERROR(MATCH($C1127,总览!$D$46:$D$345,1)+1,1),7)=0),$C$3,0),0)</f>
        <v>662.407142857146</v>
      </c>
      <c r="S1127" s="131" cm="1">
        <f ca="1" t="array" ref="S1127">IF(S1729=1,OFFSET($W$634,$B1127,S$631-1)/SUMPRODUCT(--($D$631:$V$631=S$631),--($D1729:$V1729=1)),0)+SUM(S1126)+IF(COUNTIF(S$1237:S1729,1)=1,5,0)+IF(COUNTIF(T1127:$W1127,"&gt;"&amp;0)&lt;5,IF(AND(COUNTIF(S$1237:S1729,1)&gt;7,MOD(1+IFERROR(MATCH($C1127,总览!$D$46:$D$345,1)+1,1),7)=0),$C$3,0),0)</f>
        <v>754.907142857147</v>
      </c>
      <c r="T1127" s="131" cm="1">
        <f ca="1" t="array" ref="T1127">IF(T1729=1,OFFSET($W$634,$B1127,T$631-1)/SUMPRODUCT(--($D$631:$V$631=T$631),--($D1729:$V1729=1)),0)+SUM(T1126)+IF(COUNTIF(T$1237:T1729,1)=1,5,0)+IF(COUNTIF(U1127:$W1127,"&gt;"&amp;0)&lt;5,IF(AND(COUNTIF(T$1237:T1729,1)&gt;7,MOD(1+IFERROR(MATCH($C1127,总览!$D$46:$D$345,1)+1,1),7)=0),$C$3,0),0)</f>
        <v>552.779128702136</v>
      </c>
      <c r="U1127" s="131" cm="1">
        <f ca="1" t="array" ref="U1127">IF(U1729=1,OFFSET($W$634,$B1127,U$631-1)/SUMPRODUCT(--($D$631:$V$631=U$631),--($D1729:$V1729=1)),0)+SUM(U1126)+IF(COUNTIF(U$1237:U1729,1)=1,5,0)+IF(COUNTIF(V1127:$W1127,"&gt;"&amp;0)&lt;5,IF(AND(COUNTIF(U$1237:U1729,1)&gt;7,MOD(1+IFERROR(MATCH($C1127,总览!$D$46:$D$345,1)+1,1),7)=0),$C$3,0),0)</f>
        <v>558.299915057435</v>
      </c>
      <c r="V1127" s="131" cm="1">
        <f ca="1" t="array" ref="V1127">IF(V1729=1,OFFSET($W$634,$B1127,V$631-1)/SUMPRODUCT(--($D$631:$V$631=V$631),--($D1729:$V1729=1)),0)+SUM(V1126)+IF(COUNTIF(V$1237:V1729,1)=1,5,0)+IF(COUNTIF(W1127:$W1127,"&gt;"&amp;0)&lt;5,IF(AND(COUNTIF(V$1237:V1729,1)&gt;7,MOD(1+IFERROR(MATCH($C1127,总览!$D$46:$D$345,1)+1,1),7)=0),$C$3,0),0)</f>
        <v>578.126914769868</v>
      </c>
      <c r="W1127" s="135" cm="1">
        <f ca="1" t="array" ref="W1127">SUMPRODUCT(TRANSPOSE($AA1127:$AG1127),OFFSET($L$9:$L$15,0,W$631-1))</f>
        <v>16.8502200646615</v>
      </c>
      <c r="X1127" s="135" cm="1">
        <f ca="1" t="array" ref="X1127">SUMPRODUCT(TRANSPOSE($AA1127:$AG1127),OFFSET($L$9:$L$15,0,X$631-1))</f>
        <v>20</v>
      </c>
      <c r="Y1127" s="135" cm="1">
        <f ca="1" t="array" ref="Y1127">SUMPRODUCT(TRANSPOSE($AA1127:$AG1127),OFFSET($L$9:$L$15,0,Y$631-1))</f>
        <v>10</v>
      </c>
      <c r="Z1127" s="135" cm="1">
        <f ca="1" t="array" ref="Z1127">SUMPRODUCT(TRANSPOSE($AA1127:$AG1127),OFFSET($L$9:$L$15,0,Z$631-1))</f>
        <v>3.14977993533847</v>
      </c>
      <c r="AA1127" s="136">
        <f ca="1" t="shared" ref="AA1127:AG1127" si="1239">AH1127-AH1126</f>
        <v>0</v>
      </c>
      <c r="AB1127" s="136">
        <f ca="1" t="shared" si="1239"/>
        <v>0</v>
      </c>
      <c r="AC1127" s="136">
        <f ca="1" t="shared" si="1239"/>
        <v>0</v>
      </c>
      <c r="AD1127" s="136">
        <f ca="1" t="shared" si="1239"/>
        <v>0</v>
      </c>
      <c r="AE1127" s="136">
        <f ca="1" t="shared" si="1239"/>
        <v>0</v>
      </c>
      <c r="AF1127" s="136">
        <f ca="1" t="shared" si="1239"/>
        <v>0</v>
      </c>
      <c r="AG1127" s="136">
        <f ca="1" t="shared" si="1239"/>
        <v>100</v>
      </c>
      <c r="AH1127" s="136">
        <f ca="1" t="shared" si="1151"/>
        <v>450</v>
      </c>
      <c r="AI1127" s="136">
        <f ca="1" t="shared" ref="AI1127:AN1127" si="1240">IF($C1127&gt;OFFSET($Q$8,MATCH(AI$634,$AH$634:$AN$634,0),0),OFFSET($P$8,MATCH(AI$634,$AH$634:$AN$634,0),0),MAX(0,$C1127-OFFSET($Q$8,RIGHT(AI$634,1)-1,0)))</f>
        <v>909</v>
      </c>
      <c r="AJ1127" s="136">
        <f ca="1" t="shared" si="1240"/>
        <v>1818</v>
      </c>
      <c r="AK1127" s="136">
        <f ca="1" t="shared" si="1240"/>
        <v>2727</v>
      </c>
      <c r="AL1127" s="136">
        <f ca="1" t="shared" si="1240"/>
        <v>3636</v>
      </c>
      <c r="AM1127" s="136">
        <f ca="1" t="shared" si="1240"/>
        <v>4545</v>
      </c>
      <c r="AN1127" s="136">
        <f ca="1" t="shared" si="1240"/>
        <v>35215</v>
      </c>
    </row>
    <row r="1128" s="106" customFormat="1" ht="16.5" spans="2:40">
      <c r="B1128" s="117">
        <v>494</v>
      </c>
      <c r="C1128" s="130">
        <f t="shared" si="1149"/>
        <v>49400</v>
      </c>
      <c r="D1128" s="131" cm="1">
        <f ca="1" t="array" ref="D1128">IF(D1730=1,OFFSET($W$634,$B1128,D$631-1)/SUMPRODUCT(--($D$631:$V$631=D$631),--($D1730:$V1730=1)),0)+SUM(D1127)+IF(COUNTIF(D$1237:D1730,1)=1,5,0)+IF(COUNTIF(E1128:$W1128,"&gt;"&amp;0)&lt;5,IF(AND(COUNTIF(D$1237:D1730,1)&gt;7,MOD(1+IFERROR(MATCH($C1128,总览!$D$46:$D$345,1)+1,1),7)=0),$C$3,0),0)</f>
        <v>3102.37308717844</v>
      </c>
      <c r="E1128" s="131" cm="1">
        <f ca="1" t="array" ref="E1128">IF(E1730=1,OFFSET($W$634,$B1128,E$631-1)/SUMPRODUCT(--($D$631:$V$631=E$631),--($D1730:$V1730=1)),0)+SUM(E1127)+IF(COUNTIF(E$1237:E1730,1)=1,5,0)+IF(COUNTIF(F1128:$W1128,"&gt;"&amp;0)&lt;5,IF(AND(COUNTIF(E$1237:E1730,1)&gt;7,MOD(1+IFERROR(MATCH($C1128,总览!$D$46:$D$345,1)+1,1),7)=0),$C$3,0),0)</f>
        <v>3102.37308717844</v>
      </c>
      <c r="F1128" s="131" cm="1">
        <f ca="1" t="array" ref="F1128">IF(F1730=1,OFFSET($W$634,$B1128,F$631-1)/SUMPRODUCT(--($D$631:$V$631=F$631),--($D1730:$V1730=1)),0)+SUM(F1127)+IF(COUNTIF(F$1237:F1730,1)=1,5,0)+IF(COUNTIF(G1128:$W1128,"&gt;"&amp;0)&lt;5,IF(AND(COUNTIF(F$1237:F1730,1)&gt;7,MOD(1+IFERROR(MATCH($C1128,总览!$D$46:$D$345,1)+1,1),7)=0),$C$3,0),0)</f>
        <v>3102.37308717844</v>
      </c>
      <c r="G1128" s="131" cm="1">
        <f ca="1" t="array" ref="G1128">IF(G1730=1,OFFSET($W$634,$B1128,G$631-1)/SUMPRODUCT(--($D$631:$V$631=G$631),--($D1730:$V1730=1)),0)+SUM(G1127)+IF(COUNTIF(G$1237:G1730,1)=1,5,0)+IF(COUNTIF(H1128:$W1128,"&gt;"&amp;0)&lt;5,IF(AND(COUNTIF(G$1237:G1730,1)&gt;7,MOD(1+IFERROR(MATCH($C1128,总览!$D$46:$D$345,1)+1,1),7)=0),$C$3,0),0)</f>
        <v>1586.06666666666</v>
      </c>
      <c r="H1128" s="131" cm="1">
        <f ca="1" t="array" ref="H1128">IF(H1730=1,OFFSET($W$634,$B1128,H$631-1)/SUMPRODUCT(--($D$631:$V$631=H$631),--($D1730:$V1730=1)),0)+SUM(H1127)+IF(COUNTIF(H$1237:H1730,1)=1,5,0)+IF(COUNTIF(I1128:$W1128,"&gt;"&amp;0)&lt;5,IF(AND(COUNTIF(H$1237:H1730,1)&gt;7,MOD(1+IFERROR(MATCH($C1128,总览!$D$46:$D$345,1)+1,1),7)=0),$C$3,0),0)</f>
        <v>1586.06666666666</v>
      </c>
      <c r="I1128" s="131" cm="1">
        <f ca="1" t="array" ref="I1128">IF(I1730=1,OFFSET($W$634,$B1128,I$631-1)/SUMPRODUCT(--($D$631:$V$631=I$631),--($D1730:$V1730=1)),0)+SUM(I1127)+IF(COUNTIF(I$1237:I1730,1)=1,5,0)+IF(COUNTIF(J1128:$W1128,"&gt;"&amp;0)&lt;5,IF(AND(COUNTIF(I$1237:I1730,1)&gt;7,MOD(1+IFERROR(MATCH($C1128,总览!$D$46:$D$345,1)+1,1),7)=0),$C$3,0),0)</f>
        <v>1586.06666666666</v>
      </c>
      <c r="J1128" s="131" cm="1">
        <f ca="1" t="array" ref="J1128">IF(J1730=1,OFFSET($W$634,$B1128,J$631-1)/SUMPRODUCT(--($D$631:$V$631=J$631),--($D1730:$V1730=1)),0)+SUM(J1127)+IF(COUNTIF(J$1237:J1730,1)=1,5,0)+IF(COUNTIF(K1128:$W1128,"&gt;"&amp;0)&lt;5,IF(AND(COUNTIF(J$1237:J1730,1)&gt;7,MOD(1+IFERROR(MATCH($C1128,总览!$D$46:$D$345,1)+1,1),7)=0),$C$3,0),0)</f>
        <v>1582.73333333333</v>
      </c>
      <c r="K1128" s="131" cm="1">
        <f ca="1" t="array" ref="K1128">IF(K1730=1,OFFSET($W$634,$B1128,K$631-1)/SUMPRODUCT(--($D$631:$V$631=K$631),--($D1730:$V1730=1)),0)+SUM(K1127)+IF(COUNTIF(K$1237:K1730,1)=1,5,0)+IF(COUNTIF(L1128:$W1128,"&gt;"&amp;0)&lt;5,IF(AND(COUNTIF(K$1237:K1730,1)&gt;7,MOD(1+IFERROR(MATCH($C1128,总览!$D$46:$D$345,1)+1,1),7)=0),$C$3,0),0)</f>
        <v>1580.23333333333</v>
      </c>
      <c r="L1128" s="131" cm="1">
        <f ca="1" t="array" ref="L1128">IF(L1730=1,OFFSET($W$634,$B1128,L$631-1)/SUMPRODUCT(--($D$631:$V$631=L$631),--($D1730:$V1730=1)),0)+SUM(L1127)+IF(COUNTIF(L$1237:L1730,1)=1,5,0)+IF(COUNTIF(M1128:$W1128,"&gt;"&amp;0)&lt;5,IF(AND(COUNTIF(L$1237:L1730,1)&gt;7,MOD(1+IFERROR(MATCH($C1128,总览!$D$46:$D$345,1)+1,1),7)=0),$C$3,0),0)</f>
        <v>1580.23333333333</v>
      </c>
      <c r="M1128" s="131" cm="1">
        <f ca="1" t="array" ref="M1128">IF(M1730=1,OFFSET($W$634,$B1128,M$631-1)/SUMPRODUCT(--($D$631:$V$631=M$631),--($D1730:$V1730=1)),0)+SUM(M1127)+IF(COUNTIF(M$1237:M1730,1)=1,5,0)+IF(COUNTIF(N1128:$W1128,"&gt;"&amp;0)&lt;5,IF(AND(COUNTIF(M$1237:M1730,1)&gt;7,MOD(1+IFERROR(MATCH($C1128,总览!$D$46:$D$345,1)+1,1),7)=0),$C$3,0),0)</f>
        <v>663.466964285718</v>
      </c>
      <c r="N1128" s="131" cm="1">
        <f ca="1" t="array" ref="N1128">IF(N1730=1,OFFSET($W$634,$B1128,N$631-1)/SUMPRODUCT(--($D$631:$V$631=N$631),--($D1730:$V1730=1)),0)+SUM(N1127)+IF(COUNTIF(N$1237:N1730,1)=1,5,0)+IF(COUNTIF(O1128:$W1128,"&gt;"&amp;0)&lt;5,IF(AND(COUNTIF(N$1237:N1730,1)&gt;7,MOD(1+IFERROR(MATCH($C1128,总览!$D$46:$D$345,1)+1,1),7)=0),$C$3,0),0)</f>
        <v>664.716964285718</v>
      </c>
      <c r="O1128" s="131" cm="1">
        <f ca="1" t="array" ref="O1128">IF(O1730=1,OFFSET($W$634,$B1128,O$631-1)/SUMPRODUCT(--($D$631:$V$631=O$631),--($D1730:$V1730=1)),0)+SUM(O1127)+IF(COUNTIF(O$1237:O1730,1)=1,5,0)+IF(COUNTIF(P1128:$W1128,"&gt;"&amp;0)&lt;5,IF(AND(COUNTIF(O$1237:O1730,1)&gt;7,MOD(1+IFERROR(MATCH($C1128,总览!$D$46:$D$345,1)+1,1),7)=0),$C$3,0),0)</f>
        <v>669.716964285718</v>
      </c>
      <c r="P1128" s="131" cm="1">
        <f ca="1" t="array" ref="P1128">IF(P1730=1,OFFSET($W$634,$B1128,P$631-1)/SUMPRODUCT(--($D$631:$V$631=P$631),--($D1730:$V1730=1)),0)+SUM(P1127)+IF(COUNTIF(P$1237:P1730,1)=1,5,0)+IF(COUNTIF(Q1128:$W1128,"&gt;"&amp;0)&lt;5,IF(AND(COUNTIF(P$1237:P1730,1)&gt;7,MOD(1+IFERROR(MATCH($C1128,总览!$D$46:$D$345,1)+1,1),7)=0),$C$3,0),0)</f>
        <v>658.835714285718</v>
      </c>
      <c r="Q1128" s="131" cm="1">
        <f ca="1" t="array" ref="Q1128">IF(Q1730=1,OFFSET($W$634,$B1128,Q$631-1)/SUMPRODUCT(--($D$631:$V$631=Q$631),--($D1730:$V1730=1)),0)+SUM(Q1127)+IF(COUNTIF(Q$1237:Q1730,1)=1,5,0)+IF(COUNTIF(R1128:$W1128,"&gt;"&amp;0)&lt;5,IF(AND(COUNTIF(Q$1237:Q1730,1)&gt;7,MOD(1+IFERROR(MATCH($C1128,总览!$D$46:$D$345,1)+1,1),7)=0),$C$3,0),0)</f>
        <v>672.216964285718</v>
      </c>
      <c r="R1128" s="131" cm="1">
        <f ca="1" t="array" ref="R1128">IF(R1730=1,OFFSET($W$634,$B1128,R$631-1)/SUMPRODUCT(--($D$631:$V$631=R$631),--($D1730:$V1730=1)),0)+SUM(R1127)+IF(COUNTIF(R$1237:R1730,1)=1,5,0)+IF(COUNTIF(S1128:$W1128,"&gt;"&amp;0)&lt;5,IF(AND(COUNTIF(R$1237:R1730,1)&gt;7,MOD(1+IFERROR(MATCH($C1128,总览!$D$46:$D$345,1)+1,1),7)=0),$C$3,0),0)</f>
        <v>663.835714285718</v>
      </c>
      <c r="S1128" s="131" cm="1">
        <f ca="1" t="array" ref="S1128">IF(S1730=1,OFFSET($W$634,$B1128,S$631-1)/SUMPRODUCT(--($D$631:$V$631=S$631),--($D1730:$V1730=1)),0)+SUM(S1127)+IF(COUNTIF(S$1237:S1730,1)=1,5,0)+IF(COUNTIF(T1128:$W1128,"&gt;"&amp;0)&lt;5,IF(AND(COUNTIF(S$1237:S1730,1)&gt;7,MOD(1+IFERROR(MATCH($C1128,总览!$D$46:$D$345,1)+1,1),7)=0),$C$3,0),0)</f>
        <v>756.335714285719</v>
      </c>
      <c r="T1128" s="131" cm="1">
        <f ca="1" t="array" ref="T1128">IF(T1730=1,OFFSET($W$634,$B1128,T$631-1)/SUMPRODUCT(--($D$631:$V$631=T$631),--($D1730:$V1730=1)),0)+SUM(T1127)+IF(COUNTIF(T$1237:T1730,1)=1,5,0)+IF(COUNTIF(U1128:$W1128,"&gt;"&amp;0)&lt;5,IF(AND(COUNTIF(T$1237:T1730,1)&gt;7,MOD(1+IFERROR(MATCH($C1128,总览!$D$46:$D$345,1)+1,1),7)=0),$C$3,0),0)</f>
        <v>553.829055347249</v>
      </c>
      <c r="U1128" s="131" cm="1">
        <f ca="1" t="array" ref="U1128">IF(U1730=1,OFFSET($W$634,$B1128,U$631-1)/SUMPRODUCT(--($D$631:$V$631=U$631),--($D1730:$V1730=1)),0)+SUM(U1127)+IF(COUNTIF(U$1237:U1730,1)=1,5,0)+IF(COUNTIF(V1128:$W1128,"&gt;"&amp;0)&lt;5,IF(AND(COUNTIF(U$1237:U1730,1)&gt;7,MOD(1+IFERROR(MATCH($C1128,总览!$D$46:$D$345,1)+1,1),7)=0),$C$3,0),0)</f>
        <v>559.349841702548</v>
      </c>
      <c r="V1128" s="131" cm="1">
        <f ca="1" t="array" ref="V1128">IF(V1730=1,OFFSET($W$634,$B1128,V$631-1)/SUMPRODUCT(--($D$631:$V$631=V$631),--($D1730:$V1730=1)),0)+SUM(V1127)+IF(COUNTIF(V$1237:V1730,1)=1,5,0)+IF(COUNTIF(W1128:$W1128,"&gt;"&amp;0)&lt;5,IF(AND(COUNTIF(V$1237:V1730,1)&gt;7,MOD(1+IFERROR(MATCH($C1128,总览!$D$46:$D$345,1)+1,1),7)=0),$C$3,0),0)</f>
        <v>579.176841414981</v>
      </c>
      <c r="W1128" s="135" cm="1">
        <f ca="1" t="array" ref="W1128">SUMPRODUCT(TRANSPOSE($AA1128:$AG1128),OFFSET($L$9:$L$15,0,W$631-1))</f>
        <v>16.8502200646615</v>
      </c>
      <c r="X1128" s="135" cm="1">
        <f ca="1" t="array" ref="X1128">SUMPRODUCT(TRANSPOSE($AA1128:$AG1128),OFFSET($L$9:$L$15,0,X$631-1))</f>
        <v>20</v>
      </c>
      <c r="Y1128" s="135" cm="1">
        <f ca="1" t="array" ref="Y1128">SUMPRODUCT(TRANSPOSE($AA1128:$AG1128),OFFSET($L$9:$L$15,0,Y$631-1))</f>
        <v>10</v>
      </c>
      <c r="Z1128" s="135" cm="1">
        <f ca="1" t="array" ref="Z1128">SUMPRODUCT(TRANSPOSE($AA1128:$AG1128),OFFSET($L$9:$L$15,0,Z$631-1))</f>
        <v>3.14977993533847</v>
      </c>
      <c r="AA1128" s="136">
        <f ca="1" t="shared" ref="AA1128:AG1128" si="1241">AH1128-AH1127</f>
        <v>0</v>
      </c>
      <c r="AB1128" s="136">
        <f ca="1" t="shared" si="1241"/>
        <v>0</v>
      </c>
      <c r="AC1128" s="136">
        <f ca="1" t="shared" si="1241"/>
        <v>0</v>
      </c>
      <c r="AD1128" s="136">
        <f ca="1" t="shared" si="1241"/>
        <v>0</v>
      </c>
      <c r="AE1128" s="136">
        <f ca="1" t="shared" si="1241"/>
        <v>0</v>
      </c>
      <c r="AF1128" s="136">
        <f ca="1" t="shared" si="1241"/>
        <v>0</v>
      </c>
      <c r="AG1128" s="136">
        <f ca="1" t="shared" si="1241"/>
        <v>100</v>
      </c>
      <c r="AH1128" s="136">
        <f ca="1" t="shared" si="1151"/>
        <v>450</v>
      </c>
      <c r="AI1128" s="136">
        <f ca="1" t="shared" ref="AI1128:AN1128" si="1242">IF($C1128&gt;OFFSET($Q$8,MATCH(AI$634,$AH$634:$AN$634,0),0),OFFSET($P$8,MATCH(AI$634,$AH$634:$AN$634,0),0),MAX(0,$C1128-OFFSET($Q$8,RIGHT(AI$634,1)-1,0)))</f>
        <v>909</v>
      </c>
      <c r="AJ1128" s="136">
        <f ca="1" t="shared" si="1242"/>
        <v>1818</v>
      </c>
      <c r="AK1128" s="136">
        <f ca="1" t="shared" si="1242"/>
        <v>2727</v>
      </c>
      <c r="AL1128" s="136">
        <f ca="1" t="shared" si="1242"/>
        <v>3636</v>
      </c>
      <c r="AM1128" s="136">
        <f ca="1" t="shared" si="1242"/>
        <v>4545</v>
      </c>
      <c r="AN1128" s="136">
        <f ca="1" t="shared" si="1242"/>
        <v>35315</v>
      </c>
    </row>
    <row r="1129" s="106" customFormat="1" ht="16.5" spans="2:40">
      <c r="B1129" s="117">
        <v>495</v>
      </c>
      <c r="C1129" s="130">
        <f t="shared" si="1149"/>
        <v>49500</v>
      </c>
      <c r="D1129" s="131" cm="1">
        <f ca="1" t="array" ref="D1129">IF(D1731=1,OFFSET($W$634,$B1129,D$631-1)/SUMPRODUCT(--($D$631:$V$631=D$631),--($D1731:$V1731=1)),0)+SUM(D1128)+IF(COUNTIF(D$1237:D1731,1)=1,5,0)+IF(COUNTIF(E1129:$W1129,"&gt;"&amp;0)&lt;5,IF(AND(COUNTIF(D$1237:D1731,1)&gt;7,MOD(1+IFERROR(MATCH($C1129,总览!$D$46:$D$345,1)+1,1),7)=0),$C$3,0),0)</f>
        <v>3107.98982719999</v>
      </c>
      <c r="E1129" s="131" cm="1">
        <f ca="1" t="array" ref="E1129">IF(E1731=1,OFFSET($W$634,$B1129,E$631-1)/SUMPRODUCT(--($D$631:$V$631=E$631),--($D1731:$V1731=1)),0)+SUM(E1128)+IF(COUNTIF(E$1237:E1731,1)=1,5,0)+IF(COUNTIF(F1129:$W1129,"&gt;"&amp;0)&lt;5,IF(AND(COUNTIF(E$1237:E1731,1)&gt;7,MOD(1+IFERROR(MATCH($C1129,总览!$D$46:$D$345,1)+1,1),7)=0),$C$3,0),0)</f>
        <v>3107.98982719999</v>
      </c>
      <c r="F1129" s="131" cm="1">
        <f ca="1" t="array" ref="F1129">IF(F1731=1,OFFSET($W$634,$B1129,F$631-1)/SUMPRODUCT(--($D$631:$V$631=F$631),--($D1731:$V1731=1)),0)+SUM(F1128)+IF(COUNTIF(F$1237:F1731,1)=1,5,0)+IF(COUNTIF(G1129:$W1129,"&gt;"&amp;0)&lt;5,IF(AND(COUNTIF(F$1237:F1731,1)&gt;7,MOD(1+IFERROR(MATCH($C1129,总览!$D$46:$D$345,1)+1,1),7)=0),$C$3,0),0)</f>
        <v>3107.98982719999</v>
      </c>
      <c r="G1129" s="131" cm="1">
        <f ca="1" t="array" ref="G1129">IF(G1731=1,OFFSET($W$634,$B1129,G$631-1)/SUMPRODUCT(--($D$631:$V$631=G$631),--($D1731:$V1731=1)),0)+SUM(G1128)+IF(COUNTIF(G$1237:G1731,1)=1,5,0)+IF(COUNTIF(H1129:$W1129,"&gt;"&amp;0)&lt;5,IF(AND(COUNTIF(G$1237:G1731,1)&gt;7,MOD(1+IFERROR(MATCH($C1129,总览!$D$46:$D$345,1)+1,1),7)=0),$C$3,0),0)</f>
        <v>1589.39999999999</v>
      </c>
      <c r="H1129" s="131" cm="1">
        <f ca="1" t="array" ref="H1129">IF(H1731=1,OFFSET($W$634,$B1129,H$631-1)/SUMPRODUCT(--($D$631:$V$631=H$631),--($D1731:$V1731=1)),0)+SUM(H1128)+IF(COUNTIF(H$1237:H1731,1)=1,5,0)+IF(COUNTIF(I1129:$W1129,"&gt;"&amp;0)&lt;5,IF(AND(COUNTIF(H$1237:H1731,1)&gt;7,MOD(1+IFERROR(MATCH($C1129,总览!$D$46:$D$345,1)+1,1),7)=0),$C$3,0),0)</f>
        <v>1589.39999999999</v>
      </c>
      <c r="I1129" s="131" cm="1">
        <f ca="1" t="array" ref="I1129">IF(I1731=1,OFFSET($W$634,$B1129,I$631-1)/SUMPRODUCT(--($D$631:$V$631=I$631),--($D1731:$V1731=1)),0)+SUM(I1128)+IF(COUNTIF(I$1237:I1731,1)=1,5,0)+IF(COUNTIF(J1129:$W1129,"&gt;"&amp;0)&lt;5,IF(AND(COUNTIF(I$1237:I1731,1)&gt;7,MOD(1+IFERROR(MATCH($C1129,总览!$D$46:$D$345,1)+1,1),7)=0),$C$3,0),0)</f>
        <v>1589.39999999999</v>
      </c>
      <c r="J1129" s="131" cm="1">
        <f ca="1" t="array" ref="J1129">IF(J1731=1,OFFSET($W$634,$B1129,J$631-1)/SUMPRODUCT(--($D$631:$V$631=J$631),--($D1731:$V1731=1)),0)+SUM(J1128)+IF(COUNTIF(J$1237:J1731,1)=1,5,0)+IF(COUNTIF(K1129:$W1129,"&gt;"&amp;0)&lt;5,IF(AND(COUNTIF(J$1237:J1731,1)&gt;7,MOD(1+IFERROR(MATCH($C1129,总览!$D$46:$D$345,1)+1,1),7)=0),$C$3,0),0)</f>
        <v>1586.06666666666</v>
      </c>
      <c r="K1129" s="131" cm="1">
        <f ca="1" t="array" ref="K1129">IF(K1731=1,OFFSET($W$634,$B1129,K$631-1)/SUMPRODUCT(--($D$631:$V$631=K$631),--($D1731:$V1731=1)),0)+SUM(K1128)+IF(COUNTIF(K$1237:K1731,1)=1,5,0)+IF(COUNTIF(L1129:$W1129,"&gt;"&amp;0)&lt;5,IF(AND(COUNTIF(K$1237:K1731,1)&gt;7,MOD(1+IFERROR(MATCH($C1129,总览!$D$46:$D$345,1)+1,1),7)=0),$C$3,0),0)</f>
        <v>1583.56666666666</v>
      </c>
      <c r="L1129" s="131" cm="1">
        <f ca="1" t="array" ref="L1129">IF(L1731=1,OFFSET($W$634,$B1129,L$631-1)/SUMPRODUCT(--($D$631:$V$631=L$631),--($D1731:$V1731=1)),0)+SUM(L1128)+IF(COUNTIF(L$1237:L1731,1)=1,5,0)+IF(COUNTIF(M1129:$W1129,"&gt;"&amp;0)&lt;5,IF(AND(COUNTIF(L$1237:L1731,1)&gt;7,MOD(1+IFERROR(MATCH($C1129,总览!$D$46:$D$345,1)+1,1),7)=0),$C$3,0),0)</f>
        <v>1583.56666666666</v>
      </c>
      <c r="M1129" s="131" cm="1">
        <f ca="1" t="array" ref="M1129">IF(M1731=1,OFFSET($W$634,$B1129,M$631-1)/SUMPRODUCT(--($D$631:$V$631=M$631),--($D1731:$V1731=1)),0)+SUM(M1128)+IF(COUNTIF(M$1237:M1731,1)=1,5,0)+IF(COUNTIF(N1129:$W1129,"&gt;"&amp;0)&lt;5,IF(AND(COUNTIF(M$1237:M1731,1)&gt;7,MOD(1+IFERROR(MATCH($C1129,总览!$D$46:$D$345,1)+1,1),7)=0),$C$3,0),0)</f>
        <v>664.895535714289</v>
      </c>
      <c r="N1129" s="131" cm="1">
        <f ca="1" t="array" ref="N1129">IF(N1731=1,OFFSET($W$634,$B1129,N$631-1)/SUMPRODUCT(--($D$631:$V$631=N$631),--($D1731:$V1731=1)),0)+SUM(N1128)+IF(COUNTIF(N$1237:N1731,1)=1,5,0)+IF(COUNTIF(O1129:$W1129,"&gt;"&amp;0)&lt;5,IF(AND(COUNTIF(N$1237:N1731,1)&gt;7,MOD(1+IFERROR(MATCH($C1129,总览!$D$46:$D$345,1)+1,1),7)=0),$C$3,0),0)</f>
        <v>666.145535714289</v>
      </c>
      <c r="O1129" s="131" cm="1">
        <f ca="1" t="array" ref="O1129">IF(O1731=1,OFFSET($W$634,$B1129,O$631-1)/SUMPRODUCT(--($D$631:$V$631=O$631),--($D1731:$V1731=1)),0)+SUM(O1128)+IF(COUNTIF(O$1237:O1731,1)=1,5,0)+IF(COUNTIF(P1129:$W1129,"&gt;"&amp;0)&lt;5,IF(AND(COUNTIF(O$1237:O1731,1)&gt;7,MOD(1+IFERROR(MATCH($C1129,总览!$D$46:$D$345,1)+1,1),7)=0),$C$3,0),0)</f>
        <v>671.145535714289</v>
      </c>
      <c r="P1129" s="131" cm="1">
        <f ca="1" t="array" ref="P1129">IF(P1731=1,OFFSET($W$634,$B1129,P$631-1)/SUMPRODUCT(--($D$631:$V$631=P$631),--($D1731:$V1731=1)),0)+SUM(P1128)+IF(COUNTIF(P$1237:P1731,1)=1,5,0)+IF(COUNTIF(Q1129:$W1129,"&gt;"&amp;0)&lt;5,IF(AND(COUNTIF(P$1237:P1731,1)&gt;7,MOD(1+IFERROR(MATCH($C1129,总览!$D$46:$D$345,1)+1,1),7)=0),$C$3,0),0)</f>
        <v>660.264285714289</v>
      </c>
      <c r="Q1129" s="131" cm="1">
        <f ca="1" t="array" ref="Q1129">IF(Q1731=1,OFFSET($W$634,$B1129,Q$631-1)/SUMPRODUCT(--($D$631:$V$631=Q$631),--($D1731:$V1731=1)),0)+SUM(Q1128)+IF(COUNTIF(Q$1237:Q1731,1)=1,5,0)+IF(COUNTIF(R1129:$W1129,"&gt;"&amp;0)&lt;5,IF(AND(COUNTIF(Q$1237:Q1731,1)&gt;7,MOD(1+IFERROR(MATCH($C1129,总览!$D$46:$D$345,1)+1,1),7)=0),$C$3,0),0)</f>
        <v>673.645535714289</v>
      </c>
      <c r="R1129" s="131" cm="1">
        <f ca="1" t="array" ref="R1129">IF(R1731=1,OFFSET($W$634,$B1129,R$631-1)/SUMPRODUCT(--($D$631:$V$631=R$631),--($D1731:$V1731=1)),0)+SUM(R1128)+IF(COUNTIF(R$1237:R1731,1)=1,5,0)+IF(COUNTIF(S1129:$W1129,"&gt;"&amp;0)&lt;5,IF(AND(COUNTIF(R$1237:R1731,1)&gt;7,MOD(1+IFERROR(MATCH($C1129,总览!$D$46:$D$345,1)+1,1),7)=0),$C$3,0),0)</f>
        <v>665.264285714289</v>
      </c>
      <c r="S1129" s="131" cm="1">
        <f ca="1" t="array" ref="S1129">IF(S1731=1,OFFSET($W$634,$B1129,S$631-1)/SUMPRODUCT(--($D$631:$V$631=S$631),--($D1731:$V1731=1)),0)+SUM(S1128)+IF(COUNTIF(S$1237:S1731,1)=1,5,0)+IF(COUNTIF(T1129:$W1129,"&gt;"&amp;0)&lt;5,IF(AND(COUNTIF(S$1237:S1731,1)&gt;7,MOD(1+IFERROR(MATCH($C1129,总览!$D$46:$D$345,1)+1,1),7)=0),$C$3,0),0)</f>
        <v>757.76428571429</v>
      </c>
      <c r="T1129" s="131" cm="1">
        <f ca="1" t="array" ref="T1129">IF(T1731=1,OFFSET($W$634,$B1129,T$631-1)/SUMPRODUCT(--($D$631:$V$631=T$631),--($D1731:$V1731=1)),0)+SUM(T1128)+IF(COUNTIF(T$1237:T1731,1)=1,5,0)+IF(COUNTIF(U1129:$W1129,"&gt;"&amp;0)&lt;5,IF(AND(COUNTIF(T$1237:T1731,1)&gt;7,MOD(1+IFERROR(MATCH($C1129,总览!$D$46:$D$345,1)+1,1),7)=0),$C$3,0),0)</f>
        <v>554.878981992361</v>
      </c>
      <c r="U1129" s="131" cm="1">
        <f ca="1" t="array" ref="U1129">IF(U1731=1,OFFSET($W$634,$B1129,U$631-1)/SUMPRODUCT(--($D$631:$V$631=U$631),--($D1731:$V1731=1)),0)+SUM(U1128)+IF(COUNTIF(U$1237:U1731,1)=1,5,0)+IF(COUNTIF(V1129:$W1129,"&gt;"&amp;0)&lt;5,IF(AND(COUNTIF(U$1237:U1731,1)&gt;7,MOD(1+IFERROR(MATCH($C1129,总览!$D$46:$D$345,1)+1,1),7)=0),$C$3,0),0)</f>
        <v>560.399768347661</v>
      </c>
      <c r="V1129" s="131" cm="1">
        <f ca="1" t="array" ref="V1129">IF(V1731=1,OFFSET($W$634,$B1129,V$631-1)/SUMPRODUCT(--($D$631:$V$631=V$631),--($D1731:$V1731=1)),0)+SUM(V1128)+IF(COUNTIF(V$1237:V1731,1)=1,5,0)+IF(COUNTIF(W1129:$W1129,"&gt;"&amp;0)&lt;5,IF(AND(COUNTIF(V$1237:V1731,1)&gt;7,MOD(1+IFERROR(MATCH($C1129,总览!$D$46:$D$345,1)+1,1),7)=0),$C$3,0),0)</f>
        <v>580.226768060094</v>
      </c>
      <c r="W1129" s="135" cm="1">
        <f ca="1" t="array" ref="W1129">SUMPRODUCT(TRANSPOSE($AA1129:$AG1129),OFFSET($L$9:$L$15,0,W$631-1))</f>
        <v>16.8502200646615</v>
      </c>
      <c r="X1129" s="135" cm="1">
        <f ca="1" t="array" ref="X1129">SUMPRODUCT(TRANSPOSE($AA1129:$AG1129),OFFSET($L$9:$L$15,0,X$631-1))</f>
        <v>20</v>
      </c>
      <c r="Y1129" s="135" cm="1">
        <f ca="1" t="array" ref="Y1129">SUMPRODUCT(TRANSPOSE($AA1129:$AG1129),OFFSET($L$9:$L$15,0,Y$631-1))</f>
        <v>10</v>
      </c>
      <c r="Z1129" s="135" cm="1">
        <f ca="1" t="array" ref="Z1129">SUMPRODUCT(TRANSPOSE($AA1129:$AG1129),OFFSET($L$9:$L$15,0,Z$631-1))</f>
        <v>3.14977993533847</v>
      </c>
      <c r="AA1129" s="136">
        <f ca="1" t="shared" ref="AA1129:AG1129" si="1243">AH1129-AH1128</f>
        <v>0</v>
      </c>
      <c r="AB1129" s="136">
        <f ca="1" t="shared" si="1243"/>
        <v>0</v>
      </c>
      <c r="AC1129" s="136">
        <f ca="1" t="shared" si="1243"/>
        <v>0</v>
      </c>
      <c r="AD1129" s="136">
        <f ca="1" t="shared" si="1243"/>
        <v>0</v>
      </c>
      <c r="AE1129" s="136">
        <f ca="1" t="shared" si="1243"/>
        <v>0</v>
      </c>
      <c r="AF1129" s="136">
        <f ca="1" t="shared" si="1243"/>
        <v>0</v>
      </c>
      <c r="AG1129" s="136">
        <f ca="1" t="shared" si="1243"/>
        <v>100</v>
      </c>
      <c r="AH1129" s="136">
        <f ca="1" t="shared" si="1151"/>
        <v>450</v>
      </c>
      <c r="AI1129" s="136">
        <f ca="1" t="shared" ref="AI1129:AN1129" si="1244">IF($C1129&gt;OFFSET($Q$8,MATCH(AI$634,$AH$634:$AN$634,0),0),OFFSET($P$8,MATCH(AI$634,$AH$634:$AN$634,0),0),MAX(0,$C1129-OFFSET($Q$8,RIGHT(AI$634,1)-1,0)))</f>
        <v>909</v>
      </c>
      <c r="AJ1129" s="136">
        <f ca="1" t="shared" si="1244"/>
        <v>1818</v>
      </c>
      <c r="AK1129" s="136">
        <f ca="1" t="shared" si="1244"/>
        <v>2727</v>
      </c>
      <c r="AL1129" s="136">
        <f ca="1" t="shared" si="1244"/>
        <v>3636</v>
      </c>
      <c r="AM1129" s="136">
        <f ca="1" t="shared" si="1244"/>
        <v>4545</v>
      </c>
      <c r="AN1129" s="136">
        <f ca="1" t="shared" si="1244"/>
        <v>35415</v>
      </c>
    </row>
    <row r="1130" s="106" customFormat="1" ht="16.5" spans="2:40">
      <c r="B1130" s="117">
        <v>496</v>
      </c>
      <c r="C1130" s="130">
        <f t="shared" si="1149"/>
        <v>49600</v>
      </c>
      <c r="D1130" s="131" cm="1">
        <f ca="1" t="array" ref="D1130">IF(D1732=1,OFFSET($W$634,$B1130,D$631-1)/SUMPRODUCT(--($D$631:$V$631=D$631),--($D1732:$V1732=1)),0)+SUM(D1129)+IF(COUNTIF(D$1237:D1732,1)=1,5,0)+IF(COUNTIF(E1130:$W1130,"&gt;"&amp;0)&lt;5,IF(AND(COUNTIF(D$1237:D1732,1)&gt;7,MOD(1+IFERROR(MATCH($C1130,总览!$D$46:$D$345,1)+1,1),7)=0),$C$3,0),0)</f>
        <v>3113.60656722155</v>
      </c>
      <c r="E1130" s="131" cm="1">
        <f ca="1" t="array" ref="E1130">IF(E1732=1,OFFSET($W$634,$B1130,E$631-1)/SUMPRODUCT(--($D$631:$V$631=E$631),--($D1732:$V1732=1)),0)+SUM(E1129)+IF(COUNTIF(E$1237:E1732,1)=1,5,0)+IF(COUNTIF(F1130:$W1130,"&gt;"&amp;0)&lt;5,IF(AND(COUNTIF(E$1237:E1732,1)&gt;7,MOD(1+IFERROR(MATCH($C1130,总览!$D$46:$D$345,1)+1,1),7)=0),$C$3,0),0)</f>
        <v>3113.60656722155</v>
      </c>
      <c r="F1130" s="131" cm="1">
        <f ca="1" t="array" ref="F1130">IF(F1732=1,OFFSET($W$634,$B1130,F$631-1)/SUMPRODUCT(--($D$631:$V$631=F$631),--($D1732:$V1732=1)),0)+SUM(F1129)+IF(COUNTIF(F$1237:F1732,1)=1,5,0)+IF(COUNTIF(G1130:$W1130,"&gt;"&amp;0)&lt;5,IF(AND(COUNTIF(F$1237:F1732,1)&gt;7,MOD(1+IFERROR(MATCH($C1130,总览!$D$46:$D$345,1)+1,1),7)=0),$C$3,0),0)</f>
        <v>3113.60656722155</v>
      </c>
      <c r="G1130" s="131" cm="1">
        <f ca="1" t="array" ref="G1130">IF(G1732=1,OFFSET($W$634,$B1130,G$631-1)/SUMPRODUCT(--($D$631:$V$631=G$631),--($D1732:$V1732=1)),0)+SUM(G1129)+IF(COUNTIF(G$1237:G1732,1)=1,5,0)+IF(COUNTIF(H1130:$W1130,"&gt;"&amp;0)&lt;5,IF(AND(COUNTIF(G$1237:G1732,1)&gt;7,MOD(1+IFERROR(MATCH($C1130,总览!$D$46:$D$345,1)+1,1),7)=0),$C$3,0),0)</f>
        <v>1592.73333333332</v>
      </c>
      <c r="H1130" s="131" cm="1">
        <f ca="1" t="array" ref="H1130">IF(H1732=1,OFFSET($W$634,$B1130,H$631-1)/SUMPRODUCT(--($D$631:$V$631=H$631),--($D1732:$V1732=1)),0)+SUM(H1129)+IF(COUNTIF(H$1237:H1732,1)=1,5,0)+IF(COUNTIF(I1130:$W1130,"&gt;"&amp;0)&lt;5,IF(AND(COUNTIF(H$1237:H1732,1)&gt;7,MOD(1+IFERROR(MATCH($C1130,总览!$D$46:$D$345,1)+1,1),7)=0),$C$3,0),0)</f>
        <v>1592.73333333332</v>
      </c>
      <c r="I1130" s="131" cm="1">
        <f ca="1" t="array" ref="I1130">IF(I1732=1,OFFSET($W$634,$B1130,I$631-1)/SUMPRODUCT(--($D$631:$V$631=I$631),--($D1732:$V1732=1)),0)+SUM(I1129)+IF(COUNTIF(I$1237:I1732,1)=1,5,0)+IF(COUNTIF(J1130:$W1130,"&gt;"&amp;0)&lt;5,IF(AND(COUNTIF(I$1237:I1732,1)&gt;7,MOD(1+IFERROR(MATCH($C1130,总览!$D$46:$D$345,1)+1,1),7)=0),$C$3,0),0)</f>
        <v>1592.73333333332</v>
      </c>
      <c r="J1130" s="131" cm="1">
        <f ca="1" t="array" ref="J1130">IF(J1732=1,OFFSET($W$634,$B1130,J$631-1)/SUMPRODUCT(--($D$631:$V$631=J$631),--($D1732:$V1732=1)),0)+SUM(J1129)+IF(COUNTIF(J$1237:J1732,1)=1,5,0)+IF(COUNTIF(K1130:$W1130,"&gt;"&amp;0)&lt;5,IF(AND(COUNTIF(J$1237:J1732,1)&gt;7,MOD(1+IFERROR(MATCH($C1130,总览!$D$46:$D$345,1)+1,1),7)=0),$C$3,0),0)</f>
        <v>1589.39999999999</v>
      </c>
      <c r="K1130" s="131" cm="1">
        <f ca="1" t="array" ref="K1130">IF(K1732=1,OFFSET($W$634,$B1130,K$631-1)/SUMPRODUCT(--($D$631:$V$631=K$631),--($D1732:$V1732=1)),0)+SUM(K1129)+IF(COUNTIF(K$1237:K1732,1)=1,5,0)+IF(COUNTIF(L1130:$W1130,"&gt;"&amp;0)&lt;5,IF(AND(COUNTIF(K$1237:K1732,1)&gt;7,MOD(1+IFERROR(MATCH($C1130,总览!$D$46:$D$345,1)+1,1),7)=0),$C$3,0),0)</f>
        <v>1586.89999999999</v>
      </c>
      <c r="L1130" s="131" cm="1">
        <f ca="1" t="array" ref="L1130">IF(L1732=1,OFFSET($W$634,$B1130,L$631-1)/SUMPRODUCT(--($D$631:$V$631=L$631),--($D1732:$V1732=1)),0)+SUM(L1129)+IF(COUNTIF(L$1237:L1732,1)=1,5,0)+IF(COUNTIF(M1130:$W1130,"&gt;"&amp;0)&lt;5,IF(AND(COUNTIF(L$1237:L1732,1)&gt;7,MOD(1+IFERROR(MATCH($C1130,总览!$D$46:$D$345,1)+1,1),7)=0),$C$3,0),0)</f>
        <v>1586.89999999999</v>
      </c>
      <c r="M1130" s="131" cm="1">
        <f ca="1" t="array" ref="M1130">IF(M1732=1,OFFSET($W$634,$B1130,M$631-1)/SUMPRODUCT(--($D$631:$V$631=M$631),--($D1732:$V1732=1)),0)+SUM(M1129)+IF(COUNTIF(M$1237:M1732,1)=1,5,0)+IF(COUNTIF(N1130:$W1130,"&gt;"&amp;0)&lt;5,IF(AND(COUNTIF(M$1237:M1732,1)&gt;7,MOD(1+IFERROR(MATCH($C1130,总览!$D$46:$D$345,1)+1,1),7)=0),$C$3,0),0)</f>
        <v>666.324107142861</v>
      </c>
      <c r="N1130" s="131" cm="1">
        <f ca="1" t="array" ref="N1130">IF(N1732=1,OFFSET($W$634,$B1130,N$631-1)/SUMPRODUCT(--($D$631:$V$631=N$631),--($D1732:$V1732=1)),0)+SUM(N1129)+IF(COUNTIF(N$1237:N1732,1)=1,5,0)+IF(COUNTIF(O1130:$W1130,"&gt;"&amp;0)&lt;5,IF(AND(COUNTIF(N$1237:N1732,1)&gt;7,MOD(1+IFERROR(MATCH($C1130,总览!$D$46:$D$345,1)+1,1),7)=0),$C$3,0),0)</f>
        <v>667.574107142861</v>
      </c>
      <c r="O1130" s="131" cm="1">
        <f ca="1" t="array" ref="O1130">IF(O1732=1,OFFSET($W$634,$B1130,O$631-1)/SUMPRODUCT(--($D$631:$V$631=O$631),--($D1732:$V1732=1)),0)+SUM(O1129)+IF(COUNTIF(O$1237:O1732,1)=1,5,0)+IF(COUNTIF(P1130:$W1130,"&gt;"&amp;0)&lt;5,IF(AND(COUNTIF(O$1237:O1732,1)&gt;7,MOD(1+IFERROR(MATCH($C1130,总览!$D$46:$D$345,1)+1,1),7)=0),$C$3,0),0)</f>
        <v>672.574107142861</v>
      </c>
      <c r="P1130" s="131" cm="1">
        <f ca="1" t="array" ref="P1130">IF(P1732=1,OFFSET($W$634,$B1130,P$631-1)/SUMPRODUCT(--($D$631:$V$631=P$631),--($D1732:$V1732=1)),0)+SUM(P1129)+IF(COUNTIF(P$1237:P1732,1)=1,5,0)+IF(COUNTIF(Q1130:$W1130,"&gt;"&amp;0)&lt;5,IF(AND(COUNTIF(P$1237:P1732,1)&gt;7,MOD(1+IFERROR(MATCH($C1130,总览!$D$46:$D$345,1)+1,1),7)=0),$C$3,0),0)</f>
        <v>661.692857142861</v>
      </c>
      <c r="Q1130" s="131" cm="1">
        <f ca="1" t="array" ref="Q1130">IF(Q1732=1,OFFSET($W$634,$B1130,Q$631-1)/SUMPRODUCT(--($D$631:$V$631=Q$631),--($D1732:$V1732=1)),0)+SUM(Q1129)+IF(COUNTIF(Q$1237:Q1732,1)=1,5,0)+IF(COUNTIF(R1130:$W1130,"&gt;"&amp;0)&lt;5,IF(AND(COUNTIF(Q$1237:Q1732,1)&gt;7,MOD(1+IFERROR(MATCH($C1130,总览!$D$46:$D$345,1)+1,1),7)=0),$C$3,0),0)</f>
        <v>675.074107142861</v>
      </c>
      <c r="R1130" s="131" cm="1">
        <f ca="1" t="array" ref="R1130">IF(R1732=1,OFFSET($W$634,$B1130,R$631-1)/SUMPRODUCT(--($D$631:$V$631=R$631),--($D1732:$V1732=1)),0)+SUM(R1129)+IF(COUNTIF(R$1237:R1732,1)=1,5,0)+IF(COUNTIF(S1130:$W1130,"&gt;"&amp;0)&lt;5,IF(AND(COUNTIF(R$1237:R1732,1)&gt;7,MOD(1+IFERROR(MATCH($C1130,总览!$D$46:$D$345,1)+1,1),7)=0),$C$3,0),0)</f>
        <v>666.692857142861</v>
      </c>
      <c r="S1130" s="131" cm="1">
        <f ca="1" t="array" ref="S1130">IF(S1732=1,OFFSET($W$634,$B1130,S$631-1)/SUMPRODUCT(--($D$631:$V$631=S$631),--($D1732:$V1732=1)),0)+SUM(S1129)+IF(COUNTIF(S$1237:S1732,1)=1,5,0)+IF(COUNTIF(T1130:$W1130,"&gt;"&amp;0)&lt;5,IF(AND(COUNTIF(S$1237:S1732,1)&gt;7,MOD(1+IFERROR(MATCH($C1130,总览!$D$46:$D$345,1)+1,1),7)=0),$C$3,0),0)</f>
        <v>759.192857142862</v>
      </c>
      <c r="T1130" s="131" cm="1">
        <f ca="1" t="array" ref="T1130">IF(T1732=1,OFFSET($W$634,$B1130,T$631-1)/SUMPRODUCT(--($D$631:$V$631=T$631),--($D1732:$V1732=1)),0)+SUM(T1129)+IF(COUNTIF(T$1237:T1732,1)=1,5,0)+IF(COUNTIF(U1130:$W1130,"&gt;"&amp;0)&lt;5,IF(AND(COUNTIF(T$1237:T1732,1)&gt;7,MOD(1+IFERROR(MATCH($C1130,总览!$D$46:$D$345,1)+1,1),7)=0),$C$3,0),0)</f>
        <v>555.928908637474</v>
      </c>
      <c r="U1130" s="131" cm="1">
        <f ca="1" t="array" ref="U1130">IF(U1732=1,OFFSET($W$634,$B1130,U$631-1)/SUMPRODUCT(--($D$631:$V$631=U$631),--($D1732:$V1732=1)),0)+SUM(U1129)+IF(COUNTIF(U$1237:U1732,1)=1,5,0)+IF(COUNTIF(V1130:$W1130,"&gt;"&amp;0)&lt;5,IF(AND(COUNTIF(U$1237:U1732,1)&gt;7,MOD(1+IFERROR(MATCH($C1130,总览!$D$46:$D$345,1)+1,1),7)=0),$C$3,0),0)</f>
        <v>561.449694992774</v>
      </c>
      <c r="V1130" s="131" cm="1">
        <f ca="1" t="array" ref="V1130">IF(V1732=1,OFFSET($W$634,$B1130,V$631-1)/SUMPRODUCT(--($D$631:$V$631=V$631),--($D1732:$V1732=1)),0)+SUM(V1129)+IF(COUNTIF(V$1237:V1732,1)=1,5,0)+IF(COUNTIF(W1130:$W1130,"&gt;"&amp;0)&lt;5,IF(AND(COUNTIF(V$1237:V1732,1)&gt;7,MOD(1+IFERROR(MATCH($C1130,总览!$D$46:$D$345,1)+1,1),7)=0),$C$3,0),0)</f>
        <v>581.276694705207</v>
      </c>
      <c r="W1130" s="135" cm="1">
        <f ca="1" t="array" ref="W1130">SUMPRODUCT(TRANSPOSE($AA1130:$AG1130),OFFSET($L$9:$L$15,0,W$631-1))</f>
        <v>16.8502200646615</v>
      </c>
      <c r="X1130" s="135" cm="1">
        <f ca="1" t="array" ref="X1130">SUMPRODUCT(TRANSPOSE($AA1130:$AG1130),OFFSET($L$9:$L$15,0,X$631-1))</f>
        <v>20</v>
      </c>
      <c r="Y1130" s="135" cm="1">
        <f ca="1" t="array" ref="Y1130">SUMPRODUCT(TRANSPOSE($AA1130:$AG1130),OFFSET($L$9:$L$15,0,Y$631-1))</f>
        <v>10</v>
      </c>
      <c r="Z1130" s="135" cm="1">
        <f ca="1" t="array" ref="Z1130">SUMPRODUCT(TRANSPOSE($AA1130:$AG1130),OFFSET($L$9:$L$15,0,Z$631-1))</f>
        <v>3.14977993533847</v>
      </c>
      <c r="AA1130" s="136">
        <f ca="1" t="shared" ref="AA1130:AG1130" si="1245">AH1130-AH1129</f>
        <v>0</v>
      </c>
      <c r="AB1130" s="136">
        <f ca="1" t="shared" si="1245"/>
        <v>0</v>
      </c>
      <c r="AC1130" s="136">
        <f ca="1" t="shared" si="1245"/>
        <v>0</v>
      </c>
      <c r="AD1130" s="136">
        <f ca="1" t="shared" si="1245"/>
        <v>0</v>
      </c>
      <c r="AE1130" s="136">
        <f ca="1" t="shared" si="1245"/>
        <v>0</v>
      </c>
      <c r="AF1130" s="136">
        <f ca="1" t="shared" si="1245"/>
        <v>0</v>
      </c>
      <c r="AG1130" s="136">
        <f ca="1" t="shared" si="1245"/>
        <v>100</v>
      </c>
      <c r="AH1130" s="136">
        <f ca="1" t="shared" si="1151"/>
        <v>450</v>
      </c>
      <c r="AI1130" s="136">
        <f ca="1" t="shared" ref="AI1130:AN1130" si="1246">IF($C1130&gt;OFFSET($Q$8,MATCH(AI$634,$AH$634:$AN$634,0),0),OFFSET($P$8,MATCH(AI$634,$AH$634:$AN$634,0),0),MAX(0,$C1130-OFFSET($Q$8,RIGHT(AI$634,1)-1,0)))</f>
        <v>909</v>
      </c>
      <c r="AJ1130" s="136">
        <f ca="1" t="shared" si="1246"/>
        <v>1818</v>
      </c>
      <c r="AK1130" s="136">
        <f ca="1" t="shared" si="1246"/>
        <v>2727</v>
      </c>
      <c r="AL1130" s="136">
        <f ca="1" t="shared" si="1246"/>
        <v>3636</v>
      </c>
      <c r="AM1130" s="136">
        <f ca="1" t="shared" si="1246"/>
        <v>4545</v>
      </c>
      <c r="AN1130" s="136">
        <f ca="1" t="shared" si="1246"/>
        <v>35515</v>
      </c>
    </row>
    <row r="1131" s="106" customFormat="1" ht="16.5" spans="2:40">
      <c r="B1131" s="117">
        <v>497</v>
      </c>
      <c r="C1131" s="130">
        <f t="shared" si="1149"/>
        <v>49700</v>
      </c>
      <c r="D1131" s="131" cm="1">
        <f ca="1" t="array" ref="D1131">IF(D1733=1,OFFSET($W$634,$B1131,D$631-1)/SUMPRODUCT(--($D$631:$V$631=D$631),--($D1733:$V1733=1)),0)+SUM(D1130)+IF(COUNTIF(D$1237:D1733,1)=1,5,0)+IF(COUNTIF(E1131:$W1131,"&gt;"&amp;0)&lt;5,IF(AND(COUNTIF(D$1237:D1733,1)&gt;7,MOD(1+IFERROR(MATCH($C1131,总览!$D$46:$D$345,1)+1,1),7)=0),$C$3,0),0)</f>
        <v>3119.2233072431</v>
      </c>
      <c r="E1131" s="131" cm="1">
        <f ca="1" t="array" ref="E1131">IF(E1733=1,OFFSET($W$634,$B1131,E$631-1)/SUMPRODUCT(--($D$631:$V$631=E$631),--($D1733:$V1733=1)),0)+SUM(E1130)+IF(COUNTIF(E$1237:E1733,1)=1,5,0)+IF(COUNTIF(F1131:$W1131,"&gt;"&amp;0)&lt;5,IF(AND(COUNTIF(E$1237:E1733,1)&gt;7,MOD(1+IFERROR(MATCH($C1131,总览!$D$46:$D$345,1)+1,1),7)=0),$C$3,0),0)</f>
        <v>3119.2233072431</v>
      </c>
      <c r="F1131" s="131" cm="1">
        <f ca="1" t="array" ref="F1131">IF(F1733=1,OFFSET($W$634,$B1131,F$631-1)/SUMPRODUCT(--($D$631:$V$631=F$631),--($D1733:$V1733=1)),0)+SUM(F1130)+IF(COUNTIF(F$1237:F1733,1)=1,5,0)+IF(COUNTIF(G1131:$W1131,"&gt;"&amp;0)&lt;5,IF(AND(COUNTIF(F$1237:F1733,1)&gt;7,MOD(1+IFERROR(MATCH($C1131,总览!$D$46:$D$345,1)+1,1),7)=0),$C$3,0),0)</f>
        <v>3119.2233072431</v>
      </c>
      <c r="G1131" s="131" cm="1">
        <f ca="1" t="array" ref="G1131">IF(G1733=1,OFFSET($W$634,$B1131,G$631-1)/SUMPRODUCT(--($D$631:$V$631=G$631),--($D1733:$V1733=1)),0)+SUM(G1130)+IF(COUNTIF(G$1237:G1733,1)=1,5,0)+IF(COUNTIF(H1131:$W1131,"&gt;"&amp;0)&lt;5,IF(AND(COUNTIF(G$1237:G1733,1)&gt;7,MOD(1+IFERROR(MATCH($C1131,总览!$D$46:$D$345,1)+1,1),7)=0),$C$3,0),0)</f>
        <v>1596.06666666666</v>
      </c>
      <c r="H1131" s="131" cm="1">
        <f ca="1" t="array" ref="H1131">IF(H1733=1,OFFSET($W$634,$B1131,H$631-1)/SUMPRODUCT(--($D$631:$V$631=H$631),--($D1733:$V1733=1)),0)+SUM(H1130)+IF(COUNTIF(H$1237:H1733,1)=1,5,0)+IF(COUNTIF(I1131:$W1131,"&gt;"&amp;0)&lt;5,IF(AND(COUNTIF(H$1237:H1733,1)&gt;7,MOD(1+IFERROR(MATCH($C1131,总览!$D$46:$D$345,1)+1,1),7)=0),$C$3,0),0)</f>
        <v>1596.06666666666</v>
      </c>
      <c r="I1131" s="131" cm="1">
        <f ca="1" t="array" ref="I1131">IF(I1733=1,OFFSET($W$634,$B1131,I$631-1)/SUMPRODUCT(--($D$631:$V$631=I$631),--($D1733:$V1733=1)),0)+SUM(I1130)+IF(COUNTIF(I$1237:I1733,1)=1,5,0)+IF(COUNTIF(J1131:$W1131,"&gt;"&amp;0)&lt;5,IF(AND(COUNTIF(I$1237:I1733,1)&gt;7,MOD(1+IFERROR(MATCH($C1131,总览!$D$46:$D$345,1)+1,1),7)=0),$C$3,0),0)</f>
        <v>1596.06666666666</v>
      </c>
      <c r="J1131" s="131" cm="1">
        <f ca="1" t="array" ref="J1131">IF(J1733=1,OFFSET($W$634,$B1131,J$631-1)/SUMPRODUCT(--($D$631:$V$631=J$631),--($D1733:$V1733=1)),0)+SUM(J1130)+IF(COUNTIF(J$1237:J1733,1)=1,5,0)+IF(COUNTIF(K1131:$W1131,"&gt;"&amp;0)&lt;5,IF(AND(COUNTIF(J$1237:J1733,1)&gt;7,MOD(1+IFERROR(MATCH($C1131,总览!$D$46:$D$345,1)+1,1),7)=0),$C$3,0),0)</f>
        <v>1592.73333333332</v>
      </c>
      <c r="K1131" s="131" cm="1">
        <f ca="1" t="array" ref="K1131">IF(K1733=1,OFFSET($W$634,$B1131,K$631-1)/SUMPRODUCT(--($D$631:$V$631=K$631),--($D1733:$V1733=1)),0)+SUM(K1130)+IF(COUNTIF(K$1237:K1733,1)=1,5,0)+IF(COUNTIF(L1131:$W1131,"&gt;"&amp;0)&lt;5,IF(AND(COUNTIF(K$1237:K1733,1)&gt;7,MOD(1+IFERROR(MATCH($C1131,总览!$D$46:$D$345,1)+1,1),7)=0),$C$3,0),0)</f>
        <v>1590.23333333332</v>
      </c>
      <c r="L1131" s="131" cm="1">
        <f ca="1" t="array" ref="L1131">IF(L1733=1,OFFSET($W$634,$B1131,L$631-1)/SUMPRODUCT(--($D$631:$V$631=L$631),--($D1733:$V1733=1)),0)+SUM(L1130)+IF(COUNTIF(L$1237:L1733,1)=1,5,0)+IF(COUNTIF(M1131:$W1131,"&gt;"&amp;0)&lt;5,IF(AND(COUNTIF(L$1237:L1733,1)&gt;7,MOD(1+IFERROR(MATCH($C1131,总览!$D$46:$D$345,1)+1,1),7)=0),$C$3,0),0)</f>
        <v>1590.23333333332</v>
      </c>
      <c r="M1131" s="131" cm="1">
        <f ca="1" t="array" ref="M1131">IF(M1733=1,OFFSET($W$634,$B1131,M$631-1)/SUMPRODUCT(--($D$631:$V$631=M$631),--($D1733:$V1733=1)),0)+SUM(M1130)+IF(COUNTIF(M$1237:M1733,1)=1,5,0)+IF(COUNTIF(N1131:$W1131,"&gt;"&amp;0)&lt;5,IF(AND(COUNTIF(M$1237:M1733,1)&gt;7,MOD(1+IFERROR(MATCH($C1131,总览!$D$46:$D$345,1)+1,1),7)=0),$C$3,0),0)</f>
        <v>667.752678571432</v>
      </c>
      <c r="N1131" s="131" cm="1">
        <f ca="1" t="array" ref="N1131">IF(N1733=1,OFFSET($W$634,$B1131,N$631-1)/SUMPRODUCT(--($D$631:$V$631=N$631),--($D1733:$V1733=1)),0)+SUM(N1130)+IF(COUNTIF(N$1237:N1733,1)=1,5,0)+IF(COUNTIF(O1131:$W1131,"&gt;"&amp;0)&lt;5,IF(AND(COUNTIF(N$1237:N1733,1)&gt;7,MOD(1+IFERROR(MATCH($C1131,总览!$D$46:$D$345,1)+1,1),7)=0),$C$3,0),0)</f>
        <v>669.002678571432</v>
      </c>
      <c r="O1131" s="131" cm="1">
        <f ca="1" t="array" ref="O1131">IF(O1733=1,OFFSET($W$634,$B1131,O$631-1)/SUMPRODUCT(--($D$631:$V$631=O$631),--($D1733:$V1733=1)),0)+SUM(O1130)+IF(COUNTIF(O$1237:O1733,1)=1,5,0)+IF(COUNTIF(P1131:$W1131,"&gt;"&amp;0)&lt;5,IF(AND(COUNTIF(O$1237:O1733,1)&gt;7,MOD(1+IFERROR(MATCH($C1131,总览!$D$46:$D$345,1)+1,1),7)=0),$C$3,0),0)</f>
        <v>674.002678571432</v>
      </c>
      <c r="P1131" s="131" cm="1">
        <f ca="1" t="array" ref="P1131">IF(P1733=1,OFFSET($W$634,$B1131,P$631-1)/SUMPRODUCT(--($D$631:$V$631=P$631),--($D1733:$V1733=1)),0)+SUM(P1130)+IF(COUNTIF(P$1237:P1733,1)=1,5,0)+IF(COUNTIF(Q1131:$W1131,"&gt;"&amp;0)&lt;5,IF(AND(COUNTIF(P$1237:P1733,1)&gt;7,MOD(1+IFERROR(MATCH($C1131,总览!$D$46:$D$345,1)+1,1),7)=0),$C$3,0),0)</f>
        <v>663.121428571432</v>
      </c>
      <c r="Q1131" s="131" cm="1">
        <f ca="1" t="array" ref="Q1131">IF(Q1733=1,OFFSET($W$634,$B1131,Q$631-1)/SUMPRODUCT(--($D$631:$V$631=Q$631),--($D1733:$V1733=1)),0)+SUM(Q1130)+IF(COUNTIF(Q$1237:Q1733,1)=1,5,0)+IF(COUNTIF(R1131:$W1131,"&gt;"&amp;0)&lt;5,IF(AND(COUNTIF(Q$1237:Q1733,1)&gt;7,MOD(1+IFERROR(MATCH($C1131,总览!$D$46:$D$345,1)+1,1),7)=0),$C$3,0),0)</f>
        <v>676.502678571432</v>
      </c>
      <c r="R1131" s="131" cm="1">
        <f ca="1" t="array" ref="R1131">IF(R1733=1,OFFSET($W$634,$B1131,R$631-1)/SUMPRODUCT(--($D$631:$V$631=R$631),--($D1733:$V1733=1)),0)+SUM(R1130)+IF(COUNTIF(R$1237:R1733,1)=1,5,0)+IF(COUNTIF(S1131:$W1131,"&gt;"&amp;0)&lt;5,IF(AND(COUNTIF(R$1237:R1733,1)&gt;7,MOD(1+IFERROR(MATCH($C1131,总览!$D$46:$D$345,1)+1,1),7)=0),$C$3,0),0)</f>
        <v>668.121428571432</v>
      </c>
      <c r="S1131" s="131" cm="1">
        <f ca="1" t="array" ref="S1131">IF(S1733=1,OFFSET($W$634,$B1131,S$631-1)/SUMPRODUCT(--($D$631:$V$631=S$631),--($D1733:$V1733=1)),0)+SUM(S1130)+IF(COUNTIF(S$1237:S1733,1)=1,5,0)+IF(COUNTIF(T1131:$W1131,"&gt;"&amp;0)&lt;5,IF(AND(COUNTIF(S$1237:S1733,1)&gt;7,MOD(1+IFERROR(MATCH($C1131,总览!$D$46:$D$345,1)+1,1),7)=0),$C$3,0),0)</f>
        <v>760.621428571433</v>
      </c>
      <c r="T1131" s="131" cm="1">
        <f ca="1" t="array" ref="T1131">IF(T1733=1,OFFSET($W$634,$B1131,T$631-1)/SUMPRODUCT(--($D$631:$V$631=T$631),--($D1733:$V1733=1)),0)+SUM(T1130)+IF(COUNTIF(T$1237:T1733,1)=1,5,0)+IF(COUNTIF(U1131:$W1131,"&gt;"&amp;0)&lt;5,IF(AND(COUNTIF(T$1237:T1733,1)&gt;7,MOD(1+IFERROR(MATCH($C1131,总览!$D$46:$D$345,1)+1,1),7)=0),$C$3,0),0)</f>
        <v>556.978835282587</v>
      </c>
      <c r="U1131" s="131" cm="1">
        <f ca="1" t="array" ref="U1131">IF(U1733=1,OFFSET($W$634,$B1131,U$631-1)/SUMPRODUCT(--($D$631:$V$631=U$631),--($D1733:$V1733=1)),0)+SUM(U1130)+IF(COUNTIF(U$1237:U1733,1)=1,5,0)+IF(COUNTIF(V1131:$W1131,"&gt;"&amp;0)&lt;5,IF(AND(COUNTIF(U$1237:U1733,1)&gt;7,MOD(1+IFERROR(MATCH($C1131,总览!$D$46:$D$345,1)+1,1),7)=0),$C$3,0),0)</f>
        <v>562.499621637887</v>
      </c>
      <c r="V1131" s="131" cm="1">
        <f ca="1" t="array" ref="V1131">IF(V1733=1,OFFSET($W$634,$B1131,V$631-1)/SUMPRODUCT(--($D$631:$V$631=V$631),--($D1733:$V1733=1)),0)+SUM(V1130)+IF(COUNTIF(V$1237:V1733,1)=1,5,0)+IF(COUNTIF(W1131:$W1131,"&gt;"&amp;0)&lt;5,IF(AND(COUNTIF(V$1237:V1733,1)&gt;7,MOD(1+IFERROR(MATCH($C1131,总览!$D$46:$D$345,1)+1,1),7)=0),$C$3,0),0)</f>
        <v>582.32662135032</v>
      </c>
      <c r="W1131" s="135" cm="1">
        <f ca="1" t="array" ref="W1131">SUMPRODUCT(TRANSPOSE($AA1131:$AG1131),OFFSET($L$9:$L$15,0,W$631-1))</f>
        <v>16.8502200646615</v>
      </c>
      <c r="X1131" s="135" cm="1">
        <f ca="1" t="array" ref="X1131">SUMPRODUCT(TRANSPOSE($AA1131:$AG1131),OFFSET($L$9:$L$15,0,X$631-1))</f>
        <v>20</v>
      </c>
      <c r="Y1131" s="135" cm="1">
        <f ca="1" t="array" ref="Y1131">SUMPRODUCT(TRANSPOSE($AA1131:$AG1131),OFFSET($L$9:$L$15,0,Y$631-1))</f>
        <v>10</v>
      </c>
      <c r="Z1131" s="135" cm="1">
        <f ca="1" t="array" ref="Z1131">SUMPRODUCT(TRANSPOSE($AA1131:$AG1131),OFFSET($L$9:$L$15,0,Z$631-1))</f>
        <v>3.14977993533847</v>
      </c>
      <c r="AA1131" s="136">
        <f ca="1" t="shared" ref="AA1131:AG1131" si="1247">AH1131-AH1130</f>
        <v>0</v>
      </c>
      <c r="AB1131" s="136">
        <f ca="1" t="shared" si="1247"/>
        <v>0</v>
      </c>
      <c r="AC1131" s="136">
        <f ca="1" t="shared" si="1247"/>
        <v>0</v>
      </c>
      <c r="AD1131" s="136">
        <f ca="1" t="shared" si="1247"/>
        <v>0</v>
      </c>
      <c r="AE1131" s="136">
        <f ca="1" t="shared" si="1247"/>
        <v>0</v>
      </c>
      <c r="AF1131" s="136">
        <f ca="1" t="shared" si="1247"/>
        <v>0</v>
      </c>
      <c r="AG1131" s="136">
        <f ca="1" t="shared" si="1247"/>
        <v>100</v>
      </c>
      <c r="AH1131" s="136">
        <f ca="1" t="shared" si="1151"/>
        <v>450</v>
      </c>
      <c r="AI1131" s="136">
        <f ca="1" t="shared" ref="AI1131:AN1131" si="1248">IF($C1131&gt;OFFSET($Q$8,MATCH(AI$634,$AH$634:$AN$634,0),0),OFFSET($P$8,MATCH(AI$634,$AH$634:$AN$634,0),0),MAX(0,$C1131-OFFSET($Q$8,RIGHT(AI$634,1)-1,0)))</f>
        <v>909</v>
      </c>
      <c r="AJ1131" s="136">
        <f ca="1" t="shared" si="1248"/>
        <v>1818</v>
      </c>
      <c r="AK1131" s="136">
        <f ca="1" t="shared" si="1248"/>
        <v>2727</v>
      </c>
      <c r="AL1131" s="136">
        <f ca="1" t="shared" si="1248"/>
        <v>3636</v>
      </c>
      <c r="AM1131" s="136">
        <f ca="1" t="shared" si="1248"/>
        <v>4545</v>
      </c>
      <c r="AN1131" s="136">
        <f ca="1" t="shared" si="1248"/>
        <v>35615</v>
      </c>
    </row>
    <row r="1132" s="106" customFormat="1" ht="16.5" spans="2:40">
      <c r="B1132" s="117">
        <v>498</v>
      </c>
      <c r="C1132" s="130">
        <f t="shared" si="1149"/>
        <v>49800</v>
      </c>
      <c r="D1132" s="131" cm="1">
        <f ca="1" t="array" ref="D1132">IF(D1734=1,OFFSET($W$634,$B1132,D$631-1)/SUMPRODUCT(--($D$631:$V$631=D$631),--($D1734:$V1734=1)),0)+SUM(D1131)+IF(COUNTIF(D$1237:D1734,1)=1,5,0)+IF(COUNTIF(E1132:$W1132,"&gt;"&amp;0)&lt;5,IF(AND(COUNTIF(D$1237:D1734,1)&gt;7,MOD(1+IFERROR(MATCH($C1132,总览!$D$46:$D$345,1)+1,1),7)=0),$C$3,0),0)</f>
        <v>3124.84004726465</v>
      </c>
      <c r="E1132" s="131" cm="1">
        <f ca="1" t="array" ref="E1132">IF(E1734=1,OFFSET($W$634,$B1132,E$631-1)/SUMPRODUCT(--($D$631:$V$631=E$631),--($D1734:$V1734=1)),0)+SUM(E1131)+IF(COUNTIF(E$1237:E1734,1)=1,5,0)+IF(COUNTIF(F1132:$W1132,"&gt;"&amp;0)&lt;5,IF(AND(COUNTIF(E$1237:E1734,1)&gt;7,MOD(1+IFERROR(MATCH($C1132,总览!$D$46:$D$345,1)+1,1),7)=0),$C$3,0),0)</f>
        <v>3124.84004726465</v>
      </c>
      <c r="F1132" s="131" cm="1">
        <f ca="1" t="array" ref="F1132">IF(F1734=1,OFFSET($W$634,$B1132,F$631-1)/SUMPRODUCT(--($D$631:$V$631=F$631),--($D1734:$V1734=1)),0)+SUM(F1131)+IF(COUNTIF(F$1237:F1734,1)=1,5,0)+IF(COUNTIF(G1132:$W1132,"&gt;"&amp;0)&lt;5,IF(AND(COUNTIF(F$1237:F1734,1)&gt;7,MOD(1+IFERROR(MATCH($C1132,总览!$D$46:$D$345,1)+1,1),7)=0),$C$3,0),0)</f>
        <v>3124.84004726465</v>
      </c>
      <c r="G1132" s="131" cm="1">
        <f ca="1" t="array" ref="G1132">IF(G1734=1,OFFSET($W$634,$B1132,G$631-1)/SUMPRODUCT(--($D$631:$V$631=G$631),--($D1734:$V1734=1)),0)+SUM(G1131)+IF(COUNTIF(G$1237:G1734,1)=1,5,0)+IF(COUNTIF(H1132:$W1132,"&gt;"&amp;0)&lt;5,IF(AND(COUNTIF(G$1237:G1734,1)&gt;7,MOD(1+IFERROR(MATCH($C1132,总览!$D$46:$D$345,1)+1,1),7)=0),$C$3,0),0)</f>
        <v>1599.39999999999</v>
      </c>
      <c r="H1132" s="131" cm="1">
        <f ca="1" t="array" ref="H1132">IF(H1734=1,OFFSET($W$634,$B1132,H$631-1)/SUMPRODUCT(--($D$631:$V$631=H$631),--($D1734:$V1734=1)),0)+SUM(H1131)+IF(COUNTIF(H$1237:H1734,1)=1,5,0)+IF(COUNTIF(I1132:$W1132,"&gt;"&amp;0)&lt;5,IF(AND(COUNTIF(H$1237:H1734,1)&gt;7,MOD(1+IFERROR(MATCH($C1132,总览!$D$46:$D$345,1)+1,1),7)=0),$C$3,0),0)</f>
        <v>1599.39999999999</v>
      </c>
      <c r="I1132" s="131" cm="1">
        <f ca="1" t="array" ref="I1132">IF(I1734=1,OFFSET($W$634,$B1132,I$631-1)/SUMPRODUCT(--($D$631:$V$631=I$631),--($D1734:$V1734=1)),0)+SUM(I1131)+IF(COUNTIF(I$1237:I1734,1)=1,5,0)+IF(COUNTIF(J1132:$W1132,"&gt;"&amp;0)&lt;5,IF(AND(COUNTIF(I$1237:I1734,1)&gt;7,MOD(1+IFERROR(MATCH($C1132,总览!$D$46:$D$345,1)+1,1),7)=0),$C$3,0),0)</f>
        <v>1599.39999999999</v>
      </c>
      <c r="J1132" s="131" cm="1">
        <f ca="1" t="array" ref="J1132">IF(J1734=1,OFFSET($W$634,$B1132,J$631-1)/SUMPRODUCT(--($D$631:$V$631=J$631),--($D1734:$V1734=1)),0)+SUM(J1131)+IF(COUNTIF(J$1237:J1734,1)=1,5,0)+IF(COUNTIF(K1132:$W1132,"&gt;"&amp;0)&lt;5,IF(AND(COUNTIF(J$1237:J1734,1)&gt;7,MOD(1+IFERROR(MATCH($C1132,总览!$D$46:$D$345,1)+1,1),7)=0),$C$3,0),0)</f>
        <v>1596.06666666666</v>
      </c>
      <c r="K1132" s="131" cm="1">
        <f ca="1" t="array" ref="K1132">IF(K1734=1,OFFSET($W$634,$B1132,K$631-1)/SUMPRODUCT(--($D$631:$V$631=K$631),--($D1734:$V1734=1)),0)+SUM(K1131)+IF(COUNTIF(K$1237:K1734,1)=1,5,0)+IF(COUNTIF(L1132:$W1132,"&gt;"&amp;0)&lt;5,IF(AND(COUNTIF(K$1237:K1734,1)&gt;7,MOD(1+IFERROR(MATCH($C1132,总览!$D$46:$D$345,1)+1,1),7)=0),$C$3,0),0)</f>
        <v>1593.56666666666</v>
      </c>
      <c r="L1132" s="131" cm="1">
        <f ca="1" t="array" ref="L1132">IF(L1734=1,OFFSET($W$634,$B1132,L$631-1)/SUMPRODUCT(--($D$631:$V$631=L$631),--($D1734:$V1734=1)),0)+SUM(L1131)+IF(COUNTIF(L$1237:L1734,1)=1,5,0)+IF(COUNTIF(M1132:$W1132,"&gt;"&amp;0)&lt;5,IF(AND(COUNTIF(L$1237:L1734,1)&gt;7,MOD(1+IFERROR(MATCH($C1132,总览!$D$46:$D$345,1)+1,1),7)=0),$C$3,0),0)</f>
        <v>1593.56666666666</v>
      </c>
      <c r="M1132" s="131" cm="1">
        <f ca="1" t="array" ref="M1132">IF(M1734=1,OFFSET($W$634,$B1132,M$631-1)/SUMPRODUCT(--($D$631:$V$631=M$631),--($D1734:$V1734=1)),0)+SUM(M1131)+IF(COUNTIF(M$1237:M1734,1)=1,5,0)+IF(COUNTIF(N1132:$W1132,"&gt;"&amp;0)&lt;5,IF(AND(COUNTIF(M$1237:M1734,1)&gt;7,MOD(1+IFERROR(MATCH($C1132,总览!$D$46:$D$345,1)+1,1),7)=0),$C$3,0),0)</f>
        <v>669.181250000004</v>
      </c>
      <c r="N1132" s="131" cm="1">
        <f ca="1" t="array" ref="N1132">IF(N1734=1,OFFSET($W$634,$B1132,N$631-1)/SUMPRODUCT(--($D$631:$V$631=N$631),--($D1734:$V1734=1)),0)+SUM(N1131)+IF(COUNTIF(N$1237:N1734,1)=1,5,0)+IF(COUNTIF(O1132:$W1132,"&gt;"&amp;0)&lt;5,IF(AND(COUNTIF(N$1237:N1734,1)&gt;7,MOD(1+IFERROR(MATCH($C1132,总览!$D$46:$D$345,1)+1,1),7)=0),$C$3,0),0)</f>
        <v>670.431250000004</v>
      </c>
      <c r="O1132" s="131" cm="1">
        <f ca="1" t="array" ref="O1132">IF(O1734=1,OFFSET($W$634,$B1132,O$631-1)/SUMPRODUCT(--($D$631:$V$631=O$631),--($D1734:$V1734=1)),0)+SUM(O1131)+IF(COUNTIF(O$1237:O1734,1)=1,5,0)+IF(COUNTIF(P1132:$W1132,"&gt;"&amp;0)&lt;5,IF(AND(COUNTIF(O$1237:O1734,1)&gt;7,MOD(1+IFERROR(MATCH($C1132,总览!$D$46:$D$345,1)+1,1),7)=0),$C$3,0),0)</f>
        <v>675.431250000004</v>
      </c>
      <c r="P1132" s="131" cm="1">
        <f ca="1" t="array" ref="P1132">IF(P1734=1,OFFSET($W$634,$B1132,P$631-1)/SUMPRODUCT(--($D$631:$V$631=P$631),--($D1734:$V1734=1)),0)+SUM(P1131)+IF(COUNTIF(P$1237:P1734,1)=1,5,0)+IF(COUNTIF(Q1132:$W1132,"&gt;"&amp;0)&lt;5,IF(AND(COUNTIF(P$1237:P1734,1)&gt;7,MOD(1+IFERROR(MATCH($C1132,总览!$D$46:$D$345,1)+1,1),7)=0),$C$3,0),0)</f>
        <v>664.550000000003</v>
      </c>
      <c r="Q1132" s="131" cm="1">
        <f ca="1" t="array" ref="Q1132">IF(Q1734=1,OFFSET($W$634,$B1132,Q$631-1)/SUMPRODUCT(--($D$631:$V$631=Q$631),--($D1734:$V1734=1)),0)+SUM(Q1131)+IF(COUNTIF(Q$1237:Q1734,1)=1,5,0)+IF(COUNTIF(R1132:$W1132,"&gt;"&amp;0)&lt;5,IF(AND(COUNTIF(Q$1237:Q1734,1)&gt;7,MOD(1+IFERROR(MATCH($C1132,总览!$D$46:$D$345,1)+1,1),7)=0),$C$3,0),0)</f>
        <v>677.931250000004</v>
      </c>
      <c r="R1132" s="131" cm="1">
        <f ca="1" t="array" ref="R1132">IF(R1734=1,OFFSET($W$634,$B1132,R$631-1)/SUMPRODUCT(--($D$631:$V$631=R$631),--($D1734:$V1734=1)),0)+SUM(R1131)+IF(COUNTIF(R$1237:R1734,1)=1,5,0)+IF(COUNTIF(S1132:$W1132,"&gt;"&amp;0)&lt;5,IF(AND(COUNTIF(R$1237:R1734,1)&gt;7,MOD(1+IFERROR(MATCH($C1132,总览!$D$46:$D$345,1)+1,1),7)=0),$C$3,0),0)</f>
        <v>669.550000000003</v>
      </c>
      <c r="S1132" s="131" cm="1">
        <f ca="1" t="array" ref="S1132">IF(S1734=1,OFFSET($W$634,$B1132,S$631-1)/SUMPRODUCT(--($D$631:$V$631=S$631),--($D1734:$V1734=1)),0)+SUM(S1131)+IF(COUNTIF(S$1237:S1734,1)=1,5,0)+IF(COUNTIF(T1132:$W1132,"&gt;"&amp;0)&lt;5,IF(AND(COUNTIF(S$1237:S1734,1)&gt;7,MOD(1+IFERROR(MATCH($C1132,总览!$D$46:$D$345,1)+1,1),7)=0),$C$3,0),0)</f>
        <v>762.050000000005</v>
      </c>
      <c r="T1132" s="131" cm="1">
        <f ca="1" t="array" ref="T1132">IF(T1734=1,OFFSET($W$634,$B1132,T$631-1)/SUMPRODUCT(--($D$631:$V$631=T$631),--($D1734:$V1734=1)),0)+SUM(T1131)+IF(COUNTIF(T$1237:T1734,1)=1,5,0)+IF(COUNTIF(U1132:$W1132,"&gt;"&amp;0)&lt;5,IF(AND(COUNTIF(T$1237:T1734,1)&gt;7,MOD(1+IFERROR(MATCH($C1132,总览!$D$46:$D$345,1)+1,1),7)=0),$C$3,0),0)</f>
        <v>558.0287619277</v>
      </c>
      <c r="U1132" s="131" cm="1">
        <f ca="1" t="array" ref="U1132">IF(U1734=1,OFFSET($W$634,$B1132,U$631-1)/SUMPRODUCT(--($D$631:$V$631=U$631),--($D1734:$V1734=1)),0)+SUM(U1131)+IF(COUNTIF(U$1237:U1734,1)=1,5,0)+IF(COUNTIF(V1132:$W1132,"&gt;"&amp;0)&lt;5,IF(AND(COUNTIF(U$1237:U1734,1)&gt;7,MOD(1+IFERROR(MATCH($C1132,总览!$D$46:$D$345,1)+1,1),7)=0),$C$3,0),0)</f>
        <v>563.549548282999</v>
      </c>
      <c r="V1132" s="131" cm="1">
        <f ca="1" t="array" ref="V1132">IF(V1734=1,OFFSET($W$634,$B1132,V$631-1)/SUMPRODUCT(--($D$631:$V$631=V$631),--($D1734:$V1734=1)),0)+SUM(V1131)+IF(COUNTIF(V$1237:V1734,1)=1,5,0)+IF(COUNTIF(W1132:$W1132,"&gt;"&amp;0)&lt;5,IF(AND(COUNTIF(V$1237:V1734,1)&gt;7,MOD(1+IFERROR(MATCH($C1132,总览!$D$46:$D$345,1)+1,1),7)=0),$C$3,0),0)</f>
        <v>583.376547995432</v>
      </c>
      <c r="W1132" s="135" cm="1">
        <f ca="1" t="array" ref="W1132">SUMPRODUCT(TRANSPOSE($AA1132:$AG1132),OFFSET($L$9:$L$15,0,W$631-1))</f>
        <v>16.8502200646615</v>
      </c>
      <c r="X1132" s="135" cm="1">
        <f ca="1" t="array" ref="X1132">SUMPRODUCT(TRANSPOSE($AA1132:$AG1132),OFFSET($L$9:$L$15,0,X$631-1))</f>
        <v>20</v>
      </c>
      <c r="Y1132" s="135" cm="1">
        <f ca="1" t="array" ref="Y1132">SUMPRODUCT(TRANSPOSE($AA1132:$AG1132),OFFSET($L$9:$L$15,0,Y$631-1))</f>
        <v>10</v>
      </c>
      <c r="Z1132" s="135" cm="1">
        <f ca="1" t="array" ref="Z1132">SUMPRODUCT(TRANSPOSE($AA1132:$AG1132),OFFSET($L$9:$L$15,0,Z$631-1))</f>
        <v>3.14977993533847</v>
      </c>
      <c r="AA1132" s="136">
        <f ca="1" t="shared" ref="AA1132:AG1132" si="1249">AH1132-AH1131</f>
        <v>0</v>
      </c>
      <c r="AB1132" s="136">
        <f ca="1" t="shared" si="1249"/>
        <v>0</v>
      </c>
      <c r="AC1132" s="136">
        <f ca="1" t="shared" si="1249"/>
        <v>0</v>
      </c>
      <c r="AD1132" s="136">
        <f ca="1" t="shared" si="1249"/>
        <v>0</v>
      </c>
      <c r="AE1132" s="136">
        <f ca="1" t="shared" si="1249"/>
        <v>0</v>
      </c>
      <c r="AF1132" s="136">
        <f ca="1" t="shared" si="1249"/>
        <v>0</v>
      </c>
      <c r="AG1132" s="136">
        <f ca="1" t="shared" si="1249"/>
        <v>100</v>
      </c>
      <c r="AH1132" s="136">
        <f ca="1" t="shared" si="1151"/>
        <v>450</v>
      </c>
      <c r="AI1132" s="136">
        <f ca="1" t="shared" ref="AI1132:AN1132" si="1250">IF($C1132&gt;OFFSET($Q$8,MATCH(AI$634,$AH$634:$AN$634,0),0),OFFSET($P$8,MATCH(AI$634,$AH$634:$AN$634,0),0),MAX(0,$C1132-OFFSET($Q$8,RIGHT(AI$634,1)-1,0)))</f>
        <v>909</v>
      </c>
      <c r="AJ1132" s="136">
        <f ca="1" t="shared" si="1250"/>
        <v>1818</v>
      </c>
      <c r="AK1132" s="136">
        <f ca="1" t="shared" si="1250"/>
        <v>2727</v>
      </c>
      <c r="AL1132" s="136">
        <f ca="1" t="shared" si="1250"/>
        <v>3636</v>
      </c>
      <c r="AM1132" s="136">
        <f ca="1" t="shared" si="1250"/>
        <v>4545</v>
      </c>
      <c r="AN1132" s="136">
        <f ca="1" t="shared" si="1250"/>
        <v>35715</v>
      </c>
    </row>
    <row r="1133" s="106" customFormat="1" ht="16.5" spans="2:40">
      <c r="B1133" s="117">
        <v>499</v>
      </c>
      <c r="C1133" s="130">
        <f t="shared" si="1149"/>
        <v>49900</v>
      </c>
      <c r="D1133" s="131" cm="1">
        <f ca="1" t="array" ref="D1133">IF(D1735=1,OFFSET($W$634,$B1133,D$631-1)/SUMPRODUCT(--($D$631:$V$631=D$631),--($D1735:$V1735=1)),0)+SUM(D1132)+IF(COUNTIF(D$1237:D1735,1)=1,5,0)+IF(COUNTIF(E1133:$W1133,"&gt;"&amp;0)&lt;5,IF(AND(COUNTIF(D$1237:D1735,1)&gt;7,MOD(1+IFERROR(MATCH($C1133,总览!$D$46:$D$345,1)+1,1),7)=0),$C$3,0),0)</f>
        <v>3130.45678728621</v>
      </c>
      <c r="E1133" s="131" cm="1">
        <f ca="1" t="array" ref="E1133">IF(E1735=1,OFFSET($W$634,$B1133,E$631-1)/SUMPRODUCT(--($D$631:$V$631=E$631),--($D1735:$V1735=1)),0)+SUM(E1132)+IF(COUNTIF(E$1237:E1735,1)=1,5,0)+IF(COUNTIF(F1133:$W1133,"&gt;"&amp;0)&lt;5,IF(AND(COUNTIF(E$1237:E1735,1)&gt;7,MOD(1+IFERROR(MATCH($C1133,总览!$D$46:$D$345,1)+1,1),7)=0),$C$3,0),0)</f>
        <v>3130.45678728621</v>
      </c>
      <c r="F1133" s="131" cm="1">
        <f ca="1" t="array" ref="F1133">IF(F1735=1,OFFSET($W$634,$B1133,F$631-1)/SUMPRODUCT(--($D$631:$V$631=F$631),--($D1735:$V1735=1)),0)+SUM(F1132)+IF(COUNTIF(F$1237:F1735,1)=1,5,0)+IF(COUNTIF(G1133:$W1133,"&gt;"&amp;0)&lt;5,IF(AND(COUNTIF(F$1237:F1735,1)&gt;7,MOD(1+IFERROR(MATCH($C1133,总览!$D$46:$D$345,1)+1,1),7)=0),$C$3,0),0)</f>
        <v>3130.45678728621</v>
      </c>
      <c r="G1133" s="131" cm="1">
        <f ca="1" t="array" ref="G1133">IF(G1735=1,OFFSET($W$634,$B1133,G$631-1)/SUMPRODUCT(--($D$631:$V$631=G$631),--($D1735:$V1735=1)),0)+SUM(G1132)+IF(COUNTIF(G$1237:G1735,1)=1,5,0)+IF(COUNTIF(H1133:$W1133,"&gt;"&amp;0)&lt;5,IF(AND(COUNTIF(G$1237:G1735,1)&gt;7,MOD(1+IFERROR(MATCH($C1133,总览!$D$46:$D$345,1)+1,1),7)=0),$C$3,0),0)</f>
        <v>1602.73333333332</v>
      </c>
      <c r="H1133" s="131" cm="1">
        <f ca="1" t="array" ref="H1133">IF(H1735=1,OFFSET($W$634,$B1133,H$631-1)/SUMPRODUCT(--($D$631:$V$631=H$631),--($D1735:$V1735=1)),0)+SUM(H1132)+IF(COUNTIF(H$1237:H1735,1)=1,5,0)+IF(COUNTIF(I1133:$W1133,"&gt;"&amp;0)&lt;5,IF(AND(COUNTIF(H$1237:H1735,1)&gt;7,MOD(1+IFERROR(MATCH($C1133,总览!$D$46:$D$345,1)+1,1),7)=0),$C$3,0),0)</f>
        <v>1602.73333333332</v>
      </c>
      <c r="I1133" s="131" cm="1">
        <f ca="1" t="array" ref="I1133">IF(I1735=1,OFFSET($W$634,$B1133,I$631-1)/SUMPRODUCT(--($D$631:$V$631=I$631),--($D1735:$V1735=1)),0)+SUM(I1132)+IF(COUNTIF(I$1237:I1735,1)=1,5,0)+IF(COUNTIF(J1133:$W1133,"&gt;"&amp;0)&lt;5,IF(AND(COUNTIF(I$1237:I1735,1)&gt;7,MOD(1+IFERROR(MATCH($C1133,总览!$D$46:$D$345,1)+1,1),7)=0),$C$3,0),0)</f>
        <v>1602.73333333332</v>
      </c>
      <c r="J1133" s="131" cm="1">
        <f ca="1" t="array" ref="J1133">IF(J1735=1,OFFSET($W$634,$B1133,J$631-1)/SUMPRODUCT(--($D$631:$V$631=J$631),--($D1735:$V1735=1)),0)+SUM(J1132)+IF(COUNTIF(J$1237:J1735,1)=1,5,0)+IF(COUNTIF(K1133:$W1133,"&gt;"&amp;0)&lt;5,IF(AND(COUNTIF(J$1237:J1735,1)&gt;7,MOD(1+IFERROR(MATCH($C1133,总览!$D$46:$D$345,1)+1,1),7)=0),$C$3,0),0)</f>
        <v>1599.39999999999</v>
      </c>
      <c r="K1133" s="131" cm="1">
        <f ca="1" t="array" ref="K1133">IF(K1735=1,OFFSET($W$634,$B1133,K$631-1)/SUMPRODUCT(--($D$631:$V$631=K$631),--($D1735:$V1735=1)),0)+SUM(K1132)+IF(COUNTIF(K$1237:K1735,1)=1,5,0)+IF(COUNTIF(L1133:$W1133,"&gt;"&amp;0)&lt;5,IF(AND(COUNTIF(K$1237:K1735,1)&gt;7,MOD(1+IFERROR(MATCH($C1133,总览!$D$46:$D$345,1)+1,1),7)=0),$C$3,0),0)</f>
        <v>1596.89999999999</v>
      </c>
      <c r="L1133" s="131" cm="1">
        <f ca="1" t="array" ref="L1133">IF(L1735=1,OFFSET($W$634,$B1133,L$631-1)/SUMPRODUCT(--($D$631:$V$631=L$631),--($D1735:$V1735=1)),0)+SUM(L1132)+IF(COUNTIF(L$1237:L1735,1)=1,5,0)+IF(COUNTIF(M1133:$W1133,"&gt;"&amp;0)&lt;5,IF(AND(COUNTIF(L$1237:L1735,1)&gt;7,MOD(1+IFERROR(MATCH($C1133,总览!$D$46:$D$345,1)+1,1),7)=0),$C$3,0),0)</f>
        <v>1596.89999999999</v>
      </c>
      <c r="M1133" s="131" cm="1">
        <f ca="1" t="array" ref="M1133">IF(M1735=1,OFFSET($W$634,$B1133,M$631-1)/SUMPRODUCT(--($D$631:$V$631=M$631),--($D1735:$V1735=1)),0)+SUM(M1132)+IF(COUNTIF(M$1237:M1735,1)=1,5,0)+IF(COUNTIF(N1133:$W1133,"&gt;"&amp;0)&lt;5,IF(AND(COUNTIF(M$1237:M1735,1)&gt;7,MOD(1+IFERROR(MATCH($C1133,总览!$D$46:$D$345,1)+1,1),7)=0),$C$3,0),0)</f>
        <v>670.609821428575</v>
      </c>
      <c r="N1133" s="131" cm="1">
        <f ca="1" t="array" ref="N1133">IF(N1735=1,OFFSET($W$634,$B1133,N$631-1)/SUMPRODUCT(--($D$631:$V$631=N$631),--($D1735:$V1735=1)),0)+SUM(N1132)+IF(COUNTIF(N$1237:N1735,1)=1,5,0)+IF(COUNTIF(O1133:$W1133,"&gt;"&amp;0)&lt;5,IF(AND(COUNTIF(N$1237:N1735,1)&gt;7,MOD(1+IFERROR(MATCH($C1133,总览!$D$46:$D$345,1)+1,1),7)=0),$C$3,0),0)</f>
        <v>671.859821428575</v>
      </c>
      <c r="O1133" s="131" cm="1">
        <f ca="1" t="array" ref="O1133">IF(O1735=1,OFFSET($W$634,$B1133,O$631-1)/SUMPRODUCT(--($D$631:$V$631=O$631),--($D1735:$V1735=1)),0)+SUM(O1132)+IF(COUNTIF(O$1237:O1735,1)=1,5,0)+IF(COUNTIF(P1133:$W1133,"&gt;"&amp;0)&lt;5,IF(AND(COUNTIF(O$1237:O1735,1)&gt;7,MOD(1+IFERROR(MATCH($C1133,总览!$D$46:$D$345,1)+1,1),7)=0),$C$3,0),0)</f>
        <v>676.859821428575</v>
      </c>
      <c r="P1133" s="131" cm="1">
        <f ca="1" t="array" ref="P1133">IF(P1735=1,OFFSET($W$634,$B1133,P$631-1)/SUMPRODUCT(--($D$631:$V$631=P$631),--($D1735:$V1735=1)),0)+SUM(P1132)+IF(COUNTIF(P$1237:P1735,1)=1,5,0)+IF(COUNTIF(Q1133:$W1133,"&gt;"&amp;0)&lt;5,IF(AND(COUNTIF(P$1237:P1735,1)&gt;7,MOD(1+IFERROR(MATCH($C1133,总览!$D$46:$D$345,1)+1,1),7)=0),$C$3,0),0)</f>
        <v>665.978571428575</v>
      </c>
      <c r="Q1133" s="131" cm="1">
        <f ca="1" t="array" ref="Q1133">IF(Q1735=1,OFFSET($W$634,$B1133,Q$631-1)/SUMPRODUCT(--($D$631:$V$631=Q$631),--($D1735:$V1735=1)),0)+SUM(Q1132)+IF(COUNTIF(Q$1237:Q1735,1)=1,5,0)+IF(COUNTIF(R1133:$W1133,"&gt;"&amp;0)&lt;5,IF(AND(COUNTIF(Q$1237:Q1735,1)&gt;7,MOD(1+IFERROR(MATCH($C1133,总览!$D$46:$D$345,1)+1,1),7)=0),$C$3,0),0)</f>
        <v>679.359821428575</v>
      </c>
      <c r="R1133" s="131" cm="1">
        <f ca="1" t="array" ref="R1133">IF(R1735=1,OFFSET($W$634,$B1133,R$631-1)/SUMPRODUCT(--($D$631:$V$631=R$631),--($D1735:$V1735=1)),0)+SUM(R1132)+IF(COUNTIF(R$1237:R1735,1)=1,5,0)+IF(COUNTIF(S1133:$W1133,"&gt;"&amp;0)&lt;5,IF(AND(COUNTIF(R$1237:R1735,1)&gt;7,MOD(1+IFERROR(MATCH($C1133,总览!$D$46:$D$345,1)+1,1),7)=0),$C$3,0),0)</f>
        <v>670.978571428575</v>
      </c>
      <c r="S1133" s="131" cm="1">
        <f ca="1" t="array" ref="S1133">IF(S1735=1,OFFSET($W$634,$B1133,S$631-1)/SUMPRODUCT(--($D$631:$V$631=S$631),--($D1735:$V1735=1)),0)+SUM(S1132)+IF(COUNTIF(S$1237:S1735,1)=1,5,0)+IF(COUNTIF(T1133:$W1133,"&gt;"&amp;0)&lt;5,IF(AND(COUNTIF(S$1237:S1735,1)&gt;7,MOD(1+IFERROR(MATCH($C1133,总览!$D$46:$D$345,1)+1,1),7)=0),$C$3,0),0)</f>
        <v>763.478571428576</v>
      </c>
      <c r="T1133" s="131" cm="1">
        <f ca="1" t="array" ref="T1133">IF(T1735=1,OFFSET($W$634,$B1133,T$631-1)/SUMPRODUCT(--($D$631:$V$631=T$631),--($D1735:$V1735=1)),0)+SUM(T1132)+IF(COUNTIF(T$1237:T1735,1)=1,5,0)+IF(COUNTIF(U1133:$W1133,"&gt;"&amp;0)&lt;5,IF(AND(COUNTIF(T$1237:T1735,1)&gt;7,MOD(1+IFERROR(MATCH($C1133,总览!$D$46:$D$345,1)+1,1),7)=0),$C$3,0),0)</f>
        <v>559.078688572813</v>
      </c>
      <c r="U1133" s="131" cm="1">
        <f ca="1" t="array" ref="U1133">IF(U1735=1,OFFSET($W$634,$B1133,U$631-1)/SUMPRODUCT(--($D$631:$V$631=U$631),--($D1735:$V1735=1)),0)+SUM(U1132)+IF(COUNTIF(U$1237:U1735,1)=1,5,0)+IF(COUNTIF(V1133:$W1133,"&gt;"&amp;0)&lt;5,IF(AND(COUNTIF(U$1237:U1735,1)&gt;7,MOD(1+IFERROR(MATCH($C1133,总览!$D$46:$D$345,1)+1,1),7)=0),$C$3,0),0)</f>
        <v>564.599474928112</v>
      </c>
      <c r="V1133" s="131" cm="1">
        <f ca="1" t="array" ref="V1133">IF(V1735=1,OFFSET($W$634,$B1133,V$631-1)/SUMPRODUCT(--($D$631:$V$631=V$631),--($D1735:$V1735=1)),0)+SUM(V1132)+IF(COUNTIF(V$1237:V1735,1)=1,5,0)+IF(COUNTIF(W1133:$W1133,"&gt;"&amp;0)&lt;5,IF(AND(COUNTIF(V$1237:V1735,1)&gt;7,MOD(1+IFERROR(MATCH($C1133,总览!$D$46:$D$345,1)+1,1),7)=0),$C$3,0),0)</f>
        <v>584.426474640545</v>
      </c>
      <c r="W1133" s="135" cm="1">
        <f ca="1" t="array" ref="W1133">SUMPRODUCT(TRANSPOSE($AA1133:$AG1133),OFFSET($L$9:$L$15,0,W$631-1))</f>
        <v>16.8502200646615</v>
      </c>
      <c r="X1133" s="135" cm="1">
        <f ca="1" t="array" ref="X1133">SUMPRODUCT(TRANSPOSE($AA1133:$AG1133),OFFSET($L$9:$L$15,0,X$631-1))</f>
        <v>20</v>
      </c>
      <c r="Y1133" s="135" cm="1">
        <f ca="1" t="array" ref="Y1133">SUMPRODUCT(TRANSPOSE($AA1133:$AG1133),OFFSET($L$9:$L$15,0,Y$631-1))</f>
        <v>10</v>
      </c>
      <c r="Z1133" s="135" cm="1">
        <f ca="1" t="array" ref="Z1133">SUMPRODUCT(TRANSPOSE($AA1133:$AG1133),OFFSET($L$9:$L$15,0,Z$631-1))</f>
        <v>3.14977993533847</v>
      </c>
      <c r="AA1133" s="136">
        <f ca="1" t="shared" ref="AA1133:AG1133" si="1251">AH1133-AH1132</f>
        <v>0</v>
      </c>
      <c r="AB1133" s="136">
        <f ca="1" t="shared" si="1251"/>
        <v>0</v>
      </c>
      <c r="AC1133" s="136">
        <f ca="1" t="shared" si="1251"/>
        <v>0</v>
      </c>
      <c r="AD1133" s="136">
        <f ca="1" t="shared" si="1251"/>
        <v>0</v>
      </c>
      <c r="AE1133" s="136">
        <f ca="1" t="shared" si="1251"/>
        <v>0</v>
      </c>
      <c r="AF1133" s="136">
        <f ca="1" t="shared" si="1251"/>
        <v>0</v>
      </c>
      <c r="AG1133" s="136">
        <f ca="1" t="shared" si="1251"/>
        <v>100</v>
      </c>
      <c r="AH1133" s="136">
        <f ca="1" t="shared" si="1151"/>
        <v>450</v>
      </c>
      <c r="AI1133" s="136">
        <f ca="1" t="shared" ref="AI1133:AN1133" si="1252">IF($C1133&gt;OFFSET($Q$8,MATCH(AI$634,$AH$634:$AN$634,0),0),OFFSET($P$8,MATCH(AI$634,$AH$634:$AN$634,0),0),MAX(0,$C1133-OFFSET($Q$8,RIGHT(AI$634,1)-1,0)))</f>
        <v>909</v>
      </c>
      <c r="AJ1133" s="136">
        <f ca="1" t="shared" si="1252"/>
        <v>1818</v>
      </c>
      <c r="AK1133" s="136">
        <f ca="1" t="shared" si="1252"/>
        <v>2727</v>
      </c>
      <c r="AL1133" s="136">
        <f ca="1" t="shared" si="1252"/>
        <v>3636</v>
      </c>
      <c r="AM1133" s="136">
        <f ca="1" t="shared" si="1252"/>
        <v>4545</v>
      </c>
      <c r="AN1133" s="136">
        <f ca="1" t="shared" si="1252"/>
        <v>35815</v>
      </c>
    </row>
    <row r="1134" s="106" customFormat="1" ht="16.5" spans="2:40">
      <c r="B1134" s="117">
        <v>500</v>
      </c>
      <c r="C1134" s="130">
        <f t="shared" si="1149"/>
        <v>50000</v>
      </c>
      <c r="D1134" s="131" cm="1">
        <f ca="1" t="array" ref="D1134">IF(D1736=1,OFFSET($W$634,$B1134,D$631-1)/SUMPRODUCT(--($D$631:$V$631=D$631),--($D1736:$V1736=1)),0)+SUM(D1133)+IF(COUNTIF(D$1237:D1736,1)=1,5,0)+IF(COUNTIF(E1134:$W1134,"&gt;"&amp;0)&lt;5,IF(AND(COUNTIF(D$1237:D1736,1)&gt;7,MOD(1+IFERROR(MATCH($C1134,总览!$D$46:$D$345,1)+1,1),7)=0),$C$3,0),0)</f>
        <v>3136.07352730776</v>
      </c>
      <c r="E1134" s="131" cm="1">
        <f ca="1" t="array" ref="E1134">IF(E1736=1,OFFSET($W$634,$B1134,E$631-1)/SUMPRODUCT(--($D$631:$V$631=E$631),--($D1736:$V1736=1)),0)+SUM(E1133)+IF(COUNTIF(E$1237:E1736,1)=1,5,0)+IF(COUNTIF(F1134:$W1134,"&gt;"&amp;0)&lt;5,IF(AND(COUNTIF(E$1237:E1736,1)&gt;7,MOD(1+IFERROR(MATCH($C1134,总览!$D$46:$D$345,1)+1,1),7)=0),$C$3,0),0)</f>
        <v>3136.07352730776</v>
      </c>
      <c r="F1134" s="131" cm="1">
        <f ca="1" t="array" ref="F1134">IF(F1736=1,OFFSET($W$634,$B1134,F$631-1)/SUMPRODUCT(--($D$631:$V$631=F$631),--($D1736:$V1736=1)),0)+SUM(F1133)+IF(COUNTIF(F$1237:F1736,1)=1,5,0)+IF(COUNTIF(G1134:$W1134,"&gt;"&amp;0)&lt;5,IF(AND(COUNTIF(F$1237:F1736,1)&gt;7,MOD(1+IFERROR(MATCH($C1134,总览!$D$46:$D$345,1)+1,1),7)=0),$C$3,0),0)</f>
        <v>3136.07352730776</v>
      </c>
      <c r="G1134" s="131" cm="1">
        <f ca="1" t="array" ref="G1134">IF(G1736=1,OFFSET($W$634,$B1134,G$631-1)/SUMPRODUCT(--($D$631:$V$631=G$631),--($D1736:$V1736=1)),0)+SUM(G1133)+IF(COUNTIF(G$1237:G1736,1)=1,5,0)+IF(COUNTIF(H1134:$W1134,"&gt;"&amp;0)&lt;5,IF(AND(COUNTIF(G$1237:G1736,1)&gt;7,MOD(1+IFERROR(MATCH($C1134,总览!$D$46:$D$345,1)+1,1),7)=0),$C$3,0),0)</f>
        <v>1606.06666666666</v>
      </c>
      <c r="H1134" s="131" cm="1">
        <f ca="1" t="array" ref="H1134">IF(H1736=1,OFFSET($W$634,$B1134,H$631-1)/SUMPRODUCT(--($D$631:$V$631=H$631),--($D1736:$V1736=1)),0)+SUM(H1133)+IF(COUNTIF(H$1237:H1736,1)=1,5,0)+IF(COUNTIF(I1134:$W1134,"&gt;"&amp;0)&lt;5,IF(AND(COUNTIF(H$1237:H1736,1)&gt;7,MOD(1+IFERROR(MATCH($C1134,总览!$D$46:$D$345,1)+1,1),7)=0),$C$3,0),0)</f>
        <v>1606.06666666666</v>
      </c>
      <c r="I1134" s="131" cm="1">
        <f ca="1" t="array" ref="I1134">IF(I1736=1,OFFSET($W$634,$B1134,I$631-1)/SUMPRODUCT(--($D$631:$V$631=I$631),--($D1736:$V1736=1)),0)+SUM(I1133)+IF(COUNTIF(I$1237:I1736,1)=1,5,0)+IF(COUNTIF(J1134:$W1134,"&gt;"&amp;0)&lt;5,IF(AND(COUNTIF(I$1237:I1736,1)&gt;7,MOD(1+IFERROR(MATCH($C1134,总览!$D$46:$D$345,1)+1,1),7)=0),$C$3,0),0)</f>
        <v>1606.06666666666</v>
      </c>
      <c r="J1134" s="131" cm="1">
        <f ca="1" t="array" ref="J1134">IF(J1736=1,OFFSET($W$634,$B1134,J$631-1)/SUMPRODUCT(--($D$631:$V$631=J$631),--($D1736:$V1736=1)),0)+SUM(J1133)+IF(COUNTIF(J$1237:J1736,1)=1,5,0)+IF(COUNTIF(K1134:$W1134,"&gt;"&amp;0)&lt;5,IF(AND(COUNTIF(J$1237:J1736,1)&gt;7,MOD(1+IFERROR(MATCH($C1134,总览!$D$46:$D$345,1)+1,1),7)=0),$C$3,0),0)</f>
        <v>1602.73333333332</v>
      </c>
      <c r="K1134" s="131" cm="1">
        <f ca="1" t="array" ref="K1134">IF(K1736=1,OFFSET($W$634,$B1134,K$631-1)/SUMPRODUCT(--($D$631:$V$631=K$631),--($D1736:$V1736=1)),0)+SUM(K1133)+IF(COUNTIF(K$1237:K1736,1)=1,5,0)+IF(COUNTIF(L1134:$W1134,"&gt;"&amp;0)&lt;5,IF(AND(COUNTIF(K$1237:K1736,1)&gt;7,MOD(1+IFERROR(MATCH($C1134,总览!$D$46:$D$345,1)+1,1),7)=0),$C$3,0),0)</f>
        <v>1600.23333333332</v>
      </c>
      <c r="L1134" s="131" cm="1">
        <f ca="1" t="array" ref="L1134">IF(L1736=1,OFFSET($W$634,$B1134,L$631-1)/SUMPRODUCT(--($D$631:$V$631=L$631),--($D1736:$V1736=1)),0)+SUM(L1133)+IF(COUNTIF(L$1237:L1736,1)=1,5,0)+IF(COUNTIF(M1134:$W1134,"&gt;"&amp;0)&lt;5,IF(AND(COUNTIF(L$1237:L1736,1)&gt;7,MOD(1+IFERROR(MATCH($C1134,总览!$D$46:$D$345,1)+1,1),7)=0),$C$3,0),0)</f>
        <v>1600.23333333332</v>
      </c>
      <c r="M1134" s="131" cm="1">
        <f ca="1" t="array" ref="M1134">IF(M1736=1,OFFSET($W$634,$B1134,M$631-1)/SUMPRODUCT(--($D$631:$V$631=M$631),--($D1736:$V1736=1)),0)+SUM(M1133)+IF(COUNTIF(M$1237:M1736,1)=1,5,0)+IF(COUNTIF(N1134:$W1134,"&gt;"&amp;0)&lt;5,IF(AND(COUNTIF(M$1237:M1736,1)&gt;7,MOD(1+IFERROR(MATCH($C1134,总览!$D$46:$D$345,1)+1,1),7)=0),$C$3,0),0)</f>
        <v>672.038392857146</v>
      </c>
      <c r="N1134" s="131" cm="1">
        <f ca="1" t="array" ref="N1134">IF(N1736=1,OFFSET($W$634,$B1134,N$631-1)/SUMPRODUCT(--($D$631:$V$631=N$631),--($D1736:$V1736=1)),0)+SUM(N1133)+IF(COUNTIF(N$1237:N1736,1)=1,5,0)+IF(COUNTIF(O1134:$W1134,"&gt;"&amp;0)&lt;5,IF(AND(COUNTIF(N$1237:N1736,1)&gt;7,MOD(1+IFERROR(MATCH($C1134,总览!$D$46:$D$345,1)+1,1),7)=0),$C$3,0),0)</f>
        <v>673.288392857146</v>
      </c>
      <c r="O1134" s="131" cm="1">
        <f ca="1" t="array" ref="O1134">IF(O1736=1,OFFSET($W$634,$B1134,O$631-1)/SUMPRODUCT(--($D$631:$V$631=O$631),--($D1736:$V1736=1)),0)+SUM(O1133)+IF(COUNTIF(O$1237:O1736,1)=1,5,0)+IF(COUNTIF(P1134:$W1134,"&gt;"&amp;0)&lt;5,IF(AND(COUNTIF(O$1237:O1736,1)&gt;7,MOD(1+IFERROR(MATCH($C1134,总览!$D$46:$D$345,1)+1,1),7)=0),$C$3,0),0)</f>
        <v>678.288392857146</v>
      </c>
      <c r="P1134" s="131" cm="1">
        <f ca="1" t="array" ref="P1134">IF(P1736=1,OFFSET($W$634,$B1134,P$631-1)/SUMPRODUCT(--($D$631:$V$631=P$631),--($D1736:$V1736=1)),0)+SUM(P1133)+IF(COUNTIF(P$1237:P1736,1)=1,5,0)+IF(COUNTIF(Q1134:$W1134,"&gt;"&amp;0)&lt;5,IF(AND(COUNTIF(P$1237:P1736,1)&gt;7,MOD(1+IFERROR(MATCH($C1134,总览!$D$46:$D$345,1)+1,1),7)=0),$C$3,0),0)</f>
        <v>667.407142857146</v>
      </c>
      <c r="Q1134" s="131" cm="1">
        <f ca="1" t="array" ref="Q1134">IF(Q1736=1,OFFSET($W$634,$B1134,Q$631-1)/SUMPRODUCT(--($D$631:$V$631=Q$631),--($D1736:$V1736=1)),0)+SUM(Q1133)+IF(COUNTIF(Q$1237:Q1736,1)=1,5,0)+IF(COUNTIF(R1134:$W1134,"&gt;"&amp;0)&lt;5,IF(AND(COUNTIF(Q$1237:Q1736,1)&gt;7,MOD(1+IFERROR(MATCH($C1134,总览!$D$46:$D$345,1)+1,1),7)=0),$C$3,0),0)</f>
        <v>680.788392857146</v>
      </c>
      <c r="R1134" s="131" cm="1">
        <f ca="1" t="array" ref="R1134">IF(R1736=1,OFFSET($W$634,$B1134,R$631-1)/SUMPRODUCT(--($D$631:$V$631=R$631),--($D1736:$V1736=1)),0)+SUM(R1133)+IF(COUNTIF(R$1237:R1736,1)=1,5,0)+IF(COUNTIF(S1134:$W1134,"&gt;"&amp;0)&lt;5,IF(AND(COUNTIF(R$1237:R1736,1)&gt;7,MOD(1+IFERROR(MATCH($C1134,总览!$D$46:$D$345,1)+1,1),7)=0),$C$3,0),0)</f>
        <v>672.407142857146</v>
      </c>
      <c r="S1134" s="131" cm="1">
        <f ca="1" t="array" ref="S1134">IF(S1736=1,OFFSET($W$634,$B1134,S$631-1)/SUMPRODUCT(--($D$631:$V$631=S$631),--($D1736:$V1736=1)),0)+SUM(S1133)+IF(COUNTIF(S$1237:S1736,1)=1,5,0)+IF(COUNTIF(T1134:$W1134,"&gt;"&amp;0)&lt;5,IF(AND(COUNTIF(S$1237:S1736,1)&gt;7,MOD(1+IFERROR(MATCH($C1134,总览!$D$46:$D$345,1)+1,1),7)=0),$C$3,0),0)</f>
        <v>764.907142857148</v>
      </c>
      <c r="T1134" s="131" cm="1">
        <f ca="1" t="array" ref="T1134">IF(T1736=1,OFFSET($W$634,$B1134,T$631-1)/SUMPRODUCT(--($D$631:$V$631=T$631),--($D1736:$V1736=1)),0)+SUM(T1133)+IF(COUNTIF(T$1237:T1736,1)=1,5,0)+IF(COUNTIF(U1134:$W1134,"&gt;"&amp;0)&lt;5,IF(AND(COUNTIF(T$1237:T1736,1)&gt;7,MOD(1+IFERROR(MATCH($C1134,总览!$D$46:$D$345,1)+1,1),7)=0),$C$3,0),0)</f>
        <v>560.128615217925</v>
      </c>
      <c r="U1134" s="131" cm="1">
        <f ca="1" t="array" ref="U1134">IF(U1736=1,OFFSET($W$634,$B1134,U$631-1)/SUMPRODUCT(--($D$631:$V$631=U$631),--($D1736:$V1736=1)),0)+SUM(U1133)+IF(COUNTIF(U$1237:U1736,1)=1,5,0)+IF(COUNTIF(V1134:$W1134,"&gt;"&amp;0)&lt;5,IF(AND(COUNTIF(U$1237:U1736,1)&gt;7,MOD(1+IFERROR(MATCH($C1134,总览!$D$46:$D$345,1)+1,1),7)=0),$C$3,0),0)</f>
        <v>565.649401573225</v>
      </c>
      <c r="V1134" s="131" cm="1">
        <f ca="1" t="array" ref="V1134">IF(V1736=1,OFFSET($W$634,$B1134,V$631-1)/SUMPRODUCT(--($D$631:$V$631=V$631),--($D1736:$V1736=1)),0)+SUM(V1133)+IF(COUNTIF(V$1237:V1736,1)=1,5,0)+IF(COUNTIF(W1134:$W1134,"&gt;"&amp;0)&lt;5,IF(AND(COUNTIF(V$1237:V1736,1)&gt;7,MOD(1+IFERROR(MATCH($C1134,总览!$D$46:$D$345,1)+1,1),7)=0),$C$3,0),0)</f>
        <v>585.476401285658</v>
      </c>
      <c r="W1134" s="135" cm="1">
        <f ca="1" t="array" ref="W1134">SUMPRODUCT(TRANSPOSE($AA1134:$AG1134),OFFSET($L$9:$L$15,0,W$631-1))</f>
        <v>16.8502200646615</v>
      </c>
      <c r="X1134" s="135" cm="1">
        <f ca="1" t="array" ref="X1134">SUMPRODUCT(TRANSPOSE($AA1134:$AG1134),OFFSET($L$9:$L$15,0,X$631-1))</f>
        <v>20</v>
      </c>
      <c r="Y1134" s="135" cm="1">
        <f ca="1" t="array" ref="Y1134">SUMPRODUCT(TRANSPOSE($AA1134:$AG1134),OFFSET($L$9:$L$15,0,Y$631-1))</f>
        <v>10</v>
      </c>
      <c r="Z1134" s="135" cm="1">
        <f ca="1" t="array" ref="Z1134">SUMPRODUCT(TRANSPOSE($AA1134:$AG1134),OFFSET($L$9:$L$15,0,Z$631-1))</f>
        <v>3.14977993533847</v>
      </c>
      <c r="AA1134" s="136">
        <f ca="1" t="shared" ref="AA1134:AG1134" si="1253">AH1134-AH1133</f>
        <v>0</v>
      </c>
      <c r="AB1134" s="136">
        <f ca="1" t="shared" si="1253"/>
        <v>0</v>
      </c>
      <c r="AC1134" s="136">
        <f ca="1" t="shared" si="1253"/>
        <v>0</v>
      </c>
      <c r="AD1134" s="136">
        <f ca="1" t="shared" si="1253"/>
        <v>0</v>
      </c>
      <c r="AE1134" s="136">
        <f ca="1" t="shared" si="1253"/>
        <v>0</v>
      </c>
      <c r="AF1134" s="136">
        <f ca="1" t="shared" si="1253"/>
        <v>0</v>
      </c>
      <c r="AG1134" s="136">
        <f ca="1" t="shared" si="1253"/>
        <v>100</v>
      </c>
      <c r="AH1134" s="136">
        <f ca="1" t="shared" si="1151"/>
        <v>450</v>
      </c>
      <c r="AI1134" s="136">
        <f ca="1" t="shared" ref="AI1134:AN1134" si="1254">IF($C1134&gt;OFFSET($Q$8,MATCH(AI$634,$AH$634:$AN$634,0),0),OFFSET($P$8,MATCH(AI$634,$AH$634:$AN$634,0),0),MAX(0,$C1134-OFFSET($Q$8,RIGHT(AI$634,1)-1,0)))</f>
        <v>909</v>
      </c>
      <c r="AJ1134" s="136">
        <f ca="1" t="shared" si="1254"/>
        <v>1818</v>
      </c>
      <c r="AK1134" s="136">
        <f ca="1" t="shared" si="1254"/>
        <v>2727</v>
      </c>
      <c r="AL1134" s="136">
        <f ca="1" t="shared" si="1254"/>
        <v>3636</v>
      </c>
      <c r="AM1134" s="136">
        <f ca="1" t="shared" si="1254"/>
        <v>4545</v>
      </c>
      <c r="AN1134" s="136">
        <f ca="1" t="shared" si="1254"/>
        <v>35915</v>
      </c>
    </row>
    <row r="1135" s="106" customFormat="1" ht="16.5" spans="2:40">
      <c r="B1135" s="117">
        <v>501</v>
      </c>
      <c r="C1135" s="130">
        <f t="shared" si="1149"/>
        <v>50100</v>
      </c>
      <c r="D1135" s="131" cm="1">
        <f ca="1" t="array" ref="D1135">IF(D1737=1,OFFSET($W$634,$B1135,D$631-1)/SUMPRODUCT(--($D$631:$V$631=D$631),--($D1737:$V1737=1)),0)+SUM(D1134)+IF(COUNTIF(D$1237:D1737,1)=1,5,0)+IF(COUNTIF(E1135:$W1135,"&gt;"&amp;0)&lt;5,IF(AND(COUNTIF(D$1237:D1737,1)&gt;7,MOD(1+IFERROR(MATCH($C1135,总览!$D$46:$D$345,1)+1,1),7)=0),$C$3,0),0)</f>
        <v>3141.69026732932</v>
      </c>
      <c r="E1135" s="131" cm="1">
        <f ca="1" t="array" ref="E1135">IF(E1737=1,OFFSET($W$634,$B1135,E$631-1)/SUMPRODUCT(--($D$631:$V$631=E$631),--($D1737:$V1737=1)),0)+SUM(E1134)+IF(COUNTIF(E$1237:E1737,1)=1,5,0)+IF(COUNTIF(F1135:$W1135,"&gt;"&amp;0)&lt;5,IF(AND(COUNTIF(E$1237:E1737,1)&gt;7,MOD(1+IFERROR(MATCH($C1135,总览!$D$46:$D$345,1)+1,1),7)=0),$C$3,0),0)</f>
        <v>3141.69026732932</v>
      </c>
      <c r="F1135" s="131" cm="1">
        <f ca="1" t="array" ref="F1135">IF(F1737=1,OFFSET($W$634,$B1135,F$631-1)/SUMPRODUCT(--($D$631:$V$631=F$631),--($D1737:$V1737=1)),0)+SUM(F1134)+IF(COUNTIF(F$1237:F1737,1)=1,5,0)+IF(COUNTIF(G1135:$W1135,"&gt;"&amp;0)&lt;5,IF(AND(COUNTIF(F$1237:F1737,1)&gt;7,MOD(1+IFERROR(MATCH($C1135,总览!$D$46:$D$345,1)+1,1),7)=0),$C$3,0),0)</f>
        <v>3141.69026732932</v>
      </c>
      <c r="G1135" s="131" cm="1">
        <f ca="1" t="array" ref="G1135">IF(G1737=1,OFFSET($W$634,$B1135,G$631-1)/SUMPRODUCT(--($D$631:$V$631=G$631),--($D1737:$V1737=1)),0)+SUM(G1134)+IF(COUNTIF(G$1237:G1737,1)=1,5,0)+IF(COUNTIF(H1135:$W1135,"&gt;"&amp;0)&lt;5,IF(AND(COUNTIF(G$1237:G1737,1)&gt;7,MOD(1+IFERROR(MATCH($C1135,总览!$D$46:$D$345,1)+1,1),7)=0),$C$3,0),0)</f>
        <v>1609.39999999999</v>
      </c>
      <c r="H1135" s="131" cm="1">
        <f ca="1" t="array" ref="H1135">IF(H1737=1,OFFSET($W$634,$B1135,H$631-1)/SUMPRODUCT(--($D$631:$V$631=H$631),--($D1737:$V1737=1)),0)+SUM(H1134)+IF(COUNTIF(H$1237:H1737,1)=1,5,0)+IF(COUNTIF(I1135:$W1135,"&gt;"&amp;0)&lt;5,IF(AND(COUNTIF(H$1237:H1737,1)&gt;7,MOD(1+IFERROR(MATCH($C1135,总览!$D$46:$D$345,1)+1,1),7)=0),$C$3,0),0)</f>
        <v>1609.39999999999</v>
      </c>
      <c r="I1135" s="131" cm="1">
        <f ca="1" t="array" ref="I1135">IF(I1737=1,OFFSET($W$634,$B1135,I$631-1)/SUMPRODUCT(--($D$631:$V$631=I$631),--($D1737:$V1737=1)),0)+SUM(I1134)+IF(COUNTIF(I$1237:I1737,1)=1,5,0)+IF(COUNTIF(J1135:$W1135,"&gt;"&amp;0)&lt;5,IF(AND(COUNTIF(I$1237:I1737,1)&gt;7,MOD(1+IFERROR(MATCH($C1135,总览!$D$46:$D$345,1)+1,1),7)=0),$C$3,0),0)</f>
        <v>1609.39999999999</v>
      </c>
      <c r="J1135" s="131" cm="1">
        <f ca="1" t="array" ref="J1135">IF(J1737=1,OFFSET($W$634,$B1135,J$631-1)/SUMPRODUCT(--($D$631:$V$631=J$631),--($D1737:$V1737=1)),0)+SUM(J1134)+IF(COUNTIF(J$1237:J1737,1)=1,5,0)+IF(COUNTIF(K1135:$W1135,"&gt;"&amp;0)&lt;5,IF(AND(COUNTIF(J$1237:J1737,1)&gt;7,MOD(1+IFERROR(MATCH($C1135,总览!$D$46:$D$345,1)+1,1),7)=0),$C$3,0),0)</f>
        <v>1606.06666666666</v>
      </c>
      <c r="K1135" s="131" cm="1">
        <f ca="1" t="array" ref="K1135">IF(K1737=1,OFFSET($W$634,$B1135,K$631-1)/SUMPRODUCT(--($D$631:$V$631=K$631),--($D1737:$V1737=1)),0)+SUM(K1134)+IF(COUNTIF(K$1237:K1737,1)=1,5,0)+IF(COUNTIF(L1135:$W1135,"&gt;"&amp;0)&lt;5,IF(AND(COUNTIF(K$1237:K1737,1)&gt;7,MOD(1+IFERROR(MATCH($C1135,总览!$D$46:$D$345,1)+1,1),7)=0),$C$3,0),0)</f>
        <v>1603.56666666666</v>
      </c>
      <c r="L1135" s="131" cm="1">
        <f ca="1" t="array" ref="L1135">IF(L1737=1,OFFSET($W$634,$B1135,L$631-1)/SUMPRODUCT(--($D$631:$V$631=L$631),--($D1737:$V1737=1)),0)+SUM(L1134)+IF(COUNTIF(L$1237:L1737,1)=1,5,0)+IF(COUNTIF(M1135:$W1135,"&gt;"&amp;0)&lt;5,IF(AND(COUNTIF(L$1237:L1737,1)&gt;7,MOD(1+IFERROR(MATCH($C1135,总览!$D$46:$D$345,1)+1,1),7)=0),$C$3,0),0)</f>
        <v>1603.56666666666</v>
      </c>
      <c r="M1135" s="131" cm="1">
        <f ca="1" t="array" ref="M1135">IF(M1737=1,OFFSET($W$634,$B1135,M$631-1)/SUMPRODUCT(--($D$631:$V$631=M$631),--($D1737:$V1737=1)),0)+SUM(M1134)+IF(COUNTIF(M$1237:M1737,1)=1,5,0)+IF(COUNTIF(N1135:$W1135,"&gt;"&amp;0)&lt;5,IF(AND(COUNTIF(M$1237:M1737,1)&gt;7,MOD(1+IFERROR(MATCH($C1135,总览!$D$46:$D$345,1)+1,1),7)=0),$C$3,0),0)</f>
        <v>673.466964285718</v>
      </c>
      <c r="N1135" s="131" cm="1">
        <f ca="1" t="array" ref="N1135">IF(N1737=1,OFFSET($W$634,$B1135,N$631-1)/SUMPRODUCT(--($D$631:$V$631=N$631),--($D1737:$V1737=1)),0)+SUM(N1134)+IF(COUNTIF(N$1237:N1737,1)=1,5,0)+IF(COUNTIF(O1135:$W1135,"&gt;"&amp;0)&lt;5,IF(AND(COUNTIF(N$1237:N1737,1)&gt;7,MOD(1+IFERROR(MATCH($C1135,总览!$D$46:$D$345,1)+1,1),7)=0),$C$3,0),0)</f>
        <v>674.716964285718</v>
      </c>
      <c r="O1135" s="131" cm="1">
        <f ca="1" t="array" ref="O1135">IF(O1737=1,OFFSET($W$634,$B1135,O$631-1)/SUMPRODUCT(--($D$631:$V$631=O$631),--($D1737:$V1737=1)),0)+SUM(O1134)+IF(COUNTIF(O$1237:O1737,1)=1,5,0)+IF(COUNTIF(P1135:$W1135,"&gt;"&amp;0)&lt;5,IF(AND(COUNTIF(O$1237:O1737,1)&gt;7,MOD(1+IFERROR(MATCH($C1135,总览!$D$46:$D$345,1)+1,1),7)=0),$C$3,0),0)</f>
        <v>679.716964285718</v>
      </c>
      <c r="P1135" s="131" cm="1">
        <f ca="1" t="array" ref="P1135">IF(P1737=1,OFFSET($W$634,$B1135,P$631-1)/SUMPRODUCT(--($D$631:$V$631=P$631),--($D1737:$V1737=1)),0)+SUM(P1134)+IF(COUNTIF(P$1237:P1737,1)=1,5,0)+IF(COUNTIF(Q1135:$W1135,"&gt;"&amp;0)&lt;5,IF(AND(COUNTIF(P$1237:P1737,1)&gt;7,MOD(1+IFERROR(MATCH($C1135,总览!$D$46:$D$345,1)+1,1),7)=0),$C$3,0),0)</f>
        <v>668.835714285718</v>
      </c>
      <c r="Q1135" s="131" cm="1">
        <f ca="1" t="array" ref="Q1135">IF(Q1737=1,OFFSET($W$634,$B1135,Q$631-1)/SUMPRODUCT(--($D$631:$V$631=Q$631),--($D1737:$V1737=1)),0)+SUM(Q1134)+IF(COUNTIF(Q$1237:Q1737,1)=1,5,0)+IF(COUNTIF(R1135:$W1135,"&gt;"&amp;0)&lt;5,IF(AND(COUNTIF(Q$1237:Q1737,1)&gt;7,MOD(1+IFERROR(MATCH($C1135,总览!$D$46:$D$345,1)+1,1),7)=0),$C$3,0),0)</f>
        <v>682.216964285718</v>
      </c>
      <c r="R1135" s="131" cm="1">
        <f ca="1" t="array" ref="R1135">IF(R1737=1,OFFSET($W$634,$B1135,R$631-1)/SUMPRODUCT(--($D$631:$V$631=R$631),--($D1737:$V1737=1)),0)+SUM(R1134)+IF(COUNTIF(R$1237:R1737,1)=1,5,0)+IF(COUNTIF(S1135:$W1135,"&gt;"&amp;0)&lt;5,IF(AND(COUNTIF(R$1237:R1737,1)&gt;7,MOD(1+IFERROR(MATCH($C1135,总览!$D$46:$D$345,1)+1,1),7)=0),$C$3,0),0)</f>
        <v>673.835714285718</v>
      </c>
      <c r="S1135" s="131" cm="1">
        <f ca="1" t="array" ref="S1135">IF(S1737=1,OFFSET($W$634,$B1135,S$631-1)/SUMPRODUCT(--($D$631:$V$631=S$631),--($D1737:$V1737=1)),0)+SUM(S1134)+IF(COUNTIF(S$1237:S1737,1)=1,5,0)+IF(COUNTIF(T1135:$W1135,"&gt;"&amp;0)&lt;5,IF(AND(COUNTIF(S$1237:S1737,1)&gt;7,MOD(1+IFERROR(MATCH($C1135,总览!$D$46:$D$345,1)+1,1),7)=0),$C$3,0),0)</f>
        <v>766.335714285719</v>
      </c>
      <c r="T1135" s="131" cm="1">
        <f ca="1" t="array" ref="T1135">IF(T1737=1,OFFSET($W$634,$B1135,T$631-1)/SUMPRODUCT(--($D$631:$V$631=T$631),--($D1737:$V1737=1)),0)+SUM(T1134)+IF(COUNTIF(T$1237:T1737,1)=1,5,0)+IF(COUNTIF(U1135:$W1135,"&gt;"&amp;0)&lt;5,IF(AND(COUNTIF(T$1237:T1737,1)&gt;7,MOD(1+IFERROR(MATCH($C1135,总览!$D$46:$D$345,1)+1,1),7)=0),$C$3,0),0)</f>
        <v>561.178541863038</v>
      </c>
      <c r="U1135" s="131" cm="1">
        <f ca="1" t="array" ref="U1135">IF(U1737=1,OFFSET($W$634,$B1135,U$631-1)/SUMPRODUCT(--($D$631:$V$631=U$631),--($D1737:$V1737=1)),0)+SUM(U1134)+IF(COUNTIF(U$1237:U1737,1)=1,5,0)+IF(COUNTIF(V1135:$W1135,"&gt;"&amp;0)&lt;5,IF(AND(COUNTIF(U$1237:U1737,1)&gt;7,MOD(1+IFERROR(MATCH($C1135,总览!$D$46:$D$345,1)+1,1),7)=0),$C$3,0),0)</f>
        <v>566.699328218338</v>
      </c>
      <c r="V1135" s="131" cm="1">
        <f ca="1" t="array" ref="V1135">IF(V1737=1,OFFSET($W$634,$B1135,V$631-1)/SUMPRODUCT(--($D$631:$V$631=V$631),--($D1737:$V1737=1)),0)+SUM(V1134)+IF(COUNTIF(V$1237:V1737,1)=1,5,0)+IF(COUNTIF(W1135:$W1135,"&gt;"&amp;0)&lt;5,IF(AND(COUNTIF(V$1237:V1737,1)&gt;7,MOD(1+IFERROR(MATCH($C1135,总览!$D$46:$D$345,1)+1,1),7)=0),$C$3,0),0)</f>
        <v>586.526327930771</v>
      </c>
      <c r="W1135" s="135" cm="1">
        <f ca="1" t="array" ref="W1135">SUMPRODUCT(TRANSPOSE($AA1135:$AG1135),OFFSET($L$9:$L$15,0,W$631-1))</f>
        <v>16.8502200646615</v>
      </c>
      <c r="X1135" s="135" cm="1">
        <f ca="1" t="array" ref="X1135">SUMPRODUCT(TRANSPOSE($AA1135:$AG1135),OFFSET($L$9:$L$15,0,X$631-1))</f>
        <v>20</v>
      </c>
      <c r="Y1135" s="135" cm="1">
        <f ca="1" t="array" ref="Y1135">SUMPRODUCT(TRANSPOSE($AA1135:$AG1135),OFFSET($L$9:$L$15,0,Y$631-1))</f>
        <v>10</v>
      </c>
      <c r="Z1135" s="135" cm="1">
        <f ca="1" t="array" ref="Z1135">SUMPRODUCT(TRANSPOSE($AA1135:$AG1135),OFFSET($L$9:$L$15,0,Z$631-1))</f>
        <v>3.14977993533847</v>
      </c>
      <c r="AA1135" s="136">
        <f ca="1" t="shared" ref="AA1135:AG1135" si="1255">AH1135-AH1134</f>
        <v>0</v>
      </c>
      <c r="AB1135" s="136">
        <f ca="1" t="shared" si="1255"/>
        <v>0</v>
      </c>
      <c r="AC1135" s="136">
        <f ca="1" t="shared" si="1255"/>
        <v>0</v>
      </c>
      <c r="AD1135" s="136">
        <f ca="1" t="shared" si="1255"/>
        <v>0</v>
      </c>
      <c r="AE1135" s="136">
        <f ca="1" t="shared" si="1255"/>
        <v>0</v>
      </c>
      <c r="AF1135" s="136">
        <f ca="1" t="shared" si="1255"/>
        <v>0</v>
      </c>
      <c r="AG1135" s="136">
        <f ca="1" t="shared" si="1255"/>
        <v>100</v>
      </c>
      <c r="AH1135" s="136">
        <f ca="1" t="shared" si="1151"/>
        <v>450</v>
      </c>
      <c r="AI1135" s="136">
        <f ca="1" t="shared" ref="AI1135:AN1135" si="1256">IF($C1135&gt;OFFSET($Q$8,MATCH(AI$634,$AH$634:$AN$634,0),0),OFFSET($P$8,MATCH(AI$634,$AH$634:$AN$634,0),0),MAX(0,$C1135-OFFSET($Q$8,RIGHT(AI$634,1)-1,0)))</f>
        <v>909</v>
      </c>
      <c r="AJ1135" s="136">
        <f ca="1" t="shared" si="1256"/>
        <v>1818</v>
      </c>
      <c r="AK1135" s="136">
        <f ca="1" t="shared" si="1256"/>
        <v>2727</v>
      </c>
      <c r="AL1135" s="136">
        <f ca="1" t="shared" si="1256"/>
        <v>3636</v>
      </c>
      <c r="AM1135" s="136">
        <f ca="1" t="shared" si="1256"/>
        <v>4545</v>
      </c>
      <c r="AN1135" s="136">
        <f ca="1" t="shared" si="1256"/>
        <v>36015</v>
      </c>
    </row>
    <row r="1136" s="106" customFormat="1" ht="16.5" spans="2:40">
      <c r="B1136" s="117">
        <v>502</v>
      </c>
      <c r="C1136" s="130">
        <f t="shared" si="1149"/>
        <v>50200</v>
      </c>
      <c r="D1136" s="131" cm="1">
        <f ca="1" t="array" ref="D1136">IF(D1738=1,OFFSET($W$634,$B1136,D$631-1)/SUMPRODUCT(--($D$631:$V$631=D$631),--($D1738:$V1738=1)),0)+SUM(D1135)+IF(COUNTIF(D$1237:D1738,1)=1,5,0)+IF(COUNTIF(E1136:$W1136,"&gt;"&amp;0)&lt;5,IF(AND(COUNTIF(D$1237:D1738,1)&gt;7,MOD(1+IFERROR(MATCH($C1136,总览!$D$46:$D$345,1)+1,1),7)=0),$C$3,0),0)</f>
        <v>3147.30700735087</v>
      </c>
      <c r="E1136" s="131" cm="1">
        <f ca="1" t="array" ref="E1136">IF(E1738=1,OFFSET($W$634,$B1136,E$631-1)/SUMPRODUCT(--($D$631:$V$631=E$631),--($D1738:$V1738=1)),0)+SUM(E1135)+IF(COUNTIF(E$1237:E1738,1)=1,5,0)+IF(COUNTIF(F1136:$W1136,"&gt;"&amp;0)&lt;5,IF(AND(COUNTIF(E$1237:E1738,1)&gt;7,MOD(1+IFERROR(MATCH($C1136,总览!$D$46:$D$345,1)+1,1),7)=0),$C$3,0),0)</f>
        <v>3147.30700735087</v>
      </c>
      <c r="F1136" s="131" cm="1">
        <f ca="1" t="array" ref="F1136">IF(F1738=1,OFFSET($W$634,$B1136,F$631-1)/SUMPRODUCT(--($D$631:$V$631=F$631),--($D1738:$V1738=1)),0)+SUM(F1135)+IF(COUNTIF(F$1237:F1738,1)=1,5,0)+IF(COUNTIF(G1136:$W1136,"&gt;"&amp;0)&lt;5,IF(AND(COUNTIF(F$1237:F1738,1)&gt;7,MOD(1+IFERROR(MATCH($C1136,总览!$D$46:$D$345,1)+1,1),7)=0),$C$3,0),0)</f>
        <v>3147.30700735087</v>
      </c>
      <c r="G1136" s="131" cm="1">
        <f ca="1" t="array" ref="G1136">IF(G1738=1,OFFSET($W$634,$B1136,G$631-1)/SUMPRODUCT(--($D$631:$V$631=G$631),--($D1738:$V1738=1)),0)+SUM(G1135)+IF(COUNTIF(G$1237:G1738,1)=1,5,0)+IF(COUNTIF(H1136:$W1136,"&gt;"&amp;0)&lt;5,IF(AND(COUNTIF(G$1237:G1738,1)&gt;7,MOD(1+IFERROR(MATCH($C1136,总览!$D$46:$D$345,1)+1,1),7)=0),$C$3,0),0)</f>
        <v>1612.73333333332</v>
      </c>
      <c r="H1136" s="131" cm="1">
        <f ca="1" t="array" ref="H1136">IF(H1738=1,OFFSET($W$634,$B1136,H$631-1)/SUMPRODUCT(--($D$631:$V$631=H$631),--($D1738:$V1738=1)),0)+SUM(H1135)+IF(COUNTIF(H$1237:H1738,1)=1,5,0)+IF(COUNTIF(I1136:$W1136,"&gt;"&amp;0)&lt;5,IF(AND(COUNTIF(H$1237:H1738,1)&gt;7,MOD(1+IFERROR(MATCH($C1136,总览!$D$46:$D$345,1)+1,1),7)=0),$C$3,0),0)</f>
        <v>1612.73333333332</v>
      </c>
      <c r="I1136" s="131" cm="1">
        <f ca="1" t="array" ref="I1136">IF(I1738=1,OFFSET($W$634,$B1136,I$631-1)/SUMPRODUCT(--($D$631:$V$631=I$631),--($D1738:$V1738=1)),0)+SUM(I1135)+IF(COUNTIF(I$1237:I1738,1)=1,5,0)+IF(COUNTIF(J1136:$W1136,"&gt;"&amp;0)&lt;5,IF(AND(COUNTIF(I$1237:I1738,1)&gt;7,MOD(1+IFERROR(MATCH($C1136,总览!$D$46:$D$345,1)+1,1),7)=0),$C$3,0),0)</f>
        <v>1612.73333333332</v>
      </c>
      <c r="J1136" s="131" cm="1">
        <f ca="1" t="array" ref="J1136">IF(J1738=1,OFFSET($W$634,$B1136,J$631-1)/SUMPRODUCT(--($D$631:$V$631=J$631),--($D1738:$V1738=1)),0)+SUM(J1135)+IF(COUNTIF(J$1237:J1738,1)=1,5,0)+IF(COUNTIF(K1136:$W1136,"&gt;"&amp;0)&lt;5,IF(AND(COUNTIF(J$1237:J1738,1)&gt;7,MOD(1+IFERROR(MATCH($C1136,总览!$D$46:$D$345,1)+1,1),7)=0),$C$3,0),0)</f>
        <v>1609.39999999999</v>
      </c>
      <c r="K1136" s="131" cm="1">
        <f ca="1" t="array" ref="K1136">IF(K1738=1,OFFSET($W$634,$B1136,K$631-1)/SUMPRODUCT(--($D$631:$V$631=K$631),--($D1738:$V1738=1)),0)+SUM(K1135)+IF(COUNTIF(K$1237:K1738,1)=1,5,0)+IF(COUNTIF(L1136:$W1136,"&gt;"&amp;0)&lt;5,IF(AND(COUNTIF(K$1237:K1738,1)&gt;7,MOD(1+IFERROR(MATCH($C1136,总览!$D$46:$D$345,1)+1,1),7)=0),$C$3,0),0)</f>
        <v>1606.89999999999</v>
      </c>
      <c r="L1136" s="131" cm="1">
        <f ca="1" t="array" ref="L1136">IF(L1738=1,OFFSET($W$634,$B1136,L$631-1)/SUMPRODUCT(--($D$631:$V$631=L$631),--($D1738:$V1738=1)),0)+SUM(L1135)+IF(COUNTIF(L$1237:L1738,1)=1,5,0)+IF(COUNTIF(M1136:$W1136,"&gt;"&amp;0)&lt;5,IF(AND(COUNTIF(L$1237:L1738,1)&gt;7,MOD(1+IFERROR(MATCH($C1136,总览!$D$46:$D$345,1)+1,1),7)=0),$C$3,0),0)</f>
        <v>1606.89999999999</v>
      </c>
      <c r="M1136" s="131" cm="1">
        <f ca="1" t="array" ref="M1136">IF(M1738=1,OFFSET($W$634,$B1136,M$631-1)/SUMPRODUCT(--($D$631:$V$631=M$631),--($D1738:$V1738=1)),0)+SUM(M1135)+IF(COUNTIF(M$1237:M1738,1)=1,5,0)+IF(COUNTIF(N1136:$W1136,"&gt;"&amp;0)&lt;5,IF(AND(COUNTIF(M$1237:M1738,1)&gt;7,MOD(1+IFERROR(MATCH($C1136,总览!$D$46:$D$345,1)+1,1),7)=0),$C$3,0),0)</f>
        <v>674.895535714289</v>
      </c>
      <c r="N1136" s="131" cm="1">
        <f ca="1" t="array" ref="N1136">IF(N1738=1,OFFSET($W$634,$B1136,N$631-1)/SUMPRODUCT(--($D$631:$V$631=N$631),--($D1738:$V1738=1)),0)+SUM(N1135)+IF(COUNTIF(N$1237:N1738,1)=1,5,0)+IF(COUNTIF(O1136:$W1136,"&gt;"&amp;0)&lt;5,IF(AND(COUNTIF(N$1237:N1738,1)&gt;7,MOD(1+IFERROR(MATCH($C1136,总览!$D$46:$D$345,1)+1,1),7)=0),$C$3,0),0)</f>
        <v>676.145535714289</v>
      </c>
      <c r="O1136" s="131" cm="1">
        <f ca="1" t="array" ref="O1136">IF(O1738=1,OFFSET($W$634,$B1136,O$631-1)/SUMPRODUCT(--($D$631:$V$631=O$631),--($D1738:$V1738=1)),0)+SUM(O1135)+IF(COUNTIF(O$1237:O1738,1)=1,5,0)+IF(COUNTIF(P1136:$W1136,"&gt;"&amp;0)&lt;5,IF(AND(COUNTIF(O$1237:O1738,1)&gt;7,MOD(1+IFERROR(MATCH($C1136,总览!$D$46:$D$345,1)+1,1),7)=0),$C$3,0),0)</f>
        <v>681.145535714289</v>
      </c>
      <c r="P1136" s="131" cm="1">
        <f ca="1" t="array" ref="P1136">IF(P1738=1,OFFSET($W$634,$B1136,P$631-1)/SUMPRODUCT(--($D$631:$V$631=P$631),--($D1738:$V1738=1)),0)+SUM(P1135)+IF(COUNTIF(P$1237:P1738,1)=1,5,0)+IF(COUNTIF(Q1136:$W1136,"&gt;"&amp;0)&lt;5,IF(AND(COUNTIF(P$1237:P1738,1)&gt;7,MOD(1+IFERROR(MATCH($C1136,总览!$D$46:$D$345,1)+1,1),7)=0),$C$3,0),0)</f>
        <v>670.264285714289</v>
      </c>
      <c r="Q1136" s="131" cm="1">
        <f ca="1" t="array" ref="Q1136">IF(Q1738=1,OFFSET($W$634,$B1136,Q$631-1)/SUMPRODUCT(--($D$631:$V$631=Q$631),--($D1738:$V1738=1)),0)+SUM(Q1135)+IF(COUNTIF(Q$1237:Q1738,1)=1,5,0)+IF(COUNTIF(R1136:$W1136,"&gt;"&amp;0)&lt;5,IF(AND(COUNTIF(Q$1237:Q1738,1)&gt;7,MOD(1+IFERROR(MATCH($C1136,总览!$D$46:$D$345,1)+1,1),7)=0),$C$3,0),0)</f>
        <v>683.645535714289</v>
      </c>
      <c r="R1136" s="131" cm="1">
        <f ca="1" t="array" ref="R1136">IF(R1738=1,OFFSET($W$634,$B1136,R$631-1)/SUMPRODUCT(--($D$631:$V$631=R$631),--($D1738:$V1738=1)),0)+SUM(R1135)+IF(COUNTIF(R$1237:R1738,1)=1,5,0)+IF(COUNTIF(S1136:$W1136,"&gt;"&amp;0)&lt;5,IF(AND(COUNTIF(R$1237:R1738,1)&gt;7,MOD(1+IFERROR(MATCH($C1136,总览!$D$46:$D$345,1)+1,1),7)=0),$C$3,0),0)</f>
        <v>675.264285714289</v>
      </c>
      <c r="S1136" s="131" cm="1">
        <f ca="1" t="array" ref="S1136">IF(S1738=1,OFFSET($W$634,$B1136,S$631-1)/SUMPRODUCT(--($D$631:$V$631=S$631),--($D1738:$V1738=1)),0)+SUM(S1135)+IF(COUNTIF(S$1237:S1738,1)=1,5,0)+IF(COUNTIF(T1136:$W1136,"&gt;"&amp;0)&lt;5,IF(AND(COUNTIF(S$1237:S1738,1)&gt;7,MOD(1+IFERROR(MATCH($C1136,总览!$D$46:$D$345,1)+1,1),7)=0),$C$3,0),0)</f>
        <v>767.76428571429</v>
      </c>
      <c r="T1136" s="131" cm="1">
        <f ca="1" t="array" ref="T1136">IF(T1738=1,OFFSET($W$634,$B1136,T$631-1)/SUMPRODUCT(--($D$631:$V$631=T$631),--($D1738:$V1738=1)),0)+SUM(T1135)+IF(COUNTIF(T$1237:T1738,1)=1,5,0)+IF(COUNTIF(U1136:$W1136,"&gt;"&amp;0)&lt;5,IF(AND(COUNTIF(T$1237:T1738,1)&gt;7,MOD(1+IFERROR(MATCH($C1136,总览!$D$46:$D$345,1)+1,1),7)=0),$C$3,0),0)</f>
        <v>562.228468508151</v>
      </c>
      <c r="U1136" s="131" cm="1">
        <f ca="1" t="array" ref="U1136">IF(U1738=1,OFFSET($W$634,$B1136,U$631-1)/SUMPRODUCT(--($D$631:$V$631=U$631),--($D1738:$V1738=1)),0)+SUM(U1135)+IF(COUNTIF(U$1237:U1738,1)=1,5,0)+IF(COUNTIF(V1136:$W1136,"&gt;"&amp;0)&lt;5,IF(AND(COUNTIF(U$1237:U1738,1)&gt;7,MOD(1+IFERROR(MATCH($C1136,总览!$D$46:$D$345,1)+1,1),7)=0),$C$3,0),0)</f>
        <v>567.749254863451</v>
      </c>
      <c r="V1136" s="131" cm="1">
        <f ca="1" t="array" ref="V1136">IF(V1738=1,OFFSET($W$634,$B1136,V$631-1)/SUMPRODUCT(--($D$631:$V$631=V$631),--($D1738:$V1738=1)),0)+SUM(V1135)+IF(COUNTIF(V$1237:V1738,1)=1,5,0)+IF(COUNTIF(W1136:$W1136,"&gt;"&amp;0)&lt;5,IF(AND(COUNTIF(V$1237:V1738,1)&gt;7,MOD(1+IFERROR(MATCH($C1136,总览!$D$46:$D$345,1)+1,1),7)=0),$C$3,0),0)</f>
        <v>587.576254575884</v>
      </c>
      <c r="W1136" s="135" cm="1">
        <f ca="1" t="array" ref="W1136">SUMPRODUCT(TRANSPOSE($AA1136:$AG1136),OFFSET($L$9:$L$15,0,W$631-1))</f>
        <v>16.8502200646615</v>
      </c>
      <c r="X1136" s="135" cm="1">
        <f ca="1" t="array" ref="X1136">SUMPRODUCT(TRANSPOSE($AA1136:$AG1136),OFFSET($L$9:$L$15,0,X$631-1))</f>
        <v>20</v>
      </c>
      <c r="Y1136" s="135" cm="1">
        <f ca="1" t="array" ref="Y1136">SUMPRODUCT(TRANSPOSE($AA1136:$AG1136),OFFSET($L$9:$L$15,0,Y$631-1))</f>
        <v>10</v>
      </c>
      <c r="Z1136" s="135" cm="1">
        <f ca="1" t="array" ref="Z1136">SUMPRODUCT(TRANSPOSE($AA1136:$AG1136),OFFSET($L$9:$L$15,0,Z$631-1))</f>
        <v>3.14977993533847</v>
      </c>
      <c r="AA1136" s="136">
        <f ca="1" t="shared" ref="AA1136:AG1136" si="1257">AH1136-AH1135</f>
        <v>0</v>
      </c>
      <c r="AB1136" s="136">
        <f ca="1" t="shared" si="1257"/>
        <v>0</v>
      </c>
      <c r="AC1136" s="136">
        <f ca="1" t="shared" si="1257"/>
        <v>0</v>
      </c>
      <c r="AD1136" s="136">
        <f ca="1" t="shared" si="1257"/>
        <v>0</v>
      </c>
      <c r="AE1136" s="136">
        <f ca="1" t="shared" si="1257"/>
        <v>0</v>
      </c>
      <c r="AF1136" s="136">
        <f ca="1" t="shared" si="1257"/>
        <v>0</v>
      </c>
      <c r="AG1136" s="136">
        <f ca="1" t="shared" si="1257"/>
        <v>100</v>
      </c>
      <c r="AH1136" s="136">
        <f ca="1" t="shared" si="1151"/>
        <v>450</v>
      </c>
      <c r="AI1136" s="136">
        <f ca="1" t="shared" ref="AI1136:AN1136" si="1258">IF($C1136&gt;OFFSET($Q$8,MATCH(AI$634,$AH$634:$AN$634,0),0),OFFSET($P$8,MATCH(AI$634,$AH$634:$AN$634,0),0),MAX(0,$C1136-OFFSET($Q$8,RIGHT(AI$634,1)-1,0)))</f>
        <v>909</v>
      </c>
      <c r="AJ1136" s="136">
        <f ca="1" t="shared" si="1258"/>
        <v>1818</v>
      </c>
      <c r="AK1136" s="136">
        <f ca="1" t="shared" si="1258"/>
        <v>2727</v>
      </c>
      <c r="AL1136" s="136">
        <f ca="1" t="shared" si="1258"/>
        <v>3636</v>
      </c>
      <c r="AM1136" s="136">
        <f ca="1" t="shared" si="1258"/>
        <v>4545</v>
      </c>
      <c r="AN1136" s="136">
        <f ca="1" t="shared" si="1258"/>
        <v>36115</v>
      </c>
    </row>
    <row r="1137" s="106" customFormat="1" ht="16.5" spans="2:40">
      <c r="B1137" s="117">
        <v>503</v>
      </c>
      <c r="C1137" s="130">
        <f t="shared" si="1149"/>
        <v>50300</v>
      </c>
      <c r="D1137" s="131" cm="1">
        <f ca="1" t="array" ref="D1137">IF(D1739=1,OFFSET($W$634,$B1137,D$631-1)/SUMPRODUCT(--($D$631:$V$631=D$631),--($D1739:$V1739=1)),0)+SUM(D1136)+IF(COUNTIF(D$1237:D1739,1)=1,5,0)+IF(COUNTIF(E1137:$W1137,"&gt;"&amp;0)&lt;5,IF(AND(COUNTIF(D$1237:D1739,1)&gt;7,MOD(1+IFERROR(MATCH($C1137,总览!$D$46:$D$345,1)+1,1),7)=0),$C$3,0),0)</f>
        <v>3152.92374737242</v>
      </c>
      <c r="E1137" s="131" cm="1">
        <f ca="1" t="array" ref="E1137">IF(E1739=1,OFFSET($W$634,$B1137,E$631-1)/SUMPRODUCT(--($D$631:$V$631=E$631),--($D1739:$V1739=1)),0)+SUM(E1136)+IF(COUNTIF(E$1237:E1739,1)=1,5,0)+IF(COUNTIF(F1137:$W1137,"&gt;"&amp;0)&lt;5,IF(AND(COUNTIF(E$1237:E1739,1)&gt;7,MOD(1+IFERROR(MATCH($C1137,总览!$D$46:$D$345,1)+1,1),7)=0),$C$3,0),0)</f>
        <v>3152.92374737242</v>
      </c>
      <c r="F1137" s="131" cm="1">
        <f ca="1" t="array" ref="F1137">IF(F1739=1,OFFSET($W$634,$B1137,F$631-1)/SUMPRODUCT(--($D$631:$V$631=F$631),--($D1739:$V1739=1)),0)+SUM(F1136)+IF(COUNTIF(F$1237:F1739,1)=1,5,0)+IF(COUNTIF(G1137:$W1137,"&gt;"&amp;0)&lt;5,IF(AND(COUNTIF(F$1237:F1739,1)&gt;7,MOD(1+IFERROR(MATCH($C1137,总览!$D$46:$D$345,1)+1,1),7)=0),$C$3,0),0)</f>
        <v>3152.92374737242</v>
      </c>
      <c r="G1137" s="131" cm="1">
        <f ca="1" t="array" ref="G1137">IF(G1739=1,OFFSET($W$634,$B1137,G$631-1)/SUMPRODUCT(--($D$631:$V$631=G$631),--($D1739:$V1739=1)),0)+SUM(G1136)+IF(COUNTIF(G$1237:G1739,1)=1,5,0)+IF(COUNTIF(H1137:$W1137,"&gt;"&amp;0)&lt;5,IF(AND(COUNTIF(G$1237:G1739,1)&gt;7,MOD(1+IFERROR(MATCH($C1137,总览!$D$46:$D$345,1)+1,1),7)=0),$C$3,0),0)</f>
        <v>1616.06666666666</v>
      </c>
      <c r="H1137" s="131" cm="1">
        <f ca="1" t="array" ref="H1137">IF(H1739=1,OFFSET($W$634,$B1137,H$631-1)/SUMPRODUCT(--($D$631:$V$631=H$631),--($D1739:$V1739=1)),0)+SUM(H1136)+IF(COUNTIF(H$1237:H1739,1)=1,5,0)+IF(COUNTIF(I1137:$W1137,"&gt;"&amp;0)&lt;5,IF(AND(COUNTIF(H$1237:H1739,1)&gt;7,MOD(1+IFERROR(MATCH($C1137,总览!$D$46:$D$345,1)+1,1),7)=0),$C$3,0),0)</f>
        <v>1616.06666666666</v>
      </c>
      <c r="I1137" s="131" cm="1">
        <f ca="1" t="array" ref="I1137">IF(I1739=1,OFFSET($W$634,$B1137,I$631-1)/SUMPRODUCT(--($D$631:$V$631=I$631),--($D1739:$V1739=1)),0)+SUM(I1136)+IF(COUNTIF(I$1237:I1739,1)=1,5,0)+IF(COUNTIF(J1137:$W1137,"&gt;"&amp;0)&lt;5,IF(AND(COUNTIF(I$1237:I1739,1)&gt;7,MOD(1+IFERROR(MATCH($C1137,总览!$D$46:$D$345,1)+1,1),7)=0),$C$3,0),0)</f>
        <v>1616.06666666666</v>
      </c>
      <c r="J1137" s="131" cm="1">
        <f ca="1" t="array" ref="J1137">IF(J1739=1,OFFSET($W$634,$B1137,J$631-1)/SUMPRODUCT(--($D$631:$V$631=J$631),--($D1739:$V1739=1)),0)+SUM(J1136)+IF(COUNTIF(J$1237:J1739,1)=1,5,0)+IF(COUNTIF(K1137:$W1137,"&gt;"&amp;0)&lt;5,IF(AND(COUNTIF(J$1237:J1739,1)&gt;7,MOD(1+IFERROR(MATCH($C1137,总览!$D$46:$D$345,1)+1,1),7)=0),$C$3,0),0)</f>
        <v>1612.73333333332</v>
      </c>
      <c r="K1137" s="131" cm="1">
        <f ca="1" t="array" ref="K1137">IF(K1739=1,OFFSET($W$634,$B1137,K$631-1)/SUMPRODUCT(--($D$631:$V$631=K$631),--($D1739:$V1739=1)),0)+SUM(K1136)+IF(COUNTIF(K$1237:K1739,1)=1,5,0)+IF(COUNTIF(L1137:$W1137,"&gt;"&amp;0)&lt;5,IF(AND(COUNTIF(K$1237:K1739,1)&gt;7,MOD(1+IFERROR(MATCH($C1137,总览!$D$46:$D$345,1)+1,1),7)=0),$C$3,0),0)</f>
        <v>1610.23333333332</v>
      </c>
      <c r="L1137" s="131" cm="1">
        <f ca="1" t="array" ref="L1137">IF(L1739=1,OFFSET($W$634,$B1137,L$631-1)/SUMPRODUCT(--($D$631:$V$631=L$631),--($D1739:$V1739=1)),0)+SUM(L1136)+IF(COUNTIF(L$1237:L1739,1)=1,5,0)+IF(COUNTIF(M1137:$W1137,"&gt;"&amp;0)&lt;5,IF(AND(COUNTIF(L$1237:L1739,1)&gt;7,MOD(1+IFERROR(MATCH($C1137,总览!$D$46:$D$345,1)+1,1),7)=0),$C$3,0),0)</f>
        <v>1610.23333333332</v>
      </c>
      <c r="M1137" s="131" cm="1">
        <f ca="1" t="array" ref="M1137">IF(M1739=1,OFFSET($W$634,$B1137,M$631-1)/SUMPRODUCT(--($D$631:$V$631=M$631),--($D1739:$V1739=1)),0)+SUM(M1136)+IF(COUNTIF(M$1237:M1739,1)=1,5,0)+IF(COUNTIF(N1137:$W1137,"&gt;"&amp;0)&lt;5,IF(AND(COUNTIF(M$1237:M1739,1)&gt;7,MOD(1+IFERROR(MATCH($C1137,总览!$D$46:$D$345,1)+1,1),7)=0),$C$3,0),0)</f>
        <v>676.324107142861</v>
      </c>
      <c r="N1137" s="131" cm="1">
        <f ca="1" t="array" ref="N1137">IF(N1739=1,OFFSET($W$634,$B1137,N$631-1)/SUMPRODUCT(--($D$631:$V$631=N$631),--($D1739:$V1739=1)),0)+SUM(N1136)+IF(COUNTIF(N$1237:N1739,1)=1,5,0)+IF(COUNTIF(O1137:$W1137,"&gt;"&amp;0)&lt;5,IF(AND(COUNTIF(N$1237:N1739,1)&gt;7,MOD(1+IFERROR(MATCH($C1137,总览!$D$46:$D$345,1)+1,1),7)=0),$C$3,0),0)</f>
        <v>677.574107142861</v>
      </c>
      <c r="O1137" s="131" cm="1">
        <f ca="1" t="array" ref="O1137">IF(O1739=1,OFFSET($W$634,$B1137,O$631-1)/SUMPRODUCT(--($D$631:$V$631=O$631),--($D1739:$V1739=1)),0)+SUM(O1136)+IF(COUNTIF(O$1237:O1739,1)=1,5,0)+IF(COUNTIF(P1137:$W1137,"&gt;"&amp;0)&lt;5,IF(AND(COUNTIF(O$1237:O1739,1)&gt;7,MOD(1+IFERROR(MATCH($C1137,总览!$D$46:$D$345,1)+1,1),7)=0),$C$3,0),0)</f>
        <v>682.574107142861</v>
      </c>
      <c r="P1137" s="131" cm="1">
        <f ca="1" t="array" ref="P1137">IF(P1739=1,OFFSET($W$634,$B1137,P$631-1)/SUMPRODUCT(--($D$631:$V$631=P$631),--($D1739:$V1739=1)),0)+SUM(P1136)+IF(COUNTIF(P$1237:P1739,1)=1,5,0)+IF(COUNTIF(Q1137:$W1137,"&gt;"&amp;0)&lt;5,IF(AND(COUNTIF(P$1237:P1739,1)&gt;7,MOD(1+IFERROR(MATCH($C1137,总览!$D$46:$D$345,1)+1,1),7)=0),$C$3,0),0)</f>
        <v>671.692857142861</v>
      </c>
      <c r="Q1137" s="131" cm="1">
        <f ca="1" t="array" ref="Q1137">IF(Q1739=1,OFFSET($W$634,$B1137,Q$631-1)/SUMPRODUCT(--($D$631:$V$631=Q$631),--($D1739:$V1739=1)),0)+SUM(Q1136)+IF(COUNTIF(Q$1237:Q1739,1)=1,5,0)+IF(COUNTIF(R1137:$W1137,"&gt;"&amp;0)&lt;5,IF(AND(COUNTIF(Q$1237:Q1739,1)&gt;7,MOD(1+IFERROR(MATCH($C1137,总览!$D$46:$D$345,1)+1,1),7)=0),$C$3,0),0)</f>
        <v>685.074107142861</v>
      </c>
      <c r="R1137" s="131" cm="1">
        <f ca="1" t="array" ref="R1137">IF(R1739=1,OFFSET($W$634,$B1137,R$631-1)/SUMPRODUCT(--($D$631:$V$631=R$631),--($D1739:$V1739=1)),0)+SUM(R1136)+IF(COUNTIF(R$1237:R1739,1)=1,5,0)+IF(COUNTIF(S1137:$W1137,"&gt;"&amp;0)&lt;5,IF(AND(COUNTIF(R$1237:R1739,1)&gt;7,MOD(1+IFERROR(MATCH($C1137,总览!$D$46:$D$345,1)+1,1),7)=0),$C$3,0),0)</f>
        <v>676.692857142861</v>
      </c>
      <c r="S1137" s="131" cm="1">
        <f ca="1" t="array" ref="S1137">IF(S1739=1,OFFSET($W$634,$B1137,S$631-1)/SUMPRODUCT(--($D$631:$V$631=S$631),--($D1739:$V1739=1)),0)+SUM(S1136)+IF(COUNTIF(S$1237:S1739,1)=1,5,0)+IF(COUNTIF(T1137:$W1137,"&gt;"&amp;0)&lt;5,IF(AND(COUNTIF(S$1237:S1739,1)&gt;7,MOD(1+IFERROR(MATCH($C1137,总览!$D$46:$D$345,1)+1,1),7)=0),$C$3,0),0)</f>
        <v>769.192857142862</v>
      </c>
      <c r="T1137" s="131" cm="1">
        <f ca="1" t="array" ref="T1137">IF(T1739=1,OFFSET($W$634,$B1137,T$631-1)/SUMPRODUCT(--($D$631:$V$631=T$631),--($D1739:$V1739=1)),0)+SUM(T1136)+IF(COUNTIF(T$1237:T1739,1)=1,5,0)+IF(COUNTIF(U1137:$W1137,"&gt;"&amp;0)&lt;5,IF(AND(COUNTIF(T$1237:T1739,1)&gt;7,MOD(1+IFERROR(MATCH($C1137,总览!$D$46:$D$345,1)+1,1),7)=0),$C$3,0),0)</f>
        <v>563.278395153264</v>
      </c>
      <c r="U1137" s="131" cm="1">
        <f ca="1" t="array" ref="U1137">IF(U1739=1,OFFSET($W$634,$B1137,U$631-1)/SUMPRODUCT(--($D$631:$V$631=U$631),--($D1739:$V1739=1)),0)+SUM(U1136)+IF(COUNTIF(U$1237:U1739,1)=1,5,0)+IF(COUNTIF(V1137:$W1137,"&gt;"&amp;0)&lt;5,IF(AND(COUNTIF(U$1237:U1739,1)&gt;7,MOD(1+IFERROR(MATCH($C1137,总览!$D$46:$D$345,1)+1,1),7)=0),$C$3,0),0)</f>
        <v>568.799181508563</v>
      </c>
      <c r="V1137" s="131" cm="1">
        <f ca="1" t="array" ref="V1137">IF(V1739=1,OFFSET($W$634,$B1137,V$631-1)/SUMPRODUCT(--($D$631:$V$631=V$631),--($D1739:$V1739=1)),0)+SUM(V1136)+IF(COUNTIF(V$1237:V1739,1)=1,5,0)+IF(COUNTIF(W1137:$W1137,"&gt;"&amp;0)&lt;5,IF(AND(COUNTIF(V$1237:V1739,1)&gt;7,MOD(1+IFERROR(MATCH($C1137,总览!$D$46:$D$345,1)+1,1),7)=0),$C$3,0),0)</f>
        <v>588.626181220996</v>
      </c>
      <c r="W1137" s="135" cm="1">
        <f ca="1" t="array" ref="W1137">SUMPRODUCT(TRANSPOSE($AA1137:$AG1137),OFFSET($L$9:$L$15,0,W$631-1))</f>
        <v>16.8502200646615</v>
      </c>
      <c r="X1137" s="135" cm="1">
        <f ca="1" t="array" ref="X1137">SUMPRODUCT(TRANSPOSE($AA1137:$AG1137),OFFSET($L$9:$L$15,0,X$631-1))</f>
        <v>20</v>
      </c>
      <c r="Y1137" s="135" cm="1">
        <f ca="1" t="array" ref="Y1137">SUMPRODUCT(TRANSPOSE($AA1137:$AG1137),OFFSET($L$9:$L$15,0,Y$631-1))</f>
        <v>10</v>
      </c>
      <c r="Z1137" s="135" cm="1">
        <f ca="1" t="array" ref="Z1137">SUMPRODUCT(TRANSPOSE($AA1137:$AG1137),OFFSET($L$9:$L$15,0,Z$631-1))</f>
        <v>3.14977993533847</v>
      </c>
      <c r="AA1137" s="136">
        <f ca="1" t="shared" ref="AA1137:AG1137" si="1259">AH1137-AH1136</f>
        <v>0</v>
      </c>
      <c r="AB1137" s="136">
        <f ca="1" t="shared" si="1259"/>
        <v>0</v>
      </c>
      <c r="AC1137" s="136">
        <f ca="1" t="shared" si="1259"/>
        <v>0</v>
      </c>
      <c r="AD1137" s="136">
        <f ca="1" t="shared" si="1259"/>
        <v>0</v>
      </c>
      <c r="AE1137" s="136">
        <f ca="1" t="shared" si="1259"/>
        <v>0</v>
      </c>
      <c r="AF1137" s="136">
        <f ca="1" t="shared" si="1259"/>
        <v>0</v>
      </c>
      <c r="AG1137" s="136">
        <f ca="1" t="shared" si="1259"/>
        <v>100</v>
      </c>
      <c r="AH1137" s="136">
        <f ca="1" t="shared" si="1151"/>
        <v>450</v>
      </c>
      <c r="AI1137" s="136">
        <f ca="1" t="shared" ref="AI1137:AN1137" si="1260">IF($C1137&gt;OFFSET($Q$8,MATCH(AI$634,$AH$634:$AN$634,0),0),OFFSET($P$8,MATCH(AI$634,$AH$634:$AN$634,0),0),MAX(0,$C1137-OFFSET($Q$8,RIGHT(AI$634,1)-1,0)))</f>
        <v>909</v>
      </c>
      <c r="AJ1137" s="136">
        <f ca="1" t="shared" si="1260"/>
        <v>1818</v>
      </c>
      <c r="AK1137" s="136">
        <f ca="1" t="shared" si="1260"/>
        <v>2727</v>
      </c>
      <c r="AL1137" s="136">
        <f ca="1" t="shared" si="1260"/>
        <v>3636</v>
      </c>
      <c r="AM1137" s="136">
        <f ca="1" t="shared" si="1260"/>
        <v>4545</v>
      </c>
      <c r="AN1137" s="136">
        <f ca="1" t="shared" si="1260"/>
        <v>36215</v>
      </c>
    </row>
    <row r="1138" s="106" customFormat="1" ht="16.5" spans="2:40">
      <c r="B1138" s="117">
        <v>504</v>
      </c>
      <c r="C1138" s="130">
        <f t="shared" si="1149"/>
        <v>50400</v>
      </c>
      <c r="D1138" s="131" cm="1">
        <f ca="1" t="array" ref="D1138">IF(D1740=1,OFFSET($W$634,$B1138,D$631-1)/SUMPRODUCT(--($D$631:$V$631=D$631),--($D1740:$V1740=1)),0)+SUM(D1137)+IF(COUNTIF(D$1237:D1740,1)=1,5,0)+IF(COUNTIF(E1138:$W1138,"&gt;"&amp;0)&lt;5,IF(AND(COUNTIF(D$1237:D1740,1)&gt;7,MOD(1+IFERROR(MATCH($C1138,总览!$D$46:$D$345,1)+1,1),7)=0),$C$3,0),0)</f>
        <v>3158.54048739398</v>
      </c>
      <c r="E1138" s="131" cm="1">
        <f ca="1" t="array" ref="E1138">IF(E1740=1,OFFSET($W$634,$B1138,E$631-1)/SUMPRODUCT(--($D$631:$V$631=E$631),--($D1740:$V1740=1)),0)+SUM(E1137)+IF(COUNTIF(E$1237:E1740,1)=1,5,0)+IF(COUNTIF(F1138:$W1138,"&gt;"&amp;0)&lt;5,IF(AND(COUNTIF(E$1237:E1740,1)&gt;7,MOD(1+IFERROR(MATCH($C1138,总览!$D$46:$D$345,1)+1,1),7)=0),$C$3,0),0)</f>
        <v>3158.54048739398</v>
      </c>
      <c r="F1138" s="131" cm="1">
        <f ca="1" t="array" ref="F1138">IF(F1740=1,OFFSET($W$634,$B1138,F$631-1)/SUMPRODUCT(--($D$631:$V$631=F$631),--($D1740:$V1740=1)),0)+SUM(F1137)+IF(COUNTIF(F$1237:F1740,1)=1,5,0)+IF(COUNTIF(G1138:$W1138,"&gt;"&amp;0)&lt;5,IF(AND(COUNTIF(F$1237:F1740,1)&gt;7,MOD(1+IFERROR(MATCH($C1138,总览!$D$46:$D$345,1)+1,1),7)=0),$C$3,0),0)</f>
        <v>3158.54048739398</v>
      </c>
      <c r="G1138" s="131" cm="1">
        <f ca="1" t="array" ref="G1138">IF(G1740=1,OFFSET($W$634,$B1138,G$631-1)/SUMPRODUCT(--($D$631:$V$631=G$631),--($D1740:$V1740=1)),0)+SUM(G1137)+IF(COUNTIF(G$1237:G1740,1)=1,5,0)+IF(COUNTIF(H1138:$W1138,"&gt;"&amp;0)&lt;5,IF(AND(COUNTIF(G$1237:G1740,1)&gt;7,MOD(1+IFERROR(MATCH($C1138,总览!$D$46:$D$345,1)+1,1),7)=0),$C$3,0),0)</f>
        <v>1619.39999999999</v>
      </c>
      <c r="H1138" s="131" cm="1">
        <f ca="1" t="array" ref="H1138">IF(H1740=1,OFFSET($W$634,$B1138,H$631-1)/SUMPRODUCT(--($D$631:$V$631=H$631),--($D1740:$V1740=1)),0)+SUM(H1137)+IF(COUNTIF(H$1237:H1740,1)=1,5,0)+IF(COUNTIF(I1138:$W1138,"&gt;"&amp;0)&lt;5,IF(AND(COUNTIF(H$1237:H1740,1)&gt;7,MOD(1+IFERROR(MATCH($C1138,总览!$D$46:$D$345,1)+1,1),7)=0),$C$3,0),0)</f>
        <v>1619.39999999999</v>
      </c>
      <c r="I1138" s="131" cm="1">
        <f ca="1" t="array" ref="I1138">IF(I1740=1,OFFSET($W$634,$B1138,I$631-1)/SUMPRODUCT(--($D$631:$V$631=I$631),--($D1740:$V1740=1)),0)+SUM(I1137)+IF(COUNTIF(I$1237:I1740,1)=1,5,0)+IF(COUNTIF(J1138:$W1138,"&gt;"&amp;0)&lt;5,IF(AND(COUNTIF(I$1237:I1740,1)&gt;7,MOD(1+IFERROR(MATCH($C1138,总览!$D$46:$D$345,1)+1,1),7)=0),$C$3,0),0)</f>
        <v>1619.39999999999</v>
      </c>
      <c r="J1138" s="131" cm="1">
        <f ca="1" t="array" ref="J1138">IF(J1740=1,OFFSET($W$634,$B1138,J$631-1)/SUMPRODUCT(--($D$631:$V$631=J$631),--($D1740:$V1740=1)),0)+SUM(J1137)+IF(COUNTIF(J$1237:J1740,1)=1,5,0)+IF(COUNTIF(K1138:$W1138,"&gt;"&amp;0)&lt;5,IF(AND(COUNTIF(J$1237:J1740,1)&gt;7,MOD(1+IFERROR(MATCH($C1138,总览!$D$46:$D$345,1)+1,1),7)=0),$C$3,0),0)</f>
        <v>1616.06666666666</v>
      </c>
      <c r="K1138" s="131" cm="1">
        <f ca="1" t="array" ref="K1138">IF(K1740=1,OFFSET($W$634,$B1138,K$631-1)/SUMPRODUCT(--($D$631:$V$631=K$631),--($D1740:$V1740=1)),0)+SUM(K1137)+IF(COUNTIF(K$1237:K1740,1)=1,5,0)+IF(COUNTIF(L1138:$W1138,"&gt;"&amp;0)&lt;5,IF(AND(COUNTIF(K$1237:K1740,1)&gt;7,MOD(1+IFERROR(MATCH($C1138,总览!$D$46:$D$345,1)+1,1),7)=0),$C$3,0),0)</f>
        <v>1613.56666666666</v>
      </c>
      <c r="L1138" s="131" cm="1">
        <f ca="1" t="array" ref="L1138">IF(L1740=1,OFFSET($W$634,$B1138,L$631-1)/SUMPRODUCT(--($D$631:$V$631=L$631),--($D1740:$V1740=1)),0)+SUM(L1137)+IF(COUNTIF(L$1237:L1740,1)=1,5,0)+IF(COUNTIF(M1138:$W1138,"&gt;"&amp;0)&lt;5,IF(AND(COUNTIF(L$1237:L1740,1)&gt;7,MOD(1+IFERROR(MATCH($C1138,总览!$D$46:$D$345,1)+1,1),7)=0),$C$3,0),0)</f>
        <v>1613.56666666666</v>
      </c>
      <c r="M1138" s="131" cm="1">
        <f ca="1" t="array" ref="M1138">IF(M1740=1,OFFSET($W$634,$B1138,M$631-1)/SUMPRODUCT(--($D$631:$V$631=M$631),--($D1740:$V1740=1)),0)+SUM(M1137)+IF(COUNTIF(M$1237:M1740,1)=1,5,0)+IF(COUNTIF(N1138:$W1138,"&gt;"&amp;0)&lt;5,IF(AND(COUNTIF(M$1237:M1740,1)&gt;7,MOD(1+IFERROR(MATCH($C1138,总览!$D$46:$D$345,1)+1,1),7)=0),$C$3,0),0)</f>
        <v>677.752678571432</v>
      </c>
      <c r="N1138" s="131" cm="1">
        <f ca="1" t="array" ref="N1138">IF(N1740=1,OFFSET($W$634,$B1138,N$631-1)/SUMPRODUCT(--($D$631:$V$631=N$631),--($D1740:$V1740=1)),0)+SUM(N1137)+IF(COUNTIF(N$1237:N1740,1)=1,5,0)+IF(COUNTIF(O1138:$W1138,"&gt;"&amp;0)&lt;5,IF(AND(COUNTIF(N$1237:N1740,1)&gt;7,MOD(1+IFERROR(MATCH($C1138,总览!$D$46:$D$345,1)+1,1),7)=0),$C$3,0),0)</f>
        <v>679.002678571432</v>
      </c>
      <c r="O1138" s="131" cm="1">
        <f ca="1" t="array" ref="O1138">IF(O1740=1,OFFSET($W$634,$B1138,O$631-1)/SUMPRODUCT(--($D$631:$V$631=O$631),--($D1740:$V1740=1)),0)+SUM(O1137)+IF(COUNTIF(O$1237:O1740,1)=1,5,0)+IF(COUNTIF(P1138:$W1138,"&gt;"&amp;0)&lt;5,IF(AND(COUNTIF(O$1237:O1740,1)&gt;7,MOD(1+IFERROR(MATCH($C1138,总览!$D$46:$D$345,1)+1,1),7)=0),$C$3,0),0)</f>
        <v>684.002678571432</v>
      </c>
      <c r="P1138" s="131" cm="1">
        <f ca="1" t="array" ref="P1138">IF(P1740=1,OFFSET($W$634,$B1138,P$631-1)/SUMPRODUCT(--($D$631:$V$631=P$631),--($D1740:$V1740=1)),0)+SUM(P1137)+IF(COUNTIF(P$1237:P1740,1)=1,5,0)+IF(COUNTIF(Q1138:$W1138,"&gt;"&amp;0)&lt;5,IF(AND(COUNTIF(P$1237:P1740,1)&gt;7,MOD(1+IFERROR(MATCH($C1138,总览!$D$46:$D$345,1)+1,1),7)=0),$C$3,0),0)</f>
        <v>673.121428571432</v>
      </c>
      <c r="Q1138" s="131" cm="1">
        <f ca="1" t="array" ref="Q1138">IF(Q1740=1,OFFSET($W$634,$B1138,Q$631-1)/SUMPRODUCT(--($D$631:$V$631=Q$631),--($D1740:$V1740=1)),0)+SUM(Q1137)+IF(COUNTIF(Q$1237:Q1740,1)=1,5,0)+IF(COUNTIF(R1138:$W1138,"&gt;"&amp;0)&lt;5,IF(AND(COUNTIF(Q$1237:Q1740,1)&gt;7,MOD(1+IFERROR(MATCH($C1138,总览!$D$46:$D$345,1)+1,1),7)=0),$C$3,0),0)</f>
        <v>686.502678571432</v>
      </c>
      <c r="R1138" s="131" cm="1">
        <f ca="1" t="array" ref="R1138">IF(R1740=1,OFFSET($W$634,$B1138,R$631-1)/SUMPRODUCT(--($D$631:$V$631=R$631),--($D1740:$V1740=1)),0)+SUM(R1137)+IF(COUNTIF(R$1237:R1740,1)=1,5,0)+IF(COUNTIF(S1138:$W1138,"&gt;"&amp;0)&lt;5,IF(AND(COUNTIF(R$1237:R1740,1)&gt;7,MOD(1+IFERROR(MATCH($C1138,总览!$D$46:$D$345,1)+1,1),7)=0),$C$3,0),0)</f>
        <v>678.121428571432</v>
      </c>
      <c r="S1138" s="131" cm="1">
        <f ca="1" t="array" ref="S1138">IF(S1740=1,OFFSET($W$634,$B1138,S$631-1)/SUMPRODUCT(--($D$631:$V$631=S$631),--($D1740:$V1740=1)),0)+SUM(S1137)+IF(COUNTIF(S$1237:S1740,1)=1,5,0)+IF(COUNTIF(T1138:$W1138,"&gt;"&amp;0)&lt;5,IF(AND(COUNTIF(S$1237:S1740,1)&gt;7,MOD(1+IFERROR(MATCH($C1138,总览!$D$46:$D$345,1)+1,1),7)=0),$C$3,0),0)</f>
        <v>770.621428571433</v>
      </c>
      <c r="T1138" s="131" cm="1">
        <f ca="1" t="array" ref="T1138">IF(T1740=1,OFFSET($W$634,$B1138,T$631-1)/SUMPRODUCT(--($D$631:$V$631=T$631),--($D1740:$V1740=1)),0)+SUM(T1137)+IF(COUNTIF(T$1237:T1740,1)=1,5,0)+IF(COUNTIF(U1138:$W1138,"&gt;"&amp;0)&lt;5,IF(AND(COUNTIF(T$1237:T1740,1)&gt;7,MOD(1+IFERROR(MATCH($C1138,总览!$D$46:$D$345,1)+1,1),7)=0),$C$3,0),0)</f>
        <v>564.328321798377</v>
      </c>
      <c r="U1138" s="131" cm="1">
        <f ca="1" t="array" ref="U1138">IF(U1740=1,OFFSET($W$634,$B1138,U$631-1)/SUMPRODUCT(--($D$631:$V$631=U$631),--($D1740:$V1740=1)),0)+SUM(U1137)+IF(COUNTIF(U$1237:U1740,1)=1,5,0)+IF(COUNTIF(V1138:$W1138,"&gt;"&amp;0)&lt;5,IF(AND(COUNTIF(U$1237:U1740,1)&gt;7,MOD(1+IFERROR(MATCH($C1138,总览!$D$46:$D$345,1)+1,1),7)=0),$C$3,0),0)</f>
        <v>569.849108153676</v>
      </c>
      <c r="V1138" s="131" cm="1">
        <f ca="1" t="array" ref="V1138">IF(V1740=1,OFFSET($W$634,$B1138,V$631-1)/SUMPRODUCT(--($D$631:$V$631=V$631),--($D1740:$V1740=1)),0)+SUM(V1137)+IF(COUNTIF(V$1237:V1740,1)=1,5,0)+IF(COUNTIF(W1138:$W1138,"&gt;"&amp;0)&lt;5,IF(AND(COUNTIF(V$1237:V1740,1)&gt;7,MOD(1+IFERROR(MATCH($C1138,总览!$D$46:$D$345,1)+1,1),7)=0),$C$3,0),0)</f>
        <v>589.676107866109</v>
      </c>
      <c r="W1138" s="135" cm="1">
        <f ca="1" t="array" ref="W1138">SUMPRODUCT(TRANSPOSE($AA1138:$AG1138),OFFSET($L$9:$L$15,0,W$631-1))</f>
        <v>16.8502200646615</v>
      </c>
      <c r="X1138" s="135" cm="1">
        <f ca="1" t="array" ref="X1138">SUMPRODUCT(TRANSPOSE($AA1138:$AG1138),OFFSET($L$9:$L$15,0,X$631-1))</f>
        <v>20</v>
      </c>
      <c r="Y1138" s="135" cm="1">
        <f ca="1" t="array" ref="Y1138">SUMPRODUCT(TRANSPOSE($AA1138:$AG1138),OFFSET($L$9:$L$15,0,Y$631-1))</f>
        <v>10</v>
      </c>
      <c r="Z1138" s="135" cm="1">
        <f ca="1" t="array" ref="Z1138">SUMPRODUCT(TRANSPOSE($AA1138:$AG1138),OFFSET($L$9:$L$15,0,Z$631-1))</f>
        <v>3.14977993533847</v>
      </c>
      <c r="AA1138" s="136">
        <f ca="1" t="shared" ref="AA1138:AG1138" si="1261">AH1138-AH1137</f>
        <v>0</v>
      </c>
      <c r="AB1138" s="136">
        <f ca="1" t="shared" si="1261"/>
        <v>0</v>
      </c>
      <c r="AC1138" s="136">
        <f ca="1" t="shared" si="1261"/>
        <v>0</v>
      </c>
      <c r="AD1138" s="136">
        <f ca="1" t="shared" si="1261"/>
        <v>0</v>
      </c>
      <c r="AE1138" s="136">
        <f ca="1" t="shared" si="1261"/>
        <v>0</v>
      </c>
      <c r="AF1138" s="136">
        <f ca="1" t="shared" si="1261"/>
        <v>0</v>
      </c>
      <c r="AG1138" s="136">
        <f ca="1" t="shared" si="1261"/>
        <v>100</v>
      </c>
      <c r="AH1138" s="136">
        <f ca="1" t="shared" si="1151"/>
        <v>450</v>
      </c>
      <c r="AI1138" s="136">
        <f ca="1" t="shared" ref="AI1138:AN1138" si="1262">IF($C1138&gt;OFFSET($Q$8,MATCH(AI$634,$AH$634:$AN$634,0),0),OFFSET($P$8,MATCH(AI$634,$AH$634:$AN$634,0),0),MAX(0,$C1138-OFFSET($Q$8,RIGHT(AI$634,1)-1,0)))</f>
        <v>909</v>
      </c>
      <c r="AJ1138" s="136">
        <f ca="1" t="shared" si="1262"/>
        <v>1818</v>
      </c>
      <c r="AK1138" s="136">
        <f ca="1" t="shared" si="1262"/>
        <v>2727</v>
      </c>
      <c r="AL1138" s="136">
        <f ca="1" t="shared" si="1262"/>
        <v>3636</v>
      </c>
      <c r="AM1138" s="136">
        <f ca="1" t="shared" si="1262"/>
        <v>4545</v>
      </c>
      <c r="AN1138" s="136">
        <f ca="1" t="shared" si="1262"/>
        <v>36315</v>
      </c>
    </row>
    <row r="1139" s="106" customFormat="1" ht="16.5" spans="2:40">
      <c r="B1139" s="117">
        <v>505</v>
      </c>
      <c r="C1139" s="130">
        <f t="shared" si="1149"/>
        <v>50500</v>
      </c>
      <c r="D1139" s="131" cm="1">
        <f ca="1" t="array" ref="D1139">IF(D1741=1,OFFSET($W$634,$B1139,D$631-1)/SUMPRODUCT(--($D$631:$V$631=D$631),--($D1741:$V1741=1)),0)+SUM(D1138)+IF(COUNTIF(D$1237:D1741,1)=1,5,0)+IF(COUNTIF(E1139:$W1139,"&gt;"&amp;0)&lt;5,IF(AND(COUNTIF(D$1237:D1741,1)&gt;7,MOD(1+IFERROR(MATCH($C1139,总览!$D$46:$D$345,1)+1,1),7)=0),$C$3,0),0)</f>
        <v>3164.15722741553</v>
      </c>
      <c r="E1139" s="131" cm="1">
        <f ca="1" t="array" ref="E1139">IF(E1741=1,OFFSET($W$634,$B1139,E$631-1)/SUMPRODUCT(--($D$631:$V$631=E$631),--($D1741:$V1741=1)),0)+SUM(E1138)+IF(COUNTIF(E$1237:E1741,1)=1,5,0)+IF(COUNTIF(F1139:$W1139,"&gt;"&amp;0)&lt;5,IF(AND(COUNTIF(E$1237:E1741,1)&gt;7,MOD(1+IFERROR(MATCH($C1139,总览!$D$46:$D$345,1)+1,1),7)=0),$C$3,0),0)</f>
        <v>3164.15722741553</v>
      </c>
      <c r="F1139" s="131" cm="1">
        <f ca="1" t="array" ref="F1139">IF(F1741=1,OFFSET($W$634,$B1139,F$631-1)/SUMPRODUCT(--($D$631:$V$631=F$631),--($D1741:$V1741=1)),0)+SUM(F1138)+IF(COUNTIF(F$1237:F1741,1)=1,5,0)+IF(COUNTIF(G1139:$W1139,"&gt;"&amp;0)&lt;5,IF(AND(COUNTIF(F$1237:F1741,1)&gt;7,MOD(1+IFERROR(MATCH($C1139,总览!$D$46:$D$345,1)+1,1),7)=0),$C$3,0),0)</f>
        <v>3164.15722741553</v>
      </c>
      <c r="G1139" s="131" cm="1">
        <f ca="1" t="array" ref="G1139">IF(G1741=1,OFFSET($W$634,$B1139,G$631-1)/SUMPRODUCT(--($D$631:$V$631=G$631),--($D1741:$V1741=1)),0)+SUM(G1138)+IF(COUNTIF(G$1237:G1741,1)=1,5,0)+IF(COUNTIF(H1139:$W1139,"&gt;"&amp;0)&lt;5,IF(AND(COUNTIF(G$1237:G1741,1)&gt;7,MOD(1+IFERROR(MATCH($C1139,总览!$D$46:$D$345,1)+1,1),7)=0),$C$3,0),0)</f>
        <v>1622.73333333332</v>
      </c>
      <c r="H1139" s="131" cm="1">
        <f ca="1" t="array" ref="H1139">IF(H1741=1,OFFSET($W$634,$B1139,H$631-1)/SUMPRODUCT(--($D$631:$V$631=H$631),--($D1741:$V1741=1)),0)+SUM(H1138)+IF(COUNTIF(H$1237:H1741,1)=1,5,0)+IF(COUNTIF(I1139:$W1139,"&gt;"&amp;0)&lt;5,IF(AND(COUNTIF(H$1237:H1741,1)&gt;7,MOD(1+IFERROR(MATCH($C1139,总览!$D$46:$D$345,1)+1,1),7)=0),$C$3,0),0)</f>
        <v>1622.73333333332</v>
      </c>
      <c r="I1139" s="131" cm="1">
        <f ca="1" t="array" ref="I1139">IF(I1741=1,OFFSET($W$634,$B1139,I$631-1)/SUMPRODUCT(--($D$631:$V$631=I$631),--($D1741:$V1741=1)),0)+SUM(I1138)+IF(COUNTIF(I$1237:I1741,1)=1,5,0)+IF(COUNTIF(J1139:$W1139,"&gt;"&amp;0)&lt;5,IF(AND(COUNTIF(I$1237:I1741,1)&gt;7,MOD(1+IFERROR(MATCH($C1139,总览!$D$46:$D$345,1)+1,1),7)=0),$C$3,0),0)</f>
        <v>1622.73333333332</v>
      </c>
      <c r="J1139" s="131" cm="1">
        <f ca="1" t="array" ref="J1139">IF(J1741=1,OFFSET($W$634,$B1139,J$631-1)/SUMPRODUCT(--($D$631:$V$631=J$631),--($D1741:$V1741=1)),0)+SUM(J1138)+IF(COUNTIF(J$1237:J1741,1)=1,5,0)+IF(COUNTIF(K1139:$W1139,"&gt;"&amp;0)&lt;5,IF(AND(COUNTIF(J$1237:J1741,1)&gt;7,MOD(1+IFERROR(MATCH($C1139,总览!$D$46:$D$345,1)+1,1),7)=0),$C$3,0),0)</f>
        <v>1619.39999999999</v>
      </c>
      <c r="K1139" s="131" cm="1">
        <f ca="1" t="array" ref="K1139">IF(K1741=1,OFFSET($W$634,$B1139,K$631-1)/SUMPRODUCT(--($D$631:$V$631=K$631),--($D1741:$V1741=1)),0)+SUM(K1138)+IF(COUNTIF(K$1237:K1741,1)=1,5,0)+IF(COUNTIF(L1139:$W1139,"&gt;"&amp;0)&lt;5,IF(AND(COUNTIF(K$1237:K1741,1)&gt;7,MOD(1+IFERROR(MATCH($C1139,总览!$D$46:$D$345,1)+1,1),7)=0),$C$3,0),0)</f>
        <v>1616.89999999999</v>
      </c>
      <c r="L1139" s="131" cm="1">
        <f ca="1" t="array" ref="L1139">IF(L1741=1,OFFSET($W$634,$B1139,L$631-1)/SUMPRODUCT(--($D$631:$V$631=L$631),--($D1741:$V1741=1)),0)+SUM(L1138)+IF(COUNTIF(L$1237:L1741,1)=1,5,0)+IF(COUNTIF(M1139:$W1139,"&gt;"&amp;0)&lt;5,IF(AND(COUNTIF(L$1237:L1741,1)&gt;7,MOD(1+IFERROR(MATCH($C1139,总览!$D$46:$D$345,1)+1,1),7)=0),$C$3,0),0)</f>
        <v>1616.89999999999</v>
      </c>
      <c r="M1139" s="131" cm="1">
        <f ca="1" t="array" ref="M1139">IF(M1741=1,OFFSET($W$634,$B1139,M$631-1)/SUMPRODUCT(--($D$631:$V$631=M$631),--($D1741:$V1741=1)),0)+SUM(M1138)+IF(COUNTIF(M$1237:M1741,1)=1,5,0)+IF(COUNTIF(N1139:$W1139,"&gt;"&amp;0)&lt;5,IF(AND(COUNTIF(M$1237:M1741,1)&gt;7,MOD(1+IFERROR(MATCH($C1139,总览!$D$46:$D$345,1)+1,1),7)=0),$C$3,0),0)</f>
        <v>679.181250000004</v>
      </c>
      <c r="N1139" s="131" cm="1">
        <f ca="1" t="array" ref="N1139">IF(N1741=1,OFFSET($W$634,$B1139,N$631-1)/SUMPRODUCT(--($D$631:$V$631=N$631),--($D1741:$V1741=1)),0)+SUM(N1138)+IF(COUNTIF(N$1237:N1741,1)=1,5,0)+IF(COUNTIF(O1139:$W1139,"&gt;"&amp;0)&lt;5,IF(AND(COUNTIF(N$1237:N1741,1)&gt;7,MOD(1+IFERROR(MATCH($C1139,总览!$D$46:$D$345,1)+1,1),7)=0),$C$3,0),0)</f>
        <v>680.431250000004</v>
      </c>
      <c r="O1139" s="131" cm="1">
        <f ca="1" t="array" ref="O1139">IF(O1741=1,OFFSET($W$634,$B1139,O$631-1)/SUMPRODUCT(--($D$631:$V$631=O$631),--($D1741:$V1741=1)),0)+SUM(O1138)+IF(COUNTIF(O$1237:O1741,1)=1,5,0)+IF(COUNTIF(P1139:$W1139,"&gt;"&amp;0)&lt;5,IF(AND(COUNTIF(O$1237:O1741,1)&gt;7,MOD(1+IFERROR(MATCH($C1139,总览!$D$46:$D$345,1)+1,1),7)=0),$C$3,0),0)</f>
        <v>685.431250000004</v>
      </c>
      <c r="P1139" s="131" cm="1">
        <f ca="1" t="array" ref="P1139">IF(P1741=1,OFFSET($W$634,$B1139,P$631-1)/SUMPRODUCT(--($D$631:$V$631=P$631),--($D1741:$V1741=1)),0)+SUM(P1138)+IF(COUNTIF(P$1237:P1741,1)=1,5,0)+IF(COUNTIF(Q1139:$W1139,"&gt;"&amp;0)&lt;5,IF(AND(COUNTIF(P$1237:P1741,1)&gt;7,MOD(1+IFERROR(MATCH($C1139,总览!$D$46:$D$345,1)+1,1),7)=0),$C$3,0),0)</f>
        <v>674.550000000004</v>
      </c>
      <c r="Q1139" s="131" cm="1">
        <f ca="1" t="array" ref="Q1139">IF(Q1741=1,OFFSET($W$634,$B1139,Q$631-1)/SUMPRODUCT(--($D$631:$V$631=Q$631),--($D1741:$V1741=1)),0)+SUM(Q1138)+IF(COUNTIF(Q$1237:Q1741,1)=1,5,0)+IF(COUNTIF(R1139:$W1139,"&gt;"&amp;0)&lt;5,IF(AND(COUNTIF(Q$1237:Q1741,1)&gt;7,MOD(1+IFERROR(MATCH($C1139,总览!$D$46:$D$345,1)+1,1),7)=0),$C$3,0),0)</f>
        <v>687.931250000004</v>
      </c>
      <c r="R1139" s="131" cm="1">
        <f ca="1" t="array" ref="R1139">IF(R1741=1,OFFSET($W$634,$B1139,R$631-1)/SUMPRODUCT(--($D$631:$V$631=R$631),--($D1741:$V1741=1)),0)+SUM(R1138)+IF(COUNTIF(R$1237:R1741,1)=1,5,0)+IF(COUNTIF(S1139:$W1139,"&gt;"&amp;0)&lt;5,IF(AND(COUNTIF(R$1237:R1741,1)&gt;7,MOD(1+IFERROR(MATCH($C1139,总览!$D$46:$D$345,1)+1,1),7)=0),$C$3,0),0)</f>
        <v>679.550000000004</v>
      </c>
      <c r="S1139" s="131" cm="1">
        <f ca="1" t="array" ref="S1139">IF(S1741=1,OFFSET($W$634,$B1139,S$631-1)/SUMPRODUCT(--($D$631:$V$631=S$631),--($D1741:$V1741=1)),0)+SUM(S1138)+IF(COUNTIF(S$1237:S1741,1)=1,5,0)+IF(COUNTIF(T1139:$W1139,"&gt;"&amp;0)&lt;5,IF(AND(COUNTIF(S$1237:S1741,1)&gt;7,MOD(1+IFERROR(MATCH($C1139,总览!$D$46:$D$345,1)+1,1),7)=0),$C$3,0),0)</f>
        <v>772.050000000005</v>
      </c>
      <c r="T1139" s="131" cm="1">
        <f ca="1" t="array" ref="T1139">IF(T1741=1,OFFSET($W$634,$B1139,T$631-1)/SUMPRODUCT(--($D$631:$V$631=T$631),--($D1741:$V1741=1)),0)+SUM(T1138)+IF(COUNTIF(T$1237:T1741,1)=1,5,0)+IF(COUNTIF(U1139:$W1139,"&gt;"&amp;0)&lt;5,IF(AND(COUNTIF(T$1237:T1741,1)&gt;7,MOD(1+IFERROR(MATCH($C1139,总览!$D$46:$D$345,1)+1,1),7)=0),$C$3,0),0)</f>
        <v>565.378248443489</v>
      </c>
      <c r="U1139" s="131" cm="1">
        <f ca="1" t="array" ref="U1139">IF(U1741=1,OFFSET($W$634,$B1139,U$631-1)/SUMPRODUCT(--($D$631:$V$631=U$631),--($D1741:$V1741=1)),0)+SUM(U1138)+IF(COUNTIF(U$1237:U1741,1)=1,5,0)+IF(COUNTIF(V1139:$W1139,"&gt;"&amp;0)&lt;5,IF(AND(COUNTIF(U$1237:U1741,1)&gt;7,MOD(1+IFERROR(MATCH($C1139,总览!$D$46:$D$345,1)+1,1),7)=0),$C$3,0),0)</f>
        <v>570.899034798789</v>
      </c>
      <c r="V1139" s="131" cm="1">
        <f ca="1" t="array" ref="V1139">IF(V1741=1,OFFSET($W$634,$B1139,V$631-1)/SUMPRODUCT(--($D$631:$V$631=V$631),--($D1741:$V1741=1)),0)+SUM(V1138)+IF(COUNTIF(V$1237:V1741,1)=1,5,0)+IF(COUNTIF(W1139:$W1139,"&gt;"&amp;0)&lt;5,IF(AND(COUNTIF(V$1237:V1741,1)&gt;7,MOD(1+IFERROR(MATCH($C1139,总览!$D$46:$D$345,1)+1,1),7)=0),$C$3,0),0)</f>
        <v>590.726034511222</v>
      </c>
      <c r="W1139" s="135" cm="1">
        <f ca="1" t="array" ref="W1139">SUMPRODUCT(TRANSPOSE($AA1139:$AG1139),OFFSET($L$9:$L$15,0,W$631-1))</f>
        <v>16.8502200646615</v>
      </c>
      <c r="X1139" s="135" cm="1">
        <f ca="1" t="array" ref="X1139">SUMPRODUCT(TRANSPOSE($AA1139:$AG1139),OFFSET($L$9:$L$15,0,X$631-1))</f>
        <v>20</v>
      </c>
      <c r="Y1139" s="135" cm="1">
        <f ca="1" t="array" ref="Y1139">SUMPRODUCT(TRANSPOSE($AA1139:$AG1139),OFFSET($L$9:$L$15,0,Y$631-1))</f>
        <v>10</v>
      </c>
      <c r="Z1139" s="135" cm="1">
        <f ca="1" t="array" ref="Z1139">SUMPRODUCT(TRANSPOSE($AA1139:$AG1139),OFFSET($L$9:$L$15,0,Z$631-1))</f>
        <v>3.14977993533847</v>
      </c>
      <c r="AA1139" s="136">
        <f ca="1" t="shared" ref="AA1139:AG1139" si="1263">AH1139-AH1138</f>
        <v>0</v>
      </c>
      <c r="AB1139" s="136">
        <f ca="1" t="shared" si="1263"/>
        <v>0</v>
      </c>
      <c r="AC1139" s="136">
        <f ca="1" t="shared" si="1263"/>
        <v>0</v>
      </c>
      <c r="AD1139" s="136">
        <f ca="1" t="shared" si="1263"/>
        <v>0</v>
      </c>
      <c r="AE1139" s="136">
        <f ca="1" t="shared" si="1263"/>
        <v>0</v>
      </c>
      <c r="AF1139" s="136">
        <f ca="1" t="shared" si="1263"/>
        <v>0</v>
      </c>
      <c r="AG1139" s="136">
        <f ca="1" t="shared" si="1263"/>
        <v>100</v>
      </c>
      <c r="AH1139" s="136">
        <f ca="1" t="shared" si="1151"/>
        <v>450</v>
      </c>
      <c r="AI1139" s="136">
        <f ca="1" t="shared" ref="AI1139:AN1139" si="1264">IF($C1139&gt;OFFSET($Q$8,MATCH(AI$634,$AH$634:$AN$634,0),0),OFFSET($P$8,MATCH(AI$634,$AH$634:$AN$634,0),0),MAX(0,$C1139-OFFSET($Q$8,RIGHT(AI$634,1)-1,0)))</f>
        <v>909</v>
      </c>
      <c r="AJ1139" s="136">
        <f ca="1" t="shared" si="1264"/>
        <v>1818</v>
      </c>
      <c r="AK1139" s="136">
        <f ca="1" t="shared" si="1264"/>
        <v>2727</v>
      </c>
      <c r="AL1139" s="136">
        <f ca="1" t="shared" si="1264"/>
        <v>3636</v>
      </c>
      <c r="AM1139" s="136">
        <f ca="1" t="shared" si="1264"/>
        <v>4545</v>
      </c>
      <c r="AN1139" s="136">
        <f ca="1" t="shared" si="1264"/>
        <v>36415</v>
      </c>
    </row>
    <row r="1140" s="106" customFormat="1" ht="16.5" spans="2:40">
      <c r="B1140" s="117">
        <v>506</v>
      </c>
      <c r="C1140" s="130">
        <f t="shared" si="1149"/>
        <v>50600</v>
      </c>
      <c r="D1140" s="131" cm="1">
        <f ca="1" t="array" ref="D1140">IF(D1742=1,OFFSET($W$634,$B1140,D$631-1)/SUMPRODUCT(--($D$631:$V$631=D$631),--($D1742:$V1742=1)),0)+SUM(D1139)+IF(COUNTIF(D$1237:D1742,1)=1,5,0)+IF(COUNTIF(E1140:$W1140,"&gt;"&amp;0)&lt;5,IF(AND(COUNTIF(D$1237:D1742,1)&gt;7,MOD(1+IFERROR(MATCH($C1140,总览!$D$46:$D$345,1)+1,1),7)=0),$C$3,0),0)</f>
        <v>3169.77396743709</v>
      </c>
      <c r="E1140" s="131" cm="1">
        <f ca="1" t="array" ref="E1140">IF(E1742=1,OFFSET($W$634,$B1140,E$631-1)/SUMPRODUCT(--($D$631:$V$631=E$631),--($D1742:$V1742=1)),0)+SUM(E1139)+IF(COUNTIF(E$1237:E1742,1)=1,5,0)+IF(COUNTIF(F1140:$W1140,"&gt;"&amp;0)&lt;5,IF(AND(COUNTIF(E$1237:E1742,1)&gt;7,MOD(1+IFERROR(MATCH($C1140,总览!$D$46:$D$345,1)+1,1),7)=0),$C$3,0),0)</f>
        <v>3169.77396743709</v>
      </c>
      <c r="F1140" s="131" cm="1">
        <f ca="1" t="array" ref="F1140">IF(F1742=1,OFFSET($W$634,$B1140,F$631-1)/SUMPRODUCT(--($D$631:$V$631=F$631),--($D1742:$V1742=1)),0)+SUM(F1139)+IF(COUNTIF(F$1237:F1742,1)=1,5,0)+IF(COUNTIF(G1140:$W1140,"&gt;"&amp;0)&lt;5,IF(AND(COUNTIF(F$1237:F1742,1)&gt;7,MOD(1+IFERROR(MATCH($C1140,总览!$D$46:$D$345,1)+1,1),7)=0),$C$3,0),0)</f>
        <v>3169.77396743709</v>
      </c>
      <c r="G1140" s="131" cm="1">
        <f ca="1" t="array" ref="G1140">IF(G1742=1,OFFSET($W$634,$B1140,G$631-1)/SUMPRODUCT(--($D$631:$V$631=G$631),--($D1742:$V1742=1)),0)+SUM(G1139)+IF(COUNTIF(G$1237:G1742,1)=1,5,0)+IF(COUNTIF(H1140:$W1140,"&gt;"&amp;0)&lt;5,IF(AND(COUNTIF(G$1237:G1742,1)&gt;7,MOD(1+IFERROR(MATCH($C1140,总览!$D$46:$D$345,1)+1,1),7)=0),$C$3,0),0)</f>
        <v>1626.06666666666</v>
      </c>
      <c r="H1140" s="131" cm="1">
        <f ca="1" t="array" ref="H1140">IF(H1742=1,OFFSET($W$634,$B1140,H$631-1)/SUMPRODUCT(--($D$631:$V$631=H$631),--($D1742:$V1742=1)),0)+SUM(H1139)+IF(COUNTIF(H$1237:H1742,1)=1,5,0)+IF(COUNTIF(I1140:$W1140,"&gt;"&amp;0)&lt;5,IF(AND(COUNTIF(H$1237:H1742,1)&gt;7,MOD(1+IFERROR(MATCH($C1140,总览!$D$46:$D$345,1)+1,1),7)=0),$C$3,0),0)</f>
        <v>1626.06666666666</v>
      </c>
      <c r="I1140" s="131" cm="1">
        <f ca="1" t="array" ref="I1140">IF(I1742=1,OFFSET($W$634,$B1140,I$631-1)/SUMPRODUCT(--($D$631:$V$631=I$631),--($D1742:$V1742=1)),0)+SUM(I1139)+IF(COUNTIF(I$1237:I1742,1)=1,5,0)+IF(COUNTIF(J1140:$W1140,"&gt;"&amp;0)&lt;5,IF(AND(COUNTIF(I$1237:I1742,1)&gt;7,MOD(1+IFERROR(MATCH($C1140,总览!$D$46:$D$345,1)+1,1),7)=0),$C$3,0),0)</f>
        <v>1626.06666666666</v>
      </c>
      <c r="J1140" s="131" cm="1">
        <f ca="1" t="array" ref="J1140">IF(J1742=1,OFFSET($W$634,$B1140,J$631-1)/SUMPRODUCT(--($D$631:$V$631=J$631),--($D1742:$V1742=1)),0)+SUM(J1139)+IF(COUNTIF(J$1237:J1742,1)=1,5,0)+IF(COUNTIF(K1140:$W1140,"&gt;"&amp;0)&lt;5,IF(AND(COUNTIF(J$1237:J1742,1)&gt;7,MOD(1+IFERROR(MATCH($C1140,总览!$D$46:$D$345,1)+1,1),7)=0),$C$3,0),0)</f>
        <v>1622.73333333332</v>
      </c>
      <c r="K1140" s="131" cm="1">
        <f ca="1" t="array" ref="K1140">IF(K1742=1,OFFSET($W$634,$B1140,K$631-1)/SUMPRODUCT(--($D$631:$V$631=K$631),--($D1742:$V1742=1)),0)+SUM(K1139)+IF(COUNTIF(K$1237:K1742,1)=1,5,0)+IF(COUNTIF(L1140:$W1140,"&gt;"&amp;0)&lt;5,IF(AND(COUNTIF(K$1237:K1742,1)&gt;7,MOD(1+IFERROR(MATCH($C1140,总览!$D$46:$D$345,1)+1,1),7)=0),$C$3,0),0)</f>
        <v>1620.23333333332</v>
      </c>
      <c r="L1140" s="131" cm="1">
        <f ca="1" t="array" ref="L1140">IF(L1742=1,OFFSET($W$634,$B1140,L$631-1)/SUMPRODUCT(--($D$631:$V$631=L$631),--($D1742:$V1742=1)),0)+SUM(L1139)+IF(COUNTIF(L$1237:L1742,1)=1,5,0)+IF(COUNTIF(M1140:$W1140,"&gt;"&amp;0)&lt;5,IF(AND(COUNTIF(L$1237:L1742,1)&gt;7,MOD(1+IFERROR(MATCH($C1140,总览!$D$46:$D$345,1)+1,1),7)=0),$C$3,0),0)</f>
        <v>1620.23333333332</v>
      </c>
      <c r="M1140" s="131" cm="1">
        <f ca="1" t="array" ref="M1140">IF(M1742=1,OFFSET($W$634,$B1140,M$631-1)/SUMPRODUCT(--($D$631:$V$631=M$631),--($D1742:$V1742=1)),0)+SUM(M1139)+IF(COUNTIF(M$1237:M1742,1)=1,5,0)+IF(COUNTIF(N1140:$W1140,"&gt;"&amp;0)&lt;5,IF(AND(COUNTIF(M$1237:M1742,1)&gt;7,MOD(1+IFERROR(MATCH($C1140,总览!$D$46:$D$345,1)+1,1),7)=0),$C$3,0),0)</f>
        <v>680.609821428575</v>
      </c>
      <c r="N1140" s="131" cm="1">
        <f ca="1" t="array" ref="N1140">IF(N1742=1,OFFSET($W$634,$B1140,N$631-1)/SUMPRODUCT(--($D$631:$V$631=N$631),--($D1742:$V1742=1)),0)+SUM(N1139)+IF(COUNTIF(N$1237:N1742,1)=1,5,0)+IF(COUNTIF(O1140:$W1140,"&gt;"&amp;0)&lt;5,IF(AND(COUNTIF(N$1237:N1742,1)&gt;7,MOD(1+IFERROR(MATCH($C1140,总览!$D$46:$D$345,1)+1,1),7)=0),$C$3,0),0)</f>
        <v>681.859821428575</v>
      </c>
      <c r="O1140" s="131" cm="1">
        <f ca="1" t="array" ref="O1140">IF(O1742=1,OFFSET($W$634,$B1140,O$631-1)/SUMPRODUCT(--($D$631:$V$631=O$631),--($D1742:$V1742=1)),0)+SUM(O1139)+IF(COUNTIF(O$1237:O1742,1)=1,5,0)+IF(COUNTIF(P1140:$W1140,"&gt;"&amp;0)&lt;5,IF(AND(COUNTIF(O$1237:O1742,1)&gt;7,MOD(1+IFERROR(MATCH($C1140,总览!$D$46:$D$345,1)+1,1),7)=0),$C$3,0),0)</f>
        <v>686.859821428575</v>
      </c>
      <c r="P1140" s="131" cm="1">
        <f ca="1" t="array" ref="P1140">IF(P1742=1,OFFSET($W$634,$B1140,P$631-1)/SUMPRODUCT(--($D$631:$V$631=P$631),--($D1742:$V1742=1)),0)+SUM(P1139)+IF(COUNTIF(P$1237:P1742,1)=1,5,0)+IF(COUNTIF(Q1140:$W1140,"&gt;"&amp;0)&lt;5,IF(AND(COUNTIF(P$1237:P1742,1)&gt;7,MOD(1+IFERROR(MATCH($C1140,总览!$D$46:$D$345,1)+1,1),7)=0),$C$3,0),0)</f>
        <v>675.978571428575</v>
      </c>
      <c r="Q1140" s="131" cm="1">
        <f ca="1" t="array" ref="Q1140">IF(Q1742=1,OFFSET($W$634,$B1140,Q$631-1)/SUMPRODUCT(--($D$631:$V$631=Q$631),--($D1742:$V1742=1)),0)+SUM(Q1139)+IF(COUNTIF(Q$1237:Q1742,1)=1,5,0)+IF(COUNTIF(R1140:$W1140,"&gt;"&amp;0)&lt;5,IF(AND(COUNTIF(Q$1237:Q1742,1)&gt;7,MOD(1+IFERROR(MATCH($C1140,总览!$D$46:$D$345,1)+1,1),7)=0),$C$3,0),0)</f>
        <v>689.359821428575</v>
      </c>
      <c r="R1140" s="131" cm="1">
        <f ca="1" t="array" ref="R1140">IF(R1742=1,OFFSET($W$634,$B1140,R$631-1)/SUMPRODUCT(--($D$631:$V$631=R$631),--($D1742:$V1742=1)),0)+SUM(R1139)+IF(COUNTIF(R$1237:R1742,1)=1,5,0)+IF(COUNTIF(S1140:$W1140,"&gt;"&amp;0)&lt;5,IF(AND(COUNTIF(R$1237:R1742,1)&gt;7,MOD(1+IFERROR(MATCH($C1140,总览!$D$46:$D$345,1)+1,1),7)=0),$C$3,0),0)</f>
        <v>680.978571428575</v>
      </c>
      <c r="S1140" s="131" cm="1">
        <f ca="1" t="array" ref="S1140">IF(S1742=1,OFFSET($W$634,$B1140,S$631-1)/SUMPRODUCT(--($D$631:$V$631=S$631),--($D1742:$V1742=1)),0)+SUM(S1139)+IF(COUNTIF(S$1237:S1742,1)=1,5,0)+IF(COUNTIF(T1140:$W1140,"&gt;"&amp;0)&lt;5,IF(AND(COUNTIF(S$1237:S1742,1)&gt;7,MOD(1+IFERROR(MATCH($C1140,总览!$D$46:$D$345,1)+1,1),7)=0),$C$3,0),0)</f>
        <v>773.478571428576</v>
      </c>
      <c r="T1140" s="131" cm="1">
        <f ca="1" t="array" ref="T1140">IF(T1742=1,OFFSET($W$634,$B1140,T$631-1)/SUMPRODUCT(--($D$631:$V$631=T$631),--($D1742:$V1742=1)),0)+SUM(T1139)+IF(COUNTIF(T$1237:T1742,1)=1,5,0)+IF(COUNTIF(U1140:$W1140,"&gt;"&amp;0)&lt;5,IF(AND(COUNTIF(T$1237:T1742,1)&gt;7,MOD(1+IFERROR(MATCH($C1140,总览!$D$46:$D$345,1)+1,1),7)=0),$C$3,0),0)</f>
        <v>566.428175088602</v>
      </c>
      <c r="U1140" s="131" cm="1">
        <f ca="1" t="array" ref="U1140">IF(U1742=1,OFFSET($W$634,$B1140,U$631-1)/SUMPRODUCT(--($D$631:$V$631=U$631),--($D1742:$V1742=1)),0)+SUM(U1139)+IF(COUNTIF(U$1237:U1742,1)=1,5,0)+IF(COUNTIF(V1140:$W1140,"&gt;"&amp;0)&lt;5,IF(AND(COUNTIF(U$1237:U1742,1)&gt;7,MOD(1+IFERROR(MATCH($C1140,总览!$D$46:$D$345,1)+1,1),7)=0),$C$3,0),0)</f>
        <v>571.948961443902</v>
      </c>
      <c r="V1140" s="131" cm="1">
        <f ca="1" t="array" ref="V1140">IF(V1742=1,OFFSET($W$634,$B1140,V$631-1)/SUMPRODUCT(--($D$631:$V$631=V$631),--($D1742:$V1742=1)),0)+SUM(V1139)+IF(COUNTIF(V$1237:V1742,1)=1,5,0)+IF(COUNTIF(W1140:$W1140,"&gt;"&amp;0)&lt;5,IF(AND(COUNTIF(V$1237:V1742,1)&gt;7,MOD(1+IFERROR(MATCH($C1140,总览!$D$46:$D$345,1)+1,1),7)=0),$C$3,0),0)</f>
        <v>591.775961156335</v>
      </c>
      <c r="W1140" s="135" cm="1">
        <f ca="1" t="array" ref="W1140">SUMPRODUCT(TRANSPOSE($AA1140:$AG1140),OFFSET($L$9:$L$15,0,W$631-1))</f>
        <v>16.8502200646615</v>
      </c>
      <c r="X1140" s="135" cm="1">
        <f ca="1" t="array" ref="X1140">SUMPRODUCT(TRANSPOSE($AA1140:$AG1140),OFFSET($L$9:$L$15,0,X$631-1))</f>
        <v>20</v>
      </c>
      <c r="Y1140" s="135" cm="1">
        <f ca="1" t="array" ref="Y1140">SUMPRODUCT(TRANSPOSE($AA1140:$AG1140),OFFSET($L$9:$L$15,0,Y$631-1))</f>
        <v>10</v>
      </c>
      <c r="Z1140" s="135" cm="1">
        <f ca="1" t="array" ref="Z1140">SUMPRODUCT(TRANSPOSE($AA1140:$AG1140),OFFSET($L$9:$L$15,0,Z$631-1))</f>
        <v>3.14977993533847</v>
      </c>
      <c r="AA1140" s="136">
        <f ca="1" t="shared" ref="AA1140:AG1140" si="1265">AH1140-AH1139</f>
        <v>0</v>
      </c>
      <c r="AB1140" s="136">
        <f ca="1" t="shared" si="1265"/>
        <v>0</v>
      </c>
      <c r="AC1140" s="136">
        <f ca="1" t="shared" si="1265"/>
        <v>0</v>
      </c>
      <c r="AD1140" s="136">
        <f ca="1" t="shared" si="1265"/>
        <v>0</v>
      </c>
      <c r="AE1140" s="136">
        <f ca="1" t="shared" si="1265"/>
        <v>0</v>
      </c>
      <c r="AF1140" s="136">
        <f ca="1" t="shared" si="1265"/>
        <v>0</v>
      </c>
      <c r="AG1140" s="136">
        <f ca="1" t="shared" si="1265"/>
        <v>100</v>
      </c>
      <c r="AH1140" s="136">
        <f ca="1" t="shared" si="1151"/>
        <v>450</v>
      </c>
      <c r="AI1140" s="136">
        <f ca="1" t="shared" ref="AI1140:AN1140" si="1266">IF($C1140&gt;OFFSET($Q$8,MATCH(AI$634,$AH$634:$AN$634,0),0),OFFSET($P$8,MATCH(AI$634,$AH$634:$AN$634,0),0),MAX(0,$C1140-OFFSET($Q$8,RIGHT(AI$634,1)-1,0)))</f>
        <v>909</v>
      </c>
      <c r="AJ1140" s="136">
        <f ca="1" t="shared" si="1266"/>
        <v>1818</v>
      </c>
      <c r="AK1140" s="136">
        <f ca="1" t="shared" si="1266"/>
        <v>2727</v>
      </c>
      <c r="AL1140" s="136">
        <f ca="1" t="shared" si="1266"/>
        <v>3636</v>
      </c>
      <c r="AM1140" s="136">
        <f ca="1" t="shared" si="1266"/>
        <v>4545</v>
      </c>
      <c r="AN1140" s="136">
        <f ca="1" t="shared" si="1266"/>
        <v>36515</v>
      </c>
    </row>
    <row r="1141" s="106" customFormat="1" ht="16.5" spans="2:40">
      <c r="B1141" s="117">
        <v>507</v>
      </c>
      <c r="C1141" s="130">
        <f t="shared" si="1149"/>
        <v>50700</v>
      </c>
      <c r="D1141" s="131" cm="1">
        <f ca="1" t="array" ref="D1141">IF(D1743=1,OFFSET($W$634,$B1141,D$631-1)/SUMPRODUCT(--($D$631:$V$631=D$631),--($D1743:$V1743=1)),0)+SUM(D1140)+IF(COUNTIF(D$1237:D1743,1)=1,5,0)+IF(COUNTIF(E1141:$W1141,"&gt;"&amp;0)&lt;5,IF(AND(COUNTIF(D$1237:D1743,1)&gt;7,MOD(1+IFERROR(MATCH($C1141,总览!$D$46:$D$345,1)+1,1),7)=0),$C$3,0),0)</f>
        <v>3175.39070745864</v>
      </c>
      <c r="E1141" s="131" cm="1">
        <f ca="1" t="array" ref="E1141">IF(E1743=1,OFFSET($W$634,$B1141,E$631-1)/SUMPRODUCT(--($D$631:$V$631=E$631),--($D1743:$V1743=1)),0)+SUM(E1140)+IF(COUNTIF(E$1237:E1743,1)=1,5,0)+IF(COUNTIF(F1141:$W1141,"&gt;"&amp;0)&lt;5,IF(AND(COUNTIF(E$1237:E1743,1)&gt;7,MOD(1+IFERROR(MATCH($C1141,总览!$D$46:$D$345,1)+1,1),7)=0),$C$3,0),0)</f>
        <v>3175.39070745864</v>
      </c>
      <c r="F1141" s="131" cm="1">
        <f ca="1" t="array" ref="F1141">IF(F1743=1,OFFSET($W$634,$B1141,F$631-1)/SUMPRODUCT(--($D$631:$V$631=F$631),--($D1743:$V1743=1)),0)+SUM(F1140)+IF(COUNTIF(F$1237:F1743,1)=1,5,0)+IF(COUNTIF(G1141:$W1141,"&gt;"&amp;0)&lt;5,IF(AND(COUNTIF(F$1237:F1743,1)&gt;7,MOD(1+IFERROR(MATCH($C1141,总览!$D$46:$D$345,1)+1,1),7)=0),$C$3,0),0)</f>
        <v>3175.39070745864</v>
      </c>
      <c r="G1141" s="131" cm="1">
        <f ca="1" t="array" ref="G1141">IF(G1743=1,OFFSET($W$634,$B1141,G$631-1)/SUMPRODUCT(--($D$631:$V$631=G$631),--($D1743:$V1743=1)),0)+SUM(G1140)+IF(COUNTIF(G$1237:G1743,1)=1,5,0)+IF(COUNTIF(H1141:$W1141,"&gt;"&amp;0)&lt;5,IF(AND(COUNTIF(G$1237:G1743,1)&gt;7,MOD(1+IFERROR(MATCH($C1141,总览!$D$46:$D$345,1)+1,1),7)=0),$C$3,0),0)</f>
        <v>1629.39999999999</v>
      </c>
      <c r="H1141" s="131" cm="1">
        <f ca="1" t="array" ref="H1141">IF(H1743=1,OFFSET($W$634,$B1141,H$631-1)/SUMPRODUCT(--($D$631:$V$631=H$631),--($D1743:$V1743=1)),0)+SUM(H1140)+IF(COUNTIF(H$1237:H1743,1)=1,5,0)+IF(COUNTIF(I1141:$W1141,"&gt;"&amp;0)&lt;5,IF(AND(COUNTIF(H$1237:H1743,1)&gt;7,MOD(1+IFERROR(MATCH($C1141,总览!$D$46:$D$345,1)+1,1),7)=0),$C$3,0),0)</f>
        <v>1629.39999999999</v>
      </c>
      <c r="I1141" s="131" cm="1">
        <f ca="1" t="array" ref="I1141">IF(I1743=1,OFFSET($W$634,$B1141,I$631-1)/SUMPRODUCT(--($D$631:$V$631=I$631),--($D1743:$V1743=1)),0)+SUM(I1140)+IF(COUNTIF(I$1237:I1743,1)=1,5,0)+IF(COUNTIF(J1141:$W1141,"&gt;"&amp;0)&lt;5,IF(AND(COUNTIF(I$1237:I1743,1)&gt;7,MOD(1+IFERROR(MATCH($C1141,总览!$D$46:$D$345,1)+1,1),7)=0),$C$3,0),0)</f>
        <v>1629.39999999999</v>
      </c>
      <c r="J1141" s="131" cm="1">
        <f ca="1" t="array" ref="J1141">IF(J1743=1,OFFSET($W$634,$B1141,J$631-1)/SUMPRODUCT(--($D$631:$V$631=J$631),--($D1743:$V1743=1)),0)+SUM(J1140)+IF(COUNTIF(J$1237:J1743,1)=1,5,0)+IF(COUNTIF(K1141:$W1141,"&gt;"&amp;0)&lt;5,IF(AND(COUNTIF(J$1237:J1743,1)&gt;7,MOD(1+IFERROR(MATCH($C1141,总览!$D$46:$D$345,1)+1,1),7)=0),$C$3,0),0)</f>
        <v>1626.06666666666</v>
      </c>
      <c r="K1141" s="131" cm="1">
        <f ca="1" t="array" ref="K1141">IF(K1743=1,OFFSET($W$634,$B1141,K$631-1)/SUMPRODUCT(--($D$631:$V$631=K$631),--($D1743:$V1743=1)),0)+SUM(K1140)+IF(COUNTIF(K$1237:K1743,1)=1,5,0)+IF(COUNTIF(L1141:$W1141,"&gt;"&amp;0)&lt;5,IF(AND(COUNTIF(K$1237:K1743,1)&gt;7,MOD(1+IFERROR(MATCH($C1141,总览!$D$46:$D$345,1)+1,1),7)=0),$C$3,0),0)</f>
        <v>1623.56666666666</v>
      </c>
      <c r="L1141" s="131" cm="1">
        <f ca="1" t="array" ref="L1141">IF(L1743=1,OFFSET($W$634,$B1141,L$631-1)/SUMPRODUCT(--($D$631:$V$631=L$631),--($D1743:$V1743=1)),0)+SUM(L1140)+IF(COUNTIF(L$1237:L1743,1)=1,5,0)+IF(COUNTIF(M1141:$W1141,"&gt;"&amp;0)&lt;5,IF(AND(COUNTIF(L$1237:L1743,1)&gt;7,MOD(1+IFERROR(MATCH($C1141,总览!$D$46:$D$345,1)+1,1),7)=0),$C$3,0),0)</f>
        <v>1623.56666666666</v>
      </c>
      <c r="M1141" s="131" cm="1">
        <f ca="1" t="array" ref="M1141">IF(M1743=1,OFFSET($W$634,$B1141,M$631-1)/SUMPRODUCT(--($D$631:$V$631=M$631),--($D1743:$V1743=1)),0)+SUM(M1140)+IF(COUNTIF(M$1237:M1743,1)=1,5,0)+IF(COUNTIF(N1141:$W1141,"&gt;"&amp;0)&lt;5,IF(AND(COUNTIF(M$1237:M1743,1)&gt;7,MOD(1+IFERROR(MATCH($C1141,总览!$D$46:$D$345,1)+1,1),7)=0),$C$3,0),0)</f>
        <v>682.038392857147</v>
      </c>
      <c r="N1141" s="131" cm="1">
        <f ca="1" t="array" ref="N1141">IF(N1743=1,OFFSET($W$634,$B1141,N$631-1)/SUMPRODUCT(--($D$631:$V$631=N$631),--($D1743:$V1743=1)),0)+SUM(N1140)+IF(COUNTIF(N$1237:N1743,1)=1,5,0)+IF(COUNTIF(O1141:$W1141,"&gt;"&amp;0)&lt;5,IF(AND(COUNTIF(N$1237:N1743,1)&gt;7,MOD(1+IFERROR(MATCH($C1141,总览!$D$46:$D$345,1)+1,1),7)=0),$C$3,0),0)</f>
        <v>683.288392857147</v>
      </c>
      <c r="O1141" s="131" cm="1">
        <f ca="1" t="array" ref="O1141">IF(O1743=1,OFFSET($W$634,$B1141,O$631-1)/SUMPRODUCT(--($D$631:$V$631=O$631),--($D1743:$V1743=1)),0)+SUM(O1140)+IF(COUNTIF(O$1237:O1743,1)=1,5,0)+IF(COUNTIF(P1141:$W1141,"&gt;"&amp;0)&lt;5,IF(AND(COUNTIF(O$1237:O1743,1)&gt;7,MOD(1+IFERROR(MATCH($C1141,总览!$D$46:$D$345,1)+1,1),7)=0),$C$3,0),0)</f>
        <v>688.288392857147</v>
      </c>
      <c r="P1141" s="131" cm="1">
        <f ca="1" t="array" ref="P1141">IF(P1743=1,OFFSET($W$634,$B1141,P$631-1)/SUMPRODUCT(--($D$631:$V$631=P$631),--($D1743:$V1743=1)),0)+SUM(P1140)+IF(COUNTIF(P$1237:P1743,1)=1,5,0)+IF(COUNTIF(Q1141:$W1141,"&gt;"&amp;0)&lt;5,IF(AND(COUNTIF(P$1237:P1743,1)&gt;7,MOD(1+IFERROR(MATCH($C1141,总览!$D$46:$D$345,1)+1,1),7)=0),$C$3,0),0)</f>
        <v>677.407142857146</v>
      </c>
      <c r="Q1141" s="131" cm="1">
        <f ca="1" t="array" ref="Q1141">IF(Q1743=1,OFFSET($W$634,$B1141,Q$631-1)/SUMPRODUCT(--($D$631:$V$631=Q$631),--($D1743:$V1743=1)),0)+SUM(Q1140)+IF(COUNTIF(Q$1237:Q1743,1)=1,5,0)+IF(COUNTIF(R1141:$W1141,"&gt;"&amp;0)&lt;5,IF(AND(COUNTIF(Q$1237:Q1743,1)&gt;7,MOD(1+IFERROR(MATCH($C1141,总览!$D$46:$D$345,1)+1,1),7)=0),$C$3,0),0)</f>
        <v>690.788392857147</v>
      </c>
      <c r="R1141" s="131" cm="1">
        <f ca="1" t="array" ref="R1141">IF(R1743=1,OFFSET($W$634,$B1141,R$631-1)/SUMPRODUCT(--($D$631:$V$631=R$631),--($D1743:$V1743=1)),0)+SUM(R1140)+IF(COUNTIF(R$1237:R1743,1)=1,5,0)+IF(COUNTIF(S1141:$W1141,"&gt;"&amp;0)&lt;5,IF(AND(COUNTIF(R$1237:R1743,1)&gt;7,MOD(1+IFERROR(MATCH($C1141,总览!$D$46:$D$345,1)+1,1),7)=0),$C$3,0),0)</f>
        <v>682.407142857146</v>
      </c>
      <c r="S1141" s="131" cm="1">
        <f ca="1" t="array" ref="S1141">IF(S1743=1,OFFSET($W$634,$B1141,S$631-1)/SUMPRODUCT(--($D$631:$V$631=S$631),--($D1743:$V1743=1)),0)+SUM(S1140)+IF(COUNTIF(S$1237:S1743,1)=1,5,0)+IF(COUNTIF(T1141:$W1141,"&gt;"&amp;0)&lt;5,IF(AND(COUNTIF(S$1237:S1743,1)&gt;7,MOD(1+IFERROR(MATCH($C1141,总览!$D$46:$D$345,1)+1,1),7)=0),$C$3,0),0)</f>
        <v>774.907142857148</v>
      </c>
      <c r="T1141" s="131" cm="1">
        <f ca="1" t="array" ref="T1141">IF(T1743=1,OFFSET($W$634,$B1141,T$631-1)/SUMPRODUCT(--($D$631:$V$631=T$631),--($D1743:$V1743=1)),0)+SUM(T1140)+IF(COUNTIF(T$1237:T1743,1)=1,5,0)+IF(COUNTIF(U1141:$W1141,"&gt;"&amp;0)&lt;5,IF(AND(COUNTIF(T$1237:T1743,1)&gt;7,MOD(1+IFERROR(MATCH($C1141,总览!$D$46:$D$345,1)+1,1),7)=0),$C$3,0),0)</f>
        <v>567.478101733715</v>
      </c>
      <c r="U1141" s="131" cm="1">
        <f ca="1" t="array" ref="U1141">IF(U1743=1,OFFSET($W$634,$B1141,U$631-1)/SUMPRODUCT(--($D$631:$V$631=U$631),--($D1743:$V1743=1)),0)+SUM(U1140)+IF(COUNTIF(U$1237:U1743,1)=1,5,0)+IF(COUNTIF(V1141:$W1141,"&gt;"&amp;0)&lt;5,IF(AND(COUNTIF(U$1237:U1743,1)&gt;7,MOD(1+IFERROR(MATCH($C1141,总览!$D$46:$D$345,1)+1,1),7)=0),$C$3,0),0)</f>
        <v>572.998888089015</v>
      </c>
      <c r="V1141" s="131" cm="1">
        <f ca="1" t="array" ref="V1141">IF(V1743=1,OFFSET($W$634,$B1141,V$631-1)/SUMPRODUCT(--($D$631:$V$631=V$631),--($D1743:$V1743=1)),0)+SUM(V1140)+IF(COUNTIF(V$1237:V1743,1)=1,5,0)+IF(COUNTIF(W1141:$W1141,"&gt;"&amp;0)&lt;5,IF(AND(COUNTIF(V$1237:V1743,1)&gt;7,MOD(1+IFERROR(MATCH($C1141,总览!$D$46:$D$345,1)+1,1),7)=0),$C$3,0),0)</f>
        <v>592.825887801448</v>
      </c>
      <c r="W1141" s="135" cm="1">
        <f ca="1" t="array" ref="W1141">SUMPRODUCT(TRANSPOSE($AA1141:$AG1141),OFFSET($L$9:$L$15,0,W$631-1))</f>
        <v>16.8502200646615</v>
      </c>
      <c r="X1141" s="135" cm="1">
        <f ca="1" t="array" ref="X1141">SUMPRODUCT(TRANSPOSE($AA1141:$AG1141),OFFSET($L$9:$L$15,0,X$631-1))</f>
        <v>20</v>
      </c>
      <c r="Y1141" s="135" cm="1">
        <f ca="1" t="array" ref="Y1141">SUMPRODUCT(TRANSPOSE($AA1141:$AG1141),OFFSET($L$9:$L$15,0,Y$631-1))</f>
        <v>10</v>
      </c>
      <c r="Z1141" s="135" cm="1">
        <f ca="1" t="array" ref="Z1141">SUMPRODUCT(TRANSPOSE($AA1141:$AG1141),OFFSET($L$9:$L$15,0,Z$631-1))</f>
        <v>3.14977993533847</v>
      </c>
      <c r="AA1141" s="136">
        <f ca="1" t="shared" ref="AA1141:AG1141" si="1267">AH1141-AH1140</f>
        <v>0</v>
      </c>
      <c r="AB1141" s="136">
        <f ca="1" t="shared" si="1267"/>
        <v>0</v>
      </c>
      <c r="AC1141" s="136">
        <f ca="1" t="shared" si="1267"/>
        <v>0</v>
      </c>
      <c r="AD1141" s="136">
        <f ca="1" t="shared" si="1267"/>
        <v>0</v>
      </c>
      <c r="AE1141" s="136">
        <f ca="1" t="shared" si="1267"/>
        <v>0</v>
      </c>
      <c r="AF1141" s="136">
        <f ca="1" t="shared" si="1267"/>
        <v>0</v>
      </c>
      <c r="AG1141" s="136">
        <f ca="1" t="shared" si="1267"/>
        <v>100</v>
      </c>
      <c r="AH1141" s="136">
        <f ca="1" t="shared" si="1151"/>
        <v>450</v>
      </c>
      <c r="AI1141" s="136">
        <f ca="1" t="shared" ref="AI1141:AN1141" si="1268">IF($C1141&gt;OFFSET($Q$8,MATCH(AI$634,$AH$634:$AN$634,0),0),OFFSET($P$8,MATCH(AI$634,$AH$634:$AN$634,0),0),MAX(0,$C1141-OFFSET($Q$8,RIGHT(AI$634,1)-1,0)))</f>
        <v>909</v>
      </c>
      <c r="AJ1141" s="136">
        <f ca="1" t="shared" si="1268"/>
        <v>1818</v>
      </c>
      <c r="AK1141" s="136">
        <f ca="1" t="shared" si="1268"/>
        <v>2727</v>
      </c>
      <c r="AL1141" s="136">
        <f ca="1" t="shared" si="1268"/>
        <v>3636</v>
      </c>
      <c r="AM1141" s="136">
        <f ca="1" t="shared" si="1268"/>
        <v>4545</v>
      </c>
      <c r="AN1141" s="136">
        <f ca="1" t="shared" si="1268"/>
        <v>36615</v>
      </c>
    </row>
    <row r="1142" s="106" customFormat="1" ht="16.5" spans="2:40">
      <c r="B1142" s="117">
        <v>508</v>
      </c>
      <c r="C1142" s="130">
        <f t="shared" si="1149"/>
        <v>50800</v>
      </c>
      <c r="D1142" s="131" cm="1">
        <f ca="1" t="array" ref="D1142">IF(D1744=1,OFFSET($W$634,$B1142,D$631-1)/SUMPRODUCT(--($D$631:$V$631=D$631),--($D1744:$V1744=1)),0)+SUM(D1141)+IF(COUNTIF(D$1237:D1744,1)=1,5,0)+IF(COUNTIF(E1142:$W1142,"&gt;"&amp;0)&lt;5,IF(AND(COUNTIF(D$1237:D1744,1)&gt;7,MOD(1+IFERROR(MATCH($C1142,总览!$D$46:$D$345,1)+1,1),7)=0),$C$3,0),0)</f>
        <v>3181.00744748019</v>
      </c>
      <c r="E1142" s="131" cm="1">
        <f ca="1" t="array" ref="E1142">IF(E1744=1,OFFSET($W$634,$B1142,E$631-1)/SUMPRODUCT(--($D$631:$V$631=E$631),--($D1744:$V1744=1)),0)+SUM(E1141)+IF(COUNTIF(E$1237:E1744,1)=1,5,0)+IF(COUNTIF(F1142:$W1142,"&gt;"&amp;0)&lt;5,IF(AND(COUNTIF(E$1237:E1744,1)&gt;7,MOD(1+IFERROR(MATCH($C1142,总览!$D$46:$D$345,1)+1,1),7)=0),$C$3,0),0)</f>
        <v>3181.00744748019</v>
      </c>
      <c r="F1142" s="131" cm="1">
        <f ca="1" t="array" ref="F1142">IF(F1744=1,OFFSET($W$634,$B1142,F$631-1)/SUMPRODUCT(--($D$631:$V$631=F$631),--($D1744:$V1744=1)),0)+SUM(F1141)+IF(COUNTIF(F$1237:F1744,1)=1,5,0)+IF(COUNTIF(G1142:$W1142,"&gt;"&amp;0)&lt;5,IF(AND(COUNTIF(F$1237:F1744,1)&gt;7,MOD(1+IFERROR(MATCH($C1142,总览!$D$46:$D$345,1)+1,1),7)=0),$C$3,0),0)</f>
        <v>3181.00744748019</v>
      </c>
      <c r="G1142" s="131" cm="1">
        <f ca="1" t="array" ref="G1142">IF(G1744=1,OFFSET($W$634,$B1142,G$631-1)/SUMPRODUCT(--($D$631:$V$631=G$631),--($D1744:$V1744=1)),0)+SUM(G1141)+IF(COUNTIF(G$1237:G1744,1)=1,5,0)+IF(COUNTIF(H1142:$W1142,"&gt;"&amp;0)&lt;5,IF(AND(COUNTIF(G$1237:G1744,1)&gt;7,MOD(1+IFERROR(MATCH($C1142,总览!$D$46:$D$345,1)+1,1),7)=0),$C$3,0),0)</f>
        <v>1632.73333333332</v>
      </c>
      <c r="H1142" s="131" cm="1">
        <f ca="1" t="array" ref="H1142">IF(H1744=1,OFFSET($W$634,$B1142,H$631-1)/SUMPRODUCT(--($D$631:$V$631=H$631),--($D1744:$V1744=1)),0)+SUM(H1141)+IF(COUNTIF(H$1237:H1744,1)=1,5,0)+IF(COUNTIF(I1142:$W1142,"&gt;"&amp;0)&lt;5,IF(AND(COUNTIF(H$1237:H1744,1)&gt;7,MOD(1+IFERROR(MATCH($C1142,总览!$D$46:$D$345,1)+1,1),7)=0),$C$3,0),0)</f>
        <v>1632.73333333332</v>
      </c>
      <c r="I1142" s="131" cm="1">
        <f ca="1" t="array" ref="I1142">IF(I1744=1,OFFSET($W$634,$B1142,I$631-1)/SUMPRODUCT(--($D$631:$V$631=I$631),--($D1744:$V1744=1)),0)+SUM(I1141)+IF(COUNTIF(I$1237:I1744,1)=1,5,0)+IF(COUNTIF(J1142:$W1142,"&gt;"&amp;0)&lt;5,IF(AND(COUNTIF(I$1237:I1744,1)&gt;7,MOD(1+IFERROR(MATCH($C1142,总览!$D$46:$D$345,1)+1,1),7)=0),$C$3,0),0)</f>
        <v>1632.73333333332</v>
      </c>
      <c r="J1142" s="131" cm="1">
        <f ca="1" t="array" ref="J1142">IF(J1744=1,OFFSET($W$634,$B1142,J$631-1)/SUMPRODUCT(--($D$631:$V$631=J$631),--($D1744:$V1744=1)),0)+SUM(J1141)+IF(COUNTIF(J$1237:J1744,1)=1,5,0)+IF(COUNTIF(K1142:$W1142,"&gt;"&amp;0)&lt;5,IF(AND(COUNTIF(J$1237:J1744,1)&gt;7,MOD(1+IFERROR(MATCH($C1142,总览!$D$46:$D$345,1)+1,1),7)=0),$C$3,0),0)</f>
        <v>1629.39999999999</v>
      </c>
      <c r="K1142" s="131" cm="1">
        <f ca="1" t="array" ref="K1142">IF(K1744=1,OFFSET($W$634,$B1142,K$631-1)/SUMPRODUCT(--($D$631:$V$631=K$631),--($D1744:$V1744=1)),0)+SUM(K1141)+IF(COUNTIF(K$1237:K1744,1)=1,5,0)+IF(COUNTIF(L1142:$W1142,"&gt;"&amp;0)&lt;5,IF(AND(COUNTIF(K$1237:K1744,1)&gt;7,MOD(1+IFERROR(MATCH($C1142,总览!$D$46:$D$345,1)+1,1),7)=0),$C$3,0),0)</f>
        <v>1626.89999999999</v>
      </c>
      <c r="L1142" s="131" cm="1">
        <f ca="1" t="array" ref="L1142">IF(L1744=1,OFFSET($W$634,$B1142,L$631-1)/SUMPRODUCT(--($D$631:$V$631=L$631),--($D1744:$V1744=1)),0)+SUM(L1141)+IF(COUNTIF(L$1237:L1744,1)=1,5,0)+IF(COUNTIF(M1142:$W1142,"&gt;"&amp;0)&lt;5,IF(AND(COUNTIF(L$1237:L1744,1)&gt;7,MOD(1+IFERROR(MATCH($C1142,总览!$D$46:$D$345,1)+1,1),7)=0),$C$3,0),0)</f>
        <v>1626.89999999999</v>
      </c>
      <c r="M1142" s="131" cm="1">
        <f ca="1" t="array" ref="M1142">IF(M1744=1,OFFSET($W$634,$B1142,M$631-1)/SUMPRODUCT(--($D$631:$V$631=M$631),--($D1744:$V1744=1)),0)+SUM(M1141)+IF(COUNTIF(M$1237:M1744,1)=1,5,0)+IF(COUNTIF(N1142:$W1142,"&gt;"&amp;0)&lt;5,IF(AND(COUNTIF(M$1237:M1744,1)&gt;7,MOD(1+IFERROR(MATCH($C1142,总览!$D$46:$D$345,1)+1,1),7)=0),$C$3,0),0)</f>
        <v>683.466964285718</v>
      </c>
      <c r="N1142" s="131" cm="1">
        <f ca="1" t="array" ref="N1142">IF(N1744=1,OFFSET($W$634,$B1142,N$631-1)/SUMPRODUCT(--($D$631:$V$631=N$631),--($D1744:$V1744=1)),0)+SUM(N1141)+IF(COUNTIF(N$1237:N1744,1)=1,5,0)+IF(COUNTIF(O1142:$W1142,"&gt;"&amp;0)&lt;5,IF(AND(COUNTIF(N$1237:N1744,1)&gt;7,MOD(1+IFERROR(MATCH($C1142,总览!$D$46:$D$345,1)+1,1),7)=0),$C$3,0),0)</f>
        <v>684.716964285718</v>
      </c>
      <c r="O1142" s="131" cm="1">
        <f ca="1" t="array" ref="O1142">IF(O1744=1,OFFSET($W$634,$B1142,O$631-1)/SUMPRODUCT(--($D$631:$V$631=O$631),--($D1744:$V1744=1)),0)+SUM(O1141)+IF(COUNTIF(O$1237:O1744,1)=1,5,0)+IF(COUNTIF(P1142:$W1142,"&gt;"&amp;0)&lt;5,IF(AND(COUNTIF(O$1237:O1744,1)&gt;7,MOD(1+IFERROR(MATCH($C1142,总览!$D$46:$D$345,1)+1,1),7)=0),$C$3,0),0)</f>
        <v>689.716964285718</v>
      </c>
      <c r="P1142" s="131" cm="1">
        <f ca="1" t="array" ref="P1142">IF(P1744=1,OFFSET($W$634,$B1142,P$631-1)/SUMPRODUCT(--($D$631:$V$631=P$631),--($D1744:$V1744=1)),0)+SUM(P1141)+IF(COUNTIF(P$1237:P1744,1)=1,5,0)+IF(COUNTIF(Q1142:$W1142,"&gt;"&amp;0)&lt;5,IF(AND(COUNTIF(P$1237:P1744,1)&gt;7,MOD(1+IFERROR(MATCH($C1142,总览!$D$46:$D$345,1)+1,1),7)=0),$C$3,0),0)</f>
        <v>678.835714285718</v>
      </c>
      <c r="Q1142" s="131" cm="1">
        <f ca="1" t="array" ref="Q1142">IF(Q1744=1,OFFSET($W$634,$B1142,Q$631-1)/SUMPRODUCT(--($D$631:$V$631=Q$631),--($D1744:$V1744=1)),0)+SUM(Q1141)+IF(COUNTIF(Q$1237:Q1744,1)=1,5,0)+IF(COUNTIF(R1142:$W1142,"&gt;"&amp;0)&lt;5,IF(AND(COUNTIF(Q$1237:Q1744,1)&gt;7,MOD(1+IFERROR(MATCH($C1142,总览!$D$46:$D$345,1)+1,1),7)=0),$C$3,0),0)</f>
        <v>692.216964285718</v>
      </c>
      <c r="R1142" s="131" cm="1">
        <f ca="1" t="array" ref="R1142">IF(R1744=1,OFFSET($W$634,$B1142,R$631-1)/SUMPRODUCT(--($D$631:$V$631=R$631),--($D1744:$V1744=1)),0)+SUM(R1141)+IF(COUNTIF(R$1237:R1744,1)=1,5,0)+IF(COUNTIF(S1142:$W1142,"&gt;"&amp;0)&lt;5,IF(AND(COUNTIF(R$1237:R1744,1)&gt;7,MOD(1+IFERROR(MATCH($C1142,总览!$D$46:$D$345,1)+1,1),7)=0),$C$3,0),0)</f>
        <v>683.835714285718</v>
      </c>
      <c r="S1142" s="131" cm="1">
        <f ca="1" t="array" ref="S1142">IF(S1744=1,OFFSET($W$634,$B1142,S$631-1)/SUMPRODUCT(--($D$631:$V$631=S$631),--($D1744:$V1744=1)),0)+SUM(S1141)+IF(COUNTIF(S$1237:S1744,1)=1,5,0)+IF(COUNTIF(T1142:$W1142,"&gt;"&amp;0)&lt;5,IF(AND(COUNTIF(S$1237:S1744,1)&gt;7,MOD(1+IFERROR(MATCH($C1142,总览!$D$46:$D$345,1)+1,1),7)=0),$C$3,0),0)</f>
        <v>776.335714285719</v>
      </c>
      <c r="T1142" s="131" cm="1">
        <f ca="1" t="array" ref="T1142">IF(T1744=1,OFFSET($W$634,$B1142,T$631-1)/SUMPRODUCT(--($D$631:$V$631=T$631),--($D1744:$V1744=1)),0)+SUM(T1141)+IF(COUNTIF(T$1237:T1744,1)=1,5,0)+IF(COUNTIF(U1142:$W1142,"&gt;"&amp;0)&lt;5,IF(AND(COUNTIF(T$1237:T1744,1)&gt;7,MOD(1+IFERROR(MATCH($C1142,总览!$D$46:$D$345,1)+1,1),7)=0),$C$3,0),0)</f>
        <v>568.528028378828</v>
      </c>
      <c r="U1142" s="131" cm="1">
        <f ca="1" t="array" ref="U1142">IF(U1744=1,OFFSET($W$634,$B1142,U$631-1)/SUMPRODUCT(--($D$631:$V$631=U$631),--($D1744:$V1744=1)),0)+SUM(U1141)+IF(COUNTIF(U$1237:U1744,1)=1,5,0)+IF(COUNTIF(V1142:$W1142,"&gt;"&amp;0)&lt;5,IF(AND(COUNTIF(U$1237:U1744,1)&gt;7,MOD(1+IFERROR(MATCH($C1142,总览!$D$46:$D$345,1)+1,1),7)=0),$C$3,0),0)</f>
        <v>574.048814734127</v>
      </c>
      <c r="V1142" s="131" cm="1">
        <f ca="1" t="array" ref="V1142">IF(V1744=1,OFFSET($W$634,$B1142,V$631-1)/SUMPRODUCT(--($D$631:$V$631=V$631),--($D1744:$V1744=1)),0)+SUM(V1141)+IF(COUNTIF(V$1237:V1744,1)=1,5,0)+IF(COUNTIF(W1142:$W1142,"&gt;"&amp;0)&lt;5,IF(AND(COUNTIF(V$1237:V1744,1)&gt;7,MOD(1+IFERROR(MATCH($C1142,总览!$D$46:$D$345,1)+1,1),7)=0),$C$3,0),0)</f>
        <v>593.87581444656</v>
      </c>
      <c r="W1142" s="135" cm="1">
        <f ca="1" t="array" ref="W1142">SUMPRODUCT(TRANSPOSE($AA1142:$AG1142),OFFSET($L$9:$L$15,0,W$631-1))</f>
        <v>16.8502200646615</v>
      </c>
      <c r="X1142" s="135" cm="1">
        <f ca="1" t="array" ref="X1142">SUMPRODUCT(TRANSPOSE($AA1142:$AG1142),OFFSET($L$9:$L$15,0,X$631-1))</f>
        <v>20</v>
      </c>
      <c r="Y1142" s="135" cm="1">
        <f ca="1" t="array" ref="Y1142">SUMPRODUCT(TRANSPOSE($AA1142:$AG1142),OFFSET($L$9:$L$15,0,Y$631-1))</f>
        <v>10</v>
      </c>
      <c r="Z1142" s="135" cm="1">
        <f ca="1" t="array" ref="Z1142">SUMPRODUCT(TRANSPOSE($AA1142:$AG1142),OFFSET($L$9:$L$15,0,Z$631-1))</f>
        <v>3.14977993533847</v>
      </c>
      <c r="AA1142" s="136">
        <f ca="1" t="shared" ref="AA1142:AG1142" si="1269">AH1142-AH1141</f>
        <v>0</v>
      </c>
      <c r="AB1142" s="136">
        <f ca="1" t="shared" si="1269"/>
        <v>0</v>
      </c>
      <c r="AC1142" s="136">
        <f ca="1" t="shared" si="1269"/>
        <v>0</v>
      </c>
      <c r="AD1142" s="136">
        <f ca="1" t="shared" si="1269"/>
        <v>0</v>
      </c>
      <c r="AE1142" s="136">
        <f ca="1" t="shared" si="1269"/>
        <v>0</v>
      </c>
      <c r="AF1142" s="136">
        <f ca="1" t="shared" si="1269"/>
        <v>0</v>
      </c>
      <c r="AG1142" s="136">
        <f ca="1" t="shared" si="1269"/>
        <v>100</v>
      </c>
      <c r="AH1142" s="136">
        <f ca="1" t="shared" si="1151"/>
        <v>450</v>
      </c>
      <c r="AI1142" s="136">
        <f ca="1" t="shared" ref="AI1142:AN1142" si="1270">IF($C1142&gt;OFFSET($Q$8,MATCH(AI$634,$AH$634:$AN$634,0),0),OFFSET($P$8,MATCH(AI$634,$AH$634:$AN$634,0),0),MAX(0,$C1142-OFFSET($Q$8,RIGHT(AI$634,1)-1,0)))</f>
        <v>909</v>
      </c>
      <c r="AJ1142" s="136">
        <f ca="1" t="shared" si="1270"/>
        <v>1818</v>
      </c>
      <c r="AK1142" s="136">
        <f ca="1" t="shared" si="1270"/>
        <v>2727</v>
      </c>
      <c r="AL1142" s="136">
        <f ca="1" t="shared" si="1270"/>
        <v>3636</v>
      </c>
      <c r="AM1142" s="136">
        <f ca="1" t="shared" si="1270"/>
        <v>4545</v>
      </c>
      <c r="AN1142" s="136">
        <f ca="1" t="shared" si="1270"/>
        <v>36715</v>
      </c>
    </row>
    <row r="1143" s="106" customFormat="1" ht="16.5" spans="2:40">
      <c r="B1143" s="117">
        <v>509</v>
      </c>
      <c r="C1143" s="130">
        <f t="shared" si="1149"/>
        <v>50900</v>
      </c>
      <c r="D1143" s="131" cm="1">
        <f ca="1" t="array" ref="D1143">IF(D1745=1,OFFSET($W$634,$B1143,D$631-1)/SUMPRODUCT(--($D$631:$V$631=D$631),--($D1745:$V1745=1)),0)+SUM(D1142)+IF(COUNTIF(D$1237:D1745,1)=1,5,0)+IF(COUNTIF(E1143:$W1143,"&gt;"&amp;0)&lt;5,IF(AND(COUNTIF(D$1237:D1745,1)&gt;7,MOD(1+IFERROR(MATCH($C1143,总览!$D$46:$D$345,1)+1,1),7)=0),$C$3,0),0)</f>
        <v>3186.62418750175</v>
      </c>
      <c r="E1143" s="131" cm="1">
        <f ca="1" t="array" ref="E1143">IF(E1745=1,OFFSET($W$634,$B1143,E$631-1)/SUMPRODUCT(--($D$631:$V$631=E$631),--($D1745:$V1745=1)),0)+SUM(E1142)+IF(COUNTIF(E$1237:E1745,1)=1,5,0)+IF(COUNTIF(F1143:$W1143,"&gt;"&amp;0)&lt;5,IF(AND(COUNTIF(E$1237:E1745,1)&gt;7,MOD(1+IFERROR(MATCH($C1143,总览!$D$46:$D$345,1)+1,1),7)=0),$C$3,0),0)</f>
        <v>3186.62418750175</v>
      </c>
      <c r="F1143" s="131" cm="1">
        <f ca="1" t="array" ref="F1143">IF(F1745=1,OFFSET($W$634,$B1143,F$631-1)/SUMPRODUCT(--($D$631:$V$631=F$631),--($D1745:$V1745=1)),0)+SUM(F1142)+IF(COUNTIF(F$1237:F1745,1)=1,5,0)+IF(COUNTIF(G1143:$W1143,"&gt;"&amp;0)&lt;5,IF(AND(COUNTIF(F$1237:F1745,1)&gt;7,MOD(1+IFERROR(MATCH($C1143,总览!$D$46:$D$345,1)+1,1),7)=0),$C$3,0),0)</f>
        <v>3186.62418750175</v>
      </c>
      <c r="G1143" s="131" cm="1">
        <f ca="1" t="array" ref="G1143">IF(G1745=1,OFFSET($W$634,$B1143,G$631-1)/SUMPRODUCT(--($D$631:$V$631=G$631),--($D1745:$V1745=1)),0)+SUM(G1142)+IF(COUNTIF(G$1237:G1745,1)=1,5,0)+IF(COUNTIF(H1143:$W1143,"&gt;"&amp;0)&lt;5,IF(AND(COUNTIF(G$1237:G1745,1)&gt;7,MOD(1+IFERROR(MATCH($C1143,总览!$D$46:$D$345,1)+1,1),7)=0),$C$3,0),0)</f>
        <v>1636.06666666666</v>
      </c>
      <c r="H1143" s="131" cm="1">
        <f ca="1" t="array" ref="H1143">IF(H1745=1,OFFSET($W$634,$B1143,H$631-1)/SUMPRODUCT(--($D$631:$V$631=H$631),--($D1745:$V1745=1)),0)+SUM(H1142)+IF(COUNTIF(H$1237:H1745,1)=1,5,0)+IF(COUNTIF(I1143:$W1143,"&gt;"&amp;0)&lt;5,IF(AND(COUNTIF(H$1237:H1745,1)&gt;7,MOD(1+IFERROR(MATCH($C1143,总览!$D$46:$D$345,1)+1,1),7)=0),$C$3,0),0)</f>
        <v>1636.06666666666</v>
      </c>
      <c r="I1143" s="131" cm="1">
        <f ca="1" t="array" ref="I1143">IF(I1745=1,OFFSET($W$634,$B1143,I$631-1)/SUMPRODUCT(--($D$631:$V$631=I$631),--($D1745:$V1745=1)),0)+SUM(I1142)+IF(COUNTIF(I$1237:I1745,1)=1,5,0)+IF(COUNTIF(J1143:$W1143,"&gt;"&amp;0)&lt;5,IF(AND(COUNTIF(I$1237:I1745,1)&gt;7,MOD(1+IFERROR(MATCH($C1143,总览!$D$46:$D$345,1)+1,1),7)=0),$C$3,0),0)</f>
        <v>1636.06666666666</v>
      </c>
      <c r="J1143" s="131" cm="1">
        <f ca="1" t="array" ref="J1143">IF(J1745=1,OFFSET($W$634,$B1143,J$631-1)/SUMPRODUCT(--($D$631:$V$631=J$631),--($D1745:$V1745=1)),0)+SUM(J1142)+IF(COUNTIF(J$1237:J1745,1)=1,5,0)+IF(COUNTIF(K1143:$W1143,"&gt;"&amp;0)&lt;5,IF(AND(COUNTIF(J$1237:J1745,1)&gt;7,MOD(1+IFERROR(MATCH($C1143,总览!$D$46:$D$345,1)+1,1),7)=0),$C$3,0),0)</f>
        <v>1632.73333333332</v>
      </c>
      <c r="K1143" s="131" cm="1">
        <f ca="1" t="array" ref="K1143">IF(K1745=1,OFFSET($W$634,$B1143,K$631-1)/SUMPRODUCT(--($D$631:$V$631=K$631),--($D1745:$V1745=1)),0)+SUM(K1142)+IF(COUNTIF(K$1237:K1745,1)=1,5,0)+IF(COUNTIF(L1143:$W1143,"&gt;"&amp;0)&lt;5,IF(AND(COUNTIF(K$1237:K1745,1)&gt;7,MOD(1+IFERROR(MATCH($C1143,总览!$D$46:$D$345,1)+1,1),7)=0),$C$3,0),0)</f>
        <v>1630.23333333332</v>
      </c>
      <c r="L1143" s="131" cm="1">
        <f ca="1" t="array" ref="L1143">IF(L1745=1,OFFSET($W$634,$B1143,L$631-1)/SUMPRODUCT(--($D$631:$V$631=L$631),--($D1745:$V1745=1)),0)+SUM(L1142)+IF(COUNTIF(L$1237:L1745,1)=1,5,0)+IF(COUNTIF(M1143:$W1143,"&gt;"&amp;0)&lt;5,IF(AND(COUNTIF(L$1237:L1745,1)&gt;7,MOD(1+IFERROR(MATCH($C1143,总览!$D$46:$D$345,1)+1,1),7)=0),$C$3,0),0)</f>
        <v>1630.23333333332</v>
      </c>
      <c r="M1143" s="131" cm="1">
        <f ca="1" t="array" ref="M1143">IF(M1745=1,OFFSET($W$634,$B1143,M$631-1)/SUMPRODUCT(--($D$631:$V$631=M$631),--($D1745:$V1745=1)),0)+SUM(M1142)+IF(COUNTIF(M$1237:M1745,1)=1,5,0)+IF(COUNTIF(N1143:$W1143,"&gt;"&amp;0)&lt;5,IF(AND(COUNTIF(M$1237:M1745,1)&gt;7,MOD(1+IFERROR(MATCH($C1143,总览!$D$46:$D$345,1)+1,1),7)=0),$C$3,0),0)</f>
        <v>684.895535714289</v>
      </c>
      <c r="N1143" s="131" cm="1">
        <f ca="1" t="array" ref="N1143">IF(N1745=1,OFFSET($W$634,$B1143,N$631-1)/SUMPRODUCT(--($D$631:$V$631=N$631),--($D1745:$V1745=1)),0)+SUM(N1142)+IF(COUNTIF(N$1237:N1745,1)=1,5,0)+IF(COUNTIF(O1143:$W1143,"&gt;"&amp;0)&lt;5,IF(AND(COUNTIF(N$1237:N1745,1)&gt;7,MOD(1+IFERROR(MATCH($C1143,总览!$D$46:$D$345,1)+1,1),7)=0),$C$3,0),0)</f>
        <v>686.145535714289</v>
      </c>
      <c r="O1143" s="131" cm="1">
        <f ca="1" t="array" ref="O1143">IF(O1745=1,OFFSET($W$634,$B1143,O$631-1)/SUMPRODUCT(--($D$631:$V$631=O$631),--($D1745:$V1745=1)),0)+SUM(O1142)+IF(COUNTIF(O$1237:O1745,1)=1,5,0)+IF(COUNTIF(P1143:$W1143,"&gt;"&amp;0)&lt;5,IF(AND(COUNTIF(O$1237:O1745,1)&gt;7,MOD(1+IFERROR(MATCH($C1143,总览!$D$46:$D$345,1)+1,1),7)=0),$C$3,0),0)</f>
        <v>691.145535714289</v>
      </c>
      <c r="P1143" s="131" cm="1">
        <f ca="1" t="array" ref="P1143">IF(P1745=1,OFFSET($W$634,$B1143,P$631-1)/SUMPRODUCT(--($D$631:$V$631=P$631),--($D1745:$V1745=1)),0)+SUM(P1142)+IF(COUNTIF(P$1237:P1745,1)=1,5,0)+IF(COUNTIF(Q1143:$W1143,"&gt;"&amp;0)&lt;5,IF(AND(COUNTIF(P$1237:P1745,1)&gt;7,MOD(1+IFERROR(MATCH($C1143,总览!$D$46:$D$345,1)+1,1),7)=0),$C$3,0),0)</f>
        <v>680.264285714289</v>
      </c>
      <c r="Q1143" s="131" cm="1">
        <f ca="1" t="array" ref="Q1143">IF(Q1745=1,OFFSET($W$634,$B1143,Q$631-1)/SUMPRODUCT(--($D$631:$V$631=Q$631),--($D1745:$V1745=1)),0)+SUM(Q1142)+IF(COUNTIF(Q$1237:Q1745,1)=1,5,0)+IF(COUNTIF(R1143:$W1143,"&gt;"&amp;0)&lt;5,IF(AND(COUNTIF(Q$1237:Q1745,1)&gt;7,MOD(1+IFERROR(MATCH($C1143,总览!$D$46:$D$345,1)+1,1),7)=0),$C$3,0),0)</f>
        <v>693.645535714289</v>
      </c>
      <c r="R1143" s="131" cm="1">
        <f ca="1" t="array" ref="R1143">IF(R1745=1,OFFSET($W$634,$B1143,R$631-1)/SUMPRODUCT(--($D$631:$V$631=R$631),--($D1745:$V1745=1)),0)+SUM(R1142)+IF(COUNTIF(R$1237:R1745,1)=1,5,0)+IF(COUNTIF(S1143:$W1143,"&gt;"&amp;0)&lt;5,IF(AND(COUNTIF(R$1237:R1745,1)&gt;7,MOD(1+IFERROR(MATCH($C1143,总览!$D$46:$D$345,1)+1,1),7)=0),$C$3,0),0)</f>
        <v>685.264285714289</v>
      </c>
      <c r="S1143" s="131" cm="1">
        <f ca="1" t="array" ref="S1143">IF(S1745=1,OFFSET($W$634,$B1143,S$631-1)/SUMPRODUCT(--($D$631:$V$631=S$631),--($D1745:$V1745=1)),0)+SUM(S1142)+IF(COUNTIF(S$1237:S1745,1)=1,5,0)+IF(COUNTIF(T1143:$W1143,"&gt;"&amp;0)&lt;5,IF(AND(COUNTIF(S$1237:S1745,1)&gt;7,MOD(1+IFERROR(MATCH($C1143,总览!$D$46:$D$345,1)+1,1),7)=0),$C$3,0),0)</f>
        <v>777.764285714291</v>
      </c>
      <c r="T1143" s="131" cm="1">
        <f ca="1" t="array" ref="T1143">IF(T1745=1,OFFSET($W$634,$B1143,T$631-1)/SUMPRODUCT(--($D$631:$V$631=T$631),--($D1745:$V1745=1)),0)+SUM(T1142)+IF(COUNTIF(T$1237:T1745,1)=1,5,0)+IF(COUNTIF(U1143:$W1143,"&gt;"&amp;0)&lt;5,IF(AND(COUNTIF(T$1237:T1745,1)&gt;7,MOD(1+IFERROR(MATCH($C1143,总览!$D$46:$D$345,1)+1,1),7)=0),$C$3,0),0)</f>
        <v>569.577955023941</v>
      </c>
      <c r="U1143" s="131" cm="1">
        <f ca="1" t="array" ref="U1143">IF(U1745=1,OFFSET($W$634,$B1143,U$631-1)/SUMPRODUCT(--($D$631:$V$631=U$631),--($D1745:$V1745=1)),0)+SUM(U1142)+IF(COUNTIF(U$1237:U1745,1)=1,5,0)+IF(COUNTIF(V1143:$W1143,"&gt;"&amp;0)&lt;5,IF(AND(COUNTIF(U$1237:U1745,1)&gt;7,MOD(1+IFERROR(MATCH($C1143,总览!$D$46:$D$345,1)+1,1),7)=0),$C$3,0),0)</f>
        <v>575.09874137924</v>
      </c>
      <c r="V1143" s="131" cm="1">
        <f ca="1" t="array" ref="V1143">IF(V1745=1,OFFSET($W$634,$B1143,V$631-1)/SUMPRODUCT(--($D$631:$V$631=V$631),--($D1745:$V1745=1)),0)+SUM(V1142)+IF(COUNTIF(V$1237:V1745,1)=1,5,0)+IF(COUNTIF(W1143:$W1143,"&gt;"&amp;0)&lt;5,IF(AND(COUNTIF(V$1237:V1745,1)&gt;7,MOD(1+IFERROR(MATCH($C1143,总览!$D$46:$D$345,1)+1,1),7)=0),$C$3,0),0)</f>
        <v>594.925741091673</v>
      </c>
      <c r="W1143" s="135" cm="1">
        <f ca="1" t="array" ref="W1143">SUMPRODUCT(TRANSPOSE($AA1143:$AG1143),OFFSET($L$9:$L$15,0,W$631-1))</f>
        <v>16.8502200646615</v>
      </c>
      <c r="X1143" s="135" cm="1">
        <f ca="1" t="array" ref="X1143">SUMPRODUCT(TRANSPOSE($AA1143:$AG1143),OFFSET($L$9:$L$15,0,X$631-1))</f>
        <v>20</v>
      </c>
      <c r="Y1143" s="135" cm="1">
        <f ca="1" t="array" ref="Y1143">SUMPRODUCT(TRANSPOSE($AA1143:$AG1143),OFFSET($L$9:$L$15,0,Y$631-1))</f>
        <v>10</v>
      </c>
      <c r="Z1143" s="135" cm="1">
        <f ca="1" t="array" ref="Z1143">SUMPRODUCT(TRANSPOSE($AA1143:$AG1143),OFFSET($L$9:$L$15,0,Z$631-1))</f>
        <v>3.14977993533847</v>
      </c>
      <c r="AA1143" s="136">
        <f ca="1" t="shared" ref="AA1143:AG1143" si="1271">AH1143-AH1142</f>
        <v>0</v>
      </c>
      <c r="AB1143" s="136">
        <f ca="1" t="shared" si="1271"/>
        <v>0</v>
      </c>
      <c r="AC1143" s="136">
        <f ca="1" t="shared" si="1271"/>
        <v>0</v>
      </c>
      <c r="AD1143" s="136">
        <f ca="1" t="shared" si="1271"/>
        <v>0</v>
      </c>
      <c r="AE1143" s="136">
        <f ca="1" t="shared" si="1271"/>
        <v>0</v>
      </c>
      <c r="AF1143" s="136">
        <f ca="1" t="shared" si="1271"/>
        <v>0</v>
      </c>
      <c r="AG1143" s="136">
        <f ca="1" t="shared" si="1271"/>
        <v>100</v>
      </c>
      <c r="AH1143" s="136">
        <f ca="1" t="shared" si="1151"/>
        <v>450</v>
      </c>
      <c r="AI1143" s="136">
        <f ca="1" t="shared" ref="AI1143:AN1143" si="1272">IF($C1143&gt;OFFSET($Q$8,MATCH(AI$634,$AH$634:$AN$634,0),0),OFFSET($P$8,MATCH(AI$634,$AH$634:$AN$634,0),0),MAX(0,$C1143-OFFSET($Q$8,RIGHT(AI$634,1)-1,0)))</f>
        <v>909</v>
      </c>
      <c r="AJ1143" s="136">
        <f ca="1" t="shared" si="1272"/>
        <v>1818</v>
      </c>
      <c r="AK1143" s="136">
        <f ca="1" t="shared" si="1272"/>
        <v>2727</v>
      </c>
      <c r="AL1143" s="136">
        <f ca="1" t="shared" si="1272"/>
        <v>3636</v>
      </c>
      <c r="AM1143" s="136">
        <f ca="1" t="shared" si="1272"/>
        <v>4545</v>
      </c>
      <c r="AN1143" s="136">
        <f ca="1" t="shared" si="1272"/>
        <v>36815</v>
      </c>
    </row>
    <row r="1144" s="106" customFormat="1" ht="16.5" spans="2:40">
      <c r="B1144" s="117">
        <v>510</v>
      </c>
      <c r="C1144" s="130">
        <f t="shared" si="1149"/>
        <v>51000</v>
      </c>
      <c r="D1144" s="131" cm="1">
        <f ca="1" t="array" ref="D1144">IF(D1746=1,OFFSET($W$634,$B1144,D$631-1)/SUMPRODUCT(--($D$631:$V$631=D$631),--($D1746:$V1746=1)),0)+SUM(D1143)+IF(COUNTIF(D$1237:D1746,1)=1,5,0)+IF(COUNTIF(E1144:$W1144,"&gt;"&amp;0)&lt;5,IF(AND(COUNTIF(D$1237:D1746,1)&gt;7,MOD(1+IFERROR(MATCH($C1144,总览!$D$46:$D$345,1)+1,1),7)=0),$C$3,0),0)</f>
        <v>3192.2409275233</v>
      </c>
      <c r="E1144" s="131" cm="1">
        <f ca="1" t="array" ref="E1144">IF(E1746=1,OFFSET($W$634,$B1144,E$631-1)/SUMPRODUCT(--($D$631:$V$631=E$631),--($D1746:$V1746=1)),0)+SUM(E1143)+IF(COUNTIF(E$1237:E1746,1)=1,5,0)+IF(COUNTIF(F1144:$W1144,"&gt;"&amp;0)&lt;5,IF(AND(COUNTIF(E$1237:E1746,1)&gt;7,MOD(1+IFERROR(MATCH($C1144,总览!$D$46:$D$345,1)+1,1),7)=0),$C$3,0),0)</f>
        <v>3192.2409275233</v>
      </c>
      <c r="F1144" s="131" cm="1">
        <f ca="1" t="array" ref="F1144">IF(F1746=1,OFFSET($W$634,$B1144,F$631-1)/SUMPRODUCT(--($D$631:$V$631=F$631),--($D1746:$V1746=1)),0)+SUM(F1143)+IF(COUNTIF(F$1237:F1746,1)=1,5,0)+IF(COUNTIF(G1144:$W1144,"&gt;"&amp;0)&lt;5,IF(AND(COUNTIF(F$1237:F1746,1)&gt;7,MOD(1+IFERROR(MATCH($C1144,总览!$D$46:$D$345,1)+1,1),7)=0),$C$3,0),0)</f>
        <v>3192.2409275233</v>
      </c>
      <c r="G1144" s="131" cm="1">
        <f ca="1" t="array" ref="G1144">IF(G1746=1,OFFSET($W$634,$B1144,G$631-1)/SUMPRODUCT(--($D$631:$V$631=G$631),--($D1746:$V1746=1)),0)+SUM(G1143)+IF(COUNTIF(G$1237:G1746,1)=1,5,0)+IF(COUNTIF(H1144:$W1144,"&gt;"&amp;0)&lt;5,IF(AND(COUNTIF(G$1237:G1746,1)&gt;7,MOD(1+IFERROR(MATCH($C1144,总览!$D$46:$D$345,1)+1,1),7)=0),$C$3,0),0)</f>
        <v>1639.39999999999</v>
      </c>
      <c r="H1144" s="131" cm="1">
        <f ca="1" t="array" ref="H1144">IF(H1746=1,OFFSET($W$634,$B1144,H$631-1)/SUMPRODUCT(--($D$631:$V$631=H$631),--($D1746:$V1746=1)),0)+SUM(H1143)+IF(COUNTIF(H$1237:H1746,1)=1,5,0)+IF(COUNTIF(I1144:$W1144,"&gt;"&amp;0)&lt;5,IF(AND(COUNTIF(H$1237:H1746,1)&gt;7,MOD(1+IFERROR(MATCH($C1144,总览!$D$46:$D$345,1)+1,1),7)=0),$C$3,0),0)</f>
        <v>1639.39999999999</v>
      </c>
      <c r="I1144" s="131" cm="1">
        <f ca="1" t="array" ref="I1144">IF(I1746=1,OFFSET($W$634,$B1144,I$631-1)/SUMPRODUCT(--($D$631:$V$631=I$631),--($D1746:$V1746=1)),0)+SUM(I1143)+IF(COUNTIF(I$1237:I1746,1)=1,5,0)+IF(COUNTIF(J1144:$W1144,"&gt;"&amp;0)&lt;5,IF(AND(COUNTIF(I$1237:I1746,1)&gt;7,MOD(1+IFERROR(MATCH($C1144,总览!$D$46:$D$345,1)+1,1),7)=0),$C$3,0),0)</f>
        <v>1639.39999999999</v>
      </c>
      <c r="J1144" s="131" cm="1">
        <f ca="1" t="array" ref="J1144">IF(J1746=1,OFFSET($W$634,$B1144,J$631-1)/SUMPRODUCT(--($D$631:$V$631=J$631),--($D1746:$V1746=1)),0)+SUM(J1143)+IF(COUNTIF(J$1237:J1746,1)=1,5,0)+IF(COUNTIF(K1144:$W1144,"&gt;"&amp;0)&lt;5,IF(AND(COUNTIF(J$1237:J1746,1)&gt;7,MOD(1+IFERROR(MATCH($C1144,总览!$D$46:$D$345,1)+1,1),7)=0),$C$3,0),0)</f>
        <v>1636.06666666666</v>
      </c>
      <c r="K1144" s="131" cm="1">
        <f ca="1" t="array" ref="K1144">IF(K1746=1,OFFSET($W$634,$B1144,K$631-1)/SUMPRODUCT(--($D$631:$V$631=K$631),--($D1746:$V1746=1)),0)+SUM(K1143)+IF(COUNTIF(K$1237:K1746,1)=1,5,0)+IF(COUNTIF(L1144:$W1144,"&gt;"&amp;0)&lt;5,IF(AND(COUNTIF(K$1237:K1746,1)&gt;7,MOD(1+IFERROR(MATCH($C1144,总览!$D$46:$D$345,1)+1,1),7)=0),$C$3,0),0)</f>
        <v>1633.56666666666</v>
      </c>
      <c r="L1144" s="131" cm="1">
        <f ca="1" t="array" ref="L1144">IF(L1746=1,OFFSET($W$634,$B1144,L$631-1)/SUMPRODUCT(--($D$631:$V$631=L$631),--($D1746:$V1746=1)),0)+SUM(L1143)+IF(COUNTIF(L$1237:L1746,1)=1,5,0)+IF(COUNTIF(M1144:$W1144,"&gt;"&amp;0)&lt;5,IF(AND(COUNTIF(L$1237:L1746,1)&gt;7,MOD(1+IFERROR(MATCH($C1144,总览!$D$46:$D$345,1)+1,1),7)=0),$C$3,0),0)</f>
        <v>1633.56666666666</v>
      </c>
      <c r="M1144" s="131" cm="1">
        <f ca="1" t="array" ref="M1144">IF(M1746=1,OFFSET($W$634,$B1144,M$631-1)/SUMPRODUCT(--($D$631:$V$631=M$631),--($D1746:$V1746=1)),0)+SUM(M1143)+IF(COUNTIF(M$1237:M1746,1)=1,5,0)+IF(COUNTIF(N1144:$W1144,"&gt;"&amp;0)&lt;5,IF(AND(COUNTIF(M$1237:M1746,1)&gt;7,MOD(1+IFERROR(MATCH($C1144,总览!$D$46:$D$345,1)+1,1),7)=0),$C$3,0),0)</f>
        <v>686.324107142861</v>
      </c>
      <c r="N1144" s="131" cm="1">
        <f ca="1" t="array" ref="N1144">IF(N1746=1,OFFSET($W$634,$B1144,N$631-1)/SUMPRODUCT(--($D$631:$V$631=N$631),--($D1746:$V1746=1)),0)+SUM(N1143)+IF(COUNTIF(N$1237:N1746,1)=1,5,0)+IF(COUNTIF(O1144:$W1144,"&gt;"&amp;0)&lt;5,IF(AND(COUNTIF(N$1237:N1746,1)&gt;7,MOD(1+IFERROR(MATCH($C1144,总览!$D$46:$D$345,1)+1,1),7)=0),$C$3,0),0)</f>
        <v>687.574107142861</v>
      </c>
      <c r="O1144" s="131" cm="1">
        <f ca="1" t="array" ref="O1144">IF(O1746=1,OFFSET($W$634,$B1144,O$631-1)/SUMPRODUCT(--($D$631:$V$631=O$631),--($D1746:$V1746=1)),0)+SUM(O1143)+IF(COUNTIF(O$1237:O1746,1)=1,5,0)+IF(COUNTIF(P1144:$W1144,"&gt;"&amp;0)&lt;5,IF(AND(COUNTIF(O$1237:O1746,1)&gt;7,MOD(1+IFERROR(MATCH($C1144,总览!$D$46:$D$345,1)+1,1),7)=0),$C$3,0),0)</f>
        <v>692.574107142861</v>
      </c>
      <c r="P1144" s="131" cm="1">
        <f ca="1" t="array" ref="P1144">IF(P1746=1,OFFSET($W$634,$B1144,P$631-1)/SUMPRODUCT(--($D$631:$V$631=P$631),--($D1746:$V1746=1)),0)+SUM(P1143)+IF(COUNTIF(P$1237:P1746,1)=1,5,0)+IF(COUNTIF(Q1144:$W1144,"&gt;"&amp;0)&lt;5,IF(AND(COUNTIF(P$1237:P1746,1)&gt;7,MOD(1+IFERROR(MATCH($C1144,总览!$D$46:$D$345,1)+1,1),7)=0),$C$3,0),0)</f>
        <v>681.692857142861</v>
      </c>
      <c r="Q1144" s="131" cm="1">
        <f ca="1" t="array" ref="Q1144">IF(Q1746=1,OFFSET($W$634,$B1144,Q$631-1)/SUMPRODUCT(--($D$631:$V$631=Q$631),--($D1746:$V1746=1)),0)+SUM(Q1143)+IF(COUNTIF(Q$1237:Q1746,1)=1,5,0)+IF(COUNTIF(R1144:$W1144,"&gt;"&amp;0)&lt;5,IF(AND(COUNTIF(Q$1237:Q1746,1)&gt;7,MOD(1+IFERROR(MATCH($C1144,总览!$D$46:$D$345,1)+1,1),7)=0),$C$3,0),0)</f>
        <v>695.074107142861</v>
      </c>
      <c r="R1144" s="131" cm="1">
        <f ca="1" t="array" ref="R1144">IF(R1746=1,OFFSET($W$634,$B1144,R$631-1)/SUMPRODUCT(--($D$631:$V$631=R$631),--($D1746:$V1746=1)),0)+SUM(R1143)+IF(COUNTIF(R$1237:R1746,1)=1,5,0)+IF(COUNTIF(S1144:$W1144,"&gt;"&amp;0)&lt;5,IF(AND(COUNTIF(R$1237:R1746,1)&gt;7,MOD(1+IFERROR(MATCH($C1144,总览!$D$46:$D$345,1)+1,1),7)=0),$C$3,0),0)</f>
        <v>686.692857142861</v>
      </c>
      <c r="S1144" s="131" cm="1">
        <f ca="1" t="array" ref="S1144">IF(S1746=1,OFFSET($W$634,$B1144,S$631-1)/SUMPRODUCT(--($D$631:$V$631=S$631),--($D1746:$V1746=1)),0)+SUM(S1143)+IF(COUNTIF(S$1237:S1746,1)=1,5,0)+IF(COUNTIF(T1144:$W1144,"&gt;"&amp;0)&lt;5,IF(AND(COUNTIF(S$1237:S1746,1)&gt;7,MOD(1+IFERROR(MATCH($C1144,总览!$D$46:$D$345,1)+1,1),7)=0),$C$3,0),0)</f>
        <v>779.192857142862</v>
      </c>
      <c r="T1144" s="131" cm="1">
        <f ca="1" t="array" ref="T1144">IF(T1746=1,OFFSET($W$634,$B1144,T$631-1)/SUMPRODUCT(--($D$631:$V$631=T$631),--($D1746:$V1746=1)),0)+SUM(T1143)+IF(COUNTIF(T$1237:T1746,1)=1,5,0)+IF(COUNTIF(U1144:$W1144,"&gt;"&amp;0)&lt;5,IF(AND(COUNTIF(T$1237:T1746,1)&gt;7,MOD(1+IFERROR(MATCH($C1144,总览!$D$46:$D$345,1)+1,1),7)=0),$C$3,0),0)</f>
        <v>570.627881669054</v>
      </c>
      <c r="U1144" s="131" cm="1">
        <f ca="1" t="array" ref="U1144">IF(U1746=1,OFFSET($W$634,$B1144,U$631-1)/SUMPRODUCT(--($D$631:$V$631=U$631),--($D1746:$V1746=1)),0)+SUM(U1143)+IF(COUNTIF(U$1237:U1746,1)=1,5,0)+IF(COUNTIF(V1144:$W1144,"&gt;"&amp;0)&lt;5,IF(AND(COUNTIF(U$1237:U1746,1)&gt;7,MOD(1+IFERROR(MATCH($C1144,总览!$D$46:$D$345,1)+1,1),7)=0),$C$3,0),0)</f>
        <v>576.148668024353</v>
      </c>
      <c r="V1144" s="131" cm="1">
        <f ca="1" t="array" ref="V1144">IF(V1746=1,OFFSET($W$634,$B1144,V$631-1)/SUMPRODUCT(--($D$631:$V$631=V$631),--($D1746:$V1746=1)),0)+SUM(V1143)+IF(COUNTIF(V$1237:V1746,1)=1,5,0)+IF(COUNTIF(W1144:$W1144,"&gt;"&amp;0)&lt;5,IF(AND(COUNTIF(V$1237:V1746,1)&gt;7,MOD(1+IFERROR(MATCH($C1144,总览!$D$46:$D$345,1)+1,1),7)=0),$C$3,0),0)</f>
        <v>595.975667736786</v>
      </c>
      <c r="W1144" s="135" cm="1">
        <f ca="1" t="array" ref="W1144">SUMPRODUCT(TRANSPOSE($AA1144:$AG1144),OFFSET($L$9:$L$15,0,W$631-1))</f>
        <v>16.8502200646615</v>
      </c>
      <c r="X1144" s="135" cm="1">
        <f ca="1" t="array" ref="X1144">SUMPRODUCT(TRANSPOSE($AA1144:$AG1144),OFFSET($L$9:$L$15,0,X$631-1))</f>
        <v>20</v>
      </c>
      <c r="Y1144" s="135" cm="1">
        <f ca="1" t="array" ref="Y1144">SUMPRODUCT(TRANSPOSE($AA1144:$AG1144),OFFSET($L$9:$L$15,0,Y$631-1))</f>
        <v>10</v>
      </c>
      <c r="Z1144" s="135" cm="1">
        <f ca="1" t="array" ref="Z1144">SUMPRODUCT(TRANSPOSE($AA1144:$AG1144),OFFSET($L$9:$L$15,0,Z$631-1))</f>
        <v>3.14977993533847</v>
      </c>
      <c r="AA1144" s="136">
        <f ca="1" t="shared" ref="AA1144:AG1144" si="1273">AH1144-AH1143</f>
        <v>0</v>
      </c>
      <c r="AB1144" s="136">
        <f ca="1" t="shared" si="1273"/>
        <v>0</v>
      </c>
      <c r="AC1144" s="136">
        <f ca="1" t="shared" si="1273"/>
        <v>0</v>
      </c>
      <c r="AD1144" s="136">
        <f ca="1" t="shared" si="1273"/>
        <v>0</v>
      </c>
      <c r="AE1144" s="136">
        <f ca="1" t="shared" si="1273"/>
        <v>0</v>
      </c>
      <c r="AF1144" s="136">
        <f ca="1" t="shared" si="1273"/>
        <v>0</v>
      </c>
      <c r="AG1144" s="136">
        <f ca="1" t="shared" si="1273"/>
        <v>100</v>
      </c>
      <c r="AH1144" s="136">
        <f ca="1" t="shared" si="1151"/>
        <v>450</v>
      </c>
      <c r="AI1144" s="136">
        <f ca="1" t="shared" ref="AI1144:AN1144" si="1274">IF($C1144&gt;OFFSET($Q$8,MATCH(AI$634,$AH$634:$AN$634,0),0),OFFSET($P$8,MATCH(AI$634,$AH$634:$AN$634,0),0),MAX(0,$C1144-OFFSET($Q$8,RIGHT(AI$634,1)-1,0)))</f>
        <v>909</v>
      </c>
      <c r="AJ1144" s="136">
        <f ca="1" t="shared" si="1274"/>
        <v>1818</v>
      </c>
      <c r="AK1144" s="136">
        <f ca="1" t="shared" si="1274"/>
        <v>2727</v>
      </c>
      <c r="AL1144" s="136">
        <f ca="1" t="shared" si="1274"/>
        <v>3636</v>
      </c>
      <c r="AM1144" s="136">
        <f ca="1" t="shared" si="1274"/>
        <v>4545</v>
      </c>
      <c r="AN1144" s="136">
        <f ca="1" t="shared" si="1274"/>
        <v>36915</v>
      </c>
    </row>
    <row r="1145" s="106" customFormat="1" ht="16.5" spans="2:40">
      <c r="B1145" s="117">
        <v>511</v>
      </c>
      <c r="C1145" s="130">
        <f t="shared" si="1149"/>
        <v>51100</v>
      </c>
      <c r="D1145" s="131" cm="1">
        <f ca="1" t="array" ref="D1145">IF(D1747=1,OFFSET($W$634,$B1145,D$631-1)/SUMPRODUCT(--($D$631:$V$631=D$631),--($D1747:$V1747=1)),0)+SUM(D1144)+IF(COUNTIF(D$1237:D1747,1)=1,5,0)+IF(COUNTIF(E1145:$W1145,"&gt;"&amp;0)&lt;5,IF(AND(COUNTIF(D$1237:D1747,1)&gt;7,MOD(1+IFERROR(MATCH($C1145,总览!$D$46:$D$345,1)+1,1),7)=0),$C$3,0),0)</f>
        <v>3197.85766754486</v>
      </c>
      <c r="E1145" s="131" cm="1">
        <f ca="1" t="array" ref="E1145">IF(E1747=1,OFFSET($W$634,$B1145,E$631-1)/SUMPRODUCT(--($D$631:$V$631=E$631),--($D1747:$V1747=1)),0)+SUM(E1144)+IF(COUNTIF(E$1237:E1747,1)=1,5,0)+IF(COUNTIF(F1145:$W1145,"&gt;"&amp;0)&lt;5,IF(AND(COUNTIF(E$1237:E1747,1)&gt;7,MOD(1+IFERROR(MATCH($C1145,总览!$D$46:$D$345,1)+1,1),7)=0),$C$3,0),0)</f>
        <v>3197.85766754486</v>
      </c>
      <c r="F1145" s="131" cm="1">
        <f ca="1" t="array" ref="F1145">IF(F1747=1,OFFSET($W$634,$B1145,F$631-1)/SUMPRODUCT(--($D$631:$V$631=F$631),--($D1747:$V1747=1)),0)+SUM(F1144)+IF(COUNTIF(F$1237:F1747,1)=1,5,0)+IF(COUNTIF(G1145:$W1145,"&gt;"&amp;0)&lt;5,IF(AND(COUNTIF(F$1237:F1747,1)&gt;7,MOD(1+IFERROR(MATCH($C1145,总览!$D$46:$D$345,1)+1,1),7)=0),$C$3,0),0)</f>
        <v>3197.85766754486</v>
      </c>
      <c r="G1145" s="131" cm="1">
        <f ca="1" t="array" ref="G1145">IF(G1747=1,OFFSET($W$634,$B1145,G$631-1)/SUMPRODUCT(--($D$631:$V$631=G$631),--($D1747:$V1747=1)),0)+SUM(G1144)+IF(COUNTIF(G$1237:G1747,1)=1,5,0)+IF(COUNTIF(H1145:$W1145,"&gt;"&amp;0)&lt;5,IF(AND(COUNTIF(G$1237:G1747,1)&gt;7,MOD(1+IFERROR(MATCH($C1145,总览!$D$46:$D$345,1)+1,1),7)=0),$C$3,0),0)</f>
        <v>1642.73333333332</v>
      </c>
      <c r="H1145" s="131" cm="1">
        <f ca="1" t="array" ref="H1145">IF(H1747=1,OFFSET($W$634,$B1145,H$631-1)/SUMPRODUCT(--($D$631:$V$631=H$631),--($D1747:$V1747=1)),0)+SUM(H1144)+IF(COUNTIF(H$1237:H1747,1)=1,5,0)+IF(COUNTIF(I1145:$W1145,"&gt;"&amp;0)&lt;5,IF(AND(COUNTIF(H$1237:H1747,1)&gt;7,MOD(1+IFERROR(MATCH($C1145,总览!$D$46:$D$345,1)+1,1),7)=0),$C$3,0),0)</f>
        <v>1642.73333333332</v>
      </c>
      <c r="I1145" s="131" cm="1">
        <f ca="1" t="array" ref="I1145">IF(I1747=1,OFFSET($W$634,$B1145,I$631-1)/SUMPRODUCT(--($D$631:$V$631=I$631),--($D1747:$V1747=1)),0)+SUM(I1144)+IF(COUNTIF(I$1237:I1747,1)=1,5,0)+IF(COUNTIF(J1145:$W1145,"&gt;"&amp;0)&lt;5,IF(AND(COUNTIF(I$1237:I1747,1)&gt;7,MOD(1+IFERROR(MATCH($C1145,总览!$D$46:$D$345,1)+1,1),7)=0),$C$3,0),0)</f>
        <v>1642.73333333332</v>
      </c>
      <c r="J1145" s="131" cm="1">
        <f ca="1" t="array" ref="J1145">IF(J1747=1,OFFSET($W$634,$B1145,J$631-1)/SUMPRODUCT(--($D$631:$V$631=J$631),--($D1747:$V1747=1)),0)+SUM(J1144)+IF(COUNTIF(J$1237:J1747,1)=1,5,0)+IF(COUNTIF(K1145:$W1145,"&gt;"&amp;0)&lt;5,IF(AND(COUNTIF(J$1237:J1747,1)&gt;7,MOD(1+IFERROR(MATCH($C1145,总览!$D$46:$D$345,1)+1,1),7)=0),$C$3,0),0)</f>
        <v>1639.39999999999</v>
      </c>
      <c r="K1145" s="131" cm="1">
        <f ca="1" t="array" ref="K1145">IF(K1747=1,OFFSET($W$634,$B1145,K$631-1)/SUMPRODUCT(--($D$631:$V$631=K$631),--($D1747:$V1747=1)),0)+SUM(K1144)+IF(COUNTIF(K$1237:K1747,1)=1,5,0)+IF(COUNTIF(L1145:$W1145,"&gt;"&amp;0)&lt;5,IF(AND(COUNTIF(K$1237:K1747,1)&gt;7,MOD(1+IFERROR(MATCH($C1145,总览!$D$46:$D$345,1)+1,1),7)=0),$C$3,0),0)</f>
        <v>1636.89999999999</v>
      </c>
      <c r="L1145" s="131" cm="1">
        <f ca="1" t="array" ref="L1145">IF(L1747=1,OFFSET($W$634,$B1145,L$631-1)/SUMPRODUCT(--($D$631:$V$631=L$631),--($D1747:$V1747=1)),0)+SUM(L1144)+IF(COUNTIF(L$1237:L1747,1)=1,5,0)+IF(COUNTIF(M1145:$W1145,"&gt;"&amp;0)&lt;5,IF(AND(COUNTIF(L$1237:L1747,1)&gt;7,MOD(1+IFERROR(MATCH($C1145,总览!$D$46:$D$345,1)+1,1),7)=0),$C$3,0),0)</f>
        <v>1636.89999999999</v>
      </c>
      <c r="M1145" s="131" cm="1">
        <f ca="1" t="array" ref="M1145">IF(M1747=1,OFFSET($W$634,$B1145,M$631-1)/SUMPRODUCT(--($D$631:$V$631=M$631),--($D1747:$V1747=1)),0)+SUM(M1144)+IF(COUNTIF(M$1237:M1747,1)=1,5,0)+IF(COUNTIF(N1145:$W1145,"&gt;"&amp;0)&lt;5,IF(AND(COUNTIF(M$1237:M1747,1)&gt;7,MOD(1+IFERROR(MATCH($C1145,总览!$D$46:$D$345,1)+1,1),7)=0),$C$3,0),0)</f>
        <v>687.752678571432</v>
      </c>
      <c r="N1145" s="131" cm="1">
        <f ca="1" t="array" ref="N1145">IF(N1747=1,OFFSET($W$634,$B1145,N$631-1)/SUMPRODUCT(--($D$631:$V$631=N$631),--($D1747:$V1747=1)),0)+SUM(N1144)+IF(COUNTIF(N$1237:N1747,1)=1,5,0)+IF(COUNTIF(O1145:$W1145,"&gt;"&amp;0)&lt;5,IF(AND(COUNTIF(N$1237:N1747,1)&gt;7,MOD(1+IFERROR(MATCH($C1145,总览!$D$46:$D$345,1)+1,1),7)=0),$C$3,0),0)</f>
        <v>689.002678571432</v>
      </c>
      <c r="O1145" s="131" cm="1">
        <f ca="1" t="array" ref="O1145">IF(O1747=1,OFFSET($W$634,$B1145,O$631-1)/SUMPRODUCT(--($D$631:$V$631=O$631),--($D1747:$V1747=1)),0)+SUM(O1144)+IF(COUNTIF(O$1237:O1747,1)=1,5,0)+IF(COUNTIF(P1145:$W1145,"&gt;"&amp;0)&lt;5,IF(AND(COUNTIF(O$1237:O1747,1)&gt;7,MOD(1+IFERROR(MATCH($C1145,总览!$D$46:$D$345,1)+1,1),7)=0),$C$3,0),0)</f>
        <v>694.002678571432</v>
      </c>
      <c r="P1145" s="131" cm="1">
        <f ca="1" t="array" ref="P1145">IF(P1747=1,OFFSET($W$634,$B1145,P$631-1)/SUMPRODUCT(--($D$631:$V$631=P$631),--($D1747:$V1747=1)),0)+SUM(P1144)+IF(COUNTIF(P$1237:P1747,1)=1,5,0)+IF(COUNTIF(Q1145:$W1145,"&gt;"&amp;0)&lt;5,IF(AND(COUNTIF(P$1237:P1747,1)&gt;7,MOD(1+IFERROR(MATCH($C1145,总览!$D$46:$D$345,1)+1,1),7)=0),$C$3,0),0)</f>
        <v>683.121428571432</v>
      </c>
      <c r="Q1145" s="131" cm="1">
        <f ca="1" t="array" ref="Q1145">IF(Q1747=1,OFFSET($W$634,$B1145,Q$631-1)/SUMPRODUCT(--($D$631:$V$631=Q$631),--($D1747:$V1747=1)),0)+SUM(Q1144)+IF(COUNTIF(Q$1237:Q1747,1)=1,5,0)+IF(COUNTIF(R1145:$W1145,"&gt;"&amp;0)&lt;5,IF(AND(COUNTIF(Q$1237:Q1747,1)&gt;7,MOD(1+IFERROR(MATCH($C1145,总览!$D$46:$D$345,1)+1,1),7)=0),$C$3,0),0)</f>
        <v>696.502678571432</v>
      </c>
      <c r="R1145" s="131" cm="1">
        <f ca="1" t="array" ref="R1145">IF(R1747=1,OFFSET($W$634,$B1145,R$631-1)/SUMPRODUCT(--($D$631:$V$631=R$631),--($D1747:$V1747=1)),0)+SUM(R1144)+IF(COUNTIF(R$1237:R1747,1)=1,5,0)+IF(COUNTIF(S1145:$W1145,"&gt;"&amp;0)&lt;5,IF(AND(COUNTIF(R$1237:R1747,1)&gt;7,MOD(1+IFERROR(MATCH($C1145,总览!$D$46:$D$345,1)+1,1),7)=0),$C$3,0),0)</f>
        <v>688.121428571432</v>
      </c>
      <c r="S1145" s="131" cm="1">
        <f ca="1" t="array" ref="S1145">IF(S1747=1,OFFSET($W$634,$B1145,S$631-1)/SUMPRODUCT(--($D$631:$V$631=S$631),--($D1747:$V1747=1)),0)+SUM(S1144)+IF(COUNTIF(S$1237:S1747,1)=1,5,0)+IF(COUNTIF(T1145:$W1145,"&gt;"&amp;0)&lt;5,IF(AND(COUNTIF(S$1237:S1747,1)&gt;7,MOD(1+IFERROR(MATCH($C1145,总览!$D$46:$D$345,1)+1,1),7)=0),$C$3,0),0)</f>
        <v>780.621428571433</v>
      </c>
      <c r="T1145" s="131" cm="1">
        <f ca="1" t="array" ref="T1145">IF(T1747=1,OFFSET($W$634,$B1145,T$631-1)/SUMPRODUCT(--($D$631:$V$631=T$631),--($D1747:$V1747=1)),0)+SUM(T1144)+IF(COUNTIF(T$1237:T1747,1)=1,5,0)+IF(COUNTIF(U1145:$W1145,"&gt;"&amp;0)&lt;5,IF(AND(COUNTIF(T$1237:T1747,1)&gt;7,MOD(1+IFERROR(MATCH($C1145,总览!$D$46:$D$345,1)+1,1),7)=0),$C$3,0),0)</f>
        <v>571.677808314166</v>
      </c>
      <c r="U1145" s="131" cm="1">
        <f ca="1" t="array" ref="U1145">IF(U1747=1,OFFSET($W$634,$B1145,U$631-1)/SUMPRODUCT(--($D$631:$V$631=U$631),--($D1747:$V1747=1)),0)+SUM(U1144)+IF(COUNTIF(U$1237:U1747,1)=1,5,0)+IF(COUNTIF(V1145:$W1145,"&gt;"&amp;0)&lt;5,IF(AND(COUNTIF(U$1237:U1747,1)&gt;7,MOD(1+IFERROR(MATCH($C1145,总览!$D$46:$D$345,1)+1,1),7)=0),$C$3,0),0)</f>
        <v>577.198594669466</v>
      </c>
      <c r="V1145" s="131" cm="1">
        <f ca="1" t="array" ref="V1145">IF(V1747=1,OFFSET($W$634,$B1145,V$631-1)/SUMPRODUCT(--($D$631:$V$631=V$631),--($D1747:$V1747=1)),0)+SUM(V1144)+IF(COUNTIF(V$1237:V1747,1)=1,5,0)+IF(COUNTIF(W1145:$W1145,"&gt;"&amp;0)&lt;5,IF(AND(COUNTIF(V$1237:V1747,1)&gt;7,MOD(1+IFERROR(MATCH($C1145,总览!$D$46:$D$345,1)+1,1),7)=0),$C$3,0),0)</f>
        <v>597.025594381899</v>
      </c>
      <c r="W1145" s="135" cm="1">
        <f ca="1" t="array" ref="W1145">SUMPRODUCT(TRANSPOSE($AA1145:$AG1145),OFFSET($L$9:$L$15,0,W$631-1))</f>
        <v>16.8502200646615</v>
      </c>
      <c r="X1145" s="135" cm="1">
        <f ca="1" t="array" ref="X1145">SUMPRODUCT(TRANSPOSE($AA1145:$AG1145),OFFSET($L$9:$L$15,0,X$631-1))</f>
        <v>20</v>
      </c>
      <c r="Y1145" s="135" cm="1">
        <f ca="1" t="array" ref="Y1145">SUMPRODUCT(TRANSPOSE($AA1145:$AG1145),OFFSET($L$9:$L$15,0,Y$631-1))</f>
        <v>10</v>
      </c>
      <c r="Z1145" s="135" cm="1">
        <f ca="1" t="array" ref="Z1145">SUMPRODUCT(TRANSPOSE($AA1145:$AG1145),OFFSET($L$9:$L$15,0,Z$631-1))</f>
        <v>3.14977993533847</v>
      </c>
      <c r="AA1145" s="136">
        <f ca="1" t="shared" ref="AA1145:AG1145" si="1275">AH1145-AH1144</f>
        <v>0</v>
      </c>
      <c r="AB1145" s="136">
        <f ca="1" t="shared" si="1275"/>
        <v>0</v>
      </c>
      <c r="AC1145" s="136">
        <f ca="1" t="shared" si="1275"/>
        <v>0</v>
      </c>
      <c r="AD1145" s="136">
        <f ca="1" t="shared" si="1275"/>
        <v>0</v>
      </c>
      <c r="AE1145" s="136">
        <f ca="1" t="shared" si="1275"/>
        <v>0</v>
      </c>
      <c r="AF1145" s="136">
        <f ca="1" t="shared" si="1275"/>
        <v>0</v>
      </c>
      <c r="AG1145" s="136">
        <f ca="1" t="shared" si="1275"/>
        <v>100</v>
      </c>
      <c r="AH1145" s="136">
        <f ca="1" t="shared" si="1151"/>
        <v>450</v>
      </c>
      <c r="AI1145" s="136">
        <f ca="1" t="shared" ref="AI1145:AN1145" si="1276">IF($C1145&gt;OFFSET($Q$8,MATCH(AI$634,$AH$634:$AN$634,0),0),OFFSET($P$8,MATCH(AI$634,$AH$634:$AN$634,0),0),MAX(0,$C1145-OFFSET($Q$8,RIGHT(AI$634,1)-1,0)))</f>
        <v>909</v>
      </c>
      <c r="AJ1145" s="136">
        <f ca="1" t="shared" si="1276"/>
        <v>1818</v>
      </c>
      <c r="AK1145" s="136">
        <f ca="1" t="shared" si="1276"/>
        <v>2727</v>
      </c>
      <c r="AL1145" s="136">
        <f ca="1" t="shared" si="1276"/>
        <v>3636</v>
      </c>
      <c r="AM1145" s="136">
        <f ca="1" t="shared" si="1276"/>
        <v>4545</v>
      </c>
      <c r="AN1145" s="136">
        <f ca="1" t="shared" si="1276"/>
        <v>37015</v>
      </c>
    </row>
    <row r="1146" s="106" customFormat="1" ht="16.5" spans="2:40">
      <c r="B1146" s="117">
        <v>512</v>
      </c>
      <c r="C1146" s="130">
        <f t="shared" si="1149"/>
        <v>51200</v>
      </c>
      <c r="D1146" s="131" cm="1">
        <f ca="1" t="array" ref="D1146">IF(D1748=1,OFFSET($W$634,$B1146,D$631-1)/SUMPRODUCT(--($D$631:$V$631=D$631),--($D1748:$V1748=1)),0)+SUM(D1145)+IF(COUNTIF(D$1237:D1748,1)=1,5,0)+IF(COUNTIF(E1146:$W1146,"&gt;"&amp;0)&lt;5,IF(AND(COUNTIF(D$1237:D1748,1)&gt;7,MOD(1+IFERROR(MATCH($C1146,总览!$D$46:$D$345,1)+1,1),7)=0),$C$3,0),0)</f>
        <v>3203.47440756641</v>
      </c>
      <c r="E1146" s="131" cm="1">
        <f ca="1" t="array" ref="E1146">IF(E1748=1,OFFSET($W$634,$B1146,E$631-1)/SUMPRODUCT(--($D$631:$V$631=E$631),--($D1748:$V1748=1)),0)+SUM(E1145)+IF(COUNTIF(E$1237:E1748,1)=1,5,0)+IF(COUNTIF(F1146:$W1146,"&gt;"&amp;0)&lt;5,IF(AND(COUNTIF(E$1237:E1748,1)&gt;7,MOD(1+IFERROR(MATCH($C1146,总览!$D$46:$D$345,1)+1,1),7)=0),$C$3,0),0)</f>
        <v>3203.47440756641</v>
      </c>
      <c r="F1146" s="131" cm="1">
        <f ca="1" t="array" ref="F1146">IF(F1748=1,OFFSET($W$634,$B1146,F$631-1)/SUMPRODUCT(--($D$631:$V$631=F$631),--($D1748:$V1748=1)),0)+SUM(F1145)+IF(COUNTIF(F$1237:F1748,1)=1,5,0)+IF(COUNTIF(G1146:$W1146,"&gt;"&amp;0)&lt;5,IF(AND(COUNTIF(F$1237:F1748,1)&gt;7,MOD(1+IFERROR(MATCH($C1146,总览!$D$46:$D$345,1)+1,1),7)=0),$C$3,0),0)</f>
        <v>3203.47440756641</v>
      </c>
      <c r="G1146" s="131" cm="1">
        <f ca="1" t="array" ref="G1146">IF(G1748=1,OFFSET($W$634,$B1146,G$631-1)/SUMPRODUCT(--($D$631:$V$631=G$631),--($D1748:$V1748=1)),0)+SUM(G1145)+IF(COUNTIF(G$1237:G1748,1)=1,5,0)+IF(COUNTIF(H1146:$W1146,"&gt;"&amp;0)&lt;5,IF(AND(COUNTIF(G$1237:G1748,1)&gt;7,MOD(1+IFERROR(MATCH($C1146,总览!$D$46:$D$345,1)+1,1),7)=0),$C$3,0),0)</f>
        <v>1646.06666666666</v>
      </c>
      <c r="H1146" s="131" cm="1">
        <f ca="1" t="array" ref="H1146">IF(H1748=1,OFFSET($W$634,$B1146,H$631-1)/SUMPRODUCT(--($D$631:$V$631=H$631),--($D1748:$V1748=1)),0)+SUM(H1145)+IF(COUNTIF(H$1237:H1748,1)=1,5,0)+IF(COUNTIF(I1146:$W1146,"&gt;"&amp;0)&lt;5,IF(AND(COUNTIF(H$1237:H1748,1)&gt;7,MOD(1+IFERROR(MATCH($C1146,总览!$D$46:$D$345,1)+1,1),7)=0),$C$3,0),0)</f>
        <v>1646.06666666666</v>
      </c>
      <c r="I1146" s="131" cm="1">
        <f ca="1" t="array" ref="I1146">IF(I1748=1,OFFSET($W$634,$B1146,I$631-1)/SUMPRODUCT(--($D$631:$V$631=I$631),--($D1748:$V1748=1)),0)+SUM(I1145)+IF(COUNTIF(I$1237:I1748,1)=1,5,0)+IF(COUNTIF(J1146:$W1146,"&gt;"&amp;0)&lt;5,IF(AND(COUNTIF(I$1237:I1748,1)&gt;7,MOD(1+IFERROR(MATCH($C1146,总览!$D$46:$D$345,1)+1,1),7)=0),$C$3,0),0)</f>
        <v>1646.06666666666</v>
      </c>
      <c r="J1146" s="131" cm="1">
        <f ca="1" t="array" ref="J1146">IF(J1748=1,OFFSET($W$634,$B1146,J$631-1)/SUMPRODUCT(--($D$631:$V$631=J$631),--($D1748:$V1748=1)),0)+SUM(J1145)+IF(COUNTIF(J$1237:J1748,1)=1,5,0)+IF(COUNTIF(K1146:$W1146,"&gt;"&amp;0)&lt;5,IF(AND(COUNTIF(J$1237:J1748,1)&gt;7,MOD(1+IFERROR(MATCH($C1146,总览!$D$46:$D$345,1)+1,1),7)=0),$C$3,0),0)</f>
        <v>1642.73333333332</v>
      </c>
      <c r="K1146" s="131" cm="1">
        <f ca="1" t="array" ref="K1146">IF(K1748=1,OFFSET($W$634,$B1146,K$631-1)/SUMPRODUCT(--($D$631:$V$631=K$631),--($D1748:$V1748=1)),0)+SUM(K1145)+IF(COUNTIF(K$1237:K1748,1)=1,5,0)+IF(COUNTIF(L1146:$W1146,"&gt;"&amp;0)&lt;5,IF(AND(COUNTIF(K$1237:K1748,1)&gt;7,MOD(1+IFERROR(MATCH($C1146,总览!$D$46:$D$345,1)+1,1),7)=0),$C$3,0),0)</f>
        <v>1640.23333333332</v>
      </c>
      <c r="L1146" s="131" cm="1">
        <f ca="1" t="array" ref="L1146">IF(L1748=1,OFFSET($W$634,$B1146,L$631-1)/SUMPRODUCT(--($D$631:$V$631=L$631),--($D1748:$V1748=1)),0)+SUM(L1145)+IF(COUNTIF(L$1237:L1748,1)=1,5,0)+IF(COUNTIF(M1146:$W1146,"&gt;"&amp;0)&lt;5,IF(AND(COUNTIF(L$1237:L1748,1)&gt;7,MOD(1+IFERROR(MATCH($C1146,总览!$D$46:$D$345,1)+1,1),7)=0),$C$3,0),0)</f>
        <v>1640.23333333332</v>
      </c>
      <c r="M1146" s="131" cm="1">
        <f ca="1" t="array" ref="M1146">IF(M1748=1,OFFSET($W$634,$B1146,M$631-1)/SUMPRODUCT(--($D$631:$V$631=M$631),--($D1748:$V1748=1)),0)+SUM(M1145)+IF(COUNTIF(M$1237:M1748,1)=1,5,0)+IF(COUNTIF(N1146:$W1146,"&gt;"&amp;0)&lt;5,IF(AND(COUNTIF(M$1237:M1748,1)&gt;7,MOD(1+IFERROR(MATCH($C1146,总览!$D$46:$D$345,1)+1,1),7)=0),$C$3,0),0)</f>
        <v>689.181250000004</v>
      </c>
      <c r="N1146" s="131" cm="1">
        <f ca="1" t="array" ref="N1146">IF(N1748=1,OFFSET($W$634,$B1146,N$631-1)/SUMPRODUCT(--($D$631:$V$631=N$631),--($D1748:$V1748=1)),0)+SUM(N1145)+IF(COUNTIF(N$1237:N1748,1)=1,5,0)+IF(COUNTIF(O1146:$W1146,"&gt;"&amp;0)&lt;5,IF(AND(COUNTIF(N$1237:N1748,1)&gt;7,MOD(1+IFERROR(MATCH($C1146,总览!$D$46:$D$345,1)+1,1),7)=0),$C$3,0),0)</f>
        <v>690.431250000004</v>
      </c>
      <c r="O1146" s="131" cm="1">
        <f ca="1" t="array" ref="O1146">IF(O1748=1,OFFSET($W$634,$B1146,O$631-1)/SUMPRODUCT(--($D$631:$V$631=O$631),--($D1748:$V1748=1)),0)+SUM(O1145)+IF(COUNTIF(O$1237:O1748,1)=1,5,0)+IF(COUNTIF(P1146:$W1146,"&gt;"&amp;0)&lt;5,IF(AND(COUNTIF(O$1237:O1748,1)&gt;7,MOD(1+IFERROR(MATCH($C1146,总览!$D$46:$D$345,1)+1,1),7)=0),$C$3,0),0)</f>
        <v>695.431250000004</v>
      </c>
      <c r="P1146" s="131" cm="1">
        <f ca="1" t="array" ref="P1146">IF(P1748=1,OFFSET($W$634,$B1146,P$631-1)/SUMPRODUCT(--($D$631:$V$631=P$631),--($D1748:$V1748=1)),0)+SUM(P1145)+IF(COUNTIF(P$1237:P1748,1)=1,5,0)+IF(COUNTIF(Q1146:$W1146,"&gt;"&amp;0)&lt;5,IF(AND(COUNTIF(P$1237:P1748,1)&gt;7,MOD(1+IFERROR(MATCH($C1146,总览!$D$46:$D$345,1)+1,1),7)=0),$C$3,0),0)</f>
        <v>684.550000000004</v>
      </c>
      <c r="Q1146" s="131" cm="1">
        <f ca="1" t="array" ref="Q1146">IF(Q1748=1,OFFSET($W$634,$B1146,Q$631-1)/SUMPRODUCT(--($D$631:$V$631=Q$631),--($D1748:$V1748=1)),0)+SUM(Q1145)+IF(COUNTIF(Q$1237:Q1748,1)=1,5,0)+IF(COUNTIF(R1146:$W1146,"&gt;"&amp;0)&lt;5,IF(AND(COUNTIF(Q$1237:Q1748,1)&gt;7,MOD(1+IFERROR(MATCH($C1146,总览!$D$46:$D$345,1)+1,1),7)=0),$C$3,0),0)</f>
        <v>697.931250000004</v>
      </c>
      <c r="R1146" s="131" cm="1">
        <f ca="1" t="array" ref="R1146">IF(R1748=1,OFFSET($W$634,$B1146,R$631-1)/SUMPRODUCT(--($D$631:$V$631=R$631),--($D1748:$V1748=1)),0)+SUM(R1145)+IF(COUNTIF(R$1237:R1748,1)=1,5,0)+IF(COUNTIF(S1146:$W1146,"&gt;"&amp;0)&lt;5,IF(AND(COUNTIF(R$1237:R1748,1)&gt;7,MOD(1+IFERROR(MATCH($C1146,总览!$D$46:$D$345,1)+1,1),7)=0),$C$3,0),0)</f>
        <v>689.550000000004</v>
      </c>
      <c r="S1146" s="131" cm="1">
        <f ca="1" t="array" ref="S1146">IF(S1748=1,OFFSET($W$634,$B1146,S$631-1)/SUMPRODUCT(--($D$631:$V$631=S$631),--($D1748:$V1748=1)),0)+SUM(S1145)+IF(COUNTIF(S$1237:S1748,1)=1,5,0)+IF(COUNTIF(T1146:$W1146,"&gt;"&amp;0)&lt;5,IF(AND(COUNTIF(S$1237:S1748,1)&gt;7,MOD(1+IFERROR(MATCH($C1146,总览!$D$46:$D$345,1)+1,1),7)=0),$C$3,0),0)</f>
        <v>782.050000000005</v>
      </c>
      <c r="T1146" s="131" cm="1">
        <f ca="1" t="array" ref="T1146">IF(T1748=1,OFFSET($W$634,$B1146,T$631-1)/SUMPRODUCT(--($D$631:$V$631=T$631),--($D1748:$V1748=1)),0)+SUM(T1145)+IF(COUNTIF(T$1237:T1748,1)=1,5,0)+IF(COUNTIF(U1146:$W1146,"&gt;"&amp;0)&lt;5,IF(AND(COUNTIF(T$1237:T1748,1)&gt;7,MOD(1+IFERROR(MATCH($C1146,总览!$D$46:$D$345,1)+1,1),7)=0),$C$3,0),0)</f>
        <v>572.727734959279</v>
      </c>
      <c r="U1146" s="131" cm="1">
        <f ca="1" t="array" ref="U1146">IF(U1748=1,OFFSET($W$634,$B1146,U$631-1)/SUMPRODUCT(--($D$631:$V$631=U$631),--($D1748:$V1748=1)),0)+SUM(U1145)+IF(COUNTIF(U$1237:U1748,1)=1,5,0)+IF(COUNTIF(V1146:$W1146,"&gt;"&amp;0)&lt;5,IF(AND(COUNTIF(U$1237:U1748,1)&gt;7,MOD(1+IFERROR(MATCH($C1146,总览!$D$46:$D$345,1)+1,1),7)=0),$C$3,0),0)</f>
        <v>578.248521314579</v>
      </c>
      <c r="V1146" s="131" cm="1">
        <f ca="1" t="array" ref="V1146">IF(V1748=1,OFFSET($W$634,$B1146,V$631-1)/SUMPRODUCT(--($D$631:$V$631=V$631),--($D1748:$V1748=1)),0)+SUM(V1145)+IF(COUNTIF(V$1237:V1748,1)=1,5,0)+IF(COUNTIF(W1146:$W1146,"&gt;"&amp;0)&lt;5,IF(AND(COUNTIF(V$1237:V1748,1)&gt;7,MOD(1+IFERROR(MATCH($C1146,总览!$D$46:$D$345,1)+1,1),7)=0),$C$3,0),0)</f>
        <v>598.075521027012</v>
      </c>
      <c r="W1146" s="135" cm="1">
        <f ca="1" t="array" ref="W1146">SUMPRODUCT(TRANSPOSE($AA1146:$AG1146),OFFSET($L$9:$L$15,0,W$631-1))</f>
        <v>16.8502200646615</v>
      </c>
      <c r="X1146" s="135" cm="1">
        <f ca="1" t="array" ref="X1146">SUMPRODUCT(TRANSPOSE($AA1146:$AG1146),OFFSET($L$9:$L$15,0,X$631-1))</f>
        <v>20</v>
      </c>
      <c r="Y1146" s="135" cm="1">
        <f ca="1" t="array" ref="Y1146">SUMPRODUCT(TRANSPOSE($AA1146:$AG1146),OFFSET($L$9:$L$15,0,Y$631-1))</f>
        <v>10</v>
      </c>
      <c r="Z1146" s="135" cm="1">
        <f ca="1" t="array" ref="Z1146">SUMPRODUCT(TRANSPOSE($AA1146:$AG1146),OFFSET($L$9:$L$15,0,Z$631-1))</f>
        <v>3.14977993533847</v>
      </c>
      <c r="AA1146" s="136">
        <f ca="1" t="shared" ref="AA1146:AG1146" si="1277">AH1146-AH1145</f>
        <v>0</v>
      </c>
      <c r="AB1146" s="136">
        <f ca="1" t="shared" si="1277"/>
        <v>0</v>
      </c>
      <c r="AC1146" s="136">
        <f ca="1" t="shared" si="1277"/>
        <v>0</v>
      </c>
      <c r="AD1146" s="136">
        <f ca="1" t="shared" si="1277"/>
        <v>0</v>
      </c>
      <c r="AE1146" s="136">
        <f ca="1" t="shared" si="1277"/>
        <v>0</v>
      </c>
      <c r="AF1146" s="136">
        <f ca="1" t="shared" si="1277"/>
        <v>0</v>
      </c>
      <c r="AG1146" s="136">
        <f ca="1" t="shared" si="1277"/>
        <v>100</v>
      </c>
      <c r="AH1146" s="136">
        <f ca="1" t="shared" si="1151"/>
        <v>450</v>
      </c>
      <c r="AI1146" s="136">
        <f ca="1" t="shared" ref="AI1146:AN1146" si="1278">IF($C1146&gt;OFFSET($Q$8,MATCH(AI$634,$AH$634:$AN$634,0),0),OFFSET($P$8,MATCH(AI$634,$AH$634:$AN$634,0),0),MAX(0,$C1146-OFFSET($Q$8,RIGHT(AI$634,1)-1,0)))</f>
        <v>909</v>
      </c>
      <c r="AJ1146" s="136">
        <f ca="1" t="shared" si="1278"/>
        <v>1818</v>
      </c>
      <c r="AK1146" s="136">
        <f ca="1" t="shared" si="1278"/>
        <v>2727</v>
      </c>
      <c r="AL1146" s="136">
        <f ca="1" t="shared" si="1278"/>
        <v>3636</v>
      </c>
      <c r="AM1146" s="136">
        <f ca="1" t="shared" si="1278"/>
        <v>4545</v>
      </c>
      <c r="AN1146" s="136">
        <f ca="1" t="shared" si="1278"/>
        <v>37115</v>
      </c>
    </row>
    <row r="1147" s="106" customFormat="1" ht="16.5" spans="2:40">
      <c r="B1147" s="117">
        <v>513</v>
      </c>
      <c r="C1147" s="130">
        <f t="shared" ref="C1147:C1210" si="1279">C542</f>
        <v>51300</v>
      </c>
      <c r="D1147" s="131" cm="1">
        <f ca="1" t="array" ref="D1147">IF(D1749=1,OFFSET($W$634,$B1147,D$631-1)/SUMPRODUCT(--($D$631:$V$631=D$631),--($D1749:$V1749=1)),0)+SUM(D1146)+IF(COUNTIF(D$1237:D1749,1)=1,5,0)+IF(COUNTIF(E1147:$W1147,"&gt;"&amp;0)&lt;5,IF(AND(COUNTIF(D$1237:D1749,1)&gt;7,MOD(1+IFERROR(MATCH($C1147,总览!$D$46:$D$345,1)+1,1),7)=0),$C$3,0),0)</f>
        <v>3209.09114758797</v>
      </c>
      <c r="E1147" s="131" cm="1">
        <f ca="1" t="array" ref="E1147">IF(E1749=1,OFFSET($W$634,$B1147,E$631-1)/SUMPRODUCT(--($D$631:$V$631=E$631),--($D1749:$V1749=1)),0)+SUM(E1146)+IF(COUNTIF(E$1237:E1749,1)=1,5,0)+IF(COUNTIF(F1147:$W1147,"&gt;"&amp;0)&lt;5,IF(AND(COUNTIF(E$1237:E1749,1)&gt;7,MOD(1+IFERROR(MATCH($C1147,总览!$D$46:$D$345,1)+1,1),7)=0),$C$3,0),0)</f>
        <v>3209.09114758797</v>
      </c>
      <c r="F1147" s="131" cm="1">
        <f ca="1" t="array" ref="F1147">IF(F1749=1,OFFSET($W$634,$B1147,F$631-1)/SUMPRODUCT(--($D$631:$V$631=F$631),--($D1749:$V1749=1)),0)+SUM(F1146)+IF(COUNTIF(F$1237:F1749,1)=1,5,0)+IF(COUNTIF(G1147:$W1147,"&gt;"&amp;0)&lt;5,IF(AND(COUNTIF(F$1237:F1749,1)&gt;7,MOD(1+IFERROR(MATCH($C1147,总览!$D$46:$D$345,1)+1,1),7)=0),$C$3,0),0)</f>
        <v>3209.09114758797</v>
      </c>
      <c r="G1147" s="131" cm="1">
        <f ca="1" t="array" ref="G1147">IF(G1749=1,OFFSET($W$634,$B1147,G$631-1)/SUMPRODUCT(--($D$631:$V$631=G$631),--($D1749:$V1749=1)),0)+SUM(G1146)+IF(COUNTIF(G$1237:G1749,1)=1,5,0)+IF(COUNTIF(H1147:$W1147,"&gt;"&amp;0)&lt;5,IF(AND(COUNTIF(G$1237:G1749,1)&gt;7,MOD(1+IFERROR(MATCH($C1147,总览!$D$46:$D$345,1)+1,1),7)=0),$C$3,0),0)</f>
        <v>1649.39999999999</v>
      </c>
      <c r="H1147" s="131" cm="1">
        <f ca="1" t="array" ref="H1147">IF(H1749=1,OFFSET($W$634,$B1147,H$631-1)/SUMPRODUCT(--($D$631:$V$631=H$631),--($D1749:$V1749=1)),0)+SUM(H1146)+IF(COUNTIF(H$1237:H1749,1)=1,5,0)+IF(COUNTIF(I1147:$W1147,"&gt;"&amp;0)&lt;5,IF(AND(COUNTIF(H$1237:H1749,1)&gt;7,MOD(1+IFERROR(MATCH($C1147,总览!$D$46:$D$345,1)+1,1),7)=0),$C$3,0),0)</f>
        <v>1649.39999999999</v>
      </c>
      <c r="I1147" s="131" cm="1">
        <f ca="1" t="array" ref="I1147">IF(I1749=1,OFFSET($W$634,$B1147,I$631-1)/SUMPRODUCT(--($D$631:$V$631=I$631),--($D1749:$V1749=1)),0)+SUM(I1146)+IF(COUNTIF(I$1237:I1749,1)=1,5,0)+IF(COUNTIF(J1147:$W1147,"&gt;"&amp;0)&lt;5,IF(AND(COUNTIF(I$1237:I1749,1)&gt;7,MOD(1+IFERROR(MATCH($C1147,总览!$D$46:$D$345,1)+1,1),7)=0),$C$3,0),0)</f>
        <v>1649.39999999999</v>
      </c>
      <c r="J1147" s="131" cm="1">
        <f ca="1" t="array" ref="J1147">IF(J1749=1,OFFSET($W$634,$B1147,J$631-1)/SUMPRODUCT(--($D$631:$V$631=J$631),--($D1749:$V1749=1)),0)+SUM(J1146)+IF(COUNTIF(J$1237:J1749,1)=1,5,0)+IF(COUNTIF(K1147:$W1147,"&gt;"&amp;0)&lt;5,IF(AND(COUNTIF(J$1237:J1749,1)&gt;7,MOD(1+IFERROR(MATCH($C1147,总览!$D$46:$D$345,1)+1,1),7)=0),$C$3,0),0)</f>
        <v>1646.06666666666</v>
      </c>
      <c r="K1147" s="131" cm="1">
        <f ca="1" t="array" ref="K1147">IF(K1749=1,OFFSET($W$634,$B1147,K$631-1)/SUMPRODUCT(--($D$631:$V$631=K$631),--($D1749:$V1749=1)),0)+SUM(K1146)+IF(COUNTIF(K$1237:K1749,1)=1,5,0)+IF(COUNTIF(L1147:$W1147,"&gt;"&amp;0)&lt;5,IF(AND(COUNTIF(K$1237:K1749,1)&gt;7,MOD(1+IFERROR(MATCH($C1147,总览!$D$46:$D$345,1)+1,1),7)=0),$C$3,0),0)</f>
        <v>1643.56666666666</v>
      </c>
      <c r="L1147" s="131" cm="1">
        <f ca="1" t="array" ref="L1147">IF(L1749=1,OFFSET($W$634,$B1147,L$631-1)/SUMPRODUCT(--($D$631:$V$631=L$631),--($D1749:$V1749=1)),0)+SUM(L1146)+IF(COUNTIF(L$1237:L1749,1)=1,5,0)+IF(COUNTIF(M1147:$W1147,"&gt;"&amp;0)&lt;5,IF(AND(COUNTIF(L$1237:L1749,1)&gt;7,MOD(1+IFERROR(MATCH($C1147,总览!$D$46:$D$345,1)+1,1),7)=0),$C$3,0),0)</f>
        <v>1643.56666666666</v>
      </c>
      <c r="M1147" s="131" cm="1">
        <f ca="1" t="array" ref="M1147">IF(M1749=1,OFFSET($W$634,$B1147,M$631-1)/SUMPRODUCT(--($D$631:$V$631=M$631),--($D1749:$V1749=1)),0)+SUM(M1146)+IF(COUNTIF(M$1237:M1749,1)=1,5,0)+IF(COUNTIF(N1147:$W1147,"&gt;"&amp;0)&lt;5,IF(AND(COUNTIF(M$1237:M1749,1)&gt;7,MOD(1+IFERROR(MATCH($C1147,总览!$D$46:$D$345,1)+1,1),7)=0),$C$3,0),0)</f>
        <v>690.609821428575</v>
      </c>
      <c r="N1147" s="131" cm="1">
        <f ca="1" t="array" ref="N1147">IF(N1749=1,OFFSET($W$634,$B1147,N$631-1)/SUMPRODUCT(--($D$631:$V$631=N$631),--($D1749:$V1749=1)),0)+SUM(N1146)+IF(COUNTIF(N$1237:N1749,1)=1,5,0)+IF(COUNTIF(O1147:$W1147,"&gt;"&amp;0)&lt;5,IF(AND(COUNTIF(N$1237:N1749,1)&gt;7,MOD(1+IFERROR(MATCH($C1147,总览!$D$46:$D$345,1)+1,1),7)=0),$C$3,0),0)</f>
        <v>691.859821428575</v>
      </c>
      <c r="O1147" s="131" cm="1">
        <f ca="1" t="array" ref="O1147">IF(O1749=1,OFFSET($W$634,$B1147,O$631-1)/SUMPRODUCT(--($D$631:$V$631=O$631),--($D1749:$V1749=1)),0)+SUM(O1146)+IF(COUNTIF(O$1237:O1749,1)=1,5,0)+IF(COUNTIF(P1147:$W1147,"&gt;"&amp;0)&lt;5,IF(AND(COUNTIF(O$1237:O1749,1)&gt;7,MOD(1+IFERROR(MATCH($C1147,总览!$D$46:$D$345,1)+1,1),7)=0),$C$3,0),0)</f>
        <v>696.859821428575</v>
      </c>
      <c r="P1147" s="131" cm="1">
        <f ca="1" t="array" ref="P1147">IF(P1749=1,OFFSET($W$634,$B1147,P$631-1)/SUMPRODUCT(--($D$631:$V$631=P$631),--($D1749:$V1749=1)),0)+SUM(P1146)+IF(COUNTIF(P$1237:P1749,1)=1,5,0)+IF(COUNTIF(Q1147:$W1147,"&gt;"&amp;0)&lt;5,IF(AND(COUNTIF(P$1237:P1749,1)&gt;7,MOD(1+IFERROR(MATCH($C1147,总览!$D$46:$D$345,1)+1,1),7)=0),$C$3,0),0)</f>
        <v>685.978571428575</v>
      </c>
      <c r="Q1147" s="131" cm="1">
        <f ca="1" t="array" ref="Q1147">IF(Q1749=1,OFFSET($W$634,$B1147,Q$631-1)/SUMPRODUCT(--($D$631:$V$631=Q$631),--($D1749:$V1749=1)),0)+SUM(Q1146)+IF(COUNTIF(Q$1237:Q1749,1)=1,5,0)+IF(COUNTIF(R1147:$W1147,"&gt;"&amp;0)&lt;5,IF(AND(COUNTIF(Q$1237:Q1749,1)&gt;7,MOD(1+IFERROR(MATCH($C1147,总览!$D$46:$D$345,1)+1,1),7)=0),$C$3,0),0)</f>
        <v>699.359821428575</v>
      </c>
      <c r="R1147" s="131" cm="1">
        <f ca="1" t="array" ref="R1147">IF(R1749=1,OFFSET($W$634,$B1147,R$631-1)/SUMPRODUCT(--($D$631:$V$631=R$631),--($D1749:$V1749=1)),0)+SUM(R1146)+IF(COUNTIF(R$1237:R1749,1)=1,5,0)+IF(COUNTIF(S1147:$W1147,"&gt;"&amp;0)&lt;5,IF(AND(COUNTIF(R$1237:R1749,1)&gt;7,MOD(1+IFERROR(MATCH($C1147,总览!$D$46:$D$345,1)+1,1),7)=0),$C$3,0),0)</f>
        <v>690.978571428575</v>
      </c>
      <c r="S1147" s="131" cm="1">
        <f ca="1" t="array" ref="S1147">IF(S1749=1,OFFSET($W$634,$B1147,S$631-1)/SUMPRODUCT(--($D$631:$V$631=S$631),--($D1749:$V1749=1)),0)+SUM(S1146)+IF(COUNTIF(S$1237:S1749,1)=1,5,0)+IF(COUNTIF(T1147:$W1147,"&gt;"&amp;0)&lt;5,IF(AND(COUNTIF(S$1237:S1749,1)&gt;7,MOD(1+IFERROR(MATCH($C1147,总览!$D$46:$D$345,1)+1,1),7)=0),$C$3,0),0)</f>
        <v>783.478571428576</v>
      </c>
      <c r="T1147" s="131" cm="1">
        <f ca="1" t="array" ref="T1147">IF(T1749=1,OFFSET($W$634,$B1147,T$631-1)/SUMPRODUCT(--($D$631:$V$631=T$631),--($D1749:$V1749=1)),0)+SUM(T1146)+IF(COUNTIF(T$1237:T1749,1)=1,5,0)+IF(COUNTIF(U1147:$W1147,"&gt;"&amp;0)&lt;5,IF(AND(COUNTIF(T$1237:T1749,1)&gt;7,MOD(1+IFERROR(MATCH($C1147,总览!$D$46:$D$345,1)+1,1),7)=0),$C$3,0),0)</f>
        <v>573.777661604392</v>
      </c>
      <c r="U1147" s="131" cm="1">
        <f ca="1" t="array" ref="U1147">IF(U1749=1,OFFSET($W$634,$B1147,U$631-1)/SUMPRODUCT(--($D$631:$V$631=U$631),--($D1749:$V1749=1)),0)+SUM(U1146)+IF(COUNTIF(U$1237:U1749,1)=1,5,0)+IF(COUNTIF(V1147:$W1147,"&gt;"&amp;0)&lt;5,IF(AND(COUNTIF(U$1237:U1749,1)&gt;7,MOD(1+IFERROR(MATCH($C1147,总览!$D$46:$D$345,1)+1,1),7)=0),$C$3,0),0)</f>
        <v>579.298447959691</v>
      </c>
      <c r="V1147" s="131" cm="1">
        <f ca="1" t="array" ref="V1147">IF(V1749=1,OFFSET($W$634,$B1147,V$631-1)/SUMPRODUCT(--($D$631:$V$631=V$631),--($D1749:$V1749=1)),0)+SUM(V1146)+IF(COUNTIF(V$1237:V1749,1)=1,5,0)+IF(COUNTIF(W1147:$W1147,"&gt;"&amp;0)&lt;5,IF(AND(COUNTIF(V$1237:V1749,1)&gt;7,MOD(1+IFERROR(MATCH($C1147,总览!$D$46:$D$345,1)+1,1),7)=0),$C$3,0),0)</f>
        <v>599.125447672124</v>
      </c>
      <c r="W1147" s="135" cm="1">
        <f ca="1" t="array" ref="W1147">SUMPRODUCT(TRANSPOSE($AA1147:$AG1147),OFFSET($L$9:$L$15,0,W$631-1))</f>
        <v>16.8502200646615</v>
      </c>
      <c r="X1147" s="135" cm="1">
        <f ca="1" t="array" ref="X1147">SUMPRODUCT(TRANSPOSE($AA1147:$AG1147),OFFSET($L$9:$L$15,0,X$631-1))</f>
        <v>20</v>
      </c>
      <c r="Y1147" s="135" cm="1">
        <f ca="1" t="array" ref="Y1147">SUMPRODUCT(TRANSPOSE($AA1147:$AG1147),OFFSET($L$9:$L$15,0,Y$631-1))</f>
        <v>10</v>
      </c>
      <c r="Z1147" s="135" cm="1">
        <f ca="1" t="array" ref="Z1147">SUMPRODUCT(TRANSPOSE($AA1147:$AG1147),OFFSET($L$9:$L$15,0,Z$631-1))</f>
        <v>3.14977993533847</v>
      </c>
      <c r="AA1147" s="136">
        <f ca="1" t="shared" ref="AA1147:AG1147" si="1280">AH1147-AH1146</f>
        <v>0</v>
      </c>
      <c r="AB1147" s="136">
        <f ca="1" t="shared" si="1280"/>
        <v>0</v>
      </c>
      <c r="AC1147" s="136">
        <f ca="1" t="shared" si="1280"/>
        <v>0</v>
      </c>
      <c r="AD1147" s="136">
        <f ca="1" t="shared" si="1280"/>
        <v>0</v>
      </c>
      <c r="AE1147" s="136">
        <f ca="1" t="shared" si="1280"/>
        <v>0</v>
      </c>
      <c r="AF1147" s="136">
        <f ca="1" t="shared" si="1280"/>
        <v>0</v>
      </c>
      <c r="AG1147" s="136">
        <f ca="1" t="shared" si="1280"/>
        <v>100</v>
      </c>
      <c r="AH1147" s="136">
        <f ca="1" t="shared" ref="AH1147:AH1210" si="1281">IF($C1147&gt;OFFSET($Q$8,MATCH(AH$634,$AH$634:$AN$634,0),0),OFFSET($P$8,MATCH(AH$634,$AH$634:$AN$634,0),0),$C1147)</f>
        <v>450</v>
      </c>
      <c r="AI1147" s="136">
        <f ca="1" t="shared" ref="AI1147:AN1147" si="1282">IF($C1147&gt;OFFSET($Q$8,MATCH(AI$634,$AH$634:$AN$634,0),0),OFFSET($P$8,MATCH(AI$634,$AH$634:$AN$634,0),0),MAX(0,$C1147-OFFSET($Q$8,RIGHT(AI$634,1)-1,0)))</f>
        <v>909</v>
      </c>
      <c r="AJ1147" s="136">
        <f ca="1" t="shared" si="1282"/>
        <v>1818</v>
      </c>
      <c r="AK1147" s="136">
        <f ca="1" t="shared" si="1282"/>
        <v>2727</v>
      </c>
      <c r="AL1147" s="136">
        <f ca="1" t="shared" si="1282"/>
        <v>3636</v>
      </c>
      <c r="AM1147" s="136">
        <f ca="1" t="shared" si="1282"/>
        <v>4545</v>
      </c>
      <c r="AN1147" s="136">
        <f ca="1" t="shared" si="1282"/>
        <v>37215</v>
      </c>
    </row>
    <row r="1148" s="106" customFormat="1" ht="16.5" spans="2:40">
      <c r="B1148" s="117">
        <v>514</v>
      </c>
      <c r="C1148" s="130">
        <f t="shared" si="1279"/>
        <v>51400</v>
      </c>
      <c r="D1148" s="131" cm="1">
        <f ca="1" t="array" ref="D1148">IF(D1750=1,OFFSET($W$634,$B1148,D$631-1)/SUMPRODUCT(--($D$631:$V$631=D$631),--($D1750:$V1750=1)),0)+SUM(D1147)+IF(COUNTIF(D$1237:D1750,1)=1,5,0)+IF(COUNTIF(E1148:$W1148,"&gt;"&amp;0)&lt;5,IF(AND(COUNTIF(D$1237:D1750,1)&gt;7,MOD(1+IFERROR(MATCH($C1148,总览!$D$46:$D$345,1)+1,1),7)=0),$C$3,0),0)</f>
        <v>3214.70788760952</v>
      </c>
      <c r="E1148" s="131" cm="1">
        <f ca="1" t="array" ref="E1148">IF(E1750=1,OFFSET($W$634,$B1148,E$631-1)/SUMPRODUCT(--($D$631:$V$631=E$631),--($D1750:$V1750=1)),0)+SUM(E1147)+IF(COUNTIF(E$1237:E1750,1)=1,5,0)+IF(COUNTIF(F1148:$W1148,"&gt;"&amp;0)&lt;5,IF(AND(COUNTIF(E$1237:E1750,1)&gt;7,MOD(1+IFERROR(MATCH($C1148,总览!$D$46:$D$345,1)+1,1),7)=0),$C$3,0),0)</f>
        <v>3214.70788760952</v>
      </c>
      <c r="F1148" s="131" cm="1">
        <f ca="1" t="array" ref="F1148">IF(F1750=1,OFFSET($W$634,$B1148,F$631-1)/SUMPRODUCT(--($D$631:$V$631=F$631),--($D1750:$V1750=1)),0)+SUM(F1147)+IF(COUNTIF(F$1237:F1750,1)=1,5,0)+IF(COUNTIF(G1148:$W1148,"&gt;"&amp;0)&lt;5,IF(AND(COUNTIF(F$1237:F1750,1)&gt;7,MOD(1+IFERROR(MATCH($C1148,总览!$D$46:$D$345,1)+1,1),7)=0),$C$3,0),0)</f>
        <v>3214.70788760952</v>
      </c>
      <c r="G1148" s="131" cm="1">
        <f ca="1" t="array" ref="G1148">IF(G1750=1,OFFSET($W$634,$B1148,G$631-1)/SUMPRODUCT(--($D$631:$V$631=G$631),--($D1750:$V1750=1)),0)+SUM(G1147)+IF(COUNTIF(G$1237:G1750,1)=1,5,0)+IF(COUNTIF(H1148:$W1148,"&gt;"&amp;0)&lt;5,IF(AND(COUNTIF(G$1237:G1750,1)&gt;7,MOD(1+IFERROR(MATCH($C1148,总览!$D$46:$D$345,1)+1,1),7)=0),$C$3,0),0)</f>
        <v>1652.73333333332</v>
      </c>
      <c r="H1148" s="131" cm="1">
        <f ca="1" t="array" ref="H1148">IF(H1750=1,OFFSET($W$634,$B1148,H$631-1)/SUMPRODUCT(--($D$631:$V$631=H$631),--($D1750:$V1750=1)),0)+SUM(H1147)+IF(COUNTIF(H$1237:H1750,1)=1,5,0)+IF(COUNTIF(I1148:$W1148,"&gt;"&amp;0)&lt;5,IF(AND(COUNTIF(H$1237:H1750,1)&gt;7,MOD(1+IFERROR(MATCH($C1148,总览!$D$46:$D$345,1)+1,1),7)=0),$C$3,0),0)</f>
        <v>1652.73333333332</v>
      </c>
      <c r="I1148" s="131" cm="1">
        <f ca="1" t="array" ref="I1148">IF(I1750=1,OFFSET($W$634,$B1148,I$631-1)/SUMPRODUCT(--($D$631:$V$631=I$631),--($D1750:$V1750=1)),0)+SUM(I1147)+IF(COUNTIF(I$1237:I1750,1)=1,5,0)+IF(COUNTIF(J1148:$W1148,"&gt;"&amp;0)&lt;5,IF(AND(COUNTIF(I$1237:I1750,1)&gt;7,MOD(1+IFERROR(MATCH($C1148,总览!$D$46:$D$345,1)+1,1),7)=0),$C$3,0),0)</f>
        <v>1652.73333333332</v>
      </c>
      <c r="J1148" s="131" cm="1">
        <f ca="1" t="array" ref="J1148">IF(J1750=1,OFFSET($W$634,$B1148,J$631-1)/SUMPRODUCT(--($D$631:$V$631=J$631),--($D1750:$V1750=1)),0)+SUM(J1147)+IF(COUNTIF(J$1237:J1750,1)=1,5,0)+IF(COUNTIF(K1148:$W1148,"&gt;"&amp;0)&lt;5,IF(AND(COUNTIF(J$1237:J1750,1)&gt;7,MOD(1+IFERROR(MATCH($C1148,总览!$D$46:$D$345,1)+1,1),7)=0),$C$3,0),0)</f>
        <v>1649.39999999999</v>
      </c>
      <c r="K1148" s="131" cm="1">
        <f ca="1" t="array" ref="K1148">IF(K1750=1,OFFSET($W$634,$B1148,K$631-1)/SUMPRODUCT(--($D$631:$V$631=K$631),--($D1750:$V1750=1)),0)+SUM(K1147)+IF(COUNTIF(K$1237:K1750,1)=1,5,0)+IF(COUNTIF(L1148:$W1148,"&gt;"&amp;0)&lt;5,IF(AND(COUNTIF(K$1237:K1750,1)&gt;7,MOD(1+IFERROR(MATCH($C1148,总览!$D$46:$D$345,1)+1,1),7)=0),$C$3,0),0)</f>
        <v>1646.89999999999</v>
      </c>
      <c r="L1148" s="131" cm="1">
        <f ca="1" t="array" ref="L1148">IF(L1750=1,OFFSET($W$634,$B1148,L$631-1)/SUMPRODUCT(--($D$631:$V$631=L$631),--($D1750:$V1750=1)),0)+SUM(L1147)+IF(COUNTIF(L$1237:L1750,1)=1,5,0)+IF(COUNTIF(M1148:$W1148,"&gt;"&amp;0)&lt;5,IF(AND(COUNTIF(L$1237:L1750,1)&gt;7,MOD(1+IFERROR(MATCH($C1148,总览!$D$46:$D$345,1)+1,1),7)=0),$C$3,0),0)</f>
        <v>1646.89999999999</v>
      </c>
      <c r="M1148" s="131" cm="1">
        <f ca="1" t="array" ref="M1148">IF(M1750=1,OFFSET($W$634,$B1148,M$631-1)/SUMPRODUCT(--($D$631:$V$631=M$631),--($D1750:$V1750=1)),0)+SUM(M1147)+IF(COUNTIF(M$1237:M1750,1)=1,5,0)+IF(COUNTIF(N1148:$W1148,"&gt;"&amp;0)&lt;5,IF(AND(COUNTIF(M$1237:M1750,1)&gt;7,MOD(1+IFERROR(MATCH($C1148,总览!$D$46:$D$345,1)+1,1),7)=0),$C$3,0),0)</f>
        <v>692.038392857147</v>
      </c>
      <c r="N1148" s="131" cm="1">
        <f ca="1" t="array" ref="N1148">IF(N1750=1,OFFSET($W$634,$B1148,N$631-1)/SUMPRODUCT(--($D$631:$V$631=N$631),--($D1750:$V1750=1)),0)+SUM(N1147)+IF(COUNTIF(N$1237:N1750,1)=1,5,0)+IF(COUNTIF(O1148:$W1148,"&gt;"&amp;0)&lt;5,IF(AND(COUNTIF(N$1237:N1750,1)&gt;7,MOD(1+IFERROR(MATCH($C1148,总览!$D$46:$D$345,1)+1,1),7)=0),$C$3,0),0)</f>
        <v>693.288392857147</v>
      </c>
      <c r="O1148" s="131" cm="1">
        <f ca="1" t="array" ref="O1148">IF(O1750=1,OFFSET($W$634,$B1148,O$631-1)/SUMPRODUCT(--($D$631:$V$631=O$631),--($D1750:$V1750=1)),0)+SUM(O1147)+IF(COUNTIF(O$1237:O1750,1)=1,5,0)+IF(COUNTIF(P1148:$W1148,"&gt;"&amp;0)&lt;5,IF(AND(COUNTIF(O$1237:O1750,1)&gt;7,MOD(1+IFERROR(MATCH($C1148,总览!$D$46:$D$345,1)+1,1),7)=0),$C$3,0),0)</f>
        <v>698.288392857147</v>
      </c>
      <c r="P1148" s="131" cm="1">
        <f ca="1" t="array" ref="P1148">IF(P1750=1,OFFSET($W$634,$B1148,P$631-1)/SUMPRODUCT(--($D$631:$V$631=P$631),--($D1750:$V1750=1)),0)+SUM(P1147)+IF(COUNTIF(P$1237:P1750,1)=1,5,0)+IF(COUNTIF(Q1148:$W1148,"&gt;"&amp;0)&lt;5,IF(AND(COUNTIF(P$1237:P1750,1)&gt;7,MOD(1+IFERROR(MATCH($C1148,总览!$D$46:$D$345,1)+1,1),7)=0),$C$3,0),0)</f>
        <v>687.407142857147</v>
      </c>
      <c r="Q1148" s="131" cm="1">
        <f ca="1" t="array" ref="Q1148">IF(Q1750=1,OFFSET($W$634,$B1148,Q$631-1)/SUMPRODUCT(--($D$631:$V$631=Q$631),--($D1750:$V1750=1)),0)+SUM(Q1147)+IF(COUNTIF(Q$1237:Q1750,1)=1,5,0)+IF(COUNTIF(R1148:$W1148,"&gt;"&amp;0)&lt;5,IF(AND(COUNTIF(Q$1237:Q1750,1)&gt;7,MOD(1+IFERROR(MATCH($C1148,总览!$D$46:$D$345,1)+1,1),7)=0),$C$3,0),0)</f>
        <v>700.788392857147</v>
      </c>
      <c r="R1148" s="131" cm="1">
        <f ca="1" t="array" ref="R1148">IF(R1750=1,OFFSET($W$634,$B1148,R$631-1)/SUMPRODUCT(--($D$631:$V$631=R$631),--($D1750:$V1750=1)),0)+SUM(R1147)+IF(COUNTIF(R$1237:R1750,1)=1,5,0)+IF(COUNTIF(S1148:$W1148,"&gt;"&amp;0)&lt;5,IF(AND(COUNTIF(R$1237:R1750,1)&gt;7,MOD(1+IFERROR(MATCH($C1148,总览!$D$46:$D$345,1)+1,1),7)=0),$C$3,0),0)</f>
        <v>692.407142857147</v>
      </c>
      <c r="S1148" s="131" cm="1">
        <f ca="1" t="array" ref="S1148">IF(S1750=1,OFFSET($W$634,$B1148,S$631-1)/SUMPRODUCT(--($D$631:$V$631=S$631),--($D1750:$V1750=1)),0)+SUM(S1147)+IF(COUNTIF(S$1237:S1750,1)=1,5,0)+IF(COUNTIF(T1148:$W1148,"&gt;"&amp;0)&lt;5,IF(AND(COUNTIF(S$1237:S1750,1)&gt;7,MOD(1+IFERROR(MATCH($C1148,总览!$D$46:$D$345,1)+1,1),7)=0),$C$3,0),0)</f>
        <v>784.907142857148</v>
      </c>
      <c r="T1148" s="131" cm="1">
        <f ca="1" t="array" ref="T1148">IF(T1750=1,OFFSET($W$634,$B1148,T$631-1)/SUMPRODUCT(--($D$631:$V$631=T$631),--($D1750:$V1750=1)),0)+SUM(T1147)+IF(COUNTIF(T$1237:T1750,1)=1,5,0)+IF(COUNTIF(U1148:$W1148,"&gt;"&amp;0)&lt;5,IF(AND(COUNTIF(T$1237:T1750,1)&gt;7,MOD(1+IFERROR(MATCH($C1148,总览!$D$46:$D$345,1)+1,1),7)=0),$C$3,0),0)</f>
        <v>574.827588249505</v>
      </c>
      <c r="U1148" s="131" cm="1">
        <f ca="1" t="array" ref="U1148">IF(U1750=1,OFFSET($W$634,$B1148,U$631-1)/SUMPRODUCT(--($D$631:$V$631=U$631),--($D1750:$V1750=1)),0)+SUM(U1147)+IF(COUNTIF(U$1237:U1750,1)=1,5,0)+IF(COUNTIF(V1148:$W1148,"&gt;"&amp;0)&lt;5,IF(AND(COUNTIF(U$1237:U1750,1)&gt;7,MOD(1+IFERROR(MATCH($C1148,总览!$D$46:$D$345,1)+1,1),7)=0),$C$3,0),0)</f>
        <v>580.348374604804</v>
      </c>
      <c r="V1148" s="131" cm="1">
        <f ca="1" t="array" ref="V1148">IF(V1750=1,OFFSET($W$634,$B1148,V$631-1)/SUMPRODUCT(--($D$631:$V$631=V$631),--($D1750:$V1750=1)),0)+SUM(V1147)+IF(COUNTIF(V$1237:V1750,1)=1,5,0)+IF(COUNTIF(W1148:$W1148,"&gt;"&amp;0)&lt;5,IF(AND(COUNTIF(V$1237:V1750,1)&gt;7,MOD(1+IFERROR(MATCH($C1148,总览!$D$46:$D$345,1)+1,1),7)=0),$C$3,0),0)</f>
        <v>600.175374317237</v>
      </c>
      <c r="W1148" s="135" cm="1">
        <f ca="1" t="array" ref="W1148">SUMPRODUCT(TRANSPOSE($AA1148:$AG1148),OFFSET($L$9:$L$15,0,W$631-1))</f>
        <v>16.8502200646615</v>
      </c>
      <c r="X1148" s="135" cm="1">
        <f ca="1" t="array" ref="X1148">SUMPRODUCT(TRANSPOSE($AA1148:$AG1148),OFFSET($L$9:$L$15,0,X$631-1))</f>
        <v>20</v>
      </c>
      <c r="Y1148" s="135" cm="1">
        <f ca="1" t="array" ref="Y1148">SUMPRODUCT(TRANSPOSE($AA1148:$AG1148),OFFSET($L$9:$L$15,0,Y$631-1))</f>
        <v>10</v>
      </c>
      <c r="Z1148" s="135" cm="1">
        <f ca="1" t="array" ref="Z1148">SUMPRODUCT(TRANSPOSE($AA1148:$AG1148),OFFSET($L$9:$L$15,0,Z$631-1))</f>
        <v>3.14977993533847</v>
      </c>
      <c r="AA1148" s="136">
        <f ca="1" t="shared" ref="AA1148:AG1148" si="1283">AH1148-AH1147</f>
        <v>0</v>
      </c>
      <c r="AB1148" s="136">
        <f ca="1" t="shared" si="1283"/>
        <v>0</v>
      </c>
      <c r="AC1148" s="136">
        <f ca="1" t="shared" si="1283"/>
        <v>0</v>
      </c>
      <c r="AD1148" s="136">
        <f ca="1" t="shared" si="1283"/>
        <v>0</v>
      </c>
      <c r="AE1148" s="136">
        <f ca="1" t="shared" si="1283"/>
        <v>0</v>
      </c>
      <c r="AF1148" s="136">
        <f ca="1" t="shared" si="1283"/>
        <v>0</v>
      </c>
      <c r="AG1148" s="136">
        <f ca="1" t="shared" si="1283"/>
        <v>100</v>
      </c>
      <c r="AH1148" s="136">
        <f ca="1" t="shared" si="1281"/>
        <v>450</v>
      </c>
      <c r="AI1148" s="136">
        <f ca="1" t="shared" ref="AI1148:AN1148" si="1284">IF($C1148&gt;OFFSET($Q$8,MATCH(AI$634,$AH$634:$AN$634,0),0),OFFSET($P$8,MATCH(AI$634,$AH$634:$AN$634,0),0),MAX(0,$C1148-OFFSET($Q$8,RIGHT(AI$634,1)-1,0)))</f>
        <v>909</v>
      </c>
      <c r="AJ1148" s="136">
        <f ca="1" t="shared" si="1284"/>
        <v>1818</v>
      </c>
      <c r="AK1148" s="136">
        <f ca="1" t="shared" si="1284"/>
        <v>2727</v>
      </c>
      <c r="AL1148" s="136">
        <f ca="1" t="shared" si="1284"/>
        <v>3636</v>
      </c>
      <c r="AM1148" s="136">
        <f ca="1" t="shared" si="1284"/>
        <v>4545</v>
      </c>
      <c r="AN1148" s="136">
        <f ca="1" t="shared" si="1284"/>
        <v>37315</v>
      </c>
    </row>
    <row r="1149" s="106" customFormat="1" ht="16.5" spans="2:40">
      <c r="B1149" s="117">
        <v>515</v>
      </c>
      <c r="C1149" s="130">
        <f t="shared" si="1279"/>
        <v>51500</v>
      </c>
      <c r="D1149" s="131" cm="1">
        <f ca="1" t="array" ref="D1149">IF(D1751=1,OFFSET($W$634,$B1149,D$631-1)/SUMPRODUCT(--($D$631:$V$631=D$631),--($D1751:$V1751=1)),0)+SUM(D1148)+IF(COUNTIF(D$1237:D1751,1)=1,5,0)+IF(COUNTIF(E1149:$W1149,"&gt;"&amp;0)&lt;5,IF(AND(COUNTIF(D$1237:D1751,1)&gt;7,MOD(1+IFERROR(MATCH($C1149,总览!$D$46:$D$345,1)+1,1),7)=0),$C$3,0),0)</f>
        <v>3220.32462763107</v>
      </c>
      <c r="E1149" s="131" cm="1">
        <f ca="1" t="array" ref="E1149">IF(E1751=1,OFFSET($W$634,$B1149,E$631-1)/SUMPRODUCT(--($D$631:$V$631=E$631),--($D1751:$V1751=1)),0)+SUM(E1148)+IF(COUNTIF(E$1237:E1751,1)=1,5,0)+IF(COUNTIF(F1149:$W1149,"&gt;"&amp;0)&lt;5,IF(AND(COUNTIF(E$1237:E1751,1)&gt;7,MOD(1+IFERROR(MATCH($C1149,总览!$D$46:$D$345,1)+1,1),7)=0),$C$3,0),0)</f>
        <v>3220.32462763107</v>
      </c>
      <c r="F1149" s="131" cm="1">
        <f ca="1" t="array" ref="F1149">IF(F1751=1,OFFSET($W$634,$B1149,F$631-1)/SUMPRODUCT(--($D$631:$V$631=F$631),--($D1751:$V1751=1)),0)+SUM(F1148)+IF(COUNTIF(F$1237:F1751,1)=1,5,0)+IF(COUNTIF(G1149:$W1149,"&gt;"&amp;0)&lt;5,IF(AND(COUNTIF(F$1237:F1751,1)&gt;7,MOD(1+IFERROR(MATCH($C1149,总览!$D$46:$D$345,1)+1,1),7)=0),$C$3,0),0)</f>
        <v>3220.32462763107</v>
      </c>
      <c r="G1149" s="131" cm="1">
        <f ca="1" t="array" ref="G1149">IF(G1751=1,OFFSET($W$634,$B1149,G$631-1)/SUMPRODUCT(--($D$631:$V$631=G$631),--($D1751:$V1751=1)),0)+SUM(G1148)+IF(COUNTIF(G$1237:G1751,1)=1,5,0)+IF(COUNTIF(H1149:$W1149,"&gt;"&amp;0)&lt;5,IF(AND(COUNTIF(G$1237:G1751,1)&gt;7,MOD(1+IFERROR(MATCH($C1149,总览!$D$46:$D$345,1)+1,1),7)=0),$C$3,0),0)</f>
        <v>1656.06666666666</v>
      </c>
      <c r="H1149" s="131" cm="1">
        <f ca="1" t="array" ref="H1149">IF(H1751=1,OFFSET($W$634,$B1149,H$631-1)/SUMPRODUCT(--($D$631:$V$631=H$631),--($D1751:$V1751=1)),0)+SUM(H1148)+IF(COUNTIF(H$1237:H1751,1)=1,5,0)+IF(COUNTIF(I1149:$W1149,"&gt;"&amp;0)&lt;5,IF(AND(COUNTIF(H$1237:H1751,1)&gt;7,MOD(1+IFERROR(MATCH($C1149,总览!$D$46:$D$345,1)+1,1),7)=0),$C$3,0),0)</f>
        <v>1656.06666666666</v>
      </c>
      <c r="I1149" s="131" cm="1">
        <f ca="1" t="array" ref="I1149">IF(I1751=1,OFFSET($W$634,$B1149,I$631-1)/SUMPRODUCT(--($D$631:$V$631=I$631),--($D1751:$V1751=1)),0)+SUM(I1148)+IF(COUNTIF(I$1237:I1751,1)=1,5,0)+IF(COUNTIF(J1149:$W1149,"&gt;"&amp;0)&lt;5,IF(AND(COUNTIF(I$1237:I1751,1)&gt;7,MOD(1+IFERROR(MATCH($C1149,总览!$D$46:$D$345,1)+1,1),7)=0),$C$3,0),0)</f>
        <v>1656.06666666666</v>
      </c>
      <c r="J1149" s="131" cm="1">
        <f ca="1" t="array" ref="J1149">IF(J1751=1,OFFSET($W$634,$B1149,J$631-1)/SUMPRODUCT(--($D$631:$V$631=J$631),--($D1751:$V1751=1)),0)+SUM(J1148)+IF(COUNTIF(J$1237:J1751,1)=1,5,0)+IF(COUNTIF(K1149:$W1149,"&gt;"&amp;0)&lt;5,IF(AND(COUNTIF(J$1237:J1751,1)&gt;7,MOD(1+IFERROR(MATCH($C1149,总览!$D$46:$D$345,1)+1,1),7)=0),$C$3,0),0)</f>
        <v>1652.73333333332</v>
      </c>
      <c r="K1149" s="131" cm="1">
        <f ca="1" t="array" ref="K1149">IF(K1751=1,OFFSET($W$634,$B1149,K$631-1)/SUMPRODUCT(--($D$631:$V$631=K$631),--($D1751:$V1751=1)),0)+SUM(K1148)+IF(COUNTIF(K$1237:K1751,1)=1,5,0)+IF(COUNTIF(L1149:$W1149,"&gt;"&amp;0)&lt;5,IF(AND(COUNTIF(K$1237:K1751,1)&gt;7,MOD(1+IFERROR(MATCH($C1149,总览!$D$46:$D$345,1)+1,1),7)=0),$C$3,0),0)</f>
        <v>1650.23333333332</v>
      </c>
      <c r="L1149" s="131" cm="1">
        <f ca="1" t="array" ref="L1149">IF(L1751=1,OFFSET($W$634,$B1149,L$631-1)/SUMPRODUCT(--($D$631:$V$631=L$631),--($D1751:$V1751=1)),0)+SUM(L1148)+IF(COUNTIF(L$1237:L1751,1)=1,5,0)+IF(COUNTIF(M1149:$W1149,"&gt;"&amp;0)&lt;5,IF(AND(COUNTIF(L$1237:L1751,1)&gt;7,MOD(1+IFERROR(MATCH($C1149,总览!$D$46:$D$345,1)+1,1),7)=0),$C$3,0),0)</f>
        <v>1650.23333333332</v>
      </c>
      <c r="M1149" s="131" cm="1">
        <f ca="1" t="array" ref="M1149">IF(M1751=1,OFFSET($W$634,$B1149,M$631-1)/SUMPRODUCT(--($D$631:$V$631=M$631),--($D1751:$V1751=1)),0)+SUM(M1148)+IF(COUNTIF(M$1237:M1751,1)=1,5,0)+IF(COUNTIF(N1149:$W1149,"&gt;"&amp;0)&lt;5,IF(AND(COUNTIF(M$1237:M1751,1)&gt;7,MOD(1+IFERROR(MATCH($C1149,总览!$D$46:$D$345,1)+1,1),7)=0),$C$3,0),0)</f>
        <v>693.466964285718</v>
      </c>
      <c r="N1149" s="131" cm="1">
        <f ca="1" t="array" ref="N1149">IF(N1751=1,OFFSET($W$634,$B1149,N$631-1)/SUMPRODUCT(--($D$631:$V$631=N$631),--($D1751:$V1751=1)),0)+SUM(N1148)+IF(COUNTIF(N$1237:N1751,1)=1,5,0)+IF(COUNTIF(O1149:$W1149,"&gt;"&amp;0)&lt;5,IF(AND(COUNTIF(N$1237:N1751,1)&gt;7,MOD(1+IFERROR(MATCH($C1149,总览!$D$46:$D$345,1)+1,1),7)=0),$C$3,0),0)</f>
        <v>694.716964285718</v>
      </c>
      <c r="O1149" s="131" cm="1">
        <f ca="1" t="array" ref="O1149">IF(O1751=1,OFFSET($W$634,$B1149,O$631-1)/SUMPRODUCT(--($D$631:$V$631=O$631),--($D1751:$V1751=1)),0)+SUM(O1148)+IF(COUNTIF(O$1237:O1751,1)=1,5,0)+IF(COUNTIF(P1149:$W1149,"&gt;"&amp;0)&lt;5,IF(AND(COUNTIF(O$1237:O1751,1)&gt;7,MOD(1+IFERROR(MATCH($C1149,总览!$D$46:$D$345,1)+1,1),7)=0),$C$3,0),0)</f>
        <v>699.716964285718</v>
      </c>
      <c r="P1149" s="131" cm="1">
        <f ca="1" t="array" ref="P1149">IF(P1751=1,OFFSET($W$634,$B1149,P$631-1)/SUMPRODUCT(--($D$631:$V$631=P$631),--($D1751:$V1751=1)),0)+SUM(P1148)+IF(COUNTIF(P$1237:P1751,1)=1,5,0)+IF(COUNTIF(Q1149:$W1149,"&gt;"&amp;0)&lt;5,IF(AND(COUNTIF(P$1237:P1751,1)&gt;7,MOD(1+IFERROR(MATCH($C1149,总览!$D$46:$D$345,1)+1,1),7)=0),$C$3,0),0)</f>
        <v>688.835714285718</v>
      </c>
      <c r="Q1149" s="131" cm="1">
        <f ca="1" t="array" ref="Q1149">IF(Q1751=1,OFFSET($W$634,$B1149,Q$631-1)/SUMPRODUCT(--($D$631:$V$631=Q$631),--($D1751:$V1751=1)),0)+SUM(Q1148)+IF(COUNTIF(Q$1237:Q1751,1)=1,5,0)+IF(COUNTIF(R1149:$W1149,"&gt;"&amp;0)&lt;5,IF(AND(COUNTIF(Q$1237:Q1751,1)&gt;7,MOD(1+IFERROR(MATCH($C1149,总览!$D$46:$D$345,1)+1,1),7)=0),$C$3,0),0)</f>
        <v>702.216964285718</v>
      </c>
      <c r="R1149" s="131" cm="1">
        <f ca="1" t="array" ref="R1149">IF(R1751=1,OFFSET($W$634,$B1149,R$631-1)/SUMPRODUCT(--($D$631:$V$631=R$631),--($D1751:$V1751=1)),0)+SUM(R1148)+IF(COUNTIF(R$1237:R1751,1)=1,5,0)+IF(COUNTIF(S1149:$W1149,"&gt;"&amp;0)&lt;5,IF(AND(COUNTIF(R$1237:R1751,1)&gt;7,MOD(1+IFERROR(MATCH($C1149,总览!$D$46:$D$345,1)+1,1),7)=0),$C$3,0),0)</f>
        <v>693.835714285718</v>
      </c>
      <c r="S1149" s="131" cm="1">
        <f ca="1" t="array" ref="S1149">IF(S1751=1,OFFSET($W$634,$B1149,S$631-1)/SUMPRODUCT(--($D$631:$V$631=S$631),--($D1751:$V1751=1)),0)+SUM(S1148)+IF(COUNTIF(S$1237:S1751,1)=1,5,0)+IF(COUNTIF(T1149:$W1149,"&gt;"&amp;0)&lt;5,IF(AND(COUNTIF(S$1237:S1751,1)&gt;7,MOD(1+IFERROR(MATCH($C1149,总览!$D$46:$D$345,1)+1,1),7)=0),$C$3,0),0)</f>
        <v>786.335714285719</v>
      </c>
      <c r="T1149" s="131" cm="1">
        <f ca="1" t="array" ref="T1149">IF(T1751=1,OFFSET($W$634,$B1149,T$631-1)/SUMPRODUCT(--($D$631:$V$631=T$631),--($D1751:$V1751=1)),0)+SUM(T1148)+IF(COUNTIF(T$1237:T1751,1)=1,5,0)+IF(COUNTIF(U1149:$W1149,"&gt;"&amp;0)&lt;5,IF(AND(COUNTIF(T$1237:T1751,1)&gt;7,MOD(1+IFERROR(MATCH($C1149,总览!$D$46:$D$345,1)+1,1),7)=0),$C$3,0),0)</f>
        <v>575.877514894618</v>
      </c>
      <c r="U1149" s="131" cm="1">
        <f ca="1" t="array" ref="U1149">IF(U1751=1,OFFSET($W$634,$B1149,U$631-1)/SUMPRODUCT(--($D$631:$V$631=U$631),--($D1751:$V1751=1)),0)+SUM(U1148)+IF(COUNTIF(U$1237:U1751,1)=1,5,0)+IF(COUNTIF(V1149:$W1149,"&gt;"&amp;0)&lt;5,IF(AND(COUNTIF(U$1237:U1751,1)&gt;7,MOD(1+IFERROR(MATCH($C1149,总览!$D$46:$D$345,1)+1,1),7)=0),$C$3,0),0)</f>
        <v>581.398301249917</v>
      </c>
      <c r="V1149" s="131" cm="1">
        <f ca="1" t="array" ref="V1149">IF(V1751=1,OFFSET($W$634,$B1149,V$631-1)/SUMPRODUCT(--($D$631:$V$631=V$631),--($D1751:$V1751=1)),0)+SUM(V1148)+IF(COUNTIF(V$1237:V1751,1)=1,5,0)+IF(COUNTIF(W1149:$W1149,"&gt;"&amp;0)&lt;5,IF(AND(COUNTIF(V$1237:V1751,1)&gt;7,MOD(1+IFERROR(MATCH($C1149,总览!$D$46:$D$345,1)+1,1),7)=0),$C$3,0),0)</f>
        <v>601.22530096235</v>
      </c>
      <c r="W1149" s="135" cm="1">
        <f ca="1" t="array" ref="W1149">SUMPRODUCT(TRANSPOSE($AA1149:$AG1149),OFFSET($L$9:$L$15,0,W$631-1))</f>
        <v>16.8502200646615</v>
      </c>
      <c r="X1149" s="135" cm="1">
        <f ca="1" t="array" ref="X1149">SUMPRODUCT(TRANSPOSE($AA1149:$AG1149),OFFSET($L$9:$L$15,0,X$631-1))</f>
        <v>20</v>
      </c>
      <c r="Y1149" s="135" cm="1">
        <f ca="1" t="array" ref="Y1149">SUMPRODUCT(TRANSPOSE($AA1149:$AG1149),OFFSET($L$9:$L$15,0,Y$631-1))</f>
        <v>10</v>
      </c>
      <c r="Z1149" s="135" cm="1">
        <f ca="1" t="array" ref="Z1149">SUMPRODUCT(TRANSPOSE($AA1149:$AG1149),OFFSET($L$9:$L$15,0,Z$631-1))</f>
        <v>3.14977993533847</v>
      </c>
      <c r="AA1149" s="136">
        <f ca="1" t="shared" ref="AA1149:AG1149" si="1285">AH1149-AH1148</f>
        <v>0</v>
      </c>
      <c r="AB1149" s="136">
        <f ca="1" t="shared" si="1285"/>
        <v>0</v>
      </c>
      <c r="AC1149" s="136">
        <f ca="1" t="shared" si="1285"/>
        <v>0</v>
      </c>
      <c r="AD1149" s="136">
        <f ca="1" t="shared" si="1285"/>
        <v>0</v>
      </c>
      <c r="AE1149" s="136">
        <f ca="1" t="shared" si="1285"/>
        <v>0</v>
      </c>
      <c r="AF1149" s="136">
        <f ca="1" t="shared" si="1285"/>
        <v>0</v>
      </c>
      <c r="AG1149" s="136">
        <f ca="1" t="shared" si="1285"/>
        <v>100</v>
      </c>
      <c r="AH1149" s="136">
        <f ca="1" t="shared" si="1281"/>
        <v>450</v>
      </c>
      <c r="AI1149" s="136">
        <f ca="1" t="shared" ref="AI1149:AN1149" si="1286">IF($C1149&gt;OFFSET($Q$8,MATCH(AI$634,$AH$634:$AN$634,0),0),OFFSET($P$8,MATCH(AI$634,$AH$634:$AN$634,0),0),MAX(0,$C1149-OFFSET($Q$8,RIGHT(AI$634,1)-1,0)))</f>
        <v>909</v>
      </c>
      <c r="AJ1149" s="136">
        <f ca="1" t="shared" si="1286"/>
        <v>1818</v>
      </c>
      <c r="AK1149" s="136">
        <f ca="1" t="shared" si="1286"/>
        <v>2727</v>
      </c>
      <c r="AL1149" s="136">
        <f ca="1" t="shared" si="1286"/>
        <v>3636</v>
      </c>
      <c r="AM1149" s="136">
        <f ca="1" t="shared" si="1286"/>
        <v>4545</v>
      </c>
      <c r="AN1149" s="136">
        <f ca="1" t="shared" si="1286"/>
        <v>37415</v>
      </c>
    </row>
    <row r="1150" s="106" customFormat="1" ht="16.5" spans="2:40">
      <c r="B1150" s="117">
        <v>516</v>
      </c>
      <c r="C1150" s="130">
        <f t="shared" si="1279"/>
        <v>51600</v>
      </c>
      <c r="D1150" s="131" cm="1">
        <f ca="1" t="array" ref="D1150">IF(D1752=1,OFFSET($W$634,$B1150,D$631-1)/SUMPRODUCT(--($D$631:$V$631=D$631),--($D1752:$V1752=1)),0)+SUM(D1149)+IF(COUNTIF(D$1237:D1752,1)=1,5,0)+IF(COUNTIF(E1150:$W1150,"&gt;"&amp;0)&lt;5,IF(AND(COUNTIF(D$1237:D1752,1)&gt;7,MOD(1+IFERROR(MATCH($C1150,总览!$D$46:$D$345,1)+1,1),7)=0),$C$3,0),0)</f>
        <v>3225.94136765263</v>
      </c>
      <c r="E1150" s="131" cm="1">
        <f ca="1" t="array" ref="E1150">IF(E1752=1,OFFSET($W$634,$B1150,E$631-1)/SUMPRODUCT(--($D$631:$V$631=E$631),--($D1752:$V1752=1)),0)+SUM(E1149)+IF(COUNTIF(E$1237:E1752,1)=1,5,0)+IF(COUNTIF(F1150:$W1150,"&gt;"&amp;0)&lt;5,IF(AND(COUNTIF(E$1237:E1752,1)&gt;7,MOD(1+IFERROR(MATCH($C1150,总览!$D$46:$D$345,1)+1,1),7)=0),$C$3,0),0)</f>
        <v>3225.94136765263</v>
      </c>
      <c r="F1150" s="131" cm="1">
        <f ca="1" t="array" ref="F1150">IF(F1752=1,OFFSET($W$634,$B1150,F$631-1)/SUMPRODUCT(--($D$631:$V$631=F$631),--($D1752:$V1752=1)),0)+SUM(F1149)+IF(COUNTIF(F$1237:F1752,1)=1,5,0)+IF(COUNTIF(G1150:$W1150,"&gt;"&amp;0)&lt;5,IF(AND(COUNTIF(F$1237:F1752,1)&gt;7,MOD(1+IFERROR(MATCH($C1150,总览!$D$46:$D$345,1)+1,1),7)=0),$C$3,0),0)</f>
        <v>3225.94136765263</v>
      </c>
      <c r="G1150" s="131" cm="1">
        <f ca="1" t="array" ref="G1150">IF(G1752=1,OFFSET($W$634,$B1150,G$631-1)/SUMPRODUCT(--($D$631:$V$631=G$631),--($D1752:$V1752=1)),0)+SUM(G1149)+IF(COUNTIF(G$1237:G1752,1)=1,5,0)+IF(COUNTIF(H1150:$W1150,"&gt;"&amp;0)&lt;5,IF(AND(COUNTIF(G$1237:G1752,1)&gt;7,MOD(1+IFERROR(MATCH($C1150,总览!$D$46:$D$345,1)+1,1),7)=0),$C$3,0),0)</f>
        <v>1659.39999999999</v>
      </c>
      <c r="H1150" s="131" cm="1">
        <f ca="1" t="array" ref="H1150">IF(H1752=1,OFFSET($W$634,$B1150,H$631-1)/SUMPRODUCT(--($D$631:$V$631=H$631),--($D1752:$V1752=1)),0)+SUM(H1149)+IF(COUNTIF(H$1237:H1752,1)=1,5,0)+IF(COUNTIF(I1150:$W1150,"&gt;"&amp;0)&lt;5,IF(AND(COUNTIF(H$1237:H1752,1)&gt;7,MOD(1+IFERROR(MATCH($C1150,总览!$D$46:$D$345,1)+1,1),7)=0),$C$3,0),0)</f>
        <v>1659.39999999999</v>
      </c>
      <c r="I1150" s="131" cm="1">
        <f ca="1" t="array" ref="I1150">IF(I1752=1,OFFSET($W$634,$B1150,I$631-1)/SUMPRODUCT(--($D$631:$V$631=I$631),--($D1752:$V1752=1)),0)+SUM(I1149)+IF(COUNTIF(I$1237:I1752,1)=1,5,0)+IF(COUNTIF(J1150:$W1150,"&gt;"&amp;0)&lt;5,IF(AND(COUNTIF(I$1237:I1752,1)&gt;7,MOD(1+IFERROR(MATCH($C1150,总览!$D$46:$D$345,1)+1,1),7)=0),$C$3,0),0)</f>
        <v>1659.39999999999</v>
      </c>
      <c r="J1150" s="131" cm="1">
        <f ca="1" t="array" ref="J1150">IF(J1752=1,OFFSET($W$634,$B1150,J$631-1)/SUMPRODUCT(--($D$631:$V$631=J$631),--($D1752:$V1752=1)),0)+SUM(J1149)+IF(COUNTIF(J$1237:J1752,1)=1,5,0)+IF(COUNTIF(K1150:$W1150,"&gt;"&amp;0)&lt;5,IF(AND(COUNTIF(J$1237:J1752,1)&gt;7,MOD(1+IFERROR(MATCH($C1150,总览!$D$46:$D$345,1)+1,1),7)=0),$C$3,0),0)</f>
        <v>1656.06666666666</v>
      </c>
      <c r="K1150" s="131" cm="1">
        <f ca="1" t="array" ref="K1150">IF(K1752=1,OFFSET($W$634,$B1150,K$631-1)/SUMPRODUCT(--($D$631:$V$631=K$631),--($D1752:$V1752=1)),0)+SUM(K1149)+IF(COUNTIF(K$1237:K1752,1)=1,5,0)+IF(COUNTIF(L1150:$W1150,"&gt;"&amp;0)&lt;5,IF(AND(COUNTIF(K$1237:K1752,1)&gt;7,MOD(1+IFERROR(MATCH($C1150,总览!$D$46:$D$345,1)+1,1),7)=0),$C$3,0),0)</f>
        <v>1653.56666666666</v>
      </c>
      <c r="L1150" s="131" cm="1">
        <f ca="1" t="array" ref="L1150">IF(L1752=1,OFFSET($W$634,$B1150,L$631-1)/SUMPRODUCT(--($D$631:$V$631=L$631),--($D1752:$V1752=1)),0)+SUM(L1149)+IF(COUNTIF(L$1237:L1752,1)=1,5,0)+IF(COUNTIF(M1150:$W1150,"&gt;"&amp;0)&lt;5,IF(AND(COUNTIF(L$1237:L1752,1)&gt;7,MOD(1+IFERROR(MATCH($C1150,总览!$D$46:$D$345,1)+1,1),7)=0),$C$3,0),0)</f>
        <v>1653.56666666666</v>
      </c>
      <c r="M1150" s="131" cm="1">
        <f ca="1" t="array" ref="M1150">IF(M1752=1,OFFSET($W$634,$B1150,M$631-1)/SUMPRODUCT(--($D$631:$V$631=M$631),--($D1752:$V1752=1)),0)+SUM(M1149)+IF(COUNTIF(M$1237:M1752,1)=1,5,0)+IF(COUNTIF(N1150:$W1150,"&gt;"&amp;0)&lt;5,IF(AND(COUNTIF(M$1237:M1752,1)&gt;7,MOD(1+IFERROR(MATCH($C1150,总览!$D$46:$D$345,1)+1,1),7)=0),$C$3,0),0)</f>
        <v>694.89553571429</v>
      </c>
      <c r="N1150" s="131" cm="1">
        <f ca="1" t="array" ref="N1150">IF(N1752=1,OFFSET($W$634,$B1150,N$631-1)/SUMPRODUCT(--($D$631:$V$631=N$631),--($D1752:$V1752=1)),0)+SUM(N1149)+IF(COUNTIF(N$1237:N1752,1)=1,5,0)+IF(COUNTIF(O1150:$W1150,"&gt;"&amp;0)&lt;5,IF(AND(COUNTIF(N$1237:N1752,1)&gt;7,MOD(1+IFERROR(MATCH($C1150,总览!$D$46:$D$345,1)+1,1),7)=0),$C$3,0),0)</f>
        <v>696.14553571429</v>
      </c>
      <c r="O1150" s="131" cm="1">
        <f ca="1" t="array" ref="O1150">IF(O1752=1,OFFSET($W$634,$B1150,O$631-1)/SUMPRODUCT(--($D$631:$V$631=O$631),--($D1752:$V1752=1)),0)+SUM(O1149)+IF(COUNTIF(O$1237:O1752,1)=1,5,0)+IF(COUNTIF(P1150:$W1150,"&gt;"&amp;0)&lt;5,IF(AND(COUNTIF(O$1237:O1752,1)&gt;7,MOD(1+IFERROR(MATCH($C1150,总览!$D$46:$D$345,1)+1,1),7)=0),$C$3,0),0)</f>
        <v>701.14553571429</v>
      </c>
      <c r="P1150" s="131" cm="1">
        <f ca="1" t="array" ref="P1150">IF(P1752=1,OFFSET($W$634,$B1150,P$631-1)/SUMPRODUCT(--($D$631:$V$631=P$631),--($D1752:$V1752=1)),0)+SUM(P1149)+IF(COUNTIF(P$1237:P1752,1)=1,5,0)+IF(COUNTIF(Q1150:$W1150,"&gt;"&amp;0)&lt;5,IF(AND(COUNTIF(P$1237:P1752,1)&gt;7,MOD(1+IFERROR(MATCH($C1150,总览!$D$46:$D$345,1)+1,1),7)=0),$C$3,0),0)</f>
        <v>690.264285714289</v>
      </c>
      <c r="Q1150" s="131" cm="1">
        <f ca="1" t="array" ref="Q1150">IF(Q1752=1,OFFSET($W$634,$B1150,Q$631-1)/SUMPRODUCT(--($D$631:$V$631=Q$631),--($D1752:$V1752=1)),0)+SUM(Q1149)+IF(COUNTIF(Q$1237:Q1752,1)=1,5,0)+IF(COUNTIF(R1150:$W1150,"&gt;"&amp;0)&lt;5,IF(AND(COUNTIF(Q$1237:Q1752,1)&gt;7,MOD(1+IFERROR(MATCH($C1150,总览!$D$46:$D$345,1)+1,1),7)=0),$C$3,0),0)</f>
        <v>703.64553571429</v>
      </c>
      <c r="R1150" s="131" cm="1">
        <f ca="1" t="array" ref="R1150">IF(R1752=1,OFFSET($W$634,$B1150,R$631-1)/SUMPRODUCT(--($D$631:$V$631=R$631),--($D1752:$V1752=1)),0)+SUM(R1149)+IF(COUNTIF(R$1237:R1752,1)=1,5,0)+IF(COUNTIF(S1150:$W1150,"&gt;"&amp;0)&lt;5,IF(AND(COUNTIF(R$1237:R1752,1)&gt;7,MOD(1+IFERROR(MATCH($C1150,总览!$D$46:$D$345,1)+1,1),7)=0),$C$3,0),0)</f>
        <v>695.264285714289</v>
      </c>
      <c r="S1150" s="131" cm="1">
        <f ca="1" t="array" ref="S1150">IF(S1752=1,OFFSET($W$634,$B1150,S$631-1)/SUMPRODUCT(--($D$631:$V$631=S$631),--($D1752:$V1752=1)),0)+SUM(S1149)+IF(COUNTIF(S$1237:S1752,1)=1,5,0)+IF(COUNTIF(T1150:$W1150,"&gt;"&amp;0)&lt;5,IF(AND(COUNTIF(S$1237:S1752,1)&gt;7,MOD(1+IFERROR(MATCH($C1150,总览!$D$46:$D$345,1)+1,1),7)=0),$C$3,0),0)</f>
        <v>787.764285714291</v>
      </c>
      <c r="T1150" s="131" cm="1">
        <f ca="1" t="array" ref="T1150">IF(T1752=1,OFFSET($W$634,$B1150,T$631-1)/SUMPRODUCT(--($D$631:$V$631=T$631),--($D1752:$V1752=1)),0)+SUM(T1149)+IF(COUNTIF(T$1237:T1752,1)=1,5,0)+IF(COUNTIF(U1150:$W1150,"&gt;"&amp;0)&lt;5,IF(AND(COUNTIF(T$1237:T1752,1)&gt;7,MOD(1+IFERROR(MATCH($C1150,总览!$D$46:$D$345,1)+1,1),7)=0),$C$3,0),0)</f>
        <v>576.92744153973</v>
      </c>
      <c r="U1150" s="131" cm="1">
        <f ca="1" t="array" ref="U1150">IF(U1752=1,OFFSET($W$634,$B1150,U$631-1)/SUMPRODUCT(--($D$631:$V$631=U$631),--($D1752:$V1752=1)),0)+SUM(U1149)+IF(COUNTIF(U$1237:U1752,1)=1,5,0)+IF(COUNTIF(V1150:$W1150,"&gt;"&amp;0)&lt;5,IF(AND(COUNTIF(U$1237:U1752,1)&gt;7,MOD(1+IFERROR(MATCH($C1150,总览!$D$46:$D$345,1)+1,1),7)=0),$C$3,0),0)</f>
        <v>582.44822789503</v>
      </c>
      <c r="V1150" s="131" cm="1">
        <f ca="1" t="array" ref="V1150">IF(V1752=1,OFFSET($W$634,$B1150,V$631-1)/SUMPRODUCT(--($D$631:$V$631=V$631),--($D1752:$V1752=1)),0)+SUM(V1149)+IF(COUNTIF(V$1237:V1752,1)=1,5,0)+IF(COUNTIF(W1150:$W1150,"&gt;"&amp;0)&lt;5,IF(AND(COUNTIF(V$1237:V1752,1)&gt;7,MOD(1+IFERROR(MATCH($C1150,总览!$D$46:$D$345,1)+1,1),7)=0),$C$3,0),0)</f>
        <v>602.275227607463</v>
      </c>
      <c r="W1150" s="135" cm="1">
        <f ca="1" t="array" ref="W1150">SUMPRODUCT(TRANSPOSE($AA1150:$AG1150),OFFSET($L$9:$L$15,0,W$631-1))</f>
        <v>16.8502200646615</v>
      </c>
      <c r="X1150" s="135" cm="1">
        <f ca="1" t="array" ref="X1150">SUMPRODUCT(TRANSPOSE($AA1150:$AG1150),OFFSET($L$9:$L$15,0,X$631-1))</f>
        <v>20</v>
      </c>
      <c r="Y1150" s="135" cm="1">
        <f ca="1" t="array" ref="Y1150">SUMPRODUCT(TRANSPOSE($AA1150:$AG1150),OFFSET($L$9:$L$15,0,Y$631-1))</f>
        <v>10</v>
      </c>
      <c r="Z1150" s="135" cm="1">
        <f ca="1" t="array" ref="Z1150">SUMPRODUCT(TRANSPOSE($AA1150:$AG1150),OFFSET($L$9:$L$15,0,Z$631-1))</f>
        <v>3.14977993533847</v>
      </c>
      <c r="AA1150" s="136">
        <f ca="1" t="shared" ref="AA1150:AG1150" si="1287">AH1150-AH1149</f>
        <v>0</v>
      </c>
      <c r="AB1150" s="136">
        <f ca="1" t="shared" si="1287"/>
        <v>0</v>
      </c>
      <c r="AC1150" s="136">
        <f ca="1" t="shared" si="1287"/>
        <v>0</v>
      </c>
      <c r="AD1150" s="136">
        <f ca="1" t="shared" si="1287"/>
        <v>0</v>
      </c>
      <c r="AE1150" s="136">
        <f ca="1" t="shared" si="1287"/>
        <v>0</v>
      </c>
      <c r="AF1150" s="136">
        <f ca="1" t="shared" si="1287"/>
        <v>0</v>
      </c>
      <c r="AG1150" s="136">
        <f ca="1" t="shared" si="1287"/>
        <v>100</v>
      </c>
      <c r="AH1150" s="136">
        <f ca="1" t="shared" si="1281"/>
        <v>450</v>
      </c>
      <c r="AI1150" s="136">
        <f ca="1" t="shared" ref="AI1150:AN1150" si="1288">IF($C1150&gt;OFFSET($Q$8,MATCH(AI$634,$AH$634:$AN$634,0),0),OFFSET($P$8,MATCH(AI$634,$AH$634:$AN$634,0),0),MAX(0,$C1150-OFFSET($Q$8,RIGHT(AI$634,1)-1,0)))</f>
        <v>909</v>
      </c>
      <c r="AJ1150" s="136">
        <f ca="1" t="shared" si="1288"/>
        <v>1818</v>
      </c>
      <c r="AK1150" s="136">
        <f ca="1" t="shared" si="1288"/>
        <v>2727</v>
      </c>
      <c r="AL1150" s="136">
        <f ca="1" t="shared" si="1288"/>
        <v>3636</v>
      </c>
      <c r="AM1150" s="136">
        <f ca="1" t="shared" si="1288"/>
        <v>4545</v>
      </c>
      <c r="AN1150" s="136">
        <f ca="1" t="shared" si="1288"/>
        <v>37515</v>
      </c>
    </row>
    <row r="1151" s="106" customFormat="1" ht="16.5" spans="2:40">
      <c r="B1151" s="117">
        <v>517</v>
      </c>
      <c r="C1151" s="130">
        <f t="shared" si="1279"/>
        <v>51700</v>
      </c>
      <c r="D1151" s="131" cm="1">
        <f ca="1" t="array" ref="D1151">IF(D1753=1,OFFSET($W$634,$B1151,D$631-1)/SUMPRODUCT(--($D$631:$V$631=D$631),--($D1753:$V1753=1)),0)+SUM(D1150)+IF(COUNTIF(D$1237:D1753,1)=1,5,0)+IF(COUNTIF(E1151:$W1151,"&gt;"&amp;0)&lt;5,IF(AND(COUNTIF(D$1237:D1753,1)&gt;7,MOD(1+IFERROR(MATCH($C1151,总览!$D$46:$D$345,1)+1,1),7)=0),$C$3,0),0)</f>
        <v>3231.55810767418</v>
      </c>
      <c r="E1151" s="131" cm="1">
        <f ca="1" t="array" ref="E1151">IF(E1753=1,OFFSET($W$634,$B1151,E$631-1)/SUMPRODUCT(--($D$631:$V$631=E$631),--($D1753:$V1753=1)),0)+SUM(E1150)+IF(COUNTIF(E$1237:E1753,1)=1,5,0)+IF(COUNTIF(F1151:$W1151,"&gt;"&amp;0)&lt;5,IF(AND(COUNTIF(E$1237:E1753,1)&gt;7,MOD(1+IFERROR(MATCH($C1151,总览!$D$46:$D$345,1)+1,1),7)=0),$C$3,0),0)</f>
        <v>3231.55810767418</v>
      </c>
      <c r="F1151" s="131" cm="1">
        <f ca="1" t="array" ref="F1151">IF(F1753=1,OFFSET($W$634,$B1151,F$631-1)/SUMPRODUCT(--($D$631:$V$631=F$631),--($D1753:$V1753=1)),0)+SUM(F1150)+IF(COUNTIF(F$1237:F1753,1)=1,5,0)+IF(COUNTIF(G1151:$W1151,"&gt;"&amp;0)&lt;5,IF(AND(COUNTIF(F$1237:F1753,1)&gt;7,MOD(1+IFERROR(MATCH($C1151,总览!$D$46:$D$345,1)+1,1),7)=0),$C$3,0),0)</f>
        <v>3231.55810767418</v>
      </c>
      <c r="G1151" s="131" cm="1">
        <f ca="1" t="array" ref="G1151">IF(G1753=1,OFFSET($W$634,$B1151,G$631-1)/SUMPRODUCT(--($D$631:$V$631=G$631),--($D1753:$V1753=1)),0)+SUM(G1150)+IF(COUNTIF(G$1237:G1753,1)=1,5,0)+IF(COUNTIF(H1151:$W1151,"&gt;"&amp;0)&lt;5,IF(AND(COUNTIF(G$1237:G1753,1)&gt;7,MOD(1+IFERROR(MATCH($C1151,总览!$D$46:$D$345,1)+1,1),7)=0),$C$3,0),0)</f>
        <v>1662.73333333332</v>
      </c>
      <c r="H1151" s="131" cm="1">
        <f ca="1" t="array" ref="H1151">IF(H1753=1,OFFSET($W$634,$B1151,H$631-1)/SUMPRODUCT(--($D$631:$V$631=H$631),--($D1753:$V1753=1)),0)+SUM(H1150)+IF(COUNTIF(H$1237:H1753,1)=1,5,0)+IF(COUNTIF(I1151:$W1151,"&gt;"&amp;0)&lt;5,IF(AND(COUNTIF(H$1237:H1753,1)&gt;7,MOD(1+IFERROR(MATCH($C1151,总览!$D$46:$D$345,1)+1,1),7)=0),$C$3,0),0)</f>
        <v>1662.73333333332</v>
      </c>
      <c r="I1151" s="131" cm="1">
        <f ca="1" t="array" ref="I1151">IF(I1753=1,OFFSET($W$634,$B1151,I$631-1)/SUMPRODUCT(--($D$631:$V$631=I$631),--($D1753:$V1753=1)),0)+SUM(I1150)+IF(COUNTIF(I$1237:I1753,1)=1,5,0)+IF(COUNTIF(J1151:$W1151,"&gt;"&amp;0)&lt;5,IF(AND(COUNTIF(I$1237:I1753,1)&gt;7,MOD(1+IFERROR(MATCH($C1151,总览!$D$46:$D$345,1)+1,1),7)=0),$C$3,0),0)</f>
        <v>1662.73333333332</v>
      </c>
      <c r="J1151" s="131" cm="1">
        <f ca="1" t="array" ref="J1151">IF(J1753=1,OFFSET($W$634,$B1151,J$631-1)/SUMPRODUCT(--($D$631:$V$631=J$631),--($D1753:$V1753=1)),0)+SUM(J1150)+IF(COUNTIF(J$1237:J1753,1)=1,5,0)+IF(COUNTIF(K1151:$W1151,"&gt;"&amp;0)&lt;5,IF(AND(COUNTIF(J$1237:J1753,1)&gt;7,MOD(1+IFERROR(MATCH($C1151,总览!$D$46:$D$345,1)+1,1),7)=0),$C$3,0),0)</f>
        <v>1659.39999999999</v>
      </c>
      <c r="K1151" s="131" cm="1">
        <f ca="1" t="array" ref="K1151">IF(K1753=1,OFFSET($W$634,$B1151,K$631-1)/SUMPRODUCT(--($D$631:$V$631=K$631),--($D1753:$V1753=1)),0)+SUM(K1150)+IF(COUNTIF(K$1237:K1753,1)=1,5,0)+IF(COUNTIF(L1151:$W1151,"&gt;"&amp;0)&lt;5,IF(AND(COUNTIF(K$1237:K1753,1)&gt;7,MOD(1+IFERROR(MATCH($C1151,总览!$D$46:$D$345,1)+1,1),7)=0),$C$3,0),0)</f>
        <v>1656.89999999999</v>
      </c>
      <c r="L1151" s="131" cm="1">
        <f ca="1" t="array" ref="L1151">IF(L1753=1,OFFSET($W$634,$B1151,L$631-1)/SUMPRODUCT(--($D$631:$V$631=L$631),--($D1753:$V1753=1)),0)+SUM(L1150)+IF(COUNTIF(L$1237:L1753,1)=1,5,0)+IF(COUNTIF(M1151:$W1151,"&gt;"&amp;0)&lt;5,IF(AND(COUNTIF(L$1237:L1753,1)&gt;7,MOD(1+IFERROR(MATCH($C1151,总览!$D$46:$D$345,1)+1,1),7)=0),$C$3,0),0)</f>
        <v>1656.89999999999</v>
      </c>
      <c r="M1151" s="131" cm="1">
        <f ca="1" t="array" ref="M1151">IF(M1753=1,OFFSET($W$634,$B1151,M$631-1)/SUMPRODUCT(--($D$631:$V$631=M$631),--($D1753:$V1753=1)),0)+SUM(M1150)+IF(COUNTIF(M$1237:M1753,1)=1,5,0)+IF(COUNTIF(N1151:$W1151,"&gt;"&amp;0)&lt;5,IF(AND(COUNTIF(M$1237:M1753,1)&gt;7,MOD(1+IFERROR(MATCH($C1151,总览!$D$46:$D$345,1)+1,1),7)=0),$C$3,0),0)</f>
        <v>696.324107142861</v>
      </c>
      <c r="N1151" s="131" cm="1">
        <f ca="1" t="array" ref="N1151">IF(N1753=1,OFFSET($W$634,$B1151,N$631-1)/SUMPRODUCT(--($D$631:$V$631=N$631),--($D1753:$V1753=1)),0)+SUM(N1150)+IF(COUNTIF(N$1237:N1753,1)=1,5,0)+IF(COUNTIF(O1151:$W1151,"&gt;"&amp;0)&lt;5,IF(AND(COUNTIF(N$1237:N1753,1)&gt;7,MOD(1+IFERROR(MATCH($C1151,总览!$D$46:$D$345,1)+1,1),7)=0),$C$3,0),0)</f>
        <v>697.574107142861</v>
      </c>
      <c r="O1151" s="131" cm="1">
        <f ca="1" t="array" ref="O1151">IF(O1753=1,OFFSET($W$634,$B1151,O$631-1)/SUMPRODUCT(--($D$631:$V$631=O$631),--($D1753:$V1753=1)),0)+SUM(O1150)+IF(COUNTIF(O$1237:O1753,1)=1,5,0)+IF(COUNTIF(P1151:$W1151,"&gt;"&amp;0)&lt;5,IF(AND(COUNTIF(O$1237:O1753,1)&gt;7,MOD(1+IFERROR(MATCH($C1151,总览!$D$46:$D$345,1)+1,1),7)=0),$C$3,0),0)</f>
        <v>702.574107142861</v>
      </c>
      <c r="P1151" s="131" cm="1">
        <f ca="1" t="array" ref="P1151">IF(P1753=1,OFFSET($W$634,$B1151,P$631-1)/SUMPRODUCT(--($D$631:$V$631=P$631),--($D1753:$V1753=1)),0)+SUM(P1150)+IF(COUNTIF(P$1237:P1753,1)=1,5,0)+IF(COUNTIF(Q1151:$W1151,"&gt;"&amp;0)&lt;5,IF(AND(COUNTIF(P$1237:P1753,1)&gt;7,MOD(1+IFERROR(MATCH($C1151,总览!$D$46:$D$345,1)+1,1),7)=0),$C$3,0),0)</f>
        <v>691.692857142861</v>
      </c>
      <c r="Q1151" s="131" cm="1">
        <f ca="1" t="array" ref="Q1151">IF(Q1753=1,OFFSET($W$634,$B1151,Q$631-1)/SUMPRODUCT(--($D$631:$V$631=Q$631),--($D1753:$V1753=1)),0)+SUM(Q1150)+IF(COUNTIF(Q$1237:Q1753,1)=1,5,0)+IF(COUNTIF(R1151:$W1151,"&gt;"&amp;0)&lt;5,IF(AND(COUNTIF(Q$1237:Q1753,1)&gt;7,MOD(1+IFERROR(MATCH($C1151,总览!$D$46:$D$345,1)+1,1),7)=0),$C$3,0),0)</f>
        <v>705.074107142861</v>
      </c>
      <c r="R1151" s="131" cm="1">
        <f ca="1" t="array" ref="R1151">IF(R1753=1,OFFSET($W$634,$B1151,R$631-1)/SUMPRODUCT(--($D$631:$V$631=R$631),--($D1753:$V1753=1)),0)+SUM(R1150)+IF(COUNTIF(R$1237:R1753,1)=1,5,0)+IF(COUNTIF(S1151:$W1151,"&gt;"&amp;0)&lt;5,IF(AND(COUNTIF(R$1237:R1753,1)&gt;7,MOD(1+IFERROR(MATCH($C1151,总览!$D$46:$D$345,1)+1,1),7)=0),$C$3,0),0)</f>
        <v>696.692857142861</v>
      </c>
      <c r="S1151" s="131" cm="1">
        <f ca="1" t="array" ref="S1151">IF(S1753=1,OFFSET($W$634,$B1151,S$631-1)/SUMPRODUCT(--($D$631:$V$631=S$631),--($D1753:$V1753=1)),0)+SUM(S1150)+IF(COUNTIF(S$1237:S1753,1)=1,5,0)+IF(COUNTIF(T1151:$W1151,"&gt;"&amp;0)&lt;5,IF(AND(COUNTIF(S$1237:S1753,1)&gt;7,MOD(1+IFERROR(MATCH($C1151,总览!$D$46:$D$345,1)+1,1),7)=0),$C$3,0),0)</f>
        <v>789.192857142862</v>
      </c>
      <c r="T1151" s="131" cm="1">
        <f ca="1" t="array" ref="T1151">IF(T1753=1,OFFSET($W$634,$B1151,T$631-1)/SUMPRODUCT(--($D$631:$V$631=T$631),--($D1753:$V1753=1)),0)+SUM(T1150)+IF(COUNTIF(T$1237:T1753,1)=1,5,0)+IF(COUNTIF(U1151:$W1151,"&gt;"&amp;0)&lt;5,IF(AND(COUNTIF(T$1237:T1753,1)&gt;7,MOD(1+IFERROR(MATCH($C1151,总览!$D$46:$D$345,1)+1,1),7)=0),$C$3,0),0)</f>
        <v>577.977368184843</v>
      </c>
      <c r="U1151" s="131" cm="1">
        <f ca="1" t="array" ref="U1151">IF(U1753=1,OFFSET($W$634,$B1151,U$631-1)/SUMPRODUCT(--($D$631:$V$631=U$631),--($D1753:$V1753=1)),0)+SUM(U1150)+IF(COUNTIF(U$1237:U1753,1)=1,5,0)+IF(COUNTIF(V1151:$W1151,"&gt;"&amp;0)&lt;5,IF(AND(COUNTIF(U$1237:U1753,1)&gt;7,MOD(1+IFERROR(MATCH($C1151,总览!$D$46:$D$345,1)+1,1),7)=0),$C$3,0),0)</f>
        <v>583.498154540143</v>
      </c>
      <c r="V1151" s="131" cm="1">
        <f ca="1" t="array" ref="V1151">IF(V1753=1,OFFSET($W$634,$B1151,V$631-1)/SUMPRODUCT(--($D$631:$V$631=V$631),--($D1753:$V1753=1)),0)+SUM(V1150)+IF(COUNTIF(V$1237:V1753,1)=1,5,0)+IF(COUNTIF(W1151:$W1151,"&gt;"&amp;0)&lt;5,IF(AND(COUNTIF(V$1237:V1753,1)&gt;7,MOD(1+IFERROR(MATCH($C1151,总览!$D$46:$D$345,1)+1,1),7)=0),$C$3,0),0)</f>
        <v>603.325154252576</v>
      </c>
      <c r="W1151" s="135" cm="1">
        <f ca="1" t="array" ref="W1151">SUMPRODUCT(TRANSPOSE($AA1151:$AG1151),OFFSET($L$9:$L$15,0,W$631-1))</f>
        <v>16.8502200646615</v>
      </c>
      <c r="X1151" s="135" cm="1">
        <f ca="1" t="array" ref="X1151">SUMPRODUCT(TRANSPOSE($AA1151:$AG1151),OFFSET($L$9:$L$15,0,X$631-1))</f>
        <v>20</v>
      </c>
      <c r="Y1151" s="135" cm="1">
        <f ca="1" t="array" ref="Y1151">SUMPRODUCT(TRANSPOSE($AA1151:$AG1151),OFFSET($L$9:$L$15,0,Y$631-1))</f>
        <v>10</v>
      </c>
      <c r="Z1151" s="135" cm="1">
        <f ca="1" t="array" ref="Z1151">SUMPRODUCT(TRANSPOSE($AA1151:$AG1151),OFFSET($L$9:$L$15,0,Z$631-1))</f>
        <v>3.14977993533847</v>
      </c>
      <c r="AA1151" s="136">
        <f ca="1" t="shared" ref="AA1151:AG1151" si="1289">AH1151-AH1150</f>
        <v>0</v>
      </c>
      <c r="AB1151" s="136">
        <f ca="1" t="shared" si="1289"/>
        <v>0</v>
      </c>
      <c r="AC1151" s="136">
        <f ca="1" t="shared" si="1289"/>
        <v>0</v>
      </c>
      <c r="AD1151" s="136">
        <f ca="1" t="shared" si="1289"/>
        <v>0</v>
      </c>
      <c r="AE1151" s="136">
        <f ca="1" t="shared" si="1289"/>
        <v>0</v>
      </c>
      <c r="AF1151" s="136">
        <f ca="1" t="shared" si="1289"/>
        <v>0</v>
      </c>
      <c r="AG1151" s="136">
        <f ca="1" t="shared" si="1289"/>
        <v>100</v>
      </c>
      <c r="AH1151" s="136">
        <f ca="1" t="shared" si="1281"/>
        <v>450</v>
      </c>
      <c r="AI1151" s="136">
        <f ca="1" t="shared" ref="AI1151:AN1151" si="1290">IF($C1151&gt;OFFSET($Q$8,MATCH(AI$634,$AH$634:$AN$634,0),0),OFFSET($P$8,MATCH(AI$634,$AH$634:$AN$634,0),0),MAX(0,$C1151-OFFSET($Q$8,RIGHT(AI$634,1)-1,0)))</f>
        <v>909</v>
      </c>
      <c r="AJ1151" s="136">
        <f ca="1" t="shared" si="1290"/>
        <v>1818</v>
      </c>
      <c r="AK1151" s="136">
        <f ca="1" t="shared" si="1290"/>
        <v>2727</v>
      </c>
      <c r="AL1151" s="136">
        <f ca="1" t="shared" si="1290"/>
        <v>3636</v>
      </c>
      <c r="AM1151" s="136">
        <f ca="1" t="shared" si="1290"/>
        <v>4545</v>
      </c>
      <c r="AN1151" s="136">
        <f ca="1" t="shared" si="1290"/>
        <v>37615</v>
      </c>
    </row>
    <row r="1152" s="106" customFormat="1" ht="16.5" spans="2:40">
      <c r="B1152" s="117">
        <v>518</v>
      </c>
      <c r="C1152" s="130">
        <f t="shared" si="1279"/>
        <v>51800</v>
      </c>
      <c r="D1152" s="131" cm="1">
        <f ca="1" t="array" ref="D1152">IF(D1754=1,OFFSET($W$634,$B1152,D$631-1)/SUMPRODUCT(--($D$631:$V$631=D$631),--($D1754:$V1754=1)),0)+SUM(D1151)+IF(COUNTIF(D$1237:D1754,1)=1,5,0)+IF(COUNTIF(E1152:$W1152,"&gt;"&amp;0)&lt;5,IF(AND(COUNTIF(D$1237:D1754,1)&gt;7,MOD(1+IFERROR(MATCH($C1152,总览!$D$46:$D$345,1)+1,1),7)=0),$C$3,0),0)</f>
        <v>3237.17484769574</v>
      </c>
      <c r="E1152" s="131" cm="1">
        <f ca="1" t="array" ref="E1152">IF(E1754=1,OFFSET($W$634,$B1152,E$631-1)/SUMPRODUCT(--($D$631:$V$631=E$631),--($D1754:$V1754=1)),0)+SUM(E1151)+IF(COUNTIF(E$1237:E1754,1)=1,5,0)+IF(COUNTIF(F1152:$W1152,"&gt;"&amp;0)&lt;5,IF(AND(COUNTIF(E$1237:E1754,1)&gt;7,MOD(1+IFERROR(MATCH($C1152,总览!$D$46:$D$345,1)+1,1),7)=0),$C$3,0),0)</f>
        <v>3237.17484769574</v>
      </c>
      <c r="F1152" s="131" cm="1">
        <f ca="1" t="array" ref="F1152">IF(F1754=1,OFFSET($W$634,$B1152,F$631-1)/SUMPRODUCT(--($D$631:$V$631=F$631),--($D1754:$V1754=1)),0)+SUM(F1151)+IF(COUNTIF(F$1237:F1754,1)=1,5,0)+IF(COUNTIF(G1152:$W1152,"&gt;"&amp;0)&lt;5,IF(AND(COUNTIF(F$1237:F1754,1)&gt;7,MOD(1+IFERROR(MATCH($C1152,总览!$D$46:$D$345,1)+1,1),7)=0),$C$3,0),0)</f>
        <v>3237.17484769574</v>
      </c>
      <c r="G1152" s="131" cm="1">
        <f ca="1" t="array" ref="G1152">IF(G1754=1,OFFSET($W$634,$B1152,G$631-1)/SUMPRODUCT(--($D$631:$V$631=G$631),--($D1754:$V1754=1)),0)+SUM(G1151)+IF(COUNTIF(G$1237:G1754,1)=1,5,0)+IF(COUNTIF(H1152:$W1152,"&gt;"&amp;0)&lt;5,IF(AND(COUNTIF(G$1237:G1754,1)&gt;7,MOD(1+IFERROR(MATCH($C1152,总览!$D$46:$D$345,1)+1,1),7)=0),$C$3,0),0)</f>
        <v>1666.06666666666</v>
      </c>
      <c r="H1152" s="131" cm="1">
        <f ca="1" t="array" ref="H1152">IF(H1754=1,OFFSET($W$634,$B1152,H$631-1)/SUMPRODUCT(--($D$631:$V$631=H$631),--($D1754:$V1754=1)),0)+SUM(H1151)+IF(COUNTIF(H$1237:H1754,1)=1,5,0)+IF(COUNTIF(I1152:$W1152,"&gt;"&amp;0)&lt;5,IF(AND(COUNTIF(H$1237:H1754,1)&gt;7,MOD(1+IFERROR(MATCH($C1152,总览!$D$46:$D$345,1)+1,1),7)=0),$C$3,0),0)</f>
        <v>1666.06666666666</v>
      </c>
      <c r="I1152" s="131" cm="1">
        <f ca="1" t="array" ref="I1152">IF(I1754=1,OFFSET($W$634,$B1152,I$631-1)/SUMPRODUCT(--($D$631:$V$631=I$631),--($D1754:$V1754=1)),0)+SUM(I1151)+IF(COUNTIF(I$1237:I1754,1)=1,5,0)+IF(COUNTIF(J1152:$W1152,"&gt;"&amp;0)&lt;5,IF(AND(COUNTIF(I$1237:I1754,1)&gt;7,MOD(1+IFERROR(MATCH($C1152,总览!$D$46:$D$345,1)+1,1),7)=0),$C$3,0),0)</f>
        <v>1666.06666666666</v>
      </c>
      <c r="J1152" s="131" cm="1">
        <f ca="1" t="array" ref="J1152">IF(J1754=1,OFFSET($W$634,$B1152,J$631-1)/SUMPRODUCT(--($D$631:$V$631=J$631),--($D1754:$V1754=1)),0)+SUM(J1151)+IF(COUNTIF(J$1237:J1754,1)=1,5,0)+IF(COUNTIF(K1152:$W1152,"&gt;"&amp;0)&lt;5,IF(AND(COUNTIF(J$1237:J1754,1)&gt;7,MOD(1+IFERROR(MATCH($C1152,总览!$D$46:$D$345,1)+1,1),7)=0),$C$3,0),0)</f>
        <v>1662.73333333332</v>
      </c>
      <c r="K1152" s="131" cm="1">
        <f ca="1" t="array" ref="K1152">IF(K1754=1,OFFSET($W$634,$B1152,K$631-1)/SUMPRODUCT(--($D$631:$V$631=K$631),--($D1754:$V1754=1)),0)+SUM(K1151)+IF(COUNTIF(K$1237:K1754,1)=1,5,0)+IF(COUNTIF(L1152:$W1152,"&gt;"&amp;0)&lt;5,IF(AND(COUNTIF(K$1237:K1754,1)&gt;7,MOD(1+IFERROR(MATCH($C1152,总览!$D$46:$D$345,1)+1,1),7)=0),$C$3,0),0)</f>
        <v>1660.23333333332</v>
      </c>
      <c r="L1152" s="131" cm="1">
        <f ca="1" t="array" ref="L1152">IF(L1754=1,OFFSET($W$634,$B1152,L$631-1)/SUMPRODUCT(--($D$631:$V$631=L$631),--($D1754:$V1754=1)),0)+SUM(L1151)+IF(COUNTIF(L$1237:L1754,1)=1,5,0)+IF(COUNTIF(M1152:$W1152,"&gt;"&amp;0)&lt;5,IF(AND(COUNTIF(L$1237:L1754,1)&gt;7,MOD(1+IFERROR(MATCH($C1152,总览!$D$46:$D$345,1)+1,1),7)=0),$C$3,0),0)</f>
        <v>1660.23333333332</v>
      </c>
      <c r="M1152" s="131" cm="1">
        <f ca="1" t="array" ref="M1152">IF(M1754=1,OFFSET($W$634,$B1152,M$631-1)/SUMPRODUCT(--($D$631:$V$631=M$631),--($D1754:$V1754=1)),0)+SUM(M1151)+IF(COUNTIF(M$1237:M1754,1)=1,5,0)+IF(COUNTIF(N1152:$W1152,"&gt;"&amp;0)&lt;5,IF(AND(COUNTIF(M$1237:M1754,1)&gt;7,MOD(1+IFERROR(MATCH($C1152,总览!$D$46:$D$345,1)+1,1),7)=0),$C$3,0),0)</f>
        <v>697.752678571432</v>
      </c>
      <c r="N1152" s="131" cm="1">
        <f ca="1" t="array" ref="N1152">IF(N1754=1,OFFSET($W$634,$B1152,N$631-1)/SUMPRODUCT(--($D$631:$V$631=N$631),--($D1754:$V1754=1)),0)+SUM(N1151)+IF(COUNTIF(N$1237:N1754,1)=1,5,0)+IF(COUNTIF(O1152:$W1152,"&gt;"&amp;0)&lt;5,IF(AND(COUNTIF(N$1237:N1754,1)&gt;7,MOD(1+IFERROR(MATCH($C1152,总览!$D$46:$D$345,1)+1,1),7)=0),$C$3,0),0)</f>
        <v>699.002678571432</v>
      </c>
      <c r="O1152" s="131" cm="1">
        <f ca="1" t="array" ref="O1152">IF(O1754=1,OFFSET($W$634,$B1152,O$631-1)/SUMPRODUCT(--($D$631:$V$631=O$631),--($D1754:$V1754=1)),0)+SUM(O1151)+IF(COUNTIF(O$1237:O1754,1)=1,5,0)+IF(COUNTIF(P1152:$W1152,"&gt;"&amp;0)&lt;5,IF(AND(COUNTIF(O$1237:O1754,1)&gt;7,MOD(1+IFERROR(MATCH($C1152,总览!$D$46:$D$345,1)+1,1),7)=0),$C$3,0),0)</f>
        <v>704.002678571432</v>
      </c>
      <c r="P1152" s="131" cm="1">
        <f ca="1" t="array" ref="P1152">IF(P1754=1,OFFSET($W$634,$B1152,P$631-1)/SUMPRODUCT(--($D$631:$V$631=P$631),--($D1754:$V1754=1)),0)+SUM(P1151)+IF(COUNTIF(P$1237:P1754,1)=1,5,0)+IF(COUNTIF(Q1152:$W1152,"&gt;"&amp;0)&lt;5,IF(AND(COUNTIF(P$1237:P1754,1)&gt;7,MOD(1+IFERROR(MATCH($C1152,总览!$D$46:$D$345,1)+1,1),7)=0),$C$3,0),0)</f>
        <v>693.121428571432</v>
      </c>
      <c r="Q1152" s="131" cm="1">
        <f ca="1" t="array" ref="Q1152">IF(Q1754=1,OFFSET($W$634,$B1152,Q$631-1)/SUMPRODUCT(--($D$631:$V$631=Q$631),--($D1754:$V1754=1)),0)+SUM(Q1151)+IF(COUNTIF(Q$1237:Q1754,1)=1,5,0)+IF(COUNTIF(R1152:$W1152,"&gt;"&amp;0)&lt;5,IF(AND(COUNTIF(Q$1237:Q1754,1)&gt;7,MOD(1+IFERROR(MATCH($C1152,总览!$D$46:$D$345,1)+1,1),7)=0),$C$3,0),0)</f>
        <v>706.502678571432</v>
      </c>
      <c r="R1152" s="131" cm="1">
        <f ca="1" t="array" ref="R1152">IF(R1754=1,OFFSET($W$634,$B1152,R$631-1)/SUMPRODUCT(--($D$631:$V$631=R$631),--($D1754:$V1754=1)),0)+SUM(R1151)+IF(COUNTIF(R$1237:R1754,1)=1,5,0)+IF(COUNTIF(S1152:$W1152,"&gt;"&amp;0)&lt;5,IF(AND(COUNTIF(R$1237:R1754,1)&gt;7,MOD(1+IFERROR(MATCH($C1152,总览!$D$46:$D$345,1)+1,1),7)=0),$C$3,0),0)</f>
        <v>698.121428571432</v>
      </c>
      <c r="S1152" s="131" cm="1">
        <f ca="1" t="array" ref="S1152">IF(S1754=1,OFFSET($W$634,$B1152,S$631-1)/SUMPRODUCT(--($D$631:$V$631=S$631),--($D1754:$V1754=1)),0)+SUM(S1151)+IF(COUNTIF(S$1237:S1754,1)=1,5,0)+IF(COUNTIF(T1152:$W1152,"&gt;"&amp;0)&lt;5,IF(AND(COUNTIF(S$1237:S1754,1)&gt;7,MOD(1+IFERROR(MATCH($C1152,总览!$D$46:$D$345,1)+1,1),7)=0),$C$3,0),0)</f>
        <v>790.621428571434</v>
      </c>
      <c r="T1152" s="131" cm="1">
        <f ca="1" t="array" ref="T1152">IF(T1754=1,OFFSET($W$634,$B1152,T$631-1)/SUMPRODUCT(--($D$631:$V$631=T$631),--($D1754:$V1754=1)),0)+SUM(T1151)+IF(COUNTIF(T$1237:T1754,1)=1,5,0)+IF(COUNTIF(U1152:$W1152,"&gt;"&amp;0)&lt;5,IF(AND(COUNTIF(T$1237:T1754,1)&gt;7,MOD(1+IFERROR(MATCH($C1152,总览!$D$46:$D$345,1)+1,1),7)=0),$C$3,0),0)</f>
        <v>579.027294829956</v>
      </c>
      <c r="U1152" s="131" cm="1">
        <f ca="1" t="array" ref="U1152">IF(U1754=1,OFFSET($W$634,$B1152,U$631-1)/SUMPRODUCT(--($D$631:$V$631=U$631),--($D1754:$V1754=1)),0)+SUM(U1151)+IF(COUNTIF(U$1237:U1754,1)=1,5,0)+IF(COUNTIF(V1152:$W1152,"&gt;"&amp;0)&lt;5,IF(AND(COUNTIF(U$1237:U1754,1)&gt;7,MOD(1+IFERROR(MATCH($C1152,总览!$D$46:$D$345,1)+1,1),7)=0),$C$3,0),0)</f>
        <v>584.548081185255</v>
      </c>
      <c r="V1152" s="131" cm="1">
        <f ca="1" t="array" ref="V1152">IF(V1754=1,OFFSET($W$634,$B1152,V$631-1)/SUMPRODUCT(--($D$631:$V$631=V$631),--($D1754:$V1754=1)),0)+SUM(V1151)+IF(COUNTIF(V$1237:V1754,1)=1,5,0)+IF(COUNTIF(W1152:$W1152,"&gt;"&amp;0)&lt;5,IF(AND(COUNTIF(V$1237:V1754,1)&gt;7,MOD(1+IFERROR(MATCH($C1152,总览!$D$46:$D$345,1)+1,1),7)=0),$C$3,0),0)</f>
        <v>604.375080897688</v>
      </c>
      <c r="W1152" s="135" cm="1">
        <f ca="1" t="array" ref="W1152">SUMPRODUCT(TRANSPOSE($AA1152:$AG1152),OFFSET($L$9:$L$15,0,W$631-1))</f>
        <v>16.8502200646615</v>
      </c>
      <c r="X1152" s="135" cm="1">
        <f ca="1" t="array" ref="X1152">SUMPRODUCT(TRANSPOSE($AA1152:$AG1152),OFFSET($L$9:$L$15,0,X$631-1))</f>
        <v>20</v>
      </c>
      <c r="Y1152" s="135" cm="1">
        <f ca="1" t="array" ref="Y1152">SUMPRODUCT(TRANSPOSE($AA1152:$AG1152),OFFSET($L$9:$L$15,0,Y$631-1))</f>
        <v>10</v>
      </c>
      <c r="Z1152" s="135" cm="1">
        <f ca="1" t="array" ref="Z1152">SUMPRODUCT(TRANSPOSE($AA1152:$AG1152),OFFSET($L$9:$L$15,0,Z$631-1))</f>
        <v>3.14977993533847</v>
      </c>
      <c r="AA1152" s="136">
        <f ca="1" t="shared" ref="AA1152:AG1152" si="1291">AH1152-AH1151</f>
        <v>0</v>
      </c>
      <c r="AB1152" s="136">
        <f ca="1" t="shared" si="1291"/>
        <v>0</v>
      </c>
      <c r="AC1152" s="136">
        <f ca="1" t="shared" si="1291"/>
        <v>0</v>
      </c>
      <c r="AD1152" s="136">
        <f ca="1" t="shared" si="1291"/>
        <v>0</v>
      </c>
      <c r="AE1152" s="136">
        <f ca="1" t="shared" si="1291"/>
        <v>0</v>
      </c>
      <c r="AF1152" s="136">
        <f ca="1" t="shared" si="1291"/>
        <v>0</v>
      </c>
      <c r="AG1152" s="136">
        <f ca="1" t="shared" si="1291"/>
        <v>100</v>
      </c>
      <c r="AH1152" s="136">
        <f ca="1" t="shared" si="1281"/>
        <v>450</v>
      </c>
      <c r="AI1152" s="136">
        <f ca="1" t="shared" ref="AI1152:AN1152" si="1292">IF($C1152&gt;OFFSET($Q$8,MATCH(AI$634,$AH$634:$AN$634,0),0),OFFSET($P$8,MATCH(AI$634,$AH$634:$AN$634,0),0),MAX(0,$C1152-OFFSET($Q$8,RIGHT(AI$634,1)-1,0)))</f>
        <v>909</v>
      </c>
      <c r="AJ1152" s="136">
        <f ca="1" t="shared" si="1292"/>
        <v>1818</v>
      </c>
      <c r="AK1152" s="136">
        <f ca="1" t="shared" si="1292"/>
        <v>2727</v>
      </c>
      <c r="AL1152" s="136">
        <f ca="1" t="shared" si="1292"/>
        <v>3636</v>
      </c>
      <c r="AM1152" s="136">
        <f ca="1" t="shared" si="1292"/>
        <v>4545</v>
      </c>
      <c r="AN1152" s="136">
        <f ca="1" t="shared" si="1292"/>
        <v>37715</v>
      </c>
    </row>
    <row r="1153" s="106" customFormat="1" ht="16.5" spans="2:40">
      <c r="B1153" s="117">
        <v>519</v>
      </c>
      <c r="C1153" s="130">
        <f t="shared" si="1279"/>
        <v>51900</v>
      </c>
      <c r="D1153" s="131" cm="1">
        <f ca="1" t="array" ref="D1153">IF(D1755=1,OFFSET($W$634,$B1153,D$631-1)/SUMPRODUCT(--($D$631:$V$631=D$631),--($D1755:$V1755=1)),0)+SUM(D1152)+IF(COUNTIF(D$1237:D1755,1)=1,5,0)+IF(COUNTIF(E1153:$W1153,"&gt;"&amp;0)&lt;5,IF(AND(COUNTIF(D$1237:D1755,1)&gt;7,MOD(1+IFERROR(MATCH($C1153,总览!$D$46:$D$345,1)+1,1),7)=0),$C$3,0),0)</f>
        <v>3242.79158771729</v>
      </c>
      <c r="E1153" s="131" cm="1">
        <f ca="1" t="array" ref="E1153">IF(E1755=1,OFFSET($W$634,$B1153,E$631-1)/SUMPRODUCT(--($D$631:$V$631=E$631),--($D1755:$V1755=1)),0)+SUM(E1152)+IF(COUNTIF(E$1237:E1755,1)=1,5,0)+IF(COUNTIF(F1153:$W1153,"&gt;"&amp;0)&lt;5,IF(AND(COUNTIF(E$1237:E1755,1)&gt;7,MOD(1+IFERROR(MATCH($C1153,总览!$D$46:$D$345,1)+1,1),7)=0),$C$3,0),0)</f>
        <v>3242.79158771729</v>
      </c>
      <c r="F1153" s="131" cm="1">
        <f ca="1" t="array" ref="F1153">IF(F1755=1,OFFSET($W$634,$B1153,F$631-1)/SUMPRODUCT(--($D$631:$V$631=F$631),--($D1755:$V1755=1)),0)+SUM(F1152)+IF(COUNTIF(F$1237:F1755,1)=1,5,0)+IF(COUNTIF(G1153:$W1153,"&gt;"&amp;0)&lt;5,IF(AND(COUNTIF(F$1237:F1755,1)&gt;7,MOD(1+IFERROR(MATCH($C1153,总览!$D$46:$D$345,1)+1,1),7)=0),$C$3,0),0)</f>
        <v>3242.79158771729</v>
      </c>
      <c r="G1153" s="131" cm="1">
        <f ca="1" t="array" ref="G1153">IF(G1755=1,OFFSET($W$634,$B1153,G$631-1)/SUMPRODUCT(--($D$631:$V$631=G$631),--($D1755:$V1755=1)),0)+SUM(G1152)+IF(COUNTIF(G$1237:G1755,1)=1,5,0)+IF(COUNTIF(H1153:$W1153,"&gt;"&amp;0)&lt;5,IF(AND(COUNTIF(G$1237:G1755,1)&gt;7,MOD(1+IFERROR(MATCH($C1153,总览!$D$46:$D$345,1)+1,1),7)=0),$C$3,0),0)</f>
        <v>1669.39999999999</v>
      </c>
      <c r="H1153" s="131" cm="1">
        <f ca="1" t="array" ref="H1153">IF(H1755=1,OFFSET($W$634,$B1153,H$631-1)/SUMPRODUCT(--($D$631:$V$631=H$631),--($D1755:$V1755=1)),0)+SUM(H1152)+IF(COUNTIF(H$1237:H1755,1)=1,5,0)+IF(COUNTIF(I1153:$W1153,"&gt;"&amp;0)&lt;5,IF(AND(COUNTIF(H$1237:H1755,1)&gt;7,MOD(1+IFERROR(MATCH($C1153,总览!$D$46:$D$345,1)+1,1),7)=0),$C$3,0),0)</f>
        <v>1669.39999999999</v>
      </c>
      <c r="I1153" s="131" cm="1">
        <f ca="1" t="array" ref="I1153">IF(I1755=1,OFFSET($W$634,$B1153,I$631-1)/SUMPRODUCT(--($D$631:$V$631=I$631),--($D1755:$V1755=1)),0)+SUM(I1152)+IF(COUNTIF(I$1237:I1755,1)=1,5,0)+IF(COUNTIF(J1153:$W1153,"&gt;"&amp;0)&lt;5,IF(AND(COUNTIF(I$1237:I1755,1)&gt;7,MOD(1+IFERROR(MATCH($C1153,总览!$D$46:$D$345,1)+1,1),7)=0),$C$3,0),0)</f>
        <v>1669.39999999999</v>
      </c>
      <c r="J1153" s="131" cm="1">
        <f ca="1" t="array" ref="J1153">IF(J1755=1,OFFSET($W$634,$B1153,J$631-1)/SUMPRODUCT(--($D$631:$V$631=J$631),--($D1755:$V1755=1)),0)+SUM(J1152)+IF(COUNTIF(J$1237:J1755,1)=1,5,0)+IF(COUNTIF(K1153:$W1153,"&gt;"&amp;0)&lt;5,IF(AND(COUNTIF(J$1237:J1755,1)&gt;7,MOD(1+IFERROR(MATCH($C1153,总览!$D$46:$D$345,1)+1,1),7)=0),$C$3,0),0)</f>
        <v>1666.06666666666</v>
      </c>
      <c r="K1153" s="131" cm="1">
        <f ca="1" t="array" ref="K1153">IF(K1755=1,OFFSET($W$634,$B1153,K$631-1)/SUMPRODUCT(--($D$631:$V$631=K$631),--($D1755:$V1755=1)),0)+SUM(K1152)+IF(COUNTIF(K$1237:K1755,1)=1,5,0)+IF(COUNTIF(L1153:$W1153,"&gt;"&amp;0)&lt;5,IF(AND(COUNTIF(K$1237:K1755,1)&gt;7,MOD(1+IFERROR(MATCH($C1153,总览!$D$46:$D$345,1)+1,1),7)=0),$C$3,0),0)</f>
        <v>1663.56666666666</v>
      </c>
      <c r="L1153" s="131" cm="1">
        <f ca="1" t="array" ref="L1153">IF(L1755=1,OFFSET($W$634,$B1153,L$631-1)/SUMPRODUCT(--($D$631:$V$631=L$631),--($D1755:$V1755=1)),0)+SUM(L1152)+IF(COUNTIF(L$1237:L1755,1)=1,5,0)+IF(COUNTIF(M1153:$W1153,"&gt;"&amp;0)&lt;5,IF(AND(COUNTIF(L$1237:L1755,1)&gt;7,MOD(1+IFERROR(MATCH($C1153,总览!$D$46:$D$345,1)+1,1),7)=0),$C$3,0),0)</f>
        <v>1663.56666666666</v>
      </c>
      <c r="M1153" s="131" cm="1">
        <f ca="1" t="array" ref="M1153">IF(M1755=1,OFFSET($W$634,$B1153,M$631-1)/SUMPRODUCT(--($D$631:$V$631=M$631),--($D1755:$V1755=1)),0)+SUM(M1152)+IF(COUNTIF(M$1237:M1755,1)=1,5,0)+IF(COUNTIF(N1153:$W1153,"&gt;"&amp;0)&lt;5,IF(AND(COUNTIF(M$1237:M1755,1)&gt;7,MOD(1+IFERROR(MATCH($C1153,总览!$D$46:$D$345,1)+1,1),7)=0),$C$3,0),0)</f>
        <v>699.181250000004</v>
      </c>
      <c r="N1153" s="131" cm="1">
        <f ca="1" t="array" ref="N1153">IF(N1755=1,OFFSET($W$634,$B1153,N$631-1)/SUMPRODUCT(--($D$631:$V$631=N$631),--($D1755:$V1755=1)),0)+SUM(N1152)+IF(COUNTIF(N$1237:N1755,1)=1,5,0)+IF(COUNTIF(O1153:$W1153,"&gt;"&amp;0)&lt;5,IF(AND(COUNTIF(N$1237:N1755,1)&gt;7,MOD(1+IFERROR(MATCH($C1153,总览!$D$46:$D$345,1)+1,1),7)=0),$C$3,0),0)</f>
        <v>700.431250000004</v>
      </c>
      <c r="O1153" s="131" cm="1">
        <f ca="1" t="array" ref="O1153">IF(O1755=1,OFFSET($W$634,$B1153,O$631-1)/SUMPRODUCT(--($D$631:$V$631=O$631),--($D1755:$V1755=1)),0)+SUM(O1152)+IF(COUNTIF(O$1237:O1755,1)=1,5,0)+IF(COUNTIF(P1153:$W1153,"&gt;"&amp;0)&lt;5,IF(AND(COUNTIF(O$1237:O1755,1)&gt;7,MOD(1+IFERROR(MATCH($C1153,总览!$D$46:$D$345,1)+1,1),7)=0),$C$3,0),0)</f>
        <v>705.431250000004</v>
      </c>
      <c r="P1153" s="131" cm="1">
        <f ca="1" t="array" ref="P1153">IF(P1755=1,OFFSET($W$634,$B1153,P$631-1)/SUMPRODUCT(--($D$631:$V$631=P$631),--($D1755:$V1755=1)),0)+SUM(P1152)+IF(COUNTIF(P$1237:P1755,1)=1,5,0)+IF(COUNTIF(Q1153:$W1153,"&gt;"&amp;0)&lt;5,IF(AND(COUNTIF(P$1237:P1755,1)&gt;7,MOD(1+IFERROR(MATCH($C1153,总览!$D$46:$D$345,1)+1,1),7)=0),$C$3,0),0)</f>
        <v>694.550000000004</v>
      </c>
      <c r="Q1153" s="131" cm="1">
        <f ca="1" t="array" ref="Q1153">IF(Q1755=1,OFFSET($W$634,$B1153,Q$631-1)/SUMPRODUCT(--($D$631:$V$631=Q$631),--($D1755:$V1755=1)),0)+SUM(Q1152)+IF(COUNTIF(Q$1237:Q1755,1)=1,5,0)+IF(COUNTIF(R1153:$W1153,"&gt;"&amp;0)&lt;5,IF(AND(COUNTIF(Q$1237:Q1755,1)&gt;7,MOD(1+IFERROR(MATCH($C1153,总览!$D$46:$D$345,1)+1,1),7)=0),$C$3,0),0)</f>
        <v>707.931250000004</v>
      </c>
      <c r="R1153" s="131" cm="1">
        <f ca="1" t="array" ref="R1153">IF(R1755=1,OFFSET($W$634,$B1153,R$631-1)/SUMPRODUCT(--($D$631:$V$631=R$631),--($D1755:$V1755=1)),0)+SUM(R1152)+IF(COUNTIF(R$1237:R1755,1)=1,5,0)+IF(COUNTIF(S1153:$W1153,"&gt;"&amp;0)&lt;5,IF(AND(COUNTIF(R$1237:R1755,1)&gt;7,MOD(1+IFERROR(MATCH($C1153,总览!$D$46:$D$345,1)+1,1),7)=0),$C$3,0),0)</f>
        <v>699.550000000004</v>
      </c>
      <c r="S1153" s="131" cm="1">
        <f ca="1" t="array" ref="S1153">IF(S1755=1,OFFSET($W$634,$B1153,S$631-1)/SUMPRODUCT(--($D$631:$V$631=S$631),--($D1755:$V1755=1)),0)+SUM(S1152)+IF(COUNTIF(S$1237:S1755,1)=1,5,0)+IF(COUNTIF(T1153:$W1153,"&gt;"&amp;0)&lt;5,IF(AND(COUNTIF(S$1237:S1755,1)&gt;7,MOD(1+IFERROR(MATCH($C1153,总览!$D$46:$D$345,1)+1,1),7)=0),$C$3,0),0)</f>
        <v>792.050000000005</v>
      </c>
      <c r="T1153" s="131" cm="1">
        <f ca="1" t="array" ref="T1153">IF(T1755=1,OFFSET($W$634,$B1153,T$631-1)/SUMPRODUCT(--($D$631:$V$631=T$631),--($D1755:$V1755=1)),0)+SUM(T1152)+IF(COUNTIF(T$1237:T1755,1)=1,5,0)+IF(COUNTIF(U1153:$W1153,"&gt;"&amp;0)&lt;5,IF(AND(COUNTIF(T$1237:T1755,1)&gt;7,MOD(1+IFERROR(MATCH($C1153,总览!$D$46:$D$345,1)+1,1),7)=0),$C$3,0),0)</f>
        <v>580.077221475069</v>
      </c>
      <c r="U1153" s="131" cm="1">
        <f ca="1" t="array" ref="U1153">IF(U1755=1,OFFSET($W$634,$B1153,U$631-1)/SUMPRODUCT(--($D$631:$V$631=U$631),--($D1755:$V1755=1)),0)+SUM(U1152)+IF(COUNTIF(U$1237:U1755,1)=1,5,0)+IF(COUNTIF(V1153:$W1153,"&gt;"&amp;0)&lt;5,IF(AND(COUNTIF(U$1237:U1755,1)&gt;7,MOD(1+IFERROR(MATCH($C1153,总览!$D$46:$D$345,1)+1,1),7)=0),$C$3,0),0)</f>
        <v>585.598007830368</v>
      </c>
      <c r="V1153" s="131" cm="1">
        <f ca="1" t="array" ref="V1153">IF(V1755=1,OFFSET($W$634,$B1153,V$631-1)/SUMPRODUCT(--($D$631:$V$631=V$631),--($D1755:$V1755=1)),0)+SUM(V1152)+IF(COUNTIF(V$1237:V1755,1)=1,5,0)+IF(COUNTIF(W1153:$W1153,"&gt;"&amp;0)&lt;5,IF(AND(COUNTIF(V$1237:V1755,1)&gt;7,MOD(1+IFERROR(MATCH($C1153,总览!$D$46:$D$345,1)+1,1),7)=0),$C$3,0),0)</f>
        <v>605.425007542801</v>
      </c>
      <c r="W1153" s="135" cm="1">
        <f ca="1" t="array" ref="W1153">SUMPRODUCT(TRANSPOSE($AA1153:$AG1153),OFFSET($L$9:$L$15,0,W$631-1))</f>
        <v>16.8502200646615</v>
      </c>
      <c r="X1153" s="135" cm="1">
        <f ca="1" t="array" ref="X1153">SUMPRODUCT(TRANSPOSE($AA1153:$AG1153),OFFSET($L$9:$L$15,0,X$631-1))</f>
        <v>20</v>
      </c>
      <c r="Y1153" s="135" cm="1">
        <f ca="1" t="array" ref="Y1153">SUMPRODUCT(TRANSPOSE($AA1153:$AG1153),OFFSET($L$9:$L$15,0,Y$631-1))</f>
        <v>10</v>
      </c>
      <c r="Z1153" s="135" cm="1">
        <f ca="1" t="array" ref="Z1153">SUMPRODUCT(TRANSPOSE($AA1153:$AG1153),OFFSET($L$9:$L$15,0,Z$631-1))</f>
        <v>3.14977993533847</v>
      </c>
      <c r="AA1153" s="136">
        <f ca="1" t="shared" ref="AA1153:AG1153" si="1293">AH1153-AH1152</f>
        <v>0</v>
      </c>
      <c r="AB1153" s="136">
        <f ca="1" t="shared" si="1293"/>
        <v>0</v>
      </c>
      <c r="AC1153" s="136">
        <f ca="1" t="shared" si="1293"/>
        <v>0</v>
      </c>
      <c r="AD1153" s="136">
        <f ca="1" t="shared" si="1293"/>
        <v>0</v>
      </c>
      <c r="AE1153" s="136">
        <f ca="1" t="shared" si="1293"/>
        <v>0</v>
      </c>
      <c r="AF1153" s="136">
        <f ca="1" t="shared" si="1293"/>
        <v>0</v>
      </c>
      <c r="AG1153" s="136">
        <f ca="1" t="shared" si="1293"/>
        <v>100</v>
      </c>
      <c r="AH1153" s="136">
        <f ca="1" t="shared" si="1281"/>
        <v>450</v>
      </c>
      <c r="AI1153" s="136">
        <f ca="1" t="shared" ref="AI1153:AN1153" si="1294">IF($C1153&gt;OFFSET($Q$8,MATCH(AI$634,$AH$634:$AN$634,0),0),OFFSET($P$8,MATCH(AI$634,$AH$634:$AN$634,0),0),MAX(0,$C1153-OFFSET($Q$8,RIGHT(AI$634,1)-1,0)))</f>
        <v>909</v>
      </c>
      <c r="AJ1153" s="136">
        <f ca="1" t="shared" si="1294"/>
        <v>1818</v>
      </c>
      <c r="AK1153" s="136">
        <f ca="1" t="shared" si="1294"/>
        <v>2727</v>
      </c>
      <c r="AL1153" s="136">
        <f ca="1" t="shared" si="1294"/>
        <v>3636</v>
      </c>
      <c r="AM1153" s="136">
        <f ca="1" t="shared" si="1294"/>
        <v>4545</v>
      </c>
      <c r="AN1153" s="136">
        <f ca="1" t="shared" si="1294"/>
        <v>37815</v>
      </c>
    </row>
    <row r="1154" s="106" customFormat="1" ht="16.5" spans="2:40">
      <c r="B1154" s="117">
        <v>520</v>
      </c>
      <c r="C1154" s="130">
        <f t="shared" si="1279"/>
        <v>52000</v>
      </c>
      <c r="D1154" s="131" cm="1">
        <f ca="1" t="array" ref="D1154">IF(D1756=1,OFFSET($W$634,$B1154,D$631-1)/SUMPRODUCT(--($D$631:$V$631=D$631),--($D1756:$V1756=1)),0)+SUM(D1153)+IF(COUNTIF(D$1237:D1756,1)=1,5,0)+IF(COUNTIF(E1154:$W1154,"&gt;"&amp;0)&lt;5,IF(AND(COUNTIF(D$1237:D1756,1)&gt;7,MOD(1+IFERROR(MATCH($C1154,总览!$D$46:$D$345,1)+1,1),7)=0),$C$3,0),0)</f>
        <v>3248.40832773884</v>
      </c>
      <c r="E1154" s="131" cm="1">
        <f ca="1" t="array" ref="E1154">IF(E1756=1,OFFSET($W$634,$B1154,E$631-1)/SUMPRODUCT(--($D$631:$V$631=E$631),--($D1756:$V1756=1)),0)+SUM(E1153)+IF(COUNTIF(E$1237:E1756,1)=1,5,0)+IF(COUNTIF(F1154:$W1154,"&gt;"&amp;0)&lt;5,IF(AND(COUNTIF(E$1237:E1756,1)&gt;7,MOD(1+IFERROR(MATCH($C1154,总览!$D$46:$D$345,1)+1,1),7)=0),$C$3,0),0)</f>
        <v>3248.40832773884</v>
      </c>
      <c r="F1154" s="131" cm="1">
        <f ca="1" t="array" ref="F1154">IF(F1756=1,OFFSET($W$634,$B1154,F$631-1)/SUMPRODUCT(--($D$631:$V$631=F$631),--($D1756:$V1756=1)),0)+SUM(F1153)+IF(COUNTIF(F$1237:F1756,1)=1,5,0)+IF(COUNTIF(G1154:$W1154,"&gt;"&amp;0)&lt;5,IF(AND(COUNTIF(F$1237:F1756,1)&gt;7,MOD(1+IFERROR(MATCH($C1154,总览!$D$46:$D$345,1)+1,1),7)=0),$C$3,0),0)</f>
        <v>3248.40832773884</v>
      </c>
      <c r="G1154" s="131" cm="1">
        <f ca="1" t="array" ref="G1154">IF(G1756=1,OFFSET($W$634,$B1154,G$631-1)/SUMPRODUCT(--($D$631:$V$631=G$631),--($D1756:$V1756=1)),0)+SUM(G1153)+IF(COUNTIF(G$1237:G1756,1)=1,5,0)+IF(COUNTIF(H1154:$W1154,"&gt;"&amp;0)&lt;5,IF(AND(COUNTIF(G$1237:G1756,1)&gt;7,MOD(1+IFERROR(MATCH($C1154,总览!$D$46:$D$345,1)+1,1),7)=0),$C$3,0),0)</f>
        <v>1672.73333333332</v>
      </c>
      <c r="H1154" s="131" cm="1">
        <f ca="1" t="array" ref="H1154">IF(H1756=1,OFFSET($W$634,$B1154,H$631-1)/SUMPRODUCT(--($D$631:$V$631=H$631),--($D1756:$V1756=1)),0)+SUM(H1153)+IF(COUNTIF(H$1237:H1756,1)=1,5,0)+IF(COUNTIF(I1154:$W1154,"&gt;"&amp;0)&lt;5,IF(AND(COUNTIF(H$1237:H1756,1)&gt;7,MOD(1+IFERROR(MATCH($C1154,总览!$D$46:$D$345,1)+1,1),7)=0),$C$3,0),0)</f>
        <v>1672.73333333332</v>
      </c>
      <c r="I1154" s="131" cm="1">
        <f ca="1" t="array" ref="I1154">IF(I1756=1,OFFSET($W$634,$B1154,I$631-1)/SUMPRODUCT(--($D$631:$V$631=I$631),--($D1756:$V1756=1)),0)+SUM(I1153)+IF(COUNTIF(I$1237:I1756,1)=1,5,0)+IF(COUNTIF(J1154:$W1154,"&gt;"&amp;0)&lt;5,IF(AND(COUNTIF(I$1237:I1756,1)&gt;7,MOD(1+IFERROR(MATCH($C1154,总览!$D$46:$D$345,1)+1,1),7)=0),$C$3,0),0)</f>
        <v>1672.73333333332</v>
      </c>
      <c r="J1154" s="131" cm="1">
        <f ca="1" t="array" ref="J1154">IF(J1756=1,OFFSET($W$634,$B1154,J$631-1)/SUMPRODUCT(--($D$631:$V$631=J$631),--($D1756:$V1756=1)),0)+SUM(J1153)+IF(COUNTIF(J$1237:J1756,1)=1,5,0)+IF(COUNTIF(K1154:$W1154,"&gt;"&amp;0)&lt;5,IF(AND(COUNTIF(J$1237:J1756,1)&gt;7,MOD(1+IFERROR(MATCH($C1154,总览!$D$46:$D$345,1)+1,1),7)=0),$C$3,0),0)</f>
        <v>1669.39999999999</v>
      </c>
      <c r="K1154" s="131" cm="1">
        <f ca="1" t="array" ref="K1154">IF(K1756=1,OFFSET($W$634,$B1154,K$631-1)/SUMPRODUCT(--($D$631:$V$631=K$631),--($D1756:$V1756=1)),0)+SUM(K1153)+IF(COUNTIF(K$1237:K1756,1)=1,5,0)+IF(COUNTIF(L1154:$W1154,"&gt;"&amp;0)&lt;5,IF(AND(COUNTIF(K$1237:K1756,1)&gt;7,MOD(1+IFERROR(MATCH($C1154,总览!$D$46:$D$345,1)+1,1),7)=0),$C$3,0),0)</f>
        <v>1666.89999999999</v>
      </c>
      <c r="L1154" s="131" cm="1">
        <f ca="1" t="array" ref="L1154">IF(L1756=1,OFFSET($W$634,$B1154,L$631-1)/SUMPRODUCT(--($D$631:$V$631=L$631),--($D1756:$V1756=1)),0)+SUM(L1153)+IF(COUNTIF(L$1237:L1756,1)=1,5,0)+IF(COUNTIF(M1154:$W1154,"&gt;"&amp;0)&lt;5,IF(AND(COUNTIF(L$1237:L1756,1)&gt;7,MOD(1+IFERROR(MATCH($C1154,总览!$D$46:$D$345,1)+1,1),7)=0),$C$3,0),0)</f>
        <v>1666.89999999999</v>
      </c>
      <c r="M1154" s="131" cm="1">
        <f ca="1" t="array" ref="M1154">IF(M1756=1,OFFSET($W$634,$B1154,M$631-1)/SUMPRODUCT(--($D$631:$V$631=M$631),--($D1756:$V1756=1)),0)+SUM(M1153)+IF(COUNTIF(M$1237:M1756,1)=1,5,0)+IF(COUNTIF(N1154:$W1154,"&gt;"&amp;0)&lt;5,IF(AND(COUNTIF(M$1237:M1756,1)&gt;7,MOD(1+IFERROR(MATCH($C1154,总览!$D$46:$D$345,1)+1,1),7)=0),$C$3,0),0)</f>
        <v>700.609821428575</v>
      </c>
      <c r="N1154" s="131" cm="1">
        <f ca="1" t="array" ref="N1154">IF(N1756=1,OFFSET($W$634,$B1154,N$631-1)/SUMPRODUCT(--($D$631:$V$631=N$631),--($D1756:$V1756=1)),0)+SUM(N1153)+IF(COUNTIF(N$1237:N1756,1)=1,5,0)+IF(COUNTIF(O1154:$W1154,"&gt;"&amp;0)&lt;5,IF(AND(COUNTIF(N$1237:N1756,1)&gt;7,MOD(1+IFERROR(MATCH($C1154,总览!$D$46:$D$345,1)+1,1),7)=0),$C$3,0),0)</f>
        <v>701.859821428575</v>
      </c>
      <c r="O1154" s="131" cm="1">
        <f ca="1" t="array" ref="O1154">IF(O1756=1,OFFSET($W$634,$B1154,O$631-1)/SUMPRODUCT(--($D$631:$V$631=O$631),--($D1756:$V1756=1)),0)+SUM(O1153)+IF(COUNTIF(O$1237:O1756,1)=1,5,0)+IF(COUNTIF(P1154:$W1154,"&gt;"&amp;0)&lt;5,IF(AND(COUNTIF(O$1237:O1756,1)&gt;7,MOD(1+IFERROR(MATCH($C1154,总览!$D$46:$D$345,1)+1,1),7)=0),$C$3,0),0)</f>
        <v>706.859821428575</v>
      </c>
      <c r="P1154" s="131" cm="1">
        <f ca="1" t="array" ref="P1154">IF(P1756=1,OFFSET($W$634,$B1154,P$631-1)/SUMPRODUCT(--($D$631:$V$631=P$631),--($D1756:$V1756=1)),0)+SUM(P1153)+IF(COUNTIF(P$1237:P1756,1)=1,5,0)+IF(COUNTIF(Q1154:$W1154,"&gt;"&amp;0)&lt;5,IF(AND(COUNTIF(P$1237:P1756,1)&gt;7,MOD(1+IFERROR(MATCH($C1154,总览!$D$46:$D$345,1)+1,1),7)=0),$C$3,0),0)</f>
        <v>695.978571428575</v>
      </c>
      <c r="Q1154" s="131" cm="1">
        <f ca="1" t="array" ref="Q1154">IF(Q1756=1,OFFSET($W$634,$B1154,Q$631-1)/SUMPRODUCT(--($D$631:$V$631=Q$631),--($D1756:$V1756=1)),0)+SUM(Q1153)+IF(COUNTIF(Q$1237:Q1756,1)=1,5,0)+IF(COUNTIF(R1154:$W1154,"&gt;"&amp;0)&lt;5,IF(AND(COUNTIF(Q$1237:Q1756,1)&gt;7,MOD(1+IFERROR(MATCH($C1154,总览!$D$46:$D$345,1)+1,1),7)=0),$C$3,0),0)</f>
        <v>709.359821428575</v>
      </c>
      <c r="R1154" s="131" cm="1">
        <f ca="1" t="array" ref="R1154">IF(R1756=1,OFFSET($W$634,$B1154,R$631-1)/SUMPRODUCT(--($D$631:$V$631=R$631),--($D1756:$V1756=1)),0)+SUM(R1153)+IF(COUNTIF(R$1237:R1756,1)=1,5,0)+IF(COUNTIF(S1154:$W1154,"&gt;"&amp;0)&lt;5,IF(AND(COUNTIF(R$1237:R1756,1)&gt;7,MOD(1+IFERROR(MATCH($C1154,总览!$D$46:$D$345,1)+1,1),7)=0),$C$3,0),0)</f>
        <v>700.978571428575</v>
      </c>
      <c r="S1154" s="131" cm="1">
        <f ca="1" t="array" ref="S1154">IF(S1756=1,OFFSET($W$634,$B1154,S$631-1)/SUMPRODUCT(--($D$631:$V$631=S$631),--($D1756:$V1756=1)),0)+SUM(S1153)+IF(COUNTIF(S$1237:S1756,1)=1,5,0)+IF(COUNTIF(T1154:$W1154,"&gt;"&amp;0)&lt;5,IF(AND(COUNTIF(S$1237:S1756,1)&gt;7,MOD(1+IFERROR(MATCH($C1154,总览!$D$46:$D$345,1)+1,1),7)=0),$C$3,0),0)</f>
        <v>793.478571428576</v>
      </c>
      <c r="T1154" s="131" cm="1">
        <f ca="1" t="array" ref="T1154">IF(T1756=1,OFFSET($W$634,$B1154,T$631-1)/SUMPRODUCT(--($D$631:$V$631=T$631),--($D1756:$V1756=1)),0)+SUM(T1153)+IF(COUNTIF(T$1237:T1756,1)=1,5,0)+IF(COUNTIF(U1154:$W1154,"&gt;"&amp;0)&lt;5,IF(AND(COUNTIF(T$1237:T1756,1)&gt;7,MOD(1+IFERROR(MATCH($C1154,总览!$D$46:$D$345,1)+1,1),7)=0),$C$3,0),0)</f>
        <v>581.127148120182</v>
      </c>
      <c r="U1154" s="131" cm="1">
        <f ca="1" t="array" ref="U1154">IF(U1756=1,OFFSET($W$634,$B1154,U$631-1)/SUMPRODUCT(--($D$631:$V$631=U$631),--($D1756:$V1756=1)),0)+SUM(U1153)+IF(COUNTIF(U$1237:U1756,1)=1,5,0)+IF(COUNTIF(V1154:$W1154,"&gt;"&amp;0)&lt;5,IF(AND(COUNTIF(U$1237:U1756,1)&gt;7,MOD(1+IFERROR(MATCH($C1154,总览!$D$46:$D$345,1)+1,1),7)=0),$C$3,0),0)</f>
        <v>586.647934475481</v>
      </c>
      <c r="V1154" s="131" cm="1">
        <f ca="1" t="array" ref="V1154">IF(V1756=1,OFFSET($W$634,$B1154,V$631-1)/SUMPRODUCT(--($D$631:$V$631=V$631),--($D1756:$V1756=1)),0)+SUM(V1153)+IF(COUNTIF(V$1237:V1756,1)=1,5,0)+IF(COUNTIF(W1154:$W1154,"&gt;"&amp;0)&lt;5,IF(AND(COUNTIF(V$1237:V1756,1)&gt;7,MOD(1+IFERROR(MATCH($C1154,总览!$D$46:$D$345,1)+1,1),7)=0),$C$3,0),0)</f>
        <v>606.474934187914</v>
      </c>
      <c r="W1154" s="135" cm="1">
        <f ca="1" t="array" ref="W1154">SUMPRODUCT(TRANSPOSE($AA1154:$AG1154),OFFSET($L$9:$L$15,0,W$631-1))</f>
        <v>16.8502200646615</v>
      </c>
      <c r="X1154" s="135" cm="1">
        <f ca="1" t="array" ref="X1154">SUMPRODUCT(TRANSPOSE($AA1154:$AG1154),OFFSET($L$9:$L$15,0,X$631-1))</f>
        <v>20</v>
      </c>
      <c r="Y1154" s="135" cm="1">
        <f ca="1" t="array" ref="Y1154">SUMPRODUCT(TRANSPOSE($AA1154:$AG1154),OFFSET($L$9:$L$15,0,Y$631-1))</f>
        <v>10</v>
      </c>
      <c r="Z1154" s="135" cm="1">
        <f ca="1" t="array" ref="Z1154">SUMPRODUCT(TRANSPOSE($AA1154:$AG1154),OFFSET($L$9:$L$15,0,Z$631-1))</f>
        <v>3.14977993533847</v>
      </c>
      <c r="AA1154" s="136">
        <f ca="1" t="shared" ref="AA1154:AG1154" si="1295">AH1154-AH1153</f>
        <v>0</v>
      </c>
      <c r="AB1154" s="136">
        <f ca="1" t="shared" si="1295"/>
        <v>0</v>
      </c>
      <c r="AC1154" s="136">
        <f ca="1" t="shared" si="1295"/>
        <v>0</v>
      </c>
      <c r="AD1154" s="136">
        <f ca="1" t="shared" si="1295"/>
        <v>0</v>
      </c>
      <c r="AE1154" s="136">
        <f ca="1" t="shared" si="1295"/>
        <v>0</v>
      </c>
      <c r="AF1154" s="136">
        <f ca="1" t="shared" si="1295"/>
        <v>0</v>
      </c>
      <c r="AG1154" s="136">
        <f ca="1" t="shared" si="1295"/>
        <v>100</v>
      </c>
      <c r="AH1154" s="136">
        <f ca="1" t="shared" si="1281"/>
        <v>450</v>
      </c>
      <c r="AI1154" s="136">
        <f ca="1" t="shared" ref="AI1154:AN1154" si="1296">IF($C1154&gt;OFFSET($Q$8,MATCH(AI$634,$AH$634:$AN$634,0),0),OFFSET($P$8,MATCH(AI$634,$AH$634:$AN$634,0),0),MAX(0,$C1154-OFFSET($Q$8,RIGHT(AI$634,1)-1,0)))</f>
        <v>909</v>
      </c>
      <c r="AJ1154" s="136">
        <f ca="1" t="shared" si="1296"/>
        <v>1818</v>
      </c>
      <c r="AK1154" s="136">
        <f ca="1" t="shared" si="1296"/>
        <v>2727</v>
      </c>
      <c r="AL1154" s="136">
        <f ca="1" t="shared" si="1296"/>
        <v>3636</v>
      </c>
      <c r="AM1154" s="136">
        <f ca="1" t="shared" si="1296"/>
        <v>4545</v>
      </c>
      <c r="AN1154" s="136">
        <f ca="1" t="shared" si="1296"/>
        <v>37915</v>
      </c>
    </row>
    <row r="1155" s="106" customFormat="1" ht="16.5" spans="2:40">
      <c r="B1155" s="117">
        <v>521</v>
      </c>
      <c r="C1155" s="130">
        <f t="shared" si="1279"/>
        <v>52100</v>
      </c>
      <c r="D1155" s="131" cm="1">
        <f ca="1" t="array" ref="D1155">IF(D1757=1,OFFSET($W$634,$B1155,D$631-1)/SUMPRODUCT(--($D$631:$V$631=D$631),--($D1757:$V1757=1)),0)+SUM(D1154)+IF(COUNTIF(D$1237:D1757,1)=1,5,0)+IF(COUNTIF(E1155:$W1155,"&gt;"&amp;0)&lt;5,IF(AND(COUNTIF(D$1237:D1757,1)&gt;7,MOD(1+IFERROR(MATCH($C1155,总览!$D$46:$D$345,1)+1,1),7)=0),$C$3,0),0)</f>
        <v>3254.0250677604</v>
      </c>
      <c r="E1155" s="131" cm="1">
        <f ca="1" t="array" ref="E1155">IF(E1757=1,OFFSET($W$634,$B1155,E$631-1)/SUMPRODUCT(--($D$631:$V$631=E$631),--($D1757:$V1757=1)),0)+SUM(E1154)+IF(COUNTIF(E$1237:E1757,1)=1,5,0)+IF(COUNTIF(F1155:$W1155,"&gt;"&amp;0)&lt;5,IF(AND(COUNTIF(E$1237:E1757,1)&gt;7,MOD(1+IFERROR(MATCH($C1155,总览!$D$46:$D$345,1)+1,1),7)=0),$C$3,0),0)</f>
        <v>3254.0250677604</v>
      </c>
      <c r="F1155" s="131" cm="1">
        <f ca="1" t="array" ref="F1155">IF(F1757=1,OFFSET($W$634,$B1155,F$631-1)/SUMPRODUCT(--($D$631:$V$631=F$631),--($D1757:$V1757=1)),0)+SUM(F1154)+IF(COUNTIF(F$1237:F1757,1)=1,5,0)+IF(COUNTIF(G1155:$W1155,"&gt;"&amp;0)&lt;5,IF(AND(COUNTIF(F$1237:F1757,1)&gt;7,MOD(1+IFERROR(MATCH($C1155,总览!$D$46:$D$345,1)+1,1),7)=0),$C$3,0),0)</f>
        <v>3254.0250677604</v>
      </c>
      <c r="G1155" s="131" cm="1">
        <f ca="1" t="array" ref="G1155">IF(G1757=1,OFFSET($W$634,$B1155,G$631-1)/SUMPRODUCT(--($D$631:$V$631=G$631),--($D1757:$V1757=1)),0)+SUM(G1154)+IF(COUNTIF(G$1237:G1757,1)=1,5,0)+IF(COUNTIF(H1155:$W1155,"&gt;"&amp;0)&lt;5,IF(AND(COUNTIF(G$1237:G1757,1)&gt;7,MOD(1+IFERROR(MATCH($C1155,总览!$D$46:$D$345,1)+1,1),7)=0),$C$3,0),0)</f>
        <v>1676.06666666666</v>
      </c>
      <c r="H1155" s="131" cm="1">
        <f ca="1" t="array" ref="H1155">IF(H1757=1,OFFSET($W$634,$B1155,H$631-1)/SUMPRODUCT(--($D$631:$V$631=H$631),--($D1757:$V1757=1)),0)+SUM(H1154)+IF(COUNTIF(H$1237:H1757,1)=1,5,0)+IF(COUNTIF(I1155:$W1155,"&gt;"&amp;0)&lt;5,IF(AND(COUNTIF(H$1237:H1757,1)&gt;7,MOD(1+IFERROR(MATCH($C1155,总览!$D$46:$D$345,1)+1,1),7)=0),$C$3,0),0)</f>
        <v>1676.06666666666</v>
      </c>
      <c r="I1155" s="131" cm="1">
        <f ca="1" t="array" ref="I1155">IF(I1757=1,OFFSET($W$634,$B1155,I$631-1)/SUMPRODUCT(--($D$631:$V$631=I$631),--($D1757:$V1757=1)),0)+SUM(I1154)+IF(COUNTIF(I$1237:I1757,1)=1,5,0)+IF(COUNTIF(J1155:$W1155,"&gt;"&amp;0)&lt;5,IF(AND(COUNTIF(I$1237:I1757,1)&gt;7,MOD(1+IFERROR(MATCH($C1155,总览!$D$46:$D$345,1)+1,1),7)=0),$C$3,0),0)</f>
        <v>1676.06666666666</v>
      </c>
      <c r="J1155" s="131" cm="1">
        <f ca="1" t="array" ref="J1155">IF(J1757=1,OFFSET($W$634,$B1155,J$631-1)/SUMPRODUCT(--($D$631:$V$631=J$631),--($D1757:$V1757=1)),0)+SUM(J1154)+IF(COUNTIF(J$1237:J1757,1)=1,5,0)+IF(COUNTIF(K1155:$W1155,"&gt;"&amp;0)&lt;5,IF(AND(COUNTIF(J$1237:J1757,1)&gt;7,MOD(1+IFERROR(MATCH($C1155,总览!$D$46:$D$345,1)+1,1),7)=0),$C$3,0),0)</f>
        <v>1672.73333333332</v>
      </c>
      <c r="K1155" s="131" cm="1">
        <f ca="1" t="array" ref="K1155">IF(K1757=1,OFFSET($W$634,$B1155,K$631-1)/SUMPRODUCT(--($D$631:$V$631=K$631),--($D1757:$V1757=1)),0)+SUM(K1154)+IF(COUNTIF(K$1237:K1757,1)=1,5,0)+IF(COUNTIF(L1155:$W1155,"&gt;"&amp;0)&lt;5,IF(AND(COUNTIF(K$1237:K1757,1)&gt;7,MOD(1+IFERROR(MATCH($C1155,总览!$D$46:$D$345,1)+1,1),7)=0),$C$3,0),0)</f>
        <v>1670.23333333332</v>
      </c>
      <c r="L1155" s="131" cm="1">
        <f ca="1" t="array" ref="L1155">IF(L1757=1,OFFSET($W$634,$B1155,L$631-1)/SUMPRODUCT(--($D$631:$V$631=L$631),--($D1757:$V1757=1)),0)+SUM(L1154)+IF(COUNTIF(L$1237:L1757,1)=1,5,0)+IF(COUNTIF(M1155:$W1155,"&gt;"&amp;0)&lt;5,IF(AND(COUNTIF(L$1237:L1757,1)&gt;7,MOD(1+IFERROR(MATCH($C1155,总览!$D$46:$D$345,1)+1,1),7)=0),$C$3,0),0)</f>
        <v>1670.23333333332</v>
      </c>
      <c r="M1155" s="131" cm="1">
        <f ca="1" t="array" ref="M1155">IF(M1757=1,OFFSET($W$634,$B1155,M$631-1)/SUMPRODUCT(--($D$631:$V$631=M$631),--($D1757:$V1757=1)),0)+SUM(M1154)+IF(COUNTIF(M$1237:M1757,1)=1,5,0)+IF(COUNTIF(N1155:$W1155,"&gt;"&amp;0)&lt;5,IF(AND(COUNTIF(M$1237:M1757,1)&gt;7,MOD(1+IFERROR(MATCH($C1155,总览!$D$46:$D$345,1)+1,1),7)=0),$C$3,0),0)</f>
        <v>702.038392857147</v>
      </c>
      <c r="N1155" s="131" cm="1">
        <f ca="1" t="array" ref="N1155">IF(N1757=1,OFFSET($W$634,$B1155,N$631-1)/SUMPRODUCT(--($D$631:$V$631=N$631),--($D1757:$V1757=1)),0)+SUM(N1154)+IF(COUNTIF(N$1237:N1757,1)=1,5,0)+IF(COUNTIF(O1155:$W1155,"&gt;"&amp;0)&lt;5,IF(AND(COUNTIF(N$1237:N1757,1)&gt;7,MOD(1+IFERROR(MATCH($C1155,总览!$D$46:$D$345,1)+1,1),7)=0),$C$3,0),0)</f>
        <v>703.288392857147</v>
      </c>
      <c r="O1155" s="131" cm="1">
        <f ca="1" t="array" ref="O1155">IF(O1757=1,OFFSET($W$634,$B1155,O$631-1)/SUMPRODUCT(--($D$631:$V$631=O$631),--($D1757:$V1757=1)),0)+SUM(O1154)+IF(COUNTIF(O$1237:O1757,1)=1,5,0)+IF(COUNTIF(P1155:$W1155,"&gt;"&amp;0)&lt;5,IF(AND(COUNTIF(O$1237:O1757,1)&gt;7,MOD(1+IFERROR(MATCH($C1155,总览!$D$46:$D$345,1)+1,1),7)=0),$C$3,0),0)</f>
        <v>708.288392857147</v>
      </c>
      <c r="P1155" s="131" cm="1">
        <f ca="1" t="array" ref="P1155">IF(P1757=1,OFFSET($W$634,$B1155,P$631-1)/SUMPRODUCT(--($D$631:$V$631=P$631),--($D1757:$V1757=1)),0)+SUM(P1154)+IF(COUNTIF(P$1237:P1757,1)=1,5,0)+IF(COUNTIF(Q1155:$W1155,"&gt;"&amp;0)&lt;5,IF(AND(COUNTIF(P$1237:P1757,1)&gt;7,MOD(1+IFERROR(MATCH($C1155,总览!$D$46:$D$345,1)+1,1),7)=0),$C$3,0),0)</f>
        <v>697.407142857147</v>
      </c>
      <c r="Q1155" s="131" cm="1">
        <f ca="1" t="array" ref="Q1155">IF(Q1757=1,OFFSET($W$634,$B1155,Q$631-1)/SUMPRODUCT(--($D$631:$V$631=Q$631),--($D1757:$V1757=1)),0)+SUM(Q1154)+IF(COUNTIF(Q$1237:Q1757,1)=1,5,0)+IF(COUNTIF(R1155:$W1155,"&gt;"&amp;0)&lt;5,IF(AND(COUNTIF(Q$1237:Q1757,1)&gt;7,MOD(1+IFERROR(MATCH($C1155,总览!$D$46:$D$345,1)+1,1),7)=0),$C$3,0),0)</f>
        <v>710.788392857147</v>
      </c>
      <c r="R1155" s="131" cm="1">
        <f ca="1" t="array" ref="R1155">IF(R1757=1,OFFSET($W$634,$B1155,R$631-1)/SUMPRODUCT(--($D$631:$V$631=R$631),--($D1757:$V1757=1)),0)+SUM(R1154)+IF(COUNTIF(R$1237:R1757,1)=1,5,0)+IF(COUNTIF(S1155:$W1155,"&gt;"&amp;0)&lt;5,IF(AND(COUNTIF(R$1237:R1757,1)&gt;7,MOD(1+IFERROR(MATCH($C1155,总览!$D$46:$D$345,1)+1,1),7)=0),$C$3,0),0)</f>
        <v>702.407142857147</v>
      </c>
      <c r="S1155" s="131" cm="1">
        <f ca="1" t="array" ref="S1155">IF(S1757=1,OFFSET($W$634,$B1155,S$631-1)/SUMPRODUCT(--($D$631:$V$631=S$631),--($D1757:$V1757=1)),0)+SUM(S1154)+IF(COUNTIF(S$1237:S1757,1)=1,5,0)+IF(COUNTIF(T1155:$W1155,"&gt;"&amp;0)&lt;5,IF(AND(COUNTIF(S$1237:S1757,1)&gt;7,MOD(1+IFERROR(MATCH($C1155,总览!$D$46:$D$345,1)+1,1),7)=0),$C$3,0),0)</f>
        <v>794.907142857148</v>
      </c>
      <c r="T1155" s="131" cm="1">
        <f ca="1" t="array" ref="T1155">IF(T1757=1,OFFSET($W$634,$B1155,T$631-1)/SUMPRODUCT(--($D$631:$V$631=T$631),--($D1757:$V1757=1)),0)+SUM(T1154)+IF(COUNTIF(T$1237:T1757,1)=1,5,0)+IF(COUNTIF(U1155:$W1155,"&gt;"&amp;0)&lt;5,IF(AND(COUNTIF(T$1237:T1757,1)&gt;7,MOD(1+IFERROR(MATCH($C1155,总览!$D$46:$D$345,1)+1,1),7)=0),$C$3,0),0)</f>
        <v>582.177074765294</v>
      </c>
      <c r="U1155" s="131" cm="1">
        <f ca="1" t="array" ref="U1155">IF(U1757=1,OFFSET($W$634,$B1155,U$631-1)/SUMPRODUCT(--($D$631:$V$631=U$631),--($D1757:$V1757=1)),0)+SUM(U1154)+IF(COUNTIF(U$1237:U1757,1)=1,5,0)+IF(COUNTIF(V1155:$W1155,"&gt;"&amp;0)&lt;5,IF(AND(COUNTIF(U$1237:U1757,1)&gt;7,MOD(1+IFERROR(MATCH($C1155,总览!$D$46:$D$345,1)+1,1),7)=0),$C$3,0),0)</f>
        <v>587.697861120594</v>
      </c>
      <c r="V1155" s="131" cm="1">
        <f ca="1" t="array" ref="V1155">IF(V1757=1,OFFSET($W$634,$B1155,V$631-1)/SUMPRODUCT(--($D$631:$V$631=V$631),--($D1757:$V1757=1)),0)+SUM(V1154)+IF(COUNTIF(V$1237:V1757,1)=1,5,0)+IF(COUNTIF(W1155:$W1155,"&gt;"&amp;0)&lt;5,IF(AND(COUNTIF(V$1237:V1757,1)&gt;7,MOD(1+IFERROR(MATCH($C1155,总览!$D$46:$D$345,1)+1,1),7)=0),$C$3,0),0)</f>
        <v>607.524860833027</v>
      </c>
      <c r="W1155" s="135" cm="1">
        <f ca="1" t="array" ref="W1155">SUMPRODUCT(TRANSPOSE($AA1155:$AG1155),OFFSET($L$9:$L$15,0,W$631-1))</f>
        <v>16.8502200646615</v>
      </c>
      <c r="X1155" s="135" cm="1">
        <f ca="1" t="array" ref="X1155">SUMPRODUCT(TRANSPOSE($AA1155:$AG1155),OFFSET($L$9:$L$15,0,X$631-1))</f>
        <v>20</v>
      </c>
      <c r="Y1155" s="135" cm="1">
        <f ca="1" t="array" ref="Y1155">SUMPRODUCT(TRANSPOSE($AA1155:$AG1155),OFFSET($L$9:$L$15,0,Y$631-1))</f>
        <v>10</v>
      </c>
      <c r="Z1155" s="135" cm="1">
        <f ca="1" t="array" ref="Z1155">SUMPRODUCT(TRANSPOSE($AA1155:$AG1155),OFFSET($L$9:$L$15,0,Z$631-1))</f>
        <v>3.14977993533847</v>
      </c>
      <c r="AA1155" s="136">
        <f ca="1" t="shared" ref="AA1155:AG1155" si="1297">AH1155-AH1154</f>
        <v>0</v>
      </c>
      <c r="AB1155" s="136">
        <f ca="1" t="shared" si="1297"/>
        <v>0</v>
      </c>
      <c r="AC1155" s="136">
        <f ca="1" t="shared" si="1297"/>
        <v>0</v>
      </c>
      <c r="AD1155" s="136">
        <f ca="1" t="shared" si="1297"/>
        <v>0</v>
      </c>
      <c r="AE1155" s="136">
        <f ca="1" t="shared" si="1297"/>
        <v>0</v>
      </c>
      <c r="AF1155" s="136">
        <f ca="1" t="shared" si="1297"/>
        <v>0</v>
      </c>
      <c r="AG1155" s="136">
        <f ca="1" t="shared" si="1297"/>
        <v>100</v>
      </c>
      <c r="AH1155" s="136">
        <f ca="1" t="shared" si="1281"/>
        <v>450</v>
      </c>
      <c r="AI1155" s="136">
        <f ca="1" t="shared" ref="AI1155:AN1155" si="1298">IF($C1155&gt;OFFSET($Q$8,MATCH(AI$634,$AH$634:$AN$634,0),0),OFFSET($P$8,MATCH(AI$634,$AH$634:$AN$634,0),0),MAX(0,$C1155-OFFSET($Q$8,RIGHT(AI$634,1)-1,0)))</f>
        <v>909</v>
      </c>
      <c r="AJ1155" s="136">
        <f ca="1" t="shared" si="1298"/>
        <v>1818</v>
      </c>
      <c r="AK1155" s="136">
        <f ca="1" t="shared" si="1298"/>
        <v>2727</v>
      </c>
      <c r="AL1155" s="136">
        <f ca="1" t="shared" si="1298"/>
        <v>3636</v>
      </c>
      <c r="AM1155" s="136">
        <f ca="1" t="shared" si="1298"/>
        <v>4545</v>
      </c>
      <c r="AN1155" s="136">
        <f ca="1" t="shared" si="1298"/>
        <v>38015</v>
      </c>
    </row>
    <row r="1156" s="106" customFormat="1" ht="16.5" spans="2:40">
      <c r="B1156" s="117">
        <v>522</v>
      </c>
      <c r="C1156" s="130">
        <f t="shared" si="1279"/>
        <v>52200</v>
      </c>
      <c r="D1156" s="131" cm="1">
        <f ca="1" t="array" ref="D1156">IF(D1758=1,OFFSET($W$634,$B1156,D$631-1)/SUMPRODUCT(--($D$631:$V$631=D$631),--($D1758:$V1758=1)),0)+SUM(D1155)+IF(COUNTIF(D$1237:D1758,1)=1,5,0)+IF(COUNTIF(E1156:$W1156,"&gt;"&amp;0)&lt;5,IF(AND(COUNTIF(D$1237:D1758,1)&gt;7,MOD(1+IFERROR(MATCH($C1156,总览!$D$46:$D$345,1)+1,1),7)=0),$C$3,0),0)</f>
        <v>3259.64180778195</v>
      </c>
      <c r="E1156" s="131" cm="1">
        <f ca="1" t="array" ref="E1156">IF(E1758=1,OFFSET($W$634,$B1156,E$631-1)/SUMPRODUCT(--($D$631:$V$631=E$631),--($D1758:$V1758=1)),0)+SUM(E1155)+IF(COUNTIF(E$1237:E1758,1)=1,5,0)+IF(COUNTIF(F1156:$W1156,"&gt;"&amp;0)&lt;5,IF(AND(COUNTIF(E$1237:E1758,1)&gt;7,MOD(1+IFERROR(MATCH($C1156,总览!$D$46:$D$345,1)+1,1),7)=0),$C$3,0),0)</f>
        <v>3259.64180778195</v>
      </c>
      <c r="F1156" s="131" cm="1">
        <f ca="1" t="array" ref="F1156">IF(F1758=1,OFFSET($W$634,$B1156,F$631-1)/SUMPRODUCT(--($D$631:$V$631=F$631),--($D1758:$V1758=1)),0)+SUM(F1155)+IF(COUNTIF(F$1237:F1758,1)=1,5,0)+IF(COUNTIF(G1156:$W1156,"&gt;"&amp;0)&lt;5,IF(AND(COUNTIF(F$1237:F1758,1)&gt;7,MOD(1+IFERROR(MATCH($C1156,总览!$D$46:$D$345,1)+1,1),7)=0),$C$3,0),0)</f>
        <v>3259.64180778195</v>
      </c>
      <c r="G1156" s="131" cm="1">
        <f ca="1" t="array" ref="G1156">IF(G1758=1,OFFSET($W$634,$B1156,G$631-1)/SUMPRODUCT(--($D$631:$V$631=G$631),--($D1758:$V1758=1)),0)+SUM(G1155)+IF(COUNTIF(G$1237:G1758,1)=1,5,0)+IF(COUNTIF(H1156:$W1156,"&gt;"&amp;0)&lt;5,IF(AND(COUNTIF(G$1237:G1758,1)&gt;7,MOD(1+IFERROR(MATCH($C1156,总览!$D$46:$D$345,1)+1,1),7)=0),$C$3,0),0)</f>
        <v>1679.39999999999</v>
      </c>
      <c r="H1156" s="131" cm="1">
        <f ca="1" t="array" ref="H1156">IF(H1758=1,OFFSET($W$634,$B1156,H$631-1)/SUMPRODUCT(--($D$631:$V$631=H$631),--($D1758:$V1758=1)),0)+SUM(H1155)+IF(COUNTIF(H$1237:H1758,1)=1,5,0)+IF(COUNTIF(I1156:$W1156,"&gt;"&amp;0)&lt;5,IF(AND(COUNTIF(H$1237:H1758,1)&gt;7,MOD(1+IFERROR(MATCH($C1156,总览!$D$46:$D$345,1)+1,1),7)=0),$C$3,0),0)</f>
        <v>1679.39999999999</v>
      </c>
      <c r="I1156" s="131" cm="1">
        <f ca="1" t="array" ref="I1156">IF(I1758=1,OFFSET($W$634,$B1156,I$631-1)/SUMPRODUCT(--($D$631:$V$631=I$631),--($D1758:$V1758=1)),0)+SUM(I1155)+IF(COUNTIF(I$1237:I1758,1)=1,5,0)+IF(COUNTIF(J1156:$W1156,"&gt;"&amp;0)&lt;5,IF(AND(COUNTIF(I$1237:I1758,1)&gt;7,MOD(1+IFERROR(MATCH($C1156,总览!$D$46:$D$345,1)+1,1),7)=0),$C$3,0),0)</f>
        <v>1679.39999999999</v>
      </c>
      <c r="J1156" s="131" cm="1">
        <f ca="1" t="array" ref="J1156">IF(J1758=1,OFFSET($W$634,$B1156,J$631-1)/SUMPRODUCT(--($D$631:$V$631=J$631),--($D1758:$V1758=1)),0)+SUM(J1155)+IF(COUNTIF(J$1237:J1758,1)=1,5,0)+IF(COUNTIF(K1156:$W1156,"&gt;"&amp;0)&lt;5,IF(AND(COUNTIF(J$1237:J1758,1)&gt;7,MOD(1+IFERROR(MATCH($C1156,总览!$D$46:$D$345,1)+1,1),7)=0),$C$3,0),0)</f>
        <v>1676.06666666666</v>
      </c>
      <c r="K1156" s="131" cm="1">
        <f ca="1" t="array" ref="K1156">IF(K1758=1,OFFSET($W$634,$B1156,K$631-1)/SUMPRODUCT(--($D$631:$V$631=K$631),--($D1758:$V1758=1)),0)+SUM(K1155)+IF(COUNTIF(K$1237:K1758,1)=1,5,0)+IF(COUNTIF(L1156:$W1156,"&gt;"&amp;0)&lt;5,IF(AND(COUNTIF(K$1237:K1758,1)&gt;7,MOD(1+IFERROR(MATCH($C1156,总览!$D$46:$D$345,1)+1,1),7)=0),$C$3,0),0)</f>
        <v>1673.56666666666</v>
      </c>
      <c r="L1156" s="131" cm="1">
        <f ca="1" t="array" ref="L1156">IF(L1758=1,OFFSET($W$634,$B1156,L$631-1)/SUMPRODUCT(--($D$631:$V$631=L$631),--($D1758:$V1758=1)),0)+SUM(L1155)+IF(COUNTIF(L$1237:L1758,1)=1,5,0)+IF(COUNTIF(M1156:$W1156,"&gt;"&amp;0)&lt;5,IF(AND(COUNTIF(L$1237:L1758,1)&gt;7,MOD(1+IFERROR(MATCH($C1156,总览!$D$46:$D$345,1)+1,1),7)=0),$C$3,0),0)</f>
        <v>1673.56666666666</v>
      </c>
      <c r="M1156" s="131" cm="1">
        <f ca="1" t="array" ref="M1156">IF(M1758=1,OFFSET($W$634,$B1156,M$631-1)/SUMPRODUCT(--($D$631:$V$631=M$631),--($D1758:$V1758=1)),0)+SUM(M1155)+IF(COUNTIF(M$1237:M1758,1)=1,5,0)+IF(COUNTIF(N1156:$W1156,"&gt;"&amp;0)&lt;5,IF(AND(COUNTIF(M$1237:M1758,1)&gt;7,MOD(1+IFERROR(MATCH($C1156,总览!$D$46:$D$345,1)+1,1),7)=0),$C$3,0),0)</f>
        <v>703.466964285718</v>
      </c>
      <c r="N1156" s="131" cm="1">
        <f ca="1" t="array" ref="N1156">IF(N1758=1,OFFSET($W$634,$B1156,N$631-1)/SUMPRODUCT(--($D$631:$V$631=N$631),--($D1758:$V1758=1)),0)+SUM(N1155)+IF(COUNTIF(N$1237:N1758,1)=1,5,0)+IF(COUNTIF(O1156:$W1156,"&gt;"&amp;0)&lt;5,IF(AND(COUNTIF(N$1237:N1758,1)&gt;7,MOD(1+IFERROR(MATCH($C1156,总览!$D$46:$D$345,1)+1,1),7)=0),$C$3,0),0)</f>
        <v>704.716964285718</v>
      </c>
      <c r="O1156" s="131" cm="1">
        <f ca="1" t="array" ref="O1156">IF(O1758=1,OFFSET($W$634,$B1156,O$631-1)/SUMPRODUCT(--($D$631:$V$631=O$631),--($D1758:$V1758=1)),0)+SUM(O1155)+IF(COUNTIF(O$1237:O1758,1)=1,5,0)+IF(COUNTIF(P1156:$W1156,"&gt;"&amp;0)&lt;5,IF(AND(COUNTIF(O$1237:O1758,1)&gt;7,MOD(1+IFERROR(MATCH($C1156,总览!$D$46:$D$345,1)+1,1),7)=0),$C$3,0),0)</f>
        <v>709.716964285718</v>
      </c>
      <c r="P1156" s="131" cm="1">
        <f ca="1" t="array" ref="P1156">IF(P1758=1,OFFSET($W$634,$B1156,P$631-1)/SUMPRODUCT(--($D$631:$V$631=P$631),--($D1758:$V1758=1)),0)+SUM(P1155)+IF(COUNTIF(P$1237:P1758,1)=1,5,0)+IF(COUNTIF(Q1156:$W1156,"&gt;"&amp;0)&lt;5,IF(AND(COUNTIF(P$1237:P1758,1)&gt;7,MOD(1+IFERROR(MATCH($C1156,总览!$D$46:$D$345,1)+1,1),7)=0),$C$3,0),0)</f>
        <v>698.835714285718</v>
      </c>
      <c r="Q1156" s="131" cm="1">
        <f ca="1" t="array" ref="Q1156">IF(Q1758=1,OFFSET($W$634,$B1156,Q$631-1)/SUMPRODUCT(--($D$631:$V$631=Q$631),--($D1758:$V1758=1)),0)+SUM(Q1155)+IF(COUNTIF(Q$1237:Q1758,1)=1,5,0)+IF(COUNTIF(R1156:$W1156,"&gt;"&amp;0)&lt;5,IF(AND(COUNTIF(Q$1237:Q1758,1)&gt;7,MOD(1+IFERROR(MATCH($C1156,总览!$D$46:$D$345,1)+1,1),7)=0),$C$3,0),0)</f>
        <v>712.216964285718</v>
      </c>
      <c r="R1156" s="131" cm="1">
        <f ca="1" t="array" ref="R1156">IF(R1758=1,OFFSET($W$634,$B1156,R$631-1)/SUMPRODUCT(--($D$631:$V$631=R$631),--($D1758:$V1758=1)),0)+SUM(R1155)+IF(COUNTIF(R$1237:R1758,1)=1,5,0)+IF(COUNTIF(S1156:$W1156,"&gt;"&amp;0)&lt;5,IF(AND(COUNTIF(R$1237:R1758,1)&gt;7,MOD(1+IFERROR(MATCH($C1156,总览!$D$46:$D$345,1)+1,1),7)=0),$C$3,0),0)</f>
        <v>703.835714285718</v>
      </c>
      <c r="S1156" s="131" cm="1">
        <f ca="1" t="array" ref="S1156">IF(S1758=1,OFFSET($W$634,$B1156,S$631-1)/SUMPRODUCT(--($D$631:$V$631=S$631),--($D1758:$V1758=1)),0)+SUM(S1155)+IF(COUNTIF(S$1237:S1758,1)=1,5,0)+IF(COUNTIF(T1156:$W1156,"&gt;"&amp;0)&lt;5,IF(AND(COUNTIF(S$1237:S1758,1)&gt;7,MOD(1+IFERROR(MATCH($C1156,总览!$D$46:$D$345,1)+1,1),7)=0),$C$3,0),0)</f>
        <v>796.335714285719</v>
      </c>
      <c r="T1156" s="131" cm="1">
        <f ca="1" t="array" ref="T1156">IF(T1758=1,OFFSET($W$634,$B1156,T$631-1)/SUMPRODUCT(--($D$631:$V$631=T$631),--($D1758:$V1758=1)),0)+SUM(T1155)+IF(COUNTIF(T$1237:T1758,1)=1,5,0)+IF(COUNTIF(U1156:$W1156,"&gt;"&amp;0)&lt;5,IF(AND(COUNTIF(T$1237:T1758,1)&gt;7,MOD(1+IFERROR(MATCH($C1156,总览!$D$46:$D$345,1)+1,1),7)=0),$C$3,0),0)</f>
        <v>583.227001410407</v>
      </c>
      <c r="U1156" s="131" cm="1">
        <f ca="1" t="array" ref="U1156">IF(U1758=1,OFFSET($W$634,$B1156,U$631-1)/SUMPRODUCT(--($D$631:$V$631=U$631),--($D1758:$V1758=1)),0)+SUM(U1155)+IF(COUNTIF(U$1237:U1758,1)=1,5,0)+IF(COUNTIF(V1156:$W1156,"&gt;"&amp;0)&lt;5,IF(AND(COUNTIF(U$1237:U1758,1)&gt;7,MOD(1+IFERROR(MATCH($C1156,总览!$D$46:$D$345,1)+1,1),7)=0),$C$3,0),0)</f>
        <v>588.747787765707</v>
      </c>
      <c r="V1156" s="131" cm="1">
        <f ca="1" t="array" ref="V1156">IF(V1758=1,OFFSET($W$634,$B1156,V$631-1)/SUMPRODUCT(--($D$631:$V$631=V$631),--($D1758:$V1758=1)),0)+SUM(V1155)+IF(COUNTIF(V$1237:V1758,1)=1,5,0)+IF(COUNTIF(W1156:$W1156,"&gt;"&amp;0)&lt;5,IF(AND(COUNTIF(V$1237:V1758,1)&gt;7,MOD(1+IFERROR(MATCH($C1156,总览!$D$46:$D$345,1)+1,1),7)=0),$C$3,0),0)</f>
        <v>608.57478747814</v>
      </c>
      <c r="W1156" s="135" cm="1">
        <f ca="1" t="array" ref="W1156">SUMPRODUCT(TRANSPOSE($AA1156:$AG1156),OFFSET($L$9:$L$15,0,W$631-1))</f>
        <v>16.8502200646615</v>
      </c>
      <c r="X1156" s="135" cm="1">
        <f ca="1" t="array" ref="X1156">SUMPRODUCT(TRANSPOSE($AA1156:$AG1156),OFFSET($L$9:$L$15,0,X$631-1))</f>
        <v>20</v>
      </c>
      <c r="Y1156" s="135" cm="1">
        <f ca="1" t="array" ref="Y1156">SUMPRODUCT(TRANSPOSE($AA1156:$AG1156),OFFSET($L$9:$L$15,0,Y$631-1))</f>
        <v>10</v>
      </c>
      <c r="Z1156" s="135" cm="1">
        <f ca="1" t="array" ref="Z1156">SUMPRODUCT(TRANSPOSE($AA1156:$AG1156),OFFSET($L$9:$L$15,0,Z$631-1))</f>
        <v>3.14977993533847</v>
      </c>
      <c r="AA1156" s="136">
        <f ca="1" t="shared" ref="AA1156:AG1156" si="1299">AH1156-AH1155</f>
        <v>0</v>
      </c>
      <c r="AB1156" s="136">
        <f ca="1" t="shared" si="1299"/>
        <v>0</v>
      </c>
      <c r="AC1156" s="136">
        <f ca="1" t="shared" si="1299"/>
        <v>0</v>
      </c>
      <c r="AD1156" s="136">
        <f ca="1" t="shared" si="1299"/>
        <v>0</v>
      </c>
      <c r="AE1156" s="136">
        <f ca="1" t="shared" si="1299"/>
        <v>0</v>
      </c>
      <c r="AF1156" s="136">
        <f ca="1" t="shared" si="1299"/>
        <v>0</v>
      </c>
      <c r="AG1156" s="136">
        <f ca="1" t="shared" si="1299"/>
        <v>100</v>
      </c>
      <c r="AH1156" s="136">
        <f ca="1" t="shared" si="1281"/>
        <v>450</v>
      </c>
      <c r="AI1156" s="136">
        <f ca="1" t="shared" ref="AI1156:AN1156" si="1300">IF($C1156&gt;OFFSET($Q$8,MATCH(AI$634,$AH$634:$AN$634,0),0),OFFSET($P$8,MATCH(AI$634,$AH$634:$AN$634,0),0),MAX(0,$C1156-OFFSET($Q$8,RIGHT(AI$634,1)-1,0)))</f>
        <v>909</v>
      </c>
      <c r="AJ1156" s="136">
        <f ca="1" t="shared" si="1300"/>
        <v>1818</v>
      </c>
      <c r="AK1156" s="136">
        <f ca="1" t="shared" si="1300"/>
        <v>2727</v>
      </c>
      <c r="AL1156" s="136">
        <f ca="1" t="shared" si="1300"/>
        <v>3636</v>
      </c>
      <c r="AM1156" s="136">
        <f ca="1" t="shared" si="1300"/>
        <v>4545</v>
      </c>
      <c r="AN1156" s="136">
        <f ca="1" t="shared" si="1300"/>
        <v>38115</v>
      </c>
    </row>
    <row r="1157" s="106" customFormat="1" ht="16.5" spans="2:40">
      <c r="B1157" s="117">
        <v>523</v>
      </c>
      <c r="C1157" s="130">
        <f t="shared" si="1279"/>
        <v>52300</v>
      </c>
      <c r="D1157" s="131" cm="1">
        <f ca="1" t="array" ref="D1157">IF(D1759=1,OFFSET($W$634,$B1157,D$631-1)/SUMPRODUCT(--($D$631:$V$631=D$631),--($D1759:$V1759=1)),0)+SUM(D1156)+IF(COUNTIF(D$1237:D1759,1)=1,5,0)+IF(COUNTIF(E1157:$W1157,"&gt;"&amp;0)&lt;5,IF(AND(COUNTIF(D$1237:D1759,1)&gt;7,MOD(1+IFERROR(MATCH($C1157,总览!$D$46:$D$345,1)+1,1),7)=0),$C$3,0),0)</f>
        <v>3265.25854780351</v>
      </c>
      <c r="E1157" s="131" cm="1">
        <f ca="1" t="array" ref="E1157">IF(E1759=1,OFFSET($W$634,$B1157,E$631-1)/SUMPRODUCT(--($D$631:$V$631=E$631),--($D1759:$V1759=1)),0)+SUM(E1156)+IF(COUNTIF(E$1237:E1759,1)=1,5,0)+IF(COUNTIF(F1157:$W1157,"&gt;"&amp;0)&lt;5,IF(AND(COUNTIF(E$1237:E1759,1)&gt;7,MOD(1+IFERROR(MATCH($C1157,总览!$D$46:$D$345,1)+1,1),7)=0),$C$3,0),0)</f>
        <v>3265.25854780351</v>
      </c>
      <c r="F1157" s="131" cm="1">
        <f ca="1" t="array" ref="F1157">IF(F1759=1,OFFSET($W$634,$B1157,F$631-1)/SUMPRODUCT(--($D$631:$V$631=F$631),--($D1759:$V1759=1)),0)+SUM(F1156)+IF(COUNTIF(F$1237:F1759,1)=1,5,0)+IF(COUNTIF(G1157:$W1157,"&gt;"&amp;0)&lt;5,IF(AND(COUNTIF(F$1237:F1759,1)&gt;7,MOD(1+IFERROR(MATCH($C1157,总览!$D$46:$D$345,1)+1,1),7)=0),$C$3,0),0)</f>
        <v>3265.25854780351</v>
      </c>
      <c r="G1157" s="131" cm="1">
        <f ca="1" t="array" ref="G1157">IF(G1759=1,OFFSET($W$634,$B1157,G$631-1)/SUMPRODUCT(--($D$631:$V$631=G$631),--($D1759:$V1759=1)),0)+SUM(G1156)+IF(COUNTIF(G$1237:G1759,1)=1,5,0)+IF(COUNTIF(H1157:$W1157,"&gt;"&amp;0)&lt;5,IF(AND(COUNTIF(G$1237:G1759,1)&gt;7,MOD(1+IFERROR(MATCH($C1157,总览!$D$46:$D$345,1)+1,1),7)=0),$C$3,0),0)</f>
        <v>1682.73333333332</v>
      </c>
      <c r="H1157" s="131" cm="1">
        <f ca="1" t="array" ref="H1157">IF(H1759=1,OFFSET($W$634,$B1157,H$631-1)/SUMPRODUCT(--($D$631:$V$631=H$631),--($D1759:$V1759=1)),0)+SUM(H1156)+IF(COUNTIF(H$1237:H1759,1)=1,5,0)+IF(COUNTIF(I1157:$W1157,"&gt;"&amp;0)&lt;5,IF(AND(COUNTIF(H$1237:H1759,1)&gt;7,MOD(1+IFERROR(MATCH($C1157,总览!$D$46:$D$345,1)+1,1),7)=0),$C$3,0),0)</f>
        <v>1682.73333333332</v>
      </c>
      <c r="I1157" s="131" cm="1">
        <f ca="1" t="array" ref="I1157">IF(I1759=1,OFFSET($W$634,$B1157,I$631-1)/SUMPRODUCT(--($D$631:$V$631=I$631),--($D1759:$V1759=1)),0)+SUM(I1156)+IF(COUNTIF(I$1237:I1759,1)=1,5,0)+IF(COUNTIF(J1157:$W1157,"&gt;"&amp;0)&lt;5,IF(AND(COUNTIF(I$1237:I1759,1)&gt;7,MOD(1+IFERROR(MATCH($C1157,总览!$D$46:$D$345,1)+1,1),7)=0),$C$3,0),0)</f>
        <v>1682.73333333332</v>
      </c>
      <c r="J1157" s="131" cm="1">
        <f ca="1" t="array" ref="J1157">IF(J1759=1,OFFSET($W$634,$B1157,J$631-1)/SUMPRODUCT(--($D$631:$V$631=J$631),--($D1759:$V1759=1)),0)+SUM(J1156)+IF(COUNTIF(J$1237:J1759,1)=1,5,0)+IF(COUNTIF(K1157:$W1157,"&gt;"&amp;0)&lt;5,IF(AND(COUNTIF(J$1237:J1759,1)&gt;7,MOD(1+IFERROR(MATCH($C1157,总览!$D$46:$D$345,1)+1,1),7)=0),$C$3,0),0)</f>
        <v>1679.39999999999</v>
      </c>
      <c r="K1157" s="131" cm="1">
        <f ca="1" t="array" ref="K1157">IF(K1759=1,OFFSET($W$634,$B1157,K$631-1)/SUMPRODUCT(--($D$631:$V$631=K$631),--($D1759:$V1759=1)),0)+SUM(K1156)+IF(COUNTIF(K$1237:K1759,1)=1,5,0)+IF(COUNTIF(L1157:$W1157,"&gt;"&amp;0)&lt;5,IF(AND(COUNTIF(K$1237:K1759,1)&gt;7,MOD(1+IFERROR(MATCH($C1157,总览!$D$46:$D$345,1)+1,1),7)=0),$C$3,0),0)</f>
        <v>1676.89999999999</v>
      </c>
      <c r="L1157" s="131" cm="1">
        <f ca="1" t="array" ref="L1157">IF(L1759=1,OFFSET($W$634,$B1157,L$631-1)/SUMPRODUCT(--($D$631:$V$631=L$631),--($D1759:$V1759=1)),0)+SUM(L1156)+IF(COUNTIF(L$1237:L1759,1)=1,5,0)+IF(COUNTIF(M1157:$W1157,"&gt;"&amp;0)&lt;5,IF(AND(COUNTIF(L$1237:L1759,1)&gt;7,MOD(1+IFERROR(MATCH($C1157,总览!$D$46:$D$345,1)+1,1),7)=0),$C$3,0),0)</f>
        <v>1676.89999999999</v>
      </c>
      <c r="M1157" s="131" cm="1">
        <f ca="1" t="array" ref="M1157">IF(M1759=1,OFFSET($W$634,$B1157,M$631-1)/SUMPRODUCT(--($D$631:$V$631=M$631),--($D1759:$V1759=1)),0)+SUM(M1156)+IF(COUNTIF(M$1237:M1759,1)=1,5,0)+IF(COUNTIF(N1157:$W1157,"&gt;"&amp;0)&lt;5,IF(AND(COUNTIF(M$1237:M1759,1)&gt;7,MOD(1+IFERROR(MATCH($C1157,总览!$D$46:$D$345,1)+1,1),7)=0),$C$3,0),0)</f>
        <v>704.89553571429</v>
      </c>
      <c r="N1157" s="131" cm="1">
        <f ca="1" t="array" ref="N1157">IF(N1759=1,OFFSET($W$634,$B1157,N$631-1)/SUMPRODUCT(--($D$631:$V$631=N$631),--($D1759:$V1759=1)),0)+SUM(N1156)+IF(COUNTIF(N$1237:N1759,1)=1,5,0)+IF(COUNTIF(O1157:$W1157,"&gt;"&amp;0)&lt;5,IF(AND(COUNTIF(N$1237:N1759,1)&gt;7,MOD(1+IFERROR(MATCH($C1157,总览!$D$46:$D$345,1)+1,1),7)=0),$C$3,0),0)</f>
        <v>706.14553571429</v>
      </c>
      <c r="O1157" s="131" cm="1">
        <f ca="1" t="array" ref="O1157">IF(O1759=1,OFFSET($W$634,$B1157,O$631-1)/SUMPRODUCT(--($D$631:$V$631=O$631),--($D1759:$V1759=1)),0)+SUM(O1156)+IF(COUNTIF(O$1237:O1759,1)=1,5,0)+IF(COUNTIF(P1157:$W1157,"&gt;"&amp;0)&lt;5,IF(AND(COUNTIF(O$1237:O1759,1)&gt;7,MOD(1+IFERROR(MATCH($C1157,总览!$D$46:$D$345,1)+1,1),7)=0),$C$3,0),0)</f>
        <v>711.14553571429</v>
      </c>
      <c r="P1157" s="131" cm="1">
        <f ca="1" t="array" ref="P1157">IF(P1759=1,OFFSET($W$634,$B1157,P$631-1)/SUMPRODUCT(--($D$631:$V$631=P$631),--($D1759:$V1759=1)),0)+SUM(P1156)+IF(COUNTIF(P$1237:P1759,1)=1,5,0)+IF(COUNTIF(Q1157:$W1157,"&gt;"&amp;0)&lt;5,IF(AND(COUNTIF(P$1237:P1759,1)&gt;7,MOD(1+IFERROR(MATCH($C1157,总览!$D$46:$D$345,1)+1,1),7)=0),$C$3,0),0)</f>
        <v>700.26428571429</v>
      </c>
      <c r="Q1157" s="131" cm="1">
        <f ca="1" t="array" ref="Q1157">IF(Q1759=1,OFFSET($W$634,$B1157,Q$631-1)/SUMPRODUCT(--($D$631:$V$631=Q$631),--($D1759:$V1759=1)),0)+SUM(Q1156)+IF(COUNTIF(Q$1237:Q1759,1)=1,5,0)+IF(COUNTIF(R1157:$W1157,"&gt;"&amp;0)&lt;5,IF(AND(COUNTIF(Q$1237:Q1759,1)&gt;7,MOD(1+IFERROR(MATCH($C1157,总览!$D$46:$D$345,1)+1,1),7)=0),$C$3,0),0)</f>
        <v>713.64553571429</v>
      </c>
      <c r="R1157" s="131" cm="1">
        <f ca="1" t="array" ref="R1157">IF(R1759=1,OFFSET($W$634,$B1157,R$631-1)/SUMPRODUCT(--($D$631:$V$631=R$631),--($D1759:$V1759=1)),0)+SUM(R1156)+IF(COUNTIF(R$1237:R1759,1)=1,5,0)+IF(COUNTIF(S1157:$W1157,"&gt;"&amp;0)&lt;5,IF(AND(COUNTIF(R$1237:R1759,1)&gt;7,MOD(1+IFERROR(MATCH($C1157,总览!$D$46:$D$345,1)+1,1),7)=0),$C$3,0),0)</f>
        <v>705.26428571429</v>
      </c>
      <c r="S1157" s="131" cm="1">
        <f ca="1" t="array" ref="S1157">IF(S1759=1,OFFSET($W$634,$B1157,S$631-1)/SUMPRODUCT(--($D$631:$V$631=S$631),--($D1759:$V1759=1)),0)+SUM(S1156)+IF(COUNTIF(S$1237:S1759,1)=1,5,0)+IF(COUNTIF(T1157:$W1157,"&gt;"&amp;0)&lt;5,IF(AND(COUNTIF(S$1237:S1759,1)&gt;7,MOD(1+IFERROR(MATCH($C1157,总览!$D$46:$D$345,1)+1,1),7)=0),$C$3,0),0)</f>
        <v>797.764285714291</v>
      </c>
      <c r="T1157" s="131" cm="1">
        <f ca="1" t="array" ref="T1157">IF(T1759=1,OFFSET($W$634,$B1157,T$631-1)/SUMPRODUCT(--($D$631:$V$631=T$631),--($D1759:$V1759=1)),0)+SUM(T1156)+IF(COUNTIF(T$1237:T1759,1)=1,5,0)+IF(COUNTIF(U1157:$W1157,"&gt;"&amp;0)&lt;5,IF(AND(COUNTIF(T$1237:T1759,1)&gt;7,MOD(1+IFERROR(MATCH($C1157,总览!$D$46:$D$345,1)+1,1),7)=0),$C$3,0),0)</f>
        <v>584.27692805552</v>
      </c>
      <c r="U1157" s="131" cm="1">
        <f ca="1" t="array" ref="U1157">IF(U1759=1,OFFSET($W$634,$B1157,U$631-1)/SUMPRODUCT(--($D$631:$V$631=U$631),--($D1759:$V1759=1)),0)+SUM(U1156)+IF(COUNTIF(U$1237:U1759,1)=1,5,0)+IF(COUNTIF(V1157:$W1157,"&gt;"&amp;0)&lt;5,IF(AND(COUNTIF(U$1237:U1759,1)&gt;7,MOD(1+IFERROR(MATCH($C1157,总览!$D$46:$D$345,1)+1,1),7)=0),$C$3,0),0)</f>
        <v>589.797714410819</v>
      </c>
      <c r="V1157" s="131" cm="1">
        <f ca="1" t="array" ref="V1157">IF(V1759=1,OFFSET($W$634,$B1157,V$631-1)/SUMPRODUCT(--($D$631:$V$631=V$631),--($D1759:$V1759=1)),0)+SUM(V1156)+IF(COUNTIF(V$1237:V1759,1)=1,5,0)+IF(COUNTIF(W1157:$W1157,"&gt;"&amp;0)&lt;5,IF(AND(COUNTIF(V$1237:V1759,1)&gt;7,MOD(1+IFERROR(MATCH($C1157,总览!$D$46:$D$345,1)+1,1),7)=0),$C$3,0),0)</f>
        <v>609.624714123252</v>
      </c>
      <c r="W1157" s="135" cm="1">
        <f ca="1" t="array" ref="W1157">SUMPRODUCT(TRANSPOSE($AA1157:$AG1157),OFFSET($L$9:$L$15,0,W$631-1))</f>
        <v>16.8502200646615</v>
      </c>
      <c r="X1157" s="135" cm="1">
        <f ca="1" t="array" ref="X1157">SUMPRODUCT(TRANSPOSE($AA1157:$AG1157),OFFSET($L$9:$L$15,0,X$631-1))</f>
        <v>20</v>
      </c>
      <c r="Y1157" s="135" cm="1">
        <f ca="1" t="array" ref="Y1157">SUMPRODUCT(TRANSPOSE($AA1157:$AG1157),OFFSET($L$9:$L$15,0,Y$631-1))</f>
        <v>10</v>
      </c>
      <c r="Z1157" s="135" cm="1">
        <f ca="1" t="array" ref="Z1157">SUMPRODUCT(TRANSPOSE($AA1157:$AG1157),OFFSET($L$9:$L$15,0,Z$631-1))</f>
        <v>3.14977993533847</v>
      </c>
      <c r="AA1157" s="136">
        <f ca="1" t="shared" ref="AA1157:AG1157" si="1301">AH1157-AH1156</f>
        <v>0</v>
      </c>
      <c r="AB1157" s="136">
        <f ca="1" t="shared" si="1301"/>
        <v>0</v>
      </c>
      <c r="AC1157" s="136">
        <f ca="1" t="shared" si="1301"/>
        <v>0</v>
      </c>
      <c r="AD1157" s="136">
        <f ca="1" t="shared" si="1301"/>
        <v>0</v>
      </c>
      <c r="AE1157" s="136">
        <f ca="1" t="shared" si="1301"/>
        <v>0</v>
      </c>
      <c r="AF1157" s="136">
        <f ca="1" t="shared" si="1301"/>
        <v>0</v>
      </c>
      <c r="AG1157" s="136">
        <f ca="1" t="shared" si="1301"/>
        <v>100</v>
      </c>
      <c r="AH1157" s="136">
        <f ca="1" t="shared" si="1281"/>
        <v>450</v>
      </c>
      <c r="AI1157" s="136">
        <f ca="1" t="shared" ref="AI1157:AN1157" si="1302">IF($C1157&gt;OFFSET($Q$8,MATCH(AI$634,$AH$634:$AN$634,0),0),OFFSET($P$8,MATCH(AI$634,$AH$634:$AN$634,0),0),MAX(0,$C1157-OFFSET($Q$8,RIGHT(AI$634,1)-1,0)))</f>
        <v>909</v>
      </c>
      <c r="AJ1157" s="136">
        <f ca="1" t="shared" si="1302"/>
        <v>1818</v>
      </c>
      <c r="AK1157" s="136">
        <f ca="1" t="shared" si="1302"/>
        <v>2727</v>
      </c>
      <c r="AL1157" s="136">
        <f ca="1" t="shared" si="1302"/>
        <v>3636</v>
      </c>
      <c r="AM1157" s="136">
        <f ca="1" t="shared" si="1302"/>
        <v>4545</v>
      </c>
      <c r="AN1157" s="136">
        <f ca="1" t="shared" si="1302"/>
        <v>38215</v>
      </c>
    </row>
    <row r="1158" s="106" customFormat="1" ht="16.5" spans="2:40">
      <c r="B1158" s="117">
        <v>524</v>
      </c>
      <c r="C1158" s="130">
        <f t="shared" si="1279"/>
        <v>52400</v>
      </c>
      <c r="D1158" s="131" cm="1">
        <f ca="1" t="array" ref="D1158">IF(D1760=1,OFFSET($W$634,$B1158,D$631-1)/SUMPRODUCT(--($D$631:$V$631=D$631),--($D1760:$V1760=1)),0)+SUM(D1157)+IF(COUNTIF(D$1237:D1760,1)=1,5,0)+IF(COUNTIF(E1158:$W1158,"&gt;"&amp;0)&lt;5,IF(AND(COUNTIF(D$1237:D1760,1)&gt;7,MOD(1+IFERROR(MATCH($C1158,总览!$D$46:$D$345,1)+1,1),7)=0),$C$3,0),0)</f>
        <v>3270.87528782506</v>
      </c>
      <c r="E1158" s="131" cm="1">
        <f ca="1" t="array" ref="E1158">IF(E1760=1,OFFSET($W$634,$B1158,E$631-1)/SUMPRODUCT(--($D$631:$V$631=E$631),--($D1760:$V1760=1)),0)+SUM(E1157)+IF(COUNTIF(E$1237:E1760,1)=1,5,0)+IF(COUNTIF(F1158:$W1158,"&gt;"&amp;0)&lt;5,IF(AND(COUNTIF(E$1237:E1760,1)&gt;7,MOD(1+IFERROR(MATCH($C1158,总览!$D$46:$D$345,1)+1,1),7)=0),$C$3,0),0)</f>
        <v>3270.87528782506</v>
      </c>
      <c r="F1158" s="131" cm="1">
        <f ca="1" t="array" ref="F1158">IF(F1760=1,OFFSET($W$634,$B1158,F$631-1)/SUMPRODUCT(--($D$631:$V$631=F$631),--($D1760:$V1760=1)),0)+SUM(F1157)+IF(COUNTIF(F$1237:F1760,1)=1,5,0)+IF(COUNTIF(G1158:$W1158,"&gt;"&amp;0)&lt;5,IF(AND(COUNTIF(F$1237:F1760,1)&gt;7,MOD(1+IFERROR(MATCH($C1158,总览!$D$46:$D$345,1)+1,1),7)=0),$C$3,0),0)</f>
        <v>3270.87528782506</v>
      </c>
      <c r="G1158" s="131" cm="1">
        <f ca="1" t="array" ref="G1158">IF(G1760=1,OFFSET($W$634,$B1158,G$631-1)/SUMPRODUCT(--($D$631:$V$631=G$631),--($D1760:$V1760=1)),0)+SUM(G1157)+IF(COUNTIF(G$1237:G1760,1)=1,5,0)+IF(COUNTIF(H1158:$W1158,"&gt;"&amp;0)&lt;5,IF(AND(COUNTIF(G$1237:G1760,1)&gt;7,MOD(1+IFERROR(MATCH($C1158,总览!$D$46:$D$345,1)+1,1),7)=0),$C$3,0),0)</f>
        <v>1686.06666666666</v>
      </c>
      <c r="H1158" s="131" cm="1">
        <f ca="1" t="array" ref="H1158">IF(H1760=1,OFFSET($W$634,$B1158,H$631-1)/SUMPRODUCT(--($D$631:$V$631=H$631),--($D1760:$V1760=1)),0)+SUM(H1157)+IF(COUNTIF(H$1237:H1760,1)=1,5,0)+IF(COUNTIF(I1158:$W1158,"&gt;"&amp;0)&lt;5,IF(AND(COUNTIF(H$1237:H1760,1)&gt;7,MOD(1+IFERROR(MATCH($C1158,总览!$D$46:$D$345,1)+1,1),7)=0),$C$3,0),0)</f>
        <v>1686.06666666666</v>
      </c>
      <c r="I1158" s="131" cm="1">
        <f ca="1" t="array" ref="I1158">IF(I1760=1,OFFSET($W$634,$B1158,I$631-1)/SUMPRODUCT(--($D$631:$V$631=I$631),--($D1760:$V1760=1)),0)+SUM(I1157)+IF(COUNTIF(I$1237:I1760,1)=1,5,0)+IF(COUNTIF(J1158:$W1158,"&gt;"&amp;0)&lt;5,IF(AND(COUNTIF(I$1237:I1760,1)&gt;7,MOD(1+IFERROR(MATCH($C1158,总览!$D$46:$D$345,1)+1,1),7)=0),$C$3,0),0)</f>
        <v>1686.06666666666</v>
      </c>
      <c r="J1158" s="131" cm="1">
        <f ca="1" t="array" ref="J1158">IF(J1760=1,OFFSET($W$634,$B1158,J$631-1)/SUMPRODUCT(--($D$631:$V$631=J$631),--($D1760:$V1760=1)),0)+SUM(J1157)+IF(COUNTIF(J$1237:J1760,1)=1,5,0)+IF(COUNTIF(K1158:$W1158,"&gt;"&amp;0)&lt;5,IF(AND(COUNTIF(J$1237:J1760,1)&gt;7,MOD(1+IFERROR(MATCH($C1158,总览!$D$46:$D$345,1)+1,1),7)=0),$C$3,0),0)</f>
        <v>1682.73333333332</v>
      </c>
      <c r="K1158" s="131" cm="1">
        <f ca="1" t="array" ref="K1158">IF(K1760=1,OFFSET($W$634,$B1158,K$631-1)/SUMPRODUCT(--($D$631:$V$631=K$631),--($D1760:$V1760=1)),0)+SUM(K1157)+IF(COUNTIF(K$1237:K1760,1)=1,5,0)+IF(COUNTIF(L1158:$W1158,"&gt;"&amp;0)&lt;5,IF(AND(COUNTIF(K$1237:K1760,1)&gt;7,MOD(1+IFERROR(MATCH($C1158,总览!$D$46:$D$345,1)+1,1),7)=0),$C$3,0),0)</f>
        <v>1680.23333333332</v>
      </c>
      <c r="L1158" s="131" cm="1">
        <f ca="1" t="array" ref="L1158">IF(L1760=1,OFFSET($W$634,$B1158,L$631-1)/SUMPRODUCT(--($D$631:$V$631=L$631),--($D1760:$V1760=1)),0)+SUM(L1157)+IF(COUNTIF(L$1237:L1760,1)=1,5,0)+IF(COUNTIF(M1158:$W1158,"&gt;"&amp;0)&lt;5,IF(AND(COUNTIF(L$1237:L1760,1)&gt;7,MOD(1+IFERROR(MATCH($C1158,总览!$D$46:$D$345,1)+1,1),7)=0),$C$3,0),0)</f>
        <v>1680.23333333332</v>
      </c>
      <c r="M1158" s="131" cm="1">
        <f ca="1" t="array" ref="M1158">IF(M1760=1,OFFSET($W$634,$B1158,M$631-1)/SUMPRODUCT(--($D$631:$V$631=M$631),--($D1760:$V1760=1)),0)+SUM(M1157)+IF(COUNTIF(M$1237:M1760,1)=1,5,0)+IF(COUNTIF(N1158:$W1158,"&gt;"&amp;0)&lt;5,IF(AND(COUNTIF(M$1237:M1760,1)&gt;7,MOD(1+IFERROR(MATCH($C1158,总览!$D$46:$D$345,1)+1,1),7)=0),$C$3,0),0)</f>
        <v>706.324107142861</v>
      </c>
      <c r="N1158" s="131" cm="1">
        <f ca="1" t="array" ref="N1158">IF(N1760=1,OFFSET($W$634,$B1158,N$631-1)/SUMPRODUCT(--($D$631:$V$631=N$631),--($D1760:$V1760=1)),0)+SUM(N1157)+IF(COUNTIF(N$1237:N1760,1)=1,5,0)+IF(COUNTIF(O1158:$W1158,"&gt;"&amp;0)&lt;5,IF(AND(COUNTIF(N$1237:N1760,1)&gt;7,MOD(1+IFERROR(MATCH($C1158,总览!$D$46:$D$345,1)+1,1),7)=0),$C$3,0),0)</f>
        <v>707.574107142861</v>
      </c>
      <c r="O1158" s="131" cm="1">
        <f ca="1" t="array" ref="O1158">IF(O1760=1,OFFSET($W$634,$B1158,O$631-1)/SUMPRODUCT(--($D$631:$V$631=O$631),--($D1760:$V1760=1)),0)+SUM(O1157)+IF(COUNTIF(O$1237:O1760,1)=1,5,0)+IF(COUNTIF(P1158:$W1158,"&gt;"&amp;0)&lt;5,IF(AND(COUNTIF(O$1237:O1760,1)&gt;7,MOD(1+IFERROR(MATCH($C1158,总览!$D$46:$D$345,1)+1,1),7)=0),$C$3,0),0)</f>
        <v>712.574107142861</v>
      </c>
      <c r="P1158" s="131" cm="1">
        <f ca="1" t="array" ref="P1158">IF(P1760=1,OFFSET($W$634,$B1158,P$631-1)/SUMPRODUCT(--($D$631:$V$631=P$631),--($D1760:$V1760=1)),0)+SUM(P1157)+IF(COUNTIF(P$1237:P1760,1)=1,5,0)+IF(COUNTIF(Q1158:$W1158,"&gt;"&amp;0)&lt;5,IF(AND(COUNTIF(P$1237:P1760,1)&gt;7,MOD(1+IFERROR(MATCH($C1158,总览!$D$46:$D$345,1)+1,1),7)=0),$C$3,0),0)</f>
        <v>701.692857142861</v>
      </c>
      <c r="Q1158" s="131" cm="1">
        <f ca="1" t="array" ref="Q1158">IF(Q1760=1,OFFSET($W$634,$B1158,Q$631-1)/SUMPRODUCT(--($D$631:$V$631=Q$631),--($D1760:$V1760=1)),0)+SUM(Q1157)+IF(COUNTIF(Q$1237:Q1760,1)=1,5,0)+IF(COUNTIF(R1158:$W1158,"&gt;"&amp;0)&lt;5,IF(AND(COUNTIF(Q$1237:Q1760,1)&gt;7,MOD(1+IFERROR(MATCH($C1158,总览!$D$46:$D$345,1)+1,1),7)=0),$C$3,0),0)</f>
        <v>715.074107142861</v>
      </c>
      <c r="R1158" s="131" cm="1">
        <f ca="1" t="array" ref="R1158">IF(R1760=1,OFFSET($W$634,$B1158,R$631-1)/SUMPRODUCT(--($D$631:$V$631=R$631),--($D1760:$V1760=1)),0)+SUM(R1157)+IF(COUNTIF(R$1237:R1760,1)=1,5,0)+IF(COUNTIF(S1158:$W1158,"&gt;"&amp;0)&lt;5,IF(AND(COUNTIF(R$1237:R1760,1)&gt;7,MOD(1+IFERROR(MATCH($C1158,总览!$D$46:$D$345,1)+1,1),7)=0),$C$3,0),0)</f>
        <v>706.692857142861</v>
      </c>
      <c r="S1158" s="131" cm="1">
        <f ca="1" t="array" ref="S1158">IF(S1760=1,OFFSET($W$634,$B1158,S$631-1)/SUMPRODUCT(--($D$631:$V$631=S$631),--($D1760:$V1760=1)),0)+SUM(S1157)+IF(COUNTIF(S$1237:S1760,1)=1,5,0)+IF(COUNTIF(T1158:$W1158,"&gt;"&amp;0)&lt;5,IF(AND(COUNTIF(S$1237:S1760,1)&gt;7,MOD(1+IFERROR(MATCH($C1158,总览!$D$46:$D$345,1)+1,1),7)=0),$C$3,0),0)</f>
        <v>799.192857142862</v>
      </c>
      <c r="T1158" s="131" cm="1">
        <f ca="1" t="array" ref="T1158">IF(T1760=1,OFFSET($W$634,$B1158,T$631-1)/SUMPRODUCT(--($D$631:$V$631=T$631),--($D1760:$V1760=1)),0)+SUM(T1157)+IF(COUNTIF(T$1237:T1760,1)=1,5,0)+IF(COUNTIF(U1158:$W1158,"&gt;"&amp;0)&lt;5,IF(AND(COUNTIF(T$1237:T1760,1)&gt;7,MOD(1+IFERROR(MATCH($C1158,总览!$D$46:$D$345,1)+1,1),7)=0),$C$3,0),0)</f>
        <v>585.326854700633</v>
      </c>
      <c r="U1158" s="131" cm="1">
        <f ca="1" t="array" ref="U1158">IF(U1760=1,OFFSET($W$634,$B1158,U$631-1)/SUMPRODUCT(--($D$631:$V$631=U$631),--($D1760:$V1760=1)),0)+SUM(U1157)+IF(COUNTIF(U$1237:U1760,1)=1,5,0)+IF(COUNTIF(V1158:$W1158,"&gt;"&amp;0)&lt;5,IF(AND(COUNTIF(U$1237:U1760,1)&gt;7,MOD(1+IFERROR(MATCH($C1158,总览!$D$46:$D$345,1)+1,1),7)=0),$C$3,0),0)</f>
        <v>590.847641055932</v>
      </c>
      <c r="V1158" s="131" cm="1">
        <f ca="1" t="array" ref="V1158">IF(V1760=1,OFFSET($W$634,$B1158,V$631-1)/SUMPRODUCT(--($D$631:$V$631=V$631),--($D1760:$V1760=1)),0)+SUM(V1157)+IF(COUNTIF(V$1237:V1760,1)=1,5,0)+IF(COUNTIF(W1158:$W1158,"&gt;"&amp;0)&lt;5,IF(AND(COUNTIF(V$1237:V1760,1)&gt;7,MOD(1+IFERROR(MATCH($C1158,总览!$D$46:$D$345,1)+1,1),7)=0),$C$3,0),0)</f>
        <v>610.674640768365</v>
      </c>
      <c r="W1158" s="135" cm="1">
        <f ca="1" t="array" ref="W1158">SUMPRODUCT(TRANSPOSE($AA1158:$AG1158),OFFSET($L$9:$L$15,0,W$631-1))</f>
        <v>16.8502200646615</v>
      </c>
      <c r="X1158" s="135" cm="1">
        <f ca="1" t="array" ref="X1158">SUMPRODUCT(TRANSPOSE($AA1158:$AG1158),OFFSET($L$9:$L$15,0,X$631-1))</f>
        <v>20</v>
      </c>
      <c r="Y1158" s="135" cm="1">
        <f ca="1" t="array" ref="Y1158">SUMPRODUCT(TRANSPOSE($AA1158:$AG1158),OFFSET($L$9:$L$15,0,Y$631-1))</f>
        <v>10</v>
      </c>
      <c r="Z1158" s="135" cm="1">
        <f ca="1" t="array" ref="Z1158">SUMPRODUCT(TRANSPOSE($AA1158:$AG1158),OFFSET($L$9:$L$15,0,Z$631-1))</f>
        <v>3.14977993533847</v>
      </c>
      <c r="AA1158" s="136">
        <f ca="1" t="shared" ref="AA1158:AG1158" si="1303">AH1158-AH1157</f>
        <v>0</v>
      </c>
      <c r="AB1158" s="136">
        <f ca="1" t="shared" si="1303"/>
        <v>0</v>
      </c>
      <c r="AC1158" s="136">
        <f ca="1" t="shared" si="1303"/>
        <v>0</v>
      </c>
      <c r="AD1158" s="136">
        <f ca="1" t="shared" si="1303"/>
        <v>0</v>
      </c>
      <c r="AE1158" s="136">
        <f ca="1" t="shared" si="1303"/>
        <v>0</v>
      </c>
      <c r="AF1158" s="136">
        <f ca="1" t="shared" si="1303"/>
        <v>0</v>
      </c>
      <c r="AG1158" s="136">
        <f ca="1" t="shared" si="1303"/>
        <v>100</v>
      </c>
      <c r="AH1158" s="136">
        <f ca="1" t="shared" si="1281"/>
        <v>450</v>
      </c>
      <c r="AI1158" s="136">
        <f ca="1" t="shared" ref="AI1158:AN1158" si="1304">IF($C1158&gt;OFFSET($Q$8,MATCH(AI$634,$AH$634:$AN$634,0),0),OFFSET($P$8,MATCH(AI$634,$AH$634:$AN$634,0),0),MAX(0,$C1158-OFFSET($Q$8,RIGHT(AI$634,1)-1,0)))</f>
        <v>909</v>
      </c>
      <c r="AJ1158" s="136">
        <f ca="1" t="shared" si="1304"/>
        <v>1818</v>
      </c>
      <c r="AK1158" s="136">
        <f ca="1" t="shared" si="1304"/>
        <v>2727</v>
      </c>
      <c r="AL1158" s="136">
        <f ca="1" t="shared" si="1304"/>
        <v>3636</v>
      </c>
      <c r="AM1158" s="136">
        <f ca="1" t="shared" si="1304"/>
        <v>4545</v>
      </c>
      <c r="AN1158" s="136">
        <f ca="1" t="shared" si="1304"/>
        <v>38315</v>
      </c>
    </row>
    <row r="1159" s="106" customFormat="1" ht="16.5" spans="2:40">
      <c r="B1159" s="117">
        <v>525</v>
      </c>
      <c r="C1159" s="130">
        <f t="shared" si="1279"/>
        <v>52500</v>
      </c>
      <c r="D1159" s="131" cm="1">
        <f ca="1" t="array" ref="D1159">IF(D1761=1,OFFSET($W$634,$B1159,D$631-1)/SUMPRODUCT(--($D$631:$V$631=D$631),--($D1761:$V1761=1)),0)+SUM(D1158)+IF(COUNTIF(D$1237:D1761,1)=1,5,0)+IF(COUNTIF(E1159:$W1159,"&gt;"&amp;0)&lt;5,IF(AND(COUNTIF(D$1237:D1761,1)&gt;7,MOD(1+IFERROR(MATCH($C1159,总览!$D$46:$D$345,1)+1,1),7)=0),$C$3,0),0)</f>
        <v>3276.49202784661</v>
      </c>
      <c r="E1159" s="131" cm="1">
        <f ca="1" t="array" ref="E1159">IF(E1761=1,OFFSET($W$634,$B1159,E$631-1)/SUMPRODUCT(--($D$631:$V$631=E$631),--($D1761:$V1761=1)),0)+SUM(E1158)+IF(COUNTIF(E$1237:E1761,1)=1,5,0)+IF(COUNTIF(F1159:$W1159,"&gt;"&amp;0)&lt;5,IF(AND(COUNTIF(E$1237:E1761,1)&gt;7,MOD(1+IFERROR(MATCH($C1159,总览!$D$46:$D$345,1)+1,1),7)=0),$C$3,0),0)</f>
        <v>3276.49202784661</v>
      </c>
      <c r="F1159" s="131" cm="1">
        <f ca="1" t="array" ref="F1159">IF(F1761=1,OFFSET($W$634,$B1159,F$631-1)/SUMPRODUCT(--($D$631:$V$631=F$631),--($D1761:$V1761=1)),0)+SUM(F1158)+IF(COUNTIF(F$1237:F1761,1)=1,5,0)+IF(COUNTIF(G1159:$W1159,"&gt;"&amp;0)&lt;5,IF(AND(COUNTIF(F$1237:F1761,1)&gt;7,MOD(1+IFERROR(MATCH($C1159,总览!$D$46:$D$345,1)+1,1),7)=0),$C$3,0),0)</f>
        <v>3276.49202784661</v>
      </c>
      <c r="G1159" s="131" cm="1">
        <f ca="1" t="array" ref="G1159">IF(G1761=1,OFFSET($W$634,$B1159,G$631-1)/SUMPRODUCT(--($D$631:$V$631=G$631),--($D1761:$V1761=1)),0)+SUM(G1158)+IF(COUNTIF(G$1237:G1761,1)=1,5,0)+IF(COUNTIF(H1159:$W1159,"&gt;"&amp;0)&lt;5,IF(AND(COUNTIF(G$1237:G1761,1)&gt;7,MOD(1+IFERROR(MATCH($C1159,总览!$D$46:$D$345,1)+1,1),7)=0),$C$3,0),0)</f>
        <v>1689.39999999999</v>
      </c>
      <c r="H1159" s="131" cm="1">
        <f ca="1" t="array" ref="H1159">IF(H1761=1,OFFSET($W$634,$B1159,H$631-1)/SUMPRODUCT(--($D$631:$V$631=H$631),--($D1761:$V1761=1)),0)+SUM(H1158)+IF(COUNTIF(H$1237:H1761,1)=1,5,0)+IF(COUNTIF(I1159:$W1159,"&gt;"&amp;0)&lt;5,IF(AND(COUNTIF(H$1237:H1761,1)&gt;7,MOD(1+IFERROR(MATCH($C1159,总览!$D$46:$D$345,1)+1,1),7)=0),$C$3,0),0)</f>
        <v>1689.39999999999</v>
      </c>
      <c r="I1159" s="131" cm="1">
        <f ca="1" t="array" ref="I1159">IF(I1761=1,OFFSET($W$634,$B1159,I$631-1)/SUMPRODUCT(--($D$631:$V$631=I$631),--($D1761:$V1761=1)),0)+SUM(I1158)+IF(COUNTIF(I$1237:I1761,1)=1,5,0)+IF(COUNTIF(J1159:$W1159,"&gt;"&amp;0)&lt;5,IF(AND(COUNTIF(I$1237:I1761,1)&gt;7,MOD(1+IFERROR(MATCH($C1159,总览!$D$46:$D$345,1)+1,1),7)=0),$C$3,0),0)</f>
        <v>1689.39999999999</v>
      </c>
      <c r="J1159" s="131" cm="1">
        <f ca="1" t="array" ref="J1159">IF(J1761=1,OFFSET($W$634,$B1159,J$631-1)/SUMPRODUCT(--($D$631:$V$631=J$631),--($D1761:$V1761=1)),0)+SUM(J1158)+IF(COUNTIF(J$1237:J1761,1)=1,5,0)+IF(COUNTIF(K1159:$W1159,"&gt;"&amp;0)&lt;5,IF(AND(COUNTIF(J$1237:J1761,1)&gt;7,MOD(1+IFERROR(MATCH($C1159,总览!$D$46:$D$345,1)+1,1),7)=0),$C$3,0),0)</f>
        <v>1686.06666666666</v>
      </c>
      <c r="K1159" s="131" cm="1">
        <f ca="1" t="array" ref="K1159">IF(K1761=1,OFFSET($W$634,$B1159,K$631-1)/SUMPRODUCT(--($D$631:$V$631=K$631),--($D1761:$V1761=1)),0)+SUM(K1158)+IF(COUNTIF(K$1237:K1761,1)=1,5,0)+IF(COUNTIF(L1159:$W1159,"&gt;"&amp;0)&lt;5,IF(AND(COUNTIF(K$1237:K1761,1)&gt;7,MOD(1+IFERROR(MATCH($C1159,总览!$D$46:$D$345,1)+1,1),7)=0),$C$3,0),0)</f>
        <v>1683.56666666666</v>
      </c>
      <c r="L1159" s="131" cm="1">
        <f ca="1" t="array" ref="L1159">IF(L1761=1,OFFSET($W$634,$B1159,L$631-1)/SUMPRODUCT(--($D$631:$V$631=L$631),--($D1761:$V1761=1)),0)+SUM(L1158)+IF(COUNTIF(L$1237:L1761,1)=1,5,0)+IF(COUNTIF(M1159:$W1159,"&gt;"&amp;0)&lt;5,IF(AND(COUNTIF(L$1237:L1761,1)&gt;7,MOD(1+IFERROR(MATCH($C1159,总览!$D$46:$D$345,1)+1,1),7)=0),$C$3,0),0)</f>
        <v>1683.56666666666</v>
      </c>
      <c r="M1159" s="131" cm="1">
        <f ca="1" t="array" ref="M1159">IF(M1761=1,OFFSET($W$634,$B1159,M$631-1)/SUMPRODUCT(--($D$631:$V$631=M$631),--($D1761:$V1761=1)),0)+SUM(M1158)+IF(COUNTIF(M$1237:M1761,1)=1,5,0)+IF(COUNTIF(N1159:$W1159,"&gt;"&amp;0)&lt;5,IF(AND(COUNTIF(M$1237:M1761,1)&gt;7,MOD(1+IFERROR(MATCH($C1159,总览!$D$46:$D$345,1)+1,1),7)=0),$C$3,0),0)</f>
        <v>707.752678571433</v>
      </c>
      <c r="N1159" s="131" cm="1">
        <f ca="1" t="array" ref="N1159">IF(N1761=1,OFFSET($W$634,$B1159,N$631-1)/SUMPRODUCT(--($D$631:$V$631=N$631),--($D1761:$V1761=1)),0)+SUM(N1158)+IF(COUNTIF(N$1237:N1761,1)=1,5,0)+IF(COUNTIF(O1159:$W1159,"&gt;"&amp;0)&lt;5,IF(AND(COUNTIF(N$1237:N1761,1)&gt;7,MOD(1+IFERROR(MATCH($C1159,总览!$D$46:$D$345,1)+1,1),7)=0),$C$3,0),0)</f>
        <v>709.002678571433</v>
      </c>
      <c r="O1159" s="131" cm="1">
        <f ca="1" t="array" ref="O1159">IF(O1761=1,OFFSET($W$634,$B1159,O$631-1)/SUMPRODUCT(--($D$631:$V$631=O$631),--($D1761:$V1761=1)),0)+SUM(O1158)+IF(COUNTIF(O$1237:O1761,1)=1,5,0)+IF(COUNTIF(P1159:$W1159,"&gt;"&amp;0)&lt;5,IF(AND(COUNTIF(O$1237:O1761,1)&gt;7,MOD(1+IFERROR(MATCH($C1159,总览!$D$46:$D$345,1)+1,1),7)=0),$C$3,0),0)</f>
        <v>714.002678571433</v>
      </c>
      <c r="P1159" s="131" cm="1">
        <f ca="1" t="array" ref="P1159">IF(P1761=1,OFFSET($W$634,$B1159,P$631-1)/SUMPRODUCT(--($D$631:$V$631=P$631),--($D1761:$V1761=1)),0)+SUM(P1158)+IF(COUNTIF(P$1237:P1761,1)=1,5,0)+IF(COUNTIF(Q1159:$W1159,"&gt;"&amp;0)&lt;5,IF(AND(COUNTIF(P$1237:P1761,1)&gt;7,MOD(1+IFERROR(MATCH($C1159,总览!$D$46:$D$345,1)+1,1),7)=0),$C$3,0),0)</f>
        <v>703.121428571432</v>
      </c>
      <c r="Q1159" s="131" cm="1">
        <f ca="1" t="array" ref="Q1159">IF(Q1761=1,OFFSET($W$634,$B1159,Q$631-1)/SUMPRODUCT(--($D$631:$V$631=Q$631),--($D1761:$V1761=1)),0)+SUM(Q1158)+IF(COUNTIF(Q$1237:Q1761,1)=1,5,0)+IF(COUNTIF(R1159:$W1159,"&gt;"&amp;0)&lt;5,IF(AND(COUNTIF(Q$1237:Q1761,1)&gt;7,MOD(1+IFERROR(MATCH($C1159,总览!$D$46:$D$345,1)+1,1),7)=0),$C$3,0),0)</f>
        <v>716.502678571433</v>
      </c>
      <c r="R1159" s="131" cm="1">
        <f ca="1" t="array" ref="R1159">IF(R1761=1,OFFSET($W$634,$B1159,R$631-1)/SUMPRODUCT(--($D$631:$V$631=R$631),--($D1761:$V1761=1)),0)+SUM(R1158)+IF(COUNTIF(R$1237:R1761,1)=1,5,0)+IF(COUNTIF(S1159:$W1159,"&gt;"&amp;0)&lt;5,IF(AND(COUNTIF(R$1237:R1761,1)&gt;7,MOD(1+IFERROR(MATCH($C1159,总览!$D$46:$D$345,1)+1,1),7)=0),$C$3,0),0)</f>
        <v>708.121428571432</v>
      </c>
      <c r="S1159" s="131" cm="1">
        <f ca="1" t="array" ref="S1159">IF(S1761=1,OFFSET($W$634,$B1159,S$631-1)/SUMPRODUCT(--($D$631:$V$631=S$631),--($D1761:$V1761=1)),0)+SUM(S1158)+IF(COUNTIF(S$1237:S1761,1)=1,5,0)+IF(COUNTIF(T1159:$W1159,"&gt;"&amp;0)&lt;5,IF(AND(COUNTIF(S$1237:S1761,1)&gt;7,MOD(1+IFERROR(MATCH($C1159,总览!$D$46:$D$345,1)+1,1),7)=0),$C$3,0),0)</f>
        <v>800.621428571434</v>
      </c>
      <c r="T1159" s="131" cm="1">
        <f ca="1" t="array" ref="T1159">IF(T1761=1,OFFSET($W$634,$B1159,T$631-1)/SUMPRODUCT(--($D$631:$V$631=T$631),--($D1761:$V1761=1)),0)+SUM(T1158)+IF(COUNTIF(T$1237:T1761,1)=1,5,0)+IF(COUNTIF(U1159:$W1159,"&gt;"&amp;0)&lt;5,IF(AND(COUNTIF(T$1237:T1761,1)&gt;7,MOD(1+IFERROR(MATCH($C1159,总览!$D$46:$D$345,1)+1,1),7)=0),$C$3,0),0)</f>
        <v>586.376781345746</v>
      </c>
      <c r="U1159" s="131" cm="1">
        <f ca="1" t="array" ref="U1159">IF(U1761=1,OFFSET($W$634,$B1159,U$631-1)/SUMPRODUCT(--($D$631:$V$631=U$631),--($D1761:$V1761=1)),0)+SUM(U1158)+IF(COUNTIF(U$1237:U1761,1)=1,5,0)+IF(COUNTIF(V1159:$W1159,"&gt;"&amp;0)&lt;5,IF(AND(COUNTIF(U$1237:U1761,1)&gt;7,MOD(1+IFERROR(MATCH($C1159,总览!$D$46:$D$345,1)+1,1),7)=0),$C$3,0),0)</f>
        <v>591.897567701045</v>
      </c>
      <c r="V1159" s="131" cm="1">
        <f ca="1" t="array" ref="V1159">IF(V1761=1,OFFSET($W$634,$B1159,V$631-1)/SUMPRODUCT(--($D$631:$V$631=V$631),--($D1761:$V1761=1)),0)+SUM(V1158)+IF(COUNTIF(V$1237:V1761,1)=1,5,0)+IF(COUNTIF(W1159:$W1159,"&gt;"&amp;0)&lt;5,IF(AND(COUNTIF(V$1237:V1761,1)&gt;7,MOD(1+IFERROR(MATCH($C1159,总览!$D$46:$D$345,1)+1,1),7)=0),$C$3,0),0)</f>
        <v>611.724567413478</v>
      </c>
      <c r="W1159" s="135" cm="1">
        <f ca="1" t="array" ref="W1159">SUMPRODUCT(TRANSPOSE($AA1159:$AG1159),OFFSET($L$9:$L$15,0,W$631-1))</f>
        <v>16.8502200646615</v>
      </c>
      <c r="X1159" s="135" cm="1">
        <f ca="1" t="array" ref="X1159">SUMPRODUCT(TRANSPOSE($AA1159:$AG1159),OFFSET($L$9:$L$15,0,X$631-1))</f>
        <v>20</v>
      </c>
      <c r="Y1159" s="135" cm="1">
        <f ca="1" t="array" ref="Y1159">SUMPRODUCT(TRANSPOSE($AA1159:$AG1159),OFFSET($L$9:$L$15,0,Y$631-1))</f>
        <v>10</v>
      </c>
      <c r="Z1159" s="135" cm="1">
        <f ca="1" t="array" ref="Z1159">SUMPRODUCT(TRANSPOSE($AA1159:$AG1159),OFFSET($L$9:$L$15,0,Z$631-1))</f>
        <v>3.14977993533847</v>
      </c>
      <c r="AA1159" s="136">
        <f ca="1" t="shared" ref="AA1159:AG1159" si="1305">AH1159-AH1158</f>
        <v>0</v>
      </c>
      <c r="AB1159" s="136">
        <f ca="1" t="shared" si="1305"/>
        <v>0</v>
      </c>
      <c r="AC1159" s="136">
        <f ca="1" t="shared" si="1305"/>
        <v>0</v>
      </c>
      <c r="AD1159" s="136">
        <f ca="1" t="shared" si="1305"/>
        <v>0</v>
      </c>
      <c r="AE1159" s="136">
        <f ca="1" t="shared" si="1305"/>
        <v>0</v>
      </c>
      <c r="AF1159" s="136">
        <f ca="1" t="shared" si="1305"/>
        <v>0</v>
      </c>
      <c r="AG1159" s="136">
        <f ca="1" t="shared" si="1305"/>
        <v>100</v>
      </c>
      <c r="AH1159" s="136">
        <f ca="1" t="shared" si="1281"/>
        <v>450</v>
      </c>
      <c r="AI1159" s="136">
        <f ca="1" t="shared" ref="AI1159:AN1159" si="1306">IF($C1159&gt;OFFSET($Q$8,MATCH(AI$634,$AH$634:$AN$634,0),0),OFFSET($P$8,MATCH(AI$634,$AH$634:$AN$634,0),0),MAX(0,$C1159-OFFSET($Q$8,RIGHT(AI$634,1)-1,0)))</f>
        <v>909</v>
      </c>
      <c r="AJ1159" s="136">
        <f ca="1" t="shared" si="1306"/>
        <v>1818</v>
      </c>
      <c r="AK1159" s="136">
        <f ca="1" t="shared" si="1306"/>
        <v>2727</v>
      </c>
      <c r="AL1159" s="136">
        <f ca="1" t="shared" si="1306"/>
        <v>3636</v>
      </c>
      <c r="AM1159" s="136">
        <f ca="1" t="shared" si="1306"/>
        <v>4545</v>
      </c>
      <c r="AN1159" s="136">
        <f ca="1" t="shared" si="1306"/>
        <v>38415</v>
      </c>
    </row>
    <row r="1160" s="106" customFormat="1" ht="16.5" spans="2:40">
      <c r="B1160" s="117">
        <v>526</v>
      </c>
      <c r="C1160" s="130">
        <f t="shared" si="1279"/>
        <v>52600</v>
      </c>
      <c r="D1160" s="131" cm="1">
        <f ca="1" t="array" ref="D1160">IF(D1762=1,OFFSET($W$634,$B1160,D$631-1)/SUMPRODUCT(--($D$631:$V$631=D$631),--($D1762:$V1762=1)),0)+SUM(D1159)+IF(COUNTIF(D$1237:D1762,1)=1,5,0)+IF(COUNTIF(E1160:$W1160,"&gt;"&amp;0)&lt;5,IF(AND(COUNTIF(D$1237:D1762,1)&gt;7,MOD(1+IFERROR(MATCH($C1160,总览!$D$46:$D$345,1)+1,1),7)=0),$C$3,0),0)</f>
        <v>3282.10876786817</v>
      </c>
      <c r="E1160" s="131" cm="1">
        <f ca="1" t="array" ref="E1160">IF(E1762=1,OFFSET($W$634,$B1160,E$631-1)/SUMPRODUCT(--($D$631:$V$631=E$631),--($D1762:$V1762=1)),0)+SUM(E1159)+IF(COUNTIF(E$1237:E1762,1)=1,5,0)+IF(COUNTIF(F1160:$W1160,"&gt;"&amp;0)&lt;5,IF(AND(COUNTIF(E$1237:E1762,1)&gt;7,MOD(1+IFERROR(MATCH($C1160,总览!$D$46:$D$345,1)+1,1),7)=0),$C$3,0),0)</f>
        <v>3282.10876786817</v>
      </c>
      <c r="F1160" s="131" cm="1">
        <f ca="1" t="array" ref="F1160">IF(F1762=1,OFFSET($W$634,$B1160,F$631-1)/SUMPRODUCT(--($D$631:$V$631=F$631),--($D1762:$V1762=1)),0)+SUM(F1159)+IF(COUNTIF(F$1237:F1762,1)=1,5,0)+IF(COUNTIF(G1160:$W1160,"&gt;"&amp;0)&lt;5,IF(AND(COUNTIF(F$1237:F1762,1)&gt;7,MOD(1+IFERROR(MATCH($C1160,总览!$D$46:$D$345,1)+1,1),7)=0),$C$3,0),0)</f>
        <v>3282.10876786817</v>
      </c>
      <c r="G1160" s="131" cm="1">
        <f ca="1" t="array" ref="G1160">IF(G1762=1,OFFSET($W$634,$B1160,G$631-1)/SUMPRODUCT(--($D$631:$V$631=G$631),--($D1762:$V1762=1)),0)+SUM(G1159)+IF(COUNTIF(G$1237:G1762,1)=1,5,0)+IF(COUNTIF(H1160:$W1160,"&gt;"&amp;0)&lt;5,IF(AND(COUNTIF(G$1237:G1762,1)&gt;7,MOD(1+IFERROR(MATCH($C1160,总览!$D$46:$D$345,1)+1,1),7)=0),$C$3,0),0)</f>
        <v>1692.73333333332</v>
      </c>
      <c r="H1160" s="131" cm="1">
        <f ca="1" t="array" ref="H1160">IF(H1762=1,OFFSET($W$634,$B1160,H$631-1)/SUMPRODUCT(--($D$631:$V$631=H$631),--($D1762:$V1762=1)),0)+SUM(H1159)+IF(COUNTIF(H$1237:H1762,1)=1,5,0)+IF(COUNTIF(I1160:$W1160,"&gt;"&amp;0)&lt;5,IF(AND(COUNTIF(H$1237:H1762,1)&gt;7,MOD(1+IFERROR(MATCH($C1160,总览!$D$46:$D$345,1)+1,1),7)=0),$C$3,0),0)</f>
        <v>1692.73333333332</v>
      </c>
      <c r="I1160" s="131" cm="1">
        <f ca="1" t="array" ref="I1160">IF(I1762=1,OFFSET($W$634,$B1160,I$631-1)/SUMPRODUCT(--($D$631:$V$631=I$631),--($D1762:$V1762=1)),0)+SUM(I1159)+IF(COUNTIF(I$1237:I1762,1)=1,5,0)+IF(COUNTIF(J1160:$W1160,"&gt;"&amp;0)&lt;5,IF(AND(COUNTIF(I$1237:I1762,1)&gt;7,MOD(1+IFERROR(MATCH($C1160,总览!$D$46:$D$345,1)+1,1),7)=0),$C$3,0),0)</f>
        <v>1692.73333333332</v>
      </c>
      <c r="J1160" s="131" cm="1">
        <f ca="1" t="array" ref="J1160">IF(J1762=1,OFFSET($W$634,$B1160,J$631-1)/SUMPRODUCT(--($D$631:$V$631=J$631),--($D1762:$V1762=1)),0)+SUM(J1159)+IF(COUNTIF(J$1237:J1762,1)=1,5,0)+IF(COUNTIF(K1160:$W1160,"&gt;"&amp;0)&lt;5,IF(AND(COUNTIF(J$1237:J1762,1)&gt;7,MOD(1+IFERROR(MATCH($C1160,总览!$D$46:$D$345,1)+1,1),7)=0),$C$3,0),0)</f>
        <v>1689.39999999999</v>
      </c>
      <c r="K1160" s="131" cm="1">
        <f ca="1" t="array" ref="K1160">IF(K1762=1,OFFSET($W$634,$B1160,K$631-1)/SUMPRODUCT(--($D$631:$V$631=K$631),--($D1762:$V1762=1)),0)+SUM(K1159)+IF(COUNTIF(K$1237:K1762,1)=1,5,0)+IF(COUNTIF(L1160:$W1160,"&gt;"&amp;0)&lt;5,IF(AND(COUNTIF(K$1237:K1762,1)&gt;7,MOD(1+IFERROR(MATCH($C1160,总览!$D$46:$D$345,1)+1,1),7)=0),$C$3,0),0)</f>
        <v>1686.89999999999</v>
      </c>
      <c r="L1160" s="131" cm="1">
        <f ca="1" t="array" ref="L1160">IF(L1762=1,OFFSET($W$634,$B1160,L$631-1)/SUMPRODUCT(--($D$631:$V$631=L$631),--($D1762:$V1762=1)),0)+SUM(L1159)+IF(COUNTIF(L$1237:L1762,1)=1,5,0)+IF(COUNTIF(M1160:$W1160,"&gt;"&amp;0)&lt;5,IF(AND(COUNTIF(L$1237:L1762,1)&gt;7,MOD(1+IFERROR(MATCH($C1160,总览!$D$46:$D$345,1)+1,1),7)=0),$C$3,0),0)</f>
        <v>1686.89999999999</v>
      </c>
      <c r="M1160" s="131" cm="1">
        <f ca="1" t="array" ref="M1160">IF(M1762=1,OFFSET($W$634,$B1160,M$631-1)/SUMPRODUCT(--($D$631:$V$631=M$631),--($D1762:$V1762=1)),0)+SUM(M1159)+IF(COUNTIF(M$1237:M1762,1)=1,5,0)+IF(COUNTIF(N1160:$W1160,"&gt;"&amp;0)&lt;5,IF(AND(COUNTIF(M$1237:M1762,1)&gt;7,MOD(1+IFERROR(MATCH($C1160,总览!$D$46:$D$345,1)+1,1),7)=0),$C$3,0),0)</f>
        <v>709.181250000004</v>
      </c>
      <c r="N1160" s="131" cm="1">
        <f ca="1" t="array" ref="N1160">IF(N1762=1,OFFSET($W$634,$B1160,N$631-1)/SUMPRODUCT(--($D$631:$V$631=N$631),--($D1762:$V1762=1)),0)+SUM(N1159)+IF(COUNTIF(N$1237:N1762,1)=1,5,0)+IF(COUNTIF(O1160:$W1160,"&gt;"&amp;0)&lt;5,IF(AND(COUNTIF(N$1237:N1762,1)&gt;7,MOD(1+IFERROR(MATCH($C1160,总览!$D$46:$D$345,1)+1,1),7)=0),$C$3,0),0)</f>
        <v>710.431250000004</v>
      </c>
      <c r="O1160" s="131" cm="1">
        <f ca="1" t="array" ref="O1160">IF(O1762=1,OFFSET($W$634,$B1160,O$631-1)/SUMPRODUCT(--($D$631:$V$631=O$631),--($D1762:$V1762=1)),0)+SUM(O1159)+IF(COUNTIF(O$1237:O1762,1)=1,5,0)+IF(COUNTIF(P1160:$W1160,"&gt;"&amp;0)&lt;5,IF(AND(COUNTIF(O$1237:O1762,1)&gt;7,MOD(1+IFERROR(MATCH($C1160,总览!$D$46:$D$345,1)+1,1),7)=0),$C$3,0),0)</f>
        <v>715.431250000004</v>
      </c>
      <c r="P1160" s="131" cm="1">
        <f ca="1" t="array" ref="P1160">IF(P1762=1,OFFSET($W$634,$B1160,P$631-1)/SUMPRODUCT(--($D$631:$V$631=P$631),--($D1762:$V1762=1)),0)+SUM(P1159)+IF(COUNTIF(P$1237:P1762,1)=1,5,0)+IF(COUNTIF(Q1160:$W1160,"&gt;"&amp;0)&lt;5,IF(AND(COUNTIF(P$1237:P1762,1)&gt;7,MOD(1+IFERROR(MATCH($C1160,总览!$D$46:$D$345,1)+1,1),7)=0),$C$3,0),0)</f>
        <v>704.550000000004</v>
      </c>
      <c r="Q1160" s="131" cm="1">
        <f ca="1" t="array" ref="Q1160">IF(Q1762=1,OFFSET($W$634,$B1160,Q$631-1)/SUMPRODUCT(--($D$631:$V$631=Q$631),--($D1762:$V1762=1)),0)+SUM(Q1159)+IF(COUNTIF(Q$1237:Q1762,1)=1,5,0)+IF(COUNTIF(R1160:$W1160,"&gt;"&amp;0)&lt;5,IF(AND(COUNTIF(Q$1237:Q1762,1)&gt;7,MOD(1+IFERROR(MATCH($C1160,总览!$D$46:$D$345,1)+1,1),7)=0),$C$3,0),0)</f>
        <v>717.931250000004</v>
      </c>
      <c r="R1160" s="131" cm="1">
        <f ca="1" t="array" ref="R1160">IF(R1762=1,OFFSET($W$634,$B1160,R$631-1)/SUMPRODUCT(--($D$631:$V$631=R$631),--($D1762:$V1762=1)),0)+SUM(R1159)+IF(COUNTIF(R$1237:R1762,1)=1,5,0)+IF(COUNTIF(S1160:$W1160,"&gt;"&amp;0)&lt;5,IF(AND(COUNTIF(R$1237:R1762,1)&gt;7,MOD(1+IFERROR(MATCH($C1160,总览!$D$46:$D$345,1)+1,1),7)=0),$C$3,0),0)</f>
        <v>709.550000000004</v>
      </c>
      <c r="S1160" s="131" cm="1">
        <f ca="1" t="array" ref="S1160">IF(S1762=1,OFFSET($W$634,$B1160,S$631-1)/SUMPRODUCT(--($D$631:$V$631=S$631),--($D1762:$V1762=1)),0)+SUM(S1159)+IF(COUNTIF(S$1237:S1762,1)=1,5,0)+IF(COUNTIF(T1160:$W1160,"&gt;"&amp;0)&lt;5,IF(AND(COUNTIF(S$1237:S1762,1)&gt;7,MOD(1+IFERROR(MATCH($C1160,总览!$D$46:$D$345,1)+1,1),7)=0),$C$3,0),0)</f>
        <v>802.050000000005</v>
      </c>
      <c r="T1160" s="131" cm="1">
        <f ca="1" t="array" ref="T1160">IF(T1762=1,OFFSET($W$634,$B1160,T$631-1)/SUMPRODUCT(--($D$631:$V$631=T$631),--($D1762:$V1762=1)),0)+SUM(T1159)+IF(COUNTIF(T$1237:T1762,1)=1,5,0)+IF(COUNTIF(U1160:$W1160,"&gt;"&amp;0)&lt;5,IF(AND(COUNTIF(T$1237:T1762,1)&gt;7,MOD(1+IFERROR(MATCH($C1160,总览!$D$46:$D$345,1)+1,1),7)=0),$C$3,0),0)</f>
        <v>587.426707990858</v>
      </c>
      <c r="U1160" s="131" cm="1">
        <f ca="1" t="array" ref="U1160">IF(U1762=1,OFFSET($W$634,$B1160,U$631-1)/SUMPRODUCT(--($D$631:$V$631=U$631),--($D1762:$V1762=1)),0)+SUM(U1159)+IF(COUNTIF(U$1237:U1762,1)=1,5,0)+IF(COUNTIF(V1160:$W1160,"&gt;"&amp;0)&lt;5,IF(AND(COUNTIF(U$1237:U1762,1)&gt;7,MOD(1+IFERROR(MATCH($C1160,总览!$D$46:$D$345,1)+1,1),7)=0),$C$3,0),0)</f>
        <v>592.947494346158</v>
      </c>
      <c r="V1160" s="131" cm="1">
        <f ca="1" t="array" ref="V1160">IF(V1762=1,OFFSET($W$634,$B1160,V$631-1)/SUMPRODUCT(--($D$631:$V$631=V$631),--($D1762:$V1762=1)),0)+SUM(V1159)+IF(COUNTIF(V$1237:V1762,1)=1,5,0)+IF(COUNTIF(W1160:$W1160,"&gt;"&amp;0)&lt;5,IF(AND(COUNTIF(V$1237:V1762,1)&gt;7,MOD(1+IFERROR(MATCH($C1160,总览!$D$46:$D$345,1)+1,1),7)=0),$C$3,0),0)</f>
        <v>612.774494058591</v>
      </c>
      <c r="W1160" s="135" cm="1">
        <f ca="1" t="array" ref="W1160">SUMPRODUCT(TRANSPOSE($AA1160:$AG1160),OFFSET($L$9:$L$15,0,W$631-1))</f>
        <v>16.8502200646615</v>
      </c>
      <c r="X1160" s="135" cm="1">
        <f ca="1" t="array" ref="X1160">SUMPRODUCT(TRANSPOSE($AA1160:$AG1160),OFFSET($L$9:$L$15,0,X$631-1))</f>
        <v>20</v>
      </c>
      <c r="Y1160" s="135" cm="1">
        <f ca="1" t="array" ref="Y1160">SUMPRODUCT(TRANSPOSE($AA1160:$AG1160),OFFSET($L$9:$L$15,0,Y$631-1))</f>
        <v>10</v>
      </c>
      <c r="Z1160" s="135" cm="1">
        <f ca="1" t="array" ref="Z1160">SUMPRODUCT(TRANSPOSE($AA1160:$AG1160),OFFSET($L$9:$L$15,0,Z$631-1))</f>
        <v>3.14977993533847</v>
      </c>
      <c r="AA1160" s="136">
        <f ca="1" t="shared" ref="AA1160:AG1160" si="1307">AH1160-AH1159</f>
        <v>0</v>
      </c>
      <c r="AB1160" s="136">
        <f ca="1" t="shared" si="1307"/>
        <v>0</v>
      </c>
      <c r="AC1160" s="136">
        <f ca="1" t="shared" si="1307"/>
        <v>0</v>
      </c>
      <c r="AD1160" s="136">
        <f ca="1" t="shared" si="1307"/>
        <v>0</v>
      </c>
      <c r="AE1160" s="136">
        <f ca="1" t="shared" si="1307"/>
        <v>0</v>
      </c>
      <c r="AF1160" s="136">
        <f ca="1" t="shared" si="1307"/>
        <v>0</v>
      </c>
      <c r="AG1160" s="136">
        <f ca="1" t="shared" si="1307"/>
        <v>100</v>
      </c>
      <c r="AH1160" s="136">
        <f ca="1" t="shared" si="1281"/>
        <v>450</v>
      </c>
      <c r="AI1160" s="136">
        <f ca="1" t="shared" ref="AI1160:AN1160" si="1308">IF($C1160&gt;OFFSET($Q$8,MATCH(AI$634,$AH$634:$AN$634,0),0),OFFSET($P$8,MATCH(AI$634,$AH$634:$AN$634,0),0),MAX(0,$C1160-OFFSET($Q$8,RIGHT(AI$634,1)-1,0)))</f>
        <v>909</v>
      </c>
      <c r="AJ1160" s="136">
        <f ca="1" t="shared" si="1308"/>
        <v>1818</v>
      </c>
      <c r="AK1160" s="136">
        <f ca="1" t="shared" si="1308"/>
        <v>2727</v>
      </c>
      <c r="AL1160" s="136">
        <f ca="1" t="shared" si="1308"/>
        <v>3636</v>
      </c>
      <c r="AM1160" s="136">
        <f ca="1" t="shared" si="1308"/>
        <v>4545</v>
      </c>
      <c r="AN1160" s="136">
        <f ca="1" t="shared" si="1308"/>
        <v>38515</v>
      </c>
    </row>
    <row r="1161" s="106" customFormat="1" ht="16.5" spans="2:40">
      <c r="B1161" s="117">
        <v>527</v>
      </c>
      <c r="C1161" s="130">
        <f t="shared" si="1279"/>
        <v>52700</v>
      </c>
      <c r="D1161" s="131" cm="1">
        <f ca="1" t="array" ref="D1161">IF(D1763=1,OFFSET($W$634,$B1161,D$631-1)/SUMPRODUCT(--($D$631:$V$631=D$631),--($D1763:$V1763=1)),0)+SUM(D1160)+IF(COUNTIF(D$1237:D1763,1)=1,5,0)+IF(COUNTIF(E1161:$W1161,"&gt;"&amp;0)&lt;5,IF(AND(COUNTIF(D$1237:D1763,1)&gt;7,MOD(1+IFERROR(MATCH($C1161,总览!$D$46:$D$345,1)+1,1),7)=0),$C$3,0),0)</f>
        <v>3287.72550788972</v>
      </c>
      <c r="E1161" s="131" cm="1">
        <f ca="1" t="array" ref="E1161">IF(E1763=1,OFFSET($W$634,$B1161,E$631-1)/SUMPRODUCT(--($D$631:$V$631=E$631),--($D1763:$V1763=1)),0)+SUM(E1160)+IF(COUNTIF(E$1237:E1763,1)=1,5,0)+IF(COUNTIF(F1161:$W1161,"&gt;"&amp;0)&lt;5,IF(AND(COUNTIF(E$1237:E1763,1)&gt;7,MOD(1+IFERROR(MATCH($C1161,总览!$D$46:$D$345,1)+1,1),7)=0),$C$3,0),0)</f>
        <v>3287.72550788972</v>
      </c>
      <c r="F1161" s="131" cm="1">
        <f ca="1" t="array" ref="F1161">IF(F1763=1,OFFSET($W$634,$B1161,F$631-1)/SUMPRODUCT(--($D$631:$V$631=F$631),--($D1763:$V1763=1)),0)+SUM(F1160)+IF(COUNTIF(F$1237:F1763,1)=1,5,0)+IF(COUNTIF(G1161:$W1161,"&gt;"&amp;0)&lt;5,IF(AND(COUNTIF(F$1237:F1763,1)&gt;7,MOD(1+IFERROR(MATCH($C1161,总览!$D$46:$D$345,1)+1,1),7)=0),$C$3,0),0)</f>
        <v>3287.72550788972</v>
      </c>
      <c r="G1161" s="131" cm="1">
        <f ca="1" t="array" ref="G1161">IF(G1763=1,OFFSET($W$634,$B1161,G$631-1)/SUMPRODUCT(--($D$631:$V$631=G$631),--($D1763:$V1763=1)),0)+SUM(G1160)+IF(COUNTIF(G$1237:G1763,1)=1,5,0)+IF(COUNTIF(H1161:$W1161,"&gt;"&amp;0)&lt;5,IF(AND(COUNTIF(G$1237:G1763,1)&gt;7,MOD(1+IFERROR(MATCH($C1161,总览!$D$46:$D$345,1)+1,1),7)=0),$C$3,0),0)</f>
        <v>1696.06666666666</v>
      </c>
      <c r="H1161" s="131" cm="1">
        <f ca="1" t="array" ref="H1161">IF(H1763=1,OFFSET($W$634,$B1161,H$631-1)/SUMPRODUCT(--($D$631:$V$631=H$631),--($D1763:$V1763=1)),0)+SUM(H1160)+IF(COUNTIF(H$1237:H1763,1)=1,5,0)+IF(COUNTIF(I1161:$W1161,"&gt;"&amp;0)&lt;5,IF(AND(COUNTIF(H$1237:H1763,1)&gt;7,MOD(1+IFERROR(MATCH($C1161,总览!$D$46:$D$345,1)+1,1),7)=0),$C$3,0),0)</f>
        <v>1696.06666666666</v>
      </c>
      <c r="I1161" s="131" cm="1">
        <f ca="1" t="array" ref="I1161">IF(I1763=1,OFFSET($W$634,$B1161,I$631-1)/SUMPRODUCT(--($D$631:$V$631=I$631),--($D1763:$V1763=1)),0)+SUM(I1160)+IF(COUNTIF(I$1237:I1763,1)=1,5,0)+IF(COUNTIF(J1161:$W1161,"&gt;"&amp;0)&lt;5,IF(AND(COUNTIF(I$1237:I1763,1)&gt;7,MOD(1+IFERROR(MATCH($C1161,总览!$D$46:$D$345,1)+1,1),7)=0),$C$3,0),0)</f>
        <v>1696.06666666666</v>
      </c>
      <c r="J1161" s="131" cm="1">
        <f ca="1" t="array" ref="J1161">IF(J1763=1,OFFSET($W$634,$B1161,J$631-1)/SUMPRODUCT(--($D$631:$V$631=J$631),--($D1763:$V1763=1)),0)+SUM(J1160)+IF(COUNTIF(J$1237:J1763,1)=1,5,0)+IF(COUNTIF(K1161:$W1161,"&gt;"&amp;0)&lt;5,IF(AND(COUNTIF(J$1237:J1763,1)&gt;7,MOD(1+IFERROR(MATCH($C1161,总览!$D$46:$D$345,1)+1,1),7)=0),$C$3,0),0)</f>
        <v>1692.73333333332</v>
      </c>
      <c r="K1161" s="131" cm="1">
        <f ca="1" t="array" ref="K1161">IF(K1763=1,OFFSET($W$634,$B1161,K$631-1)/SUMPRODUCT(--($D$631:$V$631=K$631),--($D1763:$V1763=1)),0)+SUM(K1160)+IF(COUNTIF(K$1237:K1763,1)=1,5,0)+IF(COUNTIF(L1161:$W1161,"&gt;"&amp;0)&lt;5,IF(AND(COUNTIF(K$1237:K1763,1)&gt;7,MOD(1+IFERROR(MATCH($C1161,总览!$D$46:$D$345,1)+1,1),7)=0),$C$3,0),0)</f>
        <v>1690.23333333332</v>
      </c>
      <c r="L1161" s="131" cm="1">
        <f ca="1" t="array" ref="L1161">IF(L1763=1,OFFSET($W$634,$B1161,L$631-1)/SUMPRODUCT(--($D$631:$V$631=L$631),--($D1763:$V1763=1)),0)+SUM(L1160)+IF(COUNTIF(L$1237:L1763,1)=1,5,0)+IF(COUNTIF(M1161:$W1161,"&gt;"&amp;0)&lt;5,IF(AND(COUNTIF(L$1237:L1763,1)&gt;7,MOD(1+IFERROR(MATCH($C1161,总览!$D$46:$D$345,1)+1,1),7)=0),$C$3,0),0)</f>
        <v>1690.23333333332</v>
      </c>
      <c r="M1161" s="131" cm="1">
        <f ca="1" t="array" ref="M1161">IF(M1763=1,OFFSET($W$634,$B1161,M$631-1)/SUMPRODUCT(--($D$631:$V$631=M$631),--($D1763:$V1763=1)),0)+SUM(M1160)+IF(COUNTIF(M$1237:M1763,1)=1,5,0)+IF(COUNTIF(N1161:$W1161,"&gt;"&amp;0)&lt;5,IF(AND(COUNTIF(M$1237:M1763,1)&gt;7,MOD(1+IFERROR(MATCH($C1161,总览!$D$46:$D$345,1)+1,1),7)=0),$C$3,0),0)</f>
        <v>710.609821428575</v>
      </c>
      <c r="N1161" s="131" cm="1">
        <f ca="1" t="array" ref="N1161">IF(N1763=1,OFFSET($W$634,$B1161,N$631-1)/SUMPRODUCT(--($D$631:$V$631=N$631),--($D1763:$V1763=1)),0)+SUM(N1160)+IF(COUNTIF(N$1237:N1763,1)=1,5,0)+IF(COUNTIF(O1161:$W1161,"&gt;"&amp;0)&lt;5,IF(AND(COUNTIF(N$1237:N1763,1)&gt;7,MOD(1+IFERROR(MATCH($C1161,总览!$D$46:$D$345,1)+1,1),7)=0),$C$3,0),0)</f>
        <v>711.859821428575</v>
      </c>
      <c r="O1161" s="131" cm="1">
        <f ca="1" t="array" ref="O1161">IF(O1763=1,OFFSET($W$634,$B1161,O$631-1)/SUMPRODUCT(--($D$631:$V$631=O$631),--($D1763:$V1763=1)),0)+SUM(O1160)+IF(COUNTIF(O$1237:O1763,1)=1,5,0)+IF(COUNTIF(P1161:$W1161,"&gt;"&amp;0)&lt;5,IF(AND(COUNTIF(O$1237:O1763,1)&gt;7,MOD(1+IFERROR(MATCH($C1161,总览!$D$46:$D$345,1)+1,1),7)=0),$C$3,0),0)</f>
        <v>716.859821428575</v>
      </c>
      <c r="P1161" s="131" cm="1">
        <f ca="1" t="array" ref="P1161">IF(P1763=1,OFFSET($W$634,$B1161,P$631-1)/SUMPRODUCT(--($D$631:$V$631=P$631),--($D1763:$V1763=1)),0)+SUM(P1160)+IF(COUNTIF(P$1237:P1763,1)=1,5,0)+IF(COUNTIF(Q1161:$W1161,"&gt;"&amp;0)&lt;5,IF(AND(COUNTIF(P$1237:P1763,1)&gt;7,MOD(1+IFERROR(MATCH($C1161,总览!$D$46:$D$345,1)+1,1),7)=0),$C$3,0),0)</f>
        <v>705.978571428575</v>
      </c>
      <c r="Q1161" s="131" cm="1">
        <f ca="1" t="array" ref="Q1161">IF(Q1763=1,OFFSET($W$634,$B1161,Q$631-1)/SUMPRODUCT(--($D$631:$V$631=Q$631),--($D1763:$V1763=1)),0)+SUM(Q1160)+IF(COUNTIF(Q$1237:Q1763,1)=1,5,0)+IF(COUNTIF(R1161:$W1161,"&gt;"&amp;0)&lt;5,IF(AND(COUNTIF(Q$1237:Q1763,1)&gt;7,MOD(1+IFERROR(MATCH($C1161,总览!$D$46:$D$345,1)+1,1),7)=0),$C$3,0),0)</f>
        <v>719.359821428575</v>
      </c>
      <c r="R1161" s="131" cm="1">
        <f ca="1" t="array" ref="R1161">IF(R1763=1,OFFSET($W$634,$B1161,R$631-1)/SUMPRODUCT(--($D$631:$V$631=R$631),--($D1763:$V1763=1)),0)+SUM(R1160)+IF(COUNTIF(R$1237:R1763,1)=1,5,0)+IF(COUNTIF(S1161:$W1161,"&gt;"&amp;0)&lt;5,IF(AND(COUNTIF(R$1237:R1763,1)&gt;7,MOD(1+IFERROR(MATCH($C1161,总览!$D$46:$D$345,1)+1,1),7)=0),$C$3,0),0)</f>
        <v>710.978571428575</v>
      </c>
      <c r="S1161" s="131" cm="1">
        <f ca="1" t="array" ref="S1161">IF(S1763=1,OFFSET($W$634,$B1161,S$631-1)/SUMPRODUCT(--($D$631:$V$631=S$631),--($D1763:$V1763=1)),0)+SUM(S1160)+IF(COUNTIF(S$1237:S1763,1)=1,5,0)+IF(COUNTIF(T1161:$W1161,"&gt;"&amp;0)&lt;5,IF(AND(COUNTIF(S$1237:S1763,1)&gt;7,MOD(1+IFERROR(MATCH($C1161,总览!$D$46:$D$345,1)+1,1),7)=0),$C$3,0),0)</f>
        <v>803.478571428577</v>
      </c>
      <c r="T1161" s="131" cm="1">
        <f ca="1" t="array" ref="T1161">IF(T1763=1,OFFSET($W$634,$B1161,T$631-1)/SUMPRODUCT(--($D$631:$V$631=T$631),--($D1763:$V1763=1)),0)+SUM(T1160)+IF(COUNTIF(T$1237:T1763,1)=1,5,0)+IF(COUNTIF(U1161:$W1161,"&gt;"&amp;0)&lt;5,IF(AND(COUNTIF(T$1237:T1763,1)&gt;7,MOD(1+IFERROR(MATCH($C1161,总览!$D$46:$D$345,1)+1,1),7)=0),$C$3,0),0)</f>
        <v>588.476634635971</v>
      </c>
      <c r="U1161" s="131" cm="1">
        <f ca="1" t="array" ref="U1161">IF(U1763=1,OFFSET($W$634,$B1161,U$631-1)/SUMPRODUCT(--($D$631:$V$631=U$631),--($D1763:$V1763=1)),0)+SUM(U1160)+IF(COUNTIF(U$1237:U1763,1)=1,5,0)+IF(COUNTIF(V1161:$W1161,"&gt;"&amp;0)&lt;5,IF(AND(COUNTIF(U$1237:U1763,1)&gt;7,MOD(1+IFERROR(MATCH($C1161,总览!$D$46:$D$345,1)+1,1),7)=0),$C$3,0),0)</f>
        <v>593.997420991271</v>
      </c>
      <c r="V1161" s="131" cm="1">
        <f ca="1" t="array" ref="V1161">IF(V1763=1,OFFSET($W$634,$B1161,V$631-1)/SUMPRODUCT(--($D$631:$V$631=V$631),--($D1763:$V1763=1)),0)+SUM(V1160)+IF(COUNTIF(V$1237:V1763,1)=1,5,0)+IF(COUNTIF(W1161:$W1161,"&gt;"&amp;0)&lt;5,IF(AND(COUNTIF(V$1237:V1763,1)&gt;7,MOD(1+IFERROR(MATCH($C1161,总览!$D$46:$D$345,1)+1,1),7)=0),$C$3,0),0)</f>
        <v>613.824420703704</v>
      </c>
      <c r="W1161" s="135" cm="1">
        <f ca="1" t="array" ref="W1161">SUMPRODUCT(TRANSPOSE($AA1161:$AG1161),OFFSET($L$9:$L$15,0,W$631-1))</f>
        <v>16.8502200646615</v>
      </c>
      <c r="X1161" s="135" cm="1">
        <f ca="1" t="array" ref="X1161">SUMPRODUCT(TRANSPOSE($AA1161:$AG1161),OFFSET($L$9:$L$15,0,X$631-1))</f>
        <v>20</v>
      </c>
      <c r="Y1161" s="135" cm="1">
        <f ca="1" t="array" ref="Y1161">SUMPRODUCT(TRANSPOSE($AA1161:$AG1161),OFFSET($L$9:$L$15,0,Y$631-1))</f>
        <v>10</v>
      </c>
      <c r="Z1161" s="135" cm="1">
        <f ca="1" t="array" ref="Z1161">SUMPRODUCT(TRANSPOSE($AA1161:$AG1161),OFFSET($L$9:$L$15,0,Z$631-1))</f>
        <v>3.14977993533847</v>
      </c>
      <c r="AA1161" s="136">
        <f ca="1" t="shared" ref="AA1161:AG1161" si="1309">AH1161-AH1160</f>
        <v>0</v>
      </c>
      <c r="AB1161" s="136">
        <f ca="1" t="shared" si="1309"/>
        <v>0</v>
      </c>
      <c r="AC1161" s="136">
        <f ca="1" t="shared" si="1309"/>
        <v>0</v>
      </c>
      <c r="AD1161" s="136">
        <f ca="1" t="shared" si="1309"/>
        <v>0</v>
      </c>
      <c r="AE1161" s="136">
        <f ca="1" t="shared" si="1309"/>
        <v>0</v>
      </c>
      <c r="AF1161" s="136">
        <f ca="1" t="shared" si="1309"/>
        <v>0</v>
      </c>
      <c r="AG1161" s="136">
        <f ca="1" t="shared" si="1309"/>
        <v>100</v>
      </c>
      <c r="AH1161" s="136">
        <f ca="1" t="shared" si="1281"/>
        <v>450</v>
      </c>
      <c r="AI1161" s="136">
        <f ca="1" t="shared" ref="AI1161:AN1161" si="1310">IF($C1161&gt;OFFSET($Q$8,MATCH(AI$634,$AH$634:$AN$634,0),0),OFFSET($P$8,MATCH(AI$634,$AH$634:$AN$634,0),0),MAX(0,$C1161-OFFSET($Q$8,RIGHT(AI$634,1)-1,0)))</f>
        <v>909</v>
      </c>
      <c r="AJ1161" s="136">
        <f ca="1" t="shared" si="1310"/>
        <v>1818</v>
      </c>
      <c r="AK1161" s="136">
        <f ca="1" t="shared" si="1310"/>
        <v>2727</v>
      </c>
      <c r="AL1161" s="136">
        <f ca="1" t="shared" si="1310"/>
        <v>3636</v>
      </c>
      <c r="AM1161" s="136">
        <f ca="1" t="shared" si="1310"/>
        <v>4545</v>
      </c>
      <c r="AN1161" s="136">
        <f ca="1" t="shared" si="1310"/>
        <v>38615</v>
      </c>
    </row>
    <row r="1162" s="106" customFormat="1" ht="16.5" spans="2:40">
      <c r="B1162" s="117">
        <v>528</v>
      </c>
      <c r="C1162" s="130">
        <f t="shared" si="1279"/>
        <v>52800</v>
      </c>
      <c r="D1162" s="131" cm="1">
        <f ca="1" t="array" ref="D1162">IF(D1764=1,OFFSET($W$634,$B1162,D$631-1)/SUMPRODUCT(--($D$631:$V$631=D$631),--($D1764:$V1764=1)),0)+SUM(D1161)+IF(COUNTIF(D$1237:D1764,1)=1,5,0)+IF(COUNTIF(E1162:$W1162,"&gt;"&amp;0)&lt;5,IF(AND(COUNTIF(D$1237:D1764,1)&gt;7,MOD(1+IFERROR(MATCH($C1162,总览!$D$46:$D$345,1)+1,1),7)=0),$C$3,0),0)</f>
        <v>3293.34224791128</v>
      </c>
      <c r="E1162" s="131" cm="1">
        <f ca="1" t="array" ref="E1162">IF(E1764=1,OFFSET($W$634,$B1162,E$631-1)/SUMPRODUCT(--($D$631:$V$631=E$631),--($D1764:$V1764=1)),0)+SUM(E1161)+IF(COUNTIF(E$1237:E1764,1)=1,5,0)+IF(COUNTIF(F1162:$W1162,"&gt;"&amp;0)&lt;5,IF(AND(COUNTIF(E$1237:E1764,1)&gt;7,MOD(1+IFERROR(MATCH($C1162,总览!$D$46:$D$345,1)+1,1),7)=0),$C$3,0),0)</f>
        <v>3293.34224791128</v>
      </c>
      <c r="F1162" s="131" cm="1">
        <f ca="1" t="array" ref="F1162">IF(F1764=1,OFFSET($W$634,$B1162,F$631-1)/SUMPRODUCT(--($D$631:$V$631=F$631),--($D1764:$V1764=1)),0)+SUM(F1161)+IF(COUNTIF(F$1237:F1764,1)=1,5,0)+IF(COUNTIF(G1162:$W1162,"&gt;"&amp;0)&lt;5,IF(AND(COUNTIF(F$1237:F1764,1)&gt;7,MOD(1+IFERROR(MATCH($C1162,总览!$D$46:$D$345,1)+1,1),7)=0),$C$3,0),0)</f>
        <v>3293.34224791128</v>
      </c>
      <c r="G1162" s="131" cm="1">
        <f ca="1" t="array" ref="G1162">IF(G1764=1,OFFSET($W$634,$B1162,G$631-1)/SUMPRODUCT(--($D$631:$V$631=G$631),--($D1764:$V1764=1)),0)+SUM(G1161)+IF(COUNTIF(G$1237:G1764,1)=1,5,0)+IF(COUNTIF(H1162:$W1162,"&gt;"&amp;0)&lt;5,IF(AND(COUNTIF(G$1237:G1764,1)&gt;7,MOD(1+IFERROR(MATCH($C1162,总览!$D$46:$D$345,1)+1,1),7)=0),$C$3,0),0)</f>
        <v>1699.39999999999</v>
      </c>
      <c r="H1162" s="131" cm="1">
        <f ca="1" t="array" ref="H1162">IF(H1764=1,OFFSET($W$634,$B1162,H$631-1)/SUMPRODUCT(--($D$631:$V$631=H$631),--($D1764:$V1764=1)),0)+SUM(H1161)+IF(COUNTIF(H$1237:H1764,1)=1,5,0)+IF(COUNTIF(I1162:$W1162,"&gt;"&amp;0)&lt;5,IF(AND(COUNTIF(H$1237:H1764,1)&gt;7,MOD(1+IFERROR(MATCH($C1162,总览!$D$46:$D$345,1)+1,1),7)=0),$C$3,0),0)</f>
        <v>1699.39999999999</v>
      </c>
      <c r="I1162" s="131" cm="1">
        <f ca="1" t="array" ref="I1162">IF(I1764=1,OFFSET($W$634,$B1162,I$631-1)/SUMPRODUCT(--($D$631:$V$631=I$631),--($D1764:$V1764=1)),0)+SUM(I1161)+IF(COUNTIF(I$1237:I1764,1)=1,5,0)+IF(COUNTIF(J1162:$W1162,"&gt;"&amp;0)&lt;5,IF(AND(COUNTIF(I$1237:I1764,1)&gt;7,MOD(1+IFERROR(MATCH($C1162,总览!$D$46:$D$345,1)+1,1),7)=0),$C$3,0),0)</f>
        <v>1699.39999999999</v>
      </c>
      <c r="J1162" s="131" cm="1">
        <f ca="1" t="array" ref="J1162">IF(J1764=1,OFFSET($W$634,$B1162,J$631-1)/SUMPRODUCT(--($D$631:$V$631=J$631),--($D1764:$V1764=1)),0)+SUM(J1161)+IF(COUNTIF(J$1237:J1764,1)=1,5,0)+IF(COUNTIF(K1162:$W1162,"&gt;"&amp;0)&lt;5,IF(AND(COUNTIF(J$1237:J1764,1)&gt;7,MOD(1+IFERROR(MATCH($C1162,总览!$D$46:$D$345,1)+1,1),7)=0),$C$3,0),0)</f>
        <v>1696.06666666666</v>
      </c>
      <c r="K1162" s="131" cm="1">
        <f ca="1" t="array" ref="K1162">IF(K1764=1,OFFSET($W$634,$B1162,K$631-1)/SUMPRODUCT(--($D$631:$V$631=K$631),--($D1764:$V1764=1)),0)+SUM(K1161)+IF(COUNTIF(K$1237:K1764,1)=1,5,0)+IF(COUNTIF(L1162:$W1162,"&gt;"&amp;0)&lt;5,IF(AND(COUNTIF(K$1237:K1764,1)&gt;7,MOD(1+IFERROR(MATCH($C1162,总览!$D$46:$D$345,1)+1,1),7)=0),$C$3,0),0)</f>
        <v>1693.56666666666</v>
      </c>
      <c r="L1162" s="131" cm="1">
        <f ca="1" t="array" ref="L1162">IF(L1764=1,OFFSET($W$634,$B1162,L$631-1)/SUMPRODUCT(--($D$631:$V$631=L$631),--($D1764:$V1764=1)),0)+SUM(L1161)+IF(COUNTIF(L$1237:L1764,1)=1,5,0)+IF(COUNTIF(M1162:$W1162,"&gt;"&amp;0)&lt;5,IF(AND(COUNTIF(L$1237:L1764,1)&gt;7,MOD(1+IFERROR(MATCH($C1162,总览!$D$46:$D$345,1)+1,1),7)=0),$C$3,0),0)</f>
        <v>1693.56666666666</v>
      </c>
      <c r="M1162" s="131" cm="1">
        <f ca="1" t="array" ref="M1162">IF(M1764=1,OFFSET($W$634,$B1162,M$631-1)/SUMPRODUCT(--($D$631:$V$631=M$631),--($D1764:$V1764=1)),0)+SUM(M1161)+IF(COUNTIF(M$1237:M1764,1)=1,5,0)+IF(COUNTIF(N1162:$W1162,"&gt;"&amp;0)&lt;5,IF(AND(COUNTIF(M$1237:M1764,1)&gt;7,MOD(1+IFERROR(MATCH($C1162,总览!$D$46:$D$345,1)+1,1),7)=0),$C$3,0),0)</f>
        <v>712.038392857147</v>
      </c>
      <c r="N1162" s="131" cm="1">
        <f ca="1" t="array" ref="N1162">IF(N1764=1,OFFSET($W$634,$B1162,N$631-1)/SUMPRODUCT(--($D$631:$V$631=N$631),--($D1764:$V1764=1)),0)+SUM(N1161)+IF(COUNTIF(N$1237:N1764,1)=1,5,0)+IF(COUNTIF(O1162:$W1162,"&gt;"&amp;0)&lt;5,IF(AND(COUNTIF(N$1237:N1764,1)&gt;7,MOD(1+IFERROR(MATCH($C1162,总览!$D$46:$D$345,1)+1,1),7)=0),$C$3,0),0)</f>
        <v>713.288392857147</v>
      </c>
      <c r="O1162" s="131" cm="1">
        <f ca="1" t="array" ref="O1162">IF(O1764=1,OFFSET($W$634,$B1162,O$631-1)/SUMPRODUCT(--($D$631:$V$631=O$631),--($D1764:$V1764=1)),0)+SUM(O1161)+IF(COUNTIF(O$1237:O1764,1)=1,5,0)+IF(COUNTIF(P1162:$W1162,"&gt;"&amp;0)&lt;5,IF(AND(COUNTIF(O$1237:O1764,1)&gt;7,MOD(1+IFERROR(MATCH($C1162,总览!$D$46:$D$345,1)+1,1),7)=0),$C$3,0),0)</f>
        <v>718.288392857147</v>
      </c>
      <c r="P1162" s="131" cm="1">
        <f ca="1" t="array" ref="P1162">IF(P1764=1,OFFSET($W$634,$B1162,P$631-1)/SUMPRODUCT(--($D$631:$V$631=P$631),--($D1764:$V1764=1)),0)+SUM(P1161)+IF(COUNTIF(P$1237:P1764,1)=1,5,0)+IF(COUNTIF(Q1162:$W1162,"&gt;"&amp;0)&lt;5,IF(AND(COUNTIF(P$1237:P1764,1)&gt;7,MOD(1+IFERROR(MATCH($C1162,总览!$D$46:$D$345,1)+1,1),7)=0),$C$3,0),0)</f>
        <v>707.407142857147</v>
      </c>
      <c r="Q1162" s="131" cm="1">
        <f ca="1" t="array" ref="Q1162">IF(Q1764=1,OFFSET($W$634,$B1162,Q$631-1)/SUMPRODUCT(--($D$631:$V$631=Q$631),--($D1764:$V1764=1)),0)+SUM(Q1161)+IF(COUNTIF(Q$1237:Q1764,1)=1,5,0)+IF(COUNTIF(R1162:$W1162,"&gt;"&amp;0)&lt;5,IF(AND(COUNTIF(Q$1237:Q1764,1)&gt;7,MOD(1+IFERROR(MATCH($C1162,总览!$D$46:$D$345,1)+1,1),7)=0),$C$3,0),0)</f>
        <v>720.788392857147</v>
      </c>
      <c r="R1162" s="131" cm="1">
        <f ca="1" t="array" ref="R1162">IF(R1764=1,OFFSET($W$634,$B1162,R$631-1)/SUMPRODUCT(--($D$631:$V$631=R$631),--($D1764:$V1764=1)),0)+SUM(R1161)+IF(COUNTIF(R$1237:R1764,1)=1,5,0)+IF(COUNTIF(S1162:$W1162,"&gt;"&amp;0)&lt;5,IF(AND(COUNTIF(R$1237:R1764,1)&gt;7,MOD(1+IFERROR(MATCH($C1162,总览!$D$46:$D$345,1)+1,1),7)=0),$C$3,0),0)</f>
        <v>712.407142857147</v>
      </c>
      <c r="S1162" s="131" cm="1">
        <f ca="1" t="array" ref="S1162">IF(S1764=1,OFFSET($W$634,$B1162,S$631-1)/SUMPRODUCT(--($D$631:$V$631=S$631),--($D1764:$V1764=1)),0)+SUM(S1161)+IF(COUNTIF(S$1237:S1764,1)=1,5,0)+IF(COUNTIF(T1162:$W1162,"&gt;"&amp;0)&lt;5,IF(AND(COUNTIF(S$1237:S1764,1)&gt;7,MOD(1+IFERROR(MATCH($C1162,总览!$D$46:$D$345,1)+1,1),7)=0),$C$3,0),0)</f>
        <v>804.907142857148</v>
      </c>
      <c r="T1162" s="131" cm="1">
        <f ca="1" t="array" ref="T1162">IF(T1764=1,OFFSET($W$634,$B1162,T$631-1)/SUMPRODUCT(--($D$631:$V$631=T$631),--($D1764:$V1764=1)),0)+SUM(T1161)+IF(COUNTIF(T$1237:T1764,1)=1,5,0)+IF(COUNTIF(U1162:$W1162,"&gt;"&amp;0)&lt;5,IF(AND(COUNTIF(T$1237:T1764,1)&gt;7,MOD(1+IFERROR(MATCH($C1162,总览!$D$46:$D$345,1)+1,1),7)=0),$C$3,0),0)</f>
        <v>589.526561281084</v>
      </c>
      <c r="U1162" s="131" cm="1">
        <f ca="1" t="array" ref="U1162">IF(U1764=1,OFFSET($W$634,$B1162,U$631-1)/SUMPRODUCT(--($D$631:$V$631=U$631),--($D1764:$V1764=1)),0)+SUM(U1161)+IF(COUNTIF(U$1237:U1764,1)=1,5,0)+IF(COUNTIF(V1162:$W1162,"&gt;"&amp;0)&lt;5,IF(AND(COUNTIF(U$1237:U1764,1)&gt;7,MOD(1+IFERROR(MATCH($C1162,总览!$D$46:$D$345,1)+1,1),7)=0),$C$3,0),0)</f>
        <v>595.047347636384</v>
      </c>
      <c r="V1162" s="131" cm="1">
        <f ca="1" t="array" ref="V1162">IF(V1764=1,OFFSET($W$634,$B1162,V$631-1)/SUMPRODUCT(--($D$631:$V$631=V$631),--($D1764:$V1764=1)),0)+SUM(V1161)+IF(COUNTIF(V$1237:V1764,1)=1,5,0)+IF(COUNTIF(W1162:$W1162,"&gt;"&amp;0)&lt;5,IF(AND(COUNTIF(V$1237:V1764,1)&gt;7,MOD(1+IFERROR(MATCH($C1162,总览!$D$46:$D$345,1)+1,1),7)=0),$C$3,0),0)</f>
        <v>614.874347348817</v>
      </c>
      <c r="W1162" s="135" cm="1">
        <f ca="1" t="array" ref="W1162">SUMPRODUCT(TRANSPOSE($AA1162:$AG1162),OFFSET($L$9:$L$15,0,W$631-1))</f>
        <v>16.8502200646615</v>
      </c>
      <c r="X1162" s="135" cm="1">
        <f ca="1" t="array" ref="X1162">SUMPRODUCT(TRANSPOSE($AA1162:$AG1162),OFFSET($L$9:$L$15,0,X$631-1))</f>
        <v>20</v>
      </c>
      <c r="Y1162" s="135" cm="1">
        <f ca="1" t="array" ref="Y1162">SUMPRODUCT(TRANSPOSE($AA1162:$AG1162),OFFSET($L$9:$L$15,0,Y$631-1))</f>
        <v>10</v>
      </c>
      <c r="Z1162" s="135" cm="1">
        <f ca="1" t="array" ref="Z1162">SUMPRODUCT(TRANSPOSE($AA1162:$AG1162),OFFSET($L$9:$L$15,0,Z$631-1))</f>
        <v>3.14977993533847</v>
      </c>
      <c r="AA1162" s="136">
        <f ca="1" t="shared" ref="AA1162:AG1162" si="1311">AH1162-AH1161</f>
        <v>0</v>
      </c>
      <c r="AB1162" s="136">
        <f ca="1" t="shared" si="1311"/>
        <v>0</v>
      </c>
      <c r="AC1162" s="136">
        <f ca="1" t="shared" si="1311"/>
        <v>0</v>
      </c>
      <c r="AD1162" s="136">
        <f ca="1" t="shared" si="1311"/>
        <v>0</v>
      </c>
      <c r="AE1162" s="136">
        <f ca="1" t="shared" si="1311"/>
        <v>0</v>
      </c>
      <c r="AF1162" s="136">
        <f ca="1" t="shared" si="1311"/>
        <v>0</v>
      </c>
      <c r="AG1162" s="136">
        <f ca="1" t="shared" si="1311"/>
        <v>100</v>
      </c>
      <c r="AH1162" s="136">
        <f ca="1" t="shared" si="1281"/>
        <v>450</v>
      </c>
      <c r="AI1162" s="136">
        <f ca="1" t="shared" ref="AI1162:AN1162" si="1312">IF($C1162&gt;OFFSET($Q$8,MATCH(AI$634,$AH$634:$AN$634,0),0),OFFSET($P$8,MATCH(AI$634,$AH$634:$AN$634,0),0),MAX(0,$C1162-OFFSET($Q$8,RIGHT(AI$634,1)-1,0)))</f>
        <v>909</v>
      </c>
      <c r="AJ1162" s="136">
        <f ca="1" t="shared" si="1312"/>
        <v>1818</v>
      </c>
      <c r="AK1162" s="136">
        <f ca="1" t="shared" si="1312"/>
        <v>2727</v>
      </c>
      <c r="AL1162" s="136">
        <f ca="1" t="shared" si="1312"/>
        <v>3636</v>
      </c>
      <c r="AM1162" s="136">
        <f ca="1" t="shared" si="1312"/>
        <v>4545</v>
      </c>
      <c r="AN1162" s="136">
        <f ca="1" t="shared" si="1312"/>
        <v>38715</v>
      </c>
    </row>
    <row r="1163" s="106" customFormat="1" ht="16.5" spans="2:40">
      <c r="B1163" s="117">
        <v>529</v>
      </c>
      <c r="C1163" s="130">
        <f t="shared" si="1279"/>
        <v>52900</v>
      </c>
      <c r="D1163" s="131" cm="1">
        <f ca="1" t="array" ref="D1163">IF(D1765=1,OFFSET($W$634,$B1163,D$631-1)/SUMPRODUCT(--($D$631:$V$631=D$631),--($D1765:$V1765=1)),0)+SUM(D1162)+IF(COUNTIF(D$1237:D1765,1)=1,5,0)+IF(COUNTIF(E1163:$W1163,"&gt;"&amp;0)&lt;5,IF(AND(COUNTIF(D$1237:D1765,1)&gt;7,MOD(1+IFERROR(MATCH($C1163,总览!$D$46:$D$345,1)+1,1),7)=0),$C$3,0),0)</f>
        <v>3298.95898793283</v>
      </c>
      <c r="E1163" s="131" cm="1">
        <f ca="1" t="array" ref="E1163">IF(E1765=1,OFFSET($W$634,$B1163,E$631-1)/SUMPRODUCT(--($D$631:$V$631=E$631),--($D1765:$V1765=1)),0)+SUM(E1162)+IF(COUNTIF(E$1237:E1765,1)=1,5,0)+IF(COUNTIF(F1163:$W1163,"&gt;"&amp;0)&lt;5,IF(AND(COUNTIF(E$1237:E1765,1)&gt;7,MOD(1+IFERROR(MATCH($C1163,总览!$D$46:$D$345,1)+1,1),7)=0),$C$3,0),0)</f>
        <v>3298.95898793283</v>
      </c>
      <c r="F1163" s="131" cm="1">
        <f ca="1" t="array" ref="F1163">IF(F1765=1,OFFSET($W$634,$B1163,F$631-1)/SUMPRODUCT(--($D$631:$V$631=F$631),--($D1765:$V1765=1)),0)+SUM(F1162)+IF(COUNTIF(F$1237:F1765,1)=1,5,0)+IF(COUNTIF(G1163:$W1163,"&gt;"&amp;0)&lt;5,IF(AND(COUNTIF(F$1237:F1765,1)&gt;7,MOD(1+IFERROR(MATCH($C1163,总览!$D$46:$D$345,1)+1,1),7)=0),$C$3,0),0)</f>
        <v>3298.95898793283</v>
      </c>
      <c r="G1163" s="131" cm="1">
        <f ca="1" t="array" ref="G1163">IF(G1765=1,OFFSET($W$634,$B1163,G$631-1)/SUMPRODUCT(--($D$631:$V$631=G$631),--($D1765:$V1765=1)),0)+SUM(G1162)+IF(COUNTIF(G$1237:G1765,1)=1,5,0)+IF(COUNTIF(H1163:$W1163,"&gt;"&amp;0)&lt;5,IF(AND(COUNTIF(G$1237:G1765,1)&gt;7,MOD(1+IFERROR(MATCH($C1163,总览!$D$46:$D$345,1)+1,1),7)=0),$C$3,0),0)</f>
        <v>1702.73333333332</v>
      </c>
      <c r="H1163" s="131" cm="1">
        <f ca="1" t="array" ref="H1163">IF(H1765=1,OFFSET($W$634,$B1163,H$631-1)/SUMPRODUCT(--($D$631:$V$631=H$631),--($D1765:$V1765=1)),0)+SUM(H1162)+IF(COUNTIF(H$1237:H1765,1)=1,5,0)+IF(COUNTIF(I1163:$W1163,"&gt;"&amp;0)&lt;5,IF(AND(COUNTIF(H$1237:H1765,1)&gt;7,MOD(1+IFERROR(MATCH($C1163,总览!$D$46:$D$345,1)+1,1),7)=0),$C$3,0),0)</f>
        <v>1702.73333333332</v>
      </c>
      <c r="I1163" s="131" cm="1">
        <f ca="1" t="array" ref="I1163">IF(I1765=1,OFFSET($W$634,$B1163,I$631-1)/SUMPRODUCT(--($D$631:$V$631=I$631),--($D1765:$V1765=1)),0)+SUM(I1162)+IF(COUNTIF(I$1237:I1765,1)=1,5,0)+IF(COUNTIF(J1163:$W1163,"&gt;"&amp;0)&lt;5,IF(AND(COUNTIF(I$1237:I1765,1)&gt;7,MOD(1+IFERROR(MATCH($C1163,总览!$D$46:$D$345,1)+1,1),7)=0),$C$3,0),0)</f>
        <v>1702.73333333332</v>
      </c>
      <c r="J1163" s="131" cm="1">
        <f ca="1" t="array" ref="J1163">IF(J1765=1,OFFSET($W$634,$B1163,J$631-1)/SUMPRODUCT(--($D$631:$V$631=J$631),--($D1765:$V1765=1)),0)+SUM(J1162)+IF(COUNTIF(J$1237:J1765,1)=1,5,0)+IF(COUNTIF(K1163:$W1163,"&gt;"&amp;0)&lt;5,IF(AND(COUNTIF(J$1237:J1765,1)&gt;7,MOD(1+IFERROR(MATCH($C1163,总览!$D$46:$D$345,1)+1,1),7)=0),$C$3,0),0)</f>
        <v>1699.39999999999</v>
      </c>
      <c r="K1163" s="131" cm="1">
        <f ca="1" t="array" ref="K1163">IF(K1765=1,OFFSET($W$634,$B1163,K$631-1)/SUMPRODUCT(--($D$631:$V$631=K$631),--($D1765:$V1765=1)),0)+SUM(K1162)+IF(COUNTIF(K$1237:K1765,1)=1,5,0)+IF(COUNTIF(L1163:$W1163,"&gt;"&amp;0)&lt;5,IF(AND(COUNTIF(K$1237:K1765,1)&gt;7,MOD(1+IFERROR(MATCH($C1163,总览!$D$46:$D$345,1)+1,1),7)=0),$C$3,0),0)</f>
        <v>1696.89999999999</v>
      </c>
      <c r="L1163" s="131" cm="1">
        <f ca="1" t="array" ref="L1163">IF(L1765=1,OFFSET($W$634,$B1163,L$631-1)/SUMPRODUCT(--($D$631:$V$631=L$631),--($D1765:$V1765=1)),0)+SUM(L1162)+IF(COUNTIF(L$1237:L1765,1)=1,5,0)+IF(COUNTIF(M1163:$W1163,"&gt;"&amp;0)&lt;5,IF(AND(COUNTIF(L$1237:L1765,1)&gt;7,MOD(1+IFERROR(MATCH($C1163,总览!$D$46:$D$345,1)+1,1),7)=0),$C$3,0),0)</f>
        <v>1696.89999999999</v>
      </c>
      <c r="M1163" s="131" cm="1">
        <f ca="1" t="array" ref="M1163">IF(M1765=1,OFFSET($W$634,$B1163,M$631-1)/SUMPRODUCT(--($D$631:$V$631=M$631),--($D1765:$V1765=1)),0)+SUM(M1162)+IF(COUNTIF(M$1237:M1765,1)=1,5,0)+IF(COUNTIF(N1163:$W1163,"&gt;"&amp;0)&lt;5,IF(AND(COUNTIF(M$1237:M1765,1)&gt;7,MOD(1+IFERROR(MATCH($C1163,总览!$D$46:$D$345,1)+1,1),7)=0),$C$3,0),0)</f>
        <v>713.466964285718</v>
      </c>
      <c r="N1163" s="131" cm="1">
        <f ca="1" t="array" ref="N1163">IF(N1765=1,OFFSET($W$634,$B1163,N$631-1)/SUMPRODUCT(--($D$631:$V$631=N$631),--($D1765:$V1765=1)),0)+SUM(N1162)+IF(COUNTIF(N$1237:N1765,1)=1,5,0)+IF(COUNTIF(O1163:$W1163,"&gt;"&amp;0)&lt;5,IF(AND(COUNTIF(N$1237:N1765,1)&gt;7,MOD(1+IFERROR(MATCH($C1163,总览!$D$46:$D$345,1)+1,1),7)=0),$C$3,0),0)</f>
        <v>714.716964285718</v>
      </c>
      <c r="O1163" s="131" cm="1">
        <f ca="1" t="array" ref="O1163">IF(O1765=1,OFFSET($W$634,$B1163,O$631-1)/SUMPRODUCT(--($D$631:$V$631=O$631),--($D1765:$V1765=1)),0)+SUM(O1162)+IF(COUNTIF(O$1237:O1765,1)=1,5,0)+IF(COUNTIF(P1163:$W1163,"&gt;"&amp;0)&lt;5,IF(AND(COUNTIF(O$1237:O1765,1)&gt;7,MOD(1+IFERROR(MATCH($C1163,总览!$D$46:$D$345,1)+1,1),7)=0),$C$3,0),0)</f>
        <v>719.716964285718</v>
      </c>
      <c r="P1163" s="131" cm="1">
        <f ca="1" t="array" ref="P1163">IF(P1765=1,OFFSET($W$634,$B1163,P$631-1)/SUMPRODUCT(--($D$631:$V$631=P$631),--($D1765:$V1765=1)),0)+SUM(P1162)+IF(COUNTIF(P$1237:P1765,1)=1,5,0)+IF(COUNTIF(Q1163:$W1163,"&gt;"&amp;0)&lt;5,IF(AND(COUNTIF(P$1237:P1765,1)&gt;7,MOD(1+IFERROR(MATCH($C1163,总览!$D$46:$D$345,1)+1,1),7)=0),$C$3,0),0)</f>
        <v>708.835714285718</v>
      </c>
      <c r="Q1163" s="131" cm="1">
        <f ca="1" t="array" ref="Q1163">IF(Q1765=1,OFFSET($W$634,$B1163,Q$631-1)/SUMPRODUCT(--($D$631:$V$631=Q$631),--($D1765:$V1765=1)),0)+SUM(Q1162)+IF(COUNTIF(Q$1237:Q1765,1)=1,5,0)+IF(COUNTIF(R1163:$W1163,"&gt;"&amp;0)&lt;5,IF(AND(COUNTIF(Q$1237:Q1765,1)&gt;7,MOD(1+IFERROR(MATCH($C1163,总览!$D$46:$D$345,1)+1,1),7)=0),$C$3,0),0)</f>
        <v>722.216964285718</v>
      </c>
      <c r="R1163" s="131" cm="1">
        <f ca="1" t="array" ref="R1163">IF(R1765=1,OFFSET($W$634,$B1163,R$631-1)/SUMPRODUCT(--($D$631:$V$631=R$631),--($D1765:$V1765=1)),0)+SUM(R1162)+IF(COUNTIF(R$1237:R1765,1)=1,5,0)+IF(COUNTIF(S1163:$W1163,"&gt;"&amp;0)&lt;5,IF(AND(COUNTIF(R$1237:R1765,1)&gt;7,MOD(1+IFERROR(MATCH($C1163,总览!$D$46:$D$345,1)+1,1),7)=0),$C$3,0),0)</f>
        <v>713.835714285718</v>
      </c>
      <c r="S1163" s="131" cm="1">
        <f ca="1" t="array" ref="S1163">IF(S1765=1,OFFSET($W$634,$B1163,S$631-1)/SUMPRODUCT(--($D$631:$V$631=S$631),--($D1765:$V1765=1)),0)+SUM(S1162)+IF(COUNTIF(S$1237:S1765,1)=1,5,0)+IF(COUNTIF(T1163:$W1163,"&gt;"&amp;0)&lt;5,IF(AND(COUNTIF(S$1237:S1765,1)&gt;7,MOD(1+IFERROR(MATCH($C1163,总览!$D$46:$D$345,1)+1,1),7)=0),$C$3,0),0)</f>
        <v>806.335714285719</v>
      </c>
      <c r="T1163" s="131" cm="1">
        <f ca="1" t="array" ref="T1163">IF(T1765=1,OFFSET($W$634,$B1163,T$631-1)/SUMPRODUCT(--($D$631:$V$631=T$631),--($D1765:$V1765=1)),0)+SUM(T1162)+IF(COUNTIF(T$1237:T1765,1)=1,5,0)+IF(COUNTIF(U1163:$W1163,"&gt;"&amp;0)&lt;5,IF(AND(COUNTIF(T$1237:T1765,1)&gt;7,MOD(1+IFERROR(MATCH($C1163,总览!$D$46:$D$345,1)+1,1),7)=0),$C$3,0),0)</f>
        <v>590.576487926197</v>
      </c>
      <c r="U1163" s="131" cm="1">
        <f ca="1" t="array" ref="U1163">IF(U1765=1,OFFSET($W$634,$B1163,U$631-1)/SUMPRODUCT(--($D$631:$V$631=U$631),--($D1765:$V1765=1)),0)+SUM(U1162)+IF(COUNTIF(U$1237:U1765,1)=1,5,0)+IF(COUNTIF(V1163:$W1163,"&gt;"&amp;0)&lt;5,IF(AND(COUNTIF(U$1237:U1765,1)&gt;7,MOD(1+IFERROR(MATCH($C1163,总览!$D$46:$D$345,1)+1,1),7)=0),$C$3,0),0)</f>
        <v>596.097274281496</v>
      </c>
      <c r="V1163" s="131" cm="1">
        <f ca="1" t="array" ref="V1163">IF(V1765=1,OFFSET($W$634,$B1163,V$631-1)/SUMPRODUCT(--($D$631:$V$631=V$631),--($D1765:$V1765=1)),0)+SUM(V1162)+IF(COUNTIF(V$1237:V1765,1)=1,5,0)+IF(COUNTIF(W1163:$W1163,"&gt;"&amp;0)&lt;5,IF(AND(COUNTIF(V$1237:V1765,1)&gt;7,MOD(1+IFERROR(MATCH($C1163,总览!$D$46:$D$345,1)+1,1),7)=0),$C$3,0),0)</f>
        <v>615.924273993929</v>
      </c>
      <c r="W1163" s="135" cm="1">
        <f ca="1" t="array" ref="W1163">SUMPRODUCT(TRANSPOSE($AA1163:$AG1163),OFFSET($L$9:$L$15,0,W$631-1))</f>
        <v>16.8502200646615</v>
      </c>
      <c r="X1163" s="135" cm="1">
        <f ca="1" t="array" ref="X1163">SUMPRODUCT(TRANSPOSE($AA1163:$AG1163),OFFSET($L$9:$L$15,0,X$631-1))</f>
        <v>20</v>
      </c>
      <c r="Y1163" s="135" cm="1">
        <f ca="1" t="array" ref="Y1163">SUMPRODUCT(TRANSPOSE($AA1163:$AG1163),OFFSET($L$9:$L$15,0,Y$631-1))</f>
        <v>10</v>
      </c>
      <c r="Z1163" s="135" cm="1">
        <f ca="1" t="array" ref="Z1163">SUMPRODUCT(TRANSPOSE($AA1163:$AG1163),OFFSET($L$9:$L$15,0,Z$631-1))</f>
        <v>3.14977993533847</v>
      </c>
      <c r="AA1163" s="136">
        <f ca="1" t="shared" ref="AA1163:AG1163" si="1313">AH1163-AH1162</f>
        <v>0</v>
      </c>
      <c r="AB1163" s="136">
        <f ca="1" t="shared" si="1313"/>
        <v>0</v>
      </c>
      <c r="AC1163" s="136">
        <f ca="1" t="shared" si="1313"/>
        <v>0</v>
      </c>
      <c r="AD1163" s="136">
        <f ca="1" t="shared" si="1313"/>
        <v>0</v>
      </c>
      <c r="AE1163" s="136">
        <f ca="1" t="shared" si="1313"/>
        <v>0</v>
      </c>
      <c r="AF1163" s="136">
        <f ca="1" t="shared" si="1313"/>
        <v>0</v>
      </c>
      <c r="AG1163" s="136">
        <f ca="1" t="shared" si="1313"/>
        <v>100</v>
      </c>
      <c r="AH1163" s="136">
        <f ca="1" t="shared" si="1281"/>
        <v>450</v>
      </c>
      <c r="AI1163" s="136">
        <f ca="1" t="shared" ref="AI1163:AN1163" si="1314">IF($C1163&gt;OFFSET($Q$8,MATCH(AI$634,$AH$634:$AN$634,0),0),OFFSET($P$8,MATCH(AI$634,$AH$634:$AN$634,0),0),MAX(0,$C1163-OFFSET($Q$8,RIGHT(AI$634,1)-1,0)))</f>
        <v>909</v>
      </c>
      <c r="AJ1163" s="136">
        <f ca="1" t="shared" si="1314"/>
        <v>1818</v>
      </c>
      <c r="AK1163" s="136">
        <f ca="1" t="shared" si="1314"/>
        <v>2727</v>
      </c>
      <c r="AL1163" s="136">
        <f ca="1" t="shared" si="1314"/>
        <v>3636</v>
      </c>
      <c r="AM1163" s="136">
        <f ca="1" t="shared" si="1314"/>
        <v>4545</v>
      </c>
      <c r="AN1163" s="136">
        <f ca="1" t="shared" si="1314"/>
        <v>38815</v>
      </c>
    </row>
    <row r="1164" s="106" customFormat="1" ht="16.5" spans="2:40">
      <c r="B1164" s="117">
        <v>530</v>
      </c>
      <c r="C1164" s="130">
        <f t="shared" si="1279"/>
        <v>53000</v>
      </c>
      <c r="D1164" s="131" cm="1">
        <f ca="1" t="array" ref="D1164">IF(D1766=1,OFFSET($W$634,$B1164,D$631-1)/SUMPRODUCT(--($D$631:$V$631=D$631),--($D1766:$V1766=1)),0)+SUM(D1163)+IF(COUNTIF(D$1237:D1766,1)=1,5,0)+IF(COUNTIF(E1164:$W1164,"&gt;"&amp;0)&lt;5,IF(AND(COUNTIF(D$1237:D1766,1)&gt;7,MOD(1+IFERROR(MATCH($C1164,总览!$D$46:$D$345,1)+1,1),7)=0),$C$3,0),0)</f>
        <v>3304.57572795438</v>
      </c>
      <c r="E1164" s="131" cm="1">
        <f ca="1" t="array" ref="E1164">IF(E1766=1,OFFSET($W$634,$B1164,E$631-1)/SUMPRODUCT(--($D$631:$V$631=E$631),--($D1766:$V1766=1)),0)+SUM(E1163)+IF(COUNTIF(E$1237:E1766,1)=1,5,0)+IF(COUNTIF(F1164:$W1164,"&gt;"&amp;0)&lt;5,IF(AND(COUNTIF(E$1237:E1766,1)&gt;7,MOD(1+IFERROR(MATCH($C1164,总览!$D$46:$D$345,1)+1,1),7)=0),$C$3,0),0)</f>
        <v>3304.57572795438</v>
      </c>
      <c r="F1164" s="131" cm="1">
        <f ca="1" t="array" ref="F1164">IF(F1766=1,OFFSET($W$634,$B1164,F$631-1)/SUMPRODUCT(--($D$631:$V$631=F$631),--($D1766:$V1766=1)),0)+SUM(F1163)+IF(COUNTIF(F$1237:F1766,1)=1,5,0)+IF(COUNTIF(G1164:$W1164,"&gt;"&amp;0)&lt;5,IF(AND(COUNTIF(F$1237:F1766,1)&gt;7,MOD(1+IFERROR(MATCH($C1164,总览!$D$46:$D$345,1)+1,1),7)=0),$C$3,0),0)</f>
        <v>3304.57572795438</v>
      </c>
      <c r="G1164" s="131" cm="1">
        <f ca="1" t="array" ref="G1164">IF(G1766=1,OFFSET($W$634,$B1164,G$631-1)/SUMPRODUCT(--($D$631:$V$631=G$631),--($D1766:$V1766=1)),0)+SUM(G1163)+IF(COUNTIF(G$1237:G1766,1)=1,5,0)+IF(COUNTIF(H1164:$W1164,"&gt;"&amp;0)&lt;5,IF(AND(COUNTIF(G$1237:G1766,1)&gt;7,MOD(1+IFERROR(MATCH($C1164,总览!$D$46:$D$345,1)+1,1),7)=0),$C$3,0),0)</f>
        <v>1706.06666666666</v>
      </c>
      <c r="H1164" s="131" cm="1">
        <f ca="1" t="array" ref="H1164">IF(H1766=1,OFFSET($W$634,$B1164,H$631-1)/SUMPRODUCT(--($D$631:$V$631=H$631),--($D1766:$V1766=1)),0)+SUM(H1163)+IF(COUNTIF(H$1237:H1766,1)=1,5,0)+IF(COUNTIF(I1164:$W1164,"&gt;"&amp;0)&lt;5,IF(AND(COUNTIF(H$1237:H1766,1)&gt;7,MOD(1+IFERROR(MATCH($C1164,总览!$D$46:$D$345,1)+1,1),7)=0),$C$3,0),0)</f>
        <v>1706.06666666666</v>
      </c>
      <c r="I1164" s="131" cm="1">
        <f ca="1" t="array" ref="I1164">IF(I1766=1,OFFSET($W$634,$B1164,I$631-1)/SUMPRODUCT(--($D$631:$V$631=I$631),--($D1766:$V1766=1)),0)+SUM(I1163)+IF(COUNTIF(I$1237:I1766,1)=1,5,0)+IF(COUNTIF(J1164:$W1164,"&gt;"&amp;0)&lt;5,IF(AND(COUNTIF(I$1237:I1766,1)&gt;7,MOD(1+IFERROR(MATCH($C1164,总览!$D$46:$D$345,1)+1,1),7)=0),$C$3,0),0)</f>
        <v>1706.06666666666</v>
      </c>
      <c r="J1164" s="131" cm="1">
        <f ca="1" t="array" ref="J1164">IF(J1766=1,OFFSET($W$634,$B1164,J$631-1)/SUMPRODUCT(--($D$631:$V$631=J$631),--($D1766:$V1766=1)),0)+SUM(J1163)+IF(COUNTIF(J$1237:J1766,1)=1,5,0)+IF(COUNTIF(K1164:$W1164,"&gt;"&amp;0)&lt;5,IF(AND(COUNTIF(J$1237:J1766,1)&gt;7,MOD(1+IFERROR(MATCH($C1164,总览!$D$46:$D$345,1)+1,1),7)=0),$C$3,0),0)</f>
        <v>1702.73333333332</v>
      </c>
      <c r="K1164" s="131" cm="1">
        <f ca="1" t="array" ref="K1164">IF(K1766=1,OFFSET($W$634,$B1164,K$631-1)/SUMPRODUCT(--($D$631:$V$631=K$631),--($D1766:$V1766=1)),0)+SUM(K1163)+IF(COUNTIF(K$1237:K1766,1)=1,5,0)+IF(COUNTIF(L1164:$W1164,"&gt;"&amp;0)&lt;5,IF(AND(COUNTIF(K$1237:K1766,1)&gt;7,MOD(1+IFERROR(MATCH($C1164,总览!$D$46:$D$345,1)+1,1),7)=0),$C$3,0),0)</f>
        <v>1700.23333333332</v>
      </c>
      <c r="L1164" s="131" cm="1">
        <f ca="1" t="array" ref="L1164">IF(L1766=1,OFFSET($W$634,$B1164,L$631-1)/SUMPRODUCT(--($D$631:$V$631=L$631),--($D1766:$V1766=1)),0)+SUM(L1163)+IF(COUNTIF(L$1237:L1766,1)=1,5,0)+IF(COUNTIF(M1164:$W1164,"&gt;"&amp;0)&lt;5,IF(AND(COUNTIF(L$1237:L1766,1)&gt;7,MOD(1+IFERROR(MATCH($C1164,总览!$D$46:$D$345,1)+1,1),7)=0),$C$3,0),0)</f>
        <v>1700.23333333332</v>
      </c>
      <c r="M1164" s="131" cm="1">
        <f ca="1" t="array" ref="M1164">IF(M1766=1,OFFSET($W$634,$B1164,M$631-1)/SUMPRODUCT(--($D$631:$V$631=M$631),--($D1766:$V1766=1)),0)+SUM(M1163)+IF(COUNTIF(M$1237:M1766,1)=1,5,0)+IF(COUNTIF(N1164:$W1164,"&gt;"&amp;0)&lt;5,IF(AND(COUNTIF(M$1237:M1766,1)&gt;7,MOD(1+IFERROR(MATCH($C1164,总览!$D$46:$D$345,1)+1,1),7)=0),$C$3,0),0)</f>
        <v>714.89553571429</v>
      </c>
      <c r="N1164" s="131" cm="1">
        <f ca="1" t="array" ref="N1164">IF(N1766=1,OFFSET($W$634,$B1164,N$631-1)/SUMPRODUCT(--($D$631:$V$631=N$631),--($D1766:$V1766=1)),0)+SUM(N1163)+IF(COUNTIF(N$1237:N1766,1)=1,5,0)+IF(COUNTIF(O1164:$W1164,"&gt;"&amp;0)&lt;5,IF(AND(COUNTIF(N$1237:N1766,1)&gt;7,MOD(1+IFERROR(MATCH($C1164,总览!$D$46:$D$345,1)+1,1),7)=0),$C$3,0),0)</f>
        <v>716.14553571429</v>
      </c>
      <c r="O1164" s="131" cm="1">
        <f ca="1" t="array" ref="O1164">IF(O1766=1,OFFSET($W$634,$B1164,O$631-1)/SUMPRODUCT(--($D$631:$V$631=O$631),--($D1766:$V1766=1)),0)+SUM(O1163)+IF(COUNTIF(O$1237:O1766,1)=1,5,0)+IF(COUNTIF(P1164:$W1164,"&gt;"&amp;0)&lt;5,IF(AND(COUNTIF(O$1237:O1766,1)&gt;7,MOD(1+IFERROR(MATCH($C1164,总览!$D$46:$D$345,1)+1,1),7)=0),$C$3,0),0)</f>
        <v>721.14553571429</v>
      </c>
      <c r="P1164" s="131" cm="1">
        <f ca="1" t="array" ref="P1164">IF(P1766=1,OFFSET($W$634,$B1164,P$631-1)/SUMPRODUCT(--($D$631:$V$631=P$631),--($D1766:$V1766=1)),0)+SUM(P1163)+IF(COUNTIF(P$1237:P1766,1)=1,5,0)+IF(COUNTIF(Q1164:$W1164,"&gt;"&amp;0)&lt;5,IF(AND(COUNTIF(P$1237:P1766,1)&gt;7,MOD(1+IFERROR(MATCH($C1164,总览!$D$46:$D$345,1)+1,1),7)=0),$C$3,0),0)</f>
        <v>710.26428571429</v>
      </c>
      <c r="Q1164" s="131" cm="1">
        <f ca="1" t="array" ref="Q1164">IF(Q1766=1,OFFSET($W$634,$B1164,Q$631-1)/SUMPRODUCT(--($D$631:$V$631=Q$631),--($D1766:$V1766=1)),0)+SUM(Q1163)+IF(COUNTIF(Q$1237:Q1766,1)=1,5,0)+IF(COUNTIF(R1164:$W1164,"&gt;"&amp;0)&lt;5,IF(AND(COUNTIF(Q$1237:Q1766,1)&gt;7,MOD(1+IFERROR(MATCH($C1164,总览!$D$46:$D$345,1)+1,1),7)=0),$C$3,0),0)</f>
        <v>723.64553571429</v>
      </c>
      <c r="R1164" s="131" cm="1">
        <f ca="1" t="array" ref="R1164">IF(R1766=1,OFFSET($W$634,$B1164,R$631-1)/SUMPRODUCT(--($D$631:$V$631=R$631),--($D1766:$V1766=1)),0)+SUM(R1163)+IF(COUNTIF(R$1237:R1766,1)=1,5,0)+IF(COUNTIF(S1164:$W1164,"&gt;"&amp;0)&lt;5,IF(AND(COUNTIF(R$1237:R1766,1)&gt;7,MOD(1+IFERROR(MATCH($C1164,总览!$D$46:$D$345,1)+1,1),7)=0),$C$3,0),0)</f>
        <v>715.26428571429</v>
      </c>
      <c r="S1164" s="131" cm="1">
        <f ca="1" t="array" ref="S1164">IF(S1766=1,OFFSET($W$634,$B1164,S$631-1)/SUMPRODUCT(--($D$631:$V$631=S$631),--($D1766:$V1766=1)),0)+SUM(S1163)+IF(COUNTIF(S$1237:S1766,1)=1,5,0)+IF(COUNTIF(T1164:$W1164,"&gt;"&amp;0)&lt;5,IF(AND(COUNTIF(S$1237:S1766,1)&gt;7,MOD(1+IFERROR(MATCH($C1164,总览!$D$46:$D$345,1)+1,1),7)=0),$C$3,0),0)</f>
        <v>807.764285714291</v>
      </c>
      <c r="T1164" s="131" cm="1">
        <f ca="1" t="array" ref="T1164">IF(T1766=1,OFFSET($W$634,$B1164,T$631-1)/SUMPRODUCT(--($D$631:$V$631=T$631),--($D1766:$V1766=1)),0)+SUM(T1163)+IF(COUNTIF(T$1237:T1766,1)=1,5,0)+IF(COUNTIF(U1164:$W1164,"&gt;"&amp;0)&lt;5,IF(AND(COUNTIF(T$1237:T1766,1)&gt;7,MOD(1+IFERROR(MATCH($C1164,总览!$D$46:$D$345,1)+1,1),7)=0),$C$3,0),0)</f>
        <v>591.62641457131</v>
      </c>
      <c r="U1164" s="131" cm="1">
        <f ca="1" t="array" ref="U1164">IF(U1766=1,OFFSET($W$634,$B1164,U$631-1)/SUMPRODUCT(--($D$631:$V$631=U$631),--($D1766:$V1766=1)),0)+SUM(U1163)+IF(COUNTIF(U$1237:U1766,1)=1,5,0)+IF(COUNTIF(V1164:$W1164,"&gt;"&amp;0)&lt;5,IF(AND(COUNTIF(U$1237:U1766,1)&gt;7,MOD(1+IFERROR(MATCH($C1164,总览!$D$46:$D$345,1)+1,1),7)=0),$C$3,0),0)</f>
        <v>597.147200926609</v>
      </c>
      <c r="V1164" s="131" cm="1">
        <f ca="1" t="array" ref="V1164">IF(V1766=1,OFFSET($W$634,$B1164,V$631-1)/SUMPRODUCT(--($D$631:$V$631=V$631),--($D1766:$V1766=1)),0)+SUM(V1163)+IF(COUNTIF(V$1237:V1766,1)=1,5,0)+IF(COUNTIF(W1164:$W1164,"&gt;"&amp;0)&lt;5,IF(AND(COUNTIF(V$1237:V1766,1)&gt;7,MOD(1+IFERROR(MATCH($C1164,总览!$D$46:$D$345,1)+1,1),7)=0),$C$3,0),0)</f>
        <v>616.974200639042</v>
      </c>
      <c r="W1164" s="135" cm="1">
        <f ca="1" t="array" ref="W1164">SUMPRODUCT(TRANSPOSE($AA1164:$AG1164),OFFSET($L$9:$L$15,0,W$631-1))</f>
        <v>16.8502200646615</v>
      </c>
      <c r="X1164" s="135" cm="1">
        <f ca="1" t="array" ref="X1164">SUMPRODUCT(TRANSPOSE($AA1164:$AG1164),OFFSET($L$9:$L$15,0,X$631-1))</f>
        <v>20</v>
      </c>
      <c r="Y1164" s="135" cm="1">
        <f ca="1" t="array" ref="Y1164">SUMPRODUCT(TRANSPOSE($AA1164:$AG1164),OFFSET($L$9:$L$15,0,Y$631-1))</f>
        <v>10</v>
      </c>
      <c r="Z1164" s="135" cm="1">
        <f ca="1" t="array" ref="Z1164">SUMPRODUCT(TRANSPOSE($AA1164:$AG1164),OFFSET($L$9:$L$15,0,Z$631-1))</f>
        <v>3.14977993533847</v>
      </c>
      <c r="AA1164" s="136">
        <f ca="1" t="shared" ref="AA1164:AG1164" si="1315">AH1164-AH1163</f>
        <v>0</v>
      </c>
      <c r="AB1164" s="136">
        <f ca="1" t="shared" si="1315"/>
        <v>0</v>
      </c>
      <c r="AC1164" s="136">
        <f ca="1" t="shared" si="1315"/>
        <v>0</v>
      </c>
      <c r="AD1164" s="136">
        <f ca="1" t="shared" si="1315"/>
        <v>0</v>
      </c>
      <c r="AE1164" s="136">
        <f ca="1" t="shared" si="1315"/>
        <v>0</v>
      </c>
      <c r="AF1164" s="136">
        <f ca="1" t="shared" si="1315"/>
        <v>0</v>
      </c>
      <c r="AG1164" s="136">
        <f ca="1" t="shared" si="1315"/>
        <v>100</v>
      </c>
      <c r="AH1164" s="136">
        <f ca="1" t="shared" si="1281"/>
        <v>450</v>
      </c>
      <c r="AI1164" s="136">
        <f ca="1" t="shared" ref="AI1164:AN1164" si="1316">IF($C1164&gt;OFFSET($Q$8,MATCH(AI$634,$AH$634:$AN$634,0),0),OFFSET($P$8,MATCH(AI$634,$AH$634:$AN$634,0),0),MAX(0,$C1164-OFFSET($Q$8,RIGHT(AI$634,1)-1,0)))</f>
        <v>909</v>
      </c>
      <c r="AJ1164" s="136">
        <f ca="1" t="shared" si="1316"/>
        <v>1818</v>
      </c>
      <c r="AK1164" s="136">
        <f ca="1" t="shared" si="1316"/>
        <v>2727</v>
      </c>
      <c r="AL1164" s="136">
        <f ca="1" t="shared" si="1316"/>
        <v>3636</v>
      </c>
      <c r="AM1164" s="136">
        <f ca="1" t="shared" si="1316"/>
        <v>4545</v>
      </c>
      <c r="AN1164" s="136">
        <f ca="1" t="shared" si="1316"/>
        <v>38915</v>
      </c>
    </row>
    <row r="1165" s="106" customFormat="1" ht="16.5" spans="2:40">
      <c r="B1165" s="117">
        <v>531</v>
      </c>
      <c r="C1165" s="130">
        <f t="shared" si="1279"/>
        <v>53100</v>
      </c>
      <c r="D1165" s="131" cm="1">
        <f ca="1" t="array" ref="D1165">IF(D1767=1,OFFSET($W$634,$B1165,D$631-1)/SUMPRODUCT(--($D$631:$V$631=D$631),--($D1767:$V1767=1)),0)+SUM(D1164)+IF(COUNTIF(D$1237:D1767,1)=1,5,0)+IF(COUNTIF(E1165:$W1165,"&gt;"&amp;0)&lt;5,IF(AND(COUNTIF(D$1237:D1767,1)&gt;7,MOD(1+IFERROR(MATCH($C1165,总览!$D$46:$D$345,1)+1,1),7)=0),$C$3,0),0)</f>
        <v>3310.19246797594</v>
      </c>
      <c r="E1165" s="131" cm="1">
        <f ca="1" t="array" ref="E1165">IF(E1767=1,OFFSET($W$634,$B1165,E$631-1)/SUMPRODUCT(--($D$631:$V$631=E$631),--($D1767:$V1767=1)),0)+SUM(E1164)+IF(COUNTIF(E$1237:E1767,1)=1,5,0)+IF(COUNTIF(F1165:$W1165,"&gt;"&amp;0)&lt;5,IF(AND(COUNTIF(E$1237:E1767,1)&gt;7,MOD(1+IFERROR(MATCH($C1165,总览!$D$46:$D$345,1)+1,1),7)=0),$C$3,0),0)</f>
        <v>3310.19246797594</v>
      </c>
      <c r="F1165" s="131" cm="1">
        <f ca="1" t="array" ref="F1165">IF(F1767=1,OFFSET($W$634,$B1165,F$631-1)/SUMPRODUCT(--($D$631:$V$631=F$631),--($D1767:$V1767=1)),0)+SUM(F1164)+IF(COUNTIF(F$1237:F1767,1)=1,5,0)+IF(COUNTIF(G1165:$W1165,"&gt;"&amp;0)&lt;5,IF(AND(COUNTIF(F$1237:F1767,1)&gt;7,MOD(1+IFERROR(MATCH($C1165,总览!$D$46:$D$345,1)+1,1),7)=0),$C$3,0),0)</f>
        <v>3310.19246797594</v>
      </c>
      <c r="G1165" s="131" cm="1">
        <f ca="1" t="array" ref="G1165">IF(G1767=1,OFFSET($W$634,$B1165,G$631-1)/SUMPRODUCT(--($D$631:$V$631=G$631),--($D1767:$V1767=1)),0)+SUM(G1164)+IF(COUNTIF(G$1237:G1767,1)=1,5,0)+IF(COUNTIF(H1165:$W1165,"&gt;"&amp;0)&lt;5,IF(AND(COUNTIF(G$1237:G1767,1)&gt;7,MOD(1+IFERROR(MATCH($C1165,总览!$D$46:$D$345,1)+1,1),7)=0),$C$3,0),0)</f>
        <v>1709.39999999999</v>
      </c>
      <c r="H1165" s="131" cm="1">
        <f ca="1" t="array" ref="H1165">IF(H1767=1,OFFSET($W$634,$B1165,H$631-1)/SUMPRODUCT(--($D$631:$V$631=H$631),--($D1767:$V1767=1)),0)+SUM(H1164)+IF(COUNTIF(H$1237:H1767,1)=1,5,0)+IF(COUNTIF(I1165:$W1165,"&gt;"&amp;0)&lt;5,IF(AND(COUNTIF(H$1237:H1767,1)&gt;7,MOD(1+IFERROR(MATCH($C1165,总览!$D$46:$D$345,1)+1,1),7)=0),$C$3,0),0)</f>
        <v>1709.39999999999</v>
      </c>
      <c r="I1165" s="131" cm="1">
        <f ca="1" t="array" ref="I1165">IF(I1767=1,OFFSET($W$634,$B1165,I$631-1)/SUMPRODUCT(--($D$631:$V$631=I$631),--($D1767:$V1767=1)),0)+SUM(I1164)+IF(COUNTIF(I$1237:I1767,1)=1,5,0)+IF(COUNTIF(J1165:$W1165,"&gt;"&amp;0)&lt;5,IF(AND(COUNTIF(I$1237:I1767,1)&gt;7,MOD(1+IFERROR(MATCH($C1165,总览!$D$46:$D$345,1)+1,1),7)=0),$C$3,0),0)</f>
        <v>1709.39999999999</v>
      </c>
      <c r="J1165" s="131" cm="1">
        <f ca="1" t="array" ref="J1165">IF(J1767=1,OFFSET($W$634,$B1165,J$631-1)/SUMPRODUCT(--($D$631:$V$631=J$631),--($D1767:$V1767=1)),0)+SUM(J1164)+IF(COUNTIF(J$1237:J1767,1)=1,5,0)+IF(COUNTIF(K1165:$W1165,"&gt;"&amp;0)&lt;5,IF(AND(COUNTIF(J$1237:J1767,1)&gt;7,MOD(1+IFERROR(MATCH($C1165,总览!$D$46:$D$345,1)+1,1),7)=0),$C$3,0),0)</f>
        <v>1706.06666666666</v>
      </c>
      <c r="K1165" s="131" cm="1">
        <f ca="1" t="array" ref="K1165">IF(K1767=1,OFFSET($W$634,$B1165,K$631-1)/SUMPRODUCT(--($D$631:$V$631=K$631),--($D1767:$V1767=1)),0)+SUM(K1164)+IF(COUNTIF(K$1237:K1767,1)=1,5,0)+IF(COUNTIF(L1165:$W1165,"&gt;"&amp;0)&lt;5,IF(AND(COUNTIF(K$1237:K1767,1)&gt;7,MOD(1+IFERROR(MATCH($C1165,总览!$D$46:$D$345,1)+1,1),7)=0),$C$3,0),0)</f>
        <v>1703.56666666666</v>
      </c>
      <c r="L1165" s="131" cm="1">
        <f ca="1" t="array" ref="L1165">IF(L1767=1,OFFSET($W$634,$B1165,L$631-1)/SUMPRODUCT(--($D$631:$V$631=L$631),--($D1767:$V1767=1)),0)+SUM(L1164)+IF(COUNTIF(L$1237:L1767,1)=1,5,0)+IF(COUNTIF(M1165:$W1165,"&gt;"&amp;0)&lt;5,IF(AND(COUNTIF(L$1237:L1767,1)&gt;7,MOD(1+IFERROR(MATCH($C1165,总览!$D$46:$D$345,1)+1,1),7)=0),$C$3,0),0)</f>
        <v>1703.56666666666</v>
      </c>
      <c r="M1165" s="131" cm="1">
        <f ca="1" t="array" ref="M1165">IF(M1767=1,OFFSET($W$634,$B1165,M$631-1)/SUMPRODUCT(--($D$631:$V$631=M$631),--($D1767:$V1767=1)),0)+SUM(M1164)+IF(COUNTIF(M$1237:M1767,1)=1,5,0)+IF(COUNTIF(N1165:$W1165,"&gt;"&amp;0)&lt;5,IF(AND(COUNTIF(M$1237:M1767,1)&gt;7,MOD(1+IFERROR(MATCH($C1165,总览!$D$46:$D$345,1)+1,1),7)=0),$C$3,0),0)</f>
        <v>716.324107142861</v>
      </c>
      <c r="N1165" s="131" cm="1">
        <f ca="1" t="array" ref="N1165">IF(N1767=1,OFFSET($W$634,$B1165,N$631-1)/SUMPRODUCT(--($D$631:$V$631=N$631),--($D1767:$V1767=1)),0)+SUM(N1164)+IF(COUNTIF(N$1237:N1767,1)=1,5,0)+IF(COUNTIF(O1165:$W1165,"&gt;"&amp;0)&lt;5,IF(AND(COUNTIF(N$1237:N1767,1)&gt;7,MOD(1+IFERROR(MATCH($C1165,总览!$D$46:$D$345,1)+1,1),7)=0),$C$3,0),0)</f>
        <v>717.574107142861</v>
      </c>
      <c r="O1165" s="131" cm="1">
        <f ca="1" t="array" ref="O1165">IF(O1767=1,OFFSET($W$634,$B1165,O$631-1)/SUMPRODUCT(--($D$631:$V$631=O$631),--($D1767:$V1767=1)),0)+SUM(O1164)+IF(COUNTIF(O$1237:O1767,1)=1,5,0)+IF(COUNTIF(P1165:$W1165,"&gt;"&amp;0)&lt;5,IF(AND(COUNTIF(O$1237:O1767,1)&gt;7,MOD(1+IFERROR(MATCH($C1165,总览!$D$46:$D$345,1)+1,1),7)=0),$C$3,0),0)</f>
        <v>722.574107142861</v>
      </c>
      <c r="P1165" s="131" cm="1">
        <f ca="1" t="array" ref="P1165">IF(P1767=1,OFFSET($W$634,$B1165,P$631-1)/SUMPRODUCT(--($D$631:$V$631=P$631),--($D1767:$V1767=1)),0)+SUM(P1164)+IF(COUNTIF(P$1237:P1767,1)=1,5,0)+IF(COUNTIF(Q1165:$W1165,"&gt;"&amp;0)&lt;5,IF(AND(COUNTIF(P$1237:P1767,1)&gt;7,MOD(1+IFERROR(MATCH($C1165,总览!$D$46:$D$345,1)+1,1),7)=0),$C$3,0),0)</f>
        <v>711.692857142861</v>
      </c>
      <c r="Q1165" s="131" cm="1">
        <f ca="1" t="array" ref="Q1165">IF(Q1767=1,OFFSET($W$634,$B1165,Q$631-1)/SUMPRODUCT(--($D$631:$V$631=Q$631),--($D1767:$V1767=1)),0)+SUM(Q1164)+IF(COUNTIF(Q$1237:Q1767,1)=1,5,0)+IF(COUNTIF(R1165:$W1165,"&gt;"&amp;0)&lt;5,IF(AND(COUNTIF(Q$1237:Q1767,1)&gt;7,MOD(1+IFERROR(MATCH($C1165,总览!$D$46:$D$345,1)+1,1),7)=0),$C$3,0),0)</f>
        <v>725.074107142861</v>
      </c>
      <c r="R1165" s="131" cm="1">
        <f ca="1" t="array" ref="R1165">IF(R1767=1,OFFSET($W$634,$B1165,R$631-1)/SUMPRODUCT(--($D$631:$V$631=R$631),--($D1767:$V1767=1)),0)+SUM(R1164)+IF(COUNTIF(R$1237:R1767,1)=1,5,0)+IF(COUNTIF(S1165:$W1165,"&gt;"&amp;0)&lt;5,IF(AND(COUNTIF(R$1237:R1767,1)&gt;7,MOD(1+IFERROR(MATCH($C1165,总览!$D$46:$D$345,1)+1,1),7)=0),$C$3,0),0)</f>
        <v>716.692857142861</v>
      </c>
      <c r="S1165" s="131" cm="1">
        <f ca="1" t="array" ref="S1165">IF(S1767=1,OFFSET($W$634,$B1165,S$631-1)/SUMPRODUCT(--($D$631:$V$631=S$631),--($D1767:$V1767=1)),0)+SUM(S1164)+IF(COUNTIF(S$1237:S1767,1)=1,5,0)+IF(COUNTIF(T1165:$W1165,"&gt;"&amp;0)&lt;5,IF(AND(COUNTIF(S$1237:S1767,1)&gt;7,MOD(1+IFERROR(MATCH($C1165,总览!$D$46:$D$345,1)+1,1),7)=0),$C$3,0),0)</f>
        <v>809.192857142862</v>
      </c>
      <c r="T1165" s="131" cm="1">
        <f ca="1" t="array" ref="T1165">IF(T1767=1,OFFSET($W$634,$B1165,T$631-1)/SUMPRODUCT(--($D$631:$V$631=T$631),--($D1767:$V1767=1)),0)+SUM(T1164)+IF(COUNTIF(T$1237:T1767,1)=1,5,0)+IF(COUNTIF(U1165:$W1165,"&gt;"&amp;0)&lt;5,IF(AND(COUNTIF(T$1237:T1767,1)&gt;7,MOD(1+IFERROR(MATCH($C1165,总览!$D$46:$D$345,1)+1,1),7)=0),$C$3,0),0)</f>
        <v>592.676341216422</v>
      </c>
      <c r="U1165" s="131" cm="1">
        <f ca="1" t="array" ref="U1165">IF(U1767=1,OFFSET($W$634,$B1165,U$631-1)/SUMPRODUCT(--($D$631:$V$631=U$631),--($D1767:$V1767=1)),0)+SUM(U1164)+IF(COUNTIF(U$1237:U1767,1)=1,5,0)+IF(COUNTIF(V1165:$W1165,"&gt;"&amp;0)&lt;5,IF(AND(COUNTIF(U$1237:U1767,1)&gt;7,MOD(1+IFERROR(MATCH($C1165,总览!$D$46:$D$345,1)+1,1),7)=0),$C$3,0),0)</f>
        <v>598.197127571722</v>
      </c>
      <c r="V1165" s="131" cm="1">
        <f ca="1" t="array" ref="V1165">IF(V1767=1,OFFSET($W$634,$B1165,V$631-1)/SUMPRODUCT(--($D$631:$V$631=V$631),--($D1767:$V1767=1)),0)+SUM(V1164)+IF(COUNTIF(V$1237:V1767,1)=1,5,0)+IF(COUNTIF(W1165:$W1165,"&gt;"&amp;0)&lt;5,IF(AND(COUNTIF(V$1237:V1767,1)&gt;7,MOD(1+IFERROR(MATCH($C1165,总览!$D$46:$D$345,1)+1,1),7)=0),$C$3,0),0)</f>
        <v>618.024127284155</v>
      </c>
      <c r="W1165" s="135" cm="1">
        <f ca="1" t="array" ref="W1165">SUMPRODUCT(TRANSPOSE($AA1165:$AG1165),OFFSET($L$9:$L$15,0,W$631-1))</f>
        <v>16.8502200646615</v>
      </c>
      <c r="X1165" s="135" cm="1">
        <f ca="1" t="array" ref="X1165">SUMPRODUCT(TRANSPOSE($AA1165:$AG1165),OFFSET($L$9:$L$15,0,X$631-1))</f>
        <v>20</v>
      </c>
      <c r="Y1165" s="135" cm="1">
        <f ca="1" t="array" ref="Y1165">SUMPRODUCT(TRANSPOSE($AA1165:$AG1165),OFFSET($L$9:$L$15,0,Y$631-1))</f>
        <v>10</v>
      </c>
      <c r="Z1165" s="135" cm="1">
        <f ca="1" t="array" ref="Z1165">SUMPRODUCT(TRANSPOSE($AA1165:$AG1165),OFFSET($L$9:$L$15,0,Z$631-1))</f>
        <v>3.14977993533847</v>
      </c>
      <c r="AA1165" s="136">
        <f ca="1" t="shared" ref="AA1165:AG1165" si="1317">AH1165-AH1164</f>
        <v>0</v>
      </c>
      <c r="AB1165" s="136">
        <f ca="1" t="shared" si="1317"/>
        <v>0</v>
      </c>
      <c r="AC1165" s="136">
        <f ca="1" t="shared" si="1317"/>
        <v>0</v>
      </c>
      <c r="AD1165" s="136">
        <f ca="1" t="shared" si="1317"/>
        <v>0</v>
      </c>
      <c r="AE1165" s="136">
        <f ca="1" t="shared" si="1317"/>
        <v>0</v>
      </c>
      <c r="AF1165" s="136">
        <f ca="1" t="shared" si="1317"/>
        <v>0</v>
      </c>
      <c r="AG1165" s="136">
        <f ca="1" t="shared" si="1317"/>
        <v>100</v>
      </c>
      <c r="AH1165" s="136">
        <f ca="1" t="shared" si="1281"/>
        <v>450</v>
      </c>
      <c r="AI1165" s="136">
        <f ca="1" t="shared" ref="AI1165:AN1165" si="1318">IF($C1165&gt;OFFSET($Q$8,MATCH(AI$634,$AH$634:$AN$634,0),0),OFFSET($P$8,MATCH(AI$634,$AH$634:$AN$634,0),0),MAX(0,$C1165-OFFSET($Q$8,RIGHT(AI$634,1)-1,0)))</f>
        <v>909</v>
      </c>
      <c r="AJ1165" s="136">
        <f ca="1" t="shared" si="1318"/>
        <v>1818</v>
      </c>
      <c r="AK1165" s="136">
        <f ca="1" t="shared" si="1318"/>
        <v>2727</v>
      </c>
      <c r="AL1165" s="136">
        <f ca="1" t="shared" si="1318"/>
        <v>3636</v>
      </c>
      <c r="AM1165" s="136">
        <f ca="1" t="shared" si="1318"/>
        <v>4545</v>
      </c>
      <c r="AN1165" s="136">
        <f ca="1" t="shared" si="1318"/>
        <v>39015</v>
      </c>
    </row>
    <row r="1166" s="106" customFormat="1" ht="16.5" spans="2:40">
      <c r="B1166" s="117">
        <v>532</v>
      </c>
      <c r="C1166" s="130">
        <f t="shared" si="1279"/>
        <v>53200</v>
      </c>
      <c r="D1166" s="131" cm="1">
        <f ca="1" t="array" ref="D1166">IF(D1768=1,OFFSET($W$634,$B1166,D$631-1)/SUMPRODUCT(--($D$631:$V$631=D$631),--($D1768:$V1768=1)),0)+SUM(D1165)+IF(COUNTIF(D$1237:D1768,1)=1,5,0)+IF(COUNTIF(E1166:$W1166,"&gt;"&amp;0)&lt;5,IF(AND(COUNTIF(D$1237:D1768,1)&gt;7,MOD(1+IFERROR(MATCH($C1166,总览!$D$46:$D$345,1)+1,1),7)=0),$C$3,0),0)</f>
        <v>3315.80920799749</v>
      </c>
      <c r="E1166" s="131" cm="1">
        <f ca="1" t="array" ref="E1166">IF(E1768=1,OFFSET($W$634,$B1166,E$631-1)/SUMPRODUCT(--($D$631:$V$631=E$631),--($D1768:$V1768=1)),0)+SUM(E1165)+IF(COUNTIF(E$1237:E1768,1)=1,5,0)+IF(COUNTIF(F1166:$W1166,"&gt;"&amp;0)&lt;5,IF(AND(COUNTIF(E$1237:E1768,1)&gt;7,MOD(1+IFERROR(MATCH($C1166,总览!$D$46:$D$345,1)+1,1),7)=0),$C$3,0),0)</f>
        <v>3315.80920799749</v>
      </c>
      <c r="F1166" s="131" cm="1">
        <f ca="1" t="array" ref="F1166">IF(F1768=1,OFFSET($W$634,$B1166,F$631-1)/SUMPRODUCT(--($D$631:$V$631=F$631),--($D1768:$V1768=1)),0)+SUM(F1165)+IF(COUNTIF(F$1237:F1768,1)=1,5,0)+IF(COUNTIF(G1166:$W1166,"&gt;"&amp;0)&lt;5,IF(AND(COUNTIF(F$1237:F1768,1)&gt;7,MOD(1+IFERROR(MATCH($C1166,总览!$D$46:$D$345,1)+1,1),7)=0),$C$3,0),0)</f>
        <v>3315.80920799749</v>
      </c>
      <c r="G1166" s="131" cm="1">
        <f ca="1" t="array" ref="G1166">IF(G1768=1,OFFSET($W$634,$B1166,G$631-1)/SUMPRODUCT(--($D$631:$V$631=G$631),--($D1768:$V1768=1)),0)+SUM(G1165)+IF(COUNTIF(G$1237:G1768,1)=1,5,0)+IF(COUNTIF(H1166:$W1166,"&gt;"&amp;0)&lt;5,IF(AND(COUNTIF(G$1237:G1768,1)&gt;7,MOD(1+IFERROR(MATCH($C1166,总览!$D$46:$D$345,1)+1,1),7)=0),$C$3,0),0)</f>
        <v>1712.73333333332</v>
      </c>
      <c r="H1166" s="131" cm="1">
        <f ca="1" t="array" ref="H1166">IF(H1768=1,OFFSET($W$634,$B1166,H$631-1)/SUMPRODUCT(--($D$631:$V$631=H$631),--($D1768:$V1768=1)),0)+SUM(H1165)+IF(COUNTIF(H$1237:H1768,1)=1,5,0)+IF(COUNTIF(I1166:$W1166,"&gt;"&amp;0)&lt;5,IF(AND(COUNTIF(H$1237:H1768,1)&gt;7,MOD(1+IFERROR(MATCH($C1166,总览!$D$46:$D$345,1)+1,1),7)=0),$C$3,0),0)</f>
        <v>1712.73333333332</v>
      </c>
      <c r="I1166" s="131" cm="1">
        <f ca="1" t="array" ref="I1166">IF(I1768=1,OFFSET($W$634,$B1166,I$631-1)/SUMPRODUCT(--($D$631:$V$631=I$631),--($D1768:$V1768=1)),0)+SUM(I1165)+IF(COUNTIF(I$1237:I1768,1)=1,5,0)+IF(COUNTIF(J1166:$W1166,"&gt;"&amp;0)&lt;5,IF(AND(COUNTIF(I$1237:I1768,1)&gt;7,MOD(1+IFERROR(MATCH($C1166,总览!$D$46:$D$345,1)+1,1),7)=0),$C$3,0),0)</f>
        <v>1712.73333333332</v>
      </c>
      <c r="J1166" s="131" cm="1">
        <f ca="1" t="array" ref="J1166">IF(J1768=1,OFFSET($W$634,$B1166,J$631-1)/SUMPRODUCT(--($D$631:$V$631=J$631),--($D1768:$V1768=1)),0)+SUM(J1165)+IF(COUNTIF(J$1237:J1768,1)=1,5,0)+IF(COUNTIF(K1166:$W1166,"&gt;"&amp;0)&lt;5,IF(AND(COUNTIF(J$1237:J1768,1)&gt;7,MOD(1+IFERROR(MATCH($C1166,总览!$D$46:$D$345,1)+1,1),7)=0),$C$3,0),0)</f>
        <v>1709.39999999999</v>
      </c>
      <c r="K1166" s="131" cm="1">
        <f ca="1" t="array" ref="K1166">IF(K1768=1,OFFSET($W$634,$B1166,K$631-1)/SUMPRODUCT(--($D$631:$V$631=K$631),--($D1768:$V1768=1)),0)+SUM(K1165)+IF(COUNTIF(K$1237:K1768,1)=1,5,0)+IF(COUNTIF(L1166:$W1166,"&gt;"&amp;0)&lt;5,IF(AND(COUNTIF(K$1237:K1768,1)&gt;7,MOD(1+IFERROR(MATCH($C1166,总览!$D$46:$D$345,1)+1,1),7)=0),$C$3,0),0)</f>
        <v>1706.89999999999</v>
      </c>
      <c r="L1166" s="131" cm="1">
        <f ca="1" t="array" ref="L1166">IF(L1768=1,OFFSET($W$634,$B1166,L$631-1)/SUMPRODUCT(--($D$631:$V$631=L$631),--($D1768:$V1768=1)),0)+SUM(L1165)+IF(COUNTIF(L$1237:L1768,1)=1,5,0)+IF(COUNTIF(M1166:$W1166,"&gt;"&amp;0)&lt;5,IF(AND(COUNTIF(L$1237:L1768,1)&gt;7,MOD(1+IFERROR(MATCH($C1166,总览!$D$46:$D$345,1)+1,1),7)=0),$C$3,0),0)</f>
        <v>1706.89999999999</v>
      </c>
      <c r="M1166" s="131" cm="1">
        <f ca="1" t="array" ref="M1166">IF(M1768=1,OFFSET($W$634,$B1166,M$631-1)/SUMPRODUCT(--($D$631:$V$631=M$631),--($D1768:$V1768=1)),0)+SUM(M1165)+IF(COUNTIF(M$1237:M1768,1)=1,5,0)+IF(COUNTIF(N1166:$W1166,"&gt;"&amp;0)&lt;5,IF(AND(COUNTIF(M$1237:M1768,1)&gt;7,MOD(1+IFERROR(MATCH($C1166,总览!$D$46:$D$345,1)+1,1),7)=0),$C$3,0),0)</f>
        <v>717.752678571433</v>
      </c>
      <c r="N1166" s="131" cm="1">
        <f ca="1" t="array" ref="N1166">IF(N1768=1,OFFSET($W$634,$B1166,N$631-1)/SUMPRODUCT(--($D$631:$V$631=N$631),--($D1768:$V1768=1)),0)+SUM(N1165)+IF(COUNTIF(N$1237:N1768,1)=1,5,0)+IF(COUNTIF(O1166:$W1166,"&gt;"&amp;0)&lt;5,IF(AND(COUNTIF(N$1237:N1768,1)&gt;7,MOD(1+IFERROR(MATCH($C1166,总览!$D$46:$D$345,1)+1,1),7)=0),$C$3,0),0)</f>
        <v>719.002678571433</v>
      </c>
      <c r="O1166" s="131" cm="1">
        <f ca="1" t="array" ref="O1166">IF(O1768=1,OFFSET($W$634,$B1166,O$631-1)/SUMPRODUCT(--($D$631:$V$631=O$631),--($D1768:$V1768=1)),0)+SUM(O1165)+IF(COUNTIF(O$1237:O1768,1)=1,5,0)+IF(COUNTIF(P1166:$W1166,"&gt;"&amp;0)&lt;5,IF(AND(COUNTIF(O$1237:O1768,1)&gt;7,MOD(1+IFERROR(MATCH($C1166,总览!$D$46:$D$345,1)+1,1),7)=0),$C$3,0),0)</f>
        <v>724.002678571433</v>
      </c>
      <c r="P1166" s="131" cm="1">
        <f ca="1" t="array" ref="P1166">IF(P1768=1,OFFSET($W$634,$B1166,P$631-1)/SUMPRODUCT(--($D$631:$V$631=P$631),--($D1768:$V1768=1)),0)+SUM(P1165)+IF(COUNTIF(P$1237:P1768,1)=1,5,0)+IF(COUNTIF(Q1166:$W1166,"&gt;"&amp;0)&lt;5,IF(AND(COUNTIF(P$1237:P1768,1)&gt;7,MOD(1+IFERROR(MATCH($C1166,总览!$D$46:$D$345,1)+1,1),7)=0),$C$3,0),0)</f>
        <v>713.121428571433</v>
      </c>
      <c r="Q1166" s="131" cm="1">
        <f ca="1" t="array" ref="Q1166">IF(Q1768=1,OFFSET($W$634,$B1166,Q$631-1)/SUMPRODUCT(--($D$631:$V$631=Q$631),--($D1768:$V1768=1)),0)+SUM(Q1165)+IF(COUNTIF(Q$1237:Q1768,1)=1,5,0)+IF(COUNTIF(R1166:$W1166,"&gt;"&amp;0)&lt;5,IF(AND(COUNTIF(Q$1237:Q1768,1)&gt;7,MOD(1+IFERROR(MATCH($C1166,总览!$D$46:$D$345,1)+1,1),7)=0),$C$3,0),0)</f>
        <v>726.502678571433</v>
      </c>
      <c r="R1166" s="131" cm="1">
        <f ca="1" t="array" ref="R1166">IF(R1768=1,OFFSET($W$634,$B1166,R$631-1)/SUMPRODUCT(--($D$631:$V$631=R$631),--($D1768:$V1768=1)),0)+SUM(R1165)+IF(COUNTIF(R$1237:R1768,1)=1,5,0)+IF(COUNTIF(S1166:$W1166,"&gt;"&amp;0)&lt;5,IF(AND(COUNTIF(R$1237:R1768,1)&gt;7,MOD(1+IFERROR(MATCH($C1166,总览!$D$46:$D$345,1)+1,1),7)=0),$C$3,0),0)</f>
        <v>718.121428571433</v>
      </c>
      <c r="S1166" s="131" cm="1">
        <f ca="1" t="array" ref="S1166">IF(S1768=1,OFFSET($W$634,$B1166,S$631-1)/SUMPRODUCT(--($D$631:$V$631=S$631),--($D1768:$V1768=1)),0)+SUM(S1165)+IF(COUNTIF(S$1237:S1768,1)=1,5,0)+IF(COUNTIF(T1166:$W1166,"&gt;"&amp;0)&lt;5,IF(AND(COUNTIF(S$1237:S1768,1)&gt;7,MOD(1+IFERROR(MATCH($C1166,总览!$D$46:$D$345,1)+1,1),7)=0),$C$3,0),0)</f>
        <v>810.621428571434</v>
      </c>
      <c r="T1166" s="131" cm="1">
        <f ca="1" t="array" ref="T1166">IF(T1768=1,OFFSET($W$634,$B1166,T$631-1)/SUMPRODUCT(--($D$631:$V$631=T$631),--($D1768:$V1768=1)),0)+SUM(T1165)+IF(COUNTIF(T$1237:T1768,1)=1,5,0)+IF(COUNTIF(U1166:$W1166,"&gt;"&amp;0)&lt;5,IF(AND(COUNTIF(T$1237:T1768,1)&gt;7,MOD(1+IFERROR(MATCH($C1166,总览!$D$46:$D$345,1)+1,1),7)=0),$C$3,0),0)</f>
        <v>593.726267861535</v>
      </c>
      <c r="U1166" s="131" cm="1">
        <f ca="1" t="array" ref="U1166">IF(U1768=1,OFFSET($W$634,$B1166,U$631-1)/SUMPRODUCT(--($D$631:$V$631=U$631),--($D1768:$V1768=1)),0)+SUM(U1165)+IF(COUNTIF(U$1237:U1768,1)=1,5,0)+IF(COUNTIF(V1166:$W1166,"&gt;"&amp;0)&lt;5,IF(AND(COUNTIF(U$1237:U1768,1)&gt;7,MOD(1+IFERROR(MATCH($C1166,总览!$D$46:$D$345,1)+1,1),7)=0),$C$3,0),0)</f>
        <v>599.247054216835</v>
      </c>
      <c r="V1166" s="131" cm="1">
        <f ca="1" t="array" ref="V1166">IF(V1768=1,OFFSET($W$634,$B1166,V$631-1)/SUMPRODUCT(--($D$631:$V$631=V$631),--($D1768:$V1768=1)),0)+SUM(V1165)+IF(COUNTIF(V$1237:V1768,1)=1,5,0)+IF(COUNTIF(W1166:$W1166,"&gt;"&amp;0)&lt;5,IF(AND(COUNTIF(V$1237:V1768,1)&gt;7,MOD(1+IFERROR(MATCH($C1166,总览!$D$46:$D$345,1)+1,1),7)=0),$C$3,0),0)</f>
        <v>619.074053929268</v>
      </c>
      <c r="W1166" s="135" cm="1">
        <f ca="1" t="array" ref="W1166">SUMPRODUCT(TRANSPOSE($AA1166:$AG1166),OFFSET($L$9:$L$15,0,W$631-1))</f>
        <v>16.8502200646615</v>
      </c>
      <c r="X1166" s="135" cm="1">
        <f ca="1" t="array" ref="X1166">SUMPRODUCT(TRANSPOSE($AA1166:$AG1166),OFFSET($L$9:$L$15,0,X$631-1))</f>
        <v>20</v>
      </c>
      <c r="Y1166" s="135" cm="1">
        <f ca="1" t="array" ref="Y1166">SUMPRODUCT(TRANSPOSE($AA1166:$AG1166),OFFSET($L$9:$L$15,0,Y$631-1))</f>
        <v>10</v>
      </c>
      <c r="Z1166" s="135" cm="1">
        <f ca="1" t="array" ref="Z1166">SUMPRODUCT(TRANSPOSE($AA1166:$AG1166),OFFSET($L$9:$L$15,0,Z$631-1))</f>
        <v>3.14977993533847</v>
      </c>
      <c r="AA1166" s="136">
        <f ca="1" t="shared" ref="AA1166:AG1166" si="1319">AH1166-AH1165</f>
        <v>0</v>
      </c>
      <c r="AB1166" s="136">
        <f ca="1" t="shared" si="1319"/>
        <v>0</v>
      </c>
      <c r="AC1166" s="136">
        <f ca="1" t="shared" si="1319"/>
        <v>0</v>
      </c>
      <c r="AD1166" s="136">
        <f ca="1" t="shared" si="1319"/>
        <v>0</v>
      </c>
      <c r="AE1166" s="136">
        <f ca="1" t="shared" si="1319"/>
        <v>0</v>
      </c>
      <c r="AF1166" s="136">
        <f ca="1" t="shared" si="1319"/>
        <v>0</v>
      </c>
      <c r="AG1166" s="136">
        <f ca="1" t="shared" si="1319"/>
        <v>100</v>
      </c>
      <c r="AH1166" s="136">
        <f ca="1" t="shared" si="1281"/>
        <v>450</v>
      </c>
      <c r="AI1166" s="136">
        <f ca="1" t="shared" ref="AI1166:AN1166" si="1320">IF($C1166&gt;OFFSET($Q$8,MATCH(AI$634,$AH$634:$AN$634,0),0),OFFSET($P$8,MATCH(AI$634,$AH$634:$AN$634,0),0),MAX(0,$C1166-OFFSET($Q$8,RIGHT(AI$634,1)-1,0)))</f>
        <v>909</v>
      </c>
      <c r="AJ1166" s="136">
        <f ca="1" t="shared" si="1320"/>
        <v>1818</v>
      </c>
      <c r="AK1166" s="136">
        <f ca="1" t="shared" si="1320"/>
        <v>2727</v>
      </c>
      <c r="AL1166" s="136">
        <f ca="1" t="shared" si="1320"/>
        <v>3636</v>
      </c>
      <c r="AM1166" s="136">
        <f ca="1" t="shared" si="1320"/>
        <v>4545</v>
      </c>
      <c r="AN1166" s="136">
        <f ca="1" t="shared" si="1320"/>
        <v>39115</v>
      </c>
    </row>
    <row r="1167" s="106" customFormat="1" ht="16.5" spans="2:40">
      <c r="B1167" s="117">
        <v>533</v>
      </c>
      <c r="C1167" s="130">
        <f t="shared" si="1279"/>
        <v>53300</v>
      </c>
      <c r="D1167" s="131" cm="1">
        <f ca="1" t="array" ref="D1167">IF(D1769=1,OFFSET($W$634,$B1167,D$631-1)/SUMPRODUCT(--($D$631:$V$631=D$631),--($D1769:$V1769=1)),0)+SUM(D1166)+IF(COUNTIF(D$1237:D1769,1)=1,5,0)+IF(COUNTIF(E1167:$W1167,"&gt;"&amp;0)&lt;5,IF(AND(COUNTIF(D$1237:D1769,1)&gt;7,MOD(1+IFERROR(MATCH($C1167,总览!$D$46:$D$345,1)+1,1),7)=0),$C$3,0),0)</f>
        <v>3321.42594801905</v>
      </c>
      <c r="E1167" s="131" cm="1">
        <f ca="1" t="array" ref="E1167">IF(E1769=1,OFFSET($W$634,$B1167,E$631-1)/SUMPRODUCT(--($D$631:$V$631=E$631),--($D1769:$V1769=1)),0)+SUM(E1166)+IF(COUNTIF(E$1237:E1769,1)=1,5,0)+IF(COUNTIF(F1167:$W1167,"&gt;"&amp;0)&lt;5,IF(AND(COUNTIF(E$1237:E1769,1)&gt;7,MOD(1+IFERROR(MATCH($C1167,总览!$D$46:$D$345,1)+1,1),7)=0),$C$3,0),0)</f>
        <v>3321.42594801905</v>
      </c>
      <c r="F1167" s="131" cm="1">
        <f ca="1" t="array" ref="F1167">IF(F1769=1,OFFSET($W$634,$B1167,F$631-1)/SUMPRODUCT(--($D$631:$V$631=F$631),--($D1769:$V1769=1)),0)+SUM(F1166)+IF(COUNTIF(F$1237:F1769,1)=1,5,0)+IF(COUNTIF(G1167:$W1167,"&gt;"&amp;0)&lt;5,IF(AND(COUNTIF(F$1237:F1769,1)&gt;7,MOD(1+IFERROR(MATCH($C1167,总览!$D$46:$D$345,1)+1,1),7)=0),$C$3,0),0)</f>
        <v>3321.42594801905</v>
      </c>
      <c r="G1167" s="131" cm="1">
        <f ca="1" t="array" ref="G1167">IF(G1769=1,OFFSET($W$634,$B1167,G$631-1)/SUMPRODUCT(--($D$631:$V$631=G$631),--($D1769:$V1769=1)),0)+SUM(G1166)+IF(COUNTIF(G$1237:G1769,1)=1,5,0)+IF(COUNTIF(H1167:$W1167,"&gt;"&amp;0)&lt;5,IF(AND(COUNTIF(G$1237:G1769,1)&gt;7,MOD(1+IFERROR(MATCH($C1167,总览!$D$46:$D$345,1)+1,1),7)=0),$C$3,0),0)</f>
        <v>1716.06666666666</v>
      </c>
      <c r="H1167" s="131" cm="1">
        <f ca="1" t="array" ref="H1167">IF(H1769=1,OFFSET($W$634,$B1167,H$631-1)/SUMPRODUCT(--($D$631:$V$631=H$631),--($D1769:$V1769=1)),0)+SUM(H1166)+IF(COUNTIF(H$1237:H1769,1)=1,5,0)+IF(COUNTIF(I1167:$W1167,"&gt;"&amp;0)&lt;5,IF(AND(COUNTIF(H$1237:H1769,1)&gt;7,MOD(1+IFERROR(MATCH($C1167,总览!$D$46:$D$345,1)+1,1),7)=0),$C$3,0),0)</f>
        <v>1716.06666666666</v>
      </c>
      <c r="I1167" s="131" cm="1">
        <f ca="1" t="array" ref="I1167">IF(I1769=1,OFFSET($W$634,$B1167,I$631-1)/SUMPRODUCT(--($D$631:$V$631=I$631),--($D1769:$V1769=1)),0)+SUM(I1166)+IF(COUNTIF(I$1237:I1769,1)=1,5,0)+IF(COUNTIF(J1167:$W1167,"&gt;"&amp;0)&lt;5,IF(AND(COUNTIF(I$1237:I1769,1)&gt;7,MOD(1+IFERROR(MATCH($C1167,总览!$D$46:$D$345,1)+1,1),7)=0),$C$3,0),0)</f>
        <v>1716.06666666666</v>
      </c>
      <c r="J1167" s="131" cm="1">
        <f ca="1" t="array" ref="J1167">IF(J1769=1,OFFSET($W$634,$B1167,J$631-1)/SUMPRODUCT(--($D$631:$V$631=J$631),--($D1769:$V1769=1)),0)+SUM(J1166)+IF(COUNTIF(J$1237:J1769,1)=1,5,0)+IF(COUNTIF(K1167:$W1167,"&gt;"&amp;0)&lt;5,IF(AND(COUNTIF(J$1237:J1769,1)&gt;7,MOD(1+IFERROR(MATCH($C1167,总览!$D$46:$D$345,1)+1,1),7)=0),$C$3,0),0)</f>
        <v>1712.73333333332</v>
      </c>
      <c r="K1167" s="131" cm="1">
        <f ca="1" t="array" ref="K1167">IF(K1769=1,OFFSET($W$634,$B1167,K$631-1)/SUMPRODUCT(--($D$631:$V$631=K$631),--($D1769:$V1769=1)),0)+SUM(K1166)+IF(COUNTIF(K$1237:K1769,1)=1,5,0)+IF(COUNTIF(L1167:$W1167,"&gt;"&amp;0)&lt;5,IF(AND(COUNTIF(K$1237:K1769,1)&gt;7,MOD(1+IFERROR(MATCH($C1167,总览!$D$46:$D$345,1)+1,1),7)=0),$C$3,0),0)</f>
        <v>1710.23333333332</v>
      </c>
      <c r="L1167" s="131" cm="1">
        <f ca="1" t="array" ref="L1167">IF(L1769=1,OFFSET($W$634,$B1167,L$631-1)/SUMPRODUCT(--($D$631:$V$631=L$631),--($D1769:$V1769=1)),0)+SUM(L1166)+IF(COUNTIF(L$1237:L1769,1)=1,5,0)+IF(COUNTIF(M1167:$W1167,"&gt;"&amp;0)&lt;5,IF(AND(COUNTIF(L$1237:L1769,1)&gt;7,MOD(1+IFERROR(MATCH($C1167,总览!$D$46:$D$345,1)+1,1),7)=0),$C$3,0),0)</f>
        <v>1710.23333333332</v>
      </c>
      <c r="M1167" s="131" cm="1">
        <f ca="1" t="array" ref="M1167">IF(M1769=1,OFFSET($W$634,$B1167,M$631-1)/SUMPRODUCT(--($D$631:$V$631=M$631),--($D1769:$V1769=1)),0)+SUM(M1166)+IF(COUNTIF(M$1237:M1769,1)=1,5,0)+IF(COUNTIF(N1167:$W1167,"&gt;"&amp;0)&lt;5,IF(AND(COUNTIF(M$1237:M1769,1)&gt;7,MOD(1+IFERROR(MATCH($C1167,总览!$D$46:$D$345,1)+1,1),7)=0),$C$3,0),0)</f>
        <v>719.181250000004</v>
      </c>
      <c r="N1167" s="131" cm="1">
        <f ca="1" t="array" ref="N1167">IF(N1769=1,OFFSET($W$634,$B1167,N$631-1)/SUMPRODUCT(--($D$631:$V$631=N$631),--($D1769:$V1769=1)),0)+SUM(N1166)+IF(COUNTIF(N$1237:N1769,1)=1,5,0)+IF(COUNTIF(O1167:$W1167,"&gt;"&amp;0)&lt;5,IF(AND(COUNTIF(N$1237:N1769,1)&gt;7,MOD(1+IFERROR(MATCH($C1167,总览!$D$46:$D$345,1)+1,1),7)=0),$C$3,0),0)</f>
        <v>720.431250000004</v>
      </c>
      <c r="O1167" s="131" cm="1">
        <f ca="1" t="array" ref="O1167">IF(O1769=1,OFFSET($W$634,$B1167,O$631-1)/SUMPRODUCT(--($D$631:$V$631=O$631),--($D1769:$V1769=1)),0)+SUM(O1166)+IF(COUNTIF(O$1237:O1769,1)=1,5,0)+IF(COUNTIF(P1167:$W1167,"&gt;"&amp;0)&lt;5,IF(AND(COUNTIF(O$1237:O1769,1)&gt;7,MOD(1+IFERROR(MATCH($C1167,总览!$D$46:$D$345,1)+1,1),7)=0),$C$3,0),0)</f>
        <v>725.431250000004</v>
      </c>
      <c r="P1167" s="131" cm="1">
        <f ca="1" t="array" ref="P1167">IF(P1769=1,OFFSET($W$634,$B1167,P$631-1)/SUMPRODUCT(--($D$631:$V$631=P$631),--($D1769:$V1769=1)),0)+SUM(P1166)+IF(COUNTIF(P$1237:P1769,1)=1,5,0)+IF(COUNTIF(Q1167:$W1167,"&gt;"&amp;0)&lt;5,IF(AND(COUNTIF(P$1237:P1769,1)&gt;7,MOD(1+IFERROR(MATCH($C1167,总览!$D$46:$D$345,1)+1,1),7)=0),$C$3,0),0)</f>
        <v>714.550000000004</v>
      </c>
      <c r="Q1167" s="131" cm="1">
        <f ca="1" t="array" ref="Q1167">IF(Q1769=1,OFFSET($W$634,$B1167,Q$631-1)/SUMPRODUCT(--($D$631:$V$631=Q$631),--($D1769:$V1769=1)),0)+SUM(Q1166)+IF(COUNTIF(Q$1237:Q1769,1)=1,5,0)+IF(COUNTIF(R1167:$W1167,"&gt;"&amp;0)&lt;5,IF(AND(COUNTIF(Q$1237:Q1769,1)&gt;7,MOD(1+IFERROR(MATCH($C1167,总览!$D$46:$D$345,1)+1,1),7)=0),$C$3,0),0)</f>
        <v>727.931250000004</v>
      </c>
      <c r="R1167" s="131" cm="1">
        <f ca="1" t="array" ref="R1167">IF(R1769=1,OFFSET($W$634,$B1167,R$631-1)/SUMPRODUCT(--($D$631:$V$631=R$631),--($D1769:$V1769=1)),0)+SUM(R1166)+IF(COUNTIF(R$1237:R1769,1)=1,5,0)+IF(COUNTIF(S1167:$W1167,"&gt;"&amp;0)&lt;5,IF(AND(COUNTIF(R$1237:R1769,1)&gt;7,MOD(1+IFERROR(MATCH($C1167,总览!$D$46:$D$345,1)+1,1),7)=0),$C$3,0),0)</f>
        <v>719.550000000004</v>
      </c>
      <c r="S1167" s="131" cm="1">
        <f ca="1" t="array" ref="S1167">IF(S1769=1,OFFSET($W$634,$B1167,S$631-1)/SUMPRODUCT(--($D$631:$V$631=S$631),--($D1769:$V1769=1)),0)+SUM(S1166)+IF(COUNTIF(S$1237:S1769,1)=1,5,0)+IF(COUNTIF(T1167:$W1167,"&gt;"&amp;0)&lt;5,IF(AND(COUNTIF(S$1237:S1769,1)&gt;7,MOD(1+IFERROR(MATCH($C1167,总览!$D$46:$D$345,1)+1,1),7)=0),$C$3,0),0)</f>
        <v>812.050000000005</v>
      </c>
      <c r="T1167" s="131" cm="1">
        <f ca="1" t="array" ref="T1167">IF(T1769=1,OFFSET($W$634,$B1167,T$631-1)/SUMPRODUCT(--($D$631:$V$631=T$631),--($D1769:$V1769=1)),0)+SUM(T1166)+IF(COUNTIF(T$1237:T1769,1)=1,5,0)+IF(COUNTIF(U1167:$W1167,"&gt;"&amp;0)&lt;5,IF(AND(COUNTIF(T$1237:T1769,1)&gt;7,MOD(1+IFERROR(MATCH($C1167,总览!$D$46:$D$345,1)+1,1),7)=0),$C$3,0),0)</f>
        <v>594.776194506648</v>
      </c>
      <c r="U1167" s="131" cm="1">
        <f ca="1" t="array" ref="U1167">IF(U1769=1,OFFSET($W$634,$B1167,U$631-1)/SUMPRODUCT(--($D$631:$V$631=U$631),--($D1769:$V1769=1)),0)+SUM(U1166)+IF(COUNTIF(U$1237:U1769,1)=1,5,0)+IF(COUNTIF(V1167:$W1167,"&gt;"&amp;0)&lt;5,IF(AND(COUNTIF(U$1237:U1769,1)&gt;7,MOD(1+IFERROR(MATCH($C1167,总览!$D$46:$D$345,1)+1,1),7)=0),$C$3,0),0)</f>
        <v>600.296980861948</v>
      </c>
      <c r="V1167" s="131" cm="1">
        <f ca="1" t="array" ref="V1167">IF(V1769=1,OFFSET($W$634,$B1167,V$631-1)/SUMPRODUCT(--($D$631:$V$631=V$631),--($D1769:$V1769=1)),0)+SUM(V1166)+IF(COUNTIF(V$1237:V1769,1)=1,5,0)+IF(COUNTIF(W1167:$W1167,"&gt;"&amp;0)&lt;5,IF(AND(COUNTIF(V$1237:V1769,1)&gt;7,MOD(1+IFERROR(MATCH($C1167,总览!$D$46:$D$345,1)+1,1),7)=0),$C$3,0),0)</f>
        <v>620.123980574381</v>
      </c>
      <c r="W1167" s="135" cm="1">
        <f ca="1" t="array" ref="W1167">SUMPRODUCT(TRANSPOSE($AA1167:$AG1167),OFFSET($L$9:$L$15,0,W$631-1))</f>
        <v>16.8502200646615</v>
      </c>
      <c r="X1167" s="135" cm="1">
        <f ca="1" t="array" ref="X1167">SUMPRODUCT(TRANSPOSE($AA1167:$AG1167),OFFSET($L$9:$L$15,0,X$631-1))</f>
        <v>20</v>
      </c>
      <c r="Y1167" s="135" cm="1">
        <f ca="1" t="array" ref="Y1167">SUMPRODUCT(TRANSPOSE($AA1167:$AG1167),OFFSET($L$9:$L$15,0,Y$631-1))</f>
        <v>10</v>
      </c>
      <c r="Z1167" s="135" cm="1">
        <f ca="1" t="array" ref="Z1167">SUMPRODUCT(TRANSPOSE($AA1167:$AG1167),OFFSET($L$9:$L$15,0,Z$631-1))</f>
        <v>3.14977993533847</v>
      </c>
      <c r="AA1167" s="136">
        <f ca="1" t="shared" ref="AA1167:AG1167" si="1321">AH1167-AH1166</f>
        <v>0</v>
      </c>
      <c r="AB1167" s="136">
        <f ca="1" t="shared" si="1321"/>
        <v>0</v>
      </c>
      <c r="AC1167" s="136">
        <f ca="1" t="shared" si="1321"/>
        <v>0</v>
      </c>
      <c r="AD1167" s="136">
        <f ca="1" t="shared" si="1321"/>
        <v>0</v>
      </c>
      <c r="AE1167" s="136">
        <f ca="1" t="shared" si="1321"/>
        <v>0</v>
      </c>
      <c r="AF1167" s="136">
        <f ca="1" t="shared" si="1321"/>
        <v>0</v>
      </c>
      <c r="AG1167" s="136">
        <f ca="1" t="shared" si="1321"/>
        <v>100</v>
      </c>
      <c r="AH1167" s="136">
        <f ca="1" t="shared" si="1281"/>
        <v>450</v>
      </c>
      <c r="AI1167" s="136">
        <f ca="1" t="shared" ref="AI1167:AN1167" si="1322">IF($C1167&gt;OFFSET($Q$8,MATCH(AI$634,$AH$634:$AN$634,0),0),OFFSET($P$8,MATCH(AI$634,$AH$634:$AN$634,0),0),MAX(0,$C1167-OFFSET($Q$8,RIGHT(AI$634,1)-1,0)))</f>
        <v>909</v>
      </c>
      <c r="AJ1167" s="136">
        <f ca="1" t="shared" si="1322"/>
        <v>1818</v>
      </c>
      <c r="AK1167" s="136">
        <f ca="1" t="shared" si="1322"/>
        <v>2727</v>
      </c>
      <c r="AL1167" s="136">
        <f ca="1" t="shared" si="1322"/>
        <v>3636</v>
      </c>
      <c r="AM1167" s="136">
        <f ca="1" t="shared" si="1322"/>
        <v>4545</v>
      </c>
      <c r="AN1167" s="136">
        <f ca="1" t="shared" si="1322"/>
        <v>39215</v>
      </c>
    </row>
    <row r="1168" s="106" customFormat="1" ht="16.5" spans="2:40">
      <c r="B1168" s="117">
        <v>534</v>
      </c>
      <c r="C1168" s="130">
        <f t="shared" si="1279"/>
        <v>53400</v>
      </c>
      <c r="D1168" s="131" cm="1">
        <f ca="1" t="array" ref="D1168">IF(D1770=1,OFFSET($W$634,$B1168,D$631-1)/SUMPRODUCT(--($D$631:$V$631=D$631),--($D1770:$V1770=1)),0)+SUM(D1167)+IF(COUNTIF(D$1237:D1770,1)=1,5,0)+IF(COUNTIF(E1168:$W1168,"&gt;"&amp;0)&lt;5,IF(AND(COUNTIF(D$1237:D1770,1)&gt;7,MOD(1+IFERROR(MATCH($C1168,总览!$D$46:$D$345,1)+1,1),7)=0),$C$3,0),0)</f>
        <v>3327.0426880406</v>
      </c>
      <c r="E1168" s="131" cm="1">
        <f ca="1" t="array" ref="E1168">IF(E1770=1,OFFSET($W$634,$B1168,E$631-1)/SUMPRODUCT(--($D$631:$V$631=E$631),--($D1770:$V1770=1)),0)+SUM(E1167)+IF(COUNTIF(E$1237:E1770,1)=1,5,0)+IF(COUNTIF(F1168:$W1168,"&gt;"&amp;0)&lt;5,IF(AND(COUNTIF(E$1237:E1770,1)&gt;7,MOD(1+IFERROR(MATCH($C1168,总览!$D$46:$D$345,1)+1,1),7)=0),$C$3,0),0)</f>
        <v>3327.0426880406</v>
      </c>
      <c r="F1168" s="131" cm="1">
        <f ca="1" t="array" ref="F1168">IF(F1770=1,OFFSET($W$634,$B1168,F$631-1)/SUMPRODUCT(--($D$631:$V$631=F$631),--($D1770:$V1770=1)),0)+SUM(F1167)+IF(COUNTIF(F$1237:F1770,1)=1,5,0)+IF(COUNTIF(G1168:$W1168,"&gt;"&amp;0)&lt;5,IF(AND(COUNTIF(F$1237:F1770,1)&gt;7,MOD(1+IFERROR(MATCH($C1168,总览!$D$46:$D$345,1)+1,1),7)=0),$C$3,0),0)</f>
        <v>3327.0426880406</v>
      </c>
      <c r="G1168" s="131" cm="1">
        <f ca="1" t="array" ref="G1168">IF(G1770=1,OFFSET($W$634,$B1168,G$631-1)/SUMPRODUCT(--($D$631:$V$631=G$631),--($D1770:$V1770=1)),0)+SUM(G1167)+IF(COUNTIF(G$1237:G1770,1)=1,5,0)+IF(COUNTIF(H1168:$W1168,"&gt;"&amp;0)&lt;5,IF(AND(COUNTIF(G$1237:G1770,1)&gt;7,MOD(1+IFERROR(MATCH($C1168,总览!$D$46:$D$345,1)+1,1),7)=0),$C$3,0),0)</f>
        <v>1719.39999999999</v>
      </c>
      <c r="H1168" s="131" cm="1">
        <f ca="1" t="array" ref="H1168">IF(H1770=1,OFFSET($W$634,$B1168,H$631-1)/SUMPRODUCT(--($D$631:$V$631=H$631),--($D1770:$V1770=1)),0)+SUM(H1167)+IF(COUNTIF(H$1237:H1770,1)=1,5,0)+IF(COUNTIF(I1168:$W1168,"&gt;"&amp;0)&lt;5,IF(AND(COUNTIF(H$1237:H1770,1)&gt;7,MOD(1+IFERROR(MATCH($C1168,总览!$D$46:$D$345,1)+1,1),7)=0),$C$3,0),0)</f>
        <v>1719.39999999999</v>
      </c>
      <c r="I1168" s="131" cm="1">
        <f ca="1" t="array" ref="I1168">IF(I1770=1,OFFSET($W$634,$B1168,I$631-1)/SUMPRODUCT(--($D$631:$V$631=I$631),--($D1770:$V1770=1)),0)+SUM(I1167)+IF(COUNTIF(I$1237:I1770,1)=1,5,0)+IF(COUNTIF(J1168:$W1168,"&gt;"&amp;0)&lt;5,IF(AND(COUNTIF(I$1237:I1770,1)&gt;7,MOD(1+IFERROR(MATCH($C1168,总览!$D$46:$D$345,1)+1,1),7)=0),$C$3,0),0)</f>
        <v>1719.39999999999</v>
      </c>
      <c r="J1168" s="131" cm="1">
        <f ca="1" t="array" ref="J1168">IF(J1770=1,OFFSET($W$634,$B1168,J$631-1)/SUMPRODUCT(--($D$631:$V$631=J$631),--($D1770:$V1770=1)),0)+SUM(J1167)+IF(COUNTIF(J$1237:J1770,1)=1,5,0)+IF(COUNTIF(K1168:$W1168,"&gt;"&amp;0)&lt;5,IF(AND(COUNTIF(J$1237:J1770,1)&gt;7,MOD(1+IFERROR(MATCH($C1168,总览!$D$46:$D$345,1)+1,1),7)=0),$C$3,0),0)</f>
        <v>1716.06666666666</v>
      </c>
      <c r="K1168" s="131" cm="1">
        <f ca="1" t="array" ref="K1168">IF(K1770=1,OFFSET($W$634,$B1168,K$631-1)/SUMPRODUCT(--($D$631:$V$631=K$631),--($D1770:$V1770=1)),0)+SUM(K1167)+IF(COUNTIF(K$1237:K1770,1)=1,5,0)+IF(COUNTIF(L1168:$W1168,"&gt;"&amp;0)&lt;5,IF(AND(COUNTIF(K$1237:K1770,1)&gt;7,MOD(1+IFERROR(MATCH($C1168,总览!$D$46:$D$345,1)+1,1),7)=0),$C$3,0),0)</f>
        <v>1713.56666666666</v>
      </c>
      <c r="L1168" s="131" cm="1">
        <f ca="1" t="array" ref="L1168">IF(L1770=1,OFFSET($W$634,$B1168,L$631-1)/SUMPRODUCT(--($D$631:$V$631=L$631),--($D1770:$V1770=1)),0)+SUM(L1167)+IF(COUNTIF(L$1237:L1770,1)=1,5,0)+IF(COUNTIF(M1168:$W1168,"&gt;"&amp;0)&lt;5,IF(AND(COUNTIF(L$1237:L1770,1)&gt;7,MOD(1+IFERROR(MATCH($C1168,总览!$D$46:$D$345,1)+1,1),7)=0),$C$3,0),0)</f>
        <v>1713.56666666666</v>
      </c>
      <c r="M1168" s="131" cm="1">
        <f ca="1" t="array" ref="M1168">IF(M1770=1,OFFSET($W$634,$B1168,M$631-1)/SUMPRODUCT(--($D$631:$V$631=M$631),--($D1770:$V1770=1)),0)+SUM(M1167)+IF(COUNTIF(M$1237:M1770,1)=1,5,0)+IF(COUNTIF(N1168:$W1168,"&gt;"&amp;0)&lt;5,IF(AND(COUNTIF(M$1237:M1770,1)&gt;7,MOD(1+IFERROR(MATCH($C1168,总览!$D$46:$D$345,1)+1,1),7)=0),$C$3,0),0)</f>
        <v>720.609821428576</v>
      </c>
      <c r="N1168" s="131" cm="1">
        <f ca="1" t="array" ref="N1168">IF(N1770=1,OFFSET($W$634,$B1168,N$631-1)/SUMPRODUCT(--($D$631:$V$631=N$631),--($D1770:$V1770=1)),0)+SUM(N1167)+IF(COUNTIF(N$1237:N1770,1)=1,5,0)+IF(COUNTIF(O1168:$W1168,"&gt;"&amp;0)&lt;5,IF(AND(COUNTIF(N$1237:N1770,1)&gt;7,MOD(1+IFERROR(MATCH($C1168,总览!$D$46:$D$345,1)+1,1),7)=0),$C$3,0),0)</f>
        <v>721.859821428576</v>
      </c>
      <c r="O1168" s="131" cm="1">
        <f ca="1" t="array" ref="O1168">IF(O1770=1,OFFSET($W$634,$B1168,O$631-1)/SUMPRODUCT(--($D$631:$V$631=O$631),--($D1770:$V1770=1)),0)+SUM(O1167)+IF(COUNTIF(O$1237:O1770,1)=1,5,0)+IF(COUNTIF(P1168:$W1168,"&gt;"&amp;0)&lt;5,IF(AND(COUNTIF(O$1237:O1770,1)&gt;7,MOD(1+IFERROR(MATCH($C1168,总览!$D$46:$D$345,1)+1,1),7)=0),$C$3,0),0)</f>
        <v>726.859821428576</v>
      </c>
      <c r="P1168" s="131" cm="1">
        <f ca="1" t="array" ref="P1168">IF(P1770=1,OFFSET($W$634,$B1168,P$631-1)/SUMPRODUCT(--($D$631:$V$631=P$631),--($D1770:$V1770=1)),0)+SUM(P1167)+IF(COUNTIF(P$1237:P1770,1)=1,5,0)+IF(COUNTIF(Q1168:$W1168,"&gt;"&amp;0)&lt;5,IF(AND(COUNTIF(P$1237:P1770,1)&gt;7,MOD(1+IFERROR(MATCH($C1168,总览!$D$46:$D$345,1)+1,1),7)=0),$C$3,0),0)</f>
        <v>715.978571428575</v>
      </c>
      <c r="Q1168" s="131" cm="1">
        <f ca="1" t="array" ref="Q1168">IF(Q1770=1,OFFSET($W$634,$B1168,Q$631-1)/SUMPRODUCT(--($D$631:$V$631=Q$631),--($D1770:$V1770=1)),0)+SUM(Q1167)+IF(COUNTIF(Q$1237:Q1770,1)=1,5,0)+IF(COUNTIF(R1168:$W1168,"&gt;"&amp;0)&lt;5,IF(AND(COUNTIF(Q$1237:Q1770,1)&gt;7,MOD(1+IFERROR(MATCH($C1168,总览!$D$46:$D$345,1)+1,1),7)=0),$C$3,0),0)</f>
        <v>729.359821428576</v>
      </c>
      <c r="R1168" s="131" cm="1">
        <f ca="1" t="array" ref="R1168">IF(R1770=1,OFFSET($W$634,$B1168,R$631-1)/SUMPRODUCT(--($D$631:$V$631=R$631),--($D1770:$V1770=1)),0)+SUM(R1167)+IF(COUNTIF(R$1237:R1770,1)=1,5,0)+IF(COUNTIF(S1168:$W1168,"&gt;"&amp;0)&lt;5,IF(AND(COUNTIF(R$1237:R1770,1)&gt;7,MOD(1+IFERROR(MATCH($C1168,总览!$D$46:$D$345,1)+1,1),7)=0),$C$3,0),0)</f>
        <v>720.978571428575</v>
      </c>
      <c r="S1168" s="131" cm="1">
        <f ca="1" t="array" ref="S1168">IF(S1770=1,OFFSET($W$634,$B1168,S$631-1)/SUMPRODUCT(--($D$631:$V$631=S$631),--($D1770:$V1770=1)),0)+SUM(S1167)+IF(COUNTIF(S$1237:S1770,1)=1,5,0)+IF(COUNTIF(T1168:$W1168,"&gt;"&amp;0)&lt;5,IF(AND(COUNTIF(S$1237:S1770,1)&gt;7,MOD(1+IFERROR(MATCH($C1168,总览!$D$46:$D$345,1)+1,1),7)=0),$C$3,0),0)</f>
        <v>813.478571428577</v>
      </c>
      <c r="T1168" s="131" cm="1">
        <f ca="1" t="array" ref="T1168">IF(T1770=1,OFFSET($W$634,$B1168,T$631-1)/SUMPRODUCT(--($D$631:$V$631=T$631),--($D1770:$V1770=1)),0)+SUM(T1167)+IF(COUNTIF(T$1237:T1770,1)=1,5,0)+IF(COUNTIF(U1168:$W1168,"&gt;"&amp;0)&lt;5,IF(AND(COUNTIF(T$1237:T1770,1)&gt;7,MOD(1+IFERROR(MATCH($C1168,总览!$D$46:$D$345,1)+1,1),7)=0),$C$3,0),0)</f>
        <v>595.826121151761</v>
      </c>
      <c r="U1168" s="131" cm="1">
        <f ca="1" t="array" ref="U1168">IF(U1770=1,OFFSET($W$634,$B1168,U$631-1)/SUMPRODUCT(--($D$631:$V$631=U$631),--($D1770:$V1770=1)),0)+SUM(U1167)+IF(COUNTIF(U$1237:U1770,1)=1,5,0)+IF(COUNTIF(V1168:$W1168,"&gt;"&amp;0)&lt;5,IF(AND(COUNTIF(U$1237:U1770,1)&gt;7,MOD(1+IFERROR(MATCH($C1168,总览!$D$46:$D$345,1)+1,1),7)=0),$C$3,0),0)</f>
        <v>601.34690750706</v>
      </c>
      <c r="V1168" s="131" cm="1">
        <f ca="1" t="array" ref="V1168">IF(V1770=1,OFFSET($W$634,$B1168,V$631-1)/SUMPRODUCT(--($D$631:$V$631=V$631),--($D1770:$V1770=1)),0)+SUM(V1167)+IF(COUNTIF(V$1237:V1770,1)=1,5,0)+IF(COUNTIF(W1168:$W1168,"&gt;"&amp;0)&lt;5,IF(AND(COUNTIF(V$1237:V1770,1)&gt;7,MOD(1+IFERROR(MATCH($C1168,总览!$D$46:$D$345,1)+1,1),7)=0),$C$3,0),0)</f>
        <v>621.173907219493</v>
      </c>
      <c r="W1168" s="135" cm="1">
        <f ca="1" t="array" ref="W1168">SUMPRODUCT(TRANSPOSE($AA1168:$AG1168),OFFSET($L$9:$L$15,0,W$631-1))</f>
        <v>16.8502200646615</v>
      </c>
      <c r="X1168" s="135" cm="1">
        <f ca="1" t="array" ref="X1168">SUMPRODUCT(TRANSPOSE($AA1168:$AG1168),OFFSET($L$9:$L$15,0,X$631-1))</f>
        <v>20</v>
      </c>
      <c r="Y1168" s="135" cm="1">
        <f ca="1" t="array" ref="Y1168">SUMPRODUCT(TRANSPOSE($AA1168:$AG1168),OFFSET($L$9:$L$15,0,Y$631-1))</f>
        <v>10</v>
      </c>
      <c r="Z1168" s="135" cm="1">
        <f ca="1" t="array" ref="Z1168">SUMPRODUCT(TRANSPOSE($AA1168:$AG1168),OFFSET($L$9:$L$15,0,Z$631-1))</f>
        <v>3.14977993533847</v>
      </c>
      <c r="AA1168" s="136">
        <f ca="1" t="shared" ref="AA1168:AG1168" si="1323">AH1168-AH1167</f>
        <v>0</v>
      </c>
      <c r="AB1168" s="136">
        <f ca="1" t="shared" si="1323"/>
        <v>0</v>
      </c>
      <c r="AC1168" s="136">
        <f ca="1" t="shared" si="1323"/>
        <v>0</v>
      </c>
      <c r="AD1168" s="136">
        <f ca="1" t="shared" si="1323"/>
        <v>0</v>
      </c>
      <c r="AE1168" s="136">
        <f ca="1" t="shared" si="1323"/>
        <v>0</v>
      </c>
      <c r="AF1168" s="136">
        <f ca="1" t="shared" si="1323"/>
        <v>0</v>
      </c>
      <c r="AG1168" s="136">
        <f ca="1" t="shared" si="1323"/>
        <v>100</v>
      </c>
      <c r="AH1168" s="136">
        <f ca="1" t="shared" si="1281"/>
        <v>450</v>
      </c>
      <c r="AI1168" s="136">
        <f ca="1" t="shared" ref="AI1168:AN1168" si="1324">IF($C1168&gt;OFFSET($Q$8,MATCH(AI$634,$AH$634:$AN$634,0),0),OFFSET($P$8,MATCH(AI$634,$AH$634:$AN$634,0),0),MAX(0,$C1168-OFFSET($Q$8,RIGHT(AI$634,1)-1,0)))</f>
        <v>909</v>
      </c>
      <c r="AJ1168" s="136">
        <f ca="1" t="shared" si="1324"/>
        <v>1818</v>
      </c>
      <c r="AK1168" s="136">
        <f ca="1" t="shared" si="1324"/>
        <v>2727</v>
      </c>
      <c r="AL1168" s="136">
        <f ca="1" t="shared" si="1324"/>
        <v>3636</v>
      </c>
      <c r="AM1168" s="136">
        <f ca="1" t="shared" si="1324"/>
        <v>4545</v>
      </c>
      <c r="AN1168" s="136">
        <f ca="1" t="shared" si="1324"/>
        <v>39315</v>
      </c>
    </row>
    <row r="1169" s="106" customFormat="1" ht="16.5" spans="2:40">
      <c r="B1169" s="117">
        <v>535</v>
      </c>
      <c r="C1169" s="130">
        <f t="shared" si="1279"/>
        <v>53500</v>
      </c>
      <c r="D1169" s="131" cm="1">
        <f ca="1" t="array" ref="D1169">IF(D1771=1,OFFSET($W$634,$B1169,D$631-1)/SUMPRODUCT(--($D$631:$V$631=D$631),--($D1771:$V1771=1)),0)+SUM(D1168)+IF(COUNTIF(D$1237:D1771,1)=1,5,0)+IF(COUNTIF(E1169:$W1169,"&gt;"&amp;0)&lt;5,IF(AND(COUNTIF(D$1237:D1771,1)&gt;7,MOD(1+IFERROR(MATCH($C1169,总览!$D$46:$D$345,1)+1,1),7)=0),$C$3,0),0)</f>
        <v>3332.65942806215</v>
      </c>
      <c r="E1169" s="131" cm="1">
        <f ca="1" t="array" ref="E1169">IF(E1771=1,OFFSET($W$634,$B1169,E$631-1)/SUMPRODUCT(--($D$631:$V$631=E$631),--($D1771:$V1771=1)),0)+SUM(E1168)+IF(COUNTIF(E$1237:E1771,1)=1,5,0)+IF(COUNTIF(F1169:$W1169,"&gt;"&amp;0)&lt;5,IF(AND(COUNTIF(E$1237:E1771,1)&gt;7,MOD(1+IFERROR(MATCH($C1169,总览!$D$46:$D$345,1)+1,1),7)=0),$C$3,0),0)</f>
        <v>3332.65942806215</v>
      </c>
      <c r="F1169" s="131" cm="1">
        <f ca="1" t="array" ref="F1169">IF(F1771=1,OFFSET($W$634,$B1169,F$631-1)/SUMPRODUCT(--($D$631:$V$631=F$631),--($D1771:$V1771=1)),0)+SUM(F1168)+IF(COUNTIF(F$1237:F1771,1)=1,5,0)+IF(COUNTIF(G1169:$W1169,"&gt;"&amp;0)&lt;5,IF(AND(COUNTIF(F$1237:F1771,1)&gt;7,MOD(1+IFERROR(MATCH($C1169,总览!$D$46:$D$345,1)+1,1),7)=0),$C$3,0),0)</f>
        <v>3332.65942806215</v>
      </c>
      <c r="G1169" s="131" cm="1">
        <f ca="1" t="array" ref="G1169">IF(G1771=1,OFFSET($W$634,$B1169,G$631-1)/SUMPRODUCT(--($D$631:$V$631=G$631),--($D1771:$V1771=1)),0)+SUM(G1168)+IF(COUNTIF(G$1237:G1771,1)=1,5,0)+IF(COUNTIF(H1169:$W1169,"&gt;"&amp;0)&lt;5,IF(AND(COUNTIF(G$1237:G1771,1)&gt;7,MOD(1+IFERROR(MATCH($C1169,总览!$D$46:$D$345,1)+1,1),7)=0),$C$3,0),0)</f>
        <v>1722.73333333332</v>
      </c>
      <c r="H1169" s="131" cm="1">
        <f ca="1" t="array" ref="H1169">IF(H1771=1,OFFSET($W$634,$B1169,H$631-1)/SUMPRODUCT(--($D$631:$V$631=H$631),--($D1771:$V1771=1)),0)+SUM(H1168)+IF(COUNTIF(H$1237:H1771,1)=1,5,0)+IF(COUNTIF(I1169:$W1169,"&gt;"&amp;0)&lt;5,IF(AND(COUNTIF(H$1237:H1771,1)&gt;7,MOD(1+IFERROR(MATCH($C1169,总览!$D$46:$D$345,1)+1,1),7)=0),$C$3,0),0)</f>
        <v>1722.73333333332</v>
      </c>
      <c r="I1169" s="131" cm="1">
        <f ca="1" t="array" ref="I1169">IF(I1771=1,OFFSET($W$634,$B1169,I$631-1)/SUMPRODUCT(--($D$631:$V$631=I$631),--($D1771:$V1771=1)),0)+SUM(I1168)+IF(COUNTIF(I$1237:I1771,1)=1,5,0)+IF(COUNTIF(J1169:$W1169,"&gt;"&amp;0)&lt;5,IF(AND(COUNTIF(I$1237:I1771,1)&gt;7,MOD(1+IFERROR(MATCH($C1169,总览!$D$46:$D$345,1)+1,1),7)=0),$C$3,0),0)</f>
        <v>1722.73333333332</v>
      </c>
      <c r="J1169" s="131" cm="1">
        <f ca="1" t="array" ref="J1169">IF(J1771=1,OFFSET($W$634,$B1169,J$631-1)/SUMPRODUCT(--($D$631:$V$631=J$631),--($D1771:$V1771=1)),0)+SUM(J1168)+IF(COUNTIF(J$1237:J1771,1)=1,5,0)+IF(COUNTIF(K1169:$W1169,"&gt;"&amp;0)&lt;5,IF(AND(COUNTIF(J$1237:J1771,1)&gt;7,MOD(1+IFERROR(MATCH($C1169,总览!$D$46:$D$345,1)+1,1),7)=0),$C$3,0),0)</f>
        <v>1719.39999999999</v>
      </c>
      <c r="K1169" s="131" cm="1">
        <f ca="1" t="array" ref="K1169">IF(K1771=1,OFFSET($W$634,$B1169,K$631-1)/SUMPRODUCT(--($D$631:$V$631=K$631),--($D1771:$V1771=1)),0)+SUM(K1168)+IF(COUNTIF(K$1237:K1771,1)=1,5,0)+IF(COUNTIF(L1169:$W1169,"&gt;"&amp;0)&lt;5,IF(AND(COUNTIF(K$1237:K1771,1)&gt;7,MOD(1+IFERROR(MATCH($C1169,总览!$D$46:$D$345,1)+1,1),7)=0),$C$3,0),0)</f>
        <v>1716.89999999999</v>
      </c>
      <c r="L1169" s="131" cm="1">
        <f ca="1" t="array" ref="L1169">IF(L1771=1,OFFSET($W$634,$B1169,L$631-1)/SUMPRODUCT(--($D$631:$V$631=L$631),--($D1771:$V1771=1)),0)+SUM(L1168)+IF(COUNTIF(L$1237:L1771,1)=1,5,0)+IF(COUNTIF(M1169:$W1169,"&gt;"&amp;0)&lt;5,IF(AND(COUNTIF(L$1237:L1771,1)&gt;7,MOD(1+IFERROR(MATCH($C1169,总览!$D$46:$D$345,1)+1,1),7)=0),$C$3,0),0)</f>
        <v>1716.89999999999</v>
      </c>
      <c r="M1169" s="131" cm="1">
        <f ca="1" t="array" ref="M1169">IF(M1771=1,OFFSET($W$634,$B1169,M$631-1)/SUMPRODUCT(--($D$631:$V$631=M$631),--($D1771:$V1771=1)),0)+SUM(M1168)+IF(COUNTIF(M$1237:M1771,1)=1,5,0)+IF(COUNTIF(N1169:$W1169,"&gt;"&amp;0)&lt;5,IF(AND(COUNTIF(M$1237:M1771,1)&gt;7,MOD(1+IFERROR(MATCH($C1169,总览!$D$46:$D$345,1)+1,1),7)=0),$C$3,0),0)</f>
        <v>722.038392857147</v>
      </c>
      <c r="N1169" s="131" cm="1">
        <f ca="1" t="array" ref="N1169">IF(N1771=1,OFFSET($W$634,$B1169,N$631-1)/SUMPRODUCT(--($D$631:$V$631=N$631),--($D1771:$V1771=1)),0)+SUM(N1168)+IF(COUNTIF(N$1237:N1771,1)=1,5,0)+IF(COUNTIF(O1169:$W1169,"&gt;"&amp;0)&lt;5,IF(AND(COUNTIF(N$1237:N1771,1)&gt;7,MOD(1+IFERROR(MATCH($C1169,总览!$D$46:$D$345,1)+1,1),7)=0),$C$3,0),0)</f>
        <v>723.288392857147</v>
      </c>
      <c r="O1169" s="131" cm="1">
        <f ca="1" t="array" ref="O1169">IF(O1771=1,OFFSET($W$634,$B1169,O$631-1)/SUMPRODUCT(--($D$631:$V$631=O$631),--($D1771:$V1771=1)),0)+SUM(O1168)+IF(COUNTIF(O$1237:O1771,1)=1,5,0)+IF(COUNTIF(P1169:$W1169,"&gt;"&amp;0)&lt;5,IF(AND(COUNTIF(O$1237:O1771,1)&gt;7,MOD(1+IFERROR(MATCH($C1169,总览!$D$46:$D$345,1)+1,1),7)=0),$C$3,0),0)</f>
        <v>728.288392857147</v>
      </c>
      <c r="P1169" s="131" cm="1">
        <f ca="1" t="array" ref="P1169">IF(P1771=1,OFFSET($W$634,$B1169,P$631-1)/SUMPRODUCT(--($D$631:$V$631=P$631),--($D1771:$V1771=1)),0)+SUM(P1168)+IF(COUNTIF(P$1237:P1771,1)=1,5,0)+IF(COUNTIF(Q1169:$W1169,"&gt;"&amp;0)&lt;5,IF(AND(COUNTIF(P$1237:P1771,1)&gt;7,MOD(1+IFERROR(MATCH($C1169,总览!$D$46:$D$345,1)+1,1),7)=0),$C$3,0),0)</f>
        <v>717.407142857147</v>
      </c>
      <c r="Q1169" s="131" cm="1">
        <f ca="1" t="array" ref="Q1169">IF(Q1771=1,OFFSET($W$634,$B1169,Q$631-1)/SUMPRODUCT(--($D$631:$V$631=Q$631),--($D1771:$V1771=1)),0)+SUM(Q1168)+IF(COUNTIF(Q$1237:Q1771,1)=1,5,0)+IF(COUNTIF(R1169:$W1169,"&gt;"&amp;0)&lt;5,IF(AND(COUNTIF(Q$1237:Q1771,1)&gt;7,MOD(1+IFERROR(MATCH($C1169,总览!$D$46:$D$345,1)+1,1),7)=0),$C$3,0),0)</f>
        <v>730.788392857147</v>
      </c>
      <c r="R1169" s="131" cm="1">
        <f ca="1" t="array" ref="R1169">IF(R1771=1,OFFSET($W$634,$B1169,R$631-1)/SUMPRODUCT(--($D$631:$V$631=R$631),--($D1771:$V1771=1)),0)+SUM(R1168)+IF(COUNTIF(R$1237:R1771,1)=1,5,0)+IF(COUNTIF(S1169:$W1169,"&gt;"&amp;0)&lt;5,IF(AND(COUNTIF(R$1237:R1771,1)&gt;7,MOD(1+IFERROR(MATCH($C1169,总览!$D$46:$D$345,1)+1,1),7)=0),$C$3,0),0)</f>
        <v>722.407142857147</v>
      </c>
      <c r="S1169" s="131" cm="1">
        <f ca="1" t="array" ref="S1169">IF(S1771=1,OFFSET($W$634,$B1169,S$631-1)/SUMPRODUCT(--($D$631:$V$631=S$631),--($D1771:$V1771=1)),0)+SUM(S1168)+IF(COUNTIF(S$1237:S1771,1)=1,5,0)+IF(COUNTIF(T1169:$W1169,"&gt;"&amp;0)&lt;5,IF(AND(COUNTIF(S$1237:S1771,1)&gt;7,MOD(1+IFERROR(MATCH($C1169,总览!$D$46:$D$345,1)+1,1),7)=0),$C$3,0),0)</f>
        <v>814.907142857148</v>
      </c>
      <c r="T1169" s="131" cm="1">
        <f ca="1" t="array" ref="T1169">IF(T1771=1,OFFSET($W$634,$B1169,T$631-1)/SUMPRODUCT(--($D$631:$V$631=T$631),--($D1771:$V1771=1)),0)+SUM(T1168)+IF(COUNTIF(T$1237:T1771,1)=1,5,0)+IF(COUNTIF(U1169:$W1169,"&gt;"&amp;0)&lt;5,IF(AND(COUNTIF(T$1237:T1771,1)&gt;7,MOD(1+IFERROR(MATCH($C1169,总览!$D$46:$D$345,1)+1,1),7)=0),$C$3,0),0)</f>
        <v>596.876047796874</v>
      </c>
      <c r="U1169" s="131" cm="1">
        <f ca="1" t="array" ref="U1169">IF(U1771=1,OFFSET($W$634,$B1169,U$631-1)/SUMPRODUCT(--($D$631:$V$631=U$631),--($D1771:$V1771=1)),0)+SUM(U1168)+IF(COUNTIF(U$1237:U1771,1)=1,5,0)+IF(COUNTIF(V1169:$W1169,"&gt;"&amp;0)&lt;5,IF(AND(COUNTIF(U$1237:U1771,1)&gt;7,MOD(1+IFERROR(MATCH($C1169,总览!$D$46:$D$345,1)+1,1),7)=0),$C$3,0),0)</f>
        <v>602.396834152173</v>
      </c>
      <c r="V1169" s="131" cm="1">
        <f ca="1" t="array" ref="V1169">IF(V1771=1,OFFSET($W$634,$B1169,V$631-1)/SUMPRODUCT(--($D$631:$V$631=V$631),--($D1771:$V1771=1)),0)+SUM(V1168)+IF(COUNTIF(V$1237:V1771,1)=1,5,0)+IF(COUNTIF(W1169:$W1169,"&gt;"&amp;0)&lt;5,IF(AND(COUNTIF(V$1237:V1771,1)&gt;7,MOD(1+IFERROR(MATCH($C1169,总览!$D$46:$D$345,1)+1,1),7)=0),$C$3,0),0)</f>
        <v>622.223833864606</v>
      </c>
      <c r="W1169" s="135" cm="1">
        <f ca="1" t="array" ref="W1169">SUMPRODUCT(TRANSPOSE($AA1169:$AG1169),OFFSET($L$9:$L$15,0,W$631-1))</f>
        <v>16.8502200646615</v>
      </c>
      <c r="X1169" s="135" cm="1">
        <f ca="1" t="array" ref="X1169">SUMPRODUCT(TRANSPOSE($AA1169:$AG1169),OFFSET($L$9:$L$15,0,X$631-1))</f>
        <v>20</v>
      </c>
      <c r="Y1169" s="135" cm="1">
        <f ca="1" t="array" ref="Y1169">SUMPRODUCT(TRANSPOSE($AA1169:$AG1169),OFFSET($L$9:$L$15,0,Y$631-1))</f>
        <v>10</v>
      </c>
      <c r="Z1169" s="135" cm="1">
        <f ca="1" t="array" ref="Z1169">SUMPRODUCT(TRANSPOSE($AA1169:$AG1169),OFFSET($L$9:$L$15,0,Z$631-1))</f>
        <v>3.14977993533847</v>
      </c>
      <c r="AA1169" s="136">
        <f ca="1" t="shared" ref="AA1169:AG1169" si="1325">AH1169-AH1168</f>
        <v>0</v>
      </c>
      <c r="AB1169" s="136">
        <f ca="1" t="shared" si="1325"/>
        <v>0</v>
      </c>
      <c r="AC1169" s="136">
        <f ca="1" t="shared" si="1325"/>
        <v>0</v>
      </c>
      <c r="AD1169" s="136">
        <f ca="1" t="shared" si="1325"/>
        <v>0</v>
      </c>
      <c r="AE1169" s="136">
        <f ca="1" t="shared" si="1325"/>
        <v>0</v>
      </c>
      <c r="AF1169" s="136">
        <f ca="1" t="shared" si="1325"/>
        <v>0</v>
      </c>
      <c r="AG1169" s="136">
        <f ca="1" t="shared" si="1325"/>
        <v>100</v>
      </c>
      <c r="AH1169" s="136">
        <f ca="1" t="shared" si="1281"/>
        <v>450</v>
      </c>
      <c r="AI1169" s="136">
        <f ca="1" t="shared" ref="AI1169:AN1169" si="1326">IF($C1169&gt;OFFSET($Q$8,MATCH(AI$634,$AH$634:$AN$634,0),0),OFFSET($P$8,MATCH(AI$634,$AH$634:$AN$634,0),0),MAX(0,$C1169-OFFSET($Q$8,RIGHT(AI$634,1)-1,0)))</f>
        <v>909</v>
      </c>
      <c r="AJ1169" s="136">
        <f ca="1" t="shared" si="1326"/>
        <v>1818</v>
      </c>
      <c r="AK1169" s="136">
        <f ca="1" t="shared" si="1326"/>
        <v>2727</v>
      </c>
      <c r="AL1169" s="136">
        <f ca="1" t="shared" si="1326"/>
        <v>3636</v>
      </c>
      <c r="AM1169" s="136">
        <f ca="1" t="shared" si="1326"/>
        <v>4545</v>
      </c>
      <c r="AN1169" s="136">
        <f ca="1" t="shared" si="1326"/>
        <v>39415</v>
      </c>
    </row>
    <row r="1170" s="106" customFormat="1" ht="16.5" spans="2:40">
      <c r="B1170" s="117">
        <v>536</v>
      </c>
      <c r="C1170" s="130">
        <f t="shared" si="1279"/>
        <v>53600</v>
      </c>
      <c r="D1170" s="131" cm="1">
        <f ca="1" t="array" ref="D1170">IF(D1772=1,OFFSET($W$634,$B1170,D$631-1)/SUMPRODUCT(--($D$631:$V$631=D$631),--($D1772:$V1772=1)),0)+SUM(D1169)+IF(COUNTIF(D$1237:D1772,1)=1,5,0)+IF(COUNTIF(E1170:$W1170,"&gt;"&amp;0)&lt;5,IF(AND(COUNTIF(D$1237:D1772,1)&gt;7,MOD(1+IFERROR(MATCH($C1170,总览!$D$46:$D$345,1)+1,1),7)=0),$C$3,0),0)</f>
        <v>3338.27616808371</v>
      </c>
      <c r="E1170" s="131" cm="1">
        <f ca="1" t="array" ref="E1170">IF(E1772=1,OFFSET($W$634,$B1170,E$631-1)/SUMPRODUCT(--($D$631:$V$631=E$631),--($D1772:$V1772=1)),0)+SUM(E1169)+IF(COUNTIF(E$1237:E1772,1)=1,5,0)+IF(COUNTIF(F1170:$W1170,"&gt;"&amp;0)&lt;5,IF(AND(COUNTIF(E$1237:E1772,1)&gt;7,MOD(1+IFERROR(MATCH($C1170,总览!$D$46:$D$345,1)+1,1),7)=0),$C$3,0),0)</f>
        <v>3338.27616808371</v>
      </c>
      <c r="F1170" s="131" cm="1">
        <f ca="1" t="array" ref="F1170">IF(F1772=1,OFFSET($W$634,$B1170,F$631-1)/SUMPRODUCT(--($D$631:$V$631=F$631),--($D1772:$V1772=1)),0)+SUM(F1169)+IF(COUNTIF(F$1237:F1772,1)=1,5,0)+IF(COUNTIF(G1170:$W1170,"&gt;"&amp;0)&lt;5,IF(AND(COUNTIF(F$1237:F1772,1)&gt;7,MOD(1+IFERROR(MATCH($C1170,总览!$D$46:$D$345,1)+1,1),7)=0),$C$3,0),0)</f>
        <v>3338.27616808371</v>
      </c>
      <c r="G1170" s="131" cm="1">
        <f ca="1" t="array" ref="G1170">IF(G1772=1,OFFSET($W$634,$B1170,G$631-1)/SUMPRODUCT(--($D$631:$V$631=G$631),--($D1772:$V1772=1)),0)+SUM(G1169)+IF(COUNTIF(G$1237:G1772,1)=1,5,0)+IF(COUNTIF(H1170:$W1170,"&gt;"&amp;0)&lt;5,IF(AND(COUNTIF(G$1237:G1772,1)&gt;7,MOD(1+IFERROR(MATCH($C1170,总览!$D$46:$D$345,1)+1,1),7)=0),$C$3,0),0)</f>
        <v>1726.06666666666</v>
      </c>
      <c r="H1170" s="131" cm="1">
        <f ca="1" t="array" ref="H1170">IF(H1772=1,OFFSET($W$634,$B1170,H$631-1)/SUMPRODUCT(--($D$631:$V$631=H$631),--($D1772:$V1772=1)),0)+SUM(H1169)+IF(COUNTIF(H$1237:H1772,1)=1,5,0)+IF(COUNTIF(I1170:$W1170,"&gt;"&amp;0)&lt;5,IF(AND(COUNTIF(H$1237:H1772,1)&gt;7,MOD(1+IFERROR(MATCH($C1170,总览!$D$46:$D$345,1)+1,1),7)=0),$C$3,0),0)</f>
        <v>1726.06666666666</v>
      </c>
      <c r="I1170" s="131" cm="1">
        <f ca="1" t="array" ref="I1170">IF(I1772=1,OFFSET($W$634,$B1170,I$631-1)/SUMPRODUCT(--($D$631:$V$631=I$631),--($D1772:$V1772=1)),0)+SUM(I1169)+IF(COUNTIF(I$1237:I1772,1)=1,5,0)+IF(COUNTIF(J1170:$W1170,"&gt;"&amp;0)&lt;5,IF(AND(COUNTIF(I$1237:I1772,1)&gt;7,MOD(1+IFERROR(MATCH($C1170,总览!$D$46:$D$345,1)+1,1),7)=0),$C$3,0),0)</f>
        <v>1726.06666666666</v>
      </c>
      <c r="J1170" s="131" cm="1">
        <f ca="1" t="array" ref="J1170">IF(J1772=1,OFFSET($W$634,$B1170,J$631-1)/SUMPRODUCT(--($D$631:$V$631=J$631),--($D1772:$V1772=1)),0)+SUM(J1169)+IF(COUNTIF(J$1237:J1772,1)=1,5,0)+IF(COUNTIF(K1170:$W1170,"&gt;"&amp;0)&lt;5,IF(AND(COUNTIF(J$1237:J1772,1)&gt;7,MOD(1+IFERROR(MATCH($C1170,总览!$D$46:$D$345,1)+1,1),7)=0),$C$3,0),0)</f>
        <v>1722.73333333332</v>
      </c>
      <c r="K1170" s="131" cm="1">
        <f ca="1" t="array" ref="K1170">IF(K1772=1,OFFSET($W$634,$B1170,K$631-1)/SUMPRODUCT(--($D$631:$V$631=K$631),--($D1772:$V1772=1)),0)+SUM(K1169)+IF(COUNTIF(K$1237:K1772,1)=1,5,0)+IF(COUNTIF(L1170:$W1170,"&gt;"&amp;0)&lt;5,IF(AND(COUNTIF(K$1237:K1772,1)&gt;7,MOD(1+IFERROR(MATCH($C1170,总览!$D$46:$D$345,1)+1,1),7)=0),$C$3,0),0)</f>
        <v>1720.23333333332</v>
      </c>
      <c r="L1170" s="131" cm="1">
        <f ca="1" t="array" ref="L1170">IF(L1772=1,OFFSET($W$634,$B1170,L$631-1)/SUMPRODUCT(--($D$631:$V$631=L$631),--($D1772:$V1772=1)),0)+SUM(L1169)+IF(COUNTIF(L$1237:L1772,1)=1,5,0)+IF(COUNTIF(M1170:$W1170,"&gt;"&amp;0)&lt;5,IF(AND(COUNTIF(L$1237:L1772,1)&gt;7,MOD(1+IFERROR(MATCH($C1170,总览!$D$46:$D$345,1)+1,1),7)=0),$C$3,0),0)</f>
        <v>1720.23333333332</v>
      </c>
      <c r="M1170" s="131" cm="1">
        <f ca="1" t="array" ref="M1170">IF(M1772=1,OFFSET($W$634,$B1170,M$631-1)/SUMPRODUCT(--($D$631:$V$631=M$631),--($D1772:$V1772=1)),0)+SUM(M1169)+IF(COUNTIF(M$1237:M1772,1)=1,5,0)+IF(COUNTIF(N1170:$W1170,"&gt;"&amp;0)&lt;5,IF(AND(COUNTIF(M$1237:M1772,1)&gt;7,MOD(1+IFERROR(MATCH($C1170,总览!$D$46:$D$345,1)+1,1),7)=0),$C$3,0),0)</f>
        <v>723.466964285718</v>
      </c>
      <c r="N1170" s="131" cm="1">
        <f ca="1" t="array" ref="N1170">IF(N1772=1,OFFSET($W$634,$B1170,N$631-1)/SUMPRODUCT(--($D$631:$V$631=N$631),--($D1772:$V1772=1)),0)+SUM(N1169)+IF(COUNTIF(N$1237:N1772,1)=1,5,0)+IF(COUNTIF(O1170:$W1170,"&gt;"&amp;0)&lt;5,IF(AND(COUNTIF(N$1237:N1772,1)&gt;7,MOD(1+IFERROR(MATCH($C1170,总览!$D$46:$D$345,1)+1,1),7)=0),$C$3,0),0)</f>
        <v>724.716964285718</v>
      </c>
      <c r="O1170" s="131" cm="1">
        <f ca="1" t="array" ref="O1170">IF(O1772=1,OFFSET($W$634,$B1170,O$631-1)/SUMPRODUCT(--($D$631:$V$631=O$631),--($D1772:$V1772=1)),0)+SUM(O1169)+IF(COUNTIF(O$1237:O1772,1)=1,5,0)+IF(COUNTIF(P1170:$W1170,"&gt;"&amp;0)&lt;5,IF(AND(COUNTIF(O$1237:O1772,1)&gt;7,MOD(1+IFERROR(MATCH($C1170,总览!$D$46:$D$345,1)+1,1),7)=0),$C$3,0),0)</f>
        <v>729.716964285718</v>
      </c>
      <c r="P1170" s="131" cm="1">
        <f ca="1" t="array" ref="P1170">IF(P1772=1,OFFSET($W$634,$B1170,P$631-1)/SUMPRODUCT(--($D$631:$V$631=P$631),--($D1772:$V1772=1)),0)+SUM(P1169)+IF(COUNTIF(P$1237:P1772,1)=1,5,0)+IF(COUNTIF(Q1170:$W1170,"&gt;"&amp;0)&lt;5,IF(AND(COUNTIF(P$1237:P1772,1)&gt;7,MOD(1+IFERROR(MATCH($C1170,总览!$D$46:$D$345,1)+1,1),7)=0),$C$3,0),0)</f>
        <v>718.835714285718</v>
      </c>
      <c r="Q1170" s="131" cm="1">
        <f ca="1" t="array" ref="Q1170">IF(Q1772=1,OFFSET($W$634,$B1170,Q$631-1)/SUMPRODUCT(--($D$631:$V$631=Q$631),--($D1772:$V1772=1)),0)+SUM(Q1169)+IF(COUNTIF(Q$1237:Q1772,1)=1,5,0)+IF(COUNTIF(R1170:$W1170,"&gt;"&amp;0)&lt;5,IF(AND(COUNTIF(Q$1237:Q1772,1)&gt;7,MOD(1+IFERROR(MATCH($C1170,总览!$D$46:$D$345,1)+1,1),7)=0),$C$3,0),0)</f>
        <v>732.216964285718</v>
      </c>
      <c r="R1170" s="131" cm="1">
        <f ca="1" t="array" ref="R1170">IF(R1772=1,OFFSET($W$634,$B1170,R$631-1)/SUMPRODUCT(--($D$631:$V$631=R$631),--($D1772:$V1772=1)),0)+SUM(R1169)+IF(COUNTIF(R$1237:R1772,1)=1,5,0)+IF(COUNTIF(S1170:$W1170,"&gt;"&amp;0)&lt;5,IF(AND(COUNTIF(R$1237:R1772,1)&gt;7,MOD(1+IFERROR(MATCH($C1170,总览!$D$46:$D$345,1)+1,1),7)=0),$C$3,0),0)</f>
        <v>723.835714285718</v>
      </c>
      <c r="S1170" s="131" cm="1">
        <f ca="1" t="array" ref="S1170">IF(S1772=1,OFFSET($W$634,$B1170,S$631-1)/SUMPRODUCT(--($D$631:$V$631=S$631),--($D1772:$V1772=1)),0)+SUM(S1169)+IF(COUNTIF(S$1237:S1772,1)=1,5,0)+IF(COUNTIF(T1170:$W1170,"&gt;"&amp;0)&lt;5,IF(AND(COUNTIF(S$1237:S1772,1)&gt;7,MOD(1+IFERROR(MATCH($C1170,总览!$D$46:$D$345,1)+1,1),7)=0),$C$3,0),0)</f>
        <v>816.33571428572</v>
      </c>
      <c r="T1170" s="131" cm="1">
        <f ca="1" t="array" ref="T1170">IF(T1772=1,OFFSET($W$634,$B1170,T$631-1)/SUMPRODUCT(--($D$631:$V$631=T$631),--($D1772:$V1772=1)),0)+SUM(T1169)+IF(COUNTIF(T$1237:T1772,1)=1,5,0)+IF(COUNTIF(U1170:$W1170,"&gt;"&amp;0)&lt;5,IF(AND(COUNTIF(T$1237:T1772,1)&gt;7,MOD(1+IFERROR(MATCH($C1170,总览!$D$46:$D$345,1)+1,1),7)=0),$C$3,0),0)</f>
        <v>597.925974441986</v>
      </c>
      <c r="U1170" s="131" cm="1">
        <f ca="1" t="array" ref="U1170">IF(U1772=1,OFFSET($W$634,$B1170,U$631-1)/SUMPRODUCT(--($D$631:$V$631=U$631),--($D1772:$V1772=1)),0)+SUM(U1169)+IF(COUNTIF(U$1237:U1772,1)=1,5,0)+IF(COUNTIF(V1170:$W1170,"&gt;"&amp;0)&lt;5,IF(AND(COUNTIF(U$1237:U1772,1)&gt;7,MOD(1+IFERROR(MATCH($C1170,总览!$D$46:$D$345,1)+1,1),7)=0),$C$3,0),0)</f>
        <v>603.446760797286</v>
      </c>
      <c r="V1170" s="131" cm="1">
        <f ca="1" t="array" ref="V1170">IF(V1772=1,OFFSET($W$634,$B1170,V$631-1)/SUMPRODUCT(--($D$631:$V$631=V$631),--($D1772:$V1772=1)),0)+SUM(V1169)+IF(COUNTIF(V$1237:V1772,1)=1,5,0)+IF(COUNTIF(W1170:$W1170,"&gt;"&amp;0)&lt;5,IF(AND(COUNTIF(V$1237:V1772,1)&gt;7,MOD(1+IFERROR(MATCH($C1170,总览!$D$46:$D$345,1)+1,1),7)=0),$C$3,0),0)</f>
        <v>623.273760509719</v>
      </c>
      <c r="W1170" s="135" cm="1">
        <f ca="1" t="array" ref="W1170">SUMPRODUCT(TRANSPOSE($AA1170:$AG1170),OFFSET($L$9:$L$15,0,W$631-1))</f>
        <v>16.8502200646615</v>
      </c>
      <c r="X1170" s="135" cm="1">
        <f ca="1" t="array" ref="X1170">SUMPRODUCT(TRANSPOSE($AA1170:$AG1170),OFFSET($L$9:$L$15,0,X$631-1))</f>
        <v>20</v>
      </c>
      <c r="Y1170" s="135" cm="1">
        <f ca="1" t="array" ref="Y1170">SUMPRODUCT(TRANSPOSE($AA1170:$AG1170),OFFSET($L$9:$L$15,0,Y$631-1))</f>
        <v>10</v>
      </c>
      <c r="Z1170" s="135" cm="1">
        <f ca="1" t="array" ref="Z1170">SUMPRODUCT(TRANSPOSE($AA1170:$AG1170),OFFSET($L$9:$L$15,0,Z$631-1))</f>
        <v>3.14977993533847</v>
      </c>
      <c r="AA1170" s="136">
        <f ca="1" t="shared" ref="AA1170:AG1170" si="1327">AH1170-AH1169</f>
        <v>0</v>
      </c>
      <c r="AB1170" s="136">
        <f ca="1" t="shared" si="1327"/>
        <v>0</v>
      </c>
      <c r="AC1170" s="136">
        <f ca="1" t="shared" si="1327"/>
        <v>0</v>
      </c>
      <c r="AD1170" s="136">
        <f ca="1" t="shared" si="1327"/>
        <v>0</v>
      </c>
      <c r="AE1170" s="136">
        <f ca="1" t="shared" si="1327"/>
        <v>0</v>
      </c>
      <c r="AF1170" s="136">
        <f ca="1" t="shared" si="1327"/>
        <v>0</v>
      </c>
      <c r="AG1170" s="136">
        <f ca="1" t="shared" si="1327"/>
        <v>100</v>
      </c>
      <c r="AH1170" s="136">
        <f ca="1" t="shared" si="1281"/>
        <v>450</v>
      </c>
      <c r="AI1170" s="136">
        <f ca="1" t="shared" ref="AI1170:AN1170" si="1328">IF($C1170&gt;OFFSET($Q$8,MATCH(AI$634,$AH$634:$AN$634,0),0),OFFSET($P$8,MATCH(AI$634,$AH$634:$AN$634,0),0),MAX(0,$C1170-OFFSET($Q$8,RIGHT(AI$634,1)-1,0)))</f>
        <v>909</v>
      </c>
      <c r="AJ1170" s="136">
        <f ca="1" t="shared" si="1328"/>
        <v>1818</v>
      </c>
      <c r="AK1170" s="136">
        <f ca="1" t="shared" si="1328"/>
        <v>2727</v>
      </c>
      <c r="AL1170" s="136">
        <f ca="1" t="shared" si="1328"/>
        <v>3636</v>
      </c>
      <c r="AM1170" s="136">
        <f ca="1" t="shared" si="1328"/>
        <v>4545</v>
      </c>
      <c r="AN1170" s="136">
        <f ca="1" t="shared" si="1328"/>
        <v>39515</v>
      </c>
    </row>
    <row r="1171" s="106" customFormat="1" ht="16.5" spans="2:40">
      <c r="B1171" s="117">
        <v>537</v>
      </c>
      <c r="C1171" s="130">
        <f t="shared" si="1279"/>
        <v>53700</v>
      </c>
      <c r="D1171" s="131" cm="1">
        <f ca="1" t="array" ref="D1171">IF(D1773=1,OFFSET($W$634,$B1171,D$631-1)/SUMPRODUCT(--($D$631:$V$631=D$631),--($D1773:$V1773=1)),0)+SUM(D1170)+IF(COUNTIF(D$1237:D1773,1)=1,5,0)+IF(COUNTIF(E1171:$W1171,"&gt;"&amp;0)&lt;5,IF(AND(COUNTIF(D$1237:D1773,1)&gt;7,MOD(1+IFERROR(MATCH($C1171,总览!$D$46:$D$345,1)+1,1),7)=0),$C$3,0),0)</f>
        <v>3343.89290810526</v>
      </c>
      <c r="E1171" s="131" cm="1">
        <f ca="1" t="array" ref="E1171">IF(E1773=1,OFFSET($W$634,$B1171,E$631-1)/SUMPRODUCT(--($D$631:$V$631=E$631),--($D1773:$V1773=1)),0)+SUM(E1170)+IF(COUNTIF(E$1237:E1773,1)=1,5,0)+IF(COUNTIF(F1171:$W1171,"&gt;"&amp;0)&lt;5,IF(AND(COUNTIF(E$1237:E1773,1)&gt;7,MOD(1+IFERROR(MATCH($C1171,总览!$D$46:$D$345,1)+1,1),7)=0),$C$3,0),0)</f>
        <v>3343.89290810526</v>
      </c>
      <c r="F1171" s="131" cm="1">
        <f ca="1" t="array" ref="F1171">IF(F1773=1,OFFSET($W$634,$B1171,F$631-1)/SUMPRODUCT(--($D$631:$V$631=F$631),--($D1773:$V1773=1)),0)+SUM(F1170)+IF(COUNTIF(F$1237:F1773,1)=1,5,0)+IF(COUNTIF(G1171:$W1171,"&gt;"&amp;0)&lt;5,IF(AND(COUNTIF(F$1237:F1773,1)&gt;7,MOD(1+IFERROR(MATCH($C1171,总览!$D$46:$D$345,1)+1,1),7)=0),$C$3,0),0)</f>
        <v>3343.89290810526</v>
      </c>
      <c r="G1171" s="131" cm="1">
        <f ca="1" t="array" ref="G1171">IF(G1773=1,OFFSET($W$634,$B1171,G$631-1)/SUMPRODUCT(--($D$631:$V$631=G$631),--($D1773:$V1773=1)),0)+SUM(G1170)+IF(COUNTIF(G$1237:G1773,1)=1,5,0)+IF(COUNTIF(H1171:$W1171,"&gt;"&amp;0)&lt;5,IF(AND(COUNTIF(G$1237:G1773,1)&gt;7,MOD(1+IFERROR(MATCH($C1171,总览!$D$46:$D$345,1)+1,1),7)=0),$C$3,0),0)</f>
        <v>1729.39999999999</v>
      </c>
      <c r="H1171" s="131" cm="1">
        <f ca="1" t="array" ref="H1171">IF(H1773=1,OFFSET($W$634,$B1171,H$631-1)/SUMPRODUCT(--($D$631:$V$631=H$631),--($D1773:$V1773=1)),0)+SUM(H1170)+IF(COUNTIF(H$1237:H1773,1)=1,5,0)+IF(COUNTIF(I1171:$W1171,"&gt;"&amp;0)&lt;5,IF(AND(COUNTIF(H$1237:H1773,1)&gt;7,MOD(1+IFERROR(MATCH($C1171,总览!$D$46:$D$345,1)+1,1),7)=0),$C$3,0),0)</f>
        <v>1729.39999999999</v>
      </c>
      <c r="I1171" s="131" cm="1">
        <f ca="1" t="array" ref="I1171">IF(I1773=1,OFFSET($W$634,$B1171,I$631-1)/SUMPRODUCT(--($D$631:$V$631=I$631),--($D1773:$V1773=1)),0)+SUM(I1170)+IF(COUNTIF(I$1237:I1773,1)=1,5,0)+IF(COUNTIF(J1171:$W1171,"&gt;"&amp;0)&lt;5,IF(AND(COUNTIF(I$1237:I1773,1)&gt;7,MOD(1+IFERROR(MATCH($C1171,总览!$D$46:$D$345,1)+1,1),7)=0),$C$3,0),0)</f>
        <v>1729.39999999999</v>
      </c>
      <c r="J1171" s="131" cm="1">
        <f ca="1" t="array" ref="J1171">IF(J1773=1,OFFSET($W$634,$B1171,J$631-1)/SUMPRODUCT(--($D$631:$V$631=J$631),--($D1773:$V1773=1)),0)+SUM(J1170)+IF(COUNTIF(J$1237:J1773,1)=1,5,0)+IF(COUNTIF(K1171:$W1171,"&gt;"&amp;0)&lt;5,IF(AND(COUNTIF(J$1237:J1773,1)&gt;7,MOD(1+IFERROR(MATCH($C1171,总览!$D$46:$D$345,1)+1,1),7)=0),$C$3,0),0)</f>
        <v>1726.06666666666</v>
      </c>
      <c r="K1171" s="131" cm="1">
        <f ca="1" t="array" ref="K1171">IF(K1773=1,OFFSET($W$634,$B1171,K$631-1)/SUMPRODUCT(--($D$631:$V$631=K$631),--($D1773:$V1773=1)),0)+SUM(K1170)+IF(COUNTIF(K$1237:K1773,1)=1,5,0)+IF(COUNTIF(L1171:$W1171,"&gt;"&amp;0)&lt;5,IF(AND(COUNTIF(K$1237:K1773,1)&gt;7,MOD(1+IFERROR(MATCH($C1171,总览!$D$46:$D$345,1)+1,1),7)=0),$C$3,0),0)</f>
        <v>1723.56666666666</v>
      </c>
      <c r="L1171" s="131" cm="1">
        <f ca="1" t="array" ref="L1171">IF(L1773=1,OFFSET($W$634,$B1171,L$631-1)/SUMPRODUCT(--($D$631:$V$631=L$631),--($D1773:$V1773=1)),0)+SUM(L1170)+IF(COUNTIF(L$1237:L1773,1)=1,5,0)+IF(COUNTIF(M1171:$W1171,"&gt;"&amp;0)&lt;5,IF(AND(COUNTIF(L$1237:L1773,1)&gt;7,MOD(1+IFERROR(MATCH($C1171,总览!$D$46:$D$345,1)+1,1),7)=0),$C$3,0),0)</f>
        <v>1723.56666666666</v>
      </c>
      <c r="M1171" s="131" cm="1">
        <f ca="1" t="array" ref="M1171">IF(M1773=1,OFFSET($W$634,$B1171,M$631-1)/SUMPRODUCT(--($D$631:$V$631=M$631),--($D1773:$V1773=1)),0)+SUM(M1170)+IF(COUNTIF(M$1237:M1773,1)=1,5,0)+IF(COUNTIF(N1171:$W1171,"&gt;"&amp;0)&lt;5,IF(AND(COUNTIF(M$1237:M1773,1)&gt;7,MOD(1+IFERROR(MATCH($C1171,总览!$D$46:$D$345,1)+1,1),7)=0),$C$3,0),0)</f>
        <v>724.89553571429</v>
      </c>
      <c r="N1171" s="131" cm="1">
        <f ca="1" t="array" ref="N1171">IF(N1773=1,OFFSET($W$634,$B1171,N$631-1)/SUMPRODUCT(--($D$631:$V$631=N$631),--($D1773:$V1773=1)),0)+SUM(N1170)+IF(COUNTIF(N$1237:N1773,1)=1,5,0)+IF(COUNTIF(O1171:$W1171,"&gt;"&amp;0)&lt;5,IF(AND(COUNTIF(N$1237:N1773,1)&gt;7,MOD(1+IFERROR(MATCH($C1171,总览!$D$46:$D$345,1)+1,1),7)=0),$C$3,0),0)</f>
        <v>726.14553571429</v>
      </c>
      <c r="O1171" s="131" cm="1">
        <f ca="1" t="array" ref="O1171">IF(O1773=1,OFFSET($W$634,$B1171,O$631-1)/SUMPRODUCT(--($D$631:$V$631=O$631),--($D1773:$V1773=1)),0)+SUM(O1170)+IF(COUNTIF(O$1237:O1773,1)=1,5,0)+IF(COUNTIF(P1171:$W1171,"&gt;"&amp;0)&lt;5,IF(AND(COUNTIF(O$1237:O1773,1)&gt;7,MOD(1+IFERROR(MATCH($C1171,总览!$D$46:$D$345,1)+1,1),7)=0),$C$3,0),0)</f>
        <v>731.14553571429</v>
      </c>
      <c r="P1171" s="131" cm="1">
        <f ca="1" t="array" ref="P1171">IF(P1773=1,OFFSET($W$634,$B1171,P$631-1)/SUMPRODUCT(--($D$631:$V$631=P$631),--($D1773:$V1773=1)),0)+SUM(P1170)+IF(COUNTIF(P$1237:P1773,1)=1,5,0)+IF(COUNTIF(Q1171:$W1171,"&gt;"&amp;0)&lt;5,IF(AND(COUNTIF(P$1237:P1773,1)&gt;7,MOD(1+IFERROR(MATCH($C1171,总览!$D$46:$D$345,1)+1,1),7)=0),$C$3,0),0)</f>
        <v>720.26428571429</v>
      </c>
      <c r="Q1171" s="131" cm="1">
        <f ca="1" t="array" ref="Q1171">IF(Q1773=1,OFFSET($W$634,$B1171,Q$631-1)/SUMPRODUCT(--($D$631:$V$631=Q$631),--($D1773:$V1773=1)),0)+SUM(Q1170)+IF(COUNTIF(Q$1237:Q1773,1)=1,5,0)+IF(COUNTIF(R1171:$W1171,"&gt;"&amp;0)&lt;5,IF(AND(COUNTIF(Q$1237:Q1773,1)&gt;7,MOD(1+IFERROR(MATCH($C1171,总览!$D$46:$D$345,1)+1,1),7)=0),$C$3,0),0)</f>
        <v>733.64553571429</v>
      </c>
      <c r="R1171" s="131" cm="1">
        <f ca="1" t="array" ref="R1171">IF(R1773=1,OFFSET($W$634,$B1171,R$631-1)/SUMPRODUCT(--($D$631:$V$631=R$631),--($D1773:$V1773=1)),0)+SUM(R1170)+IF(COUNTIF(R$1237:R1773,1)=1,5,0)+IF(COUNTIF(S1171:$W1171,"&gt;"&amp;0)&lt;5,IF(AND(COUNTIF(R$1237:R1773,1)&gt;7,MOD(1+IFERROR(MATCH($C1171,总览!$D$46:$D$345,1)+1,1),7)=0),$C$3,0),0)</f>
        <v>725.26428571429</v>
      </c>
      <c r="S1171" s="131" cm="1">
        <f ca="1" t="array" ref="S1171">IF(S1773=1,OFFSET($W$634,$B1171,S$631-1)/SUMPRODUCT(--($D$631:$V$631=S$631),--($D1773:$V1773=1)),0)+SUM(S1170)+IF(COUNTIF(S$1237:S1773,1)=1,5,0)+IF(COUNTIF(T1171:$W1171,"&gt;"&amp;0)&lt;5,IF(AND(COUNTIF(S$1237:S1773,1)&gt;7,MOD(1+IFERROR(MATCH($C1171,总览!$D$46:$D$345,1)+1,1),7)=0),$C$3,0),0)</f>
        <v>817.764285714291</v>
      </c>
      <c r="T1171" s="131" cm="1">
        <f ca="1" t="array" ref="T1171">IF(T1773=1,OFFSET($W$634,$B1171,T$631-1)/SUMPRODUCT(--($D$631:$V$631=T$631),--($D1773:$V1773=1)),0)+SUM(T1170)+IF(COUNTIF(T$1237:T1773,1)=1,5,0)+IF(COUNTIF(U1171:$W1171,"&gt;"&amp;0)&lt;5,IF(AND(COUNTIF(T$1237:T1773,1)&gt;7,MOD(1+IFERROR(MATCH($C1171,总览!$D$46:$D$345,1)+1,1),7)=0),$C$3,0),0)</f>
        <v>598.975901087099</v>
      </c>
      <c r="U1171" s="131" cm="1">
        <f ca="1" t="array" ref="U1171">IF(U1773=1,OFFSET($W$634,$B1171,U$631-1)/SUMPRODUCT(--($D$631:$V$631=U$631),--($D1773:$V1773=1)),0)+SUM(U1170)+IF(COUNTIF(U$1237:U1773,1)=1,5,0)+IF(COUNTIF(V1171:$W1171,"&gt;"&amp;0)&lt;5,IF(AND(COUNTIF(U$1237:U1773,1)&gt;7,MOD(1+IFERROR(MATCH($C1171,总览!$D$46:$D$345,1)+1,1),7)=0),$C$3,0),0)</f>
        <v>604.496687442399</v>
      </c>
      <c r="V1171" s="131" cm="1">
        <f ca="1" t="array" ref="V1171">IF(V1773=1,OFFSET($W$634,$B1171,V$631-1)/SUMPRODUCT(--($D$631:$V$631=V$631),--($D1773:$V1773=1)),0)+SUM(V1170)+IF(COUNTIF(V$1237:V1773,1)=1,5,0)+IF(COUNTIF(W1171:$W1171,"&gt;"&amp;0)&lt;5,IF(AND(COUNTIF(V$1237:V1773,1)&gt;7,MOD(1+IFERROR(MATCH($C1171,总览!$D$46:$D$345,1)+1,1),7)=0),$C$3,0),0)</f>
        <v>624.323687154832</v>
      </c>
      <c r="W1171" s="135" cm="1">
        <f ca="1" t="array" ref="W1171">SUMPRODUCT(TRANSPOSE($AA1171:$AG1171),OFFSET($L$9:$L$15,0,W$631-1))</f>
        <v>16.8502200646615</v>
      </c>
      <c r="X1171" s="135" cm="1">
        <f ca="1" t="array" ref="X1171">SUMPRODUCT(TRANSPOSE($AA1171:$AG1171),OFFSET($L$9:$L$15,0,X$631-1))</f>
        <v>20</v>
      </c>
      <c r="Y1171" s="135" cm="1">
        <f ca="1" t="array" ref="Y1171">SUMPRODUCT(TRANSPOSE($AA1171:$AG1171),OFFSET($L$9:$L$15,0,Y$631-1))</f>
        <v>10</v>
      </c>
      <c r="Z1171" s="135" cm="1">
        <f ca="1" t="array" ref="Z1171">SUMPRODUCT(TRANSPOSE($AA1171:$AG1171),OFFSET($L$9:$L$15,0,Z$631-1))</f>
        <v>3.14977993533847</v>
      </c>
      <c r="AA1171" s="136">
        <f ca="1" t="shared" ref="AA1171:AG1171" si="1329">AH1171-AH1170</f>
        <v>0</v>
      </c>
      <c r="AB1171" s="136">
        <f ca="1" t="shared" si="1329"/>
        <v>0</v>
      </c>
      <c r="AC1171" s="136">
        <f ca="1" t="shared" si="1329"/>
        <v>0</v>
      </c>
      <c r="AD1171" s="136">
        <f ca="1" t="shared" si="1329"/>
        <v>0</v>
      </c>
      <c r="AE1171" s="136">
        <f ca="1" t="shared" si="1329"/>
        <v>0</v>
      </c>
      <c r="AF1171" s="136">
        <f ca="1" t="shared" si="1329"/>
        <v>0</v>
      </c>
      <c r="AG1171" s="136">
        <f ca="1" t="shared" si="1329"/>
        <v>100</v>
      </c>
      <c r="AH1171" s="136">
        <f ca="1" t="shared" si="1281"/>
        <v>450</v>
      </c>
      <c r="AI1171" s="136">
        <f ca="1" t="shared" ref="AI1171:AN1171" si="1330">IF($C1171&gt;OFFSET($Q$8,MATCH(AI$634,$AH$634:$AN$634,0),0),OFFSET($P$8,MATCH(AI$634,$AH$634:$AN$634,0),0),MAX(0,$C1171-OFFSET($Q$8,RIGHT(AI$634,1)-1,0)))</f>
        <v>909</v>
      </c>
      <c r="AJ1171" s="136">
        <f ca="1" t="shared" si="1330"/>
        <v>1818</v>
      </c>
      <c r="AK1171" s="136">
        <f ca="1" t="shared" si="1330"/>
        <v>2727</v>
      </c>
      <c r="AL1171" s="136">
        <f ca="1" t="shared" si="1330"/>
        <v>3636</v>
      </c>
      <c r="AM1171" s="136">
        <f ca="1" t="shared" si="1330"/>
        <v>4545</v>
      </c>
      <c r="AN1171" s="136">
        <f ca="1" t="shared" si="1330"/>
        <v>39615</v>
      </c>
    </row>
    <row r="1172" s="106" customFormat="1" ht="16.5" spans="2:40">
      <c r="B1172" s="117">
        <v>538</v>
      </c>
      <c r="C1172" s="130">
        <f t="shared" si="1279"/>
        <v>53800</v>
      </c>
      <c r="D1172" s="131" cm="1">
        <f ca="1" t="array" ref="D1172">IF(D1774=1,OFFSET($W$634,$B1172,D$631-1)/SUMPRODUCT(--($D$631:$V$631=D$631),--($D1774:$V1774=1)),0)+SUM(D1171)+IF(COUNTIF(D$1237:D1774,1)=1,5,0)+IF(COUNTIF(E1172:$W1172,"&gt;"&amp;0)&lt;5,IF(AND(COUNTIF(D$1237:D1774,1)&gt;7,MOD(1+IFERROR(MATCH($C1172,总览!$D$46:$D$345,1)+1,1),7)=0),$C$3,0),0)</f>
        <v>3349.50964812682</v>
      </c>
      <c r="E1172" s="131" cm="1">
        <f ca="1" t="array" ref="E1172">IF(E1774=1,OFFSET($W$634,$B1172,E$631-1)/SUMPRODUCT(--($D$631:$V$631=E$631),--($D1774:$V1774=1)),0)+SUM(E1171)+IF(COUNTIF(E$1237:E1774,1)=1,5,0)+IF(COUNTIF(F1172:$W1172,"&gt;"&amp;0)&lt;5,IF(AND(COUNTIF(E$1237:E1774,1)&gt;7,MOD(1+IFERROR(MATCH($C1172,总览!$D$46:$D$345,1)+1,1),7)=0),$C$3,0),0)</f>
        <v>3349.50964812682</v>
      </c>
      <c r="F1172" s="131" cm="1">
        <f ca="1" t="array" ref="F1172">IF(F1774=1,OFFSET($W$634,$B1172,F$631-1)/SUMPRODUCT(--($D$631:$V$631=F$631),--($D1774:$V1774=1)),0)+SUM(F1171)+IF(COUNTIF(F$1237:F1774,1)=1,5,0)+IF(COUNTIF(G1172:$W1172,"&gt;"&amp;0)&lt;5,IF(AND(COUNTIF(F$1237:F1774,1)&gt;7,MOD(1+IFERROR(MATCH($C1172,总览!$D$46:$D$345,1)+1,1),7)=0),$C$3,0),0)</f>
        <v>3349.50964812682</v>
      </c>
      <c r="G1172" s="131" cm="1">
        <f ca="1" t="array" ref="G1172">IF(G1774=1,OFFSET($W$634,$B1172,G$631-1)/SUMPRODUCT(--($D$631:$V$631=G$631),--($D1774:$V1774=1)),0)+SUM(G1171)+IF(COUNTIF(G$1237:G1774,1)=1,5,0)+IF(COUNTIF(H1172:$W1172,"&gt;"&amp;0)&lt;5,IF(AND(COUNTIF(G$1237:G1774,1)&gt;7,MOD(1+IFERROR(MATCH($C1172,总览!$D$46:$D$345,1)+1,1),7)=0),$C$3,0),0)</f>
        <v>1732.73333333332</v>
      </c>
      <c r="H1172" s="131" cm="1">
        <f ca="1" t="array" ref="H1172">IF(H1774=1,OFFSET($W$634,$B1172,H$631-1)/SUMPRODUCT(--($D$631:$V$631=H$631),--($D1774:$V1774=1)),0)+SUM(H1171)+IF(COUNTIF(H$1237:H1774,1)=1,5,0)+IF(COUNTIF(I1172:$W1172,"&gt;"&amp;0)&lt;5,IF(AND(COUNTIF(H$1237:H1774,1)&gt;7,MOD(1+IFERROR(MATCH($C1172,总览!$D$46:$D$345,1)+1,1),7)=0),$C$3,0),0)</f>
        <v>1732.73333333332</v>
      </c>
      <c r="I1172" s="131" cm="1">
        <f ca="1" t="array" ref="I1172">IF(I1774=1,OFFSET($W$634,$B1172,I$631-1)/SUMPRODUCT(--($D$631:$V$631=I$631),--($D1774:$V1774=1)),0)+SUM(I1171)+IF(COUNTIF(I$1237:I1774,1)=1,5,0)+IF(COUNTIF(J1172:$W1172,"&gt;"&amp;0)&lt;5,IF(AND(COUNTIF(I$1237:I1774,1)&gt;7,MOD(1+IFERROR(MATCH($C1172,总览!$D$46:$D$345,1)+1,1),7)=0),$C$3,0),0)</f>
        <v>1732.73333333332</v>
      </c>
      <c r="J1172" s="131" cm="1">
        <f ca="1" t="array" ref="J1172">IF(J1774=1,OFFSET($W$634,$B1172,J$631-1)/SUMPRODUCT(--($D$631:$V$631=J$631),--($D1774:$V1774=1)),0)+SUM(J1171)+IF(COUNTIF(J$1237:J1774,1)=1,5,0)+IF(COUNTIF(K1172:$W1172,"&gt;"&amp;0)&lt;5,IF(AND(COUNTIF(J$1237:J1774,1)&gt;7,MOD(1+IFERROR(MATCH($C1172,总览!$D$46:$D$345,1)+1,1),7)=0),$C$3,0),0)</f>
        <v>1729.39999999999</v>
      </c>
      <c r="K1172" s="131" cm="1">
        <f ca="1" t="array" ref="K1172">IF(K1774=1,OFFSET($W$634,$B1172,K$631-1)/SUMPRODUCT(--($D$631:$V$631=K$631),--($D1774:$V1774=1)),0)+SUM(K1171)+IF(COUNTIF(K$1237:K1774,1)=1,5,0)+IF(COUNTIF(L1172:$W1172,"&gt;"&amp;0)&lt;5,IF(AND(COUNTIF(K$1237:K1774,1)&gt;7,MOD(1+IFERROR(MATCH($C1172,总览!$D$46:$D$345,1)+1,1),7)=0),$C$3,0),0)</f>
        <v>1726.89999999999</v>
      </c>
      <c r="L1172" s="131" cm="1">
        <f ca="1" t="array" ref="L1172">IF(L1774=1,OFFSET($W$634,$B1172,L$631-1)/SUMPRODUCT(--($D$631:$V$631=L$631),--($D1774:$V1774=1)),0)+SUM(L1171)+IF(COUNTIF(L$1237:L1774,1)=1,5,0)+IF(COUNTIF(M1172:$W1172,"&gt;"&amp;0)&lt;5,IF(AND(COUNTIF(L$1237:L1774,1)&gt;7,MOD(1+IFERROR(MATCH($C1172,总览!$D$46:$D$345,1)+1,1),7)=0),$C$3,0),0)</f>
        <v>1726.89999999999</v>
      </c>
      <c r="M1172" s="131" cm="1">
        <f ca="1" t="array" ref="M1172">IF(M1774=1,OFFSET($W$634,$B1172,M$631-1)/SUMPRODUCT(--($D$631:$V$631=M$631),--($D1774:$V1774=1)),0)+SUM(M1171)+IF(COUNTIF(M$1237:M1774,1)=1,5,0)+IF(COUNTIF(N1172:$W1172,"&gt;"&amp;0)&lt;5,IF(AND(COUNTIF(M$1237:M1774,1)&gt;7,MOD(1+IFERROR(MATCH($C1172,总览!$D$46:$D$345,1)+1,1),7)=0),$C$3,0),0)</f>
        <v>726.324107142861</v>
      </c>
      <c r="N1172" s="131" cm="1">
        <f ca="1" t="array" ref="N1172">IF(N1774=1,OFFSET($W$634,$B1172,N$631-1)/SUMPRODUCT(--($D$631:$V$631=N$631),--($D1774:$V1774=1)),0)+SUM(N1171)+IF(COUNTIF(N$1237:N1774,1)=1,5,0)+IF(COUNTIF(O1172:$W1172,"&gt;"&amp;0)&lt;5,IF(AND(COUNTIF(N$1237:N1774,1)&gt;7,MOD(1+IFERROR(MATCH($C1172,总览!$D$46:$D$345,1)+1,1),7)=0),$C$3,0),0)</f>
        <v>727.574107142861</v>
      </c>
      <c r="O1172" s="131" cm="1">
        <f ca="1" t="array" ref="O1172">IF(O1774=1,OFFSET($W$634,$B1172,O$631-1)/SUMPRODUCT(--($D$631:$V$631=O$631),--($D1774:$V1774=1)),0)+SUM(O1171)+IF(COUNTIF(O$1237:O1774,1)=1,5,0)+IF(COUNTIF(P1172:$W1172,"&gt;"&amp;0)&lt;5,IF(AND(COUNTIF(O$1237:O1774,1)&gt;7,MOD(1+IFERROR(MATCH($C1172,总览!$D$46:$D$345,1)+1,1),7)=0),$C$3,0),0)</f>
        <v>732.574107142861</v>
      </c>
      <c r="P1172" s="131" cm="1">
        <f ca="1" t="array" ref="P1172">IF(P1774=1,OFFSET($W$634,$B1172,P$631-1)/SUMPRODUCT(--($D$631:$V$631=P$631),--($D1774:$V1774=1)),0)+SUM(P1171)+IF(COUNTIF(P$1237:P1774,1)=1,5,0)+IF(COUNTIF(Q1172:$W1172,"&gt;"&amp;0)&lt;5,IF(AND(COUNTIF(P$1237:P1774,1)&gt;7,MOD(1+IFERROR(MATCH($C1172,总览!$D$46:$D$345,1)+1,1),7)=0),$C$3,0),0)</f>
        <v>721.692857142861</v>
      </c>
      <c r="Q1172" s="131" cm="1">
        <f ca="1" t="array" ref="Q1172">IF(Q1774=1,OFFSET($W$634,$B1172,Q$631-1)/SUMPRODUCT(--($D$631:$V$631=Q$631),--($D1774:$V1774=1)),0)+SUM(Q1171)+IF(COUNTIF(Q$1237:Q1774,1)=1,5,0)+IF(COUNTIF(R1172:$W1172,"&gt;"&amp;0)&lt;5,IF(AND(COUNTIF(Q$1237:Q1774,1)&gt;7,MOD(1+IFERROR(MATCH($C1172,总览!$D$46:$D$345,1)+1,1),7)=0),$C$3,0),0)</f>
        <v>735.074107142861</v>
      </c>
      <c r="R1172" s="131" cm="1">
        <f ca="1" t="array" ref="R1172">IF(R1774=1,OFFSET($W$634,$B1172,R$631-1)/SUMPRODUCT(--($D$631:$V$631=R$631),--($D1774:$V1774=1)),0)+SUM(R1171)+IF(COUNTIF(R$1237:R1774,1)=1,5,0)+IF(COUNTIF(S1172:$W1172,"&gt;"&amp;0)&lt;5,IF(AND(COUNTIF(R$1237:R1774,1)&gt;7,MOD(1+IFERROR(MATCH($C1172,总览!$D$46:$D$345,1)+1,1),7)=0),$C$3,0),0)</f>
        <v>726.692857142861</v>
      </c>
      <c r="S1172" s="131" cm="1">
        <f ca="1" t="array" ref="S1172">IF(S1774=1,OFFSET($W$634,$B1172,S$631-1)/SUMPRODUCT(--($D$631:$V$631=S$631),--($D1774:$V1774=1)),0)+SUM(S1171)+IF(COUNTIF(S$1237:S1774,1)=1,5,0)+IF(COUNTIF(T1172:$W1172,"&gt;"&amp;0)&lt;5,IF(AND(COUNTIF(S$1237:S1774,1)&gt;7,MOD(1+IFERROR(MATCH($C1172,总览!$D$46:$D$345,1)+1,1),7)=0),$C$3,0),0)</f>
        <v>819.192857142862</v>
      </c>
      <c r="T1172" s="131" cm="1">
        <f ca="1" t="array" ref="T1172">IF(T1774=1,OFFSET($W$634,$B1172,T$631-1)/SUMPRODUCT(--($D$631:$V$631=T$631),--($D1774:$V1774=1)),0)+SUM(T1171)+IF(COUNTIF(T$1237:T1774,1)=1,5,0)+IF(COUNTIF(U1172:$W1172,"&gt;"&amp;0)&lt;5,IF(AND(COUNTIF(T$1237:T1774,1)&gt;7,MOD(1+IFERROR(MATCH($C1172,总览!$D$46:$D$345,1)+1,1),7)=0),$C$3,0),0)</f>
        <v>600.025827732212</v>
      </c>
      <c r="U1172" s="131" cm="1">
        <f ca="1" t="array" ref="U1172">IF(U1774=1,OFFSET($W$634,$B1172,U$631-1)/SUMPRODUCT(--($D$631:$V$631=U$631),--($D1774:$V1774=1)),0)+SUM(U1171)+IF(COUNTIF(U$1237:U1774,1)=1,5,0)+IF(COUNTIF(V1172:$W1172,"&gt;"&amp;0)&lt;5,IF(AND(COUNTIF(U$1237:U1774,1)&gt;7,MOD(1+IFERROR(MATCH($C1172,总览!$D$46:$D$345,1)+1,1),7)=0),$C$3,0),0)</f>
        <v>605.546614087512</v>
      </c>
      <c r="V1172" s="131" cm="1">
        <f ca="1" t="array" ref="V1172">IF(V1774=1,OFFSET($W$634,$B1172,V$631-1)/SUMPRODUCT(--($D$631:$V$631=V$631),--($D1774:$V1774=1)),0)+SUM(V1171)+IF(COUNTIF(V$1237:V1774,1)=1,5,0)+IF(COUNTIF(W1172:$W1172,"&gt;"&amp;0)&lt;5,IF(AND(COUNTIF(V$1237:V1774,1)&gt;7,MOD(1+IFERROR(MATCH($C1172,总览!$D$46:$D$345,1)+1,1),7)=0),$C$3,0),0)</f>
        <v>625.373613799945</v>
      </c>
      <c r="W1172" s="135" cm="1">
        <f ca="1" t="array" ref="W1172">SUMPRODUCT(TRANSPOSE($AA1172:$AG1172),OFFSET($L$9:$L$15,0,W$631-1))</f>
        <v>16.8502200646615</v>
      </c>
      <c r="X1172" s="135" cm="1">
        <f ca="1" t="array" ref="X1172">SUMPRODUCT(TRANSPOSE($AA1172:$AG1172),OFFSET($L$9:$L$15,0,X$631-1))</f>
        <v>20</v>
      </c>
      <c r="Y1172" s="135" cm="1">
        <f ca="1" t="array" ref="Y1172">SUMPRODUCT(TRANSPOSE($AA1172:$AG1172),OFFSET($L$9:$L$15,0,Y$631-1))</f>
        <v>10</v>
      </c>
      <c r="Z1172" s="135" cm="1">
        <f ca="1" t="array" ref="Z1172">SUMPRODUCT(TRANSPOSE($AA1172:$AG1172),OFFSET($L$9:$L$15,0,Z$631-1))</f>
        <v>3.14977993533847</v>
      </c>
      <c r="AA1172" s="136">
        <f ca="1" t="shared" ref="AA1172:AG1172" si="1331">AH1172-AH1171</f>
        <v>0</v>
      </c>
      <c r="AB1172" s="136">
        <f ca="1" t="shared" si="1331"/>
        <v>0</v>
      </c>
      <c r="AC1172" s="136">
        <f ca="1" t="shared" si="1331"/>
        <v>0</v>
      </c>
      <c r="AD1172" s="136">
        <f ca="1" t="shared" si="1331"/>
        <v>0</v>
      </c>
      <c r="AE1172" s="136">
        <f ca="1" t="shared" si="1331"/>
        <v>0</v>
      </c>
      <c r="AF1172" s="136">
        <f ca="1" t="shared" si="1331"/>
        <v>0</v>
      </c>
      <c r="AG1172" s="136">
        <f ca="1" t="shared" si="1331"/>
        <v>100</v>
      </c>
      <c r="AH1172" s="136">
        <f ca="1" t="shared" si="1281"/>
        <v>450</v>
      </c>
      <c r="AI1172" s="136">
        <f ca="1" t="shared" ref="AI1172:AN1172" si="1332">IF($C1172&gt;OFFSET($Q$8,MATCH(AI$634,$AH$634:$AN$634,0),0),OFFSET($P$8,MATCH(AI$634,$AH$634:$AN$634,0),0),MAX(0,$C1172-OFFSET($Q$8,RIGHT(AI$634,1)-1,0)))</f>
        <v>909</v>
      </c>
      <c r="AJ1172" s="136">
        <f ca="1" t="shared" si="1332"/>
        <v>1818</v>
      </c>
      <c r="AK1172" s="136">
        <f ca="1" t="shared" si="1332"/>
        <v>2727</v>
      </c>
      <c r="AL1172" s="136">
        <f ca="1" t="shared" si="1332"/>
        <v>3636</v>
      </c>
      <c r="AM1172" s="136">
        <f ca="1" t="shared" si="1332"/>
        <v>4545</v>
      </c>
      <c r="AN1172" s="136">
        <f ca="1" t="shared" si="1332"/>
        <v>39715</v>
      </c>
    </row>
    <row r="1173" s="106" customFormat="1" ht="16.5" spans="2:40">
      <c r="B1173" s="117">
        <v>539</v>
      </c>
      <c r="C1173" s="130">
        <f t="shared" si="1279"/>
        <v>53900</v>
      </c>
      <c r="D1173" s="131" cm="1">
        <f ca="1" t="array" ref="D1173">IF(D1775=1,OFFSET($W$634,$B1173,D$631-1)/SUMPRODUCT(--($D$631:$V$631=D$631),--($D1775:$V1775=1)),0)+SUM(D1172)+IF(COUNTIF(D$1237:D1775,1)=1,5,0)+IF(COUNTIF(E1173:$W1173,"&gt;"&amp;0)&lt;5,IF(AND(COUNTIF(D$1237:D1775,1)&gt;7,MOD(1+IFERROR(MATCH($C1173,总览!$D$46:$D$345,1)+1,1),7)=0),$C$3,0),0)</f>
        <v>3355.12638814837</v>
      </c>
      <c r="E1173" s="131" cm="1">
        <f ca="1" t="array" ref="E1173">IF(E1775=1,OFFSET($W$634,$B1173,E$631-1)/SUMPRODUCT(--($D$631:$V$631=E$631),--($D1775:$V1775=1)),0)+SUM(E1172)+IF(COUNTIF(E$1237:E1775,1)=1,5,0)+IF(COUNTIF(F1173:$W1173,"&gt;"&amp;0)&lt;5,IF(AND(COUNTIF(E$1237:E1775,1)&gt;7,MOD(1+IFERROR(MATCH($C1173,总览!$D$46:$D$345,1)+1,1),7)=0),$C$3,0),0)</f>
        <v>3355.12638814837</v>
      </c>
      <c r="F1173" s="131" cm="1">
        <f ca="1" t="array" ref="F1173">IF(F1775=1,OFFSET($W$634,$B1173,F$631-1)/SUMPRODUCT(--($D$631:$V$631=F$631),--($D1775:$V1775=1)),0)+SUM(F1172)+IF(COUNTIF(F$1237:F1775,1)=1,5,0)+IF(COUNTIF(G1173:$W1173,"&gt;"&amp;0)&lt;5,IF(AND(COUNTIF(F$1237:F1775,1)&gt;7,MOD(1+IFERROR(MATCH($C1173,总览!$D$46:$D$345,1)+1,1),7)=0),$C$3,0),0)</f>
        <v>3355.12638814837</v>
      </c>
      <c r="G1173" s="131" cm="1">
        <f ca="1" t="array" ref="G1173">IF(G1775=1,OFFSET($W$634,$B1173,G$631-1)/SUMPRODUCT(--($D$631:$V$631=G$631),--($D1775:$V1775=1)),0)+SUM(G1172)+IF(COUNTIF(G$1237:G1775,1)=1,5,0)+IF(COUNTIF(H1173:$W1173,"&gt;"&amp;0)&lt;5,IF(AND(COUNTIF(G$1237:G1775,1)&gt;7,MOD(1+IFERROR(MATCH($C1173,总览!$D$46:$D$345,1)+1,1),7)=0),$C$3,0),0)</f>
        <v>1736.06666666666</v>
      </c>
      <c r="H1173" s="131" cm="1">
        <f ca="1" t="array" ref="H1173">IF(H1775=1,OFFSET($W$634,$B1173,H$631-1)/SUMPRODUCT(--($D$631:$V$631=H$631),--($D1775:$V1775=1)),0)+SUM(H1172)+IF(COUNTIF(H$1237:H1775,1)=1,5,0)+IF(COUNTIF(I1173:$W1173,"&gt;"&amp;0)&lt;5,IF(AND(COUNTIF(H$1237:H1775,1)&gt;7,MOD(1+IFERROR(MATCH($C1173,总览!$D$46:$D$345,1)+1,1),7)=0),$C$3,0),0)</f>
        <v>1736.06666666666</v>
      </c>
      <c r="I1173" s="131" cm="1">
        <f ca="1" t="array" ref="I1173">IF(I1775=1,OFFSET($W$634,$B1173,I$631-1)/SUMPRODUCT(--($D$631:$V$631=I$631),--($D1775:$V1775=1)),0)+SUM(I1172)+IF(COUNTIF(I$1237:I1775,1)=1,5,0)+IF(COUNTIF(J1173:$W1173,"&gt;"&amp;0)&lt;5,IF(AND(COUNTIF(I$1237:I1775,1)&gt;7,MOD(1+IFERROR(MATCH($C1173,总览!$D$46:$D$345,1)+1,1),7)=0),$C$3,0),0)</f>
        <v>1736.06666666666</v>
      </c>
      <c r="J1173" s="131" cm="1">
        <f ca="1" t="array" ref="J1173">IF(J1775=1,OFFSET($W$634,$B1173,J$631-1)/SUMPRODUCT(--($D$631:$V$631=J$631),--($D1775:$V1775=1)),0)+SUM(J1172)+IF(COUNTIF(J$1237:J1775,1)=1,5,0)+IF(COUNTIF(K1173:$W1173,"&gt;"&amp;0)&lt;5,IF(AND(COUNTIF(J$1237:J1775,1)&gt;7,MOD(1+IFERROR(MATCH($C1173,总览!$D$46:$D$345,1)+1,1),7)=0),$C$3,0),0)</f>
        <v>1732.73333333332</v>
      </c>
      <c r="K1173" s="131" cm="1">
        <f ca="1" t="array" ref="K1173">IF(K1775=1,OFFSET($W$634,$B1173,K$631-1)/SUMPRODUCT(--($D$631:$V$631=K$631),--($D1775:$V1775=1)),0)+SUM(K1172)+IF(COUNTIF(K$1237:K1775,1)=1,5,0)+IF(COUNTIF(L1173:$W1173,"&gt;"&amp;0)&lt;5,IF(AND(COUNTIF(K$1237:K1775,1)&gt;7,MOD(1+IFERROR(MATCH($C1173,总览!$D$46:$D$345,1)+1,1),7)=0),$C$3,0),0)</f>
        <v>1730.23333333332</v>
      </c>
      <c r="L1173" s="131" cm="1">
        <f ca="1" t="array" ref="L1173">IF(L1775=1,OFFSET($W$634,$B1173,L$631-1)/SUMPRODUCT(--($D$631:$V$631=L$631),--($D1775:$V1775=1)),0)+SUM(L1172)+IF(COUNTIF(L$1237:L1775,1)=1,5,0)+IF(COUNTIF(M1173:$W1173,"&gt;"&amp;0)&lt;5,IF(AND(COUNTIF(L$1237:L1775,1)&gt;7,MOD(1+IFERROR(MATCH($C1173,总览!$D$46:$D$345,1)+1,1),7)=0),$C$3,0),0)</f>
        <v>1730.23333333332</v>
      </c>
      <c r="M1173" s="131" cm="1">
        <f ca="1" t="array" ref="M1173">IF(M1775=1,OFFSET($W$634,$B1173,M$631-1)/SUMPRODUCT(--($D$631:$V$631=M$631),--($D1775:$V1775=1)),0)+SUM(M1172)+IF(COUNTIF(M$1237:M1775,1)=1,5,0)+IF(COUNTIF(N1173:$W1173,"&gt;"&amp;0)&lt;5,IF(AND(COUNTIF(M$1237:M1775,1)&gt;7,MOD(1+IFERROR(MATCH($C1173,总览!$D$46:$D$345,1)+1,1),7)=0),$C$3,0),0)</f>
        <v>727.752678571433</v>
      </c>
      <c r="N1173" s="131" cm="1">
        <f ca="1" t="array" ref="N1173">IF(N1775=1,OFFSET($W$634,$B1173,N$631-1)/SUMPRODUCT(--($D$631:$V$631=N$631),--($D1775:$V1775=1)),0)+SUM(N1172)+IF(COUNTIF(N$1237:N1775,1)=1,5,0)+IF(COUNTIF(O1173:$W1173,"&gt;"&amp;0)&lt;5,IF(AND(COUNTIF(N$1237:N1775,1)&gt;7,MOD(1+IFERROR(MATCH($C1173,总览!$D$46:$D$345,1)+1,1),7)=0),$C$3,0),0)</f>
        <v>729.002678571433</v>
      </c>
      <c r="O1173" s="131" cm="1">
        <f ca="1" t="array" ref="O1173">IF(O1775=1,OFFSET($W$634,$B1173,O$631-1)/SUMPRODUCT(--($D$631:$V$631=O$631),--($D1775:$V1775=1)),0)+SUM(O1172)+IF(COUNTIF(O$1237:O1775,1)=1,5,0)+IF(COUNTIF(P1173:$W1173,"&gt;"&amp;0)&lt;5,IF(AND(COUNTIF(O$1237:O1775,1)&gt;7,MOD(1+IFERROR(MATCH($C1173,总览!$D$46:$D$345,1)+1,1),7)=0),$C$3,0),0)</f>
        <v>734.002678571433</v>
      </c>
      <c r="P1173" s="131" cm="1">
        <f ca="1" t="array" ref="P1173">IF(P1775=1,OFFSET($W$634,$B1173,P$631-1)/SUMPRODUCT(--($D$631:$V$631=P$631),--($D1775:$V1775=1)),0)+SUM(P1172)+IF(COUNTIF(P$1237:P1775,1)=1,5,0)+IF(COUNTIF(Q1173:$W1173,"&gt;"&amp;0)&lt;5,IF(AND(COUNTIF(P$1237:P1775,1)&gt;7,MOD(1+IFERROR(MATCH($C1173,总览!$D$46:$D$345,1)+1,1),7)=0),$C$3,0),0)</f>
        <v>723.121428571433</v>
      </c>
      <c r="Q1173" s="131" cm="1">
        <f ca="1" t="array" ref="Q1173">IF(Q1775=1,OFFSET($W$634,$B1173,Q$631-1)/SUMPRODUCT(--($D$631:$V$631=Q$631),--($D1775:$V1775=1)),0)+SUM(Q1172)+IF(COUNTIF(Q$1237:Q1775,1)=1,5,0)+IF(COUNTIF(R1173:$W1173,"&gt;"&amp;0)&lt;5,IF(AND(COUNTIF(Q$1237:Q1775,1)&gt;7,MOD(1+IFERROR(MATCH($C1173,总览!$D$46:$D$345,1)+1,1),7)=0),$C$3,0),0)</f>
        <v>736.502678571433</v>
      </c>
      <c r="R1173" s="131" cm="1">
        <f ca="1" t="array" ref="R1173">IF(R1775=1,OFFSET($W$634,$B1173,R$631-1)/SUMPRODUCT(--($D$631:$V$631=R$631),--($D1775:$V1775=1)),0)+SUM(R1172)+IF(COUNTIF(R$1237:R1775,1)=1,5,0)+IF(COUNTIF(S1173:$W1173,"&gt;"&amp;0)&lt;5,IF(AND(COUNTIF(R$1237:R1775,1)&gt;7,MOD(1+IFERROR(MATCH($C1173,总览!$D$46:$D$345,1)+1,1),7)=0),$C$3,0),0)</f>
        <v>728.121428571433</v>
      </c>
      <c r="S1173" s="131" cm="1">
        <f ca="1" t="array" ref="S1173">IF(S1775=1,OFFSET($W$634,$B1173,S$631-1)/SUMPRODUCT(--($D$631:$V$631=S$631),--($D1775:$V1775=1)),0)+SUM(S1172)+IF(COUNTIF(S$1237:S1775,1)=1,5,0)+IF(COUNTIF(T1173:$W1173,"&gt;"&amp;0)&lt;5,IF(AND(COUNTIF(S$1237:S1775,1)&gt;7,MOD(1+IFERROR(MATCH($C1173,总览!$D$46:$D$345,1)+1,1),7)=0),$C$3,0),0)</f>
        <v>820.621428571434</v>
      </c>
      <c r="T1173" s="131" cm="1">
        <f ca="1" t="array" ref="T1173">IF(T1775=1,OFFSET($W$634,$B1173,T$631-1)/SUMPRODUCT(--($D$631:$V$631=T$631),--($D1775:$V1775=1)),0)+SUM(T1172)+IF(COUNTIF(T$1237:T1775,1)=1,5,0)+IF(COUNTIF(U1173:$W1173,"&gt;"&amp;0)&lt;5,IF(AND(COUNTIF(T$1237:T1775,1)&gt;7,MOD(1+IFERROR(MATCH($C1173,总览!$D$46:$D$345,1)+1,1),7)=0),$C$3,0),0)</f>
        <v>601.075754377325</v>
      </c>
      <c r="U1173" s="131" cm="1">
        <f ca="1" t="array" ref="U1173">IF(U1775=1,OFFSET($W$634,$B1173,U$631-1)/SUMPRODUCT(--($D$631:$V$631=U$631),--($D1775:$V1775=1)),0)+SUM(U1172)+IF(COUNTIF(U$1237:U1775,1)=1,5,0)+IF(COUNTIF(V1173:$W1173,"&gt;"&amp;0)&lt;5,IF(AND(COUNTIF(U$1237:U1775,1)&gt;7,MOD(1+IFERROR(MATCH($C1173,总览!$D$46:$D$345,1)+1,1),7)=0),$C$3,0),0)</f>
        <v>606.596540732624</v>
      </c>
      <c r="V1173" s="131" cm="1">
        <f ca="1" t="array" ref="V1173">IF(V1775=1,OFFSET($W$634,$B1173,V$631-1)/SUMPRODUCT(--($D$631:$V$631=V$631),--($D1775:$V1775=1)),0)+SUM(V1172)+IF(COUNTIF(V$1237:V1775,1)=1,5,0)+IF(COUNTIF(W1173:$W1173,"&gt;"&amp;0)&lt;5,IF(AND(COUNTIF(V$1237:V1775,1)&gt;7,MOD(1+IFERROR(MATCH($C1173,总览!$D$46:$D$345,1)+1,1),7)=0),$C$3,0),0)</f>
        <v>626.423540445057</v>
      </c>
      <c r="W1173" s="135" cm="1">
        <f ca="1" t="array" ref="W1173">SUMPRODUCT(TRANSPOSE($AA1173:$AG1173),OFFSET($L$9:$L$15,0,W$631-1))</f>
        <v>16.8502200646615</v>
      </c>
      <c r="X1173" s="135" cm="1">
        <f ca="1" t="array" ref="X1173">SUMPRODUCT(TRANSPOSE($AA1173:$AG1173),OFFSET($L$9:$L$15,0,X$631-1))</f>
        <v>20</v>
      </c>
      <c r="Y1173" s="135" cm="1">
        <f ca="1" t="array" ref="Y1173">SUMPRODUCT(TRANSPOSE($AA1173:$AG1173),OFFSET($L$9:$L$15,0,Y$631-1))</f>
        <v>10</v>
      </c>
      <c r="Z1173" s="135" cm="1">
        <f ca="1" t="array" ref="Z1173">SUMPRODUCT(TRANSPOSE($AA1173:$AG1173),OFFSET($L$9:$L$15,0,Z$631-1))</f>
        <v>3.14977993533847</v>
      </c>
      <c r="AA1173" s="136">
        <f ca="1" t="shared" ref="AA1173:AG1173" si="1333">AH1173-AH1172</f>
        <v>0</v>
      </c>
      <c r="AB1173" s="136">
        <f ca="1" t="shared" si="1333"/>
        <v>0</v>
      </c>
      <c r="AC1173" s="136">
        <f ca="1" t="shared" si="1333"/>
        <v>0</v>
      </c>
      <c r="AD1173" s="136">
        <f ca="1" t="shared" si="1333"/>
        <v>0</v>
      </c>
      <c r="AE1173" s="136">
        <f ca="1" t="shared" si="1333"/>
        <v>0</v>
      </c>
      <c r="AF1173" s="136">
        <f ca="1" t="shared" si="1333"/>
        <v>0</v>
      </c>
      <c r="AG1173" s="136">
        <f ca="1" t="shared" si="1333"/>
        <v>100</v>
      </c>
      <c r="AH1173" s="136">
        <f ca="1" t="shared" si="1281"/>
        <v>450</v>
      </c>
      <c r="AI1173" s="136">
        <f ca="1" t="shared" ref="AI1173:AN1173" si="1334">IF($C1173&gt;OFFSET($Q$8,MATCH(AI$634,$AH$634:$AN$634,0),0),OFFSET($P$8,MATCH(AI$634,$AH$634:$AN$634,0),0),MAX(0,$C1173-OFFSET($Q$8,RIGHT(AI$634,1)-1,0)))</f>
        <v>909</v>
      </c>
      <c r="AJ1173" s="136">
        <f ca="1" t="shared" si="1334"/>
        <v>1818</v>
      </c>
      <c r="AK1173" s="136">
        <f ca="1" t="shared" si="1334"/>
        <v>2727</v>
      </c>
      <c r="AL1173" s="136">
        <f ca="1" t="shared" si="1334"/>
        <v>3636</v>
      </c>
      <c r="AM1173" s="136">
        <f ca="1" t="shared" si="1334"/>
        <v>4545</v>
      </c>
      <c r="AN1173" s="136">
        <f ca="1" t="shared" si="1334"/>
        <v>39815</v>
      </c>
    </row>
    <row r="1174" s="106" customFormat="1" ht="16.5" spans="2:40">
      <c r="B1174" s="117">
        <v>540</v>
      </c>
      <c r="C1174" s="130">
        <f t="shared" si="1279"/>
        <v>54000</v>
      </c>
      <c r="D1174" s="131" cm="1">
        <f ca="1" t="array" ref="D1174">IF(D1776=1,OFFSET($W$634,$B1174,D$631-1)/SUMPRODUCT(--($D$631:$V$631=D$631),--($D1776:$V1776=1)),0)+SUM(D1173)+IF(COUNTIF(D$1237:D1776,1)=1,5,0)+IF(COUNTIF(E1174:$W1174,"&gt;"&amp;0)&lt;5,IF(AND(COUNTIF(D$1237:D1776,1)&gt;7,MOD(1+IFERROR(MATCH($C1174,总览!$D$46:$D$345,1)+1,1),7)=0),$C$3,0),0)</f>
        <v>3360.74312816992</v>
      </c>
      <c r="E1174" s="131" cm="1">
        <f ca="1" t="array" ref="E1174">IF(E1776=1,OFFSET($W$634,$B1174,E$631-1)/SUMPRODUCT(--($D$631:$V$631=E$631),--($D1776:$V1776=1)),0)+SUM(E1173)+IF(COUNTIF(E$1237:E1776,1)=1,5,0)+IF(COUNTIF(F1174:$W1174,"&gt;"&amp;0)&lt;5,IF(AND(COUNTIF(E$1237:E1776,1)&gt;7,MOD(1+IFERROR(MATCH($C1174,总览!$D$46:$D$345,1)+1,1),7)=0),$C$3,0),0)</f>
        <v>3360.74312816992</v>
      </c>
      <c r="F1174" s="131" cm="1">
        <f ca="1" t="array" ref="F1174">IF(F1776=1,OFFSET($W$634,$B1174,F$631-1)/SUMPRODUCT(--($D$631:$V$631=F$631),--($D1776:$V1776=1)),0)+SUM(F1173)+IF(COUNTIF(F$1237:F1776,1)=1,5,0)+IF(COUNTIF(G1174:$W1174,"&gt;"&amp;0)&lt;5,IF(AND(COUNTIF(F$1237:F1776,1)&gt;7,MOD(1+IFERROR(MATCH($C1174,总览!$D$46:$D$345,1)+1,1),7)=0),$C$3,0),0)</f>
        <v>3360.74312816992</v>
      </c>
      <c r="G1174" s="131" cm="1">
        <f ca="1" t="array" ref="G1174">IF(G1776=1,OFFSET($W$634,$B1174,G$631-1)/SUMPRODUCT(--($D$631:$V$631=G$631),--($D1776:$V1776=1)),0)+SUM(G1173)+IF(COUNTIF(G$1237:G1776,1)=1,5,0)+IF(COUNTIF(H1174:$W1174,"&gt;"&amp;0)&lt;5,IF(AND(COUNTIF(G$1237:G1776,1)&gt;7,MOD(1+IFERROR(MATCH($C1174,总览!$D$46:$D$345,1)+1,1),7)=0),$C$3,0),0)</f>
        <v>1739.39999999999</v>
      </c>
      <c r="H1174" s="131" cm="1">
        <f ca="1" t="array" ref="H1174">IF(H1776=1,OFFSET($W$634,$B1174,H$631-1)/SUMPRODUCT(--($D$631:$V$631=H$631),--($D1776:$V1776=1)),0)+SUM(H1173)+IF(COUNTIF(H$1237:H1776,1)=1,5,0)+IF(COUNTIF(I1174:$W1174,"&gt;"&amp;0)&lt;5,IF(AND(COUNTIF(H$1237:H1776,1)&gt;7,MOD(1+IFERROR(MATCH($C1174,总览!$D$46:$D$345,1)+1,1),7)=0),$C$3,0),0)</f>
        <v>1739.39999999999</v>
      </c>
      <c r="I1174" s="131" cm="1">
        <f ca="1" t="array" ref="I1174">IF(I1776=1,OFFSET($W$634,$B1174,I$631-1)/SUMPRODUCT(--($D$631:$V$631=I$631),--($D1776:$V1776=1)),0)+SUM(I1173)+IF(COUNTIF(I$1237:I1776,1)=1,5,0)+IF(COUNTIF(J1174:$W1174,"&gt;"&amp;0)&lt;5,IF(AND(COUNTIF(I$1237:I1776,1)&gt;7,MOD(1+IFERROR(MATCH($C1174,总览!$D$46:$D$345,1)+1,1),7)=0),$C$3,0),0)</f>
        <v>1739.39999999999</v>
      </c>
      <c r="J1174" s="131" cm="1">
        <f ca="1" t="array" ref="J1174">IF(J1776=1,OFFSET($W$634,$B1174,J$631-1)/SUMPRODUCT(--($D$631:$V$631=J$631),--($D1776:$V1776=1)),0)+SUM(J1173)+IF(COUNTIF(J$1237:J1776,1)=1,5,0)+IF(COUNTIF(K1174:$W1174,"&gt;"&amp;0)&lt;5,IF(AND(COUNTIF(J$1237:J1776,1)&gt;7,MOD(1+IFERROR(MATCH($C1174,总览!$D$46:$D$345,1)+1,1),7)=0),$C$3,0),0)</f>
        <v>1736.06666666666</v>
      </c>
      <c r="K1174" s="131" cm="1">
        <f ca="1" t="array" ref="K1174">IF(K1776=1,OFFSET($W$634,$B1174,K$631-1)/SUMPRODUCT(--($D$631:$V$631=K$631),--($D1776:$V1776=1)),0)+SUM(K1173)+IF(COUNTIF(K$1237:K1776,1)=1,5,0)+IF(COUNTIF(L1174:$W1174,"&gt;"&amp;0)&lt;5,IF(AND(COUNTIF(K$1237:K1776,1)&gt;7,MOD(1+IFERROR(MATCH($C1174,总览!$D$46:$D$345,1)+1,1),7)=0),$C$3,0),0)</f>
        <v>1733.56666666666</v>
      </c>
      <c r="L1174" s="131" cm="1">
        <f ca="1" t="array" ref="L1174">IF(L1776=1,OFFSET($W$634,$B1174,L$631-1)/SUMPRODUCT(--($D$631:$V$631=L$631),--($D1776:$V1776=1)),0)+SUM(L1173)+IF(COUNTIF(L$1237:L1776,1)=1,5,0)+IF(COUNTIF(M1174:$W1174,"&gt;"&amp;0)&lt;5,IF(AND(COUNTIF(L$1237:L1776,1)&gt;7,MOD(1+IFERROR(MATCH($C1174,总览!$D$46:$D$345,1)+1,1),7)=0),$C$3,0),0)</f>
        <v>1733.56666666666</v>
      </c>
      <c r="M1174" s="131" cm="1">
        <f ca="1" t="array" ref="M1174">IF(M1776=1,OFFSET($W$634,$B1174,M$631-1)/SUMPRODUCT(--($D$631:$V$631=M$631),--($D1776:$V1776=1)),0)+SUM(M1173)+IF(COUNTIF(M$1237:M1776,1)=1,5,0)+IF(COUNTIF(N1174:$W1174,"&gt;"&amp;0)&lt;5,IF(AND(COUNTIF(M$1237:M1776,1)&gt;7,MOD(1+IFERROR(MATCH($C1174,总览!$D$46:$D$345,1)+1,1),7)=0),$C$3,0),0)</f>
        <v>729.181250000004</v>
      </c>
      <c r="N1174" s="131" cm="1">
        <f ca="1" t="array" ref="N1174">IF(N1776=1,OFFSET($W$634,$B1174,N$631-1)/SUMPRODUCT(--($D$631:$V$631=N$631),--($D1776:$V1776=1)),0)+SUM(N1173)+IF(COUNTIF(N$1237:N1776,1)=1,5,0)+IF(COUNTIF(O1174:$W1174,"&gt;"&amp;0)&lt;5,IF(AND(COUNTIF(N$1237:N1776,1)&gt;7,MOD(1+IFERROR(MATCH($C1174,总览!$D$46:$D$345,1)+1,1),7)=0),$C$3,0),0)</f>
        <v>730.431250000004</v>
      </c>
      <c r="O1174" s="131" cm="1">
        <f ca="1" t="array" ref="O1174">IF(O1776=1,OFFSET($W$634,$B1174,O$631-1)/SUMPRODUCT(--($D$631:$V$631=O$631),--($D1776:$V1776=1)),0)+SUM(O1173)+IF(COUNTIF(O$1237:O1776,1)=1,5,0)+IF(COUNTIF(P1174:$W1174,"&gt;"&amp;0)&lt;5,IF(AND(COUNTIF(O$1237:O1776,1)&gt;7,MOD(1+IFERROR(MATCH($C1174,总览!$D$46:$D$345,1)+1,1),7)=0),$C$3,0),0)</f>
        <v>735.431250000004</v>
      </c>
      <c r="P1174" s="131" cm="1">
        <f ca="1" t="array" ref="P1174">IF(P1776=1,OFFSET($W$634,$B1174,P$631-1)/SUMPRODUCT(--($D$631:$V$631=P$631),--($D1776:$V1776=1)),0)+SUM(P1173)+IF(COUNTIF(P$1237:P1776,1)=1,5,0)+IF(COUNTIF(Q1174:$W1174,"&gt;"&amp;0)&lt;5,IF(AND(COUNTIF(P$1237:P1776,1)&gt;7,MOD(1+IFERROR(MATCH($C1174,总览!$D$46:$D$345,1)+1,1),7)=0),$C$3,0),0)</f>
        <v>724.550000000004</v>
      </c>
      <c r="Q1174" s="131" cm="1">
        <f ca="1" t="array" ref="Q1174">IF(Q1776=1,OFFSET($W$634,$B1174,Q$631-1)/SUMPRODUCT(--($D$631:$V$631=Q$631),--($D1776:$V1776=1)),0)+SUM(Q1173)+IF(COUNTIF(Q$1237:Q1776,1)=1,5,0)+IF(COUNTIF(R1174:$W1174,"&gt;"&amp;0)&lt;5,IF(AND(COUNTIF(Q$1237:Q1776,1)&gt;7,MOD(1+IFERROR(MATCH($C1174,总览!$D$46:$D$345,1)+1,1),7)=0),$C$3,0),0)</f>
        <v>737.931250000004</v>
      </c>
      <c r="R1174" s="131" cm="1">
        <f ca="1" t="array" ref="R1174">IF(R1776=1,OFFSET($W$634,$B1174,R$631-1)/SUMPRODUCT(--($D$631:$V$631=R$631),--($D1776:$V1776=1)),0)+SUM(R1173)+IF(COUNTIF(R$1237:R1776,1)=1,5,0)+IF(COUNTIF(S1174:$W1174,"&gt;"&amp;0)&lt;5,IF(AND(COUNTIF(R$1237:R1776,1)&gt;7,MOD(1+IFERROR(MATCH($C1174,总览!$D$46:$D$345,1)+1,1),7)=0),$C$3,0),0)</f>
        <v>729.550000000004</v>
      </c>
      <c r="S1174" s="131" cm="1">
        <f ca="1" t="array" ref="S1174">IF(S1776=1,OFFSET($W$634,$B1174,S$631-1)/SUMPRODUCT(--($D$631:$V$631=S$631),--($D1776:$V1776=1)),0)+SUM(S1173)+IF(COUNTIF(S$1237:S1776,1)=1,5,0)+IF(COUNTIF(T1174:$W1174,"&gt;"&amp;0)&lt;5,IF(AND(COUNTIF(S$1237:S1776,1)&gt;7,MOD(1+IFERROR(MATCH($C1174,总览!$D$46:$D$345,1)+1,1),7)=0),$C$3,0),0)</f>
        <v>822.050000000005</v>
      </c>
      <c r="T1174" s="131" cm="1">
        <f ca="1" t="array" ref="T1174">IF(T1776=1,OFFSET($W$634,$B1174,T$631-1)/SUMPRODUCT(--($D$631:$V$631=T$631),--($D1776:$V1776=1)),0)+SUM(T1173)+IF(COUNTIF(T$1237:T1776,1)=1,5,0)+IF(COUNTIF(U1174:$W1174,"&gt;"&amp;0)&lt;5,IF(AND(COUNTIF(T$1237:T1776,1)&gt;7,MOD(1+IFERROR(MATCH($C1174,总览!$D$46:$D$345,1)+1,1),7)=0),$C$3,0),0)</f>
        <v>602.125681022438</v>
      </c>
      <c r="U1174" s="131" cm="1">
        <f ca="1" t="array" ref="U1174">IF(U1776=1,OFFSET($W$634,$B1174,U$631-1)/SUMPRODUCT(--($D$631:$V$631=U$631),--($D1776:$V1776=1)),0)+SUM(U1173)+IF(COUNTIF(U$1237:U1776,1)=1,5,0)+IF(COUNTIF(V1174:$W1174,"&gt;"&amp;0)&lt;5,IF(AND(COUNTIF(U$1237:U1776,1)&gt;7,MOD(1+IFERROR(MATCH($C1174,总览!$D$46:$D$345,1)+1,1),7)=0),$C$3,0),0)</f>
        <v>607.646467377737</v>
      </c>
      <c r="V1174" s="131" cm="1">
        <f ca="1" t="array" ref="V1174">IF(V1776=1,OFFSET($W$634,$B1174,V$631-1)/SUMPRODUCT(--($D$631:$V$631=V$631),--($D1776:$V1776=1)),0)+SUM(V1173)+IF(COUNTIF(V$1237:V1776,1)=1,5,0)+IF(COUNTIF(W1174:$W1174,"&gt;"&amp;0)&lt;5,IF(AND(COUNTIF(V$1237:V1776,1)&gt;7,MOD(1+IFERROR(MATCH($C1174,总览!$D$46:$D$345,1)+1,1),7)=0),$C$3,0),0)</f>
        <v>627.47346709017</v>
      </c>
      <c r="W1174" s="135" cm="1">
        <f ca="1" t="array" ref="W1174">SUMPRODUCT(TRANSPOSE($AA1174:$AG1174),OFFSET($L$9:$L$15,0,W$631-1))</f>
        <v>16.8502200646615</v>
      </c>
      <c r="X1174" s="135" cm="1">
        <f ca="1" t="array" ref="X1174">SUMPRODUCT(TRANSPOSE($AA1174:$AG1174),OFFSET($L$9:$L$15,0,X$631-1))</f>
        <v>20</v>
      </c>
      <c r="Y1174" s="135" cm="1">
        <f ca="1" t="array" ref="Y1174">SUMPRODUCT(TRANSPOSE($AA1174:$AG1174),OFFSET($L$9:$L$15,0,Y$631-1))</f>
        <v>10</v>
      </c>
      <c r="Z1174" s="135" cm="1">
        <f ca="1" t="array" ref="Z1174">SUMPRODUCT(TRANSPOSE($AA1174:$AG1174),OFFSET($L$9:$L$15,0,Z$631-1))</f>
        <v>3.14977993533847</v>
      </c>
      <c r="AA1174" s="136">
        <f ca="1" t="shared" ref="AA1174:AG1174" si="1335">AH1174-AH1173</f>
        <v>0</v>
      </c>
      <c r="AB1174" s="136">
        <f ca="1" t="shared" si="1335"/>
        <v>0</v>
      </c>
      <c r="AC1174" s="136">
        <f ca="1" t="shared" si="1335"/>
        <v>0</v>
      </c>
      <c r="AD1174" s="136">
        <f ca="1" t="shared" si="1335"/>
        <v>0</v>
      </c>
      <c r="AE1174" s="136">
        <f ca="1" t="shared" si="1335"/>
        <v>0</v>
      </c>
      <c r="AF1174" s="136">
        <f ca="1" t="shared" si="1335"/>
        <v>0</v>
      </c>
      <c r="AG1174" s="136">
        <f ca="1" t="shared" si="1335"/>
        <v>100</v>
      </c>
      <c r="AH1174" s="136">
        <f ca="1" t="shared" si="1281"/>
        <v>450</v>
      </c>
      <c r="AI1174" s="136">
        <f ca="1" t="shared" ref="AI1174:AN1174" si="1336">IF($C1174&gt;OFFSET($Q$8,MATCH(AI$634,$AH$634:$AN$634,0),0),OFFSET($P$8,MATCH(AI$634,$AH$634:$AN$634,0),0),MAX(0,$C1174-OFFSET($Q$8,RIGHT(AI$634,1)-1,0)))</f>
        <v>909</v>
      </c>
      <c r="AJ1174" s="136">
        <f ca="1" t="shared" si="1336"/>
        <v>1818</v>
      </c>
      <c r="AK1174" s="136">
        <f ca="1" t="shared" si="1336"/>
        <v>2727</v>
      </c>
      <c r="AL1174" s="136">
        <f ca="1" t="shared" si="1336"/>
        <v>3636</v>
      </c>
      <c r="AM1174" s="136">
        <f ca="1" t="shared" si="1336"/>
        <v>4545</v>
      </c>
      <c r="AN1174" s="136">
        <f ca="1" t="shared" si="1336"/>
        <v>39915</v>
      </c>
    </row>
    <row r="1175" s="106" customFormat="1" ht="16.5" spans="2:40">
      <c r="B1175" s="117">
        <v>541</v>
      </c>
      <c r="C1175" s="130">
        <f t="shared" si="1279"/>
        <v>54100</v>
      </c>
      <c r="D1175" s="131" cm="1">
        <f ca="1" t="array" ref="D1175">IF(D1777=1,OFFSET($W$634,$B1175,D$631-1)/SUMPRODUCT(--($D$631:$V$631=D$631),--($D1777:$V1777=1)),0)+SUM(D1174)+IF(COUNTIF(D$1237:D1777,1)=1,5,0)+IF(COUNTIF(E1175:$W1175,"&gt;"&amp;0)&lt;5,IF(AND(COUNTIF(D$1237:D1777,1)&gt;7,MOD(1+IFERROR(MATCH($C1175,总览!$D$46:$D$345,1)+1,1),7)=0),$C$3,0),0)</f>
        <v>3366.35986819148</v>
      </c>
      <c r="E1175" s="131" cm="1">
        <f ca="1" t="array" ref="E1175">IF(E1777=1,OFFSET($W$634,$B1175,E$631-1)/SUMPRODUCT(--($D$631:$V$631=E$631),--($D1777:$V1777=1)),0)+SUM(E1174)+IF(COUNTIF(E$1237:E1777,1)=1,5,0)+IF(COUNTIF(F1175:$W1175,"&gt;"&amp;0)&lt;5,IF(AND(COUNTIF(E$1237:E1777,1)&gt;7,MOD(1+IFERROR(MATCH($C1175,总览!$D$46:$D$345,1)+1,1),7)=0),$C$3,0),0)</f>
        <v>3366.35986819148</v>
      </c>
      <c r="F1175" s="131" cm="1">
        <f ca="1" t="array" ref="F1175">IF(F1777=1,OFFSET($W$634,$B1175,F$631-1)/SUMPRODUCT(--($D$631:$V$631=F$631),--($D1777:$V1777=1)),0)+SUM(F1174)+IF(COUNTIF(F$1237:F1777,1)=1,5,0)+IF(COUNTIF(G1175:$W1175,"&gt;"&amp;0)&lt;5,IF(AND(COUNTIF(F$1237:F1777,1)&gt;7,MOD(1+IFERROR(MATCH($C1175,总览!$D$46:$D$345,1)+1,1),7)=0),$C$3,0),0)</f>
        <v>3366.35986819148</v>
      </c>
      <c r="G1175" s="131" cm="1">
        <f ca="1" t="array" ref="G1175">IF(G1777=1,OFFSET($W$634,$B1175,G$631-1)/SUMPRODUCT(--($D$631:$V$631=G$631),--($D1777:$V1777=1)),0)+SUM(G1174)+IF(COUNTIF(G$1237:G1777,1)=1,5,0)+IF(COUNTIF(H1175:$W1175,"&gt;"&amp;0)&lt;5,IF(AND(COUNTIF(G$1237:G1777,1)&gt;7,MOD(1+IFERROR(MATCH($C1175,总览!$D$46:$D$345,1)+1,1),7)=0),$C$3,0),0)</f>
        <v>1742.73333333332</v>
      </c>
      <c r="H1175" s="131" cm="1">
        <f ca="1" t="array" ref="H1175">IF(H1777=1,OFFSET($W$634,$B1175,H$631-1)/SUMPRODUCT(--($D$631:$V$631=H$631),--($D1777:$V1777=1)),0)+SUM(H1174)+IF(COUNTIF(H$1237:H1777,1)=1,5,0)+IF(COUNTIF(I1175:$W1175,"&gt;"&amp;0)&lt;5,IF(AND(COUNTIF(H$1237:H1777,1)&gt;7,MOD(1+IFERROR(MATCH($C1175,总览!$D$46:$D$345,1)+1,1),7)=0),$C$3,0),0)</f>
        <v>1742.73333333332</v>
      </c>
      <c r="I1175" s="131" cm="1">
        <f ca="1" t="array" ref="I1175">IF(I1777=1,OFFSET($W$634,$B1175,I$631-1)/SUMPRODUCT(--($D$631:$V$631=I$631),--($D1777:$V1777=1)),0)+SUM(I1174)+IF(COUNTIF(I$1237:I1777,1)=1,5,0)+IF(COUNTIF(J1175:$W1175,"&gt;"&amp;0)&lt;5,IF(AND(COUNTIF(I$1237:I1777,1)&gt;7,MOD(1+IFERROR(MATCH($C1175,总览!$D$46:$D$345,1)+1,1),7)=0),$C$3,0),0)</f>
        <v>1742.73333333332</v>
      </c>
      <c r="J1175" s="131" cm="1">
        <f ca="1" t="array" ref="J1175">IF(J1777=1,OFFSET($W$634,$B1175,J$631-1)/SUMPRODUCT(--($D$631:$V$631=J$631),--($D1777:$V1777=1)),0)+SUM(J1174)+IF(COUNTIF(J$1237:J1777,1)=1,5,0)+IF(COUNTIF(K1175:$W1175,"&gt;"&amp;0)&lt;5,IF(AND(COUNTIF(J$1237:J1777,1)&gt;7,MOD(1+IFERROR(MATCH($C1175,总览!$D$46:$D$345,1)+1,1),7)=0),$C$3,0),0)</f>
        <v>1739.39999999999</v>
      </c>
      <c r="K1175" s="131" cm="1">
        <f ca="1" t="array" ref="K1175">IF(K1777=1,OFFSET($W$634,$B1175,K$631-1)/SUMPRODUCT(--($D$631:$V$631=K$631),--($D1777:$V1777=1)),0)+SUM(K1174)+IF(COUNTIF(K$1237:K1777,1)=1,5,0)+IF(COUNTIF(L1175:$W1175,"&gt;"&amp;0)&lt;5,IF(AND(COUNTIF(K$1237:K1777,1)&gt;7,MOD(1+IFERROR(MATCH($C1175,总览!$D$46:$D$345,1)+1,1),7)=0),$C$3,0),0)</f>
        <v>1736.89999999999</v>
      </c>
      <c r="L1175" s="131" cm="1">
        <f ca="1" t="array" ref="L1175">IF(L1777=1,OFFSET($W$634,$B1175,L$631-1)/SUMPRODUCT(--($D$631:$V$631=L$631),--($D1777:$V1777=1)),0)+SUM(L1174)+IF(COUNTIF(L$1237:L1777,1)=1,5,0)+IF(COUNTIF(M1175:$W1175,"&gt;"&amp;0)&lt;5,IF(AND(COUNTIF(L$1237:L1777,1)&gt;7,MOD(1+IFERROR(MATCH($C1175,总览!$D$46:$D$345,1)+1,1),7)=0),$C$3,0),0)</f>
        <v>1736.89999999999</v>
      </c>
      <c r="M1175" s="131" cm="1">
        <f ca="1" t="array" ref="M1175">IF(M1777=1,OFFSET($W$634,$B1175,M$631-1)/SUMPRODUCT(--($D$631:$V$631=M$631),--($D1777:$V1777=1)),0)+SUM(M1174)+IF(COUNTIF(M$1237:M1777,1)=1,5,0)+IF(COUNTIF(N1175:$W1175,"&gt;"&amp;0)&lt;5,IF(AND(COUNTIF(M$1237:M1777,1)&gt;7,MOD(1+IFERROR(MATCH($C1175,总览!$D$46:$D$345,1)+1,1),7)=0),$C$3,0),0)</f>
        <v>730.609821428576</v>
      </c>
      <c r="N1175" s="131" cm="1">
        <f ca="1" t="array" ref="N1175">IF(N1777=1,OFFSET($W$634,$B1175,N$631-1)/SUMPRODUCT(--($D$631:$V$631=N$631),--($D1777:$V1777=1)),0)+SUM(N1174)+IF(COUNTIF(N$1237:N1777,1)=1,5,0)+IF(COUNTIF(O1175:$W1175,"&gt;"&amp;0)&lt;5,IF(AND(COUNTIF(N$1237:N1777,1)&gt;7,MOD(1+IFERROR(MATCH($C1175,总览!$D$46:$D$345,1)+1,1),7)=0),$C$3,0),0)</f>
        <v>731.859821428576</v>
      </c>
      <c r="O1175" s="131" cm="1">
        <f ca="1" t="array" ref="O1175">IF(O1777=1,OFFSET($W$634,$B1175,O$631-1)/SUMPRODUCT(--($D$631:$V$631=O$631),--($D1777:$V1777=1)),0)+SUM(O1174)+IF(COUNTIF(O$1237:O1777,1)=1,5,0)+IF(COUNTIF(P1175:$W1175,"&gt;"&amp;0)&lt;5,IF(AND(COUNTIF(O$1237:O1777,1)&gt;7,MOD(1+IFERROR(MATCH($C1175,总览!$D$46:$D$345,1)+1,1),7)=0),$C$3,0),0)</f>
        <v>736.859821428576</v>
      </c>
      <c r="P1175" s="131" cm="1">
        <f ca="1" t="array" ref="P1175">IF(P1777=1,OFFSET($W$634,$B1175,P$631-1)/SUMPRODUCT(--($D$631:$V$631=P$631),--($D1777:$V1777=1)),0)+SUM(P1174)+IF(COUNTIF(P$1237:P1777,1)=1,5,0)+IF(COUNTIF(Q1175:$W1175,"&gt;"&amp;0)&lt;5,IF(AND(COUNTIF(P$1237:P1777,1)&gt;7,MOD(1+IFERROR(MATCH($C1175,总览!$D$46:$D$345,1)+1,1),7)=0),$C$3,0),0)</f>
        <v>725.978571428576</v>
      </c>
      <c r="Q1175" s="131" cm="1">
        <f ca="1" t="array" ref="Q1175">IF(Q1777=1,OFFSET($W$634,$B1175,Q$631-1)/SUMPRODUCT(--($D$631:$V$631=Q$631),--($D1777:$V1777=1)),0)+SUM(Q1174)+IF(COUNTIF(Q$1237:Q1777,1)=1,5,0)+IF(COUNTIF(R1175:$W1175,"&gt;"&amp;0)&lt;5,IF(AND(COUNTIF(Q$1237:Q1777,1)&gt;7,MOD(1+IFERROR(MATCH($C1175,总览!$D$46:$D$345,1)+1,1),7)=0),$C$3,0),0)</f>
        <v>739.359821428576</v>
      </c>
      <c r="R1175" s="131" cm="1">
        <f ca="1" t="array" ref="R1175">IF(R1777=1,OFFSET($W$634,$B1175,R$631-1)/SUMPRODUCT(--($D$631:$V$631=R$631),--($D1777:$V1777=1)),0)+SUM(R1174)+IF(COUNTIF(R$1237:R1777,1)=1,5,0)+IF(COUNTIF(S1175:$W1175,"&gt;"&amp;0)&lt;5,IF(AND(COUNTIF(R$1237:R1777,1)&gt;7,MOD(1+IFERROR(MATCH($C1175,总览!$D$46:$D$345,1)+1,1),7)=0),$C$3,0),0)</f>
        <v>730.978571428576</v>
      </c>
      <c r="S1175" s="131" cm="1">
        <f ca="1" t="array" ref="S1175">IF(S1777=1,OFFSET($W$634,$B1175,S$631-1)/SUMPRODUCT(--($D$631:$V$631=S$631),--($D1777:$V1777=1)),0)+SUM(S1174)+IF(COUNTIF(S$1237:S1777,1)=1,5,0)+IF(COUNTIF(T1175:$W1175,"&gt;"&amp;0)&lt;5,IF(AND(COUNTIF(S$1237:S1777,1)&gt;7,MOD(1+IFERROR(MATCH($C1175,总览!$D$46:$D$345,1)+1,1),7)=0),$C$3,0),0)</f>
        <v>823.478571428577</v>
      </c>
      <c r="T1175" s="131" cm="1">
        <f ca="1" t="array" ref="T1175">IF(T1777=1,OFFSET($W$634,$B1175,T$631-1)/SUMPRODUCT(--($D$631:$V$631=T$631),--($D1777:$V1777=1)),0)+SUM(T1174)+IF(COUNTIF(T$1237:T1777,1)=1,5,0)+IF(COUNTIF(U1175:$W1175,"&gt;"&amp;0)&lt;5,IF(AND(COUNTIF(T$1237:T1777,1)&gt;7,MOD(1+IFERROR(MATCH($C1175,总览!$D$46:$D$345,1)+1,1),7)=0),$C$3,0),0)</f>
        <v>603.17560766755</v>
      </c>
      <c r="U1175" s="131" cm="1">
        <f ca="1" t="array" ref="U1175">IF(U1777=1,OFFSET($W$634,$B1175,U$631-1)/SUMPRODUCT(--($D$631:$V$631=U$631),--($D1777:$V1777=1)),0)+SUM(U1174)+IF(COUNTIF(U$1237:U1777,1)=1,5,0)+IF(COUNTIF(V1175:$W1175,"&gt;"&amp;0)&lt;5,IF(AND(COUNTIF(U$1237:U1777,1)&gt;7,MOD(1+IFERROR(MATCH($C1175,总览!$D$46:$D$345,1)+1,1),7)=0),$C$3,0),0)</f>
        <v>608.69639402285</v>
      </c>
      <c r="V1175" s="131" cm="1">
        <f ca="1" t="array" ref="V1175">IF(V1777=1,OFFSET($W$634,$B1175,V$631-1)/SUMPRODUCT(--($D$631:$V$631=V$631),--($D1777:$V1777=1)),0)+SUM(V1174)+IF(COUNTIF(V$1237:V1777,1)=1,5,0)+IF(COUNTIF(W1175:$W1175,"&gt;"&amp;0)&lt;5,IF(AND(COUNTIF(V$1237:V1777,1)&gt;7,MOD(1+IFERROR(MATCH($C1175,总览!$D$46:$D$345,1)+1,1),7)=0),$C$3,0),0)</f>
        <v>628.523393735283</v>
      </c>
      <c r="W1175" s="135" cm="1">
        <f ca="1" t="array" ref="W1175">SUMPRODUCT(TRANSPOSE($AA1175:$AG1175),OFFSET($L$9:$L$15,0,W$631-1))</f>
        <v>16.8502200646615</v>
      </c>
      <c r="X1175" s="135" cm="1">
        <f ca="1" t="array" ref="X1175">SUMPRODUCT(TRANSPOSE($AA1175:$AG1175),OFFSET($L$9:$L$15,0,X$631-1))</f>
        <v>20</v>
      </c>
      <c r="Y1175" s="135" cm="1">
        <f ca="1" t="array" ref="Y1175">SUMPRODUCT(TRANSPOSE($AA1175:$AG1175),OFFSET($L$9:$L$15,0,Y$631-1))</f>
        <v>10</v>
      </c>
      <c r="Z1175" s="135" cm="1">
        <f ca="1" t="array" ref="Z1175">SUMPRODUCT(TRANSPOSE($AA1175:$AG1175),OFFSET($L$9:$L$15,0,Z$631-1))</f>
        <v>3.14977993533847</v>
      </c>
      <c r="AA1175" s="136">
        <f ca="1" t="shared" ref="AA1175:AG1175" si="1337">AH1175-AH1174</f>
        <v>0</v>
      </c>
      <c r="AB1175" s="136">
        <f ca="1" t="shared" si="1337"/>
        <v>0</v>
      </c>
      <c r="AC1175" s="136">
        <f ca="1" t="shared" si="1337"/>
        <v>0</v>
      </c>
      <c r="AD1175" s="136">
        <f ca="1" t="shared" si="1337"/>
        <v>0</v>
      </c>
      <c r="AE1175" s="136">
        <f ca="1" t="shared" si="1337"/>
        <v>0</v>
      </c>
      <c r="AF1175" s="136">
        <f ca="1" t="shared" si="1337"/>
        <v>0</v>
      </c>
      <c r="AG1175" s="136">
        <f ca="1" t="shared" si="1337"/>
        <v>100</v>
      </c>
      <c r="AH1175" s="136">
        <f ca="1" t="shared" si="1281"/>
        <v>450</v>
      </c>
      <c r="AI1175" s="136">
        <f ca="1" t="shared" ref="AI1175:AN1175" si="1338">IF($C1175&gt;OFFSET($Q$8,MATCH(AI$634,$AH$634:$AN$634,0),0),OFFSET($P$8,MATCH(AI$634,$AH$634:$AN$634,0),0),MAX(0,$C1175-OFFSET($Q$8,RIGHT(AI$634,1)-1,0)))</f>
        <v>909</v>
      </c>
      <c r="AJ1175" s="136">
        <f ca="1" t="shared" si="1338"/>
        <v>1818</v>
      </c>
      <c r="AK1175" s="136">
        <f ca="1" t="shared" si="1338"/>
        <v>2727</v>
      </c>
      <c r="AL1175" s="136">
        <f ca="1" t="shared" si="1338"/>
        <v>3636</v>
      </c>
      <c r="AM1175" s="136">
        <f ca="1" t="shared" si="1338"/>
        <v>4545</v>
      </c>
      <c r="AN1175" s="136">
        <f ca="1" t="shared" si="1338"/>
        <v>40015</v>
      </c>
    </row>
    <row r="1176" s="106" customFormat="1" ht="16.5" spans="2:40">
      <c r="B1176" s="117">
        <v>542</v>
      </c>
      <c r="C1176" s="130">
        <f t="shared" si="1279"/>
        <v>54200</v>
      </c>
      <c r="D1176" s="131" cm="1">
        <f ca="1" t="array" ref="D1176">IF(D1778=1,OFFSET($W$634,$B1176,D$631-1)/SUMPRODUCT(--($D$631:$V$631=D$631),--($D1778:$V1778=1)),0)+SUM(D1175)+IF(COUNTIF(D$1237:D1778,1)=1,5,0)+IF(COUNTIF(E1176:$W1176,"&gt;"&amp;0)&lt;5,IF(AND(COUNTIF(D$1237:D1778,1)&gt;7,MOD(1+IFERROR(MATCH($C1176,总览!$D$46:$D$345,1)+1,1),7)=0),$C$3,0),0)</f>
        <v>3371.97660821303</v>
      </c>
      <c r="E1176" s="131" cm="1">
        <f ca="1" t="array" ref="E1176">IF(E1778=1,OFFSET($W$634,$B1176,E$631-1)/SUMPRODUCT(--($D$631:$V$631=E$631),--($D1778:$V1778=1)),0)+SUM(E1175)+IF(COUNTIF(E$1237:E1778,1)=1,5,0)+IF(COUNTIF(F1176:$W1176,"&gt;"&amp;0)&lt;5,IF(AND(COUNTIF(E$1237:E1778,1)&gt;7,MOD(1+IFERROR(MATCH($C1176,总览!$D$46:$D$345,1)+1,1),7)=0),$C$3,0),0)</f>
        <v>3371.97660821303</v>
      </c>
      <c r="F1176" s="131" cm="1">
        <f ca="1" t="array" ref="F1176">IF(F1778=1,OFFSET($W$634,$B1176,F$631-1)/SUMPRODUCT(--($D$631:$V$631=F$631),--($D1778:$V1778=1)),0)+SUM(F1175)+IF(COUNTIF(F$1237:F1778,1)=1,5,0)+IF(COUNTIF(G1176:$W1176,"&gt;"&amp;0)&lt;5,IF(AND(COUNTIF(F$1237:F1778,1)&gt;7,MOD(1+IFERROR(MATCH($C1176,总览!$D$46:$D$345,1)+1,1),7)=0),$C$3,0),0)</f>
        <v>3371.97660821303</v>
      </c>
      <c r="G1176" s="131" cm="1">
        <f ca="1" t="array" ref="G1176">IF(G1778=1,OFFSET($W$634,$B1176,G$631-1)/SUMPRODUCT(--($D$631:$V$631=G$631),--($D1778:$V1778=1)),0)+SUM(G1175)+IF(COUNTIF(G$1237:G1778,1)=1,5,0)+IF(COUNTIF(H1176:$W1176,"&gt;"&amp;0)&lt;5,IF(AND(COUNTIF(G$1237:G1778,1)&gt;7,MOD(1+IFERROR(MATCH($C1176,总览!$D$46:$D$345,1)+1,1),7)=0),$C$3,0),0)</f>
        <v>1746.06666666665</v>
      </c>
      <c r="H1176" s="131" cm="1">
        <f ca="1" t="array" ref="H1176">IF(H1778=1,OFFSET($W$634,$B1176,H$631-1)/SUMPRODUCT(--($D$631:$V$631=H$631),--($D1778:$V1778=1)),0)+SUM(H1175)+IF(COUNTIF(H$1237:H1778,1)=1,5,0)+IF(COUNTIF(I1176:$W1176,"&gt;"&amp;0)&lt;5,IF(AND(COUNTIF(H$1237:H1778,1)&gt;7,MOD(1+IFERROR(MATCH($C1176,总览!$D$46:$D$345,1)+1,1),7)=0),$C$3,0),0)</f>
        <v>1746.06666666665</v>
      </c>
      <c r="I1176" s="131" cm="1">
        <f ca="1" t="array" ref="I1176">IF(I1778=1,OFFSET($W$634,$B1176,I$631-1)/SUMPRODUCT(--($D$631:$V$631=I$631),--($D1778:$V1778=1)),0)+SUM(I1175)+IF(COUNTIF(I$1237:I1778,1)=1,5,0)+IF(COUNTIF(J1176:$W1176,"&gt;"&amp;0)&lt;5,IF(AND(COUNTIF(I$1237:I1778,1)&gt;7,MOD(1+IFERROR(MATCH($C1176,总览!$D$46:$D$345,1)+1,1),7)=0),$C$3,0),0)</f>
        <v>1746.06666666665</v>
      </c>
      <c r="J1176" s="131" cm="1">
        <f ca="1" t="array" ref="J1176">IF(J1778=1,OFFSET($W$634,$B1176,J$631-1)/SUMPRODUCT(--($D$631:$V$631=J$631),--($D1778:$V1778=1)),0)+SUM(J1175)+IF(COUNTIF(J$1237:J1778,1)=1,5,0)+IF(COUNTIF(K1176:$W1176,"&gt;"&amp;0)&lt;5,IF(AND(COUNTIF(J$1237:J1778,1)&gt;7,MOD(1+IFERROR(MATCH($C1176,总览!$D$46:$D$345,1)+1,1),7)=0),$C$3,0),0)</f>
        <v>1742.73333333332</v>
      </c>
      <c r="K1176" s="131" cm="1">
        <f ca="1" t="array" ref="K1176">IF(K1778=1,OFFSET($W$634,$B1176,K$631-1)/SUMPRODUCT(--($D$631:$V$631=K$631),--($D1778:$V1778=1)),0)+SUM(K1175)+IF(COUNTIF(K$1237:K1778,1)=1,5,0)+IF(COUNTIF(L1176:$W1176,"&gt;"&amp;0)&lt;5,IF(AND(COUNTIF(K$1237:K1778,1)&gt;7,MOD(1+IFERROR(MATCH($C1176,总览!$D$46:$D$345,1)+1,1),7)=0),$C$3,0),0)</f>
        <v>1740.23333333332</v>
      </c>
      <c r="L1176" s="131" cm="1">
        <f ca="1" t="array" ref="L1176">IF(L1778=1,OFFSET($W$634,$B1176,L$631-1)/SUMPRODUCT(--($D$631:$V$631=L$631),--($D1778:$V1778=1)),0)+SUM(L1175)+IF(COUNTIF(L$1237:L1778,1)=1,5,0)+IF(COUNTIF(M1176:$W1176,"&gt;"&amp;0)&lt;5,IF(AND(COUNTIF(L$1237:L1778,1)&gt;7,MOD(1+IFERROR(MATCH($C1176,总览!$D$46:$D$345,1)+1,1),7)=0),$C$3,0),0)</f>
        <v>1740.23333333332</v>
      </c>
      <c r="M1176" s="131" cm="1">
        <f ca="1" t="array" ref="M1176">IF(M1778=1,OFFSET($W$634,$B1176,M$631-1)/SUMPRODUCT(--($D$631:$V$631=M$631),--($D1778:$V1778=1)),0)+SUM(M1175)+IF(COUNTIF(M$1237:M1778,1)=1,5,0)+IF(COUNTIF(N1176:$W1176,"&gt;"&amp;0)&lt;5,IF(AND(COUNTIF(M$1237:M1778,1)&gt;7,MOD(1+IFERROR(MATCH($C1176,总览!$D$46:$D$345,1)+1,1),7)=0),$C$3,0),0)</f>
        <v>732.038392857147</v>
      </c>
      <c r="N1176" s="131" cm="1">
        <f ca="1" t="array" ref="N1176">IF(N1778=1,OFFSET($W$634,$B1176,N$631-1)/SUMPRODUCT(--($D$631:$V$631=N$631),--($D1778:$V1778=1)),0)+SUM(N1175)+IF(COUNTIF(N$1237:N1778,1)=1,5,0)+IF(COUNTIF(O1176:$W1176,"&gt;"&amp;0)&lt;5,IF(AND(COUNTIF(N$1237:N1778,1)&gt;7,MOD(1+IFERROR(MATCH($C1176,总览!$D$46:$D$345,1)+1,1),7)=0),$C$3,0),0)</f>
        <v>733.288392857147</v>
      </c>
      <c r="O1176" s="131" cm="1">
        <f ca="1" t="array" ref="O1176">IF(O1778=1,OFFSET($W$634,$B1176,O$631-1)/SUMPRODUCT(--($D$631:$V$631=O$631),--($D1778:$V1778=1)),0)+SUM(O1175)+IF(COUNTIF(O$1237:O1778,1)=1,5,0)+IF(COUNTIF(P1176:$W1176,"&gt;"&amp;0)&lt;5,IF(AND(COUNTIF(O$1237:O1778,1)&gt;7,MOD(1+IFERROR(MATCH($C1176,总览!$D$46:$D$345,1)+1,1),7)=0),$C$3,0),0)</f>
        <v>738.288392857147</v>
      </c>
      <c r="P1176" s="131" cm="1">
        <f ca="1" t="array" ref="P1176">IF(P1778=1,OFFSET($W$634,$B1176,P$631-1)/SUMPRODUCT(--($D$631:$V$631=P$631),--($D1778:$V1778=1)),0)+SUM(P1175)+IF(COUNTIF(P$1237:P1778,1)=1,5,0)+IF(COUNTIF(Q1176:$W1176,"&gt;"&amp;0)&lt;5,IF(AND(COUNTIF(P$1237:P1778,1)&gt;7,MOD(1+IFERROR(MATCH($C1176,总览!$D$46:$D$345,1)+1,1),7)=0),$C$3,0),0)</f>
        <v>727.407142857147</v>
      </c>
      <c r="Q1176" s="131" cm="1">
        <f ca="1" t="array" ref="Q1176">IF(Q1778=1,OFFSET($W$634,$B1176,Q$631-1)/SUMPRODUCT(--($D$631:$V$631=Q$631),--($D1778:$V1778=1)),0)+SUM(Q1175)+IF(COUNTIF(Q$1237:Q1778,1)=1,5,0)+IF(COUNTIF(R1176:$W1176,"&gt;"&amp;0)&lt;5,IF(AND(COUNTIF(Q$1237:Q1778,1)&gt;7,MOD(1+IFERROR(MATCH($C1176,总览!$D$46:$D$345,1)+1,1),7)=0),$C$3,0),0)</f>
        <v>740.788392857147</v>
      </c>
      <c r="R1176" s="131" cm="1">
        <f ca="1" t="array" ref="R1176">IF(R1778=1,OFFSET($W$634,$B1176,R$631-1)/SUMPRODUCT(--($D$631:$V$631=R$631),--($D1778:$V1778=1)),0)+SUM(R1175)+IF(COUNTIF(R$1237:R1778,1)=1,5,0)+IF(COUNTIF(S1176:$W1176,"&gt;"&amp;0)&lt;5,IF(AND(COUNTIF(R$1237:R1778,1)&gt;7,MOD(1+IFERROR(MATCH($C1176,总览!$D$46:$D$345,1)+1,1),7)=0),$C$3,0),0)</f>
        <v>732.407142857147</v>
      </c>
      <c r="S1176" s="131" cm="1">
        <f ca="1" t="array" ref="S1176">IF(S1778=1,OFFSET($W$634,$B1176,S$631-1)/SUMPRODUCT(--($D$631:$V$631=S$631),--($D1778:$V1778=1)),0)+SUM(S1175)+IF(COUNTIF(S$1237:S1778,1)=1,5,0)+IF(COUNTIF(T1176:$W1176,"&gt;"&amp;0)&lt;5,IF(AND(COUNTIF(S$1237:S1778,1)&gt;7,MOD(1+IFERROR(MATCH($C1176,总览!$D$46:$D$345,1)+1,1),7)=0),$C$3,0),0)</f>
        <v>824.907142857148</v>
      </c>
      <c r="T1176" s="131" cm="1">
        <f ca="1" t="array" ref="T1176">IF(T1778=1,OFFSET($W$634,$B1176,T$631-1)/SUMPRODUCT(--($D$631:$V$631=T$631),--($D1778:$V1778=1)),0)+SUM(T1175)+IF(COUNTIF(T$1237:T1778,1)=1,5,0)+IF(COUNTIF(U1176:$W1176,"&gt;"&amp;0)&lt;5,IF(AND(COUNTIF(T$1237:T1778,1)&gt;7,MOD(1+IFERROR(MATCH($C1176,总览!$D$46:$D$345,1)+1,1),7)=0),$C$3,0),0)</f>
        <v>604.225534312663</v>
      </c>
      <c r="U1176" s="131" cm="1">
        <f ca="1" t="array" ref="U1176">IF(U1778=1,OFFSET($W$634,$B1176,U$631-1)/SUMPRODUCT(--($D$631:$V$631=U$631),--($D1778:$V1778=1)),0)+SUM(U1175)+IF(COUNTIF(U$1237:U1778,1)=1,5,0)+IF(COUNTIF(V1176:$W1176,"&gt;"&amp;0)&lt;5,IF(AND(COUNTIF(U$1237:U1778,1)&gt;7,MOD(1+IFERROR(MATCH($C1176,总览!$D$46:$D$345,1)+1,1),7)=0),$C$3,0),0)</f>
        <v>609.746320667963</v>
      </c>
      <c r="V1176" s="131" cm="1">
        <f ca="1" t="array" ref="V1176">IF(V1778=1,OFFSET($W$634,$B1176,V$631-1)/SUMPRODUCT(--($D$631:$V$631=V$631),--($D1778:$V1778=1)),0)+SUM(V1175)+IF(COUNTIF(V$1237:V1778,1)=1,5,0)+IF(COUNTIF(W1176:$W1176,"&gt;"&amp;0)&lt;5,IF(AND(COUNTIF(V$1237:V1778,1)&gt;7,MOD(1+IFERROR(MATCH($C1176,总览!$D$46:$D$345,1)+1,1),7)=0),$C$3,0),0)</f>
        <v>629.573320380396</v>
      </c>
      <c r="W1176" s="135" cm="1">
        <f ca="1" t="array" ref="W1176">SUMPRODUCT(TRANSPOSE($AA1176:$AG1176),OFFSET($L$9:$L$15,0,W$631-1))</f>
        <v>16.8502200646615</v>
      </c>
      <c r="X1176" s="135" cm="1">
        <f ca="1" t="array" ref="X1176">SUMPRODUCT(TRANSPOSE($AA1176:$AG1176),OFFSET($L$9:$L$15,0,X$631-1))</f>
        <v>20</v>
      </c>
      <c r="Y1176" s="135" cm="1">
        <f ca="1" t="array" ref="Y1176">SUMPRODUCT(TRANSPOSE($AA1176:$AG1176),OFFSET($L$9:$L$15,0,Y$631-1))</f>
        <v>10</v>
      </c>
      <c r="Z1176" s="135" cm="1">
        <f ca="1" t="array" ref="Z1176">SUMPRODUCT(TRANSPOSE($AA1176:$AG1176),OFFSET($L$9:$L$15,0,Z$631-1))</f>
        <v>3.14977993533847</v>
      </c>
      <c r="AA1176" s="136">
        <f ca="1" t="shared" ref="AA1176:AG1176" si="1339">AH1176-AH1175</f>
        <v>0</v>
      </c>
      <c r="AB1176" s="136">
        <f ca="1" t="shared" si="1339"/>
        <v>0</v>
      </c>
      <c r="AC1176" s="136">
        <f ca="1" t="shared" si="1339"/>
        <v>0</v>
      </c>
      <c r="AD1176" s="136">
        <f ca="1" t="shared" si="1339"/>
        <v>0</v>
      </c>
      <c r="AE1176" s="136">
        <f ca="1" t="shared" si="1339"/>
        <v>0</v>
      </c>
      <c r="AF1176" s="136">
        <f ca="1" t="shared" si="1339"/>
        <v>0</v>
      </c>
      <c r="AG1176" s="136">
        <f ca="1" t="shared" si="1339"/>
        <v>100</v>
      </c>
      <c r="AH1176" s="136">
        <f ca="1" t="shared" si="1281"/>
        <v>450</v>
      </c>
      <c r="AI1176" s="136">
        <f ca="1" t="shared" ref="AI1176:AN1176" si="1340">IF($C1176&gt;OFFSET($Q$8,MATCH(AI$634,$AH$634:$AN$634,0),0),OFFSET($P$8,MATCH(AI$634,$AH$634:$AN$634,0),0),MAX(0,$C1176-OFFSET($Q$8,RIGHT(AI$634,1)-1,0)))</f>
        <v>909</v>
      </c>
      <c r="AJ1176" s="136">
        <f ca="1" t="shared" si="1340"/>
        <v>1818</v>
      </c>
      <c r="AK1176" s="136">
        <f ca="1" t="shared" si="1340"/>
        <v>2727</v>
      </c>
      <c r="AL1176" s="136">
        <f ca="1" t="shared" si="1340"/>
        <v>3636</v>
      </c>
      <c r="AM1176" s="136">
        <f ca="1" t="shared" si="1340"/>
        <v>4545</v>
      </c>
      <c r="AN1176" s="136">
        <f ca="1" t="shared" si="1340"/>
        <v>40115</v>
      </c>
    </row>
    <row r="1177" s="106" customFormat="1" ht="16.5" spans="2:40">
      <c r="B1177" s="117">
        <v>543</v>
      </c>
      <c r="C1177" s="130">
        <f t="shared" si="1279"/>
        <v>54300</v>
      </c>
      <c r="D1177" s="131" cm="1">
        <f ca="1" t="array" ref="D1177">IF(D1779=1,OFFSET($W$634,$B1177,D$631-1)/SUMPRODUCT(--($D$631:$V$631=D$631),--($D1779:$V1779=1)),0)+SUM(D1176)+IF(COUNTIF(D$1237:D1779,1)=1,5,0)+IF(COUNTIF(E1177:$W1177,"&gt;"&amp;0)&lt;5,IF(AND(COUNTIF(D$1237:D1779,1)&gt;7,MOD(1+IFERROR(MATCH($C1177,总览!$D$46:$D$345,1)+1,1),7)=0),$C$3,0),0)</f>
        <v>3377.59334823459</v>
      </c>
      <c r="E1177" s="131" cm="1">
        <f ca="1" t="array" ref="E1177">IF(E1779=1,OFFSET($W$634,$B1177,E$631-1)/SUMPRODUCT(--($D$631:$V$631=E$631),--($D1779:$V1779=1)),0)+SUM(E1176)+IF(COUNTIF(E$1237:E1779,1)=1,5,0)+IF(COUNTIF(F1177:$W1177,"&gt;"&amp;0)&lt;5,IF(AND(COUNTIF(E$1237:E1779,1)&gt;7,MOD(1+IFERROR(MATCH($C1177,总览!$D$46:$D$345,1)+1,1),7)=0),$C$3,0),0)</f>
        <v>3377.59334823459</v>
      </c>
      <c r="F1177" s="131" cm="1">
        <f ca="1" t="array" ref="F1177">IF(F1779=1,OFFSET($W$634,$B1177,F$631-1)/SUMPRODUCT(--($D$631:$V$631=F$631),--($D1779:$V1779=1)),0)+SUM(F1176)+IF(COUNTIF(F$1237:F1779,1)=1,5,0)+IF(COUNTIF(G1177:$W1177,"&gt;"&amp;0)&lt;5,IF(AND(COUNTIF(F$1237:F1779,1)&gt;7,MOD(1+IFERROR(MATCH($C1177,总览!$D$46:$D$345,1)+1,1),7)=0),$C$3,0),0)</f>
        <v>3377.59334823459</v>
      </c>
      <c r="G1177" s="131" cm="1">
        <f ca="1" t="array" ref="G1177">IF(G1779=1,OFFSET($W$634,$B1177,G$631-1)/SUMPRODUCT(--($D$631:$V$631=G$631),--($D1779:$V1779=1)),0)+SUM(G1176)+IF(COUNTIF(G$1237:G1779,1)=1,5,0)+IF(COUNTIF(H1177:$W1177,"&gt;"&amp;0)&lt;5,IF(AND(COUNTIF(G$1237:G1779,1)&gt;7,MOD(1+IFERROR(MATCH($C1177,总览!$D$46:$D$345,1)+1,1),7)=0),$C$3,0),0)</f>
        <v>1749.39999999999</v>
      </c>
      <c r="H1177" s="131" cm="1">
        <f ca="1" t="array" ref="H1177">IF(H1779=1,OFFSET($W$634,$B1177,H$631-1)/SUMPRODUCT(--($D$631:$V$631=H$631),--($D1779:$V1779=1)),0)+SUM(H1176)+IF(COUNTIF(H$1237:H1779,1)=1,5,0)+IF(COUNTIF(I1177:$W1177,"&gt;"&amp;0)&lt;5,IF(AND(COUNTIF(H$1237:H1779,1)&gt;7,MOD(1+IFERROR(MATCH($C1177,总览!$D$46:$D$345,1)+1,1),7)=0),$C$3,0),0)</f>
        <v>1749.39999999999</v>
      </c>
      <c r="I1177" s="131" cm="1">
        <f ca="1" t="array" ref="I1177">IF(I1779=1,OFFSET($W$634,$B1177,I$631-1)/SUMPRODUCT(--($D$631:$V$631=I$631),--($D1779:$V1779=1)),0)+SUM(I1176)+IF(COUNTIF(I$1237:I1779,1)=1,5,0)+IF(COUNTIF(J1177:$W1177,"&gt;"&amp;0)&lt;5,IF(AND(COUNTIF(I$1237:I1779,1)&gt;7,MOD(1+IFERROR(MATCH($C1177,总览!$D$46:$D$345,1)+1,1),7)=0),$C$3,0),0)</f>
        <v>1749.39999999999</v>
      </c>
      <c r="J1177" s="131" cm="1">
        <f ca="1" t="array" ref="J1177">IF(J1779=1,OFFSET($W$634,$B1177,J$631-1)/SUMPRODUCT(--($D$631:$V$631=J$631),--($D1779:$V1779=1)),0)+SUM(J1176)+IF(COUNTIF(J$1237:J1779,1)=1,5,0)+IF(COUNTIF(K1177:$W1177,"&gt;"&amp;0)&lt;5,IF(AND(COUNTIF(J$1237:J1779,1)&gt;7,MOD(1+IFERROR(MATCH($C1177,总览!$D$46:$D$345,1)+1,1),7)=0),$C$3,0),0)</f>
        <v>1746.06666666665</v>
      </c>
      <c r="K1177" s="131" cm="1">
        <f ca="1" t="array" ref="K1177">IF(K1779=1,OFFSET($W$634,$B1177,K$631-1)/SUMPRODUCT(--($D$631:$V$631=K$631),--($D1779:$V1779=1)),0)+SUM(K1176)+IF(COUNTIF(K$1237:K1779,1)=1,5,0)+IF(COUNTIF(L1177:$W1177,"&gt;"&amp;0)&lt;5,IF(AND(COUNTIF(K$1237:K1779,1)&gt;7,MOD(1+IFERROR(MATCH($C1177,总览!$D$46:$D$345,1)+1,1),7)=0),$C$3,0),0)</f>
        <v>1743.56666666665</v>
      </c>
      <c r="L1177" s="131" cm="1">
        <f ca="1" t="array" ref="L1177">IF(L1779=1,OFFSET($W$634,$B1177,L$631-1)/SUMPRODUCT(--($D$631:$V$631=L$631),--($D1779:$V1779=1)),0)+SUM(L1176)+IF(COUNTIF(L$1237:L1779,1)=1,5,0)+IF(COUNTIF(M1177:$W1177,"&gt;"&amp;0)&lt;5,IF(AND(COUNTIF(L$1237:L1779,1)&gt;7,MOD(1+IFERROR(MATCH($C1177,总览!$D$46:$D$345,1)+1,1),7)=0),$C$3,0),0)</f>
        <v>1743.56666666665</v>
      </c>
      <c r="M1177" s="131" cm="1">
        <f ca="1" t="array" ref="M1177">IF(M1779=1,OFFSET($W$634,$B1177,M$631-1)/SUMPRODUCT(--($D$631:$V$631=M$631),--($D1779:$V1779=1)),0)+SUM(M1176)+IF(COUNTIF(M$1237:M1779,1)=1,5,0)+IF(COUNTIF(N1177:$W1177,"&gt;"&amp;0)&lt;5,IF(AND(COUNTIF(M$1237:M1779,1)&gt;7,MOD(1+IFERROR(MATCH($C1177,总览!$D$46:$D$345,1)+1,1),7)=0),$C$3,0),0)</f>
        <v>733.466964285719</v>
      </c>
      <c r="N1177" s="131" cm="1">
        <f ca="1" t="array" ref="N1177">IF(N1779=1,OFFSET($W$634,$B1177,N$631-1)/SUMPRODUCT(--($D$631:$V$631=N$631),--($D1779:$V1779=1)),0)+SUM(N1176)+IF(COUNTIF(N$1237:N1779,1)=1,5,0)+IF(COUNTIF(O1177:$W1177,"&gt;"&amp;0)&lt;5,IF(AND(COUNTIF(N$1237:N1779,1)&gt;7,MOD(1+IFERROR(MATCH($C1177,总览!$D$46:$D$345,1)+1,1),7)=0),$C$3,0),0)</f>
        <v>734.716964285719</v>
      </c>
      <c r="O1177" s="131" cm="1">
        <f ca="1" t="array" ref="O1177">IF(O1779=1,OFFSET($W$634,$B1177,O$631-1)/SUMPRODUCT(--($D$631:$V$631=O$631),--($D1779:$V1779=1)),0)+SUM(O1176)+IF(COUNTIF(O$1237:O1779,1)=1,5,0)+IF(COUNTIF(P1177:$W1177,"&gt;"&amp;0)&lt;5,IF(AND(COUNTIF(O$1237:O1779,1)&gt;7,MOD(1+IFERROR(MATCH($C1177,总览!$D$46:$D$345,1)+1,1),7)=0),$C$3,0),0)</f>
        <v>739.716964285719</v>
      </c>
      <c r="P1177" s="131" cm="1">
        <f ca="1" t="array" ref="P1177">IF(P1779=1,OFFSET($W$634,$B1177,P$631-1)/SUMPRODUCT(--($D$631:$V$631=P$631),--($D1779:$V1779=1)),0)+SUM(P1176)+IF(COUNTIF(P$1237:P1779,1)=1,5,0)+IF(COUNTIF(Q1177:$W1177,"&gt;"&amp;0)&lt;5,IF(AND(COUNTIF(P$1237:P1779,1)&gt;7,MOD(1+IFERROR(MATCH($C1177,总览!$D$46:$D$345,1)+1,1),7)=0),$C$3,0),0)</f>
        <v>728.835714285718</v>
      </c>
      <c r="Q1177" s="131" cm="1">
        <f ca="1" t="array" ref="Q1177">IF(Q1779=1,OFFSET($W$634,$B1177,Q$631-1)/SUMPRODUCT(--($D$631:$V$631=Q$631),--($D1779:$V1779=1)),0)+SUM(Q1176)+IF(COUNTIF(Q$1237:Q1779,1)=1,5,0)+IF(COUNTIF(R1177:$W1177,"&gt;"&amp;0)&lt;5,IF(AND(COUNTIF(Q$1237:Q1779,1)&gt;7,MOD(1+IFERROR(MATCH($C1177,总览!$D$46:$D$345,1)+1,1),7)=0),$C$3,0),0)</f>
        <v>742.216964285719</v>
      </c>
      <c r="R1177" s="131" cm="1">
        <f ca="1" t="array" ref="R1177">IF(R1779=1,OFFSET($W$634,$B1177,R$631-1)/SUMPRODUCT(--($D$631:$V$631=R$631),--($D1779:$V1779=1)),0)+SUM(R1176)+IF(COUNTIF(R$1237:R1779,1)=1,5,0)+IF(COUNTIF(S1177:$W1177,"&gt;"&amp;0)&lt;5,IF(AND(COUNTIF(R$1237:R1779,1)&gt;7,MOD(1+IFERROR(MATCH($C1177,总览!$D$46:$D$345,1)+1,1),7)=0),$C$3,0),0)</f>
        <v>733.835714285718</v>
      </c>
      <c r="S1177" s="131" cm="1">
        <f ca="1" t="array" ref="S1177">IF(S1779=1,OFFSET($W$634,$B1177,S$631-1)/SUMPRODUCT(--($D$631:$V$631=S$631),--($D1779:$V1779=1)),0)+SUM(S1176)+IF(COUNTIF(S$1237:S1779,1)=1,5,0)+IF(COUNTIF(T1177:$W1177,"&gt;"&amp;0)&lt;5,IF(AND(COUNTIF(S$1237:S1779,1)&gt;7,MOD(1+IFERROR(MATCH($C1177,总览!$D$46:$D$345,1)+1,1),7)=0),$C$3,0),0)</f>
        <v>826.33571428572</v>
      </c>
      <c r="T1177" s="131" cm="1">
        <f ca="1" t="array" ref="T1177">IF(T1779=1,OFFSET($W$634,$B1177,T$631-1)/SUMPRODUCT(--($D$631:$V$631=T$631),--($D1779:$V1779=1)),0)+SUM(T1176)+IF(COUNTIF(T$1237:T1779,1)=1,5,0)+IF(COUNTIF(U1177:$W1177,"&gt;"&amp;0)&lt;5,IF(AND(COUNTIF(T$1237:T1779,1)&gt;7,MOD(1+IFERROR(MATCH($C1177,总览!$D$46:$D$345,1)+1,1),7)=0),$C$3,0),0)</f>
        <v>605.275460957776</v>
      </c>
      <c r="U1177" s="131" cm="1">
        <f ca="1" t="array" ref="U1177">IF(U1779=1,OFFSET($W$634,$B1177,U$631-1)/SUMPRODUCT(--($D$631:$V$631=U$631),--($D1779:$V1779=1)),0)+SUM(U1176)+IF(COUNTIF(U$1237:U1779,1)=1,5,0)+IF(COUNTIF(V1177:$W1177,"&gt;"&amp;0)&lt;5,IF(AND(COUNTIF(U$1237:U1779,1)&gt;7,MOD(1+IFERROR(MATCH($C1177,总览!$D$46:$D$345,1)+1,1),7)=0),$C$3,0),0)</f>
        <v>610.796247313076</v>
      </c>
      <c r="V1177" s="131" cm="1">
        <f ca="1" t="array" ref="V1177">IF(V1779=1,OFFSET($W$634,$B1177,V$631-1)/SUMPRODUCT(--($D$631:$V$631=V$631),--($D1779:$V1779=1)),0)+SUM(V1176)+IF(COUNTIF(V$1237:V1779,1)=1,5,0)+IF(COUNTIF(W1177:$W1177,"&gt;"&amp;0)&lt;5,IF(AND(COUNTIF(V$1237:V1779,1)&gt;7,MOD(1+IFERROR(MATCH($C1177,总览!$D$46:$D$345,1)+1,1),7)=0),$C$3,0),0)</f>
        <v>630.623247025509</v>
      </c>
      <c r="W1177" s="135" cm="1">
        <f ca="1" t="array" ref="W1177">SUMPRODUCT(TRANSPOSE($AA1177:$AG1177),OFFSET($L$9:$L$15,0,W$631-1))</f>
        <v>16.8502200646615</v>
      </c>
      <c r="X1177" s="135" cm="1">
        <f ca="1" t="array" ref="X1177">SUMPRODUCT(TRANSPOSE($AA1177:$AG1177),OFFSET($L$9:$L$15,0,X$631-1))</f>
        <v>20</v>
      </c>
      <c r="Y1177" s="135" cm="1">
        <f ca="1" t="array" ref="Y1177">SUMPRODUCT(TRANSPOSE($AA1177:$AG1177),OFFSET($L$9:$L$15,0,Y$631-1))</f>
        <v>10</v>
      </c>
      <c r="Z1177" s="135" cm="1">
        <f ca="1" t="array" ref="Z1177">SUMPRODUCT(TRANSPOSE($AA1177:$AG1177),OFFSET($L$9:$L$15,0,Z$631-1))</f>
        <v>3.14977993533847</v>
      </c>
      <c r="AA1177" s="136">
        <f ca="1" t="shared" ref="AA1177:AG1177" si="1341">AH1177-AH1176</f>
        <v>0</v>
      </c>
      <c r="AB1177" s="136">
        <f ca="1" t="shared" si="1341"/>
        <v>0</v>
      </c>
      <c r="AC1177" s="136">
        <f ca="1" t="shared" si="1341"/>
        <v>0</v>
      </c>
      <c r="AD1177" s="136">
        <f ca="1" t="shared" si="1341"/>
        <v>0</v>
      </c>
      <c r="AE1177" s="136">
        <f ca="1" t="shared" si="1341"/>
        <v>0</v>
      </c>
      <c r="AF1177" s="136">
        <f ca="1" t="shared" si="1341"/>
        <v>0</v>
      </c>
      <c r="AG1177" s="136">
        <f ca="1" t="shared" si="1341"/>
        <v>100</v>
      </c>
      <c r="AH1177" s="136">
        <f ca="1" t="shared" si="1281"/>
        <v>450</v>
      </c>
      <c r="AI1177" s="136">
        <f ca="1" t="shared" ref="AI1177:AN1177" si="1342">IF($C1177&gt;OFFSET($Q$8,MATCH(AI$634,$AH$634:$AN$634,0),0),OFFSET($P$8,MATCH(AI$634,$AH$634:$AN$634,0),0),MAX(0,$C1177-OFFSET($Q$8,RIGHT(AI$634,1)-1,0)))</f>
        <v>909</v>
      </c>
      <c r="AJ1177" s="136">
        <f ca="1" t="shared" si="1342"/>
        <v>1818</v>
      </c>
      <c r="AK1177" s="136">
        <f ca="1" t="shared" si="1342"/>
        <v>2727</v>
      </c>
      <c r="AL1177" s="136">
        <f ca="1" t="shared" si="1342"/>
        <v>3636</v>
      </c>
      <c r="AM1177" s="136">
        <f ca="1" t="shared" si="1342"/>
        <v>4545</v>
      </c>
      <c r="AN1177" s="136">
        <f ca="1" t="shared" si="1342"/>
        <v>40215</v>
      </c>
    </row>
    <row r="1178" s="106" customFormat="1" ht="16.5" spans="2:40">
      <c r="B1178" s="117">
        <v>544</v>
      </c>
      <c r="C1178" s="130">
        <f t="shared" si="1279"/>
        <v>54400</v>
      </c>
      <c r="D1178" s="131" cm="1">
        <f ca="1" t="array" ref="D1178">IF(D1780=1,OFFSET($W$634,$B1178,D$631-1)/SUMPRODUCT(--($D$631:$V$631=D$631),--($D1780:$V1780=1)),0)+SUM(D1177)+IF(COUNTIF(D$1237:D1780,1)=1,5,0)+IF(COUNTIF(E1178:$W1178,"&gt;"&amp;0)&lt;5,IF(AND(COUNTIF(D$1237:D1780,1)&gt;7,MOD(1+IFERROR(MATCH($C1178,总览!$D$46:$D$345,1)+1,1),7)=0),$C$3,0),0)</f>
        <v>3383.21008825614</v>
      </c>
      <c r="E1178" s="131" cm="1">
        <f ca="1" t="array" ref="E1178">IF(E1780=1,OFFSET($W$634,$B1178,E$631-1)/SUMPRODUCT(--($D$631:$V$631=E$631),--($D1780:$V1780=1)),0)+SUM(E1177)+IF(COUNTIF(E$1237:E1780,1)=1,5,0)+IF(COUNTIF(F1178:$W1178,"&gt;"&amp;0)&lt;5,IF(AND(COUNTIF(E$1237:E1780,1)&gt;7,MOD(1+IFERROR(MATCH($C1178,总览!$D$46:$D$345,1)+1,1),7)=0),$C$3,0),0)</f>
        <v>3383.21008825614</v>
      </c>
      <c r="F1178" s="131" cm="1">
        <f ca="1" t="array" ref="F1178">IF(F1780=1,OFFSET($W$634,$B1178,F$631-1)/SUMPRODUCT(--($D$631:$V$631=F$631),--($D1780:$V1780=1)),0)+SUM(F1177)+IF(COUNTIF(F$1237:F1780,1)=1,5,0)+IF(COUNTIF(G1178:$W1178,"&gt;"&amp;0)&lt;5,IF(AND(COUNTIF(F$1237:F1780,1)&gt;7,MOD(1+IFERROR(MATCH($C1178,总览!$D$46:$D$345,1)+1,1),7)=0),$C$3,0),0)</f>
        <v>3383.21008825614</v>
      </c>
      <c r="G1178" s="131" cm="1">
        <f ca="1" t="array" ref="G1178">IF(G1780=1,OFFSET($W$634,$B1178,G$631-1)/SUMPRODUCT(--($D$631:$V$631=G$631),--($D1780:$V1780=1)),0)+SUM(G1177)+IF(COUNTIF(G$1237:G1780,1)=1,5,0)+IF(COUNTIF(H1178:$W1178,"&gt;"&amp;0)&lt;5,IF(AND(COUNTIF(G$1237:G1780,1)&gt;7,MOD(1+IFERROR(MATCH($C1178,总览!$D$46:$D$345,1)+1,1),7)=0),$C$3,0),0)</f>
        <v>1752.73333333332</v>
      </c>
      <c r="H1178" s="131" cm="1">
        <f ca="1" t="array" ref="H1178">IF(H1780=1,OFFSET($W$634,$B1178,H$631-1)/SUMPRODUCT(--($D$631:$V$631=H$631),--($D1780:$V1780=1)),0)+SUM(H1177)+IF(COUNTIF(H$1237:H1780,1)=1,5,0)+IF(COUNTIF(I1178:$W1178,"&gt;"&amp;0)&lt;5,IF(AND(COUNTIF(H$1237:H1780,1)&gt;7,MOD(1+IFERROR(MATCH($C1178,总览!$D$46:$D$345,1)+1,1),7)=0),$C$3,0),0)</f>
        <v>1752.73333333332</v>
      </c>
      <c r="I1178" s="131" cm="1">
        <f ca="1" t="array" ref="I1178">IF(I1780=1,OFFSET($W$634,$B1178,I$631-1)/SUMPRODUCT(--($D$631:$V$631=I$631),--($D1780:$V1780=1)),0)+SUM(I1177)+IF(COUNTIF(I$1237:I1780,1)=1,5,0)+IF(COUNTIF(J1178:$W1178,"&gt;"&amp;0)&lt;5,IF(AND(COUNTIF(I$1237:I1780,1)&gt;7,MOD(1+IFERROR(MATCH($C1178,总览!$D$46:$D$345,1)+1,1),7)=0),$C$3,0),0)</f>
        <v>1752.73333333332</v>
      </c>
      <c r="J1178" s="131" cm="1">
        <f ca="1" t="array" ref="J1178">IF(J1780=1,OFFSET($W$634,$B1178,J$631-1)/SUMPRODUCT(--($D$631:$V$631=J$631),--($D1780:$V1780=1)),0)+SUM(J1177)+IF(COUNTIF(J$1237:J1780,1)=1,5,0)+IF(COUNTIF(K1178:$W1178,"&gt;"&amp;0)&lt;5,IF(AND(COUNTIF(J$1237:J1780,1)&gt;7,MOD(1+IFERROR(MATCH($C1178,总览!$D$46:$D$345,1)+1,1),7)=0),$C$3,0),0)</f>
        <v>1749.39999999999</v>
      </c>
      <c r="K1178" s="131" cm="1">
        <f ca="1" t="array" ref="K1178">IF(K1780=1,OFFSET($W$634,$B1178,K$631-1)/SUMPRODUCT(--($D$631:$V$631=K$631),--($D1780:$V1780=1)),0)+SUM(K1177)+IF(COUNTIF(K$1237:K1780,1)=1,5,0)+IF(COUNTIF(L1178:$W1178,"&gt;"&amp;0)&lt;5,IF(AND(COUNTIF(K$1237:K1780,1)&gt;7,MOD(1+IFERROR(MATCH($C1178,总览!$D$46:$D$345,1)+1,1),7)=0),$C$3,0),0)</f>
        <v>1746.89999999999</v>
      </c>
      <c r="L1178" s="131" cm="1">
        <f ca="1" t="array" ref="L1178">IF(L1780=1,OFFSET($W$634,$B1178,L$631-1)/SUMPRODUCT(--($D$631:$V$631=L$631),--($D1780:$V1780=1)),0)+SUM(L1177)+IF(COUNTIF(L$1237:L1780,1)=1,5,0)+IF(COUNTIF(M1178:$W1178,"&gt;"&amp;0)&lt;5,IF(AND(COUNTIF(L$1237:L1780,1)&gt;7,MOD(1+IFERROR(MATCH($C1178,总览!$D$46:$D$345,1)+1,1),7)=0),$C$3,0),0)</f>
        <v>1746.89999999999</v>
      </c>
      <c r="M1178" s="131" cm="1">
        <f ca="1" t="array" ref="M1178">IF(M1780=1,OFFSET($W$634,$B1178,M$631-1)/SUMPRODUCT(--($D$631:$V$631=M$631),--($D1780:$V1780=1)),0)+SUM(M1177)+IF(COUNTIF(M$1237:M1780,1)=1,5,0)+IF(COUNTIF(N1178:$W1178,"&gt;"&amp;0)&lt;5,IF(AND(COUNTIF(M$1237:M1780,1)&gt;7,MOD(1+IFERROR(MATCH($C1178,总览!$D$46:$D$345,1)+1,1),7)=0),$C$3,0),0)</f>
        <v>734.89553571429</v>
      </c>
      <c r="N1178" s="131" cm="1">
        <f ca="1" t="array" ref="N1178">IF(N1780=1,OFFSET($W$634,$B1178,N$631-1)/SUMPRODUCT(--($D$631:$V$631=N$631),--($D1780:$V1780=1)),0)+SUM(N1177)+IF(COUNTIF(N$1237:N1780,1)=1,5,0)+IF(COUNTIF(O1178:$W1178,"&gt;"&amp;0)&lt;5,IF(AND(COUNTIF(N$1237:N1780,1)&gt;7,MOD(1+IFERROR(MATCH($C1178,总览!$D$46:$D$345,1)+1,1),7)=0),$C$3,0),0)</f>
        <v>736.14553571429</v>
      </c>
      <c r="O1178" s="131" cm="1">
        <f ca="1" t="array" ref="O1178">IF(O1780=1,OFFSET($W$634,$B1178,O$631-1)/SUMPRODUCT(--($D$631:$V$631=O$631),--($D1780:$V1780=1)),0)+SUM(O1177)+IF(COUNTIF(O$1237:O1780,1)=1,5,0)+IF(COUNTIF(P1178:$W1178,"&gt;"&amp;0)&lt;5,IF(AND(COUNTIF(O$1237:O1780,1)&gt;7,MOD(1+IFERROR(MATCH($C1178,总览!$D$46:$D$345,1)+1,1),7)=0),$C$3,0),0)</f>
        <v>741.14553571429</v>
      </c>
      <c r="P1178" s="131" cm="1">
        <f ca="1" t="array" ref="P1178">IF(P1780=1,OFFSET($W$634,$B1178,P$631-1)/SUMPRODUCT(--($D$631:$V$631=P$631),--($D1780:$V1780=1)),0)+SUM(P1177)+IF(COUNTIF(P$1237:P1780,1)=1,5,0)+IF(COUNTIF(Q1178:$W1178,"&gt;"&amp;0)&lt;5,IF(AND(COUNTIF(P$1237:P1780,1)&gt;7,MOD(1+IFERROR(MATCH($C1178,总览!$D$46:$D$345,1)+1,1),7)=0),$C$3,0),0)</f>
        <v>730.26428571429</v>
      </c>
      <c r="Q1178" s="131" cm="1">
        <f ca="1" t="array" ref="Q1178">IF(Q1780=1,OFFSET($W$634,$B1178,Q$631-1)/SUMPRODUCT(--($D$631:$V$631=Q$631),--($D1780:$V1780=1)),0)+SUM(Q1177)+IF(COUNTIF(Q$1237:Q1780,1)=1,5,0)+IF(COUNTIF(R1178:$W1178,"&gt;"&amp;0)&lt;5,IF(AND(COUNTIF(Q$1237:Q1780,1)&gt;7,MOD(1+IFERROR(MATCH($C1178,总览!$D$46:$D$345,1)+1,1),7)=0),$C$3,0),0)</f>
        <v>743.64553571429</v>
      </c>
      <c r="R1178" s="131" cm="1">
        <f ca="1" t="array" ref="R1178">IF(R1780=1,OFFSET($W$634,$B1178,R$631-1)/SUMPRODUCT(--($D$631:$V$631=R$631),--($D1780:$V1780=1)),0)+SUM(R1177)+IF(COUNTIF(R$1237:R1780,1)=1,5,0)+IF(COUNTIF(S1178:$W1178,"&gt;"&amp;0)&lt;5,IF(AND(COUNTIF(R$1237:R1780,1)&gt;7,MOD(1+IFERROR(MATCH($C1178,总览!$D$46:$D$345,1)+1,1),7)=0),$C$3,0),0)</f>
        <v>735.26428571429</v>
      </c>
      <c r="S1178" s="131" cm="1">
        <f ca="1" t="array" ref="S1178">IF(S1780=1,OFFSET($W$634,$B1178,S$631-1)/SUMPRODUCT(--($D$631:$V$631=S$631),--($D1780:$V1780=1)),0)+SUM(S1177)+IF(COUNTIF(S$1237:S1780,1)=1,5,0)+IF(COUNTIF(T1178:$W1178,"&gt;"&amp;0)&lt;5,IF(AND(COUNTIF(S$1237:S1780,1)&gt;7,MOD(1+IFERROR(MATCH($C1178,总览!$D$46:$D$345,1)+1,1),7)=0),$C$3,0),0)</f>
        <v>827.764285714291</v>
      </c>
      <c r="T1178" s="131" cm="1">
        <f ca="1" t="array" ref="T1178">IF(T1780=1,OFFSET($W$634,$B1178,T$631-1)/SUMPRODUCT(--($D$631:$V$631=T$631),--($D1780:$V1780=1)),0)+SUM(T1177)+IF(COUNTIF(T$1237:T1780,1)=1,5,0)+IF(COUNTIF(U1178:$W1178,"&gt;"&amp;0)&lt;5,IF(AND(COUNTIF(T$1237:T1780,1)&gt;7,MOD(1+IFERROR(MATCH($C1178,总览!$D$46:$D$345,1)+1,1),7)=0),$C$3,0),0)</f>
        <v>606.325387602889</v>
      </c>
      <c r="U1178" s="131" cm="1">
        <f ca="1" t="array" ref="U1178">IF(U1780=1,OFFSET($W$634,$B1178,U$631-1)/SUMPRODUCT(--($D$631:$V$631=U$631),--($D1780:$V1780=1)),0)+SUM(U1177)+IF(COUNTIF(U$1237:U1780,1)=1,5,0)+IF(COUNTIF(V1178:$W1178,"&gt;"&amp;0)&lt;5,IF(AND(COUNTIF(U$1237:U1780,1)&gt;7,MOD(1+IFERROR(MATCH($C1178,总览!$D$46:$D$345,1)+1,1),7)=0),$C$3,0),0)</f>
        <v>611.846173958188</v>
      </c>
      <c r="V1178" s="131" cm="1">
        <f ca="1" t="array" ref="V1178">IF(V1780=1,OFFSET($W$634,$B1178,V$631-1)/SUMPRODUCT(--($D$631:$V$631=V$631),--($D1780:$V1780=1)),0)+SUM(V1177)+IF(COUNTIF(V$1237:V1780,1)=1,5,0)+IF(COUNTIF(W1178:$W1178,"&gt;"&amp;0)&lt;5,IF(AND(COUNTIF(V$1237:V1780,1)&gt;7,MOD(1+IFERROR(MATCH($C1178,总览!$D$46:$D$345,1)+1,1),7)=0),$C$3,0),0)</f>
        <v>631.673173670621</v>
      </c>
      <c r="W1178" s="135" cm="1">
        <f ca="1" t="array" ref="W1178">SUMPRODUCT(TRANSPOSE($AA1178:$AG1178),OFFSET($L$9:$L$15,0,W$631-1))</f>
        <v>16.8502200646615</v>
      </c>
      <c r="X1178" s="135" cm="1">
        <f ca="1" t="array" ref="X1178">SUMPRODUCT(TRANSPOSE($AA1178:$AG1178),OFFSET($L$9:$L$15,0,X$631-1))</f>
        <v>20</v>
      </c>
      <c r="Y1178" s="135" cm="1">
        <f ca="1" t="array" ref="Y1178">SUMPRODUCT(TRANSPOSE($AA1178:$AG1178),OFFSET($L$9:$L$15,0,Y$631-1))</f>
        <v>10</v>
      </c>
      <c r="Z1178" s="135" cm="1">
        <f ca="1" t="array" ref="Z1178">SUMPRODUCT(TRANSPOSE($AA1178:$AG1178),OFFSET($L$9:$L$15,0,Z$631-1))</f>
        <v>3.14977993533847</v>
      </c>
      <c r="AA1178" s="136">
        <f ca="1" t="shared" ref="AA1178:AG1178" si="1343">AH1178-AH1177</f>
        <v>0</v>
      </c>
      <c r="AB1178" s="136">
        <f ca="1" t="shared" si="1343"/>
        <v>0</v>
      </c>
      <c r="AC1178" s="136">
        <f ca="1" t="shared" si="1343"/>
        <v>0</v>
      </c>
      <c r="AD1178" s="136">
        <f ca="1" t="shared" si="1343"/>
        <v>0</v>
      </c>
      <c r="AE1178" s="136">
        <f ca="1" t="shared" si="1343"/>
        <v>0</v>
      </c>
      <c r="AF1178" s="136">
        <f ca="1" t="shared" si="1343"/>
        <v>0</v>
      </c>
      <c r="AG1178" s="136">
        <f ca="1" t="shared" si="1343"/>
        <v>100</v>
      </c>
      <c r="AH1178" s="136">
        <f ca="1" t="shared" si="1281"/>
        <v>450</v>
      </c>
      <c r="AI1178" s="136">
        <f ca="1" t="shared" ref="AI1178:AN1178" si="1344">IF($C1178&gt;OFFSET($Q$8,MATCH(AI$634,$AH$634:$AN$634,0),0),OFFSET($P$8,MATCH(AI$634,$AH$634:$AN$634,0),0),MAX(0,$C1178-OFFSET($Q$8,RIGHT(AI$634,1)-1,0)))</f>
        <v>909</v>
      </c>
      <c r="AJ1178" s="136">
        <f ca="1" t="shared" si="1344"/>
        <v>1818</v>
      </c>
      <c r="AK1178" s="136">
        <f ca="1" t="shared" si="1344"/>
        <v>2727</v>
      </c>
      <c r="AL1178" s="136">
        <f ca="1" t="shared" si="1344"/>
        <v>3636</v>
      </c>
      <c r="AM1178" s="136">
        <f ca="1" t="shared" si="1344"/>
        <v>4545</v>
      </c>
      <c r="AN1178" s="136">
        <f ca="1" t="shared" si="1344"/>
        <v>40315</v>
      </c>
    </row>
    <row r="1179" s="106" customFormat="1" ht="16.5" spans="2:40">
      <c r="B1179" s="117">
        <v>545</v>
      </c>
      <c r="C1179" s="130">
        <f t="shared" si="1279"/>
        <v>54500</v>
      </c>
      <c r="D1179" s="131" cm="1">
        <f ca="1" t="array" ref="D1179">IF(D1781=1,OFFSET($W$634,$B1179,D$631-1)/SUMPRODUCT(--($D$631:$V$631=D$631),--($D1781:$V1781=1)),0)+SUM(D1178)+IF(COUNTIF(D$1237:D1781,1)=1,5,0)+IF(COUNTIF(E1179:$W1179,"&gt;"&amp;0)&lt;5,IF(AND(COUNTIF(D$1237:D1781,1)&gt;7,MOD(1+IFERROR(MATCH($C1179,总览!$D$46:$D$345,1)+1,1),7)=0),$C$3,0),0)</f>
        <v>3388.82682827769</v>
      </c>
      <c r="E1179" s="131" cm="1">
        <f ca="1" t="array" ref="E1179">IF(E1781=1,OFFSET($W$634,$B1179,E$631-1)/SUMPRODUCT(--($D$631:$V$631=E$631),--($D1781:$V1781=1)),0)+SUM(E1178)+IF(COUNTIF(E$1237:E1781,1)=1,5,0)+IF(COUNTIF(F1179:$W1179,"&gt;"&amp;0)&lt;5,IF(AND(COUNTIF(E$1237:E1781,1)&gt;7,MOD(1+IFERROR(MATCH($C1179,总览!$D$46:$D$345,1)+1,1),7)=0),$C$3,0),0)</f>
        <v>3388.82682827769</v>
      </c>
      <c r="F1179" s="131" cm="1">
        <f ca="1" t="array" ref="F1179">IF(F1781=1,OFFSET($W$634,$B1179,F$631-1)/SUMPRODUCT(--($D$631:$V$631=F$631),--($D1781:$V1781=1)),0)+SUM(F1178)+IF(COUNTIF(F$1237:F1781,1)=1,5,0)+IF(COUNTIF(G1179:$W1179,"&gt;"&amp;0)&lt;5,IF(AND(COUNTIF(F$1237:F1781,1)&gt;7,MOD(1+IFERROR(MATCH($C1179,总览!$D$46:$D$345,1)+1,1),7)=0),$C$3,0),0)</f>
        <v>3388.82682827769</v>
      </c>
      <c r="G1179" s="131" cm="1">
        <f ca="1" t="array" ref="G1179">IF(G1781=1,OFFSET($W$634,$B1179,G$631-1)/SUMPRODUCT(--($D$631:$V$631=G$631),--($D1781:$V1781=1)),0)+SUM(G1178)+IF(COUNTIF(G$1237:G1781,1)=1,5,0)+IF(COUNTIF(H1179:$W1179,"&gt;"&amp;0)&lt;5,IF(AND(COUNTIF(G$1237:G1781,1)&gt;7,MOD(1+IFERROR(MATCH($C1179,总览!$D$46:$D$345,1)+1,1),7)=0),$C$3,0),0)</f>
        <v>1756.06666666665</v>
      </c>
      <c r="H1179" s="131" cm="1">
        <f ca="1" t="array" ref="H1179">IF(H1781=1,OFFSET($W$634,$B1179,H$631-1)/SUMPRODUCT(--($D$631:$V$631=H$631),--($D1781:$V1781=1)),0)+SUM(H1178)+IF(COUNTIF(H$1237:H1781,1)=1,5,0)+IF(COUNTIF(I1179:$W1179,"&gt;"&amp;0)&lt;5,IF(AND(COUNTIF(H$1237:H1781,1)&gt;7,MOD(1+IFERROR(MATCH($C1179,总览!$D$46:$D$345,1)+1,1),7)=0),$C$3,0),0)</f>
        <v>1756.06666666665</v>
      </c>
      <c r="I1179" s="131" cm="1">
        <f ca="1" t="array" ref="I1179">IF(I1781=1,OFFSET($W$634,$B1179,I$631-1)/SUMPRODUCT(--($D$631:$V$631=I$631),--($D1781:$V1781=1)),0)+SUM(I1178)+IF(COUNTIF(I$1237:I1781,1)=1,5,0)+IF(COUNTIF(J1179:$W1179,"&gt;"&amp;0)&lt;5,IF(AND(COUNTIF(I$1237:I1781,1)&gt;7,MOD(1+IFERROR(MATCH($C1179,总览!$D$46:$D$345,1)+1,1),7)=0),$C$3,0),0)</f>
        <v>1756.06666666665</v>
      </c>
      <c r="J1179" s="131" cm="1">
        <f ca="1" t="array" ref="J1179">IF(J1781=1,OFFSET($W$634,$B1179,J$631-1)/SUMPRODUCT(--($D$631:$V$631=J$631),--($D1781:$V1781=1)),0)+SUM(J1178)+IF(COUNTIF(J$1237:J1781,1)=1,5,0)+IF(COUNTIF(K1179:$W1179,"&gt;"&amp;0)&lt;5,IF(AND(COUNTIF(J$1237:J1781,1)&gt;7,MOD(1+IFERROR(MATCH($C1179,总览!$D$46:$D$345,1)+1,1),7)=0),$C$3,0),0)</f>
        <v>1752.73333333332</v>
      </c>
      <c r="K1179" s="131" cm="1">
        <f ca="1" t="array" ref="K1179">IF(K1781=1,OFFSET($W$634,$B1179,K$631-1)/SUMPRODUCT(--($D$631:$V$631=K$631),--($D1781:$V1781=1)),0)+SUM(K1178)+IF(COUNTIF(K$1237:K1781,1)=1,5,0)+IF(COUNTIF(L1179:$W1179,"&gt;"&amp;0)&lt;5,IF(AND(COUNTIF(K$1237:K1781,1)&gt;7,MOD(1+IFERROR(MATCH($C1179,总览!$D$46:$D$345,1)+1,1),7)=0),$C$3,0),0)</f>
        <v>1750.23333333332</v>
      </c>
      <c r="L1179" s="131" cm="1">
        <f ca="1" t="array" ref="L1179">IF(L1781=1,OFFSET($W$634,$B1179,L$631-1)/SUMPRODUCT(--($D$631:$V$631=L$631),--($D1781:$V1781=1)),0)+SUM(L1178)+IF(COUNTIF(L$1237:L1781,1)=1,5,0)+IF(COUNTIF(M1179:$W1179,"&gt;"&amp;0)&lt;5,IF(AND(COUNTIF(L$1237:L1781,1)&gt;7,MOD(1+IFERROR(MATCH($C1179,总览!$D$46:$D$345,1)+1,1),7)=0),$C$3,0),0)</f>
        <v>1750.23333333332</v>
      </c>
      <c r="M1179" s="131" cm="1">
        <f ca="1" t="array" ref="M1179">IF(M1781=1,OFFSET($W$634,$B1179,M$631-1)/SUMPRODUCT(--($D$631:$V$631=M$631),--($D1781:$V1781=1)),0)+SUM(M1178)+IF(COUNTIF(M$1237:M1781,1)=1,5,0)+IF(COUNTIF(N1179:$W1179,"&gt;"&amp;0)&lt;5,IF(AND(COUNTIF(M$1237:M1781,1)&gt;7,MOD(1+IFERROR(MATCH($C1179,总览!$D$46:$D$345,1)+1,1),7)=0),$C$3,0),0)</f>
        <v>736.324107142861</v>
      </c>
      <c r="N1179" s="131" cm="1">
        <f ca="1" t="array" ref="N1179">IF(N1781=1,OFFSET($W$634,$B1179,N$631-1)/SUMPRODUCT(--($D$631:$V$631=N$631),--($D1781:$V1781=1)),0)+SUM(N1178)+IF(COUNTIF(N$1237:N1781,1)=1,5,0)+IF(COUNTIF(O1179:$W1179,"&gt;"&amp;0)&lt;5,IF(AND(COUNTIF(N$1237:N1781,1)&gt;7,MOD(1+IFERROR(MATCH($C1179,总览!$D$46:$D$345,1)+1,1),7)=0),$C$3,0),0)</f>
        <v>737.574107142861</v>
      </c>
      <c r="O1179" s="131" cm="1">
        <f ca="1" t="array" ref="O1179">IF(O1781=1,OFFSET($W$634,$B1179,O$631-1)/SUMPRODUCT(--($D$631:$V$631=O$631),--($D1781:$V1781=1)),0)+SUM(O1178)+IF(COUNTIF(O$1237:O1781,1)=1,5,0)+IF(COUNTIF(P1179:$W1179,"&gt;"&amp;0)&lt;5,IF(AND(COUNTIF(O$1237:O1781,1)&gt;7,MOD(1+IFERROR(MATCH($C1179,总览!$D$46:$D$345,1)+1,1),7)=0),$C$3,0),0)</f>
        <v>742.574107142861</v>
      </c>
      <c r="P1179" s="131" cm="1">
        <f ca="1" t="array" ref="P1179">IF(P1781=1,OFFSET($W$634,$B1179,P$631-1)/SUMPRODUCT(--($D$631:$V$631=P$631),--($D1781:$V1781=1)),0)+SUM(P1178)+IF(COUNTIF(P$1237:P1781,1)=1,5,0)+IF(COUNTIF(Q1179:$W1179,"&gt;"&amp;0)&lt;5,IF(AND(COUNTIF(P$1237:P1781,1)&gt;7,MOD(1+IFERROR(MATCH($C1179,总览!$D$46:$D$345,1)+1,1),7)=0),$C$3,0),0)</f>
        <v>731.692857142861</v>
      </c>
      <c r="Q1179" s="131" cm="1">
        <f ca="1" t="array" ref="Q1179">IF(Q1781=1,OFFSET($W$634,$B1179,Q$631-1)/SUMPRODUCT(--($D$631:$V$631=Q$631),--($D1781:$V1781=1)),0)+SUM(Q1178)+IF(COUNTIF(Q$1237:Q1781,1)=1,5,0)+IF(COUNTIF(R1179:$W1179,"&gt;"&amp;0)&lt;5,IF(AND(COUNTIF(Q$1237:Q1781,1)&gt;7,MOD(1+IFERROR(MATCH($C1179,总览!$D$46:$D$345,1)+1,1),7)=0),$C$3,0),0)</f>
        <v>745.074107142861</v>
      </c>
      <c r="R1179" s="131" cm="1">
        <f ca="1" t="array" ref="R1179">IF(R1781=1,OFFSET($W$634,$B1179,R$631-1)/SUMPRODUCT(--($D$631:$V$631=R$631),--($D1781:$V1781=1)),0)+SUM(R1178)+IF(COUNTIF(R$1237:R1781,1)=1,5,0)+IF(COUNTIF(S1179:$W1179,"&gt;"&amp;0)&lt;5,IF(AND(COUNTIF(R$1237:R1781,1)&gt;7,MOD(1+IFERROR(MATCH($C1179,总览!$D$46:$D$345,1)+1,1),7)=0),$C$3,0),0)</f>
        <v>736.692857142861</v>
      </c>
      <c r="S1179" s="131" cm="1">
        <f ca="1" t="array" ref="S1179">IF(S1781=1,OFFSET($W$634,$B1179,S$631-1)/SUMPRODUCT(--($D$631:$V$631=S$631),--($D1781:$V1781=1)),0)+SUM(S1178)+IF(COUNTIF(S$1237:S1781,1)=1,5,0)+IF(COUNTIF(T1179:$W1179,"&gt;"&amp;0)&lt;5,IF(AND(COUNTIF(S$1237:S1781,1)&gt;7,MOD(1+IFERROR(MATCH($C1179,总览!$D$46:$D$345,1)+1,1),7)=0),$C$3,0),0)</f>
        <v>829.192857142863</v>
      </c>
      <c r="T1179" s="131" cm="1">
        <f ca="1" t="array" ref="T1179">IF(T1781=1,OFFSET($W$634,$B1179,T$631-1)/SUMPRODUCT(--($D$631:$V$631=T$631),--($D1781:$V1781=1)),0)+SUM(T1178)+IF(COUNTIF(T$1237:T1781,1)=1,5,0)+IF(COUNTIF(U1179:$W1179,"&gt;"&amp;0)&lt;5,IF(AND(COUNTIF(T$1237:T1781,1)&gt;7,MOD(1+IFERROR(MATCH($C1179,总览!$D$46:$D$345,1)+1,1),7)=0),$C$3,0),0)</f>
        <v>607.375314248002</v>
      </c>
      <c r="U1179" s="131" cm="1">
        <f ca="1" t="array" ref="U1179">IF(U1781=1,OFFSET($W$634,$B1179,U$631-1)/SUMPRODUCT(--($D$631:$V$631=U$631),--($D1781:$V1781=1)),0)+SUM(U1178)+IF(COUNTIF(U$1237:U1781,1)=1,5,0)+IF(COUNTIF(V1179:$W1179,"&gt;"&amp;0)&lt;5,IF(AND(COUNTIF(U$1237:U1781,1)&gt;7,MOD(1+IFERROR(MATCH($C1179,总览!$D$46:$D$345,1)+1,1),7)=0),$C$3,0),0)</f>
        <v>612.896100603301</v>
      </c>
      <c r="V1179" s="131" cm="1">
        <f ca="1" t="array" ref="V1179">IF(V1781=1,OFFSET($W$634,$B1179,V$631-1)/SUMPRODUCT(--($D$631:$V$631=V$631),--($D1781:$V1781=1)),0)+SUM(V1178)+IF(COUNTIF(V$1237:V1781,1)=1,5,0)+IF(COUNTIF(W1179:$W1179,"&gt;"&amp;0)&lt;5,IF(AND(COUNTIF(V$1237:V1781,1)&gt;7,MOD(1+IFERROR(MATCH($C1179,总览!$D$46:$D$345,1)+1,1),7)=0),$C$3,0),0)</f>
        <v>632.723100315734</v>
      </c>
      <c r="W1179" s="135" cm="1">
        <f ca="1" t="array" ref="W1179">SUMPRODUCT(TRANSPOSE($AA1179:$AG1179),OFFSET($L$9:$L$15,0,W$631-1))</f>
        <v>16.8502200646615</v>
      </c>
      <c r="X1179" s="135" cm="1">
        <f ca="1" t="array" ref="X1179">SUMPRODUCT(TRANSPOSE($AA1179:$AG1179),OFFSET($L$9:$L$15,0,X$631-1))</f>
        <v>20</v>
      </c>
      <c r="Y1179" s="135" cm="1">
        <f ca="1" t="array" ref="Y1179">SUMPRODUCT(TRANSPOSE($AA1179:$AG1179),OFFSET($L$9:$L$15,0,Y$631-1))</f>
        <v>10</v>
      </c>
      <c r="Z1179" s="135" cm="1">
        <f ca="1" t="array" ref="Z1179">SUMPRODUCT(TRANSPOSE($AA1179:$AG1179),OFFSET($L$9:$L$15,0,Z$631-1))</f>
        <v>3.14977993533847</v>
      </c>
      <c r="AA1179" s="136">
        <f ca="1" t="shared" ref="AA1179:AG1179" si="1345">AH1179-AH1178</f>
        <v>0</v>
      </c>
      <c r="AB1179" s="136">
        <f ca="1" t="shared" si="1345"/>
        <v>0</v>
      </c>
      <c r="AC1179" s="136">
        <f ca="1" t="shared" si="1345"/>
        <v>0</v>
      </c>
      <c r="AD1179" s="136">
        <f ca="1" t="shared" si="1345"/>
        <v>0</v>
      </c>
      <c r="AE1179" s="136">
        <f ca="1" t="shared" si="1345"/>
        <v>0</v>
      </c>
      <c r="AF1179" s="136">
        <f ca="1" t="shared" si="1345"/>
        <v>0</v>
      </c>
      <c r="AG1179" s="136">
        <f ca="1" t="shared" si="1345"/>
        <v>100</v>
      </c>
      <c r="AH1179" s="136">
        <f ca="1" t="shared" si="1281"/>
        <v>450</v>
      </c>
      <c r="AI1179" s="136">
        <f ca="1" t="shared" ref="AI1179:AN1179" si="1346">IF($C1179&gt;OFFSET($Q$8,MATCH(AI$634,$AH$634:$AN$634,0),0),OFFSET($P$8,MATCH(AI$634,$AH$634:$AN$634,0),0),MAX(0,$C1179-OFFSET($Q$8,RIGHT(AI$634,1)-1,0)))</f>
        <v>909</v>
      </c>
      <c r="AJ1179" s="136">
        <f ca="1" t="shared" si="1346"/>
        <v>1818</v>
      </c>
      <c r="AK1179" s="136">
        <f ca="1" t="shared" si="1346"/>
        <v>2727</v>
      </c>
      <c r="AL1179" s="136">
        <f ca="1" t="shared" si="1346"/>
        <v>3636</v>
      </c>
      <c r="AM1179" s="136">
        <f ca="1" t="shared" si="1346"/>
        <v>4545</v>
      </c>
      <c r="AN1179" s="136">
        <f ca="1" t="shared" si="1346"/>
        <v>40415</v>
      </c>
    </row>
    <row r="1180" s="106" customFormat="1" ht="16.5" spans="2:40">
      <c r="B1180" s="117">
        <v>546</v>
      </c>
      <c r="C1180" s="130">
        <f t="shared" si="1279"/>
        <v>54600</v>
      </c>
      <c r="D1180" s="131" cm="1">
        <f ca="1" t="array" ref="D1180">IF(D1782=1,OFFSET($W$634,$B1180,D$631-1)/SUMPRODUCT(--($D$631:$V$631=D$631),--($D1782:$V1782=1)),0)+SUM(D1179)+IF(COUNTIF(D$1237:D1782,1)=1,5,0)+IF(COUNTIF(E1180:$W1180,"&gt;"&amp;0)&lt;5,IF(AND(COUNTIF(D$1237:D1782,1)&gt;7,MOD(1+IFERROR(MATCH($C1180,总览!$D$46:$D$345,1)+1,1),7)=0),$C$3,0),0)</f>
        <v>3394.44356829925</v>
      </c>
      <c r="E1180" s="131" cm="1">
        <f ca="1" t="array" ref="E1180">IF(E1782=1,OFFSET($W$634,$B1180,E$631-1)/SUMPRODUCT(--($D$631:$V$631=E$631),--($D1782:$V1782=1)),0)+SUM(E1179)+IF(COUNTIF(E$1237:E1782,1)=1,5,0)+IF(COUNTIF(F1180:$W1180,"&gt;"&amp;0)&lt;5,IF(AND(COUNTIF(E$1237:E1782,1)&gt;7,MOD(1+IFERROR(MATCH($C1180,总览!$D$46:$D$345,1)+1,1),7)=0),$C$3,0),0)</f>
        <v>3394.44356829925</v>
      </c>
      <c r="F1180" s="131" cm="1">
        <f ca="1" t="array" ref="F1180">IF(F1782=1,OFFSET($W$634,$B1180,F$631-1)/SUMPRODUCT(--($D$631:$V$631=F$631),--($D1782:$V1782=1)),0)+SUM(F1179)+IF(COUNTIF(F$1237:F1782,1)=1,5,0)+IF(COUNTIF(G1180:$W1180,"&gt;"&amp;0)&lt;5,IF(AND(COUNTIF(F$1237:F1782,1)&gt;7,MOD(1+IFERROR(MATCH($C1180,总览!$D$46:$D$345,1)+1,1),7)=0),$C$3,0),0)</f>
        <v>3394.44356829925</v>
      </c>
      <c r="G1180" s="131" cm="1">
        <f ca="1" t="array" ref="G1180">IF(G1782=1,OFFSET($W$634,$B1180,G$631-1)/SUMPRODUCT(--($D$631:$V$631=G$631),--($D1782:$V1782=1)),0)+SUM(G1179)+IF(COUNTIF(G$1237:G1782,1)=1,5,0)+IF(COUNTIF(H1180:$W1180,"&gt;"&amp;0)&lt;5,IF(AND(COUNTIF(G$1237:G1782,1)&gt;7,MOD(1+IFERROR(MATCH($C1180,总览!$D$46:$D$345,1)+1,1),7)=0),$C$3,0),0)</f>
        <v>1759.39999999999</v>
      </c>
      <c r="H1180" s="131" cm="1">
        <f ca="1" t="array" ref="H1180">IF(H1782=1,OFFSET($W$634,$B1180,H$631-1)/SUMPRODUCT(--($D$631:$V$631=H$631),--($D1782:$V1782=1)),0)+SUM(H1179)+IF(COUNTIF(H$1237:H1782,1)=1,5,0)+IF(COUNTIF(I1180:$W1180,"&gt;"&amp;0)&lt;5,IF(AND(COUNTIF(H$1237:H1782,1)&gt;7,MOD(1+IFERROR(MATCH($C1180,总览!$D$46:$D$345,1)+1,1),7)=0),$C$3,0),0)</f>
        <v>1759.39999999999</v>
      </c>
      <c r="I1180" s="131" cm="1">
        <f ca="1" t="array" ref="I1180">IF(I1782=1,OFFSET($W$634,$B1180,I$631-1)/SUMPRODUCT(--($D$631:$V$631=I$631),--($D1782:$V1782=1)),0)+SUM(I1179)+IF(COUNTIF(I$1237:I1782,1)=1,5,0)+IF(COUNTIF(J1180:$W1180,"&gt;"&amp;0)&lt;5,IF(AND(COUNTIF(I$1237:I1782,1)&gt;7,MOD(1+IFERROR(MATCH($C1180,总览!$D$46:$D$345,1)+1,1),7)=0),$C$3,0),0)</f>
        <v>1759.39999999999</v>
      </c>
      <c r="J1180" s="131" cm="1">
        <f ca="1" t="array" ref="J1180">IF(J1782=1,OFFSET($W$634,$B1180,J$631-1)/SUMPRODUCT(--($D$631:$V$631=J$631),--($D1782:$V1782=1)),0)+SUM(J1179)+IF(COUNTIF(J$1237:J1782,1)=1,5,0)+IF(COUNTIF(K1180:$W1180,"&gt;"&amp;0)&lt;5,IF(AND(COUNTIF(J$1237:J1782,1)&gt;7,MOD(1+IFERROR(MATCH($C1180,总览!$D$46:$D$345,1)+1,1),7)=0),$C$3,0),0)</f>
        <v>1756.06666666665</v>
      </c>
      <c r="K1180" s="131" cm="1">
        <f ca="1" t="array" ref="K1180">IF(K1782=1,OFFSET($W$634,$B1180,K$631-1)/SUMPRODUCT(--($D$631:$V$631=K$631),--($D1782:$V1782=1)),0)+SUM(K1179)+IF(COUNTIF(K$1237:K1782,1)=1,5,0)+IF(COUNTIF(L1180:$W1180,"&gt;"&amp;0)&lt;5,IF(AND(COUNTIF(K$1237:K1782,1)&gt;7,MOD(1+IFERROR(MATCH($C1180,总览!$D$46:$D$345,1)+1,1),7)=0),$C$3,0),0)</f>
        <v>1753.56666666665</v>
      </c>
      <c r="L1180" s="131" cm="1">
        <f ca="1" t="array" ref="L1180">IF(L1782=1,OFFSET($W$634,$B1180,L$631-1)/SUMPRODUCT(--($D$631:$V$631=L$631),--($D1782:$V1782=1)),0)+SUM(L1179)+IF(COUNTIF(L$1237:L1782,1)=1,5,0)+IF(COUNTIF(M1180:$W1180,"&gt;"&amp;0)&lt;5,IF(AND(COUNTIF(L$1237:L1782,1)&gt;7,MOD(1+IFERROR(MATCH($C1180,总览!$D$46:$D$345,1)+1,1),7)=0),$C$3,0),0)</f>
        <v>1753.56666666665</v>
      </c>
      <c r="M1180" s="131" cm="1">
        <f ca="1" t="array" ref="M1180">IF(M1782=1,OFFSET($W$634,$B1180,M$631-1)/SUMPRODUCT(--($D$631:$V$631=M$631),--($D1782:$V1782=1)),0)+SUM(M1179)+IF(COUNTIF(M$1237:M1782,1)=1,5,0)+IF(COUNTIF(N1180:$W1180,"&gt;"&amp;0)&lt;5,IF(AND(COUNTIF(M$1237:M1782,1)&gt;7,MOD(1+IFERROR(MATCH($C1180,总览!$D$46:$D$345,1)+1,1),7)=0),$C$3,0),0)</f>
        <v>737.752678571433</v>
      </c>
      <c r="N1180" s="131" cm="1">
        <f ca="1" t="array" ref="N1180">IF(N1782=1,OFFSET($W$634,$B1180,N$631-1)/SUMPRODUCT(--($D$631:$V$631=N$631),--($D1782:$V1782=1)),0)+SUM(N1179)+IF(COUNTIF(N$1237:N1782,1)=1,5,0)+IF(COUNTIF(O1180:$W1180,"&gt;"&amp;0)&lt;5,IF(AND(COUNTIF(N$1237:N1782,1)&gt;7,MOD(1+IFERROR(MATCH($C1180,总览!$D$46:$D$345,1)+1,1),7)=0),$C$3,0),0)</f>
        <v>739.002678571433</v>
      </c>
      <c r="O1180" s="131" cm="1">
        <f ca="1" t="array" ref="O1180">IF(O1782=1,OFFSET($W$634,$B1180,O$631-1)/SUMPRODUCT(--($D$631:$V$631=O$631),--($D1782:$V1782=1)),0)+SUM(O1179)+IF(COUNTIF(O$1237:O1782,1)=1,5,0)+IF(COUNTIF(P1180:$W1180,"&gt;"&amp;0)&lt;5,IF(AND(COUNTIF(O$1237:O1782,1)&gt;7,MOD(1+IFERROR(MATCH($C1180,总览!$D$46:$D$345,1)+1,1),7)=0),$C$3,0),0)</f>
        <v>744.002678571433</v>
      </c>
      <c r="P1180" s="131" cm="1">
        <f ca="1" t="array" ref="P1180">IF(P1782=1,OFFSET($W$634,$B1180,P$631-1)/SUMPRODUCT(--($D$631:$V$631=P$631),--($D1782:$V1782=1)),0)+SUM(P1179)+IF(COUNTIF(P$1237:P1782,1)=1,5,0)+IF(COUNTIF(Q1180:$W1180,"&gt;"&amp;0)&lt;5,IF(AND(COUNTIF(P$1237:P1782,1)&gt;7,MOD(1+IFERROR(MATCH($C1180,总览!$D$46:$D$345,1)+1,1),7)=0),$C$3,0),0)</f>
        <v>733.121428571433</v>
      </c>
      <c r="Q1180" s="131" cm="1">
        <f ca="1" t="array" ref="Q1180">IF(Q1782=1,OFFSET($W$634,$B1180,Q$631-1)/SUMPRODUCT(--($D$631:$V$631=Q$631),--($D1782:$V1782=1)),0)+SUM(Q1179)+IF(COUNTIF(Q$1237:Q1782,1)=1,5,0)+IF(COUNTIF(R1180:$W1180,"&gt;"&amp;0)&lt;5,IF(AND(COUNTIF(Q$1237:Q1782,1)&gt;7,MOD(1+IFERROR(MATCH($C1180,总览!$D$46:$D$345,1)+1,1),7)=0),$C$3,0),0)</f>
        <v>746.502678571433</v>
      </c>
      <c r="R1180" s="131" cm="1">
        <f ca="1" t="array" ref="R1180">IF(R1782=1,OFFSET($W$634,$B1180,R$631-1)/SUMPRODUCT(--($D$631:$V$631=R$631),--($D1782:$V1782=1)),0)+SUM(R1179)+IF(COUNTIF(R$1237:R1782,1)=1,5,0)+IF(COUNTIF(S1180:$W1180,"&gt;"&amp;0)&lt;5,IF(AND(COUNTIF(R$1237:R1782,1)&gt;7,MOD(1+IFERROR(MATCH($C1180,总览!$D$46:$D$345,1)+1,1),7)=0),$C$3,0),0)</f>
        <v>738.121428571433</v>
      </c>
      <c r="S1180" s="131" cm="1">
        <f ca="1" t="array" ref="S1180">IF(S1782=1,OFFSET($W$634,$B1180,S$631-1)/SUMPRODUCT(--($D$631:$V$631=S$631),--($D1782:$V1782=1)),0)+SUM(S1179)+IF(COUNTIF(S$1237:S1782,1)=1,5,0)+IF(COUNTIF(T1180:$W1180,"&gt;"&amp;0)&lt;5,IF(AND(COUNTIF(S$1237:S1782,1)&gt;7,MOD(1+IFERROR(MATCH($C1180,总览!$D$46:$D$345,1)+1,1),7)=0),$C$3,0),0)</f>
        <v>830.621428571434</v>
      </c>
      <c r="T1180" s="131" cm="1">
        <f ca="1" t="array" ref="T1180">IF(T1782=1,OFFSET($W$634,$B1180,T$631-1)/SUMPRODUCT(--($D$631:$V$631=T$631),--($D1782:$V1782=1)),0)+SUM(T1179)+IF(COUNTIF(T$1237:T1782,1)=1,5,0)+IF(COUNTIF(U1180:$W1180,"&gt;"&amp;0)&lt;5,IF(AND(COUNTIF(T$1237:T1782,1)&gt;7,MOD(1+IFERROR(MATCH($C1180,总览!$D$46:$D$345,1)+1,1),7)=0),$C$3,0),0)</f>
        <v>608.425240893115</v>
      </c>
      <c r="U1180" s="131" cm="1">
        <f ca="1" t="array" ref="U1180">IF(U1782=1,OFFSET($W$634,$B1180,U$631-1)/SUMPRODUCT(--($D$631:$V$631=U$631),--($D1782:$V1782=1)),0)+SUM(U1179)+IF(COUNTIF(U$1237:U1782,1)=1,5,0)+IF(COUNTIF(V1180:$W1180,"&gt;"&amp;0)&lt;5,IF(AND(COUNTIF(U$1237:U1782,1)&gt;7,MOD(1+IFERROR(MATCH($C1180,总览!$D$46:$D$345,1)+1,1),7)=0),$C$3,0),0)</f>
        <v>613.946027248414</v>
      </c>
      <c r="V1180" s="131" cm="1">
        <f ca="1" t="array" ref="V1180">IF(V1782=1,OFFSET($W$634,$B1180,V$631-1)/SUMPRODUCT(--($D$631:$V$631=V$631),--($D1782:$V1782=1)),0)+SUM(V1179)+IF(COUNTIF(V$1237:V1782,1)=1,5,0)+IF(COUNTIF(W1180:$W1180,"&gt;"&amp;0)&lt;5,IF(AND(COUNTIF(V$1237:V1782,1)&gt;7,MOD(1+IFERROR(MATCH($C1180,总览!$D$46:$D$345,1)+1,1),7)=0),$C$3,0),0)</f>
        <v>633.773026960847</v>
      </c>
      <c r="W1180" s="135" cm="1">
        <f ca="1" t="array" ref="W1180">SUMPRODUCT(TRANSPOSE($AA1180:$AG1180),OFFSET($L$9:$L$15,0,W$631-1))</f>
        <v>16.8502200646615</v>
      </c>
      <c r="X1180" s="135" cm="1">
        <f ca="1" t="array" ref="X1180">SUMPRODUCT(TRANSPOSE($AA1180:$AG1180),OFFSET($L$9:$L$15,0,X$631-1))</f>
        <v>20</v>
      </c>
      <c r="Y1180" s="135" cm="1">
        <f ca="1" t="array" ref="Y1180">SUMPRODUCT(TRANSPOSE($AA1180:$AG1180),OFFSET($L$9:$L$15,0,Y$631-1))</f>
        <v>10</v>
      </c>
      <c r="Z1180" s="135" cm="1">
        <f ca="1" t="array" ref="Z1180">SUMPRODUCT(TRANSPOSE($AA1180:$AG1180),OFFSET($L$9:$L$15,0,Z$631-1))</f>
        <v>3.14977993533847</v>
      </c>
      <c r="AA1180" s="136">
        <f ca="1" t="shared" ref="AA1180:AG1180" si="1347">AH1180-AH1179</f>
        <v>0</v>
      </c>
      <c r="AB1180" s="136">
        <f ca="1" t="shared" si="1347"/>
        <v>0</v>
      </c>
      <c r="AC1180" s="136">
        <f ca="1" t="shared" si="1347"/>
        <v>0</v>
      </c>
      <c r="AD1180" s="136">
        <f ca="1" t="shared" si="1347"/>
        <v>0</v>
      </c>
      <c r="AE1180" s="136">
        <f ca="1" t="shared" si="1347"/>
        <v>0</v>
      </c>
      <c r="AF1180" s="136">
        <f ca="1" t="shared" si="1347"/>
        <v>0</v>
      </c>
      <c r="AG1180" s="136">
        <f ca="1" t="shared" si="1347"/>
        <v>100</v>
      </c>
      <c r="AH1180" s="136">
        <f ca="1" t="shared" si="1281"/>
        <v>450</v>
      </c>
      <c r="AI1180" s="136">
        <f ca="1" t="shared" ref="AI1180:AN1180" si="1348">IF($C1180&gt;OFFSET($Q$8,MATCH(AI$634,$AH$634:$AN$634,0),0),OFFSET($P$8,MATCH(AI$634,$AH$634:$AN$634,0),0),MAX(0,$C1180-OFFSET($Q$8,RIGHT(AI$634,1)-1,0)))</f>
        <v>909</v>
      </c>
      <c r="AJ1180" s="136">
        <f ca="1" t="shared" si="1348"/>
        <v>1818</v>
      </c>
      <c r="AK1180" s="136">
        <f ca="1" t="shared" si="1348"/>
        <v>2727</v>
      </c>
      <c r="AL1180" s="136">
        <f ca="1" t="shared" si="1348"/>
        <v>3636</v>
      </c>
      <c r="AM1180" s="136">
        <f ca="1" t="shared" si="1348"/>
        <v>4545</v>
      </c>
      <c r="AN1180" s="136">
        <f ca="1" t="shared" si="1348"/>
        <v>40515</v>
      </c>
    </row>
    <row r="1181" s="106" customFormat="1" ht="16.5" spans="2:40">
      <c r="B1181" s="117">
        <v>547</v>
      </c>
      <c r="C1181" s="130">
        <f t="shared" si="1279"/>
        <v>54700</v>
      </c>
      <c r="D1181" s="131" cm="1">
        <f ca="1" t="array" ref="D1181">IF(D1783=1,OFFSET($W$634,$B1181,D$631-1)/SUMPRODUCT(--($D$631:$V$631=D$631),--($D1783:$V1783=1)),0)+SUM(D1180)+IF(COUNTIF(D$1237:D1783,1)=1,5,0)+IF(COUNTIF(E1181:$W1181,"&gt;"&amp;0)&lt;5,IF(AND(COUNTIF(D$1237:D1783,1)&gt;7,MOD(1+IFERROR(MATCH($C1181,总览!$D$46:$D$345,1)+1,1),7)=0),$C$3,0),0)</f>
        <v>3400.0603083208</v>
      </c>
      <c r="E1181" s="131" cm="1">
        <f ca="1" t="array" ref="E1181">IF(E1783=1,OFFSET($W$634,$B1181,E$631-1)/SUMPRODUCT(--($D$631:$V$631=E$631),--($D1783:$V1783=1)),0)+SUM(E1180)+IF(COUNTIF(E$1237:E1783,1)=1,5,0)+IF(COUNTIF(F1181:$W1181,"&gt;"&amp;0)&lt;5,IF(AND(COUNTIF(E$1237:E1783,1)&gt;7,MOD(1+IFERROR(MATCH($C1181,总览!$D$46:$D$345,1)+1,1),7)=0),$C$3,0),0)</f>
        <v>3400.0603083208</v>
      </c>
      <c r="F1181" s="131" cm="1">
        <f ca="1" t="array" ref="F1181">IF(F1783=1,OFFSET($W$634,$B1181,F$631-1)/SUMPRODUCT(--($D$631:$V$631=F$631),--($D1783:$V1783=1)),0)+SUM(F1180)+IF(COUNTIF(F$1237:F1783,1)=1,5,0)+IF(COUNTIF(G1181:$W1181,"&gt;"&amp;0)&lt;5,IF(AND(COUNTIF(F$1237:F1783,1)&gt;7,MOD(1+IFERROR(MATCH($C1181,总览!$D$46:$D$345,1)+1,1),7)=0),$C$3,0),0)</f>
        <v>3400.0603083208</v>
      </c>
      <c r="G1181" s="131" cm="1">
        <f ca="1" t="array" ref="G1181">IF(G1783=1,OFFSET($W$634,$B1181,G$631-1)/SUMPRODUCT(--($D$631:$V$631=G$631),--($D1783:$V1783=1)),0)+SUM(G1180)+IF(COUNTIF(G$1237:G1783,1)=1,5,0)+IF(COUNTIF(H1181:$W1181,"&gt;"&amp;0)&lt;5,IF(AND(COUNTIF(G$1237:G1783,1)&gt;7,MOD(1+IFERROR(MATCH($C1181,总览!$D$46:$D$345,1)+1,1),7)=0),$C$3,0),0)</f>
        <v>1762.73333333332</v>
      </c>
      <c r="H1181" s="131" cm="1">
        <f ca="1" t="array" ref="H1181">IF(H1783=1,OFFSET($W$634,$B1181,H$631-1)/SUMPRODUCT(--($D$631:$V$631=H$631),--($D1783:$V1783=1)),0)+SUM(H1180)+IF(COUNTIF(H$1237:H1783,1)=1,5,0)+IF(COUNTIF(I1181:$W1181,"&gt;"&amp;0)&lt;5,IF(AND(COUNTIF(H$1237:H1783,1)&gt;7,MOD(1+IFERROR(MATCH($C1181,总览!$D$46:$D$345,1)+1,1),7)=0),$C$3,0),0)</f>
        <v>1762.73333333332</v>
      </c>
      <c r="I1181" s="131" cm="1">
        <f ca="1" t="array" ref="I1181">IF(I1783=1,OFFSET($W$634,$B1181,I$631-1)/SUMPRODUCT(--($D$631:$V$631=I$631),--($D1783:$V1783=1)),0)+SUM(I1180)+IF(COUNTIF(I$1237:I1783,1)=1,5,0)+IF(COUNTIF(J1181:$W1181,"&gt;"&amp;0)&lt;5,IF(AND(COUNTIF(I$1237:I1783,1)&gt;7,MOD(1+IFERROR(MATCH($C1181,总览!$D$46:$D$345,1)+1,1),7)=0),$C$3,0),0)</f>
        <v>1762.73333333332</v>
      </c>
      <c r="J1181" s="131" cm="1">
        <f ca="1" t="array" ref="J1181">IF(J1783=1,OFFSET($W$634,$B1181,J$631-1)/SUMPRODUCT(--($D$631:$V$631=J$631),--($D1783:$V1783=1)),0)+SUM(J1180)+IF(COUNTIF(J$1237:J1783,1)=1,5,0)+IF(COUNTIF(K1181:$W1181,"&gt;"&amp;0)&lt;5,IF(AND(COUNTIF(J$1237:J1783,1)&gt;7,MOD(1+IFERROR(MATCH($C1181,总览!$D$46:$D$345,1)+1,1),7)=0),$C$3,0),0)</f>
        <v>1759.39999999999</v>
      </c>
      <c r="K1181" s="131" cm="1">
        <f ca="1" t="array" ref="K1181">IF(K1783=1,OFFSET($W$634,$B1181,K$631-1)/SUMPRODUCT(--($D$631:$V$631=K$631),--($D1783:$V1783=1)),0)+SUM(K1180)+IF(COUNTIF(K$1237:K1783,1)=1,5,0)+IF(COUNTIF(L1181:$W1181,"&gt;"&amp;0)&lt;5,IF(AND(COUNTIF(K$1237:K1783,1)&gt;7,MOD(1+IFERROR(MATCH($C1181,总览!$D$46:$D$345,1)+1,1),7)=0),$C$3,0),0)</f>
        <v>1756.89999999999</v>
      </c>
      <c r="L1181" s="131" cm="1">
        <f ca="1" t="array" ref="L1181">IF(L1783=1,OFFSET($W$634,$B1181,L$631-1)/SUMPRODUCT(--($D$631:$V$631=L$631),--($D1783:$V1783=1)),0)+SUM(L1180)+IF(COUNTIF(L$1237:L1783,1)=1,5,0)+IF(COUNTIF(M1181:$W1181,"&gt;"&amp;0)&lt;5,IF(AND(COUNTIF(L$1237:L1783,1)&gt;7,MOD(1+IFERROR(MATCH($C1181,总览!$D$46:$D$345,1)+1,1),7)=0),$C$3,0),0)</f>
        <v>1756.89999999999</v>
      </c>
      <c r="M1181" s="131" cm="1">
        <f ca="1" t="array" ref="M1181">IF(M1783=1,OFFSET($W$634,$B1181,M$631-1)/SUMPRODUCT(--($D$631:$V$631=M$631),--($D1783:$V1783=1)),0)+SUM(M1180)+IF(COUNTIF(M$1237:M1783,1)=1,5,0)+IF(COUNTIF(N1181:$W1181,"&gt;"&amp;0)&lt;5,IF(AND(COUNTIF(M$1237:M1783,1)&gt;7,MOD(1+IFERROR(MATCH($C1181,总览!$D$46:$D$345,1)+1,1),7)=0),$C$3,0),0)</f>
        <v>739.181250000004</v>
      </c>
      <c r="N1181" s="131" cm="1">
        <f ca="1" t="array" ref="N1181">IF(N1783=1,OFFSET($W$634,$B1181,N$631-1)/SUMPRODUCT(--($D$631:$V$631=N$631),--($D1783:$V1783=1)),0)+SUM(N1180)+IF(COUNTIF(N$1237:N1783,1)=1,5,0)+IF(COUNTIF(O1181:$W1181,"&gt;"&amp;0)&lt;5,IF(AND(COUNTIF(N$1237:N1783,1)&gt;7,MOD(1+IFERROR(MATCH($C1181,总览!$D$46:$D$345,1)+1,1),7)=0),$C$3,0),0)</f>
        <v>740.431250000004</v>
      </c>
      <c r="O1181" s="131" cm="1">
        <f ca="1" t="array" ref="O1181">IF(O1783=1,OFFSET($W$634,$B1181,O$631-1)/SUMPRODUCT(--($D$631:$V$631=O$631),--($D1783:$V1783=1)),0)+SUM(O1180)+IF(COUNTIF(O$1237:O1783,1)=1,5,0)+IF(COUNTIF(P1181:$W1181,"&gt;"&amp;0)&lt;5,IF(AND(COUNTIF(O$1237:O1783,1)&gt;7,MOD(1+IFERROR(MATCH($C1181,总览!$D$46:$D$345,1)+1,1),7)=0),$C$3,0),0)</f>
        <v>745.431250000004</v>
      </c>
      <c r="P1181" s="131" cm="1">
        <f ca="1" t="array" ref="P1181">IF(P1783=1,OFFSET($W$634,$B1181,P$631-1)/SUMPRODUCT(--($D$631:$V$631=P$631),--($D1783:$V1783=1)),0)+SUM(P1180)+IF(COUNTIF(P$1237:P1783,1)=1,5,0)+IF(COUNTIF(Q1181:$W1181,"&gt;"&amp;0)&lt;5,IF(AND(COUNTIF(P$1237:P1783,1)&gt;7,MOD(1+IFERROR(MATCH($C1181,总览!$D$46:$D$345,1)+1,1),7)=0),$C$3,0),0)</f>
        <v>734.550000000004</v>
      </c>
      <c r="Q1181" s="131" cm="1">
        <f ca="1" t="array" ref="Q1181">IF(Q1783=1,OFFSET($W$634,$B1181,Q$631-1)/SUMPRODUCT(--($D$631:$V$631=Q$631),--($D1783:$V1783=1)),0)+SUM(Q1180)+IF(COUNTIF(Q$1237:Q1783,1)=1,5,0)+IF(COUNTIF(R1181:$W1181,"&gt;"&amp;0)&lt;5,IF(AND(COUNTIF(Q$1237:Q1783,1)&gt;7,MOD(1+IFERROR(MATCH($C1181,总览!$D$46:$D$345,1)+1,1),7)=0),$C$3,0),0)</f>
        <v>747.931250000004</v>
      </c>
      <c r="R1181" s="131" cm="1">
        <f ca="1" t="array" ref="R1181">IF(R1783=1,OFFSET($W$634,$B1181,R$631-1)/SUMPRODUCT(--($D$631:$V$631=R$631),--($D1783:$V1783=1)),0)+SUM(R1180)+IF(COUNTIF(R$1237:R1783,1)=1,5,0)+IF(COUNTIF(S1181:$W1181,"&gt;"&amp;0)&lt;5,IF(AND(COUNTIF(R$1237:R1783,1)&gt;7,MOD(1+IFERROR(MATCH($C1181,总览!$D$46:$D$345,1)+1,1),7)=0),$C$3,0),0)</f>
        <v>739.550000000004</v>
      </c>
      <c r="S1181" s="131" cm="1">
        <f ca="1" t="array" ref="S1181">IF(S1783=1,OFFSET($W$634,$B1181,S$631-1)/SUMPRODUCT(--($D$631:$V$631=S$631),--($D1783:$V1783=1)),0)+SUM(S1180)+IF(COUNTIF(S$1237:S1783,1)=1,5,0)+IF(COUNTIF(T1181:$W1181,"&gt;"&amp;0)&lt;5,IF(AND(COUNTIF(S$1237:S1783,1)&gt;7,MOD(1+IFERROR(MATCH($C1181,总览!$D$46:$D$345,1)+1,1),7)=0),$C$3,0),0)</f>
        <v>832.050000000005</v>
      </c>
      <c r="T1181" s="131" cm="1">
        <f ca="1" t="array" ref="T1181">IF(T1783=1,OFFSET($W$634,$B1181,T$631-1)/SUMPRODUCT(--($D$631:$V$631=T$631),--($D1783:$V1783=1)),0)+SUM(T1180)+IF(COUNTIF(T$1237:T1783,1)=1,5,0)+IF(COUNTIF(U1181:$W1181,"&gt;"&amp;0)&lt;5,IF(AND(COUNTIF(T$1237:T1783,1)&gt;7,MOD(1+IFERROR(MATCH($C1181,总览!$D$46:$D$345,1)+1,1),7)=0),$C$3,0),0)</f>
        <v>609.475167538227</v>
      </c>
      <c r="U1181" s="131" cm="1">
        <f ca="1" t="array" ref="U1181">IF(U1783=1,OFFSET($W$634,$B1181,U$631-1)/SUMPRODUCT(--($D$631:$V$631=U$631),--($D1783:$V1783=1)),0)+SUM(U1180)+IF(COUNTIF(U$1237:U1783,1)=1,5,0)+IF(COUNTIF(V1181:$W1181,"&gt;"&amp;0)&lt;5,IF(AND(COUNTIF(U$1237:U1783,1)&gt;7,MOD(1+IFERROR(MATCH($C1181,总览!$D$46:$D$345,1)+1,1),7)=0),$C$3,0),0)</f>
        <v>614.995953893527</v>
      </c>
      <c r="V1181" s="131" cm="1">
        <f ca="1" t="array" ref="V1181">IF(V1783=1,OFFSET($W$634,$B1181,V$631-1)/SUMPRODUCT(--($D$631:$V$631=V$631),--($D1783:$V1783=1)),0)+SUM(V1180)+IF(COUNTIF(V$1237:V1783,1)=1,5,0)+IF(COUNTIF(W1181:$W1181,"&gt;"&amp;0)&lt;5,IF(AND(COUNTIF(V$1237:V1783,1)&gt;7,MOD(1+IFERROR(MATCH($C1181,总览!$D$46:$D$345,1)+1,1),7)=0),$C$3,0),0)</f>
        <v>634.82295360596</v>
      </c>
      <c r="W1181" s="135" cm="1">
        <f ca="1" t="array" ref="W1181">SUMPRODUCT(TRANSPOSE($AA1181:$AG1181),OFFSET($L$9:$L$15,0,W$631-1))</f>
        <v>16.8502200646615</v>
      </c>
      <c r="X1181" s="135" cm="1">
        <f ca="1" t="array" ref="X1181">SUMPRODUCT(TRANSPOSE($AA1181:$AG1181),OFFSET($L$9:$L$15,0,X$631-1))</f>
        <v>20</v>
      </c>
      <c r="Y1181" s="135" cm="1">
        <f ca="1" t="array" ref="Y1181">SUMPRODUCT(TRANSPOSE($AA1181:$AG1181),OFFSET($L$9:$L$15,0,Y$631-1))</f>
        <v>10</v>
      </c>
      <c r="Z1181" s="135" cm="1">
        <f ca="1" t="array" ref="Z1181">SUMPRODUCT(TRANSPOSE($AA1181:$AG1181),OFFSET($L$9:$L$15,0,Z$631-1))</f>
        <v>3.14977993533847</v>
      </c>
      <c r="AA1181" s="136">
        <f ca="1" t="shared" ref="AA1181:AG1181" si="1349">AH1181-AH1180</f>
        <v>0</v>
      </c>
      <c r="AB1181" s="136">
        <f ca="1" t="shared" si="1349"/>
        <v>0</v>
      </c>
      <c r="AC1181" s="136">
        <f ca="1" t="shared" si="1349"/>
        <v>0</v>
      </c>
      <c r="AD1181" s="136">
        <f ca="1" t="shared" si="1349"/>
        <v>0</v>
      </c>
      <c r="AE1181" s="136">
        <f ca="1" t="shared" si="1349"/>
        <v>0</v>
      </c>
      <c r="AF1181" s="136">
        <f ca="1" t="shared" si="1349"/>
        <v>0</v>
      </c>
      <c r="AG1181" s="136">
        <f ca="1" t="shared" si="1349"/>
        <v>100</v>
      </c>
      <c r="AH1181" s="136">
        <f ca="1" t="shared" si="1281"/>
        <v>450</v>
      </c>
      <c r="AI1181" s="136">
        <f ca="1" t="shared" ref="AI1181:AN1181" si="1350">IF($C1181&gt;OFFSET($Q$8,MATCH(AI$634,$AH$634:$AN$634,0),0),OFFSET($P$8,MATCH(AI$634,$AH$634:$AN$634,0),0),MAX(0,$C1181-OFFSET($Q$8,RIGHT(AI$634,1)-1,0)))</f>
        <v>909</v>
      </c>
      <c r="AJ1181" s="136">
        <f ca="1" t="shared" si="1350"/>
        <v>1818</v>
      </c>
      <c r="AK1181" s="136">
        <f ca="1" t="shared" si="1350"/>
        <v>2727</v>
      </c>
      <c r="AL1181" s="136">
        <f ca="1" t="shared" si="1350"/>
        <v>3636</v>
      </c>
      <c r="AM1181" s="136">
        <f ca="1" t="shared" si="1350"/>
        <v>4545</v>
      </c>
      <c r="AN1181" s="136">
        <f ca="1" t="shared" si="1350"/>
        <v>40615</v>
      </c>
    </row>
    <row r="1182" s="106" customFormat="1" ht="16.5" spans="2:40">
      <c r="B1182" s="117">
        <v>548</v>
      </c>
      <c r="C1182" s="130">
        <f t="shared" si="1279"/>
        <v>54800</v>
      </c>
      <c r="D1182" s="131" cm="1">
        <f ca="1" t="array" ref="D1182">IF(D1784=1,OFFSET($W$634,$B1182,D$631-1)/SUMPRODUCT(--($D$631:$V$631=D$631),--($D1784:$V1784=1)),0)+SUM(D1181)+IF(COUNTIF(D$1237:D1784,1)=1,5,0)+IF(COUNTIF(E1182:$W1182,"&gt;"&amp;0)&lt;5,IF(AND(COUNTIF(D$1237:D1784,1)&gt;7,MOD(1+IFERROR(MATCH($C1182,总览!$D$46:$D$345,1)+1,1),7)=0),$C$3,0),0)</f>
        <v>3405.67704834236</v>
      </c>
      <c r="E1182" s="131" cm="1">
        <f ca="1" t="array" ref="E1182">IF(E1784=1,OFFSET($W$634,$B1182,E$631-1)/SUMPRODUCT(--($D$631:$V$631=E$631),--($D1784:$V1784=1)),0)+SUM(E1181)+IF(COUNTIF(E$1237:E1784,1)=1,5,0)+IF(COUNTIF(F1182:$W1182,"&gt;"&amp;0)&lt;5,IF(AND(COUNTIF(E$1237:E1784,1)&gt;7,MOD(1+IFERROR(MATCH($C1182,总览!$D$46:$D$345,1)+1,1),7)=0),$C$3,0),0)</f>
        <v>3405.67704834236</v>
      </c>
      <c r="F1182" s="131" cm="1">
        <f ca="1" t="array" ref="F1182">IF(F1784=1,OFFSET($W$634,$B1182,F$631-1)/SUMPRODUCT(--($D$631:$V$631=F$631),--($D1784:$V1784=1)),0)+SUM(F1181)+IF(COUNTIF(F$1237:F1784,1)=1,5,0)+IF(COUNTIF(G1182:$W1182,"&gt;"&amp;0)&lt;5,IF(AND(COUNTIF(F$1237:F1784,1)&gt;7,MOD(1+IFERROR(MATCH($C1182,总览!$D$46:$D$345,1)+1,1),7)=0),$C$3,0),0)</f>
        <v>3405.67704834236</v>
      </c>
      <c r="G1182" s="131" cm="1">
        <f ca="1" t="array" ref="G1182">IF(G1784=1,OFFSET($W$634,$B1182,G$631-1)/SUMPRODUCT(--($D$631:$V$631=G$631),--($D1784:$V1784=1)),0)+SUM(G1181)+IF(COUNTIF(G$1237:G1784,1)=1,5,0)+IF(COUNTIF(H1182:$W1182,"&gt;"&amp;0)&lt;5,IF(AND(COUNTIF(G$1237:G1784,1)&gt;7,MOD(1+IFERROR(MATCH($C1182,总览!$D$46:$D$345,1)+1,1),7)=0),$C$3,0),0)</f>
        <v>1766.06666666665</v>
      </c>
      <c r="H1182" s="131" cm="1">
        <f ca="1" t="array" ref="H1182">IF(H1784=1,OFFSET($W$634,$B1182,H$631-1)/SUMPRODUCT(--($D$631:$V$631=H$631),--($D1784:$V1784=1)),0)+SUM(H1181)+IF(COUNTIF(H$1237:H1784,1)=1,5,0)+IF(COUNTIF(I1182:$W1182,"&gt;"&amp;0)&lt;5,IF(AND(COUNTIF(H$1237:H1784,1)&gt;7,MOD(1+IFERROR(MATCH($C1182,总览!$D$46:$D$345,1)+1,1),7)=0),$C$3,0),0)</f>
        <v>1766.06666666665</v>
      </c>
      <c r="I1182" s="131" cm="1">
        <f ca="1" t="array" ref="I1182">IF(I1784=1,OFFSET($W$634,$B1182,I$631-1)/SUMPRODUCT(--($D$631:$V$631=I$631),--($D1784:$V1784=1)),0)+SUM(I1181)+IF(COUNTIF(I$1237:I1784,1)=1,5,0)+IF(COUNTIF(J1182:$W1182,"&gt;"&amp;0)&lt;5,IF(AND(COUNTIF(I$1237:I1784,1)&gt;7,MOD(1+IFERROR(MATCH($C1182,总览!$D$46:$D$345,1)+1,1),7)=0),$C$3,0),0)</f>
        <v>1766.06666666665</v>
      </c>
      <c r="J1182" s="131" cm="1">
        <f ca="1" t="array" ref="J1182">IF(J1784=1,OFFSET($W$634,$B1182,J$631-1)/SUMPRODUCT(--($D$631:$V$631=J$631),--($D1784:$V1784=1)),0)+SUM(J1181)+IF(COUNTIF(J$1237:J1784,1)=1,5,0)+IF(COUNTIF(K1182:$W1182,"&gt;"&amp;0)&lt;5,IF(AND(COUNTIF(J$1237:J1784,1)&gt;7,MOD(1+IFERROR(MATCH($C1182,总览!$D$46:$D$345,1)+1,1),7)=0),$C$3,0),0)</f>
        <v>1762.73333333332</v>
      </c>
      <c r="K1182" s="131" cm="1">
        <f ca="1" t="array" ref="K1182">IF(K1784=1,OFFSET($W$634,$B1182,K$631-1)/SUMPRODUCT(--($D$631:$V$631=K$631),--($D1784:$V1784=1)),0)+SUM(K1181)+IF(COUNTIF(K$1237:K1784,1)=1,5,0)+IF(COUNTIF(L1182:$W1182,"&gt;"&amp;0)&lt;5,IF(AND(COUNTIF(K$1237:K1784,1)&gt;7,MOD(1+IFERROR(MATCH($C1182,总览!$D$46:$D$345,1)+1,1),7)=0),$C$3,0),0)</f>
        <v>1760.23333333332</v>
      </c>
      <c r="L1182" s="131" cm="1">
        <f ca="1" t="array" ref="L1182">IF(L1784=1,OFFSET($W$634,$B1182,L$631-1)/SUMPRODUCT(--($D$631:$V$631=L$631),--($D1784:$V1784=1)),0)+SUM(L1181)+IF(COUNTIF(L$1237:L1784,1)=1,5,0)+IF(COUNTIF(M1182:$W1182,"&gt;"&amp;0)&lt;5,IF(AND(COUNTIF(L$1237:L1784,1)&gt;7,MOD(1+IFERROR(MATCH($C1182,总览!$D$46:$D$345,1)+1,1),7)=0),$C$3,0),0)</f>
        <v>1760.23333333332</v>
      </c>
      <c r="M1182" s="131" cm="1">
        <f ca="1" t="array" ref="M1182">IF(M1784=1,OFFSET($W$634,$B1182,M$631-1)/SUMPRODUCT(--($D$631:$V$631=M$631),--($D1784:$V1784=1)),0)+SUM(M1181)+IF(COUNTIF(M$1237:M1784,1)=1,5,0)+IF(COUNTIF(N1182:$W1182,"&gt;"&amp;0)&lt;5,IF(AND(COUNTIF(M$1237:M1784,1)&gt;7,MOD(1+IFERROR(MATCH($C1182,总览!$D$46:$D$345,1)+1,1),7)=0),$C$3,0),0)</f>
        <v>740.609821428576</v>
      </c>
      <c r="N1182" s="131" cm="1">
        <f ca="1" t="array" ref="N1182">IF(N1784=1,OFFSET($W$634,$B1182,N$631-1)/SUMPRODUCT(--($D$631:$V$631=N$631),--($D1784:$V1784=1)),0)+SUM(N1181)+IF(COUNTIF(N$1237:N1784,1)=1,5,0)+IF(COUNTIF(O1182:$W1182,"&gt;"&amp;0)&lt;5,IF(AND(COUNTIF(N$1237:N1784,1)&gt;7,MOD(1+IFERROR(MATCH($C1182,总览!$D$46:$D$345,1)+1,1),7)=0),$C$3,0),0)</f>
        <v>741.859821428576</v>
      </c>
      <c r="O1182" s="131" cm="1">
        <f ca="1" t="array" ref="O1182">IF(O1784=1,OFFSET($W$634,$B1182,O$631-1)/SUMPRODUCT(--($D$631:$V$631=O$631),--($D1784:$V1784=1)),0)+SUM(O1181)+IF(COUNTIF(O$1237:O1784,1)=1,5,0)+IF(COUNTIF(P1182:$W1182,"&gt;"&amp;0)&lt;5,IF(AND(COUNTIF(O$1237:O1784,1)&gt;7,MOD(1+IFERROR(MATCH($C1182,总览!$D$46:$D$345,1)+1,1),7)=0),$C$3,0),0)</f>
        <v>746.859821428576</v>
      </c>
      <c r="P1182" s="131" cm="1">
        <f ca="1" t="array" ref="P1182">IF(P1784=1,OFFSET($W$634,$B1182,P$631-1)/SUMPRODUCT(--($D$631:$V$631=P$631),--($D1784:$V1784=1)),0)+SUM(P1181)+IF(COUNTIF(P$1237:P1784,1)=1,5,0)+IF(COUNTIF(Q1182:$W1182,"&gt;"&amp;0)&lt;5,IF(AND(COUNTIF(P$1237:P1784,1)&gt;7,MOD(1+IFERROR(MATCH($C1182,总览!$D$46:$D$345,1)+1,1),7)=0),$C$3,0),0)</f>
        <v>735.978571428576</v>
      </c>
      <c r="Q1182" s="131" cm="1">
        <f ca="1" t="array" ref="Q1182">IF(Q1784=1,OFFSET($W$634,$B1182,Q$631-1)/SUMPRODUCT(--($D$631:$V$631=Q$631),--($D1784:$V1784=1)),0)+SUM(Q1181)+IF(COUNTIF(Q$1237:Q1784,1)=1,5,0)+IF(COUNTIF(R1182:$W1182,"&gt;"&amp;0)&lt;5,IF(AND(COUNTIF(Q$1237:Q1784,1)&gt;7,MOD(1+IFERROR(MATCH($C1182,总览!$D$46:$D$345,1)+1,1),7)=0),$C$3,0),0)</f>
        <v>749.359821428576</v>
      </c>
      <c r="R1182" s="131" cm="1">
        <f ca="1" t="array" ref="R1182">IF(R1784=1,OFFSET($W$634,$B1182,R$631-1)/SUMPRODUCT(--($D$631:$V$631=R$631),--($D1784:$V1784=1)),0)+SUM(R1181)+IF(COUNTIF(R$1237:R1784,1)=1,5,0)+IF(COUNTIF(S1182:$W1182,"&gt;"&amp;0)&lt;5,IF(AND(COUNTIF(R$1237:R1784,1)&gt;7,MOD(1+IFERROR(MATCH($C1182,总览!$D$46:$D$345,1)+1,1),7)=0),$C$3,0),0)</f>
        <v>740.978571428576</v>
      </c>
      <c r="S1182" s="131" cm="1">
        <f ca="1" t="array" ref="S1182">IF(S1784=1,OFFSET($W$634,$B1182,S$631-1)/SUMPRODUCT(--($D$631:$V$631=S$631),--($D1784:$V1784=1)),0)+SUM(S1181)+IF(COUNTIF(S$1237:S1784,1)=1,5,0)+IF(COUNTIF(T1182:$W1182,"&gt;"&amp;0)&lt;5,IF(AND(COUNTIF(S$1237:S1784,1)&gt;7,MOD(1+IFERROR(MATCH($C1182,总览!$D$46:$D$345,1)+1,1),7)=0),$C$3,0),0)</f>
        <v>833.478571428577</v>
      </c>
      <c r="T1182" s="131" cm="1">
        <f ca="1" t="array" ref="T1182">IF(T1784=1,OFFSET($W$634,$B1182,T$631-1)/SUMPRODUCT(--($D$631:$V$631=T$631),--($D1784:$V1784=1)),0)+SUM(T1181)+IF(COUNTIF(T$1237:T1784,1)=1,5,0)+IF(COUNTIF(U1182:$W1182,"&gt;"&amp;0)&lt;5,IF(AND(COUNTIF(T$1237:T1784,1)&gt;7,MOD(1+IFERROR(MATCH($C1182,总览!$D$46:$D$345,1)+1,1),7)=0),$C$3,0),0)</f>
        <v>610.52509418334</v>
      </c>
      <c r="U1182" s="131" cm="1">
        <f ca="1" t="array" ref="U1182">IF(U1784=1,OFFSET($W$634,$B1182,U$631-1)/SUMPRODUCT(--($D$631:$V$631=U$631),--($D1784:$V1784=1)),0)+SUM(U1181)+IF(COUNTIF(U$1237:U1784,1)=1,5,0)+IF(COUNTIF(V1182:$W1182,"&gt;"&amp;0)&lt;5,IF(AND(COUNTIF(U$1237:U1784,1)&gt;7,MOD(1+IFERROR(MATCH($C1182,总览!$D$46:$D$345,1)+1,1),7)=0),$C$3,0),0)</f>
        <v>616.04588053864</v>
      </c>
      <c r="V1182" s="131" cm="1">
        <f ca="1" t="array" ref="V1182">IF(V1784=1,OFFSET($W$634,$B1182,V$631-1)/SUMPRODUCT(--($D$631:$V$631=V$631),--($D1784:$V1784=1)),0)+SUM(V1181)+IF(COUNTIF(V$1237:V1784,1)=1,5,0)+IF(COUNTIF(W1182:$W1182,"&gt;"&amp;0)&lt;5,IF(AND(COUNTIF(V$1237:V1784,1)&gt;7,MOD(1+IFERROR(MATCH($C1182,总览!$D$46:$D$345,1)+1,1),7)=0),$C$3,0),0)</f>
        <v>635.872880251073</v>
      </c>
      <c r="W1182" s="135" cm="1">
        <f ca="1" t="array" ref="W1182">SUMPRODUCT(TRANSPOSE($AA1182:$AG1182),OFFSET($L$9:$L$15,0,W$631-1))</f>
        <v>16.8502200646615</v>
      </c>
      <c r="X1182" s="135" cm="1">
        <f ca="1" t="array" ref="X1182">SUMPRODUCT(TRANSPOSE($AA1182:$AG1182),OFFSET($L$9:$L$15,0,X$631-1))</f>
        <v>20</v>
      </c>
      <c r="Y1182" s="135" cm="1">
        <f ca="1" t="array" ref="Y1182">SUMPRODUCT(TRANSPOSE($AA1182:$AG1182),OFFSET($L$9:$L$15,0,Y$631-1))</f>
        <v>10</v>
      </c>
      <c r="Z1182" s="135" cm="1">
        <f ca="1" t="array" ref="Z1182">SUMPRODUCT(TRANSPOSE($AA1182:$AG1182),OFFSET($L$9:$L$15,0,Z$631-1))</f>
        <v>3.14977993533847</v>
      </c>
      <c r="AA1182" s="136">
        <f ca="1" t="shared" ref="AA1182:AG1182" si="1351">AH1182-AH1181</f>
        <v>0</v>
      </c>
      <c r="AB1182" s="136">
        <f ca="1" t="shared" si="1351"/>
        <v>0</v>
      </c>
      <c r="AC1182" s="136">
        <f ca="1" t="shared" si="1351"/>
        <v>0</v>
      </c>
      <c r="AD1182" s="136">
        <f ca="1" t="shared" si="1351"/>
        <v>0</v>
      </c>
      <c r="AE1182" s="136">
        <f ca="1" t="shared" si="1351"/>
        <v>0</v>
      </c>
      <c r="AF1182" s="136">
        <f ca="1" t="shared" si="1351"/>
        <v>0</v>
      </c>
      <c r="AG1182" s="136">
        <f ca="1" t="shared" si="1351"/>
        <v>100</v>
      </c>
      <c r="AH1182" s="136">
        <f ca="1" t="shared" si="1281"/>
        <v>450</v>
      </c>
      <c r="AI1182" s="136">
        <f ca="1" t="shared" ref="AI1182:AN1182" si="1352">IF($C1182&gt;OFFSET($Q$8,MATCH(AI$634,$AH$634:$AN$634,0),0),OFFSET($P$8,MATCH(AI$634,$AH$634:$AN$634,0),0),MAX(0,$C1182-OFFSET($Q$8,RIGHT(AI$634,1)-1,0)))</f>
        <v>909</v>
      </c>
      <c r="AJ1182" s="136">
        <f ca="1" t="shared" si="1352"/>
        <v>1818</v>
      </c>
      <c r="AK1182" s="136">
        <f ca="1" t="shared" si="1352"/>
        <v>2727</v>
      </c>
      <c r="AL1182" s="136">
        <f ca="1" t="shared" si="1352"/>
        <v>3636</v>
      </c>
      <c r="AM1182" s="136">
        <f ca="1" t="shared" si="1352"/>
        <v>4545</v>
      </c>
      <c r="AN1182" s="136">
        <f ca="1" t="shared" si="1352"/>
        <v>40715</v>
      </c>
    </row>
    <row r="1183" s="106" customFormat="1" ht="16.5" spans="2:40">
      <c r="B1183" s="117">
        <v>549</v>
      </c>
      <c r="C1183" s="130">
        <f t="shared" si="1279"/>
        <v>54900</v>
      </c>
      <c r="D1183" s="131" cm="1">
        <f ca="1" t="array" ref="D1183">IF(D1785=1,OFFSET($W$634,$B1183,D$631-1)/SUMPRODUCT(--($D$631:$V$631=D$631),--($D1785:$V1785=1)),0)+SUM(D1182)+IF(COUNTIF(D$1237:D1785,1)=1,5,0)+IF(COUNTIF(E1183:$W1183,"&gt;"&amp;0)&lt;5,IF(AND(COUNTIF(D$1237:D1785,1)&gt;7,MOD(1+IFERROR(MATCH($C1183,总览!$D$46:$D$345,1)+1,1),7)=0),$C$3,0),0)</f>
        <v>3411.29378836391</v>
      </c>
      <c r="E1183" s="131" cm="1">
        <f ca="1" t="array" ref="E1183">IF(E1785=1,OFFSET($W$634,$B1183,E$631-1)/SUMPRODUCT(--($D$631:$V$631=E$631),--($D1785:$V1785=1)),0)+SUM(E1182)+IF(COUNTIF(E$1237:E1785,1)=1,5,0)+IF(COUNTIF(F1183:$W1183,"&gt;"&amp;0)&lt;5,IF(AND(COUNTIF(E$1237:E1785,1)&gt;7,MOD(1+IFERROR(MATCH($C1183,总览!$D$46:$D$345,1)+1,1),7)=0),$C$3,0),0)</f>
        <v>3411.29378836391</v>
      </c>
      <c r="F1183" s="131" cm="1">
        <f ca="1" t="array" ref="F1183">IF(F1785=1,OFFSET($W$634,$B1183,F$631-1)/SUMPRODUCT(--($D$631:$V$631=F$631),--($D1785:$V1785=1)),0)+SUM(F1182)+IF(COUNTIF(F$1237:F1785,1)=1,5,0)+IF(COUNTIF(G1183:$W1183,"&gt;"&amp;0)&lt;5,IF(AND(COUNTIF(F$1237:F1785,1)&gt;7,MOD(1+IFERROR(MATCH($C1183,总览!$D$46:$D$345,1)+1,1),7)=0),$C$3,0),0)</f>
        <v>3411.29378836391</v>
      </c>
      <c r="G1183" s="131" cm="1">
        <f ca="1" t="array" ref="G1183">IF(G1785=1,OFFSET($W$634,$B1183,G$631-1)/SUMPRODUCT(--($D$631:$V$631=G$631),--($D1785:$V1785=1)),0)+SUM(G1182)+IF(COUNTIF(G$1237:G1785,1)=1,5,0)+IF(COUNTIF(H1183:$W1183,"&gt;"&amp;0)&lt;5,IF(AND(COUNTIF(G$1237:G1785,1)&gt;7,MOD(1+IFERROR(MATCH($C1183,总览!$D$46:$D$345,1)+1,1),7)=0),$C$3,0),0)</f>
        <v>1769.39999999999</v>
      </c>
      <c r="H1183" s="131" cm="1">
        <f ca="1" t="array" ref="H1183">IF(H1785=1,OFFSET($W$634,$B1183,H$631-1)/SUMPRODUCT(--($D$631:$V$631=H$631),--($D1785:$V1785=1)),0)+SUM(H1182)+IF(COUNTIF(H$1237:H1785,1)=1,5,0)+IF(COUNTIF(I1183:$W1183,"&gt;"&amp;0)&lt;5,IF(AND(COUNTIF(H$1237:H1785,1)&gt;7,MOD(1+IFERROR(MATCH($C1183,总览!$D$46:$D$345,1)+1,1),7)=0),$C$3,0),0)</f>
        <v>1769.39999999999</v>
      </c>
      <c r="I1183" s="131" cm="1">
        <f ca="1" t="array" ref="I1183">IF(I1785=1,OFFSET($W$634,$B1183,I$631-1)/SUMPRODUCT(--($D$631:$V$631=I$631),--($D1785:$V1785=1)),0)+SUM(I1182)+IF(COUNTIF(I$1237:I1785,1)=1,5,0)+IF(COUNTIF(J1183:$W1183,"&gt;"&amp;0)&lt;5,IF(AND(COUNTIF(I$1237:I1785,1)&gt;7,MOD(1+IFERROR(MATCH($C1183,总览!$D$46:$D$345,1)+1,1),7)=0),$C$3,0),0)</f>
        <v>1769.39999999999</v>
      </c>
      <c r="J1183" s="131" cm="1">
        <f ca="1" t="array" ref="J1183">IF(J1785=1,OFFSET($W$634,$B1183,J$631-1)/SUMPRODUCT(--($D$631:$V$631=J$631),--($D1785:$V1785=1)),0)+SUM(J1182)+IF(COUNTIF(J$1237:J1785,1)=1,5,0)+IF(COUNTIF(K1183:$W1183,"&gt;"&amp;0)&lt;5,IF(AND(COUNTIF(J$1237:J1785,1)&gt;7,MOD(1+IFERROR(MATCH($C1183,总览!$D$46:$D$345,1)+1,1),7)=0),$C$3,0),0)</f>
        <v>1766.06666666665</v>
      </c>
      <c r="K1183" s="131" cm="1">
        <f ca="1" t="array" ref="K1183">IF(K1785=1,OFFSET($W$634,$B1183,K$631-1)/SUMPRODUCT(--($D$631:$V$631=K$631),--($D1785:$V1785=1)),0)+SUM(K1182)+IF(COUNTIF(K$1237:K1785,1)=1,5,0)+IF(COUNTIF(L1183:$W1183,"&gt;"&amp;0)&lt;5,IF(AND(COUNTIF(K$1237:K1785,1)&gt;7,MOD(1+IFERROR(MATCH($C1183,总览!$D$46:$D$345,1)+1,1),7)=0),$C$3,0),0)</f>
        <v>1763.56666666665</v>
      </c>
      <c r="L1183" s="131" cm="1">
        <f ca="1" t="array" ref="L1183">IF(L1785=1,OFFSET($W$634,$B1183,L$631-1)/SUMPRODUCT(--($D$631:$V$631=L$631),--($D1785:$V1785=1)),0)+SUM(L1182)+IF(COUNTIF(L$1237:L1785,1)=1,5,0)+IF(COUNTIF(M1183:$W1183,"&gt;"&amp;0)&lt;5,IF(AND(COUNTIF(L$1237:L1785,1)&gt;7,MOD(1+IFERROR(MATCH($C1183,总览!$D$46:$D$345,1)+1,1),7)=0),$C$3,0),0)</f>
        <v>1763.56666666665</v>
      </c>
      <c r="M1183" s="131" cm="1">
        <f ca="1" t="array" ref="M1183">IF(M1785=1,OFFSET($W$634,$B1183,M$631-1)/SUMPRODUCT(--($D$631:$V$631=M$631),--($D1785:$V1785=1)),0)+SUM(M1182)+IF(COUNTIF(M$1237:M1785,1)=1,5,0)+IF(COUNTIF(N1183:$W1183,"&gt;"&amp;0)&lt;5,IF(AND(COUNTIF(M$1237:M1785,1)&gt;7,MOD(1+IFERROR(MATCH($C1183,总览!$D$46:$D$345,1)+1,1),7)=0),$C$3,0),0)</f>
        <v>742.038392857147</v>
      </c>
      <c r="N1183" s="131" cm="1">
        <f ca="1" t="array" ref="N1183">IF(N1785=1,OFFSET($W$634,$B1183,N$631-1)/SUMPRODUCT(--($D$631:$V$631=N$631),--($D1785:$V1785=1)),0)+SUM(N1182)+IF(COUNTIF(N$1237:N1785,1)=1,5,0)+IF(COUNTIF(O1183:$W1183,"&gt;"&amp;0)&lt;5,IF(AND(COUNTIF(N$1237:N1785,1)&gt;7,MOD(1+IFERROR(MATCH($C1183,总览!$D$46:$D$345,1)+1,1),7)=0),$C$3,0),0)</f>
        <v>743.288392857147</v>
      </c>
      <c r="O1183" s="131" cm="1">
        <f ca="1" t="array" ref="O1183">IF(O1785=1,OFFSET($W$634,$B1183,O$631-1)/SUMPRODUCT(--($D$631:$V$631=O$631),--($D1785:$V1785=1)),0)+SUM(O1182)+IF(COUNTIF(O$1237:O1785,1)=1,5,0)+IF(COUNTIF(P1183:$W1183,"&gt;"&amp;0)&lt;5,IF(AND(COUNTIF(O$1237:O1785,1)&gt;7,MOD(1+IFERROR(MATCH($C1183,总览!$D$46:$D$345,1)+1,1),7)=0),$C$3,0),0)</f>
        <v>748.288392857147</v>
      </c>
      <c r="P1183" s="131" cm="1">
        <f ca="1" t="array" ref="P1183">IF(P1785=1,OFFSET($W$634,$B1183,P$631-1)/SUMPRODUCT(--($D$631:$V$631=P$631),--($D1785:$V1785=1)),0)+SUM(P1182)+IF(COUNTIF(P$1237:P1785,1)=1,5,0)+IF(COUNTIF(Q1183:$W1183,"&gt;"&amp;0)&lt;5,IF(AND(COUNTIF(P$1237:P1785,1)&gt;7,MOD(1+IFERROR(MATCH($C1183,总览!$D$46:$D$345,1)+1,1),7)=0),$C$3,0),0)</f>
        <v>737.407142857147</v>
      </c>
      <c r="Q1183" s="131" cm="1">
        <f ca="1" t="array" ref="Q1183">IF(Q1785=1,OFFSET($W$634,$B1183,Q$631-1)/SUMPRODUCT(--($D$631:$V$631=Q$631),--($D1785:$V1785=1)),0)+SUM(Q1182)+IF(COUNTIF(Q$1237:Q1785,1)=1,5,0)+IF(COUNTIF(R1183:$W1183,"&gt;"&amp;0)&lt;5,IF(AND(COUNTIF(Q$1237:Q1785,1)&gt;7,MOD(1+IFERROR(MATCH($C1183,总览!$D$46:$D$345,1)+1,1),7)=0),$C$3,0),0)</f>
        <v>750.788392857147</v>
      </c>
      <c r="R1183" s="131" cm="1">
        <f ca="1" t="array" ref="R1183">IF(R1785=1,OFFSET($W$634,$B1183,R$631-1)/SUMPRODUCT(--($D$631:$V$631=R$631),--($D1785:$V1785=1)),0)+SUM(R1182)+IF(COUNTIF(R$1237:R1785,1)=1,5,0)+IF(COUNTIF(S1183:$W1183,"&gt;"&amp;0)&lt;5,IF(AND(COUNTIF(R$1237:R1785,1)&gt;7,MOD(1+IFERROR(MATCH($C1183,总览!$D$46:$D$345,1)+1,1),7)=0),$C$3,0),0)</f>
        <v>742.407142857147</v>
      </c>
      <c r="S1183" s="131" cm="1">
        <f ca="1" t="array" ref="S1183">IF(S1785=1,OFFSET($W$634,$B1183,S$631-1)/SUMPRODUCT(--($D$631:$V$631=S$631),--($D1785:$V1785=1)),0)+SUM(S1182)+IF(COUNTIF(S$1237:S1785,1)=1,5,0)+IF(COUNTIF(T1183:$W1183,"&gt;"&amp;0)&lt;5,IF(AND(COUNTIF(S$1237:S1785,1)&gt;7,MOD(1+IFERROR(MATCH($C1183,总览!$D$46:$D$345,1)+1,1),7)=0),$C$3,0),0)</f>
        <v>834.907142857148</v>
      </c>
      <c r="T1183" s="131" cm="1">
        <f ca="1" t="array" ref="T1183">IF(T1785=1,OFFSET($W$634,$B1183,T$631-1)/SUMPRODUCT(--($D$631:$V$631=T$631),--($D1785:$V1785=1)),0)+SUM(T1182)+IF(COUNTIF(T$1237:T1785,1)=1,5,0)+IF(COUNTIF(U1183:$W1183,"&gt;"&amp;0)&lt;5,IF(AND(COUNTIF(T$1237:T1785,1)&gt;7,MOD(1+IFERROR(MATCH($C1183,总览!$D$46:$D$345,1)+1,1),7)=0),$C$3,0),0)</f>
        <v>611.575020828453</v>
      </c>
      <c r="U1183" s="131" cm="1">
        <f ca="1" t="array" ref="U1183">IF(U1785=1,OFFSET($W$634,$B1183,U$631-1)/SUMPRODUCT(--($D$631:$V$631=U$631),--($D1785:$V1785=1)),0)+SUM(U1182)+IF(COUNTIF(U$1237:U1785,1)=1,5,0)+IF(COUNTIF(V1183:$W1183,"&gt;"&amp;0)&lt;5,IF(AND(COUNTIF(U$1237:U1785,1)&gt;7,MOD(1+IFERROR(MATCH($C1183,总览!$D$46:$D$345,1)+1,1),7)=0),$C$3,0),0)</f>
        <v>617.095807183752</v>
      </c>
      <c r="V1183" s="131" cm="1">
        <f ca="1" t="array" ref="V1183">IF(V1785=1,OFFSET($W$634,$B1183,V$631-1)/SUMPRODUCT(--($D$631:$V$631=V$631),--($D1785:$V1785=1)),0)+SUM(V1182)+IF(COUNTIF(V$1237:V1785,1)=1,5,0)+IF(COUNTIF(W1183:$W1183,"&gt;"&amp;0)&lt;5,IF(AND(COUNTIF(V$1237:V1785,1)&gt;7,MOD(1+IFERROR(MATCH($C1183,总览!$D$46:$D$345,1)+1,1),7)=0),$C$3,0),0)</f>
        <v>636.922806896185</v>
      </c>
      <c r="W1183" s="135" cm="1">
        <f ca="1" t="array" ref="W1183">SUMPRODUCT(TRANSPOSE($AA1183:$AG1183),OFFSET($L$9:$L$15,0,W$631-1))</f>
        <v>16.8502200646615</v>
      </c>
      <c r="X1183" s="135" cm="1">
        <f ca="1" t="array" ref="X1183">SUMPRODUCT(TRANSPOSE($AA1183:$AG1183),OFFSET($L$9:$L$15,0,X$631-1))</f>
        <v>20</v>
      </c>
      <c r="Y1183" s="135" cm="1">
        <f ca="1" t="array" ref="Y1183">SUMPRODUCT(TRANSPOSE($AA1183:$AG1183),OFFSET($L$9:$L$15,0,Y$631-1))</f>
        <v>10</v>
      </c>
      <c r="Z1183" s="135" cm="1">
        <f ca="1" t="array" ref="Z1183">SUMPRODUCT(TRANSPOSE($AA1183:$AG1183),OFFSET($L$9:$L$15,0,Z$631-1))</f>
        <v>3.14977993533847</v>
      </c>
      <c r="AA1183" s="136">
        <f ca="1" t="shared" ref="AA1183:AG1183" si="1353">AH1183-AH1182</f>
        <v>0</v>
      </c>
      <c r="AB1183" s="136">
        <f ca="1" t="shared" si="1353"/>
        <v>0</v>
      </c>
      <c r="AC1183" s="136">
        <f ca="1" t="shared" si="1353"/>
        <v>0</v>
      </c>
      <c r="AD1183" s="136">
        <f ca="1" t="shared" si="1353"/>
        <v>0</v>
      </c>
      <c r="AE1183" s="136">
        <f ca="1" t="shared" si="1353"/>
        <v>0</v>
      </c>
      <c r="AF1183" s="136">
        <f ca="1" t="shared" si="1353"/>
        <v>0</v>
      </c>
      <c r="AG1183" s="136">
        <f ca="1" t="shared" si="1353"/>
        <v>100</v>
      </c>
      <c r="AH1183" s="136">
        <f ca="1" t="shared" si="1281"/>
        <v>450</v>
      </c>
      <c r="AI1183" s="136">
        <f ca="1" t="shared" ref="AI1183:AN1183" si="1354">IF($C1183&gt;OFFSET($Q$8,MATCH(AI$634,$AH$634:$AN$634,0),0),OFFSET($P$8,MATCH(AI$634,$AH$634:$AN$634,0),0),MAX(0,$C1183-OFFSET($Q$8,RIGHT(AI$634,1)-1,0)))</f>
        <v>909</v>
      </c>
      <c r="AJ1183" s="136">
        <f ca="1" t="shared" si="1354"/>
        <v>1818</v>
      </c>
      <c r="AK1183" s="136">
        <f ca="1" t="shared" si="1354"/>
        <v>2727</v>
      </c>
      <c r="AL1183" s="136">
        <f ca="1" t="shared" si="1354"/>
        <v>3636</v>
      </c>
      <c r="AM1183" s="136">
        <f ca="1" t="shared" si="1354"/>
        <v>4545</v>
      </c>
      <c r="AN1183" s="136">
        <f ca="1" t="shared" si="1354"/>
        <v>40815</v>
      </c>
    </row>
    <row r="1184" s="106" customFormat="1" ht="16.5" spans="2:40">
      <c r="B1184" s="117">
        <v>550</v>
      </c>
      <c r="C1184" s="130">
        <f t="shared" si="1279"/>
        <v>55000</v>
      </c>
      <c r="D1184" s="131" cm="1">
        <f ca="1" t="array" ref="D1184">IF(D1786=1,OFFSET($W$634,$B1184,D$631-1)/SUMPRODUCT(--($D$631:$V$631=D$631),--($D1786:$V1786=1)),0)+SUM(D1183)+IF(COUNTIF(D$1237:D1786,1)=1,5,0)+IF(COUNTIF(E1184:$W1184,"&gt;"&amp;0)&lt;5,IF(AND(COUNTIF(D$1237:D1786,1)&gt;7,MOD(1+IFERROR(MATCH($C1184,总览!$D$46:$D$345,1)+1,1),7)=0),$C$3,0),0)</f>
        <v>3416.91052838547</v>
      </c>
      <c r="E1184" s="131" cm="1">
        <f ca="1" t="array" ref="E1184">IF(E1786=1,OFFSET($W$634,$B1184,E$631-1)/SUMPRODUCT(--($D$631:$V$631=E$631),--($D1786:$V1786=1)),0)+SUM(E1183)+IF(COUNTIF(E$1237:E1786,1)=1,5,0)+IF(COUNTIF(F1184:$W1184,"&gt;"&amp;0)&lt;5,IF(AND(COUNTIF(E$1237:E1786,1)&gt;7,MOD(1+IFERROR(MATCH($C1184,总览!$D$46:$D$345,1)+1,1),7)=0),$C$3,0),0)</f>
        <v>3416.91052838547</v>
      </c>
      <c r="F1184" s="131" cm="1">
        <f ca="1" t="array" ref="F1184">IF(F1786=1,OFFSET($W$634,$B1184,F$631-1)/SUMPRODUCT(--($D$631:$V$631=F$631),--($D1786:$V1786=1)),0)+SUM(F1183)+IF(COUNTIF(F$1237:F1786,1)=1,5,0)+IF(COUNTIF(G1184:$W1184,"&gt;"&amp;0)&lt;5,IF(AND(COUNTIF(F$1237:F1786,1)&gt;7,MOD(1+IFERROR(MATCH($C1184,总览!$D$46:$D$345,1)+1,1),7)=0),$C$3,0),0)</f>
        <v>3416.91052838547</v>
      </c>
      <c r="G1184" s="131" cm="1">
        <f ca="1" t="array" ref="G1184">IF(G1786=1,OFFSET($W$634,$B1184,G$631-1)/SUMPRODUCT(--($D$631:$V$631=G$631),--($D1786:$V1786=1)),0)+SUM(G1183)+IF(COUNTIF(G$1237:G1786,1)=1,5,0)+IF(COUNTIF(H1184:$W1184,"&gt;"&amp;0)&lt;5,IF(AND(COUNTIF(G$1237:G1786,1)&gt;7,MOD(1+IFERROR(MATCH($C1184,总览!$D$46:$D$345,1)+1,1),7)=0),$C$3,0),0)</f>
        <v>1772.73333333332</v>
      </c>
      <c r="H1184" s="131" cm="1">
        <f ca="1" t="array" ref="H1184">IF(H1786=1,OFFSET($W$634,$B1184,H$631-1)/SUMPRODUCT(--($D$631:$V$631=H$631),--($D1786:$V1786=1)),0)+SUM(H1183)+IF(COUNTIF(H$1237:H1786,1)=1,5,0)+IF(COUNTIF(I1184:$W1184,"&gt;"&amp;0)&lt;5,IF(AND(COUNTIF(H$1237:H1786,1)&gt;7,MOD(1+IFERROR(MATCH($C1184,总览!$D$46:$D$345,1)+1,1),7)=0),$C$3,0),0)</f>
        <v>1772.73333333332</v>
      </c>
      <c r="I1184" s="131" cm="1">
        <f ca="1" t="array" ref="I1184">IF(I1786=1,OFFSET($W$634,$B1184,I$631-1)/SUMPRODUCT(--($D$631:$V$631=I$631),--($D1786:$V1786=1)),0)+SUM(I1183)+IF(COUNTIF(I$1237:I1786,1)=1,5,0)+IF(COUNTIF(J1184:$W1184,"&gt;"&amp;0)&lt;5,IF(AND(COUNTIF(I$1237:I1786,1)&gt;7,MOD(1+IFERROR(MATCH($C1184,总览!$D$46:$D$345,1)+1,1),7)=0),$C$3,0),0)</f>
        <v>1772.73333333332</v>
      </c>
      <c r="J1184" s="131" cm="1">
        <f ca="1" t="array" ref="J1184">IF(J1786=1,OFFSET($W$634,$B1184,J$631-1)/SUMPRODUCT(--($D$631:$V$631=J$631),--($D1786:$V1786=1)),0)+SUM(J1183)+IF(COUNTIF(J$1237:J1786,1)=1,5,0)+IF(COUNTIF(K1184:$W1184,"&gt;"&amp;0)&lt;5,IF(AND(COUNTIF(J$1237:J1786,1)&gt;7,MOD(1+IFERROR(MATCH($C1184,总览!$D$46:$D$345,1)+1,1),7)=0),$C$3,0),0)</f>
        <v>1769.39999999999</v>
      </c>
      <c r="K1184" s="131" cm="1">
        <f ca="1" t="array" ref="K1184">IF(K1786=1,OFFSET($W$634,$B1184,K$631-1)/SUMPRODUCT(--($D$631:$V$631=K$631),--($D1786:$V1786=1)),0)+SUM(K1183)+IF(COUNTIF(K$1237:K1786,1)=1,5,0)+IF(COUNTIF(L1184:$W1184,"&gt;"&amp;0)&lt;5,IF(AND(COUNTIF(K$1237:K1786,1)&gt;7,MOD(1+IFERROR(MATCH($C1184,总览!$D$46:$D$345,1)+1,1),7)=0),$C$3,0),0)</f>
        <v>1766.89999999999</v>
      </c>
      <c r="L1184" s="131" cm="1">
        <f ca="1" t="array" ref="L1184">IF(L1786=1,OFFSET($W$634,$B1184,L$631-1)/SUMPRODUCT(--($D$631:$V$631=L$631),--($D1786:$V1786=1)),0)+SUM(L1183)+IF(COUNTIF(L$1237:L1786,1)=1,5,0)+IF(COUNTIF(M1184:$W1184,"&gt;"&amp;0)&lt;5,IF(AND(COUNTIF(L$1237:L1786,1)&gt;7,MOD(1+IFERROR(MATCH($C1184,总览!$D$46:$D$345,1)+1,1),7)=0),$C$3,0),0)</f>
        <v>1766.89999999999</v>
      </c>
      <c r="M1184" s="131" cm="1">
        <f ca="1" t="array" ref="M1184">IF(M1786=1,OFFSET($W$634,$B1184,M$631-1)/SUMPRODUCT(--($D$631:$V$631=M$631),--($D1786:$V1786=1)),0)+SUM(M1183)+IF(COUNTIF(M$1237:M1786,1)=1,5,0)+IF(COUNTIF(N1184:$W1184,"&gt;"&amp;0)&lt;5,IF(AND(COUNTIF(M$1237:M1786,1)&gt;7,MOD(1+IFERROR(MATCH($C1184,总览!$D$46:$D$345,1)+1,1),7)=0),$C$3,0),0)</f>
        <v>743.466964285719</v>
      </c>
      <c r="N1184" s="131" cm="1">
        <f ca="1" t="array" ref="N1184">IF(N1786=1,OFFSET($W$634,$B1184,N$631-1)/SUMPRODUCT(--($D$631:$V$631=N$631),--($D1786:$V1786=1)),0)+SUM(N1183)+IF(COUNTIF(N$1237:N1786,1)=1,5,0)+IF(COUNTIF(O1184:$W1184,"&gt;"&amp;0)&lt;5,IF(AND(COUNTIF(N$1237:N1786,1)&gt;7,MOD(1+IFERROR(MATCH($C1184,总览!$D$46:$D$345,1)+1,1),7)=0),$C$3,0),0)</f>
        <v>744.716964285719</v>
      </c>
      <c r="O1184" s="131" cm="1">
        <f ca="1" t="array" ref="O1184">IF(O1786=1,OFFSET($W$634,$B1184,O$631-1)/SUMPRODUCT(--($D$631:$V$631=O$631),--($D1786:$V1786=1)),0)+SUM(O1183)+IF(COUNTIF(O$1237:O1786,1)=1,5,0)+IF(COUNTIF(P1184:$W1184,"&gt;"&amp;0)&lt;5,IF(AND(COUNTIF(O$1237:O1786,1)&gt;7,MOD(1+IFERROR(MATCH($C1184,总览!$D$46:$D$345,1)+1,1),7)=0),$C$3,0),0)</f>
        <v>749.716964285719</v>
      </c>
      <c r="P1184" s="131" cm="1">
        <f ca="1" t="array" ref="P1184">IF(P1786=1,OFFSET($W$634,$B1184,P$631-1)/SUMPRODUCT(--($D$631:$V$631=P$631),--($D1786:$V1786=1)),0)+SUM(P1183)+IF(COUNTIF(P$1237:P1786,1)=1,5,0)+IF(COUNTIF(Q1184:$W1184,"&gt;"&amp;0)&lt;5,IF(AND(COUNTIF(P$1237:P1786,1)&gt;7,MOD(1+IFERROR(MATCH($C1184,总览!$D$46:$D$345,1)+1,1),7)=0),$C$3,0),0)</f>
        <v>738.835714285719</v>
      </c>
      <c r="Q1184" s="131" cm="1">
        <f ca="1" t="array" ref="Q1184">IF(Q1786=1,OFFSET($W$634,$B1184,Q$631-1)/SUMPRODUCT(--($D$631:$V$631=Q$631),--($D1786:$V1786=1)),0)+SUM(Q1183)+IF(COUNTIF(Q$1237:Q1786,1)=1,5,0)+IF(COUNTIF(R1184:$W1184,"&gt;"&amp;0)&lt;5,IF(AND(COUNTIF(Q$1237:Q1786,1)&gt;7,MOD(1+IFERROR(MATCH($C1184,总览!$D$46:$D$345,1)+1,1),7)=0),$C$3,0),0)</f>
        <v>752.216964285719</v>
      </c>
      <c r="R1184" s="131" cm="1">
        <f ca="1" t="array" ref="R1184">IF(R1786=1,OFFSET($W$634,$B1184,R$631-1)/SUMPRODUCT(--($D$631:$V$631=R$631),--($D1786:$V1786=1)),0)+SUM(R1183)+IF(COUNTIF(R$1237:R1786,1)=1,5,0)+IF(COUNTIF(S1184:$W1184,"&gt;"&amp;0)&lt;5,IF(AND(COUNTIF(R$1237:R1786,1)&gt;7,MOD(1+IFERROR(MATCH($C1184,总览!$D$46:$D$345,1)+1,1),7)=0),$C$3,0),0)</f>
        <v>743.835714285719</v>
      </c>
      <c r="S1184" s="131" cm="1">
        <f ca="1" t="array" ref="S1184">IF(S1786=1,OFFSET($W$634,$B1184,S$631-1)/SUMPRODUCT(--($D$631:$V$631=S$631),--($D1786:$V1786=1)),0)+SUM(S1183)+IF(COUNTIF(S$1237:S1786,1)=1,5,0)+IF(COUNTIF(T1184:$W1184,"&gt;"&amp;0)&lt;5,IF(AND(COUNTIF(S$1237:S1786,1)&gt;7,MOD(1+IFERROR(MATCH($C1184,总览!$D$46:$D$345,1)+1,1),7)=0),$C$3,0),0)</f>
        <v>836.33571428572</v>
      </c>
      <c r="T1184" s="131" cm="1">
        <f ca="1" t="array" ref="T1184">IF(T1786=1,OFFSET($W$634,$B1184,T$631-1)/SUMPRODUCT(--($D$631:$V$631=T$631),--($D1786:$V1786=1)),0)+SUM(T1183)+IF(COUNTIF(T$1237:T1786,1)=1,5,0)+IF(COUNTIF(U1184:$W1184,"&gt;"&amp;0)&lt;5,IF(AND(COUNTIF(T$1237:T1786,1)&gt;7,MOD(1+IFERROR(MATCH($C1184,总览!$D$46:$D$345,1)+1,1),7)=0),$C$3,0),0)</f>
        <v>612.624947473566</v>
      </c>
      <c r="U1184" s="131" cm="1">
        <f ca="1" t="array" ref="U1184">IF(U1786=1,OFFSET($W$634,$B1184,U$631-1)/SUMPRODUCT(--($D$631:$V$631=U$631),--($D1786:$V1786=1)),0)+SUM(U1183)+IF(COUNTIF(U$1237:U1786,1)=1,5,0)+IF(COUNTIF(V1184:$W1184,"&gt;"&amp;0)&lt;5,IF(AND(COUNTIF(U$1237:U1786,1)&gt;7,MOD(1+IFERROR(MATCH($C1184,总览!$D$46:$D$345,1)+1,1),7)=0),$C$3,0),0)</f>
        <v>618.145733828865</v>
      </c>
      <c r="V1184" s="131" cm="1">
        <f ca="1" t="array" ref="V1184">IF(V1786=1,OFFSET($W$634,$B1184,V$631-1)/SUMPRODUCT(--($D$631:$V$631=V$631),--($D1786:$V1786=1)),0)+SUM(V1183)+IF(COUNTIF(V$1237:V1786,1)=1,5,0)+IF(COUNTIF(W1184:$W1184,"&gt;"&amp;0)&lt;5,IF(AND(COUNTIF(V$1237:V1786,1)&gt;7,MOD(1+IFERROR(MATCH($C1184,总览!$D$46:$D$345,1)+1,1),7)=0),$C$3,0),0)</f>
        <v>637.972733541298</v>
      </c>
      <c r="W1184" s="135" cm="1">
        <f ca="1" t="array" ref="W1184">SUMPRODUCT(TRANSPOSE($AA1184:$AG1184),OFFSET($L$9:$L$15,0,W$631-1))</f>
        <v>16.8502200646615</v>
      </c>
      <c r="X1184" s="135" cm="1">
        <f ca="1" t="array" ref="X1184">SUMPRODUCT(TRANSPOSE($AA1184:$AG1184),OFFSET($L$9:$L$15,0,X$631-1))</f>
        <v>20</v>
      </c>
      <c r="Y1184" s="135" cm="1">
        <f ca="1" t="array" ref="Y1184">SUMPRODUCT(TRANSPOSE($AA1184:$AG1184),OFFSET($L$9:$L$15,0,Y$631-1))</f>
        <v>10</v>
      </c>
      <c r="Z1184" s="135" cm="1">
        <f ca="1" t="array" ref="Z1184">SUMPRODUCT(TRANSPOSE($AA1184:$AG1184),OFFSET($L$9:$L$15,0,Z$631-1))</f>
        <v>3.14977993533847</v>
      </c>
      <c r="AA1184" s="136">
        <f ca="1" t="shared" ref="AA1184:AG1184" si="1355">AH1184-AH1183</f>
        <v>0</v>
      </c>
      <c r="AB1184" s="136">
        <f ca="1" t="shared" si="1355"/>
        <v>0</v>
      </c>
      <c r="AC1184" s="136">
        <f ca="1" t="shared" si="1355"/>
        <v>0</v>
      </c>
      <c r="AD1184" s="136">
        <f ca="1" t="shared" si="1355"/>
        <v>0</v>
      </c>
      <c r="AE1184" s="136">
        <f ca="1" t="shared" si="1355"/>
        <v>0</v>
      </c>
      <c r="AF1184" s="136">
        <f ca="1" t="shared" si="1355"/>
        <v>0</v>
      </c>
      <c r="AG1184" s="136">
        <f ca="1" t="shared" si="1355"/>
        <v>100</v>
      </c>
      <c r="AH1184" s="136">
        <f ca="1" t="shared" si="1281"/>
        <v>450</v>
      </c>
      <c r="AI1184" s="136">
        <f ca="1" t="shared" ref="AI1184:AN1184" si="1356">IF($C1184&gt;OFFSET($Q$8,MATCH(AI$634,$AH$634:$AN$634,0),0),OFFSET($P$8,MATCH(AI$634,$AH$634:$AN$634,0),0),MAX(0,$C1184-OFFSET($Q$8,RIGHT(AI$634,1)-1,0)))</f>
        <v>909</v>
      </c>
      <c r="AJ1184" s="136">
        <f ca="1" t="shared" si="1356"/>
        <v>1818</v>
      </c>
      <c r="AK1184" s="136">
        <f ca="1" t="shared" si="1356"/>
        <v>2727</v>
      </c>
      <c r="AL1184" s="136">
        <f ca="1" t="shared" si="1356"/>
        <v>3636</v>
      </c>
      <c r="AM1184" s="136">
        <f ca="1" t="shared" si="1356"/>
        <v>4545</v>
      </c>
      <c r="AN1184" s="136">
        <f ca="1" t="shared" si="1356"/>
        <v>40915</v>
      </c>
    </row>
    <row r="1185" s="106" customFormat="1" ht="16.5" spans="2:40">
      <c r="B1185" s="117">
        <v>551</v>
      </c>
      <c r="C1185" s="130">
        <f t="shared" si="1279"/>
        <v>55100</v>
      </c>
      <c r="D1185" s="131" cm="1">
        <f ca="1" t="array" ref="D1185">IF(D1787=1,OFFSET($W$634,$B1185,D$631-1)/SUMPRODUCT(--($D$631:$V$631=D$631),--($D1787:$V1787=1)),0)+SUM(D1184)+IF(COUNTIF(D$1237:D1787,1)=1,5,0)+IF(COUNTIF(E1185:$W1185,"&gt;"&amp;0)&lt;5,IF(AND(COUNTIF(D$1237:D1787,1)&gt;7,MOD(1+IFERROR(MATCH($C1185,总览!$D$46:$D$345,1)+1,1),7)=0),$C$3,0),0)</f>
        <v>3422.52726840702</v>
      </c>
      <c r="E1185" s="131" cm="1">
        <f ca="1" t="array" ref="E1185">IF(E1787=1,OFFSET($W$634,$B1185,E$631-1)/SUMPRODUCT(--($D$631:$V$631=E$631),--($D1787:$V1787=1)),0)+SUM(E1184)+IF(COUNTIF(E$1237:E1787,1)=1,5,0)+IF(COUNTIF(F1185:$W1185,"&gt;"&amp;0)&lt;5,IF(AND(COUNTIF(E$1237:E1787,1)&gt;7,MOD(1+IFERROR(MATCH($C1185,总览!$D$46:$D$345,1)+1,1),7)=0),$C$3,0),0)</f>
        <v>3422.52726840702</v>
      </c>
      <c r="F1185" s="131" cm="1">
        <f ca="1" t="array" ref="F1185">IF(F1787=1,OFFSET($W$634,$B1185,F$631-1)/SUMPRODUCT(--($D$631:$V$631=F$631),--($D1787:$V1787=1)),0)+SUM(F1184)+IF(COUNTIF(F$1237:F1787,1)=1,5,0)+IF(COUNTIF(G1185:$W1185,"&gt;"&amp;0)&lt;5,IF(AND(COUNTIF(F$1237:F1787,1)&gt;7,MOD(1+IFERROR(MATCH($C1185,总览!$D$46:$D$345,1)+1,1),7)=0),$C$3,0),0)</f>
        <v>3422.52726840702</v>
      </c>
      <c r="G1185" s="131" cm="1">
        <f ca="1" t="array" ref="G1185">IF(G1787=1,OFFSET($W$634,$B1185,G$631-1)/SUMPRODUCT(--($D$631:$V$631=G$631),--($D1787:$V1787=1)),0)+SUM(G1184)+IF(COUNTIF(G$1237:G1787,1)=1,5,0)+IF(COUNTIF(H1185:$W1185,"&gt;"&amp;0)&lt;5,IF(AND(COUNTIF(G$1237:G1787,1)&gt;7,MOD(1+IFERROR(MATCH($C1185,总览!$D$46:$D$345,1)+1,1),7)=0),$C$3,0),0)</f>
        <v>1776.06666666665</v>
      </c>
      <c r="H1185" s="131" cm="1">
        <f ca="1" t="array" ref="H1185">IF(H1787=1,OFFSET($W$634,$B1185,H$631-1)/SUMPRODUCT(--($D$631:$V$631=H$631),--($D1787:$V1787=1)),0)+SUM(H1184)+IF(COUNTIF(H$1237:H1787,1)=1,5,0)+IF(COUNTIF(I1185:$W1185,"&gt;"&amp;0)&lt;5,IF(AND(COUNTIF(H$1237:H1787,1)&gt;7,MOD(1+IFERROR(MATCH($C1185,总览!$D$46:$D$345,1)+1,1),7)=0),$C$3,0),0)</f>
        <v>1776.06666666665</v>
      </c>
      <c r="I1185" s="131" cm="1">
        <f ca="1" t="array" ref="I1185">IF(I1787=1,OFFSET($W$634,$B1185,I$631-1)/SUMPRODUCT(--($D$631:$V$631=I$631),--($D1787:$V1787=1)),0)+SUM(I1184)+IF(COUNTIF(I$1237:I1787,1)=1,5,0)+IF(COUNTIF(J1185:$W1185,"&gt;"&amp;0)&lt;5,IF(AND(COUNTIF(I$1237:I1787,1)&gt;7,MOD(1+IFERROR(MATCH($C1185,总览!$D$46:$D$345,1)+1,1),7)=0),$C$3,0),0)</f>
        <v>1776.06666666665</v>
      </c>
      <c r="J1185" s="131" cm="1">
        <f ca="1" t="array" ref="J1185">IF(J1787=1,OFFSET($W$634,$B1185,J$631-1)/SUMPRODUCT(--($D$631:$V$631=J$631),--($D1787:$V1787=1)),0)+SUM(J1184)+IF(COUNTIF(J$1237:J1787,1)=1,5,0)+IF(COUNTIF(K1185:$W1185,"&gt;"&amp;0)&lt;5,IF(AND(COUNTIF(J$1237:J1787,1)&gt;7,MOD(1+IFERROR(MATCH($C1185,总览!$D$46:$D$345,1)+1,1),7)=0),$C$3,0),0)</f>
        <v>1772.73333333332</v>
      </c>
      <c r="K1185" s="131" cm="1">
        <f ca="1" t="array" ref="K1185">IF(K1787=1,OFFSET($W$634,$B1185,K$631-1)/SUMPRODUCT(--($D$631:$V$631=K$631),--($D1787:$V1787=1)),0)+SUM(K1184)+IF(COUNTIF(K$1237:K1787,1)=1,5,0)+IF(COUNTIF(L1185:$W1185,"&gt;"&amp;0)&lt;5,IF(AND(COUNTIF(K$1237:K1787,1)&gt;7,MOD(1+IFERROR(MATCH($C1185,总览!$D$46:$D$345,1)+1,1),7)=0),$C$3,0),0)</f>
        <v>1770.23333333332</v>
      </c>
      <c r="L1185" s="131" cm="1">
        <f ca="1" t="array" ref="L1185">IF(L1787=1,OFFSET($W$634,$B1185,L$631-1)/SUMPRODUCT(--($D$631:$V$631=L$631),--($D1787:$V1787=1)),0)+SUM(L1184)+IF(COUNTIF(L$1237:L1787,1)=1,5,0)+IF(COUNTIF(M1185:$W1185,"&gt;"&amp;0)&lt;5,IF(AND(COUNTIF(L$1237:L1787,1)&gt;7,MOD(1+IFERROR(MATCH($C1185,总览!$D$46:$D$345,1)+1,1),7)=0),$C$3,0),0)</f>
        <v>1770.23333333332</v>
      </c>
      <c r="M1185" s="131" cm="1">
        <f ca="1" t="array" ref="M1185">IF(M1787=1,OFFSET($W$634,$B1185,M$631-1)/SUMPRODUCT(--($D$631:$V$631=M$631),--($D1787:$V1787=1)),0)+SUM(M1184)+IF(COUNTIF(M$1237:M1787,1)=1,5,0)+IF(COUNTIF(N1185:$W1185,"&gt;"&amp;0)&lt;5,IF(AND(COUNTIF(M$1237:M1787,1)&gt;7,MOD(1+IFERROR(MATCH($C1185,总览!$D$46:$D$345,1)+1,1),7)=0),$C$3,0),0)</f>
        <v>744.89553571429</v>
      </c>
      <c r="N1185" s="131" cm="1">
        <f ca="1" t="array" ref="N1185">IF(N1787=1,OFFSET($W$634,$B1185,N$631-1)/SUMPRODUCT(--($D$631:$V$631=N$631),--($D1787:$V1787=1)),0)+SUM(N1184)+IF(COUNTIF(N$1237:N1787,1)=1,5,0)+IF(COUNTIF(O1185:$W1185,"&gt;"&amp;0)&lt;5,IF(AND(COUNTIF(N$1237:N1787,1)&gt;7,MOD(1+IFERROR(MATCH($C1185,总览!$D$46:$D$345,1)+1,1),7)=0),$C$3,0),0)</f>
        <v>746.14553571429</v>
      </c>
      <c r="O1185" s="131" cm="1">
        <f ca="1" t="array" ref="O1185">IF(O1787=1,OFFSET($W$634,$B1185,O$631-1)/SUMPRODUCT(--($D$631:$V$631=O$631),--($D1787:$V1787=1)),0)+SUM(O1184)+IF(COUNTIF(O$1237:O1787,1)=1,5,0)+IF(COUNTIF(P1185:$W1185,"&gt;"&amp;0)&lt;5,IF(AND(COUNTIF(O$1237:O1787,1)&gt;7,MOD(1+IFERROR(MATCH($C1185,总览!$D$46:$D$345,1)+1,1),7)=0),$C$3,0),0)</f>
        <v>751.14553571429</v>
      </c>
      <c r="P1185" s="131" cm="1">
        <f ca="1" t="array" ref="P1185">IF(P1787=1,OFFSET($W$634,$B1185,P$631-1)/SUMPRODUCT(--($D$631:$V$631=P$631),--($D1787:$V1787=1)),0)+SUM(P1184)+IF(COUNTIF(P$1237:P1787,1)=1,5,0)+IF(COUNTIF(Q1185:$W1185,"&gt;"&amp;0)&lt;5,IF(AND(COUNTIF(P$1237:P1787,1)&gt;7,MOD(1+IFERROR(MATCH($C1185,总览!$D$46:$D$345,1)+1,1),7)=0),$C$3,0),0)</f>
        <v>740.26428571429</v>
      </c>
      <c r="Q1185" s="131" cm="1">
        <f ca="1" t="array" ref="Q1185">IF(Q1787=1,OFFSET($W$634,$B1185,Q$631-1)/SUMPRODUCT(--($D$631:$V$631=Q$631),--($D1787:$V1787=1)),0)+SUM(Q1184)+IF(COUNTIF(Q$1237:Q1787,1)=1,5,0)+IF(COUNTIF(R1185:$W1185,"&gt;"&amp;0)&lt;5,IF(AND(COUNTIF(Q$1237:Q1787,1)&gt;7,MOD(1+IFERROR(MATCH($C1185,总览!$D$46:$D$345,1)+1,1),7)=0),$C$3,0),0)</f>
        <v>753.64553571429</v>
      </c>
      <c r="R1185" s="131" cm="1">
        <f ca="1" t="array" ref="R1185">IF(R1787=1,OFFSET($W$634,$B1185,R$631-1)/SUMPRODUCT(--($D$631:$V$631=R$631),--($D1787:$V1787=1)),0)+SUM(R1184)+IF(COUNTIF(R$1237:R1787,1)=1,5,0)+IF(COUNTIF(S1185:$W1185,"&gt;"&amp;0)&lt;5,IF(AND(COUNTIF(R$1237:R1787,1)&gt;7,MOD(1+IFERROR(MATCH($C1185,总览!$D$46:$D$345,1)+1,1),7)=0),$C$3,0),0)</f>
        <v>745.26428571429</v>
      </c>
      <c r="S1185" s="131" cm="1">
        <f ca="1" t="array" ref="S1185">IF(S1787=1,OFFSET($W$634,$B1185,S$631-1)/SUMPRODUCT(--($D$631:$V$631=S$631),--($D1787:$V1787=1)),0)+SUM(S1184)+IF(COUNTIF(S$1237:S1787,1)=1,5,0)+IF(COUNTIF(T1185:$W1185,"&gt;"&amp;0)&lt;5,IF(AND(COUNTIF(S$1237:S1787,1)&gt;7,MOD(1+IFERROR(MATCH($C1185,总览!$D$46:$D$345,1)+1,1),7)=0),$C$3,0),0)</f>
        <v>837.764285714291</v>
      </c>
      <c r="T1185" s="131" cm="1">
        <f ca="1" t="array" ref="T1185">IF(T1787=1,OFFSET($W$634,$B1185,T$631-1)/SUMPRODUCT(--($D$631:$V$631=T$631),--($D1787:$V1787=1)),0)+SUM(T1184)+IF(COUNTIF(T$1237:T1787,1)=1,5,0)+IF(COUNTIF(U1185:$W1185,"&gt;"&amp;0)&lt;5,IF(AND(COUNTIF(T$1237:T1787,1)&gt;7,MOD(1+IFERROR(MATCH($C1185,总览!$D$46:$D$345,1)+1,1),7)=0),$C$3,0),0)</f>
        <v>613.674874118679</v>
      </c>
      <c r="U1185" s="131" cm="1">
        <f ca="1" t="array" ref="U1185">IF(U1787=1,OFFSET($W$634,$B1185,U$631-1)/SUMPRODUCT(--($D$631:$V$631=U$631),--($D1787:$V1787=1)),0)+SUM(U1184)+IF(COUNTIF(U$1237:U1787,1)=1,5,0)+IF(COUNTIF(V1185:$W1185,"&gt;"&amp;0)&lt;5,IF(AND(COUNTIF(U$1237:U1787,1)&gt;7,MOD(1+IFERROR(MATCH($C1185,总览!$D$46:$D$345,1)+1,1),7)=0),$C$3,0),0)</f>
        <v>619.195660473978</v>
      </c>
      <c r="V1185" s="131" cm="1">
        <f ca="1" t="array" ref="V1185">IF(V1787=1,OFFSET($W$634,$B1185,V$631-1)/SUMPRODUCT(--($D$631:$V$631=V$631),--($D1787:$V1787=1)),0)+SUM(V1184)+IF(COUNTIF(V$1237:V1787,1)=1,5,0)+IF(COUNTIF(W1185:$W1185,"&gt;"&amp;0)&lt;5,IF(AND(COUNTIF(V$1237:V1787,1)&gt;7,MOD(1+IFERROR(MATCH($C1185,总览!$D$46:$D$345,1)+1,1),7)=0),$C$3,0),0)</f>
        <v>639.022660186411</v>
      </c>
      <c r="W1185" s="135" cm="1">
        <f ca="1" t="array" ref="W1185">SUMPRODUCT(TRANSPOSE($AA1185:$AG1185),OFFSET($L$9:$L$15,0,W$631-1))</f>
        <v>16.8502200646615</v>
      </c>
      <c r="X1185" s="135" cm="1">
        <f ca="1" t="array" ref="X1185">SUMPRODUCT(TRANSPOSE($AA1185:$AG1185),OFFSET($L$9:$L$15,0,X$631-1))</f>
        <v>20</v>
      </c>
      <c r="Y1185" s="135" cm="1">
        <f ca="1" t="array" ref="Y1185">SUMPRODUCT(TRANSPOSE($AA1185:$AG1185),OFFSET($L$9:$L$15,0,Y$631-1))</f>
        <v>10</v>
      </c>
      <c r="Z1185" s="135" cm="1">
        <f ca="1" t="array" ref="Z1185">SUMPRODUCT(TRANSPOSE($AA1185:$AG1185),OFFSET($L$9:$L$15,0,Z$631-1))</f>
        <v>3.14977993533847</v>
      </c>
      <c r="AA1185" s="136">
        <f ca="1" t="shared" ref="AA1185:AG1185" si="1357">AH1185-AH1184</f>
        <v>0</v>
      </c>
      <c r="AB1185" s="136">
        <f ca="1" t="shared" si="1357"/>
        <v>0</v>
      </c>
      <c r="AC1185" s="136">
        <f ca="1" t="shared" si="1357"/>
        <v>0</v>
      </c>
      <c r="AD1185" s="136">
        <f ca="1" t="shared" si="1357"/>
        <v>0</v>
      </c>
      <c r="AE1185" s="136">
        <f ca="1" t="shared" si="1357"/>
        <v>0</v>
      </c>
      <c r="AF1185" s="136">
        <f ca="1" t="shared" si="1357"/>
        <v>0</v>
      </c>
      <c r="AG1185" s="136">
        <f ca="1" t="shared" si="1357"/>
        <v>100</v>
      </c>
      <c r="AH1185" s="136">
        <f ca="1" t="shared" si="1281"/>
        <v>450</v>
      </c>
      <c r="AI1185" s="136">
        <f ca="1" t="shared" ref="AI1185:AN1185" si="1358">IF($C1185&gt;OFFSET($Q$8,MATCH(AI$634,$AH$634:$AN$634,0),0),OFFSET($P$8,MATCH(AI$634,$AH$634:$AN$634,0),0),MAX(0,$C1185-OFFSET($Q$8,RIGHT(AI$634,1)-1,0)))</f>
        <v>909</v>
      </c>
      <c r="AJ1185" s="136">
        <f ca="1" t="shared" si="1358"/>
        <v>1818</v>
      </c>
      <c r="AK1185" s="136">
        <f ca="1" t="shared" si="1358"/>
        <v>2727</v>
      </c>
      <c r="AL1185" s="136">
        <f ca="1" t="shared" si="1358"/>
        <v>3636</v>
      </c>
      <c r="AM1185" s="136">
        <f ca="1" t="shared" si="1358"/>
        <v>4545</v>
      </c>
      <c r="AN1185" s="136">
        <f ca="1" t="shared" si="1358"/>
        <v>41015</v>
      </c>
    </row>
    <row r="1186" s="106" customFormat="1" ht="16.5" spans="2:40">
      <c r="B1186" s="117">
        <v>552</v>
      </c>
      <c r="C1186" s="130">
        <f t="shared" si="1279"/>
        <v>55200</v>
      </c>
      <c r="D1186" s="131" cm="1">
        <f ca="1" t="array" ref="D1186">IF(D1788=1,OFFSET($W$634,$B1186,D$631-1)/SUMPRODUCT(--($D$631:$V$631=D$631),--($D1788:$V1788=1)),0)+SUM(D1185)+IF(COUNTIF(D$1237:D1788,1)=1,5,0)+IF(COUNTIF(E1186:$W1186,"&gt;"&amp;0)&lt;5,IF(AND(COUNTIF(D$1237:D1788,1)&gt;7,MOD(1+IFERROR(MATCH($C1186,总览!$D$46:$D$345,1)+1,1),7)=0),$C$3,0),0)</f>
        <v>3428.14400842857</v>
      </c>
      <c r="E1186" s="131" cm="1">
        <f ca="1" t="array" ref="E1186">IF(E1788=1,OFFSET($W$634,$B1186,E$631-1)/SUMPRODUCT(--($D$631:$V$631=E$631),--($D1788:$V1788=1)),0)+SUM(E1185)+IF(COUNTIF(E$1237:E1788,1)=1,5,0)+IF(COUNTIF(F1186:$W1186,"&gt;"&amp;0)&lt;5,IF(AND(COUNTIF(E$1237:E1788,1)&gt;7,MOD(1+IFERROR(MATCH($C1186,总览!$D$46:$D$345,1)+1,1),7)=0),$C$3,0),0)</f>
        <v>3428.14400842857</v>
      </c>
      <c r="F1186" s="131" cm="1">
        <f ca="1" t="array" ref="F1186">IF(F1788=1,OFFSET($W$634,$B1186,F$631-1)/SUMPRODUCT(--($D$631:$V$631=F$631),--($D1788:$V1788=1)),0)+SUM(F1185)+IF(COUNTIF(F$1237:F1788,1)=1,5,0)+IF(COUNTIF(G1186:$W1186,"&gt;"&amp;0)&lt;5,IF(AND(COUNTIF(F$1237:F1788,1)&gt;7,MOD(1+IFERROR(MATCH($C1186,总览!$D$46:$D$345,1)+1,1),7)=0),$C$3,0),0)</f>
        <v>3428.14400842857</v>
      </c>
      <c r="G1186" s="131" cm="1">
        <f ca="1" t="array" ref="G1186">IF(G1788=1,OFFSET($W$634,$B1186,G$631-1)/SUMPRODUCT(--($D$631:$V$631=G$631),--($D1788:$V1788=1)),0)+SUM(G1185)+IF(COUNTIF(G$1237:G1788,1)=1,5,0)+IF(COUNTIF(H1186:$W1186,"&gt;"&amp;0)&lt;5,IF(AND(COUNTIF(G$1237:G1788,1)&gt;7,MOD(1+IFERROR(MATCH($C1186,总览!$D$46:$D$345,1)+1,1),7)=0),$C$3,0),0)</f>
        <v>1779.39999999999</v>
      </c>
      <c r="H1186" s="131" cm="1">
        <f ca="1" t="array" ref="H1186">IF(H1788=1,OFFSET($W$634,$B1186,H$631-1)/SUMPRODUCT(--($D$631:$V$631=H$631),--($D1788:$V1788=1)),0)+SUM(H1185)+IF(COUNTIF(H$1237:H1788,1)=1,5,0)+IF(COUNTIF(I1186:$W1186,"&gt;"&amp;0)&lt;5,IF(AND(COUNTIF(H$1237:H1788,1)&gt;7,MOD(1+IFERROR(MATCH($C1186,总览!$D$46:$D$345,1)+1,1),7)=0),$C$3,0),0)</f>
        <v>1779.39999999999</v>
      </c>
      <c r="I1186" s="131" cm="1">
        <f ca="1" t="array" ref="I1186">IF(I1788=1,OFFSET($W$634,$B1186,I$631-1)/SUMPRODUCT(--($D$631:$V$631=I$631),--($D1788:$V1788=1)),0)+SUM(I1185)+IF(COUNTIF(I$1237:I1788,1)=1,5,0)+IF(COUNTIF(J1186:$W1186,"&gt;"&amp;0)&lt;5,IF(AND(COUNTIF(I$1237:I1788,1)&gt;7,MOD(1+IFERROR(MATCH($C1186,总览!$D$46:$D$345,1)+1,1),7)=0),$C$3,0),0)</f>
        <v>1779.39999999999</v>
      </c>
      <c r="J1186" s="131" cm="1">
        <f ca="1" t="array" ref="J1186">IF(J1788=1,OFFSET($W$634,$B1186,J$631-1)/SUMPRODUCT(--($D$631:$V$631=J$631),--($D1788:$V1788=1)),0)+SUM(J1185)+IF(COUNTIF(J$1237:J1788,1)=1,5,0)+IF(COUNTIF(K1186:$W1186,"&gt;"&amp;0)&lt;5,IF(AND(COUNTIF(J$1237:J1788,1)&gt;7,MOD(1+IFERROR(MATCH($C1186,总览!$D$46:$D$345,1)+1,1),7)=0),$C$3,0),0)</f>
        <v>1776.06666666665</v>
      </c>
      <c r="K1186" s="131" cm="1">
        <f ca="1" t="array" ref="K1186">IF(K1788=1,OFFSET($W$634,$B1186,K$631-1)/SUMPRODUCT(--($D$631:$V$631=K$631),--($D1788:$V1788=1)),0)+SUM(K1185)+IF(COUNTIF(K$1237:K1788,1)=1,5,0)+IF(COUNTIF(L1186:$W1186,"&gt;"&amp;0)&lt;5,IF(AND(COUNTIF(K$1237:K1788,1)&gt;7,MOD(1+IFERROR(MATCH($C1186,总览!$D$46:$D$345,1)+1,1),7)=0),$C$3,0),0)</f>
        <v>1773.56666666665</v>
      </c>
      <c r="L1186" s="131" cm="1">
        <f ca="1" t="array" ref="L1186">IF(L1788=1,OFFSET($W$634,$B1186,L$631-1)/SUMPRODUCT(--($D$631:$V$631=L$631),--($D1788:$V1788=1)),0)+SUM(L1185)+IF(COUNTIF(L$1237:L1788,1)=1,5,0)+IF(COUNTIF(M1186:$W1186,"&gt;"&amp;0)&lt;5,IF(AND(COUNTIF(L$1237:L1788,1)&gt;7,MOD(1+IFERROR(MATCH($C1186,总览!$D$46:$D$345,1)+1,1),7)=0),$C$3,0),0)</f>
        <v>1773.56666666665</v>
      </c>
      <c r="M1186" s="131" cm="1">
        <f ca="1" t="array" ref="M1186">IF(M1788=1,OFFSET($W$634,$B1186,M$631-1)/SUMPRODUCT(--($D$631:$V$631=M$631),--($D1788:$V1788=1)),0)+SUM(M1185)+IF(COUNTIF(M$1237:M1788,1)=1,5,0)+IF(COUNTIF(N1186:$W1186,"&gt;"&amp;0)&lt;5,IF(AND(COUNTIF(M$1237:M1788,1)&gt;7,MOD(1+IFERROR(MATCH($C1186,总览!$D$46:$D$345,1)+1,1),7)=0),$C$3,0),0)</f>
        <v>746.324107142862</v>
      </c>
      <c r="N1186" s="131" cm="1">
        <f ca="1" t="array" ref="N1186">IF(N1788=1,OFFSET($W$634,$B1186,N$631-1)/SUMPRODUCT(--($D$631:$V$631=N$631),--($D1788:$V1788=1)),0)+SUM(N1185)+IF(COUNTIF(N$1237:N1788,1)=1,5,0)+IF(COUNTIF(O1186:$W1186,"&gt;"&amp;0)&lt;5,IF(AND(COUNTIF(N$1237:N1788,1)&gt;7,MOD(1+IFERROR(MATCH($C1186,总览!$D$46:$D$345,1)+1,1),7)=0),$C$3,0),0)</f>
        <v>747.574107142862</v>
      </c>
      <c r="O1186" s="131" cm="1">
        <f ca="1" t="array" ref="O1186">IF(O1788=1,OFFSET($W$634,$B1186,O$631-1)/SUMPRODUCT(--($D$631:$V$631=O$631),--($D1788:$V1788=1)),0)+SUM(O1185)+IF(COUNTIF(O$1237:O1788,1)=1,5,0)+IF(COUNTIF(P1186:$W1186,"&gt;"&amp;0)&lt;5,IF(AND(COUNTIF(O$1237:O1788,1)&gt;7,MOD(1+IFERROR(MATCH($C1186,总览!$D$46:$D$345,1)+1,1),7)=0),$C$3,0),0)</f>
        <v>752.574107142862</v>
      </c>
      <c r="P1186" s="131" cm="1">
        <f ca="1" t="array" ref="P1186">IF(P1788=1,OFFSET($W$634,$B1186,P$631-1)/SUMPRODUCT(--($D$631:$V$631=P$631),--($D1788:$V1788=1)),0)+SUM(P1185)+IF(COUNTIF(P$1237:P1788,1)=1,5,0)+IF(COUNTIF(Q1186:$W1186,"&gt;"&amp;0)&lt;5,IF(AND(COUNTIF(P$1237:P1788,1)&gt;7,MOD(1+IFERROR(MATCH($C1186,总览!$D$46:$D$345,1)+1,1),7)=0),$C$3,0),0)</f>
        <v>741.692857142862</v>
      </c>
      <c r="Q1186" s="131" cm="1">
        <f ca="1" t="array" ref="Q1186">IF(Q1788=1,OFFSET($W$634,$B1186,Q$631-1)/SUMPRODUCT(--($D$631:$V$631=Q$631),--($D1788:$V1788=1)),0)+SUM(Q1185)+IF(COUNTIF(Q$1237:Q1788,1)=1,5,0)+IF(COUNTIF(R1186:$W1186,"&gt;"&amp;0)&lt;5,IF(AND(COUNTIF(Q$1237:Q1788,1)&gt;7,MOD(1+IFERROR(MATCH($C1186,总览!$D$46:$D$345,1)+1,1),7)=0),$C$3,0),0)</f>
        <v>755.074107142862</v>
      </c>
      <c r="R1186" s="131" cm="1">
        <f ca="1" t="array" ref="R1186">IF(R1788=1,OFFSET($W$634,$B1186,R$631-1)/SUMPRODUCT(--($D$631:$V$631=R$631),--($D1788:$V1788=1)),0)+SUM(R1185)+IF(COUNTIF(R$1237:R1788,1)=1,5,0)+IF(COUNTIF(S1186:$W1186,"&gt;"&amp;0)&lt;5,IF(AND(COUNTIF(R$1237:R1788,1)&gt;7,MOD(1+IFERROR(MATCH($C1186,总览!$D$46:$D$345,1)+1,1),7)=0),$C$3,0),0)</f>
        <v>746.692857142862</v>
      </c>
      <c r="S1186" s="131" cm="1">
        <f ca="1" t="array" ref="S1186">IF(S1788=1,OFFSET($W$634,$B1186,S$631-1)/SUMPRODUCT(--($D$631:$V$631=S$631),--($D1788:$V1788=1)),0)+SUM(S1185)+IF(COUNTIF(S$1237:S1788,1)=1,5,0)+IF(COUNTIF(T1186:$W1186,"&gt;"&amp;0)&lt;5,IF(AND(COUNTIF(S$1237:S1788,1)&gt;7,MOD(1+IFERROR(MATCH($C1186,总览!$D$46:$D$345,1)+1,1),7)=0),$C$3,0),0)</f>
        <v>839.192857142863</v>
      </c>
      <c r="T1186" s="131" cm="1">
        <f ca="1" t="array" ref="T1186">IF(T1788=1,OFFSET($W$634,$B1186,T$631-1)/SUMPRODUCT(--($D$631:$V$631=T$631),--($D1788:$V1788=1)),0)+SUM(T1185)+IF(COUNTIF(T$1237:T1788,1)=1,5,0)+IF(COUNTIF(U1186:$W1186,"&gt;"&amp;0)&lt;5,IF(AND(COUNTIF(T$1237:T1788,1)&gt;7,MOD(1+IFERROR(MATCH($C1186,总览!$D$46:$D$345,1)+1,1),7)=0),$C$3,0),0)</f>
        <v>614.724800763791</v>
      </c>
      <c r="U1186" s="131" cm="1">
        <f ca="1" t="array" ref="U1186">IF(U1788=1,OFFSET($W$634,$B1186,U$631-1)/SUMPRODUCT(--($D$631:$V$631=U$631),--($D1788:$V1788=1)),0)+SUM(U1185)+IF(COUNTIF(U$1237:U1788,1)=1,5,0)+IF(COUNTIF(V1186:$W1186,"&gt;"&amp;0)&lt;5,IF(AND(COUNTIF(U$1237:U1788,1)&gt;7,MOD(1+IFERROR(MATCH($C1186,总览!$D$46:$D$345,1)+1,1),7)=0),$C$3,0),0)</f>
        <v>620.245587119091</v>
      </c>
      <c r="V1186" s="131" cm="1">
        <f ca="1" t="array" ref="V1186">IF(V1788=1,OFFSET($W$634,$B1186,V$631-1)/SUMPRODUCT(--($D$631:$V$631=V$631),--($D1788:$V1788=1)),0)+SUM(V1185)+IF(COUNTIF(V$1237:V1788,1)=1,5,0)+IF(COUNTIF(W1186:$W1186,"&gt;"&amp;0)&lt;5,IF(AND(COUNTIF(V$1237:V1788,1)&gt;7,MOD(1+IFERROR(MATCH($C1186,总览!$D$46:$D$345,1)+1,1),7)=0),$C$3,0),0)</f>
        <v>640.072586831524</v>
      </c>
      <c r="W1186" s="135" cm="1">
        <f ca="1" t="array" ref="W1186">SUMPRODUCT(TRANSPOSE($AA1186:$AG1186),OFFSET($L$9:$L$15,0,W$631-1))</f>
        <v>16.8502200646615</v>
      </c>
      <c r="X1186" s="135" cm="1">
        <f ca="1" t="array" ref="X1186">SUMPRODUCT(TRANSPOSE($AA1186:$AG1186),OFFSET($L$9:$L$15,0,X$631-1))</f>
        <v>20</v>
      </c>
      <c r="Y1186" s="135" cm="1">
        <f ca="1" t="array" ref="Y1186">SUMPRODUCT(TRANSPOSE($AA1186:$AG1186),OFFSET($L$9:$L$15,0,Y$631-1))</f>
        <v>10</v>
      </c>
      <c r="Z1186" s="135" cm="1">
        <f ca="1" t="array" ref="Z1186">SUMPRODUCT(TRANSPOSE($AA1186:$AG1186),OFFSET($L$9:$L$15,0,Z$631-1))</f>
        <v>3.14977993533847</v>
      </c>
      <c r="AA1186" s="136">
        <f ca="1" t="shared" ref="AA1186:AG1186" si="1359">AH1186-AH1185</f>
        <v>0</v>
      </c>
      <c r="AB1186" s="136">
        <f ca="1" t="shared" si="1359"/>
        <v>0</v>
      </c>
      <c r="AC1186" s="136">
        <f ca="1" t="shared" si="1359"/>
        <v>0</v>
      </c>
      <c r="AD1186" s="136">
        <f ca="1" t="shared" si="1359"/>
        <v>0</v>
      </c>
      <c r="AE1186" s="136">
        <f ca="1" t="shared" si="1359"/>
        <v>0</v>
      </c>
      <c r="AF1186" s="136">
        <f ca="1" t="shared" si="1359"/>
        <v>0</v>
      </c>
      <c r="AG1186" s="136">
        <f ca="1" t="shared" si="1359"/>
        <v>100</v>
      </c>
      <c r="AH1186" s="136">
        <f ca="1" t="shared" si="1281"/>
        <v>450</v>
      </c>
      <c r="AI1186" s="136">
        <f ca="1" t="shared" ref="AI1186:AN1186" si="1360">IF($C1186&gt;OFFSET($Q$8,MATCH(AI$634,$AH$634:$AN$634,0),0),OFFSET($P$8,MATCH(AI$634,$AH$634:$AN$634,0),0),MAX(0,$C1186-OFFSET($Q$8,RIGHT(AI$634,1)-1,0)))</f>
        <v>909</v>
      </c>
      <c r="AJ1186" s="136">
        <f ca="1" t="shared" si="1360"/>
        <v>1818</v>
      </c>
      <c r="AK1186" s="136">
        <f ca="1" t="shared" si="1360"/>
        <v>2727</v>
      </c>
      <c r="AL1186" s="136">
        <f ca="1" t="shared" si="1360"/>
        <v>3636</v>
      </c>
      <c r="AM1186" s="136">
        <f ca="1" t="shared" si="1360"/>
        <v>4545</v>
      </c>
      <c r="AN1186" s="136">
        <f ca="1" t="shared" si="1360"/>
        <v>41115</v>
      </c>
    </row>
    <row r="1187" s="106" customFormat="1" ht="16.5" spans="2:40">
      <c r="B1187" s="117">
        <v>553</v>
      </c>
      <c r="C1187" s="130">
        <f t="shared" si="1279"/>
        <v>55300</v>
      </c>
      <c r="D1187" s="131" cm="1">
        <f ca="1" t="array" ref="D1187">IF(D1789=1,OFFSET($W$634,$B1187,D$631-1)/SUMPRODUCT(--($D$631:$V$631=D$631),--($D1789:$V1789=1)),0)+SUM(D1186)+IF(COUNTIF(D$1237:D1789,1)=1,5,0)+IF(COUNTIF(E1187:$W1187,"&gt;"&amp;0)&lt;5,IF(AND(COUNTIF(D$1237:D1789,1)&gt;7,MOD(1+IFERROR(MATCH($C1187,总览!$D$46:$D$345,1)+1,1),7)=0),$C$3,0),0)</f>
        <v>3433.76074845013</v>
      </c>
      <c r="E1187" s="131" cm="1">
        <f ca="1" t="array" ref="E1187">IF(E1789=1,OFFSET($W$634,$B1187,E$631-1)/SUMPRODUCT(--($D$631:$V$631=E$631),--($D1789:$V1789=1)),0)+SUM(E1186)+IF(COUNTIF(E$1237:E1789,1)=1,5,0)+IF(COUNTIF(F1187:$W1187,"&gt;"&amp;0)&lt;5,IF(AND(COUNTIF(E$1237:E1789,1)&gt;7,MOD(1+IFERROR(MATCH($C1187,总览!$D$46:$D$345,1)+1,1),7)=0),$C$3,0),0)</f>
        <v>3433.76074845013</v>
      </c>
      <c r="F1187" s="131" cm="1">
        <f ca="1" t="array" ref="F1187">IF(F1789=1,OFFSET($W$634,$B1187,F$631-1)/SUMPRODUCT(--($D$631:$V$631=F$631),--($D1789:$V1789=1)),0)+SUM(F1186)+IF(COUNTIF(F$1237:F1789,1)=1,5,0)+IF(COUNTIF(G1187:$W1187,"&gt;"&amp;0)&lt;5,IF(AND(COUNTIF(F$1237:F1789,1)&gt;7,MOD(1+IFERROR(MATCH($C1187,总览!$D$46:$D$345,1)+1,1),7)=0),$C$3,0),0)</f>
        <v>3433.76074845013</v>
      </c>
      <c r="G1187" s="131" cm="1">
        <f ca="1" t="array" ref="G1187">IF(G1789=1,OFFSET($W$634,$B1187,G$631-1)/SUMPRODUCT(--($D$631:$V$631=G$631),--($D1789:$V1789=1)),0)+SUM(G1186)+IF(COUNTIF(G$1237:G1789,1)=1,5,0)+IF(COUNTIF(H1187:$W1187,"&gt;"&amp;0)&lt;5,IF(AND(COUNTIF(G$1237:G1789,1)&gt;7,MOD(1+IFERROR(MATCH($C1187,总览!$D$46:$D$345,1)+1,1),7)=0),$C$3,0),0)</f>
        <v>1782.73333333332</v>
      </c>
      <c r="H1187" s="131" cm="1">
        <f ca="1" t="array" ref="H1187">IF(H1789=1,OFFSET($W$634,$B1187,H$631-1)/SUMPRODUCT(--($D$631:$V$631=H$631),--($D1789:$V1789=1)),0)+SUM(H1186)+IF(COUNTIF(H$1237:H1789,1)=1,5,0)+IF(COUNTIF(I1187:$W1187,"&gt;"&amp;0)&lt;5,IF(AND(COUNTIF(H$1237:H1789,1)&gt;7,MOD(1+IFERROR(MATCH($C1187,总览!$D$46:$D$345,1)+1,1),7)=0),$C$3,0),0)</f>
        <v>1782.73333333332</v>
      </c>
      <c r="I1187" s="131" cm="1">
        <f ca="1" t="array" ref="I1187">IF(I1789=1,OFFSET($W$634,$B1187,I$631-1)/SUMPRODUCT(--($D$631:$V$631=I$631),--($D1789:$V1789=1)),0)+SUM(I1186)+IF(COUNTIF(I$1237:I1789,1)=1,5,0)+IF(COUNTIF(J1187:$W1187,"&gt;"&amp;0)&lt;5,IF(AND(COUNTIF(I$1237:I1789,1)&gt;7,MOD(1+IFERROR(MATCH($C1187,总览!$D$46:$D$345,1)+1,1),7)=0),$C$3,0),0)</f>
        <v>1782.73333333332</v>
      </c>
      <c r="J1187" s="131" cm="1">
        <f ca="1" t="array" ref="J1187">IF(J1789=1,OFFSET($W$634,$B1187,J$631-1)/SUMPRODUCT(--($D$631:$V$631=J$631),--($D1789:$V1789=1)),0)+SUM(J1186)+IF(COUNTIF(J$1237:J1789,1)=1,5,0)+IF(COUNTIF(K1187:$W1187,"&gt;"&amp;0)&lt;5,IF(AND(COUNTIF(J$1237:J1789,1)&gt;7,MOD(1+IFERROR(MATCH($C1187,总览!$D$46:$D$345,1)+1,1),7)=0),$C$3,0),0)</f>
        <v>1779.39999999999</v>
      </c>
      <c r="K1187" s="131" cm="1">
        <f ca="1" t="array" ref="K1187">IF(K1789=1,OFFSET($W$634,$B1187,K$631-1)/SUMPRODUCT(--($D$631:$V$631=K$631),--($D1789:$V1789=1)),0)+SUM(K1186)+IF(COUNTIF(K$1237:K1789,1)=1,5,0)+IF(COUNTIF(L1187:$W1187,"&gt;"&amp;0)&lt;5,IF(AND(COUNTIF(K$1237:K1789,1)&gt;7,MOD(1+IFERROR(MATCH($C1187,总览!$D$46:$D$345,1)+1,1),7)=0),$C$3,0),0)</f>
        <v>1776.89999999999</v>
      </c>
      <c r="L1187" s="131" cm="1">
        <f ca="1" t="array" ref="L1187">IF(L1789=1,OFFSET($W$634,$B1187,L$631-1)/SUMPRODUCT(--($D$631:$V$631=L$631),--($D1789:$V1789=1)),0)+SUM(L1186)+IF(COUNTIF(L$1237:L1789,1)=1,5,0)+IF(COUNTIF(M1187:$W1187,"&gt;"&amp;0)&lt;5,IF(AND(COUNTIF(L$1237:L1789,1)&gt;7,MOD(1+IFERROR(MATCH($C1187,总览!$D$46:$D$345,1)+1,1),7)=0),$C$3,0),0)</f>
        <v>1776.89999999999</v>
      </c>
      <c r="M1187" s="131" cm="1">
        <f ca="1" t="array" ref="M1187">IF(M1789=1,OFFSET($W$634,$B1187,M$631-1)/SUMPRODUCT(--($D$631:$V$631=M$631),--($D1789:$V1789=1)),0)+SUM(M1186)+IF(COUNTIF(M$1237:M1789,1)=1,5,0)+IF(COUNTIF(N1187:$W1187,"&gt;"&amp;0)&lt;5,IF(AND(COUNTIF(M$1237:M1789,1)&gt;7,MOD(1+IFERROR(MATCH($C1187,总览!$D$46:$D$345,1)+1,1),7)=0),$C$3,0),0)</f>
        <v>747.752678571433</v>
      </c>
      <c r="N1187" s="131" cm="1">
        <f ca="1" t="array" ref="N1187">IF(N1789=1,OFFSET($W$634,$B1187,N$631-1)/SUMPRODUCT(--($D$631:$V$631=N$631),--($D1789:$V1789=1)),0)+SUM(N1186)+IF(COUNTIF(N$1237:N1789,1)=1,5,0)+IF(COUNTIF(O1187:$W1187,"&gt;"&amp;0)&lt;5,IF(AND(COUNTIF(N$1237:N1789,1)&gt;7,MOD(1+IFERROR(MATCH($C1187,总览!$D$46:$D$345,1)+1,1),7)=0),$C$3,0),0)</f>
        <v>749.002678571433</v>
      </c>
      <c r="O1187" s="131" cm="1">
        <f ca="1" t="array" ref="O1187">IF(O1789=1,OFFSET($W$634,$B1187,O$631-1)/SUMPRODUCT(--($D$631:$V$631=O$631),--($D1789:$V1789=1)),0)+SUM(O1186)+IF(COUNTIF(O$1237:O1789,1)=1,5,0)+IF(COUNTIF(P1187:$W1187,"&gt;"&amp;0)&lt;5,IF(AND(COUNTIF(O$1237:O1789,1)&gt;7,MOD(1+IFERROR(MATCH($C1187,总览!$D$46:$D$345,1)+1,1),7)=0),$C$3,0),0)</f>
        <v>754.002678571433</v>
      </c>
      <c r="P1187" s="131" cm="1">
        <f ca="1" t="array" ref="P1187">IF(P1789=1,OFFSET($W$634,$B1187,P$631-1)/SUMPRODUCT(--($D$631:$V$631=P$631),--($D1789:$V1789=1)),0)+SUM(P1186)+IF(COUNTIF(P$1237:P1789,1)=1,5,0)+IF(COUNTIF(Q1187:$W1187,"&gt;"&amp;0)&lt;5,IF(AND(COUNTIF(P$1237:P1789,1)&gt;7,MOD(1+IFERROR(MATCH($C1187,总览!$D$46:$D$345,1)+1,1),7)=0),$C$3,0),0)</f>
        <v>743.121428571433</v>
      </c>
      <c r="Q1187" s="131" cm="1">
        <f ca="1" t="array" ref="Q1187">IF(Q1789=1,OFFSET($W$634,$B1187,Q$631-1)/SUMPRODUCT(--($D$631:$V$631=Q$631),--($D1789:$V1789=1)),0)+SUM(Q1186)+IF(COUNTIF(Q$1237:Q1789,1)=1,5,0)+IF(COUNTIF(R1187:$W1187,"&gt;"&amp;0)&lt;5,IF(AND(COUNTIF(Q$1237:Q1789,1)&gt;7,MOD(1+IFERROR(MATCH($C1187,总览!$D$46:$D$345,1)+1,1),7)=0),$C$3,0),0)</f>
        <v>756.502678571433</v>
      </c>
      <c r="R1187" s="131" cm="1">
        <f ca="1" t="array" ref="R1187">IF(R1789=1,OFFSET($W$634,$B1187,R$631-1)/SUMPRODUCT(--($D$631:$V$631=R$631),--($D1789:$V1789=1)),0)+SUM(R1186)+IF(COUNTIF(R$1237:R1789,1)=1,5,0)+IF(COUNTIF(S1187:$W1187,"&gt;"&amp;0)&lt;5,IF(AND(COUNTIF(R$1237:R1789,1)&gt;7,MOD(1+IFERROR(MATCH($C1187,总览!$D$46:$D$345,1)+1,1),7)=0),$C$3,0),0)</f>
        <v>748.121428571433</v>
      </c>
      <c r="S1187" s="131" cm="1">
        <f ca="1" t="array" ref="S1187">IF(S1789=1,OFFSET($W$634,$B1187,S$631-1)/SUMPRODUCT(--($D$631:$V$631=S$631),--($D1789:$V1789=1)),0)+SUM(S1186)+IF(COUNTIF(S$1237:S1789,1)=1,5,0)+IF(COUNTIF(T1187:$W1187,"&gt;"&amp;0)&lt;5,IF(AND(COUNTIF(S$1237:S1789,1)&gt;7,MOD(1+IFERROR(MATCH($C1187,总览!$D$46:$D$345,1)+1,1),7)=0),$C$3,0),0)</f>
        <v>840.621428571434</v>
      </c>
      <c r="T1187" s="131" cm="1">
        <f ca="1" t="array" ref="T1187">IF(T1789=1,OFFSET($W$634,$B1187,T$631-1)/SUMPRODUCT(--($D$631:$V$631=T$631),--($D1789:$V1789=1)),0)+SUM(T1186)+IF(COUNTIF(T$1237:T1789,1)=1,5,0)+IF(COUNTIF(U1187:$W1187,"&gt;"&amp;0)&lt;5,IF(AND(COUNTIF(T$1237:T1789,1)&gt;7,MOD(1+IFERROR(MATCH($C1187,总览!$D$46:$D$345,1)+1,1),7)=0),$C$3,0),0)</f>
        <v>615.774727408904</v>
      </c>
      <c r="U1187" s="131" cm="1">
        <f ca="1" t="array" ref="U1187">IF(U1789=1,OFFSET($W$634,$B1187,U$631-1)/SUMPRODUCT(--($D$631:$V$631=U$631),--($D1789:$V1789=1)),0)+SUM(U1186)+IF(COUNTIF(U$1237:U1789,1)=1,5,0)+IF(COUNTIF(V1187:$W1187,"&gt;"&amp;0)&lt;5,IF(AND(COUNTIF(U$1237:U1789,1)&gt;7,MOD(1+IFERROR(MATCH($C1187,总览!$D$46:$D$345,1)+1,1),7)=0),$C$3,0),0)</f>
        <v>621.295513764204</v>
      </c>
      <c r="V1187" s="131" cm="1">
        <f ca="1" t="array" ref="V1187">IF(V1789=1,OFFSET($W$634,$B1187,V$631-1)/SUMPRODUCT(--($D$631:$V$631=V$631),--($D1789:$V1789=1)),0)+SUM(V1186)+IF(COUNTIF(V$1237:V1789,1)=1,5,0)+IF(COUNTIF(W1187:$W1187,"&gt;"&amp;0)&lt;5,IF(AND(COUNTIF(V$1237:V1789,1)&gt;7,MOD(1+IFERROR(MATCH($C1187,总览!$D$46:$D$345,1)+1,1),7)=0),$C$3,0),0)</f>
        <v>641.122513476637</v>
      </c>
      <c r="W1187" s="135" cm="1">
        <f ca="1" t="array" ref="W1187">SUMPRODUCT(TRANSPOSE($AA1187:$AG1187),OFFSET($L$9:$L$15,0,W$631-1))</f>
        <v>16.8502200646615</v>
      </c>
      <c r="X1187" s="135" cm="1">
        <f ca="1" t="array" ref="X1187">SUMPRODUCT(TRANSPOSE($AA1187:$AG1187),OFFSET($L$9:$L$15,0,X$631-1))</f>
        <v>20</v>
      </c>
      <c r="Y1187" s="135" cm="1">
        <f ca="1" t="array" ref="Y1187">SUMPRODUCT(TRANSPOSE($AA1187:$AG1187),OFFSET($L$9:$L$15,0,Y$631-1))</f>
        <v>10</v>
      </c>
      <c r="Z1187" s="135" cm="1">
        <f ca="1" t="array" ref="Z1187">SUMPRODUCT(TRANSPOSE($AA1187:$AG1187),OFFSET($L$9:$L$15,0,Z$631-1))</f>
        <v>3.14977993533847</v>
      </c>
      <c r="AA1187" s="136">
        <f ca="1" t="shared" ref="AA1187:AG1187" si="1361">AH1187-AH1186</f>
        <v>0</v>
      </c>
      <c r="AB1187" s="136">
        <f ca="1" t="shared" si="1361"/>
        <v>0</v>
      </c>
      <c r="AC1187" s="136">
        <f ca="1" t="shared" si="1361"/>
        <v>0</v>
      </c>
      <c r="AD1187" s="136">
        <f ca="1" t="shared" si="1361"/>
        <v>0</v>
      </c>
      <c r="AE1187" s="136">
        <f ca="1" t="shared" si="1361"/>
        <v>0</v>
      </c>
      <c r="AF1187" s="136">
        <f ca="1" t="shared" si="1361"/>
        <v>0</v>
      </c>
      <c r="AG1187" s="136">
        <f ca="1" t="shared" si="1361"/>
        <v>100</v>
      </c>
      <c r="AH1187" s="136">
        <f ca="1" t="shared" si="1281"/>
        <v>450</v>
      </c>
      <c r="AI1187" s="136">
        <f ca="1" t="shared" ref="AI1187:AN1187" si="1362">IF($C1187&gt;OFFSET($Q$8,MATCH(AI$634,$AH$634:$AN$634,0),0),OFFSET($P$8,MATCH(AI$634,$AH$634:$AN$634,0),0),MAX(0,$C1187-OFFSET($Q$8,RIGHT(AI$634,1)-1,0)))</f>
        <v>909</v>
      </c>
      <c r="AJ1187" s="136">
        <f ca="1" t="shared" si="1362"/>
        <v>1818</v>
      </c>
      <c r="AK1187" s="136">
        <f ca="1" t="shared" si="1362"/>
        <v>2727</v>
      </c>
      <c r="AL1187" s="136">
        <f ca="1" t="shared" si="1362"/>
        <v>3636</v>
      </c>
      <c r="AM1187" s="136">
        <f ca="1" t="shared" si="1362"/>
        <v>4545</v>
      </c>
      <c r="AN1187" s="136">
        <f ca="1" t="shared" si="1362"/>
        <v>41215</v>
      </c>
    </row>
    <row r="1188" s="106" customFormat="1" ht="16.5" spans="2:40">
      <c r="B1188" s="117">
        <v>554</v>
      </c>
      <c r="C1188" s="130">
        <f t="shared" si="1279"/>
        <v>55400</v>
      </c>
      <c r="D1188" s="131" cm="1">
        <f ca="1" t="array" ref="D1188">IF(D1790=1,OFFSET($W$634,$B1188,D$631-1)/SUMPRODUCT(--($D$631:$V$631=D$631),--($D1790:$V1790=1)),0)+SUM(D1187)+IF(COUNTIF(D$1237:D1790,1)=1,5,0)+IF(COUNTIF(E1188:$W1188,"&gt;"&amp;0)&lt;5,IF(AND(COUNTIF(D$1237:D1790,1)&gt;7,MOD(1+IFERROR(MATCH($C1188,总览!$D$46:$D$345,1)+1,1),7)=0),$C$3,0),0)</f>
        <v>3439.37748847168</v>
      </c>
      <c r="E1188" s="131" cm="1">
        <f ca="1" t="array" ref="E1188">IF(E1790=1,OFFSET($W$634,$B1188,E$631-1)/SUMPRODUCT(--($D$631:$V$631=E$631),--($D1790:$V1790=1)),0)+SUM(E1187)+IF(COUNTIF(E$1237:E1790,1)=1,5,0)+IF(COUNTIF(F1188:$W1188,"&gt;"&amp;0)&lt;5,IF(AND(COUNTIF(E$1237:E1790,1)&gt;7,MOD(1+IFERROR(MATCH($C1188,总览!$D$46:$D$345,1)+1,1),7)=0),$C$3,0),0)</f>
        <v>3439.37748847168</v>
      </c>
      <c r="F1188" s="131" cm="1">
        <f ca="1" t="array" ref="F1188">IF(F1790=1,OFFSET($W$634,$B1188,F$631-1)/SUMPRODUCT(--($D$631:$V$631=F$631),--($D1790:$V1790=1)),0)+SUM(F1187)+IF(COUNTIF(F$1237:F1790,1)=1,5,0)+IF(COUNTIF(G1188:$W1188,"&gt;"&amp;0)&lt;5,IF(AND(COUNTIF(F$1237:F1790,1)&gt;7,MOD(1+IFERROR(MATCH($C1188,总览!$D$46:$D$345,1)+1,1),7)=0),$C$3,0),0)</f>
        <v>3439.37748847168</v>
      </c>
      <c r="G1188" s="131" cm="1">
        <f ca="1" t="array" ref="G1188">IF(G1790=1,OFFSET($W$634,$B1188,G$631-1)/SUMPRODUCT(--($D$631:$V$631=G$631),--($D1790:$V1790=1)),0)+SUM(G1187)+IF(COUNTIF(G$1237:G1790,1)=1,5,0)+IF(COUNTIF(H1188:$W1188,"&gt;"&amp;0)&lt;5,IF(AND(COUNTIF(G$1237:G1790,1)&gt;7,MOD(1+IFERROR(MATCH($C1188,总览!$D$46:$D$345,1)+1,1),7)=0),$C$3,0),0)</f>
        <v>1786.06666666665</v>
      </c>
      <c r="H1188" s="131" cm="1">
        <f ca="1" t="array" ref="H1188">IF(H1790=1,OFFSET($W$634,$B1188,H$631-1)/SUMPRODUCT(--($D$631:$V$631=H$631),--($D1790:$V1790=1)),0)+SUM(H1187)+IF(COUNTIF(H$1237:H1790,1)=1,5,0)+IF(COUNTIF(I1188:$W1188,"&gt;"&amp;0)&lt;5,IF(AND(COUNTIF(H$1237:H1790,1)&gt;7,MOD(1+IFERROR(MATCH($C1188,总览!$D$46:$D$345,1)+1,1),7)=0),$C$3,0),0)</f>
        <v>1786.06666666665</v>
      </c>
      <c r="I1188" s="131" cm="1">
        <f ca="1" t="array" ref="I1188">IF(I1790=1,OFFSET($W$634,$B1188,I$631-1)/SUMPRODUCT(--($D$631:$V$631=I$631),--($D1790:$V1790=1)),0)+SUM(I1187)+IF(COUNTIF(I$1237:I1790,1)=1,5,0)+IF(COUNTIF(J1188:$W1188,"&gt;"&amp;0)&lt;5,IF(AND(COUNTIF(I$1237:I1790,1)&gt;7,MOD(1+IFERROR(MATCH($C1188,总览!$D$46:$D$345,1)+1,1),7)=0),$C$3,0),0)</f>
        <v>1786.06666666665</v>
      </c>
      <c r="J1188" s="131" cm="1">
        <f ca="1" t="array" ref="J1188">IF(J1790=1,OFFSET($W$634,$B1188,J$631-1)/SUMPRODUCT(--($D$631:$V$631=J$631),--($D1790:$V1790=1)),0)+SUM(J1187)+IF(COUNTIF(J$1237:J1790,1)=1,5,0)+IF(COUNTIF(K1188:$W1188,"&gt;"&amp;0)&lt;5,IF(AND(COUNTIF(J$1237:J1790,1)&gt;7,MOD(1+IFERROR(MATCH($C1188,总览!$D$46:$D$345,1)+1,1),7)=0),$C$3,0),0)</f>
        <v>1782.73333333332</v>
      </c>
      <c r="K1188" s="131" cm="1">
        <f ca="1" t="array" ref="K1188">IF(K1790=1,OFFSET($W$634,$B1188,K$631-1)/SUMPRODUCT(--($D$631:$V$631=K$631),--($D1790:$V1790=1)),0)+SUM(K1187)+IF(COUNTIF(K$1237:K1790,1)=1,5,0)+IF(COUNTIF(L1188:$W1188,"&gt;"&amp;0)&lt;5,IF(AND(COUNTIF(K$1237:K1790,1)&gt;7,MOD(1+IFERROR(MATCH($C1188,总览!$D$46:$D$345,1)+1,1),7)=0),$C$3,0),0)</f>
        <v>1780.23333333332</v>
      </c>
      <c r="L1188" s="131" cm="1">
        <f ca="1" t="array" ref="L1188">IF(L1790=1,OFFSET($W$634,$B1188,L$631-1)/SUMPRODUCT(--($D$631:$V$631=L$631),--($D1790:$V1790=1)),0)+SUM(L1187)+IF(COUNTIF(L$1237:L1790,1)=1,5,0)+IF(COUNTIF(M1188:$W1188,"&gt;"&amp;0)&lt;5,IF(AND(COUNTIF(L$1237:L1790,1)&gt;7,MOD(1+IFERROR(MATCH($C1188,总览!$D$46:$D$345,1)+1,1),7)=0),$C$3,0),0)</f>
        <v>1780.23333333332</v>
      </c>
      <c r="M1188" s="131" cm="1">
        <f ca="1" t="array" ref="M1188">IF(M1790=1,OFFSET($W$634,$B1188,M$631-1)/SUMPRODUCT(--($D$631:$V$631=M$631),--($D1790:$V1790=1)),0)+SUM(M1187)+IF(COUNTIF(M$1237:M1790,1)=1,5,0)+IF(COUNTIF(N1188:$W1188,"&gt;"&amp;0)&lt;5,IF(AND(COUNTIF(M$1237:M1790,1)&gt;7,MOD(1+IFERROR(MATCH($C1188,总览!$D$46:$D$345,1)+1,1),7)=0),$C$3,0),0)</f>
        <v>749.181250000004</v>
      </c>
      <c r="N1188" s="131" cm="1">
        <f ca="1" t="array" ref="N1188">IF(N1790=1,OFFSET($W$634,$B1188,N$631-1)/SUMPRODUCT(--($D$631:$V$631=N$631),--($D1790:$V1790=1)),0)+SUM(N1187)+IF(COUNTIF(N$1237:N1790,1)=1,5,0)+IF(COUNTIF(O1188:$W1188,"&gt;"&amp;0)&lt;5,IF(AND(COUNTIF(N$1237:N1790,1)&gt;7,MOD(1+IFERROR(MATCH($C1188,总览!$D$46:$D$345,1)+1,1),7)=0),$C$3,0),0)</f>
        <v>750.431250000004</v>
      </c>
      <c r="O1188" s="131" cm="1">
        <f ca="1" t="array" ref="O1188">IF(O1790=1,OFFSET($W$634,$B1188,O$631-1)/SUMPRODUCT(--($D$631:$V$631=O$631),--($D1790:$V1790=1)),0)+SUM(O1187)+IF(COUNTIF(O$1237:O1790,1)=1,5,0)+IF(COUNTIF(P1188:$W1188,"&gt;"&amp;0)&lt;5,IF(AND(COUNTIF(O$1237:O1790,1)&gt;7,MOD(1+IFERROR(MATCH($C1188,总览!$D$46:$D$345,1)+1,1),7)=0),$C$3,0),0)</f>
        <v>755.431250000004</v>
      </c>
      <c r="P1188" s="131" cm="1">
        <f ca="1" t="array" ref="P1188">IF(P1790=1,OFFSET($W$634,$B1188,P$631-1)/SUMPRODUCT(--($D$631:$V$631=P$631),--($D1790:$V1790=1)),0)+SUM(P1187)+IF(COUNTIF(P$1237:P1790,1)=1,5,0)+IF(COUNTIF(Q1188:$W1188,"&gt;"&amp;0)&lt;5,IF(AND(COUNTIF(P$1237:P1790,1)&gt;7,MOD(1+IFERROR(MATCH($C1188,总览!$D$46:$D$345,1)+1,1),7)=0),$C$3,0),0)</f>
        <v>744.550000000004</v>
      </c>
      <c r="Q1188" s="131" cm="1">
        <f ca="1" t="array" ref="Q1188">IF(Q1790=1,OFFSET($W$634,$B1188,Q$631-1)/SUMPRODUCT(--($D$631:$V$631=Q$631),--($D1790:$V1790=1)),0)+SUM(Q1187)+IF(COUNTIF(Q$1237:Q1790,1)=1,5,0)+IF(COUNTIF(R1188:$W1188,"&gt;"&amp;0)&lt;5,IF(AND(COUNTIF(Q$1237:Q1790,1)&gt;7,MOD(1+IFERROR(MATCH($C1188,总览!$D$46:$D$345,1)+1,1),7)=0),$C$3,0),0)</f>
        <v>757.931250000004</v>
      </c>
      <c r="R1188" s="131" cm="1">
        <f ca="1" t="array" ref="R1188">IF(R1790=1,OFFSET($W$634,$B1188,R$631-1)/SUMPRODUCT(--($D$631:$V$631=R$631),--($D1790:$V1790=1)),0)+SUM(R1187)+IF(COUNTIF(R$1237:R1790,1)=1,5,0)+IF(COUNTIF(S1188:$W1188,"&gt;"&amp;0)&lt;5,IF(AND(COUNTIF(R$1237:R1790,1)&gt;7,MOD(1+IFERROR(MATCH($C1188,总览!$D$46:$D$345,1)+1,1),7)=0),$C$3,0),0)</f>
        <v>749.550000000004</v>
      </c>
      <c r="S1188" s="131" cm="1">
        <f ca="1" t="array" ref="S1188">IF(S1790=1,OFFSET($W$634,$B1188,S$631-1)/SUMPRODUCT(--($D$631:$V$631=S$631),--($D1790:$V1790=1)),0)+SUM(S1187)+IF(COUNTIF(S$1237:S1790,1)=1,5,0)+IF(COUNTIF(T1188:$W1188,"&gt;"&amp;0)&lt;5,IF(AND(COUNTIF(S$1237:S1790,1)&gt;7,MOD(1+IFERROR(MATCH($C1188,总览!$D$46:$D$345,1)+1,1),7)=0),$C$3,0),0)</f>
        <v>842.050000000006</v>
      </c>
      <c r="T1188" s="131" cm="1">
        <f ca="1" t="array" ref="T1188">IF(T1790=1,OFFSET($W$634,$B1188,T$631-1)/SUMPRODUCT(--($D$631:$V$631=T$631),--($D1790:$V1790=1)),0)+SUM(T1187)+IF(COUNTIF(T$1237:T1790,1)=1,5,0)+IF(COUNTIF(U1188:$W1188,"&gt;"&amp;0)&lt;5,IF(AND(COUNTIF(T$1237:T1790,1)&gt;7,MOD(1+IFERROR(MATCH($C1188,总览!$D$46:$D$345,1)+1,1),7)=0),$C$3,0),0)</f>
        <v>616.824654054017</v>
      </c>
      <c r="U1188" s="131" cm="1">
        <f ca="1" t="array" ref="U1188">IF(U1790=1,OFFSET($W$634,$B1188,U$631-1)/SUMPRODUCT(--($D$631:$V$631=U$631),--($D1790:$V1790=1)),0)+SUM(U1187)+IF(COUNTIF(U$1237:U1790,1)=1,5,0)+IF(COUNTIF(V1188:$W1188,"&gt;"&amp;0)&lt;5,IF(AND(COUNTIF(U$1237:U1790,1)&gt;7,MOD(1+IFERROR(MATCH($C1188,总览!$D$46:$D$345,1)+1,1),7)=0),$C$3,0),0)</f>
        <v>622.345440409316</v>
      </c>
      <c r="V1188" s="131" cm="1">
        <f ca="1" t="array" ref="V1188">IF(V1790=1,OFFSET($W$634,$B1188,V$631-1)/SUMPRODUCT(--($D$631:$V$631=V$631),--($D1790:$V1790=1)),0)+SUM(V1187)+IF(COUNTIF(V$1237:V1790,1)=1,5,0)+IF(COUNTIF(W1188:$W1188,"&gt;"&amp;0)&lt;5,IF(AND(COUNTIF(V$1237:V1790,1)&gt;7,MOD(1+IFERROR(MATCH($C1188,总览!$D$46:$D$345,1)+1,1),7)=0),$C$3,0),0)</f>
        <v>642.172440121749</v>
      </c>
      <c r="W1188" s="135" cm="1">
        <f ca="1" t="array" ref="W1188">SUMPRODUCT(TRANSPOSE($AA1188:$AG1188),OFFSET($L$9:$L$15,0,W$631-1))</f>
        <v>16.8502200646615</v>
      </c>
      <c r="X1188" s="135" cm="1">
        <f ca="1" t="array" ref="X1188">SUMPRODUCT(TRANSPOSE($AA1188:$AG1188),OFFSET($L$9:$L$15,0,X$631-1))</f>
        <v>20</v>
      </c>
      <c r="Y1188" s="135" cm="1">
        <f ca="1" t="array" ref="Y1188">SUMPRODUCT(TRANSPOSE($AA1188:$AG1188),OFFSET($L$9:$L$15,0,Y$631-1))</f>
        <v>10</v>
      </c>
      <c r="Z1188" s="135" cm="1">
        <f ca="1" t="array" ref="Z1188">SUMPRODUCT(TRANSPOSE($AA1188:$AG1188),OFFSET($L$9:$L$15,0,Z$631-1))</f>
        <v>3.14977993533847</v>
      </c>
      <c r="AA1188" s="136">
        <f ca="1" t="shared" ref="AA1188:AG1188" si="1363">AH1188-AH1187</f>
        <v>0</v>
      </c>
      <c r="AB1188" s="136">
        <f ca="1" t="shared" si="1363"/>
        <v>0</v>
      </c>
      <c r="AC1188" s="136">
        <f ca="1" t="shared" si="1363"/>
        <v>0</v>
      </c>
      <c r="AD1188" s="136">
        <f ca="1" t="shared" si="1363"/>
        <v>0</v>
      </c>
      <c r="AE1188" s="136">
        <f ca="1" t="shared" si="1363"/>
        <v>0</v>
      </c>
      <c r="AF1188" s="136">
        <f ca="1" t="shared" si="1363"/>
        <v>0</v>
      </c>
      <c r="AG1188" s="136">
        <f ca="1" t="shared" si="1363"/>
        <v>100</v>
      </c>
      <c r="AH1188" s="136">
        <f ca="1" t="shared" si="1281"/>
        <v>450</v>
      </c>
      <c r="AI1188" s="136">
        <f ca="1" t="shared" ref="AI1188:AN1188" si="1364">IF($C1188&gt;OFFSET($Q$8,MATCH(AI$634,$AH$634:$AN$634,0),0),OFFSET($P$8,MATCH(AI$634,$AH$634:$AN$634,0),0),MAX(0,$C1188-OFFSET($Q$8,RIGHT(AI$634,1)-1,0)))</f>
        <v>909</v>
      </c>
      <c r="AJ1188" s="136">
        <f ca="1" t="shared" si="1364"/>
        <v>1818</v>
      </c>
      <c r="AK1188" s="136">
        <f ca="1" t="shared" si="1364"/>
        <v>2727</v>
      </c>
      <c r="AL1188" s="136">
        <f ca="1" t="shared" si="1364"/>
        <v>3636</v>
      </c>
      <c r="AM1188" s="136">
        <f ca="1" t="shared" si="1364"/>
        <v>4545</v>
      </c>
      <c r="AN1188" s="136">
        <f ca="1" t="shared" si="1364"/>
        <v>41315</v>
      </c>
    </row>
    <row r="1189" s="106" customFormat="1" ht="16.5" spans="2:40">
      <c r="B1189" s="117">
        <v>555</v>
      </c>
      <c r="C1189" s="130">
        <f t="shared" si="1279"/>
        <v>55500</v>
      </c>
      <c r="D1189" s="131" cm="1">
        <f ca="1" t="array" ref="D1189">IF(D1791=1,OFFSET($W$634,$B1189,D$631-1)/SUMPRODUCT(--($D$631:$V$631=D$631),--($D1791:$V1791=1)),0)+SUM(D1188)+IF(COUNTIF(D$1237:D1791,1)=1,5,0)+IF(COUNTIF(E1189:$W1189,"&gt;"&amp;0)&lt;5,IF(AND(COUNTIF(D$1237:D1791,1)&gt;7,MOD(1+IFERROR(MATCH($C1189,总览!$D$46:$D$345,1)+1,1),7)=0),$C$3,0),0)</f>
        <v>3444.99422849324</v>
      </c>
      <c r="E1189" s="131" cm="1">
        <f ca="1" t="array" ref="E1189">IF(E1791=1,OFFSET($W$634,$B1189,E$631-1)/SUMPRODUCT(--($D$631:$V$631=E$631),--($D1791:$V1791=1)),0)+SUM(E1188)+IF(COUNTIF(E$1237:E1791,1)=1,5,0)+IF(COUNTIF(F1189:$W1189,"&gt;"&amp;0)&lt;5,IF(AND(COUNTIF(E$1237:E1791,1)&gt;7,MOD(1+IFERROR(MATCH($C1189,总览!$D$46:$D$345,1)+1,1),7)=0),$C$3,0),0)</f>
        <v>3444.99422849324</v>
      </c>
      <c r="F1189" s="131" cm="1">
        <f ca="1" t="array" ref="F1189">IF(F1791=1,OFFSET($W$634,$B1189,F$631-1)/SUMPRODUCT(--($D$631:$V$631=F$631),--($D1791:$V1791=1)),0)+SUM(F1188)+IF(COUNTIF(F$1237:F1791,1)=1,5,0)+IF(COUNTIF(G1189:$W1189,"&gt;"&amp;0)&lt;5,IF(AND(COUNTIF(F$1237:F1791,1)&gt;7,MOD(1+IFERROR(MATCH($C1189,总览!$D$46:$D$345,1)+1,1),7)=0),$C$3,0),0)</f>
        <v>3444.99422849324</v>
      </c>
      <c r="G1189" s="131" cm="1">
        <f ca="1" t="array" ref="G1189">IF(G1791=1,OFFSET($W$634,$B1189,G$631-1)/SUMPRODUCT(--($D$631:$V$631=G$631),--($D1791:$V1791=1)),0)+SUM(G1188)+IF(COUNTIF(G$1237:G1791,1)=1,5,0)+IF(COUNTIF(H1189:$W1189,"&gt;"&amp;0)&lt;5,IF(AND(COUNTIF(G$1237:G1791,1)&gt;7,MOD(1+IFERROR(MATCH($C1189,总览!$D$46:$D$345,1)+1,1),7)=0),$C$3,0),0)</f>
        <v>1789.39999999999</v>
      </c>
      <c r="H1189" s="131" cm="1">
        <f ca="1" t="array" ref="H1189">IF(H1791=1,OFFSET($W$634,$B1189,H$631-1)/SUMPRODUCT(--($D$631:$V$631=H$631),--($D1791:$V1791=1)),0)+SUM(H1188)+IF(COUNTIF(H$1237:H1791,1)=1,5,0)+IF(COUNTIF(I1189:$W1189,"&gt;"&amp;0)&lt;5,IF(AND(COUNTIF(H$1237:H1791,1)&gt;7,MOD(1+IFERROR(MATCH($C1189,总览!$D$46:$D$345,1)+1,1),7)=0),$C$3,0),0)</f>
        <v>1789.39999999999</v>
      </c>
      <c r="I1189" s="131" cm="1">
        <f ca="1" t="array" ref="I1189">IF(I1791=1,OFFSET($W$634,$B1189,I$631-1)/SUMPRODUCT(--($D$631:$V$631=I$631),--($D1791:$V1791=1)),0)+SUM(I1188)+IF(COUNTIF(I$1237:I1791,1)=1,5,0)+IF(COUNTIF(J1189:$W1189,"&gt;"&amp;0)&lt;5,IF(AND(COUNTIF(I$1237:I1791,1)&gt;7,MOD(1+IFERROR(MATCH($C1189,总览!$D$46:$D$345,1)+1,1),7)=0),$C$3,0),0)</f>
        <v>1789.39999999999</v>
      </c>
      <c r="J1189" s="131" cm="1">
        <f ca="1" t="array" ref="J1189">IF(J1791=1,OFFSET($W$634,$B1189,J$631-1)/SUMPRODUCT(--($D$631:$V$631=J$631),--($D1791:$V1791=1)),0)+SUM(J1188)+IF(COUNTIF(J$1237:J1791,1)=1,5,0)+IF(COUNTIF(K1189:$W1189,"&gt;"&amp;0)&lt;5,IF(AND(COUNTIF(J$1237:J1791,1)&gt;7,MOD(1+IFERROR(MATCH($C1189,总览!$D$46:$D$345,1)+1,1),7)=0),$C$3,0),0)</f>
        <v>1786.06666666665</v>
      </c>
      <c r="K1189" s="131" cm="1">
        <f ca="1" t="array" ref="K1189">IF(K1791=1,OFFSET($W$634,$B1189,K$631-1)/SUMPRODUCT(--($D$631:$V$631=K$631),--($D1791:$V1791=1)),0)+SUM(K1188)+IF(COUNTIF(K$1237:K1791,1)=1,5,0)+IF(COUNTIF(L1189:$W1189,"&gt;"&amp;0)&lt;5,IF(AND(COUNTIF(K$1237:K1791,1)&gt;7,MOD(1+IFERROR(MATCH($C1189,总览!$D$46:$D$345,1)+1,1),7)=0),$C$3,0),0)</f>
        <v>1783.56666666665</v>
      </c>
      <c r="L1189" s="131" cm="1">
        <f ca="1" t="array" ref="L1189">IF(L1791=1,OFFSET($W$634,$B1189,L$631-1)/SUMPRODUCT(--($D$631:$V$631=L$631),--($D1791:$V1791=1)),0)+SUM(L1188)+IF(COUNTIF(L$1237:L1791,1)=1,5,0)+IF(COUNTIF(M1189:$W1189,"&gt;"&amp;0)&lt;5,IF(AND(COUNTIF(L$1237:L1791,1)&gt;7,MOD(1+IFERROR(MATCH($C1189,总览!$D$46:$D$345,1)+1,1),7)=0),$C$3,0),0)</f>
        <v>1783.56666666665</v>
      </c>
      <c r="M1189" s="131" cm="1">
        <f ca="1" t="array" ref="M1189">IF(M1791=1,OFFSET($W$634,$B1189,M$631-1)/SUMPRODUCT(--($D$631:$V$631=M$631),--($D1791:$V1791=1)),0)+SUM(M1188)+IF(COUNTIF(M$1237:M1791,1)=1,5,0)+IF(COUNTIF(N1189:$W1189,"&gt;"&amp;0)&lt;5,IF(AND(COUNTIF(M$1237:M1791,1)&gt;7,MOD(1+IFERROR(MATCH($C1189,总览!$D$46:$D$345,1)+1,1),7)=0),$C$3,0),0)</f>
        <v>750.609821428576</v>
      </c>
      <c r="N1189" s="131" cm="1">
        <f ca="1" t="array" ref="N1189">IF(N1791=1,OFFSET($W$634,$B1189,N$631-1)/SUMPRODUCT(--($D$631:$V$631=N$631),--($D1791:$V1791=1)),0)+SUM(N1188)+IF(COUNTIF(N$1237:N1791,1)=1,5,0)+IF(COUNTIF(O1189:$W1189,"&gt;"&amp;0)&lt;5,IF(AND(COUNTIF(N$1237:N1791,1)&gt;7,MOD(1+IFERROR(MATCH($C1189,总览!$D$46:$D$345,1)+1,1),7)=0),$C$3,0),0)</f>
        <v>751.859821428576</v>
      </c>
      <c r="O1189" s="131" cm="1">
        <f ca="1" t="array" ref="O1189">IF(O1791=1,OFFSET($W$634,$B1189,O$631-1)/SUMPRODUCT(--($D$631:$V$631=O$631),--($D1791:$V1791=1)),0)+SUM(O1188)+IF(COUNTIF(O$1237:O1791,1)=1,5,0)+IF(COUNTIF(P1189:$W1189,"&gt;"&amp;0)&lt;5,IF(AND(COUNTIF(O$1237:O1791,1)&gt;7,MOD(1+IFERROR(MATCH($C1189,总览!$D$46:$D$345,1)+1,1),7)=0),$C$3,0),0)</f>
        <v>756.859821428576</v>
      </c>
      <c r="P1189" s="131" cm="1">
        <f ca="1" t="array" ref="P1189">IF(P1791=1,OFFSET($W$634,$B1189,P$631-1)/SUMPRODUCT(--($D$631:$V$631=P$631),--($D1791:$V1791=1)),0)+SUM(P1188)+IF(COUNTIF(P$1237:P1791,1)=1,5,0)+IF(COUNTIF(Q1189:$W1189,"&gt;"&amp;0)&lt;5,IF(AND(COUNTIF(P$1237:P1791,1)&gt;7,MOD(1+IFERROR(MATCH($C1189,总览!$D$46:$D$345,1)+1,1),7)=0),$C$3,0),0)</f>
        <v>745.978571428576</v>
      </c>
      <c r="Q1189" s="131" cm="1">
        <f ca="1" t="array" ref="Q1189">IF(Q1791=1,OFFSET($W$634,$B1189,Q$631-1)/SUMPRODUCT(--($D$631:$V$631=Q$631),--($D1791:$V1791=1)),0)+SUM(Q1188)+IF(COUNTIF(Q$1237:Q1791,1)=1,5,0)+IF(COUNTIF(R1189:$W1189,"&gt;"&amp;0)&lt;5,IF(AND(COUNTIF(Q$1237:Q1791,1)&gt;7,MOD(1+IFERROR(MATCH($C1189,总览!$D$46:$D$345,1)+1,1),7)=0),$C$3,0),0)</f>
        <v>759.359821428576</v>
      </c>
      <c r="R1189" s="131" cm="1">
        <f ca="1" t="array" ref="R1189">IF(R1791=1,OFFSET($W$634,$B1189,R$631-1)/SUMPRODUCT(--($D$631:$V$631=R$631),--($D1791:$V1791=1)),0)+SUM(R1188)+IF(COUNTIF(R$1237:R1791,1)=1,5,0)+IF(COUNTIF(S1189:$W1189,"&gt;"&amp;0)&lt;5,IF(AND(COUNTIF(R$1237:R1791,1)&gt;7,MOD(1+IFERROR(MATCH($C1189,总览!$D$46:$D$345,1)+1,1),7)=0),$C$3,0),0)</f>
        <v>750.978571428576</v>
      </c>
      <c r="S1189" s="131" cm="1">
        <f ca="1" t="array" ref="S1189">IF(S1791=1,OFFSET($W$634,$B1189,S$631-1)/SUMPRODUCT(--($D$631:$V$631=S$631),--($D1791:$V1791=1)),0)+SUM(S1188)+IF(COUNTIF(S$1237:S1791,1)=1,5,0)+IF(COUNTIF(T1189:$W1189,"&gt;"&amp;0)&lt;5,IF(AND(COUNTIF(S$1237:S1791,1)&gt;7,MOD(1+IFERROR(MATCH($C1189,总览!$D$46:$D$345,1)+1,1),7)=0),$C$3,0),0)</f>
        <v>843.478571428577</v>
      </c>
      <c r="T1189" s="131" cm="1">
        <f ca="1" t="array" ref="T1189">IF(T1791=1,OFFSET($W$634,$B1189,T$631-1)/SUMPRODUCT(--($D$631:$V$631=T$631),--($D1791:$V1791=1)),0)+SUM(T1188)+IF(COUNTIF(T$1237:T1791,1)=1,5,0)+IF(COUNTIF(U1189:$W1189,"&gt;"&amp;0)&lt;5,IF(AND(COUNTIF(T$1237:T1791,1)&gt;7,MOD(1+IFERROR(MATCH($C1189,总览!$D$46:$D$345,1)+1,1),7)=0),$C$3,0),0)</f>
        <v>617.87458069913</v>
      </c>
      <c r="U1189" s="131" cm="1">
        <f ca="1" t="array" ref="U1189">IF(U1791=1,OFFSET($W$634,$B1189,U$631-1)/SUMPRODUCT(--($D$631:$V$631=U$631),--($D1791:$V1791=1)),0)+SUM(U1188)+IF(COUNTIF(U$1237:U1791,1)=1,5,0)+IF(COUNTIF(V1189:$W1189,"&gt;"&amp;0)&lt;5,IF(AND(COUNTIF(U$1237:U1791,1)&gt;7,MOD(1+IFERROR(MATCH($C1189,总览!$D$46:$D$345,1)+1,1),7)=0),$C$3,0),0)</f>
        <v>623.395367054429</v>
      </c>
      <c r="V1189" s="131" cm="1">
        <f ca="1" t="array" ref="V1189">IF(V1791=1,OFFSET($W$634,$B1189,V$631-1)/SUMPRODUCT(--($D$631:$V$631=V$631),--($D1791:$V1791=1)),0)+SUM(V1188)+IF(COUNTIF(V$1237:V1791,1)=1,5,0)+IF(COUNTIF(W1189:$W1189,"&gt;"&amp;0)&lt;5,IF(AND(COUNTIF(V$1237:V1791,1)&gt;7,MOD(1+IFERROR(MATCH($C1189,总览!$D$46:$D$345,1)+1,1),7)=0),$C$3,0),0)</f>
        <v>643.222366766862</v>
      </c>
      <c r="W1189" s="135" cm="1">
        <f ca="1" t="array" ref="W1189">SUMPRODUCT(TRANSPOSE($AA1189:$AG1189),OFFSET($L$9:$L$15,0,W$631-1))</f>
        <v>16.8502200646615</v>
      </c>
      <c r="X1189" s="135" cm="1">
        <f ca="1" t="array" ref="X1189">SUMPRODUCT(TRANSPOSE($AA1189:$AG1189),OFFSET($L$9:$L$15,0,X$631-1))</f>
        <v>20</v>
      </c>
      <c r="Y1189" s="135" cm="1">
        <f ca="1" t="array" ref="Y1189">SUMPRODUCT(TRANSPOSE($AA1189:$AG1189),OFFSET($L$9:$L$15,0,Y$631-1))</f>
        <v>10</v>
      </c>
      <c r="Z1189" s="135" cm="1">
        <f ca="1" t="array" ref="Z1189">SUMPRODUCT(TRANSPOSE($AA1189:$AG1189),OFFSET($L$9:$L$15,0,Z$631-1))</f>
        <v>3.14977993533847</v>
      </c>
      <c r="AA1189" s="136">
        <f ca="1" t="shared" ref="AA1189:AG1189" si="1365">AH1189-AH1188</f>
        <v>0</v>
      </c>
      <c r="AB1189" s="136">
        <f ca="1" t="shared" si="1365"/>
        <v>0</v>
      </c>
      <c r="AC1189" s="136">
        <f ca="1" t="shared" si="1365"/>
        <v>0</v>
      </c>
      <c r="AD1189" s="136">
        <f ca="1" t="shared" si="1365"/>
        <v>0</v>
      </c>
      <c r="AE1189" s="136">
        <f ca="1" t="shared" si="1365"/>
        <v>0</v>
      </c>
      <c r="AF1189" s="136">
        <f ca="1" t="shared" si="1365"/>
        <v>0</v>
      </c>
      <c r="AG1189" s="136">
        <f ca="1" t="shared" si="1365"/>
        <v>100</v>
      </c>
      <c r="AH1189" s="136">
        <f ca="1" t="shared" si="1281"/>
        <v>450</v>
      </c>
      <c r="AI1189" s="136">
        <f ca="1" t="shared" ref="AI1189:AN1189" si="1366">IF($C1189&gt;OFFSET($Q$8,MATCH(AI$634,$AH$634:$AN$634,0),0),OFFSET($P$8,MATCH(AI$634,$AH$634:$AN$634,0),0),MAX(0,$C1189-OFFSET($Q$8,RIGHT(AI$634,1)-1,0)))</f>
        <v>909</v>
      </c>
      <c r="AJ1189" s="136">
        <f ca="1" t="shared" si="1366"/>
        <v>1818</v>
      </c>
      <c r="AK1189" s="136">
        <f ca="1" t="shared" si="1366"/>
        <v>2727</v>
      </c>
      <c r="AL1189" s="136">
        <f ca="1" t="shared" si="1366"/>
        <v>3636</v>
      </c>
      <c r="AM1189" s="136">
        <f ca="1" t="shared" si="1366"/>
        <v>4545</v>
      </c>
      <c r="AN1189" s="136">
        <f ca="1" t="shared" si="1366"/>
        <v>41415</v>
      </c>
    </row>
    <row r="1190" s="106" customFormat="1" ht="16.5" spans="2:40">
      <c r="B1190" s="117">
        <v>556</v>
      </c>
      <c r="C1190" s="130">
        <f t="shared" si="1279"/>
        <v>55600</v>
      </c>
      <c r="D1190" s="131" cm="1">
        <f ca="1" t="array" ref="D1190">IF(D1792=1,OFFSET($W$634,$B1190,D$631-1)/SUMPRODUCT(--($D$631:$V$631=D$631),--($D1792:$V1792=1)),0)+SUM(D1189)+IF(COUNTIF(D$1237:D1792,1)=1,5,0)+IF(COUNTIF(E1190:$W1190,"&gt;"&amp;0)&lt;5,IF(AND(COUNTIF(D$1237:D1792,1)&gt;7,MOD(1+IFERROR(MATCH($C1190,总览!$D$46:$D$345,1)+1,1),7)=0),$C$3,0),0)</f>
        <v>3450.61096851479</v>
      </c>
      <c r="E1190" s="131" cm="1">
        <f ca="1" t="array" ref="E1190">IF(E1792=1,OFFSET($W$634,$B1190,E$631-1)/SUMPRODUCT(--($D$631:$V$631=E$631),--($D1792:$V1792=1)),0)+SUM(E1189)+IF(COUNTIF(E$1237:E1792,1)=1,5,0)+IF(COUNTIF(F1190:$W1190,"&gt;"&amp;0)&lt;5,IF(AND(COUNTIF(E$1237:E1792,1)&gt;7,MOD(1+IFERROR(MATCH($C1190,总览!$D$46:$D$345,1)+1,1),7)=0),$C$3,0),0)</f>
        <v>3450.61096851479</v>
      </c>
      <c r="F1190" s="131" cm="1">
        <f ca="1" t="array" ref="F1190">IF(F1792=1,OFFSET($W$634,$B1190,F$631-1)/SUMPRODUCT(--($D$631:$V$631=F$631),--($D1792:$V1792=1)),0)+SUM(F1189)+IF(COUNTIF(F$1237:F1792,1)=1,5,0)+IF(COUNTIF(G1190:$W1190,"&gt;"&amp;0)&lt;5,IF(AND(COUNTIF(F$1237:F1792,1)&gt;7,MOD(1+IFERROR(MATCH($C1190,总览!$D$46:$D$345,1)+1,1),7)=0),$C$3,0),0)</f>
        <v>3450.61096851479</v>
      </c>
      <c r="G1190" s="131" cm="1">
        <f ca="1" t="array" ref="G1190">IF(G1792=1,OFFSET($W$634,$B1190,G$631-1)/SUMPRODUCT(--($D$631:$V$631=G$631),--($D1792:$V1792=1)),0)+SUM(G1189)+IF(COUNTIF(G$1237:G1792,1)=1,5,0)+IF(COUNTIF(H1190:$W1190,"&gt;"&amp;0)&lt;5,IF(AND(COUNTIF(G$1237:G1792,1)&gt;7,MOD(1+IFERROR(MATCH($C1190,总览!$D$46:$D$345,1)+1,1),7)=0),$C$3,0),0)</f>
        <v>1792.73333333332</v>
      </c>
      <c r="H1190" s="131" cm="1">
        <f ca="1" t="array" ref="H1190">IF(H1792=1,OFFSET($W$634,$B1190,H$631-1)/SUMPRODUCT(--($D$631:$V$631=H$631),--($D1792:$V1792=1)),0)+SUM(H1189)+IF(COUNTIF(H$1237:H1792,1)=1,5,0)+IF(COUNTIF(I1190:$W1190,"&gt;"&amp;0)&lt;5,IF(AND(COUNTIF(H$1237:H1792,1)&gt;7,MOD(1+IFERROR(MATCH($C1190,总览!$D$46:$D$345,1)+1,1),7)=0),$C$3,0),0)</f>
        <v>1792.73333333332</v>
      </c>
      <c r="I1190" s="131" cm="1">
        <f ca="1" t="array" ref="I1190">IF(I1792=1,OFFSET($W$634,$B1190,I$631-1)/SUMPRODUCT(--($D$631:$V$631=I$631),--($D1792:$V1792=1)),0)+SUM(I1189)+IF(COUNTIF(I$1237:I1792,1)=1,5,0)+IF(COUNTIF(J1190:$W1190,"&gt;"&amp;0)&lt;5,IF(AND(COUNTIF(I$1237:I1792,1)&gt;7,MOD(1+IFERROR(MATCH($C1190,总览!$D$46:$D$345,1)+1,1),7)=0),$C$3,0),0)</f>
        <v>1792.73333333332</v>
      </c>
      <c r="J1190" s="131" cm="1">
        <f ca="1" t="array" ref="J1190">IF(J1792=1,OFFSET($W$634,$B1190,J$631-1)/SUMPRODUCT(--($D$631:$V$631=J$631),--($D1792:$V1792=1)),0)+SUM(J1189)+IF(COUNTIF(J$1237:J1792,1)=1,5,0)+IF(COUNTIF(K1190:$W1190,"&gt;"&amp;0)&lt;5,IF(AND(COUNTIF(J$1237:J1792,1)&gt;7,MOD(1+IFERROR(MATCH($C1190,总览!$D$46:$D$345,1)+1,1),7)=0),$C$3,0),0)</f>
        <v>1789.39999999999</v>
      </c>
      <c r="K1190" s="131" cm="1">
        <f ca="1" t="array" ref="K1190">IF(K1792=1,OFFSET($W$634,$B1190,K$631-1)/SUMPRODUCT(--($D$631:$V$631=K$631),--($D1792:$V1792=1)),0)+SUM(K1189)+IF(COUNTIF(K$1237:K1792,1)=1,5,0)+IF(COUNTIF(L1190:$W1190,"&gt;"&amp;0)&lt;5,IF(AND(COUNTIF(K$1237:K1792,1)&gt;7,MOD(1+IFERROR(MATCH($C1190,总览!$D$46:$D$345,1)+1,1),7)=0),$C$3,0),0)</f>
        <v>1786.89999999999</v>
      </c>
      <c r="L1190" s="131" cm="1">
        <f ca="1" t="array" ref="L1190">IF(L1792=1,OFFSET($W$634,$B1190,L$631-1)/SUMPRODUCT(--($D$631:$V$631=L$631),--($D1792:$V1792=1)),0)+SUM(L1189)+IF(COUNTIF(L$1237:L1792,1)=1,5,0)+IF(COUNTIF(M1190:$W1190,"&gt;"&amp;0)&lt;5,IF(AND(COUNTIF(L$1237:L1792,1)&gt;7,MOD(1+IFERROR(MATCH($C1190,总览!$D$46:$D$345,1)+1,1),7)=0),$C$3,0),0)</f>
        <v>1786.89999999999</v>
      </c>
      <c r="M1190" s="131" cm="1">
        <f ca="1" t="array" ref="M1190">IF(M1792=1,OFFSET($W$634,$B1190,M$631-1)/SUMPRODUCT(--($D$631:$V$631=M$631),--($D1792:$V1792=1)),0)+SUM(M1189)+IF(COUNTIF(M$1237:M1792,1)=1,5,0)+IF(COUNTIF(N1190:$W1190,"&gt;"&amp;0)&lt;5,IF(AND(COUNTIF(M$1237:M1792,1)&gt;7,MOD(1+IFERROR(MATCH($C1190,总览!$D$46:$D$345,1)+1,1),7)=0),$C$3,0),0)</f>
        <v>752.038392857147</v>
      </c>
      <c r="N1190" s="131" cm="1">
        <f ca="1" t="array" ref="N1190">IF(N1792=1,OFFSET($W$634,$B1190,N$631-1)/SUMPRODUCT(--($D$631:$V$631=N$631),--($D1792:$V1792=1)),0)+SUM(N1189)+IF(COUNTIF(N$1237:N1792,1)=1,5,0)+IF(COUNTIF(O1190:$W1190,"&gt;"&amp;0)&lt;5,IF(AND(COUNTIF(N$1237:N1792,1)&gt;7,MOD(1+IFERROR(MATCH($C1190,总览!$D$46:$D$345,1)+1,1),7)=0),$C$3,0),0)</f>
        <v>753.288392857147</v>
      </c>
      <c r="O1190" s="131" cm="1">
        <f ca="1" t="array" ref="O1190">IF(O1792=1,OFFSET($W$634,$B1190,O$631-1)/SUMPRODUCT(--($D$631:$V$631=O$631),--($D1792:$V1792=1)),0)+SUM(O1189)+IF(COUNTIF(O$1237:O1792,1)=1,5,0)+IF(COUNTIF(P1190:$W1190,"&gt;"&amp;0)&lt;5,IF(AND(COUNTIF(O$1237:O1792,1)&gt;7,MOD(1+IFERROR(MATCH($C1190,总览!$D$46:$D$345,1)+1,1),7)=0),$C$3,0),0)</f>
        <v>758.288392857147</v>
      </c>
      <c r="P1190" s="131" cm="1">
        <f ca="1" t="array" ref="P1190">IF(P1792=1,OFFSET($W$634,$B1190,P$631-1)/SUMPRODUCT(--($D$631:$V$631=P$631),--($D1792:$V1792=1)),0)+SUM(P1189)+IF(COUNTIF(P$1237:P1792,1)=1,5,0)+IF(COUNTIF(Q1190:$W1190,"&gt;"&amp;0)&lt;5,IF(AND(COUNTIF(P$1237:P1792,1)&gt;7,MOD(1+IFERROR(MATCH($C1190,总览!$D$46:$D$345,1)+1,1),7)=0),$C$3,0),0)</f>
        <v>747.407142857147</v>
      </c>
      <c r="Q1190" s="131" cm="1">
        <f ca="1" t="array" ref="Q1190">IF(Q1792=1,OFFSET($W$634,$B1190,Q$631-1)/SUMPRODUCT(--($D$631:$V$631=Q$631),--($D1792:$V1792=1)),0)+SUM(Q1189)+IF(COUNTIF(Q$1237:Q1792,1)=1,5,0)+IF(COUNTIF(R1190:$W1190,"&gt;"&amp;0)&lt;5,IF(AND(COUNTIF(Q$1237:Q1792,1)&gt;7,MOD(1+IFERROR(MATCH($C1190,总览!$D$46:$D$345,1)+1,1),7)=0),$C$3,0),0)</f>
        <v>760.788392857147</v>
      </c>
      <c r="R1190" s="131" cm="1">
        <f ca="1" t="array" ref="R1190">IF(R1792=1,OFFSET($W$634,$B1190,R$631-1)/SUMPRODUCT(--($D$631:$V$631=R$631),--($D1792:$V1792=1)),0)+SUM(R1189)+IF(COUNTIF(R$1237:R1792,1)=1,5,0)+IF(COUNTIF(S1190:$W1190,"&gt;"&amp;0)&lt;5,IF(AND(COUNTIF(R$1237:R1792,1)&gt;7,MOD(1+IFERROR(MATCH($C1190,总览!$D$46:$D$345,1)+1,1),7)=0),$C$3,0),0)</f>
        <v>752.407142857147</v>
      </c>
      <c r="S1190" s="131" cm="1">
        <f ca="1" t="array" ref="S1190">IF(S1792=1,OFFSET($W$634,$B1190,S$631-1)/SUMPRODUCT(--($D$631:$V$631=S$631),--($D1792:$V1792=1)),0)+SUM(S1189)+IF(COUNTIF(S$1237:S1792,1)=1,5,0)+IF(COUNTIF(T1190:$W1190,"&gt;"&amp;0)&lt;5,IF(AND(COUNTIF(S$1237:S1792,1)&gt;7,MOD(1+IFERROR(MATCH($C1190,总览!$D$46:$D$345,1)+1,1),7)=0),$C$3,0),0)</f>
        <v>844.907142857148</v>
      </c>
      <c r="T1190" s="131" cm="1">
        <f ca="1" t="array" ref="T1190">IF(T1792=1,OFFSET($W$634,$B1190,T$631-1)/SUMPRODUCT(--($D$631:$V$631=T$631),--($D1792:$V1792=1)),0)+SUM(T1189)+IF(COUNTIF(T$1237:T1792,1)=1,5,0)+IF(COUNTIF(U1190:$W1190,"&gt;"&amp;0)&lt;5,IF(AND(COUNTIF(T$1237:T1792,1)&gt;7,MOD(1+IFERROR(MATCH($C1190,总览!$D$46:$D$345,1)+1,1),7)=0),$C$3,0),0)</f>
        <v>618.924507344243</v>
      </c>
      <c r="U1190" s="131" cm="1">
        <f ca="1" t="array" ref="U1190">IF(U1792=1,OFFSET($W$634,$B1190,U$631-1)/SUMPRODUCT(--($D$631:$V$631=U$631),--($D1792:$V1792=1)),0)+SUM(U1189)+IF(COUNTIF(U$1237:U1792,1)=1,5,0)+IF(COUNTIF(V1190:$W1190,"&gt;"&amp;0)&lt;5,IF(AND(COUNTIF(U$1237:U1792,1)&gt;7,MOD(1+IFERROR(MATCH($C1190,总览!$D$46:$D$345,1)+1,1),7)=0),$C$3,0),0)</f>
        <v>624.445293699542</v>
      </c>
      <c r="V1190" s="131" cm="1">
        <f ca="1" t="array" ref="V1190">IF(V1792=1,OFFSET($W$634,$B1190,V$631-1)/SUMPRODUCT(--($D$631:$V$631=V$631),--($D1792:$V1792=1)),0)+SUM(V1189)+IF(COUNTIF(V$1237:V1792,1)=1,5,0)+IF(COUNTIF(W1190:$W1190,"&gt;"&amp;0)&lt;5,IF(AND(COUNTIF(V$1237:V1792,1)&gt;7,MOD(1+IFERROR(MATCH($C1190,总览!$D$46:$D$345,1)+1,1),7)=0),$C$3,0),0)</f>
        <v>644.272293411975</v>
      </c>
      <c r="W1190" s="135" cm="1">
        <f ca="1" t="array" ref="W1190">SUMPRODUCT(TRANSPOSE($AA1190:$AG1190),OFFSET($L$9:$L$15,0,W$631-1))</f>
        <v>16.8502200646615</v>
      </c>
      <c r="X1190" s="135" cm="1">
        <f ca="1" t="array" ref="X1190">SUMPRODUCT(TRANSPOSE($AA1190:$AG1190),OFFSET($L$9:$L$15,0,X$631-1))</f>
        <v>20</v>
      </c>
      <c r="Y1190" s="135" cm="1">
        <f ca="1" t="array" ref="Y1190">SUMPRODUCT(TRANSPOSE($AA1190:$AG1190),OFFSET($L$9:$L$15,0,Y$631-1))</f>
        <v>10</v>
      </c>
      <c r="Z1190" s="135" cm="1">
        <f ca="1" t="array" ref="Z1190">SUMPRODUCT(TRANSPOSE($AA1190:$AG1190),OFFSET($L$9:$L$15,0,Z$631-1))</f>
        <v>3.14977993533847</v>
      </c>
      <c r="AA1190" s="136">
        <f ca="1" t="shared" ref="AA1190:AG1190" si="1367">AH1190-AH1189</f>
        <v>0</v>
      </c>
      <c r="AB1190" s="136">
        <f ca="1" t="shared" si="1367"/>
        <v>0</v>
      </c>
      <c r="AC1190" s="136">
        <f ca="1" t="shared" si="1367"/>
        <v>0</v>
      </c>
      <c r="AD1190" s="136">
        <f ca="1" t="shared" si="1367"/>
        <v>0</v>
      </c>
      <c r="AE1190" s="136">
        <f ca="1" t="shared" si="1367"/>
        <v>0</v>
      </c>
      <c r="AF1190" s="136">
        <f ca="1" t="shared" si="1367"/>
        <v>0</v>
      </c>
      <c r="AG1190" s="136">
        <f ca="1" t="shared" si="1367"/>
        <v>100</v>
      </c>
      <c r="AH1190" s="136">
        <f ca="1" t="shared" si="1281"/>
        <v>450</v>
      </c>
      <c r="AI1190" s="136">
        <f ca="1" t="shared" ref="AI1190:AN1190" si="1368">IF($C1190&gt;OFFSET($Q$8,MATCH(AI$634,$AH$634:$AN$634,0),0),OFFSET($P$8,MATCH(AI$634,$AH$634:$AN$634,0),0),MAX(0,$C1190-OFFSET($Q$8,RIGHT(AI$634,1)-1,0)))</f>
        <v>909</v>
      </c>
      <c r="AJ1190" s="136">
        <f ca="1" t="shared" si="1368"/>
        <v>1818</v>
      </c>
      <c r="AK1190" s="136">
        <f ca="1" t="shared" si="1368"/>
        <v>2727</v>
      </c>
      <c r="AL1190" s="136">
        <f ca="1" t="shared" si="1368"/>
        <v>3636</v>
      </c>
      <c r="AM1190" s="136">
        <f ca="1" t="shared" si="1368"/>
        <v>4545</v>
      </c>
      <c r="AN1190" s="136">
        <f ca="1" t="shared" si="1368"/>
        <v>41515</v>
      </c>
    </row>
    <row r="1191" s="106" customFormat="1" ht="16.5" spans="2:40">
      <c r="B1191" s="117">
        <v>557</v>
      </c>
      <c r="C1191" s="130">
        <f t="shared" si="1279"/>
        <v>55700</v>
      </c>
      <c r="D1191" s="131" cm="1">
        <f ca="1" t="array" ref="D1191">IF(D1793=1,OFFSET($W$634,$B1191,D$631-1)/SUMPRODUCT(--($D$631:$V$631=D$631),--($D1793:$V1793=1)),0)+SUM(D1190)+IF(COUNTIF(D$1237:D1793,1)=1,5,0)+IF(COUNTIF(E1191:$W1191,"&gt;"&amp;0)&lt;5,IF(AND(COUNTIF(D$1237:D1793,1)&gt;7,MOD(1+IFERROR(MATCH($C1191,总览!$D$46:$D$345,1)+1,1),7)=0),$C$3,0),0)</f>
        <v>3456.22770853634</v>
      </c>
      <c r="E1191" s="131" cm="1">
        <f ca="1" t="array" ref="E1191">IF(E1793=1,OFFSET($W$634,$B1191,E$631-1)/SUMPRODUCT(--($D$631:$V$631=E$631),--($D1793:$V1793=1)),0)+SUM(E1190)+IF(COUNTIF(E$1237:E1793,1)=1,5,0)+IF(COUNTIF(F1191:$W1191,"&gt;"&amp;0)&lt;5,IF(AND(COUNTIF(E$1237:E1793,1)&gt;7,MOD(1+IFERROR(MATCH($C1191,总览!$D$46:$D$345,1)+1,1),7)=0),$C$3,0),0)</f>
        <v>3456.22770853634</v>
      </c>
      <c r="F1191" s="131" cm="1">
        <f ca="1" t="array" ref="F1191">IF(F1793=1,OFFSET($W$634,$B1191,F$631-1)/SUMPRODUCT(--($D$631:$V$631=F$631),--($D1793:$V1793=1)),0)+SUM(F1190)+IF(COUNTIF(F$1237:F1793,1)=1,5,0)+IF(COUNTIF(G1191:$W1191,"&gt;"&amp;0)&lt;5,IF(AND(COUNTIF(F$1237:F1793,1)&gt;7,MOD(1+IFERROR(MATCH($C1191,总览!$D$46:$D$345,1)+1,1),7)=0),$C$3,0),0)</f>
        <v>3456.22770853634</v>
      </c>
      <c r="G1191" s="131" cm="1">
        <f ca="1" t="array" ref="G1191">IF(G1793=1,OFFSET($W$634,$B1191,G$631-1)/SUMPRODUCT(--($D$631:$V$631=G$631),--($D1793:$V1793=1)),0)+SUM(G1190)+IF(COUNTIF(G$1237:G1793,1)=1,5,0)+IF(COUNTIF(H1191:$W1191,"&gt;"&amp;0)&lt;5,IF(AND(COUNTIF(G$1237:G1793,1)&gt;7,MOD(1+IFERROR(MATCH($C1191,总览!$D$46:$D$345,1)+1,1),7)=0),$C$3,0),0)</f>
        <v>1796.06666666665</v>
      </c>
      <c r="H1191" s="131" cm="1">
        <f ca="1" t="array" ref="H1191">IF(H1793=1,OFFSET($W$634,$B1191,H$631-1)/SUMPRODUCT(--($D$631:$V$631=H$631),--($D1793:$V1793=1)),0)+SUM(H1190)+IF(COUNTIF(H$1237:H1793,1)=1,5,0)+IF(COUNTIF(I1191:$W1191,"&gt;"&amp;0)&lt;5,IF(AND(COUNTIF(H$1237:H1793,1)&gt;7,MOD(1+IFERROR(MATCH($C1191,总览!$D$46:$D$345,1)+1,1),7)=0),$C$3,0),0)</f>
        <v>1796.06666666665</v>
      </c>
      <c r="I1191" s="131" cm="1">
        <f ca="1" t="array" ref="I1191">IF(I1793=1,OFFSET($W$634,$B1191,I$631-1)/SUMPRODUCT(--($D$631:$V$631=I$631),--($D1793:$V1793=1)),0)+SUM(I1190)+IF(COUNTIF(I$1237:I1793,1)=1,5,0)+IF(COUNTIF(J1191:$W1191,"&gt;"&amp;0)&lt;5,IF(AND(COUNTIF(I$1237:I1793,1)&gt;7,MOD(1+IFERROR(MATCH($C1191,总览!$D$46:$D$345,1)+1,1),7)=0),$C$3,0),0)</f>
        <v>1796.06666666665</v>
      </c>
      <c r="J1191" s="131" cm="1">
        <f ca="1" t="array" ref="J1191">IF(J1793=1,OFFSET($W$634,$B1191,J$631-1)/SUMPRODUCT(--($D$631:$V$631=J$631),--($D1793:$V1793=1)),0)+SUM(J1190)+IF(COUNTIF(J$1237:J1793,1)=1,5,0)+IF(COUNTIF(K1191:$W1191,"&gt;"&amp;0)&lt;5,IF(AND(COUNTIF(J$1237:J1793,1)&gt;7,MOD(1+IFERROR(MATCH($C1191,总览!$D$46:$D$345,1)+1,1),7)=0),$C$3,0),0)</f>
        <v>1792.73333333332</v>
      </c>
      <c r="K1191" s="131" cm="1">
        <f ca="1" t="array" ref="K1191">IF(K1793=1,OFFSET($W$634,$B1191,K$631-1)/SUMPRODUCT(--($D$631:$V$631=K$631),--($D1793:$V1793=1)),0)+SUM(K1190)+IF(COUNTIF(K$1237:K1793,1)=1,5,0)+IF(COUNTIF(L1191:$W1191,"&gt;"&amp;0)&lt;5,IF(AND(COUNTIF(K$1237:K1793,1)&gt;7,MOD(1+IFERROR(MATCH($C1191,总览!$D$46:$D$345,1)+1,1),7)=0),$C$3,0),0)</f>
        <v>1790.23333333332</v>
      </c>
      <c r="L1191" s="131" cm="1">
        <f ca="1" t="array" ref="L1191">IF(L1793=1,OFFSET($W$634,$B1191,L$631-1)/SUMPRODUCT(--($D$631:$V$631=L$631),--($D1793:$V1793=1)),0)+SUM(L1190)+IF(COUNTIF(L$1237:L1793,1)=1,5,0)+IF(COUNTIF(M1191:$W1191,"&gt;"&amp;0)&lt;5,IF(AND(COUNTIF(L$1237:L1793,1)&gt;7,MOD(1+IFERROR(MATCH($C1191,总览!$D$46:$D$345,1)+1,1),7)=0),$C$3,0),0)</f>
        <v>1790.23333333332</v>
      </c>
      <c r="M1191" s="131" cm="1">
        <f ca="1" t="array" ref="M1191">IF(M1793=1,OFFSET($W$634,$B1191,M$631-1)/SUMPRODUCT(--($D$631:$V$631=M$631),--($D1793:$V1793=1)),0)+SUM(M1190)+IF(COUNTIF(M$1237:M1793,1)=1,5,0)+IF(COUNTIF(N1191:$W1191,"&gt;"&amp;0)&lt;5,IF(AND(COUNTIF(M$1237:M1793,1)&gt;7,MOD(1+IFERROR(MATCH($C1191,总览!$D$46:$D$345,1)+1,1),7)=0),$C$3,0),0)</f>
        <v>753.466964285719</v>
      </c>
      <c r="N1191" s="131" cm="1">
        <f ca="1" t="array" ref="N1191">IF(N1793=1,OFFSET($W$634,$B1191,N$631-1)/SUMPRODUCT(--($D$631:$V$631=N$631),--($D1793:$V1793=1)),0)+SUM(N1190)+IF(COUNTIF(N$1237:N1793,1)=1,5,0)+IF(COUNTIF(O1191:$W1191,"&gt;"&amp;0)&lt;5,IF(AND(COUNTIF(N$1237:N1793,1)&gt;7,MOD(1+IFERROR(MATCH($C1191,总览!$D$46:$D$345,1)+1,1),7)=0),$C$3,0),0)</f>
        <v>754.716964285719</v>
      </c>
      <c r="O1191" s="131" cm="1">
        <f ca="1" t="array" ref="O1191">IF(O1793=1,OFFSET($W$634,$B1191,O$631-1)/SUMPRODUCT(--($D$631:$V$631=O$631),--($D1793:$V1793=1)),0)+SUM(O1190)+IF(COUNTIF(O$1237:O1793,1)=1,5,0)+IF(COUNTIF(P1191:$W1191,"&gt;"&amp;0)&lt;5,IF(AND(COUNTIF(O$1237:O1793,1)&gt;7,MOD(1+IFERROR(MATCH($C1191,总览!$D$46:$D$345,1)+1,1),7)=0),$C$3,0),0)</f>
        <v>759.716964285719</v>
      </c>
      <c r="P1191" s="131" cm="1">
        <f ca="1" t="array" ref="P1191">IF(P1793=1,OFFSET($W$634,$B1191,P$631-1)/SUMPRODUCT(--($D$631:$V$631=P$631),--($D1793:$V1793=1)),0)+SUM(P1190)+IF(COUNTIF(P$1237:P1793,1)=1,5,0)+IF(COUNTIF(Q1191:$W1191,"&gt;"&amp;0)&lt;5,IF(AND(COUNTIF(P$1237:P1793,1)&gt;7,MOD(1+IFERROR(MATCH($C1191,总览!$D$46:$D$345,1)+1,1),7)=0),$C$3,0),0)</f>
        <v>748.835714285719</v>
      </c>
      <c r="Q1191" s="131" cm="1">
        <f ca="1" t="array" ref="Q1191">IF(Q1793=1,OFFSET($W$634,$B1191,Q$631-1)/SUMPRODUCT(--($D$631:$V$631=Q$631),--($D1793:$V1793=1)),0)+SUM(Q1190)+IF(COUNTIF(Q$1237:Q1793,1)=1,5,0)+IF(COUNTIF(R1191:$W1191,"&gt;"&amp;0)&lt;5,IF(AND(COUNTIF(Q$1237:Q1793,1)&gt;7,MOD(1+IFERROR(MATCH($C1191,总览!$D$46:$D$345,1)+1,1),7)=0),$C$3,0),0)</f>
        <v>762.216964285719</v>
      </c>
      <c r="R1191" s="131" cm="1">
        <f ca="1" t="array" ref="R1191">IF(R1793=1,OFFSET($W$634,$B1191,R$631-1)/SUMPRODUCT(--($D$631:$V$631=R$631),--($D1793:$V1793=1)),0)+SUM(R1190)+IF(COUNTIF(R$1237:R1793,1)=1,5,0)+IF(COUNTIF(S1191:$W1191,"&gt;"&amp;0)&lt;5,IF(AND(COUNTIF(R$1237:R1793,1)&gt;7,MOD(1+IFERROR(MATCH($C1191,总览!$D$46:$D$345,1)+1,1),7)=0),$C$3,0),0)</f>
        <v>753.835714285719</v>
      </c>
      <c r="S1191" s="131" cm="1">
        <f ca="1" t="array" ref="S1191">IF(S1793=1,OFFSET($W$634,$B1191,S$631-1)/SUMPRODUCT(--($D$631:$V$631=S$631),--($D1793:$V1793=1)),0)+SUM(S1190)+IF(COUNTIF(S$1237:S1793,1)=1,5,0)+IF(COUNTIF(T1191:$W1191,"&gt;"&amp;0)&lt;5,IF(AND(COUNTIF(S$1237:S1793,1)&gt;7,MOD(1+IFERROR(MATCH($C1191,总览!$D$46:$D$345,1)+1,1),7)=0),$C$3,0),0)</f>
        <v>846.33571428572</v>
      </c>
      <c r="T1191" s="131" cm="1">
        <f ca="1" t="array" ref="T1191">IF(T1793=1,OFFSET($W$634,$B1191,T$631-1)/SUMPRODUCT(--($D$631:$V$631=T$631),--($D1793:$V1793=1)),0)+SUM(T1190)+IF(COUNTIF(T$1237:T1793,1)=1,5,0)+IF(COUNTIF(U1191:$W1191,"&gt;"&amp;0)&lt;5,IF(AND(COUNTIF(T$1237:T1793,1)&gt;7,MOD(1+IFERROR(MATCH($C1191,总览!$D$46:$D$345,1)+1,1),7)=0),$C$3,0),0)</f>
        <v>619.974433989355</v>
      </c>
      <c r="U1191" s="131" cm="1">
        <f ca="1" t="array" ref="U1191">IF(U1793=1,OFFSET($W$634,$B1191,U$631-1)/SUMPRODUCT(--($D$631:$V$631=U$631),--($D1793:$V1793=1)),0)+SUM(U1190)+IF(COUNTIF(U$1237:U1793,1)=1,5,0)+IF(COUNTIF(V1191:$W1191,"&gt;"&amp;0)&lt;5,IF(AND(COUNTIF(U$1237:U1793,1)&gt;7,MOD(1+IFERROR(MATCH($C1191,总览!$D$46:$D$345,1)+1,1),7)=0),$C$3,0),0)</f>
        <v>625.495220344655</v>
      </c>
      <c r="V1191" s="131" cm="1">
        <f ca="1" t="array" ref="V1191">IF(V1793=1,OFFSET($W$634,$B1191,V$631-1)/SUMPRODUCT(--($D$631:$V$631=V$631),--($D1793:$V1793=1)),0)+SUM(V1190)+IF(COUNTIF(V$1237:V1793,1)=1,5,0)+IF(COUNTIF(W1191:$W1191,"&gt;"&amp;0)&lt;5,IF(AND(COUNTIF(V$1237:V1793,1)&gt;7,MOD(1+IFERROR(MATCH($C1191,总览!$D$46:$D$345,1)+1,1),7)=0),$C$3,0),0)</f>
        <v>645.322220057088</v>
      </c>
      <c r="W1191" s="135" cm="1">
        <f ca="1" t="array" ref="W1191">SUMPRODUCT(TRANSPOSE($AA1191:$AG1191),OFFSET($L$9:$L$15,0,W$631-1))</f>
        <v>16.8502200646615</v>
      </c>
      <c r="X1191" s="135" cm="1">
        <f ca="1" t="array" ref="X1191">SUMPRODUCT(TRANSPOSE($AA1191:$AG1191),OFFSET($L$9:$L$15,0,X$631-1))</f>
        <v>20</v>
      </c>
      <c r="Y1191" s="135" cm="1">
        <f ca="1" t="array" ref="Y1191">SUMPRODUCT(TRANSPOSE($AA1191:$AG1191),OFFSET($L$9:$L$15,0,Y$631-1))</f>
        <v>10</v>
      </c>
      <c r="Z1191" s="135" cm="1">
        <f ca="1" t="array" ref="Z1191">SUMPRODUCT(TRANSPOSE($AA1191:$AG1191),OFFSET($L$9:$L$15,0,Z$631-1))</f>
        <v>3.14977993533847</v>
      </c>
      <c r="AA1191" s="136">
        <f ca="1" t="shared" ref="AA1191:AG1191" si="1369">AH1191-AH1190</f>
        <v>0</v>
      </c>
      <c r="AB1191" s="136">
        <f ca="1" t="shared" si="1369"/>
        <v>0</v>
      </c>
      <c r="AC1191" s="136">
        <f ca="1" t="shared" si="1369"/>
        <v>0</v>
      </c>
      <c r="AD1191" s="136">
        <f ca="1" t="shared" si="1369"/>
        <v>0</v>
      </c>
      <c r="AE1191" s="136">
        <f ca="1" t="shared" si="1369"/>
        <v>0</v>
      </c>
      <c r="AF1191" s="136">
        <f ca="1" t="shared" si="1369"/>
        <v>0</v>
      </c>
      <c r="AG1191" s="136">
        <f ca="1" t="shared" si="1369"/>
        <v>100</v>
      </c>
      <c r="AH1191" s="136">
        <f ca="1" t="shared" si="1281"/>
        <v>450</v>
      </c>
      <c r="AI1191" s="136">
        <f ca="1" t="shared" ref="AI1191:AN1191" si="1370">IF($C1191&gt;OFFSET($Q$8,MATCH(AI$634,$AH$634:$AN$634,0),0),OFFSET($P$8,MATCH(AI$634,$AH$634:$AN$634,0),0),MAX(0,$C1191-OFFSET($Q$8,RIGHT(AI$634,1)-1,0)))</f>
        <v>909</v>
      </c>
      <c r="AJ1191" s="136">
        <f ca="1" t="shared" si="1370"/>
        <v>1818</v>
      </c>
      <c r="AK1191" s="136">
        <f ca="1" t="shared" si="1370"/>
        <v>2727</v>
      </c>
      <c r="AL1191" s="136">
        <f ca="1" t="shared" si="1370"/>
        <v>3636</v>
      </c>
      <c r="AM1191" s="136">
        <f ca="1" t="shared" si="1370"/>
        <v>4545</v>
      </c>
      <c r="AN1191" s="136">
        <f ca="1" t="shared" si="1370"/>
        <v>41615</v>
      </c>
    </row>
    <row r="1192" s="106" customFormat="1" ht="16.5" spans="2:40">
      <c r="B1192" s="117">
        <v>558</v>
      </c>
      <c r="C1192" s="130">
        <f t="shared" si="1279"/>
        <v>55800</v>
      </c>
      <c r="D1192" s="131" cm="1">
        <f ca="1" t="array" ref="D1192">IF(D1794=1,OFFSET($W$634,$B1192,D$631-1)/SUMPRODUCT(--($D$631:$V$631=D$631),--($D1794:$V1794=1)),0)+SUM(D1191)+IF(COUNTIF(D$1237:D1794,1)=1,5,0)+IF(COUNTIF(E1192:$W1192,"&gt;"&amp;0)&lt;5,IF(AND(COUNTIF(D$1237:D1794,1)&gt;7,MOD(1+IFERROR(MATCH($C1192,总览!$D$46:$D$345,1)+1,1),7)=0),$C$3,0),0)</f>
        <v>3461.8444485579</v>
      </c>
      <c r="E1192" s="131" cm="1">
        <f ca="1" t="array" ref="E1192">IF(E1794=1,OFFSET($W$634,$B1192,E$631-1)/SUMPRODUCT(--($D$631:$V$631=E$631),--($D1794:$V1794=1)),0)+SUM(E1191)+IF(COUNTIF(E$1237:E1794,1)=1,5,0)+IF(COUNTIF(F1192:$W1192,"&gt;"&amp;0)&lt;5,IF(AND(COUNTIF(E$1237:E1794,1)&gt;7,MOD(1+IFERROR(MATCH($C1192,总览!$D$46:$D$345,1)+1,1),7)=0),$C$3,0),0)</f>
        <v>3461.8444485579</v>
      </c>
      <c r="F1192" s="131" cm="1">
        <f ca="1" t="array" ref="F1192">IF(F1794=1,OFFSET($W$634,$B1192,F$631-1)/SUMPRODUCT(--($D$631:$V$631=F$631),--($D1794:$V1794=1)),0)+SUM(F1191)+IF(COUNTIF(F$1237:F1794,1)=1,5,0)+IF(COUNTIF(G1192:$W1192,"&gt;"&amp;0)&lt;5,IF(AND(COUNTIF(F$1237:F1794,1)&gt;7,MOD(1+IFERROR(MATCH($C1192,总览!$D$46:$D$345,1)+1,1),7)=0),$C$3,0),0)</f>
        <v>3461.8444485579</v>
      </c>
      <c r="G1192" s="131" cm="1">
        <f ca="1" t="array" ref="G1192">IF(G1794=1,OFFSET($W$634,$B1192,G$631-1)/SUMPRODUCT(--($D$631:$V$631=G$631),--($D1794:$V1794=1)),0)+SUM(G1191)+IF(COUNTIF(G$1237:G1794,1)=1,5,0)+IF(COUNTIF(H1192:$W1192,"&gt;"&amp;0)&lt;5,IF(AND(COUNTIF(G$1237:G1794,1)&gt;7,MOD(1+IFERROR(MATCH($C1192,总览!$D$46:$D$345,1)+1,1),7)=0),$C$3,0),0)</f>
        <v>1799.39999999999</v>
      </c>
      <c r="H1192" s="131" cm="1">
        <f ca="1" t="array" ref="H1192">IF(H1794=1,OFFSET($W$634,$B1192,H$631-1)/SUMPRODUCT(--($D$631:$V$631=H$631),--($D1794:$V1794=1)),0)+SUM(H1191)+IF(COUNTIF(H$1237:H1794,1)=1,5,0)+IF(COUNTIF(I1192:$W1192,"&gt;"&amp;0)&lt;5,IF(AND(COUNTIF(H$1237:H1794,1)&gt;7,MOD(1+IFERROR(MATCH($C1192,总览!$D$46:$D$345,1)+1,1),7)=0),$C$3,0),0)</f>
        <v>1799.39999999999</v>
      </c>
      <c r="I1192" s="131" cm="1">
        <f ca="1" t="array" ref="I1192">IF(I1794=1,OFFSET($W$634,$B1192,I$631-1)/SUMPRODUCT(--($D$631:$V$631=I$631),--($D1794:$V1794=1)),0)+SUM(I1191)+IF(COUNTIF(I$1237:I1794,1)=1,5,0)+IF(COUNTIF(J1192:$W1192,"&gt;"&amp;0)&lt;5,IF(AND(COUNTIF(I$1237:I1794,1)&gt;7,MOD(1+IFERROR(MATCH($C1192,总览!$D$46:$D$345,1)+1,1),7)=0),$C$3,0),0)</f>
        <v>1799.39999999999</v>
      </c>
      <c r="J1192" s="131" cm="1">
        <f ca="1" t="array" ref="J1192">IF(J1794=1,OFFSET($W$634,$B1192,J$631-1)/SUMPRODUCT(--($D$631:$V$631=J$631),--($D1794:$V1794=1)),0)+SUM(J1191)+IF(COUNTIF(J$1237:J1794,1)=1,5,0)+IF(COUNTIF(K1192:$W1192,"&gt;"&amp;0)&lt;5,IF(AND(COUNTIF(J$1237:J1794,1)&gt;7,MOD(1+IFERROR(MATCH($C1192,总览!$D$46:$D$345,1)+1,1),7)=0),$C$3,0),0)</f>
        <v>1796.06666666665</v>
      </c>
      <c r="K1192" s="131" cm="1">
        <f ca="1" t="array" ref="K1192">IF(K1794=1,OFFSET($W$634,$B1192,K$631-1)/SUMPRODUCT(--($D$631:$V$631=K$631),--($D1794:$V1794=1)),0)+SUM(K1191)+IF(COUNTIF(K$1237:K1794,1)=1,5,0)+IF(COUNTIF(L1192:$W1192,"&gt;"&amp;0)&lt;5,IF(AND(COUNTIF(K$1237:K1794,1)&gt;7,MOD(1+IFERROR(MATCH($C1192,总览!$D$46:$D$345,1)+1,1),7)=0),$C$3,0),0)</f>
        <v>1793.56666666665</v>
      </c>
      <c r="L1192" s="131" cm="1">
        <f ca="1" t="array" ref="L1192">IF(L1794=1,OFFSET($W$634,$B1192,L$631-1)/SUMPRODUCT(--($D$631:$V$631=L$631),--($D1794:$V1794=1)),0)+SUM(L1191)+IF(COUNTIF(L$1237:L1794,1)=1,5,0)+IF(COUNTIF(M1192:$W1192,"&gt;"&amp;0)&lt;5,IF(AND(COUNTIF(L$1237:L1794,1)&gt;7,MOD(1+IFERROR(MATCH($C1192,总览!$D$46:$D$345,1)+1,1),7)=0),$C$3,0),0)</f>
        <v>1793.56666666665</v>
      </c>
      <c r="M1192" s="131" cm="1">
        <f ca="1" t="array" ref="M1192">IF(M1794=1,OFFSET($W$634,$B1192,M$631-1)/SUMPRODUCT(--($D$631:$V$631=M$631),--($D1794:$V1794=1)),0)+SUM(M1191)+IF(COUNTIF(M$1237:M1794,1)=1,5,0)+IF(COUNTIF(N1192:$W1192,"&gt;"&amp;0)&lt;5,IF(AND(COUNTIF(M$1237:M1794,1)&gt;7,MOD(1+IFERROR(MATCH($C1192,总览!$D$46:$D$345,1)+1,1),7)=0),$C$3,0),0)</f>
        <v>754.89553571429</v>
      </c>
      <c r="N1192" s="131" cm="1">
        <f ca="1" t="array" ref="N1192">IF(N1794=1,OFFSET($W$634,$B1192,N$631-1)/SUMPRODUCT(--($D$631:$V$631=N$631),--($D1794:$V1794=1)),0)+SUM(N1191)+IF(COUNTIF(N$1237:N1794,1)=1,5,0)+IF(COUNTIF(O1192:$W1192,"&gt;"&amp;0)&lt;5,IF(AND(COUNTIF(N$1237:N1794,1)&gt;7,MOD(1+IFERROR(MATCH($C1192,总览!$D$46:$D$345,1)+1,1),7)=0),$C$3,0),0)</f>
        <v>756.14553571429</v>
      </c>
      <c r="O1192" s="131" cm="1">
        <f ca="1" t="array" ref="O1192">IF(O1794=1,OFFSET($W$634,$B1192,O$631-1)/SUMPRODUCT(--($D$631:$V$631=O$631),--($D1794:$V1794=1)),0)+SUM(O1191)+IF(COUNTIF(O$1237:O1794,1)=1,5,0)+IF(COUNTIF(P1192:$W1192,"&gt;"&amp;0)&lt;5,IF(AND(COUNTIF(O$1237:O1794,1)&gt;7,MOD(1+IFERROR(MATCH($C1192,总览!$D$46:$D$345,1)+1,1),7)=0),$C$3,0),0)</f>
        <v>761.14553571429</v>
      </c>
      <c r="P1192" s="131" cm="1">
        <f ca="1" t="array" ref="P1192">IF(P1794=1,OFFSET($W$634,$B1192,P$631-1)/SUMPRODUCT(--($D$631:$V$631=P$631),--($D1794:$V1794=1)),0)+SUM(P1191)+IF(COUNTIF(P$1237:P1794,1)=1,5,0)+IF(COUNTIF(Q1192:$W1192,"&gt;"&amp;0)&lt;5,IF(AND(COUNTIF(P$1237:P1794,1)&gt;7,MOD(1+IFERROR(MATCH($C1192,总览!$D$46:$D$345,1)+1,1),7)=0),$C$3,0),0)</f>
        <v>750.26428571429</v>
      </c>
      <c r="Q1192" s="131" cm="1">
        <f ca="1" t="array" ref="Q1192">IF(Q1794=1,OFFSET($W$634,$B1192,Q$631-1)/SUMPRODUCT(--($D$631:$V$631=Q$631),--($D1794:$V1794=1)),0)+SUM(Q1191)+IF(COUNTIF(Q$1237:Q1794,1)=1,5,0)+IF(COUNTIF(R1192:$W1192,"&gt;"&amp;0)&lt;5,IF(AND(COUNTIF(Q$1237:Q1794,1)&gt;7,MOD(1+IFERROR(MATCH($C1192,总览!$D$46:$D$345,1)+1,1),7)=0),$C$3,0),0)</f>
        <v>763.64553571429</v>
      </c>
      <c r="R1192" s="131" cm="1">
        <f ca="1" t="array" ref="R1192">IF(R1794=1,OFFSET($W$634,$B1192,R$631-1)/SUMPRODUCT(--($D$631:$V$631=R$631),--($D1794:$V1794=1)),0)+SUM(R1191)+IF(COUNTIF(R$1237:R1794,1)=1,5,0)+IF(COUNTIF(S1192:$W1192,"&gt;"&amp;0)&lt;5,IF(AND(COUNTIF(R$1237:R1794,1)&gt;7,MOD(1+IFERROR(MATCH($C1192,总览!$D$46:$D$345,1)+1,1),7)=0),$C$3,0),0)</f>
        <v>755.26428571429</v>
      </c>
      <c r="S1192" s="131" cm="1">
        <f ca="1" t="array" ref="S1192">IF(S1794=1,OFFSET($W$634,$B1192,S$631-1)/SUMPRODUCT(--($D$631:$V$631=S$631),--($D1794:$V1794=1)),0)+SUM(S1191)+IF(COUNTIF(S$1237:S1794,1)=1,5,0)+IF(COUNTIF(T1192:$W1192,"&gt;"&amp;0)&lt;5,IF(AND(COUNTIF(S$1237:S1794,1)&gt;7,MOD(1+IFERROR(MATCH($C1192,总览!$D$46:$D$345,1)+1,1),7)=0),$C$3,0),0)</f>
        <v>847.764285714291</v>
      </c>
      <c r="T1192" s="131" cm="1">
        <f ca="1" t="array" ref="T1192">IF(T1794=1,OFFSET($W$634,$B1192,T$631-1)/SUMPRODUCT(--($D$631:$V$631=T$631),--($D1794:$V1794=1)),0)+SUM(T1191)+IF(COUNTIF(T$1237:T1794,1)=1,5,0)+IF(COUNTIF(U1192:$W1192,"&gt;"&amp;0)&lt;5,IF(AND(COUNTIF(T$1237:T1794,1)&gt;7,MOD(1+IFERROR(MATCH($C1192,总览!$D$46:$D$345,1)+1,1),7)=0),$C$3,0),0)</f>
        <v>621.024360634468</v>
      </c>
      <c r="U1192" s="131" cm="1">
        <f ca="1" t="array" ref="U1192">IF(U1794=1,OFFSET($W$634,$B1192,U$631-1)/SUMPRODUCT(--($D$631:$V$631=U$631),--($D1794:$V1794=1)),0)+SUM(U1191)+IF(COUNTIF(U$1237:U1794,1)=1,5,0)+IF(COUNTIF(V1192:$W1192,"&gt;"&amp;0)&lt;5,IF(AND(COUNTIF(U$1237:U1794,1)&gt;7,MOD(1+IFERROR(MATCH($C1192,总览!$D$46:$D$345,1)+1,1),7)=0),$C$3,0),0)</f>
        <v>626.545146989768</v>
      </c>
      <c r="V1192" s="131" cm="1">
        <f ca="1" t="array" ref="V1192">IF(V1794=1,OFFSET($W$634,$B1192,V$631-1)/SUMPRODUCT(--($D$631:$V$631=V$631),--($D1794:$V1794=1)),0)+SUM(V1191)+IF(COUNTIF(V$1237:V1794,1)=1,5,0)+IF(COUNTIF(W1192:$W1192,"&gt;"&amp;0)&lt;5,IF(AND(COUNTIF(V$1237:V1794,1)&gt;7,MOD(1+IFERROR(MATCH($C1192,总览!$D$46:$D$345,1)+1,1),7)=0),$C$3,0),0)</f>
        <v>646.372146702201</v>
      </c>
      <c r="W1192" s="135" cm="1">
        <f ca="1" t="array" ref="W1192">SUMPRODUCT(TRANSPOSE($AA1192:$AG1192),OFFSET($L$9:$L$15,0,W$631-1))</f>
        <v>16.8502200646615</v>
      </c>
      <c r="X1192" s="135" cm="1">
        <f ca="1" t="array" ref="X1192">SUMPRODUCT(TRANSPOSE($AA1192:$AG1192),OFFSET($L$9:$L$15,0,X$631-1))</f>
        <v>20</v>
      </c>
      <c r="Y1192" s="135" cm="1">
        <f ca="1" t="array" ref="Y1192">SUMPRODUCT(TRANSPOSE($AA1192:$AG1192),OFFSET($L$9:$L$15,0,Y$631-1))</f>
        <v>10</v>
      </c>
      <c r="Z1192" s="135" cm="1">
        <f ca="1" t="array" ref="Z1192">SUMPRODUCT(TRANSPOSE($AA1192:$AG1192),OFFSET($L$9:$L$15,0,Z$631-1))</f>
        <v>3.14977993533847</v>
      </c>
      <c r="AA1192" s="136">
        <f ca="1" t="shared" ref="AA1192:AG1192" si="1371">AH1192-AH1191</f>
        <v>0</v>
      </c>
      <c r="AB1192" s="136">
        <f ca="1" t="shared" si="1371"/>
        <v>0</v>
      </c>
      <c r="AC1192" s="136">
        <f ca="1" t="shared" si="1371"/>
        <v>0</v>
      </c>
      <c r="AD1192" s="136">
        <f ca="1" t="shared" si="1371"/>
        <v>0</v>
      </c>
      <c r="AE1192" s="136">
        <f ca="1" t="shared" si="1371"/>
        <v>0</v>
      </c>
      <c r="AF1192" s="136">
        <f ca="1" t="shared" si="1371"/>
        <v>0</v>
      </c>
      <c r="AG1192" s="136">
        <f ca="1" t="shared" si="1371"/>
        <v>100</v>
      </c>
      <c r="AH1192" s="136">
        <f ca="1" t="shared" si="1281"/>
        <v>450</v>
      </c>
      <c r="AI1192" s="136">
        <f ca="1" t="shared" ref="AI1192:AN1192" si="1372">IF($C1192&gt;OFFSET($Q$8,MATCH(AI$634,$AH$634:$AN$634,0),0),OFFSET($P$8,MATCH(AI$634,$AH$634:$AN$634,0),0),MAX(0,$C1192-OFFSET($Q$8,RIGHT(AI$634,1)-1,0)))</f>
        <v>909</v>
      </c>
      <c r="AJ1192" s="136">
        <f ca="1" t="shared" si="1372"/>
        <v>1818</v>
      </c>
      <c r="AK1192" s="136">
        <f ca="1" t="shared" si="1372"/>
        <v>2727</v>
      </c>
      <c r="AL1192" s="136">
        <f ca="1" t="shared" si="1372"/>
        <v>3636</v>
      </c>
      <c r="AM1192" s="136">
        <f ca="1" t="shared" si="1372"/>
        <v>4545</v>
      </c>
      <c r="AN1192" s="136">
        <f ca="1" t="shared" si="1372"/>
        <v>41715</v>
      </c>
    </row>
    <row r="1193" s="106" customFormat="1" ht="16.5" spans="2:40">
      <c r="B1193" s="117">
        <v>559</v>
      </c>
      <c r="C1193" s="130">
        <f t="shared" si="1279"/>
        <v>55900</v>
      </c>
      <c r="D1193" s="131" cm="1">
        <f ca="1" t="array" ref="D1193">IF(D1795=1,OFFSET($W$634,$B1193,D$631-1)/SUMPRODUCT(--($D$631:$V$631=D$631),--($D1795:$V1795=1)),0)+SUM(D1192)+IF(COUNTIF(D$1237:D1795,1)=1,5,0)+IF(COUNTIF(E1193:$W1193,"&gt;"&amp;0)&lt;5,IF(AND(COUNTIF(D$1237:D1795,1)&gt;7,MOD(1+IFERROR(MATCH($C1193,总览!$D$46:$D$345,1)+1,1),7)=0),$C$3,0),0)</f>
        <v>3467.46118857945</v>
      </c>
      <c r="E1193" s="131" cm="1">
        <f ca="1" t="array" ref="E1193">IF(E1795=1,OFFSET($W$634,$B1193,E$631-1)/SUMPRODUCT(--($D$631:$V$631=E$631),--($D1795:$V1795=1)),0)+SUM(E1192)+IF(COUNTIF(E$1237:E1795,1)=1,5,0)+IF(COUNTIF(F1193:$W1193,"&gt;"&amp;0)&lt;5,IF(AND(COUNTIF(E$1237:E1795,1)&gt;7,MOD(1+IFERROR(MATCH($C1193,总览!$D$46:$D$345,1)+1,1),7)=0),$C$3,0),0)</f>
        <v>3467.46118857945</v>
      </c>
      <c r="F1193" s="131" cm="1">
        <f ca="1" t="array" ref="F1193">IF(F1795=1,OFFSET($W$634,$B1193,F$631-1)/SUMPRODUCT(--($D$631:$V$631=F$631),--($D1795:$V1795=1)),0)+SUM(F1192)+IF(COUNTIF(F$1237:F1795,1)=1,5,0)+IF(COUNTIF(G1193:$W1193,"&gt;"&amp;0)&lt;5,IF(AND(COUNTIF(F$1237:F1795,1)&gt;7,MOD(1+IFERROR(MATCH($C1193,总览!$D$46:$D$345,1)+1,1),7)=0),$C$3,0),0)</f>
        <v>3467.46118857945</v>
      </c>
      <c r="G1193" s="131" cm="1">
        <f ca="1" t="array" ref="G1193">IF(G1795=1,OFFSET($W$634,$B1193,G$631-1)/SUMPRODUCT(--($D$631:$V$631=G$631),--($D1795:$V1795=1)),0)+SUM(G1192)+IF(COUNTIF(G$1237:G1795,1)=1,5,0)+IF(COUNTIF(H1193:$W1193,"&gt;"&amp;0)&lt;5,IF(AND(COUNTIF(G$1237:G1795,1)&gt;7,MOD(1+IFERROR(MATCH($C1193,总览!$D$46:$D$345,1)+1,1),7)=0),$C$3,0),0)</f>
        <v>1802.73333333332</v>
      </c>
      <c r="H1193" s="131" cm="1">
        <f ca="1" t="array" ref="H1193">IF(H1795=1,OFFSET($W$634,$B1193,H$631-1)/SUMPRODUCT(--($D$631:$V$631=H$631),--($D1795:$V1795=1)),0)+SUM(H1192)+IF(COUNTIF(H$1237:H1795,1)=1,5,0)+IF(COUNTIF(I1193:$W1193,"&gt;"&amp;0)&lt;5,IF(AND(COUNTIF(H$1237:H1795,1)&gt;7,MOD(1+IFERROR(MATCH($C1193,总览!$D$46:$D$345,1)+1,1),7)=0),$C$3,0),0)</f>
        <v>1802.73333333332</v>
      </c>
      <c r="I1193" s="131" cm="1">
        <f ca="1" t="array" ref="I1193">IF(I1795=1,OFFSET($W$634,$B1193,I$631-1)/SUMPRODUCT(--($D$631:$V$631=I$631),--($D1795:$V1795=1)),0)+SUM(I1192)+IF(COUNTIF(I$1237:I1795,1)=1,5,0)+IF(COUNTIF(J1193:$W1193,"&gt;"&amp;0)&lt;5,IF(AND(COUNTIF(I$1237:I1795,1)&gt;7,MOD(1+IFERROR(MATCH($C1193,总览!$D$46:$D$345,1)+1,1),7)=0),$C$3,0),0)</f>
        <v>1802.73333333332</v>
      </c>
      <c r="J1193" s="131" cm="1">
        <f ca="1" t="array" ref="J1193">IF(J1795=1,OFFSET($W$634,$B1193,J$631-1)/SUMPRODUCT(--($D$631:$V$631=J$631),--($D1795:$V1795=1)),0)+SUM(J1192)+IF(COUNTIF(J$1237:J1795,1)=1,5,0)+IF(COUNTIF(K1193:$W1193,"&gt;"&amp;0)&lt;5,IF(AND(COUNTIF(J$1237:J1795,1)&gt;7,MOD(1+IFERROR(MATCH($C1193,总览!$D$46:$D$345,1)+1,1),7)=0),$C$3,0),0)</f>
        <v>1799.39999999999</v>
      </c>
      <c r="K1193" s="131" cm="1">
        <f ca="1" t="array" ref="K1193">IF(K1795=1,OFFSET($W$634,$B1193,K$631-1)/SUMPRODUCT(--($D$631:$V$631=K$631),--($D1795:$V1795=1)),0)+SUM(K1192)+IF(COUNTIF(K$1237:K1795,1)=1,5,0)+IF(COUNTIF(L1193:$W1193,"&gt;"&amp;0)&lt;5,IF(AND(COUNTIF(K$1237:K1795,1)&gt;7,MOD(1+IFERROR(MATCH($C1193,总览!$D$46:$D$345,1)+1,1),7)=0),$C$3,0),0)</f>
        <v>1796.89999999999</v>
      </c>
      <c r="L1193" s="131" cm="1">
        <f ca="1" t="array" ref="L1193">IF(L1795=1,OFFSET($W$634,$B1193,L$631-1)/SUMPRODUCT(--($D$631:$V$631=L$631),--($D1795:$V1795=1)),0)+SUM(L1192)+IF(COUNTIF(L$1237:L1795,1)=1,5,0)+IF(COUNTIF(M1193:$W1193,"&gt;"&amp;0)&lt;5,IF(AND(COUNTIF(L$1237:L1795,1)&gt;7,MOD(1+IFERROR(MATCH($C1193,总览!$D$46:$D$345,1)+1,1),7)=0),$C$3,0),0)</f>
        <v>1796.89999999999</v>
      </c>
      <c r="M1193" s="131" cm="1">
        <f ca="1" t="array" ref="M1193">IF(M1795=1,OFFSET($W$634,$B1193,M$631-1)/SUMPRODUCT(--($D$631:$V$631=M$631),--($D1795:$V1795=1)),0)+SUM(M1192)+IF(COUNTIF(M$1237:M1795,1)=1,5,0)+IF(COUNTIF(N1193:$W1193,"&gt;"&amp;0)&lt;5,IF(AND(COUNTIF(M$1237:M1795,1)&gt;7,MOD(1+IFERROR(MATCH($C1193,总览!$D$46:$D$345,1)+1,1),7)=0),$C$3,0),0)</f>
        <v>756.324107142862</v>
      </c>
      <c r="N1193" s="131" cm="1">
        <f ca="1" t="array" ref="N1193">IF(N1795=1,OFFSET($W$634,$B1193,N$631-1)/SUMPRODUCT(--($D$631:$V$631=N$631),--($D1795:$V1795=1)),0)+SUM(N1192)+IF(COUNTIF(N$1237:N1795,1)=1,5,0)+IF(COUNTIF(O1193:$W1193,"&gt;"&amp;0)&lt;5,IF(AND(COUNTIF(N$1237:N1795,1)&gt;7,MOD(1+IFERROR(MATCH($C1193,总览!$D$46:$D$345,1)+1,1),7)=0),$C$3,0),0)</f>
        <v>757.574107142862</v>
      </c>
      <c r="O1193" s="131" cm="1">
        <f ca="1" t="array" ref="O1193">IF(O1795=1,OFFSET($W$634,$B1193,O$631-1)/SUMPRODUCT(--($D$631:$V$631=O$631),--($D1795:$V1795=1)),0)+SUM(O1192)+IF(COUNTIF(O$1237:O1795,1)=1,5,0)+IF(COUNTIF(P1193:$W1193,"&gt;"&amp;0)&lt;5,IF(AND(COUNTIF(O$1237:O1795,1)&gt;7,MOD(1+IFERROR(MATCH($C1193,总览!$D$46:$D$345,1)+1,1),7)=0),$C$3,0),0)</f>
        <v>762.574107142862</v>
      </c>
      <c r="P1193" s="131" cm="1">
        <f ca="1" t="array" ref="P1193">IF(P1795=1,OFFSET($W$634,$B1193,P$631-1)/SUMPRODUCT(--($D$631:$V$631=P$631),--($D1795:$V1795=1)),0)+SUM(P1192)+IF(COUNTIF(P$1237:P1795,1)=1,5,0)+IF(COUNTIF(Q1193:$W1193,"&gt;"&amp;0)&lt;5,IF(AND(COUNTIF(P$1237:P1795,1)&gt;7,MOD(1+IFERROR(MATCH($C1193,总览!$D$46:$D$345,1)+1,1),7)=0),$C$3,0),0)</f>
        <v>751.692857142862</v>
      </c>
      <c r="Q1193" s="131" cm="1">
        <f ca="1" t="array" ref="Q1193">IF(Q1795=1,OFFSET($W$634,$B1193,Q$631-1)/SUMPRODUCT(--($D$631:$V$631=Q$631),--($D1795:$V1795=1)),0)+SUM(Q1192)+IF(COUNTIF(Q$1237:Q1795,1)=1,5,0)+IF(COUNTIF(R1193:$W1193,"&gt;"&amp;0)&lt;5,IF(AND(COUNTIF(Q$1237:Q1795,1)&gt;7,MOD(1+IFERROR(MATCH($C1193,总览!$D$46:$D$345,1)+1,1),7)=0),$C$3,0),0)</f>
        <v>765.074107142862</v>
      </c>
      <c r="R1193" s="131" cm="1">
        <f ca="1" t="array" ref="R1193">IF(R1795=1,OFFSET($W$634,$B1193,R$631-1)/SUMPRODUCT(--($D$631:$V$631=R$631),--($D1795:$V1795=1)),0)+SUM(R1192)+IF(COUNTIF(R$1237:R1795,1)=1,5,0)+IF(COUNTIF(S1193:$W1193,"&gt;"&amp;0)&lt;5,IF(AND(COUNTIF(R$1237:R1795,1)&gt;7,MOD(1+IFERROR(MATCH($C1193,总览!$D$46:$D$345,1)+1,1),7)=0),$C$3,0),0)</f>
        <v>756.692857142862</v>
      </c>
      <c r="S1193" s="131" cm="1">
        <f ca="1" t="array" ref="S1193">IF(S1795=1,OFFSET($W$634,$B1193,S$631-1)/SUMPRODUCT(--($D$631:$V$631=S$631),--($D1795:$V1795=1)),0)+SUM(S1192)+IF(COUNTIF(S$1237:S1795,1)=1,5,0)+IF(COUNTIF(T1193:$W1193,"&gt;"&amp;0)&lt;5,IF(AND(COUNTIF(S$1237:S1795,1)&gt;7,MOD(1+IFERROR(MATCH($C1193,总览!$D$46:$D$345,1)+1,1),7)=0),$C$3,0),0)</f>
        <v>849.192857142863</v>
      </c>
      <c r="T1193" s="131" cm="1">
        <f ca="1" t="array" ref="T1193">IF(T1795=1,OFFSET($W$634,$B1193,T$631-1)/SUMPRODUCT(--($D$631:$V$631=T$631),--($D1795:$V1795=1)),0)+SUM(T1192)+IF(COUNTIF(T$1237:T1795,1)=1,5,0)+IF(COUNTIF(U1193:$W1193,"&gt;"&amp;0)&lt;5,IF(AND(COUNTIF(T$1237:T1795,1)&gt;7,MOD(1+IFERROR(MATCH($C1193,总览!$D$46:$D$345,1)+1,1),7)=0),$C$3,0),0)</f>
        <v>622.074287279581</v>
      </c>
      <c r="U1193" s="131" cm="1">
        <f ca="1" t="array" ref="U1193">IF(U1795=1,OFFSET($W$634,$B1193,U$631-1)/SUMPRODUCT(--($D$631:$V$631=U$631),--($D1795:$V1795=1)),0)+SUM(U1192)+IF(COUNTIF(U$1237:U1795,1)=1,5,0)+IF(COUNTIF(V1193:$W1193,"&gt;"&amp;0)&lt;5,IF(AND(COUNTIF(U$1237:U1795,1)&gt;7,MOD(1+IFERROR(MATCH($C1193,总览!$D$46:$D$345,1)+1,1),7)=0),$C$3,0),0)</f>
        <v>627.59507363488</v>
      </c>
      <c r="V1193" s="131" cm="1">
        <f ca="1" t="array" ref="V1193">IF(V1795=1,OFFSET($W$634,$B1193,V$631-1)/SUMPRODUCT(--($D$631:$V$631=V$631),--($D1795:$V1795=1)),0)+SUM(V1192)+IF(COUNTIF(V$1237:V1795,1)=1,5,0)+IF(COUNTIF(W1193:$W1193,"&gt;"&amp;0)&lt;5,IF(AND(COUNTIF(V$1237:V1795,1)&gt;7,MOD(1+IFERROR(MATCH($C1193,总览!$D$46:$D$345,1)+1,1),7)=0),$C$3,0),0)</f>
        <v>647.422073347313</v>
      </c>
      <c r="W1193" s="135" cm="1">
        <f ca="1" t="array" ref="W1193">SUMPRODUCT(TRANSPOSE($AA1193:$AG1193),OFFSET($L$9:$L$15,0,W$631-1))</f>
        <v>16.8502200646615</v>
      </c>
      <c r="X1193" s="135" cm="1">
        <f ca="1" t="array" ref="X1193">SUMPRODUCT(TRANSPOSE($AA1193:$AG1193),OFFSET($L$9:$L$15,0,X$631-1))</f>
        <v>20</v>
      </c>
      <c r="Y1193" s="135" cm="1">
        <f ca="1" t="array" ref="Y1193">SUMPRODUCT(TRANSPOSE($AA1193:$AG1193),OFFSET($L$9:$L$15,0,Y$631-1))</f>
        <v>10</v>
      </c>
      <c r="Z1193" s="135" cm="1">
        <f ca="1" t="array" ref="Z1193">SUMPRODUCT(TRANSPOSE($AA1193:$AG1193),OFFSET($L$9:$L$15,0,Z$631-1))</f>
        <v>3.14977993533847</v>
      </c>
      <c r="AA1193" s="136">
        <f ca="1" t="shared" ref="AA1193:AG1193" si="1373">AH1193-AH1192</f>
        <v>0</v>
      </c>
      <c r="AB1193" s="136">
        <f ca="1" t="shared" si="1373"/>
        <v>0</v>
      </c>
      <c r="AC1193" s="136">
        <f ca="1" t="shared" si="1373"/>
        <v>0</v>
      </c>
      <c r="AD1193" s="136">
        <f ca="1" t="shared" si="1373"/>
        <v>0</v>
      </c>
      <c r="AE1193" s="136">
        <f ca="1" t="shared" si="1373"/>
        <v>0</v>
      </c>
      <c r="AF1193" s="136">
        <f ca="1" t="shared" si="1373"/>
        <v>0</v>
      </c>
      <c r="AG1193" s="136">
        <f ca="1" t="shared" si="1373"/>
        <v>100</v>
      </c>
      <c r="AH1193" s="136">
        <f ca="1" t="shared" si="1281"/>
        <v>450</v>
      </c>
      <c r="AI1193" s="136">
        <f ca="1" t="shared" ref="AI1193:AN1193" si="1374">IF($C1193&gt;OFFSET($Q$8,MATCH(AI$634,$AH$634:$AN$634,0),0),OFFSET($P$8,MATCH(AI$634,$AH$634:$AN$634,0),0),MAX(0,$C1193-OFFSET($Q$8,RIGHT(AI$634,1)-1,0)))</f>
        <v>909</v>
      </c>
      <c r="AJ1193" s="136">
        <f ca="1" t="shared" si="1374"/>
        <v>1818</v>
      </c>
      <c r="AK1193" s="136">
        <f ca="1" t="shared" si="1374"/>
        <v>2727</v>
      </c>
      <c r="AL1193" s="136">
        <f ca="1" t="shared" si="1374"/>
        <v>3636</v>
      </c>
      <c r="AM1193" s="136">
        <f ca="1" t="shared" si="1374"/>
        <v>4545</v>
      </c>
      <c r="AN1193" s="136">
        <f ca="1" t="shared" si="1374"/>
        <v>41815</v>
      </c>
    </row>
    <row r="1194" s="106" customFormat="1" ht="16.5" spans="2:40">
      <c r="B1194" s="117">
        <v>560</v>
      </c>
      <c r="C1194" s="130">
        <f t="shared" si="1279"/>
        <v>56000</v>
      </c>
      <c r="D1194" s="131" cm="1">
        <f ca="1" t="array" ref="D1194">IF(D1796=1,OFFSET($W$634,$B1194,D$631-1)/SUMPRODUCT(--($D$631:$V$631=D$631),--($D1796:$V1796=1)),0)+SUM(D1193)+IF(COUNTIF(D$1237:D1796,1)=1,5,0)+IF(COUNTIF(E1194:$W1194,"&gt;"&amp;0)&lt;5,IF(AND(COUNTIF(D$1237:D1796,1)&gt;7,MOD(1+IFERROR(MATCH($C1194,总览!$D$46:$D$345,1)+1,1),7)=0),$C$3,0),0)</f>
        <v>3473.07792860101</v>
      </c>
      <c r="E1194" s="131" cm="1">
        <f ca="1" t="array" ref="E1194">IF(E1796=1,OFFSET($W$634,$B1194,E$631-1)/SUMPRODUCT(--($D$631:$V$631=E$631),--($D1796:$V1796=1)),0)+SUM(E1193)+IF(COUNTIF(E$1237:E1796,1)=1,5,0)+IF(COUNTIF(F1194:$W1194,"&gt;"&amp;0)&lt;5,IF(AND(COUNTIF(E$1237:E1796,1)&gt;7,MOD(1+IFERROR(MATCH($C1194,总览!$D$46:$D$345,1)+1,1),7)=0),$C$3,0),0)</f>
        <v>3473.07792860101</v>
      </c>
      <c r="F1194" s="131" cm="1">
        <f ca="1" t="array" ref="F1194">IF(F1796=1,OFFSET($W$634,$B1194,F$631-1)/SUMPRODUCT(--($D$631:$V$631=F$631),--($D1796:$V1796=1)),0)+SUM(F1193)+IF(COUNTIF(F$1237:F1796,1)=1,5,0)+IF(COUNTIF(G1194:$W1194,"&gt;"&amp;0)&lt;5,IF(AND(COUNTIF(F$1237:F1796,1)&gt;7,MOD(1+IFERROR(MATCH($C1194,总览!$D$46:$D$345,1)+1,1),7)=0),$C$3,0),0)</f>
        <v>3473.07792860101</v>
      </c>
      <c r="G1194" s="131" cm="1">
        <f ca="1" t="array" ref="G1194">IF(G1796=1,OFFSET($W$634,$B1194,G$631-1)/SUMPRODUCT(--($D$631:$V$631=G$631),--($D1796:$V1796=1)),0)+SUM(G1193)+IF(COUNTIF(G$1237:G1796,1)=1,5,0)+IF(COUNTIF(H1194:$W1194,"&gt;"&amp;0)&lt;5,IF(AND(COUNTIF(G$1237:G1796,1)&gt;7,MOD(1+IFERROR(MATCH($C1194,总览!$D$46:$D$345,1)+1,1),7)=0),$C$3,0),0)</f>
        <v>1806.06666666665</v>
      </c>
      <c r="H1194" s="131" cm="1">
        <f ca="1" t="array" ref="H1194">IF(H1796=1,OFFSET($W$634,$B1194,H$631-1)/SUMPRODUCT(--($D$631:$V$631=H$631),--($D1796:$V1796=1)),0)+SUM(H1193)+IF(COUNTIF(H$1237:H1796,1)=1,5,0)+IF(COUNTIF(I1194:$W1194,"&gt;"&amp;0)&lt;5,IF(AND(COUNTIF(H$1237:H1796,1)&gt;7,MOD(1+IFERROR(MATCH($C1194,总览!$D$46:$D$345,1)+1,1),7)=0),$C$3,0),0)</f>
        <v>1806.06666666665</v>
      </c>
      <c r="I1194" s="131" cm="1">
        <f ca="1" t="array" ref="I1194">IF(I1796=1,OFFSET($W$634,$B1194,I$631-1)/SUMPRODUCT(--($D$631:$V$631=I$631),--($D1796:$V1796=1)),0)+SUM(I1193)+IF(COUNTIF(I$1237:I1796,1)=1,5,0)+IF(COUNTIF(J1194:$W1194,"&gt;"&amp;0)&lt;5,IF(AND(COUNTIF(I$1237:I1796,1)&gt;7,MOD(1+IFERROR(MATCH($C1194,总览!$D$46:$D$345,1)+1,1),7)=0),$C$3,0),0)</f>
        <v>1806.06666666665</v>
      </c>
      <c r="J1194" s="131" cm="1">
        <f ca="1" t="array" ref="J1194">IF(J1796=1,OFFSET($W$634,$B1194,J$631-1)/SUMPRODUCT(--($D$631:$V$631=J$631),--($D1796:$V1796=1)),0)+SUM(J1193)+IF(COUNTIF(J$1237:J1796,1)=1,5,0)+IF(COUNTIF(K1194:$W1194,"&gt;"&amp;0)&lt;5,IF(AND(COUNTIF(J$1237:J1796,1)&gt;7,MOD(1+IFERROR(MATCH($C1194,总览!$D$46:$D$345,1)+1,1),7)=0),$C$3,0),0)</f>
        <v>1802.73333333332</v>
      </c>
      <c r="K1194" s="131" cm="1">
        <f ca="1" t="array" ref="K1194">IF(K1796=1,OFFSET($W$634,$B1194,K$631-1)/SUMPRODUCT(--($D$631:$V$631=K$631),--($D1796:$V1796=1)),0)+SUM(K1193)+IF(COUNTIF(K$1237:K1796,1)=1,5,0)+IF(COUNTIF(L1194:$W1194,"&gt;"&amp;0)&lt;5,IF(AND(COUNTIF(K$1237:K1796,1)&gt;7,MOD(1+IFERROR(MATCH($C1194,总览!$D$46:$D$345,1)+1,1),7)=0),$C$3,0),0)</f>
        <v>1800.23333333332</v>
      </c>
      <c r="L1194" s="131" cm="1">
        <f ca="1" t="array" ref="L1194">IF(L1796=1,OFFSET($W$634,$B1194,L$631-1)/SUMPRODUCT(--($D$631:$V$631=L$631),--($D1796:$V1796=1)),0)+SUM(L1193)+IF(COUNTIF(L$1237:L1796,1)=1,5,0)+IF(COUNTIF(M1194:$W1194,"&gt;"&amp;0)&lt;5,IF(AND(COUNTIF(L$1237:L1796,1)&gt;7,MOD(1+IFERROR(MATCH($C1194,总览!$D$46:$D$345,1)+1,1),7)=0),$C$3,0),0)</f>
        <v>1800.23333333332</v>
      </c>
      <c r="M1194" s="131" cm="1">
        <f ca="1" t="array" ref="M1194">IF(M1796=1,OFFSET($W$634,$B1194,M$631-1)/SUMPRODUCT(--($D$631:$V$631=M$631),--($D1796:$V1796=1)),0)+SUM(M1193)+IF(COUNTIF(M$1237:M1796,1)=1,5,0)+IF(COUNTIF(N1194:$W1194,"&gt;"&amp;0)&lt;5,IF(AND(COUNTIF(M$1237:M1796,1)&gt;7,MOD(1+IFERROR(MATCH($C1194,总览!$D$46:$D$345,1)+1,1),7)=0),$C$3,0),0)</f>
        <v>757.752678571433</v>
      </c>
      <c r="N1194" s="131" cm="1">
        <f ca="1" t="array" ref="N1194">IF(N1796=1,OFFSET($W$634,$B1194,N$631-1)/SUMPRODUCT(--($D$631:$V$631=N$631),--($D1796:$V1796=1)),0)+SUM(N1193)+IF(COUNTIF(N$1237:N1796,1)=1,5,0)+IF(COUNTIF(O1194:$W1194,"&gt;"&amp;0)&lt;5,IF(AND(COUNTIF(N$1237:N1796,1)&gt;7,MOD(1+IFERROR(MATCH($C1194,总览!$D$46:$D$345,1)+1,1),7)=0),$C$3,0),0)</f>
        <v>759.002678571433</v>
      </c>
      <c r="O1194" s="131" cm="1">
        <f ca="1" t="array" ref="O1194">IF(O1796=1,OFFSET($W$634,$B1194,O$631-1)/SUMPRODUCT(--($D$631:$V$631=O$631),--($D1796:$V1796=1)),0)+SUM(O1193)+IF(COUNTIF(O$1237:O1796,1)=1,5,0)+IF(COUNTIF(P1194:$W1194,"&gt;"&amp;0)&lt;5,IF(AND(COUNTIF(O$1237:O1796,1)&gt;7,MOD(1+IFERROR(MATCH($C1194,总览!$D$46:$D$345,1)+1,1),7)=0),$C$3,0),0)</f>
        <v>764.002678571433</v>
      </c>
      <c r="P1194" s="131" cm="1">
        <f ca="1" t="array" ref="P1194">IF(P1796=1,OFFSET($W$634,$B1194,P$631-1)/SUMPRODUCT(--($D$631:$V$631=P$631),--($D1796:$V1796=1)),0)+SUM(P1193)+IF(COUNTIF(P$1237:P1796,1)=1,5,0)+IF(COUNTIF(Q1194:$W1194,"&gt;"&amp;0)&lt;5,IF(AND(COUNTIF(P$1237:P1796,1)&gt;7,MOD(1+IFERROR(MATCH($C1194,总览!$D$46:$D$345,1)+1,1),7)=0),$C$3,0),0)</f>
        <v>753.121428571433</v>
      </c>
      <c r="Q1194" s="131" cm="1">
        <f ca="1" t="array" ref="Q1194">IF(Q1796=1,OFFSET($W$634,$B1194,Q$631-1)/SUMPRODUCT(--($D$631:$V$631=Q$631),--($D1796:$V1796=1)),0)+SUM(Q1193)+IF(COUNTIF(Q$1237:Q1796,1)=1,5,0)+IF(COUNTIF(R1194:$W1194,"&gt;"&amp;0)&lt;5,IF(AND(COUNTIF(Q$1237:Q1796,1)&gt;7,MOD(1+IFERROR(MATCH($C1194,总览!$D$46:$D$345,1)+1,1),7)=0),$C$3,0),0)</f>
        <v>766.502678571433</v>
      </c>
      <c r="R1194" s="131" cm="1">
        <f ca="1" t="array" ref="R1194">IF(R1796=1,OFFSET($W$634,$B1194,R$631-1)/SUMPRODUCT(--($D$631:$V$631=R$631),--($D1796:$V1796=1)),0)+SUM(R1193)+IF(COUNTIF(R$1237:R1796,1)=1,5,0)+IF(COUNTIF(S1194:$W1194,"&gt;"&amp;0)&lt;5,IF(AND(COUNTIF(R$1237:R1796,1)&gt;7,MOD(1+IFERROR(MATCH($C1194,总览!$D$46:$D$345,1)+1,1),7)=0),$C$3,0),0)</f>
        <v>758.121428571433</v>
      </c>
      <c r="S1194" s="131" cm="1">
        <f ca="1" t="array" ref="S1194">IF(S1796=1,OFFSET($W$634,$B1194,S$631-1)/SUMPRODUCT(--($D$631:$V$631=S$631),--($D1796:$V1796=1)),0)+SUM(S1193)+IF(COUNTIF(S$1237:S1796,1)=1,5,0)+IF(COUNTIF(T1194:$W1194,"&gt;"&amp;0)&lt;5,IF(AND(COUNTIF(S$1237:S1796,1)&gt;7,MOD(1+IFERROR(MATCH($C1194,总览!$D$46:$D$345,1)+1,1),7)=0),$C$3,0),0)</f>
        <v>850.621428571434</v>
      </c>
      <c r="T1194" s="131" cm="1">
        <f ca="1" t="array" ref="T1194">IF(T1796=1,OFFSET($W$634,$B1194,T$631-1)/SUMPRODUCT(--($D$631:$V$631=T$631),--($D1796:$V1796=1)),0)+SUM(T1193)+IF(COUNTIF(T$1237:T1796,1)=1,5,0)+IF(COUNTIF(U1194:$W1194,"&gt;"&amp;0)&lt;5,IF(AND(COUNTIF(T$1237:T1796,1)&gt;7,MOD(1+IFERROR(MATCH($C1194,总览!$D$46:$D$345,1)+1,1),7)=0),$C$3,0),0)</f>
        <v>623.124213924694</v>
      </c>
      <c r="U1194" s="131" cm="1">
        <f ca="1" t="array" ref="U1194">IF(U1796=1,OFFSET($W$634,$B1194,U$631-1)/SUMPRODUCT(--($D$631:$V$631=U$631),--($D1796:$V1796=1)),0)+SUM(U1193)+IF(COUNTIF(U$1237:U1796,1)=1,5,0)+IF(COUNTIF(V1194:$W1194,"&gt;"&amp;0)&lt;5,IF(AND(COUNTIF(U$1237:U1796,1)&gt;7,MOD(1+IFERROR(MATCH($C1194,总览!$D$46:$D$345,1)+1,1),7)=0),$C$3,0),0)</f>
        <v>628.645000279993</v>
      </c>
      <c r="V1194" s="131" cm="1">
        <f ca="1" t="array" ref="V1194">IF(V1796=1,OFFSET($W$634,$B1194,V$631-1)/SUMPRODUCT(--($D$631:$V$631=V$631),--($D1796:$V1796=1)),0)+SUM(V1193)+IF(COUNTIF(V$1237:V1796,1)=1,5,0)+IF(COUNTIF(W1194:$W1194,"&gt;"&amp;0)&lt;5,IF(AND(COUNTIF(V$1237:V1796,1)&gt;7,MOD(1+IFERROR(MATCH($C1194,总览!$D$46:$D$345,1)+1,1),7)=0),$C$3,0),0)</f>
        <v>648.471999992426</v>
      </c>
      <c r="W1194" s="135" cm="1">
        <f ca="1" t="array" ref="W1194">SUMPRODUCT(TRANSPOSE($AA1194:$AG1194),OFFSET($L$9:$L$15,0,W$631-1))</f>
        <v>16.8502200646615</v>
      </c>
      <c r="X1194" s="135" cm="1">
        <f ca="1" t="array" ref="X1194">SUMPRODUCT(TRANSPOSE($AA1194:$AG1194),OFFSET($L$9:$L$15,0,X$631-1))</f>
        <v>20</v>
      </c>
      <c r="Y1194" s="135" cm="1">
        <f ca="1" t="array" ref="Y1194">SUMPRODUCT(TRANSPOSE($AA1194:$AG1194),OFFSET($L$9:$L$15,0,Y$631-1))</f>
        <v>10</v>
      </c>
      <c r="Z1194" s="135" cm="1">
        <f ca="1" t="array" ref="Z1194">SUMPRODUCT(TRANSPOSE($AA1194:$AG1194),OFFSET($L$9:$L$15,0,Z$631-1))</f>
        <v>3.14977993533847</v>
      </c>
      <c r="AA1194" s="136">
        <f ca="1" t="shared" ref="AA1194:AG1194" si="1375">AH1194-AH1193</f>
        <v>0</v>
      </c>
      <c r="AB1194" s="136">
        <f ca="1" t="shared" si="1375"/>
        <v>0</v>
      </c>
      <c r="AC1194" s="136">
        <f ca="1" t="shared" si="1375"/>
        <v>0</v>
      </c>
      <c r="AD1194" s="136">
        <f ca="1" t="shared" si="1375"/>
        <v>0</v>
      </c>
      <c r="AE1194" s="136">
        <f ca="1" t="shared" si="1375"/>
        <v>0</v>
      </c>
      <c r="AF1194" s="136">
        <f ca="1" t="shared" si="1375"/>
        <v>0</v>
      </c>
      <c r="AG1194" s="136">
        <f ca="1" t="shared" si="1375"/>
        <v>100</v>
      </c>
      <c r="AH1194" s="136">
        <f ca="1" t="shared" si="1281"/>
        <v>450</v>
      </c>
      <c r="AI1194" s="136">
        <f ca="1" t="shared" ref="AI1194:AN1194" si="1376">IF($C1194&gt;OFFSET($Q$8,MATCH(AI$634,$AH$634:$AN$634,0),0),OFFSET($P$8,MATCH(AI$634,$AH$634:$AN$634,0),0),MAX(0,$C1194-OFFSET($Q$8,RIGHT(AI$634,1)-1,0)))</f>
        <v>909</v>
      </c>
      <c r="AJ1194" s="136">
        <f ca="1" t="shared" si="1376"/>
        <v>1818</v>
      </c>
      <c r="AK1194" s="136">
        <f ca="1" t="shared" si="1376"/>
        <v>2727</v>
      </c>
      <c r="AL1194" s="136">
        <f ca="1" t="shared" si="1376"/>
        <v>3636</v>
      </c>
      <c r="AM1194" s="136">
        <f ca="1" t="shared" si="1376"/>
        <v>4545</v>
      </c>
      <c r="AN1194" s="136">
        <f ca="1" t="shared" si="1376"/>
        <v>41915</v>
      </c>
    </row>
    <row r="1195" s="106" customFormat="1" ht="16.5" spans="2:40">
      <c r="B1195" s="117">
        <v>561</v>
      </c>
      <c r="C1195" s="130">
        <f t="shared" si="1279"/>
        <v>56100</v>
      </c>
      <c r="D1195" s="131" cm="1">
        <f ca="1" t="array" ref="D1195">IF(D1797=1,OFFSET($W$634,$B1195,D$631-1)/SUMPRODUCT(--($D$631:$V$631=D$631),--($D1797:$V1797=1)),0)+SUM(D1194)+IF(COUNTIF(D$1237:D1797,1)=1,5,0)+IF(COUNTIF(E1195:$W1195,"&gt;"&amp;0)&lt;5,IF(AND(COUNTIF(D$1237:D1797,1)&gt;7,MOD(1+IFERROR(MATCH($C1195,总览!$D$46:$D$345,1)+1,1),7)=0),$C$3,0),0)</f>
        <v>3478.69466862256</v>
      </c>
      <c r="E1195" s="131" cm="1">
        <f ca="1" t="array" ref="E1195">IF(E1797=1,OFFSET($W$634,$B1195,E$631-1)/SUMPRODUCT(--($D$631:$V$631=E$631),--($D1797:$V1797=1)),0)+SUM(E1194)+IF(COUNTIF(E$1237:E1797,1)=1,5,0)+IF(COUNTIF(F1195:$W1195,"&gt;"&amp;0)&lt;5,IF(AND(COUNTIF(E$1237:E1797,1)&gt;7,MOD(1+IFERROR(MATCH($C1195,总览!$D$46:$D$345,1)+1,1),7)=0),$C$3,0),0)</f>
        <v>3478.69466862256</v>
      </c>
      <c r="F1195" s="131" cm="1">
        <f ca="1" t="array" ref="F1195">IF(F1797=1,OFFSET($W$634,$B1195,F$631-1)/SUMPRODUCT(--($D$631:$V$631=F$631),--($D1797:$V1797=1)),0)+SUM(F1194)+IF(COUNTIF(F$1237:F1797,1)=1,5,0)+IF(COUNTIF(G1195:$W1195,"&gt;"&amp;0)&lt;5,IF(AND(COUNTIF(F$1237:F1797,1)&gt;7,MOD(1+IFERROR(MATCH($C1195,总览!$D$46:$D$345,1)+1,1),7)=0),$C$3,0),0)</f>
        <v>3478.69466862256</v>
      </c>
      <c r="G1195" s="131" cm="1">
        <f ca="1" t="array" ref="G1195">IF(G1797=1,OFFSET($W$634,$B1195,G$631-1)/SUMPRODUCT(--($D$631:$V$631=G$631),--($D1797:$V1797=1)),0)+SUM(G1194)+IF(COUNTIF(G$1237:G1797,1)=1,5,0)+IF(COUNTIF(H1195:$W1195,"&gt;"&amp;0)&lt;5,IF(AND(COUNTIF(G$1237:G1797,1)&gt;7,MOD(1+IFERROR(MATCH($C1195,总览!$D$46:$D$345,1)+1,1),7)=0),$C$3,0),0)</f>
        <v>1809.39999999999</v>
      </c>
      <c r="H1195" s="131" cm="1">
        <f ca="1" t="array" ref="H1195">IF(H1797=1,OFFSET($W$634,$B1195,H$631-1)/SUMPRODUCT(--($D$631:$V$631=H$631),--($D1797:$V1797=1)),0)+SUM(H1194)+IF(COUNTIF(H$1237:H1797,1)=1,5,0)+IF(COUNTIF(I1195:$W1195,"&gt;"&amp;0)&lt;5,IF(AND(COUNTIF(H$1237:H1797,1)&gt;7,MOD(1+IFERROR(MATCH($C1195,总览!$D$46:$D$345,1)+1,1),7)=0),$C$3,0),0)</f>
        <v>1809.39999999999</v>
      </c>
      <c r="I1195" s="131" cm="1">
        <f ca="1" t="array" ref="I1195">IF(I1797=1,OFFSET($W$634,$B1195,I$631-1)/SUMPRODUCT(--($D$631:$V$631=I$631),--($D1797:$V1797=1)),0)+SUM(I1194)+IF(COUNTIF(I$1237:I1797,1)=1,5,0)+IF(COUNTIF(J1195:$W1195,"&gt;"&amp;0)&lt;5,IF(AND(COUNTIF(I$1237:I1797,1)&gt;7,MOD(1+IFERROR(MATCH($C1195,总览!$D$46:$D$345,1)+1,1),7)=0),$C$3,0),0)</f>
        <v>1809.39999999999</v>
      </c>
      <c r="J1195" s="131" cm="1">
        <f ca="1" t="array" ref="J1195">IF(J1797=1,OFFSET($W$634,$B1195,J$631-1)/SUMPRODUCT(--($D$631:$V$631=J$631),--($D1797:$V1797=1)),0)+SUM(J1194)+IF(COUNTIF(J$1237:J1797,1)=1,5,0)+IF(COUNTIF(K1195:$W1195,"&gt;"&amp;0)&lt;5,IF(AND(COUNTIF(J$1237:J1797,1)&gt;7,MOD(1+IFERROR(MATCH($C1195,总览!$D$46:$D$345,1)+1,1),7)=0),$C$3,0),0)</f>
        <v>1806.06666666665</v>
      </c>
      <c r="K1195" s="131" cm="1">
        <f ca="1" t="array" ref="K1195">IF(K1797=1,OFFSET($W$634,$B1195,K$631-1)/SUMPRODUCT(--($D$631:$V$631=K$631),--($D1797:$V1797=1)),0)+SUM(K1194)+IF(COUNTIF(K$1237:K1797,1)=1,5,0)+IF(COUNTIF(L1195:$W1195,"&gt;"&amp;0)&lt;5,IF(AND(COUNTIF(K$1237:K1797,1)&gt;7,MOD(1+IFERROR(MATCH($C1195,总览!$D$46:$D$345,1)+1,1),7)=0),$C$3,0),0)</f>
        <v>1803.56666666665</v>
      </c>
      <c r="L1195" s="131" cm="1">
        <f ca="1" t="array" ref="L1195">IF(L1797=1,OFFSET($W$634,$B1195,L$631-1)/SUMPRODUCT(--($D$631:$V$631=L$631),--($D1797:$V1797=1)),0)+SUM(L1194)+IF(COUNTIF(L$1237:L1797,1)=1,5,0)+IF(COUNTIF(M1195:$W1195,"&gt;"&amp;0)&lt;5,IF(AND(COUNTIF(L$1237:L1797,1)&gt;7,MOD(1+IFERROR(MATCH($C1195,总览!$D$46:$D$345,1)+1,1),7)=0),$C$3,0),0)</f>
        <v>1803.56666666665</v>
      </c>
      <c r="M1195" s="131" cm="1">
        <f ca="1" t="array" ref="M1195">IF(M1797=1,OFFSET($W$634,$B1195,M$631-1)/SUMPRODUCT(--($D$631:$V$631=M$631),--($D1797:$V1797=1)),0)+SUM(M1194)+IF(COUNTIF(M$1237:M1797,1)=1,5,0)+IF(COUNTIF(N1195:$W1195,"&gt;"&amp;0)&lt;5,IF(AND(COUNTIF(M$1237:M1797,1)&gt;7,MOD(1+IFERROR(MATCH($C1195,总览!$D$46:$D$345,1)+1,1),7)=0),$C$3,0),0)</f>
        <v>759.181250000005</v>
      </c>
      <c r="N1195" s="131" cm="1">
        <f ca="1" t="array" ref="N1195">IF(N1797=1,OFFSET($W$634,$B1195,N$631-1)/SUMPRODUCT(--($D$631:$V$631=N$631),--($D1797:$V1797=1)),0)+SUM(N1194)+IF(COUNTIF(N$1237:N1797,1)=1,5,0)+IF(COUNTIF(O1195:$W1195,"&gt;"&amp;0)&lt;5,IF(AND(COUNTIF(N$1237:N1797,1)&gt;7,MOD(1+IFERROR(MATCH($C1195,总览!$D$46:$D$345,1)+1,1),7)=0),$C$3,0),0)</f>
        <v>760.431250000005</v>
      </c>
      <c r="O1195" s="131" cm="1">
        <f ca="1" t="array" ref="O1195">IF(O1797=1,OFFSET($W$634,$B1195,O$631-1)/SUMPRODUCT(--($D$631:$V$631=O$631),--($D1797:$V1797=1)),0)+SUM(O1194)+IF(COUNTIF(O$1237:O1797,1)=1,5,0)+IF(COUNTIF(P1195:$W1195,"&gt;"&amp;0)&lt;5,IF(AND(COUNTIF(O$1237:O1797,1)&gt;7,MOD(1+IFERROR(MATCH($C1195,总览!$D$46:$D$345,1)+1,1),7)=0),$C$3,0),0)</f>
        <v>765.431250000005</v>
      </c>
      <c r="P1195" s="131" cm="1">
        <f ca="1" t="array" ref="P1195">IF(P1797=1,OFFSET($W$634,$B1195,P$631-1)/SUMPRODUCT(--($D$631:$V$631=P$631),--($D1797:$V1797=1)),0)+SUM(P1194)+IF(COUNTIF(P$1237:P1797,1)=1,5,0)+IF(COUNTIF(Q1195:$W1195,"&gt;"&amp;0)&lt;5,IF(AND(COUNTIF(P$1237:P1797,1)&gt;7,MOD(1+IFERROR(MATCH($C1195,总览!$D$46:$D$345,1)+1,1),7)=0),$C$3,0),0)</f>
        <v>754.550000000005</v>
      </c>
      <c r="Q1195" s="131" cm="1">
        <f ca="1" t="array" ref="Q1195">IF(Q1797=1,OFFSET($W$634,$B1195,Q$631-1)/SUMPRODUCT(--($D$631:$V$631=Q$631),--($D1797:$V1797=1)),0)+SUM(Q1194)+IF(COUNTIF(Q$1237:Q1797,1)=1,5,0)+IF(COUNTIF(R1195:$W1195,"&gt;"&amp;0)&lt;5,IF(AND(COUNTIF(Q$1237:Q1797,1)&gt;7,MOD(1+IFERROR(MATCH($C1195,总览!$D$46:$D$345,1)+1,1),7)=0),$C$3,0),0)</f>
        <v>767.931250000005</v>
      </c>
      <c r="R1195" s="131" cm="1">
        <f ca="1" t="array" ref="R1195">IF(R1797=1,OFFSET($W$634,$B1195,R$631-1)/SUMPRODUCT(--($D$631:$V$631=R$631),--($D1797:$V1797=1)),0)+SUM(R1194)+IF(COUNTIF(R$1237:R1797,1)=1,5,0)+IF(COUNTIF(S1195:$W1195,"&gt;"&amp;0)&lt;5,IF(AND(COUNTIF(R$1237:R1797,1)&gt;7,MOD(1+IFERROR(MATCH($C1195,总览!$D$46:$D$345,1)+1,1),7)=0),$C$3,0),0)</f>
        <v>759.550000000005</v>
      </c>
      <c r="S1195" s="131" cm="1">
        <f ca="1" t="array" ref="S1195">IF(S1797=1,OFFSET($W$634,$B1195,S$631-1)/SUMPRODUCT(--($D$631:$V$631=S$631),--($D1797:$V1797=1)),0)+SUM(S1194)+IF(COUNTIF(S$1237:S1797,1)=1,5,0)+IF(COUNTIF(T1195:$W1195,"&gt;"&amp;0)&lt;5,IF(AND(COUNTIF(S$1237:S1797,1)&gt;7,MOD(1+IFERROR(MATCH($C1195,总览!$D$46:$D$345,1)+1,1),7)=0),$C$3,0),0)</f>
        <v>852.050000000006</v>
      </c>
      <c r="T1195" s="131" cm="1">
        <f ca="1" t="array" ref="T1195">IF(T1797=1,OFFSET($W$634,$B1195,T$631-1)/SUMPRODUCT(--($D$631:$V$631=T$631),--($D1797:$V1797=1)),0)+SUM(T1194)+IF(COUNTIF(T$1237:T1797,1)=1,5,0)+IF(COUNTIF(U1195:$W1195,"&gt;"&amp;0)&lt;5,IF(AND(COUNTIF(T$1237:T1797,1)&gt;7,MOD(1+IFERROR(MATCH($C1195,总览!$D$46:$D$345,1)+1,1),7)=0),$C$3,0),0)</f>
        <v>624.174140569807</v>
      </c>
      <c r="U1195" s="131" cm="1">
        <f ca="1" t="array" ref="U1195">IF(U1797=1,OFFSET($W$634,$B1195,U$631-1)/SUMPRODUCT(--($D$631:$V$631=U$631),--($D1797:$V1797=1)),0)+SUM(U1194)+IF(COUNTIF(U$1237:U1797,1)=1,5,0)+IF(COUNTIF(V1195:$W1195,"&gt;"&amp;0)&lt;5,IF(AND(COUNTIF(U$1237:U1797,1)&gt;7,MOD(1+IFERROR(MATCH($C1195,总览!$D$46:$D$345,1)+1,1),7)=0),$C$3,0),0)</f>
        <v>629.694926925106</v>
      </c>
      <c r="V1195" s="131" cm="1">
        <f ca="1" t="array" ref="V1195">IF(V1797=1,OFFSET($W$634,$B1195,V$631-1)/SUMPRODUCT(--($D$631:$V$631=V$631),--($D1797:$V1797=1)),0)+SUM(V1194)+IF(COUNTIF(V$1237:V1797,1)=1,5,0)+IF(COUNTIF(W1195:$W1195,"&gt;"&amp;0)&lt;5,IF(AND(COUNTIF(V$1237:V1797,1)&gt;7,MOD(1+IFERROR(MATCH($C1195,总览!$D$46:$D$345,1)+1,1),7)=0),$C$3,0),0)</f>
        <v>649.521926637539</v>
      </c>
      <c r="W1195" s="135" cm="1">
        <f ca="1" t="array" ref="W1195">SUMPRODUCT(TRANSPOSE($AA1195:$AG1195),OFFSET($L$9:$L$15,0,W$631-1))</f>
        <v>16.8502200646615</v>
      </c>
      <c r="X1195" s="135" cm="1">
        <f ca="1" t="array" ref="X1195">SUMPRODUCT(TRANSPOSE($AA1195:$AG1195),OFFSET($L$9:$L$15,0,X$631-1))</f>
        <v>20</v>
      </c>
      <c r="Y1195" s="135" cm="1">
        <f ca="1" t="array" ref="Y1195">SUMPRODUCT(TRANSPOSE($AA1195:$AG1195),OFFSET($L$9:$L$15,0,Y$631-1))</f>
        <v>10</v>
      </c>
      <c r="Z1195" s="135" cm="1">
        <f ca="1" t="array" ref="Z1195">SUMPRODUCT(TRANSPOSE($AA1195:$AG1195),OFFSET($L$9:$L$15,0,Z$631-1))</f>
        <v>3.14977993533847</v>
      </c>
      <c r="AA1195" s="136">
        <f ca="1" t="shared" ref="AA1195:AG1195" si="1377">AH1195-AH1194</f>
        <v>0</v>
      </c>
      <c r="AB1195" s="136">
        <f ca="1" t="shared" si="1377"/>
        <v>0</v>
      </c>
      <c r="AC1195" s="136">
        <f ca="1" t="shared" si="1377"/>
        <v>0</v>
      </c>
      <c r="AD1195" s="136">
        <f ca="1" t="shared" si="1377"/>
        <v>0</v>
      </c>
      <c r="AE1195" s="136">
        <f ca="1" t="shared" si="1377"/>
        <v>0</v>
      </c>
      <c r="AF1195" s="136">
        <f ca="1" t="shared" si="1377"/>
        <v>0</v>
      </c>
      <c r="AG1195" s="136">
        <f ca="1" t="shared" si="1377"/>
        <v>100</v>
      </c>
      <c r="AH1195" s="136">
        <f ca="1" t="shared" si="1281"/>
        <v>450</v>
      </c>
      <c r="AI1195" s="136">
        <f ca="1" t="shared" ref="AI1195:AN1195" si="1378">IF($C1195&gt;OFFSET($Q$8,MATCH(AI$634,$AH$634:$AN$634,0),0),OFFSET($P$8,MATCH(AI$634,$AH$634:$AN$634,0),0),MAX(0,$C1195-OFFSET($Q$8,RIGHT(AI$634,1)-1,0)))</f>
        <v>909</v>
      </c>
      <c r="AJ1195" s="136">
        <f ca="1" t="shared" si="1378"/>
        <v>1818</v>
      </c>
      <c r="AK1195" s="136">
        <f ca="1" t="shared" si="1378"/>
        <v>2727</v>
      </c>
      <c r="AL1195" s="136">
        <f ca="1" t="shared" si="1378"/>
        <v>3636</v>
      </c>
      <c r="AM1195" s="136">
        <f ca="1" t="shared" si="1378"/>
        <v>4545</v>
      </c>
      <c r="AN1195" s="136">
        <f ca="1" t="shared" si="1378"/>
        <v>42015</v>
      </c>
    </row>
    <row r="1196" s="106" customFormat="1" ht="16.5" spans="2:40">
      <c r="B1196" s="117">
        <v>562</v>
      </c>
      <c r="C1196" s="130">
        <f t="shared" si="1279"/>
        <v>56200</v>
      </c>
      <c r="D1196" s="131" cm="1">
        <f ca="1" t="array" ref="D1196">IF(D1798=1,OFFSET($W$634,$B1196,D$631-1)/SUMPRODUCT(--($D$631:$V$631=D$631),--($D1798:$V1798=1)),0)+SUM(D1195)+IF(COUNTIF(D$1237:D1798,1)=1,5,0)+IF(COUNTIF(E1196:$W1196,"&gt;"&amp;0)&lt;5,IF(AND(COUNTIF(D$1237:D1798,1)&gt;7,MOD(1+IFERROR(MATCH($C1196,总览!$D$46:$D$345,1)+1,1),7)=0),$C$3,0),0)</f>
        <v>3484.31140864411</v>
      </c>
      <c r="E1196" s="131" cm="1">
        <f ca="1" t="array" ref="E1196">IF(E1798=1,OFFSET($W$634,$B1196,E$631-1)/SUMPRODUCT(--($D$631:$V$631=E$631),--($D1798:$V1798=1)),0)+SUM(E1195)+IF(COUNTIF(E$1237:E1798,1)=1,5,0)+IF(COUNTIF(F1196:$W1196,"&gt;"&amp;0)&lt;5,IF(AND(COUNTIF(E$1237:E1798,1)&gt;7,MOD(1+IFERROR(MATCH($C1196,总览!$D$46:$D$345,1)+1,1),7)=0),$C$3,0),0)</f>
        <v>3484.31140864411</v>
      </c>
      <c r="F1196" s="131" cm="1">
        <f ca="1" t="array" ref="F1196">IF(F1798=1,OFFSET($W$634,$B1196,F$631-1)/SUMPRODUCT(--($D$631:$V$631=F$631),--($D1798:$V1798=1)),0)+SUM(F1195)+IF(COUNTIF(F$1237:F1798,1)=1,5,0)+IF(COUNTIF(G1196:$W1196,"&gt;"&amp;0)&lt;5,IF(AND(COUNTIF(F$1237:F1798,1)&gt;7,MOD(1+IFERROR(MATCH($C1196,总览!$D$46:$D$345,1)+1,1),7)=0),$C$3,0),0)</f>
        <v>3484.31140864411</v>
      </c>
      <c r="G1196" s="131" cm="1">
        <f ca="1" t="array" ref="G1196">IF(G1798=1,OFFSET($W$634,$B1196,G$631-1)/SUMPRODUCT(--($D$631:$V$631=G$631),--($D1798:$V1798=1)),0)+SUM(G1195)+IF(COUNTIF(G$1237:G1798,1)=1,5,0)+IF(COUNTIF(H1196:$W1196,"&gt;"&amp;0)&lt;5,IF(AND(COUNTIF(G$1237:G1798,1)&gt;7,MOD(1+IFERROR(MATCH($C1196,总览!$D$46:$D$345,1)+1,1),7)=0),$C$3,0),0)</f>
        <v>1812.73333333332</v>
      </c>
      <c r="H1196" s="131" cm="1">
        <f ca="1" t="array" ref="H1196">IF(H1798=1,OFFSET($W$634,$B1196,H$631-1)/SUMPRODUCT(--($D$631:$V$631=H$631),--($D1798:$V1798=1)),0)+SUM(H1195)+IF(COUNTIF(H$1237:H1798,1)=1,5,0)+IF(COUNTIF(I1196:$W1196,"&gt;"&amp;0)&lt;5,IF(AND(COUNTIF(H$1237:H1798,1)&gt;7,MOD(1+IFERROR(MATCH($C1196,总览!$D$46:$D$345,1)+1,1),7)=0),$C$3,0),0)</f>
        <v>1812.73333333332</v>
      </c>
      <c r="I1196" s="131" cm="1">
        <f ca="1" t="array" ref="I1196">IF(I1798=1,OFFSET($W$634,$B1196,I$631-1)/SUMPRODUCT(--($D$631:$V$631=I$631),--($D1798:$V1798=1)),0)+SUM(I1195)+IF(COUNTIF(I$1237:I1798,1)=1,5,0)+IF(COUNTIF(J1196:$W1196,"&gt;"&amp;0)&lt;5,IF(AND(COUNTIF(I$1237:I1798,1)&gt;7,MOD(1+IFERROR(MATCH($C1196,总览!$D$46:$D$345,1)+1,1),7)=0),$C$3,0),0)</f>
        <v>1812.73333333332</v>
      </c>
      <c r="J1196" s="131" cm="1">
        <f ca="1" t="array" ref="J1196">IF(J1798=1,OFFSET($W$634,$B1196,J$631-1)/SUMPRODUCT(--($D$631:$V$631=J$631),--($D1798:$V1798=1)),0)+SUM(J1195)+IF(COUNTIF(J$1237:J1798,1)=1,5,0)+IF(COUNTIF(K1196:$W1196,"&gt;"&amp;0)&lt;5,IF(AND(COUNTIF(J$1237:J1798,1)&gt;7,MOD(1+IFERROR(MATCH($C1196,总览!$D$46:$D$345,1)+1,1),7)=0),$C$3,0),0)</f>
        <v>1809.39999999999</v>
      </c>
      <c r="K1196" s="131" cm="1">
        <f ca="1" t="array" ref="K1196">IF(K1798=1,OFFSET($W$634,$B1196,K$631-1)/SUMPRODUCT(--($D$631:$V$631=K$631),--($D1798:$V1798=1)),0)+SUM(K1195)+IF(COUNTIF(K$1237:K1798,1)=1,5,0)+IF(COUNTIF(L1196:$W1196,"&gt;"&amp;0)&lt;5,IF(AND(COUNTIF(K$1237:K1798,1)&gt;7,MOD(1+IFERROR(MATCH($C1196,总览!$D$46:$D$345,1)+1,1),7)=0),$C$3,0),0)</f>
        <v>1806.89999999999</v>
      </c>
      <c r="L1196" s="131" cm="1">
        <f ca="1" t="array" ref="L1196">IF(L1798=1,OFFSET($W$634,$B1196,L$631-1)/SUMPRODUCT(--($D$631:$V$631=L$631),--($D1798:$V1798=1)),0)+SUM(L1195)+IF(COUNTIF(L$1237:L1798,1)=1,5,0)+IF(COUNTIF(M1196:$W1196,"&gt;"&amp;0)&lt;5,IF(AND(COUNTIF(L$1237:L1798,1)&gt;7,MOD(1+IFERROR(MATCH($C1196,总览!$D$46:$D$345,1)+1,1),7)=0),$C$3,0),0)</f>
        <v>1806.89999999999</v>
      </c>
      <c r="M1196" s="131" cm="1">
        <f ca="1" t="array" ref="M1196">IF(M1798=1,OFFSET($W$634,$B1196,M$631-1)/SUMPRODUCT(--($D$631:$V$631=M$631),--($D1798:$V1798=1)),0)+SUM(M1195)+IF(COUNTIF(M$1237:M1798,1)=1,5,0)+IF(COUNTIF(N1196:$W1196,"&gt;"&amp;0)&lt;5,IF(AND(COUNTIF(M$1237:M1798,1)&gt;7,MOD(1+IFERROR(MATCH($C1196,总览!$D$46:$D$345,1)+1,1),7)=0),$C$3,0),0)</f>
        <v>760.609821428576</v>
      </c>
      <c r="N1196" s="131" cm="1">
        <f ca="1" t="array" ref="N1196">IF(N1798=1,OFFSET($W$634,$B1196,N$631-1)/SUMPRODUCT(--($D$631:$V$631=N$631),--($D1798:$V1798=1)),0)+SUM(N1195)+IF(COUNTIF(N$1237:N1798,1)=1,5,0)+IF(COUNTIF(O1196:$W1196,"&gt;"&amp;0)&lt;5,IF(AND(COUNTIF(N$1237:N1798,1)&gt;7,MOD(1+IFERROR(MATCH($C1196,总览!$D$46:$D$345,1)+1,1),7)=0),$C$3,0),0)</f>
        <v>761.859821428576</v>
      </c>
      <c r="O1196" s="131" cm="1">
        <f ca="1" t="array" ref="O1196">IF(O1798=1,OFFSET($W$634,$B1196,O$631-1)/SUMPRODUCT(--($D$631:$V$631=O$631),--($D1798:$V1798=1)),0)+SUM(O1195)+IF(COUNTIF(O$1237:O1798,1)=1,5,0)+IF(COUNTIF(P1196:$W1196,"&gt;"&amp;0)&lt;5,IF(AND(COUNTIF(O$1237:O1798,1)&gt;7,MOD(1+IFERROR(MATCH($C1196,总览!$D$46:$D$345,1)+1,1),7)=0),$C$3,0),0)</f>
        <v>766.859821428576</v>
      </c>
      <c r="P1196" s="131" cm="1">
        <f ca="1" t="array" ref="P1196">IF(P1798=1,OFFSET($W$634,$B1196,P$631-1)/SUMPRODUCT(--($D$631:$V$631=P$631),--($D1798:$V1798=1)),0)+SUM(P1195)+IF(COUNTIF(P$1237:P1798,1)=1,5,0)+IF(COUNTIF(Q1196:$W1196,"&gt;"&amp;0)&lt;5,IF(AND(COUNTIF(P$1237:P1798,1)&gt;7,MOD(1+IFERROR(MATCH($C1196,总览!$D$46:$D$345,1)+1,1),7)=0),$C$3,0),0)</f>
        <v>755.978571428576</v>
      </c>
      <c r="Q1196" s="131" cm="1">
        <f ca="1" t="array" ref="Q1196">IF(Q1798=1,OFFSET($W$634,$B1196,Q$631-1)/SUMPRODUCT(--($D$631:$V$631=Q$631),--($D1798:$V1798=1)),0)+SUM(Q1195)+IF(COUNTIF(Q$1237:Q1798,1)=1,5,0)+IF(COUNTIF(R1196:$W1196,"&gt;"&amp;0)&lt;5,IF(AND(COUNTIF(Q$1237:Q1798,1)&gt;7,MOD(1+IFERROR(MATCH($C1196,总览!$D$46:$D$345,1)+1,1),7)=0),$C$3,0),0)</f>
        <v>769.359821428576</v>
      </c>
      <c r="R1196" s="131" cm="1">
        <f ca="1" t="array" ref="R1196">IF(R1798=1,OFFSET($W$634,$B1196,R$631-1)/SUMPRODUCT(--($D$631:$V$631=R$631),--($D1798:$V1798=1)),0)+SUM(R1195)+IF(COUNTIF(R$1237:R1798,1)=1,5,0)+IF(COUNTIF(S1196:$W1196,"&gt;"&amp;0)&lt;5,IF(AND(COUNTIF(R$1237:R1798,1)&gt;7,MOD(1+IFERROR(MATCH($C1196,总览!$D$46:$D$345,1)+1,1),7)=0),$C$3,0),0)</f>
        <v>760.978571428576</v>
      </c>
      <c r="S1196" s="131" cm="1">
        <f ca="1" t="array" ref="S1196">IF(S1798=1,OFFSET($W$634,$B1196,S$631-1)/SUMPRODUCT(--($D$631:$V$631=S$631),--($D1798:$V1798=1)),0)+SUM(S1195)+IF(COUNTIF(S$1237:S1798,1)=1,5,0)+IF(COUNTIF(T1196:$W1196,"&gt;"&amp;0)&lt;5,IF(AND(COUNTIF(S$1237:S1798,1)&gt;7,MOD(1+IFERROR(MATCH($C1196,总览!$D$46:$D$345,1)+1,1),7)=0),$C$3,0),0)</f>
        <v>853.478571428577</v>
      </c>
      <c r="T1196" s="131" cm="1">
        <f ca="1" t="array" ref="T1196">IF(T1798=1,OFFSET($W$634,$B1196,T$631-1)/SUMPRODUCT(--($D$631:$V$631=T$631),--($D1798:$V1798=1)),0)+SUM(T1195)+IF(COUNTIF(T$1237:T1798,1)=1,5,0)+IF(COUNTIF(U1196:$W1196,"&gt;"&amp;0)&lt;5,IF(AND(COUNTIF(T$1237:T1798,1)&gt;7,MOD(1+IFERROR(MATCH($C1196,总览!$D$46:$D$345,1)+1,1),7)=0),$C$3,0),0)</f>
        <v>625.224067214919</v>
      </c>
      <c r="U1196" s="131" cm="1">
        <f ca="1" t="array" ref="U1196">IF(U1798=1,OFFSET($W$634,$B1196,U$631-1)/SUMPRODUCT(--($D$631:$V$631=U$631),--($D1798:$V1798=1)),0)+SUM(U1195)+IF(COUNTIF(U$1237:U1798,1)=1,5,0)+IF(COUNTIF(V1196:$W1196,"&gt;"&amp;0)&lt;5,IF(AND(COUNTIF(U$1237:U1798,1)&gt;7,MOD(1+IFERROR(MATCH($C1196,总览!$D$46:$D$345,1)+1,1),7)=0),$C$3,0),0)</f>
        <v>630.744853570219</v>
      </c>
      <c r="V1196" s="131" cm="1">
        <f ca="1" t="array" ref="V1196">IF(V1798=1,OFFSET($W$634,$B1196,V$631-1)/SUMPRODUCT(--($D$631:$V$631=V$631),--($D1798:$V1798=1)),0)+SUM(V1195)+IF(COUNTIF(V$1237:V1798,1)=1,5,0)+IF(COUNTIF(W1196:$W1196,"&gt;"&amp;0)&lt;5,IF(AND(COUNTIF(V$1237:V1798,1)&gt;7,MOD(1+IFERROR(MATCH($C1196,总览!$D$46:$D$345,1)+1,1),7)=0),$C$3,0),0)</f>
        <v>650.571853282652</v>
      </c>
      <c r="W1196" s="135" cm="1">
        <f ca="1" t="array" ref="W1196">SUMPRODUCT(TRANSPOSE($AA1196:$AG1196),OFFSET($L$9:$L$15,0,W$631-1))</f>
        <v>16.8502200646615</v>
      </c>
      <c r="X1196" s="135" cm="1">
        <f ca="1" t="array" ref="X1196">SUMPRODUCT(TRANSPOSE($AA1196:$AG1196),OFFSET($L$9:$L$15,0,X$631-1))</f>
        <v>20</v>
      </c>
      <c r="Y1196" s="135" cm="1">
        <f ca="1" t="array" ref="Y1196">SUMPRODUCT(TRANSPOSE($AA1196:$AG1196),OFFSET($L$9:$L$15,0,Y$631-1))</f>
        <v>10</v>
      </c>
      <c r="Z1196" s="135" cm="1">
        <f ca="1" t="array" ref="Z1196">SUMPRODUCT(TRANSPOSE($AA1196:$AG1196),OFFSET($L$9:$L$15,0,Z$631-1))</f>
        <v>3.14977993533847</v>
      </c>
      <c r="AA1196" s="136">
        <f ca="1" t="shared" ref="AA1196:AG1196" si="1379">AH1196-AH1195</f>
        <v>0</v>
      </c>
      <c r="AB1196" s="136">
        <f ca="1" t="shared" si="1379"/>
        <v>0</v>
      </c>
      <c r="AC1196" s="136">
        <f ca="1" t="shared" si="1379"/>
        <v>0</v>
      </c>
      <c r="AD1196" s="136">
        <f ca="1" t="shared" si="1379"/>
        <v>0</v>
      </c>
      <c r="AE1196" s="136">
        <f ca="1" t="shared" si="1379"/>
        <v>0</v>
      </c>
      <c r="AF1196" s="136">
        <f ca="1" t="shared" si="1379"/>
        <v>0</v>
      </c>
      <c r="AG1196" s="136">
        <f ca="1" t="shared" si="1379"/>
        <v>100</v>
      </c>
      <c r="AH1196" s="136">
        <f ca="1" t="shared" si="1281"/>
        <v>450</v>
      </c>
      <c r="AI1196" s="136">
        <f ca="1" t="shared" ref="AI1196:AN1196" si="1380">IF($C1196&gt;OFFSET($Q$8,MATCH(AI$634,$AH$634:$AN$634,0),0),OFFSET($P$8,MATCH(AI$634,$AH$634:$AN$634,0),0),MAX(0,$C1196-OFFSET($Q$8,RIGHT(AI$634,1)-1,0)))</f>
        <v>909</v>
      </c>
      <c r="AJ1196" s="136">
        <f ca="1" t="shared" si="1380"/>
        <v>1818</v>
      </c>
      <c r="AK1196" s="136">
        <f ca="1" t="shared" si="1380"/>
        <v>2727</v>
      </c>
      <c r="AL1196" s="136">
        <f ca="1" t="shared" si="1380"/>
        <v>3636</v>
      </c>
      <c r="AM1196" s="136">
        <f ca="1" t="shared" si="1380"/>
        <v>4545</v>
      </c>
      <c r="AN1196" s="136">
        <f ca="1" t="shared" si="1380"/>
        <v>42115</v>
      </c>
    </row>
    <row r="1197" s="106" customFormat="1" ht="16.5" spans="2:40">
      <c r="B1197" s="117">
        <v>563</v>
      </c>
      <c r="C1197" s="130">
        <f t="shared" si="1279"/>
        <v>56300</v>
      </c>
      <c r="D1197" s="131" cm="1">
        <f ca="1" t="array" ref="D1197">IF(D1799=1,OFFSET($W$634,$B1197,D$631-1)/SUMPRODUCT(--($D$631:$V$631=D$631),--($D1799:$V1799=1)),0)+SUM(D1196)+IF(COUNTIF(D$1237:D1799,1)=1,5,0)+IF(COUNTIF(E1197:$W1197,"&gt;"&amp;0)&lt;5,IF(AND(COUNTIF(D$1237:D1799,1)&gt;7,MOD(1+IFERROR(MATCH($C1197,总览!$D$46:$D$345,1)+1,1),7)=0),$C$3,0),0)</f>
        <v>3489.92814866567</v>
      </c>
      <c r="E1197" s="131" cm="1">
        <f ca="1" t="array" ref="E1197">IF(E1799=1,OFFSET($W$634,$B1197,E$631-1)/SUMPRODUCT(--($D$631:$V$631=E$631),--($D1799:$V1799=1)),0)+SUM(E1196)+IF(COUNTIF(E$1237:E1799,1)=1,5,0)+IF(COUNTIF(F1197:$W1197,"&gt;"&amp;0)&lt;5,IF(AND(COUNTIF(E$1237:E1799,1)&gt;7,MOD(1+IFERROR(MATCH($C1197,总览!$D$46:$D$345,1)+1,1),7)=0),$C$3,0),0)</f>
        <v>3489.92814866567</v>
      </c>
      <c r="F1197" s="131" cm="1">
        <f ca="1" t="array" ref="F1197">IF(F1799=1,OFFSET($W$634,$B1197,F$631-1)/SUMPRODUCT(--($D$631:$V$631=F$631),--($D1799:$V1799=1)),0)+SUM(F1196)+IF(COUNTIF(F$1237:F1799,1)=1,5,0)+IF(COUNTIF(G1197:$W1197,"&gt;"&amp;0)&lt;5,IF(AND(COUNTIF(F$1237:F1799,1)&gt;7,MOD(1+IFERROR(MATCH($C1197,总览!$D$46:$D$345,1)+1,1),7)=0),$C$3,0),0)</f>
        <v>3489.92814866567</v>
      </c>
      <c r="G1197" s="131" cm="1">
        <f ca="1" t="array" ref="G1197">IF(G1799=1,OFFSET($W$634,$B1197,G$631-1)/SUMPRODUCT(--($D$631:$V$631=G$631),--($D1799:$V1799=1)),0)+SUM(G1196)+IF(COUNTIF(G$1237:G1799,1)=1,5,0)+IF(COUNTIF(H1197:$W1197,"&gt;"&amp;0)&lt;5,IF(AND(COUNTIF(G$1237:G1799,1)&gt;7,MOD(1+IFERROR(MATCH($C1197,总览!$D$46:$D$345,1)+1,1),7)=0),$C$3,0),0)</f>
        <v>1816.06666666665</v>
      </c>
      <c r="H1197" s="131" cm="1">
        <f ca="1" t="array" ref="H1197">IF(H1799=1,OFFSET($W$634,$B1197,H$631-1)/SUMPRODUCT(--($D$631:$V$631=H$631),--($D1799:$V1799=1)),0)+SUM(H1196)+IF(COUNTIF(H$1237:H1799,1)=1,5,0)+IF(COUNTIF(I1197:$W1197,"&gt;"&amp;0)&lt;5,IF(AND(COUNTIF(H$1237:H1799,1)&gt;7,MOD(1+IFERROR(MATCH($C1197,总览!$D$46:$D$345,1)+1,1),7)=0),$C$3,0),0)</f>
        <v>1816.06666666665</v>
      </c>
      <c r="I1197" s="131" cm="1">
        <f ca="1" t="array" ref="I1197">IF(I1799=1,OFFSET($W$634,$B1197,I$631-1)/SUMPRODUCT(--($D$631:$V$631=I$631),--($D1799:$V1799=1)),0)+SUM(I1196)+IF(COUNTIF(I$1237:I1799,1)=1,5,0)+IF(COUNTIF(J1197:$W1197,"&gt;"&amp;0)&lt;5,IF(AND(COUNTIF(I$1237:I1799,1)&gt;7,MOD(1+IFERROR(MATCH($C1197,总览!$D$46:$D$345,1)+1,1),7)=0),$C$3,0),0)</f>
        <v>1816.06666666665</v>
      </c>
      <c r="J1197" s="131" cm="1">
        <f ca="1" t="array" ref="J1197">IF(J1799=1,OFFSET($W$634,$B1197,J$631-1)/SUMPRODUCT(--($D$631:$V$631=J$631),--($D1799:$V1799=1)),0)+SUM(J1196)+IF(COUNTIF(J$1237:J1799,1)=1,5,0)+IF(COUNTIF(K1197:$W1197,"&gt;"&amp;0)&lt;5,IF(AND(COUNTIF(J$1237:J1799,1)&gt;7,MOD(1+IFERROR(MATCH($C1197,总览!$D$46:$D$345,1)+1,1),7)=0),$C$3,0),0)</f>
        <v>1812.73333333332</v>
      </c>
      <c r="K1197" s="131" cm="1">
        <f ca="1" t="array" ref="K1197">IF(K1799=1,OFFSET($W$634,$B1197,K$631-1)/SUMPRODUCT(--($D$631:$V$631=K$631),--($D1799:$V1799=1)),0)+SUM(K1196)+IF(COUNTIF(K$1237:K1799,1)=1,5,0)+IF(COUNTIF(L1197:$W1197,"&gt;"&amp;0)&lt;5,IF(AND(COUNTIF(K$1237:K1799,1)&gt;7,MOD(1+IFERROR(MATCH($C1197,总览!$D$46:$D$345,1)+1,1),7)=0),$C$3,0),0)</f>
        <v>1810.23333333332</v>
      </c>
      <c r="L1197" s="131" cm="1">
        <f ca="1" t="array" ref="L1197">IF(L1799=1,OFFSET($W$634,$B1197,L$631-1)/SUMPRODUCT(--($D$631:$V$631=L$631),--($D1799:$V1799=1)),0)+SUM(L1196)+IF(COUNTIF(L$1237:L1799,1)=1,5,0)+IF(COUNTIF(M1197:$W1197,"&gt;"&amp;0)&lt;5,IF(AND(COUNTIF(L$1237:L1799,1)&gt;7,MOD(1+IFERROR(MATCH($C1197,总览!$D$46:$D$345,1)+1,1),7)=0),$C$3,0),0)</f>
        <v>1810.23333333332</v>
      </c>
      <c r="M1197" s="131" cm="1">
        <f ca="1" t="array" ref="M1197">IF(M1799=1,OFFSET($W$634,$B1197,M$631-1)/SUMPRODUCT(--($D$631:$V$631=M$631),--($D1799:$V1799=1)),0)+SUM(M1196)+IF(COUNTIF(M$1237:M1799,1)=1,5,0)+IF(COUNTIF(N1197:$W1197,"&gt;"&amp;0)&lt;5,IF(AND(COUNTIF(M$1237:M1799,1)&gt;7,MOD(1+IFERROR(MATCH($C1197,总览!$D$46:$D$345,1)+1,1),7)=0),$C$3,0),0)</f>
        <v>762.038392857147</v>
      </c>
      <c r="N1197" s="131" cm="1">
        <f ca="1" t="array" ref="N1197">IF(N1799=1,OFFSET($W$634,$B1197,N$631-1)/SUMPRODUCT(--($D$631:$V$631=N$631),--($D1799:$V1799=1)),0)+SUM(N1196)+IF(COUNTIF(N$1237:N1799,1)=1,5,0)+IF(COUNTIF(O1197:$W1197,"&gt;"&amp;0)&lt;5,IF(AND(COUNTIF(N$1237:N1799,1)&gt;7,MOD(1+IFERROR(MATCH($C1197,总览!$D$46:$D$345,1)+1,1),7)=0),$C$3,0),0)</f>
        <v>763.288392857147</v>
      </c>
      <c r="O1197" s="131" cm="1">
        <f ca="1" t="array" ref="O1197">IF(O1799=1,OFFSET($W$634,$B1197,O$631-1)/SUMPRODUCT(--($D$631:$V$631=O$631),--($D1799:$V1799=1)),0)+SUM(O1196)+IF(COUNTIF(O$1237:O1799,1)=1,5,0)+IF(COUNTIF(P1197:$W1197,"&gt;"&amp;0)&lt;5,IF(AND(COUNTIF(O$1237:O1799,1)&gt;7,MOD(1+IFERROR(MATCH($C1197,总览!$D$46:$D$345,1)+1,1),7)=0),$C$3,0),0)</f>
        <v>768.288392857147</v>
      </c>
      <c r="P1197" s="131" cm="1">
        <f ca="1" t="array" ref="P1197">IF(P1799=1,OFFSET($W$634,$B1197,P$631-1)/SUMPRODUCT(--($D$631:$V$631=P$631),--($D1799:$V1799=1)),0)+SUM(P1196)+IF(COUNTIF(P$1237:P1799,1)=1,5,0)+IF(COUNTIF(Q1197:$W1197,"&gt;"&amp;0)&lt;5,IF(AND(COUNTIF(P$1237:P1799,1)&gt;7,MOD(1+IFERROR(MATCH($C1197,总览!$D$46:$D$345,1)+1,1),7)=0),$C$3,0),0)</f>
        <v>757.407142857147</v>
      </c>
      <c r="Q1197" s="131" cm="1">
        <f ca="1" t="array" ref="Q1197">IF(Q1799=1,OFFSET($W$634,$B1197,Q$631-1)/SUMPRODUCT(--($D$631:$V$631=Q$631),--($D1799:$V1799=1)),0)+SUM(Q1196)+IF(COUNTIF(Q$1237:Q1799,1)=1,5,0)+IF(COUNTIF(R1197:$W1197,"&gt;"&amp;0)&lt;5,IF(AND(COUNTIF(Q$1237:Q1799,1)&gt;7,MOD(1+IFERROR(MATCH($C1197,总览!$D$46:$D$345,1)+1,1),7)=0),$C$3,0),0)</f>
        <v>770.788392857147</v>
      </c>
      <c r="R1197" s="131" cm="1">
        <f ca="1" t="array" ref="R1197">IF(R1799=1,OFFSET($W$634,$B1197,R$631-1)/SUMPRODUCT(--($D$631:$V$631=R$631),--($D1799:$V1799=1)),0)+SUM(R1196)+IF(COUNTIF(R$1237:R1799,1)=1,5,0)+IF(COUNTIF(S1197:$W1197,"&gt;"&amp;0)&lt;5,IF(AND(COUNTIF(R$1237:R1799,1)&gt;7,MOD(1+IFERROR(MATCH($C1197,总览!$D$46:$D$345,1)+1,1),7)=0),$C$3,0),0)</f>
        <v>762.407142857147</v>
      </c>
      <c r="S1197" s="131" cm="1">
        <f ca="1" t="array" ref="S1197">IF(S1799=1,OFFSET($W$634,$B1197,S$631-1)/SUMPRODUCT(--($D$631:$V$631=S$631),--($D1799:$V1799=1)),0)+SUM(S1196)+IF(COUNTIF(S$1237:S1799,1)=1,5,0)+IF(COUNTIF(T1197:$W1197,"&gt;"&amp;0)&lt;5,IF(AND(COUNTIF(S$1237:S1799,1)&gt;7,MOD(1+IFERROR(MATCH($C1197,总览!$D$46:$D$345,1)+1,1),7)=0),$C$3,0),0)</f>
        <v>854.907142857149</v>
      </c>
      <c r="T1197" s="131" cm="1">
        <f ca="1" t="array" ref="T1197">IF(T1799=1,OFFSET($W$634,$B1197,T$631-1)/SUMPRODUCT(--($D$631:$V$631=T$631),--($D1799:$V1799=1)),0)+SUM(T1196)+IF(COUNTIF(T$1237:T1799,1)=1,5,0)+IF(COUNTIF(U1197:$W1197,"&gt;"&amp;0)&lt;5,IF(AND(COUNTIF(T$1237:T1799,1)&gt;7,MOD(1+IFERROR(MATCH($C1197,总览!$D$46:$D$345,1)+1,1),7)=0),$C$3,0),0)</f>
        <v>626.273993860032</v>
      </c>
      <c r="U1197" s="131" cm="1">
        <f ca="1" t="array" ref="U1197">IF(U1799=1,OFFSET($W$634,$B1197,U$631-1)/SUMPRODUCT(--($D$631:$V$631=U$631),--($D1799:$V1799=1)),0)+SUM(U1196)+IF(COUNTIF(U$1237:U1799,1)=1,5,0)+IF(COUNTIF(V1197:$W1197,"&gt;"&amp;0)&lt;5,IF(AND(COUNTIF(U$1237:U1799,1)&gt;7,MOD(1+IFERROR(MATCH($C1197,总览!$D$46:$D$345,1)+1,1),7)=0),$C$3,0),0)</f>
        <v>631.794780215332</v>
      </c>
      <c r="V1197" s="131" cm="1">
        <f ca="1" t="array" ref="V1197">IF(V1799=1,OFFSET($W$634,$B1197,V$631-1)/SUMPRODUCT(--($D$631:$V$631=V$631),--($D1799:$V1799=1)),0)+SUM(V1196)+IF(COUNTIF(V$1237:V1799,1)=1,5,0)+IF(COUNTIF(W1197:$W1197,"&gt;"&amp;0)&lt;5,IF(AND(COUNTIF(V$1237:V1799,1)&gt;7,MOD(1+IFERROR(MATCH($C1197,总览!$D$46:$D$345,1)+1,1),7)=0),$C$3,0),0)</f>
        <v>651.621779927765</v>
      </c>
      <c r="W1197" s="135" cm="1">
        <f ca="1" t="array" ref="W1197">SUMPRODUCT(TRANSPOSE($AA1197:$AG1197),OFFSET($L$9:$L$15,0,W$631-1))</f>
        <v>16.8502200646615</v>
      </c>
      <c r="X1197" s="135" cm="1">
        <f ca="1" t="array" ref="X1197">SUMPRODUCT(TRANSPOSE($AA1197:$AG1197),OFFSET($L$9:$L$15,0,X$631-1))</f>
        <v>20</v>
      </c>
      <c r="Y1197" s="135" cm="1">
        <f ca="1" t="array" ref="Y1197">SUMPRODUCT(TRANSPOSE($AA1197:$AG1197),OFFSET($L$9:$L$15,0,Y$631-1))</f>
        <v>10</v>
      </c>
      <c r="Z1197" s="135" cm="1">
        <f ca="1" t="array" ref="Z1197">SUMPRODUCT(TRANSPOSE($AA1197:$AG1197),OFFSET($L$9:$L$15,0,Z$631-1))</f>
        <v>3.14977993533847</v>
      </c>
      <c r="AA1197" s="136">
        <f ca="1" t="shared" ref="AA1197:AG1197" si="1381">AH1197-AH1196</f>
        <v>0</v>
      </c>
      <c r="AB1197" s="136">
        <f ca="1" t="shared" si="1381"/>
        <v>0</v>
      </c>
      <c r="AC1197" s="136">
        <f ca="1" t="shared" si="1381"/>
        <v>0</v>
      </c>
      <c r="AD1197" s="136">
        <f ca="1" t="shared" si="1381"/>
        <v>0</v>
      </c>
      <c r="AE1197" s="136">
        <f ca="1" t="shared" si="1381"/>
        <v>0</v>
      </c>
      <c r="AF1197" s="136">
        <f ca="1" t="shared" si="1381"/>
        <v>0</v>
      </c>
      <c r="AG1197" s="136">
        <f ca="1" t="shared" si="1381"/>
        <v>100</v>
      </c>
      <c r="AH1197" s="136">
        <f ca="1" t="shared" si="1281"/>
        <v>450</v>
      </c>
      <c r="AI1197" s="136">
        <f ca="1" t="shared" ref="AI1197:AN1197" si="1382">IF($C1197&gt;OFFSET($Q$8,MATCH(AI$634,$AH$634:$AN$634,0),0),OFFSET($P$8,MATCH(AI$634,$AH$634:$AN$634,0),0),MAX(0,$C1197-OFFSET($Q$8,RIGHT(AI$634,1)-1,0)))</f>
        <v>909</v>
      </c>
      <c r="AJ1197" s="136">
        <f ca="1" t="shared" si="1382"/>
        <v>1818</v>
      </c>
      <c r="AK1197" s="136">
        <f ca="1" t="shared" si="1382"/>
        <v>2727</v>
      </c>
      <c r="AL1197" s="136">
        <f ca="1" t="shared" si="1382"/>
        <v>3636</v>
      </c>
      <c r="AM1197" s="136">
        <f ca="1" t="shared" si="1382"/>
        <v>4545</v>
      </c>
      <c r="AN1197" s="136">
        <f ca="1" t="shared" si="1382"/>
        <v>42215</v>
      </c>
    </row>
    <row r="1198" s="106" customFormat="1" ht="16.5" spans="2:40">
      <c r="B1198" s="117">
        <v>564</v>
      </c>
      <c r="C1198" s="130">
        <f t="shared" si="1279"/>
        <v>56400</v>
      </c>
      <c r="D1198" s="131" cm="1">
        <f ca="1" t="array" ref="D1198">IF(D1800=1,OFFSET($W$634,$B1198,D$631-1)/SUMPRODUCT(--($D$631:$V$631=D$631),--($D1800:$V1800=1)),0)+SUM(D1197)+IF(COUNTIF(D$1237:D1800,1)=1,5,0)+IF(COUNTIF(E1198:$W1198,"&gt;"&amp;0)&lt;5,IF(AND(COUNTIF(D$1237:D1800,1)&gt;7,MOD(1+IFERROR(MATCH($C1198,总览!$D$46:$D$345,1)+1,1),7)=0),$C$3,0),0)</f>
        <v>3495.54488868722</v>
      </c>
      <c r="E1198" s="131" cm="1">
        <f ca="1" t="array" ref="E1198">IF(E1800=1,OFFSET($W$634,$B1198,E$631-1)/SUMPRODUCT(--($D$631:$V$631=E$631),--($D1800:$V1800=1)),0)+SUM(E1197)+IF(COUNTIF(E$1237:E1800,1)=1,5,0)+IF(COUNTIF(F1198:$W1198,"&gt;"&amp;0)&lt;5,IF(AND(COUNTIF(E$1237:E1800,1)&gt;7,MOD(1+IFERROR(MATCH($C1198,总览!$D$46:$D$345,1)+1,1),7)=0),$C$3,0),0)</f>
        <v>3495.54488868722</v>
      </c>
      <c r="F1198" s="131" cm="1">
        <f ca="1" t="array" ref="F1198">IF(F1800=1,OFFSET($W$634,$B1198,F$631-1)/SUMPRODUCT(--($D$631:$V$631=F$631),--($D1800:$V1800=1)),0)+SUM(F1197)+IF(COUNTIF(F$1237:F1800,1)=1,5,0)+IF(COUNTIF(G1198:$W1198,"&gt;"&amp;0)&lt;5,IF(AND(COUNTIF(F$1237:F1800,1)&gt;7,MOD(1+IFERROR(MATCH($C1198,总览!$D$46:$D$345,1)+1,1),7)=0),$C$3,0),0)</f>
        <v>3495.54488868722</v>
      </c>
      <c r="G1198" s="131" cm="1">
        <f ca="1" t="array" ref="G1198">IF(G1800=1,OFFSET($W$634,$B1198,G$631-1)/SUMPRODUCT(--($D$631:$V$631=G$631),--($D1800:$V1800=1)),0)+SUM(G1197)+IF(COUNTIF(G$1237:G1800,1)=1,5,0)+IF(COUNTIF(H1198:$W1198,"&gt;"&amp;0)&lt;5,IF(AND(COUNTIF(G$1237:G1800,1)&gt;7,MOD(1+IFERROR(MATCH($C1198,总览!$D$46:$D$345,1)+1,1),7)=0),$C$3,0),0)</f>
        <v>1819.39999999999</v>
      </c>
      <c r="H1198" s="131" cm="1">
        <f ca="1" t="array" ref="H1198">IF(H1800=1,OFFSET($W$634,$B1198,H$631-1)/SUMPRODUCT(--($D$631:$V$631=H$631),--($D1800:$V1800=1)),0)+SUM(H1197)+IF(COUNTIF(H$1237:H1800,1)=1,5,0)+IF(COUNTIF(I1198:$W1198,"&gt;"&amp;0)&lt;5,IF(AND(COUNTIF(H$1237:H1800,1)&gt;7,MOD(1+IFERROR(MATCH($C1198,总览!$D$46:$D$345,1)+1,1),7)=0),$C$3,0),0)</f>
        <v>1819.39999999999</v>
      </c>
      <c r="I1198" s="131" cm="1">
        <f ca="1" t="array" ref="I1198">IF(I1800=1,OFFSET($W$634,$B1198,I$631-1)/SUMPRODUCT(--($D$631:$V$631=I$631),--($D1800:$V1800=1)),0)+SUM(I1197)+IF(COUNTIF(I$1237:I1800,1)=1,5,0)+IF(COUNTIF(J1198:$W1198,"&gt;"&amp;0)&lt;5,IF(AND(COUNTIF(I$1237:I1800,1)&gt;7,MOD(1+IFERROR(MATCH($C1198,总览!$D$46:$D$345,1)+1,1),7)=0),$C$3,0),0)</f>
        <v>1819.39999999999</v>
      </c>
      <c r="J1198" s="131" cm="1">
        <f ca="1" t="array" ref="J1198">IF(J1800=1,OFFSET($W$634,$B1198,J$631-1)/SUMPRODUCT(--($D$631:$V$631=J$631),--($D1800:$V1800=1)),0)+SUM(J1197)+IF(COUNTIF(J$1237:J1800,1)=1,5,0)+IF(COUNTIF(K1198:$W1198,"&gt;"&amp;0)&lt;5,IF(AND(COUNTIF(J$1237:J1800,1)&gt;7,MOD(1+IFERROR(MATCH($C1198,总览!$D$46:$D$345,1)+1,1),7)=0),$C$3,0),0)</f>
        <v>1816.06666666665</v>
      </c>
      <c r="K1198" s="131" cm="1">
        <f ca="1" t="array" ref="K1198">IF(K1800=1,OFFSET($W$634,$B1198,K$631-1)/SUMPRODUCT(--($D$631:$V$631=K$631),--($D1800:$V1800=1)),0)+SUM(K1197)+IF(COUNTIF(K$1237:K1800,1)=1,5,0)+IF(COUNTIF(L1198:$W1198,"&gt;"&amp;0)&lt;5,IF(AND(COUNTIF(K$1237:K1800,1)&gt;7,MOD(1+IFERROR(MATCH($C1198,总览!$D$46:$D$345,1)+1,1),7)=0),$C$3,0),0)</f>
        <v>1813.56666666665</v>
      </c>
      <c r="L1198" s="131" cm="1">
        <f ca="1" t="array" ref="L1198">IF(L1800=1,OFFSET($W$634,$B1198,L$631-1)/SUMPRODUCT(--($D$631:$V$631=L$631),--($D1800:$V1800=1)),0)+SUM(L1197)+IF(COUNTIF(L$1237:L1800,1)=1,5,0)+IF(COUNTIF(M1198:$W1198,"&gt;"&amp;0)&lt;5,IF(AND(COUNTIF(L$1237:L1800,1)&gt;7,MOD(1+IFERROR(MATCH($C1198,总览!$D$46:$D$345,1)+1,1),7)=0),$C$3,0),0)</f>
        <v>1813.56666666665</v>
      </c>
      <c r="M1198" s="131" cm="1">
        <f ca="1" t="array" ref="M1198">IF(M1800=1,OFFSET($W$634,$B1198,M$631-1)/SUMPRODUCT(--($D$631:$V$631=M$631),--($D1800:$V1800=1)),0)+SUM(M1197)+IF(COUNTIF(M$1237:M1800,1)=1,5,0)+IF(COUNTIF(N1198:$W1198,"&gt;"&amp;0)&lt;5,IF(AND(COUNTIF(M$1237:M1800,1)&gt;7,MOD(1+IFERROR(MATCH($C1198,总览!$D$46:$D$345,1)+1,1),7)=0),$C$3,0),0)</f>
        <v>763.466964285719</v>
      </c>
      <c r="N1198" s="131" cm="1">
        <f ca="1" t="array" ref="N1198">IF(N1800=1,OFFSET($W$634,$B1198,N$631-1)/SUMPRODUCT(--($D$631:$V$631=N$631),--($D1800:$V1800=1)),0)+SUM(N1197)+IF(COUNTIF(N$1237:N1800,1)=1,5,0)+IF(COUNTIF(O1198:$W1198,"&gt;"&amp;0)&lt;5,IF(AND(COUNTIF(N$1237:N1800,1)&gt;7,MOD(1+IFERROR(MATCH($C1198,总览!$D$46:$D$345,1)+1,1),7)=0),$C$3,0),0)</f>
        <v>764.716964285719</v>
      </c>
      <c r="O1198" s="131" cm="1">
        <f ca="1" t="array" ref="O1198">IF(O1800=1,OFFSET($W$634,$B1198,O$631-1)/SUMPRODUCT(--($D$631:$V$631=O$631),--($D1800:$V1800=1)),0)+SUM(O1197)+IF(COUNTIF(O$1237:O1800,1)=1,5,0)+IF(COUNTIF(P1198:$W1198,"&gt;"&amp;0)&lt;5,IF(AND(COUNTIF(O$1237:O1800,1)&gt;7,MOD(1+IFERROR(MATCH($C1198,总览!$D$46:$D$345,1)+1,1),7)=0),$C$3,0),0)</f>
        <v>769.716964285719</v>
      </c>
      <c r="P1198" s="131" cm="1">
        <f ca="1" t="array" ref="P1198">IF(P1800=1,OFFSET($W$634,$B1198,P$631-1)/SUMPRODUCT(--($D$631:$V$631=P$631),--($D1800:$V1800=1)),0)+SUM(P1197)+IF(COUNTIF(P$1237:P1800,1)=1,5,0)+IF(COUNTIF(Q1198:$W1198,"&gt;"&amp;0)&lt;5,IF(AND(COUNTIF(P$1237:P1800,1)&gt;7,MOD(1+IFERROR(MATCH($C1198,总览!$D$46:$D$345,1)+1,1),7)=0),$C$3,0),0)</f>
        <v>758.835714285719</v>
      </c>
      <c r="Q1198" s="131" cm="1">
        <f ca="1" t="array" ref="Q1198">IF(Q1800=1,OFFSET($W$634,$B1198,Q$631-1)/SUMPRODUCT(--($D$631:$V$631=Q$631),--($D1800:$V1800=1)),0)+SUM(Q1197)+IF(COUNTIF(Q$1237:Q1800,1)=1,5,0)+IF(COUNTIF(R1198:$W1198,"&gt;"&amp;0)&lt;5,IF(AND(COUNTIF(Q$1237:Q1800,1)&gt;7,MOD(1+IFERROR(MATCH($C1198,总览!$D$46:$D$345,1)+1,1),7)=0),$C$3,0),0)</f>
        <v>772.216964285719</v>
      </c>
      <c r="R1198" s="131" cm="1">
        <f ca="1" t="array" ref="R1198">IF(R1800=1,OFFSET($W$634,$B1198,R$631-1)/SUMPRODUCT(--($D$631:$V$631=R$631),--($D1800:$V1800=1)),0)+SUM(R1197)+IF(COUNTIF(R$1237:R1800,1)=1,5,0)+IF(COUNTIF(S1198:$W1198,"&gt;"&amp;0)&lt;5,IF(AND(COUNTIF(R$1237:R1800,1)&gt;7,MOD(1+IFERROR(MATCH($C1198,总览!$D$46:$D$345,1)+1,1),7)=0),$C$3,0),0)</f>
        <v>763.835714285719</v>
      </c>
      <c r="S1198" s="131" cm="1">
        <f ca="1" t="array" ref="S1198">IF(S1800=1,OFFSET($W$634,$B1198,S$631-1)/SUMPRODUCT(--($D$631:$V$631=S$631),--($D1800:$V1800=1)),0)+SUM(S1197)+IF(COUNTIF(S$1237:S1800,1)=1,5,0)+IF(COUNTIF(T1198:$W1198,"&gt;"&amp;0)&lt;5,IF(AND(COUNTIF(S$1237:S1800,1)&gt;7,MOD(1+IFERROR(MATCH($C1198,总览!$D$46:$D$345,1)+1,1),7)=0),$C$3,0),0)</f>
        <v>856.33571428572</v>
      </c>
      <c r="T1198" s="131" cm="1">
        <f ca="1" t="array" ref="T1198">IF(T1800=1,OFFSET($W$634,$B1198,T$631-1)/SUMPRODUCT(--($D$631:$V$631=T$631),--($D1800:$V1800=1)),0)+SUM(T1197)+IF(COUNTIF(T$1237:T1800,1)=1,5,0)+IF(COUNTIF(U1198:$W1198,"&gt;"&amp;0)&lt;5,IF(AND(COUNTIF(T$1237:T1800,1)&gt;7,MOD(1+IFERROR(MATCH($C1198,总览!$D$46:$D$345,1)+1,1),7)=0),$C$3,0),0)</f>
        <v>627.323920505145</v>
      </c>
      <c r="U1198" s="131" cm="1">
        <f ca="1" t="array" ref="U1198">IF(U1800=1,OFFSET($W$634,$B1198,U$631-1)/SUMPRODUCT(--($D$631:$V$631=U$631),--($D1800:$V1800=1)),0)+SUM(U1197)+IF(COUNTIF(U$1237:U1800,1)=1,5,0)+IF(COUNTIF(V1198:$W1198,"&gt;"&amp;0)&lt;5,IF(AND(COUNTIF(U$1237:U1800,1)&gt;7,MOD(1+IFERROR(MATCH($C1198,总览!$D$46:$D$345,1)+1,1),7)=0),$C$3,0),0)</f>
        <v>632.844706860444</v>
      </c>
      <c r="V1198" s="131" cm="1">
        <f ca="1" t="array" ref="V1198">IF(V1800=1,OFFSET($W$634,$B1198,V$631-1)/SUMPRODUCT(--($D$631:$V$631=V$631),--($D1800:$V1800=1)),0)+SUM(V1197)+IF(COUNTIF(V$1237:V1800,1)=1,5,0)+IF(COUNTIF(W1198:$W1198,"&gt;"&amp;0)&lt;5,IF(AND(COUNTIF(V$1237:V1800,1)&gt;7,MOD(1+IFERROR(MATCH($C1198,总览!$D$46:$D$345,1)+1,1),7)=0),$C$3,0),0)</f>
        <v>652.671706572877</v>
      </c>
      <c r="W1198" s="135" cm="1">
        <f ca="1" t="array" ref="W1198">SUMPRODUCT(TRANSPOSE($AA1198:$AG1198),OFFSET($L$9:$L$15,0,W$631-1))</f>
        <v>16.8502200646615</v>
      </c>
      <c r="X1198" s="135" cm="1">
        <f ca="1" t="array" ref="X1198">SUMPRODUCT(TRANSPOSE($AA1198:$AG1198),OFFSET($L$9:$L$15,0,X$631-1))</f>
        <v>20</v>
      </c>
      <c r="Y1198" s="135" cm="1">
        <f ca="1" t="array" ref="Y1198">SUMPRODUCT(TRANSPOSE($AA1198:$AG1198),OFFSET($L$9:$L$15,0,Y$631-1))</f>
        <v>10</v>
      </c>
      <c r="Z1198" s="135" cm="1">
        <f ca="1" t="array" ref="Z1198">SUMPRODUCT(TRANSPOSE($AA1198:$AG1198),OFFSET($L$9:$L$15,0,Z$631-1))</f>
        <v>3.14977993533847</v>
      </c>
      <c r="AA1198" s="136">
        <f ca="1" t="shared" ref="AA1198:AG1198" si="1383">AH1198-AH1197</f>
        <v>0</v>
      </c>
      <c r="AB1198" s="136">
        <f ca="1" t="shared" si="1383"/>
        <v>0</v>
      </c>
      <c r="AC1198" s="136">
        <f ca="1" t="shared" si="1383"/>
        <v>0</v>
      </c>
      <c r="AD1198" s="136">
        <f ca="1" t="shared" si="1383"/>
        <v>0</v>
      </c>
      <c r="AE1198" s="136">
        <f ca="1" t="shared" si="1383"/>
        <v>0</v>
      </c>
      <c r="AF1198" s="136">
        <f ca="1" t="shared" si="1383"/>
        <v>0</v>
      </c>
      <c r="AG1198" s="136">
        <f ca="1" t="shared" si="1383"/>
        <v>100</v>
      </c>
      <c r="AH1198" s="136">
        <f ca="1" t="shared" si="1281"/>
        <v>450</v>
      </c>
      <c r="AI1198" s="136">
        <f ca="1" t="shared" ref="AI1198:AN1198" si="1384">IF($C1198&gt;OFFSET($Q$8,MATCH(AI$634,$AH$634:$AN$634,0),0),OFFSET($P$8,MATCH(AI$634,$AH$634:$AN$634,0),0),MAX(0,$C1198-OFFSET($Q$8,RIGHT(AI$634,1)-1,0)))</f>
        <v>909</v>
      </c>
      <c r="AJ1198" s="136">
        <f ca="1" t="shared" si="1384"/>
        <v>1818</v>
      </c>
      <c r="AK1198" s="136">
        <f ca="1" t="shared" si="1384"/>
        <v>2727</v>
      </c>
      <c r="AL1198" s="136">
        <f ca="1" t="shared" si="1384"/>
        <v>3636</v>
      </c>
      <c r="AM1198" s="136">
        <f ca="1" t="shared" si="1384"/>
        <v>4545</v>
      </c>
      <c r="AN1198" s="136">
        <f ca="1" t="shared" si="1384"/>
        <v>42315</v>
      </c>
    </row>
    <row r="1199" s="106" customFormat="1" ht="16.5" spans="2:40">
      <c r="B1199" s="117">
        <v>565</v>
      </c>
      <c r="C1199" s="130">
        <f t="shared" si="1279"/>
        <v>56500</v>
      </c>
      <c r="D1199" s="131" cm="1">
        <f ca="1" t="array" ref="D1199">IF(D1801=1,OFFSET($W$634,$B1199,D$631-1)/SUMPRODUCT(--($D$631:$V$631=D$631),--($D1801:$V1801=1)),0)+SUM(D1198)+IF(COUNTIF(D$1237:D1801,1)=1,5,0)+IF(COUNTIF(E1199:$W1199,"&gt;"&amp;0)&lt;5,IF(AND(COUNTIF(D$1237:D1801,1)&gt;7,MOD(1+IFERROR(MATCH($C1199,总览!$D$46:$D$345,1)+1,1),7)=0),$C$3,0),0)</f>
        <v>3501.16162870878</v>
      </c>
      <c r="E1199" s="131" cm="1">
        <f ca="1" t="array" ref="E1199">IF(E1801=1,OFFSET($W$634,$B1199,E$631-1)/SUMPRODUCT(--($D$631:$V$631=E$631),--($D1801:$V1801=1)),0)+SUM(E1198)+IF(COUNTIF(E$1237:E1801,1)=1,5,0)+IF(COUNTIF(F1199:$W1199,"&gt;"&amp;0)&lt;5,IF(AND(COUNTIF(E$1237:E1801,1)&gt;7,MOD(1+IFERROR(MATCH($C1199,总览!$D$46:$D$345,1)+1,1),7)=0),$C$3,0),0)</f>
        <v>3501.16162870878</v>
      </c>
      <c r="F1199" s="131" cm="1">
        <f ca="1" t="array" ref="F1199">IF(F1801=1,OFFSET($W$634,$B1199,F$631-1)/SUMPRODUCT(--($D$631:$V$631=F$631),--($D1801:$V1801=1)),0)+SUM(F1198)+IF(COUNTIF(F$1237:F1801,1)=1,5,0)+IF(COUNTIF(G1199:$W1199,"&gt;"&amp;0)&lt;5,IF(AND(COUNTIF(F$1237:F1801,1)&gt;7,MOD(1+IFERROR(MATCH($C1199,总览!$D$46:$D$345,1)+1,1),7)=0),$C$3,0),0)</f>
        <v>3501.16162870878</v>
      </c>
      <c r="G1199" s="131" cm="1">
        <f ca="1" t="array" ref="G1199">IF(G1801=1,OFFSET($W$634,$B1199,G$631-1)/SUMPRODUCT(--($D$631:$V$631=G$631),--($D1801:$V1801=1)),0)+SUM(G1198)+IF(COUNTIF(G$1237:G1801,1)=1,5,0)+IF(COUNTIF(H1199:$W1199,"&gt;"&amp;0)&lt;5,IF(AND(COUNTIF(G$1237:G1801,1)&gt;7,MOD(1+IFERROR(MATCH($C1199,总览!$D$46:$D$345,1)+1,1),7)=0),$C$3,0),0)</f>
        <v>1822.73333333332</v>
      </c>
      <c r="H1199" s="131" cm="1">
        <f ca="1" t="array" ref="H1199">IF(H1801=1,OFFSET($W$634,$B1199,H$631-1)/SUMPRODUCT(--($D$631:$V$631=H$631),--($D1801:$V1801=1)),0)+SUM(H1198)+IF(COUNTIF(H$1237:H1801,1)=1,5,0)+IF(COUNTIF(I1199:$W1199,"&gt;"&amp;0)&lt;5,IF(AND(COUNTIF(H$1237:H1801,1)&gt;7,MOD(1+IFERROR(MATCH($C1199,总览!$D$46:$D$345,1)+1,1),7)=0),$C$3,0),0)</f>
        <v>1822.73333333332</v>
      </c>
      <c r="I1199" s="131" cm="1">
        <f ca="1" t="array" ref="I1199">IF(I1801=1,OFFSET($W$634,$B1199,I$631-1)/SUMPRODUCT(--($D$631:$V$631=I$631),--($D1801:$V1801=1)),0)+SUM(I1198)+IF(COUNTIF(I$1237:I1801,1)=1,5,0)+IF(COUNTIF(J1199:$W1199,"&gt;"&amp;0)&lt;5,IF(AND(COUNTIF(I$1237:I1801,1)&gt;7,MOD(1+IFERROR(MATCH($C1199,总览!$D$46:$D$345,1)+1,1),7)=0),$C$3,0),0)</f>
        <v>1822.73333333332</v>
      </c>
      <c r="J1199" s="131" cm="1">
        <f ca="1" t="array" ref="J1199">IF(J1801=1,OFFSET($W$634,$B1199,J$631-1)/SUMPRODUCT(--($D$631:$V$631=J$631),--($D1801:$V1801=1)),0)+SUM(J1198)+IF(COUNTIF(J$1237:J1801,1)=1,5,0)+IF(COUNTIF(K1199:$W1199,"&gt;"&amp;0)&lt;5,IF(AND(COUNTIF(J$1237:J1801,1)&gt;7,MOD(1+IFERROR(MATCH($C1199,总览!$D$46:$D$345,1)+1,1),7)=0),$C$3,0),0)</f>
        <v>1819.39999999999</v>
      </c>
      <c r="K1199" s="131" cm="1">
        <f ca="1" t="array" ref="K1199">IF(K1801=1,OFFSET($W$634,$B1199,K$631-1)/SUMPRODUCT(--($D$631:$V$631=K$631),--($D1801:$V1801=1)),0)+SUM(K1198)+IF(COUNTIF(K$1237:K1801,1)=1,5,0)+IF(COUNTIF(L1199:$W1199,"&gt;"&amp;0)&lt;5,IF(AND(COUNTIF(K$1237:K1801,1)&gt;7,MOD(1+IFERROR(MATCH($C1199,总览!$D$46:$D$345,1)+1,1),7)=0),$C$3,0),0)</f>
        <v>1816.89999999999</v>
      </c>
      <c r="L1199" s="131" cm="1">
        <f ca="1" t="array" ref="L1199">IF(L1801=1,OFFSET($W$634,$B1199,L$631-1)/SUMPRODUCT(--($D$631:$V$631=L$631),--($D1801:$V1801=1)),0)+SUM(L1198)+IF(COUNTIF(L$1237:L1801,1)=1,5,0)+IF(COUNTIF(M1199:$W1199,"&gt;"&amp;0)&lt;5,IF(AND(COUNTIF(L$1237:L1801,1)&gt;7,MOD(1+IFERROR(MATCH($C1199,总览!$D$46:$D$345,1)+1,1),7)=0),$C$3,0),0)</f>
        <v>1816.89999999999</v>
      </c>
      <c r="M1199" s="131" cm="1">
        <f ca="1" t="array" ref="M1199">IF(M1801=1,OFFSET($W$634,$B1199,M$631-1)/SUMPRODUCT(--($D$631:$V$631=M$631),--($D1801:$V1801=1)),0)+SUM(M1198)+IF(COUNTIF(M$1237:M1801,1)=1,5,0)+IF(COUNTIF(N1199:$W1199,"&gt;"&amp;0)&lt;5,IF(AND(COUNTIF(M$1237:M1801,1)&gt;7,MOD(1+IFERROR(MATCH($C1199,总览!$D$46:$D$345,1)+1,1),7)=0),$C$3,0),0)</f>
        <v>764.89553571429</v>
      </c>
      <c r="N1199" s="131" cm="1">
        <f ca="1" t="array" ref="N1199">IF(N1801=1,OFFSET($W$634,$B1199,N$631-1)/SUMPRODUCT(--($D$631:$V$631=N$631),--($D1801:$V1801=1)),0)+SUM(N1198)+IF(COUNTIF(N$1237:N1801,1)=1,5,0)+IF(COUNTIF(O1199:$W1199,"&gt;"&amp;0)&lt;5,IF(AND(COUNTIF(N$1237:N1801,1)&gt;7,MOD(1+IFERROR(MATCH($C1199,总览!$D$46:$D$345,1)+1,1),7)=0),$C$3,0),0)</f>
        <v>766.14553571429</v>
      </c>
      <c r="O1199" s="131" cm="1">
        <f ca="1" t="array" ref="O1199">IF(O1801=1,OFFSET($W$634,$B1199,O$631-1)/SUMPRODUCT(--($D$631:$V$631=O$631),--($D1801:$V1801=1)),0)+SUM(O1198)+IF(COUNTIF(O$1237:O1801,1)=1,5,0)+IF(COUNTIF(P1199:$W1199,"&gt;"&amp;0)&lt;5,IF(AND(COUNTIF(O$1237:O1801,1)&gt;7,MOD(1+IFERROR(MATCH($C1199,总览!$D$46:$D$345,1)+1,1),7)=0),$C$3,0),0)</f>
        <v>771.14553571429</v>
      </c>
      <c r="P1199" s="131" cm="1">
        <f ca="1" t="array" ref="P1199">IF(P1801=1,OFFSET($W$634,$B1199,P$631-1)/SUMPRODUCT(--($D$631:$V$631=P$631),--($D1801:$V1801=1)),0)+SUM(P1198)+IF(COUNTIF(P$1237:P1801,1)=1,5,0)+IF(COUNTIF(Q1199:$W1199,"&gt;"&amp;0)&lt;5,IF(AND(COUNTIF(P$1237:P1801,1)&gt;7,MOD(1+IFERROR(MATCH($C1199,总览!$D$46:$D$345,1)+1,1),7)=0),$C$3,0),0)</f>
        <v>760.26428571429</v>
      </c>
      <c r="Q1199" s="131" cm="1">
        <f ca="1" t="array" ref="Q1199">IF(Q1801=1,OFFSET($W$634,$B1199,Q$631-1)/SUMPRODUCT(--($D$631:$V$631=Q$631),--($D1801:$V1801=1)),0)+SUM(Q1198)+IF(COUNTIF(Q$1237:Q1801,1)=1,5,0)+IF(COUNTIF(R1199:$W1199,"&gt;"&amp;0)&lt;5,IF(AND(COUNTIF(Q$1237:Q1801,1)&gt;7,MOD(1+IFERROR(MATCH($C1199,总览!$D$46:$D$345,1)+1,1),7)=0),$C$3,0),0)</f>
        <v>773.64553571429</v>
      </c>
      <c r="R1199" s="131" cm="1">
        <f ca="1" t="array" ref="R1199">IF(R1801=1,OFFSET($W$634,$B1199,R$631-1)/SUMPRODUCT(--($D$631:$V$631=R$631),--($D1801:$V1801=1)),0)+SUM(R1198)+IF(COUNTIF(R$1237:R1801,1)=1,5,0)+IF(COUNTIF(S1199:$W1199,"&gt;"&amp;0)&lt;5,IF(AND(COUNTIF(R$1237:R1801,1)&gt;7,MOD(1+IFERROR(MATCH($C1199,总览!$D$46:$D$345,1)+1,1),7)=0),$C$3,0),0)</f>
        <v>765.26428571429</v>
      </c>
      <c r="S1199" s="131" cm="1">
        <f ca="1" t="array" ref="S1199">IF(S1801=1,OFFSET($W$634,$B1199,S$631-1)/SUMPRODUCT(--($D$631:$V$631=S$631),--($D1801:$V1801=1)),0)+SUM(S1198)+IF(COUNTIF(S$1237:S1801,1)=1,5,0)+IF(COUNTIF(T1199:$W1199,"&gt;"&amp;0)&lt;5,IF(AND(COUNTIF(S$1237:S1801,1)&gt;7,MOD(1+IFERROR(MATCH($C1199,总览!$D$46:$D$345,1)+1,1),7)=0),$C$3,0),0)</f>
        <v>857.764285714291</v>
      </c>
      <c r="T1199" s="131" cm="1">
        <f ca="1" t="array" ref="T1199">IF(T1801=1,OFFSET($W$634,$B1199,T$631-1)/SUMPRODUCT(--($D$631:$V$631=T$631),--($D1801:$V1801=1)),0)+SUM(T1198)+IF(COUNTIF(T$1237:T1801,1)=1,5,0)+IF(COUNTIF(U1199:$W1199,"&gt;"&amp;0)&lt;5,IF(AND(COUNTIF(T$1237:T1801,1)&gt;7,MOD(1+IFERROR(MATCH($C1199,总览!$D$46:$D$345,1)+1,1),7)=0),$C$3,0),0)</f>
        <v>628.373847150258</v>
      </c>
      <c r="U1199" s="131" cm="1">
        <f ca="1" t="array" ref="U1199">IF(U1801=1,OFFSET($W$634,$B1199,U$631-1)/SUMPRODUCT(--($D$631:$V$631=U$631),--($D1801:$V1801=1)),0)+SUM(U1198)+IF(COUNTIF(U$1237:U1801,1)=1,5,0)+IF(COUNTIF(V1199:$W1199,"&gt;"&amp;0)&lt;5,IF(AND(COUNTIF(U$1237:U1801,1)&gt;7,MOD(1+IFERROR(MATCH($C1199,总览!$D$46:$D$345,1)+1,1),7)=0),$C$3,0),0)</f>
        <v>633.894633505557</v>
      </c>
      <c r="V1199" s="131" cm="1">
        <f ca="1" t="array" ref="V1199">IF(V1801=1,OFFSET($W$634,$B1199,V$631-1)/SUMPRODUCT(--($D$631:$V$631=V$631),--($D1801:$V1801=1)),0)+SUM(V1198)+IF(COUNTIF(V$1237:V1801,1)=1,5,0)+IF(COUNTIF(W1199:$W1199,"&gt;"&amp;0)&lt;5,IF(AND(COUNTIF(V$1237:V1801,1)&gt;7,MOD(1+IFERROR(MATCH($C1199,总览!$D$46:$D$345,1)+1,1),7)=0),$C$3,0),0)</f>
        <v>653.72163321799</v>
      </c>
      <c r="W1199" s="135" cm="1">
        <f ca="1" t="array" ref="W1199">SUMPRODUCT(TRANSPOSE($AA1199:$AG1199),OFFSET($L$9:$L$15,0,W$631-1))</f>
        <v>16.8502200646615</v>
      </c>
      <c r="X1199" s="135" cm="1">
        <f ca="1" t="array" ref="X1199">SUMPRODUCT(TRANSPOSE($AA1199:$AG1199),OFFSET($L$9:$L$15,0,X$631-1))</f>
        <v>20</v>
      </c>
      <c r="Y1199" s="135" cm="1">
        <f ca="1" t="array" ref="Y1199">SUMPRODUCT(TRANSPOSE($AA1199:$AG1199),OFFSET($L$9:$L$15,0,Y$631-1))</f>
        <v>10</v>
      </c>
      <c r="Z1199" s="135" cm="1">
        <f ca="1" t="array" ref="Z1199">SUMPRODUCT(TRANSPOSE($AA1199:$AG1199),OFFSET($L$9:$L$15,0,Z$631-1))</f>
        <v>3.14977993533847</v>
      </c>
      <c r="AA1199" s="136">
        <f ca="1" t="shared" ref="AA1199:AG1199" si="1385">AH1199-AH1198</f>
        <v>0</v>
      </c>
      <c r="AB1199" s="136">
        <f ca="1" t="shared" si="1385"/>
        <v>0</v>
      </c>
      <c r="AC1199" s="136">
        <f ca="1" t="shared" si="1385"/>
        <v>0</v>
      </c>
      <c r="AD1199" s="136">
        <f ca="1" t="shared" si="1385"/>
        <v>0</v>
      </c>
      <c r="AE1199" s="136">
        <f ca="1" t="shared" si="1385"/>
        <v>0</v>
      </c>
      <c r="AF1199" s="136">
        <f ca="1" t="shared" si="1385"/>
        <v>0</v>
      </c>
      <c r="AG1199" s="136">
        <f ca="1" t="shared" si="1385"/>
        <v>100</v>
      </c>
      <c r="AH1199" s="136">
        <f ca="1" t="shared" si="1281"/>
        <v>450</v>
      </c>
      <c r="AI1199" s="136">
        <f ca="1" t="shared" ref="AI1199:AN1199" si="1386">IF($C1199&gt;OFFSET($Q$8,MATCH(AI$634,$AH$634:$AN$634,0),0),OFFSET($P$8,MATCH(AI$634,$AH$634:$AN$634,0),0),MAX(0,$C1199-OFFSET($Q$8,RIGHT(AI$634,1)-1,0)))</f>
        <v>909</v>
      </c>
      <c r="AJ1199" s="136">
        <f ca="1" t="shared" si="1386"/>
        <v>1818</v>
      </c>
      <c r="AK1199" s="136">
        <f ca="1" t="shared" si="1386"/>
        <v>2727</v>
      </c>
      <c r="AL1199" s="136">
        <f ca="1" t="shared" si="1386"/>
        <v>3636</v>
      </c>
      <c r="AM1199" s="136">
        <f ca="1" t="shared" si="1386"/>
        <v>4545</v>
      </c>
      <c r="AN1199" s="136">
        <f ca="1" t="shared" si="1386"/>
        <v>42415</v>
      </c>
    </row>
    <row r="1200" s="106" customFormat="1" ht="16.5" spans="2:40">
      <c r="B1200" s="117">
        <v>566</v>
      </c>
      <c r="C1200" s="130">
        <f t="shared" si="1279"/>
        <v>56600</v>
      </c>
      <c r="D1200" s="131" cm="1">
        <f ca="1" t="array" ref="D1200">IF(D1802=1,OFFSET($W$634,$B1200,D$631-1)/SUMPRODUCT(--($D$631:$V$631=D$631),--($D1802:$V1802=1)),0)+SUM(D1199)+IF(COUNTIF(D$1237:D1802,1)=1,5,0)+IF(COUNTIF(E1200:$W1200,"&gt;"&amp;0)&lt;5,IF(AND(COUNTIF(D$1237:D1802,1)&gt;7,MOD(1+IFERROR(MATCH($C1200,总览!$D$46:$D$345,1)+1,1),7)=0),$C$3,0),0)</f>
        <v>3506.77836873033</v>
      </c>
      <c r="E1200" s="131" cm="1">
        <f ca="1" t="array" ref="E1200">IF(E1802=1,OFFSET($W$634,$B1200,E$631-1)/SUMPRODUCT(--($D$631:$V$631=E$631),--($D1802:$V1802=1)),0)+SUM(E1199)+IF(COUNTIF(E$1237:E1802,1)=1,5,0)+IF(COUNTIF(F1200:$W1200,"&gt;"&amp;0)&lt;5,IF(AND(COUNTIF(E$1237:E1802,1)&gt;7,MOD(1+IFERROR(MATCH($C1200,总览!$D$46:$D$345,1)+1,1),7)=0),$C$3,0),0)</f>
        <v>3506.77836873033</v>
      </c>
      <c r="F1200" s="131" cm="1">
        <f ca="1" t="array" ref="F1200">IF(F1802=1,OFFSET($W$634,$B1200,F$631-1)/SUMPRODUCT(--($D$631:$V$631=F$631),--($D1802:$V1802=1)),0)+SUM(F1199)+IF(COUNTIF(F$1237:F1802,1)=1,5,0)+IF(COUNTIF(G1200:$W1200,"&gt;"&amp;0)&lt;5,IF(AND(COUNTIF(F$1237:F1802,1)&gt;7,MOD(1+IFERROR(MATCH($C1200,总览!$D$46:$D$345,1)+1,1),7)=0),$C$3,0),0)</f>
        <v>3506.77836873033</v>
      </c>
      <c r="G1200" s="131" cm="1">
        <f ca="1" t="array" ref="G1200">IF(G1802=1,OFFSET($W$634,$B1200,G$631-1)/SUMPRODUCT(--($D$631:$V$631=G$631),--($D1802:$V1802=1)),0)+SUM(G1199)+IF(COUNTIF(G$1237:G1802,1)=1,5,0)+IF(COUNTIF(H1200:$W1200,"&gt;"&amp;0)&lt;5,IF(AND(COUNTIF(G$1237:G1802,1)&gt;7,MOD(1+IFERROR(MATCH($C1200,总览!$D$46:$D$345,1)+1,1),7)=0),$C$3,0),0)</f>
        <v>1826.06666666665</v>
      </c>
      <c r="H1200" s="131" cm="1">
        <f ca="1" t="array" ref="H1200">IF(H1802=1,OFFSET($W$634,$B1200,H$631-1)/SUMPRODUCT(--($D$631:$V$631=H$631),--($D1802:$V1802=1)),0)+SUM(H1199)+IF(COUNTIF(H$1237:H1802,1)=1,5,0)+IF(COUNTIF(I1200:$W1200,"&gt;"&amp;0)&lt;5,IF(AND(COUNTIF(H$1237:H1802,1)&gt;7,MOD(1+IFERROR(MATCH($C1200,总览!$D$46:$D$345,1)+1,1),7)=0),$C$3,0),0)</f>
        <v>1826.06666666665</v>
      </c>
      <c r="I1200" s="131" cm="1">
        <f ca="1" t="array" ref="I1200">IF(I1802=1,OFFSET($W$634,$B1200,I$631-1)/SUMPRODUCT(--($D$631:$V$631=I$631),--($D1802:$V1802=1)),0)+SUM(I1199)+IF(COUNTIF(I$1237:I1802,1)=1,5,0)+IF(COUNTIF(J1200:$W1200,"&gt;"&amp;0)&lt;5,IF(AND(COUNTIF(I$1237:I1802,1)&gt;7,MOD(1+IFERROR(MATCH($C1200,总览!$D$46:$D$345,1)+1,1),7)=0),$C$3,0),0)</f>
        <v>1826.06666666665</v>
      </c>
      <c r="J1200" s="131" cm="1">
        <f ca="1" t="array" ref="J1200">IF(J1802=1,OFFSET($W$634,$B1200,J$631-1)/SUMPRODUCT(--($D$631:$V$631=J$631),--($D1802:$V1802=1)),0)+SUM(J1199)+IF(COUNTIF(J$1237:J1802,1)=1,5,0)+IF(COUNTIF(K1200:$W1200,"&gt;"&amp;0)&lt;5,IF(AND(COUNTIF(J$1237:J1802,1)&gt;7,MOD(1+IFERROR(MATCH($C1200,总览!$D$46:$D$345,1)+1,1),7)=0),$C$3,0),0)</f>
        <v>1822.73333333332</v>
      </c>
      <c r="K1200" s="131" cm="1">
        <f ca="1" t="array" ref="K1200">IF(K1802=1,OFFSET($W$634,$B1200,K$631-1)/SUMPRODUCT(--($D$631:$V$631=K$631),--($D1802:$V1802=1)),0)+SUM(K1199)+IF(COUNTIF(K$1237:K1802,1)=1,5,0)+IF(COUNTIF(L1200:$W1200,"&gt;"&amp;0)&lt;5,IF(AND(COUNTIF(K$1237:K1802,1)&gt;7,MOD(1+IFERROR(MATCH($C1200,总览!$D$46:$D$345,1)+1,1),7)=0),$C$3,0),0)</f>
        <v>1820.23333333332</v>
      </c>
      <c r="L1200" s="131" cm="1">
        <f ca="1" t="array" ref="L1200">IF(L1802=1,OFFSET($W$634,$B1200,L$631-1)/SUMPRODUCT(--($D$631:$V$631=L$631),--($D1802:$V1802=1)),0)+SUM(L1199)+IF(COUNTIF(L$1237:L1802,1)=1,5,0)+IF(COUNTIF(M1200:$W1200,"&gt;"&amp;0)&lt;5,IF(AND(COUNTIF(L$1237:L1802,1)&gt;7,MOD(1+IFERROR(MATCH($C1200,总览!$D$46:$D$345,1)+1,1),7)=0),$C$3,0),0)</f>
        <v>1820.23333333332</v>
      </c>
      <c r="M1200" s="131" cm="1">
        <f ca="1" t="array" ref="M1200">IF(M1802=1,OFFSET($W$634,$B1200,M$631-1)/SUMPRODUCT(--($D$631:$V$631=M$631),--($D1802:$V1802=1)),0)+SUM(M1199)+IF(COUNTIF(M$1237:M1802,1)=1,5,0)+IF(COUNTIF(N1200:$W1200,"&gt;"&amp;0)&lt;5,IF(AND(COUNTIF(M$1237:M1802,1)&gt;7,MOD(1+IFERROR(MATCH($C1200,总览!$D$46:$D$345,1)+1,1),7)=0),$C$3,0),0)</f>
        <v>766.324107142862</v>
      </c>
      <c r="N1200" s="131" cm="1">
        <f ca="1" t="array" ref="N1200">IF(N1802=1,OFFSET($W$634,$B1200,N$631-1)/SUMPRODUCT(--($D$631:$V$631=N$631),--($D1802:$V1802=1)),0)+SUM(N1199)+IF(COUNTIF(N$1237:N1802,1)=1,5,0)+IF(COUNTIF(O1200:$W1200,"&gt;"&amp;0)&lt;5,IF(AND(COUNTIF(N$1237:N1802,1)&gt;7,MOD(1+IFERROR(MATCH($C1200,总览!$D$46:$D$345,1)+1,1),7)=0),$C$3,0),0)</f>
        <v>767.574107142862</v>
      </c>
      <c r="O1200" s="131" cm="1">
        <f ca="1" t="array" ref="O1200">IF(O1802=1,OFFSET($W$634,$B1200,O$631-1)/SUMPRODUCT(--($D$631:$V$631=O$631),--($D1802:$V1802=1)),0)+SUM(O1199)+IF(COUNTIF(O$1237:O1802,1)=1,5,0)+IF(COUNTIF(P1200:$W1200,"&gt;"&amp;0)&lt;5,IF(AND(COUNTIF(O$1237:O1802,1)&gt;7,MOD(1+IFERROR(MATCH($C1200,总览!$D$46:$D$345,1)+1,1),7)=0),$C$3,0),0)</f>
        <v>772.574107142862</v>
      </c>
      <c r="P1200" s="131" cm="1">
        <f ca="1" t="array" ref="P1200">IF(P1802=1,OFFSET($W$634,$B1200,P$631-1)/SUMPRODUCT(--($D$631:$V$631=P$631),--($D1802:$V1802=1)),0)+SUM(P1199)+IF(COUNTIF(P$1237:P1802,1)=1,5,0)+IF(COUNTIF(Q1200:$W1200,"&gt;"&amp;0)&lt;5,IF(AND(COUNTIF(P$1237:P1802,1)&gt;7,MOD(1+IFERROR(MATCH($C1200,总览!$D$46:$D$345,1)+1,1),7)=0),$C$3,0),0)</f>
        <v>761.692857142862</v>
      </c>
      <c r="Q1200" s="131" cm="1">
        <f ca="1" t="array" ref="Q1200">IF(Q1802=1,OFFSET($W$634,$B1200,Q$631-1)/SUMPRODUCT(--($D$631:$V$631=Q$631),--($D1802:$V1802=1)),0)+SUM(Q1199)+IF(COUNTIF(Q$1237:Q1802,1)=1,5,0)+IF(COUNTIF(R1200:$W1200,"&gt;"&amp;0)&lt;5,IF(AND(COUNTIF(Q$1237:Q1802,1)&gt;7,MOD(1+IFERROR(MATCH($C1200,总览!$D$46:$D$345,1)+1,1),7)=0),$C$3,0),0)</f>
        <v>775.074107142862</v>
      </c>
      <c r="R1200" s="131" cm="1">
        <f ca="1" t="array" ref="R1200">IF(R1802=1,OFFSET($W$634,$B1200,R$631-1)/SUMPRODUCT(--($D$631:$V$631=R$631),--($D1802:$V1802=1)),0)+SUM(R1199)+IF(COUNTIF(R$1237:R1802,1)=1,5,0)+IF(COUNTIF(S1200:$W1200,"&gt;"&amp;0)&lt;5,IF(AND(COUNTIF(R$1237:R1802,1)&gt;7,MOD(1+IFERROR(MATCH($C1200,总览!$D$46:$D$345,1)+1,1),7)=0),$C$3,0),0)</f>
        <v>766.692857142862</v>
      </c>
      <c r="S1200" s="131" cm="1">
        <f ca="1" t="array" ref="S1200">IF(S1802=1,OFFSET($W$634,$B1200,S$631-1)/SUMPRODUCT(--($D$631:$V$631=S$631),--($D1802:$V1802=1)),0)+SUM(S1199)+IF(COUNTIF(S$1237:S1802,1)=1,5,0)+IF(COUNTIF(T1200:$W1200,"&gt;"&amp;0)&lt;5,IF(AND(COUNTIF(S$1237:S1802,1)&gt;7,MOD(1+IFERROR(MATCH($C1200,总览!$D$46:$D$345,1)+1,1),7)=0),$C$3,0),0)</f>
        <v>859.192857142863</v>
      </c>
      <c r="T1200" s="131" cm="1">
        <f ca="1" t="array" ref="T1200">IF(T1802=1,OFFSET($W$634,$B1200,T$631-1)/SUMPRODUCT(--($D$631:$V$631=T$631),--($D1802:$V1802=1)),0)+SUM(T1199)+IF(COUNTIF(T$1237:T1802,1)=1,5,0)+IF(COUNTIF(U1200:$W1200,"&gt;"&amp;0)&lt;5,IF(AND(COUNTIF(T$1237:T1802,1)&gt;7,MOD(1+IFERROR(MATCH($C1200,总览!$D$46:$D$345,1)+1,1),7)=0),$C$3,0),0)</f>
        <v>629.423773795371</v>
      </c>
      <c r="U1200" s="131" cm="1">
        <f ca="1" t="array" ref="U1200">IF(U1802=1,OFFSET($W$634,$B1200,U$631-1)/SUMPRODUCT(--($D$631:$V$631=U$631),--($D1802:$V1802=1)),0)+SUM(U1199)+IF(COUNTIF(U$1237:U1802,1)=1,5,0)+IF(COUNTIF(V1200:$W1200,"&gt;"&amp;0)&lt;5,IF(AND(COUNTIF(U$1237:U1802,1)&gt;7,MOD(1+IFERROR(MATCH($C1200,总览!$D$46:$D$345,1)+1,1),7)=0),$C$3,0),0)</f>
        <v>634.94456015067</v>
      </c>
      <c r="V1200" s="131" cm="1">
        <f ca="1" t="array" ref="V1200">IF(V1802=1,OFFSET($W$634,$B1200,V$631-1)/SUMPRODUCT(--($D$631:$V$631=V$631),--($D1802:$V1802=1)),0)+SUM(V1199)+IF(COUNTIF(V$1237:V1802,1)=1,5,0)+IF(COUNTIF(W1200:$W1200,"&gt;"&amp;0)&lt;5,IF(AND(COUNTIF(V$1237:V1802,1)&gt;7,MOD(1+IFERROR(MATCH($C1200,总览!$D$46:$D$345,1)+1,1),7)=0),$C$3,0),0)</f>
        <v>654.771559863103</v>
      </c>
      <c r="W1200" s="135" cm="1">
        <f ca="1" t="array" ref="W1200">SUMPRODUCT(TRANSPOSE($AA1200:$AG1200),OFFSET($L$9:$L$15,0,W$631-1))</f>
        <v>16.8502200646615</v>
      </c>
      <c r="X1200" s="135" cm="1">
        <f ca="1" t="array" ref="X1200">SUMPRODUCT(TRANSPOSE($AA1200:$AG1200),OFFSET($L$9:$L$15,0,X$631-1))</f>
        <v>20</v>
      </c>
      <c r="Y1200" s="135" cm="1">
        <f ca="1" t="array" ref="Y1200">SUMPRODUCT(TRANSPOSE($AA1200:$AG1200),OFFSET($L$9:$L$15,0,Y$631-1))</f>
        <v>10</v>
      </c>
      <c r="Z1200" s="135" cm="1">
        <f ca="1" t="array" ref="Z1200">SUMPRODUCT(TRANSPOSE($AA1200:$AG1200),OFFSET($L$9:$L$15,0,Z$631-1))</f>
        <v>3.14977993533847</v>
      </c>
      <c r="AA1200" s="136">
        <f ca="1" t="shared" ref="AA1200:AG1200" si="1387">AH1200-AH1199</f>
        <v>0</v>
      </c>
      <c r="AB1200" s="136">
        <f ca="1" t="shared" si="1387"/>
        <v>0</v>
      </c>
      <c r="AC1200" s="136">
        <f ca="1" t="shared" si="1387"/>
        <v>0</v>
      </c>
      <c r="AD1200" s="136">
        <f ca="1" t="shared" si="1387"/>
        <v>0</v>
      </c>
      <c r="AE1200" s="136">
        <f ca="1" t="shared" si="1387"/>
        <v>0</v>
      </c>
      <c r="AF1200" s="136">
        <f ca="1" t="shared" si="1387"/>
        <v>0</v>
      </c>
      <c r="AG1200" s="136">
        <f ca="1" t="shared" si="1387"/>
        <v>100</v>
      </c>
      <c r="AH1200" s="136">
        <f ca="1" t="shared" si="1281"/>
        <v>450</v>
      </c>
      <c r="AI1200" s="136">
        <f ca="1" t="shared" ref="AI1200:AN1200" si="1388">IF($C1200&gt;OFFSET($Q$8,MATCH(AI$634,$AH$634:$AN$634,0),0),OFFSET($P$8,MATCH(AI$634,$AH$634:$AN$634,0),0),MAX(0,$C1200-OFFSET($Q$8,RIGHT(AI$634,1)-1,0)))</f>
        <v>909</v>
      </c>
      <c r="AJ1200" s="136">
        <f ca="1" t="shared" si="1388"/>
        <v>1818</v>
      </c>
      <c r="AK1200" s="136">
        <f ca="1" t="shared" si="1388"/>
        <v>2727</v>
      </c>
      <c r="AL1200" s="136">
        <f ca="1" t="shared" si="1388"/>
        <v>3636</v>
      </c>
      <c r="AM1200" s="136">
        <f ca="1" t="shared" si="1388"/>
        <v>4545</v>
      </c>
      <c r="AN1200" s="136">
        <f ca="1" t="shared" si="1388"/>
        <v>42515</v>
      </c>
    </row>
    <row r="1201" s="106" customFormat="1" ht="16.5" spans="2:40">
      <c r="B1201" s="117">
        <v>567</v>
      </c>
      <c r="C1201" s="130">
        <f t="shared" si="1279"/>
        <v>56700</v>
      </c>
      <c r="D1201" s="131" cm="1">
        <f ca="1" t="array" ref="D1201">IF(D1803=1,OFFSET($W$634,$B1201,D$631-1)/SUMPRODUCT(--($D$631:$V$631=D$631),--($D1803:$V1803=1)),0)+SUM(D1200)+IF(COUNTIF(D$1237:D1803,1)=1,5,0)+IF(COUNTIF(E1201:$W1201,"&gt;"&amp;0)&lt;5,IF(AND(COUNTIF(D$1237:D1803,1)&gt;7,MOD(1+IFERROR(MATCH($C1201,总览!$D$46:$D$345,1)+1,1),7)=0),$C$3,0),0)</f>
        <v>3512.39510875188</v>
      </c>
      <c r="E1201" s="131" cm="1">
        <f ca="1" t="array" ref="E1201">IF(E1803=1,OFFSET($W$634,$B1201,E$631-1)/SUMPRODUCT(--($D$631:$V$631=E$631),--($D1803:$V1803=1)),0)+SUM(E1200)+IF(COUNTIF(E$1237:E1803,1)=1,5,0)+IF(COUNTIF(F1201:$W1201,"&gt;"&amp;0)&lt;5,IF(AND(COUNTIF(E$1237:E1803,1)&gt;7,MOD(1+IFERROR(MATCH($C1201,总览!$D$46:$D$345,1)+1,1),7)=0),$C$3,0),0)</f>
        <v>3512.39510875188</v>
      </c>
      <c r="F1201" s="131" cm="1">
        <f ca="1" t="array" ref="F1201">IF(F1803=1,OFFSET($W$634,$B1201,F$631-1)/SUMPRODUCT(--($D$631:$V$631=F$631),--($D1803:$V1803=1)),0)+SUM(F1200)+IF(COUNTIF(F$1237:F1803,1)=1,5,0)+IF(COUNTIF(G1201:$W1201,"&gt;"&amp;0)&lt;5,IF(AND(COUNTIF(F$1237:F1803,1)&gt;7,MOD(1+IFERROR(MATCH($C1201,总览!$D$46:$D$345,1)+1,1),7)=0),$C$3,0),0)</f>
        <v>3512.39510875188</v>
      </c>
      <c r="G1201" s="131" cm="1">
        <f ca="1" t="array" ref="G1201">IF(G1803=1,OFFSET($W$634,$B1201,G$631-1)/SUMPRODUCT(--($D$631:$V$631=G$631),--($D1803:$V1803=1)),0)+SUM(G1200)+IF(COUNTIF(G$1237:G1803,1)=1,5,0)+IF(COUNTIF(H1201:$W1201,"&gt;"&amp;0)&lt;5,IF(AND(COUNTIF(G$1237:G1803,1)&gt;7,MOD(1+IFERROR(MATCH($C1201,总览!$D$46:$D$345,1)+1,1),7)=0),$C$3,0),0)</f>
        <v>1829.39999999999</v>
      </c>
      <c r="H1201" s="131" cm="1">
        <f ca="1" t="array" ref="H1201">IF(H1803=1,OFFSET($W$634,$B1201,H$631-1)/SUMPRODUCT(--($D$631:$V$631=H$631),--($D1803:$V1803=1)),0)+SUM(H1200)+IF(COUNTIF(H$1237:H1803,1)=1,5,0)+IF(COUNTIF(I1201:$W1201,"&gt;"&amp;0)&lt;5,IF(AND(COUNTIF(H$1237:H1803,1)&gt;7,MOD(1+IFERROR(MATCH($C1201,总览!$D$46:$D$345,1)+1,1),7)=0),$C$3,0),0)</f>
        <v>1829.39999999999</v>
      </c>
      <c r="I1201" s="131" cm="1">
        <f ca="1" t="array" ref="I1201">IF(I1803=1,OFFSET($W$634,$B1201,I$631-1)/SUMPRODUCT(--($D$631:$V$631=I$631),--($D1803:$V1803=1)),0)+SUM(I1200)+IF(COUNTIF(I$1237:I1803,1)=1,5,0)+IF(COUNTIF(J1201:$W1201,"&gt;"&amp;0)&lt;5,IF(AND(COUNTIF(I$1237:I1803,1)&gt;7,MOD(1+IFERROR(MATCH($C1201,总览!$D$46:$D$345,1)+1,1),7)=0),$C$3,0),0)</f>
        <v>1829.39999999999</v>
      </c>
      <c r="J1201" s="131" cm="1">
        <f ca="1" t="array" ref="J1201">IF(J1803=1,OFFSET($W$634,$B1201,J$631-1)/SUMPRODUCT(--($D$631:$V$631=J$631),--($D1803:$V1803=1)),0)+SUM(J1200)+IF(COUNTIF(J$1237:J1803,1)=1,5,0)+IF(COUNTIF(K1201:$W1201,"&gt;"&amp;0)&lt;5,IF(AND(COUNTIF(J$1237:J1803,1)&gt;7,MOD(1+IFERROR(MATCH($C1201,总览!$D$46:$D$345,1)+1,1),7)=0),$C$3,0),0)</f>
        <v>1826.06666666665</v>
      </c>
      <c r="K1201" s="131" cm="1">
        <f ca="1" t="array" ref="K1201">IF(K1803=1,OFFSET($W$634,$B1201,K$631-1)/SUMPRODUCT(--($D$631:$V$631=K$631),--($D1803:$V1803=1)),0)+SUM(K1200)+IF(COUNTIF(K$1237:K1803,1)=1,5,0)+IF(COUNTIF(L1201:$W1201,"&gt;"&amp;0)&lt;5,IF(AND(COUNTIF(K$1237:K1803,1)&gt;7,MOD(1+IFERROR(MATCH($C1201,总览!$D$46:$D$345,1)+1,1),7)=0),$C$3,0),0)</f>
        <v>1823.56666666665</v>
      </c>
      <c r="L1201" s="131" cm="1">
        <f ca="1" t="array" ref="L1201">IF(L1803=1,OFFSET($W$634,$B1201,L$631-1)/SUMPRODUCT(--($D$631:$V$631=L$631),--($D1803:$V1803=1)),0)+SUM(L1200)+IF(COUNTIF(L$1237:L1803,1)=1,5,0)+IF(COUNTIF(M1201:$W1201,"&gt;"&amp;0)&lt;5,IF(AND(COUNTIF(L$1237:L1803,1)&gt;7,MOD(1+IFERROR(MATCH($C1201,总览!$D$46:$D$345,1)+1,1),7)=0),$C$3,0),0)</f>
        <v>1823.56666666665</v>
      </c>
      <c r="M1201" s="131" cm="1">
        <f ca="1" t="array" ref="M1201">IF(M1803=1,OFFSET($W$634,$B1201,M$631-1)/SUMPRODUCT(--($D$631:$V$631=M$631),--($D1803:$V1803=1)),0)+SUM(M1200)+IF(COUNTIF(M$1237:M1803,1)=1,5,0)+IF(COUNTIF(N1201:$W1201,"&gt;"&amp;0)&lt;5,IF(AND(COUNTIF(M$1237:M1803,1)&gt;7,MOD(1+IFERROR(MATCH($C1201,总览!$D$46:$D$345,1)+1,1),7)=0),$C$3,0),0)</f>
        <v>767.752678571433</v>
      </c>
      <c r="N1201" s="131" cm="1">
        <f ca="1" t="array" ref="N1201">IF(N1803=1,OFFSET($W$634,$B1201,N$631-1)/SUMPRODUCT(--($D$631:$V$631=N$631),--($D1803:$V1803=1)),0)+SUM(N1200)+IF(COUNTIF(N$1237:N1803,1)=1,5,0)+IF(COUNTIF(O1201:$W1201,"&gt;"&amp;0)&lt;5,IF(AND(COUNTIF(N$1237:N1803,1)&gt;7,MOD(1+IFERROR(MATCH($C1201,总览!$D$46:$D$345,1)+1,1),7)=0),$C$3,0),0)</f>
        <v>769.002678571433</v>
      </c>
      <c r="O1201" s="131" cm="1">
        <f ca="1" t="array" ref="O1201">IF(O1803=1,OFFSET($W$634,$B1201,O$631-1)/SUMPRODUCT(--($D$631:$V$631=O$631),--($D1803:$V1803=1)),0)+SUM(O1200)+IF(COUNTIF(O$1237:O1803,1)=1,5,0)+IF(COUNTIF(P1201:$W1201,"&gt;"&amp;0)&lt;5,IF(AND(COUNTIF(O$1237:O1803,1)&gt;7,MOD(1+IFERROR(MATCH($C1201,总览!$D$46:$D$345,1)+1,1),7)=0),$C$3,0),0)</f>
        <v>774.002678571433</v>
      </c>
      <c r="P1201" s="131" cm="1">
        <f ca="1" t="array" ref="P1201">IF(P1803=1,OFFSET($W$634,$B1201,P$631-1)/SUMPRODUCT(--($D$631:$V$631=P$631),--($D1803:$V1803=1)),0)+SUM(P1200)+IF(COUNTIF(P$1237:P1803,1)=1,5,0)+IF(COUNTIF(Q1201:$W1201,"&gt;"&amp;0)&lt;5,IF(AND(COUNTIF(P$1237:P1803,1)&gt;7,MOD(1+IFERROR(MATCH($C1201,总览!$D$46:$D$345,1)+1,1),7)=0),$C$3,0),0)</f>
        <v>763.121428571433</v>
      </c>
      <c r="Q1201" s="131" cm="1">
        <f ca="1" t="array" ref="Q1201">IF(Q1803=1,OFFSET($W$634,$B1201,Q$631-1)/SUMPRODUCT(--($D$631:$V$631=Q$631),--($D1803:$V1803=1)),0)+SUM(Q1200)+IF(COUNTIF(Q$1237:Q1803,1)=1,5,0)+IF(COUNTIF(R1201:$W1201,"&gt;"&amp;0)&lt;5,IF(AND(COUNTIF(Q$1237:Q1803,1)&gt;7,MOD(1+IFERROR(MATCH($C1201,总览!$D$46:$D$345,1)+1,1),7)=0),$C$3,0),0)</f>
        <v>776.502678571433</v>
      </c>
      <c r="R1201" s="131" cm="1">
        <f ca="1" t="array" ref="R1201">IF(R1803=1,OFFSET($W$634,$B1201,R$631-1)/SUMPRODUCT(--($D$631:$V$631=R$631),--($D1803:$V1803=1)),0)+SUM(R1200)+IF(COUNTIF(R$1237:R1803,1)=1,5,0)+IF(COUNTIF(S1201:$W1201,"&gt;"&amp;0)&lt;5,IF(AND(COUNTIF(R$1237:R1803,1)&gt;7,MOD(1+IFERROR(MATCH($C1201,总览!$D$46:$D$345,1)+1,1),7)=0),$C$3,0),0)</f>
        <v>768.121428571433</v>
      </c>
      <c r="S1201" s="131" cm="1">
        <f ca="1" t="array" ref="S1201">IF(S1803=1,OFFSET($W$634,$B1201,S$631-1)/SUMPRODUCT(--($D$631:$V$631=S$631),--($D1803:$V1803=1)),0)+SUM(S1200)+IF(COUNTIF(S$1237:S1803,1)=1,5,0)+IF(COUNTIF(T1201:$W1201,"&gt;"&amp;0)&lt;5,IF(AND(COUNTIF(S$1237:S1803,1)&gt;7,MOD(1+IFERROR(MATCH($C1201,总览!$D$46:$D$345,1)+1,1),7)=0),$C$3,0),0)</f>
        <v>860.621428571434</v>
      </c>
      <c r="T1201" s="131" cm="1">
        <f ca="1" t="array" ref="T1201">IF(T1803=1,OFFSET($W$634,$B1201,T$631-1)/SUMPRODUCT(--($D$631:$V$631=T$631),--($D1803:$V1803=1)),0)+SUM(T1200)+IF(COUNTIF(T$1237:T1803,1)=1,5,0)+IF(COUNTIF(U1201:$W1201,"&gt;"&amp;0)&lt;5,IF(AND(COUNTIF(T$1237:T1803,1)&gt;7,MOD(1+IFERROR(MATCH($C1201,总览!$D$46:$D$345,1)+1,1),7)=0),$C$3,0),0)</f>
        <v>630.473700440483</v>
      </c>
      <c r="U1201" s="131" cm="1">
        <f ca="1" t="array" ref="U1201">IF(U1803=1,OFFSET($W$634,$B1201,U$631-1)/SUMPRODUCT(--($D$631:$V$631=U$631),--($D1803:$V1803=1)),0)+SUM(U1200)+IF(COUNTIF(U$1237:U1803,1)=1,5,0)+IF(COUNTIF(V1201:$W1201,"&gt;"&amp;0)&lt;5,IF(AND(COUNTIF(U$1237:U1803,1)&gt;7,MOD(1+IFERROR(MATCH($C1201,总览!$D$46:$D$345,1)+1,1),7)=0),$C$3,0),0)</f>
        <v>635.994486795783</v>
      </c>
      <c r="V1201" s="131" cm="1">
        <f ca="1" t="array" ref="V1201">IF(V1803=1,OFFSET($W$634,$B1201,V$631-1)/SUMPRODUCT(--($D$631:$V$631=V$631),--($D1803:$V1803=1)),0)+SUM(V1200)+IF(COUNTIF(V$1237:V1803,1)=1,5,0)+IF(COUNTIF(W1201:$W1201,"&gt;"&amp;0)&lt;5,IF(AND(COUNTIF(V$1237:V1803,1)&gt;7,MOD(1+IFERROR(MATCH($C1201,总览!$D$46:$D$345,1)+1,1),7)=0),$C$3,0),0)</f>
        <v>655.821486508216</v>
      </c>
      <c r="W1201" s="135" cm="1">
        <f ca="1" t="array" ref="W1201">SUMPRODUCT(TRANSPOSE($AA1201:$AG1201),OFFSET($L$9:$L$15,0,W$631-1))</f>
        <v>16.8502200646615</v>
      </c>
      <c r="X1201" s="135" cm="1">
        <f ca="1" t="array" ref="X1201">SUMPRODUCT(TRANSPOSE($AA1201:$AG1201),OFFSET($L$9:$L$15,0,X$631-1))</f>
        <v>20</v>
      </c>
      <c r="Y1201" s="135" cm="1">
        <f ca="1" t="array" ref="Y1201">SUMPRODUCT(TRANSPOSE($AA1201:$AG1201),OFFSET($L$9:$L$15,0,Y$631-1))</f>
        <v>10</v>
      </c>
      <c r="Z1201" s="135" cm="1">
        <f ca="1" t="array" ref="Z1201">SUMPRODUCT(TRANSPOSE($AA1201:$AG1201),OFFSET($L$9:$L$15,0,Z$631-1))</f>
        <v>3.14977993533847</v>
      </c>
      <c r="AA1201" s="136">
        <f ca="1" t="shared" ref="AA1201:AG1201" si="1389">AH1201-AH1200</f>
        <v>0</v>
      </c>
      <c r="AB1201" s="136">
        <f ca="1" t="shared" si="1389"/>
        <v>0</v>
      </c>
      <c r="AC1201" s="136">
        <f ca="1" t="shared" si="1389"/>
        <v>0</v>
      </c>
      <c r="AD1201" s="136">
        <f ca="1" t="shared" si="1389"/>
        <v>0</v>
      </c>
      <c r="AE1201" s="136">
        <f ca="1" t="shared" si="1389"/>
        <v>0</v>
      </c>
      <c r="AF1201" s="136">
        <f ca="1" t="shared" si="1389"/>
        <v>0</v>
      </c>
      <c r="AG1201" s="136">
        <f ca="1" t="shared" si="1389"/>
        <v>100</v>
      </c>
      <c r="AH1201" s="136">
        <f ca="1" t="shared" si="1281"/>
        <v>450</v>
      </c>
      <c r="AI1201" s="136">
        <f ca="1" t="shared" ref="AI1201:AN1201" si="1390">IF($C1201&gt;OFFSET($Q$8,MATCH(AI$634,$AH$634:$AN$634,0),0),OFFSET($P$8,MATCH(AI$634,$AH$634:$AN$634,0),0),MAX(0,$C1201-OFFSET($Q$8,RIGHT(AI$634,1)-1,0)))</f>
        <v>909</v>
      </c>
      <c r="AJ1201" s="136">
        <f ca="1" t="shared" si="1390"/>
        <v>1818</v>
      </c>
      <c r="AK1201" s="136">
        <f ca="1" t="shared" si="1390"/>
        <v>2727</v>
      </c>
      <c r="AL1201" s="136">
        <f ca="1" t="shared" si="1390"/>
        <v>3636</v>
      </c>
      <c r="AM1201" s="136">
        <f ca="1" t="shared" si="1390"/>
        <v>4545</v>
      </c>
      <c r="AN1201" s="136">
        <f ca="1" t="shared" si="1390"/>
        <v>42615</v>
      </c>
    </row>
    <row r="1202" s="106" customFormat="1" ht="16.5" spans="2:40">
      <c r="B1202" s="117">
        <v>568</v>
      </c>
      <c r="C1202" s="130">
        <f t="shared" si="1279"/>
        <v>56800</v>
      </c>
      <c r="D1202" s="131" cm="1">
        <f ca="1" t="array" ref="D1202">IF(D1804=1,OFFSET($W$634,$B1202,D$631-1)/SUMPRODUCT(--($D$631:$V$631=D$631),--($D1804:$V1804=1)),0)+SUM(D1201)+IF(COUNTIF(D$1237:D1804,1)=1,5,0)+IF(COUNTIF(E1202:$W1202,"&gt;"&amp;0)&lt;5,IF(AND(COUNTIF(D$1237:D1804,1)&gt;7,MOD(1+IFERROR(MATCH($C1202,总览!$D$46:$D$345,1)+1,1),7)=0),$C$3,0),0)</f>
        <v>3518.01184877344</v>
      </c>
      <c r="E1202" s="131" cm="1">
        <f ca="1" t="array" ref="E1202">IF(E1804=1,OFFSET($W$634,$B1202,E$631-1)/SUMPRODUCT(--($D$631:$V$631=E$631),--($D1804:$V1804=1)),0)+SUM(E1201)+IF(COUNTIF(E$1237:E1804,1)=1,5,0)+IF(COUNTIF(F1202:$W1202,"&gt;"&amp;0)&lt;5,IF(AND(COUNTIF(E$1237:E1804,1)&gt;7,MOD(1+IFERROR(MATCH($C1202,总览!$D$46:$D$345,1)+1,1),7)=0),$C$3,0),0)</f>
        <v>3518.01184877344</v>
      </c>
      <c r="F1202" s="131" cm="1">
        <f ca="1" t="array" ref="F1202">IF(F1804=1,OFFSET($W$634,$B1202,F$631-1)/SUMPRODUCT(--($D$631:$V$631=F$631),--($D1804:$V1804=1)),0)+SUM(F1201)+IF(COUNTIF(F$1237:F1804,1)=1,5,0)+IF(COUNTIF(G1202:$W1202,"&gt;"&amp;0)&lt;5,IF(AND(COUNTIF(F$1237:F1804,1)&gt;7,MOD(1+IFERROR(MATCH($C1202,总览!$D$46:$D$345,1)+1,1),7)=0),$C$3,0),0)</f>
        <v>3518.01184877344</v>
      </c>
      <c r="G1202" s="131" cm="1">
        <f ca="1" t="array" ref="G1202">IF(G1804=1,OFFSET($W$634,$B1202,G$631-1)/SUMPRODUCT(--($D$631:$V$631=G$631),--($D1804:$V1804=1)),0)+SUM(G1201)+IF(COUNTIF(G$1237:G1804,1)=1,5,0)+IF(COUNTIF(H1202:$W1202,"&gt;"&amp;0)&lt;5,IF(AND(COUNTIF(G$1237:G1804,1)&gt;7,MOD(1+IFERROR(MATCH($C1202,总览!$D$46:$D$345,1)+1,1),7)=0),$C$3,0),0)</f>
        <v>1832.73333333332</v>
      </c>
      <c r="H1202" s="131" cm="1">
        <f ca="1" t="array" ref="H1202">IF(H1804=1,OFFSET($W$634,$B1202,H$631-1)/SUMPRODUCT(--($D$631:$V$631=H$631),--($D1804:$V1804=1)),0)+SUM(H1201)+IF(COUNTIF(H$1237:H1804,1)=1,5,0)+IF(COUNTIF(I1202:$W1202,"&gt;"&amp;0)&lt;5,IF(AND(COUNTIF(H$1237:H1804,1)&gt;7,MOD(1+IFERROR(MATCH($C1202,总览!$D$46:$D$345,1)+1,1),7)=0),$C$3,0),0)</f>
        <v>1832.73333333332</v>
      </c>
      <c r="I1202" s="131" cm="1">
        <f ca="1" t="array" ref="I1202">IF(I1804=1,OFFSET($W$634,$B1202,I$631-1)/SUMPRODUCT(--($D$631:$V$631=I$631),--($D1804:$V1804=1)),0)+SUM(I1201)+IF(COUNTIF(I$1237:I1804,1)=1,5,0)+IF(COUNTIF(J1202:$W1202,"&gt;"&amp;0)&lt;5,IF(AND(COUNTIF(I$1237:I1804,1)&gt;7,MOD(1+IFERROR(MATCH($C1202,总览!$D$46:$D$345,1)+1,1),7)=0),$C$3,0),0)</f>
        <v>1832.73333333332</v>
      </c>
      <c r="J1202" s="131" cm="1">
        <f ca="1" t="array" ref="J1202">IF(J1804=1,OFFSET($W$634,$B1202,J$631-1)/SUMPRODUCT(--($D$631:$V$631=J$631),--($D1804:$V1804=1)),0)+SUM(J1201)+IF(COUNTIF(J$1237:J1804,1)=1,5,0)+IF(COUNTIF(K1202:$W1202,"&gt;"&amp;0)&lt;5,IF(AND(COUNTIF(J$1237:J1804,1)&gt;7,MOD(1+IFERROR(MATCH($C1202,总览!$D$46:$D$345,1)+1,1),7)=0),$C$3,0),0)</f>
        <v>1829.39999999999</v>
      </c>
      <c r="K1202" s="131" cm="1">
        <f ca="1" t="array" ref="K1202">IF(K1804=1,OFFSET($W$634,$B1202,K$631-1)/SUMPRODUCT(--($D$631:$V$631=K$631),--($D1804:$V1804=1)),0)+SUM(K1201)+IF(COUNTIF(K$1237:K1804,1)=1,5,0)+IF(COUNTIF(L1202:$W1202,"&gt;"&amp;0)&lt;5,IF(AND(COUNTIF(K$1237:K1804,1)&gt;7,MOD(1+IFERROR(MATCH($C1202,总览!$D$46:$D$345,1)+1,1),7)=0),$C$3,0),0)</f>
        <v>1826.89999999999</v>
      </c>
      <c r="L1202" s="131" cm="1">
        <f ca="1" t="array" ref="L1202">IF(L1804=1,OFFSET($W$634,$B1202,L$631-1)/SUMPRODUCT(--($D$631:$V$631=L$631),--($D1804:$V1804=1)),0)+SUM(L1201)+IF(COUNTIF(L$1237:L1804,1)=1,5,0)+IF(COUNTIF(M1202:$W1202,"&gt;"&amp;0)&lt;5,IF(AND(COUNTIF(L$1237:L1804,1)&gt;7,MOD(1+IFERROR(MATCH($C1202,总览!$D$46:$D$345,1)+1,1),7)=0),$C$3,0),0)</f>
        <v>1826.89999999999</v>
      </c>
      <c r="M1202" s="131" cm="1">
        <f ca="1" t="array" ref="M1202">IF(M1804=1,OFFSET($W$634,$B1202,M$631-1)/SUMPRODUCT(--($D$631:$V$631=M$631),--($D1804:$V1804=1)),0)+SUM(M1201)+IF(COUNTIF(M$1237:M1804,1)=1,5,0)+IF(COUNTIF(N1202:$W1202,"&gt;"&amp;0)&lt;5,IF(AND(COUNTIF(M$1237:M1804,1)&gt;7,MOD(1+IFERROR(MATCH($C1202,总览!$D$46:$D$345,1)+1,1),7)=0),$C$3,0),0)</f>
        <v>769.181250000005</v>
      </c>
      <c r="N1202" s="131" cm="1">
        <f ca="1" t="array" ref="N1202">IF(N1804=1,OFFSET($W$634,$B1202,N$631-1)/SUMPRODUCT(--($D$631:$V$631=N$631),--($D1804:$V1804=1)),0)+SUM(N1201)+IF(COUNTIF(N$1237:N1804,1)=1,5,0)+IF(COUNTIF(O1202:$W1202,"&gt;"&amp;0)&lt;5,IF(AND(COUNTIF(N$1237:N1804,1)&gt;7,MOD(1+IFERROR(MATCH($C1202,总览!$D$46:$D$345,1)+1,1),7)=0),$C$3,0),0)</f>
        <v>770.431250000005</v>
      </c>
      <c r="O1202" s="131" cm="1">
        <f ca="1" t="array" ref="O1202">IF(O1804=1,OFFSET($W$634,$B1202,O$631-1)/SUMPRODUCT(--($D$631:$V$631=O$631),--($D1804:$V1804=1)),0)+SUM(O1201)+IF(COUNTIF(O$1237:O1804,1)=1,5,0)+IF(COUNTIF(P1202:$W1202,"&gt;"&amp;0)&lt;5,IF(AND(COUNTIF(O$1237:O1804,1)&gt;7,MOD(1+IFERROR(MATCH($C1202,总览!$D$46:$D$345,1)+1,1),7)=0),$C$3,0),0)</f>
        <v>775.431250000005</v>
      </c>
      <c r="P1202" s="131" cm="1">
        <f ca="1" t="array" ref="P1202">IF(P1804=1,OFFSET($W$634,$B1202,P$631-1)/SUMPRODUCT(--($D$631:$V$631=P$631),--($D1804:$V1804=1)),0)+SUM(P1201)+IF(COUNTIF(P$1237:P1804,1)=1,5,0)+IF(COUNTIF(Q1202:$W1202,"&gt;"&amp;0)&lt;5,IF(AND(COUNTIF(P$1237:P1804,1)&gt;7,MOD(1+IFERROR(MATCH($C1202,总览!$D$46:$D$345,1)+1,1),7)=0),$C$3,0),0)</f>
        <v>764.550000000005</v>
      </c>
      <c r="Q1202" s="131" cm="1">
        <f ca="1" t="array" ref="Q1202">IF(Q1804=1,OFFSET($W$634,$B1202,Q$631-1)/SUMPRODUCT(--($D$631:$V$631=Q$631),--($D1804:$V1804=1)),0)+SUM(Q1201)+IF(COUNTIF(Q$1237:Q1804,1)=1,5,0)+IF(COUNTIF(R1202:$W1202,"&gt;"&amp;0)&lt;5,IF(AND(COUNTIF(Q$1237:Q1804,1)&gt;7,MOD(1+IFERROR(MATCH($C1202,总览!$D$46:$D$345,1)+1,1),7)=0),$C$3,0),0)</f>
        <v>777.931250000005</v>
      </c>
      <c r="R1202" s="131" cm="1">
        <f ca="1" t="array" ref="R1202">IF(R1804=1,OFFSET($W$634,$B1202,R$631-1)/SUMPRODUCT(--($D$631:$V$631=R$631),--($D1804:$V1804=1)),0)+SUM(R1201)+IF(COUNTIF(R$1237:R1804,1)=1,5,0)+IF(COUNTIF(S1202:$W1202,"&gt;"&amp;0)&lt;5,IF(AND(COUNTIF(R$1237:R1804,1)&gt;7,MOD(1+IFERROR(MATCH($C1202,总览!$D$46:$D$345,1)+1,1),7)=0),$C$3,0),0)</f>
        <v>769.550000000005</v>
      </c>
      <c r="S1202" s="131" cm="1">
        <f ca="1" t="array" ref="S1202">IF(S1804=1,OFFSET($W$634,$B1202,S$631-1)/SUMPRODUCT(--($D$631:$V$631=S$631),--($D1804:$V1804=1)),0)+SUM(S1201)+IF(COUNTIF(S$1237:S1804,1)=1,5,0)+IF(COUNTIF(T1202:$W1202,"&gt;"&amp;0)&lt;5,IF(AND(COUNTIF(S$1237:S1804,1)&gt;7,MOD(1+IFERROR(MATCH($C1202,总览!$D$46:$D$345,1)+1,1),7)=0),$C$3,0),0)</f>
        <v>862.050000000006</v>
      </c>
      <c r="T1202" s="131" cm="1">
        <f ca="1" t="array" ref="T1202">IF(T1804=1,OFFSET($W$634,$B1202,T$631-1)/SUMPRODUCT(--($D$631:$V$631=T$631),--($D1804:$V1804=1)),0)+SUM(T1201)+IF(COUNTIF(T$1237:T1804,1)=1,5,0)+IF(COUNTIF(U1202:$W1202,"&gt;"&amp;0)&lt;5,IF(AND(COUNTIF(T$1237:T1804,1)&gt;7,MOD(1+IFERROR(MATCH($C1202,总览!$D$46:$D$345,1)+1,1),7)=0),$C$3,0),0)</f>
        <v>631.523627085596</v>
      </c>
      <c r="U1202" s="131" cm="1">
        <f ca="1" t="array" ref="U1202">IF(U1804=1,OFFSET($W$634,$B1202,U$631-1)/SUMPRODUCT(--($D$631:$V$631=U$631),--($D1804:$V1804=1)),0)+SUM(U1201)+IF(COUNTIF(U$1237:U1804,1)=1,5,0)+IF(COUNTIF(V1202:$W1202,"&gt;"&amp;0)&lt;5,IF(AND(COUNTIF(U$1237:U1804,1)&gt;7,MOD(1+IFERROR(MATCH($C1202,总览!$D$46:$D$345,1)+1,1),7)=0),$C$3,0),0)</f>
        <v>637.044413440896</v>
      </c>
      <c r="V1202" s="131" cm="1">
        <f ca="1" t="array" ref="V1202">IF(V1804=1,OFFSET($W$634,$B1202,V$631-1)/SUMPRODUCT(--($D$631:$V$631=V$631),--($D1804:$V1804=1)),0)+SUM(V1201)+IF(COUNTIF(V$1237:V1804,1)=1,5,0)+IF(COUNTIF(W1202:$W1202,"&gt;"&amp;0)&lt;5,IF(AND(COUNTIF(V$1237:V1804,1)&gt;7,MOD(1+IFERROR(MATCH($C1202,总览!$D$46:$D$345,1)+1,1),7)=0),$C$3,0),0)</f>
        <v>656.871413153329</v>
      </c>
      <c r="W1202" s="135" cm="1">
        <f ca="1" t="array" ref="W1202">SUMPRODUCT(TRANSPOSE($AA1202:$AG1202),OFFSET($L$9:$L$15,0,W$631-1))</f>
        <v>16.8502200646615</v>
      </c>
      <c r="X1202" s="135" cm="1">
        <f ca="1" t="array" ref="X1202">SUMPRODUCT(TRANSPOSE($AA1202:$AG1202),OFFSET($L$9:$L$15,0,X$631-1))</f>
        <v>20</v>
      </c>
      <c r="Y1202" s="135" cm="1">
        <f ca="1" t="array" ref="Y1202">SUMPRODUCT(TRANSPOSE($AA1202:$AG1202),OFFSET($L$9:$L$15,0,Y$631-1))</f>
        <v>10</v>
      </c>
      <c r="Z1202" s="135" cm="1">
        <f ca="1" t="array" ref="Z1202">SUMPRODUCT(TRANSPOSE($AA1202:$AG1202),OFFSET($L$9:$L$15,0,Z$631-1))</f>
        <v>3.14977993533847</v>
      </c>
      <c r="AA1202" s="136">
        <f ca="1" t="shared" ref="AA1202:AG1202" si="1391">AH1202-AH1201</f>
        <v>0</v>
      </c>
      <c r="AB1202" s="136">
        <f ca="1" t="shared" si="1391"/>
        <v>0</v>
      </c>
      <c r="AC1202" s="136">
        <f ca="1" t="shared" si="1391"/>
        <v>0</v>
      </c>
      <c r="AD1202" s="136">
        <f ca="1" t="shared" si="1391"/>
        <v>0</v>
      </c>
      <c r="AE1202" s="136">
        <f ca="1" t="shared" si="1391"/>
        <v>0</v>
      </c>
      <c r="AF1202" s="136">
        <f ca="1" t="shared" si="1391"/>
        <v>0</v>
      </c>
      <c r="AG1202" s="136">
        <f ca="1" t="shared" si="1391"/>
        <v>100</v>
      </c>
      <c r="AH1202" s="136">
        <f ca="1" t="shared" si="1281"/>
        <v>450</v>
      </c>
      <c r="AI1202" s="136">
        <f ca="1" t="shared" ref="AI1202:AN1202" si="1392">IF($C1202&gt;OFFSET($Q$8,MATCH(AI$634,$AH$634:$AN$634,0),0),OFFSET($P$8,MATCH(AI$634,$AH$634:$AN$634,0),0),MAX(0,$C1202-OFFSET($Q$8,RIGHT(AI$634,1)-1,0)))</f>
        <v>909</v>
      </c>
      <c r="AJ1202" s="136">
        <f ca="1" t="shared" si="1392"/>
        <v>1818</v>
      </c>
      <c r="AK1202" s="136">
        <f ca="1" t="shared" si="1392"/>
        <v>2727</v>
      </c>
      <c r="AL1202" s="136">
        <f ca="1" t="shared" si="1392"/>
        <v>3636</v>
      </c>
      <c r="AM1202" s="136">
        <f ca="1" t="shared" si="1392"/>
        <v>4545</v>
      </c>
      <c r="AN1202" s="136">
        <f ca="1" t="shared" si="1392"/>
        <v>42715</v>
      </c>
    </row>
    <row r="1203" s="106" customFormat="1" ht="16.5" spans="2:40">
      <c r="B1203" s="117">
        <v>569</v>
      </c>
      <c r="C1203" s="130">
        <f t="shared" si="1279"/>
        <v>56900</v>
      </c>
      <c r="D1203" s="131" cm="1">
        <f ca="1" t="array" ref="D1203">IF(D1805=1,OFFSET($W$634,$B1203,D$631-1)/SUMPRODUCT(--($D$631:$V$631=D$631),--($D1805:$V1805=1)),0)+SUM(D1202)+IF(COUNTIF(D$1237:D1805,1)=1,5,0)+IF(COUNTIF(E1203:$W1203,"&gt;"&amp;0)&lt;5,IF(AND(COUNTIF(D$1237:D1805,1)&gt;7,MOD(1+IFERROR(MATCH($C1203,总览!$D$46:$D$345,1)+1,1),7)=0),$C$3,0),0)</f>
        <v>3523.62858879499</v>
      </c>
      <c r="E1203" s="131" cm="1">
        <f ca="1" t="array" ref="E1203">IF(E1805=1,OFFSET($W$634,$B1203,E$631-1)/SUMPRODUCT(--($D$631:$V$631=E$631),--($D1805:$V1805=1)),0)+SUM(E1202)+IF(COUNTIF(E$1237:E1805,1)=1,5,0)+IF(COUNTIF(F1203:$W1203,"&gt;"&amp;0)&lt;5,IF(AND(COUNTIF(E$1237:E1805,1)&gt;7,MOD(1+IFERROR(MATCH($C1203,总览!$D$46:$D$345,1)+1,1),7)=0),$C$3,0),0)</f>
        <v>3523.62858879499</v>
      </c>
      <c r="F1203" s="131" cm="1">
        <f ca="1" t="array" ref="F1203">IF(F1805=1,OFFSET($W$634,$B1203,F$631-1)/SUMPRODUCT(--($D$631:$V$631=F$631),--($D1805:$V1805=1)),0)+SUM(F1202)+IF(COUNTIF(F$1237:F1805,1)=1,5,0)+IF(COUNTIF(G1203:$W1203,"&gt;"&amp;0)&lt;5,IF(AND(COUNTIF(F$1237:F1805,1)&gt;7,MOD(1+IFERROR(MATCH($C1203,总览!$D$46:$D$345,1)+1,1),7)=0),$C$3,0),0)</f>
        <v>3523.62858879499</v>
      </c>
      <c r="G1203" s="131" cm="1">
        <f ca="1" t="array" ref="G1203">IF(G1805=1,OFFSET($W$634,$B1203,G$631-1)/SUMPRODUCT(--($D$631:$V$631=G$631),--($D1805:$V1805=1)),0)+SUM(G1202)+IF(COUNTIF(G$1237:G1805,1)=1,5,0)+IF(COUNTIF(H1203:$W1203,"&gt;"&amp;0)&lt;5,IF(AND(COUNTIF(G$1237:G1805,1)&gt;7,MOD(1+IFERROR(MATCH($C1203,总览!$D$46:$D$345,1)+1,1),7)=0),$C$3,0),0)</f>
        <v>1836.06666666665</v>
      </c>
      <c r="H1203" s="131" cm="1">
        <f ca="1" t="array" ref="H1203">IF(H1805=1,OFFSET($W$634,$B1203,H$631-1)/SUMPRODUCT(--($D$631:$V$631=H$631),--($D1805:$V1805=1)),0)+SUM(H1202)+IF(COUNTIF(H$1237:H1805,1)=1,5,0)+IF(COUNTIF(I1203:$W1203,"&gt;"&amp;0)&lt;5,IF(AND(COUNTIF(H$1237:H1805,1)&gt;7,MOD(1+IFERROR(MATCH($C1203,总览!$D$46:$D$345,1)+1,1),7)=0),$C$3,0),0)</f>
        <v>1836.06666666665</v>
      </c>
      <c r="I1203" s="131" cm="1">
        <f ca="1" t="array" ref="I1203">IF(I1805=1,OFFSET($W$634,$B1203,I$631-1)/SUMPRODUCT(--($D$631:$V$631=I$631),--($D1805:$V1805=1)),0)+SUM(I1202)+IF(COUNTIF(I$1237:I1805,1)=1,5,0)+IF(COUNTIF(J1203:$W1203,"&gt;"&amp;0)&lt;5,IF(AND(COUNTIF(I$1237:I1805,1)&gt;7,MOD(1+IFERROR(MATCH($C1203,总览!$D$46:$D$345,1)+1,1),7)=0),$C$3,0),0)</f>
        <v>1836.06666666665</v>
      </c>
      <c r="J1203" s="131" cm="1">
        <f ca="1" t="array" ref="J1203">IF(J1805=1,OFFSET($W$634,$B1203,J$631-1)/SUMPRODUCT(--($D$631:$V$631=J$631),--($D1805:$V1805=1)),0)+SUM(J1202)+IF(COUNTIF(J$1237:J1805,1)=1,5,0)+IF(COUNTIF(K1203:$W1203,"&gt;"&amp;0)&lt;5,IF(AND(COUNTIF(J$1237:J1805,1)&gt;7,MOD(1+IFERROR(MATCH($C1203,总览!$D$46:$D$345,1)+1,1),7)=0),$C$3,0),0)</f>
        <v>1832.73333333332</v>
      </c>
      <c r="K1203" s="131" cm="1">
        <f ca="1" t="array" ref="K1203">IF(K1805=1,OFFSET($W$634,$B1203,K$631-1)/SUMPRODUCT(--($D$631:$V$631=K$631),--($D1805:$V1805=1)),0)+SUM(K1202)+IF(COUNTIF(K$1237:K1805,1)=1,5,0)+IF(COUNTIF(L1203:$W1203,"&gt;"&amp;0)&lt;5,IF(AND(COUNTIF(K$1237:K1805,1)&gt;7,MOD(1+IFERROR(MATCH($C1203,总览!$D$46:$D$345,1)+1,1),7)=0),$C$3,0),0)</f>
        <v>1830.23333333332</v>
      </c>
      <c r="L1203" s="131" cm="1">
        <f ca="1" t="array" ref="L1203">IF(L1805=1,OFFSET($W$634,$B1203,L$631-1)/SUMPRODUCT(--($D$631:$V$631=L$631),--($D1805:$V1805=1)),0)+SUM(L1202)+IF(COUNTIF(L$1237:L1805,1)=1,5,0)+IF(COUNTIF(M1203:$W1203,"&gt;"&amp;0)&lt;5,IF(AND(COUNTIF(L$1237:L1805,1)&gt;7,MOD(1+IFERROR(MATCH($C1203,总览!$D$46:$D$345,1)+1,1),7)=0),$C$3,0),0)</f>
        <v>1830.23333333332</v>
      </c>
      <c r="M1203" s="131" cm="1">
        <f ca="1" t="array" ref="M1203">IF(M1805=1,OFFSET($W$634,$B1203,M$631-1)/SUMPRODUCT(--($D$631:$V$631=M$631),--($D1805:$V1805=1)),0)+SUM(M1202)+IF(COUNTIF(M$1237:M1805,1)=1,5,0)+IF(COUNTIF(N1203:$W1203,"&gt;"&amp;0)&lt;5,IF(AND(COUNTIF(M$1237:M1805,1)&gt;7,MOD(1+IFERROR(MATCH($C1203,总览!$D$46:$D$345,1)+1,1),7)=0),$C$3,0),0)</f>
        <v>770.609821428576</v>
      </c>
      <c r="N1203" s="131" cm="1">
        <f ca="1" t="array" ref="N1203">IF(N1805=1,OFFSET($W$634,$B1203,N$631-1)/SUMPRODUCT(--($D$631:$V$631=N$631),--($D1805:$V1805=1)),0)+SUM(N1202)+IF(COUNTIF(N$1237:N1805,1)=1,5,0)+IF(COUNTIF(O1203:$W1203,"&gt;"&amp;0)&lt;5,IF(AND(COUNTIF(N$1237:N1805,1)&gt;7,MOD(1+IFERROR(MATCH($C1203,总览!$D$46:$D$345,1)+1,1),7)=0),$C$3,0),0)</f>
        <v>771.859821428576</v>
      </c>
      <c r="O1203" s="131" cm="1">
        <f ca="1" t="array" ref="O1203">IF(O1805=1,OFFSET($W$634,$B1203,O$631-1)/SUMPRODUCT(--($D$631:$V$631=O$631),--($D1805:$V1805=1)),0)+SUM(O1202)+IF(COUNTIF(O$1237:O1805,1)=1,5,0)+IF(COUNTIF(P1203:$W1203,"&gt;"&amp;0)&lt;5,IF(AND(COUNTIF(O$1237:O1805,1)&gt;7,MOD(1+IFERROR(MATCH($C1203,总览!$D$46:$D$345,1)+1,1),7)=0),$C$3,0),0)</f>
        <v>776.859821428576</v>
      </c>
      <c r="P1203" s="131" cm="1">
        <f ca="1" t="array" ref="P1203">IF(P1805=1,OFFSET($W$634,$B1203,P$631-1)/SUMPRODUCT(--($D$631:$V$631=P$631),--($D1805:$V1805=1)),0)+SUM(P1202)+IF(COUNTIF(P$1237:P1805,1)=1,5,0)+IF(COUNTIF(Q1203:$W1203,"&gt;"&amp;0)&lt;5,IF(AND(COUNTIF(P$1237:P1805,1)&gt;7,MOD(1+IFERROR(MATCH($C1203,总览!$D$46:$D$345,1)+1,1),7)=0),$C$3,0),0)</f>
        <v>765.978571428576</v>
      </c>
      <c r="Q1203" s="131" cm="1">
        <f ca="1" t="array" ref="Q1203">IF(Q1805=1,OFFSET($W$634,$B1203,Q$631-1)/SUMPRODUCT(--($D$631:$V$631=Q$631),--($D1805:$V1805=1)),0)+SUM(Q1202)+IF(COUNTIF(Q$1237:Q1805,1)=1,5,0)+IF(COUNTIF(R1203:$W1203,"&gt;"&amp;0)&lt;5,IF(AND(COUNTIF(Q$1237:Q1805,1)&gt;7,MOD(1+IFERROR(MATCH($C1203,总览!$D$46:$D$345,1)+1,1),7)=0),$C$3,0),0)</f>
        <v>779.359821428576</v>
      </c>
      <c r="R1203" s="131" cm="1">
        <f ca="1" t="array" ref="R1203">IF(R1805=1,OFFSET($W$634,$B1203,R$631-1)/SUMPRODUCT(--($D$631:$V$631=R$631),--($D1805:$V1805=1)),0)+SUM(R1202)+IF(COUNTIF(R$1237:R1805,1)=1,5,0)+IF(COUNTIF(S1203:$W1203,"&gt;"&amp;0)&lt;5,IF(AND(COUNTIF(R$1237:R1805,1)&gt;7,MOD(1+IFERROR(MATCH($C1203,总览!$D$46:$D$345,1)+1,1),7)=0),$C$3,0),0)</f>
        <v>770.978571428576</v>
      </c>
      <c r="S1203" s="131" cm="1">
        <f ca="1" t="array" ref="S1203">IF(S1805=1,OFFSET($W$634,$B1203,S$631-1)/SUMPRODUCT(--($D$631:$V$631=S$631),--($D1805:$V1805=1)),0)+SUM(S1202)+IF(COUNTIF(S$1237:S1805,1)=1,5,0)+IF(COUNTIF(T1203:$W1203,"&gt;"&amp;0)&lt;5,IF(AND(COUNTIF(S$1237:S1805,1)&gt;7,MOD(1+IFERROR(MATCH($C1203,总览!$D$46:$D$345,1)+1,1),7)=0),$C$3,0),0)</f>
        <v>863.478571428577</v>
      </c>
      <c r="T1203" s="131" cm="1">
        <f ca="1" t="array" ref="T1203">IF(T1805=1,OFFSET($W$634,$B1203,T$631-1)/SUMPRODUCT(--($D$631:$V$631=T$631),--($D1805:$V1805=1)),0)+SUM(T1202)+IF(COUNTIF(T$1237:T1805,1)=1,5,0)+IF(COUNTIF(U1203:$W1203,"&gt;"&amp;0)&lt;5,IF(AND(COUNTIF(T$1237:T1805,1)&gt;7,MOD(1+IFERROR(MATCH($C1203,总览!$D$46:$D$345,1)+1,1),7)=0),$C$3,0),0)</f>
        <v>632.573553730709</v>
      </c>
      <c r="U1203" s="131" cm="1">
        <f ca="1" t="array" ref="U1203">IF(U1805=1,OFFSET($W$634,$B1203,U$631-1)/SUMPRODUCT(--($D$631:$V$631=U$631),--($D1805:$V1805=1)),0)+SUM(U1202)+IF(COUNTIF(U$1237:U1805,1)=1,5,0)+IF(COUNTIF(V1203:$W1203,"&gt;"&amp;0)&lt;5,IF(AND(COUNTIF(U$1237:U1805,1)&gt;7,MOD(1+IFERROR(MATCH($C1203,总览!$D$46:$D$345,1)+1,1),7)=0),$C$3,0),0)</f>
        <v>638.094340086009</v>
      </c>
      <c r="V1203" s="131" cm="1">
        <f ca="1" t="array" ref="V1203">IF(V1805=1,OFFSET($W$634,$B1203,V$631-1)/SUMPRODUCT(--($D$631:$V$631=V$631),--($D1805:$V1805=1)),0)+SUM(V1202)+IF(COUNTIF(V$1237:V1805,1)=1,5,0)+IF(COUNTIF(W1203:$W1203,"&gt;"&amp;0)&lt;5,IF(AND(COUNTIF(V$1237:V1805,1)&gt;7,MOD(1+IFERROR(MATCH($C1203,总览!$D$46:$D$345,1)+1,1),7)=0),$C$3,0),0)</f>
        <v>657.921339798442</v>
      </c>
      <c r="W1203" s="135" cm="1">
        <f ca="1" t="array" ref="W1203">SUMPRODUCT(TRANSPOSE($AA1203:$AG1203),OFFSET($L$9:$L$15,0,W$631-1))</f>
        <v>16.8502200646615</v>
      </c>
      <c r="X1203" s="135" cm="1">
        <f ca="1" t="array" ref="X1203">SUMPRODUCT(TRANSPOSE($AA1203:$AG1203),OFFSET($L$9:$L$15,0,X$631-1))</f>
        <v>20</v>
      </c>
      <c r="Y1203" s="135" cm="1">
        <f ca="1" t="array" ref="Y1203">SUMPRODUCT(TRANSPOSE($AA1203:$AG1203),OFFSET($L$9:$L$15,0,Y$631-1))</f>
        <v>10</v>
      </c>
      <c r="Z1203" s="135" cm="1">
        <f ca="1" t="array" ref="Z1203">SUMPRODUCT(TRANSPOSE($AA1203:$AG1203),OFFSET($L$9:$L$15,0,Z$631-1))</f>
        <v>3.14977993533847</v>
      </c>
      <c r="AA1203" s="136">
        <f ca="1" t="shared" ref="AA1203:AG1203" si="1393">AH1203-AH1202</f>
        <v>0</v>
      </c>
      <c r="AB1203" s="136">
        <f ca="1" t="shared" si="1393"/>
        <v>0</v>
      </c>
      <c r="AC1203" s="136">
        <f ca="1" t="shared" si="1393"/>
        <v>0</v>
      </c>
      <c r="AD1203" s="136">
        <f ca="1" t="shared" si="1393"/>
        <v>0</v>
      </c>
      <c r="AE1203" s="136">
        <f ca="1" t="shared" si="1393"/>
        <v>0</v>
      </c>
      <c r="AF1203" s="136">
        <f ca="1" t="shared" si="1393"/>
        <v>0</v>
      </c>
      <c r="AG1203" s="136">
        <f ca="1" t="shared" si="1393"/>
        <v>100</v>
      </c>
      <c r="AH1203" s="136">
        <f ca="1" t="shared" si="1281"/>
        <v>450</v>
      </c>
      <c r="AI1203" s="136">
        <f ca="1" t="shared" ref="AI1203:AN1203" si="1394">IF($C1203&gt;OFFSET($Q$8,MATCH(AI$634,$AH$634:$AN$634,0),0),OFFSET($P$8,MATCH(AI$634,$AH$634:$AN$634,0),0),MAX(0,$C1203-OFFSET($Q$8,RIGHT(AI$634,1)-1,0)))</f>
        <v>909</v>
      </c>
      <c r="AJ1203" s="136">
        <f ca="1" t="shared" si="1394"/>
        <v>1818</v>
      </c>
      <c r="AK1203" s="136">
        <f ca="1" t="shared" si="1394"/>
        <v>2727</v>
      </c>
      <c r="AL1203" s="136">
        <f ca="1" t="shared" si="1394"/>
        <v>3636</v>
      </c>
      <c r="AM1203" s="136">
        <f ca="1" t="shared" si="1394"/>
        <v>4545</v>
      </c>
      <c r="AN1203" s="136">
        <f ca="1" t="shared" si="1394"/>
        <v>42815</v>
      </c>
    </row>
    <row r="1204" s="106" customFormat="1" ht="16.5" spans="2:40">
      <c r="B1204" s="117">
        <v>570</v>
      </c>
      <c r="C1204" s="130">
        <f t="shared" si="1279"/>
        <v>57000</v>
      </c>
      <c r="D1204" s="131" cm="1">
        <f ca="1" t="array" ref="D1204">IF(D1806=1,OFFSET($W$634,$B1204,D$631-1)/SUMPRODUCT(--($D$631:$V$631=D$631),--($D1806:$V1806=1)),0)+SUM(D1203)+IF(COUNTIF(D$1237:D1806,1)=1,5,0)+IF(COUNTIF(E1204:$W1204,"&gt;"&amp;0)&lt;5,IF(AND(COUNTIF(D$1237:D1806,1)&gt;7,MOD(1+IFERROR(MATCH($C1204,总览!$D$46:$D$345,1)+1,1),7)=0),$C$3,0),0)</f>
        <v>3529.24532881655</v>
      </c>
      <c r="E1204" s="131" cm="1">
        <f ca="1" t="array" ref="E1204">IF(E1806=1,OFFSET($W$634,$B1204,E$631-1)/SUMPRODUCT(--($D$631:$V$631=E$631),--($D1806:$V1806=1)),0)+SUM(E1203)+IF(COUNTIF(E$1237:E1806,1)=1,5,0)+IF(COUNTIF(F1204:$W1204,"&gt;"&amp;0)&lt;5,IF(AND(COUNTIF(E$1237:E1806,1)&gt;7,MOD(1+IFERROR(MATCH($C1204,总览!$D$46:$D$345,1)+1,1),7)=0),$C$3,0),0)</f>
        <v>3529.24532881655</v>
      </c>
      <c r="F1204" s="131" cm="1">
        <f ca="1" t="array" ref="F1204">IF(F1806=1,OFFSET($W$634,$B1204,F$631-1)/SUMPRODUCT(--($D$631:$V$631=F$631),--($D1806:$V1806=1)),0)+SUM(F1203)+IF(COUNTIF(F$1237:F1806,1)=1,5,0)+IF(COUNTIF(G1204:$W1204,"&gt;"&amp;0)&lt;5,IF(AND(COUNTIF(F$1237:F1806,1)&gt;7,MOD(1+IFERROR(MATCH($C1204,总览!$D$46:$D$345,1)+1,1),7)=0),$C$3,0),0)</f>
        <v>3529.24532881655</v>
      </c>
      <c r="G1204" s="131" cm="1">
        <f ca="1" t="array" ref="G1204">IF(G1806=1,OFFSET($W$634,$B1204,G$631-1)/SUMPRODUCT(--($D$631:$V$631=G$631),--($D1806:$V1806=1)),0)+SUM(G1203)+IF(COUNTIF(G$1237:G1806,1)=1,5,0)+IF(COUNTIF(H1204:$W1204,"&gt;"&amp;0)&lt;5,IF(AND(COUNTIF(G$1237:G1806,1)&gt;7,MOD(1+IFERROR(MATCH($C1204,总览!$D$46:$D$345,1)+1,1),7)=0),$C$3,0),0)</f>
        <v>1839.39999999999</v>
      </c>
      <c r="H1204" s="131" cm="1">
        <f ca="1" t="array" ref="H1204">IF(H1806=1,OFFSET($W$634,$B1204,H$631-1)/SUMPRODUCT(--($D$631:$V$631=H$631),--($D1806:$V1806=1)),0)+SUM(H1203)+IF(COUNTIF(H$1237:H1806,1)=1,5,0)+IF(COUNTIF(I1204:$W1204,"&gt;"&amp;0)&lt;5,IF(AND(COUNTIF(H$1237:H1806,1)&gt;7,MOD(1+IFERROR(MATCH($C1204,总览!$D$46:$D$345,1)+1,1),7)=0),$C$3,0),0)</f>
        <v>1839.39999999999</v>
      </c>
      <c r="I1204" s="131" cm="1">
        <f ca="1" t="array" ref="I1204">IF(I1806=1,OFFSET($W$634,$B1204,I$631-1)/SUMPRODUCT(--($D$631:$V$631=I$631),--($D1806:$V1806=1)),0)+SUM(I1203)+IF(COUNTIF(I$1237:I1806,1)=1,5,0)+IF(COUNTIF(J1204:$W1204,"&gt;"&amp;0)&lt;5,IF(AND(COUNTIF(I$1237:I1806,1)&gt;7,MOD(1+IFERROR(MATCH($C1204,总览!$D$46:$D$345,1)+1,1),7)=0),$C$3,0),0)</f>
        <v>1839.39999999999</v>
      </c>
      <c r="J1204" s="131" cm="1">
        <f ca="1" t="array" ref="J1204">IF(J1806=1,OFFSET($W$634,$B1204,J$631-1)/SUMPRODUCT(--($D$631:$V$631=J$631),--($D1806:$V1806=1)),0)+SUM(J1203)+IF(COUNTIF(J$1237:J1806,1)=1,5,0)+IF(COUNTIF(K1204:$W1204,"&gt;"&amp;0)&lt;5,IF(AND(COUNTIF(J$1237:J1806,1)&gt;7,MOD(1+IFERROR(MATCH($C1204,总览!$D$46:$D$345,1)+1,1),7)=0),$C$3,0),0)</f>
        <v>1836.06666666665</v>
      </c>
      <c r="K1204" s="131" cm="1">
        <f ca="1" t="array" ref="K1204">IF(K1806=1,OFFSET($W$634,$B1204,K$631-1)/SUMPRODUCT(--($D$631:$V$631=K$631),--($D1806:$V1806=1)),0)+SUM(K1203)+IF(COUNTIF(K$1237:K1806,1)=1,5,0)+IF(COUNTIF(L1204:$W1204,"&gt;"&amp;0)&lt;5,IF(AND(COUNTIF(K$1237:K1806,1)&gt;7,MOD(1+IFERROR(MATCH($C1204,总览!$D$46:$D$345,1)+1,1),7)=0),$C$3,0),0)</f>
        <v>1833.56666666665</v>
      </c>
      <c r="L1204" s="131" cm="1">
        <f ca="1" t="array" ref="L1204">IF(L1806=1,OFFSET($W$634,$B1204,L$631-1)/SUMPRODUCT(--($D$631:$V$631=L$631),--($D1806:$V1806=1)),0)+SUM(L1203)+IF(COUNTIF(L$1237:L1806,1)=1,5,0)+IF(COUNTIF(M1204:$W1204,"&gt;"&amp;0)&lt;5,IF(AND(COUNTIF(L$1237:L1806,1)&gt;7,MOD(1+IFERROR(MATCH($C1204,总览!$D$46:$D$345,1)+1,1),7)=0),$C$3,0),0)</f>
        <v>1833.56666666665</v>
      </c>
      <c r="M1204" s="131" cm="1">
        <f ca="1" t="array" ref="M1204">IF(M1806=1,OFFSET($W$634,$B1204,M$631-1)/SUMPRODUCT(--($D$631:$V$631=M$631),--($D1806:$V1806=1)),0)+SUM(M1203)+IF(COUNTIF(M$1237:M1806,1)=1,5,0)+IF(COUNTIF(N1204:$W1204,"&gt;"&amp;0)&lt;5,IF(AND(COUNTIF(M$1237:M1806,1)&gt;7,MOD(1+IFERROR(MATCH($C1204,总览!$D$46:$D$345,1)+1,1),7)=0),$C$3,0),0)</f>
        <v>772.038392857148</v>
      </c>
      <c r="N1204" s="131" cm="1">
        <f ca="1" t="array" ref="N1204">IF(N1806=1,OFFSET($W$634,$B1204,N$631-1)/SUMPRODUCT(--($D$631:$V$631=N$631),--($D1806:$V1806=1)),0)+SUM(N1203)+IF(COUNTIF(N$1237:N1806,1)=1,5,0)+IF(COUNTIF(O1204:$W1204,"&gt;"&amp;0)&lt;5,IF(AND(COUNTIF(N$1237:N1806,1)&gt;7,MOD(1+IFERROR(MATCH($C1204,总览!$D$46:$D$345,1)+1,1),7)=0),$C$3,0),0)</f>
        <v>773.288392857148</v>
      </c>
      <c r="O1204" s="131" cm="1">
        <f ca="1" t="array" ref="O1204">IF(O1806=1,OFFSET($W$634,$B1204,O$631-1)/SUMPRODUCT(--($D$631:$V$631=O$631),--($D1806:$V1806=1)),0)+SUM(O1203)+IF(COUNTIF(O$1237:O1806,1)=1,5,0)+IF(COUNTIF(P1204:$W1204,"&gt;"&amp;0)&lt;5,IF(AND(COUNTIF(O$1237:O1806,1)&gt;7,MOD(1+IFERROR(MATCH($C1204,总览!$D$46:$D$345,1)+1,1),7)=0),$C$3,0),0)</f>
        <v>778.288392857148</v>
      </c>
      <c r="P1204" s="131" cm="1">
        <f ca="1" t="array" ref="P1204">IF(P1806=1,OFFSET($W$634,$B1204,P$631-1)/SUMPRODUCT(--($D$631:$V$631=P$631),--($D1806:$V1806=1)),0)+SUM(P1203)+IF(COUNTIF(P$1237:P1806,1)=1,5,0)+IF(COUNTIF(Q1204:$W1204,"&gt;"&amp;0)&lt;5,IF(AND(COUNTIF(P$1237:P1806,1)&gt;7,MOD(1+IFERROR(MATCH($C1204,总览!$D$46:$D$345,1)+1,1),7)=0),$C$3,0),0)</f>
        <v>767.407142857148</v>
      </c>
      <c r="Q1204" s="131" cm="1">
        <f ca="1" t="array" ref="Q1204">IF(Q1806=1,OFFSET($W$634,$B1204,Q$631-1)/SUMPRODUCT(--($D$631:$V$631=Q$631),--($D1806:$V1806=1)),0)+SUM(Q1203)+IF(COUNTIF(Q$1237:Q1806,1)=1,5,0)+IF(COUNTIF(R1204:$W1204,"&gt;"&amp;0)&lt;5,IF(AND(COUNTIF(Q$1237:Q1806,1)&gt;7,MOD(1+IFERROR(MATCH($C1204,总览!$D$46:$D$345,1)+1,1),7)=0),$C$3,0),0)</f>
        <v>780.788392857148</v>
      </c>
      <c r="R1204" s="131" cm="1">
        <f ca="1" t="array" ref="R1204">IF(R1806=1,OFFSET($W$634,$B1204,R$631-1)/SUMPRODUCT(--($D$631:$V$631=R$631),--($D1806:$V1806=1)),0)+SUM(R1203)+IF(COUNTIF(R$1237:R1806,1)=1,5,0)+IF(COUNTIF(S1204:$W1204,"&gt;"&amp;0)&lt;5,IF(AND(COUNTIF(R$1237:R1806,1)&gt;7,MOD(1+IFERROR(MATCH($C1204,总览!$D$46:$D$345,1)+1,1),7)=0),$C$3,0),0)</f>
        <v>772.407142857148</v>
      </c>
      <c r="S1204" s="131" cm="1">
        <f ca="1" t="array" ref="S1204">IF(S1806=1,OFFSET($W$634,$B1204,S$631-1)/SUMPRODUCT(--($D$631:$V$631=S$631),--($D1806:$V1806=1)),0)+SUM(S1203)+IF(COUNTIF(S$1237:S1806,1)=1,5,0)+IF(COUNTIF(T1204:$W1204,"&gt;"&amp;0)&lt;5,IF(AND(COUNTIF(S$1237:S1806,1)&gt;7,MOD(1+IFERROR(MATCH($C1204,总览!$D$46:$D$345,1)+1,1),7)=0),$C$3,0),0)</f>
        <v>864.907142857149</v>
      </c>
      <c r="T1204" s="131" cm="1">
        <f ca="1" t="array" ref="T1204">IF(T1806=1,OFFSET($W$634,$B1204,T$631-1)/SUMPRODUCT(--($D$631:$V$631=T$631),--($D1806:$V1806=1)),0)+SUM(T1203)+IF(COUNTIF(T$1237:T1806,1)=1,5,0)+IF(COUNTIF(U1204:$W1204,"&gt;"&amp;0)&lt;5,IF(AND(COUNTIF(T$1237:T1806,1)&gt;7,MOD(1+IFERROR(MATCH($C1204,总览!$D$46:$D$345,1)+1,1),7)=0),$C$3,0),0)</f>
        <v>633.623480375822</v>
      </c>
      <c r="U1204" s="131" cm="1">
        <f ca="1" t="array" ref="U1204">IF(U1806=1,OFFSET($W$634,$B1204,U$631-1)/SUMPRODUCT(--($D$631:$V$631=U$631),--($D1806:$V1806=1)),0)+SUM(U1203)+IF(COUNTIF(U$1237:U1806,1)=1,5,0)+IF(COUNTIF(V1204:$W1204,"&gt;"&amp;0)&lt;5,IF(AND(COUNTIF(U$1237:U1806,1)&gt;7,MOD(1+IFERROR(MATCH($C1204,总览!$D$46:$D$345,1)+1,1),7)=0),$C$3,0),0)</f>
        <v>639.144266731121</v>
      </c>
      <c r="V1204" s="131" cm="1">
        <f ca="1" t="array" ref="V1204">IF(V1806=1,OFFSET($W$634,$B1204,V$631-1)/SUMPRODUCT(--($D$631:$V$631=V$631),--($D1806:$V1806=1)),0)+SUM(V1203)+IF(COUNTIF(V$1237:V1806,1)=1,5,0)+IF(COUNTIF(W1204:$W1204,"&gt;"&amp;0)&lt;5,IF(AND(COUNTIF(V$1237:V1806,1)&gt;7,MOD(1+IFERROR(MATCH($C1204,总览!$D$46:$D$345,1)+1,1),7)=0),$C$3,0),0)</f>
        <v>658.971266443554</v>
      </c>
      <c r="W1204" s="135" cm="1">
        <f ca="1" t="array" ref="W1204">SUMPRODUCT(TRANSPOSE($AA1204:$AG1204),OFFSET($L$9:$L$15,0,W$631-1))</f>
        <v>16.8502200646615</v>
      </c>
      <c r="X1204" s="135" cm="1">
        <f ca="1" t="array" ref="X1204">SUMPRODUCT(TRANSPOSE($AA1204:$AG1204),OFFSET($L$9:$L$15,0,X$631-1))</f>
        <v>20</v>
      </c>
      <c r="Y1204" s="135" cm="1">
        <f ca="1" t="array" ref="Y1204">SUMPRODUCT(TRANSPOSE($AA1204:$AG1204),OFFSET($L$9:$L$15,0,Y$631-1))</f>
        <v>10</v>
      </c>
      <c r="Z1204" s="135" cm="1">
        <f ca="1" t="array" ref="Z1204">SUMPRODUCT(TRANSPOSE($AA1204:$AG1204),OFFSET($L$9:$L$15,0,Z$631-1))</f>
        <v>3.14977993533847</v>
      </c>
      <c r="AA1204" s="136">
        <f ca="1" t="shared" ref="AA1204:AG1204" si="1395">AH1204-AH1203</f>
        <v>0</v>
      </c>
      <c r="AB1204" s="136">
        <f ca="1" t="shared" si="1395"/>
        <v>0</v>
      </c>
      <c r="AC1204" s="136">
        <f ca="1" t="shared" si="1395"/>
        <v>0</v>
      </c>
      <c r="AD1204" s="136">
        <f ca="1" t="shared" si="1395"/>
        <v>0</v>
      </c>
      <c r="AE1204" s="136">
        <f ca="1" t="shared" si="1395"/>
        <v>0</v>
      </c>
      <c r="AF1204" s="136">
        <f ca="1" t="shared" si="1395"/>
        <v>0</v>
      </c>
      <c r="AG1204" s="136">
        <f ca="1" t="shared" si="1395"/>
        <v>100</v>
      </c>
      <c r="AH1204" s="136">
        <f ca="1" t="shared" si="1281"/>
        <v>450</v>
      </c>
      <c r="AI1204" s="136">
        <f ca="1" t="shared" ref="AI1204:AN1204" si="1396">IF($C1204&gt;OFFSET($Q$8,MATCH(AI$634,$AH$634:$AN$634,0),0),OFFSET($P$8,MATCH(AI$634,$AH$634:$AN$634,0),0),MAX(0,$C1204-OFFSET($Q$8,RIGHT(AI$634,1)-1,0)))</f>
        <v>909</v>
      </c>
      <c r="AJ1204" s="136">
        <f ca="1" t="shared" si="1396"/>
        <v>1818</v>
      </c>
      <c r="AK1204" s="136">
        <f ca="1" t="shared" si="1396"/>
        <v>2727</v>
      </c>
      <c r="AL1204" s="136">
        <f ca="1" t="shared" si="1396"/>
        <v>3636</v>
      </c>
      <c r="AM1204" s="136">
        <f ca="1" t="shared" si="1396"/>
        <v>4545</v>
      </c>
      <c r="AN1204" s="136">
        <f ca="1" t="shared" si="1396"/>
        <v>42915</v>
      </c>
    </row>
    <row r="1205" s="106" customFormat="1" ht="16.5" spans="2:40">
      <c r="B1205" s="117">
        <v>571</v>
      </c>
      <c r="C1205" s="130">
        <f t="shared" si="1279"/>
        <v>57100</v>
      </c>
      <c r="D1205" s="131" cm="1">
        <f ca="1" t="array" ref="D1205">IF(D1807=1,OFFSET($W$634,$B1205,D$631-1)/SUMPRODUCT(--($D$631:$V$631=D$631),--($D1807:$V1807=1)),0)+SUM(D1204)+IF(COUNTIF(D$1237:D1807,1)=1,5,0)+IF(COUNTIF(E1205:$W1205,"&gt;"&amp;0)&lt;5,IF(AND(COUNTIF(D$1237:D1807,1)&gt;7,MOD(1+IFERROR(MATCH($C1205,总览!$D$46:$D$345,1)+1,1),7)=0),$C$3,0),0)</f>
        <v>3534.8620688381</v>
      </c>
      <c r="E1205" s="131" cm="1">
        <f ca="1" t="array" ref="E1205">IF(E1807=1,OFFSET($W$634,$B1205,E$631-1)/SUMPRODUCT(--($D$631:$V$631=E$631),--($D1807:$V1807=1)),0)+SUM(E1204)+IF(COUNTIF(E$1237:E1807,1)=1,5,0)+IF(COUNTIF(F1205:$W1205,"&gt;"&amp;0)&lt;5,IF(AND(COUNTIF(E$1237:E1807,1)&gt;7,MOD(1+IFERROR(MATCH($C1205,总览!$D$46:$D$345,1)+1,1),7)=0),$C$3,0),0)</f>
        <v>3534.8620688381</v>
      </c>
      <c r="F1205" s="131" cm="1">
        <f ca="1" t="array" ref="F1205">IF(F1807=1,OFFSET($W$634,$B1205,F$631-1)/SUMPRODUCT(--($D$631:$V$631=F$631),--($D1807:$V1807=1)),0)+SUM(F1204)+IF(COUNTIF(F$1237:F1807,1)=1,5,0)+IF(COUNTIF(G1205:$W1205,"&gt;"&amp;0)&lt;5,IF(AND(COUNTIF(F$1237:F1807,1)&gt;7,MOD(1+IFERROR(MATCH($C1205,总览!$D$46:$D$345,1)+1,1),7)=0),$C$3,0),0)</f>
        <v>3534.8620688381</v>
      </c>
      <c r="G1205" s="131" cm="1">
        <f ca="1" t="array" ref="G1205">IF(G1807=1,OFFSET($W$634,$B1205,G$631-1)/SUMPRODUCT(--($D$631:$V$631=G$631),--($D1807:$V1807=1)),0)+SUM(G1204)+IF(COUNTIF(G$1237:G1807,1)=1,5,0)+IF(COUNTIF(H1205:$W1205,"&gt;"&amp;0)&lt;5,IF(AND(COUNTIF(G$1237:G1807,1)&gt;7,MOD(1+IFERROR(MATCH($C1205,总览!$D$46:$D$345,1)+1,1),7)=0),$C$3,0),0)</f>
        <v>1842.73333333332</v>
      </c>
      <c r="H1205" s="131" cm="1">
        <f ca="1" t="array" ref="H1205">IF(H1807=1,OFFSET($W$634,$B1205,H$631-1)/SUMPRODUCT(--($D$631:$V$631=H$631),--($D1807:$V1807=1)),0)+SUM(H1204)+IF(COUNTIF(H$1237:H1807,1)=1,5,0)+IF(COUNTIF(I1205:$W1205,"&gt;"&amp;0)&lt;5,IF(AND(COUNTIF(H$1237:H1807,1)&gt;7,MOD(1+IFERROR(MATCH($C1205,总览!$D$46:$D$345,1)+1,1),7)=0),$C$3,0),0)</f>
        <v>1842.73333333332</v>
      </c>
      <c r="I1205" s="131" cm="1">
        <f ca="1" t="array" ref="I1205">IF(I1807=1,OFFSET($W$634,$B1205,I$631-1)/SUMPRODUCT(--($D$631:$V$631=I$631),--($D1807:$V1807=1)),0)+SUM(I1204)+IF(COUNTIF(I$1237:I1807,1)=1,5,0)+IF(COUNTIF(J1205:$W1205,"&gt;"&amp;0)&lt;5,IF(AND(COUNTIF(I$1237:I1807,1)&gt;7,MOD(1+IFERROR(MATCH($C1205,总览!$D$46:$D$345,1)+1,1),7)=0),$C$3,0),0)</f>
        <v>1842.73333333332</v>
      </c>
      <c r="J1205" s="131" cm="1">
        <f ca="1" t="array" ref="J1205">IF(J1807=1,OFFSET($W$634,$B1205,J$631-1)/SUMPRODUCT(--($D$631:$V$631=J$631),--($D1807:$V1807=1)),0)+SUM(J1204)+IF(COUNTIF(J$1237:J1807,1)=1,5,0)+IF(COUNTIF(K1205:$W1205,"&gt;"&amp;0)&lt;5,IF(AND(COUNTIF(J$1237:J1807,1)&gt;7,MOD(1+IFERROR(MATCH($C1205,总览!$D$46:$D$345,1)+1,1),7)=0),$C$3,0),0)</f>
        <v>1839.39999999999</v>
      </c>
      <c r="K1205" s="131" cm="1">
        <f ca="1" t="array" ref="K1205">IF(K1807=1,OFFSET($W$634,$B1205,K$631-1)/SUMPRODUCT(--($D$631:$V$631=K$631),--($D1807:$V1807=1)),0)+SUM(K1204)+IF(COUNTIF(K$1237:K1807,1)=1,5,0)+IF(COUNTIF(L1205:$W1205,"&gt;"&amp;0)&lt;5,IF(AND(COUNTIF(K$1237:K1807,1)&gt;7,MOD(1+IFERROR(MATCH($C1205,总览!$D$46:$D$345,1)+1,1),7)=0),$C$3,0),0)</f>
        <v>1836.89999999999</v>
      </c>
      <c r="L1205" s="131" cm="1">
        <f ca="1" t="array" ref="L1205">IF(L1807=1,OFFSET($W$634,$B1205,L$631-1)/SUMPRODUCT(--($D$631:$V$631=L$631),--($D1807:$V1807=1)),0)+SUM(L1204)+IF(COUNTIF(L$1237:L1807,1)=1,5,0)+IF(COUNTIF(M1205:$W1205,"&gt;"&amp;0)&lt;5,IF(AND(COUNTIF(L$1237:L1807,1)&gt;7,MOD(1+IFERROR(MATCH($C1205,总览!$D$46:$D$345,1)+1,1),7)=0),$C$3,0),0)</f>
        <v>1836.89999999999</v>
      </c>
      <c r="M1205" s="131" cm="1">
        <f ca="1" t="array" ref="M1205">IF(M1807=1,OFFSET($W$634,$B1205,M$631-1)/SUMPRODUCT(--($D$631:$V$631=M$631),--($D1807:$V1807=1)),0)+SUM(M1204)+IF(COUNTIF(M$1237:M1807,1)=1,5,0)+IF(COUNTIF(N1205:$W1205,"&gt;"&amp;0)&lt;5,IF(AND(COUNTIF(M$1237:M1807,1)&gt;7,MOD(1+IFERROR(MATCH($C1205,总览!$D$46:$D$345,1)+1,1),7)=0),$C$3,0),0)</f>
        <v>773.466964285719</v>
      </c>
      <c r="N1205" s="131" cm="1">
        <f ca="1" t="array" ref="N1205">IF(N1807=1,OFFSET($W$634,$B1205,N$631-1)/SUMPRODUCT(--($D$631:$V$631=N$631),--($D1807:$V1807=1)),0)+SUM(N1204)+IF(COUNTIF(N$1237:N1807,1)=1,5,0)+IF(COUNTIF(O1205:$W1205,"&gt;"&amp;0)&lt;5,IF(AND(COUNTIF(N$1237:N1807,1)&gt;7,MOD(1+IFERROR(MATCH($C1205,总览!$D$46:$D$345,1)+1,1),7)=0),$C$3,0),0)</f>
        <v>774.716964285719</v>
      </c>
      <c r="O1205" s="131" cm="1">
        <f ca="1" t="array" ref="O1205">IF(O1807=1,OFFSET($W$634,$B1205,O$631-1)/SUMPRODUCT(--($D$631:$V$631=O$631),--($D1807:$V1807=1)),0)+SUM(O1204)+IF(COUNTIF(O$1237:O1807,1)=1,5,0)+IF(COUNTIF(P1205:$W1205,"&gt;"&amp;0)&lt;5,IF(AND(COUNTIF(O$1237:O1807,1)&gt;7,MOD(1+IFERROR(MATCH($C1205,总览!$D$46:$D$345,1)+1,1),7)=0),$C$3,0),0)</f>
        <v>779.716964285719</v>
      </c>
      <c r="P1205" s="131" cm="1">
        <f ca="1" t="array" ref="P1205">IF(P1807=1,OFFSET($W$634,$B1205,P$631-1)/SUMPRODUCT(--($D$631:$V$631=P$631),--($D1807:$V1807=1)),0)+SUM(P1204)+IF(COUNTIF(P$1237:P1807,1)=1,5,0)+IF(COUNTIF(Q1205:$W1205,"&gt;"&amp;0)&lt;5,IF(AND(COUNTIF(P$1237:P1807,1)&gt;7,MOD(1+IFERROR(MATCH($C1205,总览!$D$46:$D$345,1)+1,1),7)=0),$C$3,0),0)</f>
        <v>768.835714285719</v>
      </c>
      <c r="Q1205" s="131" cm="1">
        <f ca="1" t="array" ref="Q1205">IF(Q1807=1,OFFSET($W$634,$B1205,Q$631-1)/SUMPRODUCT(--($D$631:$V$631=Q$631),--($D1807:$V1807=1)),0)+SUM(Q1204)+IF(COUNTIF(Q$1237:Q1807,1)=1,5,0)+IF(COUNTIF(R1205:$W1205,"&gt;"&amp;0)&lt;5,IF(AND(COUNTIF(Q$1237:Q1807,1)&gt;7,MOD(1+IFERROR(MATCH($C1205,总览!$D$46:$D$345,1)+1,1),7)=0),$C$3,0),0)</f>
        <v>782.216964285719</v>
      </c>
      <c r="R1205" s="131" cm="1">
        <f ca="1" t="array" ref="R1205">IF(R1807=1,OFFSET($W$634,$B1205,R$631-1)/SUMPRODUCT(--($D$631:$V$631=R$631),--($D1807:$V1807=1)),0)+SUM(R1204)+IF(COUNTIF(R$1237:R1807,1)=1,5,0)+IF(COUNTIF(S1205:$W1205,"&gt;"&amp;0)&lt;5,IF(AND(COUNTIF(R$1237:R1807,1)&gt;7,MOD(1+IFERROR(MATCH($C1205,总览!$D$46:$D$345,1)+1,1),7)=0),$C$3,0),0)</f>
        <v>773.835714285719</v>
      </c>
      <c r="S1205" s="131" cm="1">
        <f ca="1" t="array" ref="S1205">IF(S1807=1,OFFSET($W$634,$B1205,S$631-1)/SUMPRODUCT(--($D$631:$V$631=S$631),--($D1807:$V1807=1)),0)+SUM(S1204)+IF(COUNTIF(S$1237:S1807,1)=1,5,0)+IF(COUNTIF(T1205:$W1205,"&gt;"&amp;0)&lt;5,IF(AND(COUNTIF(S$1237:S1807,1)&gt;7,MOD(1+IFERROR(MATCH($C1205,总览!$D$46:$D$345,1)+1,1),7)=0),$C$3,0),0)</f>
        <v>866.33571428572</v>
      </c>
      <c r="T1205" s="131" cm="1">
        <f ca="1" t="array" ref="T1205">IF(T1807=1,OFFSET($W$634,$B1205,T$631-1)/SUMPRODUCT(--($D$631:$V$631=T$631),--($D1807:$V1807=1)),0)+SUM(T1204)+IF(COUNTIF(T$1237:T1807,1)=1,5,0)+IF(COUNTIF(U1205:$W1205,"&gt;"&amp;0)&lt;5,IF(AND(COUNTIF(T$1237:T1807,1)&gt;7,MOD(1+IFERROR(MATCH($C1205,总览!$D$46:$D$345,1)+1,1),7)=0),$C$3,0),0)</f>
        <v>634.673407020935</v>
      </c>
      <c r="U1205" s="131" cm="1">
        <f ca="1" t="array" ref="U1205">IF(U1807=1,OFFSET($W$634,$B1205,U$631-1)/SUMPRODUCT(--($D$631:$V$631=U$631),--($D1807:$V1807=1)),0)+SUM(U1204)+IF(COUNTIF(U$1237:U1807,1)=1,5,0)+IF(COUNTIF(V1205:$W1205,"&gt;"&amp;0)&lt;5,IF(AND(COUNTIF(U$1237:U1807,1)&gt;7,MOD(1+IFERROR(MATCH($C1205,总览!$D$46:$D$345,1)+1,1),7)=0),$C$3,0),0)</f>
        <v>640.194193376234</v>
      </c>
      <c r="V1205" s="131" cm="1">
        <f ca="1" t="array" ref="V1205">IF(V1807=1,OFFSET($W$634,$B1205,V$631-1)/SUMPRODUCT(--($D$631:$V$631=V$631),--($D1807:$V1807=1)),0)+SUM(V1204)+IF(COUNTIF(V$1237:V1807,1)=1,5,0)+IF(COUNTIF(W1205:$W1205,"&gt;"&amp;0)&lt;5,IF(AND(COUNTIF(V$1237:V1807,1)&gt;7,MOD(1+IFERROR(MATCH($C1205,总览!$D$46:$D$345,1)+1,1),7)=0),$C$3,0),0)</f>
        <v>660.021193088667</v>
      </c>
      <c r="W1205" s="135" cm="1">
        <f ca="1" t="array" ref="W1205">SUMPRODUCT(TRANSPOSE($AA1205:$AG1205),OFFSET($L$9:$L$15,0,W$631-1))</f>
        <v>16.8502200646615</v>
      </c>
      <c r="X1205" s="135" cm="1">
        <f ca="1" t="array" ref="X1205">SUMPRODUCT(TRANSPOSE($AA1205:$AG1205),OFFSET($L$9:$L$15,0,X$631-1))</f>
        <v>20</v>
      </c>
      <c r="Y1205" s="135" cm="1">
        <f ca="1" t="array" ref="Y1205">SUMPRODUCT(TRANSPOSE($AA1205:$AG1205),OFFSET($L$9:$L$15,0,Y$631-1))</f>
        <v>10</v>
      </c>
      <c r="Z1205" s="135" cm="1">
        <f ca="1" t="array" ref="Z1205">SUMPRODUCT(TRANSPOSE($AA1205:$AG1205),OFFSET($L$9:$L$15,0,Z$631-1))</f>
        <v>3.14977993533847</v>
      </c>
      <c r="AA1205" s="136">
        <f ca="1" t="shared" ref="AA1205:AG1205" si="1397">AH1205-AH1204</f>
        <v>0</v>
      </c>
      <c r="AB1205" s="136">
        <f ca="1" t="shared" si="1397"/>
        <v>0</v>
      </c>
      <c r="AC1205" s="136">
        <f ca="1" t="shared" si="1397"/>
        <v>0</v>
      </c>
      <c r="AD1205" s="136">
        <f ca="1" t="shared" si="1397"/>
        <v>0</v>
      </c>
      <c r="AE1205" s="136">
        <f ca="1" t="shared" si="1397"/>
        <v>0</v>
      </c>
      <c r="AF1205" s="136">
        <f ca="1" t="shared" si="1397"/>
        <v>0</v>
      </c>
      <c r="AG1205" s="136">
        <f ca="1" t="shared" si="1397"/>
        <v>100</v>
      </c>
      <c r="AH1205" s="136">
        <f ca="1" t="shared" si="1281"/>
        <v>450</v>
      </c>
      <c r="AI1205" s="136">
        <f ca="1" t="shared" ref="AI1205:AN1205" si="1398">IF($C1205&gt;OFFSET($Q$8,MATCH(AI$634,$AH$634:$AN$634,0),0),OFFSET($P$8,MATCH(AI$634,$AH$634:$AN$634,0),0),MAX(0,$C1205-OFFSET($Q$8,RIGHT(AI$634,1)-1,0)))</f>
        <v>909</v>
      </c>
      <c r="AJ1205" s="136">
        <f ca="1" t="shared" si="1398"/>
        <v>1818</v>
      </c>
      <c r="AK1205" s="136">
        <f ca="1" t="shared" si="1398"/>
        <v>2727</v>
      </c>
      <c r="AL1205" s="136">
        <f ca="1" t="shared" si="1398"/>
        <v>3636</v>
      </c>
      <c r="AM1205" s="136">
        <f ca="1" t="shared" si="1398"/>
        <v>4545</v>
      </c>
      <c r="AN1205" s="136">
        <f ca="1" t="shared" si="1398"/>
        <v>43015</v>
      </c>
    </row>
    <row r="1206" s="106" customFormat="1" ht="16.5" spans="2:40">
      <c r="B1206" s="117">
        <v>572</v>
      </c>
      <c r="C1206" s="130">
        <f t="shared" si="1279"/>
        <v>57200</v>
      </c>
      <c r="D1206" s="131" cm="1">
        <f ca="1" t="array" ref="D1206">IF(D1808=1,OFFSET($W$634,$B1206,D$631-1)/SUMPRODUCT(--($D$631:$V$631=D$631),--($D1808:$V1808=1)),0)+SUM(D1205)+IF(COUNTIF(D$1237:D1808,1)=1,5,0)+IF(COUNTIF(E1206:$W1206,"&gt;"&amp;0)&lt;5,IF(AND(COUNTIF(D$1237:D1808,1)&gt;7,MOD(1+IFERROR(MATCH($C1206,总览!$D$46:$D$345,1)+1,1),7)=0),$C$3,0),0)</f>
        <v>3540.47880885965</v>
      </c>
      <c r="E1206" s="131" cm="1">
        <f ca="1" t="array" ref="E1206">IF(E1808=1,OFFSET($W$634,$B1206,E$631-1)/SUMPRODUCT(--($D$631:$V$631=E$631),--($D1808:$V1808=1)),0)+SUM(E1205)+IF(COUNTIF(E$1237:E1808,1)=1,5,0)+IF(COUNTIF(F1206:$W1206,"&gt;"&amp;0)&lt;5,IF(AND(COUNTIF(E$1237:E1808,1)&gt;7,MOD(1+IFERROR(MATCH($C1206,总览!$D$46:$D$345,1)+1,1),7)=0),$C$3,0),0)</f>
        <v>3540.47880885965</v>
      </c>
      <c r="F1206" s="131" cm="1">
        <f ca="1" t="array" ref="F1206">IF(F1808=1,OFFSET($W$634,$B1206,F$631-1)/SUMPRODUCT(--($D$631:$V$631=F$631),--($D1808:$V1808=1)),0)+SUM(F1205)+IF(COUNTIF(F$1237:F1808,1)=1,5,0)+IF(COUNTIF(G1206:$W1206,"&gt;"&amp;0)&lt;5,IF(AND(COUNTIF(F$1237:F1808,1)&gt;7,MOD(1+IFERROR(MATCH($C1206,总览!$D$46:$D$345,1)+1,1),7)=0),$C$3,0),0)</f>
        <v>3540.47880885965</v>
      </c>
      <c r="G1206" s="131" cm="1">
        <f ca="1" t="array" ref="G1206">IF(G1808=1,OFFSET($W$634,$B1206,G$631-1)/SUMPRODUCT(--($D$631:$V$631=G$631),--($D1808:$V1808=1)),0)+SUM(G1205)+IF(COUNTIF(G$1237:G1808,1)=1,5,0)+IF(COUNTIF(H1206:$W1206,"&gt;"&amp;0)&lt;5,IF(AND(COUNTIF(G$1237:G1808,1)&gt;7,MOD(1+IFERROR(MATCH($C1206,总览!$D$46:$D$345,1)+1,1),7)=0),$C$3,0),0)</f>
        <v>1846.06666666665</v>
      </c>
      <c r="H1206" s="131" cm="1">
        <f ca="1" t="array" ref="H1206">IF(H1808=1,OFFSET($W$634,$B1206,H$631-1)/SUMPRODUCT(--($D$631:$V$631=H$631),--($D1808:$V1808=1)),0)+SUM(H1205)+IF(COUNTIF(H$1237:H1808,1)=1,5,0)+IF(COUNTIF(I1206:$W1206,"&gt;"&amp;0)&lt;5,IF(AND(COUNTIF(H$1237:H1808,1)&gt;7,MOD(1+IFERROR(MATCH($C1206,总览!$D$46:$D$345,1)+1,1),7)=0),$C$3,0),0)</f>
        <v>1846.06666666665</v>
      </c>
      <c r="I1206" s="131" cm="1">
        <f ca="1" t="array" ref="I1206">IF(I1808=1,OFFSET($W$634,$B1206,I$631-1)/SUMPRODUCT(--($D$631:$V$631=I$631),--($D1808:$V1808=1)),0)+SUM(I1205)+IF(COUNTIF(I$1237:I1808,1)=1,5,0)+IF(COUNTIF(J1206:$W1206,"&gt;"&amp;0)&lt;5,IF(AND(COUNTIF(I$1237:I1808,1)&gt;7,MOD(1+IFERROR(MATCH($C1206,总览!$D$46:$D$345,1)+1,1),7)=0),$C$3,0),0)</f>
        <v>1846.06666666665</v>
      </c>
      <c r="J1206" s="131" cm="1">
        <f ca="1" t="array" ref="J1206">IF(J1808=1,OFFSET($W$634,$B1206,J$631-1)/SUMPRODUCT(--($D$631:$V$631=J$631),--($D1808:$V1808=1)),0)+SUM(J1205)+IF(COUNTIF(J$1237:J1808,1)=1,5,0)+IF(COUNTIF(K1206:$W1206,"&gt;"&amp;0)&lt;5,IF(AND(COUNTIF(J$1237:J1808,1)&gt;7,MOD(1+IFERROR(MATCH($C1206,总览!$D$46:$D$345,1)+1,1),7)=0),$C$3,0),0)</f>
        <v>1842.73333333332</v>
      </c>
      <c r="K1206" s="131" cm="1">
        <f ca="1" t="array" ref="K1206">IF(K1808=1,OFFSET($W$634,$B1206,K$631-1)/SUMPRODUCT(--($D$631:$V$631=K$631),--($D1808:$V1808=1)),0)+SUM(K1205)+IF(COUNTIF(K$1237:K1808,1)=1,5,0)+IF(COUNTIF(L1206:$W1206,"&gt;"&amp;0)&lt;5,IF(AND(COUNTIF(K$1237:K1808,1)&gt;7,MOD(1+IFERROR(MATCH($C1206,总览!$D$46:$D$345,1)+1,1),7)=0),$C$3,0),0)</f>
        <v>1840.23333333332</v>
      </c>
      <c r="L1206" s="131" cm="1">
        <f ca="1" t="array" ref="L1206">IF(L1808=1,OFFSET($W$634,$B1206,L$631-1)/SUMPRODUCT(--($D$631:$V$631=L$631),--($D1808:$V1808=1)),0)+SUM(L1205)+IF(COUNTIF(L$1237:L1808,1)=1,5,0)+IF(COUNTIF(M1206:$W1206,"&gt;"&amp;0)&lt;5,IF(AND(COUNTIF(L$1237:L1808,1)&gt;7,MOD(1+IFERROR(MATCH($C1206,总览!$D$46:$D$345,1)+1,1),7)=0),$C$3,0),0)</f>
        <v>1840.23333333332</v>
      </c>
      <c r="M1206" s="131" cm="1">
        <f ca="1" t="array" ref="M1206">IF(M1808=1,OFFSET($W$634,$B1206,M$631-1)/SUMPRODUCT(--($D$631:$V$631=M$631),--($D1808:$V1808=1)),0)+SUM(M1205)+IF(COUNTIF(M$1237:M1808,1)=1,5,0)+IF(COUNTIF(N1206:$W1206,"&gt;"&amp;0)&lt;5,IF(AND(COUNTIF(M$1237:M1808,1)&gt;7,MOD(1+IFERROR(MATCH($C1206,总览!$D$46:$D$345,1)+1,1),7)=0),$C$3,0),0)</f>
        <v>774.89553571429</v>
      </c>
      <c r="N1206" s="131" cm="1">
        <f ca="1" t="array" ref="N1206">IF(N1808=1,OFFSET($W$634,$B1206,N$631-1)/SUMPRODUCT(--($D$631:$V$631=N$631),--($D1808:$V1808=1)),0)+SUM(N1205)+IF(COUNTIF(N$1237:N1808,1)=1,5,0)+IF(COUNTIF(O1206:$W1206,"&gt;"&amp;0)&lt;5,IF(AND(COUNTIF(N$1237:N1808,1)&gt;7,MOD(1+IFERROR(MATCH($C1206,总览!$D$46:$D$345,1)+1,1),7)=0),$C$3,0),0)</f>
        <v>776.14553571429</v>
      </c>
      <c r="O1206" s="131" cm="1">
        <f ca="1" t="array" ref="O1206">IF(O1808=1,OFFSET($W$634,$B1206,O$631-1)/SUMPRODUCT(--($D$631:$V$631=O$631),--($D1808:$V1808=1)),0)+SUM(O1205)+IF(COUNTIF(O$1237:O1808,1)=1,5,0)+IF(COUNTIF(P1206:$W1206,"&gt;"&amp;0)&lt;5,IF(AND(COUNTIF(O$1237:O1808,1)&gt;7,MOD(1+IFERROR(MATCH($C1206,总览!$D$46:$D$345,1)+1,1),7)=0),$C$3,0),0)</f>
        <v>781.14553571429</v>
      </c>
      <c r="P1206" s="131" cm="1">
        <f ca="1" t="array" ref="P1206">IF(P1808=1,OFFSET($W$634,$B1206,P$631-1)/SUMPRODUCT(--($D$631:$V$631=P$631),--($D1808:$V1808=1)),0)+SUM(P1205)+IF(COUNTIF(P$1237:P1808,1)=1,5,0)+IF(COUNTIF(Q1206:$W1206,"&gt;"&amp;0)&lt;5,IF(AND(COUNTIF(P$1237:P1808,1)&gt;7,MOD(1+IFERROR(MATCH($C1206,总览!$D$46:$D$345,1)+1,1),7)=0),$C$3,0),0)</f>
        <v>770.26428571429</v>
      </c>
      <c r="Q1206" s="131" cm="1">
        <f ca="1" t="array" ref="Q1206">IF(Q1808=1,OFFSET($W$634,$B1206,Q$631-1)/SUMPRODUCT(--($D$631:$V$631=Q$631),--($D1808:$V1808=1)),0)+SUM(Q1205)+IF(COUNTIF(Q$1237:Q1808,1)=1,5,0)+IF(COUNTIF(R1206:$W1206,"&gt;"&amp;0)&lt;5,IF(AND(COUNTIF(Q$1237:Q1808,1)&gt;7,MOD(1+IFERROR(MATCH($C1206,总览!$D$46:$D$345,1)+1,1),7)=0),$C$3,0),0)</f>
        <v>783.64553571429</v>
      </c>
      <c r="R1206" s="131" cm="1">
        <f ca="1" t="array" ref="R1206">IF(R1808=1,OFFSET($W$634,$B1206,R$631-1)/SUMPRODUCT(--($D$631:$V$631=R$631),--($D1808:$V1808=1)),0)+SUM(R1205)+IF(COUNTIF(R$1237:R1808,1)=1,5,0)+IF(COUNTIF(S1206:$W1206,"&gt;"&amp;0)&lt;5,IF(AND(COUNTIF(R$1237:R1808,1)&gt;7,MOD(1+IFERROR(MATCH($C1206,总览!$D$46:$D$345,1)+1,1),7)=0),$C$3,0),0)</f>
        <v>775.26428571429</v>
      </c>
      <c r="S1206" s="131" cm="1">
        <f ca="1" t="array" ref="S1206">IF(S1808=1,OFFSET($W$634,$B1206,S$631-1)/SUMPRODUCT(--($D$631:$V$631=S$631),--($D1808:$V1808=1)),0)+SUM(S1205)+IF(COUNTIF(S$1237:S1808,1)=1,5,0)+IF(COUNTIF(T1206:$W1206,"&gt;"&amp;0)&lt;5,IF(AND(COUNTIF(S$1237:S1808,1)&gt;7,MOD(1+IFERROR(MATCH($C1206,总览!$D$46:$D$345,1)+1,1),7)=0),$C$3,0),0)</f>
        <v>867.764285714292</v>
      </c>
      <c r="T1206" s="131" cm="1">
        <f ca="1" t="array" ref="T1206">IF(T1808=1,OFFSET($W$634,$B1206,T$631-1)/SUMPRODUCT(--($D$631:$V$631=T$631),--($D1808:$V1808=1)),0)+SUM(T1205)+IF(COUNTIF(T$1237:T1808,1)=1,5,0)+IF(COUNTIF(U1206:$W1206,"&gt;"&amp;0)&lt;5,IF(AND(COUNTIF(T$1237:T1808,1)&gt;7,MOD(1+IFERROR(MATCH($C1206,总览!$D$46:$D$345,1)+1,1),7)=0),$C$3,0),0)</f>
        <v>635.723333666047</v>
      </c>
      <c r="U1206" s="131" cm="1">
        <f ca="1" t="array" ref="U1206">IF(U1808=1,OFFSET($W$634,$B1206,U$631-1)/SUMPRODUCT(--($D$631:$V$631=U$631),--($D1808:$V1808=1)),0)+SUM(U1205)+IF(COUNTIF(U$1237:U1808,1)=1,5,0)+IF(COUNTIF(V1206:$W1206,"&gt;"&amp;0)&lt;5,IF(AND(COUNTIF(U$1237:U1808,1)&gt;7,MOD(1+IFERROR(MATCH($C1206,总览!$D$46:$D$345,1)+1,1),7)=0),$C$3,0),0)</f>
        <v>641.244120021347</v>
      </c>
      <c r="V1206" s="131" cm="1">
        <f ca="1" t="array" ref="V1206">IF(V1808=1,OFFSET($W$634,$B1206,V$631-1)/SUMPRODUCT(--($D$631:$V$631=V$631),--($D1808:$V1808=1)),0)+SUM(V1205)+IF(COUNTIF(V$1237:V1808,1)=1,5,0)+IF(COUNTIF(W1206:$W1206,"&gt;"&amp;0)&lt;5,IF(AND(COUNTIF(V$1237:V1808,1)&gt;7,MOD(1+IFERROR(MATCH($C1206,总览!$D$46:$D$345,1)+1,1),7)=0),$C$3,0),0)</f>
        <v>661.07111973378</v>
      </c>
      <c r="W1206" s="135" cm="1">
        <f ca="1" t="array" ref="W1206">SUMPRODUCT(TRANSPOSE($AA1206:$AG1206),OFFSET($L$9:$L$15,0,W$631-1))</f>
        <v>16.8502200646615</v>
      </c>
      <c r="X1206" s="135" cm="1">
        <f ca="1" t="array" ref="X1206">SUMPRODUCT(TRANSPOSE($AA1206:$AG1206),OFFSET($L$9:$L$15,0,X$631-1))</f>
        <v>20</v>
      </c>
      <c r="Y1206" s="135" cm="1">
        <f ca="1" t="array" ref="Y1206">SUMPRODUCT(TRANSPOSE($AA1206:$AG1206),OFFSET($L$9:$L$15,0,Y$631-1))</f>
        <v>10</v>
      </c>
      <c r="Z1206" s="135" cm="1">
        <f ca="1" t="array" ref="Z1206">SUMPRODUCT(TRANSPOSE($AA1206:$AG1206),OFFSET($L$9:$L$15,0,Z$631-1))</f>
        <v>3.14977993533847</v>
      </c>
      <c r="AA1206" s="136">
        <f ca="1" t="shared" ref="AA1206:AG1206" si="1399">AH1206-AH1205</f>
        <v>0</v>
      </c>
      <c r="AB1206" s="136">
        <f ca="1" t="shared" si="1399"/>
        <v>0</v>
      </c>
      <c r="AC1206" s="136">
        <f ca="1" t="shared" si="1399"/>
        <v>0</v>
      </c>
      <c r="AD1206" s="136">
        <f ca="1" t="shared" si="1399"/>
        <v>0</v>
      </c>
      <c r="AE1206" s="136">
        <f ca="1" t="shared" si="1399"/>
        <v>0</v>
      </c>
      <c r="AF1206" s="136">
        <f ca="1" t="shared" si="1399"/>
        <v>0</v>
      </c>
      <c r="AG1206" s="136">
        <f ca="1" t="shared" si="1399"/>
        <v>100</v>
      </c>
      <c r="AH1206" s="136">
        <f ca="1" t="shared" si="1281"/>
        <v>450</v>
      </c>
      <c r="AI1206" s="136">
        <f ca="1" t="shared" ref="AI1206:AN1206" si="1400">IF($C1206&gt;OFFSET($Q$8,MATCH(AI$634,$AH$634:$AN$634,0),0),OFFSET($P$8,MATCH(AI$634,$AH$634:$AN$634,0),0),MAX(0,$C1206-OFFSET($Q$8,RIGHT(AI$634,1)-1,0)))</f>
        <v>909</v>
      </c>
      <c r="AJ1206" s="136">
        <f ca="1" t="shared" si="1400"/>
        <v>1818</v>
      </c>
      <c r="AK1206" s="136">
        <f ca="1" t="shared" si="1400"/>
        <v>2727</v>
      </c>
      <c r="AL1206" s="136">
        <f ca="1" t="shared" si="1400"/>
        <v>3636</v>
      </c>
      <c r="AM1206" s="136">
        <f ca="1" t="shared" si="1400"/>
        <v>4545</v>
      </c>
      <c r="AN1206" s="136">
        <f ca="1" t="shared" si="1400"/>
        <v>43115</v>
      </c>
    </row>
    <row r="1207" s="106" customFormat="1" ht="16.5" spans="2:40">
      <c r="B1207" s="117">
        <v>573</v>
      </c>
      <c r="C1207" s="130">
        <f t="shared" si="1279"/>
        <v>57300</v>
      </c>
      <c r="D1207" s="131" cm="1">
        <f ca="1" t="array" ref="D1207">IF(D1809=1,OFFSET($W$634,$B1207,D$631-1)/SUMPRODUCT(--($D$631:$V$631=D$631),--($D1809:$V1809=1)),0)+SUM(D1206)+IF(COUNTIF(D$1237:D1809,1)=1,5,0)+IF(COUNTIF(E1207:$W1207,"&gt;"&amp;0)&lt;5,IF(AND(COUNTIF(D$1237:D1809,1)&gt;7,MOD(1+IFERROR(MATCH($C1207,总览!$D$46:$D$345,1)+1,1),7)=0),$C$3,0),0)</f>
        <v>3546.09554888121</v>
      </c>
      <c r="E1207" s="131" cm="1">
        <f ca="1" t="array" ref="E1207">IF(E1809=1,OFFSET($W$634,$B1207,E$631-1)/SUMPRODUCT(--($D$631:$V$631=E$631),--($D1809:$V1809=1)),0)+SUM(E1206)+IF(COUNTIF(E$1237:E1809,1)=1,5,0)+IF(COUNTIF(F1207:$W1207,"&gt;"&amp;0)&lt;5,IF(AND(COUNTIF(E$1237:E1809,1)&gt;7,MOD(1+IFERROR(MATCH($C1207,总览!$D$46:$D$345,1)+1,1),7)=0),$C$3,0),0)</f>
        <v>3546.09554888121</v>
      </c>
      <c r="F1207" s="131" cm="1">
        <f ca="1" t="array" ref="F1207">IF(F1809=1,OFFSET($W$634,$B1207,F$631-1)/SUMPRODUCT(--($D$631:$V$631=F$631),--($D1809:$V1809=1)),0)+SUM(F1206)+IF(COUNTIF(F$1237:F1809,1)=1,5,0)+IF(COUNTIF(G1207:$W1207,"&gt;"&amp;0)&lt;5,IF(AND(COUNTIF(F$1237:F1809,1)&gt;7,MOD(1+IFERROR(MATCH($C1207,总览!$D$46:$D$345,1)+1,1),7)=0),$C$3,0),0)</f>
        <v>3546.09554888121</v>
      </c>
      <c r="G1207" s="131" cm="1">
        <f ca="1" t="array" ref="G1207">IF(G1809=1,OFFSET($W$634,$B1207,G$631-1)/SUMPRODUCT(--($D$631:$V$631=G$631),--($D1809:$V1809=1)),0)+SUM(G1206)+IF(COUNTIF(G$1237:G1809,1)=1,5,0)+IF(COUNTIF(H1207:$W1207,"&gt;"&amp;0)&lt;5,IF(AND(COUNTIF(G$1237:G1809,1)&gt;7,MOD(1+IFERROR(MATCH($C1207,总览!$D$46:$D$345,1)+1,1),7)=0),$C$3,0),0)</f>
        <v>1849.39999999999</v>
      </c>
      <c r="H1207" s="131" cm="1">
        <f ca="1" t="array" ref="H1207">IF(H1809=1,OFFSET($W$634,$B1207,H$631-1)/SUMPRODUCT(--($D$631:$V$631=H$631),--($D1809:$V1809=1)),0)+SUM(H1206)+IF(COUNTIF(H$1237:H1809,1)=1,5,0)+IF(COUNTIF(I1207:$W1207,"&gt;"&amp;0)&lt;5,IF(AND(COUNTIF(H$1237:H1809,1)&gt;7,MOD(1+IFERROR(MATCH($C1207,总览!$D$46:$D$345,1)+1,1),7)=0),$C$3,0),0)</f>
        <v>1849.39999999999</v>
      </c>
      <c r="I1207" s="131" cm="1">
        <f ca="1" t="array" ref="I1207">IF(I1809=1,OFFSET($W$634,$B1207,I$631-1)/SUMPRODUCT(--($D$631:$V$631=I$631),--($D1809:$V1809=1)),0)+SUM(I1206)+IF(COUNTIF(I$1237:I1809,1)=1,5,0)+IF(COUNTIF(J1207:$W1207,"&gt;"&amp;0)&lt;5,IF(AND(COUNTIF(I$1237:I1809,1)&gt;7,MOD(1+IFERROR(MATCH($C1207,总览!$D$46:$D$345,1)+1,1),7)=0),$C$3,0),0)</f>
        <v>1849.39999999999</v>
      </c>
      <c r="J1207" s="131" cm="1">
        <f ca="1" t="array" ref="J1207">IF(J1809=1,OFFSET($W$634,$B1207,J$631-1)/SUMPRODUCT(--($D$631:$V$631=J$631),--($D1809:$V1809=1)),0)+SUM(J1206)+IF(COUNTIF(J$1237:J1809,1)=1,5,0)+IF(COUNTIF(K1207:$W1207,"&gt;"&amp;0)&lt;5,IF(AND(COUNTIF(J$1237:J1809,1)&gt;7,MOD(1+IFERROR(MATCH($C1207,总览!$D$46:$D$345,1)+1,1),7)=0),$C$3,0),0)</f>
        <v>1846.06666666665</v>
      </c>
      <c r="K1207" s="131" cm="1">
        <f ca="1" t="array" ref="K1207">IF(K1809=1,OFFSET($W$634,$B1207,K$631-1)/SUMPRODUCT(--($D$631:$V$631=K$631),--($D1809:$V1809=1)),0)+SUM(K1206)+IF(COUNTIF(K$1237:K1809,1)=1,5,0)+IF(COUNTIF(L1207:$W1207,"&gt;"&amp;0)&lt;5,IF(AND(COUNTIF(K$1237:K1809,1)&gt;7,MOD(1+IFERROR(MATCH($C1207,总览!$D$46:$D$345,1)+1,1),7)=0),$C$3,0),0)</f>
        <v>1843.56666666665</v>
      </c>
      <c r="L1207" s="131" cm="1">
        <f ca="1" t="array" ref="L1207">IF(L1809=1,OFFSET($W$634,$B1207,L$631-1)/SUMPRODUCT(--($D$631:$V$631=L$631),--($D1809:$V1809=1)),0)+SUM(L1206)+IF(COUNTIF(L$1237:L1809,1)=1,5,0)+IF(COUNTIF(M1207:$W1207,"&gt;"&amp;0)&lt;5,IF(AND(COUNTIF(L$1237:L1809,1)&gt;7,MOD(1+IFERROR(MATCH($C1207,总览!$D$46:$D$345,1)+1,1),7)=0),$C$3,0),0)</f>
        <v>1843.56666666665</v>
      </c>
      <c r="M1207" s="131" cm="1">
        <f ca="1" t="array" ref="M1207">IF(M1809=1,OFFSET($W$634,$B1207,M$631-1)/SUMPRODUCT(--($D$631:$V$631=M$631),--($D1809:$V1809=1)),0)+SUM(M1206)+IF(COUNTIF(M$1237:M1809,1)=1,5,0)+IF(COUNTIF(N1207:$W1207,"&gt;"&amp;0)&lt;5,IF(AND(COUNTIF(M$1237:M1809,1)&gt;7,MOD(1+IFERROR(MATCH($C1207,总览!$D$46:$D$345,1)+1,1),7)=0),$C$3,0),0)</f>
        <v>776.324107142862</v>
      </c>
      <c r="N1207" s="131" cm="1">
        <f ca="1" t="array" ref="N1207">IF(N1809=1,OFFSET($W$634,$B1207,N$631-1)/SUMPRODUCT(--($D$631:$V$631=N$631),--($D1809:$V1809=1)),0)+SUM(N1206)+IF(COUNTIF(N$1237:N1809,1)=1,5,0)+IF(COUNTIF(O1207:$W1207,"&gt;"&amp;0)&lt;5,IF(AND(COUNTIF(N$1237:N1809,1)&gt;7,MOD(1+IFERROR(MATCH($C1207,总览!$D$46:$D$345,1)+1,1),7)=0),$C$3,0),0)</f>
        <v>777.574107142862</v>
      </c>
      <c r="O1207" s="131" cm="1">
        <f ca="1" t="array" ref="O1207">IF(O1809=1,OFFSET($W$634,$B1207,O$631-1)/SUMPRODUCT(--($D$631:$V$631=O$631),--($D1809:$V1809=1)),0)+SUM(O1206)+IF(COUNTIF(O$1237:O1809,1)=1,5,0)+IF(COUNTIF(P1207:$W1207,"&gt;"&amp;0)&lt;5,IF(AND(COUNTIF(O$1237:O1809,1)&gt;7,MOD(1+IFERROR(MATCH($C1207,总览!$D$46:$D$345,1)+1,1),7)=0),$C$3,0),0)</f>
        <v>782.574107142862</v>
      </c>
      <c r="P1207" s="131" cm="1">
        <f ca="1" t="array" ref="P1207">IF(P1809=1,OFFSET($W$634,$B1207,P$631-1)/SUMPRODUCT(--($D$631:$V$631=P$631),--($D1809:$V1809=1)),0)+SUM(P1206)+IF(COUNTIF(P$1237:P1809,1)=1,5,0)+IF(COUNTIF(Q1207:$W1207,"&gt;"&amp;0)&lt;5,IF(AND(COUNTIF(P$1237:P1809,1)&gt;7,MOD(1+IFERROR(MATCH($C1207,总览!$D$46:$D$345,1)+1,1),7)=0),$C$3,0),0)</f>
        <v>771.692857142862</v>
      </c>
      <c r="Q1207" s="131" cm="1">
        <f ca="1" t="array" ref="Q1207">IF(Q1809=1,OFFSET($W$634,$B1207,Q$631-1)/SUMPRODUCT(--($D$631:$V$631=Q$631),--($D1809:$V1809=1)),0)+SUM(Q1206)+IF(COUNTIF(Q$1237:Q1809,1)=1,5,0)+IF(COUNTIF(R1207:$W1207,"&gt;"&amp;0)&lt;5,IF(AND(COUNTIF(Q$1237:Q1809,1)&gt;7,MOD(1+IFERROR(MATCH($C1207,总览!$D$46:$D$345,1)+1,1),7)=0),$C$3,0),0)</f>
        <v>785.074107142862</v>
      </c>
      <c r="R1207" s="131" cm="1">
        <f ca="1" t="array" ref="R1207">IF(R1809=1,OFFSET($W$634,$B1207,R$631-1)/SUMPRODUCT(--($D$631:$V$631=R$631),--($D1809:$V1809=1)),0)+SUM(R1206)+IF(COUNTIF(R$1237:R1809,1)=1,5,0)+IF(COUNTIF(S1207:$W1207,"&gt;"&amp;0)&lt;5,IF(AND(COUNTIF(R$1237:R1809,1)&gt;7,MOD(1+IFERROR(MATCH($C1207,总览!$D$46:$D$345,1)+1,1),7)=0),$C$3,0),0)</f>
        <v>776.692857142862</v>
      </c>
      <c r="S1207" s="131" cm="1">
        <f ca="1" t="array" ref="S1207">IF(S1809=1,OFFSET($W$634,$B1207,S$631-1)/SUMPRODUCT(--($D$631:$V$631=S$631),--($D1809:$V1809=1)),0)+SUM(S1206)+IF(COUNTIF(S$1237:S1809,1)=1,5,0)+IF(COUNTIF(T1207:$W1207,"&gt;"&amp;0)&lt;5,IF(AND(COUNTIF(S$1237:S1809,1)&gt;7,MOD(1+IFERROR(MATCH($C1207,总览!$D$46:$D$345,1)+1,1),7)=0),$C$3,0),0)</f>
        <v>869.192857142863</v>
      </c>
      <c r="T1207" s="131" cm="1">
        <f ca="1" t="array" ref="T1207">IF(T1809=1,OFFSET($W$634,$B1207,T$631-1)/SUMPRODUCT(--($D$631:$V$631=T$631),--($D1809:$V1809=1)),0)+SUM(T1206)+IF(COUNTIF(T$1237:T1809,1)=1,5,0)+IF(COUNTIF(U1207:$W1207,"&gt;"&amp;0)&lt;5,IF(AND(COUNTIF(T$1237:T1809,1)&gt;7,MOD(1+IFERROR(MATCH($C1207,总览!$D$46:$D$345,1)+1,1),7)=0),$C$3,0),0)</f>
        <v>636.77326031116</v>
      </c>
      <c r="U1207" s="131" cm="1">
        <f ca="1" t="array" ref="U1207">IF(U1809=1,OFFSET($W$634,$B1207,U$631-1)/SUMPRODUCT(--($D$631:$V$631=U$631),--($D1809:$V1809=1)),0)+SUM(U1206)+IF(COUNTIF(U$1237:U1809,1)=1,5,0)+IF(COUNTIF(V1207:$W1207,"&gt;"&amp;0)&lt;5,IF(AND(COUNTIF(U$1237:U1809,1)&gt;7,MOD(1+IFERROR(MATCH($C1207,总览!$D$46:$D$345,1)+1,1),7)=0),$C$3,0),0)</f>
        <v>642.29404666646</v>
      </c>
      <c r="V1207" s="131" cm="1">
        <f ca="1" t="array" ref="V1207">IF(V1809=1,OFFSET($W$634,$B1207,V$631-1)/SUMPRODUCT(--($D$631:$V$631=V$631),--($D1809:$V1809=1)),0)+SUM(V1206)+IF(COUNTIF(V$1237:V1809,1)=1,5,0)+IF(COUNTIF(W1207:$W1207,"&gt;"&amp;0)&lt;5,IF(AND(COUNTIF(V$1237:V1809,1)&gt;7,MOD(1+IFERROR(MATCH($C1207,总览!$D$46:$D$345,1)+1,1),7)=0),$C$3,0),0)</f>
        <v>662.121046378893</v>
      </c>
      <c r="W1207" s="135" cm="1">
        <f ca="1" t="array" ref="W1207">SUMPRODUCT(TRANSPOSE($AA1207:$AG1207),OFFSET($L$9:$L$15,0,W$631-1))</f>
        <v>16.8502200646615</v>
      </c>
      <c r="X1207" s="135" cm="1">
        <f ca="1" t="array" ref="X1207">SUMPRODUCT(TRANSPOSE($AA1207:$AG1207),OFFSET($L$9:$L$15,0,X$631-1))</f>
        <v>20</v>
      </c>
      <c r="Y1207" s="135" cm="1">
        <f ca="1" t="array" ref="Y1207">SUMPRODUCT(TRANSPOSE($AA1207:$AG1207),OFFSET($L$9:$L$15,0,Y$631-1))</f>
        <v>10</v>
      </c>
      <c r="Z1207" s="135" cm="1">
        <f ca="1" t="array" ref="Z1207">SUMPRODUCT(TRANSPOSE($AA1207:$AG1207),OFFSET($L$9:$L$15,0,Z$631-1))</f>
        <v>3.14977993533847</v>
      </c>
      <c r="AA1207" s="136">
        <f ca="1" t="shared" ref="AA1207:AG1207" si="1401">AH1207-AH1206</f>
        <v>0</v>
      </c>
      <c r="AB1207" s="136">
        <f ca="1" t="shared" si="1401"/>
        <v>0</v>
      </c>
      <c r="AC1207" s="136">
        <f ca="1" t="shared" si="1401"/>
        <v>0</v>
      </c>
      <c r="AD1207" s="136">
        <f ca="1" t="shared" si="1401"/>
        <v>0</v>
      </c>
      <c r="AE1207" s="136">
        <f ca="1" t="shared" si="1401"/>
        <v>0</v>
      </c>
      <c r="AF1207" s="136">
        <f ca="1" t="shared" si="1401"/>
        <v>0</v>
      </c>
      <c r="AG1207" s="136">
        <f ca="1" t="shared" si="1401"/>
        <v>100</v>
      </c>
      <c r="AH1207" s="136">
        <f ca="1" t="shared" si="1281"/>
        <v>450</v>
      </c>
      <c r="AI1207" s="136">
        <f ca="1" t="shared" ref="AI1207:AN1207" si="1402">IF($C1207&gt;OFFSET($Q$8,MATCH(AI$634,$AH$634:$AN$634,0),0),OFFSET($P$8,MATCH(AI$634,$AH$634:$AN$634,0),0),MAX(0,$C1207-OFFSET($Q$8,RIGHT(AI$634,1)-1,0)))</f>
        <v>909</v>
      </c>
      <c r="AJ1207" s="136">
        <f ca="1" t="shared" si="1402"/>
        <v>1818</v>
      </c>
      <c r="AK1207" s="136">
        <f ca="1" t="shared" si="1402"/>
        <v>2727</v>
      </c>
      <c r="AL1207" s="136">
        <f ca="1" t="shared" si="1402"/>
        <v>3636</v>
      </c>
      <c r="AM1207" s="136">
        <f ca="1" t="shared" si="1402"/>
        <v>4545</v>
      </c>
      <c r="AN1207" s="136">
        <f ca="1" t="shared" si="1402"/>
        <v>43215</v>
      </c>
    </row>
    <row r="1208" s="106" customFormat="1" ht="16.5" spans="2:40">
      <c r="B1208" s="117">
        <v>574</v>
      </c>
      <c r="C1208" s="130">
        <f t="shared" si="1279"/>
        <v>57400</v>
      </c>
      <c r="D1208" s="131" cm="1">
        <f ca="1" t="array" ref="D1208">IF(D1810=1,OFFSET($W$634,$B1208,D$631-1)/SUMPRODUCT(--($D$631:$V$631=D$631),--($D1810:$V1810=1)),0)+SUM(D1207)+IF(COUNTIF(D$1237:D1810,1)=1,5,0)+IF(COUNTIF(E1208:$W1208,"&gt;"&amp;0)&lt;5,IF(AND(COUNTIF(D$1237:D1810,1)&gt;7,MOD(1+IFERROR(MATCH($C1208,总览!$D$46:$D$345,1)+1,1),7)=0),$C$3,0),0)</f>
        <v>3551.71228890276</v>
      </c>
      <c r="E1208" s="131" cm="1">
        <f ca="1" t="array" ref="E1208">IF(E1810=1,OFFSET($W$634,$B1208,E$631-1)/SUMPRODUCT(--($D$631:$V$631=E$631),--($D1810:$V1810=1)),0)+SUM(E1207)+IF(COUNTIF(E$1237:E1810,1)=1,5,0)+IF(COUNTIF(F1208:$W1208,"&gt;"&amp;0)&lt;5,IF(AND(COUNTIF(E$1237:E1810,1)&gt;7,MOD(1+IFERROR(MATCH($C1208,总览!$D$46:$D$345,1)+1,1),7)=0),$C$3,0),0)</f>
        <v>3551.71228890276</v>
      </c>
      <c r="F1208" s="131" cm="1">
        <f ca="1" t="array" ref="F1208">IF(F1810=1,OFFSET($W$634,$B1208,F$631-1)/SUMPRODUCT(--($D$631:$V$631=F$631),--($D1810:$V1810=1)),0)+SUM(F1207)+IF(COUNTIF(F$1237:F1810,1)=1,5,0)+IF(COUNTIF(G1208:$W1208,"&gt;"&amp;0)&lt;5,IF(AND(COUNTIF(F$1237:F1810,1)&gt;7,MOD(1+IFERROR(MATCH($C1208,总览!$D$46:$D$345,1)+1,1),7)=0),$C$3,0),0)</f>
        <v>3551.71228890276</v>
      </c>
      <c r="G1208" s="131" cm="1">
        <f ca="1" t="array" ref="G1208">IF(G1810=1,OFFSET($W$634,$B1208,G$631-1)/SUMPRODUCT(--($D$631:$V$631=G$631),--($D1810:$V1810=1)),0)+SUM(G1207)+IF(COUNTIF(G$1237:G1810,1)=1,5,0)+IF(COUNTIF(H1208:$W1208,"&gt;"&amp;0)&lt;5,IF(AND(COUNTIF(G$1237:G1810,1)&gt;7,MOD(1+IFERROR(MATCH($C1208,总览!$D$46:$D$345,1)+1,1),7)=0),$C$3,0),0)</f>
        <v>1852.73333333332</v>
      </c>
      <c r="H1208" s="131" cm="1">
        <f ca="1" t="array" ref="H1208">IF(H1810=1,OFFSET($W$634,$B1208,H$631-1)/SUMPRODUCT(--($D$631:$V$631=H$631),--($D1810:$V1810=1)),0)+SUM(H1207)+IF(COUNTIF(H$1237:H1810,1)=1,5,0)+IF(COUNTIF(I1208:$W1208,"&gt;"&amp;0)&lt;5,IF(AND(COUNTIF(H$1237:H1810,1)&gt;7,MOD(1+IFERROR(MATCH($C1208,总览!$D$46:$D$345,1)+1,1),7)=0),$C$3,0),0)</f>
        <v>1852.73333333332</v>
      </c>
      <c r="I1208" s="131" cm="1">
        <f ca="1" t="array" ref="I1208">IF(I1810=1,OFFSET($W$634,$B1208,I$631-1)/SUMPRODUCT(--($D$631:$V$631=I$631),--($D1810:$V1810=1)),0)+SUM(I1207)+IF(COUNTIF(I$1237:I1810,1)=1,5,0)+IF(COUNTIF(J1208:$W1208,"&gt;"&amp;0)&lt;5,IF(AND(COUNTIF(I$1237:I1810,1)&gt;7,MOD(1+IFERROR(MATCH($C1208,总览!$D$46:$D$345,1)+1,1),7)=0),$C$3,0),0)</f>
        <v>1852.73333333332</v>
      </c>
      <c r="J1208" s="131" cm="1">
        <f ca="1" t="array" ref="J1208">IF(J1810=1,OFFSET($W$634,$B1208,J$631-1)/SUMPRODUCT(--($D$631:$V$631=J$631),--($D1810:$V1810=1)),0)+SUM(J1207)+IF(COUNTIF(J$1237:J1810,1)=1,5,0)+IF(COUNTIF(K1208:$W1208,"&gt;"&amp;0)&lt;5,IF(AND(COUNTIF(J$1237:J1810,1)&gt;7,MOD(1+IFERROR(MATCH($C1208,总览!$D$46:$D$345,1)+1,1),7)=0),$C$3,0),0)</f>
        <v>1849.39999999999</v>
      </c>
      <c r="K1208" s="131" cm="1">
        <f ca="1" t="array" ref="K1208">IF(K1810=1,OFFSET($W$634,$B1208,K$631-1)/SUMPRODUCT(--($D$631:$V$631=K$631),--($D1810:$V1810=1)),0)+SUM(K1207)+IF(COUNTIF(K$1237:K1810,1)=1,5,0)+IF(COUNTIF(L1208:$W1208,"&gt;"&amp;0)&lt;5,IF(AND(COUNTIF(K$1237:K1810,1)&gt;7,MOD(1+IFERROR(MATCH($C1208,总览!$D$46:$D$345,1)+1,1),7)=0),$C$3,0),0)</f>
        <v>1846.89999999999</v>
      </c>
      <c r="L1208" s="131" cm="1">
        <f ca="1" t="array" ref="L1208">IF(L1810=1,OFFSET($W$634,$B1208,L$631-1)/SUMPRODUCT(--($D$631:$V$631=L$631),--($D1810:$V1810=1)),0)+SUM(L1207)+IF(COUNTIF(L$1237:L1810,1)=1,5,0)+IF(COUNTIF(M1208:$W1208,"&gt;"&amp;0)&lt;5,IF(AND(COUNTIF(L$1237:L1810,1)&gt;7,MOD(1+IFERROR(MATCH($C1208,总览!$D$46:$D$345,1)+1,1),7)=0),$C$3,0),0)</f>
        <v>1846.89999999999</v>
      </c>
      <c r="M1208" s="131" cm="1">
        <f ca="1" t="array" ref="M1208">IF(M1810=1,OFFSET($W$634,$B1208,M$631-1)/SUMPRODUCT(--($D$631:$V$631=M$631),--($D1810:$V1810=1)),0)+SUM(M1207)+IF(COUNTIF(M$1237:M1810,1)=1,5,0)+IF(COUNTIF(N1208:$W1208,"&gt;"&amp;0)&lt;5,IF(AND(COUNTIF(M$1237:M1810,1)&gt;7,MOD(1+IFERROR(MATCH($C1208,总览!$D$46:$D$345,1)+1,1),7)=0),$C$3,0),0)</f>
        <v>777.752678571433</v>
      </c>
      <c r="N1208" s="131" cm="1">
        <f ca="1" t="array" ref="N1208">IF(N1810=1,OFFSET($W$634,$B1208,N$631-1)/SUMPRODUCT(--($D$631:$V$631=N$631),--($D1810:$V1810=1)),0)+SUM(N1207)+IF(COUNTIF(N$1237:N1810,1)=1,5,0)+IF(COUNTIF(O1208:$W1208,"&gt;"&amp;0)&lt;5,IF(AND(COUNTIF(N$1237:N1810,1)&gt;7,MOD(1+IFERROR(MATCH($C1208,总览!$D$46:$D$345,1)+1,1),7)=0),$C$3,0),0)</f>
        <v>779.002678571433</v>
      </c>
      <c r="O1208" s="131" cm="1">
        <f ca="1" t="array" ref="O1208">IF(O1810=1,OFFSET($W$634,$B1208,O$631-1)/SUMPRODUCT(--($D$631:$V$631=O$631),--($D1810:$V1810=1)),0)+SUM(O1207)+IF(COUNTIF(O$1237:O1810,1)=1,5,0)+IF(COUNTIF(P1208:$W1208,"&gt;"&amp;0)&lt;5,IF(AND(COUNTIF(O$1237:O1810,1)&gt;7,MOD(1+IFERROR(MATCH($C1208,总览!$D$46:$D$345,1)+1,1),7)=0),$C$3,0),0)</f>
        <v>784.002678571433</v>
      </c>
      <c r="P1208" s="131" cm="1">
        <f ca="1" t="array" ref="P1208">IF(P1810=1,OFFSET($W$634,$B1208,P$631-1)/SUMPRODUCT(--($D$631:$V$631=P$631),--($D1810:$V1810=1)),0)+SUM(P1207)+IF(COUNTIF(P$1237:P1810,1)=1,5,0)+IF(COUNTIF(Q1208:$W1208,"&gt;"&amp;0)&lt;5,IF(AND(COUNTIF(P$1237:P1810,1)&gt;7,MOD(1+IFERROR(MATCH($C1208,总览!$D$46:$D$345,1)+1,1),7)=0),$C$3,0),0)</f>
        <v>773.121428571433</v>
      </c>
      <c r="Q1208" s="131" cm="1">
        <f ca="1" t="array" ref="Q1208">IF(Q1810=1,OFFSET($W$634,$B1208,Q$631-1)/SUMPRODUCT(--($D$631:$V$631=Q$631),--($D1810:$V1810=1)),0)+SUM(Q1207)+IF(COUNTIF(Q$1237:Q1810,1)=1,5,0)+IF(COUNTIF(R1208:$W1208,"&gt;"&amp;0)&lt;5,IF(AND(COUNTIF(Q$1237:Q1810,1)&gt;7,MOD(1+IFERROR(MATCH($C1208,总览!$D$46:$D$345,1)+1,1),7)=0),$C$3,0),0)</f>
        <v>786.502678571433</v>
      </c>
      <c r="R1208" s="131" cm="1">
        <f ca="1" t="array" ref="R1208">IF(R1810=1,OFFSET($W$634,$B1208,R$631-1)/SUMPRODUCT(--($D$631:$V$631=R$631),--($D1810:$V1810=1)),0)+SUM(R1207)+IF(COUNTIF(R$1237:R1810,1)=1,5,0)+IF(COUNTIF(S1208:$W1208,"&gt;"&amp;0)&lt;5,IF(AND(COUNTIF(R$1237:R1810,1)&gt;7,MOD(1+IFERROR(MATCH($C1208,总览!$D$46:$D$345,1)+1,1),7)=0),$C$3,0),0)</f>
        <v>778.121428571433</v>
      </c>
      <c r="S1208" s="131" cm="1">
        <f ca="1" t="array" ref="S1208">IF(S1810=1,OFFSET($W$634,$B1208,S$631-1)/SUMPRODUCT(--($D$631:$V$631=S$631),--($D1810:$V1810=1)),0)+SUM(S1207)+IF(COUNTIF(S$1237:S1810,1)=1,5,0)+IF(COUNTIF(T1208:$W1208,"&gt;"&amp;0)&lt;5,IF(AND(COUNTIF(S$1237:S1810,1)&gt;7,MOD(1+IFERROR(MATCH($C1208,总览!$D$46:$D$345,1)+1,1),7)=0),$C$3,0),0)</f>
        <v>870.621428571434</v>
      </c>
      <c r="T1208" s="131" cm="1">
        <f ca="1" t="array" ref="T1208">IF(T1810=1,OFFSET($W$634,$B1208,T$631-1)/SUMPRODUCT(--($D$631:$V$631=T$631),--($D1810:$V1810=1)),0)+SUM(T1207)+IF(COUNTIF(T$1237:T1810,1)=1,5,0)+IF(COUNTIF(U1208:$W1208,"&gt;"&amp;0)&lt;5,IF(AND(COUNTIF(T$1237:T1810,1)&gt;7,MOD(1+IFERROR(MATCH($C1208,总览!$D$46:$D$345,1)+1,1),7)=0),$C$3,0),0)</f>
        <v>637.823186956273</v>
      </c>
      <c r="U1208" s="131" cm="1">
        <f ca="1" t="array" ref="U1208">IF(U1810=1,OFFSET($W$634,$B1208,U$631-1)/SUMPRODUCT(--($D$631:$V$631=U$631),--($D1810:$V1810=1)),0)+SUM(U1207)+IF(COUNTIF(U$1237:U1810,1)=1,5,0)+IF(COUNTIF(V1208:$W1208,"&gt;"&amp;0)&lt;5,IF(AND(COUNTIF(U$1237:U1810,1)&gt;7,MOD(1+IFERROR(MATCH($C1208,总览!$D$46:$D$345,1)+1,1),7)=0),$C$3,0),0)</f>
        <v>643.343973311573</v>
      </c>
      <c r="V1208" s="131" cm="1">
        <f ca="1" t="array" ref="V1208">IF(V1810=1,OFFSET($W$634,$B1208,V$631-1)/SUMPRODUCT(--($D$631:$V$631=V$631),--($D1810:$V1810=1)),0)+SUM(V1207)+IF(COUNTIF(V$1237:V1810,1)=1,5,0)+IF(COUNTIF(W1208:$W1208,"&gt;"&amp;0)&lt;5,IF(AND(COUNTIF(V$1237:V1810,1)&gt;7,MOD(1+IFERROR(MATCH($C1208,总览!$D$46:$D$345,1)+1,1),7)=0),$C$3,0),0)</f>
        <v>663.170973024006</v>
      </c>
      <c r="W1208" s="135" cm="1">
        <f ca="1" t="array" ref="W1208">SUMPRODUCT(TRANSPOSE($AA1208:$AG1208),OFFSET($L$9:$L$15,0,W$631-1))</f>
        <v>16.8502200646615</v>
      </c>
      <c r="X1208" s="135" cm="1">
        <f ca="1" t="array" ref="X1208">SUMPRODUCT(TRANSPOSE($AA1208:$AG1208),OFFSET($L$9:$L$15,0,X$631-1))</f>
        <v>20</v>
      </c>
      <c r="Y1208" s="135" cm="1">
        <f ca="1" t="array" ref="Y1208">SUMPRODUCT(TRANSPOSE($AA1208:$AG1208),OFFSET($L$9:$L$15,0,Y$631-1))</f>
        <v>10</v>
      </c>
      <c r="Z1208" s="135" cm="1">
        <f ca="1" t="array" ref="Z1208">SUMPRODUCT(TRANSPOSE($AA1208:$AG1208),OFFSET($L$9:$L$15,0,Z$631-1))</f>
        <v>3.14977993533847</v>
      </c>
      <c r="AA1208" s="136">
        <f ca="1" t="shared" ref="AA1208:AG1208" si="1403">AH1208-AH1207</f>
        <v>0</v>
      </c>
      <c r="AB1208" s="136">
        <f ca="1" t="shared" si="1403"/>
        <v>0</v>
      </c>
      <c r="AC1208" s="136">
        <f ca="1" t="shared" si="1403"/>
        <v>0</v>
      </c>
      <c r="AD1208" s="136">
        <f ca="1" t="shared" si="1403"/>
        <v>0</v>
      </c>
      <c r="AE1208" s="136">
        <f ca="1" t="shared" si="1403"/>
        <v>0</v>
      </c>
      <c r="AF1208" s="136">
        <f ca="1" t="shared" si="1403"/>
        <v>0</v>
      </c>
      <c r="AG1208" s="136">
        <f ca="1" t="shared" si="1403"/>
        <v>100</v>
      </c>
      <c r="AH1208" s="136">
        <f ca="1" t="shared" si="1281"/>
        <v>450</v>
      </c>
      <c r="AI1208" s="136">
        <f ca="1" t="shared" ref="AI1208:AN1208" si="1404">IF($C1208&gt;OFFSET($Q$8,MATCH(AI$634,$AH$634:$AN$634,0),0),OFFSET($P$8,MATCH(AI$634,$AH$634:$AN$634,0),0),MAX(0,$C1208-OFFSET($Q$8,RIGHT(AI$634,1)-1,0)))</f>
        <v>909</v>
      </c>
      <c r="AJ1208" s="136">
        <f ca="1" t="shared" si="1404"/>
        <v>1818</v>
      </c>
      <c r="AK1208" s="136">
        <f ca="1" t="shared" si="1404"/>
        <v>2727</v>
      </c>
      <c r="AL1208" s="136">
        <f ca="1" t="shared" si="1404"/>
        <v>3636</v>
      </c>
      <c r="AM1208" s="136">
        <f ca="1" t="shared" si="1404"/>
        <v>4545</v>
      </c>
      <c r="AN1208" s="136">
        <f ca="1" t="shared" si="1404"/>
        <v>43315</v>
      </c>
    </row>
    <row r="1209" s="106" customFormat="1" ht="16.5" spans="2:40">
      <c r="B1209" s="117">
        <v>575</v>
      </c>
      <c r="C1209" s="130">
        <f t="shared" si="1279"/>
        <v>57500</v>
      </c>
      <c r="D1209" s="131" cm="1">
        <f ca="1" t="array" ref="D1209">IF(D1811=1,OFFSET($W$634,$B1209,D$631-1)/SUMPRODUCT(--($D$631:$V$631=D$631),--($D1811:$V1811=1)),0)+SUM(D1208)+IF(COUNTIF(D$1237:D1811,1)=1,5,0)+IF(COUNTIF(E1209:$W1209,"&gt;"&amp;0)&lt;5,IF(AND(COUNTIF(D$1237:D1811,1)&gt;7,MOD(1+IFERROR(MATCH($C1209,总览!$D$46:$D$345,1)+1,1),7)=0),$C$3,0),0)</f>
        <v>3557.32902892432</v>
      </c>
      <c r="E1209" s="131" cm="1">
        <f ca="1" t="array" ref="E1209">IF(E1811=1,OFFSET($W$634,$B1209,E$631-1)/SUMPRODUCT(--($D$631:$V$631=E$631),--($D1811:$V1811=1)),0)+SUM(E1208)+IF(COUNTIF(E$1237:E1811,1)=1,5,0)+IF(COUNTIF(F1209:$W1209,"&gt;"&amp;0)&lt;5,IF(AND(COUNTIF(E$1237:E1811,1)&gt;7,MOD(1+IFERROR(MATCH($C1209,总览!$D$46:$D$345,1)+1,1),7)=0),$C$3,0),0)</f>
        <v>3557.32902892432</v>
      </c>
      <c r="F1209" s="131" cm="1">
        <f ca="1" t="array" ref="F1209">IF(F1811=1,OFFSET($W$634,$B1209,F$631-1)/SUMPRODUCT(--($D$631:$V$631=F$631),--($D1811:$V1811=1)),0)+SUM(F1208)+IF(COUNTIF(F$1237:F1811,1)=1,5,0)+IF(COUNTIF(G1209:$W1209,"&gt;"&amp;0)&lt;5,IF(AND(COUNTIF(F$1237:F1811,1)&gt;7,MOD(1+IFERROR(MATCH($C1209,总览!$D$46:$D$345,1)+1,1),7)=0),$C$3,0),0)</f>
        <v>3557.32902892432</v>
      </c>
      <c r="G1209" s="131" cm="1">
        <f ca="1" t="array" ref="G1209">IF(G1811=1,OFFSET($W$634,$B1209,G$631-1)/SUMPRODUCT(--($D$631:$V$631=G$631),--($D1811:$V1811=1)),0)+SUM(G1208)+IF(COUNTIF(G$1237:G1811,1)=1,5,0)+IF(COUNTIF(H1209:$W1209,"&gt;"&amp;0)&lt;5,IF(AND(COUNTIF(G$1237:G1811,1)&gt;7,MOD(1+IFERROR(MATCH($C1209,总览!$D$46:$D$345,1)+1,1),7)=0),$C$3,0),0)</f>
        <v>1856.06666666665</v>
      </c>
      <c r="H1209" s="131" cm="1">
        <f ca="1" t="array" ref="H1209">IF(H1811=1,OFFSET($W$634,$B1209,H$631-1)/SUMPRODUCT(--($D$631:$V$631=H$631),--($D1811:$V1811=1)),0)+SUM(H1208)+IF(COUNTIF(H$1237:H1811,1)=1,5,0)+IF(COUNTIF(I1209:$W1209,"&gt;"&amp;0)&lt;5,IF(AND(COUNTIF(H$1237:H1811,1)&gt;7,MOD(1+IFERROR(MATCH($C1209,总览!$D$46:$D$345,1)+1,1),7)=0),$C$3,0),0)</f>
        <v>1856.06666666665</v>
      </c>
      <c r="I1209" s="131" cm="1">
        <f ca="1" t="array" ref="I1209">IF(I1811=1,OFFSET($W$634,$B1209,I$631-1)/SUMPRODUCT(--($D$631:$V$631=I$631),--($D1811:$V1811=1)),0)+SUM(I1208)+IF(COUNTIF(I$1237:I1811,1)=1,5,0)+IF(COUNTIF(J1209:$W1209,"&gt;"&amp;0)&lt;5,IF(AND(COUNTIF(I$1237:I1811,1)&gt;7,MOD(1+IFERROR(MATCH($C1209,总览!$D$46:$D$345,1)+1,1),7)=0),$C$3,0),0)</f>
        <v>1856.06666666665</v>
      </c>
      <c r="J1209" s="131" cm="1">
        <f ca="1" t="array" ref="J1209">IF(J1811=1,OFFSET($W$634,$B1209,J$631-1)/SUMPRODUCT(--($D$631:$V$631=J$631),--($D1811:$V1811=1)),0)+SUM(J1208)+IF(COUNTIF(J$1237:J1811,1)=1,5,0)+IF(COUNTIF(K1209:$W1209,"&gt;"&amp;0)&lt;5,IF(AND(COUNTIF(J$1237:J1811,1)&gt;7,MOD(1+IFERROR(MATCH($C1209,总览!$D$46:$D$345,1)+1,1),7)=0),$C$3,0),0)</f>
        <v>1852.73333333332</v>
      </c>
      <c r="K1209" s="131" cm="1">
        <f ca="1" t="array" ref="K1209">IF(K1811=1,OFFSET($W$634,$B1209,K$631-1)/SUMPRODUCT(--($D$631:$V$631=K$631),--($D1811:$V1811=1)),0)+SUM(K1208)+IF(COUNTIF(K$1237:K1811,1)=1,5,0)+IF(COUNTIF(L1209:$W1209,"&gt;"&amp;0)&lt;5,IF(AND(COUNTIF(K$1237:K1811,1)&gt;7,MOD(1+IFERROR(MATCH($C1209,总览!$D$46:$D$345,1)+1,1),7)=0),$C$3,0),0)</f>
        <v>1850.23333333332</v>
      </c>
      <c r="L1209" s="131" cm="1">
        <f ca="1" t="array" ref="L1209">IF(L1811=1,OFFSET($W$634,$B1209,L$631-1)/SUMPRODUCT(--($D$631:$V$631=L$631),--($D1811:$V1811=1)),0)+SUM(L1208)+IF(COUNTIF(L$1237:L1811,1)=1,5,0)+IF(COUNTIF(M1209:$W1209,"&gt;"&amp;0)&lt;5,IF(AND(COUNTIF(L$1237:L1811,1)&gt;7,MOD(1+IFERROR(MATCH($C1209,总览!$D$46:$D$345,1)+1,1),7)=0),$C$3,0),0)</f>
        <v>1850.23333333332</v>
      </c>
      <c r="M1209" s="131" cm="1">
        <f ca="1" t="array" ref="M1209">IF(M1811=1,OFFSET($W$634,$B1209,M$631-1)/SUMPRODUCT(--($D$631:$V$631=M$631),--($D1811:$V1811=1)),0)+SUM(M1208)+IF(COUNTIF(M$1237:M1811,1)=1,5,0)+IF(COUNTIF(N1209:$W1209,"&gt;"&amp;0)&lt;5,IF(AND(COUNTIF(M$1237:M1811,1)&gt;7,MOD(1+IFERROR(MATCH($C1209,总览!$D$46:$D$345,1)+1,1),7)=0),$C$3,0),0)</f>
        <v>779.181250000005</v>
      </c>
      <c r="N1209" s="131" cm="1">
        <f ca="1" t="array" ref="N1209">IF(N1811=1,OFFSET($W$634,$B1209,N$631-1)/SUMPRODUCT(--($D$631:$V$631=N$631),--($D1811:$V1811=1)),0)+SUM(N1208)+IF(COUNTIF(N$1237:N1811,1)=1,5,0)+IF(COUNTIF(O1209:$W1209,"&gt;"&amp;0)&lt;5,IF(AND(COUNTIF(N$1237:N1811,1)&gt;7,MOD(1+IFERROR(MATCH($C1209,总览!$D$46:$D$345,1)+1,1),7)=0),$C$3,0),0)</f>
        <v>780.431250000005</v>
      </c>
      <c r="O1209" s="131" cm="1">
        <f ca="1" t="array" ref="O1209">IF(O1811=1,OFFSET($W$634,$B1209,O$631-1)/SUMPRODUCT(--($D$631:$V$631=O$631),--($D1811:$V1811=1)),0)+SUM(O1208)+IF(COUNTIF(O$1237:O1811,1)=1,5,0)+IF(COUNTIF(P1209:$W1209,"&gt;"&amp;0)&lt;5,IF(AND(COUNTIF(O$1237:O1811,1)&gt;7,MOD(1+IFERROR(MATCH($C1209,总览!$D$46:$D$345,1)+1,1),7)=0),$C$3,0),0)</f>
        <v>785.431250000005</v>
      </c>
      <c r="P1209" s="131" cm="1">
        <f ca="1" t="array" ref="P1209">IF(P1811=1,OFFSET($W$634,$B1209,P$631-1)/SUMPRODUCT(--($D$631:$V$631=P$631),--($D1811:$V1811=1)),0)+SUM(P1208)+IF(COUNTIF(P$1237:P1811,1)=1,5,0)+IF(COUNTIF(Q1209:$W1209,"&gt;"&amp;0)&lt;5,IF(AND(COUNTIF(P$1237:P1811,1)&gt;7,MOD(1+IFERROR(MATCH($C1209,总览!$D$46:$D$345,1)+1,1),7)=0),$C$3,0),0)</f>
        <v>774.550000000005</v>
      </c>
      <c r="Q1209" s="131" cm="1">
        <f ca="1" t="array" ref="Q1209">IF(Q1811=1,OFFSET($W$634,$B1209,Q$631-1)/SUMPRODUCT(--($D$631:$V$631=Q$631),--($D1811:$V1811=1)),0)+SUM(Q1208)+IF(COUNTIF(Q$1237:Q1811,1)=1,5,0)+IF(COUNTIF(R1209:$W1209,"&gt;"&amp;0)&lt;5,IF(AND(COUNTIF(Q$1237:Q1811,1)&gt;7,MOD(1+IFERROR(MATCH($C1209,总览!$D$46:$D$345,1)+1,1),7)=0),$C$3,0),0)</f>
        <v>787.931250000005</v>
      </c>
      <c r="R1209" s="131" cm="1">
        <f ca="1" t="array" ref="R1209">IF(R1811=1,OFFSET($W$634,$B1209,R$631-1)/SUMPRODUCT(--($D$631:$V$631=R$631),--($D1811:$V1811=1)),0)+SUM(R1208)+IF(COUNTIF(R$1237:R1811,1)=1,5,0)+IF(COUNTIF(S1209:$W1209,"&gt;"&amp;0)&lt;5,IF(AND(COUNTIF(R$1237:R1811,1)&gt;7,MOD(1+IFERROR(MATCH($C1209,总览!$D$46:$D$345,1)+1,1),7)=0),$C$3,0),0)</f>
        <v>779.550000000005</v>
      </c>
      <c r="S1209" s="131" cm="1">
        <f ca="1" t="array" ref="S1209">IF(S1811=1,OFFSET($W$634,$B1209,S$631-1)/SUMPRODUCT(--($D$631:$V$631=S$631),--($D1811:$V1811=1)),0)+SUM(S1208)+IF(COUNTIF(S$1237:S1811,1)=1,5,0)+IF(COUNTIF(T1209:$W1209,"&gt;"&amp;0)&lt;5,IF(AND(COUNTIF(S$1237:S1811,1)&gt;7,MOD(1+IFERROR(MATCH($C1209,总览!$D$46:$D$345,1)+1,1),7)=0),$C$3,0),0)</f>
        <v>872.050000000006</v>
      </c>
      <c r="T1209" s="131" cm="1">
        <f ca="1" t="array" ref="T1209">IF(T1811=1,OFFSET($W$634,$B1209,T$631-1)/SUMPRODUCT(--($D$631:$V$631=T$631),--($D1811:$V1811=1)),0)+SUM(T1208)+IF(COUNTIF(T$1237:T1811,1)=1,5,0)+IF(COUNTIF(U1209:$W1209,"&gt;"&amp;0)&lt;5,IF(AND(COUNTIF(T$1237:T1811,1)&gt;7,MOD(1+IFERROR(MATCH($C1209,总览!$D$46:$D$345,1)+1,1),7)=0),$C$3,0),0)</f>
        <v>638.873113601386</v>
      </c>
      <c r="U1209" s="131" cm="1">
        <f ca="1" t="array" ref="U1209">IF(U1811=1,OFFSET($W$634,$B1209,U$631-1)/SUMPRODUCT(--($D$631:$V$631=U$631),--($D1811:$V1811=1)),0)+SUM(U1208)+IF(COUNTIF(U$1237:U1811,1)=1,5,0)+IF(COUNTIF(V1209:$W1209,"&gt;"&amp;0)&lt;5,IF(AND(COUNTIF(U$1237:U1811,1)&gt;7,MOD(1+IFERROR(MATCH($C1209,总览!$D$46:$D$345,1)+1,1),7)=0),$C$3,0),0)</f>
        <v>644.393899956685</v>
      </c>
      <c r="V1209" s="131" cm="1">
        <f ca="1" t="array" ref="V1209">IF(V1811=1,OFFSET($W$634,$B1209,V$631-1)/SUMPRODUCT(--($D$631:$V$631=V$631),--($D1811:$V1811=1)),0)+SUM(V1208)+IF(COUNTIF(V$1237:V1811,1)=1,5,0)+IF(COUNTIF(W1209:$W1209,"&gt;"&amp;0)&lt;5,IF(AND(COUNTIF(V$1237:V1811,1)&gt;7,MOD(1+IFERROR(MATCH($C1209,总览!$D$46:$D$345,1)+1,1),7)=0),$C$3,0),0)</f>
        <v>664.220899669118</v>
      </c>
      <c r="W1209" s="135" cm="1">
        <f ca="1" t="array" ref="W1209">SUMPRODUCT(TRANSPOSE($AA1209:$AG1209),OFFSET($L$9:$L$15,0,W$631-1))</f>
        <v>16.8502200646615</v>
      </c>
      <c r="X1209" s="135" cm="1">
        <f ca="1" t="array" ref="X1209">SUMPRODUCT(TRANSPOSE($AA1209:$AG1209),OFFSET($L$9:$L$15,0,X$631-1))</f>
        <v>20</v>
      </c>
      <c r="Y1209" s="135" cm="1">
        <f ca="1" t="array" ref="Y1209">SUMPRODUCT(TRANSPOSE($AA1209:$AG1209),OFFSET($L$9:$L$15,0,Y$631-1))</f>
        <v>10</v>
      </c>
      <c r="Z1209" s="135" cm="1">
        <f ca="1" t="array" ref="Z1209">SUMPRODUCT(TRANSPOSE($AA1209:$AG1209),OFFSET($L$9:$L$15,0,Z$631-1))</f>
        <v>3.14977993533847</v>
      </c>
      <c r="AA1209" s="136">
        <f ca="1" t="shared" ref="AA1209:AG1209" si="1405">AH1209-AH1208</f>
        <v>0</v>
      </c>
      <c r="AB1209" s="136">
        <f ca="1" t="shared" si="1405"/>
        <v>0</v>
      </c>
      <c r="AC1209" s="136">
        <f ca="1" t="shared" si="1405"/>
        <v>0</v>
      </c>
      <c r="AD1209" s="136">
        <f ca="1" t="shared" si="1405"/>
        <v>0</v>
      </c>
      <c r="AE1209" s="136">
        <f ca="1" t="shared" si="1405"/>
        <v>0</v>
      </c>
      <c r="AF1209" s="136">
        <f ca="1" t="shared" si="1405"/>
        <v>0</v>
      </c>
      <c r="AG1209" s="136">
        <f ca="1" t="shared" si="1405"/>
        <v>100</v>
      </c>
      <c r="AH1209" s="136">
        <f ca="1" t="shared" si="1281"/>
        <v>450</v>
      </c>
      <c r="AI1209" s="136">
        <f ca="1" t="shared" ref="AI1209:AN1209" si="1406">IF($C1209&gt;OFFSET($Q$8,MATCH(AI$634,$AH$634:$AN$634,0),0),OFFSET($P$8,MATCH(AI$634,$AH$634:$AN$634,0),0),MAX(0,$C1209-OFFSET($Q$8,RIGHT(AI$634,1)-1,0)))</f>
        <v>909</v>
      </c>
      <c r="AJ1209" s="136">
        <f ca="1" t="shared" si="1406"/>
        <v>1818</v>
      </c>
      <c r="AK1209" s="136">
        <f ca="1" t="shared" si="1406"/>
        <v>2727</v>
      </c>
      <c r="AL1209" s="136">
        <f ca="1" t="shared" si="1406"/>
        <v>3636</v>
      </c>
      <c r="AM1209" s="136">
        <f ca="1" t="shared" si="1406"/>
        <v>4545</v>
      </c>
      <c r="AN1209" s="136">
        <f ca="1" t="shared" si="1406"/>
        <v>43415</v>
      </c>
    </row>
    <row r="1210" s="106" customFormat="1" ht="16.5" spans="2:40">
      <c r="B1210" s="117">
        <v>576</v>
      </c>
      <c r="C1210" s="130">
        <f t="shared" si="1279"/>
        <v>57600</v>
      </c>
      <c r="D1210" s="131" cm="1">
        <f ca="1" t="array" ref="D1210">IF(D1812=1,OFFSET($W$634,$B1210,D$631-1)/SUMPRODUCT(--($D$631:$V$631=D$631),--($D1812:$V1812=1)),0)+SUM(D1209)+IF(COUNTIF(D$1237:D1812,1)=1,5,0)+IF(COUNTIF(E1210:$W1210,"&gt;"&amp;0)&lt;5,IF(AND(COUNTIF(D$1237:D1812,1)&gt;7,MOD(1+IFERROR(MATCH($C1210,总览!$D$46:$D$345,1)+1,1),7)=0),$C$3,0),0)</f>
        <v>3562.94576894587</v>
      </c>
      <c r="E1210" s="131" cm="1">
        <f ca="1" t="array" ref="E1210">IF(E1812=1,OFFSET($W$634,$B1210,E$631-1)/SUMPRODUCT(--($D$631:$V$631=E$631),--($D1812:$V1812=1)),0)+SUM(E1209)+IF(COUNTIF(E$1237:E1812,1)=1,5,0)+IF(COUNTIF(F1210:$W1210,"&gt;"&amp;0)&lt;5,IF(AND(COUNTIF(E$1237:E1812,1)&gt;7,MOD(1+IFERROR(MATCH($C1210,总览!$D$46:$D$345,1)+1,1),7)=0),$C$3,0),0)</f>
        <v>3562.94576894587</v>
      </c>
      <c r="F1210" s="131" cm="1">
        <f ca="1" t="array" ref="F1210">IF(F1812=1,OFFSET($W$634,$B1210,F$631-1)/SUMPRODUCT(--($D$631:$V$631=F$631),--($D1812:$V1812=1)),0)+SUM(F1209)+IF(COUNTIF(F$1237:F1812,1)=1,5,0)+IF(COUNTIF(G1210:$W1210,"&gt;"&amp;0)&lt;5,IF(AND(COUNTIF(F$1237:F1812,1)&gt;7,MOD(1+IFERROR(MATCH($C1210,总览!$D$46:$D$345,1)+1,1),7)=0),$C$3,0),0)</f>
        <v>3562.94576894587</v>
      </c>
      <c r="G1210" s="131" cm="1">
        <f ca="1" t="array" ref="G1210">IF(G1812=1,OFFSET($W$634,$B1210,G$631-1)/SUMPRODUCT(--($D$631:$V$631=G$631),--($D1812:$V1812=1)),0)+SUM(G1209)+IF(COUNTIF(G$1237:G1812,1)=1,5,0)+IF(COUNTIF(H1210:$W1210,"&gt;"&amp;0)&lt;5,IF(AND(COUNTIF(G$1237:G1812,1)&gt;7,MOD(1+IFERROR(MATCH($C1210,总览!$D$46:$D$345,1)+1,1),7)=0),$C$3,0),0)</f>
        <v>1859.39999999999</v>
      </c>
      <c r="H1210" s="131" cm="1">
        <f ca="1" t="array" ref="H1210">IF(H1812=1,OFFSET($W$634,$B1210,H$631-1)/SUMPRODUCT(--($D$631:$V$631=H$631),--($D1812:$V1812=1)),0)+SUM(H1209)+IF(COUNTIF(H$1237:H1812,1)=1,5,0)+IF(COUNTIF(I1210:$W1210,"&gt;"&amp;0)&lt;5,IF(AND(COUNTIF(H$1237:H1812,1)&gt;7,MOD(1+IFERROR(MATCH($C1210,总览!$D$46:$D$345,1)+1,1),7)=0),$C$3,0),0)</f>
        <v>1859.39999999999</v>
      </c>
      <c r="I1210" s="131" cm="1">
        <f ca="1" t="array" ref="I1210">IF(I1812=1,OFFSET($W$634,$B1210,I$631-1)/SUMPRODUCT(--($D$631:$V$631=I$631),--($D1812:$V1812=1)),0)+SUM(I1209)+IF(COUNTIF(I$1237:I1812,1)=1,5,0)+IF(COUNTIF(J1210:$W1210,"&gt;"&amp;0)&lt;5,IF(AND(COUNTIF(I$1237:I1812,1)&gt;7,MOD(1+IFERROR(MATCH($C1210,总览!$D$46:$D$345,1)+1,1),7)=0),$C$3,0),0)</f>
        <v>1859.39999999999</v>
      </c>
      <c r="J1210" s="131" cm="1">
        <f ca="1" t="array" ref="J1210">IF(J1812=1,OFFSET($W$634,$B1210,J$631-1)/SUMPRODUCT(--($D$631:$V$631=J$631),--($D1812:$V1812=1)),0)+SUM(J1209)+IF(COUNTIF(J$1237:J1812,1)=1,5,0)+IF(COUNTIF(K1210:$W1210,"&gt;"&amp;0)&lt;5,IF(AND(COUNTIF(J$1237:J1812,1)&gt;7,MOD(1+IFERROR(MATCH($C1210,总览!$D$46:$D$345,1)+1,1),7)=0),$C$3,0),0)</f>
        <v>1856.06666666665</v>
      </c>
      <c r="K1210" s="131" cm="1">
        <f ca="1" t="array" ref="K1210">IF(K1812=1,OFFSET($W$634,$B1210,K$631-1)/SUMPRODUCT(--($D$631:$V$631=K$631),--($D1812:$V1812=1)),0)+SUM(K1209)+IF(COUNTIF(K$1237:K1812,1)=1,5,0)+IF(COUNTIF(L1210:$W1210,"&gt;"&amp;0)&lt;5,IF(AND(COUNTIF(K$1237:K1812,1)&gt;7,MOD(1+IFERROR(MATCH($C1210,总览!$D$46:$D$345,1)+1,1),7)=0),$C$3,0),0)</f>
        <v>1853.56666666665</v>
      </c>
      <c r="L1210" s="131" cm="1">
        <f ca="1" t="array" ref="L1210">IF(L1812=1,OFFSET($W$634,$B1210,L$631-1)/SUMPRODUCT(--($D$631:$V$631=L$631),--($D1812:$V1812=1)),0)+SUM(L1209)+IF(COUNTIF(L$1237:L1812,1)=1,5,0)+IF(COUNTIF(M1210:$W1210,"&gt;"&amp;0)&lt;5,IF(AND(COUNTIF(L$1237:L1812,1)&gt;7,MOD(1+IFERROR(MATCH($C1210,总览!$D$46:$D$345,1)+1,1),7)=0),$C$3,0),0)</f>
        <v>1853.56666666665</v>
      </c>
      <c r="M1210" s="131" cm="1">
        <f ca="1" t="array" ref="M1210">IF(M1812=1,OFFSET($W$634,$B1210,M$631-1)/SUMPRODUCT(--($D$631:$V$631=M$631),--($D1812:$V1812=1)),0)+SUM(M1209)+IF(COUNTIF(M$1237:M1812,1)=1,5,0)+IF(COUNTIF(N1210:$W1210,"&gt;"&amp;0)&lt;5,IF(AND(COUNTIF(M$1237:M1812,1)&gt;7,MOD(1+IFERROR(MATCH($C1210,总览!$D$46:$D$345,1)+1,1),7)=0),$C$3,0),0)</f>
        <v>780.609821428576</v>
      </c>
      <c r="N1210" s="131" cm="1">
        <f ca="1" t="array" ref="N1210">IF(N1812=1,OFFSET($W$634,$B1210,N$631-1)/SUMPRODUCT(--($D$631:$V$631=N$631),--($D1812:$V1812=1)),0)+SUM(N1209)+IF(COUNTIF(N$1237:N1812,1)=1,5,0)+IF(COUNTIF(O1210:$W1210,"&gt;"&amp;0)&lt;5,IF(AND(COUNTIF(N$1237:N1812,1)&gt;7,MOD(1+IFERROR(MATCH($C1210,总览!$D$46:$D$345,1)+1,1),7)=0),$C$3,0),0)</f>
        <v>781.859821428576</v>
      </c>
      <c r="O1210" s="131" cm="1">
        <f ca="1" t="array" ref="O1210">IF(O1812=1,OFFSET($W$634,$B1210,O$631-1)/SUMPRODUCT(--($D$631:$V$631=O$631),--($D1812:$V1812=1)),0)+SUM(O1209)+IF(COUNTIF(O$1237:O1812,1)=1,5,0)+IF(COUNTIF(P1210:$W1210,"&gt;"&amp;0)&lt;5,IF(AND(COUNTIF(O$1237:O1812,1)&gt;7,MOD(1+IFERROR(MATCH($C1210,总览!$D$46:$D$345,1)+1,1),7)=0),$C$3,0),0)</f>
        <v>786.859821428576</v>
      </c>
      <c r="P1210" s="131" cm="1">
        <f ca="1" t="array" ref="P1210">IF(P1812=1,OFFSET($W$634,$B1210,P$631-1)/SUMPRODUCT(--($D$631:$V$631=P$631),--($D1812:$V1812=1)),0)+SUM(P1209)+IF(COUNTIF(P$1237:P1812,1)=1,5,0)+IF(COUNTIF(Q1210:$W1210,"&gt;"&amp;0)&lt;5,IF(AND(COUNTIF(P$1237:P1812,1)&gt;7,MOD(1+IFERROR(MATCH($C1210,总览!$D$46:$D$345,1)+1,1),7)=0),$C$3,0),0)</f>
        <v>775.978571428576</v>
      </c>
      <c r="Q1210" s="131" cm="1">
        <f ca="1" t="array" ref="Q1210">IF(Q1812=1,OFFSET($W$634,$B1210,Q$631-1)/SUMPRODUCT(--($D$631:$V$631=Q$631),--($D1812:$V1812=1)),0)+SUM(Q1209)+IF(COUNTIF(Q$1237:Q1812,1)=1,5,0)+IF(COUNTIF(R1210:$W1210,"&gt;"&amp;0)&lt;5,IF(AND(COUNTIF(Q$1237:Q1812,1)&gt;7,MOD(1+IFERROR(MATCH($C1210,总览!$D$46:$D$345,1)+1,1),7)=0),$C$3,0),0)</f>
        <v>789.359821428576</v>
      </c>
      <c r="R1210" s="131" cm="1">
        <f ca="1" t="array" ref="R1210">IF(R1812=1,OFFSET($W$634,$B1210,R$631-1)/SUMPRODUCT(--($D$631:$V$631=R$631),--($D1812:$V1812=1)),0)+SUM(R1209)+IF(COUNTIF(R$1237:R1812,1)=1,5,0)+IF(COUNTIF(S1210:$W1210,"&gt;"&amp;0)&lt;5,IF(AND(COUNTIF(R$1237:R1812,1)&gt;7,MOD(1+IFERROR(MATCH($C1210,总览!$D$46:$D$345,1)+1,1),7)=0),$C$3,0),0)</f>
        <v>780.978571428576</v>
      </c>
      <c r="S1210" s="131" cm="1">
        <f ca="1" t="array" ref="S1210">IF(S1812=1,OFFSET($W$634,$B1210,S$631-1)/SUMPRODUCT(--($D$631:$V$631=S$631),--($D1812:$V1812=1)),0)+SUM(S1209)+IF(COUNTIF(S$1237:S1812,1)=1,5,0)+IF(COUNTIF(T1210:$W1210,"&gt;"&amp;0)&lt;5,IF(AND(COUNTIF(S$1237:S1812,1)&gt;7,MOD(1+IFERROR(MATCH($C1210,总览!$D$46:$D$345,1)+1,1),7)=0),$C$3,0),0)</f>
        <v>873.478571428577</v>
      </c>
      <c r="T1210" s="131" cm="1">
        <f ca="1" t="array" ref="T1210">IF(T1812=1,OFFSET($W$634,$B1210,T$631-1)/SUMPRODUCT(--($D$631:$V$631=T$631),--($D1812:$V1812=1)),0)+SUM(T1209)+IF(COUNTIF(T$1237:T1812,1)=1,5,0)+IF(COUNTIF(U1210:$W1210,"&gt;"&amp;0)&lt;5,IF(AND(COUNTIF(T$1237:T1812,1)&gt;7,MOD(1+IFERROR(MATCH($C1210,总览!$D$46:$D$345,1)+1,1),7)=0),$C$3,0),0)</f>
        <v>639.923040246499</v>
      </c>
      <c r="U1210" s="131" cm="1">
        <f ca="1" t="array" ref="U1210">IF(U1812=1,OFFSET($W$634,$B1210,U$631-1)/SUMPRODUCT(--($D$631:$V$631=U$631),--($D1812:$V1812=1)),0)+SUM(U1209)+IF(COUNTIF(U$1237:U1812,1)=1,5,0)+IF(COUNTIF(V1210:$W1210,"&gt;"&amp;0)&lt;5,IF(AND(COUNTIF(U$1237:U1812,1)&gt;7,MOD(1+IFERROR(MATCH($C1210,总览!$D$46:$D$345,1)+1,1),7)=0),$C$3,0),0)</f>
        <v>645.443826601798</v>
      </c>
      <c r="V1210" s="131" cm="1">
        <f ca="1" t="array" ref="V1210">IF(V1812=1,OFFSET($W$634,$B1210,V$631-1)/SUMPRODUCT(--($D$631:$V$631=V$631),--($D1812:$V1812=1)),0)+SUM(V1209)+IF(COUNTIF(V$1237:V1812,1)=1,5,0)+IF(COUNTIF(W1210:$W1210,"&gt;"&amp;0)&lt;5,IF(AND(COUNTIF(V$1237:V1812,1)&gt;7,MOD(1+IFERROR(MATCH($C1210,总览!$D$46:$D$345,1)+1,1),7)=0),$C$3,0),0)</f>
        <v>665.270826314231</v>
      </c>
      <c r="W1210" s="135" cm="1">
        <f ca="1" t="array" ref="W1210">SUMPRODUCT(TRANSPOSE($AA1210:$AG1210),OFFSET($L$9:$L$15,0,W$631-1))</f>
        <v>16.8502200646615</v>
      </c>
      <c r="X1210" s="135" cm="1">
        <f ca="1" t="array" ref="X1210">SUMPRODUCT(TRANSPOSE($AA1210:$AG1210),OFFSET($L$9:$L$15,0,X$631-1))</f>
        <v>20</v>
      </c>
      <c r="Y1210" s="135" cm="1">
        <f ca="1" t="array" ref="Y1210">SUMPRODUCT(TRANSPOSE($AA1210:$AG1210),OFFSET($L$9:$L$15,0,Y$631-1))</f>
        <v>10</v>
      </c>
      <c r="Z1210" s="135" cm="1">
        <f ca="1" t="array" ref="Z1210">SUMPRODUCT(TRANSPOSE($AA1210:$AG1210),OFFSET($L$9:$L$15,0,Z$631-1))</f>
        <v>3.14977993533847</v>
      </c>
      <c r="AA1210" s="136">
        <f ca="1" t="shared" ref="AA1210:AG1210" si="1407">AH1210-AH1209</f>
        <v>0</v>
      </c>
      <c r="AB1210" s="136">
        <f ca="1" t="shared" si="1407"/>
        <v>0</v>
      </c>
      <c r="AC1210" s="136">
        <f ca="1" t="shared" si="1407"/>
        <v>0</v>
      </c>
      <c r="AD1210" s="136">
        <f ca="1" t="shared" si="1407"/>
        <v>0</v>
      </c>
      <c r="AE1210" s="136">
        <f ca="1" t="shared" si="1407"/>
        <v>0</v>
      </c>
      <c r="AF1210" s="136">
        <f ca="1" t="shared" si="1407"/>
        <v>0</v>
      </c>
      <c r="AG1210" s="136">
        <f ca="1" t="shared" si="1407"/>
        <v>100</v>
      </c>
      <c r="AH1210" s="136">
        <f ca="1" t="shared" si="1281"/>
        <v>450</v>
      </c>
      <c r="AI1210" s="136">
        <f ca="1" t="shared" ref="AI1210:AN1210" si="1408">IF($C1210&gt;OFFSET($Q$8,MATCH(AI$634,$AH$634:$AN$634,0),0),OFFSET($P$8,MATCH(AI$634,$AH$634:$AN$634,0),0),MAX(0,$C1210-OFFSET($Q$8,RIGHT(AI$634,1)-1,0)))</f>
        <v>909</v>
      </c>
      <c r="AJ1210" s="136">
        <f ca="1" t="shared" si="1408"/>
        <v>1818</v>
      </c>
      <c r="AK1210" s="136">
        <f ca="1" t="shared" si="1408"/>
        <v>2727</v>
      </c>
      <c r="AL1210" s="136">
        <f ca="1" t="shared" si="1408"/>
        <v>3636</v>
      </c>
      <c r="AM1210" s="136">
        <f ca="1" t="shared" si="1408"/>
        <v>4545</v>
      </c>
      <c r="AN1210" s="136">
        <f ca="1" t="shared" si="1408"/>
        <v>43515</v>
      </c>
    </row>
    <row r="1211" s="106" customFormat="1" ht="16.5" spans="2:40">
      <c r="B1211" s="117">
        <v>577</v>
      </c>
      <c r="C1211" s="130">
        <f t="shared" ref="C1211:C1234" si="1409">C606</f>
        <v>57700</v>
      </c>
      <c r="D1211" s="131" cm="1">
        <f ca="1" t="array" ref="D1211">IF(D1813=1,OFFSET($W$634,$B1211,D$631-1)/SUMPRODUCT(--($D$631:$V$631=D$631),--($D1813:$V1813=1)),0)+SUM(D1210)+IF(COUNTIF(D$1237:D1813,1)=1,5,0)+IF(COUNTIF(E1211:$W1211,"&gt;"&amp;0)&lt;5,IF(AND(COUNTIF(D$1237:D1813,1)&gt;7,MOD(1+IFERROR(MATCH($C1211,总览!$D$46:$D$345,1)+1,1),7)=0),$C$3,0),0)</f>
        <v>3568.56250896742</v>
      </c>
      <c r="E1211" s="131" cm="1">
        <f ca="1" t="array" ref="E1211">IF(E1813=1,OFFSET($W$634,$B1211,E$631-1)/SUMPRODUCT(--($D$631:$V$631=E$631),--($D1813:$V1813=1)),0)+SUM(E1210)+IF(COUNTIF(E$1237:E1813,1)=1,5,0)+IF(COUNTIF(F1211:$W1211,"&gt;"&amp;0)&lt;5,IF(AND(COUNTIF(E$1237:E1813,1)&gt;7,MOD(1+IFERROR(MATCH($C1211,总览!$D$46:$D$345,1)+1,1),7)=0),$C$3,0),0)</f>
        <v>3568.56250896742</v>
      </c>
      <c r="F1211" s="131" cm="1">
        <f ca="1" t="array" ref="F1211">IF(F1813=1,OFFSET($W$634,$B1211,F$631-1)/SUMPRODUCT(--($D$631:$V$631=F$631),--($D1813:$V1813=1)),0)+SUM(F1210)+IF(COUNTIF(F$1237:F1813,1)=1,5,0)+IF(COUNTIF(G1211:$W1211,"&gt;"&amp;0)&lt;5,IF(AND(COUNTIF(F$1237:F1813,1)&gt;7,MOD(1+IFERROR(MATCH($C1211,总览!$D$46:$D$345,1)+1,1),7)=0),$C$3,0),0)</f>
        <v>3568.56250896742</v>
      </c>
      <c r="G1211" s="131" cm="1">
        <f ca="1" t="array" ref="G1211">IF(G1813=1,OFFSET($W$634,$B1211,G$631-1)/SUMPRODUCT(--($D$631:$V$631=G$631),--($D1813:$V1813=1)),0)+SUM(G1210)+IF(COUNTIF(G$1237:G1813,1)=1,5,0)+IF(COUNTIF(H1211:$W1211,"&gt;"&amp;0)&lt;5,IF(AND(COUNTIF(G$1237:G1813,1)&gt;7,MOD(1+IFERROR(MATCH($C1211,总览!$D$46:$D$345,1)+1,1),7)=0),$C$3,0),0)</f>
        <v>1862.73333333332</v>
      </c>
      <c r="H1211" s="131" cm="1">
        <f ca="1" t="array" ref="H1211">IF(H1813=1,OFFSET($W$634,$B1211,H$631-1)/SUMPRODUCT(--($D$631:$V$631=H$631),--($D1813:$V1813=1)),0)+SUM(H1210)+IF(COUNTIF(H$1237:H1813,1)=1,5,0)+IF(COUNTIF(I1211:$W1211,"&gt;"&amp;0)&lt;5,IF(AND(COUNTIF(H$1237:H1813,1)&gt;7,MOD(1+IFERROR(MATCH($C1211,总览!$D$46:$D$345,1)+1,1),7)=0),$C$3,0),0)</f>
        <v>1862.73333333332</v>
      </c>
      <c r="I1211" s="131" cm="1">
        <f ca="1" t="array" ref="I1211">IF(I1813=1,OFFSET($W$634,$B1211,I$631-1)/SUMPRODUCT(--($D$631:$V$631=I$631),--($D1813:$V1813=1)),0)+SUM(I1210)+IF(COUNTIF(I$1237:I1813,1)=1,5,0)+IF(COUNTIF(J1211:$W1211,"&gt;"&amp;0)&lt;5,IF(AND(COUNTIF(I$1237:I1813,1)&gt;7,MOD(1+IFERROR(MATCH($C1211,总览!$D$46:$D$345,1)+1,1),7)=0),$C$3,0),0)</f>
        <v>1862.73333333332</v>
      </c>
      <c r="J1211" s="131" cm="1">
        <f ca="1" t="array" ref="J1211">IF(J1813=1,OFFSET($W$634,$B1211,J$631-1)/SUMPRODUCT(--($D$631:$V$631=J$631),--($D1813:$V1813=1)),0)+SUM(J1210)+IF(COUNTIF(J$1237:J1813,1)=1,5,0)+IF(COUNTIF(K1211:$W1211,"&gt;"&amp;0)&lt;5,IF(AND(COUNTIF(J$1237:J1813,1)&gt;7,MOD(1+IFERROR(MATCH($C1211,总览!$D$46:$D$345,1)+1,1),7)=0),$C$3,0),0)</f>
        <v>1859.39999999999</v>
      </c>
      <c r="K1211" s="131" cm="1">
        <f ca="1" t="array" ref="K1211">IF(K1813=1,OFFSET($W$634,$B1211,K$631-1)/SUMPRODUCT(--($D$631:$V$631=K$631),--($D1813:$V1813=1)),0)+SUM(K1210)+IF(COUNTIF(K$1237:K1813,1)=1,5,0)+IF(COUNTIF(L1211:$W1211,"&gt;"&amp;0)&lt;5,IF(AND(COUNTIF(K$1237:K1813,1)&gt;7,MOD(1+IFERROR(MATCH($C1211,总览!$D$46:$D$345,1)+1,1),7)=0),$C$3,0),0)</f>
        <v>1856.89999999999</v>
      </c>
      <c r="L1211" s="131" cm="1">
        <f ca="1" t="array" ref="L1211">IF(L1813=1,OFFSET($W$634,$B1211,L$631-1)/SUMPRODUCT(--($D$631:$V$631=L$631),--($D1813:$V1813=1)),0)+SUM(L1210)+IF(COUNTIF(L$1237:L1813,1)=1,5,0)+IF(COUNTIF(M1211:$W1211,"&gt;"&amp;0)&lt;5,IF(AND(COUNTIF(L$1237:L1813,1)&gt;7,MOD(1+IFERROR(MATCH($C1211,总览!$D$46:$D$345,1)+1,1),7)=0),$C$3,0),0)</f>
        <v>1856.89999999999</v>
      </c>
      <c r="M1211" s="131" cm="1">
        <f ca="1" t="array" ref="M1211">IF(M1813=1,OFFSET($W$634,$B1211,M$631-1)/SUMPRODUCT(--($D$631:$V$631=M$631),--($D1813:$V1813=1)),0)+SUM(M1210)+IF(COUNTIF(M$1237:M1813,1)=1,5,0)+IF(COUNTIF(N1211:$W1211,"&gt;"&amp;0)&lt;5,IF(AND(COUNTIF(M$1237:M1813,1)&gt;7,MOD(1+IFERROR(MATCH($C1211,总览!$D$46:$D$345,1)+1,1),7)=0),$C$3,0),0)</f>
        <v>782.038392857148</v>
      </c>
      <c r="N1211" s="131" cm="1">
        <f ca="1" t="array" ref="N1211">IF(N1813=1,OFFSET($W$634,$B1211,N$631-1)/SUMPRODUCT(--($D$631:$V$631=N$631),--($D1813:$V1813=1)),0)+SUM(N1210)+IF(COUNTIF(N$1237:N1813,1)=1,5,0)+IF(COUNTIF(O1211:$W1211,"&gt;"&amp;0)&lt;5,IF(AND(COUNTIF(N$1237:N1813,1)&gt;7,MOD(1+IFERROR(MATCH($C1211,总览!$D$46:$D$345,1)+1,1),7)=0),$C$3,0),0)</f>
        <v>783.288392857148</v>
      </c>
      <c r="O1211" s="131" cm="1">
        <f ca="1" t="array" ref="O1211">IF(O1813=1,OFFSET($W$634,$B1211,O$631-1)/SUMPRODUCT(--($D$631:$V$631=O$631),--($D1813:$V1813=1)),0)+SUM(O1210)+IF(COUNTIF(O$1237:O1813,1)=1,5,0)+IF(COUNTIF(P1211:$W1211,"&gt;"&amp;0)&lt;5,IF(AND(COUNTIF(O$1237:O1813,1)&gt;7,MOD(1+IFERROR(MATCH($C1211,总览!$D$46:$D$345,1)+1,1),7)=0),$C$3,0),0)</f>
        <v>788.288392857148</v>
      </c>
      <c r="P1211" s="131" cm="1">
        <f ca="1" t="array" ref="P1211">IF(P1813=1,OFFSET($W$634,$B1211,P$631-1)/SUMPRODUCT(--($D$631:$V$631=P$631),--($D1813:$V1813=1)),0)+SUM(P1210)+IF(COUNTIF(P$1237:P1813,1)=1,5,0)+IF(COUNTIF(Q1211:$W1211,"&gt;"&amp;0)&lt;5,IF(AND(COUNTIF(P$1237:P1813,1)&gt;7,MOD(1+IFERROR(MATCH($C1211,总览!$D$46:$D$345,1)+1,1),7)=0),$C$3,0),0)</f>
        <v>777.407142857148</v>
      </c>
      <c r="Q1211" s="131" cm="1">
        <f ca="1" t="array" ref="Q1211">IF(Q1813=1,OFFSET($W$634,$B1211,Q$631-1)/SUMPRODUCT(--($D$631:$V$631=Q$631),--($D1813:$V1813=1)),0)+SUM(Q1210)+IF(COUNTIF(Q$1237:Q1813,1)=1,5,0)+IF(COUNTIF(R1211:$W1211,"&gt;"&amp;0)&lt;5,IF(AND(COUNTIF(Q$1237:Q1813,1)&gt;7,MOD(1+IFERROR(MATCH($C1211,总览!$D$46:$D$345,1)+1,1),7)=0),$C$3,0),0)</f>
        <v>790.788392857148</v>
      </c>
      <c r="R1211" s="131" cm="1">
        <f ca="1" t="array" ref="R1211">IF(R1813=1,OFFSET($W$634,$B1211,R$631-1)/SUMPRODUCT(--($D$631:$V$631=R$631),--($D1813:$V1813=1)),0)+SUM(R1210)+IF(COUNTIF(R$1237:R1813,1)=1,5,0)+IF(COUNTIF(S1211:$W1211,"&gt;"&amp;0)&lt;5,IF(AND(COUNTIF(R$1237:R1813,1)&gt;7,MOD(1+IFERROR(MATCH($C1211,总览!$D$46:$D$345,1)+1,1),7)=0),$C$3,0),0)</f>
        <v>782.407142857148</v>
      </c>
      <c r="S1211" s="131" cm="1">
        <f ca="1" t="array" ref="S1211">IF(S1813=1,OFFSET($W$634,$B1211,S$631-1)/SUMPRODUCT(--($D$631:$V$631=S$631),--($D1813:$V1813=1)),0)+SUM(S1210)+IF(COUNTIF(S$1237:S1813,1)=1,5,0)+IF(COUNTIF(T1211:$W1211,"&gt;"&amp;0)&lt;5,IF(AND(COUNTIF(S$1237:S1813,1)&gt;7,MOD(1+IFERROR(MATCH($C1211,总览!$D$46:$D$345,1)+1,1),7)=0),$C$3,0),0)</f>
        <v>874.907142857149</v>
      </c>
      <c r="T1211" s="131" cm="1">
        <f ca="1" t="array" ref="T1211">IF(T1813=1,OFFSET($W$634,$B1211,T$631-1)/SUMPRODUCT(--($D$631:$V$631=T$631),--($D1813:$V1813=1)),0)+SUM(T1210)+IF(COUNTIF(T$1237:T1813,1)=1,5,0)+IF(COUNTIF(U1211:$W1211,"&gt;"&amp;0)&lt;5,IF(AND(COUNTIF(T$1237:T1813,1)&gt;7,MOD(1+IFERROR(MATCH($C1211,总览!$D$46:$D$345,1)+1,1),7)=0),$C$3,0),0)</f>
        <v>640.972966891611</v>
      </c>
      <c r="U1211" s="131" cm="1">
        <f ca="1" t="array" ref="U1211">IF(U1813=1,OFFSET($W$634,$B1211,U$631-1)/SUMPRODUCT(--($D$631:$V$631=U$631),--($D1813:$V1813=1)),0)+SUM(U1210)+IF(COUNTIF(U$1237:U1813,1)=1,5,0)+IF(COUNTIF(V1211:$W1211,"&gt;"&amp;0)&lt;5,IF(AND(COUNTIF(U$1237:U1813,1)&gt;7,MOD(1+IFERROR(MATCH($C1211,总览!$D$46:$D$345,1)+1,1),7)=0),$C$3,0),0)</f>
        <v>646.493753246911</v>
      </c>
      <c r="V1211" s="131" cm="1">
        <f ca="1" t="array" ref="V1211">IF(V1813=1,OFFSET($W$634,$B1211,V$631-1)/SUMPRODUCT(--($D$631:$V$631=V$631),--($D1813:$V1813=1)),0)+SUM(V1210)+IF(COUNTIF(V$1237:V1813,1)=1,5,0)+IF(COUNTIF(W1211:$W1211,"&gt;"&amp;0)&lt;5,IF(AND(COUNTIF(V$1237:V1813,1)&gt;7,MOD(1+IFERROR(MATCH($C1211,总览!$D$46:$D$345,1)+1,1),7)=0),$C$3,0),0)</f>
        <v>666.320752959344</v>
      </c>
      <c r="W1211" s="135" cm="1">
        <f ca="1" t="array" ref="W1211">SUMPRODUCT(TRANSPOSE($AA1211:$AG1211),OFFSET($L$9:$L$15,0,W$631-1))</f>
        <v>16.8502200646615</v>
      </c>
      <c r="X1211" s="135" cm="1">
        <f ca="1" t="array" ref="X1211">SUMPRODUCT(TRANSPOSE($AA1211:$AG1211),OFFSET($L$9:$L$15,0,X$631-1))</f>
        <v>20</v>
      </c>
      <c r="Y1211" s="135" cm="1">
        <f ca="1" t="array" ref="Y1211">SUMPRODUCT(TRANSPOSE($AA1211:$AG1211),OFFSET($L$9:$L$15,0,Y$631-1))</f>
        <v>10</v>
      </c>
      <c r="Z1211" s="135" cm="1">
        <f ca="1" t="array" ref="Z1211">SUMPRODUCT(TRANSPOSE($AA1211:$AG1211),OFFSET($L$9:$L$15,0,Z$631-1))</f>
        <v>3.14977993533847</v>
      </c>
      <c r="AA1211" s="136">
        <f ca="1" t="shared" ref="AA1211:AG1211" si="1410">AH1211-AH1210</f>
        <v>0</v>
      </c>
      <c r="AB1211" s="136">
        <f ca="1" t="shared" si="1410"/>
        <v>0</v>
      </c>
      <c r="AC1211" s="136">
        <f ca="1" t="shared" si="1410"/>
        <v>0</v>
      </c>
      <c r="AD1211" s="136">
        <f ca="1" t="shared" si="1410"/>
        <v>0</v>
      </c>
      <c r="AE1211" s="136">
        <f ca="1" t="shared" si="1410"/>
        <v>0</v>
      </c>
      <c r="AF1211" s="136">
        <f ca="1" t="shared" si="1410"/>
        <v>0</v>
      </c>
      <c r="AG1211" s="136">
        <f ca="1" t="shared" si="1410"/>
        <v>100</v>
      </c>
      <c r="AH1211" s="136">
        <f ca="1" t="shared" ref="AH1211:AH1234" si="1411">IF($C1211&gt;OFFSET($Q$8,MATCH(AH$634,$AH$634:$AN$634,0),0),OFFSET($P$8,MATCH(AH$634,$AH$634:$AN$634,0),0),$C1211)</f>
        <v>450</v>
      </c>
      <c r="AI1211" s="136">
        <f ca="1" t="shared" ref="AI1211:AN1211" si="1412">IF($C1211&gt;OFFSET($Q$8,MATCH(AI$634,$AH$634:$AN$634,0),0),OFFSET($P$8,MATCH(AI$634,$AH$634:$AN$634,0),0),MAX(0,$C1211-OFFSET($Q$8,RIGHT(AI$634,1)-1,0)))</f>
        <v>909</v>
      </c>
      <c r="AJ1211" s="136">
        <f ca="1" t="shared" si="1412"/>
        <v>1818</v>
      </c>
      <c r="AK1211" s="136">
        <f ca="1" t="shared" si="1412"/>
        <v>2727</v>
      </c>
      <c r="AL1211" s="136">
        <f ca="1" t="shared" si="1412"/>
        <v>3636</v>
      </c>
      <c r="AM1211" s="136">
        <f ca="1" t="shared" si="1412"/>
        <v>4545</v>
      </c>
      <c r="AN1211" s="136">
        <f ca="1" t="shared" si="1412"/>
        <v>43615</v>
      </c>
    </row>
    <row r="1212" s="106" customFormat="1" ht="16.5" spans="2:40">
      <c r="B1212" s="117">
        <v>578</v>
      </c>
      <c r="C1212" s="130">
        <f t="shared" si="1409"/>
        <v>57800</v>
      </c>
      <c r="D1212" s="131" cm="1">
        <f ca="1" t="array" ref="D1212">IF(D1814=1,OFFSET($W$634,$B1212,D$631-1)/SUMPRODUCT(--($D$631:$V$631=D$631),--($D1814:$V1814=1)),0)+SUM(D1211)+IF(COUNTIF(D$1237:D1814,1)=1,5,0)+IF(COUNTIF(E1212:$W1212,"&gt;"&amp;0)&lt;5,IF(AND(COUNTIF(D$1237:D1814,1)&gt;7,MOD(1+IFERROR(MATCH($C1212,总览!$D$46:$D$345,1)+1,1),7)=0),$C$3,0),0)</f>
        <v>3574.17924898898</v>
      </c>
      <c r="E1212" s="131" cm="1">
        <f ca="1" t="array" ref="E1212">IF(E1814=1,OFFSET($W$634,$B1212,E$631-1)/SUMPRODUCT(--($D$631:$V$631=E$631),--($D1814:$V1814=1)),0)+SUM(E1211)+IF(COUNTIF(E$1237:E1814,1)=1,5,0)+IF(COUNTIF(F1212:$W1212,"&gt;"&amp;0)&lt;5,IF(AND(COUNTIF(E$1237:E1814,1)&gt;7,MOD(1+IFERROR(MATCH($C1212,总览!$D$46:$D$345,1)+1,1),7)=0),$C$3,0),0)</f>
        <v>3574.17924898898</v>
      </c>
      <c r="F1212" s="131" cm="1">
        <f ca="1" t="array" ref="F1212">IF(F1814=1,OFFSET($W$634,$B1212,F$631-1)/SUMPRODUCT(--($D$631:$V$631=F$631),--($D1814:$V1814=1)),0)+SUM(F1211)+IF(COUNTIF(F$1237:F1814,1)=1,5,0)+IF(COUNTIF(G1212:$W1212,"&gt;"&amp;0)&lt;5,IF(AND(COUNTIF(F$1237:F1814,1)&gt;7,MOD(1+IFERROR(MATCH($C1212,总览!$D$46:$D$345,1)+1,1),7)=0),$C$3,0),0)</f>
        <v>3574.17924898898</v>
      </c>
      <c r="G1212" s="131" cm="1">
        <f ca="1" t="array" ref="G1212">IF(G1814=1,OFFSET($W$634,$B1212,G$631-1)/SUMPRODUCT(--($D$631:$V$631=G$631),--($D1814:$V1814=1)),0)+SUM(G1211)+IF(COUNTIF(G$1237:G1814,1)=1,5,0)+IF(COUNTIF(H1212:$W1212,"&gt;"&amp;0)&lt;5,IF(AND(COUNTIF(G$1237:G1814,1)&gt;7,MOD(1+IFERROR(MATCH($C1212,总览!$D$46:$D$345,1)+1,1),7)=0),$C$3,0),0)</f>
        <v>1866.06666666665</v>
      </c>
      <c r="H1212" s="131" cm="1">
        <f ca="1" t="array" ref="H1212">IF(H1814=1,OFFSET($W$634,$B1212,H$631-1)/SUMPRODUCT(--($D$631:$V$631=H$631),--($D1814:$V1814=1)),0)+SUM(H1211)+IF(COUNTIF(H$1237:H1814,1)=1,5,0)+IF(COUNTIF(I1212:$W1212,"&gt;"&amp;0)&lt;5,IF(AND(COUNTIF(H$1237:H1814,1)&gt;7,MOD(1+IFERROR(MATCH($C1212,总览!$D$46:$D$345,1)+1,1),7)=0),$C$3,0),0)</f>
        <v>1866.06666666665</v>
      </c>
      <c r="I1212" s="131" cm="1">
        <f ca="1" t="array" ref="I1212">IF(I1814=1,OFFSET($W$634,$B1212,I$631-1)/SUMPRODUCT(--($D$631:$V$631=I$631),--($D1814:$V1814=1)),0)+SUM(I1211)+IF(COUNTIF(I$1237:I1814,1)=1,5,0)+IF(COUNTIF(J1212:$W1212,"&gt;"&amp;0)&lt;5,IF(AND(COUNTIF(I$1237:I1814,1)&gt;7,MOD(1+IFERROR(MATCH($C1212,总览!$D$46:$D$345,1)+1,1),7)=0),$C$3,0),0)</f>
        <v>1866.06666666665</v>
      </c>
      <c r="J1212" s="131" cm="1">
        <f ca="1" t="array" ref="J1212">IF(J1814=1,OFFSET($W$634,$B1212,J$631-1)/SUMPRODUCT(--($D$631:$V$631=J$631),--($D1814:$V1814=1)),0)+SUM(J1211)+IF(COUNTIF(J$1237:J1814,1)=1,5,0)+IF(COUNTIF(K1212:$W1212,"&gt;"&amp;0)&lt;5,IF(AND(COUNTIF(J$1237:J1814,1)&gt;7,MOD(1+IFERROR(MATCH($C1212,总览!$D$46:$D$345,1)+1,1),7)=0),$C$3,0),0)</f>
        <v>1862.73333333332</v>
      </c>
      <c r="K1212" s="131" cm="1">
        <f ca="1" t="array" ref="K1212">IF(K1814=1,OFFSET($W$634,$B1212,K$631-1)/SUMPRODUCT(--($D$631:$V$631=K$631),--($D1814:$V1814=1)),0)+SUM(K1211)+IF(COUNTIF(K$1237:K1814,1)=1,5,0)+IF(COUNTIF(L1212:$W1212,"&gt;"&amp;0)&lt;5,IF(AND(COUNTIF(K$1237:K1814,1)&gt;7,MOD(1+IFERROR(MATCH($C1212,总览!$D$46:$D$345,1)+1,1),7)=0),$C$3,0),0)</f>
        <v>1860.23333333332</v>
      </c>
      <c r="L1212" s="131" cm="1">
        <f ca="1" t="array" ref="L1212">IF(L1814=1,OFFSET($W$634,$B1212,L$631-1)/SUMPRODUCT(--($D$631:$V$631=L$631),--($D1814:$V1814=1)),0)+SUM(L1211)+IF(COUNTIF(L$1237:L1814,1)=1,5,0)+IF(COUNTIF(M1212:$W1212,"&gt;"&amp;0)&lt;5,IF(AND(COUNTIF(L$1237:L1814,1)&gt;7,MOD(1+IFERROR(MATCH($C1212,总览!$D$46:$D$345,1)+1,1),7)=0),$C$3,0),0)</f>
        <v>1860.23333333332</v>
      </c>
      <c r="M1212" s="131" cm="1">
        <f ca="1" t="array" ref="M1212">IF(M1814=1,OFFSET($W$634,$B1212,M$631-1)/SUMPRODUCT(--($D$631:$V$631=M$631),--($D1814:$V1814=1)),0)+SUM(M1211)+IF(COUNTIF(M$1237:M1814,1)=1,5,0)+IF(COUNTIF(N1212:$W1212,"&gt;"&amp;0)&lt;5,IF(AND(COUNTIF(M$1237:M1814,1)&gt;7,MOD(1+IFERROR(MATCH($C1212,总览!$D$46:$D$345,1)+1,1),7)=0),$C$3,0),0)</f>
        <v>783.466964285719</v>
      </c>
      <c r="N1212" s="131" cm="1">
        <f ca="1" t="array" ref="N1212">IF(N1814=1,OFFSET($W$634,$B1212,N$631-1)/SUMPRODUCT(--($D$631:$V$631=N$631),--($D1814:$V1814=1)),0)+SUM(N1211)+IF(COUNTIF(N$1237:N1814,1)=1,5,0)+IF(COUNTIF(O1212:$W1212,"&gt;"&amp;0)&lt;5,IF(AND(COUNTIF(N$1237:N1814,1)&gt;7,MOD(1+IFERROR(MATCH($C1212,总览!$D$46:$D$345,1)+1,1),7)=0),$C$3,0),0)</f>
        <v>784.716964285719</v>
      </c>
      <c r="O1212" s="131" cm="1">
        <f ca="1" t="array" ref="O1212">IF(O1814=1,OFFSET($W$634,$B1212,O$631-1)/SUMPRODUCT(--($D$631:$V$631=O$631),--($D1814:$V1814=1)),0)+SUM(O1211)+IF(COUNTIF(O$1237:O1814,1)=1,5,0)+IF(COUNTIF(P1212:$W1212,"&gt;"&amp;0)&lt;5,IF(AND(COUNTIF(O$1237:O1814,1)&gt;7,MOD(1+IFERROR(MATCH($C1212,总览!$D$46:$D$345,1)+1,1),7)=0),$C$3,0),0)</f>
        <v>789.716964285719</v>
      </c>
      <c r="P1212" s="131" cm="1">
        <f ca="1" t="array" ref="P1212">IF(P1814=1,OFFSET($W$634,$B1212,P$631-1)/SUMPRODUCT(--($D$631:$V$631=P$631),--($D1814:$V1814=1)),0)+SUM(P1211)+IF(COUNTIF(P$1237:P1814,1)=1,5,0)+IF(COUNTIF(Q1212:$W1212,"&gt;"&amp;0)&lt;5,IF(AND(COUNTIF(P$1237:P1814,1)&gt;7,MOD(1+IFERROR(MATCH($C1212,总览!$D$46:$D$345,1)+1,1),7)=0),$C$3,0),0)</f>
        <v>778.835714285719</v>
      </c>
      <c r="Q1212" s="131" cm="1">
        <f ca="1" t="array" ref="Q1212">IF(Q1814=1,OFFSET($W$634,$B1212,Q$631-1)/SUMPRODUCT(--($D$631:$V$631=Q$631),--($D1814:$V1814=1)),0)+SUM(Q1211)+IF(COUNTIF(Q$1237:Q1814,1)=1,5,0)+IF(COUNTIF(R1212:$W1212,"&gt;"&amp;0)&lt;5,IF(AND(COUNTIF(Q$1237:Q1814,1)&gt;7,MOD(1+IFERROR(MATCH($C1212,总览!$D$46:$D$345,1)+1,1),7)=0),$C$3,0),0)</f>
        <v>792.216964285719</v>
      </c>
      <c r="R1212" s="131" cm="1">
        <f ca="1" t="array" ref="R1212">IF(R1814=1,OFFSET($W$634,$B1212,R$631-1)/SUMPRODUCT(--($D$631:$V$631=R$631),--($D1814:$V1814=1)),0)+SUM(R1211)+IF(COUNTIF(R$1237:R1814,1)=1,5,0)+IF(COUNTIF(S1212:$W1212,"&gt;"&amp;0)&lt;5,IF(AND(COUNTIF(R$1237:R1814,1)&gt;7,MOD(1+IFERROR(MATCH($C1212,总览!$D$46:$D$345,1)+1,1),7)=0),$C$3,0),0)</f>
        <v>783.835714285719</v>
      </c>
      <c r="S1212" s="131" cm="1">
        <f ca="1" t="array" ref="S1212">IF(S1814=1,OFFSET($W$634,$B1212,S$631-1)/SUMPRODUCT(--($D$631:$V$631=S$631),--($D1814:$V1814=1)),0)+SUM(S1211)+IF(COUNTIF(S$1237:S1814,1)=1,5,0)+IF(COUNTIF(T1212:$W1212,"&gt;"&amp;0)&lt;5,IF(AND(COUNTIF(S$1237:S1814,1)&gt;7,MOD(1+IFERROR(MATCH($C1212,总览!$D$46:$D$345,1)+1,1),7)=0),$C$3,0),0)</f>
        <v>876.33571428572</v>
      </c>
      <c r="T1212" s="131" cm="1">
        <f ca="1" t="array" ref="T1212">IF(T1814=1,OFFSET($W$634,$B1212,T$631-1)/SUMPRODUCT(--($D$631:$V$631=T$631),--($D1814:$V1814=1)),0)+SUM(T1211)+IF(COUNTIF(T$1237:T1814,1)=1,5,0)+IF(COUNTIF(U1212:$W1212,"&gt;"&amp;0)&lt;5,IF(AND(COUNTIF(T$1237:T1814,1)&gt;7,MOD(1+IFERROR(MATCH($C1212,总览!$D$46:$D$345,1)+1,1),7)=0),$C$3,0),0)</f>
        <v>642.022893536724</v>
      </c>
      <c r="U1212" s="131" cm="1">
        <f ca="1" t="array" ref="U1212">IF(U1814=1,OFFSET($W$634,$B1212,U$631-1)/SUMPRODUCT(--($D$631:$V$631=U$631),--($D1814:$V1814=1)),0)+SUM(U1211)+IF(COUNTIF(U$1237:U1814,1)=1,5,0)+IF(COUNTIF(V1212:$W1212,"&gt;"&amp;0)&lt;5,IF(AND(COUNTIF(U$1237:U1814,1)&gt;7,MOD(1+IFERROR(MATCH($C1212,总览!$D$46:$D$345,1)+1,1),7)=0),$C$3,0),0)</f>
        <v>647.543679892024</v>
      </c>
      <c r="V1212" s="131" cm="1">
        <f ca="1" t="array" ref="V1212">IF(V1814=1,OFFSET($W$634,$B1212,V$631-1)/SUMPRODUCT(--($D$631:$V$631=V$631),--($D1814:$V1814=1)),0)+SUM(V1211)+IF(COUNTIF(V$1237:V1814,1)=1,5,0)+IF(COUNTIF(W1212:$W1212,"&gt;"&amp;0)&lt;5,IF(AND(COUNTIF(V$1237:V1814,1)&gt;7,MOD(1+IFERROR(MATCH($C1212,总览!$D$46:$D$345,1)+1,1),7)=0),$C$3,0),0)</f>
        <v>667.370679604457</v>
      </c>
      <c r="W1212" s="135" cm="1">
        <f ca="1" t="array" ref="W1212">SUMPRODUCT(TRANSPOSE($AA1212:$AG1212),OFFSET($L$9:$L$15,0,W$631-1))</f>
        <v>16.8502200646615</v>
      </c>
      <c r="X1212" s="135" cm="1">
        <f ca="1" t="array" ref="X1212">SUMPRODUCT(TRANSPOSE($AA1212:$AG1212),OFFSET($L$9:$L$15,0,X$631-1))</f>
        <v>20</v>
      </c>
      <c r="Y1212" s="135" cm="1">
        <f ca="1" t="array" ref="Y1212">SUMPRODUCT(TRANSPOSE($AA1212:$AG1212),OFFSET($L$9:$L$15,0,Y$631-1))</f>
        <v>10</v>
      </c>
      <c r="Z1212" s="135" cm="1">
        <f ca="1" t="array" ref="Z1212">SUMPRODUCT(TRANSPOSE($AA1212:$AG1212),OFFSET($L$9:$L$15,0,Z$631-1))</f>
        <v>3.14977993533847</v>
      </c>
      <c r="AA1212" s="136">
        <f ca="1" t="shared" ref="AA1212:AG1212" si="1413">AH1212-AH1211</f>
        <v>0</v>
      </c>
      <c r="AB1212" s="136">
        <f ca="1" t="shared" si="1413"/>
        <v>0</v>
      </c>
      <c r="AC1212" s="136">
        <f ca="1" t="shared" si="1413"/>
        <v>0</v>
      </c>
      <c r="AD1212" s="136">
        <f ca="1" t="shared" si="1413"/>
        <v>0</v>
      </c>
      <c r="AE1212" s="136">
        <f ca="1" t="shared" si="1413"/>
        <v>0</v>
      </c>
      <c r="AF1212" s="136">
        <f ca="1" t="shared" si="1413"/>
        <v>0</v>
      </c>
      <c r="AG1212" s="136">
        <f ca="1" t="shared" si="1413"/>
        <v>100</v>
      </c>
      <c r="AH1212" s="136">
        <f ca="1" t="shared" si="1411"/>
        <v>450</v>
      </c>
      <c r="AI1212" s="136">
        <f ca="1" t="shared" ref="AI1212:AN1212" si="1414">IF($C1212&gt;OFFSET($Q$8,MATCH(AI$634,$AH$634:$AN$634,0),0),OFFSET($P$8,MATCH(AI$634,$AH$634:$AN$634,0),0),MAX(0,$C1212-OFFSET($Q$8,RIGHT(AI$634,1)-1,0)))</f>
        <v>909</v>
      </c>
      <c r="AJ1212" s="136">
        <f ca="1" t="shared" si="1414"/>
        <v>1818</v>
      </c>
      <c r="AK1212" s="136">
        <f ca="1" t="shared" si="1414"/>
        <v>2727</v>
      </c>
      <c r="AL1212" s="136">
        <f ca="1" t="shared" si="1414"/>
        <v>3636</v>
      </c>
      <c r="AM1212" s="136">
        <f ca="1" t="shared" si="1414"/>
        <v>4545</v>
      </c>
      <c r="AN1212" s="136">
        <f ca="1" t="shared" si="1414"/>
        <v>43715</v>
      </c>
    </row>
    <row r="1213" s="106" customFormat="1" ht="16.5" spans="2:40">
      <c r="B1213" s="117">
        <v>579</v>
      </c>
      <c r="C1213" s="130">
        <f t="shared" si="1409"/>
        <v>57900</v>
      </c>
      <c r="D1213" s="131" cm="1">
        <f ca="1" t="array" ref="D1213">IF(D1815=1,OFFSET($W$634,$B1213,D$631-1)/SUMPRODUCT(--($D$631:$V$631=D$631),--($D1815:$V1815=1)),0)+SUM(D1212)+IF(COUNTIF(D$1237:D1815,1)=1,5,0)+IF(COUNTIF(E1213:$W1213,"&gt;"&amp;0)&lt;5,IF(AND(COUNTIF(D$1237:D1815,1)&gt;7,MOD(1+IFERROR(MATCH($C1213,总览!$D$46:$D$345,1)+1,1),7)=0),$C$3,0),0)</f>
        <v>3579.79598901053</v>
      </c>
      <c r="E1213" s="131" cm="1">
        <f ca="1" t="array" ref="E1213">IF(E1815=1,OFFSET($W$634,$B1213,E$631-1)/SUMPRODUCT(--($D$631:$V$631=E$631),--($D1815:$V1815=1)),0)+SUM(E1212)+IF(COUNTIF(E$1237:E1815,1)=1,5,0)+IF(COUNTIF(F1213:$W1213,"&gt;"&amp;0)&lt;5,IF(AND(COUNTIF(E$1237:E1815,1)&gt;7,MOD(1+IFERROR(MATCH($C1213,总览!$D$46:$D$345,1)+1,1),7)=0),$C$3,0),0)</f>
        <v>3579.79598901053</v>
      </c>
      <c r="F1213" s="131" cm="1">
        <f ca="1" t="array" ref="F1213">IF(F1815=1,OFFSET($W$634,$B1213,F$631-1)/SUMPRODUCT(--($D$631:$V$631=F$631),--($D1815:$V1815=1)),0)+SUM(F1212)+IF(COUNTIF(F$1237:F1815,1)=1,5,0)+IF(COUNTIF(G1213:$W1213,"&gt;"&amp;0)&lt;5,IF(AND(COUNTIF(F$1237:F1815,1)&gt;7,MOD(1+IFERROR(MATCH($C1213,总览!$D$46:$D$345,1)+1,1),7)=0),$C$3,0),0)</f>
        <v>3579.79598901053</v>
      </c>
      <c r="G1213" s="131" cm="1">
        <f ca="1" t="array" ref="G1213">IF(G1815=1,OFFSET($W$634,$B1213,G$631-1)/SUMPRODUCT(--($D$631:$V$631=G$631),--($D1815:$V1815=1)),0)+SUM(G1212)+IF(COUNTIF(G$1237:G1815,1)=1,5,0)+IF(COUNTIF(H1213:$W1213,"&gt;"&amp;0)&lt;5,IF(AND(COUNTIF(G$1237:G1815,1)&gt;7,MOD(1+IFERROR(MATCH($C1213,总览!$D$46:$D$345,1)+1,1),7)=0),$C$3,0),0)</f>
        <v>1869.39999999999</v>
      </c>
      <c r="H1213" s="131" cm="1">
        <f ca="1" t="array" ref="H1213">IF(H1815=1,OFFSET($W$634,$B1213,H$631-1)/SUMPRODUCT(--($D$631:$V$631=H$631),--($D1815:$V1815=1)),0)+SUM(H1212)+IF(COUNTIF(H$1237:H1815,1)=1,5,0)+IF(COUNTIF(I1213:$W1213,"&gt;"&amp;0)&lt;5,IF(AND(COUNTIF(H$1237:H1815,1)&gt;7,MOD(1+IFERROR(MATCH($C1213,总览!$D$46:$D$345,1)+1,1),7)=0),$C$3,0),0)</f>
        <v>1869.39999999999</v>
      </c>
      <c r="I1213" s="131" cm="1">
        <f ca="1" t="array" ref="I1213">IF(I1815=1,OFFSET($W$634,$B1213,I$631-1)/SUMPRODUCT(--($D$631:$V$631=I$631),--($D1815:$V1815=1)),0)+SUM(I1212)+IF(COUNTIF(I$1237:I1815,1)=1,5,0)+IF(COUNTIF(J1213:$W1213,"&gt;"&amp;0)&lt;5,IF(AND(COUNTIF(I$1237:I1815,1)&gt;7,MOD(1+IFERROR(MATCH($C1213,总览!$D$46:$D$345,1)+1,1),7)=0),$C$3,0),0)</f>
        <v>1869.39999999999</v>
      </c>
      <c r="J1213" s="131" cm="1">
        <f ca="1" t="array" ref="J1213">IF(J1815=1,OFFSET($W$634,$B1213,J$631-1)/SUMPRODUCT(--($D$631:$V$631=J$631),--($D1815:$V1815=1)),0)+SUM(J1212)+IF(COUNTIF(J$1237:J1815,1)=1,5,0)+IF(COUNTIF(K1213:$W1213,"&gt;"&amp;0)&lt;5,IF(AND(COUNTIF(J$1237:J1815,1)&gt;7,MOD(1+IFERROR(MATCH($C1213,总览!$D$46:$D$345,1)+1,1),7)=0),$C$3,0),0)</f>
        <v>1866.06666666665</v>
      </c>
      <c r="K1213" s="131" cm="1">
        <f ca="1" t="array" ref="K1213">IF(K1815=1,OFFSET($W$634,$B1213,K$631-1)/SUMPRODUCT(--($D$631:$V$631=K$631),--($D1815:$V1815=1)),0)+SUM(K1212)+IF(COUNTIF(K$1237:K1815,1)=1,5,0)+IF(COUNTIF(L1213:$W1213,"&gt;"&amp;0)&lt;5,IF(AND(COUNTIF(K$1237:K1815,1)&gt;7,MOD(1+IFERROR(MATCH($C1213,总览!$D$46:$D$345,1)+1,1),7)=0),$C$3,0),0)</f>
        <v>1863.56666666665</v>
      </c>
      <c r="L1213" s="131" cm="1">
        <f ca="1" t="array" ref="L1213">IF(L1815=1,OFFSET($W$634,$B1213,L$631-1)/SUMPRODUCT(--($D$631:$V$631=L$631),--($D1815:$V1815=1)),0)+SUM(L1212)+IF(COUNTIF(L$1237:L1815,1)=1,5,0)+IF(COUNTIF(M1213:$W1213,"&gt;"&amp;0)&lt;5,IF(AND(COUNTIF(L$1237:L1815,1)&gt;7,MOD(1+IFERROR(MATCH($C1213,总览!$D$46:$D$345,1)+1,1),7)=0),$C$3,0),0)</f>
        <v>1863.56666666665</v>
      </c>
      <c r="M1213" s="131" cm="1">
        <f ca="1" t="array" ref="M1213">IF(M1815=1,OFFSET($W$634,$B1213,M$631-1)/SUMPRODUCT(--($D$631:$V$631=M$631),--($D1815:$V1815=1)),0)+SUM(M1212)+IF(COUNTIF(M$1237:M1815,1)=1,5,0)+IF(COUNTIF(N1213:$W1213,"&gt;"&amp;0)&lt;5,IF(AND(COUNTIF(M$1237:M1815,1)&gt;7,MOD(1+IFERROR(MATCH($C1213,总览!$D$46:$D$345,1)+1,1),7)=0),$C$3,0),0)</f>
        <v>784.895535714291</v>
      </c>
      <c r="N1213" s="131" cm="1">
        <f ca="1" t="array" ref="N1213">IF(N1815=1,OFFSET($W$634,$B1213,N$631-1)/SUMPRODUCT(--($D$631:$V$631=N$631),--($D1815:$V1815=1)),0)+SUM(N1212)+IF(COUNTIF(N$1237:N1815,1)=1,5,0)+IF(COUNTIF(O1213:$W1213,"&gt;"&amp;0)&lt;5,IF(AND(COUNTIF(N$1237:N1815,1)&gt;7,MOD(1+IFERROR(MATCH($C1213,总览!$D$46:$D$345,1)+1,1),7)=0),$C$3,0),0)</f>
        <v>786.145535714291</v>
      </c>
      <c r="O1213" s="131" cm="1">
        <f ca="1" t="array" ref="O1213">IF(O1815=1,OFFSET($W$634,$B1213,O$631-1)/SUMPRODUCT(--($D$631:$V$631=O$631),--($D1815:$V1815=1)),0)+SUM(O1212)+IF(COUNTIF(O$1237:O1815,1)=1,5,0)+IF(COUNTIF(P1213:$W1213,"&gt;"&amp;0)&lt;5,IF(AND(COUNTIF(O$1237:O1815,1)&gt;7,MOD(1+IFERROR(MATCH($C1213,总览!$D$46:$D$345,1)+1,1),7)=0),$C$3,0),0)</f>
        <v>791.145535714291</v>
      </c>
      <c r="P1213" s="131" cm="1">
        <f ca="1" t="array" ref="P1213">IF(P1815=1,OFFSET($W$634,$B1213,P$631-1)/SUMPRODUCT(--($D$631:$V$631=P$631),--($D1815:$V1815=1)),0)+SUM(P1212)+IF(COUNTIF(P$1237:P1815,1)=1,5,0)+IF(COUNTIF(Q1213:$W1213,"&gt;"&amp;0)&lt;5,IF(AND(COUNTIF(P$1237:P1815,1)&gt;7,MOD(1+IFERROR(MATCH($C1213,总览!$D$46:$D$345,1)+1,1),7)=0),$C$3,0),0)</f>
        <v>780.264285714291</v>
      </c>
      <c r="Q1213" s="131" cm="1">
        <f ca="1" t="array" ref="Q1213">IF(Q1815=1,OFFSET($W$634,$B1213,Q$631-1)/SUMPRODUCT(--($D$631:$V$631=Q$631),--($D1815:$V1815=1)),0)+SUM(Q1212)+IF(COUNTIF(Q$1237:Q1815,1)=1,5,0)+IF(COUNTIF(R1213:$W1213,"&gt;"&amp;0)&lt;5,IF(AND(COUNTIF(Q$1237:Q1815,1)&gt;7,MOD(1+IFERROR(MATCH($C1213,总览!$D$46:$D$345,1)+1,1),7)=0),$C$3,0),0)</f>
        <v>793.645535714291</v>
      </c>
      <c r="R1213" s="131" cm="1">
        <f ca="1" t="array" ref="R1213">IF(R1815=1,OFFSET($W$634,$B1213,R$631-1)/SUMPRODUCT(--($D$631:$V$631=R$631),--($D1815:$V1815=1)),0)+SUM(R1212)+IF(COUNTIF(R$1237:R1815,1)=1,5,0)+IF(COUNTIF(S1213:$W1213,"&gt;"&amp;0)&lt;5,IF(AND(COUNTIF(R$1237:R1815,1)&gt;7,MOD(1+IFERROR(MATCH($C1213,总览!$D$46:$D$345,1)+1,1),7)=0),$C$3,0),0)</f>
        <v>785.264285714291</v>
      </c>
      <c r="S1213" s="131" cm="1">
        <f ca="1" t="array" ref="S1213">IF(S1815=1,OFFSET($W$634,$B1213,S$631-1)/SUMPRODUCT(--($D$631:$V$631=S$631),--($D1815:$V1815=1)),0)+SUM(S1212)+IF(COUNTIF(S$1237:S1815,1)=1,5,0)+IF(COUNTIF(T1213:$W1213,"&gt;"&amp;0)&lt;5,IF(AND(COUNTIF(S$1237:S1815,1)&gt;7,MOD(1+IFERROR(MATCH($C1213,总览!$D$46:$D$345,1)+1,1),7)=0),$C$3,0),0)</f>
        <v>877.764285714292</v>
      </c>
      <c r="T1213" s="131" cm="1">
        <f ca="1" t="array" ref="T1213">IF(T1815=1,OFFSET($W$634,$B1213,T$631-1)/SUMPRODUCT(--($D$631:$V$631=T$631),--($D1815:$V1815=1)),0)+SUM(T1212)+IF(COUNTIF(T$1237:T1815,1)=1,5,0)+IF(COUNTIF(U1213:$W1213,"&gt;"&amp;0)&lt;5,IF(AND(COUNTIF(T$1237:T1815,1)&gt;7,MOD(1+IFERROR(MATCH($C1213,总览!$D$46:$D$345,1)+1,1),7)=0),$C$3,0),0)</f>
        <v>643.072820181837</v>
      </c>
      <c r="U1213" s="131" cm="1">
        <f ca="1" t="array" ref="U1213">IF(U1815=1,OFFSET($W$634,$B1213,U$631-1)/SUMPRODUCT(--($D$631:$V$631=U$631),--($D1815:$V1815=1)),0)+SUM(U1212)+IF(COUNTIF(U$1237:U1815,1)=1,5,0)+IF(COUNTIF(V1213:$W1213,"&gt;"&amp;0)&lt;5,IF(AND(COUNTIF(U$1237:U1815,1)&gt;7,MOD(1+IFERROR(MATCH($C1213,总览!$D$46:$D$345,1)+1,1),7)=0),$C$3,0),0)</f>
        <v>648.593606537137</v>
      </c>
      <c r="V1213" s="131" cm="1">
        <f ca="1" t="array" ref="V1213">IF(V1815=1,OFFSET($W$634,$B1213,V$631-1)/SUMPRODUCT(--($D$631:$V$631=V$631),--($D1815:$V1815=1)),0)+SUM(V1212)+IF(COUNTIF(V$1237:V1815,1)=1,5,0)+IF(COUNTIF(W1213:$W1213,"&gt;"&amp;0)&lt;5,IF(AND(COUNTIF(V$1237:V1815,1)&gt;7,MOD(1+IFERROR(MATCH($C1213,总览!$D$46:$D$345,1)+1,1),7)=0),$C$3,0),0)</f>
        <v>668.42060624957</v>
      </c>
      <c r="W1213" s="135" cm="1">
        <f ca="1" t="array" ref="W1213">SUMPRODUCT(TRANSPOSE($AA1213:$AG1213),OFFSET($L$9:$L$15,0,W$631-1))</f>
        <v>16.8502200646615</v>
      </c>
      <c r="X1213" s="135" cm="1">
        <f ca="1" t="array" ref="X1213">SUMPRODUCT(TRANSPOSE($AA1213:$AG1213),OFFSET($L$9:$L$15,0,X$631-1))</f>
        <v>20</v>
      </c>
      <c r="Y1213" s="135" cm="1">
        <f ca="1" t="array" ref="Y1213">SUMPRODUCT(TRANSPOSE($AA1213:$AG1213),OFFSET($L$9:$L$15,0,Y$631-1))</f>
        <v>10</v>
      </c>
      <c r="Z1213" s="135" cm="1">
        <f ca="1" t="array" ref="Z1213">SUMPRODUCT(TRANSPOSE($AA1213:$AG1213),OFFSET($L$9:$L$15,0,Z$631-1))</f>
        <v>3.14977993533847</v>
      </c>
      <c r="AA1213" s="136">
        <f ca="1" t="shared" ref="AA1213:AG1213" si="1415">AH1213-AH1212</f>
        <v>0</v>
      </c>
      <c r="AB1213" s="136">
        <f ca="1" t="shared" si="1415"/>
        <v>0</v>
      </c>
      <c r="AC1213" s="136">
        <f ca="1" t="shared" si="1415"/>
        <v>0</v>
      </c>
      <c r="AD1213" s="136">
        <f ca="1" t="shared" si="1415"/>
        <v>0</v>
      </c>
      <c r="AE1213" s="136">
        <f ca="1" t="shared" si="1415"/>
        <v>0</v>
      </c>
      <c r="AF1213" s="136">
        <f ca="1" t="shared" si="1415"/>
        <v>0</v>
      </c>
      <c r="AG1213" s="136">
        <f ca="1" t="shared" si="1415"/>
        <v>100</v>
      </c>
      <c r="AH1213" s="136">
        <f ca="1" t="shared" si="1411"/>
        <v>450</v>
      </c>
      <c r="AI1213" s="136">
        <f ca="1" t="shared" ref="AI1213:AN1213" si="1416">IF($C1213&gt;OFFSET($Q$8,MATCH(AI$634,$AH$634:$AN$634,0),0),OFFSET($P$8,MATCH(AI$634,$AH$634:$AN$634,0),0),MAX(0,$C1213-OFFSET($Q$8,RIGHT(AI$634,1)-1,0)))</f>
        <v>909</v>
      </c>
      <c r="AJ1213" s="136">
        <f ca="1" t="shared" si="1416"/>
        <v>1818</v>
      </c>
      <c r="AK1213" s="136">
        <f ca="1" t="shared" si="1416"/>
        <v>2727</v>
      </c>
      <c r="AL1213" s="136">
        <f ca="1" t="shared" si="1416"/>
        <v>3636</v>
      </c>
      <c r="AM1213" s="136">
        <f ca="1" t="shared" si="1416"/>
        <v>4545</v>
      </c>
      <c r="AN1213" s="136">
        <f ca="1" t="shared" si="1416"/>
        <v>43815</v>
      </c>
    </row>
    <row r="1214" s="106" customFormat="1" ht="16.5" spans="2:40">
      <c r="B1214" s="117">
        <v>580</v>
      </c>
      <c r="C1214" s="130">
        <f t="shared" si="1409"/>
        <v>58000</v>
      </c>
      <c r="D1214" s="131" cm="1">
        <f ca="1" t="array" ref="D1214">IF(D1816=1,OFFSET($W$634,$B1214,D$631-1)/SUMPRODUCT(--($D$631:$V$631=D$631),--($D1816:$V1816=1)),0)+SUM(D1213)+IF(COUNTIF(D$1237:D1816,1)=1,5,0)+IF(COUNTIF(E1214:$W1214,"&gt;"&amp;0)&lt;5,IF(AND(COUNTIF(D$1237:D1816,1)&gt;7,MOD(1+IFERROR(MATCH($C1214,总览!$D$46:$D$345,1)+1,1),7)=0),$C$3,0),0)</f>
        <v>3585.41272903209</v>
      </c>
      <c r="E1214" s="131" cm="1">
        <f ca="1" t="array" ref="E1214">IF(E1816=1,OFFSET($W$634,$B1214,E$631-1)/SUMPRODUCT(--($D$631:$V$631=E$631),--($D1816:$V1816=1)),0)+SUM(E1213)+IF(COUNTIF(E$1237:E1816,1)=1,5,0)+IF(COUNTIF(F1214:$W1214,"&gt;"&amp;0)&lt;5,IF(AND(COUNTIF(E$1237:E1816,1)&gt;7,MOD(1+IFERROR(MATCH($C1214,总览!$D$46:$D$345,1)+1,1),7)=0),$C$3,0),0)</f>
        <v>3585.41272903209</v>
      </c>
      <c r="F1214" s="131" cm="1">
        <f ca="1" t="array" ref="F1214">IF(F1816=1,OFFSET($W$634,$B1214,F$631-1)/SUMPRODUCT(--($D$631:$V$631=F$631),--($D1816:$V1816=1)),0)+SUM(F1213)+IF(COUNTIF(F$1237:F1816,1)=1,5,0)+IF(COUNTIF(G1214:$W1214,"&gt;"&amp;0)&lt;5,IF(AND(COUNTIF(F$1237:F1816,1)&gt;7,MOD(1+IFERROR(MATCH($C1214,总览!$D$46:$D$345,1)+1,1),7)=0),$C$3,0),0)</f>
        <v>3585.41272903209</v>
      </c>
      <c r="G1214" s="131" cm="1">
        <f ca="1" t="array" ref="G1214">IF(G1816=1,OFFSET($W$634,$B1214,G$631-1)/SUMPRODUCT(--($D$631:$V$631=G$631),--($D1816:$V1816=1)),0)+SUM(G1213)+IF(COUNTIF(G$1237:G1816,1)=1,5,0)+IF(COUNTIF(H1214:$W1214,"&gt;"&amp;0)&lt;5,IF(AND(COUNTIF(G$1237:G1816,1)&gt;7,MOD(1+IFERROR(MATCH($C1214,总览!$D$46:$D$345,1)+1,1),7)=0),$C$3,0),0)</f>
        <v>1872.73333333332</v>
      </c>
      <c r="H1214" s="131" cm="1">
        <f ca="1" t="array" ref="H1214">IF(H1816=1,OFFSET($W$634,$B1214,H$631-1)/SUMPRODUCT(--($D$631:$V$631=H$631),--($D1816:$V1816=1)),0)+SUM(H1213)+IF(COUNTIF(H$1237:H1816,1)=1,5,0)+IF(COUNTIF(I1214:$W1214,"&gt;"&amp;0)&lt;5,IF(AND(COUNTIF(H$1237:H1816,1)&gt;7,MOD(1+IFERROR(MATCH($C1214,总览!$D$46:$D$345,1)+1,1),7)=0),$C$3,0),0)</f>
        <v>1872.73333333332</v>
      </c>
      <c r="I1214" s="131" cm="1">
        <f ca="1" t="array" ref="I1214">IF(I1816=1,OFFSET($W$634,$B1214,I$631-1)/SUMPRODUCT(--($D$631:$V$631=I$631),--($D1816:$V1816=1)),0)+SUM(I1213)+IF(COUNTIF(I$1237:I1816,1)=1,5,0)+IF(COUNTIF(J1214:$W1214,"&gt;"&amp;0)&lt;5,IF(AND(COUNTIF(I$1237:I1816,1)&gt;7,MOD(1+IFERROR(MATCH($C1214,总览!$D$46:$D$345,1)+1,1),7)=0),$C$3,0),0)</f>
        <v>1872.73333333332</v>
      </c>
      <c r="J1214" s="131" cm="1">
        <f ca="1" t="array" ref="J1214">IF(J1816=1,OFFSET($W$634,$B1214,J$631-1)/SUMPRODUCT(--($D$631:$V$631=J$631),--($D1816:$V1816=1)),0)+SUM(J1213)+IF(COUNTIF(J$1237:J1816,1)=1,5,0)+IF(COUNTIF(K1214:$W1214,"&gt;"&amp;0)&lt;5,IF(AND(COUNTIF(J$1237:J1816,1)&gt;7,MOD(1+IFERROR(MATCH($C1214,总览!$D$46:$D$345,1)+1,1),7)=0),$C$3,0),0)</f>
        <v>1869.39999999999</v>
      </c>
      <c r="K1214" s="131" cm="1">
        <f ca="1" t="array" ref="K1214">IF(K1816=1,OFFSET($W$634,$B1214,K$631-1)/SUMPRODUCT(--($D$631:$V$631=K$631),--($D1816:$V1816=1)),0)+SUM(K1213)+IF(COUNTIF(K$1237:K1816,1)=1,5,0)+IF(COUNTIF(L1214:$W1214,"&gt;"&amp;0)&lt;5,IF(AND(COUNTIF(K$1237:K1816,1)&gt;7,MOD(1+IFERROR(MATCH($C1214,总览!$D$46:$D$345,1)+1,1),7)=0),$C$3,0),0)</f>
        <v>1866.89999999999</v>
      </c>
      <c r="L1214" s="131" cm="1">
        <f ca="1" t="array" ref="L1214">IF(L1816=1,OFFSET($W$634,$B1214,L$631-1)/SUMPRODUCT(--($D$631:$V$631=L$631),--($D1816:$V1816=1)),0)+SUM(L1213)+IF(COUNTIF(L$1237:L1816,1)=1,5,0)+IF(COUNTIF(M1214:$W1214,"&gt;"&amp;0)&lt;5,IF(AND(COUNTIF(L$1237:L1816,1)&gt;7,MOD(1+IFERROR(MATCH($C1214,总览!$D$46:$D$345,1)+1,1),7)=0),$C$3,0),0)</f>
        <v>1866.89999999999</v>
      </c>
      <c r="M1214" s="131" cm="1">
        <f ca="1" t="array" ref="M1214">IF(M1816=1,OFFSET($W$634,$B1214,M$631-1)/SUMPRODUCT(--($D$631:$V$631=M$631),--($D1816:$V1816=1)),0)+SUM(M1213)+IF(COUNTIF(M$1237:M1816,1)=1,5,0)+IF(COUNTIF(N1214:$W1214,"&gt;"&amp;0)&lt;5,IF(AND(COUNTIF(M$1237:M1816,1)&gt;7,MOD(1+IFERROR(MATCH($C1214,总览!$D$46:$D$345,1)+1,1),7)=0),$C$3,0),0)</f>
        <v>786.324107142862</v>
      </c>
      <c r="N1214" s="131" cm="1">
        <f ca="1" t="array" ref="N1214">IF(N1816=1,OFFSET($W$634,$B1214,N$631-1)/SUMPRODUCT(--($D$631:$V$631=N$631),--($D1816:$V1816=1)),0)+SUM(N1213)+IF(COUNTIF(N$1237:N1816,1)=1,5,0)+IF(COUNTIF(O1214:$W1214,"&gt;"&amp;0)&lt;5,IF(AND(COUNTIF(N$1237:N1816,1)&gt;7,MOD(1+IFERROR(MATCH($C1214,总览!$D$46:$D$345,1)+1,1),7)=0),$C$3,0),0)</f>
        <v>787.574107142862</v>
      </c>
      <c r="O1214" s="131" cm="1">
        <f ca="1" t="array" ref="O1214">IF(O1816=1,OFFSET($W$634,$B1214,O$631-1)/SUMPRODUCT(--($D$631:$V$631=O$631),--($D1816:$V1816=1)),0)+SUM(O1213)+IF(COUNTIF(O$1237:O1816,1)=1,5,0)+IF(COUNTIF(P1214:$W1214,"&gt;"&amp;0)&lt;5,IF(AND(COUNTIF(O$1237:O1816,1)&gt;7,MOD(1+IFERROR(MATCH($C1214,总览!$D$46:$D$345,1)+1,1),7)=0),$C$3,0),0)</f>
        <v>792.574107142862</v>
      </c>
      <c r="P1214" s="131" cm="1">
        <f ca="1" t="array" ref="P1214">IF(P1816=1,OFFSET($W$634,$B1214,P$631-1)/SUMPRODUCT(--($D$631:$V$631=P$631),--($D1816:$V1816=1)),0)+SUM(P1213)+IF(COUNTIF(P$1237:P1816,1)=1,5,0)+IF(COUNTIF(Q1214:$W1214,"&gt;"&amp;0)&lt;5,IF(AND(COUNTIF(P$1237:P1816,1)&gt;7,MOD(1+IFERROR(MATCH($C1214,总览!$D$46:$D$345,1)+1,1),7)=0),$C$3,0),0)</f>
        <v>781.692857142862</v>
      </c>
      <c r="Q1214" s="131" cm="1">
        <f ca="1" t="array" ref="Q1214">IF(Q1816=1,OFFSET($W$634,$B1214,Q$631-1)/SUMPRODUCT(--($D$631:$V$631=Q$631),--($D1816:$V1816=1)),0)+SUM(Q1213)+IF(COUNTIF(Q$1237:Q1816,1)=1,5,0)+IF(COUNTIF(R1214:$W1214,"&gt;"&amp;0)&lt;5,IF(AND(COUNTIF(Q$1237:Q1816,1)&gt;7,MOD(1+IFERROR(MATCH($C1214,总览!$D$46:$D$345,1)+1,1),7)=0),$C$3,0),0)</f>
        <v>795.074107142862</v>
      </c>
      <c r="R1214" s="131" cm="1">
        <f ca="1" t="array" ref="R1214">IF(R1816=1,OFFSET($W$634,$B1214,R$631-1)/SUMPRODUCT(--($D$631:$V$631=R$631),--($D1816:$V1816=1)),0)+SUM(R1213)+IF(COUNTIF(R$1237:R1816,1)=1,5,0)+IF(COUNTIF(S1214:$W1214,"&gt;"&amp;0)&lt;5,IF(AND(COUNTIF(R$1237:R1816,1)&gt;7,MOD(1+IFERROR(MATCH($C1214,总览!$D$46:$D$345,1)+1,1),7)=0),$C$3,0),0)</f>
        <v>786.692857142862</v>
      </c>
      <c r="S1214" s="131" cm="1">
        <f ca="1" t="array" ref="S1214">IF(S1816=1,OFFSET($W$634,$B1214,S$631-1)/SUMPRODUCT(--($D$631:$V$631=S$631),--($D1816:$V1816=1)),0)+SUM(S1213)+IF(COUNTIF(S$1237:S1816,1)=1,5,0)+IF(COUNTIF(T1214:$W1214,"&gt;"&amp;0)&lt;5,IF(AND(COUNTIF(S$1237:S1816,1)&gt;7,MOD(1+IFERROR(MATCH($C1214,总览!$D$46:$D$345,1)+1,1),7)=0),$C$3,0),0)</f>
        <v>879.192857142863</v>
      </c>
      <c r="T1214" s="131" cm="1">
        <f ca="1" t="array" ref="T1214">IF(T1816=1,OFFSET($W$634,$B1214,T$631-1)/SUMPRODUCT(--($D$631:$V$631=T$631),--($D1816:$V1816=1)),0)+SUM(T1213)+IF(COUNTIF(T$1237:T1816,1)=1,5,0)+IF(COUNTIF(U1214:$W1214,"&gt;"&amp;0)&lt;5,IF(AND(COUNTIF(T$1237:T1816,1)&gt;7,MOD(1+IFERROR(MATCH($C1214,总览!$D$46:$D$345,1)+1,1),7)=0),$C$3,0),0)</f>
        <v>644.12274682695</v>
      </c>
      <c r="U1214" s="131" cm="1">
        <f ca="1" t="array" ref="U1214">IF(U1816=1,OFFSET($W$634,$B1214,U$631-1)/SUMPRODUCT(--($D$631:$V$631=U$631),--($D1816:$V1816=1)),0)+SUM(U1213)+IF(COUNTIF(U$1237:U1816,1)=1,5,0)+IF(COUNTIF(V1214:$W1214,"&gt;"&amp;0)&lt;5,IF(AND(COUNTIF(U$1237:U1816,1)&gt;7,MOD(1+IFERROR(MATCH($C1214,总览!$D$46:$D$345,1)+1,1),7)=0),$C$3,0),0)</f>
        <v>649.643533182249</v>
      </c>
      <c r="V1214" s="131" cm="1">
        <f ca="1" t="array" ref="V1214">IF(V1816=1,OFFSET($W$634,$B1214,V$631-1)/SUMPRODUCT(--($D$631:$V$631=V$631),--($D1816:$V1816=1)),0)+SUM(V1213)+IF(COUNTIF(V$1237:V1816,1)=1,5,0)+IF(COUNTIF(W1214:$W1214,"&gt;"&amp;0)&lt;5,IF(AND(COUNTIF(V$1237:V1816,1)&gt;7,MOD(1+IFERROR(MATCH($C1214,总览!$D$46:$D$345,1)+1,1),7)=0),$C$3,0),0)</f>
        <v>669.470532894682</v>
      </c>
      <c r="W1214" s="135" cm="1">
        <f ca="1" t="array" ref="W1214">SUMPRODUCT(TRANSPOSE($AA1214:$AG1214),OFFSET($L$9:$L$15,0,W$631-1))</f>
        <v>16.8502200646615</v>
      </c>
      <c r="X1214" s="135" cm="1">
        <f ca="1" t="array" ref="X1214">SUMPRODUCT(TRANSPOSE($AA1214:$AG1214),OFFSET($L$9:$L$15,0,X$631-1))</f>
        <v>20</v>
      </c>
      <c r="Y1214" s="135" cm="1">
        <f ca="1" t="array" ref="Y1214">SUMPRODUCT(TRANSPOSE($AA1214:$AG1214),OFFSET($L$9:$L$15,0,Y$631-1))</f>
        <v>10</v>
      </c>
      <c r="Z1214" s="135" cm="1">
        <f ca="1" t="array" ref="Z1214">SUMPRODUCT(TRANSPOSE($AA1214:$AG1214),OFFSET($L$9:$L$15,0,Z$631-1))</f>
        <v>3.14977993533847</v>
      </c>
      <c r="AA1214" s="136">
        <f ca="1" t="shared" ref="AA1214:AG1214" si="1417">AH1214-AH1213</f>
        <v>0</v>
      </c>
      <c r="AB1214" s="136">
        <f ca="1" t="shared" si="1417"/>
        <v>0</v>
      </c>
      <c r="AC1214" s="136">
        <f ca="1" t="shared" si="1417"/>
        <v>0</v>
      </c>
      <c r="AD1214" s="136">
        <f ca="1" t="shared" si="1417"/>
        <v>0</v>
      </c>
      <c r="AE1214" s="136">
        <f ca="1" t="shared" si="1417"/>
        <v>0</v>
      </c>
      <c r="AF1214" s="136">
        <f ca="1" t="shared" si="1417"/>
        <v>0</v>
      </c>
      <c r="AG1214" s="136">
        <f ca="1" t="shared" si="1417"/>
        <v>100</v>
      </c>
      <c r="AH1214" s="136">
        <f ca="1" t="shared" si="1411"/>
        <v>450</v>
      </c>
      <c r="AI1214" s="136">
        <f ca="1" t="shared" ref="AI1214:AN1214" si="1418">IF($C1214&gt;OFFSET($Q$8,MATCH(AI$634,$AH$634:$AN$634,0),0),OFFSET($P$8,MATCH(AI$634,$AH$634:$AN$634,0),0),MAX(0,$C1214-OFFSET($Q$8,RIGHT(AI$634,1)-1,0)))</f>
        <v>909</v>
      </c>
      <c r="AJ1214" s="136">
        <f ca="1" t="shared" si="1418"/>
        <v>1818</v>
      </c>
      <c r="AK1214" s="136">
        <f ca="1" t="shared" si="1418"/>
        <v>2727</v>
      </c>
      <c r="AL1214" s="136">
        <f ca="1" t="shared" si="1418"/>
        <v>3636</v>
      </c>
      <c r="AM1214" s="136">
        <f ca="1" t="shared" si="1418"/>
        <v>4545</v>
      </c>
      <c r="AN1214" s="136">
        <f ca="1" t="shared" si="1418"/>
        <v>43915</v>
      </c>
    </row>
    <row r="1215" s="106" customFormat="1" ht="16.5" spans="2:40">
      <c r="B1215" s="117">
        <v>581</v>
      </c>
      <c r="C1215" s="130">
        <f t="shared" si="1409"/>
        <v>58100</v>
      </c>
      <c r="D1215" s="131" cm="1">
        <f ca="1" t="array" ref="D1215">IF(D1817=1,OFFSET($W$634,$B1215,D$631-1)/SUMPRODUCT(--($D$631:$V$631=D$631),--($D1817:$V1817=1)),0)+SUM(D1214)+IF(COUNTIF(D$1237:D1817,1)=1,5,0)+IF(COUNTIF(E1215:$W1215,"&gt;"&amp;0)&lt;5,IF(AND(COUNTIF(D$1237:D1817,1)&gt;7,MOD(1+IFERROR(MATCH($C1215,总览!$D$46:$D$345,1)+1,1),7)=0),$C$3,0),0)</f>
        <v>3591.02946905364</v>
      </c>
      <c r="E1215" s="131" cm="1">
        <f ca="1" t="array" ref="E1215">IF(E1817=1,OFFSET($W$634,$B1215,E$631-1)/SUMPRODUCT(--($D$631:$V$631=E$631),--($D1817:$V1817=1)),0)+SUM(E1214)+IF(COUNTIF(E$1237:E1817,1)=1,5,0)+IF(COUNTIF(F1215:$W1215,"&gt;"&amp;0)&lt;5,IF(AND(COUNTIF(E$1237:E1817,1)&gt;7,MOD(1+IFERROR(MATCH($C1215,总览!$D$46:$D$345,1)+1,1),7)=0),$C$3,0),0)</f>
        <v>3591.02946905364</v>
      </c>
      <c r="F1215" s="131" cm="1">
        <f ca="1" t="array" ref="F1215">IF(F1817=1,OFFSET($W$634,$B1215,F$631-1)/SUMPRODUCT(--($D$631:$V$631=F$631),--($D1817:$V1817=1)),0)+SUM(F1214)+IF(COUNTIF(F$1237:F1817,1)=1,5,0)+IF(COUNTIF(G1215:$W1215,"&gt;"&amp;0)&lt;5,IF(AND(COUNTIF(F$1237:F1817,1)&gt;7,MOD(1+IFERROR(MATCH($C1215,总览!$D$46:$D$345,1)+1,1),7)=0),$C$3,0),0)</f>
        <v>3591.02946905364</v>
      </c>
      <c r="G1215" s="131" cm="1">
        <f ca="1" t="array" ref="G1215">IF(G1817=1,OFFSET($W$634,$B1215,G$631-1)/SUMPRODUCT(--($D$631:$V$631=G$631),--($D1817:$V1817=1)),0)+SUM(G1214)+IF(COUNTIF(G$1237:G1817,1)=1,5,0)+IF(COUNTIF(H1215:$W1215,"&gt;"&amp;0)&lt;5,IF(AND(COUNTIF(G$1237:G1817,1)&gt;7,MOD(1+IFERROR(MATCH($C1215,总览!$D$46:$D$345,1)+1,1),7)=0),$C$3,0),0)</f>
        <v>1876.06666666665</v>
      </c>
      <c r="H1215" s="131" cm="1">
        <f ca="1" t="array" ref="H1215">IF(H1817=1,OFFSET($W$634,$B1215,H$631-1)/SUMPRODUCT(--($D$631:$V$631=H$631),--($D1817:$V1817=1)),0)+SUM(H1214)+IF(COUNTIF(H$1237:H1817,1)=1,5,0)+IF(COUNTIF(I1215:$W1215,"&gt;"&amp;0)&lt;5,IF(AND(COUNTIF(H$1237:H1817,1)&gt;7,MOD(1+IFERROR(MATCH($C1215,总览!$D$46:$D$345,1)+1,1),7)=0),$C$3,0),0)</f>
        <v>1876.06666666665</v>
      </c>
      <c r="I1215" s="131" cm="1">
        <f ca="1" t="array" ref="I1215">IF(I1817=1,OFFSET($W$634,$B1215,I$631-1)/SUMPRODUCT(--($D$631:$V$631=I$631),--($D1817:$V1817=1)),0)+SUM(I1214)+IF(COUNTIF(I$1237:I1817,1)=1,5,0)+IF(COUNTIF(J1215:$W1215,"&gt;"&amp;0)&lt;5,IF(AND(COUNTIF(I$1237:I1817,1)&gt;7,MOD(1+IFERROR(MATCH($C1215,总览!$D$46:$D$345,1)+1,1),7)=0),$C$3,0),0)</f>
        <v>1876.06666666665</v>
      </c>
      <c r="J1215" s="131" cm="1">
        <f ca="1" t="array" ref="J1215">IF(J1817=1,OFFSET($W$634,$B1215,J$631-1)/SUMPRODUCT(--($D$631:$V$631=J$631),--($D1817:$V1817=1)),0)+SUM(J1214)+IF(COUNTIF(J$1237:J1817,1)=1,5,0)+IF(COUNTIF(K1215:$W1215,"&gt;"&amp;0)&lt;5,IF(AND(COUNTIF(J$1237:J1817,1)&gt;7,MOD(1+IFERROR(MATCH($C1215,总览!$D$46:$D$345,1)+1,1),7)=0),$C$3,0),0)</f>
        <v>1872.73333333332</v>
      </c>
      <c r="K1215" s="131" cm="1">
        <f ca="1" t="array" ref="K1215">IF(K1817=1,OFFSET($W$634,$B1215,K$631-1)/SUMPRODUCT(--($D$631:$V$631=K$631),--($D1817:$V1817=1)),0)+SUM(K1214)+IF(COUNTIF(K$1237:K1817,1)=1,5,0)+IF(COUNTIF(L1215:$W1215,"&gt;"&amp;0)&lt;5,IF(AND(COUNTIF(K$1237:K1817,1)&gt;7,MOD(1+IFERROR(MATCH($C1215,总览!$D$46:$D$345,1)+1,1),7)=0),$C$3,0),0)</f>
        <v>1870.23333333332</v>
      </c>
      <c r="L1215" s="131" cm="1">
        <f ca="1" t="array" ref="L1215">IF(L1817=1,OFFSET($W$634,$B1215,L$631-1)/SUMPRODUCT(--($D$631:$V$631=L$631),--($D1817:$V1817=1)),0)+SUM(L1214)+IF(COUNTIF(L$1237:L1817,1)=1,5,0)+IF(COUNTIF(M1215:$W1215,"&gt;"&amp;0)&lt;5,IF(AND(COUNTIF(L$1237:L1817,1)&gt;7,MOD(1+IFERROR(MATCH($C1215,总览!$D$46:$D$345,1)+1,1),7)=0),$C$3,0),0)</f>
        <v>1870.23333333332</v>
      </c>
      <c r="M1215" s="131" cm="1">
        <f ca="1" t="array" ref="M1215">IF(M1817=1,OFFSET($W$634,$B1215,M$631-1)/SUMPRODUCT(--($D$631:$V$631=M$631),--($D1817:$V1817=1)),0)+SUM(M1214)+IF(COUNTIF(M$1237:M1817,1)=1,5,0)+IF(COUNTIF(N1215:$W1215,"&gt;"&amp;0)&lt;5,IF(AND(COUNTIF(M$1237:M1817,1)&gt;7,MOD(1+IFERROR(MATCH($C1215,总览!$D$46:$D$345,1)+1,1),7)=0),$C$3,0),0)</f>
        <v>787.752678571433</v>
      </c>
      <c r="N1215" s="131" cm="1">
        <f ca="1" t="array" ref="N1215">IF(N1817=1,OFFSET($W$634,$B1215,N$631-1)/SUMPRODUCT(--($D$631:$V$631=N$631),--($D1817:$V1817=1)),0)+SUM(N1214)+IF(COUNTIF(N$1237:N1817,1)=1,5,0)+IF(COUNTIF(O1215:$W1215,"&gt;"&amp;0)&lt;5,IF(AND(COUNTIF(N$1237:N1817,1)&gt;7,MOD(1+IFERROR(MATCH($C1215,总览!$D$46:$D$345,1)+1,1),7)=0),$C$3,0),0)</f>
        <v>789.002678571433</v>
      </c>
      <c r="O1215" s="131" cm="1">
        <f ca="1" t="array" ref="O1215">IF(O1817=1,OFFSET($W$634,$B1215,O$631-1)/SUMPRODUCT(--($D$631:$V$631=O$631),--($D1817:$V1817=1)),0)+SUM(O1214)+IF(COUNTIF(O$1237:O1817,1)=1,5,0)+IF(COUNTIF(P1215:$W1215,"&gt;"&amp;0)&lt;5,IF(AND(COUNTIF(O$1237:O1817,1)&gt;7,MOD(1+IFERROR(MATCH($C1215,总览!$D$46:$D$345,1)+1,1),7)=0),$C$3,0),0)</f>
        <v>794.002678571433</v>
      </c>
      <c r="P1215" s="131" cm="1">
        <f ca="1" t="array" ref="P1215">IF(P1817=1,OFFSET($W$634,$B1215,P$631-1)/SUMPRODUCT(--($D$631:$V$631=P$631),--($D1817:$V1817=1)),0)+SUM(P1214)+IF(COUNTIF(P$1237:P1817,1)=1,5,0)+IF(COUNTIF(Q1215:$W1215,"&gt;"&amp;0)&lt;5,IF(AND(COUNTIF(P$1237:P1817,1)&gt;7,MOD(1+IFERROR(MATCH($C1215,总览!$D$46:$D$345,1)+1,1),7)=0),$C$3,0),0)</f>
        <v>783.121428571433</v>
      </c>
      <c r="Q1215" s="131" cm="1">
        <f ca="1" t="array" ref="Q1215">IF(Q1817=1,OFFSET($W$634,$B1215,Q$631-1)/SUMPRODUCT(--($D$631:$V$631=Q$631),--($D1817:$V1817=1)),0)+SUM(Q1214)+IF(COUNTIF(Q$1237:Q1817,1)=1,5,0)+IF(COUNTIF(R1215:$W1215,"&gt;"&amp;0)&lt;5,IF(AND(COUNTIF(Q$1237:Q1817,1)&gt;7,MOD(1+IFERROR(MATCH($C1215,总览!$D$46:$D$345,1)+1,1),7)=0),$C$3,0),0)</f>
        <v>796.502678571433</v>
      </c>
      <c r="R1215" s="131" cm="1">
        <f ca="1" t="array" ref="R1215">IF(R1817=1,OFFSET($W$634,$B1215,R$631-1)/SUMPRODUCT(--($D$631:$V$631=R$631),--($D1817:$V1817=1)),0)+SUM(R1214)+IF(COUNTIF(R$1237:R1817,1)=1,5,0)+IF(COUNTIF(S1215:$W1215,"&gt;"&amp;0)&lt;5,IF(AND(COUNTIF(R$1237:R1817,1)&gt;7,MOD(1+IFERROR(MATCH($C1215,总览!$D$46:$D$345,1)+1,1),7)=0),$C$3,0),0)</f>
        <v>788.121428571433</v>
      </c>
      <c r="S1215" s="131" cm="1">
        <f ca="1" t="array" ref="S1215">IF(S1817=1,OFFSET($W$634,$B1215,S$631-1)/SUMPRODUCT(--($D$631:$V$631=S$631),--($D1817:$V1817=1)),0)+SUM(S1214)+IF(COUNTIF(S$1237:S1817,1)=1,5,0)+IF(COUNTIF(T1215:$W1215,"&gt;"&amp;0)&lt;5,IF(AND(COUNTIF(S$1237:S1817,1)&gt;7,MOD(1+IFERROR(MATCH($C1215,总览!$D$46:$D$345,1)+1,1),7)=0),$C$3,0),0)</f>
        <v>880.621428571435</v>
      </c>
      <c r="T1215" s="131" cm="1">
        <f ca="1" t="array" ref="T1215">IF(T1817=1,OFFSET($W$634,$B1215,T$631-1)/SUMPRODUCT(--($D$631:$V$631=T$631),--($D1817:$V1817=1)),0)+SUM(T1214)+IF(COUNTIF(T$1237:T1817,1)=1,5,0)+IF(COUNTIF(U1215:$W1215,"&gt;"&amp;0)&lt;5,IF(AND(COUNTIF(T$1237:T1817,1)&gt;7,MOD(1+IFERROR(MATCH($C1215,总览!$D$46:$D$345,1)+1,1),7)=0),$C$3,0),0)</f>
        <v>645.172673472063</v>
      </c>
      <c r="U1215" s="131" cm="1">
        <f ca="1" t="array" ref="U1215">IF(U1817=1,OFFSET($W$634,$B1215,U$631-1)/SUMPRODUCT(--($D$631:$V$631=U$631),--($D1817:$V1817=1)),0)+SUM(U1214)+IF(COUNTIF(U$1237:U1817,1)=1,5,0)+IF(COUNTIF(V1215:$W1215,"&gt;"&amp;0)&lt;5,IF(AND(COUNTIF(U$1237:U1817,1)&gt;7,MOD(1+IFERROR(MATCH($C1215,总览!$D$46:$D$345,1)+1,1),7)=0),$C$3,0),0)</f>
        <v>650.693459827362</v>
      </c>
      <c r="V1215" s="131" cm="1">
        <f ca="1" t="array" ref="V1215">IF(V1817=1,OFFSET($W$634,$B1215,V$631-1)/SUMPRODUCT(--($D$631:$V$631=V$631),--($D1817:$V1817=1)),0)+SUM(V1214)+IF(COUNTIF(V$1237:V1817,1)=1,5,0)+IF(COUNTIF(W1215:$W1215,"&gt;"&amp;0)&lt;5,IF(AND(COUNTIF(V$1237:V1817,1)&gt;7,MOD(1+IFERROR(MATCH($C1215,总览!$D$46:$D$345,1)+1,1),7)=0),$C$3,0),0)</f>
        <v>670.520459539795</v>
      </c>
      <c r="W1215" s="135" cm="1">
        <f ca="1" t="array" ref="W1215">SUMPRODUCT(TRANSPOSE($AA1215:$AG1215),OFFSET($L$9:$L$15,0,W$631-1))</f>
        <v>16.8502200646615</v>
      </c>
      <c r="X1215" s="135" cm="1">
        <f ca="1" t="array" ref="X1215">SUMPRODUCT(TRANSPOSE($AA1215:$AG1215),OFFSET($L$9:$L$15,0,X$631-1))</f>
        <v>20</v>
      </c>
      <c r="Y1215" s="135" cm="1">
        <f ca="1" t="array" ref="Y1215">SUMPRODUCT(TRANSPOSE($AA1215:$AG1215),OFFSET($L$9:$L$15,0,Y$631-1))</f>
        <v>10</v>
      </c>
      <c r="Z1215" s="135" cm="1">
        <f ca="1" t="array" ref="Z1215">SUMPRODUCT(TRANSPOSE($AA1215:$AG1215),OFFSET($L$9:$L$15,0,Z$631-1))</f>
        <v>3.14977993533847</v>
      </c>
      <c r="AA1215" s="136">
        <f ca="1" t="shared" ref="AA1215:AG1215" si="1419">AH1215-AH1214</f>
        <v>0</v>
      </c>
      <c r="AB1215" s="136">
        <f ca="1" t="shared" si="1419"/>
        <v>0</v>
      </c>
      <c r="AC1215" s="136">
        <f ca="1" t="shared" si="1419"/>
        <v>0</v>
      </c>
      <c r="AD1215" s="136">
        <f ca="1" t="shared" si="1419"/>
        <v>0</v>
      </c>
      <c r="AE1215" s="136">
        <f ca="1" t="shared" si="1419"/>
        <v>0</v>
      </c>
      <c r="AF1215" s="136">
        <f ca="1" t="shared" si="1419"/>
        <v>0</v>
      </c>
      <c r="AG1215" s="136">
        <f ca="1" t="shared" si="1419"/>
        <v>100</v>
      </c>
      <c r="AH1215" s="136">
        <f ca="1" t="shared" si="1411"/>
        <v>450</v>
      </c>
      <c r="AI1215" s="136">
        <f ca="1" t="shared" ref="AI1215:AN1215" si="1420">IF($C1215&gt;OFFSET($Q$8,MATCH(AI$634,$AH$634:$AN$634,0),0),OFFSET($P$8,MATCH(AI$634,$AH$634:$AN$634,0),0),MAX(0,$C1215-OFFSET($Q$8,RIGHT(AI$634,1)-1,0)))</f>
        <v>909</v>
      </c>
      <c r="AJ1215" s="136">
        <f ca="1" t="shared" si="1420"/>
        <v>1818</v>
      </c>
      <c r="AK1215" s="136">
        <f ca="1" t="shared" si="1420"/>
        <v>2727</v>
      </c>
      <c r="AL1215" s="136">
        <f ca="1" t="shared" si="1420"/>
        <v>3636</v>
      </c>
      <c r="AM1215" s="136">
        <f ca="1" t="shared" si="1420"/>
        <v>4545</v>
      </c>
      <c r="AN1215" s="136">
        <f ca="1" t="shared" si="1420"/>
        <v>44015</v>
      </c>
    </row>
    <row r="1216" s="106" customFormat="1" ht="16.5" spans="2:40">
      <c r="B1216" s="117">
        <v>582</v>
      </c>
      <c r="C1216" s="130">
        <f t="shared" si="1409"/>
        <v>58200</v>
      </c>
      <c r="D1216" s="131" cm="1">
        <f ca="1" t="array" ref="D1216">IF(D1818=1,OFFSET($W$634,$B1216,D$631-1)/SUMPRODUCT(--($D$631:$V$631=D$631),--($D1818:$V1818=1)),0)+SUM(D1215)+IF(COUNTIF(D$1237:D1818,1)=1,5,0)+IF(COUNTIF(E1216:$W1216,"&gt;"&amp;0)&lt;5,IF(AND(COUNTIF(D$1237:D1818,1)&gt;7,MOD(1+IFERROR(MATCH($C1216,总览!$D$46:$D$345,1)+1,1),7)=0),$C$3,0),0)</f>
        <v>3596.64620907519</v>
      </c>
      <c r="E1216" s="131" cm="1">
        <f ca="1" t="array" ref="E1216">IF(E1818=1,OFFSET($W$634,$B1216,E$631-1)/SUMPRODUCT(--($D$631:$V$631=E$631),--($D1818:$V1818=1)),0)+SUM(E1215)+IF(COUNTIF(E$1237:E1818,1)=1,5,0)+IF(COUNTIF(F1216:$W1216,"&gt;"&amp;0)&lt;5,IF(AND(COUNTIF(E$1237:E1818,1)&gt;7,MOD(1+IFERROR(MATCH($C1216,总览!$D$46:$D$345,1)+1,1),7)=0),$C$3,0),0)</f>
        <v>3596.64620907519</v>
      </c>
      <c r="F1216" s="131" cm="1">
        <f ca="1" t="array" ref="F1216">IF(F1818=1,OFFSET($W$634,$B1216,F$631-1)/SUMPRODUCT(--($D$631:$V$631=F$631),--($D1818:$V1818=1)),0)+SUM(F1215)+IF(COUNTIF(F$1237:F1818,1)=1,5,0)+IF(COUNTIF(G1216:$W1216,"&gt;"&amp;0)&lt;5,IF(AND(COUNTIF(F$1237:F1818,1)&gt;7,MOD(1+IFERROR(MATCH($C1216,总览!$D$46:$D$345,1)+1,1),7)=0),$C$3,0),0)</f>
        <v>3596.64620907519</v>
      </c>
      <c r="G1216" s="131" cm="1">
        <f ca="1" t="array" ref="G1216">IF(G1818=1,OFFSET($W$634,$B1216,G$631-1)/SUMPRODUCT(--($D$631:$V$631=G$631),--($D1818:$V1818=1)),0)+SUM(G1215)+IF(COUNTIF(G$1237:G1818,1)=1,5,0)+IF(COUNTIF(H1216:$W1216,"&gt;"&amp;0)&lt;5,IF(AND(COUNTIF(G$1237:G1818,1)&gt;7,MOD(1+IFERROR(MATCH($C1216,总览!$D$46:$D$345,1)+1,1),7)=0),$C$3,0),0)</f>
        <v>1879.39999999999</v>
      </c>
      <c r="H1216" s="131" cm="1">
        <f ca="1" t="array" ref="H1216">IF(H1818=1,OFFSET($W$634,$B1216,H$631-1)/SUMPRODUCT(--($D$631:$V$631=H$631),--($D1818:$V1818=1)),0)+SUM(H1215)+IF(COUNTIF(H$1237:H1818,1)=1,5,0)+IF(COUNTIF(I1216:$W1216,"&gt;"&amp;0)&lt;5,IF(AND(COUNTIF(H$1237:H1818,1)&gt;7,MOD(1+IFERROR(MATCH($C1216,总览!$D$46:$D$345,1)+1,1),7)=0),$C$3,0),0)</f>
        <v>1879.39999999999</v>
      </c>
      <c r="I1216" s="131" cm="1">
        <f ca="1" t="array" ref="I1216">IF(I1818=1,OFFSET($W$634,$B1216,I$631-1)/SUMPRODUCT(--($D$631:$V$631=I$631),--($D1818:$V1818=1)),0)+SUM(I1215)+IF(COUNTIF(I$1237:I1818,1)=1,5,0)+IF(COUNTIF(J1216:$W1216,"&gt;"&amp;0)&lt;5,IF(AND(COUNTIF(I$1237:I1818,1)&gt;7,MOD(1+IFERROR(MATCH($C1216,总览!$D$46:$D$345,1)+1,1),7)=0),$C$3,0),0)</f>
        <v>1879.39999999999</v>
      </c>
      <c r="J1216" s="131" cm="1">
        <f ca="1" t="array" ref="J1216">IF(J1818=1,OFFSET($W$634,$B1216,J$631-1)/SUMPRODUCT(--($D$631:$V$631=J$631),--($D1818:$V1818=1)),0)+SUM(J1215)+IF(COUNTIF(J$1237:J1818,1)=1,5,0)+IF(COUNTIF(K1216:$W1216,"&gt;"&amp;0)&lt;5,IF(AND(COUNTIF(J$1237:J1818,1)&gt;7,MOD(1+IFERROR(MATCH($C1216,总览!$D$46:$D$345,1)+1,1),7)=0),$C$3,0),0)</f>
        <v>1876.06666666665</v>
      </c>
      <c r="K1216" s="131" cm="1">
        <f ca="1" t="array" ref="K1216">IF(K1818=1,OFFSET($W$634,$B1216,K$631-1)/SUMPRODUCT(--($D$631:$V$631=K$631),--($D1818:$V1818=1)),0)+SUM(K1215)+IF(COUNTIF(K$1237:K1818,1)=1,5,0)+IF(COUNTIF(L1216:$W1216,"&gt;"&amp;0)&lt;5,IF(AND(COUNTIF(K$1237:K1818,1)&gt;7,MOD(1+IFERROR(MATCH($C1216,总览!$D$46:$D$345,1)+1,1),7)=0),$C$3,0),0)</f>
        <v>1873.56666666665</v>
      </c>
      <c r="L1216" s="131" cm="1">
        <f ca="1" t="array" ref="L1216">IF(L1818=1,OFFSET($W$634,$B1216,L$631-1)/SUMPRODUCT(--($D$631:$V$631=L$631),--($D1818:$V1818=1)),0)+SUM(L1215)+IF(COUNTIF(L$1237:L1818,1)=1,5,0)+IF(COUNTIF(M1216:$W1216,"&gt;"&amp;0)&lt;5,IF(AND(COUNTIF(L$1237:L1818,1)&gt;7,MOD(1+IFERROR(MATCH($C1216,总览!$D$46:$D$345,1)+1,1),7)=0),$C$3,0),0)</f>
        <v>1873.56666666665</v>
      </c>
      <c r="M1216" s="131" cm="1">
        <f ca="1" t="array" ref="M1216">IF(M1818=1,OFFSET($W$634,$B1216,M$631-1)/SUMPRODUCT(--($D$631:$V$631=M$631),--($D1818:$V1818=1)),0)+SUM(M1215)+IF(COUNTIF(M$1237:M1818,1)=1,5,0)+IF(COUNTIF(N1216:$W1216,"&gt;"&amp;0)&lt;5,IF(AND(COUNTIF(M$1237:M1818,1)&gt;7,MOD(1+IFERROR(MATCH($C1216,总览!$D$46:$D$345,1)+1,1),7)=0),$C$3,0),0)</f>
        <v>789.181250000005</v>
      </c>
      <c r="N1216" s="131" cm="1">
        <f ca="1" t="array" ref="N1216">IF(N1818=1,OFFSET($W$634,$B1216,N$631-1)/SUMPRODUCT(--($D$631:$V$631=N$631),--($D1818:$V1818=1)),0)+SUM(N1215)+IF(COUNTIF(N$1237:N1818,1)=1,5,0)+IF(COUNTIF(O1216:$W1216,"&gt;"&amp;0)&lt;5,IF(AND(COUNTIF(N$1237:N1818,1)&gt;7,MOD(1+IFERROR(MATCH($C1216,总览!$D$46:$D$345,1)+1,1),7)=0),$C$3,0),0)</f>
        <v>790.431250000005</v>
      </c>
      <c r="O1216" s="131" cm="1">
        <f ca="1" t="array" ref="O1216">IF(O1818=1,OFFSET($W$634,$B1216,O$631-1)/SUMPRODUCT(--($D$631:$V$631=O$631),--($D1818:$V1818=1)),0)+SUM(O1215)+IF(COUNTIF(O$1237:O1818,1)=1,5,0)+IF(COUNTIF(P1216:$W1216,"&gt;"&amp;0)&lt;5,IF(AND(COUNTIF(O$1237:O1818,1)&gt;7,MOD(1+IFERROR(MATCH($C1216,总览!$D$46:$D$345,1)+1,1),7)=0),$C$3,0),0)</f>
        <v>795.431250000005</v>
      </c>
      <c r="P1216" s="131" cm="1">
        <f ca="1" t="array" ref="P1216">IF(P1818=1,OFFSET($W$634,$B1216,P$631-1)/SUMPRODUCT(--($D$631:$V$631=P$631),--($D1818:$V1818=1)),0)+SUM(P1215)+IF(COUNTIF(P$1237:P1818,1)=1,5,0)+IF(COUNTIF(Q1216:$W1216,"&gt;"&amp;0)&lt;5,IF(AND(COUNTIF(P$1237:P1818,1)&gt;7,MOD(1+IFERROR(MATCH($C1216,总览!$D$46:$D$345,1)+1,1),7)=0),$C$3,0),0)</f>
        <v>784.550000000005</v>
      </c>
      <c r="Q1216" s="131" cm="1">
        <f ca="1" t="array" ref="Q1216">IF(Q1818=1,OFFSET($W$634,$B1216,Q$631-1)/SUMPRODUCT(--($D$631:$V$631=Q$631),--($D1818:$V1818=1)),0)+SUM(Q1215)+IF(COUNTIF(Q$1237:Q1818,1)=1,5,0)+IF(COUNTIF(R1216:$W1216,"&gt;"&amp;0)&lt;5,IF(AND(COUNTIF(Q$1237:Q1818,1)&gt;7,MOD(1+IFERROR(MATCH($C1216,总览!$D$46:$D$345,1)+1,1),7)=0),$C$3,0),0)</f>
        <v>797.931250000005</v>
      </c>
      <c r="R1216" s="131" cm="1">
        <f ca="1" t="array" ref="R1216">IF(R1818=1,OFFSET($W$634,$B1216,R$631-1)/SUMPRODUCT(--($D$631:$V$631=R$631),--($D1818:$V1818=1)),0)+SUM(R1215)+IF(COUNTIF(R$1237:R1818,1)=1,5,0)+IF(COUNTIF(S1216:$W1216,"&gt;"&amp;0)&lt;5,IF(AND(COUNTIF(R$1237:R1818,1)&gt;7,MOD(1+IFERROR(MATCH($C1216,总览!$D$46:$D$345,1)+1,1),7)=0),$C$3,0),0)</f>
        <v>789.550000000005</v>
      </c>
      <c r="S1216" s="131" cm="1">
        <f ca="1" t="array" ref="S1216">IF(S1818=1,OFFSET($W$634,$B1216,S$631-1)/SUMPRODUCT(--($D$631:$V$631=S$631),--($D1818:$V1818=1)),0)+SUM(S1215)+IF(COUNTIF(S$1237:S1818,1)=1,5,0)+IF(COUNTIF(T1216:$W1216,"&gt;"&amp;0)&lt;5,IF(AND(COUNTIF(S$1237:S1818,1)&gt;7,MOD(1+IFERROR(MATCH($C1216,总览!$D$46:$D$345,1)+1,1),7)=0),$C$3,0),0)</f>
        <v>882.050000000006</v>
      </c>
      <c r="T1216" s="131" cm="1">
        <f ca="1" t="array" ref="T1216">IF(T1818=1,OFFSET($W$634,$B1216,T$631-1)/SUMPRODUCT(--($D$631:$V$631=T$631),--($D1818:$V1818=1)),0)+SUM(T1215)+IF(COUNTIF(T$1237:T1818,1)=1,5,0)+IF(COUNTIF(U1216:$W1216,"&gt;"&amp;0)&lt;5,IF(AND(COUNTIF(T$1237:T1818,1)&gt;7,MOD(1+IFERROR(MATCH($C1216,总览!$D$46:$D$345,1)+1,1),7)=0),$C$3,0),0)</f>
        <v>646.222600117175</v>
      </c>
      <c r="U1216" s="131" cm="1">
        <f ca="1" t="array" ref="U1216">IF(U1818=1,OFFSET($W$634,$B1216,U$631-1)/SUMPRODUCT(--($D$631:$V$631=U$631),--($D1818:$V1818=1)),0)+SUM(U1215)+IF(COUNTIF(U$1237:U1818,1)=1,5,0)+IF(COUNTIF(V1216:$W1216,"&gt;"&amp;0)&lt;5,IF(AND(COUNTIF(U$1237:U1818,1)&gt;7,MOD(1+IFERROR(MATCH($C1216,总览!$D$46:$D$345,1)+1,1),7)=0),$C$3,0),0)</f>
        <v>651.743386472475</v>
      </c>
      <c r="V1216" s="131" cm="1">
        <f ca="1" t="array" ref="V1216">IF(V1818=1,OFFSET($W$634,$B1216,V$631-1)/SUMPRODUCT(--($D$631:$V$631=V$631),--($D1818:$V1818=1)),0)+SUM(V1215)+IF(COUNTIF(V$1237:V1818,1)=1,5,0)+IF(COUNTIF(W1216:$W1216,"&gt;"&amp;0)&lt;5,IF(AND(COUNTIF(V$1237:V1818,1)&gt;7,MOD(1+IFERROR(MATCH($C1216,总览!$D$46:$D$345,1)+1,1),7)=0),$C$3,0),0)</f>
        <v>671.570386184908</v>
      </c>
      <c r="W1216" s="135" cm="1">
        <f ca="1" t="array" ref="W1216">SUMPRODUCT(TRANSPOSE($AA1216:$AG1216),OFFSET($L$9:$L$15,0,W$631-1))</f>
        <v>16.8502200646615</v>
      </c>
      <c r="X1216" s="135" cm="1">
        <f ca="1" t="array" ref="X1216">SUMPRODUCT(TRANSPOSE($AA1216:$AG1216),OFFSET($L$9:$L$15,0,X$631-1))</f>
        <v>20</v>
      </c>
      <c r="Y1216" s="135" cm="1">
        <f ca="1" t="array" ref="Y1216">SUMPRODUCT(TRANSPOSE($AA1216:$AG1216),OFFSET($L$9:$L$15,0,Y$631-1))</f>
        <v>10</v>
      </c>
      <c r="Z1216" s="135" cm="1">
        <f ca="1" t="array" ref="Z1216">SUMPRODUCT(TRANSPOSE($AA1216:$AG1216),OFFSET($L$9:$L$15,0,Z$631-1))</f>
        <v>3.14977993533847</v>
      </c>
      <c r="AA1216" s="136">
        <f ca="1" t="shared" ref="AA1216:AG1216" si="1421">AH1216-AH1215</f>
        <v>0</v>
      </c>
      <c r="AB1216" s="136">
        <f ca="1" t="shared" si="1421"/>
        <v>0</v>
      </c>
      <c r="AC1216" s="136">
        <f ca="1" t="shared" si="1421"/>
        <v>0</v>
      </c>
      <c r="AD1216" s="136">
        <f ca="1" t="shared" si="1421"/>
        <v>0</v>
      </c>
      <c r="AE1216" s="136">
        <f ca="1" t="shared" si="1421"/>
        <v>0</v>
      </c>
      <c r="AF1216" s="136">
        <f ca="1" t="shared" si="1421"/>
        <v>0</v>
      </c>
      <c r="AG1216" s="136">
        <f ca="1" t="shared" si="1421"/>
        <v>100</v>
      </c>
      <c r="AH1216" s="136">
        <f ca="1" t="shared" si="1411"/>
        <v>450</v>
      </c>
      <c r="AI1216" s="136">
        <f ca="1" t="shared" ref="AI1216:AN1216" si="1422">IF($C1216&gt;OFFSET($Q$8,MATCH(AI$634,$AH$634:$AN$634,0),0),OFFSET($P$8,MATCH(AI$634,$AH$634:$AN$634,0),0),MAX(0,$C1216-OFFSET($Q$8,RIGHT(AI$634,1)-1,0)))</f>
        <v>909</v>
      </c>
      <c r="AJ1216" s="136">
        <f ca="1" t="shared" si="1422"/>
        <v>1818</v>
      </c>
      <c r="AK1216" s="136">
        <f ca="1" t="shared" si="1422"/>
        <v>2727</v>
      </c>
      <c r="AL1216" s="136">
        <f ca="1" t="shared" si="1422"/>
        <v>3636</v>
      </c>
      <c r="AM1216" s="136">
        <f ca="1" t="shared" si="1422"/>
        <v>4545</v>
      </c>
      <c r="AN1216" s="136">
        <f ca="1" t="shared" si="1422"/>
        <v>44115</v>
      </c>
    </row>
    <row r="1217" s="106" customFormat="1" ht="16.5" spans="2:40">
      <c r="B1217" s="117">
        <v>583</v>
      </c>
      <c r="C1217" s="130">
        <f t="shared" si="1409"/>
        <v>58300</v>
      </c>
      <c r="D1217" s="131" cm="1">
        <f ca="1" t="array" ref="D1217">IF(D1819=1,OFFSET($W$634,$B1217,D$631-1)/SUMPRODUCT(--($D$631:$V$631=D$631),--($D1819:$V1819=1)),0)+SUM(D1216)+IF(COUNTIF(D$1237:D1819,1)=1,5,0)+IF(COUNTIF(E1217:$W1217,"&gt;"&amp;0)&lt;5,IF(AND(COUNTIF(D$1237:D1819,1)&gt;7,MOD(1+IFERROR(MATCH($C1217,总览!$D$46:$D$345,1)+1,1),7)=0),$C$3,0),0)</f>
        <v>3602.26294909675</v>
      </c>
      <c r="E1217" s="131" cm="1">
        <f ca="1" t="array" ref="E1217">IF(E1819=1,OFFSET($W$634,$B1217,E$631-1)/SUMPRODUCT(--($D$631:$V$631=E$631),--($D1819:$V1819=1)),0)+SUM(E1216)+IF(COUNTIF(E$1237:E1819,1)=1,5,0)+IF(COUNTIF(F1217:$W1217,"&gt;"&amp;0)&lt;5,IF(AND(COUNTIF(E$1237:E1819,1)&gt;7,MOD(1+IFERROR(MATCH($C1217,总览!$D$46:$D$345,1)+1,1),7)=0),$C$3,0),0)</f>
        <v>3602.26294909675</v>
      </c>
      <c r="F1217" s="131" cm="1">
        <f ca="1" t="array" ref="F1217">IF(F1819=1,OFFSET($W$634,$B1217,F$631-1)/SUMPRODUCT(--($D$631:$V$631=F$631),--($D1819:$V1819=1)),0)+SUM(F1216)+IF(COUNTIF(F$1237:F1819,1)=1,5,0)+IF(COUNTIF(G1217:$W1217,"&gt;"&amp;0)&lt;5,IF(AND(COUNTIF(F$1237:F1819,1)&gt;7,MOD(1+IFERROR(MATCH($C1217,总览!$D$46:$D$345,1)+1,1),7)=0),$C$3,0),0)</f>
        <v>3602.26294909675</v>
      </c>
      <c r="G1217" s="131" cm="1">
        <f ca="1" t="array" ref="G1217">IF(G1819=1,OFFSET($W$634,$B1217,G$631-1)/SUMPRODUCT(--($D$631:$V$631=G$631),--($D1819:$V1819=1)),0)+SUM(G1216)+IF(COUNTIF(G$1237:G1819,1)=1,5,0)+IF(COUNTIF(H1217:$W1217,"&gt;"&amp;0)&lt;5,IF(AND(COUNTIF(G$1237:G1819,1)&gt;7,MOD(1+IFERROR(MATCH($C1217,总览!$D$46:$D$345,1)+1,1),7)=0),$C$3,0),0)</f>
        <v>1882.73333333332</v>
      </c>
      <c r="H1217" s="131" cm="1">
        <f ca="1" t="array" ref="H1217">IF(H1819=1,OFFSET($W$634,$B1217,H$631-1)/SUMPRODUCT(--($D$631:$V$631=H$631),--($D1819:$V1819=1)),0)+SUM(H1216)+IF(COUNTIF(H$1237:H1819,1)=1,5,0)+IF(COUNTIF(I1217:$W1217,"&gt;"&amp;0)&lt;5,IF(AND(COUNTIF(H$1237:H1819,1)&gt;7,MOD(1+IFERROR(MATCH($C1217,总览!$D$46:$D$345,1)+1,1),7)=0),$C$3,0),0)</f>
        <v>1882.73333333332</v>
      </c>
      <c r="I1217" s="131" cm="1">
        <f ca="1" t="array" ref="I1217">IF(I1819=1,OFFSET($W$634,$B1217,I$631-1)/SUMPRODUCT(--($D$631:$V$631=I$631),--($D1819:$V1819=1)),0)+SUM(I1216)+IF(COUNTIF(I$1237:I1819,1)=1,5,0)+IF(COUNTIF(J1217:$W1217,"&gt;"&amp;0)&lt;5,IF(AND(COUNTIF(I$1237:I1819,1)&gt;7,MOD(1+IFERROR(MATCH($C1217,总览!$D$46:$D$345,1)+1,1),7)=0),$C$3,0),0)</f>
        <v>1882.73333333332</v>
      </c>
      <c r="J1217" s="131" cm="1">
        <f ca="1" t="array" ref="J1217">IF(J1819=1,OFFSET($W$634,$B1217,J$631-1)/SUMPRODUCT(--($D$631:$V$631=J$631),--($D1819:$V1819=1)),0)+SUM(J1216)+IF(COUNTIF(J$1237:J1819,1)=1,5,0)+IF(COUNTIF(K1217:$W1217,"&gt;"&amp;0)&lt;5,IF(AND(COUNTIF(J$1237:J1819,1)&gt;7,MOD(1+IFERROR(MATCH($C1217,总览!$D$46:$D$345,1)+1,1),7)=0),$C$3,0),0)</f>
        <v>1879.39999999999</v>
      </c>
      <c r="K1217" s="131" cm="1">
        <f ca="1" t="array" ref="K1217">IF(K1819=1,OFFSET($W$634,$B1217,K$631-1)/SUMPRODUCT(--($D$631:$V$631=K$631),--($D1819:$V1819=1)),0)+SUM(K1216)+IF(COUNTIF(K$1237:K1819,1)=1,5,0)+IF(COUNTIF(L1217:$W1217,"&gt;"&amp;0)&lt;5,IF(AND(COUNTIF(K$1237:K1819,1)&gt;7,MOD(1+IFERROR(MATCH($C1217,总览!$D$46:$D$345,1)+1,1),7)=0),$C$3,0),0)</f>
        <v>1876.89999999999</v>
      </c>
      <c r="L1217" s="131" cm="1">
        <f ca="1" t="array" ref="L1217">IF(L1819=1,OFFSET($W$634,$B1217,L$631-1)/SUMPRODUCT(--($D$631:$V$631=L$631),--($D1819:$V1819=1)),0)+SUM(L1216)+IF(COUNTIF(L$1237:L1819,1)=1,5,0)+IF(COUNTIF(M1217:$W1217,"&gt;"&amp;0)&lt;5,IF(AND(COUNTIF(L$1237:L1819,1)&gt;7,MOD(1+IFERROR(MATCH($C1217,总览!$D$46:$D$345,1)+1,1),7)=0),$C$3,0),0)</f>
        <v>1876.89999999999</v>
      </c>
      <c r="M1217" s="131" cm="1">
        <f ca="1" t="array" ref="M1217">IF(M1819=1,OFFSET($W$634,$B1217,M$631-1)/SUMPRODUCT(--($D$631:$V$631=M$631),--($D1819:$V1819=1)),0)+SUM(M1216)+IF(COUNTIF(M$1237:M1819,1)=1,5,0)+IF(COUNTIF(N1217:$W1217,"&gt;"&amp;0)&lt;5,IF(AND(COUNTIF(M$1237:M1819,1)&gt;7,MOD(1+IFERROR(MATCH($C1217,总览!$D$46:$D$345,1)+1,1),7)=0),$C$3,0),0)</f>
        <v>790.609821428576</v>
      </c>
      <c r="N1217" s="131" cm="1">
        <f ca="1" t="array" ref="N1217">IF(N1819=1,OFFSET($W$634,$B1217,N$631-1)/SUMPRODUCT(--($D$631:$V$631=N$631),--($D1819:$V1819=1)),0)+SUM(N1216)+IF(COUNTIF(N$1237:N1819,1)=1,5,0)+IF(COUNTIF(O1217:$W1217,"&gt;"&amp;0)&lt;5,IF(AND(COUNTIF(N$1237:N1819,1)&gt;7,MOD(1+IFERROR(MATCH($C1217,总览!$D$46:$D$345,1)+1,1),7)=0),$C$3,0),0)</f>
        <v>791.859821428576</v>
      </c>
      <c r="O1217" s="131" cm="1">
        <f ca="1" t="array" ref="O1217">IF(O1819=1,OFFSET($W$634,$B1217,O$631-1)/SUMPRODUCT(--($D$631:$V$631=O$631),--($D1819:$V1819=1)),0)+SUM(O1216)+IF(COUNTIF(O$1237:O1819,1)=1,5,0)+IF(COUNTIF(P1217:$W1217,"&gt;"&amp;0)&lt;5,IF(AND(COUNTIF(O$1237:O1819,1)&gt;7,MOD(1+IFERROR(MATCH($C1217,总览!$D$46:$D$345,1)+1,1),7)=0),$C$3,0),0)</f>
        <v>796.859821428576</v>
      </c>
      <c r="P1217" s="131" cm="1">
        <f ca="1" t="array" ref="P1217">IF(P1819=1,OFFSET($W$634,$B1217,P$631-1)/SUMPRODUCT(--($D$631:$V$631=P$631),--($D1819:$V1819=1)),0)+SUM(P1216)+IF(COUNTIF(P$1237:P1819,1)=1,5,0)+IF(COUNTIF(Q1217:$W1217,"&gt;"&amp;0)&lt;5,IF(AND(COUNTIF(P$1237:P1819,1)&gt;7,MOD(1+IFERROR(MATCH($C1217,总览!$D$46:$D$345,1)+1,1),7)=0),$C$3,0),0)</f>
        <v>785.978571428576</v>
      </c>
      <c r="Q1217" s="131" cm="1">
        <f ca="1" t="array" ref="Q1217">IF(Q1819=1,OFFSET($W$634,$B1217,Q$631-1)/SUMPRODUCT(--($D$631:$V$631=Q$631),--($D1819:$V1819=1)),0)+SUM(Q1216)+IF(COUNTIF(Q$1237:Q1819,1)=1,5,0)+IF(COUNTIF(R1217:$W1217,"&gt;"&amp;0)&lt;5,IF(AND(COUNTIF(Q$1237:Q1819,1)&gt;7,MOD(1+IFERROR(MATCH($C1217,总览!$D$46:$D$345,1)+1,1),7)=0),$C$3,0),0)</f>
        <v>799.359821428576</v>
      </c>
      <c r="R1217" s="131" cm="1">
        <f ca="1" t="array" ref="R1217">IF(R1819=1,OFFSET($W$634,$B1217,R$631-1)/SUMPRODUCT(--($D$631:$V$631=R$631),--($D1819:$V1819=1)),0)+SUM(R1216)+IF(COUNTIF(R$1237:R1819,1)=1,5,0)+IF(COUNTIF(S1217:$W1217,"&gt;"&amp;0)&lt;5,IF(AND(COUNTIF(R$1237:R1819,1)&gt;7,MOD(1+IFERROR(MATCH($C1217,总览!$D$46:$D$345,1)+1,1),7)=0),$C$3,0),0)</f>
        <v>790.978571428576</v>
      </c>
      <c r="S1217" s="131" cm="1">
        <f ca="1" t="array" ref="S1217">IF(S1819=1,OFFSET($W$634,$B1217,S$631-1)/SUMPRODUCT(--($D$631:$V$631=S$631),--($D1819:$V1819=1)),0)+SUM(S1216)+IF(COUNTIF(S$1237:S1819,1)=1,5,0)+IF(COUNTIF(T1217:$W1217,"&gt;"&amp;0)&lt;5,IF(AND(COUNTIF(S$1237:S1819,1)&gt;7,MOD(1+IFERROR(MATCH($C1217,总览!$D$46:$D$345,1)+1,1),7)=0),$C$3,0),0)</f>
        <v>883.478571428577</v>
      </c>
      <c r="T1217" s="131" cm="1">
        <f ca="1" t="array" ref="T1217">IF(T1819=1,OFFSET($W$634,$B1217,T$631-1)/SUMPRODUCT(--($D$631:$V$631=T$631),--($D1819:$V1819=1)),0)+SUM(T1216)+IF(COUNTIF(T$1237:T1819,1)=1,5,0)+IF(COUNTIF(U1217:$W1217,"&gt;"&amp;0)&lt;5,IF(AND(COUNTIF(T$1237:T1819,1)&gt;7,MOD(1+IFERROR(MATCH($C1217,总览!$D$46:$D$345,1)+1,1),7)=0),$C$3,0),0)</f>
        <v>647.272526762288</v>
      </c>
      <c r="U1217" s="131" cm="1">
        <f ca="1" t="array" ref="U1217">IF(U1819=1,OFFSET($W$634,$B1217,U$631-1)/SUMPRODUCT(--($D$631:$V$631=U$631),--($D1819:$V1819=1)),0)+SUM(U1216)+IF(COUNTIF(U$1237:U1819,1)=1,5,0)+IF(COUNTIF(V1217:$W1217,"&gt;"&amp;0)&lt;5,IF(AND(COUNTIF(U$1237:U1819,1)&gt;7,MOD(1+IFERROR(MATCH($C1217,总览!$D$46:$D$345,1)+1,1),7)=0),$C$3,0),0)</f>
        <v>652.793313117588</v>
      </c>
      <c r="V1217" s="131" cm="1">
        <f ca="1" t="array" ref="V1217">IF(V1819=1,OFFSET($W$634,$B1217,V$631-1)/SUMPRODUCT(--($D$631:$V$631=V$631),--($D1819:$V1819=1)),0)+SUM(V1216)+IF(COUNTIF(V$1237:V1819,1)=1,5,0)+IF(COUNTIF(W1217:$W1217,"&gt;"&amp;0)&lt;5,IF(AND(COUNTIF(V$1237:V1819,1)&gt;7,MOD(1+IFERROR(MATCH($C1217,总览!$D$46:$D$345,1)+1,1),7)=0),$C$3,0),0)</f>
        <v>672.620312830021</v>
      </c>
      <c r="W1217" s="135" cm="1">
        <f ca="1" t="array" ref="W1217">SUMPRODUCT(TRANSPOSE($AA1217:$AG1217),OFFSET($L$9:$L$15,0,W$631-1))</f>
        <v>16.8502200646615</v>
      </c>
      <c r="X1217" s="135" cm="1">
        <f ca="1" t="array" ref="X1217">SUMPRODUCT(TRANSPOSE($AA1217:$AG1217),OFFSET($L$9:$L$15,0,X$631-1))</f>
        <v>20</v>
      </c>
      <c r="Y1217" s="135" cm="1">
        <f ca="1" t="array" ref="Y1217">SUMPRODUCT(TRANSPOSE($AA1217:$AG1217),OFFSET($L$9:$L$15,0,Y$631-1))</f>
        <v>10</v>
      </c>
      <c r="Z1217" s="135" cm="1">
        <f ca="1" t="array" ref="Z1217">SUMPRODUCT(TRANSPOSE($AA1217:$AG1217),OFFSET($L$9:$L$15,0,Z$631-1))</f>
        <v>3.14977993533847</v>
      </c>
      <c r="AA1217" s="136">
        <f ca="1" t="shared" ref="AA1217:AG1217" si="1423">AH1217-AH1216</f>
        <v>0</v>
      </c>
      <c r="AB1217" s="136">
        <f ca="1" t="shared" si="1423"/>
        <v>0</v>
      </c>
      <c r="AC1217" s="136">
        <f ca="1" t="shared" si="1423"/>
        <v>0</v>
      </c>
      <c r="AD1217" s="136">
        <f ca="1" t="shared" si="1423"/>
        <v>0</v>
      </c>
      <c r="AE1217" s="136">
        <f ca="1" t="shared" si="1423"/>
        <v>0</v>
      </c>
      <c r="AF1217" s="136">
        <f ca="1" t="shared" si="1423"/>
        <v>0</v>
      </c>
      <c r="AG1217" s="136">
        <f ca="1" t="shared" si="1423"/>
        <v>100</v>
      </c>
      <c r="AH1217" s="136">
        <f ca="1" t="shared" si="1411"/>
        <v>450</v>
      </c>
      <c r="AI1217" s="136">
        <f ca="1" t="shared" ref="AI1217:AN1217" si="1424">IF($C1217&gt;OFFSET($Q$8,MATCH(AI$634,$AH$634:$AN$634,0),0),OFFSET($P$8,MATCH(AI$634,$AH$634:$AN$634,0),0),MAX(0,$C1217-OFFSET($Q$8,RIGHT(AI$634,1)-1,0)))</f>
        <v>909</v>
      </c>
      <c r="AJ1217" s="136">
        <f ca="1" t="shared" si="1424"/>
        <v>1818</v>
      </c>
      <c r="AK1217" s="136">
        <f ca="1" t="shared" si="1424"/>
        <v>2727</v>
      </c>
      <c r="AL1217" s="136">
        <f ca="1" t="shared" si="1424"/>
        <v>3636</v>
      </c>
      <c r="AM1217" s="136">
        <f ca="1" t="shared" si="1424"/>
        <v>4545</v>
      </c>
      <c r="AN1217" s="136">
        <f ca="1" t="shared" si="1424"/>
        <v>44215</v>
      </c>
    </row>
    <row r="1218" s="106" customFormat="1" ht="16.5" spans="2:40">
      <c r="B1218" s="117">
        <v>584</v>
      </c>
      <c r="C1218" s="130">
        <f t="shared" si="1409"/>
        <v>58400</v>
      </c>
      <c r="D1218" s="131" cm="1">
        <f ca="1" t="array" ref="D1218">IF(D1820=1,OFFSET($W$634,$B1218,D$631-1)/SUMPRODUCT(--($D$631:$V$631=D$631),--($D1820:$V1820=1)),0)+SUM(D1217)+IF(COUNTIF(D$1237:D1820,1)=1,5,0)+IF(COUNTIF(E1218:$W1218,"&gt;"&amp;0)&lt;5,IF(AND(COUNTIF(D$1237:D1820,1)&gt;7,MOD(1+IFERROR(MATCH($C1218,总览!$D$46:$D$345,1)+1,1),7)=0),$C$3,0),0)</f>
        <v>3607.8796891183</v>
      </c>
      <c r="E1218" s="131" cm="1">
        <f ca="1" t="array" ref="E1218">IF(E1820=1,OFFSET($W$634,$B1218,E$631-1)/SUMPRODUCT(--($D$631:$V$631=E$631),--($D1820:$V1820=1)),0)+SUM(E1217)+IF(COUNTIF(E$1237:E1820,1)=1,5,0)+IF(COUNTIF(F1218:$W1218,"&gt;"&amp;0)&lt;5,IF(AND(COUNTIF(E$1237:E1820,1)&gt;7,MOD(1+IFERROR(MATCH($C1218,总览!$D$46:$D$345,1)+1,1),7)=0),$C$3,0),0)</f>
        <v>3607.8796891183</v>
      </c>
      <c r="F1218" s="131" cm="1">
        <f ca="1" t="array" ref="F1218">IF(F1820=1,OFFSET($W$634,$B1218,F$631-1)/SUMPRODUCT(--($D$631:$V$631=F$631),--($D1820:$V1820=1)),0)+SUM(F1217)+IF(COUNTIF(F$1237:F1820,1)=1,5,0)+IF(COUNTIF(G1218:$W1218,"&gt;"&amp;0)&lt;5,IF(AND(COUNTIF(F$1237:F1820,1)&gt;7,MOD(1+IFERROR(MATCH($C1218,总览!$D$46:$D$345,1)+1,1),7)=0),$C$3,0),0)</f>
        <v>3607.8796891183</v>
      </c>
      <c r="G1218" s="131" cm="1">
        <f ca="1" t="array" ref="G1218">IF(G1820=1,OFFSET($W$634,$B1218,G$631-1)/SUMPRODUCT(--($D$631:$V$631=G$631),--($D1820:$V1820=1)),0)+SUM(G1217)+IF(COUNTIF(G$1237:G1820,1)=1,5,0)+IF(COUNTIF(H1218:$W1218,"&gt;"&amp;0)&lt;5,IF(AND(COUNTIF(G$1237:G1820,1)&gt;7,MOD(1+IFERROR(MATCH($C1218,总览!$D$46:$D$345,1)+1,1),7)=0),$C$3,0),0)</f>
        <v>1886.06666666665</v>
      </c>
      <c r="H1218" s="131" cm="1">
        <f ca="1" t="array" ref="H1218">IF(H1820=1,OFFSET($W$634,$B1218,H$631-1)/SUMPRODUCT(--($D$631:$V$631=H$631),--($D1820:$V1820=1)),0)+SUM(H1217)+IF(COUNTIF(H$1237:H1820,1)=1,5,0)+IF(COUNTIF(I1218:$W1218,"&gt;"&amp;0)&lt;5,IF(AND(COUNTIF(H$1237:H1820,1)&gt;7,MOD(1+IFERROR(MATCH($C1218,总览!$D$46:$D$345,1)+1,1),7)=0),$C$3,0),0)</f>
        <v>1886.06666666665</v>
      </c>
      <c r="I1218" s="131" cm="1">
        <f ca="1" t="array" ref="I1218">IF(I1820=1,OFFSET($W$634,$B1218,I$631-1)/SUMPRODUCT(--($D$631:$V$631=I$631),--($D1820:$V1820=1)),0)+SUM(I1217)+IF(COUNTIF(I$1237:I1820,1)=1,5,0)+IF(COUNTIF(J1218:$W1218,"&gt;"&amp;0)&lt;5,IF(AND(COUNTIF(I$1237:I1820,1)&gt;7,MOD(1+IFERROR(MATCH($C1218,总览!$D$46:$D$345,1)+1,1),7)=0),$C$3,0),0)</f>
        <v>1886.06666666665</v>
      </c>
      <c r="J1218" s="131" cm="1">
        <f ca="1" t="array" ref="J1218">IF(J1820=1,OFFSET($W$634,$B1218,J$631-1)/SUMPRODUCT(--($D$631:$V$631=J$631),--($D1820:$V1820=1)),0)+SUM(J1217)+IF(COUNTIF(J$1237:J1820,1)=1,5,0)+IF(COUNTIF(K1218:$W1218,"&gt;"&amp;0)&lt;5,IF(AND(COUNTIF(J$1237:J1820,1)&gt;7,MOD(1+IFERROR(MATCH($C1218,总览!$D$46:$D$345,1)+1,1),7)=0),$C$3,0),0)</f>
        <v>1882.73333333332</v>
      </c>
      <c r="K1218" s="131" cm="1">
        <f ca="1" t="array" ref="K1218">IF(K1820=1,OFFSET($W$634,$B1218,K$631-1)/SUMPRODUCT(--($D$631:$V$631=K$631),--($D1820:$V1820=1)),0)+SUM(K1217)+IF(COUNTIF(K$1237:K1820,1)=1,5,0)+IF(COUNTIF(L1218:$W1218,"&gt;"&amp;0)&lt;5,IF(AND(COUNTIF(K$1237:K1820,1)&gt;7,MOD(1+IFERROR(MATCH($C1218,总览!$D$46:$D$345,1)+1,1),7)=0),$C$3,0),0)</f>
        <v>1880.23333333332</v>
      </c>
      <c r="L1218" s="131" cm="1">
        <f ca="1" t="array" ref="L1218">IF(L1820=1,OFFSET($W$634,$B1218,L$631-1)/SUMPRODUCT(--($D$631:$V$631=L$631),--($D1820:$V1820=1)),0)+SUM(L1217)+IF(COUNTIF(L$1237:L1820,1)=1,5,0)+IF(COUNTIF(M1218:$W1218,"&gt;"&amp;0)&lt;5,IF(AND(COUNTIF(L$1237:L1820,1)&gt;7,MOD(1+IFERROR(MATCH($C1218,总览!$D$46:$D$345,1)+1,1),7)=0),$C$3,0),0)</f>
        <v>1880.23333333332</v>
      </c>
      <c r="M1218" s="131" cm="1">
        <f ca="1" t="array" ref="M1218">IF(M1820=1,OFFSET($W$634,$B1218,M$631-1)/SUMPRODUCT(--($D$631:$V$631=M$631),--($D1820:$V1820=1)),0)+SUM(M1217)+IF(COUNTIF(M$1237:M1820,1)=1,5,0)+IF(COUNTIF(N1218:$W1218,"&gt;"&amp;0)&lt;5,IF(AND(COUNTIF(M$1237:M1820,1)&gt;7,MOD(1+IFERROR(MATCH($C1218,总览!$D$46:$D$345,1)+1,1),7)=0),$C$3,0),0)</f>
        <v>792.038392857148</v>
      </c>
      <c r="N1218" s="131" cm="1">
        <f ca="1" t="array" ref="N1218">IF(N1820=1,OFFSET($W$634,$B1218,N$631-1)/SUMPRODUCT(--($D$631:$V$631=N$631),--($D1820:$V1820=1)),0)+SUM(N1217)+IF(COUNTIF(N$1237:N1820,1)=1,5,0)+IF(COUNTIF(O1218:$W1218,"&gt;"&amp;0)&lt;5,IF(AND(COUNTIF(N$1237:N1820,1)&gt;7,MOD(1+IFERROR(MATCH($C1218,总览!$D$46:$D$345,1)+1,1),7)=0),$C$3,0),0)</f>
        <v>793.288392857148</v>
      </c>
      <c r="O1218" s="131" cm="1">
        <f ca="1" t="array" ref="O1218">IF(O1820=1,OFFSET($W$634,$B1218,O$631-1)/SUMPRODUCT(--($D$631:$V$631=O$631),--($D1820:$V1820=1)),0)+SUM(O1217)+IF(COUNTIF(O$1237:O1820,1)=1,5,0)+IF(COUNTIF(P1218:$W1218,"&gt;"&amp;0)&lt;5,IF(AND(COUNTIF(O$1237:O1820,1)&gt;7,MOD(1+IFERROR(MATCH($C1218,总览!$D$46:$D$345,1)+1,1),7)=0),$C$3,0),0)</f>
        <v>798.288392857148</v>
      </c>
      <c r="P1218" s="131" cm="1">
        <f ca="1" t="array" ref="P1218">IF(P1820=1,OFFSET($W$634,$B1218,P$631-1)/SUMPRODUCT(--($D$631:$V$631=P$631),--($D1820:$V1820=1)),0)+SUM(P1217)+IF(COUNTIF(P$1237:P1820,1)=1,5,0)+IF(COUNTIF(Q1218:$W1218,"&gt;"&amp;0)&lt;5,IF(AND(COUNTIF(P$1237:P1820,1)&gt;7,MOD(1+IFERROR(MATCH($C1218,总览!$D$46:$D$345,1)+1,1),7)=0),$C$3,0),0)</f>
        <v>787.407142857148</v>
      </c>
      <c r="Q1218" s="131" cm="1">
        <f ca="1" t="array" ref="Q1218">IF(Q1820=1,OFFSET($W$634,$B1218,Q$631-1)/SUMPRODUCT(--($D$631:$V$631=Q$631),--($D1820:$V1820=1)),0)+SUM(Q1217)+IF(COUNTIF(Q$1237:Q1820,1)=1,5,0)+IF(COUNTIF(R1218:$W1218,"&gt;"&amp;0)&lt;5,IF(AND(COUNTIF(Q$1237:Q1820,1)&gt;7,MOD(1+IFERROR(MATCH($C1218,总览!$D$46:$D$345,1)+1,1),7)=0),$C$3,0),0)</f>
        <v>800.788392857148</v>
      </c>
      <c r="R1218" s="131" cm="1">
        <f ca="1" t="array" ref="R1218">IF(R1820=1,OFFSET($W$634,$B1218,R$631-1)/SUMPRODUCT(--($D$631:$V$631=R$631),--($D1820:$V1820=1)),0)+SUM(R1217)+IF(COUNTIF(R$1237:R1820,1)=1,5,0)+IF(COUNTIF(S1218:$W1218,"&gt;"&amp;0)&lt;5,IF(AND(COUNTIF(R$1237:R1820,1)&gt;7,MOD(1+IFERROR(MATCH($C1218,总览!$D$46:$D$345,1)+1,1),7)=0),$C$3,0),0)</f>
        <v>792.407142857148</v>
      </c>
      <c r="S1218" s="131" cm="1">
        <f ca="1" t="array" ref="S1218">IF(S1820=1,OFFSET($W$634,$B1218,S$631-1)/SUMPRODUCT(--($D$631:$V$631=S$631),--($D1820:$V1820=1)),0)+SUM(S1217)+IF(COUNTIF(S$1237:S1820,1)=1,5,0)+IF(COUNTIF(T1218:$W1218,"&gt;"&amp;0)&lt;5,IF(AND(COUNTIF(S$1237:S1820,1)&gt;7,MOD(1+IFERROR(MATCH($C1218,总览!$D$46:$D$345,1)+1,1),7)=0),$C$3,0),0)</f>
        <v>884.907142857149</v>
      </c>
      <c r="T1218" s="131" cm="1">
        <f ca="1" t="array" ref="T1218">IF(T1820=1,OFFSET($W$634,$B1218,T$631-1)/SUMPRODUCT(--($D$631:$V$631=T$631),--($D1820:$V1820=1)),0)+SUM(T1217)+IF(COUNTIF(T$1237:T1820,1)=1,5,0)+IF(COUNTIF(U1218:$W1218,"&gt;"&amp;0)&lt;5,IF(AND(COUNTIF(T$1237:T1820,1)&gt;7,MOD(1+IFERROR(MATCH($C1218,总览!$D$46:$D$345,1)+1,1),7)=0),$C$3,0),0)</f>
        <v>648.322453407401</v>
      </c>
      <c r="U1218" s="131" cm="1">
        <f ca="1" t="array" ref="U1218">IF(U1820=1,OFFSET($W$634,$B1218,U$631-1)/SUMPRODUCT(--($D$631:$V$631=U$631),--($D1820:$V1820=1)),0)+SUM(U1217)+IF(COUNTIF(U$1237:U1820,1)=1,5,0)+IF(COUNTIF(V1218:$W1218,"&gt;"&amp;0)&lt;5,IF(AND(COUNTIF(U$1237:U1820,1)&gt;7,MOD(1+IFERROR(MATCH($C1218,总览!$D$46:$D$345,1)+1,1),7)=0),$C$3,0),0)</f>
        <v>653.843239762701</v>
      </c>
      <c r="V1218" s="131" cm="1">
        <f ca="1" t="array" ref="V1218">IF(V1820=1,OFFSET($W$634,$B1218,V$631-1)/SUMPRODUCT(--($D$631:$V$631=V$631),--($D1820:$V1820=1)),0)+SUM(V1217)+IF(COUNTIF(V$1237:V1820,1)=1,5,0)+IF(COUNTIF(W1218:$W1218,"&gt;"&amp;0)&lt;5,IF(AND(COUNTIF(V$1237:V1820,1)&gt;7,MOD(1+IFERROR(MATCH($C1218,总览!$D$46:$D$345,1)+1,1),7)=0),$C$3,0),0)</f>
        <v>673.670239475134</v>
      </c>
      <c r="W1218" s="135" cm="1">
        <f ca="1" t="array" ref="W1218">SUMPRODUCT(TRANSPOSE($AA1218:$AG1218),OFFSET($L$9:$L$15,0,W$631-1))</f>
        <v>16.8502200646615</v>
      </c>
      <c r="X1218" s="135" cm="1">
        <f ca="1" t="array" ref="X1218">SUMPRODUCT(TRANSPOSE($AA1218:$AG1218),OFFSET($L$9:$L$15,0,X$631-1))</f>
        <v>20</v>
      </c>
      <c r="Y1218" s="135" cm="1">
        <f ca="1" t="array" ref="Y1218">SUMPRODUCT(TRANSPOSE($AA1218:$AG1218),OFFSET($L$9:$L$15,0,Y$631-1))</f>
        <v>10</v>
      </c>
      <c r="Z1218" s="135" cm="1">
        <f ca="1" t="array" ref="Z1218">SUMPRODUCT(TRANSPOSE($AA1218:$AG1218),OFFSET($L$9:$L$15,0,Z$631-1))</f>
        <v>3.14977993533847</v>
      </c>
      <c r="AA1218" s="136">
        <f ca="1" t="shared" ref="AA1218:AG1218" si="1425">AH1218-AH1217</f>
        <v>0</v>
      </c>
      <c r="AB1218" s="136">
        <f ca="1" t="shared" si="1425"/>
        <v>0</v>
      </c>
      <c r="AC1218" s="136">
        <f ca="1" t="shared" si="1425"/>
        <v>0</v>
      </c>
      <c r="AD1218" s="136">
        <f ca="1" t="shared" si="1425"/>
        <v>0</v>
      </c>
      <c r="AE1218" s="136">
        <f ca="1" t="shared" si="1425"/>
        <v>0</v>
      </c>
      <c r="AF1218" s="136">
        <f ca="1" t="shared" si="1425"/>
        <v>0</v>
      </c>
      <c r="AG1218" s="136">
        <f ca="1" t="shared" si="1425"/>
        <v>100</v>
      </c>
      <c r="AH1218" s="136">
        <f ca="1" t="shared" si="1411"/>
        <v>450</v>
      </c>
      <c r="AI1218" s="136">
        <f ca="1" t="shared" ref="AI1218:AN1218" si="1426">IF($C1218&gt;OFFSET($Q$8,MATCH(AI$634,$AH$634:$AN$634,0),0),OFFSET($P$8,MATCH(AI$634,$AH$634:$AN$634,0),0),MAX(0,$C1218-OFFSET($Q$8,RIGHT(AI$634,1)-1,0)))</f>
        <v>909</v>
      </c>
      <c r="AJ1218" s="136">
        <f ca="1" t="shared" si="1426"/>
        <v>1818</v>
      </c>
      <c r="AK1218" s="136">
        <f ca="1" t="shared" si="1426"/>
        <v>2727</v>
      </c>
      <c r="AL1218" s="136">
        <f ca="1" t="shared" si="1426"/>
        <v>3636</v>
      </c>
      <c r="AM1218" s="136">
        <f ca="1" t="shared" si="1426"/>
        <v>4545</v>
      </c>
      <c r="AN1218" s="136">
        <f ca="1" t="shared" si="1426"/>
        <v>44315</v>
      </c>
    </row>
    <row r="1219" s="106" customFormat="1" ht="16.5" spans="2:40">
      <c r="B1219" s="117">
        <v>585</v>
      </c>
      <c r="C1219" s="130">
        <f t="shared" si="1409"/>
        <v>58500</v>
      </c>
      <c r="D1219" s="131" cm="1">
        <f ca="1" t="array" ref="D1219">IF(D1821=1,OFFSET($W$634,$B1219,D$631-1)/SUMPRODUCT(--($D$631:$V$631=D$631),--($D1821:$V1821=1)),0)+SUM(D1218)+IF(COUNTIF(D$1237:D1821,1)=1,5,0)+IF(COUNTIF(E1219:$W1219,"&gt;"&amp;0)&lt;5,IF(AND(COUNTIF(D$1237:D1821,1)&gt;7,MOD(1+IFERROR(MATCH($C1219,总览!$D$46:$D$345,1)+1,1),7)=0),$C$3,0),0)</f>
        <v>3613.49642913986</v>
      </c>
      <c r="E1219" s="131" cm="1">
        <f ca="1" t="array" ref="E1219">IF(E1821=1,OFFSET($W$634,$B1219,E$631-1)/SUMPRODUCT(--($D$631:$V$631=E$631),--($D1821:$V1821=1)),0)+SUM(E1218)+IF(COUNTIF(E$1237:E1821,1)=1,5,0)+IF(COUNTIF(F1219:$W1219,"&gt;"&amp;0)&lt;5,IF(AND(COUNTIF(E$1237:E1821,1)&gt;7,MOD(1+IFERROR(MATCH($C1219,总览!$D$46:$D$345,1)+1,1),7)=0),$C$3,0),0)</f>
        <v>3613.49642913986</v>
      </c>
      <c r="F1219" s="131" cm="1">
        <f ca="1" t="array" ref="F1219">IF(F1821=1,OFFSET($W$634,$B1219,F$631-1)/SUMPRODUCT(--($D$631:$V$631=F$631),--($D1821:$V1821=1)),0)+SUM(F1218)+IF(COUNTIF(F$1237:F1821,1)=1,5,0)+IF(COUNTIF(G1219:$W1219,"&gt;"&amp;0)&lt;5,IF(AND(COUNTIF(F$1237:F1821,1)&gt;7,MOD(1+IFERROR(MATCH($C1219,总览!$D$46:$D$345,1)+1,1),7)=0),$C$3,0),0)</f>
        <v>3613.49642913986</v>
      </c>
      <c r="G1219" s="131" cm="1">
        <f ca="1" t="array" ref="G1219">IF(G1821=1,OFFSET($W$634,$B1219,G$631-1)/SUMPRODUCT(--($D$631:$V$631=G$631),--($D1821:$V1821=1)),0)+SUM(G1218)+IF(COUNTIF(G$1237:G1821,1)=1,5,0)+IF(COUNTIF(H1219:$W1219,"&gt;"&amp;0)&lt;5,IF(AND(COUNTIF(G$1237:G1821,1)&gt;7,MOD(1+IFERROR(MATCH($C1219,总览!$D$46:$D$345,1)+1,1),7)=0),$C$3,0),0)</f>
        <v>1889.39999999998</v>
      </c>
      <c r="H1219" s="131" cm="1">
        <f ca="1" t="array" ref="H1219">IF(H1821=1,OFFSET($W$634,$B1219,H$631-1)/SUMPRODUCT(--($D$631:$V$631=H$631),--($D1821:$V1821=1)),0)+SUM(H1218)+IF(COUNTIF(H$1237:H1821,1)=1,5,0)+IF(COUNTIF(I1219:$W1219,"&gt;"&amp;0)&lt;5,IF(AND(COUNTIF(H$1237:H1821,1)&gt;7,MOD(1+IFERROR(MATCH($C1219,总览!$D$46:$D$345,1)+1,1),7)=0),$C$3,0),0)</f>
        <v>1889.39999999998</v>
      </c>
      <c r="I1219" s="131" cm="1">
        <f ca="1" t="array" ref="I1219">IF(I1821=1,OFFSET($W$634,$B1219,I$631-1)/SUMPRODUCT(--($D$631:$V$631=I$631),--($D1821:$V1821=1)),0)+SUM(I1218)+IF(COUNTIF(I$1237:I1821,1)=1,5,0)+IF(COUNTIF(J1219:$W1219,"&gt;"&amp;0)&lt;5,IF(AND(COUNTIF(I$1237:I1821,1)&gt;7,MOD(1+IFERROR(MATCH($C1219,总览!$D$46:$D$345,1)+1,1),7)=0),$C$3,0),0)</f>
        <v>1889.39999999998</v>
      </c>
      <c r="J1219" s="131" cm="1">
        <f ca="1" t="array" ref="J1219">IF(J1821=1,OFFSET($W$634,$B1219,J$631-1)/SUMPRODUCT(--($D$631:$V$631=J$631),--($D1821:$V1821=1)),0)+SUM(J1218)+IF(COUNTIF(J$1237:J1821,1)=1,5,0)+IF(COUNTIF(K1219:$W1219,"&gt;"&amp;0)&lt;5,IF(AND(COUNTIF(J$1237:J1821,1)&gt;7,MOD(1+IFERROR(MATCH($C1219,总览!$D$46:$D$345,1)+1,1),7)=0),$C$3,0),0)</f>
        <v>1886.06666666665</v>
      </c>
      <c r="K1219" s="131" cm="1">
        <f ca="1" t="array" ref="K1219">IF(K1821=1,OFFSET($W$634,$B1219,K$631-1)/SUMPRODUCT(--($D$631:$V$631=K$631),--($D1821:$V1821=1)),0)+SUM(K1218)+IF(COUNTIF(K$1237:K1821,1)=1,5,0)+IF(COUNTIF(L1219:$W1219,"&gt;"&amp;0)&lt;5,IF(AND(COUNTIF(K$1237:K1821,1)&gt;7,MOD(1+IFERROR(MATCH($C1219,总览!$D$46:$D$345,1)+1,1),7)=0),$C$3,0),0)</f>
        <v>1883.56666666665</v>
      </c>
      <c r="L1219" s="131" cm="1">
        <f ca="1" t="array" ref="L1219">IF(L1821=1,OFFSET($W$634,$B1219,L$631-1)/SUMPRODUCT(--($D$631:$V$631=L$631),--($D1821:$V1821=1)),0)+SUM(L1218)+IF(COUNTIF(L$1237:L1821,1)=1,5,0)+IF(COUNTIF(M1219:$W1219,"&gt;"&amp;0)&lt;5,IF(AND(COUNTIF(L$1237:L1821,1)&gt;7,MOD(1+IFERROR(MATCH($C1219,总览!$D$46:$D$345,1)+1,1),7)=0),$C$3,0),0)</f>
        <v>1883.56666666665</v>
      </c>
      <c r="M1219" s="131" cm="1">
        <f ca="1" t="array" ref="M1219">IF(M1821=1,OFFSET($W$634,$B1219,M$631-1)/SUMPRODUCT(--($D$631:$V$631=M$631),--($D1821:$V1821=1)),0)+SUM(M1218)+IF(COUNTIF(M$1237:M1821,1)=1,5,0)+IF(COUNTIF(N1219:$W1219,"&gt;"&amp;0)&lt;5,IF(AND(COUNTIF(M$1237:M1821,1)&gt;7,MOD(1+IFERROR(MATCH($C1219,总览!$D$46:$D$345,1)+1,1),7)=0),$C$3,0),0)</f>
        <v>793.466964285719</v>
      </c>
      <c r="N1219" s="131" cm="1">
        <f ca="1" t="array" ref="N1219">IF(N1821=1,OFFSET($W$634,$B1219,N$631-1)/SUMPRODUCT(--($D$631:$V$631=N$631),--($D1821:$V1821=1)),0)+SUM(N1218)+IF(COUNTIF(N$1237:N1821,1)=1,5,0)+IF(COUNTIF(O1219:$W1219,"&gt;"&amp;0)&lt;5,IF(AND(COUNTIF(N$1237:N1821,1)&gt;7,MOD(1+IFERROR(MATCH($C1219,总览!$D$46:$D$345,1)+1,1),7)=0),$C$3,0),0)</f>
        <v>794.716964285719</v>
      </c>
      <c r="O1219" s="131" cm="1">
        <f ca="1" t="array" ref="O1219">IF(O1821=1,OFFSET($W$634,$B1219,O$631-1)/SUMPRODUCT(--($D$631:$V$631=O$631),--($D1821:$V1821=1)),0)+SUM(O1218)+IF(COUNTIF(O$1237:O1821,1)=1,5,0)+IF(COUNTIF(P1219:$W1219,"&gt;"&amp;0)&lt;5,IF(AND(COUNTIF(O$1237:O1821,1)&gt;7,MOD(1+IFERROR(MATCH($C1219,总览!$D$46:$D$345,1)+1,1),7)=0),$C$3,0),0)</f>
        <v>799.716964285719</v>
      </c>
      <c r="P1219" s="131" cm="1">
        <f ca="1" t="array" ref="P1219">IF(P1821=1,OFFSET($W$634,$B1219,P$631-1)/SUMPRODUCT(--($D$631:$V$631=P$631),--($D1821:$V1821=1)),0)+SUM(P1218)+IF(COUNTIF(P$1237:P1821,1)=1,5,0)+IF(COUNTIF(Q1219:$W1219,"&gt;"&amp;0)&lt;5,IF(AND(COUNTIF(P$1237:P1821,1)&gt;7,MOD(1+IFERROR(MATCH($C1219,总览!$D$46:$D$345,1)+1,1),7)=0),$C$3,0),0)</f>
        <v>788.835714285719</v>
      </c>
      <c r="Q1219" s="131" cm="1">
        <f ca="1" t="array" ref="Q1219">IF(Q1821=1,OFFSET($W$634,$B1219,Q$631-1)/SUMPRODUCT(--($D$631:$V$631=Q$631),--($D1821:$V1821=1)),0)+SUM(Q1218)+IF(COUNTIF(Q$1237:Q1821,1)=1,5,0)+IF(COUNTIF(R1219:$W1219,"&gt;"&amp;0)&lt;5,IF(AND(COUNTIF(Q$1237:Q1821,1)&gt;7,MOD(1+IFERROR(MATCH($C1219,总览!$D$46:$D$345,1)+1,1),7)=0),$C$3,0),0)</f>
        <v>802.216964285719</v>
      </c>
      <c r="R1219" s="131" cm="1">
        <f ca="1" t="array" ref="R1219">IF(R1821=1,OFFSET($W$634,$B1219,R$631-1)/SUMPRODUCT(--($D$631:$V$631=R$631),--($D1821:$V1821=1)),0)+SUM(R1218)+IF(COUNTIF(R$1237:R1821,1)=1,5,0)+IF(COUNTIF(S1219:$W1219,"&gt;"&amp;0)&lt;5,IF(AND(COUNTIF(R$1237:R1821,1)&gt;7,MOD(1+IFERROR(MATCH($C1219,总览!$D$46:$D$345,1)+1,1),7)=0),$C$3,0),0)</f>
        <v>793.835714285719</v>
      </c>
      <c r="S1219" s="131" cm="1">
        <f ca="1" t="array" ref="S1219">IF(S1821=1,OFFSET($W$634,$B1219,S$631-1)/SUMPRODUCT(--($D$631:$V$631=S$631),--($D1821:$V1821=1)),0)+SUM(S1218)+IF(COUNTIF(S$1237:S1821,1)=1,5,0)+IF(COUNTIF(T1219:$W1219,"&gt;"&amp;0)&lt;5,IF(AND(COUNTIF(S$1237:S1821,1)&gt;7,MOD(1+IFERROR(MATCH($C1219,总览!$D$46:$D$345,1)+1,1),7)=0),$C$3,0),0)</f>
        <v>886.33571428572</v>
      </c>
      <c r="T1219" s="131" cm="1">
        <f ca="1" t="array" ref="T1219">IF(T1821=1,OFFSET($W$634,$B1219,T$631-1)/SUMPRODUCT(--($D$631:$V$631=T$631),--($D1821:$V1821=1)),0)+SUM(T1218)+IF(COUNTIF(T$1237:T1821,1)=1,5,0)+IF(COUNTIF(U1219:$W1219,"&gt;"&amp;0)&lt;5,IF(AND(COUNTIF(T$1237:T1821,1)&gt;7,MOD(1+IFERROR(MATCH($C1219,总览!$D$46:$D$345,1)+1,1),7)=0),$C$3,0),0)</f>
        <v>649.372380052514</v>
      </c>
      <c r="U1219" s="131" cm="1">
        <f ca="1" t="array" ref="U1219">IF(U1821=1,OFFSET($W$634,$B1219,U$631-1)/SUMPRODUCT(--($D$631:$V$631=U$631),--($D1821:$V1821=1)),0)+SUM(U1218)+IF(COUNTIF(U$1237:U1821,1)=1,5,0)+IF(COUNTIF(V1219:$W1219,"&gt;"&amp;0)&lt;5,IF(AND(COUNTIF(U$1237:U1821,1)&gt;7,MOD(1+IFERROR(MATCH($C1219,总览!$D$46:$D$345,1)+1,1),7)=0),$C$3,0),0)</f>
        <v>654.893166407813</v>
      </c>
      <c r="V1219" s="131" cm="1">
        <f ca="1" t="array" ref="V1219">IF(V1821=1,OFFSET($W$634,$B1219,V$631-1)/SUMPRODUCT(--($D$631:$V$631=V$631),--($D1821:$V1821=1)),0)+SUM(V1218)+IF(COUNTIF(V$1237:V1821,1)=1,5,0)+IF(COUNTIF(W1219:$W1219,"&gt;"&amp;0)&lt;5,IF(AND(COUNTIF(V$1237:V1821,1)&gt;7,MOD(1+IFERROR(MATCH($C1219,总览!$D$46:$D$345,1)+1,1),7)=0),$C$3,0),0)</f>
        <v>674.720166120246</v>
      </c>
      <c r="W1219" s="135" cm="1">
        <f ca="1" t="array" ref="W1219">SUMPRODUCT(TRANSPOSE($AA1219:$AG1219),OFFSET($L$9:$L$15,0,W$631-1))</f>
        <v>16.8502200646615</v>
      </c>
      <c r="X1219" s="135" cm="1">
        <f ca="1" t="array" ref="X1219">SUMPRODUCT(TRANSPOSE($AA1219:$AG1219),OFFSET($L$9:$L$15,0,X$631-1))</f>
        <v>20</v>
      </c>
      <c r="Y1219" s="135" cm="1">
        <f ca="1" t="array" ref="Y1219">SUMPRODUCT(TRANSPOSE($AA1219:$AG1219),OFFSET($L$9:$L$15,0,Y$631-1))</f>
        <v>10</v>
      </c>
      <c r="Z1219" s="135" cm="1">
        <f ca="1" t="array" ref="Z1219">SUMPRODUCT(TRANSPOSE($AA1219:$AG1219),OFFSET($L$9:$L$15,0,Z$631-1))</f>
        <v>3.14977993533847</v>
      </c>
      <c r="AA1219" s="136">
        <f ca="1" t="shared" ref="AA1219:AG1219" si="1427">AH1219-AH1218</f>
        <v>0</v>
      </c>
      <c r="AB1219" s="136">
        <f ca="1" t="shared" si="1427"/>
        <v>0</v>
      </c>
      <c r="AC1219" s="136">
        <f ca="1" t="shared" si="1427"/>
        <v>0</v>
      </c>
      <c r="AD1219" s="136">
        <f ca="1" t="shared" si="1427"/>
        <v>0</v>
      </c>
      <c r="AE1219" s="136">
        <f ca="1" t="shared" si="1427"/>
        <v>0</v>
      </c>
      <c r="AF1219" s="136">
        <f ca="1" t="shared" si="1427"/>
        <v>0</v>
      </c>
      <c r="AG1219" s="136">
        <f ca="1" t="shared" si="1427"/>
        <v>100</v>
      </c>
      <c r="AH1219" s="136">
        <f ca="1" t="shared" si="1411"/>
        <v>450</v>
      </c>
      <c r="AI1219" s="136">
        <f ca="1" t="shared" ref="AI1219:AN1219" si="1428">IF($C1219&gt;OFFSET($Q$8,MATCH(AI$634,$AH$634:$AN$634,0),0),OFFSET($P$8,MATCH(AI$634,$AH$634:$AN$634,0),0),MAX(0,$C1219-OFFSET($Q$8,RIGHT(AI$634,1)-1,0)))</f>
        <v>909</v>
      </c>
      <c r="AJ1219" s="136">
        <f ca="1" t="shared" si="1428"/>
        <v>1818</v>
      </c>
      <c r="AK1219" s="136">
        <f ca="1" t="shared" si="1428"/>
        <v>2727</v>
      </c>
      <c r="AL1219" s="136">
        <f ca="1" t="shared" si="1428"/>
        <v>3636</v>
      </c>
      <c r="AM1219" s="136">
        <f ca="1" t="shared" si="1428"/>
        <v>4545</v>
      </c>
      <c r="AN1219" s="136">
        <f ca="1" t="shared" si="1428"/>
        <v>44415</v>
      </c>
    </row>
    <row r="1220" s="106" customFormat="1" ht="16.5" spans="2:40">
      <c r="B1220" s="117">
        <v>586</v>
      </c>
      <c r="C1220" s="130">
        <f t="shared" si="1409"/>
        <v>58600</v>
      </c>
      <c r="D1220" s="131" cm="1">
        <f ca="1" t="array" ref="D1220">IF(D1822=1,OFFSET($W$634,$B1220,D$631-1)/SUMPRODUCT(--($D$631:$V$631=D$631),--($D1822:$V1822=1)),0)+SUM(D1219)+IF(COUNTIF(D$1237:D1822,1)=1,5,0)+IF(COUNTIF(E1220:$W1220,"&gt;"&amp;0)&lt;5,IF(AND(COUNTIF(D$1237:D1822,1)&gt;7,MOD(1+IFERROR(MATCH($C1220,总览!$D$46:$D$345,1)+1,1),7)=0),$C$3,0),0)</f>
        <v>3619.11316916141</v>
      </c>
      <c r="E1220" s="131" cm="1">
        <f ca="1" t="array" ref="E1220">IF(E1822=1,OFFSET($W$634,$B1220,E$631-1)/SUMPRODUCT(--($D$631:$V$631=E$631),--($D1822:$V1822=1)),0)+SUM(E1219)+IF(COUNTIF(E$1237:E1822,1)=1,5,0)+IF(COUNTIF(F1220:$W1220,"&gt;"&amp;0)&lt;5,IF(AND(COUNTIF(E$1237:E1822,1)&gt;7,MOD(1+IFERROR(MATCH($C1220,总览!$D$46:$D$345,1)+1,1),7)=0),$C$3,0),0)</f>
        <v>3619.11316916141</v>
      </c>
      <c r="F1220" s="131" cm="1">
        <f ca="1" t="array" ref="F1220">IF(F1822=1,OFFSET($W$634,$B1220,F$631-1)/SUMPRODUCT(--($D$631:$V$631=F$631),--($D1822:$V1822=1)),0)+SUM(F1219)+IF(COUNTIF(F$1237:F1822,1)=1,5,0)+IF(COUNTIF(G1220:$W1220,"&gt;"&amp;0)&lt;5,IF(AND(COUNTIF(F$1237:F1822,1)&gt;7,MOD(1+IFERROR(MATCH($C1220,总览!$D$46:$D$345,1)+1,1),7)=0),$C$3,0),0)</f>
        <v>3619.11316916141</v>
      </c>
      <c r="G1220" s="131" cm="1">
        <f ca="1" t="array" ref="G1220">IF(G1822=1,OFFSET($W$634,$B1220,G$631-1)/SUMPRODUCT(--($D$631:$V$631=G$631),--($D1822:$V1822=1)),0)+SUM(G1219)+IF(COUNTIF(G$1237:G1822,1)=1,5,0)+IF(COUNTIF(H1220:$W1220,"&gt;"&amp;0)&lt;5,IF(AND(COUNTIF(G$1237:G1822,1)&gt;7,MOD(1+IFERROR(MATCH($C1220,总览!$D$46:$D$345,1)+1,1),7)=0),$C$3,0),0)</f>
        <v>1892.73333333332</v>
      </c>
      <c r="H1220" s="131" cm="1">
        <f ca="1" t="array" ref="H1220">IF(H1822=1,OFFSET($W$634,$B1220,H$631-1)/SUMPRODUCT(--($D$631:$V$631=H$631),--($D1822:$V1822=1)),0)+SUM(H1219)+IF(COUNTIF(H$1237:H1822,1)=1,5,0)+IF(COUNTIF(I1220:$W1220,"&gt;"&amp;0)&lt;5,IF(AND(COUNTIF(H$1237:H1822,1)&gt;7,MOD(1+IFERROR(MATCH($C1220,总览!$D$46:$D$345,1)+1,1),7)=0),$C$3,0),0)</f>
        <v>1892.73333333332</v>
      </c>
      <c r="I1220" s="131" cm="1">
        <f ca="1" t="array" ref="I1220">IF(I1822=1,OFFSET($W$634,$B1220,I$631-1)/SUMPRODUCT(--($D$631:$V$631=I$631),--($D1822:$V1822=1)),0)+SUM(I1219)+IF(COUNTIF(I$1237:I1822,1)=1,5,0)+IF(COUNTIF(J1220:$W1220,"&gt;"&amp;0)&lt;5,IF(AND(COUNTIF(I$1237:I1822,1)&gt;7,MOD(1+IFERROR(MATCH($C1220,总览!$D$46:$D$345,1)+1,1),7)=0),$C$3,0),0)</f>
        <v>1892.73333333332</v>
      </c>
      <c r="J1220" s="131" cm="1">
        <f ca="1" t="array" ref="J1220">IF(J1822=1,OFFSET($W$634,$B1220,J$631-1)/SUMPRODUCT(--($D$631:$V$631=J$631),--($D1822:$V1822=1)),0)+SUM(J1219)+IF(COUNTIF(J$1237:J1822,1)=1,5,0)+IF(COUNTIF(K1220:$W1220,"&gt;"&amp;0)&lt;5,IF(AND(COUNTIF(J$1237:J1822,1)&gt;7,MOD(1+IFERROR(MATCH($C1220,总览!$D$46:$D$345,1)+1,1),7)=0),$C$3,0),0)</f>
        <v>1889.39999999998</v>
      </c>
      <c r="K1220" s="131" cm="1">
        <f ca="1" t="array" ref="K1220">IF(K1822=1,OFFSET($W$634,$B1220,K$631-1)/SUMPRODUCT(--($D$631:$V$631=K$631),--($D1822:$V1822=1)),0)+SUM(K1219)+IF(COUNTIF(K$1237:K1822,1)=1,5,0)+IF(COUNTIF(L1220:$W1220,"&gt;"&amp;0)&lt;5,IF(AND(COUNTIF(K$1237:K1822,1)&gt;7,MOD(1+IFERROR(MATCH($C1220,总览!$D$46:$D$345,1)+1,1),7)=0),$C$3,0),0)</f>
        <v>1886.89999999998</v>
      </c>
      <c r="L1220" s="131" cm="1">
        <f ca="1" t="array" ref="L1220">IF(L1822=1,OFFSET($W$634,$B1220,L$631-1)/SUMPRODUCT(--($D$631:$V$631=L$631),--($D1822:$V1822=1)),0)+SUM(L1219)+IF(COUNTIF(L$1237:L1822,1)=1,5,0)+IF(COUNTIF(M1220:$W1220,"&gt;"&amp;0)&lt;5,IF(AND(COUNTIF(L$1237:L1822,1)&gt;7,MOD(1+IFERROR(MATCH($C1220,总览!$D$46:$D$345,1)+1,1),7)=0),$C$3,0),0)</f>
        <v>1886.89999999998</v>
      </c>
      <c r="M1220" s="131" cm="1">
        <f ca="1" t="array" ref="M1220">IF(M1822=1,OFFSET($W$634,$B1220,M$631-1)/SUMPRODUCT(--($D$631:$V$631=M$631),--($D1822:$V1822=1)),0)+SUM(M1219)+IF(COUNTIF(M$1237:M1822,1)=1,5,0)+IF(COUNTIF(N1220:$W1220,"&gt;"&amp;0)&lt;5,IF(AND(COUNTIF(M$1237:M1822,1)&gt;7,MOD(1+IFERROR(MATCH($C1220,总览!$D$46:$D$345,1)+1,1),7)=0),$C$3,0),0)</f>
        <v>794.895535714291</v>
      </c>
      <c r="N1220" s="131" cm="1">
        <f ca="1" t="array" ref="N1220">IF(N1822=1,OFFSET($W$634,$B1220,N$631-1)/SUMPRODUCT(--($D$631:$V$631=N$631),--($D1822:$V1822=1)),0)+SUM(N1219)+IF(COUNTIF(N$1237:N1822,1)=1,5,0)+IF(COUNTIF(O1220:$W1220,"&gt;"&amp;0)&lt;5,IF(AND(COUNTIF(N$1237:N1822,1)&gt;7,MOD(1+IFERROR(MATCH($C1220,总览!$D$46:$D$345,1)+1,1),7)=0),$C$3,0),0)</f>
        <v>796.145535714291</v>
      </c>
      <c r="O1220" s="131" cm="1">
        <f ca="1" t="array" ref="O1220">IF(O1822=1,OFFSET($W$634,$B1220,O$631-1)/SUMPRODUCT(--($D$631:$V$631=O$631),--($D1822:$V1822=1)),0)+SUM(O1219)+IF(COUNTIF(O$1237:O1822,1)=1,5,0)+IF(COUNTIF(P1220:$W1220,"&gt;"&amp;0)&lt;5,IF(AND(COUNTIF(O$1237:O1822,1)&gt;7,MOD(1+IFERROR(MATCH($C1220,总览!$D$46:$D$345,1)+1,1),7)=0),$C$3,0),0)</f>
        <v>801.145535714291</v>
      </c>
      <c r="P1220" s="131" cm="1">
        <f ca="1" t="array" ref="P1220">IF(P1822=1,OFFSET($W$634,$B1220,P$631-1)/SUMPRODUCT(--($D$631:$V$631=P$631),--($D1822:$V1822=1)),0)+SUM(P1219)+IF(COUNTIF(P$1237:P1822,1)=1,5,0)+IF(COUNTIF(Q1220:$W1220,"&gt;"&amp;0)&lt;5,IF(AND(COUNTIF(P$1237:P1822,1)&gt;7,MOD(1+IFERROR(MATCH($C1220,总览!$D$46:$D$345,1)+1,1),7)=0),$C$3,0),0)</f>
        <v>790.264285714291</v>
      </c>
      <c r="Q1220" s="131" cm="1">
        <f ca="1" t="array" ref="Q1220">IF(Q1822=1,OFFSET($W$634,$B1220,Q$631-1)/SUMPRODUCT(--($D$631:$V$631=Q$631),--($D1822:$V1822=1)),0)+SUM(Q1219)+IF(COUNTIF(Q$1237:Q1822,1)=1,5,0)+IF(COUNTIF(R1220:$W1220,"&gt;"&amp;0)&lt;5,IF(AND(COUNTIF(Q$1237:Q1822,1)&gt;7,MOD(1+IFERROR(MATCH($C1220,总览!$D$46:$D$345,1)+1,1),7)=0),$C$3,0),0)</f>
        <v>803.645535714291</v>
      </c>
      <c r="R1220" s="131" cm="1">
        <f ca="1" t="array" ref="R1220">IF(R1822=1,OFFSET($W$634,$B1220,R$631-1)/SUMPRODUCT(--($D$631:$V$631=R$631),--($D1822:$V1822=1)),0)+SUM(R1219)+IF(COUNTIF(R$1237:R1822,1)=1,5,0)+IF(COUNTIF(S1220:$W1220,"&gt;"&amp;0)&lt;5,IF(AND(COUNTIF(R$1237:R1822,1)&gt;7,MOD(1+IFERROR(MATCH($C1220,总览!$D$46:$D$345,1)+1,1),7)=0),$C$3,0),0)</f>
        <v>795.264285714291</v>
      </c>
      <c r="S1220" s="131" cm="1">
        <f ca="1" t="array" ref="S1220">IF(S1822=1,OFFSET($W$634,$B1220,S$631-1)/SUMPRODUCT(--($D$631:$V$631=S$631),--($D1822:$V1822=1)),0)+SUM(S1219)+IF(COUNTIF(S$1237:S1822,1)=1,5,0)+IF(COUNTIF(T1220:$W1220,"&gt;"&amp;0)&lt;5,IF(AND(COUNTIF(S$1237:S1822,1)&gt;7,MOD(1+IFERROR(MATCH($C1220,总览!$D$46:$D$345,1)+1,1),7)=0),$C$3,0),0)</f>
        <v>887.764285714292</v>
      </c>
      <c r="T1220" s="131" cm="1">
        <f ca="1" t="array" ref="T1220">IF(T1822=1,OFFSET($W$634,$B1220,T$631-1)/SUMPRODUCT(--($D$631:$V$631=T$631),--($D1822:$V1822=1)),0)+SUM(T1219)+IF(COUNTIF(T$1237:T1822,1)=1,5,0)+IF(COUNTIF(U1220:$W1220,"&gt;"&amp;0)&lt;5,IF(AND(COUNTIF(T$1237:T1822,1)&gt;7,MOD(1+IFERROR(MATCH($C1220,总览!$D$46:$D$345,1)+1,1),7)=0),$C$3,0),0)</f>
        <v>650.422306697627</v>
      </c>
      <c r="U1220" s="131" cm="1">
        <f ca="1" t="array" ref="U1220">IF(U1822=1,OFFSET($W$634,$B1220,U$631-1)/SUMPRODUCT(--($D$631:$V$631=U$631),--($D1822:$V1822=1)),0)+SUM(U1219)+IF(COUNTIF(U$1237:U1822,1)=1,5,0)+IF(COUNTIF(V1220:$W1220,"&gt;"&amp;0)&lt;5,IF(AND(COUNTIF(U$1237:U1822,1)&gt;7,MOD(1+IFERROR(MATCH($C1220,总览!$D$46:$D$345,1)+1,1),7)=0),$C$3,0),0)</f>
        <v>655.943093052926</v>
      </c>
      <c r="V1220" s="131" cm="1">
        <f ca="1" t="array" ref="V1220">IF(V1822=1,OFFSET($W$634,$B1220,V$631-1)/SUMPRODUCT(--($D$631:$V$631=V$631),--($D1822:$V1822=1)),0)+SUM(V1219)+IF(COUNTIF(V$1237:V1822,1)=1,5,0)+IF(COUNTIF(W1220:$W1220,"&gt;"&amp;0)&lt;5,IF(AND(COUNTIF(V$1237:V1822,1)&gt;7,MOD(1+IFERROR(MATCH($C1220,总览!$D$46:$D$345,1)+1,1),7)=0),$C$3,0),0)</f>
        <v>675.770092765359</v>
      </c>
      <c r="W1220" s="135" cm="1">
        <f ca="1" t="array" ref="W1220">SUMPRODUCT(TRANSPOSE($AA1220:$AG1220),OFFSET($L$9:$L$15,0,W$631-1))</f>
        <v>16.8502200646615</v>
      </c>
      <c r="X1220" s="135" cm="1">
        <f ca="1" t="array" ref="X1220">SUMPRODUCT(TRANSPOSE($AA1220:$AG1220),OFFSET($L$9:$L$15,0,X$631-1))</f>
        <v>20</v>
      </c>
      <c r="Y1220" s="135" cm="1">
        <f ca="1" t="array" ref="Y1220">SUMPRODUCT(TRANSPOSE($AA1220:$AG1220),OFFSET($L$9:$L$15,0,Y$631-1))</f>
        <v>10</v>
      </c>
      <c r="Z1220" s="135" cm="1">
        <f ca="1" t="array" ref="Z1220">SUMPRODUCT(TRANSPOSE($AA1220:$AG1220),OFFSET($L$9:$L$15,0,Z$631-1))</f>
        <v>3.14977993533847</v>
      </c>
      <c r="AA1220" s="136">
        <f ca="1" t="shared" ref="AA1220:AG1220" si="1429">AH1220-AH1219</f>
        <v>0</v>
      </c>
      <c r="AB1220" s="136">
        <f ca="1" t="shared" si="1429"/>
        <v>0</v>
      </c>
      <c r="AC1220" s="136">
        <f ca="1" t="shared" si="1429"/>
        <v>0</v>
      </c>
      <c r="AD1220" s="136">
        <f ca="1" t="shared" si="1429"/>
        <v>0</v>
      </c>
      <c r="AE1220" s="136">
        <f ca="1" t="shared" si="1429"/>
        <v>0</v>
      </c>
      <c r="AF1220" s="136">
        <f ca="1" t="shared" si="1429"/>
        <v>0</v>
      </c>
      <c r="AG1220" s="136">
        <f ca="1" t="shared" si="1429"/>
        <v>100</v>
      </c>
      <c r="AH1220" s="136">
        <f ca="1" t="shared" si="1411"/>
        <v>450</v>
      </c>
      <c r="AI1220" s="136">
        <f ca="1" t="shared" ref="AI1220:AN1220" si="1430">IF($C1220&gt;OFFSET($Q$8,MATCH(AI$634,$AH$634:$AN$634,0),0),OFFSET($P$8,MATCH(AI$634,$AH$634:$AN$634,0),0),MAX(0,$C1220-OFFSET($Q$8,RIGHT(AI$634,1)-1,0)))</f>
        <v>909</v>
      </c>
      <c r="AJ1220" s="136">
        <f ca="1" t="shared" si="1430"/>
        <v>1818</v>
      </c>
      <c r="AK1220" s="136">
        <f ca="1" t="shared" si="1430"/>
        <v>2727</v>
      </c>
      <c r="AL1220" s="136">
        <f ca="1" t="shared" si="1430"/>
        <v>3636</v>
      </c>
      <c r="AM1220" s="136">
        <f ca="1" t="shared" si="1430"/>
        <v>4545</v>
      </c>
      <c r="AN1220" s="136">
        <f ca="1" t="shared" si="1430"/>
        <v>44515</v>
      </c>
    </row>
    <row r="1221" s="106" customFormat="1" ht="16.5" spans="2:40">
      <c r="B1221" s="117">
        <v>587</v>
      </c>
      <c r="C1221" s="130">
        <f t="shared" si="1409"/>
        <v>58700</v>
      </c>
      <c r="D1221" s="131" cm="1">
        <f ca="1" t="array" ref="D1221">IF(D1823=1,OFFSET($W$634,$B1221,D$631-1)/SUMPRODUCT(--($D$631:$V$631=D$631),--($D1823:$V1823=1)),0)+SUM(D1220)+IF(COUNTIF(D$1237:D1823,1)=1,5,0)+IF(COUNTIF(E1221:$W1221,"&gt;"&amp;0)&lt;5,IF(AND(COUNTIF(D$1237:D1823,1)&gt;7,MOD(1+IFERROR(MATCH($C1221,总览!$D$46:$D$345,1)+1,1),7)=0),$C$3,0),0)</f>
        <v>3624.72990918297</v>
      </c>
      <c r="E1221" s="131" cm="1">
        <f ca="1" t="array" ref="E1221">IF(E1823=1,OFFSET($W$634,$B1221,E$631-1)/SUMPRODUCT(--($D$631:$V$631=E$631),--($D1823:$V1823=1)),0)+SUM(E1220)+IF(COUNTIF(E$1237:E1823,1)=1,5,0)+IF(COUNTIF(F1221:$W1221,"&gt;"&amp;0)&lt;5,IF(AND(COUNTIF(E$1237:E1823,1)&gt;7,MOD(1+IFERROR(MATCH($C1221,总览!$D$46:$D$345,1)+1,1),7)=0),$C$3,0),0)</f>
        <v>3624.72990918297</v>
      </c>
      <c r="F1221" s="131" cm="1">
        <f ca="1" t="array" ref="F1221">IF(F1823=1,OFFSET($W$634,$B1221,F$631-1)/SUMPRODUCT(--($D$631:$V$631=F$631),--($D1823:$V1823=1)),0)+SUM(F1220)+IF(COUNTIF(F$1237:F1823,1)=1,5,0)+IF(COUNTIF(G1221:$W1221,"&gt;"&amp;0)&lt;5,IF(AND(COUNTIF(F$1237:F1823,1)&gt;7,MOD(1+IFERROR(MATCH($C1221,总览!$D$46:$D$345,1)+1,1),7)=0),$C$3,0),0)</f>
        <v>3624.72990918297</v>
      </c>
      <c r="G1221" s="131" cm="1">
        <f ca="1" t="array" ref="G1221">IF(G1823=1,OFFSET($W$634,$B1221,G$631-1)/SUMPRODUCT(--($D$631:$V$631=G$631),--($D1823:$V1823=1)),0)+SUM(G1220)+IF(COUNTIF(G$1237:G1823,1)=1,5,0)+IF(COUNTIF(H1221:$W1221,"&gt;"&amp;0)&lt;5,IF(AND(COUNTIF(G$1237:G1823,1)&gt;7,MOD(1+IFERROR(MATCH($C1221,总览!$D$46:$D$345,1)+1,1),7)=0),$C$3,0),0)</f>
        <v>1896.06666666665</v>
      </c>
      <c r="H1221" s="131" cm="1">
        <f ca="1" t="array" ref="H1221">IF(H1823=1,OFFSET($W$634,$B1221,H$631-1)/SUMPRODUCT(--($D$631:$V$631=H$631),--($D1823:$V1823=1)),0)+SUM(H1220)+IF(COUNTIF(H$1237:H1823,1)=1,5,0)+IF(COUNTIF(I1221:$W1221,"&gt;"&amp;0)&lt;5,IF(AND(COUNTIF(H$1237:H1823,1)&gt;7,MOD(1+IFERROR(MATCH($C1221,总览!$D$46:$D$345,1)+1,1),7)=0),$C$3,0),0)</f>
        <v>1896.06666666665</v>
      </c>
      <c r="I1221" s="131" cm="1">
        <f ca="1" t="array" ref="I1221">IF(I1823=1,OFFSET($W$634,$B1221,I$631-1)/SUMPRODUCT(--($D$631:$V$631=I$631),--($D1823:$V1823=1)),0)+SUM(I1220)+IF(COUNTIF(I$1237:I1823,1)=1,5,0)+IF(COUNTIF(J1221:$W1221,"&gt;"&amp;0)&lt;5,IF(AND(COUNTIF(I$1237:I1823,1)&gt;7,MOD(1+IFERROR(MATCH($C1221,总览!$D$46:$D$345,1)+1,1),7)=0),$C$3,0),0)</f>
        <v>1896.06666666665</v>
      </c>
      <c r="J1221" s="131" cm="1">
        <f ca="1" t="array" ref="J1221">IF(J1823=1,OFFSET($W$634,$B1221,J$631-1)/SUMPRODUCT(--($D$631:$V$631=J$631),--($D1823:$V1823=1)),0)+SUM(J1220)+IF(COUNTIF(J$1237:J1823,1)=1,5,0)+IF(COUNTIF(K1221:$W1221,"&gt;"&amp;0)&lt;5,IF(AND(COUNTIF(J$1237:J1823,1)&gt;7,MOD(1+IFERROR(MATCH($C1221,总览!$D$46:$D$345,1)+1,1),7)=0),$C$3,0),0)</f>
        <v>1892.73333333332</v>
      </c>
      <c r="K1221" s="131" cm="1">
        <f ca="1" t="array" ref="K1221">IF(K1823=1,OFFSET($W$634,$B1221,K$631-1)/SUMPRODUCT(--($D$631:$V$631=K$631),--($D1823:$V1823=1)),0)+SUM(K1220)+IF(COUNTIF(K$1237:K1823,1)=1,5,0)+IF(COUNTIF(L1221:$W1221,"&gt;"&amp;0)&lt;5,IF(AND(COUNTIF(K$1237:K1823,1)&gt;7,MOD(1+IFERROR(MATCH($C1221,总览!$D$46:$D$345,1)+1,1),7)=0),$C$3,0),0)</f>
        <v>1890.23333333332</v>
      </c>
      <c r="L1221" s="131" cm="1">
        <f ca="1" t="array" ref="L1221">IF(L1823=1,OFFSET($W$634,$B1221,L$631-1)/SUMPRODUCT(--($D$631:$V$631=L$631),--($D1823:$V1823=1)),0)+SUM(L1220)+IF(COUNTIF(L$1237:L1823,1)=1,5,0)+IF(COUNTIF(M1221:$W1221,"&gt;"&amp;0)&lt;5,IF(AND(COUNTIF(L$1237:L1823,1)&gt;7,MOD(1+IFERROR(MATCH($C1221,总览!$D$46:$D$345,1)+1,1),7)=0),$C$3,0),0)</f>
        <v>1890.23333333332</v>
      </c>
      <c r="M1221" s="131" cm="1">
        <f ca="1" t="array" ref="M1221">IF(M1823=1,OFFSET($W$634,$B1221,M$631-1)/SUMPRODUCT(--($D$631:$V$631=M$631),--($D1823:$V1823=1)),0)+SUM(M1220)+IF(COUNTIF(M$1237:M1823,1)=1,5,0)+IF(COUNTIF(N1221:$W1221,"&gt;"&amp;0)&lt;5,IF(AND(COUNTIF(M$1237:M1823,1)&gt;7,MOD(1+IFERROR(MATCH($C1221,总览!$D$46:$D$345,1)+1,1),7)=0),$C$3,0),0)</f>
        <v>796.324107142862</v>
      </c>
      <c r="N1221" s="131" cm="1">
        <f ca="1" t="array" ref="N1221">IF(N1823=1,OFFSET($W$634,$B1221,N$631-1)/SUMPRODUCT(--($D$631:$V$631=N$631),--($D1823:$V1823=1)),0)+SUM(N1220)+IF(COUNTIF(N$1237:N1823,1)=1,5,0)+IF(COUNTIF(O1221:$W1221,"&gt;"&amp;0)&lt;5,IF(AND(COUNTIF(N$1237:N1823,1)&gt;7,MOD(1+IFERROR(MATCH($C1221,总览!$D$46:$D$345,1)+1,1),7)=0),$C$3,0),0)</f>
        <v>797.574107142862</v>
      </c>
      <c r="O1221" s="131" cm="1">
        <f ca="1" t="array" ref="O1221">IF(O1823=1,OFFSET($W$634,$B1221,O$631-1)/SUMPRODUCT(--($D$631:$V$631=O$631),--($D1823:$V1823=1)),0)+SUM(O1220)+IF(COUNTIF(O$1237:O1823,1)=1,5,0)+IF(COUNTIF(P1221:$W1221,"&gt;"&amp;0)&lt;5,IF(AND(COUNTIF(O$1237:O1823,1)&gt;7,MOD(1+IFERROR(MATCH($C1221,总览!$D$46:$D$345,1)+1,1),7)=0),$C$3,0),0)</f>
        <v>802.574107142862</v>
      </c>
      <c r="P1221" s="131" cm="1">
        <f ca="1" t="array" ref="P1221">IF(P1823=1,OFFSET($W$634,$B1221,P$631-1)/SUMPRODUCT(--($D$631:$V$631=P$631),--($D1823:$V1823=1)),0)+SUM(P1220)+IF(COUNTIF(P$1237:P1823,1)=1,5,0)+IF(COUNTIF(Q1221:$W1221,"&gt;"&amp;0)&lt;5,IF(AND(COUNTIF(P$1237:P1823,1)&gt;7,MOD(1+IFERROR(MATCH($C1221,总览!$D$46:$D$345,1)+1,1),7)=0),$C$3,0),0)</f>
        <v>791.692857142862</v>
      </c>
      <c r="Q1221" s="131" cm="1">
        <f ca="1" t="array" ref="Q1221">IF(Q1823=1,OFFSET($W$634,$B1221,Q$631-1)/SUMPRODUCT(--($D$631:$V$631=Q$631),--($D1823:$V1823=1)),0)+SUM(Q1220)+IF(COUNTIF(Q$1237:Q1823,1)=1,5,0)+IF(COUNTIF(R1221:$W1221,"&gt;"&amp;0)&lt;5,IF(AND(COUNTIF(Q$1237:Q1823,1)&gt;7,MOD(1+IFERROR(MATCH($C1221,总览!$D$46:$D$345,1)+1,1),7)=0),$C$3,0),0)</f>
        <v>805.074107142862</v>
      </c>
      <c r="R1221" s="131" cm="1">
        <f ca="1" t="array" ref="R1221">IF(R1823=1,OFFSET($W$634,$B1221,R$631-1)/SUMPRODUCT(--($D$631:$V$631=R$631),--($D1823:$V1823=1)),0)+SUM(R1220)+IF(COUNTIF(R$1237:R1823,1)=1,5,0)+IF(COUNTIF(S1221:$W1221,"&gt;"&amp;0)&lt;5,IF(AND(COUNTIF(R$1237:R1823,1)&gt;7,MOD(1+IFERROR(MATCH($C1221,总览!$D$46:$D$345,1)+1,1),7)=0),$C$3,0),0)</f>
        <v>796.692857142862</v>
      </c>
      <c r="S1221" s="131" cm="1">
        <f ca="1" t="array" ref="S1221">IF(S1823=1,OFFSET($W$634,$B1221,S$631-1)/SUMPRODUCT(--($D$631:$V$631=S$631),--($D1823:$V1823=1)),0)+SUM(S1220)+IF(COUNTIF(S$1237:S1823,1)=1,5,0)+IF(COUNTIF(T1221:$W1221,"&gt;"&amp;0)&lt;5,IF(AND(COUNTIF(S$1237:S1823,1)&gt;7,MOD(1+IFERROR(MATCH($C1221,总览!$D$46:$D$345,1)+1,1),7)=0),$C$3,0),0)</f>
        <v>889.192857142863</v>
      </c>
      <c r="T1221" s="131" cm="1">
        <f ca="1" t="array" ref="T1221">IF(T1823=1,OFFSET($W$634,$B1221,T$631-1)/SUMPRODUCT(--($D$631:$V$631=T$631),--($D1823:$V1823=1)),0)+SUM(T1220)+IF(COUNTIF(T$1237:T1823,1)=1,5,0)+IF(COUNTIF(U1221:$W1221,"&gt;"&amp;0)&lt;5,IF(AND(COUNTIF(T$1237:T1823,1)&gt;7,MOD(1+IFERROR(MATCH($C1221,总览!$D$46:$D$345,1)+1,1),7)=0),$C$3,0),0)</f>
        <v>651.47223334274</v>
      </c>
      <c r="U1221" s="131" cm="1">
        <f ca="1" t="array" ref="U1221">IF(U1823=1,OFFSET($W$634,$B1221,U$631-1)/SUMPRODUCT(--($D$631:$V$631=U$631),--($D1823:$V1823=1)),0)+SUM(U1220)+IF(COUNTIF(U$1237:U1823,1)=1,5,0)+IF(COUNTIF(V1221:$W1221,"&gt;"&amp;0)&lt;5,IF(AND(COUNTIF(U$1237:U1823,1)&gt;7,MOD(1+IFERROR(MATCH($C1221,总览!$D$46:$D$345,1)+1,1),7)=0),$C$3,0),0)</f>
        <v>656.993019698039</v>
      </c>
      <c r="V1221" s="131" cm="1">
        <f ca="1" t="array" ref="V1221">IF(V1823=1,OFFSET($W$634,$B1221,V$631-1)/SUMPRODUCT(--($D$631:$V$631=V$631),--($D1823:$V1823=1)),0)+SUM(V1220)+IF(COUNTIF(V$1237:V1823,1)=1,5,0)+IF(COUNTIF(W1221:$W1221,"&gt;"&amp;0)&lt;5,IF(AND(COUNTIF(V$1237:V1823,1)&gt;7,MOD(1+IFERROR(MATCH($C1221,总览!$D$46:$D$345,1)+1,1),7)=0),$C$3,0),0)</f>
        <v>676.820019410472</v>
      </c>
      <c r="W1221" s="135" cm="1">
        <f ca="1" t="array" ref="W1221">SUMPRODUCT(TRANSPOSE($AA1221:$AG1221),OFFSET($L$9:$L$15,0,W$631-1))</f>
        <v>16.8502200646615</v>
      </c>
      <c r="X1221" s="135" cm="1">
        <f ca="1" t="array" ref="X1221">SUMPRODUCT(TRANSPOSE($AA1221:$AG1221),OFFSET($L$9:$L$15,0,X$631-1))</f>
        <v>20</v>
      </c>
      <c r="Y1221" s="135" cm="1">
        <f ca="1" t="array" ref="Y1221">SUMPRODUCT(TRANSPOSE($AA1221:$AG1221),OFFSET($L$9:$L$15,0,Y$631-1))</f>
        <v>10</v>
      </c>
      <c r="Z1221" s="135" cm="1">
        <f ca="1" t="array" ref="Z1221">SUMPRODUCT(TRANSPOSE($AA1221:$AG1221),OFFSET($L$9:$L$15,0,Z$631-1))</f>
        <v>3.14977993533847</v>
      </c>
      <c r="AA1221" s="136">
        <f ca="1" t="shared" ref="AA1221:AG1221" si="1431">AH1221-AH1220</f>
        <v>0</v>
      </c>
      <c r="AB1221" s="136">
        <f ca="1" t="shared" si="1431"/>
        <v>0</v>
      </c>
      <c r="AC1221" s="136">
        <f ca="1" t="shared" si="1431"/>
        <v>0</v>
      </c>
      <c r="AD1221" s="136">
        <f ca="1" t="shared" si="1431"/>
        <v>0</v>
      </c>
      <c r="AE1221" s="136">
        <f ca="1" t="shared" si="1431"/>
        <v>0</v>
      </c>
      <c r="AF1221" s="136">
        <f ca="1" t="shared" si="1431"/>
        <v>0</v>
      </c>
      <c r="AG1221" s="136">
        <f ca="1" t="shared" si="1431"/>
        <v>100</v>
      </c>
      <c r="AH1221" s="136">
        <f ca="1" t="shared" si="1411"/>
        <v>450</v>
      </c>
      <c r="AI1221" s="136">
        <f ca="1" t="shared" ref="AI1221:AN1221" si="1432">IF($C1221&gt;OFFSET($Q$8,MATCH(AI$634,$AH$634:$AN$634,0),0),OFFSET($P$8,MATCH(AI$634,$AH$634:$AN$634,0),0),MAX(0,$C1221-OFFSET($Q$8,RIGHT(AI$634,1)-1,0)))</f>
        <v>909</v>
      </c>
      <c r="AJ1221" s="136">
        <f ca="1" t="shared" si="1432"/>
        <v>1818</v>
      </c>
      <c r="AK1221" s="136">
        <f ca="1" t="shared" si="1432"/>
        <v>2727</v>
      </c>
      <c r="AL1221" s="136">
        <f ca="1" t="shared" si="1432"/>
        <v>3636</v>
      </c>
      <c r="AM1221" s="136">
        <f ca="1" t="shared" si="1432"/>
        <v>4545</v>
      </c>
      <c r="AN1221" s="136">
        <f ca="1" t="shared" si="1432"/>
        <v>44615</v>
      </c>
    </row>
    <row r="1222" s="106" customFormat="1" ht="16.5" spans="2:40">
      <c r="B1222" s="117">
        <v>588</v>
      </c>
      <c r="C1222" s="130">
        <f t="shared" si="1409"/>
        <v>58800</v>
      </c>
      <c r="D1222" s="131" cm="1">
        <f ca="1" t="array" ref="D1222">IF(D1824=1,OFFSET($W$634,$B1222,D$631-1)/SUMPRODUCT(--($D$631:$V$631=D$631),--($D1824:$V1824=1)),0)+SUM(D1221)+IF(COUNTIF(D$1237:D1824,1)=1,5,0)+IF(COUNTIF(E1222:$W1222,"&gt;"&amp;0)&lt;5,IF(AND(COUNTIF(D$1237:D1824,1)&gt;7,MOD(1+IFERROR(MATCH($C1222,总览!$D$46:$D$345,1)+1,1),7)=0),$C$3,0),0)</f>
        <v>3630.34664920452</v>
      </c>
      <c r="E1222" s="131" cm="1">
        <f ca="1" t="array" ref="E1222">IF(E1824=1,OFFSET($W$634,$B1222,E$631-1)/SUMPRODUCT(--($D$631:$V$631=E$631),--($D1824:$V1824=1)),0)+SUM(E1221)+IF(COUNTIF(E$1237:E1824,1)=1,5,0)+IF(COUNTIF(F1222:$W1222,"&gt;"&amp;0)&lt;5,IF(AND(COUNTIF(E$1237:E1824,1)&gt;7,MOD(1+IFERROR(MATCH($C1222,总览!$D$46:$D$345,1)+1,1),7)=0),$C$3,0),0)</f>
        <v>3630.34664920452</v>
      </c>
      <c r="F1222" s="131" cm="1">
        <f ca="1" t="array" ref="F1222">IF(F1824=1,OFFSET($W$634,$B1222,F$631-1)/SUMPRODUCT(--($D$631:$V$631=F$631),--($D1824:$V1824=1)),0)+SUM(F1221)+IF(COUNTIF(F$1237:F1824,1)=1,5,0)+IF(COUNTIF(G1222:$W1222,"&gt;"&amp;0)&lt;5,IF(AND(COUNTIF(F$1237:F1824,1)&gt;7,MOD(1+IFERROR(MATCH($C1222,总览!$D$46:$D$345,1)+1,1),7)=0),$C$3,0),0)</f>
        <v>3630.34664920452</v>
      </c>
      <c r="G1222" s="131" cm="1">
        <f ca="1" t="array" ref="G1222">IF(G1824=1,OFFSET($W$634,$B1222,G$631-1)/SUMPRODUCT(--($D$631:$V$631=G$631),--($D1824:$V1824=1)),0)+SUM(G1221)+IF(COUNTIF(G$1237:G1824,1)=1,5,0)+IF(COUNTIF(H1222:$W1222,"&gt;"&amp;0)&lt;5,IF(AND(COUNTIF(G$1237:G1824,1)&gt;7,MOD(1+IFERROR(MATCH($C1222,总览!$D$46:$D$345,1)+1,1),7)=0),$C$3,0),0)</f>
        <v>1899.39999999998</v>
      </c>
      <c r="H1222" s="131" cm="1">
        <f ca="1" t="array" ref="H1222">IF(H1824=1,OFFSET($W$634,$B1222,H$631-1)/SUMPRODUCT(--($D$631:$V$631=H$631),--($D1824:$V1824=1)),0)+SUM(H1221)+IF(COUNTIF(H$1237:H1824,1)=1,5,0)+IF(COUNTIF(I1222:$W1222,"&gt;"&amp;0)&lt;5,IF(AND(COUNTIF(H$1237:H1824,1)&gt;7,MOD(1+IFERROR(MATCH($C1222,总览!$D$46:$D$345,1)+1,1),7)=0),$C$3,0),0)</f>
        <v>1899.39999999998</v>
      </c>
      <c r="I1222" s="131" cm="1">
        <f ca="1" t="array" ref="I1222">IF(I1824=1,OFFSET($W$634,$B1222,I$631-1)/SUMPRODUCT(--($D$631:$V$631=I$631),--($D1824:$V1824=1)),0)+SUM(I1221)+IF(COUNTIF(I$1237:I1824,1)=1,5,0)+IF(COUNTIF(J1222:$W1222,"&gt;"&amp;0)&lt;5,IF(AND(COUNTIF(I$1237:I1824,1)&gt;7,MOD(1+IFERROR(MATCH($C1222,总览!$D$46:$D$345,1)+1,1),7)=0),$C$3,0),0)</f>
        <v>1899.39999999998</v>
      </c>
      <c r="J1222" s="131" cm="1">
        <f ca="1" t="array" ref="J1222">IF(J1824=1,OFFSET($W$634,$B1222,J$631-1)/SUMPRODUCT(--($D$631:$V$631=J$631),--($D1824:$V1824=1)),0)+SUM(J1221)+IF(COUNTIF(J$1237:J1824,1)=1,5,0)+IF(COUNTIF(K1222:$W1222,"&gt;"&amp;0)&lt;5,IF(AND(COUNTIF(J$1237:J1824,1)&gt;7,MOD(1+IFERROR(MATCH($C1222,总览!$D$46:$D$345,1)+1,1),7)=0),$C$3,0),0)</f>
        <v>1896.06666666665</v>
      </c>
      <c r="K1222" s="131" cm="1">
        <f ca="1" t="array" ref="K1222">IF(K1824=1,OFFSET($W$634,$B1222,K$631-1)/SUMPRODUCT(--($D$631:$V$631=K$631),--($D1824:$V1824=1)),0)+SUM(K1221)+IF(COUNTIF(K$1237:K1824,1)=1,5,0)+IF(COUNTIF(L1222:$W1222,"&gt;"&amp;0)&lt;5,IF(AND(COUNTIF(K$1237:K1824,1)&gt;7,MOD(1+IFERROR(MATCH($C1222,总览!$D$46:$D$345,1)+1,1),7)=0),$C$3,0),0)</f>
        <v>1893.56666666665</v>
      </c>
      <c r="L1222" s="131" cm="1">
        <f ca="1" t="array" ref="L1222">IF(L1824=1,OFFSET($W$634,$B1222,L$631-1)/SUMPRODUCT(--($D$631:$V$631=L$631),--($D1824:$V1824=1)),0)+SUM(L1221)+IF(COUNTIF(L$1237:L1824,1)=1,5,0)+IF(COUNTIF(M1222:$W1222,"&gt;"&amp;0)&lt;5,IF(AND(COUNTIF(L$1237:L1824,1)&gt;7,MOD(1+IFERROR(MATCH($C1222,总览!$D$46:$D$345,1)+1,1),7)=0),$C$3,0),0)</f>
        <v>1893.56666666665</v>
      </c>
      <c r="M1222" s="131" cm="1">
        <f ca="1" t="array" ref="M1222">IF(M1824=1,OFFSET($W$634,$B1222,M$631-1)/SUMPRODUCT(--($D$631:$V$631=M$631),--($D1824:$V1824=1)),0)+SUM(M1221)+IF(COUNTIF(M$1237:M1824,1)=1,5,0)+IF(COUNTIF(N1222:$W1222,"&gt;"&amp;0)&lt;5,IF(AND(COUNTIF(M$1237:M1824,1)&gt;7,MOD(1+IFERROR(MATCH($C1222,总览!$D$46:$D$345,1)+1,1),7)=0),$C$3,0),0)</f>
        <v>797.752678571434</v>
      </c>
      <c r="N1222" s="131" cm="1">
        <f ca="1" t="array" ref="N1222">IF(N1824=1,OFFSET($W$634,$B1222,N$631-1)/SUMPRODUCT(--($D$631:$V$631=N$631),--($D1824:$V1824=1)),0)+SUM(N1221)+IF(COUNTIF(N$1237:N1824,1)=1,5,0)+IF(COUNTIF(O1222:$W1222,"&gt;"&amp;0)&lt;5,IF(AND(COUNTIF(N$1237:N1824,1)&gt;7,MOD(1+IFERROR(MATCH($C1222,总览!$D$46:$D$345,1)+1,1),7)=0),$C$3,0),0)</f>
        <v>799.002678571434</v>
      </c>
      <c r="O1222" s="131" cm="1">
        <f ca="1" t="array" ref="O1222">IF(O1824=1,OFFSET($W$634,$B1222,O$631-1)/SUMPRODUCT(--($D$631:$V$631=O$631),--($D1824:$V1824=1)),0)+SUM(O1221)+IF(COUNTIF(O$1237:O1824,1)=1,5,0)+IF(COUNTIF(P1222:$W1222,"&gt;"&amp;0)&lt;5,IF(AND(COUNTIF(O$1237:O1824,1)&gt;7,MOD(1+IFERROR(MATCH($C1222,总览!$D$46:$D$345,1)+1,1),7)=0),$C$3,0),0)</f>
        <v>804.002678571434</v>
      </c>
      <c r="P1222" s="131" cm="1">
        <f ca="1" t="array" ref="P1222">IF(P1824=1,OFFSET($W$634,$B1222,P$631-1)/SUMPRODUCT(--($D$631:$V$631=P$631),--($D1824:$V1824=1)),0)+SUM(P1221)+IF(COUNTIF(P$1237:P1824,1)=1,5,0)+IF(COUNTIF(Q1222:$W1222,"&gt;"&amp;0)&lt;5,IF(AND(COUNTIF(P$1237:P1824,1)&gt;7,MOD(1+IFERROR(MATCH($C1222,总览!$D$46:$D$345,1)+1,1),7)=0),$C$3,0),0)</f>
        <v>793.121428571434</v>
      </c>
      <c r="Q1222" s="131" cm="1">
        <f ca="1" t="array" ref="Q1222">IF(Q1824=1,OFFSET($W$634,$B1222,Q$631-1)/SUMPRODUCT(--($D$631:$V$631=Q$631),--($D1824:$V1824=1)),0)+SUM(Q1221)+IF(COUNTIF(Q$1237:Q1824,1)=1,5,0)+IF(COUNTIF(R1222:$W1222,"&gt;"&amp;0)&lt;5,IF(AND(COUNTIF(Q$1237:Q1824,1)&gt;7,MOD(1+IFERROR(MATCH($C1222,总览!$D$46:$D$345,1)+1,1),7)=0),$C$3,0),0)</f>
        <v>806.502678571434</v>
      </c>
      <c r="R1222" s="131" cm="1">
        <f ca="1" t="array" ref="R1222">IF(R1824=1,OFFSET($W$634,$B1222,R$631-1)/SUMPRODUCT(--($D$631:$V$631=R$631),--($D1824:$V1824=1)),0)+SUM(R1221)+IF(COUNTIF(R$1237:R1824,1)=1,5,0)+IF(COUNTIF(S1222:$W1222,"&gt;"&amp;0)&lt;5,IF(AND(COUNTIF(R$1237:R1824,1)&gt;7,MOD(1+IFERROR(MATCH($C1222,总览!$D$46:$D$345,1)+1,1),7)=0),$C$3,0),0)</f>
        <v>798.121428571434</v>
      </c>
      <c r="S1222" s="131" cm="1">
        <f ca="1" t="array" ref="S1222">IF(S1824=1,OFFSET($W$634,$B1222,S$631-1)/SUMPRODUCT(--($D$631:$V$631=S$631),--($D1824:$V1824=1)),0)+SUM(S1221)+IF(COUNTIF(S$1237:S1824,1)=1,5,0)+IF(COUNTIF(T1222:$W1222,"&gt;"&amp;0)&lt;5,IF(AND(COUNTIF(S$1237:S1824,1)&gt;7,MOD(1+IFERROR(MATCH($C1222,总览!$D$46:$D$345,1)+1,1),7)=0),$C$3,0),0)</f>
        <v>890.621428571435</v>
      </c>
      <c r="T1222" s="131" cm="1">
        <f ca="1" t="array" ref="T1222">IF(T1824=1,OFFSET($W$634,$B1222,T$631-1)/SUMPRODUCT(--($D$631:$V$631=T$631),--($D1824:$V1824=1)),0)+SUM(T1221)+IF(COUNTIF(T$1237:T1824,1)=1,5,0)+IF(COUNTIF(U1222:$W1222,"&gt;"&amp;0)&lt;5,IF(AND(COUNTIF(T$1237:T1824,1)&gt;7,MOD(1+IFERROR(MATCH($C1222,总览!$D$46:$D$345,1)+1,1),7)=0),$C$3,0),0)</f>
        <v>652.522159987852</v>
      </c>
      <c r="U1222" s="131" cm="1">
        <f ca="1" t="array" ref="U1222">IF(U1824=1,OFFSET($W$634,$B1222,U$631-1)/SUMPRODUCT(--($D$631:$V$631=U$631),--($D1824:$V1824=1)),0)+SUM(U1221)+IF(COUNTIF(U$1237:U1824,1)=1,5,0)+IF(COUNTIF(V1222:$W1222,"&gt;"&amp;0)&lt;5,IF(AND(COUNTIF(U$1237:U1824,1)&gt;7,MOD(1+IFERROR(MATCH($C1222,总览!$D$46:$D$345,1)+1,1),7)=0),$C$3,0),0)</f>
        <v>658.042946343152</v>
      </c>
      <c r="V1222" s="131" cm="1">
        <f ca="1" t="array" ref="V1222">IF(V1824=1,OFFSET($W$634,$B1222,V$631-1)/SUMPRODUCT(--($D$631:$V$631=V$631),--($D1824:$V1824=1)),0)+SUM(V1221)+IF(COUNTIF(V$1237:V1824,1)=1,5,0)+IF(COUNTIF(W1222:$W1222,"&gt;"&amp;0)&lt;5,IF(AND(COUNTIF(V$1237:V1824,1)&gt;7,MOD(1+IFERROR(MATCH($C1222,总览!$D$46:$D$345,1)+1,1),7)=0),$C$3,0),0)</f>
        <v>677.869946055585</v>
      </c>
      <c r="W1222" s="135" cm="1">
        <f ca="1" t="array" ref="W1222">SUMPRODUCT(TRANSPOSE($AA1222:$AG1222),OFFSET($L$9:$L$15,0,W$631-1))</f>
        <v>16.8502200646615</v>
      </c>
      <c r="X1222" s="135" cm="1">
        <f ca="1" t="array" ref="X1222">SUMPRODUCT(TRANSPOSE($AA1222:$AG1222),OFFSET($L$9:$L$15,0,X$631-1))</f>
        <v>20</v>
      </c>
      <c r="Y1222" s="135" cm="1">
        <f ca="1" t="array" ref="Y1222">SUMPRODUCT(TRANSPOSE($AA1222:$AG1222),OFFSET($L$9:$L$15,0,Y$631-1))</f>
        <v>10</v>
      </c>
      <c r="Z1222" s="135" cm="1">
        <f ca="1" t="array" ref="Z1222">SUMPRODUCT(TRANSPOSE($AA1222:$AG1222),OFFSET($L$9:$L$15,0,Z$631-1))</f>
        <v>3.14977993533847</v>
      </c>
      <c r="AA1222" s="136">
        <f ca="1" t="shared" ref="AA1222:AG1222" si="1433">AH1222-AH1221</f>
        <v>0</v>
      </c>
      <c r="AB1222" s="136">
        <f ca="1" t="shared" si="1433"/>
        <v>0</v>
      </c>
      <c r="AC1222" s="136">
        <f ca="1" t="shared" si="1433"/>
        <v>0</v>
      </c>
      <c r="AD1222" s="136">
        <f ca="1" t="shared" si="1433"/>
        <v>0</v>
      </c>
      <c r="AE1222" s="136">
        <f ca="1" t="shared" si="1433"/>
        <v>0</v>
      </c>
      <c r="AF1222" s="136">
        <f ca="1" t="shared" si="1433"/>
        <v>0</v>
      </c>
      <c r="AG1222" s="136">
        <f ca="1" t="shared" si="1433"/>
        <v>100</v>
      </c>
      <c r="AH1222" s="136">
        <f ca="1" t="shared" si="1411"/>
        <v>450</v>
      </c>
      <c r="AI1222" s="136">
        <f ca="1" t="shared" ref="AI1222:AN1222" si="1434">IF($C1222&gt;OFFSET($Q$8,MATCH(AI$634,$AH$634:$AN$634,0),0),OFFSET($P$8,MATCH(AI$634,$AH$634:$AN$634,0),0),MAX(0,$C1222-OFFSET($Q$8,RIGHT(AI$634,1)-1,0)))</f>
        <v>909</v>
      </c>
      <c r="AJ1222" s="136">
        <f ca="1" t="shared" si="1434"/>
        <v>1818</v>
      </c>
      <c r="AK1222" s="136">
        <f ca="1" t="shared" si="1434"/>
        <v>2727</v>
      </c>
      <c r="AL1222" s="136">
        <f ca="1" t="shared" si="1434"/>
        <v>3636</v>
      </c>
      <c r="AM1222" s="136">
        <f ca="1" t="shared" si="1434"/>
        <v>4545</v>
      </c>
      <c r="AN1222" s="136">
        <f ca="1" t="shared" si="1434"/>
        <v>44715</v>
      </c>
    </row>
    <row r="1223" s="106" customFormat="1" ht="16.5" spans="2:40">
      <c r="B1223" s="117">
        <v>589</v>
      </c>
      <c r="C1223" s="130">
        <f t="shared" si="1409"/>
        <v>58900</v>
      </c>
      <c r="D1223" s="131" cm="1">
        <f ca="1" t="array" ref="D1223">IF(D1825=1,OFFSET($W$634,$B1223,D$631-1)/SUMPRODUCT(--($D$631:$V$631=D$631),--($D1825:$V1825=1)),0)+SUM(D1222)+IF(COUNTIF(D$1237:D1825,1)=1,5,0)+IF(COUNTIF(E1223:$W1223,"&gt;"&amp;0)&lt;5,IF(AND(COUNTIF(D$1237:D1825,1)&gt;7,MOD(1+IFERROR(MATCH($C1223,总览!$D$46:$D$345,1)+1,1),7)=0),$C$3,0),0)</f>
        <v>3635.96338922607</v>
      </c>
      <c r="E1223" s="131" cm="1">
        <f ca="1" t="array" ref="E1223">IF(E1825=1,OFFSET($W$634,$B1223,E$631-1)/SUMPRODUCT(--($D$631:$V$631=E$631),--($D1825:$V1825=1)),0)+SUM(E1222)+IF(COUNTIF(E$1237:E1825,1)=1,5,0)+IF(COUNTIF(F1223:$W1223,"&gt;"&amp;0)&lt;5,IF(AND(COUNTIF(E$1237:E1825,1)&gt;7,MOD(1+IFERROR(MATCH($C1223,总览!$D$46:$D$345,1)+1,1),7)=0),$C$3,0),0)</f>
        <v>3635.96338922607</v>
      </c>
      <c r="F1223" s="131" cm="1">
        <f ca="1" t="array" ref="F1223">IF(F1825=1,OFFSET($W$634,$B1223,F$631-1)/SUMPRODUCT(--($D$631:$V$631=F$631),--($D1825:$V1825=1)),0)+SUM(F1222)+IF(COUNTIF(F$1237:F1825,1)=1,5,0)+IF(COUNTIF(G1223:$W1223,"&gt;"&amp;0)&lt;5,IF(AND(COUNTIF(F$1237:F1825,1)&gt;7,MOD(1+IFERROR(MATCH($C1223,总览!$D$46:$D$345,1)+1,1),7)=0),$C$3,0),0)</f>
        <v>3635.96338922607</v>
      </c>
      <c r="G1223" s="131" cm="1">
        <f ca="1" t="array" ref="G1223">IF(G1825=1,OFFSET($W$634,$B1223,G$631-1)/SUMPRODUCT(--($D$631:$V$631=G$631),--($D1825:$V1825=1)),0)+SUM(G1222)+IF(COUNTIF(G$1237:G1825,1)=1,5,0)+IF(COUNTIF(H1223:$W1223,"&gt;"&amp;0)&lt;5,IF(AND(COUNTIF(G$1237:G1825,1)&gt;7,MOD(1+IFERROR(MATCH($C1223,总览!$D$46:$D$345,1)+1,1),7)=0),$C$3,0),0)</f>
        <v>1902.73333333332</v>
      </c>
      <c r="H1223" s="131" cm="1">
        <f ca="1" t="array" ref="H1223">IF(H1825=1,OFFSET($W$634,$B1223,H$631-1)/SUMPRODUCT(--($D$631:$V$631=H$631),--($D1825:$V1825=1)),0)+SUM(H1222)+IF(COUNTIF(H$1237:H1825,1)=1,5,0)+IF(COUNTIF(I1223:$W1223,"&gt;"&amp;0)&lt;5,IF(AND(COUNTIF(H$1237:H1825,1)&gt;7,MOD(1+IFERROR(MATCH($C1223,总览!$D$46:$D$345,1)+1,1),7)=0),$C$3,0),0)</f>
        <v>1902.73333333332</v>
      </c>
      <c r="I1223" s="131" cm="1">
        <f ca="1" t="array" ref="I1223">IF(I1825=1,OFFSET($W$634,$B1223,I$631-1)/SUMPRODUCT(--($D$631:$V$631=I$631),--($D1825:$V1825=1)),0)+SUM(I1222)+IF(COUNTIF(I$1237:I1825,1)=1,5,0)+IF(COUNTIF(J1223:$W1223,"&gt;"&amp;0)&lt;5,IF(AND(COUNTIF(I$1237:I1825,1)&gt;7,MOD(1+IFERROR(MATCH($C1223,总览!$D$46:$D$345,1)+1,1),7)=0),$C$3,0),0)</f>
        <v>1902.73333333332</v>
      </c>
      <c r="J1223" s="131" cm="1">
        <f ca="1" t="array" ref="J1223">IF(J1825=1,OFFSET($W$634,$B1223,J$631-1)/SUMPRODUCT(--($D$631:$V$631=J$631),--($D1825:$V1825=1)),0)+SUM(J1222)+IF(COUNTIF(J$1237:J1825,1)=1,5,0)+IF(COUNTIF(K1223:$W1223,"&gt;"&amp;0)&lt;5,IF(AND(COUNTIF(J$1237:J1825,1)&gt;7,MOD(1+IFERROR(MATCH($C1223,总览!$D$46:$D$345,1)+1,1),7)=0),$C$3,0),0)</f>
        <v>1899.39999999998</v>
      </c>
      <c r="K1223" s="131" cm="1">
        <f ca="1" t="array" ref="K1223">IF(K1825=1,OFFSET($W$634,$B1223,K$631-1)/SUMPRODUCT(--($D$631:$V$631=K$631),--($D1825:$V1825=1)),0)+SUM(K1222)+IF(COUNTIF(K$1237:K1825,1)=1,5,0)+IF(COUNTIF(L1223:$W1223,"&gt;"&amp;0)&lt;5,IF(AND(COUNTIF(K$1237:K1825,1)&gt;7,MOD(1+IFERROR(MATCH($C1223,总览!$D$46:$D$345,1)+1,1),7)=0),$C$3,0),0)</f>
        <v>1896.89999999998</v>
      </c>
      <c r="L1223" s="131" cm="1">
        <f ca="1" t="array" ref="L1223">IF(L1825=1,OFFSET($W$634,$B1223,L$631-1)/SUMPRODUCT(--($D$631:$V$631=L$631),--($D1825:$V1825=1)),0)+SUM(L1222)+IF(COUNTIF(L$1237:L1825,1)=1,5,0)+IF(COUNTIF(M1223:$W1223,"&gt;"&amp;0)&lt;5,IF(AND(COUNTIF(L$1237:L1825,1)&gt;7,MOD(1+IFERROR(MATCH($C1223,总览!$D$46:$D$345,1)+1,1),7)=0),$C$3,0),0)</f>
        <v>1896.89999999998</v>
      </c>
      <c r="M1223" s="131" cm="1">
        <f ca="1" t="array" ref="M1223">IF(M1825=1,OFFSET($W$634,$B1223,M$631-1)/SUMPRODUCT(--($D$631:$V$631=M$631),--($D1825:$V1825=1)),0)+SUM(M1222)+IF(COUNTIF(M$1237:M1825,1)=1,5,0)+IF(COUNTIF(N1223:$W1223,"&gt;"&amp;0)&lt;5,IF(AND(COUNTIF(M$1237:M1825,1)&gt;7,MOD(1+IFERROR(MATCH($C1223,总览!$D$46:$D$345,1)+1,1),7)=0),$C$3,0),0)</f>
        <v>799.181250000005</v>
      </c>
      <c r="N1223" s="131" cm="1">
        <f ca="1" t="array" ref="N1223">IF(N1825=1,OFFSET($W$634,$B1223,N$631-1)/SUMPRODUCT(--($D$631:$V$631=N$631),--($D1825:$V1825=1)),0)+SUM(N1222)+IF(COUNTIF(N$1237:N1825,1)=1,5,0)+IF(COUNTIF(O1223:$W1223,"&gt;"&amp;0)&lt;5,IF(AND(COUNTIF(N$1237:N1825,1)&gt;7,MOD(1+IFERROR(MATCH($C1223,总览!$D$46:$D$345,1)+1,1),7)=0),$C$3,0),0)</f>
        <v>800.431250000005</v>
      </c>
      <c r="O1223" s="131" cm="1">
        <f ca="1" t="array" ref="O1223">IF(O1825=1,OFFSET($W$634,$B1223,O$631-1)/SUMPRODUCT(--($D$631:$V$631=O$631),--($D1825:$V1825=1)),0)+SUM(O1222)+IF(COUNTIF(O$1237:O1825,1)=1,5,0)+IF(COUNTIF(P1223:$W1223,"&gt;"&amp;0)&lt;5,IF(AND(COUNTIF(O$1237:O1825,1)&gt;7,MOD(1+IFERROR(MATCH($C1223,总览!$D$46:$D$345,1)+1,1),7)=0),$C$3,0),0)</f>
        <v>805.431250000005</v>
      </c>
      <c r="P1223" s="131" cm="1">
        <f ca="1" t="array" ref="P1223">IF(P1825=1,OFFSET($W$634,$B1223,P$631-1)/SUMPRODUCT(--($D$631:$V$631=P$631),--($D1825:$V1825=1)),0)+SUM(P1222)+IF(COUNTIF(P$1237:P1825,1)=1,5,0)+IF(COUNTIF(Q1223:$W1223,"&gt;"&amp;0)&lt;5,IF(AND(COUNTIF(P$1237:P1825,1)&gt;7,MOD(1+IFERROR(MATCH($C1223,总览!$D$46:$D$345,1)+1,1),7)=0),$C$3,0),0)</f>
        <v>794.550000000005</v>
      </c>
      <c r="Q1223" s="131" cm="1">
        <f ca="1" t="array" ref="Q1223">IF(Q1825=1,OFFSET($W$634,$B1223,Q$631-1)/SUMPRODUCT(--($D$631:$V$631=Q$631),--($D1825:$V1825=1)),0)+SUM(Q1222)+IF(COUNTIF(Q$1237:Q1825,1)=1,5,0)+IF(COUNTIF(R1223:$W1223,"&gt;"&amp;0)&lt;5,IF(AND(COUNTIF(Q$1237:Q1825,1)&gt;7,MOD(1+IFERROR(MATCH($C1223,总览!$D$46:$D$345,1)+1,1),7)=0),$C$3,0),0)</f>
        <v>807.931250000005</v>
      </c>
      <c r="R1223" s="131" cm="1">
        <f ca="1" t="array" ref="R1223">IF(R1825=1,OFFSET($W$634,$B1223,R$631-1)/SUMPRODUCT(--($D$631:$V$631=R$631),--($D1825:$V1825=1)),0)+SUM(R1222)+IF(COUNTIF(R$1237:R1825,1)=1,5,0)+IF(COUNTIF(S1223:$W1223,"&gt;"&amp;0)&lt;5,IF(AND(COUNTIF(R$1237:R1825,1)&gt;7,MOD(1+IFERROR(MATCH($C1223,总览!$D$46:$D$345,1)+1,1),7)=0),$C$3,0),0)</f>
        <v>799.550000000005</v>
      </c>
      <c r="S1223" s="131" cm="1">
        <f ca="1" t="array" ref="S1223">IF(S1825=1,OFFSET($W$634,$B1223,S$631-1)/SUMPRODUCT(--($D$631:$V$631=S$631),--($D1825:$V1825=1)),0)+SUM(S1222)+IF(COUNTIF(S$1237:S1825,1)=1,5,0)+IF(COUNTIF(T1223:$W1223,"&gt;"&amp;0)&lt;5,IF(AND(COUNTIF(S$1237:S1825,1)&gt;7,MOD(1+IFERROR(MATCH($C1223,总览!$D$46:$D$345,1)+1,1),7)=0),$C$3,0),0)</f>
        <v>892.050000000006</v>
      </c>
      <c r="T1223" s="131" cm="1">
        <f ca="1" t="array" ref="T1223">IF(T1825=1,OFFSET($W$634,$B1223,T$631-1)/SUMPRODUCT(--($D$631:$V$631=T$631),--($D1825:$V1825=1)),0)+SUM(T1222)+IF(COUNTIF(T$1237:T1825,1)=1,5,0)+IF(COUNTIF(U1223:$W1223,"&gt;"&amp;0)&lt;5,IF(AND(COUNTIF(T$1237:T1825,1)&gt;7,MOD(1+IFERROR(MATCH($C1223,总览!$D$46:$D$345,1)+1,1),7)=0),$C$3,0),0)</f>
        <v>653.572086632965</v>
      </c>
      <c r="U1223" s="131" cm="1">
        <f ca="1" t="array" ref="U1223">IF(U1825=1,OFFSET($W$634,$B1223,U$631-1)/SUMPRODUCT(--($D$631:$V$631=U$631),--($D1825:$V1825=1)),0)+SUM(U1222)+IF(COUNTIF(U$1237:U1825,1)=1,5,0)+IF(COUNTIF(V1223:$W1223,"&gt;"&amp;0)&lt;5,IF(AND(COUNTIF(U$1237:U1825,1)&gt;7,MOD(1+IFERROR(MATCH($C1223,总览!$D$46:$D$345,1)+1,1),7)=0),$C$3,0),0)</f>
        <v>659.092872988265</v>
      </c>
      <c r="V1223" s="131" cm="1">
        <f ca="1" t="array" ref="V1223">IF(V1825=1,OFFSET($W$634,$B1223,V$631-1)/SUMPRODUCT(--($D$631:$V$631=V$631),--($D1825:$V1825=1)),0)+SUM(V1222)+IF(COUNTIF(V$1237:V1825,1)=1,5,0)+IF(COUNTIF(W1223:$W1223,"&gt;"&amp;0)&lt;5,IF(AND(COUNTIF(V$1237:V1825,1)&gt;7,MOD(1+IFERROR(MATCH($C1223,总览!$D$46:$D$345,1)+1,1),7)=0),$C$3,0),0)</f>
        <v>678.919872700698</v>
      </c>
      <c r="W1223" s="135" cm="1">
        <f ca="1" t="array" ref="W1223">SUMPRODUCT(TRANSPOSE($AA1223:$AG1223),OFFSET($L$9:$L$15,0,W$631-1))</f>
        <v>16.8502200646615</v>
      </c>
      <c r="X1223" s="135" cm="1">
        <f ca="1" t="array" ref="X1223">SUMPRODUCT(TRANSPOSE($AA1223:$AG1223),OFFSET($L$9:$L$15,0,X$631-1))</f>
        <v>20</v>
      </c>
      <c r="Y1223" s="135" cm="1">
        <f ca="1" t="array" ref="Y1223">SUMPRODUCT(TRANSPOSE($AA1223:$AG1223),OFFSET($L$9:$L$15,0,Y$631-1))</f>
        <v>10</v>
      </c>
      <c r="Z1223" s="135" cm="1">
        <f ca="1" t="array" ref="Z1223">SUMPRODUCT(TRANSPOSE($AA1223:$AG1223),OFFSET($L$9:$L$15,0,Z$631-1))</f>
        <v>3.14977993533847</v>
      </c>
      <c r="AA1223" s="136">
        <f ca="1" t="shared" ref="AA1223:AG1223" si="1435">AH1223-AH1222</f>
        <v>0</v>
      </c>
      <c r="AB1223" s="136">
        <f ca="1" t="shared" si="1435"/>
        <v>0</v>
      </c>
      <c r="AC1223" s="136">
        <f ca="1" t="shared" si="1435"/>
        <v>0</v>
      </c>
      <c r="AD1223" s="136">
        <f ca="1" t="shared" si="1435"/>
        <v>0</v>
      </c>
      <c r="AE1223" s="136">
        <f ca="1" t="shared" si="1435"/>
        <v>0</v>
      </c>
      <c r="AF1223" s="136">
        <f ca="1" t="shared" si="1435"/>
        <v>0</v>
      </c>
      <c r="AG1223" s="136">
        <f ca="1" t="shared" si="1435"/>
        <v>100</v>
      </c>
      <c r="AH1223" s="136">
        <f ca="1" t="shared" si="1411"/>
        <v>450</v>
      </c>
      <c r="AI1223" s="136">
        <f ca="1" t="shared" ref="AI1223:AN1223" si="1436">IF($C1223&gt;OFFSET($Q$8,MATCH(AI$634,$AH$634:$AN$634,0),0),OFFSET($P$8,MATCH(AI$634,$AH$634:$AN$634,0),0),MAX(0,$C1223-OFFSET($Q$8,RIGHT(AI$634,1)-1,0)))</f>
        <v>909</v>
      </c>
      <c r="AJ1223" s="136">
        <f ca="1" t="shared" si="1436"/>
        <v>1818</v>
      </c>
      <c r="AK1223" s="136">
        <f ca="1" t="shared" si="1436"/>
        <v>2727</v>
      </c>
      <c r="AL1223" s="136">
        <f ca="1" t="shared" si="1436"/>
        <v>3636</v>
      </c>
      <c r="AM1223" s="136">
        <f ca="1" t="shared" si="1436"/>
        <v>4545</v>
      </c>
      <c r="AN1223" s="136">
        <f ca="1" t="shared" si="1436"/>
        <v>44815</v>
      </c>
    </row>
    <row r="1224" s="106" customFormat="1" ht="16.5" spans="2:40">
      <c r="B1224" s="117">
        <v>590</v>
      </c>
      <c r="C1224" s="130">
        <f t="shared" si="1409"/>
        <v>59000</v>
      </c>
      <c r="D1224" s="131" cm="1">
        <f ca="1" t="array" ref="D1224">IF(D1826=1,OFFSET($W$634,$B1224,D$631-1)/SUMPRODUCT(--($D$631:$V$631=D$631),--($D1826:$V1826=1)),0)+SUM(D1223)+IF(COUNTIF(D$1237:D1826,1)=1,5,0)+IF(COUNTIF(E1224:$W1224,"&gt;"&amp;0)&lt;5,IF(AND(COUNTIF(D$1237:D1826,1)&gt;7,MOD(1+IFERROR(MATCH($C1224,总览!$D$46:$D$345,1)+1,1),7)=0),$C$3,0),0)</f>
        <v>3641.58012924763</v>
      </c>
      <c r="E1224" s="131" cm="1">
        <f ca="1" t="array" ref="E1224">IF(E1826=1,OFFSET($W$634,$B1224,E$631-1)/SUMPRODUCT(--($D$631:$V$631=E$631),--($D1826:$V1826=1)),0)+SUM(E1223)+IF(COUNTIF(E$1237:E1826,1)=1,5,0)+IF(COUNTIF(F1224:$W1224,"&gt;"&amp;0)&lt;5,IF(AND(COUNTIF(E$1237:E1826,1)&gt;7,MOD(1+IFERROR(MATCH($C1224,总览!$D$46:$D$345,1)+1,1),7)=0),$C$3,0),0)</f>
        <v>3641.58012924763</v>
      </c>
      <c r="F1224" s="131" cm="1">
        <f ca="1" t="array" ref="F1224">IF(F1826=1,OFFSET($W$634,$B1224,F$631-1)/SUMPRODUCT(--($D$631:$V$631=F$631),--($D1826:$V1826=1)),0)+SUM(F1223)+IF(COUNTIF(F$1237:F1826,1)=1,5,0)+IF(COUNTIF(G1224:$W1224,"&gt;"&amp;0)&lt;5,IF(AND(COUNTIF(F$1237:F1826,1)&gt;7,MOD(1+IFERROR(MATCH($C1224,总览!$D$46:$D$345,1)+1,1),7)=0),$C$3,0),0)</f>
        <v>3641.58012924763</v>
      </c>
      <c r="G1224" s="131" cm="1">
        <f ca="1" t="array" ref="G1224">IF(G1826=1,OFFSET($W$634,$B1224,G$631-1)/SUMPRODUCT(--($D$631:$V$631=G$631),--($D1826:$V1826=1)),0)+SUM(G1223)+IF(COUNTIF(G$1237:G1826,1)=1,5,0)+IF(COUNTIF(H1224:$W1224,"&gt;"&amp;0)&lt;5,IF(AND(COUNTIF(G$1237:G1826,1)&gt;7,MOD(1+IFERROR(MATCH($C1224,总览!$D$46:$D$345,1)+1,1),7)=0),$C$3,0),0)</f>
        <v>1906.06666666665</v>
      </c>
      <c r="H1224" s="131" cm="1">
        <f ca="1" t="array" ref="H1224">IF(H1826=1,OFFSET($W$634,$B1224,H$631-1)/SUMPRODUCT(--($D$631:$V$631=H$631),--($D1826:$V1826=1)),0)+SUM(H1223)+IF(COUNTIF(H$1237:H1826,1)=1,5,0)+IF(COUNTIF(I1224:$W1224,"&gt;"&amp;0)&lt;5,IF(AND(COUNTIF(H$1237:H1826,1)&gt;7,MOD(1+IFERROR(MATCH($C1224,总览!$D$46:$D$345,1)+1,1),7)=0),$C$3,0),0)</f>
        <v>1906.06666666665</v>
      </c>
      <c r="I1224" s="131" cm="1">
        <f ca="1" t="array" ref="I1224">IF(I1826=1,OFFSET($W$634,$B1224,I$631-1)/SUMPRODUCT(--($D$631:$V$631=I$631),--($D1826:$V1826=1)),0)+SUM(I1223)+IF(COUNTIF(I$1237:I1826,1)=1,5,0)+IF(COUNTIF(J1224:$W1224,"&gt;"&amp;0)&lt;5,IF(AND(COUNTIF(I$1237:I1826,1)&gt;7,MOD(1+IFERROR(MATCH($C1224,总览!$D$46:$D$345,1)+1,1),7)=0),$C$3,0),0)</f>
        <v>1906.06666666665</v>
      </c>
      <c r="J1224" s="131" cm="1">
        <f ca="1" t="array" ref="J1224">IF(J1826=1,OFFSET($W$634,$B1224,J$631-1)/SUMPRODUCT(--($D$631:$V$631=J$631),--($D1826:$V1826=1)),0)+SUM(J1223)+IF(COUNTIF(J$1237:J1826,1)=1,5,0)+IF(COUNTIF(K1224:$W1224,"&gt;"&amp;0)&lt;5,IF(AND(COUNTIF(J$1237:J1826,1)&gt;7,MOD(1+IFERROR(MATCH($C1224,总览!$D$46:$D$345,1)+1,1),7)=0),$C$3,0),0)</f>
        <v>1902.73333333332</v>
      </c>
      <c r="K1224" s="131" cm="1">
        <f ca="1" t="array" ref="K1224">IF(K1826=1,OFFSET($W$634,$B1224,K$631-1)/SUMPRODUCT(--($D$631:$V$631=K$631),--($D1826:$V1826=1)),0)+SUM(K1223)+IF(COUNTIF(K$1237:K1826,1)=1,5,0)+IF(COUNTIF(L1224:$W1224,"&gt;"&amp;0)&lt;5,IF(AND(COUNTIF(K$1237:K1826,1)&gt;7,MOD(1+IFERROR(MATCH($C1224,总览!$D$46:$D$345,1)+1,1),7)=0),$C$3,0),0)</f>
        <v>1900.23333333332</v>
      </c>
      <c r="L1224" s="131" cm="1">
        <f ca="1" t="array" ref="L1224">IF(L1826=1,OFFSET($W$634,$B1224,L$631-1)/SUMPRODUCT(--($D$631:$V$631=L$631),--($D1826:$V1826=1)),0)+SUM(L1223)+IF(COUNTIF(L$1237:L1826,1)=1,5,0)+IF(COUNTIF(M1224:$W1224,"&gt;"&amp;0)&lt;5,IF(AND(COUNTIF(L$1237:L1826,1)&gt;7,MOD(1+IFERROR(MATCH($C1224,总览!$D$46:$D$345,1)+1,1),7)=0),$C$3,0),0)</f>
        <v>1900.23333333332</v>
      </c>
      <c r="M1224" s="131" cm="1">
        <f ca="1" t="array" ref="M1224">IF(M1826=1,OFFSET($W$634,$B1224,M$631-1)/SUMPRODUCT(--($D$631:$V$631=M$631),--($D1826:$V1826=1)),0)+SUM(M1223)+IF(COUNTIF(M$1237:M1826,1)=1,5,0)+IF(COUNTIF(N1224:$W1224,"&gt;"&amp;0)&lt;5,IF(AND(COUNTIF(M$1237:M1826,1)&gt;7,MOD(1+IFERROR(MATCH($C1224,总览!$D$46:$D$345,1)+1,1),7)=0),$C$3,0),0)</f>
        <v>800.609821428576</v>
      </c>
      <c r="N1224" s="131" cm="1">
        <f ca="1" t="array" ref="N1224">IF(N1826=1,OFFSET($W$634,$B1224,N$631-1)/SUMPRODUCT(--($D$631:$V$631=N$631),--($D1826:$V1826=1)),0)+SUM(N1223)+IF(COUNTIF(N$1237:N1826,1)=1,5,0)+IF(COUNTIF(O1224:$W1224,"&gt;"&amp;0)&lt;5,IF(AND(COUNTIF(N$1237:N1826,1)&gt;7,MOD(1+IFERROR(MATCH($C1224,总览!$D$46:$D$345,1)+1,1),7)=0),$C$3,0),0)</f>
        <v>801.859821428576</v>
      </c>
      <c r="O1224" s="131" cm="1">
        <f ca="1" t="array" ref="O1224">IF(O1826=1,OFFSET($W$634,$B1224,O$631-1)/SUMPRODUCT(--($D$631:$V$631=O$631),--($D1826:$V1826=1)),0)+SUM(O1223)+IF(COUNTIF(O$1237:O1826,1)=1,5,0)+IF(COUNTIF(P1224:$W1224,"&gt;"&amp;0)&lt;5,IF(AND(COUNTIF(O$1237:O1826,1)&gt;7,MOD(1+IFERROR(MATCH($C1224,总览!$D$46:$D$345,1)+1,1),7)=0),$C$3,0),0)</f>
        <v>806.859821428576</v>
      </c>
      <c r="P1224" s="131" cm="1">
        <f ca="1" t="array" ref="P1224">IF(P1826=1,OFFSET($W$634,$B1224,P$631-1)/SUMPRODUCT(--($D$631:$V$631=P$631),--($D1826:$V1826=1)),0)+SUM(P1223)+IF(COUNTIF(P$1237:P1826,1)=1,5,0)+IF(COUNTIF(Q1224:$W1224,"&gt;"&amp;0)&lt;5,IF(AND(COUNTIF(P$1237:P1826,1)&gt;7,MOD(1+IFERROR(MATCH($C1224,总览!$D$46:$D$345,1)+1,1),7)=0),$C$3,0),0)</f>
        <v>795.978571428576</v>
      </c>
      <c r="Q1224" s="131" cm="1">
        <f ca="1" t="array" ref="Q1224">IF(Q1826=1,OFFSET($W$634,$B1224,Q$631-1)/SUMPRODUCT(--($D$631:$V$631=Q$631),--($D1826:$V1826=1)),0)+SUM(Q1223)+IF(COUNTIF(Q$1237:Q1826,1)=1,5,0)+IF(COUNTIF(R1224:$W1224,"&gt;"&amp;0)&lt;5,IF(AND(COUNTIF(Q$1237:Q1826,1)&gt;7,MOD(1+IFERROR(MATCH($C1224,总览!$D$46:$D$345,1)+1,1),7)=0),$C$3,0),0)</f>
        <v>809.359821428576</v>
      </c>
      <c r="R1224" s="131" cm="1">
        <f ca="1" t="array" ref="R1224">IF(R1826=1,OFFSET($W$634,$B1224,R$631-1)/SUMPRODUCT(--($D$631:$V$631=R$631),--($D1826:$V1826=1)),0)+SUM(R1223)+IF(COUNTIF(R$1237:R1826,1)=1,5,0)+IF(COUNTIF(S1224:$W1224,"&gt;"&amp;0)&lt;5,IF(AND(COUNTIF(R$1237:R1826,1)&gt;7,MOD(1+IFERROR(MATCH($C1224,总览!$D$46:$D$345,1)+1,1),7)=0),$C$3,0),0)</f>
        <v>800.978571428576</v>
      </c>
      <c r="S1224" s="131" cm="1">
        <f ca="1" t="array" ref="S1224">IF(S1826=1,OFFSET($W$634,$B1224,S$631-1)/SUMPRODUCT(--($D$631:$V$631=S$631),--($D1826:$V1826=1)),0)+SUM(S1223)+IF(COUNTIF(S$1237:S1826,1)=1,5,0)+IF(COUNTIF(T1224:$W1224,"&gt;"&amp;0)&lt;5,IF(AND(COUNTIF(S$1237:S1826,1)&gt;7,MOD(1+IFERROR(MATCH($C1224,总览!$D$46:$D$345,1)+1,1),7)=0),$C$3,0),0)</f>
        <v>893.478571428578</v>
      </c>
      <c r="T1224" s="131" cm="1">
        <f ca="1" t="array" ref="T1224">IF(T1826=1,OFFSET($W$634,$B1224,T$631-1)/SUMPRODUCT(--($D$631:$V$631=T$631),--($D1826:$V1826=1)),0)+SUM(T1223)+IF(COUNTIF(T$1237:T1826,1)=1,5,0)+IF(COUNTIF(U1224:$W1224,"&gt;"&amp;0)&lt;5,IF(AND(COUNTIF(T$1237:T1826,1)&gt;7,MOD(1+IFERROR(MATCH($C1224,总览!$D$46:$D$345,1)+1,1),7)=0),$C$3,0),0)</f>
        <v>654.622013278078</v>
      </c>
      <c r="U1224" s="131" cm="1">
        <f ca="1" t="array" ref="U1224">IF(U1826=1,OFFSET($W$634,$B1224,U$631-1)/SUMPRODUCT(--($D$631:$V$631=U$631),--($D1826:$V1826=1)),0)+SUM(U1223)+IF(COUNTIF(U$1237:U1826,1)=1,5,0)+IF(COUNTIF(V1224:$W1224,"&gt;"&amp;0)&lt;5,IF(AND(COUNTIF(U$1237:U1826,1)&gt;7,MOD(1+IFERROR(MATCH($C1224,总览!$D$46:$D$345,1)+1,1),7)=0),$C$3,0),0)</f>
        <v>660.142799633377</v>
      </c>
      <c r="V1224" s="131" cm="1">
        <f ca="1" t="array" ref="V1224">IF(V1826=1,OFFSET($W$634,$B1224,V$631-1)/SUMPRODUCT(--($D$631:$V$631=V$631),--($D1826:$V1826=1)),0)+SUM(V1223)+IF(COUNTIF(V$1237:V1826,1)=1,5,0)+IF(COUNTIF(W1224:$W1224,"&gt;"&amp;0)&lt;5,IF(AND(COUNTIF(V$1237:V1826,1)&gt;7,MOD(1+IFERROR(MATCH($C1224,总览!$D$46:$D$345,1)+1,1),7)=0),$C$3,0),0)</f>
        <v>679.96979934581</v>
      </c>
      <c r="W1224" s="135" cm="1">
        <f ca="1" t="array" ref="W1224">SUMPRODUCT(TRANSPOSE($AA1224:$AG1224),OFFSET($L$9:$L$15,0,W$631-1))</f>
        <v>16.8502200646615</v>
      </c>
      <c r="X1224" s="135" cm="1">
        <f ca="1" t="array" ref="X1224">SUMPRODUCT(TRANSPOSE($AA1224:$AG1224),OFFSET($L$9:$L$15,0,X$631-1))</f>
        <v>20</v>
      </c>
      <c r="Y1224" s="135" cm="1">
        <f ca="1" t="array" ref="Y1224">SUMPRODUCT(TRANSPOSE($AA1224:$AG1224),OFFSET($L$9:$L$15,0,Y$631-1))</f>
        <v>10</v>
      </c>
      <c r="Z1224" s="135" cm="1">
        <f ca="1" t="array" ref="Z1224">SUMPRODUCT(TRANSPOSE($AA1224:$AG1224),OFFSET($L$9:$L$15,0,Z$631-1))</f>
        <v>3.14977993533847</v>
      </c>
      <c r="AA1224" s="136">
        <f ca="1" t="shared" ref="AA1224:AG1224" si="1437">AH1224-AH1223</f>
        <v>0</v>
      </c>
      <c r="AB1224" s="136">
        <f ca="1" t="shared" si="1437"/>
        <v>0</v>
      </c>
      <c r="AC1224" s="136">
        <f ca="1" t="shared" si="1437"/>
        <v>0</v>
      </c>
      <c r="AD1224" s="136">
        <f ca="1" t="shared" si="1437"/>
        <v>0</v>
      </c>
      <c r="AE1224" s="136">
        <f ca="1" t="shared" si="1437"/>
        <v>0</v>
      </c>
      <c r="AF1224" s="136">
        <f ca="1" t="shared" si="1437"/>
        <v>0</v>
      </c>
      <c r="AG1224" s="136">
        <f ca="1" t="shared" si="1437"/>
        <v>100</v>
      </c>
      <c r="AH1224" s="136">
        <f ca="1" t="shared" si="1411"/>
        <v>450</v>
      </c>
      <c r="AI1224" s="136">
        <f ca="1" t="shared" ref="AI1224:AN1224" si="1438">IF($C1224&gt;OFFSET($Q$8,MATCH(AI$634,$AH$634:$AN$634,0),0),OFFSET($P$8,MATCH(AI$634,$AH$634:$AN$634,0),0),MAX(0,$C1224-OFFSET($Q$8,RIGHT(AI$634,1)-1,0)))</f>
        <v>909</v>
      </c>
      <c r="AJ1224" s="136">
        <f ca="1" t="shared" si="1438"/>
        <v>1818</v>
      </c>
      <c r="AK1224" s="136">
        <f ca="1" t="shared" si="1438"/>
        <v>2727</v>
      </c>
      <c r="AL1224" s="136">
        <f ca="1" t="shared" si="1438"/>
        <v>3636</v>
      </c>
      <c r="AM1224" s="136">
        <f ca="1" t="shared" si="1438"/>
        <v>4545</v>
      </c>
      <c r="AN1224" s="136">
        <f ca="1" t="shared" si="1438"/>
        <v>44915</v>
      </c>
    </row>
    <row r="1225" s="106" customFormat="1" ht="16.5" spans="2:40">
      <c r="B1225" s="117">
        <v>591</v>
      </c>
      <c r="C1225" s="130">
        <f t="shared" si="1409"/>
        <v>59100</v>
      </c>
      <c r="D1225" s="131" cm="1">
        <f ca="1" t="array" ref="D1225">IF(D1827=1,OFFSET($W$634,$B1225,D$631-1)/SUMPRODUCT(--($D$631:$V$631=D$631),--($D1827:$V1827=1)),0)+SUM(D1224)+IF(COUNTIF(D$1237:D1827,1)=1,5,0)+IF(COUNTIF(E1225:$W1225,"&gt;"&amp;0)&lt;5,IF(AND(COUNTIF(D$1237:D1827,1)&gt;7,MOD(1+IFERROR(MATCH($C1225,总览!$D$46:$D$345,1)+1,1),7)=0),$C$3,0),0)</f>
        <v>3647.19686926918</v>
      </c>
      <c r="E1225" s="131" cm="1">
        <f ca="1" t="array" ref="E1225">IF(E1827=1,OFFSET($W$634,$B1225,E$631-1)/SUMPRODUCT(--($D$631:$V$631=E$631),--($D1827:$V1827=1)),0)+SUM(E1224)+IF(COUNTIF(E$1237:E1827,1)=1,5,0)+IF(COUNTIF(F1225:$W1225,"&gt;"&amp;0)&lt;5,IF(AND(COUNTIF(E$1237:E1827,1)&gt;7,MOD(1+IFERROR(MATCH($C1225,总览!$D$46:$D$345,1)+1,1),7)=0),$C$3,0),0)</f>
        <v>3647.19686926918</v>
      </c>
      <c r="F1225" s="131" cm="1">
        <f ca="1" t="array" ref="F1225">IF(F1827=1,OFFSET($W$634,$B1225,F$631-1)/SUMPRODUCT(--($D$631:$V$631=F$631),--($D1827:$V1827=1)),0)+SUM(F1224)+IF(COUNTIF(F$1237:F1827,1)=1,5,0)+IF(COUNTIF(G1225:$W1225,"&gt;"&amp;0)&lt;5,IF(AND(COUNTIF(F$1237:F1827,1)&gt;7,MOD(1+IFERROR(MATCH($C1225,总览!$D$46:$D$345,1)+1,1),7)=0),$C$3,0),0)</f>
        <v>3647.19686926918</v>
      </c>
      <c r="G1225" s="131" cm="1">
        <f ca="1" t="array" ref="G1225">IF(G1827=1,OFFSET($W$634,$B1225,G$631-1)/SUMPRODUCT(--($D$631:$V$631=G$631),--($D1827:$V1827=1)),0)+SUM(G1224)+IF(COUNTIF(G$1237:G1827,1)=1,5,0)+IF(COUNTIF(H1225:$W1225,"&gt;"&amp;0)&lt;5,IF(AND(COUNTIF(G$1237:G1827,1)&gt;7,MOD(1+IFERROR(MATCH($C1225,总览!$D$46:$D$345,1)+1,1),7)=0),$C$3,0),0)</f>
        <v>1909.39999999998</v>
      </c>
      <c r="H1225" s="131" cm="1">
        <f ca="1" t="array" ref="H1225">IF(H1827=1,OFFSET($W$634,$B1225,H$631-1)/SUMPRODUCT(--($D$631:$V$631=H$631),--($D1827:$V1827=1)),0)+SUM(H1224)+IF(COUNTIF(H$1237:H1827,1)=1,5,0)+IF(COUNTIF(I1225:$W1225,"&gt;"&amp;0)&lt;5,IF(AND(COUNTIF(H$1237:H1827,1)&gt;7,MOD(1+IFERROR(MATCH($C1225,总览!$D$46:$D$345,1)+1,1),7)=0),$C$3,0),0)</f>
        <v>1909.39999999998</v>
      </c>
      <c r="I1225" s="131" cm="1">
        <f ca="1" t="array" ref="I1225">IF(I1827=1,OFFSET($W$634,$B1225,I$631-1)/SUMPRODUCT(--($D$631:$V$631=I$631),--($D1827:$V1827=1)),0)+SUM(I1224)+IF(COUNTIF(I$1237:I1827,1)=1,5,0)+IF(COUNTIF(J1225:$W1225,"&gt;"&amp;0)&lt;5,IF(AND(COUNTIF(I$1237:I1827,1)&gt;7,MOD(1+IFERROR(MATCH($C1225,总览!$D$46:$D$345,1)+1,1),7)=0),$C$3,0),0)</f>
        <v>1909.39999999998</v>
      </c>
      <c r="J1225" s="131" cm="1">
        <f ca="1" t="array" ref="J1225">IF(J1827=1,OFFSET($W$634,$B1225,J$631-1)/SUMPRODUCT(--($D$631:$V$631=J$631),--($D1827:$V1827=1)),0)+SUM(J1224)+IF(COUNTIF(J$1237:J1827,1)=1,5,0)+IF(COUNTIF(K1225:$W1225,"&gt;"&amp;0)&lt;5,IF(AND(COUNTIF(J$1237:J1827,1)&gt;7,MOD(1+IFERROR(MATCH($C1225,总览!$D$46:$D$345,1)+1,1),7)=0),$C$3,0),0)</f>
        <v>1906.06666666665</v>
      </c>
      <c r="K1225" s="131" cm="1">
        <f ca="1" t="array" ref="K1225">IF(K1827=1,OFFSET($W$634,$B1225,K$631-1)/SUMPRODUCT(--($D$631:$V$631=K$631),--($D1827:$V1827=1)),0)+SUM(K1224)+IF(COUNTIF(K$1237:K1827,1)=1,5,0)+IF(COUNTIF(L1225:$W1225,"&gt;"&amp;0)&lt;5,IF(AND(COUNTIF(K$1237:K1827,1)&gt;7,MOD(1+IFERROR(MATCH($C1225,总览!$D$46:$D$345,1)+1,1),7)=0),$C$3,0),0)</f>
        <v>1903.56666666665</v>
      </c>
      <c r="L1225" s="131" cm="1">
        <f ca="1" t="array" ref="L1225">IF(L1827=1,OFFSET($W$634,$B1225,L$631-1)/SUMPRODUCT(--($D$631:$V$631=L$631),--($D1827:$V1827=1)),0)+SUM(L1224)+IF(COUNTIF(L$1237:L1827,1)=1,5,0)+IF(COUNTIF(M1225:$W1225,"&gt;"&amp;0)&lt;5,IF(AND(COUNTIF(L$1237:L1827,1)&gt;7,MOD(1+IFERROR(MATCH($C1225,总览!$D$46:$D$345,1)+1,1),7)=0),$C$3,0),0)</f>
        <v>1903.56666666665</v>
      </c>
      <c r="M1225" s="131" cm="1">
        <f ca="1" t="array" ref="M1225">IF(M1827=1,OFFSET($W$634,$B1225,M$631-1)/SUMPRODUCT(--($D$631:$V$631=M$631),--($D1827:$V1827=1)),0)+SUM(M1224)+IF(COUNTIF(M$1237:M1827,1)=1,5,0)+IF(COUNTIF(N1225:$W1225,"&gt;"&amp;0)&lt;5,IF(AND(COUNTIF(M$1237:M1827,1)&gt;7,MOD(1+IFERROR(MATCH($C1225,总览!$D$46:$D$345,1)+1,1),7)=0),$C$3,0),0)</f>
        <v>802.038392857148</v>
      </c>
      <c r="N1225" s="131" cm="1">
        <f ca="1" t="array" ref="N1225">IF(N1827=1,OFFSET($W$634,$B1225,N$631-1)/SUMPRODUCT(--($D$631:$V$631=N$631),--($D1827:$V1827=1)),0)+SUM(N1224)+IF(COUNTIF(N$1237:N1827,1)=1,5,0)+IF(COUNTIF(O1225:$W1225,"&gt;"&amp;0)&lt;5,IF(AND(COUNTIF(N$1237:N1827,1)&gt;7,MOD(1+IFERROR(MATCH($C1225,总览!$D$46:$D$345,1)+1,1),7)=0),$C$3,0),0)</f>
        <v>803.288392857148</v>
      </c>
      <c r="O1225" s="131" cm="1">
        <f ca="1" t="array" ref="O1225">IF(O1827=1,OFFSET($W$634,$B1225,O$631-1)/SUMPRODUCT(--($D$631:$V$631=O$631),--($D1827:$V1827=1)),0)+SUM(O1224)+IF(COUNTIF(O$1237:O1827,1)=1,5,0)+IF(COUNTIF(P1225:$W1225,"&gt;"&amp;0)&lt;5,IF(AND(COUNTIF(O$1237:O1827,1)&gt;7,MOD(1+IFERROR(MATCH($C1225,总览!$D$46:$D$345,1)+1,1),7)=0),$C$3,0),0)</f>
        <v>808.288392857148</v>
      </c>
      <c r="P1225" s="131" cm="1">
        <f ca="1" t="array" ref="P1225">IF(P1827=1,OFFSET($W$634,$B1225,P$631-1)/SUMPRODUCT(--($D$631:$V$631=P$631),--($D1827:$V1827=1)),0)+SUM(P1224)+IF(COUNTIF(P$1237:P1827,1)=1,5,0)+IF(COUNTIF(Q1225:$W1225,"&gt;"&amp;0)&lt;5,IF(AND(COUNTIF(P$1237:P1827,1)&gt;7,MOD(1+IFERROR(MATCH($C1225,总览!$D$46:$D$345,1)+1,1),7)=0),$C$3,0),0)</f>
        <v>797.407142857148</v>
      </c>
      <c r="Q1225" s="131" cm="1">
        <f ca="1" t="array" ref="Q1225">IF(Q1827=1,OFFSET($W$634,$B1225,Q$631-1)/SUMPRODUCT(--($D$631:$V$631=Q$631),--($D1827:$V1827=1)),0)+SUM(Q1224)+IF(COUNTIF(Q$1237:Q1827,1)=1,5,0)+IF(COUNTIF(R1225:$W1225,"&gt;"&amp;0)&lt;5,IF(AND(COUNTIF(Q$1237:Q1827,1)&gt;7,MOD(1+IFERROR(MATCH($C1225,总览!$D$46:$D$345,1)+1,1),7)=0),$C$3,0),0)</f>
        <v>810.788392857148</v>
      </c>
      <c r="R1225" s="131" cm="1">
        <f ca="1" t="array" ref="R1225">IF(R1827=1,OFFSET($W$634,$B1225,R$631-1)/SUMPRODUCT(--($D$631:$V$631=R$631),--($D1827:$V1827=1)),0)+SUM(R1224)+IF(COUNTIF(R$1237:R1827,1)=1,5,0)+IF(COUNTIF(S1225:$W1225,"&gt;"&amp;0)&lt;5,IF(AND(COUNTIF(R$1237:R1827,1)&gt;7,MOD(1+IFERROR(MATCH($C1225,总览!$D$46:$D$345,1)+1,1),7)=0),$C$3,0),0)</f>
        <v>802.407142857148</v>
      </c>
      <c r="S1225" s="131" cm="1">
        <f ca="1" t="array" ref="S1225">IF(S1827=1,OFFSET($W$634,$B1225,S$631-1)/SUMPRODUCT(--($D$631:$V$631=S$631),--($D1827:$V1827=1)),0)+SUM(S1224)+IF(COUNTIF(S$1237:S1827,1)=1,5,0)+IF(COUNTIF(T1225:$W1225,"&gt;"&amp;0)&lt;5,IF(AND(COUNTIF(S$1237:S1827,1)&gt;7,MOD(1+IFERROR(MATCH($C1225,总览!$D$46:$D$345,1)+1,1),7)=0),$C$3,0),0)</f>
        <v>894.907142857149</v>
      </c>
      <c r="T1225" s="131" cm="1">
        <f ca="1" t="array" ref="T1225">IF(T1827=1,OFFSET($W$634,$B1225,T$631-1)/SUMPRODUCT(--($D$631:$V$631=T$631),--($D1827:$V1827=1)),0)+SUM(T1224)+IF(COUNTIF(T$1237:T1827,1)=1,5,0)+IF(COUNTIF(U1225:$W1225,"&gt;"&amp;0)&lt;5,IF(AND(COUNTIF(T$1237:T1827,1)&gt;7,MOD(1+IFERROR(MATCH($C1225,总览!$D$46:$D$345,1)+1,1),7)=0),$C$3,0),0)</f>
        <v>655.671939923191</v>
      </c>
      <c r="U1225" s="131" cm="1">
        <f ca="1" t="array" ref="U1225">IF(U1827=1,OFFSET($W$634,$B1225,U$631-1)/SUMPRODUCT(--($D$631:$V$631=U$631),--($D1827:$V1827=1)),0)+SUM(U1224)+IF(COUNTIF(U$1237:U1827,1)=1,5,0)+IF(COUNTIF(V1225:$W1225,"&gt;"&amp;0)&lt;5,IF(AND(COUNTIF(U$1237:U1827,1)&gt;7,MOD(1+IFERROR(MATCH($C1225,总览!$D$46:$D$345,1)+1,1),7)=0),$C$3,0),0)</f>
        <v>661.19272627849</v>
      </c>
      <c r="V1225" s="131" cm="1">
        <f ca="1" t="array" ref="V1225">IF(V1827=1,OFFSET($W$634,$B1225,V$631-1)/SUMPRODUCT(--($D$631:$V$631=V$631),--($D1827:$V1827=1)),0)+SUM(V1224)+IF(COUNTIF(V$1237:V1827,1)=1,5,0)+IF(COUNTIF(W1225:$W1225,"&gt;"&amp;0)&lt;5,IF(AND(COUNTIF(V$1237:V1827,1)&gt;7,MOD(1+IFERROR(MATCH($C1225,总览!$D$46:$D$345,1)+1,1),7)=0),$C$3,0),0)</f>
        <v>681.019725990923</v>
      </c>
      <c r="W1225" s="135" cm="1">
        <f ca="1" t="array" ref="W1225">SUMPRODUCT(TRANSPOSE($AA1225:$AG1225),OFFSET($L$9:$L$15,0,W$631-1))</f>
        <v>16.8502200646615</v>
      </c>
      <c r="X1225" s="135" cm="1">
        <f ca="1" t="array" ref="X1225">SUMPRODUCT(TRANSPOSE($AA1225:$AG1225),OFFSET($L$9:$L$15,0,X$631-1))</f>
        <v>20</v>
      </c>
      <c r="Y1225" s="135" cm="1">
        <f ca="1" t="array" ref="Y1225">SUMPRODUCT(TRANSPOSE($AA1225:$AG1225),OFFSET($L$9:$L$15,0,Y$631-1))</f>
        <v>10</v>
      </c>
      <c r="Z1225" s="135" cm="1">
        <f ca="1" t="array" ref="Z1225">SUMPRODUCT(TRANSPOSE($AA1225:$AG1225),OFFSET($L$9:$L$15,0,Z$631-1))</f>
        <v>3.14977993533847</v>
      </c>
      <c r="AA1225" s="136">
        <f ca="1" t="shared" ref="AA1225:AG1225" si="1439">AH1225-AH1224</f>
        <v>0</v>
      </c>
      <c r="AB1225" s="136">
        <f ca="1" t="shared" si="1439"/>
        <v>0</v>
      </c>
      <c r="AC1225" s="136">
        <f ca="1" t="shared" si="1439"/>
        <v>0</v>
      </c>
      <c r="AD1225" s="136">
        <f ca="1" t="shared" si="1439"/>
        <v>0</v>
      </c>
      <c r="AE1225" s="136">
        <f ca="1" t="shared" si="1439"/>
        <v>0</v>
      </c>
      <c r="AF1225" s="136">
        <f ca="1" t="shared" si="1439"/>
        <v>0</v>
      </c>
      <c r="AG1225" s="136">
        <f ca="1" t="shared" si="1439"/>
        <v>100</v>
      </c>
      <c r="AH1225" s="136">
        <f ca="1" t="shared" si="1411"/>
        <v>450</v>
      </c>
      <c r="AI1225" s="136">
        <f ca="1" t="shared" ref="AI1225:AN1225" si="1440">IF($C1225&gt;OFFSET($Q$8,MATCH(AI$634,$AH$634:$AN$634,0),0),OFFSET($P$8,MATCH(AI$634,$AH$634:$AN$634,0),0),MAX(0,$C1225-OFFSET($Q$8,RIGHT(AI$634,1)-1,0)))</f>
        <v>909</v>
      </c>
      <c r="AJ1225" s="136">
        <f ca="1" t="shared" si="1440"/>
        <v>1818</v>
      </c>
      <c r="AK1225" s="136">
        <f ca="1" t="shared" si="1440"/>
        <v>2727</v>
      </c>
      <c r="AL1225" s="136">
        <f ca="1" t="shared" si="1440"/>
        <v>3636</v>
      </c>
      <c r="AM1225" s="136">
        <f ca="1" t="shared" si="1440"/>
        <v>4545</v>
      </c>
      <c r="AN1225" s="136">
        <f ca="1" t="shared" si="1440"/>
        <v>45015</v>
      </c>
    </row>
    <row r="1226" s="106" customFormat="1" ht="16.5" spans="2:40">
      <c r="B1226" s="117">
        <v>592</v>
      </c>
      <c r="C1226" s="130">
        <f t="shared" si="1409"/>
        <v>59200</v>
      </c>
      <c r="D1226" s="131" cm="1">
        <f ca="1" t="array" ref="D1226">IF(D1828=1,OFFSET($W$634,$B1226,D$631-1)/SUMPRODUCT(--($D$631:$V$631=D$631),--($D1828:$V1828=1)),0)+SUM(D1225)+IF(COUNTIF(D$1237:D1828,1)=1,5,0)+IF(COUNTIF(E1226:$W1226,"&gt;"&amp;0)&lt;5,IF(AND(COUNTIF(D$1237:D1828,1)&gt;7,MOD(1+IFERROR(MATCH($C1226,总览!$D$46:$D$345,1)+1,1),7)=0),$C$3,0),0)</f>
        <v>3652.81360929074</v>
      </c>
      <c r="E1226" s="131" cm="1">
        <f ca="1" t="array" ref="E1226">IF(E1828=1,OFFSET($W$634,$B1226,E$631-1)/SUMPRODUCT(--($D$631:$V$631=E$631),--($D1828:$V1828=1)),0)+SUM(E1225)+IF(COUNTIF(E$1237:E1828,1)=1,5,0)+IF(COUNTIF(F1226:$W1226,"&gt;"&amp;0)&lt;5,IF(AND(COUNTIF(E$1237:E1828,1)&gt;7,MOD(1+IFERROR(MATCH($C1226,总览!$D$46:$D$345,1)+1,1),7)=0),$C$3,0),0)</f>
        <v>3652.81360929074</v>
      </c>
      <c r="F1226" s="131" cm="1">
        <f ca="1" t="array" ref="F1226">IF(F1828=1,OFFSET($W$634,$B1226,F$631-1)/SUMPRODUCT(--($D$631:$V$631=F$631),--($D1828:$V1828=1)),0)+SUM(F1225)+IF(COUNTIF(F$1237:F1828,1)=1,5,0)+IF(COUNTIF(G1226:$W1226,"&gt;"&amp;0)&lt;5,IF(AND(COUNTIF(F$1237:F1828,1)&gt;7,MOD(1+IFERROR(MATCH($C1226,总览!$D$46:$D$345,1)+1,1),7)=0),$C$3,0),0)</f>
        <v>3652.81360929074</v>
      </c>
      <c r="G1226" s="131" cm="1">
        <f ca="1" t="array" ref="G1226">IF(G1828=1,OFFSET($W$634,$B1226,G$631-1)/SUMPRODUCT(--($D$631:$V$631=G$631),--($D1828:$V1828=1)),0)+SUM(G1225)+IF(COUNTIF(G$1237:G1828,1)=1,5,0)+IF(COUNTIF(H1226:$W1226,"&gt;"&amp;0)&lt;5,IF(AND(COUNTIF(G$1237:G1828,1)&gt;7,MOD(1+IFERROR(MATCH($C1226,总览!$D$46:$D$345,1)+1,1),7)=0),$C$3,0),0)</f>
        <v>1912.73333333332</v>
      </c>
      <c r="H1226" s="131" cm="1">
        <f ca="1" t="array" ref="H1226">IF(H1828=1,OFFSET($W$634,$B1226,H$631-1)/SUMPRODUCT(--($D$631:$V$631=H$631),--($D1828:$V1828=1)),0)+SUM(H1225)+IF(COUNTIF(H$1237:H1828,1)=1,5,0)+IF(COUNTIF(I1226:$W1226,"&gt;"&amp;0)&lt;5,IF(AND(COUNTIF(H$1237:H1828,1)&gt;7,MOD(1+IFERROR(MATCH($C1226,总览!$D$46:$D$345,1)+1,1),7)=0),$C$3,0),0)</f>
        <v>1912.73333333332</v>
      </c>
      <c r="I1226" s="131" cm="1">
        <f ca="1" t="array" ref="I1226">IF(I1828=1,OFFSET($W$634,$B1226,I$631-1)/SUMPRODUCT(--($D$631:$V$631=I$631),--($D1828:$V1828=1)),0)+SUM(I1225)+IF(COUNTIF(I$1237:I1828,1)=1,5,0)+IF(COUNTIF(J1226:$W1226,"&gt;"&amp;0)&lt;5,IF(AND(COUNTIF(I$1237:I1828,1)&gt;7,MOD(1+IFERROR(MATCH($C1226,总览!$D$46:$D$345,1)+1,1),7)=0),$C$3,0),0)</f>
        <v>1912.73333333332</v>
      </c>
      <c r="J1226" s="131" cm="1">
        <f ca="1" t="array" ref="J1226">IF(J1828=1,OFFSET($W$634,$B1226,J$631-1)/SUMPRODUCT(--($D$631:$V$631=J$631),--($D1828:$V1828=1)),0)+SUM(J1225)+IF(COUNTIF(J$1237:J1828,1)=1,5,0)+IF(COUNTIF(K1226:$W1226,"&gt;"&amp;0)&lt;5,IF(AND(COUNTIF(J$1237:J1828,1)&gt;7,MOD(1+IFERROR(MATCH($C1226,总览!$D$46:$D$345,1)+1,1),7)=0),$C$3,0),0)</f>
        <v>1909.39999999998</v>
      </c>
      <c r="K1226" s="131" cm="1">
        <f ca="1" t="array" ref="K1226">IF(K1828=1,OFFSET($W$634,$B1226,K$631-1)/SUMPRODUCT(--($D$631:$V$631=K$631),--($D1828:$V1828=1)),0)+SUM(K1225)+IF(COUNTIF(K$1237:K1828,1)=1,5,0)+IF(COUNTIF(L1226:$W1226,"&gt;"&amp;0)&lt;5,IF(AND(COUNTIF(K$1237:K1828,1)&gt;7,MOD(1+IFERROR(MATCH($C1226,总览!$D$46:$D$345,1)+1,1),7)=0),$C$3,0),0)</f>
        <v>1906.89999999998</v>
      </c>
      <c r="L1226" s="131" cm="1">
        <f ca="1" t="array" ref="L1226">IF(L1828=1,OFFSET($W$634,$B1226,L$631-1)/SUMPRODUCT(--($D$631:$V$631=L$631),--($D1828:$V1828=1)),0)+SUM(L1225)+IF(COUNTIF(L$1237:L1828,1)=1,5,0)+IF(COUNTIF(M1226:$W1226,"&gt;"&amp;0)&lt;5,IF(AND(COUNTIF(L$1237:L1828,1)&gt;7,MOD(1+IFERROR(MATCH($C1226,总览!$D$46:$D$345,1)+1,1),7)=0),$C$3,0),0)</f>
        <v>1906.89999999998</v>
      </c>
      <c r="M1226" s="131" cm="1">
        <f ca="1" t="array" ref="M1226">IF(M1828=1,OFFSET($W$634,$B1226,M$631-1)/SUMPRODUCT(--($D$631:$V$631=M$631),--($D1828:$V1828=1)),0)+SUM(M1225)+IF(COUNTIF(M$1237:M1828,1)=1,5,0)+IF(COUNTIF(N1226:$W1226,"&gt;"&amp;0)&lt;5,IF(AND(COUNTIF(M$1237:M1828,1)&gt;7,MOD(1+IFERROR(MATCH($C1226,总览!$D$46:$D$345,1)+1,1),7)=0),$C$3,0),0)</f>
        <v>803.466964285719</v>
      </c>
      <c r="N1226" s="131" cm="1">
        <f ca="1" t="array" ref="N1226">IF(N1828=1,OFFSET($W$634,$B1226,N$631-1)/SUMPRODUCT(--($D$631:$V$631=N$631),--($D1828:$V1828=1)),0)+SUM(N1225)+IF(COUNTIF(N$1237:N1828,1)=1,5,0)+IF(COUNTIF(O1226:$W1226,"&gt;"&amp;0)&lt;5,IF(AND(COUNTIF(N$1237:N1828,1)&gt;7,MOD(1+IFERROR(MATCH($C1226,总览!$D$46:$D$345,1)+1,1),7)=0),$C$3,0),0)</f>
        <v>804.716964285719</v>
      </c>
      <c r="O1226" s="131" cm="1">
        <f ca="1" t="array" ref="O1226">IF(O1828=1,OFFSET($W$634,$B1226,O$631-1)/SUMPRODUCT(--($D$631:$V$631=O$631),--($D1828:$V1828=1)),0)+SUM(O1225)+IF(COUNTIF(O$1237:O1828,1)=1,5,0)+IF(COUNTIF(P1226:$W1226,"&gt;"&amp;0)&lt;5,IF(AND(COUNTIF(O$1237:O1828,1)&gt;7,MOD(1+IFERROR(MATCH($C1226,总览!$D$46:$D$345,1)+1,1),7)=0),$C$3,0),0)</f>
        <v>809.716964285719</v>
      </c>
      <c r="P1226" s="131" cm="1">
        <f ca="1" t="array" ref="P1226">IF(P1828=1,OFFSET($W$634,$B1226,P$631-1)/SUMPRODUCT(--($D$631:$V$631=P$631),--($D1828:$V1828=1)),0)+SUM(P1225)+IF(COUNTIF(P$1237:P1828,1)=1,5,0)+IF(COUNTIF(Q1226:$W1226,"&gt;"&amp;0)&lt;5,IF(AND(COUNTIF(P$1237:P1828,1)&gt;7,MOD(1+IFERROR(MATCH($C1226,总览!$D$46:$D$345,1)+1,1),7)=0),$C$3,0),0)</f>
        <v>798.835714285719</v>
      </c>
      <c r="Q1226" s="131" cm="1">
        <f ca="1" t="array" ref="Q1226">IF(Q1828=1,OFFSET($W$634,$B1226,Q$631-1)/SUMPRODUCT(--($D$631:$V$631=Q$631),--($D1828:$V1828=1)),0)+SUM(Q1225)+IF(COUNTIF(Q$1237:Q1828,1)=1,5,0)+IF(COUNTIF(R1226:$W1226,"&gt;"&amp;0)&lt;5,IF(AND(COUNTIF(Q$1237:Q1828,1)&gt;7,MOD(1+IFERROR(MATCH($C1226,总览!$D$46:$D$345,1)+1,1),7)=0),$C$3,0),0)</f>
        <v>812.216964285719</v>
      </c>
      <c r="R1226" s="131" cm="1">
        <f ca="1" t="array" ref="R1226">IF(R1828=1,OFFSET($W$634,$B1226,R$631-1)/SUMPRODUCT(--($D$631:$V$631=R$631),--($D1828:$V1828=1)),0)+SUM(R1225)+IF(COUNTIF(R$1237:R1828,1)=1,5,0)+IF(COUNTIF(S1226:$W1226,"&gt;"&amp;0)&lt;5,IF(AND(COUNTIF(R$1237:R1828,1)&gt;7,MOD(1+IFERROR(MATCH($C1226,总览!$D$46:$D$345,1)+1,1),7)=0),$C$3,0),0)</f>
        <v>803.835714285719</v>
      </c>
      <c r="S1226" s="131" cm="1">
        <f ca="1" t="array" ref="S1226">IF(S1828=1,OFFSET($W$634,$B1226,S$631-1)/SUMPRODUCT(--($D$631:$V$631=S$631),--($D1828:$V1828=1)),0)+SUM(S1225)+IF(COUNTIF(S$1237:S1828,1)=1,5,0)+IF(COUNTIF(T1226:$W1226,"&gt;"&amp;0)&lt;5,IF(AND(COUNTIF(S$1237:S1828,1)&gt;7,MOD(1+IFERROR(MATCH($C1226,总览!$D$46:$D$345,1)+1,1),7)=0),$C$3,0),0)</f>
        <v>896.33571428572</v>
      </c>
      <c r="T1226" s="131" cm="1">
        <f ca="1" t="array" ref="T1226">IF(T1828=1,OFFSET($W$634,$B1226,T$631-1)/SUMPRODUCT(--($D$631:$V$631=T$631),--($D1828:$V1828=1)),0)+SUM(T1225)+IF(COUNTIF(T$1237:T1828,1)=1,5,0)+IF(COUNTIF(U1226:$W1226,"&gt;"&amp;0)&lt;5,IF(AND(COUNTIF(T$1237:T1828,1)&gt;7,MOD(1+IFERROR(MATCH($C1226,总览!$D$46:$D$345,1)+1,1),7)=0),$C$3,0),0)</f>
        <v>656.721866568304</v>
      </c>
      <c r="U1226" s="131" cm="1">
        <f ca="1" t="array" ref="U1226">IF(U1828=1,OFFSET($W$634,$B1226,U$631-1)/SUMPRODUCT(--($D$631:$V$631=U$631),--($D1828:$V1828=1)),0)+SUM(U1225)+IF(COUNTIF(U$1237:U1828,1)=1,5,0)+IF(COUNTIF(V1226:$W1226,"&gt;"&amp;0)&lt;5,IF(AND(COUNTIF(U$1237:U1828,1)&gt;7,MOD(1+IFERROR(MATCH($C1226,总览!$D$46:$D$345,1)+1,1),7)=0),$C$3,0),0)</f>
        <v>662.242652923603</v>
      </c>
      <c r="V1226" s="131" cm="1">
        <f ca="1" t="array" ref="V1226">IF(V1828=1,OFFSET($W$634,$B1226,V$631-1)/SUMPRODUCT(--($D$631:$V$631=V$631),--($D1828:$V1828=1)),0)+SUM(V1225)+IF(COUNTIF(V$1237:V1828,1)=1,5,0)+IF(COUNTIF(W1226:$W1226,"&gt;"&amp;0)&lt;5,IF(AND(COUNTIF(V$1237:V1828,1)&gt;7,MOD(1+IFERROR(MATCH($C1226,总览!$D$46:$D$345,1)+1,1),7)=0),$C$3,0),0)</f>
        <v>682.069652636036</v>
      </c>
      <c r="W1226" s="135" cm="1">
        <f ca="1" t="array" ref="W1226">SUMPRODUCT(TRANSPOSE($AA1226:$AG1226),OFFSET($L$9:$L$15,0,W$631-1))</f>
        <v>16.8502200646615</v>
      </c>
      <c r="X1226" s="135" cm="1">
        <f ca="1" t="array" ref="X1226">SUMPRODUCT(TRANSPOSE($AA1226:$AG1226),OFFSET($L$9:$L$15,0,X$631-1))</f>
        <v>20</v>
      </c>
      <c r="Y1226" s="135" cm="1">
        <f ca="1" t="array" ref="Y1226">SUMPRODUCT(TRANSPOSE($AA1226:$AG1226),OFFSET($L$9:$L$15,0,Y$631-1))</f>
        <v>10</v>
      </c>
      <c r="Z1226" s="135" cm="1">
        <f ca="1" t="array" ref="Z1226">SUMPRODUCT(TRANSPOSE($AA1226:$AG1226),OFFSET($L$9:$L$15,0,Z$631-1))</f>
        <v>3.14977993533847</v>
      </c>
      <c r="AA1226" s="136">
        <f ca="1" t="shared" ref="AA1226:AG1226" si="1441">AH1226-AH1225</f>
        <v>0</v>
      </c>
      <c r="AB1226" s="136">
        <f ca="1" t="shared" si="1441"/>
        <v>0</v>
      </c>
      <c r="AC1226" s="136">
        <f ca="1" t="shared" si="1441"/>
        <v>0</v>
      </c>
      <c r="AD1226" s="136">
        <f ca="1" t="shared" si="1441"/>
        <v>0</v>
      </c>
      <c r="AE1226" s="136">
        <f ca="1" t="shared" si="1441"/>
        <v>0</v>
      </c>
      <c r="AF1226" s="136">
        <f ca="1" t="shared" si="1441"/>
        <v>0</v>
      </c>
      <c r="AG1226" s="136">
        <f ca="1" t="shared" si="1441"/>
        <v>100</v>
      </c>
      <c r="AH1226" s="136">
        <f ca="1" t="shared" si="1411"/>
        <v>450</v>
      </c>
      <c r="AI1226" s="136">
        <f ca="1" t="shared" ref="AI1226:AN1226" si="1442">IF($C1226&gt;OFFSET($Q$8,MATCH(AI$634,$AH$634:$AN$634,0),0),OFFSET($P$8,MATCH(AI$634,$AH$634:$AN$634,0),0),MAX(0,$C1226-OFFSET($Q$8,RIGHT(AI$634,1)-1,0)))</f>
        <v>909</v>
      </c>
      <c r="AJ1226" s="136">
        <f ca="1" t="shared" si="1442"/>
        <v>1818</v>
      </c>
      <c r="AK1226" s="136">
        <f ca="1" t="shared" si="1442"/>
        <v>2727</v>
      </c>
      <c r="AL1226" s="136">
        <f ca="1" t="shared" si="1442"/>
        <v>3636</v>
      </c>
      <c r="AM1226" s="136">
        <f ca="1" t="shared" si="1442"/>
        <v>4545</v>
      </c>
      <c r="AN1226" s="136">
        <f ca="1" t="shared" si="1442"/>
        <v>45115</v>
      </c>
    </row>
    <row r="1227" s="106" customFormat="1" ht="16.5" spans="2:40">
      <c r="B1227" s="117">
        <v>593</v>
      </c>
      <c r="C1227" s="130">
        <f t="shared" si="1409"/>
        <v>59300</v>
      </c>
      <c r="D1227" s="131" cm="1">
        <f ca="1" t="array" ref="D1227">IF(D1829=1,OFFSET($W$634,$B1227,D$631-1)/SUMPRODUCT(--($D$631:$V$631=D$631),--($D1829:$V1829=1)),0)+SUM(D1226)+IF(COUNTIF(D$1237:D1829,1)=1,5,0)+IF(COUNTIF(E1227:$W1227,"&gt;"&amp;0)&lt;5,IF(AND(COUNTIF(D$1237:D1829,1)&gt;7,MOD(1+IFERROR(MATCH($C1227,总览!$D$46:$D$345,1)+1,1),7)=0),$C$3,0),0)</f>
        <v>3658.43034931229</v>
      </c>
      <c r="E1227" s="131" cm="1">
        <f ca="1" t="array" ref="E1227">IF(E1829=1,OFFSET($W$634,$B1227,E$631-1)/SUMPRODUCT(--($D$631:$V$631=E$631),--($D1829:$V1829=1)),0)+SUM(E1226)+IF(COUNTIF(E$1237:E1829,1)=1,5,0)+IF(COUNTIF(F1227:$W1227,"&gt;"&amp;0)&lt;5,IF(AND(COUNTIF(E$1237:E1829,1)&gt;7,MOD(1+IFERROR(MATCH($C1227,总览!$D$46:$D$345,1)+1,1),7)=0),$C$3,0),0)</f>
        <v>3658.43034931229</v>
      </c>
      <c r="F1227" s="131" cm="1">
        <f ca="1" t="array" ref="F1227">IF(F1829=1,OFFSET($W$634,$B1227,F$631-1)/SUMPRODUCT(--($D$631:$V$631=F$631),--($D1829:$V1829=1)),0)+SUM(F1226)+IF(COUNTIF(F$1237:F1829,1)=1,5,0)+IF(COUNTIF(G1227:$W1227,"&gt;"&amp;0)&lt;5,IF(AND(COUNTIF(F$1237:F1829,1)&gt;7,MOD(1+IFERROR(MATCH($C1227,总览!$D$46:$D$345,1)+1,1),7)=0),$C$3,0),0)</f>
        <v>3658.43034931229</v>
      </c>
      <c r="G1227" s="131" cm="1">
        <f ca="1" t="array" ref="G1227">IF(G1829=1,OFFSET($W$634,$B1227,G$631-1)/SUMPRODUCT(--($D$631:$V$631=G$631),--($D1829:$V1829=1)),0)+SUM(G1226)+IF(COUNTIF(G$1237:G1829,1)=1,5,0)+IF(COUNTIF(H1227:$W1227,"&gt;"&amp;0)&lt;5,IF(AND(COUNTIF(G$1237:G1829,1)&gt;7,MOD(1+IFERROR(MATCH($C1227,总览!$D$46:$D$345,1)+1,1),7)=0),$C$3,0),0)</f>
        <v>1916.06666666665</v>
      </c>
      <c r="H1227" s="131" cm="1">
        <f ca="1" t="array" ref="H1227">IF(H1829=1,OFFSET($W$634,$B1227,H$631-1)/SUMPRODUCT(--($D$631:$V$631=H$631),--($D1829:$V1829=1)),0)+SUM(H1226)+IF(COUNTIF(H$1237:H1829,1)=1,5,0)+IF(COUNTIF(I1227:$W1227,"&gt;"&amp;0)&lt;5,IF(AND(COUNTIF(H$1237:H1829,1)&gt;7,MOD(1+IFERROR(MATCH($C1227,总览!$D$46:$D$345,1)+1,1),7)=0),$C$3,0),0)</f>
        <v>1916.06666666665</v>
      </c>
      <c r="I1227" s="131" cm="1">
        <f ca="1" t="array" ref="I1227">IF(I1829=1,OFFSET($W$634,$B1227,I$631-1)/SUMPRODUCT(--($D$631:$V$631=I$631),--($D1829:$V1829=1)),0)+SUM(I1226)+IF(COUNTIF(I$1237:I1829,1)=1,5,0)+IF(COUNTIF(J1227:$W1227,"&gt;"&amp;0)&lt;5,IF(AND(COUNTIF(I$1237:I1829,1)&gt;7,MOD(1+IFERROR(MATCH($C1227,总览!$D$46:$D$345,1)+1,1),7)=0),$C$3,0),0)</f>
        <v>1916.06666666665</v>
      </c>
      <c r="J1227" s="131" cm="1">
        <f ca="1" t="array" ref="J1227">IF(J1829=1,OFFSET($W$634,$B1227,J$631-1)/SUMPRODUCT(--($D$631:$V$631=J$631),--($D1829:$V1829=1)),0)+SUM(J1226)+IF(COUNTIF(J$1237:J1829,1)=1,5,0)+IF(COUNTIF(K1227:$W1227,"&gt;"&amp;0)&lt;5,IF(AND(COUNTIF(J$1237:J1829,1)&gt;7,MOD(1+IFERROR(MATCH($C1227,总览!$D$46:$D$345,1)+1,1),7)=0),$C$3,0),0)</f>
        <v>1912.73333333332</v>
      </c>
      <c r="K1227" s="131" cm="1">
        <f ca="1" t="array" ref="K1227">IF(K1829=1,OFFSET($W$634,$B1227,K$631-1)/SUMPRODUCT(--($D$631:$V$631=K$631),--($D1829:$V1829=1)),0)+SUM(K1226)+IF(COUNTIF(K$1237:K1829,1)=1,5,0)+IF(COUNTIF(L1227:$W1227,"&gt;"&amp;0)&lt;5,IF(AND(COUNTIF(K$1237:K1829,1)&gt;7,MOD(1+IFERROR(MATCH($C1227,总览!$D$46:$D$345,1)+1,1),7)=0),$C$3,0),0)</f>
        <v>1910.23333333332</v>
      </c>
      <c r="L1227" s="131" cm="1">
        <f ca="1" t="array" ref="L1227">IF(L1829=1,OFFSET($W$634,$B1227,L$631-1)/SUMPRODUCT(--($D$631:$V$631=L$631),--($D1829:$V1829=1)),0)+SUM(L1226)+IF(COUNTIF(L$1237:L1829,1)=1,5,0)+IF(COUNTIF(M1227:$W1227,"&gt;"&amp;0)&lt;5,IF(AND(COUNTIF(L$1237:L1829,1)&gt;7,MOD(1+IFERROR(MATCH($C1227,总览!$D$46:$D$345,1)+1,1),7)=0),$C$3,0),0)</f>
        <v>1910.23333333332</v>
      </c>
      <c r="M1227" s="131" cm="1">
        <f ca="1" t="array" ref="M1227">IF(M1829=1,OFFSET($W$634,$B1227,M$631-1)/SUMPRODUCT(--($D$631:$V$631=M$631),--($D1829:$V1829=1)),0)+SUM(M1226)+IF(COUNTIF(M$1237:M1829,1)=1,5,0)+IF(COUNTIF(N1227:$W1227,"&gt;"&amp;0)&lt;5,IF(AND(COUNTIF(M$1237:M1829,1)&gt;7,MOD(1+IFERROR(MATCH($C1227,总览!$D$46:$D$345,1)+1,1),7)=0),$C$3,0),0)</f>
        <v>804.895535714291</v>
      </c>
      <c r="N1227" s="131" cm="1">
        <f ca="1" t="array" ref="N1227">IF(N1829=1,OFFSET($W$634,$B1227,N$631-1)/SUMPRODUCT(--($D$631:$V$631=N$631),--($D1829:$V1829=1)),0)+SUM(N1226)+IF(COUNTIF(N$1237:N1829,1)=1,5,0)+IF(COUNTIF(O1227:$W1227,"&gt;"&amp;0)&lt;5,IF(AND(COUNTIF(N$1237:N1829,1)&gt;7,MOD(1+IFERROR(MATCH($C1227,总览!$D$46:$D$345,1)+1,1),7)=0),$C$3,0),0)</f>
        <v>806.145535714291</v>
      </c>
      <c r="O1227" s="131" cm="1">
        <f ca="1" t="array" ref="O1227">IF(O1829=1,OFFSET($W$634,$B1227,O$631-1)/SUMPRODUCT(--($D$631:$V$631=O$631),--($D1829:$V1829=1)),0)+SUM(O1226)+IF(COUNTIF(O$1237:O1829,1)=1,5,0)+IF(COUNTIF(P1227:$W1227,"&gt;"&amp;0)&lt;5,IF(AND(COUNTIF(O$1237:O1829,1)&gt;7,MOD(1+IFERROR(MATCH($C1227,总览!$D$46:$D$345,1)+1,1),7)=0),$C$3,0),0)</f>
        <v>811.145535714291</v>
      </c>
      <c r="P1227" s="131" cm="1">
        <f ca="1" t="array" ref="P1227">IF(P1829=1,OFFSET($W$634,$B1227,P$631-1)/SUMPRODUCT(--($D$631:$V$631=P$631),--($D1829:$V1829=1)),0)+SUM(P1226)+IF(COUNTIF(P$1237:P1829,1)=1,5,0)+IF(COUNTIF(Q1227:$W1227,"&gt;"&amp;0)&lt;5,IF(AND(COUNTIF(P$1237:P1829,1)&gt;7,MOD(1+IFERROR(MATCH($C1227,总览!$D$46:$D$345,1)+1,1),7)=0),$C$3,0),0)</f>
        <v>800.264285714291</v>
      </c>
      <c r="Q1227" s="131" cm="1">
        <f ca="1" t="array" ref="Q1227">IF(Q1829=1,OFFSET($W$634,$B1227,Q$631-1)/SUMPRODUCT(--($D$631:$V$631=Q$631),--($D1829:$V1829=1)),0)+SUM(Q1226)+IF(COUNTIF(Q$1237:Q1829,1)=1,5,0)+IF(COUNTIF(R1227:$W1227,"&gt;"&amp;0)&lt;5,IF(AND(COUNTIF(Q$1237:Q1829,1)&gt;7,MOD(1+IFERROR(MATCH($C1227,总览!$D$46:$D$345,1)+1,1),7)=0),$C$3,0),0)</f>
        <v>813.645535714291</v>
      </c>
      <c r="R1227" s="131" cm="1">
        <f ca="1" t="array" ref="R1227">IF(R1829=1,OFFSET($W$634,$B1227,R$631-1)/SUMPRODUCT(--($D$631:$V$631=R$631),--($D1829:$V1829=1)),0)+SUM(R1226)+IF(COUNTIF(R$1237:R1829,1)=1,5,0)+IF(COUNTIF(S1227:$W1227,"&gt;"&amp;0)&lt;5,IF(AND(COUNTIF(R$1237:R1829,1)&gt;7,MOD(1+IFERROR(MATCH($C1227,总览!$D$46:$D$345,1)+1,1),7)=0),$C$3,0),0)</f>
        <v>805.264285714291</v>
      </c>
      <c r="S1227" s="131" cm="1">
        <f ca="1" t="array" ref="S1227">IF(S1829=1,OFFSET($W$634,$B1227,S$631-1)/SUMPRODUCT(--($D$631:$V$631=S$631),--($D1829:$V1829=1)),0)+SUM(S1226)+IF(COUNTIF(S$1237:S1829,1)=1,5,0)+IF(COUNTIF(T1227:$W1227,"&gt;"&amp;0)&lt;5,IF(AND(COUNTIF(S$1237:S1829,1)&gt;7,MOD(1+IFERROR(MATCH($C1227,总览!$D$46:$D$345,1)+1,1),7)=0),$C$3,0),0)</f>
        <v>897.764285714292</v>
      </c>
      <c r="T1227" s="131" cm="1">
        <f ca="1" t="array" ref="T1227">IF(T1829=1,OFFSET($W$634,$B1227,T$631-1)/SUMPRODUCT(--($D$631:$V$631=T$631),--($D1829:$V1829=1)),0)+SUM(T1226)+IF(COUNTIF(T$1237:T1829,1)=1,5,0)+IF(COUNTIF(U1227:$W1227,"&gt;"&amp;0)&lt;5,IF(AND(COUNTIF(T$1237:T1829,1)&gt;7,MOD(1+IFERROR(MATCH($C1227,总览!$D$46:$D$345,1)+1,1),7)=0),$C$3,0),0)</f>
        <v>657.771793213416</v>
      </c>
      <c r="U1227" s="131" cm="1">
        <f ca="1" t="array" ref="U1227">IF(U1829=1,OFFSET($W$634,$B1227,U$631-1)/SUMPRODUCT(--($D$631:$V$631=U$631),--($D1829:$V1829=1)),0)+SUM(U1226)+IF(COUNTIF(U$1237:U1829,1)=1,5,0)+IF(COUNTIF(V1227:$W1227,"&gt;"&amp;0)&lt;5,IF(AND(COUNTIF(U$1237:U1829,1)&gt;7,MOD(1+IFERROR(MATCH($C1227,总览!$D$46:$D$345,1)+1,1),7)=0),$C$3,0),0)</f>
        <v>663.292579568716</v>
      </c>
      <c r="V1227" s="131" cm="1">
        <f ca="1" t="array" ref="V1227">IF(V1829=1,OFFSET($W$634,$B1227,V$631-1)/SUMPRODUCT(--($D$631:$V$631=V$631),--($D1829:$V1829=1)),0)+SUM(V1226)+IF(COUNTIF(V$1237:V1829,1)=1,5,0)+IF(COUNTIF(W1227:$W1227,"&gt;"&amp;0)&lt;5,IF(AND(COUNTIF(V$1237:V1829,1)&gt;7,MOD(1+IFERROR(MATCH($C1227,总览!$D$46:$D$345,1)+1,1),7)=0),$C$3,0),0)</f>
        <v>683.119579281149</v>
      </c>
      <c r="W1227" s="135" cm="1">
        <f ca="1" t="array" ref="W1227">SUMPRODUCT(TRANSPOSE($AA1227:$AG1227),OFFSET($L$9:$L$15,0,W$631-1))</f>
        <v>16.8502200646615</v>
      </c>
      <c r="X1227" s="135" cm="1">
        <f ca="1" t="array" ref="X1227">SUMPRODUCT(TRANSPOSE($AA1227:$AG1227),OFFSET($L$9:$L$15,0,X$631-1))</f>
        <v>20</v>
      </c>
      <c r="Y1227" s="135" cm="1">
        <f ca="1" t="array" ref="Y1227">SUMPRODUCT(TRANSPOSE($AA1227:$AG1227),OFFSET($L$9:$L$15,0,Y$631-1))</f>
        <v>10</v>
      </c>
      <c r="Z1227" s="135" cm="1">
        <f ca="1" t="array" ref="Z1227">SUMPRODUCT(TRANSPOSE($AA1227:$AG1227),OFFSET($L$9:$L$15,0,Z$631-1))</f>
        <v>3.14977993533847</v>
      </c>
      <c r="AA1227" s="136">
        <f ca="1" t="shared" ref="AA1227:AG1227" si="1443">AH1227-AH1226</f>
        <v>0</v>
      </c>
      <c r="AB1227" s="136">
        <f ca="1" t="shared" si="1443"/>
        <v>0</v>
      </c>
      <c r="AC1227" s="136">
        <f ca="1" t="shared" si="1443"/>
        <v>0</v>
      </c>
      <c r="AD1227" s="136">
        <f ca="1" t="shared" si="1443"/>
        <v>0</v>
      </c>
      <c r="AE1227" s="136">
        <f ca="1" t="shared" si="1443"/>
        <v>0</v>
      </c>
      <c r="AF1227" s="136">
        <f ca="1" t="shared" si="1443"/>
        <v>0</v>
      </c>
      <c r="AG1227" s="136">
        <f ca="1" t="shared" si="1443"/>
        <v>100</v>
      </c>
      <c r="AH1227" s="136">
        <f ca="1" t="shared" si="1411"/>
        <v>450</v>
      </c>
      <c r="AI1227" s="136">
        <f ca="1" t="shared" ref="AI1227:AN1227" si="1444">IF($C1227&gt;OFFSET($Q$8,MATCH(AI$634,$AH$634:$AN$634,0),0),OFFSET($P$8,MATCH(AI$634,$AH$634:$AN$634,0),0),MAX(0,$C1227-OFFSET($Q$8,RIGHT(AI$634,1)-1,0)))</f>
        <v>909</v>
      </c>
      <c r="AJ1227" s="136">
        <f ca="1" t="shared" si="1444"/>
        <v>1818</v>
      </c>
      <c r="AK1227" s="136">
        <f ca="1" t="shared" si="1444"/>
        <v>2727</v>
      </c>
      <c r="AL1227" s="136">
        <f ca="1" t="shared" si="1444"/>
        <v>3636</v>
      </c>
      <c r="AM1227" s="136">
        <f ca="1" t="shared" si="1444"/>
        <v>4545</v>
      </c>
      <c r="AN1227" s="136">
        <f ca="1" t="shared" si="1444"/>
        <v>45215</v>
      </c>
    </row>
    <row r="1228" s="106" customFormat="1" ht="16.5" spans="2:40">
      <c r="B1228" s="117">
        <v>594</v>
      </c>
      <c r="C1228" s="130">
        <f t="shared" si="1409"/>
        <v>59400</v>
      </c>
      <c r="D1228" s="131" cm="1">
        <f ca="1" t="array" ref="D1228">IF(D1830=1,OFFSET($W$634,$B1228,D$631-1)/SUMPRODUCT(--($D$631:$V$631=D$631),--($D1830:$V1830=1)),0)+SUM(D1227)+IF(COUNTIF(D$1237:D1830,1)=1,5,0)+IF(COUNTIF(E1228:$W1228,"&gt;"&amp;0)&lt;5,IF(AND(COUNTIF(D$1237:D1830,1)&gt;7,MOD(1+IFERROR(MATCH($C1228,总览!$D$46:$D$345,1)+1,1),7)=0),$C$3,0),0)</f>
        <v>3664.04708933384</v>
      </c>
      <c r="E1228" s="131" cm="1">
        <f ca="1" t="array" ref="E1228">IF(E1830=1,OFFSET($W$634,$B1228,E$631-1)/SUMPRODUCT(--($D$631:$V$631=E$631),--($D1830:$V1830=1)),0)+SUM(E1227)+IF(COUNTIF(E$1237:E1830,1)=1,5,0)+IF(COUNTIF(F1228:$W1228,"&gt;"&amp;0)&lt;5,IF(AND(COUNTIF(E$1237:E1830,1)&gt;7,MOD(1+IFERROR(MATCH($C1228,总览!$D$46:$D$345,1)+1,1),7)=0),$C$3,0),0)</f>
        <v>3664.04708933384</v>
      </c>
      <c r="F1228" s="131" cm="1">
        <f ca="1" t="array" ref="F1228">IF(F1830=1,OFFSET($W$634,$B1228,F$631-1)/SUMPRODUCT(--($D$631:$V$631=F$631),--($D1830:$V1830=1)),0)+SUM(F1227)+IF(COUNTIF(F$1237:F1830,1)=1,5,0)+IF(COUNTIF(G1228:$W1228,"&gt;"&amp;0)&lt;5,IF(AND(COUNTIF(F$1237:F1830,1)&gt;7,MOD(1+IFERROR(MATCH($C1228,总览!$D$46:$D$345,1)+1,1),7)=0),$C$3,0),0)</f>
        <v>3664.04708933384</v>
      </c>
      <c r="G1228" s="131" cm="1">
        <f ca="1" t="array" ref="G1228">IF(G1830=1,OFFSET($W$634,$B1228,G$631-1)/SUMPRODUCT(--($D$631:$V$631=G$631),--($D1830:$V1830=1)),0)+SUM(G1227)+IF(COUNTIF(G$1237:G1830,1)=1,5,0)+IF(COUNTIF(H1228:$W1228,"&gt;"&amp;0)&lt;5,IF(AND(COUNTIF(G$1237:G1830,1)&gt;7,MOD(1+IFERROR(MATCH($C1228,总览!$D$46:$D$345,1)+1,1),7)=0),$C$3,0),0)</f>
        <v>1919.39999999998</v>
      </c>
      <c r="H1228" s="131" cm="1">
        <f ca="1" t="array" ref="H1228">IF(H1830=1,OFFSET($W$634,$B1228,H$631-1)/SUMPRODUCT(--($D$631:$V$631=H$631),--($D1830:$V1830=1)),0)+SUM(H1227)+IF(COUNTIF(H$1237:H1830,1)=1,5,0)+IF(COUNTIF(I1228:$W1228,"&gt;"&amp;0)&lt;5,IF(AND(COUNTIF(H$1237:H1830,1)&gt;7,MOD(1+IFERROR(MATCH($C1228,总览!$D$46:$D$345,1)+1,1),7)=0),$C$3,0),0)</f>
        <v>1919.39999999998</v>
      </c>
      <c r="I1228" s="131" cm="1">
        <f ca="1" t="array" ref="I1228">IF(I1830=1,OFFSET($W$634,$B1228,I$631-1)/SUMPRODUCT(--($D$631:$V$631=I$631),--($D1830:$V1830=1)),0)+SUM(I1227)+IF(COUNTIF(I$1237:I1830,1)=1,5,0)+IF(COUNTIF(J1228:$W1228,"&gt;"&amp;0)&lt;5,IF(AND(COUNTIF(I$1237:I1830,1)&gt;7,MOD(1+IFERROR(MATCH($C1228,总览!$D$46:$D$345,1)+1,1),7)=0),$C$3,0),0)</f>
        <v>1919.39999999998</v>
      </c>
      <c r="J1228" s="131" cm="1">
        <f ca="1" t="array" ref="J1228">IF(J1830=1,OFFSET($W$634,$B1228,J$631-1)/SUMPRODUCT(--($D$631:$V$631=J$631),--($D1830:$V1830=1)),0)+SUM(J1227)+IF(COUNTIF(J$1237:J1830,1)=1,5,0)+IF(COUNTIF(K1228:$W1228,"&gt;"&amp;0)&lt;5,IF(AND(COUNTIF(J$1237:J1830,1)&gt;7,MOD(1+IFERROR(MATCH($C1228,总览!$D$46:$D$345,1)+1,1),7)=0),$C$3,0),0)</f>
        <v>1916.06666666665</v>
      </c>
      <c r="K1228" s="131" cm="1">
        <f ca="1" t="array" ref="K1228">IF(K1830=1,OFFSET($W$634,$B1228,K$631-1)/SUMPRODUCT(--($D$631:$V$631=K$631),--($D1830:$V1830=1)),0)+SUM(K1227)+IF(COUNTIF(K$1237:K1830,1)=1,5,0)+IF(COUNTIF(L1228:$W1228,"&gt;"&amp;0)&lt;5,IF(AND(COUNTIF(K$1237:K1830,1)&gt;7,MOD(1+IFERROR(MATCH($C1228,总览!$D$46:$D$345,1)+1,1),7)=0),$C$3,0),0)</f>
        <v>1913.56666666665</v>
      </c>
      <c r="L1228" s="131" cm="1">
        <f ca="1" t="array" ref="L1228">IF(L1830=1,OFFSET($W$634,$B1228,L$631-1)/SUMPRODUCT(--($D$631:$V$631=L$631),--($D1830:$V1830=1)),0)+SUM(L1227)+IF(COUNTIF(L$1237:L1830,1)=1,5,0)+IF(COUNTIF(M1228:$W1228,"&gt;"&amp;0)&lt;5,IF(AND(COUNTIF(L$1237:L1830,1)&gt;7,MOD(1+IFERROR(MATCH($C1228,总览!$D$46:$D$345,1)+1,1),7)=0),$C$3,0),0)</f>
        <v>1913.56666666665</v>
      </c>
      <c r="M1228" s="131" cm="1">
        <f ca="1" t="array" ref="M1228">IF(M1830=1,OFFSET($W$634,$B1228,M$631-1)/SUMPRODUCT(--($D$631:$V$631=M$631),--($D1830:$V1830=1)),0)+SUM(M1227)+IF(COUNTIF(M$1237:M1830,1)=1,5,0)+IF(COUNTIF(N1228:$W1228,"&gt;"&amp;0)&lt;5,IF(AND(COUNTIF(M$1237:M1830,1)&gt;7,MOD(1+IFERROR(MATCH($C1228,总览!$D$46:$D$345,1)+1,1),7)=0),$C$3,0),0)</f>
        <v>806.324107142862</v>
      </c>
      <c r="N1228" s="131" cm="1">
        <f ca="1" t="array" ref="N1228">IF(N1830=1,OFFSET($W$634,$B1228,N$631-1)/SUMPRODUCT(--($D$631:$V$631=N$631),--($D1830:$V1830=1)),0)+SUM(N1227)+IF(COUNTIF(N$1237:N1830,1)=1,5,0)+IF(COUNTIF(O1228:$W1228,"&gt;"&amp;0)&lt;5,IF(AND(COUNTIF(N$1237:N1830,1)&gt;7,MOD(1+IFERROR(MATCH($C1228,总览!$D$46:$D$345,1)+1,1),7)=0),$C$3,0),0)</f>
        <v>807.574107142862</v>
      </c>
      <c r="O1228" s="131" cm="1">
        <f ca="1" t="array" ref="O1228">IF(O1830=1,OFFSET($W$634,$B1228,O$631-1)/SUMPRODUCT(--($D$631:$V$631=O$631),--($D1830:$V1830=1)),0)+SUM(O1227)+IF(COUNTIF(O$1237:O1830,1)=1,5,0)+IF(COUNTIF(P1228:$W1228,"&gt;"&amp;0)&lt;5,IF(AND(COUNTIF(O$1237:O1830,1)&gt;7,MOD(1+IFERROR(MATCH($C1228,总览!$D$46:$D$345,1)+1,1),7)=0),$C$3,0),0)</f>
        <v>812.574107142862</v>
      </c>
      <c r="P1228" s="131" cm="1">
        <f ca="1" t="array" ref="P1228">IF(P1830=1,OFFSET($W$634,$B1228,P$631-1)/SUMPRODUCT(--($D$631:$V$631=P$631),--($D1830:$V1830=1)),0)+SUM(P1227)+IF(COUNTIF(P$1237:P1830,1)=1,5,0)+IF(COUNTIF(Q1228:$W1228,"&gt;"&amp;0)&lt;5,IF(AND(COUNTIF(P$1237:P1830,1)&gt;7,MOD(1+IFERROR(MATCH($C1228,总览!$D$46:$D$345,1)+1,1),7)=0),$C$3,0),0)</f>
        <v>801.692857142862</v>
      </c>
      <c r="Q1228" s="131" cm="1">
        <f ca="1" t="array" ref="Q1228">IF(Q1830=1,OFFSET($W$634,$B1228,Q$631-1)/SUMPRODUCT(--($D$631:$V$631=Q$631),--($D1830:$V1830=1)),0)+SUM(Q1227)+IF(COUNTIF(Q$1237:Q1830,1)=1,5,0)+IF(COUNTIF(R1228:$W1228,"&gt;"&amp;0)&lt;5,IF(AND(COUNTIF(Q$1237:Q1830,1)&gt;7,MOD(1+IFERROR(MATCH($C1228,总览!$D$46:$D$345,1)+1,1),7)=0),$C$3,0),0)</f>
        <v>815.074107142862</v>
      </c>
      <c r="R1228" s="131" cm="1">
        <f ca="1" t="array" ref="R1228">IF(R1830=1,OFFSET($W$634,$B1228,R$631-1)/SUMPRODUCT(--($D$631:$V$631=R$631),--($D1830:$V1830=1)),0)+SUM(R1227)+IF(COUNTIF(R$1237:R1830,1)=1,5,0)+IF(COUNTIF(S1228:$W1228,"&gt;"&amp;0)&lt;5,IF(AND(COUNTIF(R$1237:R1830,1)&gt;7,MOD(1+IFERROR(MATCH($C1228,总览!$D$46:$D$345,1)+1,1),7)=0),$C$3,0),0)</f>
        <v>806.692857142862</v>
      </c>
      <c r="S1228" s="131" cm="1">
        <f ca="1" t="array" ref="S1228">IF(S1830=1,OFFSET($W$634,$B1228,S$631-1)/SUMPRODUCT(--($D$631:$V$631=S$631),--($D1830:$V1830=1)),0)+SUM(S1227)+IF(COUNTIF(S$1237:S1830,1)=1,5,0)+IF(COUNTIF(T1228:$W1228,"&gt;"&amp;0)&lt;5,IF(AND(COUNTIF(S$1237:S1830,1)&gt;7,MOD(1+IFERROR(MATCH($C1228,总览!$D$46:$D$345,1)+1,1),7)=0),$C$3,0),0)</f>
        <v>899.192857142863</v>
      </c>
      <c r="T1228" s="131" cm="1">
        <f ca="1" t="array" ref="T1228">IF(T1830=1,OFFSET($W$634,$B1228,T$631-1)/SUMPRODUCT(--($D$631:$V$631=T$631),--($D1830:$V1830=1)),0)+SUM(T1227)+IF(COUNTIF(T$1237:T1830,1)=1,5,0)+IF(COUNTIF(U1228:$W1228,"&gt;"&amp;0)&lt;5,IF(AND(COUNTIF(T$1237:T1830,1)&gt;7,MOD(1+IFERROR(MATCH($C1228,总览!$D$46:$D$345,1)+1,1),7)=0),$C$3,0),0)</f>
        <v>658.821719858529</v>
      </c>
      <c r="U1228" s="131" cm="1">
        <f ca="1" t="array" ref="U1228">IF(U1830=1,OFFSET($W$634,$B1228,U$631-1)/SUMPRODUCT(--($D$631:$V$631=U$631),--($D1830:$V1830=1)),0)+SUM(U1227)+IF(COUNTIF(U$1237:U1830,1)=1,5,0)+IF(COUNTIF(V1228:$W1228,"&gt;"&amp;0)&lt;5,IF(AND(COUNTIF(U$1237:U1830,1)&gt;7,MOD(1+IFERROR(MATCH($C1228,总览!$D$46:$D$345,1)+1,1),7)=0),$C$3,0),0)</f>
        <v>664.342506213829</v>
      </c>
      <c r="V1228" s="131" cm="1">
        <f ca="1" t="array" ref="V1228">IF(V1830=1,OFFSET($W$634,$B1228,V$631-1)/SUMPRODUCT(--($D$631:$V$631=V$631),--($D1830:$V1830=1)),0)+SUM(V1227)+IF(COUNTIF(V$1237:V1830,1)=1,5,0)+IF(COUNTIF(W1228:$W1228,"&gt;"&amp;0)&lt;5,IF(AND(COUNTIF(V$1237:V1830,1)&gt;7,MOD(1+IFERROR(MATCH($C1228,总览!$D$46:$D$345,1)+1,1),7)=0),$C$3,0),0)</f>
        <v>684.169505926262</v>
      </c>
      <c r="W1228" s="135" cm="1">
        <f ca="1" t="array" ref="W1228">SUMPRODUCT(TRANSPOSE($AA1228:$AG1228),OFFSET($L$9:$L$15,0,W$631-1))</f>
        <v>16.8502200646615</v>
      </c>
      <c r="X1228" s="135" cm="1">
        <f ca="1" t="array" ref="X1228">SUMPRODUCT(TRANSPOSE($AA1228:$AG1228),OFFSET($L$9:$L$15,0,X$631-1))</f>
        <v>20</v>
      </c>
      <c r="Y1228" s="135" cm="1">
        <f ca="1" t="array" ref="Y1228">SUMPRODUCT(TRANSPOSE($AA1228:$AG1228),OFFSET($L$9:$L$15,0,Y$631-1))</f>
        <v>10</v>
      </c>
      <c r="Z1228" s="135" cm="1">
        <f ca="1" t="array" ref="Z1228">SUMPRODUCT(TRANSPOSE($AA1228:$AG1228),OFFSET($L$9:$L$15,0,Z$631-1))</f>
        <v>3.14977993533847</v>
      </c>
      <c r="AA1228" s="136">
        <f ca="1" t="shared" ref="AA1228:AG1228" si="1445">AH1228-AH1227</f>
        <v>0</v>
      </c>
      <c r="AB1228" s="136">
        <f ca="1" t="shared" si="1445"/>
        <v>0</v>
      </c>
      <c r="AC1228" s="136">
        <f ca="1" t="shared" si="1445"/>
        <v>0</v>
      </c>
      <c r="AD1228" s="136">
        <f ca="1" t="shared" si="1445"/>
        <v>0</v>
      </c>
      <c r="AE1228" s="136">
        <f ca="1" t="shared" si="1445"/>
        <v>0</v>
      </c>
      <c r="AF1228" s="136">
        <f ca="1" t="shared" si="1445"/>
        <v>0</v>
      </c>
      <c r="AG1228" s="136">
        <f ca="1" t="shared" si="1445"/>
        <v>100</v>
      </c>
      <c r="AH1228" s="136">
        <f ca="1" t="shared" si="1411"/>
        <v>450</v>
      </c>
      <c r="AI1228" s="136">
        <f ca="1" t="shared" ref="AI1228:AN1228" si="1446">IF($C1228&gt;OFFSET($Q$8,MATCH(AI$634,$AH$634:$AN$634,0),0),OFFSET($P$8,MATCH(AI$634,$AH$634:$AN$634,0),0),MAX(0,$C1228-OFFSET($Q$8,RIGHT(AI$634,1)-1,0)))</f>
        <v>909</v>
      </c>
      <c r="AJ1228" s="136">
        <f ca="1" t="shared" si="1446"/>
        <v>1818</v>
      </c>
      <c r="AK1228" s="136">
        <f ca="1" t="shared" si="1446"/>
        <v>2727</v>
      </c>
      <c r="AL1228" s="136">
        <f ca="1" t="shared" si="1446"/>
        <v>3636</v>
      </c>
      <c r="AM1228" s="136">
        <f ca="1" t="shared" si="1446"/>
        <v>4545</v>
      </c>
      <c r="AN1228" s="136">
        <f ca="1" t="shared" si="1446"/>
        <v>45315</v>
      </c>
    </row>
    <row r="1229" s="106" customFormat="1" ht="16.5" spans="2:40">
      <c r="B1229" s="117">
        <v>595</v>
      </c>
      <c r="C1229" s="130">
        <f t="shared" si="1409"/>
        <v>59500</v>
      </c>
      <c r="D1229" s="131" cm="1">
        <f ca="1" t="array" ref="D1229">IF(D1831=1,OFFSET($W$634,$B1229,D$631-1)/SUMPRODUCT(--($D$631:$V$631=D$631),--($D1831:$V1831=1)),0)+SUM(D1228)+IF(COUNTIF(D$1237:D1831,1)=1,5,0)+IF(COUNTIF(E1229:$W1229,"&gt;"&amp;0)&lt;5,IF(AND(COUNTIF(D$1237:D1831,1)&gt;7,MOD(1+IFERROR(MATCH($C1229,总览!$D$46:$D$345,1)+1,1),7)=0),$C$3,0),0)</f>
        <v>3669.6638293554</v>
      </c>
      <c r="E1229" s="131" cm="1">
        <f ca="1" t="array" ref="E1229">IF(E1831=1,OFFSET($W$634,$B1229,E$631-1)/SUMPRODUCT(--($D$631:$V$631=E$631),--($D1831:$V1831=1)),0)+SUM(E1228)+IF(COUNTIF(E$1237:E1831,1)=1,5,0)+IF(COUNTIF(F1229:$W1229,"&gt;"&amp;0)&lt;5,IF(AND(COUNTIF(E$1237:E1831,1)&gt;7,MOD(1+IFERROR(MATCH($C1229,总览!$D$46:$D$345,1)+1,1),7)=0),$C$3,0),0)</f>
        <v>3669.6638293554</v>
      </c>
      <c r="F1229" s="131" cm="1">
        <f ca="1" t="array" ref="F1229">IF(F1831=1,OFFSET($W$634,$B1229,F$631-1)/SUMPRODUCT(--($D$631:$V$631=F$631),--($D1831:$V1831=1)),0)+SUM(F1228)+IF(COUNTIF(F$1237:F1831,1)=1,5,0)+IF(COUNTIF(G1229:$W1229,"&gt;"&amp;0)&lt;5,IF(AND(COUNTIF(F$1237:F1831,1)&gt;7,MOD(1+IFERROR(MATCH($C1229,总览!$D$46:$D$345,1)+1,1),7)=0),$C$3,0),0)</f>
        <v>3669.6638293554</v>
      </c>
      <c r="G1229" s="131" cm="1">
        <f ca="1" t="array" ref="G1229">IF(G1831=1,OFFSET($W$634,$B1229,G$631-1)/SUMPRODUCT(--($D$631:$V$631=G$631),--($D1831:$V1831=1)),0)+SUM(G1228)+IF(COUNTIF(G$1237:G1831,1)=1,5,0)+IF(COUNTIF(H1229:$W1229,"&gt;"&amp;0)&lt;5,IF(AND(COUNTIF(G$1237:G1831,1)&gt;7,MOD(1+IFERROR(MATCH($C1229,总览!$D$46:$D$345,1)+1,1),7)=0),$C$3,0),0)</f>
        <v>1922.73333333332</v>
      </c>
      <c r="H1229" s="131" cm="1">
        <f ca="1" t="array" ref="H1229">IF(H1831=1,OFFSET($W$634,$B1229,H$631-1)/SUMPRODUCT(--($D$631:$V$631=H$631),--($D1831:$V1831=1)),0)+SUM(H1228)+IF(COUNTIF(H$1237:H1831,1)=1,5,0)+IF(COUNTIF(I1229:$W1229,"&gt;"&amp;0)&lt;5,IF(AND(COUNTIF(H$1237:H1831,1)&gt;7,MOD(1+IFERROR(MATCH($C1229,总览!$D$46:$D$345,1)+1,1),7)=0),$C$3,0),0)</f>
        <v>1922.73333333332</v>
      </c>
      <c r="I1229" s="131" cm="1">
        <f ca="1" t="array" ref="I1229">IF(I1831=1,OFFSET($W$634,$B1229,I$631-1)/SUMPRODUCT(--($D$631:$V$631=I$631),--($D1831:$V1831=1)),0)+SUM(I1228)+IF(COUNTIF(I$1237:I1831,1)=1,5,0)+IF(COUNTIF(J1229:$W1229,"&gt;"&amp;0)&lt;5,IF(AND(COUNTIF(I$1237:I1831,1)&gt;7,MOD(1+IFERROR(MATCH($C1229,总览!$D$46:$D$345,1)+1,1),7)=0),$C$3,0),0)</f>
        <v>1922.73333333332</v>
      </c>
      <c r="J1229" s="131" cm="1">
        <f ca="1" t="array" ref="J1229">IF(J1831=1,OFFSET($W$634,$B1229,J$631-1)/SUMPRODUCT(--($D$631:$V$631=J$631),--($D1831:$V1831=1)),0)+SUM(J1228)+IF(COUNTIF(J$1237:J1831,1)=1,5,0)+IF(COUNTIF(K1229:$W1229,"&gt;"&amp;0)&lt;5,IF(AND(COUNTIF(J$1237:J1831,1)&gt;7,MOD(1+IFERROR(MATCH($C1229,总览!$D$46:$D$345,1)+1,1),7)=0),$C$3,0),0)</f>
        <v>1919.39999999998</v>
      </c>
      <c r="K1229" s="131" cm="1">
        <f ca="1" t="array" ref="K1229">IF(K1831=1,OFFSET($W$634,$B1229,K$631-1)/SUMPRODUCT(--($D$631:$V$631=K$631),--($D1831:$V1831=1)),0)+SUM(K1228)+IF(COUNTIF(K$1237:K1831,1)=1,5,0)+IF(COUNTIF(L1229:$W1229,"&gt;"&amp;0)&lt;5,IF(AND(COUNTIF(K$1237:K1831,1)&gt;7,MOD(1+IFERROR(MATCH($C1229,总览!$D$46:$D$345,1)+1,1),7)=0),$C$3,0),0)</f>
        <v>1916.89999999998</v>
      </c>
      <c r="L1229" s="131" cm="1">
        <f ca="1" t="array" ref="L1229">IF(L1831=1,OFFSET($W$634,$B1229,L$631-1)/SUMPRODUCT(--($D$631:$V$631=L$631),--($D1831:$V1831=1)),0)+SUM(L1228)+IF(COUNTIF(L$1237:L1831,1)=1,5,0)+IF(COUNTIF(M1229:$W1229,"&gt;"&amp;0)&lt;5,IF(AND(COUNTIF(L$1237:L1831,1)&gt;7,MOD(1+IFERROR(MATCH($C1229,总览!$D$46:$D$345,1)+1,1),7)=0),$C$3,0),0)</f>
        <v>1916.89999999998</v>
      </c>
      <c r="M1229" s="131" cm="1">
        <f ca="1" t="array" ref="M1229">IF(M1831=1,OFFSET($W$634,$B1229,M$631-1)/SUMPRODUCT(--($D$631:$V$631=M$631),--($D1831:$V1831=1)),0)+SUM(M1228)+IF(COUNTIF(M$1237:M1831,1)=1,5,0)+IF(COUNTIF(N1229:$W1229,"&gt;"&amp;0)&lt;5,IF(AND(COUNTIF(M$1237:M1831,1)&gt;7,MOD(1+IFERROR(MATCH($C1229,总览!$D$46:$D$345,1)+1,1),7)=0),$C$3,0),0)</f>
        <v>807.752678571434</v>
      </c>
      <c r="N1229" s="131" cm="1">
        <f ca="1" t="array" ref="N1229">IF(N1831=1,OFFSET($W$634,$B1229,N$631-1)/SUMPRODUCT(--($D$631:$V$631=N$631),--($D1831:$V1831=1)),0)+SUM(N1228)+IF(COUNTIF(N$1237:N1831,1)=1,5,0)+IF(COUNTIF(O1229:$W1229,"&gt;"&amp;0)&lt;5,IF(AND(COUNTIF(N$1237:N1831,1)&gt;7,MOD(1+IFERROR(MATCH($C1229,总览!$D$46:$D$345,1)+1,1),7)=0),$C$3,0),0)</f>
        <v>809.002678571434</v>
      </c>
      <c r="O1229" s="131" cm="1">
        <f ca="1" t="array" ref="O1229">IF(O1831=1,OFFSET($W$634,$B1229,O$631-1)/SUMPRODUCT(--($D$631:$V$631=O$631),--($D1831:$V1831=1)),0)+SUM(O1228)+IF(COUNTIF(O$1237:O1831,1)=1,5,0)+IF(COUNTIF(P1229:$W1229,"&gt;"&amp;0)&lt;5,IF(AND(COUNTIF(O$1237:O1831,1)&gt;7,MOD(1+IFERROR(MATCH($C1229,总览!$D$46:$D$345,1)+1,1),7)=0),$C$3,0),0)</f>
        <v>814.002678571434</v>
      </c>
      <c r="P1229" s="131" cm="1">
        <f ca="1" t="array" ref="P1229">IF(P1831=1,OFFSET($W$634,$B1229,P$631-1)/SUMPRODUCT(--($D$631:$V$631=P$631),--($D1831:$V1831=1)),0)+SUM(P1228)+IF(COUNTIF(P$1237:P1831,1)=1,5,0)+IF(COUNTIF(Q1229:$W1229,"&gt;"&amp;0)&lt;5,IF(AND(COUNTIF(P$1237:P1831,1)&gt;7,MOD(1+IFERROR(MATCH($C1229,总览!$D$46:$D$345,1)+1,1),7)=0),$C$3,0),0)</f>
        <v>803.121428571434</v>
      </c>
      <c r="Q1229" s="131" cm="1">
        <f ca="1" t="array" ref="Q1229">IF(Q1831=1,OFFSET($W$634,$B1229,Q$631-1)/SUMPRODUCT(--($D$631:$V$631=Q$631),--($D1831:$V1831=1)),0)+SUM(Q1228)+IF(COUNTIF(Q$1237:Q1831,1)=1,5,0)+IF(COUNTIF(R1229:$W1229,"&gt;"&amp;0)&lt;5,IF(AND(COUNTIF(Q$1237:Q1831,1)&gt;7,MOD(1+IFERROR(MATCH($C1229,总览!$D$46:$D$345,1)+1,1),7)=0),$C$3,0),0)</f>
        <v>816.502678571434</v>
      </c>
      <c r="R1229" s="131" cm="1">
        <f ca="1" t="array" ref="R1229">IF(R1831=1,OFFSET($W$634,$B1229,R$631-1)/SUMPRODUCT(--($D$631:$V$631=R$631),--($D1831:$V1831=1)),0)+SUM(R1228)+IF(COUNTIF(R$1237:R1831,1)=1,5,0)+IF(COUNTIF(S1229:$W1229,"&gt;"&amp;0)&lt;5,IF(AND(COUNTIF(R$1237:R1831,1)&gt;7,MOD(1+IFERROR(MATCH($C1229,总览!$D$46:$D$345,1)+1,1),7)=0),$C$3,0),0)</f>
        <v>808.121428571434</v>
      </c>
      <c r="S1229" s="131" cm="1">
        <f ca="1" t="array" ref="S1229">IF(S1831=1,OFFSET($W$634,$B1229,S$631-1)/SUMPRODUCT(--($D$631:$V$631=S$631),--($D1831:$V1831=1)),0)+SUM(S1228)+IF(COUNTIF(S$1237:S1831,1)=1,5,0)+IF(COUNTIF(T1229:$W1229,"&gt;"&amp;0)&lt;5,IF(AND(COUNTIF(S$1237:S1831,1)&gt;7,MOD(1+IFERROR(MATCH($C1229,总览!$D$46:$D$345,1)+1,1),7)=0),$C$3,0),0)</f>
        <v>900.621428571435</v>
      </c>
      <c r="T1229" s="131" cm="1">
        <f ca="1" t="array" ref="T1229">IF(T1831=1,OFFSET($W$634,$B1229,T$631-1)/SUMPRODUCT(--($D$631:$V$631=T$631),--($D1831:$V1831=1)),0)+SUM(T1228)+IF(COUNTIF(T$1237:T1831,1)=1,5,0)+IF(COUNTIF(U1229:$W1229,"&gt;"&amp;0)&lt;5,IF(AND(COUNTIF(T$1237:T1831,1)&gt;7,MOD(1+IFERROR(MATCH($C1229,总览!$D$46:$D$345,1)+1,1),7)=0),$C$3,0),0)</f>
        <v>659.871646503642</v>
      </c>
      <c r="U1229" s="131" cm="1">
        <f ca="1" t="array" ref="U1229">IF(U1831=1,OFFSET($W$634,$B1229,U$631-1)/SUMPRODUCT(--($D$631:$V$631=U$631),--($D1831:$V1831=1)),0)+SUM(U1228)+IF(COUNTIF(U$1237:U1831,1)=1,5,0)+IF(COUNTIF(V1229:$W1229,"&gt;"&amp;0)&lt;5,IF(AND(COUNTIF(U$1237:U1831,1)&gt;7,MOD(1+IFERROR(MATCH($C1229,总览!$D$46:$D$345,1)+1,1),7)=0),$C$3,0),0)</f>
        <v>665.392432858941</v>
      </c>
      <c r="V1229" s="131" cm="1">
        <f ca="1" t="array" ref="V1229">IF(V1831=1,OFFSET($W$634,$B1229,V$631-1)/SUMPRODUCT(--($D$631:$V$631=V$631),--($D1831:$V1831=1)),0)+SUM(V1228)+IF(COUNTIF(V$1237:V1831,1)=1,5,0)+IF(COUNTIF(W1229:$W1229,"&gt;"&amp;0)&lt;5,IF(AND(COUNTIF(V$1237:V1831,1)&gt;7,MOD(1+IFERROR(MATCH($C1229,总览!$D$46:$D$345,1)+1,1),7)=0),$C$3,0),0)</f>
        <v>685.219432571374</v>
      </c>
      <c r="W1229" s="135" cm="1">
        <f ca="1" t="array" ref="W1229">SUMPRODUCT(TRANSPOSE($AA1229:$AG1229),OFFSET($L$9:$L$15,0,W$631-1))</f>
        <v>16.8502200646615</v>
      </c>
      <c r="X1229" s="135" cm="1">
        <f ca="1" t="array" ref="X1229">SUMPRODUCT(TRANSPOSE($AA1229:$AG1229),OFFSET($L$9:$L$15,0,X$631-1))</f>
        <v>20</v>
      </c>
      <c r="Y1229" s="135" cm="1">
        <f ca="1" t="array" ref="Y1229">SUMPRODUCT(TRANSPOSE($AA1229:$AG1229),OFFSET($L$9:$L$15,0,Y$631-1))</f>
        <v>10</v>
      </c>
      <c r="Z1229" s="135" cm="1">
        <f ca="1" t="array" ref="Z1229">SUMPRODUCT(TRANSPOSE($AA1229:$AG1229),OFFSET($L$9:$L$15,0,Z$631-1))</f>
        <v>3.14977993533847</v>
      </c>
      <c r="AA1229" s="136">
        <f ca="1" t="shared" ref="AA1229:AG1229" si="1447">AH1229-AH1228</f>
        <v>0</v>
      </c>
      <c r="AB1229" s="136">
        <f ca="1" t="shared" si="1447"/>
        <v>0</v>
      </c>
      <c r="AC1229" s="136">
        <f ca="1" t="shared" si="1447"/>
        <v>0</v>
      </c>
      <c r="AD1229" s="136">
        <f ca="1" t="shared" si="1447"/>
        <v>0</v>
      </c>
      <c r="AE1229" s="136">
        <f ca="1" t="shared" si="1447"/>
        <v>0</v>
      </c>
      <c r="AF1229" s="136">
        <f ca="1" t="shared" si="1447"/>
        <v>0</v>
      </c>
      <c r="AG1229" s="136">
        <f ca="1" t="shared" si="1447"/>
        <v>100</v>
      </c>
      <c r="AH1229" s="136">
        <f ca="1" t="shared" si="1411"/>
        <v>450</v>
      </c>
      <c r="AI1229" s="136">
        <f ca="1" t="shared" ref="AI1229:AN1229" si="1448">IF($C1229&gt;OFFSET($Q$8,MATCH(AI$634,$AH$634:$AN$634,0),0),OFFSET($P$8,MATCH(AI$634,$AH$634:$AN$634,0),0),MAX(0,$C1229-OFFSET($Q$8,RIGHT(AI$634,1)-1,0)))</f>
        <v>909</v>
      </c>
      <c r="AJ1229" s="136">
        <f ca="1" t="shared" si="1448"/>
        <v>1818</v>
      </c>
      <c r="AK1229" s="136">
        <f ca="1" t="shared" si="1448"/>
        <v>2727</v>
      </c>
      <c r="AL1229" s="136">
        <f ca="1" t="shared" si="1448"/>
        <v>3636</v>
      </c>
      <c r="AM1229" s="136">
        <f ca="1" t="shared" si="1448"/>
        <v>4545</v>
      </c>
      <c r="AN1229" s="136">
        <f ca="1" t="shared" si="1448"/>
        <v>45415</v>
      </c>
    </row>
    <row r="1230" s="106" customFormat="1" ht="16.5" spans="2:40">
      <c r="B1230" s="117">
        <v>596</v>
      </c>
      <c r="C1230" s="130">
        <f t="shared" si="1409"/>
        <v>59600</v>
      </c>
      <c r="D1230" s="131" cm="1">
        <f ca="1" t="array" ref="D1230">IF(D1832=1,OFFSET($W$634,$B1230,D$631-1)/SUMPRODUCT(--($D$631:$V$631=D$631),--($D1832:$V1832=1)),0)+SUM(D1229)+IF(COUNTIF(D$1237:D1832,1)=1,5,0)+IF(COUNTIF(E1230:$W1230,"&gt;"&amp;0)&lt;5,IF(AND(COUNTIF(D$1237:D1832,1)&gt;7,MOD(1+IFERROR(MATCH($C1230,总览!$D$46:$D$345,1)+1,1),7)=0),$C$3,0),0)</f>
        <v>3675.28056937695</v>
      </c>
      <c r="E1230" s="131" cm="1">
        <f ca="1" t="array" ref="E1230">IF(E1832=1,OFFSET($W$634,$B1230,E$631-1)/SUMPRODUCT(--($D$631:$V$631=E$631),--($D1832:$V1832=1)),0)+SUM(E1229)+IF(COUNTIF(E$1237:E1832,1)=1,5,0)+IF(COUNTIF(F1230:$W1230,"&gt;"&amp;0)&lt;5,IF(AND(COUNTIF(E$1237:E1832,1)&gt;7,MOD(1+IFERROR(MATCH($C1230,总览!$D$46:$D$345,1)+1,1),7)=0),$C$3,0),0)</f>
        <v>3675.28056937695</v>
      </c>
      <c r="F1230" s="131" cm="1">
        <f ca="1" t="array" ref="F1230">IF(F1832=1,OFFSET($W$634,$B1230,F$631-1)/SUMPRODUCT(--($D$631:$V$631=F$631),--($D1832:$V1832=1)),0)+SUM(F1229)+IF(COUNTIF(F$1237:F1832,1)=1,5,0)+IF(COUNTIF(G1230:$W1230,"&gt;"&amp;0)&lt;5,IF(AND(COUNTIF(F$1237:F1832,1)&gt;7,MOD(1+IFERROR(MATCH($C1230,总览!$D$46:$D$345,1)+1,1),7)=0),$C$3,0),0)</f>
        <v>3675.28056937695</v>
      </c>
      <c r="G1230" s="131" cm="1">
        <f ca="1" t="array" ref="G1230">IF(G1832=1,OFFSET($W$634,$B1230,G$631-1)/SUMPRODUCT(--($D$631:$V$631=G$631),--($D1832:$V1832=1)),0)+SUM(G1229)+IF(COUNTIF(G$1237:G1832,1)=1,5,0)+IF(COUNTIF(H1230:$W1230,"&gt;"&amp;0)&lt;5,IF(AND(COUNTIF(G$1237:G1832,1)&gt;7,MOD(1+IFERROR(MATCH($C1230,总览!$D$46:$D$345,1)+1,1),7)=0),$C$3,0),0)</f>
        <v>1926.06666666665</v>
      </c>
      <c r="H1230" s="131" cm="1">
        <f ca="1" t="array" ref="H1230">IF(H1832=1,OFFSET($W$634,$B1230,H$631-1)/SUMPRODUCT(--($D$631:$V$631=H$631),--($D1832:$V1832=1)),0)+SUM(H1229)+IF(COUNTIF(H$1237:H1832,1)=1,5,0)+IF(COUNTIF(I1230:$W1230,"&gt;"&amp;0)&lt;5,IF(AND(COUNTIF(H$1237:H1832,1)&gt;7,MOD(1+IFERROR(MATCH($C1230,总览!$D$46:$D$345,1)+1,1),7)=0),$C$3,0),0)</f>
        <v>1926.06666666665</v>
      </c>
      <c r="I1230" s="131" cm="1">
        <f ca="1" t="array" ref="I1230">IF(I1832=1,OFFSET($W$634,$B1230,I$631-1)/SUMPRODUCT(--($D$631:$V$631=I$631),--($D1832:$V1832=1)),0)+SUM(I1229)+IF(COUNTIF(I$1237:I1832,1)=1,5,0)+IF(COUNTIF(J1230:$W1230,"&gt;"&amp;0)&lt;5,IF(AND(COUNTIF(I$1237:I1832,1)&gt;7,MOD(1+IFERROR(MATCH($C1230,总览!$D$46:$D$345,1)+1,1),7)=0),$C$3,0),0)</f>
        <v>1926.06666666665</v>
      </c>
      <c r="J1230" s="131" cm="1">
        <f ca="1" t="array" ref="J1230">IF(J1832=1,OFFSET($W$634,$B1230,J$631-1)/SUMPRODUCT(--($D$631:$V$631=J$631),--($D1832:$V1832=1)),0)+SUM(J1229)+IF(COUNTIF(J$1237:J1832,1)=1,5,0)+IF(COUNTIF(K1230:$W1230,"&gt;"&amp;0)&lt;5,IF(AND(COUNTIF(J$1237:J1832,1)&gt;7,MOD(1+IFERROR(MATCH($C1230,总览!$D$46:$D$345,1)+1,1),7)=0),$C$3,0),0)</f>
        <v>1922.73333333332</v>
      </c>
      <c r="K1230" s="131" cm="1">
        <f ca="1" t="array" ref="K1230">IF(K1832=1,OFFSET($W$634,$B1230,K$631-1)/SUMPRODUCT(--($D$631:$V$631=K$631),--($D1832:$V1832=1)),0)+SUM(K1229)+IF(COUNTIF(K$1237:K1832,1)=1,5,0)+IF(COUNTIF(L1230:$W1230,"&gt;"&amp;0)&lt;5,IF(AND(COUNTIF(K$1237:K1832,1)&gt;7,MOD(1+IFERROR(MATCH($C1230,总览!$D$46:$D$345,1)+1,1),7)=0),$C$3,0),0)</f>
        <v>1920.23333333332</v>
      </c>
      <c r="L1230" s="131" cm="1">
        <f ca="1" t="array" ref="L1230">IF(L1832=1,OFFSET($W$634,$B1230,L$631-1)/SUMPRODUCT(--($D$631:$V$631=L$631),--($D1832:$V1832=1)),0)+SUM(L1229)+IF(COUNTIF(L$1237:L1832,1)=1,5,0)+IF(COUNTIF(M1230:$W1230,"&gt;"&amp;0)&lt;5,IF(AND(COUNTIF(L$1237:L1832,1)&gt;7,MOD(1+IFERROR(MATCH($C1230,总览!$D$46:$D$345,1)+1,1),7)=0),$C$3,0),0)</f>
        <v>1920.23333333332</v>
      </c>
      <c r="M1230" s="131" cm="1">
        <f ca="1" t="array" ref="M1230">IF(M1832=1,OFFSET($W$634,$B1230,M$631-1)/SUMPRODUCT(--($D$631:$V$631=M$631),--($D1832:$V1832=1)),0)+SUM(M1229)+IF(COUNTIF(M$1237:M1832,1)=1,5,0)+IF(COUNTIF(N1230:$W1230,"&gt;"&amp;0)&lt;5,IF(AND(COUNTIF(M$1237:M1832,1)&gt;7,MOD(1+IFERROR(MATCH($C1230,总览!$D$46:$D$345,1)+1,1),7)=0),$C$3,0),0)</f>
        <v>809.181250000005</v>
      </c>
      <c r="N1230" s="131" cm="1">
        <f ca="1" t="array" ref="N1230">IF(N1832=1,OFFSET($W$634,$B1230,N$631-1)/SUMPRODUCT(--($D$631:$V$631=N$631),--($D1832:$V1832=1)),0)+SUM(N1229)+IF(COUNTIF(N$1237:N1832,1)=1,5,0)+IF(COUNTIF(O1230:$W1230,"&gt;"&amp;0)&lt;5,IF(AND(COUNTIF(N$1237:N1832,1)&gt;7,MOD(1+IFERROR(MATCH($C1230,总览!$D$46:$D$345,1)+1,1),7)=0),$C$3,0),0)</f>
        <v>810.431250000005</v>
      </c>
      <c r="O1230" s="131" cm="1">
        <f ca="1" t="array" ref="O1230">IF(O1832=1,OFFSET($W$634,$B1230,O$631-1)/SUMPRODUCT(--($D$631:$V$631=O$631),--($D1832:$V1832=1)),0)+SUM(O1229)+IF(COUNTIF(O$1237:O1832,1)=1,5,0)+IF(COUNTIF(P1230:$W1230,"&gt;"&amp;0)&lt;5,IF(AND(COUNTIF(O$1237:O1832,1)&gt;7,MOD(1+IFERROR(MATCH($C1230,总览!$D$46:$D$345,1)+1,1),7)=0),$C$3,0),0)</f>
        <v>815.431250000005</v>
      </c>
      <c r="P1230" s="131" cm="1">
        <f ca="1" t="array" ref="P1230">IF(P1832=1,OFFSET($W$634,$B1230,P$631-1)/SUMPRODUCT(--($D$631:$V$631=P$631),--($D1832:$V1832=1)),0)+SUM(P1229)+IF(COUNTIF(P$1237:P1832,1)=1,5,0)+IF(COUNTIF(Q1230:$W1230,"&gt;"&amp;0)&lt;5,IF(AND(COUNTIF(P$1237:P1832,1)&gt;7,MOD(1+IFERROR(MATCH($C1230,总览!$D$46:$D$345,1)+1,1),7)=0),$C$3,0),0)</f>
        <v>804.550000000005</v>
      </c>
      <c r="Q1230" s="131" cm="1">
        <f ca="1" t="array" ref="Q1230">IF(Q1832=1,OFFSET($W$634,$B1230,Q$631-1)/SUMPRODUCT(--($D$631:$V$631=Q$631),--($D1832:$V1832=1)),0)+SUM(Q1229)+IF(COUNTIF(Q$1237:Q1832,1)=1,5,0)+IF(COUNTIF(R1230:$W1230,"&gt;"&amp;0)&lt;5,IF(AND(COUNTIF(Q$1237:Q1832,1)&gt;7,MOD(1+IFERROR(MATCH($C1230,总览!$D$46:$D$345,1)+1,1),7)=0),$C$3,0),0)</f>
        <v>817.931250000005</v>
      </c>
      <c r="R1230" s="131" cm="1">
        <f ca="1" t="array" ref="R1230">IF(R1832=1,OFFSET($W$634,$B1230,R$631-1)/SUMPRODUCT(--($D$631:$V$631=R$631),--($D1832:$V1832=1)),0)+SUM(R1229)+IF(COUNTIF(R$1237:R1832,1)=1,5,0)+IF(COUNTIF(S1230:$W1230,"&gt;"&amp;0)&lt;5,IF(AND(COUNTIF(R$1237:R1832,1)&gt;7,MOD(1+IFERROR(MATCH($C1230,总览!$D$46:$D$345,1)+1,1),7)=0),$C$3,0),0)</f>
        <v>809.550000000005</v>
      </c>
      <c r="S1230" s="131" cm="1">
        <f ca="1" t="array" ref="S1230">IF(S1832=1,OFFSET($W$634,$B1230,S$631-1)/SUMPRODUCT(--($D$631:$V$631=S$631),--($D1832:$V1832=1)),0)+SUM(S1229)+IF(COUNTIF(S$1237:S1832,1)=1,5,0)+IF(COUNTIF(T1230:$W1230,"&gt;"&amp;0)&lt;5,IF(AND(COUNTIF(S$1237:S1832,1)&gt;7,MOD(1+IFERROR(MATCH($C1230,总览!$D$46:$D$345,1)+1,1),7)=0),$C$3,0),0)</f>
        <v>902.050000000006</v>
      </c>
      <c r="T1230" s="131" cm="1">
        <f ca="1" t="array" ref="T1230">IF(T1832=1,OFFSET($W$634,$B1230,T$631-1)/SUMPRODUCT(--($D$631:$V$631=T$631),--($D1832:$V1832=1)),0)+SUM(T1229)+IF(COUNTIF(T$1237:T1832,1)=1,5,0)+IF(COUNTIF(U1230:$W1230,"&gt;"&amp;0)&lt;5,IF(AND(COUNTIF(T$1237:T1832,1)&gt;7,MOD(1+IFERROR(MATCH($C1230,总览!$D$46:$D$345,1)+1,1),7)=0),$C$3,0),0)</f>
        <v>660.921573148755</v>
      </c>
      <c r="U1230" s="131" cm="1">
        <f ca="1" t="array" ref="U1230">IF(U1832=1,OFFSET($W$634,$B1230,U$631-1)/SUMPRODUCT(--($D$631:$V$631=U$631),--($D1832:$V1832=1)),0)+SUM(U1229)+IF(COUNTIF(U$1237:U1832,1)=1,5,0)+IF(COUNTIF(V1230:$W1230,"&gt;"&amp;0)&lt;5,IF(AND(COUNTIF(U$1237:U1832,1)&gt;7,MOD(1+IFERROR(MATCH($C1230,总览!$D$46:$D$345,1)+1,1),7)=0),$C$3,0),0)</f>
        <v>666.442359504054</v>
      </c>
      <c r="V1230" s="131" cm="1">
        <f ca="1" t="array" ref="V1230">IF(V1832=1,OFFSET($W$634,$B1230,V$631-1)/SUMPRODUCT(--($D$631:$V$631=V$631),--($D1832:$V1832=1)),0)+SUM(V1229)+IF(COUNTIF(V$1237:V1832,1)=1,5,0)+IF(COUNTIF(W1230:$W1230,"&gt;"&amp;0)&lt;5,IF(AND(COUNTIF(V$1237:V1832,1)&gt;7,MOD(1+IFERROR(MATCH($C1230,总览!$D$46:$D$345,1)+1,1),7)=0),$C$3,0),0)</f>
        <v>686.269359216487</v>
      </c>
      <c r="W1230" s="135" cm="1">
        <f ca="1" t="array" ref="W1230">SUMPRODUCT(TRANSPOSE($AA1230:$AG1230),OFFSET($L$9:$L$15,0,W$631-1))</f>
        <v>16.8502200646615</v>
      </c>
      <c r="X1230" s="135" cm="1">
        <f ca="1" t="array" ref="X1230">SUMPRODUCT(TRANSPOSE($AA1230:$AG1230),OFFSET($L$9:$L$15,0,X$631-1))</f>
        <v>20</v>
      </c>
      <c r="Y1230" s="135" cm="1">
        <f ca="1" t="array" ref="Y1230">SUMPRODUCT(TRANSPOSE($AA1230:$AG1230),OFFSET($L$9:$L$15,0,Y$631-1))</f>
        <v>10</v>
      </c>
      <c r="Z1230" s="135" cm="1">
        <f ca="1" t="array" ref="Z1230">SUMPRODUCT(TRANSPOSE($AA1230:$AG1230),OFFSET($L$9:$L$15,0,Z$631-1))</f>
        <v>3.14977993533847</v>
      </c>
      <c r="AA1230" s="136">
        <f ca="1" t="shared" ref="AA1230:AG1230" si="1449">AH1230-AH1229</f>
        <v>0</v>
      </c>
      <c r="AB1230" s="136">
        <f ca="1" t="shared" si="1449"/>
        <v>0</v>
      </c>
      <c r="AC1230" s="136">
        <f ca="1" t="shared" si="1449"/>
        <v>0</v>
      </c>
      <c r="AD1230" s="136">
        <f ca="1" t="shared" si="1449"/>
        <v>0</v>
      </c>
      <c r="AE1230" s="136">
        <f ca="1" t="shared" si="1449"/>
        <v>0</v>
      </c>
      <c r="AF1230" s="136">
        <f ca="1" t="shared" si="1449"/>
        <v>0</v>
      </c>
      <c r="AG1230" s="136">
        <f ca="1" t="shared" si="1449"/>
        <v>100</v>
      </c>
      <c r="AH1230" s="136">
        <f ca="1" t="shared" si="1411"/>
        <v>450</v>
      </c>
      <c r="AI1230" s="136">
        <f ca="1" t="shared" ref="AI1230:AN1230" si="1450">IF($C1230&gt;OFFSET($Q$8,MATCH(AI$634,$AH$634:$AN$634,0),0),OFFSET($P$8,MATCH(AI$634,$AH$634:$AN$634,0),0),MAX(0,$C1230-OFFSET($Q$8,RIGHT(AI$634,1)-1,0)))</f>
        <v>909</v>
      </c>
      <c r="AJ1230" s="136">
        <f ca="1" t="shared" si="1450"/>
        <v>1818</v>
      </c>
      <c r="AK1230" s="136">
        <f ca="1" t="shared" si="1450"/>
        <v>2727</v>
      </c>
      <c r="AL1230" s="136">
        <f ca="1" t="shared" si="1450"/>
        <v>3636</v>
      </c>
      <c r="AM1230" s="136">
        <f ca="1" t="shared" si="1450"/>
        <v>4545</v>
      </c>
      <c r="AN1230" s="136">
        <f ca="1" t="shared" si="1450"/>
        <v>45515</v>
      </c>
    </row>
    <row r="1231" s="106" customFormat="1" ht="16.5" spans="2:40">
      <c r="B1231" s="117">
        <v>597</v>
      </c>
      <c r="C1231" s="130">
        <f t="shared" si="1409"/>
        <v>59700</v>
      </c>
      <c r="D1231" s="131" cm="1">
        <f ca="1" t="array" ref="D1231">IF(D1833=1,OFFSET($W$634,$B1231,D$631-1)/SUMPRODUCT(--($D$631:$V$631=D$631),--($D1833:$V1833=1)),0)+SUM(D1230)+IF(COUNTIF(D$1237:D1833,1)=1,5,0)+IF(COUNTIF(E1231:$W1231,"&gt;"&amp;0)&lt;5,IF(AND(COUNTIF(D$1237:D1833,1)&gt;7,MOD(1+IFERROR(MATCH($C1231,总览!$D$46:$D$345,1)+1,1),7)=0),$C$3,0),0)</f>
        <v>3680.89730939851</v>
      </c>
      <c r="E1231" s="131" cm="1">
        <f ca="1" t="array" ref="E1231">IF(E1833=1,OFFSET($W$634,$B1231,E$631-1)/SUMPRODUCT(--($D$631:$V$631=E$631),--($D1833:$V1833=1)),0)+SUM(E1230)+IF(COUNTIF(E$1237:E1833,1)=1,5,0)+IF(COUNTIF(F1231:$W1231,"&gt;"&amp;0)&lt;5,IF(AND(COUNTIF(E$1237:E1833,1)&gt;7,MOD(1+IFERROR(MATCH($C1231,总览!$D$46:$D$345,1)+1,1),7)=0),$C$3,0),0)</f>
        <v>3680.89730939851</v>
      </c>
      <c r="F1231" s="131" cm="1">
        <f ca="1" t="array" ref="F1231">IF(F1833=1,OFFSET($W$634,$B1231,F$631-1)/SUMPRODUCT(--($D$631:$V$631=F$631),--($D1833:$V1833=1)),0)+SUM(F1230)+IF(COUNTIF(F$1237:F1833,1)=1,5,0)+IF(COUNTIF(G1231:$W1231,"&gt;"&amp;0)&lt;5,IF(AND(COUNTIF(F$1237:F1833,1)&gt;7,MOD(1+IFERROR(MATCH($C1231,总览!$D$46:$D$345,1)+1,1),7)=0),$C$3,0),0)</f>
        <v>3680.89730939851</v>
      </c>
      <c r="G1231" s="131" cm="1">
        <f ca="1" t="array" ref="G1231">IF(G1833=1,OFFSET($W$634,$B1231,G$631-1)/SUMPRODUCT(--($D$631:$V$631=G$631),--($D1833:$V1833=1)),0)+SUM(G1230)+IF(COUNTIF(G$1237:G1833,1)=1,5,0)+IF(COUNTIF(H1231:$W1231,"&gt;"&amp;0)&lt;5,IF(AND(COUNTIF(G$1237:G1833,1)&gt;7,MOD(1+IFERROR(MATCH($C1231,总览!$D$46:$D$345,1)+1,1),7)=0),$C$3,0),0)</f>
        <v>1929.39999999998</v>
      </c>
      <c r="H1231" s="131" cm="1">
        <f ca="1" t="array" ref="H1231">IF(H1833=1,OFFSET($W$634,$B1231,H$631-1)/SUMPRODUCT(--($D$631:$V$631=H$631),--($D1833:$V1833=1)),0)+SUM(H1230)+IF(COUNTIF(H$1237:H1833,1)=1,5,0)+IF(COUNTIF(I1231:$W1231,"&gt;"&amp;0)&lt;5,IF(AND(COUNTIF(H$1237:H1833,1)&gt;7,MOD(1+IFERROR(MATCH($C1231,总览!$D$46:$D$345,1)+1,1),7)=0),$C$3,0),0)</f>
        <v>1929.39999999998</v>
      </c>
      <c r="I1231" s="131" cm="1">
        <f ca="1" t="array" ref="I1231">IF(I1833=1,OFFSET($W$634,$B1231,I$631-1)/SUMPRODUCT(--($D$631:$V$631=I$631),--($D1833:$V1833=1)),0)+SUM(I1230)+IF(COUNTIF(I$1237:I1833,1)=1,5,0)+IF(COUNTIF(J1231:$W1231,"&gt;"&amp;0)&lt;5,IF(AND(COUNTIF(I$1237:I1833,1)&gt;7,MOD(1+IFERROR(MATCH($C1231,总览!$D$46:$D$345,1)+1,1),7)=0),$C$3,0),0)</f>
        <v>1929.39999999998</v>
      </c>
      <c r="J1231" s="131" cm="1">
        <f ca="1" t="array" ref="J1231">IF(J1833=1,OFFSET($W$634,$B1231,J$631-1)/SUMPRODUCT(--($D$631:$V$631=J$631),--($D1833:$V1833=1)),0)+SUM(J1230)+IF(COUNTIF(J$1237:J1833,1)=1,5,0)+IF(COUNTIF(K1231:$W1231,"&gt;"&amp;0)&lt;5,IF(AND(COUNTIF(J$1237:J1833,1)&gt;7,MOD(1+IFERROR(MATCH($C1231,总览!$D$46:$D$345,1)+1,1),7)=0),$C$3,0),0)</f>
        <v>1926.06666666665</v>
      </c>
      <c r="K1231" s="131" cm="1">
        <f ca="1" t="array" ref="K1231">IF(K1833=1,OFFSET($W$634,$B1231,K$631-1)/SUMPRODUCT(--($D$631:$V$631=K$631),--($D1833:$V1833=1)),0)+SUM(K1230)+IF(COUNTIF(K$1237:K1833,1)=1,5,0)+IF(COUNTIF(L1231:$W1231,"&gt;"&amp;0)&lt;5,IF(AND(COUNTIF(K$1237:K1833,1)&gt;7,MOD(1+IFERROR(MATCH($C1231,总览!$D$46:$D$345,1)+1,1),7)=0),$C$3,0),0)</f>
        <v>1923.56666666665</v>
      </c>
      <c r="L1231" s="131" cm="1">
        <f ca="1" t="array" ref="L1231">IF(L1833=1,OFFSET($W$634,$B1231,L$631-1)/SUMPRODUCT(--($D$631:$V$631=L$631),--($D1833:$V1833=1)),0)+SUM(L1230)+IF(COUNTIF(L$1237:L1833,1)=1,5,0)+IF(COUNTIF(M1231:$W1231,"&gt;"&amp;0)&lt;5,IF(AND(COUNTIF(L$1237:L1833,1)&gt;7,MOD(1+IFERROR(MATCH($C1231,总览!$D$46:$D$345,1)+1,1),7)=0),$C$3,0),0)</f>
        <v>1923.56666666665</v>
      </c>
      <c r="M1231" s="131" cm="1">
        <f ca="1" t="array" ref="M1231">IF(M1833=1,OFFSET($W$634,$B1231,M$631-1)/SUMPRODUCT(--($D$631:$V$631=M$631),--($D1833:$V1833=1)),0)+SUM(M1230)+IF(COUNTIF(M$1237:M1833,1)=1,5,0)+IF(COUNTIF(N1231:$W1231,"&gt;"&amp;0)&lt;5,IF(AND(COUNTIF(M$1237:M1833,1)&gt;7,MOD(1+IFERROR(MATCH($C1231,总览!$D$46:$D$345,1)+1,1),7)=0),$C$3,0),0)</f>
        <v>810.609821428577</v>
      </c>
      <c r="N1231" s="131" cm="1">
        <f ca="1" t="array" ref="N1231">IF(N1833=1,OFFSET($W$634,$B1231,N$631-1)/SUMPRODUCT(--($D$631:$V$631=N$631),--($D1833:$V1833=1)),0)+SUM(N1230)+IF(COUNTIF(N$1237:N1833,1)=1,5,0)+IF(COUNTIF(O1231:$W1231,"&gt;"&amp;0)&lt;5,IF(AND(COUNTIF(N$1237:N1833,1)&gt;7,MOD(1+IFERROR(MATCH($C1231,总览!$D$46:$D$345,1)+1,1),7)=0),$C$3,0),0)</f>
        <v>811.859821428577</v>
      </c>
      <c r="O1231" s="131" cm="1">
        <f ca="1" t="array" ref="O1231">IF(O1833=1,OFFSET($W$634,$B1231,O$631-1)/SUMPRODUCT(--($D$631:$V$631=O$631),--($D1833:$V1833=1)),0)+SUM(O1230)+IF(COUNTIF(O$1237:O1833,1)=1,5,0)+IF(COUNTIF(P1231:$W1231,"&gt;"&amp;0)&lt;5,IF(AND(COUNTIF(O$1237:O1833,1)&gt;7,MOD(1+IFERROR(MATCH($C1231,总览!$D$46:$D$345,1)+1,1),7)=0),$C$3,0),0)</f>
        <v>816.859821428577</v>
      </c>
      <c r="P1231" s="131" cm="1">
        <f ca="1" t="array" ref="P1231">IF(P1833=1,OFFSET($W$634,$B1231,P$631-1)/SUMPRODUCT(--($D$631:$V$631=P$631),--($D1833:$V1833=1)),0)+SUM(P1230)+IF(COUNTIF(P$1237:P1833,1)=1,5,0)+IF(COUNTIF(Q1231:$W1231,"&gt;"&amp;0)&lt;5,IF(AND(COUNTIF(P$1237:P1833,1)&gt;7,MOD(1+IFERROR(MATCH($C1231,总览!$D$46:$D$345,1)+1,1),7)=0),$C$3,0),0)</f>
        <v>805.978571428577</v>
      </c>
      <c r="Q1231" s="131" cm="1">
        <f ca="1" t="array" ref="Q1231">IF(Q1833=1,OFFSET($W$634,$B1231,Q$631-1)/SUMPRODUCT(--($D$631:$V$631=Q$631),--($D1833:$V1833=1)),0)+SUM(Q1230)+IF(COUNTIF(Q$1237:Q1833,1)=1,5,0)+IF(COUNTIF(R1231:$W1231,"&gt;"&amp;0)&lt;5,IF(AND(COUNTIF(Q$1237:Q1833,1)&gt;7,MOD(1+IFERROR(MATCH($C1231,总览!$D$46:$D$345,1)+1,1),7)=0),$C$3,0),0)</f>
        <v>819.359821428577</v>
      </c>
      <c r="R1231" s="131" cm="1">
        <f ca="1" t="array" ref="R1231">IF(R1833=1,OFFSET($W$634,$B1231,R$631-1)/SUMPRODUCT(--($D$631:$V$631=R$631),--($D1833:$V1833=1)),0)+SUM(R1230)+IF(COUNTIF(R$1237:R1833,1)=1,5,0)+IF(COUNTIF(S1231:$W1231,"&gt;"&amp;0)&lt;5,IF(AND(COUNTIF(R$1237:R1833,1)&gt;7,MOD(1+IFERROR(MATCH($C1231,总览!$D$46:$D$345,1)+1,1),7)=0),$C$3,0),0)</f>
        <v>810.978571428577</v>
      </c>
      <c r="S1231" s="131" cm="1">
        <f ca="1" t="array" ref="S1231">IF(S1833=1,OFFSET($W$634,$B1231,S$631-1)/SUMPRODUCT(--($D$631:$V$631=S$631),--($D1833:$V1833=1)),0)+SUM(S1230)+IF(COUNTIF(S$1237:S1833,1)=1,5,0)+IF(COUNTIF(T1231:$W1231,"&gt;"&amp;0)&lt;5,IF(AND(COUNTIF(S$1237:S1833,1)&gt;7,MOD(1+IFERROR(MATCH($C1231,总览!$D$46:$D$345,1)+1,1),7)=0),$C$3,0),0)</f>
        <v>903.478571428578</v>
      </c>
      <c r="T1231" s="131" cm="1">
        <f ca="1" t="array" ref="T1231">IF(T1833=1,OFFSET($W$634,$B1231,T$631-1)/SUMPRODUCT(--($D$631:$V$631=T$631),--($D1833:$V1833=1)),0)+SUM(T1230)+IF(COUNTIF(T$1237:T1833,1)=1,5,0)+IF(COUNTIF(U1231:$W1231,"&gt;"&amp;0)&lt;5,IF(AND(COUNTIF(T$1237:T1833,1)&gt;7,MOD(1+IFERROR(MATCH($C1231,总览!$D$46:$D$345,1)+1,1),7)=0),$C$3,0),0)</f>
        <v>661.971499793868</v>
      </c>
      <c r="U1231" s="131" cm="1">
        <f ca="1" t="array" ref="U1231">IF(U1833=1,OFFSET($W$634,$B1231,U$631-1)/SUMPRODUCT(--($D$631:$V$631=U$631),--($D1833:$V1833=1)),0)+SUM(U1230)+IF(COUNTIF(U$1237:U1833,1)=1,5,0)+IF(COUNTIF(V1231:$W1231,"&gt;"&amp;0)&lt;5,IF(AND(COUNTIF(U$1237:U1833,1)&gt;7,MOD(1+IFERROR(MATCH($C1231,总览!$D$46:$D$345,1)+1,1),7)=0),$C$3,0),0)</f>
        <v>667.492286149167</v>
      </c>
      <c r="V1231" s="131" cm="1">
        <f ca="1" t="array" ref="V1231">IF(V1833=1,OFFSET($W$634,$B1231,V$631-1)/SUMPRODUCT(--($D$631:$V$631=V$631),--($D1833:$V1833=1)),0)+SUM(V1230)+IF(COUNTIF(V$1237:V1833,1)=1,5,0)+IF(COUNTIF(W1231:$W1231,"&gt;"&amp;0)&lt;5,IF(AND(COUNTIF(V$1237:V1833,1)&gt;7,MOD(1+IFERROR(MATCH($C1231,总览!$D$46:$D$345,1)+1,1),7)=0),$C$3,0),0)</f>
        <v>687.3192858616</v>
      </c>
      <c r="W1231" s="135" cm="1">
        <f ca="1" t="array" ref="W1231">SUMPRODUCT(TRANSPOSE($AA1231:$AG1231),OFFSET($L$9:$L$15,0,W$631-1))</f>
        <v>16.8502200646615</v>
      </c>
      <c r="X1231" s="135" cm="1">
        <f ca="1" t="array" ref="X1231">SUMPRODUCT(TRANSPOSE($AA1231:$AG1231),OFFSET($L$9:$L$15,0,X$631-1))</f>
        <v>20</v>
      </c>
      <c r="Y1231" s="135" cm="1">
        <f ca="1" t="array" ref="Y1231">SUMPRODUCT(TRANSPOSE($AA1231:$AG1231),OFFSET($L$9:$L$15,0,Y$631-1))</f>
        <v>10</v>
      </c>
      <c r="Z1231" s="135" cm="1">
        <f ca="1" t="array" ref="Z1231">SUMPRODUCT(TRANSPOSE($AA1231:$AG1231),OFFSET($L$9:$L$15,0,Z$631-1))</f>
        <v>3.14977993533847</v>
      </c>
      <c r="AA1231" s="136">
        <f ca="1" t="shared" ref="AA1231:AG1231" si="1451">AH1231-AH1230</f>
        <v>0</v>
      </c>
      <c r="AB1231" s="136">
        <f ca="1" t="shared" si="1451"/>
        <v>0</v>
      </c>
      <c r="AC1231" s="136">
        <f ca="1" t="shared" si="1451"/>
        <v>0</v>
      </c>
      <c r="AD1231" s="136">
        <f ca="1" t="shared" si="1451"/>
        <v>0</v>
      </c>
      <c r="AE1231" s="136">
        <f ca="1" t="shared" si="1451"/>
        <v>0</v>
      </c>
      <c r="AF1231" s="136">
        <f ca="1" t="shared" si="1451"/>
        <v>0</v>
      </c>
      <c r="AG1231" s="136">
        <f ca="1" t="shared" si="1451"/>
        <v>100</v>
      </c>
      <c r="AH1231" s="136">
        <f ca="1" t="shared" si="1411"/>
        <v>450</v>
      </c>
      <c r="AI1231" s="136">
        <f ca="1" t="shared" ref="AI1231:AN1231" si="1452">IF($C1231&gt;OFFSET($Q$8,MATCH(AI$634,$AH$634:$AN$634,0),0),OFFSET($P$8,MATCH(AI$634,$AH$634:$AN$634,0),0),MAX(0,$C1231-OFFSET($Q$8,RIGHT(AI$634,1)-1,0)))</f>
        <v>909</v>
      </c>
      <c r="AJ1231" s="136">
        <f ca="1" t="shared" si="1452"/>
        <v>1818</v>
      </c>
      <c r="AK1231" s="136">
        <f ca="1" t="shared" si="1452"/>
        <v>2727</v>
      </c>
      <c r="AL1231" s="136">
        <f ca="1" t="shared" si="1452"/>
        <v>3636</v>
      </c>
      <c r="AM1231" s="136">
        <f ca="1" t="shared" si="1452"/>
        <v>4545</v>
      </c>
      <c r="AN1231" s="136">
        <f ca="1" t="shared" si="1452"/>
        <v>45615</v>
      </c>
    </row>
    <row r="1232" s="106" customFormat="1" ht="16.5" spans="2:40">
      <c r="B1232" s="117">
        <v>598</v>
      </c>
      <c r="C1232" s="130">
        <f t="shared" si="1409"/>
        <v>59800</v>
      </c>
      <c r="D1232" s="131" cm="1">
        <f ca="1" t="array" ref="D1232">IF(D1834=1,OFFSET($W$634,$B1232,D$631-1)/SUMPRODUCT(--($D$631:$V$631=D$631),--($D1834:$V1834=1)),0)+SUM(D1231)+IF(COUNTIF(D$1237:D1834,1)=1,5,0)+IF(COUNTIF(E1232:$W1232,"&gt;"&amp;0)&lt;5,IF(AND(COUNTIF(D$1237:D1834,1)&gt;7,MOD(1+IFERROR(MATCH($C1232,总览!$D$46:$D$345,1)+1,1),7)=0),$C$3,0),0)</f>
        <v>3686.51404942006</v>
      </c>
      <c r="E1232" s="131" cm="1">
        <f ca="1" t="array" ref="E1232">IF(E1834=1,OFFSET($W$634,$B1232,E$631-1)/SUMPRODUCT(--($D$631:$V$631=E$631),--($D1834:$V1834=1)),0)+SUM(E1231)+IF(COUNTIF(E$1237:E1834,1)=1,5,0)+IF(COUNTIF(F1232:$W1232,"&gt;"&amp;0)&lt;5,IF(AND(COUNTIF(E$1237:E1834,1)&gt;7,MOD(1+IFERROR(MATCH($C1232,总览!$D$46:$D$345,1)+1,1),7)=0),$C$3,0),0)</f>
        <v>3686.51404942006</v>
      </c>
      <c r="F1232" s="131" cm="1">
        <f ca="1" t="array" ref="F1232">IF(F1834=1,OFFSET($W$634,$B1232,F$631-1)/SUMPRODUCT(--($D$631:$V$631=F$631),--($D1834:$V1834=1)),0)+SUM(F1231)+IF(COUNTIF(F$1237:F1834,1)=1,5,0)+IF(COUNTIF(G1232:$W1232,"&gt;"&amp;0)&lt;5,IF(AND(COUNTIF(F$1237:F1834,1)&gt;7,MOD(1+IFERROR(MATCH($C1232,总览!$D$46:$D$345,1)+1,1),7)=0),$C$3,0),0)</f>
        <v>3686.51404942006</v>
      </c>
      <c r="G1232" s="131" cm="1">
        <f ca="1" t="array" ref="G1232">IF(G1834=1,OFFSET($W$634,$B1232,G$631-1)/SUMPRODUCT(--($D$631:$V$631=G$631),--($D1834:$V1834=1)),0)+SUM(G1231)+IF(COUNTIF(G$1237:G1834,1)=1,5,0)+IF(COUNTIF(H1232:$W1232,"&gt;"&amp;0)&lt;5,IF(AND(COUNTIF(G$1237:G1834,1)&gt;7,MOD(1+IFERROR(MATCH($C1232,总览!$D$46:$D$345,1)+1,1),7)=0),$C$3,0),0)</f>
        <v>1932.73333333332</v>
      </c>
      <c r="H1232" s="131" cm="1">
        <f ca="1" t="array" ref="H1232">IF(H1834=1,OFFSET($W$634,$B1232,H$631-1)/SUMPRODUCT(--($D$631:$V$631=H$631),--($D1834:$V1834=1)),0)+SUM(H1231)+IF(COUNTIF(H$1237:H1834,1)=1,5,0)+IF(COUNTIF(I1232:$W1232,"&gt;"&amp;0)&lt;5,IF(AND(COUNTIF(H$1237:H1834,1)&gt;7,MOD(1+IFERROR(MATCH($C1232,总览!$D$46:$D$345,1)+1,1),7)=0),$C$3,0),0)</f>
        <v>1932.73333333332</v>
      </c>
      <c r="I1232" s="131" cm="1">
        <f ca="1" t="array" ref="I1232">IF(I1834=1,OFFSET($W$634,$B1232,I$631-1)/SUMPRODUCT(--($D$631:$V$631=I$631),--($D1834:$V1834=1)),0)+SUM(I1231)+IF(COUNTIF(I$1237:I1834,1)=1,5,0)+IF(COUNTIF(J1232:$W1232,"&gt;"&amp;0)&lt;5,IF(AND(COUNTIF(I$1237:I1834,1)&gt;7,MOD(1+IFERROR(MATCH($C1232,总览!$D$46:$D$345,1)+1,1),7)=0),$C$3,0),0)</f>
        <v>1932.73333333332</v>
      </c>
      <c r="J1232" s="131" cm="1">
        <f ca="1" t="array" ref="J1232">IF(J1834=1,OFFSET($W$634,$B1232,J$631-1)/SUMPRODUCT(--($D$631:$V$631=J$631),--($D1834:$V1834=1)),0)+SUM(J1231)+IF(COUNTIF(J$1237:J1834,1)=1,5,0)+IF(COUNTIF(K1232:$W1232,"&gt;"&amp;0)&lt;5,IF(AND(COUNTIF(J$1237:J1834,1)&gt;7,MOD(1+IFERROR(MATCH($C1232,总览!$D$46:$D$345,1)+1,1),7)=0),$C$3,0),0)</f>
        <v>1929.39999999998</v>
      </c>
      <c r="K1232" s="131" cm="1">
        <f ca="1" t="array" ref="K1232">IF(K1834=1,OFFSET($W$634,$B1232,K$631-1)/SUMPRODUCT(--($D$631:$V$631=K$631),--($D1834:$V1834=1)),0)+SUM(K1231)+IF(COUNTIF(K$1237:K1834,1)=1,5,0)+IF(COUNTIF(L1232:$W1232,"&gt;"&amp;0)&lt;5,IF(AND(COUNTIF(K$1237:K1834,1)&gt;7,MOD(1+IFERROR(MATCH($C1232,总览!$D$46:$D$345,1)+1,1),7)=0),$C$3,0),0)</f>
        <v>1926.89999999998</v>
      </c>
      <c r="L1232" s="131" cm="1">
        <f ca="1" t="array" ref="L1232">IF(L1834=1,OFFSET($W$634,$B1232,L$631-1)/SUMPRODUCT(--($D$631:$V$631=L$631),--($D1834:$V1834=1)),0)+SUM(L1231)+IF(COUNTIF(L$1237:L1834,1)=1,5,0)+IF(COUNTIF(M1232:$W1232,"&gt;"&amp;0)&lt;5,IF(AND(COUNTIF(L$1237:L1834,1)&gt;7,MOD(1+IFERROR(MATCH($C1232,总览!$D$46:$D$345,1)+1,1),7)=0),$C$3,0),0)</f>
        <v>1926.89999999998</v>
      </c>
      <c r="M1232" s="131" cm="1">
        <f ca="1" t="array" ref="M1232">IF(M1834=1,OFFSET($W$634,$B1232,M$631-1)/SUMPRODUCT(--($D$631:$V$631=M$631),--($D1834:$V1834=1)),0)+SUM(M1231)+IF(COUNTIF(M$1237:M1834,1)=1,5,0)+IF(COUNTIF(N1232:$W1232,"&gt;"&amp;0)&lt;5,IF(AND(COUNTIF(M$1237:M1834,1)&gt;7,MOD(1+IFERROR(MATCH($C1232,总览!$D$46:$D$345,1)+1,1),7)=0),$C$3,0),0)</f>
        <v>812.038392857148</v>
      </c>
      <c r="N1232" s="131" cm="1">
        <f ca="1" t="array" ref="N1232">IF(N1834=1,OFFSET($W$634,$B1232,N$631-1)/SUMPRODUCT(--($D$631:$V$631=N$631),--($D1834:$V1834=1)),0)+SUM(N1231)+IF(COUNTIF(N$1237:N1834,1)=1,5,0)+IF(COUNTIF(O1232:$W1232,"&gt;"&amp;0)&lt;5,IF(AND(COUNTIF(N$1237:N1834,1)&gt;7,MOD(1+IFERROR(MATCH($C1232,总览!$D$46:$D$345,1)+1,1),7)=0),$C$3,0),0)</f>
        <v>813.288392857148</v>
      </c>
      <c r="O1232" s="131" cm="1">
        <f ca="1" t="array" ref="O1232">IF(O1834=1,OFFSET($W$634,$B1232,O$631-1)/SUMPRODUCT(--($D$631:$V$631=O$631),--($D1834:$V1834=1)),0)+SUM(O1231)+IF(COUNTIF(O$1237:O1834,1)=1,5,0)+IF(COUNTIF(P1232:$W1232,"&gt;"&amp;0)&lt;5,IF(AND(COUNTIF(O$1237:O1834,1)&gt;7,MOD(1+IFERROR(MATCH($C1232,总览!$D$46:$D$345,1)+1,1),7)=0),$C$3,0),0)</f>
        <v>818.288392857148</v>
      </c>
      <c r="P1232" s="131" cm="1">
        <f ca="1" t="array" ref="P1232">IF(P1834=1,OFFSET($W$634,$B1232,P$631-1)/SUMPRODUCT(--($D$631:$V$631=P$631),--($D1834:$V1834=1)),0)+SUM(P1231)+IF(COUNTIF(P$1237:P1834,1)=1,5,0)+IF(COUNTIF(Q1232:$W1232,"&gt;"&amp;0)&lt;5,IF(AND(COUNTIF(P$1237:P1834,1)&gt;7,MOD(1+IFERROR(MATCH($C1232,总览!$D$46:$D$345,1)+1,1),7)=0),$C$3,0),0)</f>
        <v>807.407142857148</v>
      </c>
      <c r="Q1232" s="131" cm="1">
        <f ca="1" t="array" ref="Q1232">IF(Q1834=1,OFFSET($W$634,$B1232,Q$631-1)/SUMPRODUCT(--($D$631:$V$631=Q$631),--($D1834:$V1834=1)),0)+SUM(Q1231)+IF(COUNTIF(Q$1237:Q1834,1)=1,5,0)+IF(COUNTIF(R1232:$W1232,"&gt;"&amp;0)&lt;5,IF(AND(COUNTIF(Q$1237:Q1834,1)&gt;7,MOD(1+IFERROR(MATCH($C1232,总览!$D$46:$D$345,1)+1,1),7)=0),$C$3,0),0)</f>
        <v>820.788392857148</v>
      </c>
      <c r="R1232" s="131" cm="1">
        <f ca="1" t="array" ref="R1232">IF(R1834=1,OFFSET($W$634,$B1232,R$631-1)/SUMPRODUCT(--($D$631:$V$631=R$631),--($D1834:$V1834=1)),0)+SUM(R1231)+IF(COUNTIF(R$1237:R1834,1)=1,5,0)+IF(COUNTIF(S1232:$W1232,"&gt;"&amp;0)&lt;5,IF(AND(COUNTIF(R$1237:R1834,1)&gt;7,MOD(1+IFERROR(MATCH($C1232,总览!$D$46:$D$345,1)+1,1),7)=0),$C$3,0),0)</f>
        <v>812.407142857148</v>
      </c>
      <c r="S1232" s="131" cm="1">
        <f ca="1" t="array" ref="S1232">IF(S1834=1,OFFSET($W$634,$B1232,S$631-1)/SUMPRODUCT(--($D$631:$V$631=S$631),--($D1834:$V1834=1)),0)+SUM(S1231)+IF(COUNTIF(S$1237:S1834,1)=1,5,0)+IF(COUNTIF(T1232:$W1232,"&gt;"&amp;0)&lt;5,IF(AND(COUNTIF(S$1237:S1834,1)&gt;7,MOD(1+IFERROR(MATCH($C1232,总览!$D$46:$D$345,1)+1,1),7)=0),$C$3,0),0)</f>
        <v>904.907142857149</v>
      </c>
      <c r="T1232" s="131" cm="1">
        <f ca="1" t="array" ref="T1232">IF(T1834=1,OFFSET($W$634,$B1232,T$631-1)/SUMPRODUCT(--($D$631:$V$631=T$631),--($D1834:$V1834=1)),0)+SUM(T1231)+IF(COUNTIF(T$1237:T1834,1)=1,5,0)+IF(COUNTIF(U1232:$W1232,"&gt;"&amp;0)&lt;5,IF(AND(COUNTIF(T$1237:T1834,1)&gt;7,MOD(1+IFERROR(MATCH($C1232,总览!$D$46:$D$345,1)+1,1),7)=0),$C$3,0),0)</f>
        <v>663.02142643898</v>
      </c>
      <c r="U1232" s="131" cm="1">
        <f ca="1" t="array" ref="U1232">IF(U1834=1,OFFSET($W$634,$B1232,U$631-1)/SUMPRODUCT(--($D$631:$V$631=U$631),--($D1834:$V1834=1)),0)+SUM(U1231)+IF(COUNTIF(U$1237:U1834,1)=1,5,0)+IF(COUNTIF(V1232:$W1232,"&gt;"&amp;0)&lt;5,IF(AND(COUNTIF(U$1237:U1834,1)&gt;7,MOD(1+IFERROR(MATCH($C1232,总览!$D$46:$D$345,1)+1,1),7)=0),$C$3,0),0)</f>
        <v>668.54221279428</v>
      </c>
      <c r="V1232" s="131" cm="1">
        <f ca="1" t="array" ref="V1232">IF(V1834=1,OFFSET($W$634,$B1232,V$631-1)/SUMPRODUCT(--($D$631:$V$631=V$631),--($D1834:$V1834=1)),0)+SUM(V1231)+IF(COUNTIF(V$1237:V1834,1)=1,5,0)+IF(COUNTIF(W1232:$W1232,"&gt;"&amp;0)&lt;5,IF(AND(COUNTIF(V$1237:V1834,1)&gt;7,MOD(1+IFERROR(MATCH($C1232,总览!$D$46:$D$345,1)+1,1),7)=0),$C$3,0),0)</f>
        <v>688.369212506713</v>
      </c>
      <c r="W1232" s="135" cm="1">
        <f ca="1" t="array" ref="W1232">SUMPRODUCT(TRANSPOSE($AA1232:$AG1232),OFFSET($L$9:$L$15,0,W$631-1))</f>
        <v>16.8502200646615</v>
      </c>
      <c r="X1232" s="135" cm="1">
        <f ca="1" t="array" ref="X1232">SUMPRODUCT(TRANSPOSE($AA1232:$AG1232),OFFSET($L$9:$L$15,0,X$631-1))</f>
        <v>20</v>
      </c>
      <c r="Y1232" s="135" cm="1">
        <f ca="1" t="array" ref="Y1232">SUMPRODUCT(TRANSPOSE($AA1232:$AG1232),OFFSET($L$9:$L$15,0,Y$631-1))</f>
        <v>10</v>
      </c>
      <c r="Z1232" s="135" cm="1">
        <f ca="1" t="array" ref="Z1232">SUMPRODUCT(TRANSPOSE($AA1232:$AG1232),OFFSET($L$9:$L$15,0,Z$631-1))</f>
        <v>3.14977993533847</v>
      </c>
      <c r="AA1232" s="136">
        <f ca="1" t="shared" ref="AA1232:AG1232" si="1453">AH1232-AH1231</f>
        <v>0</v>
      </c>
      <c r="AB1232" s="136">
        <f ca="1" t="shared" si="1453"/>
        <v>0</v>
      </c>
      <c r="AC1232" s="136">
        <f ca="1" t="shared" si="1453"/>
        <v>0</v>
      </c>
      <c r="AD1232" s="136">
        <f ca="1" t="shared" si="1453"/>
        <v>0</v>
      </c>
      <c r="AE1232" s="136">
        <f ca="1" t="shared" si="1453"/>
        <v>0</v>
      </c>
      <c r="AF1232" s="136">
        <f ca="1" t="shared" si="1453"/>
        <v>0</v>
      </c>
      <c r="AG1232" s="136">
        <f ca="1" t="shared" si="1453"/>
        <v>100</v>
      </c>
      <c r="AH1232" s="136">
        <f ca="1" t="shared" si="1411"/>
        <v>450</v>
      </c>
      <c r="AI1232" s="136">
        <f ca="1" t="shared" ref="AI1232:AN1232" si="1454">IF($C1232&gt;OFFSET($Q$8,MATCH(AI$634,$AH$634:$AN$634,0),0),OFFSET($P$8,MATCH(AI$634,$AH$634:$AN$634,0),0),MAX(0,$C1232-OFFSET($Q$8,RIGHT(AI$634,1)-1,0)))</f>
        <v>909</v>
      </c>
      <c r="AJ1232" s="136">
        <f ca="1" t="shared" si="1454"/>
        <v>1818</v>
      </c>
      <c r="AK1232" s="136">
        <f ca="1" t="shared" si="1454"/>
        <v>2727</v>
      </c>
      <c r="AL1232" s="136">
        <f ca="1" t="shared" si="1454"/>
        <v>3636</v>
      </c>
      <c r="AM1232" s="136">
        <f ca="1" t="shared" si="1454"/>
        <v>4545</v>
      </c>
      <c r="AN1232" s="136">
        <f ca="1" t="shared" si="1454"/>
        <v>45715</v>
      </c>
    </row>
    <row r="1233" s="106" customFormat="1" ht="16.5" spans="2:40">
      <c r="B1233" s="117">
        <v>599</v>
      </c>
      <c r="C1233" s="130">
        <f t="shared" si="1409"/>
        <v>59900</v>
      </c>
      <c r="D1233" s="131" cm="1">
        <f ca="1" t="array" ref="D1233">IF(D1835=1,OFFSET($W$634,$B1233,D$631-1)/SUMPRODUCT(--($D$631:$V$631=D$631),--($D1835:$V1835=1)),0)+SUM(D1232)+IF(COUNTIF(D$1237:D1835,1)=1,5,0)+IF(COUNTIF(E1233:$W1233,"&gt;"&amp;0)&lt;5,IF(AND(COUNTIF(D$1237:D1835,1)&gt;7,MOD(1+IFERROR(MATCH($C1233,总览!$D$46:$D$345,1)+1,1),7)=0),$C$3,0),0)</f>
        <v>3692.13078944161</v>
      </c>
      <c r="E1233" s="131" cm="1">
        <f ca="1" t="array" ref="E1233">IF(E1835=1,OFFSET($W$634,$B1233,E$631-1)/SUMPRODUCT(--($D$631:$V$631=E$631),--($D1835:$V1835=1)),0)+SUM(E1232)+IF(COUNTIF(E$1237:E1835,1)=1,5,0)+IF(COUNTIF(F1233:$W1233,"&gt;"&amp;0)&lt;5,IF(AND(COUNTIF(E$1237:E1835,1)&gt;7,MOD(1+IFERROR(MATCH($C1233,总览!$D$46:$D$345,1)+1,1),7)=0),$C$3,0),0)</f>
        <v>3692.13078944161</v>
      </c>
      <c r="F1233" s="131" cm="1">
        <f ca="1" t="array" ref="F1233">IF(F1835=1,OFFSET($W$634,$B1233,F$631-1)/SUMPRODUCT(--($D$631:$V$631=F$631),--($D1835:$V1835=1)),0)+SUM(F1232)+IF(COUNTIF(F$1237:F1835,1)=1,5,0)+IF(COUNTIF(G1233:$W1233,"&gt;"&amp;0)&lt;5,IF(AND(COUNTIF(F$1237:F1835,1)&gt;7,MOD(1+IFERROR(MATCH($C1233,总览!$D$46:$D$345,1)+1,1),7)=0),$C$3,0),0)</f>
        <v>3692.13078944161</v>
      </c>
      <c r="G1233" s="131" cm="1">
        <f ca="1" t="array" ref="G1233">IF(G1835=1,OFFSET($W$634,$B1233,G$631-1)/SUMPRODUCT(--($D$631:$V$631=G$631),--($D1835:$V1835=1)),0)+SUM(G1232)+IF(COUNTIF(G$1237:G1835,1)=1,5,0)+IF(COUNTIF(H1233:$W1233,"&gt;"&amp;0)&lt;5,IF(AND(COUNTIF(G$1237:G1835,1)&gt;7,MOD(1+IFERROR(MATCH($C1233,总览!$D$46:$D$345,1)+1,1),7)=0),$C$3,0),0)</f>
        <v>1936.06666666665</v>
      </c>
      <c r="H1233" s="131" cm="1">
        <f ca="1" t="array" ref="H1233">IF(H1835=1,OFFSET($W$634,$B1233,H$631-1)/SUMPRODUCT(--($D$631:$V$631=H$631),--($D1835:$V1835=1)),0)+SUM(H1232)+IF(COUNTIF(H$1237:H1835,1)=1,5,0)+IF(COUNTIF(I1233:$W1233,"&gt;"&amp;0)&lt;5,IF(AND(COUNTIF(H$1237:H1835,1)&gt;7,MOD(1+IFERROR(MATCH($C1233,总览!$D$46:$D$345,1)+1,1),7)=0),$C$3,0),0)</f>
        <v>1936.06666666665</v>
      </c>
      <c r="I1233" s="131" cm="1">
        <f ca="1" t="array" ref="I1233">IF(I1835=1,OFFSET($W$634,$B1233,I$631-1)/SUMPRODUCT(--($D$631:$V$631=I$631),--($D1835:$V1835=1)),0)+SUM(I1232)+IF(COUNTIF(I$1237:I1835,1)=1,5,0)+IF(COUNTIF(J1233:$W1233,"&gt;"&amp;0)&lt;5,IF(AND(COUNTIF(I$1237:I1835,1)&gt;7,MOD(1+IFERROR(MATCH($C1233,总览!$D$46:$D$345,1)+1,1),7)=0),$C$3,0),0)</f>
        <v>1936.06666666665</v>
      </c>
      <c r="J1233" s="131" cm="1">
        <f ca="1" t="array" ref="J1233">IF(J1835=1,OFFSET($W$634,$B1233,J$631-1)/SUMPRODUCT(--($D$631:$V$631=J$631),--($D1835:$V1835=1)),0)+SUM(J1232)+IF(COUNTIF(J$1237:J1835,1)=1,5,0)+IF(COUNTIF(K1233:$W1233,"&gt;"&amp;0)&lt;5,IF(AND(COUNTIF(J$1237:J1835,1)&gt;7,MOD(1+IFERROR(MATCH($C1233,总览!$D$46:$D$345,1)+1,1),7)=0),$C$3,0),0)</f>
        <v>1932.73333333332</v>
      </c>
      <c r="K1233" s="131" cm="1">
        <f ca="1" t="array" ref="K1233">IF(K1835=1,OFFSET($W$634,$B1233,K$631-1)/SUMPRODUCT(--($D$631:$V$631=K$631),--($D1835:$V1835=1)),0)+SUM(K1232)+IF(COUNTIF(K$1237:K1835,1)=1,5,0)+IF(COUNTIF(L1233:$W1233,"&gt;"&amp;0)&lt;5,IF(AND(COUNTIF(K$1237:K1835,1)&gt;7,MOD(1+IFERROR(MATCH($C1233,总览!$D$46:$D$345,1)+1,1),7)=0),$C$3,0),0)</f>
        <v>1930.23333333332</v>
      </c>
      <c r="L1233" s="131" cm="1">
        <f ca="1" t="array" ref="L1233">IF(L1835=1,OFFSET($W$634,$B1233,L$631-1)/SUMPRODUCT(--($D$631:$V$631=L$631),--($D1835:$V1835=1)),0)+SUM(L1232)+IF(COUNTIF(L$1237:L1835,1)=1,5,0)+IF(COUNTIF(M1233:$W1233,"&gt;"&amp;0)&lt;5,IF(AND(COUNTIF(L$1237:L1835,1)&gt;7,MOD(1+IFERROR(MATCH($C1233,总览!$D$46:$D$345,1)+1,1),7)=0),$C$3,0),0)</f>
        <v>1930.23333333332</v>
      </c>
      <c r="M1233" s="131" cm="1">
        <f ca="1" t="array" ref="M1233">IF(M1835=1,OFFSET($W$634,$B1233,M$631-1)/SUMPRODUCT(--($D$631:$V$631=M$631),--($D1835:$V1835=1)),0)+SUM(M1232)+IF(COUNTIF(M$1237:M1835,1)=1,5,0)+IF(COUNTIF(N1233:$W1233,"&gt;"&amp;0)&lt;5,IF(AND(COUNTIF(M$1237:M1835,1)&gt;7,MOD(1+IFERROR(MATCH($C1233,总览!$D$46:$D$345,1)+1,1),7)=0),$C$3,0),0)</f>
        <v>813.466964285719</v>
      </c>
      <c r="N1233" s="131" cm="1">
        <f ca="1" t="array" ref="N1233">IF(N1835=1,OFFSET($W$634,$B1233,N$631-1)/SUMPRODUCT(--($D$631:$V$631=N$631),--($D1835:$V1835=1)),0)+SUM(N1232)+IF(COUNTIF(N$1237:N1835,1)=1,5,0)+IF(COUNTIF(O1233:$W1233,"&gt;"&amp;0)&lt;5,IF(AND(COUNTIF(N$1237:N1835,1)&gt;7,MOD(1+IFERROR(MATCH($C1233,总览!$D$46:$D$345,1)+1,1),7)=0),$C$3,0),0)</f>
        <v>814.716964285719</v>
      </c>
      <c r="O1233" s="131" cm="1">
        <f ca="1" t="array" ref="O1233">IF(O1835=1,OFFSET($W$634,$B1233,O$631-1)/SUMPRODUCT(--($D$631:$V$631=O$631),--($D1835:$V1835=1)),0)+SUM(O1232)+IF(COUNTIF(O$1237:O1835,1)=1,5,0)+IF(COUNTIF(P1233:$W1233,"&gt;"&amp;0)&lt;5,IF(AND(COUNTIF(O$1237:O1835,1)&gt;7,MOD(1+IFERROR(MATCH($C1233,总览!$D$46:$D$345,1)+1,1),7)=0),$C$3,0),0)</f>
        <v>819.716964285719</v>
      </c>
      <c r="P1233" s="131" cm="1">
        <f ca="1" t="array" ref="P1233">IF(P1835=1,OFFSET($W$634,$B1233,P$631-1)/SUMPRODUCT(--($D$631:$V$631=P$631),--($D1835:$V1835=1)),0)+SUM(P1232)+IF(COUNTIF(P$1237:P1835,1)=1,5,0)+IF(COUNTIF(Q1233:$W1233,"&gt;"&amp;0)&lt;5,IF(AND(COUNTIF(P$1237:P1835,1)&gt;7,MOD(1+IFERROR(MATCH($C1233,总览!$D$46:$D$345,1)+1,1),7)=0),$C$3,0),0)</f>
        <v>808.835714285719</v>
      </c>
      <c r="Q1233" s="131" cm="1">
        <f ca="1" t="array" ref="Q1233">IF(Q1835=1,OFFSET($W$634,$B1233,Q$631-1)/SUMPRODUCT(--($D$631:$V$631=Q$631),--($D1835:$V1835=1)),0)+SUM(Q1232)+IF(COUNTIF(Q$1237:Q1835,1)=1,5,0)+IF(COUNTIF(R1233:$W1233,"&gt;"&amp;0)&lt;5,IF(AND(COUNTIF(Q$1237:Q1835,1)&gt;7,MOD(1+IFERROR(MATCH($C1233,总览!$D$46:$D$345,1)+1,1),7)=0),$C$3,0),0)</f>
        <v>822.216964285719</v>
      </c>
      <c r="R1233" s="131" cm="1">
        <f ca="1" t="array" ref="R1233">IF(R1835=1,OFFSET($W$634,$B1233,R$631-1)/SUMPRODUCT(--($D$631:$V$631=R$631),--($D1835:$V1835=1)),0)+SUM(R1232)+IF(COUNTIF(R$1237:R1835,1)=1,5,0)+IF(COUNTIF(S1233:$W1233,"&gt;"&amp;0)&lt;5,IF(AND(COUNTIF(R$1237:R1835,1)&gt;7,MOD(1+IFERROR(MATCH($C1233,总览!$D$46:$D$345,1)+1,1),7)=0),$C$3,0),0)</f>
        <v>813.835714285719</v>
      </c>
      <c r="S1233" s="131" cm="1">
        <f ca="1" t="array" ref="S1233">IF(S1835=1,OFFSET($W$634,$B1233,S$631-1)/SUMPRODUCT(--($D$631:$V$631=S$631),--($D1835:$V1835=1)),0)+SUM(S1232)+IF(COUNTIF(S$1237:S1835,1)=1,5,0)+IF(COUNTIF(T1233:$W1233,"&gt;"&amp;0)&lt;5,IF(AND(COUNTIF(S$1237:S1835,1)&gt;7,MOD(1+IFERROR(MATCH($C1233,总览!$D$46:$D$345,1)+1,1),7)=0),$C$3,0),0)</f>
        <v>906.335714285721</v>
      </c>
      <c r="T1233" s="131" cm="1">
        <f ca="1" t="array" ref="T1233">IF(T1835=1,OFFSET($W$634,$B1233,T$631-1)/SUMPRODUCT(--($D$631:$V$631=T$631),--($D1835:$V1835=1)),0)+SUM(T1232)+IF(COUNTIF(T$1237:T1835,1)=1,5,0)+IF(COUNTIF(U1233:$W1233,"&gt;"&amp;0)&lt;5,IF(AND(COUNTIF(T$1237:T1835,1)&gt;7,MOD(1+IFERROR(MATCH($C1233,总览!$D$46:$D$345,1)+1,1),7)=0),$C$3,0),0)</f>
        <v>664.071353084093</v>
      </c>
      <c r="U1233" s="131" cm="1">
        <f ca="1" t="array" ref="U1233">IF(U1835=1,OFFSET($W$634,$B1233,U$631-1)/SUMPRODUCT(--($D$631:$V$631=U$631),--($D1835:$V1835=1)),0)+SUM(U1232)+IF(COUNTIF(U$1237:U1835,1)=1,5,0)+IF(COUNTIF(V1233:$W1233,"&gt;"&amp;0)&lt;5,IF(AND(COUNTIF(U$1237:U1835,1)&gt;7,MOD(1+IFERROR(MATCH($C1233,总览!$D$46:$D$345,1)+1,1),7)=0),$C$3,0),0)</f>
        <v>669.592139439393</v>
      </c>
      <c r="V1233" s="131" cm="1">
        <f ca="1" t="array" ref="V1233">IF(V1835=1,OFFSET($W$634,$B1233,V$631-1)/SUMPRODUCT(--($D$631:$V$631=V$631),--($D1835:$V1835=1)),0)+SUM(V1232)+IF(COUNTIF(V$1237:V1835,1)=1,5,0)+IF(COUNTIF(W1233:$W1233,"&gt;"&amp;0)&lt;5,IF(AND(COUNTIF(V$1237:V1835,1)&gt;7,MOD(1+IFERROR(MATCH($C1233,总览!$D$46:$D$345,1)+1,1),7)=0),$C$3,0),0)</f>
        <v>689.419139151826</v>
      </c>
      <c r="W1233" s="135" cm="1">
        <f ca="1" t="array" ref="W1233">SUMPRODUCT(TRANSPOSE($AA1233:$AG1233),OFFSET($L$9:$L$15,0,W$631-1))</f>
        <v>16.8502200646615</v>
      </c>
      <c r="X1233" s="135" cm="1">
        <f ca="1" t="array" ref="X1233">SUMPRODUCT(TRANSPOSE($AA1233:$AG1233),OFFSET($L$9:$L$15,0,X$631-1))</f>
        <v>20</v>
      </c>
      <c r="Y1233" s="135" cm="1">
        <f ca="1" t="array" ref="Y1233">SUMPRODUCT(TRANSPOSE($AA1233:$AG1233),OFFSET($L$9:$L$15,0,Y$631-1))</f>
        <v>10</v>
      </c>
      <c r="Z1233" s="135" cm="1">
        <f ca="1" t="array" ref="Z1233">SUMPRODUCT(TRANSPOSE($AA1233:$AG1233),OFFSET($L$9:$L$15,0,Z$631-1))</f>
        <v>3.14977993533847</v>
      </c>
      <c r="AA1233" s="136">
        <f ca="1" t="shared" ref="AA1233:AG1233" si="1455">AH1233-AH1232</f>
        <v>0</v>
      </c>
      <c r="AB1233" s="136">
        <f ca="1" t="shared" si="1455"/>
        <v>0</v>
      </c>
      <c r="AC1233" s="136">
        <f ca="1" t="shared" si="1455"/>
        <v>0</v>
      </c>
      <c r="AD1233" s="136">
        <f ca="1" t="shared" si="1455"/>
        <v>0</v>
      </c>
      <c r="AE1233" s="136">
        <f ca="1" t="shared" si="1455"/>
        <v>0</v>
      </c>
      <c r="AF1233" s="136">
        <f ca="1" t="shared" si="1455"/>
        <v>0</v>
      </c>
      <c r="AG1233" s="136">
        <f ca="1" t="shared" si="1455"/>
        <v>100</v>
      </c>
      <c r="AH1233" s="136">
        <f ca="1" t="shared" si="1411"/>
        <v>450</v>
      </c>
      <c r="AI1233" s="136">
        <f ca="1" t="shared" ref="AI1233:AN1233" si="1456">IF($C1233&gt;OFFSET($Q$8,MATCH(AI$634,$AH$634:$AN$634,0),0),OFFSET($P$8,MATCH(AI$634,$AH$634:$AN$634,0),0),MAX(0,$C1233-OFFSET($Q$8,RIGHT(AI$634,1)-1,0)))</f>
        <v>909</v>
      </c>
      <c r="AJ1233" s="136">
        <f ca="1" t="shared" si="1456"/>
        <v>1818</v>
      </c>
      <c r="AK1233" s="136">
        <f ca="1" t="shared" si="1456"/>
        <v>2727</v>
      </c>
      <c r="AL1233" s="136">
        <f ca="1" t="shared" si="1456"/>
        <v>3636</v>
      </c>
      <c r="AM1233" s="136">
        <f ca="1" t="shared" si="1456"/>
        <v>4545</v>
      </c>
      <c r="AN1233" s="136">
        <f ca="1" t="shared" si="1456"/>
        <v>45815</v>
      </c>
    </row>
    <row r="1234" s="106" customFormat="1" ht="16.5" spans="2:40">
      <c r="B1234" s="117">
        <v>600</v>
      </c>
      <c r="C1234" s="130">
        <f t="shared" si="1409"/>
        <v>60000</v>
      </c>
      <c r="D1234" s="131" cm="1">
        <f ca="1" t="array" ref="D1234">IF(D1836=1,OFFSET($W$634,$B1234,D$631-1)/SUMPRODUCT(--($D$631:$V$631=D$631),--($D1836:$V1836=1)),0)+SUM(D1233)+IF(COUNTIF(D$1237:D1836,1)=1,5,0)+IF(COUNTIF(E1234:$W1234,"&gt;"&amp;0)&lt;5,IF(AND(COUNTIF(D$1237:D1836,1)&gt;7,MOD(1+IFERROR(MATCH($C1234,总览!$D$46:$D$345,1)+1,1),7)=0),$C$3,0),0)</f>
        <v>3697.74752946317</v>
      </c>
      <c r="E1234" s="131" cm="1">
        <f ca="1" t="array" ref="E1234">IF(E1836=1,OFFSET($W$634,$B1234,E$631-1)/SUMPRODUCT(--($D$631:$V$631=E$631),--($D1836:$V1836=1)),0)+SUM(E1233)+IF(COUNTIF(E$1237:E1836,1)=1,5,0)+IF(COUNTIF(F1234:$W1234,"&gt;"&amp;0)&lt;5,IF(AND(COUNTIF(E$1237:E1836,1)&gt;7,MOD(1+IFERROR(MATCH($C1234,总览!$D$46:$D$345,1)+1,1),7)=0),$C$3,0),0)</f>
        <v>3697.74752946317</v>
      </c>
      <c r="F1234" s="131" cm="1">
        <f ca="1" t="array" ref="F1234">IF(F1836=1,OFFSET($W$634,$B1234,F$631-1)/SUMPRODUCT(--($D$631:$V$631=F$631),--($D1836:$V1836=1)),0)+SUM(F1233)+IF(COUNTIF(F$1237:F1836,1)=1,5,0)+IF(COUNTIF(G1234:$W1234,"&gt;"&amp;0)&lt;5,IF(AND(COUNTIF(F$1237:F1836,1)&gt;7,MOD(1+IFERROR(MATCH($C1234,总览!$D$46:$D$345,1)+1,1),7)=0),$C$3,0),0)</f>
        <v>3697.74752946317</v>
      </c>
      <c r="G1234" s="131" cm="1">
        <f ca="1" t="array" ref="G1234">IF(G1836=1,OFFSET($W$634,$B1234,G$631-1)/SUMPRODUCT(--($D$631:$V$631=G$631),--($D1836:$V1836=1)),0)+SUM(G1233)+IF(COUNTIF(G$1237:G1836,1)=1,5,0)+IF(COUNTIF(H1234:$W1234,"&gt;"&amp;0)&lt;5,IF(AND(COUNTIF(G$1237:G1836,1)&gt;7,MOD(1+IFERROR(MATCH($C1234,总览!$D$46:$D$345,1)+1,1),7)=0),$C$3,0),0)</f>
        <v>1939.39999999998</v>
      </c>
      <c r="H1234" s="131" cm="1">
        <f ca="1" t="array" ref="H1234">IF(H1836=1,OFFSET($W$634,$B1234,H$631-1)/SUMPRODUCT(--($D$631:$V$631=H$631),--($D1836:$V1836=1)),0)+SUM(H1233)+IF(COUNTIF(H$1237:H1836,1)=1,5,0)+IF(COUNTIF(I1234:$W1234,"&gt;"&amp;0)&lt;5,IF(AND(COUNTIF(H$1237:H1836,1)&gt;7,MOD(1+IFERROR(MATCH($C1234,总览!$D$46:$D$345,1)+1,1),7)=0),$C$3,0),0)</f>
        <v>1939.39999999998</v>
      </c>
      <c r="I1234" s="131" cm="1">
        <f ca="1" t="array" ref="I1234">IF(I1836=1,OFFSET($W$634,$B1234,I$631-1)/SUMPRODUCT(--($D$631:$V$631=I$631),--($D1836:$V1836=1)),0)+SUM(I1233)+IF(COUNTIF(I$1237:I1836,1)=1,5,0)+IF(COUNTIF(J1234:$W1234,"&gt;"&amp;0)&lt;5,IF(AND(COUNTIF(I$1237:I1836,1)&gt;7,MOD(1+IFERROR(MATCH($C1234,总览!$D$46:$D$345,1)+1,1),7)=0),$C$3,0),0)</f>
        <v>1939.39999999998</v>
      </c>
      <c r="J1234" s="131" cm="1">
        <f ca="1" t="array" ref="J1234">IF(J1836=1,OFFSET($W$634,$B1234,J$631-1)/SUMPRODUCT(--($D$631:$V$631=J$631),--($D1836:$V1836=1)),0)+SUM(J1233)+IF(COUNTIF(J$1237:J1836,1)=1,5,0)+IF(COUNTIF(K1234:$W1234,"&gt;"&amp;0)&lt;5,IF(AND(COUNTIF(J$1237:J1836,1)&gt;7,MOD(1+IFERROR(MATCH($C1234,总览!$D$46:$D$345,1)+1,1),7)=0),$C$3,0),0)</f>
        <v>1936.06666666665</v>
      </c>
      <c r="K1234" s="131" cm="1">
        <f ca="1" t="array" ref="K1234">IF(K1836=1,OFFSET($W$634,$B1234,K$631-1)/SUMPRODUCT(--($D$631:$V$631=K$631),--($D1836:$V1836=1)),0)+SUM(K1233)+IF(COUNTIF(K$1237:K1836,1)=1,5,0)+IF(COUNTIF(L1234:$W1234,"&gt;"&amp;0)&lt;5,IF(AND(COUNTIF(K$1237:K1836,1)&gt;7,MOD(1+IFERROR(MATCH($C1234,总览!$D$46:$D$345,1)+1,1),7)=0),$C$3,0),0)</f>
        <v>1933.56666666665</v>
      </c>
      <c r="L1234" s="131" cm="1">
        <f ca="1" t="array" ref="L1234">IF(L1836=1,OFFSET($W$634,$B1234,L$631-1)/SUMPRODUCT(--($D$631:$V$631=L$631),--($D1836:$V1836=1)),0)+SUM(L1233)+IF(COUNTIF(L$1237:L1836,1)=1,5,0)+IF(COUNTIF(M1234:$W1234,"&gt;"&amp;0)&lt;5,IF(AND(COUNTIF(L$1237:L1836,1)&gt;7,MOD(1+IFERROR(MATCH($C1234,总览!$D$46:$D$345,1)+1,1),7)=0),$C$3,0),0)</f>
        <v>1933.56666666665</v>
      </c>
      <c r="M1234" s="131" cm="1">
        <f ca="1" t="array" ref="M1234">IF(M1836=1,OFFSET($W$634,$B1234,M$631-1)/SUMPRODUCT(--($D$631:$V$631=M$631),--($D1836:$V1836=1)),0)+SUM(M1233)+IF(COUNTIF(M$1237:M1836,1)=1,5,0)+IF(COUNTIF(N1234:$W1234,"&gt;"&amp;0)&lt;5,IF(AND(COUNTIF(M$1237:M1836,1)&gt;7,MOD(1+IFERROR(MATCH($C1234,总览!$D$46:$D$345,1)+1,1),7)=0),$C$3,0),0)</f>
        <v>814.895535714291</v>
      </c>
      <c r="N1234" s="131" cm="1">
        <f ca="1" t="array" ref="N1234">IF(N1836=1,OFFSET($W$634,$B1234,N$631-1)/SUMPRODUCT(--($D$631:$V$631=N$631),--($D1836:$V1836=1)),0)+SUM(N1233)+IF(COUNTIF(N$1237:N1836,1)=1,5,0)+IF(COUNTIF(O1234:$W1234,"&gt;"&amp;0)&lt;5,IF(AND(COUNTIF(N$1237:N1836,1)&gt;7,MOD(1+IFERROR(MATCH($C1234,总览!$D$46:$D$345,1)+1,1),7)=0),$C$3,0),0)</f>
        <v>816.145535714291</v>
      </c>
      <c r="O1234" s="131" cm="1">
        <f ca="1" t="array" ref="O1234">IF(O1836=1,OFFSET($W$634,$B1234,O$631-1)/SUMPRODUCT(--($D$631:$V$631=O$631),--($D1836:$V1836=1)),0)+SUM(O1233)+IF(COUNTIF(O$1237:O1836,1)=1,5,0)+IF(COUNTIF(P1234:$W1234,"&gt;"&amp;0)&lt;5,IF(AND(COUNTIF(O$1237:O1836,1)&gt;7,MOD(1+IFERROR(MATCH($C1234,总览!$D$46:$D$345,1)+1,1),7)=0),$C$3,0),0)</f>
        <v>821.145535714291</v>
      </c>
      <c r="P1234" s="131" cm="1">
        <f ca="1" t="array" ref="P1234">IF(P1836=1,OFFSET($W$634,$B1234,P$631-1)/SUMPRODUCT(--($D$631:$V$631=P$631),--($D1836:$V1836=1)),0)+SUM(P1233)+IF(COUNTIF(P$1237:P1836,1)=1,5,0)+IF(COUNTIF(Q1234:$W1234,"&gt;"&amp;0)&lt;5,IF(AND(COUNTIF(P$1237:P1836,1)&gt;7,MOD(1+IFERROR(MATCH($C1234,总览!$D$46:$D$345,1)+1,1),7)=0),$C$3,0),0)</f>
        <v>810.264285714291</v>
      </c>
      <c r="Q1234" s="131" cm="1">
        <f ca="1" t="array" ref="Q1234">IF(Q1836=1,OFFSET($W$634,$B1234,Q$631-1)/SUMPRODUCT(--($D$631:$V$631=Q$631),--($D1836:$V1836=1)),0)+SUM(Q1233)+IF(COUNTIF(Q$1237:Q1836,1)=1,5,0)+IF(COUNTIF(R1234:$W1234,"&gt;"&amp;0)&lt;5,IF(AND(COUNTIF(Q$1237:Q1836,1)&gt;7,MOD(1+IFERROR(MATCH($C1234,总览!$D$46:$D$345,1)+1,1),7)=0),$C$3,0),0)</f>
        <v>823.645535714291</v>
      </c>
      <c r="R1234" s="131" cm="1">
        <f ca="1" t="array" ref="R1234">IF(R1836=1,OFFSET($W$634,$B1234,R$631-1)/SUMPRODUCT(--($D$631:$V$631=R$631),--($D1836:$V1836=1)),0)+SUM(R1233)+IF(COUNTIF(R$1237:R1836,1)=1,5,0)+IF(COUNTIF(S1234:$W1234,"&gt;"&amp;0)&lt;5,IF(AND(COUNTIF(R$1237:R1836,1)&gt;7,MOD(1+IFERROR(MATCH($C1234,总览!$D$46:$D$345,1)+1,1),7)=0),$C$3,0),0)</f>
        <v>815.264285714291</v>
      </c>
      <c r="S1234" s="131" cm="1">
        <f ca="1" t="array" ref="S1234">IF(S1836=1,OFFSET($W$634,$B1234,S$631-1)/SUMPRODUCT(--($D$631:$V$631=S$631),--($D1836:$V1836=1)),0)+SUM(S1233)+IF(COUNTIF(S$1237:S1836,1)=1,5,0)+IF(COUNTIF(T1234:$W1234,"&gt;"&amp;0)&lt;5,IF(AND(COUNTIF(S$1237:S1836,1)&gt;7,MOD(1+IFERROR(MATCH($C1234,总览!$D$46:$D$345,1)+1,1),7)=0),$C$3,0),0)</f>
        <v>907.764285714292</v>
      </c>
      <c r="T1234" s="131" cm="1">
        <f ca="1" t="array" ref="T1234">IF(T1836=1,OFFSET($W$634,$B1234,T$631-1)/SUMPRODUCT(--($D$631:$V$631=T$631),--($D1836:$V1836=1)),0)+SUM(T1233)+IF(COUNTIF(T$1237:T1836,1)=1,5,0)+IF(COUNTIF(U1234:$W1234,"&gt;"&amp;0)&lt;5,IF(AND(COUNTIF(T$1237:T1836,1)&gt;7,MOD(1+IFERROR(MATCH($C1234,总览!$D$46:$D$345,1)+1,1),7)=0),$C$3,0),0)</f>
        <v>665.121279729206</v>
      </c>
      <c r="U1234" s="131" cm="1">
        <f ca="1" t="array" ref="U1234">IF(U1836=1,OFFSET($W$634,$B1234,U$631-1)/SUMPRODUCT(--($D$631:$V$631=U$631),--($D1836:$V1836=1)),0)+SUM(U1233)+IF(COUNTIF(U$1237:U1836,1)=1,5,0)+IF(COUNTIF(V1234:$W1234,"&gt;"&amp;0)&lt;5,IF(AND(COUNTIF(U$1237:U1836,1)&gt;7,MOD(1+IFERROR(MATCH($C1234,总览!$D$46:$D$345,1)+1,1),7)=0),$C$3,0),0)</f>
        <v>670.642066084505</v>
      </c>
      <c r="V1234" s="131" cm="1">
        <f ca="1" t="array" ref="V1234">IF(V1836=1,OFFSET($W$634,$B1234,V$631-1)/SUMPRODUCT(--($D$631:$V$631=V$631),--($D1836:$V1836=1)),0)+SUM(V1233)+IF(COUNTIF(V$1237:V1836,1)=1,5,0)+IF(COUNTIF(W1234:$W1234,"&gt;"&amp;0)&lt;5,IF(AND(COUNTIF(V$1237:V1836,1)&gt;7,MOD(1+IFERROR(MATCH($C1234,总览!$D$46:$D$345,1)+1,1),7)=0),$C$3,0),0)</f>
        <v>690.469065796938</v>
      </c>
      <c r="W1234" s="135" cm="1">
        <f ca="1" t="array" ref="W1234">SUMPRODUCT(TRANSPOSE($AA1234:$AG1234),OFFSET($L$9:$L$15,0,W$631-1))</f>
        <v>16.8502200646615</v>
      </c>
      <c r="X1234" s="135" cm="1">
        <f ca="1" t="array" ref="X1234">SUMPRODUCT(TRANSPOSE($AA1234:$AG1234),OFFSET($L$9:$L$15,0,X$631-1))</f>
        <v>20</v>
      </c>
      <c r="Y1234" s="135" cm="1">
        <f ca="1" t="array" ref="Y1234">SUMPRODUCT(TRANSPOSE($AA1234:$AG1234),OFFSET($L$9:$L$15,0,Y$631-1))</f>
        <v>10</v>
      </c>
      <c r="Z1234" s="135" cm="1">
        <f ca="1" t="array" ref="Z1234">SUMPRODUCT(TRANSPOSE($AA1234:$AG1234),OFFSET($L$9:$L$15,0,Z$631-1))</f>
        <v>3.14977993533847</v>
      </c>
      <c r="AA1234" s="136">
        <f ca="1" t="shared" ref="AA1234:AG1234" si="1457">AH1234-AH1233</f>
        <v>0</v>
      </c>
      <c r="AB1234" s="136">
        <f ca="1" t="shared" si="1457"/>
        <v>0</v>
      </c>
      <c r="AC1234" s="136">
        <f ca="1" t="shared" si="1457"/>
        <v>0</v>
      </c>
      <c r="AD1234" s="136">
        <f ca="1" t="shared" si="1457"/>
        <v>0</v>
      </c>
      <c r="AE1234" s="136">
        <f ca="1" t="shared" si="1457"/>
        <v>0</v>
      </c>
      <c r="AF1234" s="136">
        <f ca="1" t="shared" si="1457"/>
        <v>0</v>
      </c>
      <c r="AG1234" s="136">
        <f ca="1" t="shared" si="1457"/>
        <v>100</v>
      </c>
      <c r="AH1234" s="136">
        <f ca="1" t="shared" si="1411"/>
        <v>450</v>
      </c>
      <c r="AI1234" s="136">
        <f ca="1" t="shared" ref="AI1234:AN1234" si="1458">IF($C1234&gt;OFFSET($Q$8,MATCH(AI$634,$AH$634:$AN$634,0),0),OFFSET($P$8,MATCH(AI$634,$AH$634:$AN$634,0),0),MAX(0,$C1234-OFFSET($Q$8,RIGHT(AI$634,1)-1,0)))</f>
        <v>909</v>
      </c>
      <c r="AJ1234" s="136">
        <f ca="1" t="shared" si="1458"/>
        <v>1818</v>
      </c>
      <c r="AK1234" s="136">
        <f ca="1" t="shared" si="1458"/>
        <v>2727</v>
      </c>
      <c r="AL1234" s="136">
        <f ca="1" t="shared" si="1458"/>
        <v>3636</v>
      </c>
      <c r="AM1234" s="136">
        <f ca="1" t="shared" si="1458"/>
        <v>4545</v>
      </c>
      <c r="AN1234" s="136">
        <f ca="1" t="shared" si="1458"/>
        <v>45915</v>
      </c>
    </row>
    <row r="1236" s="106" customFormat="1" ht="16.5" spans="2:40">
      <c r="B1236" s="107" t="s">
        <v>27</v>
      </c>
      <c r="C1236" s="107" t="s">
        <v>69</v>
      </c>
      <c r="D1236" s="107" t="s">
        <v>49</v>
      </c>
      <c r="E1236" s="107" t="s">
        <v>50</v>
      </c>
      <c r="F1236" s="107" t="s">
        <v>51</v>
      </c>
      <c r="G1236" s="107" t="s">
        <v>52</v>
      </c>
      <c r="H1236" s="107" t="s">
        <v>53</v>
      </c>
      <c r="I1236" s="107" t="s">
        <v>54</v>
      </c>
      <c r="J1236" s="107" t="s">
        <v>55</v>
      </c>
      <c r="K1236" s="107" t="s">
        <v>56</v>
      </c>
      <c r="L1236" s="107" t="s">
        <v>57</v>
      </c>
      <c r="M1236" s="107" t="s">
        <v>58</v>
      </c>
      <c r="N1236" s="107" t="s">
        <v>60</v>
      </c>
      <c r="O1236" s="107" t="s">
        <v>61</v>
      </c>
      <c r="P1236" s="107" t="s">
        <v>63</v>
      </c>
      <c r="Q1236" s="107" t="s">
        <v>62</v>
      </c>
      <c r="R1236" s="107" t="s">
        <v>64</v>
      </c>
      <c r="S1236" s="107" t="s">
        <v>65</v>
      </c>
      <c r="T1236" s="107" t="s">
        <v>68</v>
      </c>
      <c r="U1236" s="107" t="s">
        <v>70</v>
      </c>
      <c r="V1236" s="107" t="s">
        <v>66</v>
      </c>
    </row>
    <row r="1237" s="106" customFormat="1" ht="16.5" spans="2:40">
      <c r="B1237" s="117">
        <v>1</v>
      </c>
      <c r="C1237" s="130">
        <f t="shared" ref="C1237:C1300" si="1459">C635</f>
        <v>100</v>
      </c>
      <c r="D1237" s="130">
        <f ca="1" t="shared" ref="D1237:V1237" si="1460">IF($C1237&gt;D$633,1,0)</f>
        <v>1</v>
      </c>
      <c r="E1237" s="130">
        <f ca="1" t="shared" si="1460"/>
        <v>1</v>
      </c>
      <c r="F1237" s="130">
        <f ca="1" t="shared" si="1460"/>
        <v>1</v>
      </c>
      <c r="G1237" s="130">
        <f ca="1" t="shared" si="1460"/>
        <v>1</v>
      </c>
      <c r="H1237" s="130">
        <f ca="1" t="shared" si="1460"/>
        <v>1</v>
      </c>
      <c r="I1237" s="130">
        <f ca="1" t="shared" si="1460"/>
        <v>1</v>
      </c>
      <c r="J1237" s="130">
        <f ca="1" t="shared" si="1460"/>
        <v>0</v>
      </c>
      <c r="K1237" s="130">
        <f ca="1" t="shared" si="1460"/>
        <v>0</v>
      </c>
      <c r="L1237" s="130">
        <f ca="1" t="shared" si="1460"/>
        <v>0</v>
      </c>
      <c r="M1237" s="130">
        <f ca="1" t="shared" si="1460"/>
        <v>0</v>
      </c>
      <c r="N1237" s="130">
        <f ca="1" t="shared" si="1460"/>
        <v>0</v>
      </c>
      <c r="O1237" s="130">
        <f ca="1" t="shared" si="1460"/>
        <v>0</v>
      </c>
      <c r="P1237" s="130">
        <f ca="1" t="shared" si="1460"/>
        <v>0</v>
      </c>
      <c r="Q1237" s="130">
        <f ca="1" t="shared" si="1460"/>
        <v>0</v>
      </c>
      <c r="R1237" s="130">
        <f ca="1" t="shared" si="1460"/>
        <v>0</v>
      </c>
      <c r="S1237" s="130">
        <f ca="1" t="shared" si="1460"/>
        <v>0</v>
      </c>
      <c r="T1237" s="130">
        <f ca="1" t="shared" si="1460"/>
        <v>0</v>
      </c>
      <c r="U1237" s="130">
        <f ca="1" t="shared" si="1460"/>
        <v>0</v>
      </c>
      <c r="V1237" s="130">
        <f ca="1" t="shared" si="1460"/>
        <v>0</v>
      </c>
    </row>
    <row r="1238" s="106" customFormat="1" ht="16.5" spans="2:40">
      <c r="B1238" s="117">
        <v>2</v>
      </c>
      <c r="C1238" s="130">
        <f t="shared" si="1459"/>
        <v>200</v>
      </c>
      <c r="D1238" s="130">
        <f ca="1" t="shared" ref="D1238:V1238" si="1461">IF($C1238&gt;D$633,1,0)</f>
        <v>1</v>
      </c>
      <c r="E1238" s="130">
        <f ca="1" t="shared" si="1461"/>
        <v>1</v>
      </c>
      <c r="F1238" s="130">
        <f ca="1" t="shared" si="1461"/>
        <v>1</v>
      </c>
      <c r="G1238" s="130">
        <f ca="1" t="shared" si="1461"/>
        <v>1</v>
      </c>
      <c r="H1238" s="130">
        <f ca="1" t="shared" si="1461"/>
        <v>1</v>
      </c>
      <c r="I1238" s="130">
        <f ca="1" t="shared" si="1461"/>
        <v>1</v>
      </c>
      <c r="J1238" s="130">
        <f ca="1" t="shared" si="1461"/>
        <v>1</v>
      </c>
      <c r="K1238" s="130">
        <f ca="1" t="shared" si="1461"/>
        <v>0</v>
      </c>
      <c r="L1238" s="130">
        <f ca="1" t="shared" si="1461"/>
        <v>0</v>
      </c>
      <c r="M1238" s="130">
        <f ca="1" t="shared" si="1461"/>
        <v>0</v>
      </c>
      <c r="N1238" s="130">
        <f ca="1" t="shared" si="1461"/>
        <v>0</v>
      </c>
      <c r="O1238" s="130">
        <f ca="1" t="shared" si="1461"/>
        <v>0</v>
      </c>
      <c r="P1238" s="130">
        <f ca="1" t="shared" si="1461"/>
        <v>0</v>
      </c>
      <c r="Q1238" s="130">
        <f ca="1" t="shared" si="1461"/>
        <v>0</v>
      </c>
      <c r="R1238" s="130">
        <f ca="1" t="shared" si="1461"/>
        <v>0</v>
      </c>
      <c r="S1238" s="130">
        <f ca="1" t="shared" si="1461"/>
        <v>0</v>
      </c>
      <c r="T1238" s="130">
        <f ca="1" t="shared" si="1461"/>
        <v>0</v>
      </c>
      <c r="U1238" s="130">
        <f ca="1" t="shared" si="1461"/>
        <v>0</v>
      </c>
      <c r="V1238" s="130">
        <f ca="1" t="shared" si="1461"/>
        <v>0</v>
      </c>
    </row>
    <row r="1239" s="106" customFormat="1" ht="16.5" spans="2:40">
      <c r="B1239" s="117">
        <v>3</v>
      </c>
      <c r="C1239" s="130">
        <f t="shared" si="1459"/>
        <v>300</v>
      </c>
      <c r="D1239" s="130">
        <f ca="1" t="shared" ref="D1239:V1239" si="1462">IF($C1239&gt;D$633,1,0)</f>
        <v>1</v>
      </c>
      <c r="E1239" s="130">
        <f ca="1" t="shared" si="1462"/>
        <v>1</v>
      </c>
      <c r="F1239" s="130">
        <f ca="1" t="shared" si="1462"/>
        <v>1</v>
      </c>
      <c r="G1239" s="130">
        <f ca="1" t="shared" si="1462"/>
        <v>1</v>
      </c>
      <c r="H1239" s="130">
        <f ca="1" t="shared" si="1462"/>
        <v>1</v>
      </c>
      <c r="I1239" s="130">
        <f ca="1" t="shared" si="1462"/>
        <v>1</v>
      </c>
      <c r="J1239" s="130">
        <f ca="1" t="shared" si="1462"/>
        <v>1</v>
      </c>
      <c r="K1239" s="130">
        <f ca="1" t="shared" si="1462"/>
        <v>1</v>
      </c>
      <c r="L1239" s="130">
        <f ca="1" t="shared" si="1462"/>
        <v>1</v>
      </c>
      <c r="M1239" s="130">
        <f ca="1" t="shared" si="1462"/>
        <v>0</v>
      </c>
      <c r="N1239" s="130">
        <f ca="1" t="shared" si="1462"/>
        <v>0</v>
      </c>
      <c r="O1239" s="130">
        <f ca="1" t="shared" si="1462"/>
        <v>0</v>
      </c>
      <c r="P1239" s="130">
        <f ca="1" t="shared" si="1462"/>
        <v>0</v>
      </c>
      <c r="Q1239" s="130">
        <f ca="1" t="shared" si="1462"/>
        <v>0</v>
      </c>
      <c r="R1239" s="130">
        <f ca="1" t="shared" si="1462"/>
        <v>0</v>
      </c>
      <c r="S1239" s="130">
        <f ca="1" t="shared" si="1462"/>
        <v>0</v>
      </c>
      <c r="T1239" s="130">
        <f ca="1" t="shared" si="1462"/>
        <v>0</v>
      </c>
      <c r="U1239" s="130">
        <f ca="1" t="shared" si="1462"/>
        <v>0</v>
      </c>
      <c r="V1239" s="130">
        <f ca="1" t="shared" si="1462"/>
        <v>0</v>
      </c>
    </row>
    <row r="1240" s="106" customFormat="1" ht="16.5" spans="2:40">
      <c r="B1240" s="117">
        <v>4</v>
      </c>
      <c r="C1240" s="130">
        <f t="shared" si="1459"/>
        <v>400</v>
      </c>
      <c r="D1240" s="130">
        <f ca="1" t="shared" ref="D1240:V1240" si="1463">IF($C1240&gt;D$633,1,0)</f>
        <v>1</v>
      </c>
      <c r="E1240" s="130">
        <f ca="1" t="shared" si="1463"/>
        <v>1</v>
      </c>
      <c r="F1240" s="130">
        <f ca="1" t="shared" si="1463"/>
        <v>1</v>
      </c>
      <c r="G1240" s="130">
        <f ca="1" t="shared" si="1463"/>
        <v>1</v>
      </c>
      <c r="H1240" s="130">
        <f ca="1" t="shared" si="1463"/>
        <v>1</v>
      </c>
      <c r="I1240" s="130">
        <f ca="1" t="shared" si="1463"/>
        <v>1</v>
      </c>
      <c r="J1240" s="130">
        <f ca="1" t="shared" si="1463"/>
        <v>1</v>
      </c>
      <c r="K1240" s="130">
        <f ca="1" t="shared" si="1463"/>
        <v>1</v>
      </c>
      <c r="L1240" s="130">
        <f ca="1" t="shared" si="1463"/>
        <v>1</v>
      </c>
      <c r="M1240" s="130">
        <f ca="1" t="shared" si="1463"/>
        <v>1</v>
      </c>
      <c r="N1240" s="130">
        <f ca="1" t="shared" si="1463"/>
        <v>0</v>
      </c>
      <c r="O1240" s="130">
        <f ca="1" t="shared" si="1463"/>
        <v>0</v>
      </c>
      <c r="P1240" s="130">
        <f ca="1" t="shared" si="1463"/>
        <v>0</v>
      </c>
      <c r="Q1240" s="130">
        <f ca="1" t="shared" si="1463"/>
        <v>0</v>
      </c>
      <c r="R1240" s="130">
        <f ca="1" t="shared" si="1463"/>
        <v>0</v>
      </c>
      <c r="S1240" s="130">
        <f ca="1" t="shared" si="1463"/>
        <v>0</v>
      </c>
      <c r="T1240" s="130">
        <f ca="1" t="shared" si="1463"/>
        <v>0</v>
      </c>
      <c r="U1240" s="130">
        <f ca="1" t="shared" si="1463"/>
        <v>0</v>
      </c>
      <c r="V1240" s="130">
        <f ca="1" t="shared" si="1463"/>
        <v>0</v>
      </c>
    </row>
    <row r="1241" s="106" customFormat="1" ht="16.5" spans="2:40">
      <c r="B1241" s="117">
        <v>5</v>
      </c>
      <c r="C1241" s="130">
        <f t="shared" si="1459"/>
        <v>500</v>
      </c>
      <c r="D1241" s="130">
        <f ca="1" t="shared" ref="D1241:V1241" si="1464">IF($C1241&gt;D$633,1,0)</f>
        <v>1</v>
      </c>
      <c r="E1241" s="130">
        <f ca="1" t="shared" si="1464"/>
        <v>1</v>
      </c>
      <c r="F1241" s="130">
        <f ca="1" t="shared" si="1464"/>
        <v>1</v>
      </c>
      <c r="G1241" s="130">
        <f ca="1" t="shared" si="1464"/>
        <v>1</v>
      </c>
      <c r="H1241" s="130">
        <f ca="1" t="shared" si="1464"/>
        <v>1</v>
      </c>
      <c r="I1241" s="130">
        <f ca="1" t="shared" si="1464"/>
        <v>1</v>
      </c>
      <c r="J1241" s="130">
        <f ca="1" t="shared" si="1464"/>
        <v>1</v>
      </c>
      <c r="K1241" s="130">
        <f ca="1" t="shared" si="1464"/>
        <v>1</v>
      </c>
      <c r="L1241" s="130">
        <f ca="1" t="shared" si="1464"/>
        <v>1</v>
      </c>
      <c r="M1241" s="130">
        <f ca="1" t="shared" si="1464"/>
        <v>1</v>
      </c>
      <c r="N1241" s="130">
        <f ca="1" t="shared" si="1464"/>
        <v>0</v>
      </c>
      <c r="O1241" s="130">
        <f ca="1" t="shared" si="1464"/>
        <v>0</v>
      </c>
      <c r="P1241" s="130">
        <f ca="1" t="shared" si="1464"/>
        <v>0</v>
      </c>
      <c r="Q1241" s="130">
        <f ca="1" t="shared" si="1464"/>
        <v>0</v>
      </c>
      <c r="R1241" s="130">
        <f ca="1" t="shared" si="1464"/>
        <v>0</v>
      </c>
      <c r="S1241" s="130">
        <f ca="1" t="shared" si="1464"/>
        <v>0</v>
      </c>
      <c r="T1241" s="130">
        <f ca="1" t="shared" si="1464"/>
        <v>0</v>
      </c>
      <c r="U1241" s="130">
        <f ca="1" t="shared" si="1464"/>
        <v>0</v>
      </c>
      <c r="V1241" s="130">
        <f ca="1" t="shared" si="1464"/>
        <v>0</v>
      </c>
    </row>
    <row r="1242" s="106" customFormat="1" ht="16.5" spans="2:40">
      <c r="B1242" s="117">
        <v>6</v>
      </c>
      <c r="C1242" s="130">
        <f t="shared" si="1459"/>
        <v>600</v>
      </c>
      <c r="D1242" s="130">
        <f ca="1" t="shared" ref="D1242:V1242" si="1465">IF($C1242&gt;D$633,1,0)</f>
        <v>1</v>
      </c>
      <c r="E1242" s="130">
        <f ca="1" t="shared" si="1465"/>
        <v>1</v>
      </c>
      <c r="F1242" s="130">
        <f ca="1" t="shared" si="1465"/>
        <v>1</v>
      </c>
      <c r="G1242" s="130">
        <f ca="1" t="shared" si="1465"/>
        <v>1</v>
      </c>
      <c r="H1242" s="130">
        <f ca="1" t="shared" si="1465"/>
        <v>1</v>
      </c>
      <c r="I1242" s="130">
        <f ca="1" t="shared" si="1465"/>
        <v>1</v>
      </c>
      <c r="J1242" s="130">
        <f ca="1" t="shared" si="1465"/>
        <v>1</v>
      </c>
      <c r="K1242" s="130">
        <f ca="1" t="shared" si="1465"/>
        <v>1</v>
      </c>
      <c r="L1242" s="130">
        <f ca="1" t="shared" si="1465"/>
        <v>1</v>
      </c>
      <c r="M1242" s="130">
        <f ca="1" t="shared" si="1465"/>
        <v>1</v>
      </c>
      <c r="N1242" s="130">
        <f ca="1" t="shared" si="1465"/>
        <v>0</v>
      </c>
      <c r="O1242" s="130">
        <f ca="1" t="shared" si="1465"/>
        <v>0</v>
      </c>
      <c r="P1242" s="130">
        <f ca="1" t="shared" si="1465"/>
        <v>0</v>
      </c>
      <c r="Q1242" s="130">
        <f ca="1" t="shared" si="1465"/>
        <v>0</v>
      </c>
      <c r="R1242" s="130">
        <f ca="1" t="shared" si="1465"/>
        <v>0</v>
      </c>
      <c r="S1242" s="130">
        <f ca="1" t="shared" si="1465"/>
        <v>0</v>
      </c>
      <c r="T1242" s="130">
        <f ca="1" t="shared" si="1465"/>
        <v>0</v>
      </c>
      <c r="U1242" s="130">
        <f ca="1" t="shared" si="1465"/>
        <v>0</v>
      </c>
      <c r="V1242" s="130">
        <f ca="1" t="shared" si="1465"/>
        <v>0</v>
      </c>
    </row>
    <row r="1243" s="106" customFormat="1" ht="16.5" spans="2:40">
      <c r="B1243" s="117">
        <v>7</v>
      </c>
      <c r="C1243" s="130">
        <f t="shared" si="1459"/>
        <v>700</v>
      </c>
      <c r="D1243" s="130">
        <f ca="1" t="shared" ref="D1243:V1243" si="1466">IF($C1243&gt;D$633,1,0)</f>
        <v>1</v>
      </c>
      <c r="E1243" s="130">
        <f ca="1" t="shared" si="1466"/>
        <v>1</v>
      </c>
      <c r="F1243" s="130">
        <f ca="1" t="shared" si="1466"/>
        <v>1</v>
      </c>
      <c r="G1243" s="130">
        <f ca="1" t="shared" si="1466"/>
        <v>1</v>
      </c>
      <c r="H1243" s="130">
        <f ca="1" t="shared" si="1466"/>
        <v>1</v>
      </c>
      <c r="I1243" s="130">
        <f ca="1" t="shared" si="1466"/>
        <v>1</v>
      </c>
      <c r="J1243" s="130">
        <f ca="1" t="shared" si="1466"/>
        <v>1</v>
      </c>
      <c r="K1243" s="130">
        <f ca="1" t="shared" si="1466"/>
        <v>1</v>
      </c>
      <c r="L1243" s="130">
        <f ca="1" t="shared" si="1466"/>
        <v>1</v>
      </c>
      <c r="M1243" s="130">
        <f ca="1" t="shared" si="1466"/>
        <v>1</v>
      </c>
      <c r="N1243" s="130">
        <f ca="1" t="shared" si="1466"/>
        <v>1</v>
      </c>
      <c r="O1243" s="130">
        <f ca="1" t="shared" si="1466"/>
        <v>1</v>
      </c>
      <c r="P1243" s="130">
        <f ca="1" t="shared" si="1466"/>
        <v>0</v>
      </c>
      <c r="Q1243" s="130">
        <f ca="1" t="shared" si="1466"/>
        <v>0</v>
      </c>
      <c r="R1243" s="130">
        <f ca="1" t="shared" si="1466"/>
        <v>0</v>
      </c>
      <c r="S1243" s="130">
        <f ca="1" t="shared" si="1466"/>
        <v>0</v>
      </c>
      <c r="T1243" s="130">
        <f ca="1" t="shared" si="1466"/>
        <v>0</v>
      </c>
      <c r="U1243" s="130">
        <f ca="1" t="shared" si="1466"/>
        <v>0</v>
      </c>
      <c r="V1243" s="130">
        <f ca="1" t="shared" si="1466"/>
        <v>0</v>
      </c>
    </row>
    <row r="1244" s="106" customFormat="1" ht="16.5" spans="2:40">
      <c r="B1244" s="117">
        <v>8</v>
      </c>
      <c r="C1244" s="130">
        <f t="shared" si="1459"/>
        <v>800</v>
      </c>
      <c r="D1244" s="130">
        <f ca="1" t="shared" ref="D1244:V1244" si="1467">IF($C1244&gt;D$633,1,0)</f>
        <v>1</v>
      </c>
      <c r="E1244" s="130">
        <f ca="1" t="shared" si="1467"/>
        <v>1</v>
      </c>
      <c r="F1244" s="130">
        <f ca="1" t="shared" si="1467"/>
        <v>1</v>
      </c>
      <c r="G1244" s="130">
        <f ca="1" t="shared" si="1467"/>
        <v>1</v>
      </c>
      <c r="H1244" s="130">
        <f ca="1" t="shared" si="1467"/>
        <v>1</v>
      </c>
      <c r="I1244" s="130">
        <f ca="1" t="shared" si="1467"/>
        <v>1</v>
      </c>
      <c r="J1244" s="130">
        <f ca="1" t="shared" si="1467"/>
        <v>1</v>
      </c>
      <c r="K1244" s="130">
        <f ca="1" t="shared" si="1467"/>
        <v>1</v>
      </c>
      <c r="L1244" s="130">
        <f ca="1" t="shared" si="1467"/>
        <v>1</v>
      </c>
      <c r="M1244" s="130">
        <f ca="1" t="shared" si="1467"/>
        <v>1</v>
      </c>
      <c r="N1244" s="130">
        <f ca="1" t="shared" si="1467"/>
        <v>1</v>
      </c>
      <c r="O1244" s="130">
        <f ca="1" t="shared" si="1467"/>
        <v>1</v>
      </c>
      <c r="P1244" s="130">
        <f ca="1" t="shared" si="1467"/>
        <v>0</v>
      </c>
      <c r="Q1244" s="130">
        <f ca="1" t="shared" si="1467"/>
        <v>0</v>
      </c>
      <c r="R1244" s="130">
        <f ca="1" t="shared" si="1467"/>
        <v>0</v>
      </c>
      <c r="S1244" s="130">
        <f ca="1" t="shared" si="1467"/>
        <v>0</v>
      </c>
      <c r="T1244" s="130">
        <f ca="1" t="shared" si="1467"/>
        <v>0</v>
      </c>
      <c r="U1244" s="130">
        <f ca="1" t="shared" si="1467"/>
        <v>0</v>
      </c>
      <c r="V1244" s="130">
        <f ca="1" t="shared" si="1467"/>
        <v>0</v>
      </c>
    </row>
    <row r="1245" s="106" customFormat="1" ht="16.5" spans="2:40">
      <c r="B1245" s="117">
        <v>9</v>
      </c>
      <c r="C1245" s="130">
        <f t="shared" si="1459"/>
        <v>900</v>
      </c>
      <c r="D1245" s="130">
        <f ca="1" t="shared" ref="D1245:V1245" si="1468">IF($C1245&gt;D$633,1,0)</f>
        <v>1</v>
      </c>
      <c r="E1245" s="130">
        <f ca="1" t="shared" si="1468"/>
        <v>1</v>
      </c>
      <c r="F1245" s="130">
        <f ca="1" t="shared" si="1468"/>
        <v>1</v>
      </c>
      <c r="G1245" s="130">
        <f ca="1" t="shared" si="1468"/>
        <v>1</v>
      </c>
      <c r="H1245" s="130">
        <f ca="1" t="shared" si="1468"/>
        <v>1</v>
      </c>
      <c r="I1245" s="130">
        <f ca="1" t="shared" si="1468"/>
        <v>1</v>
      </c>
      <c r="J1245" s="130">
        <f ca="1" t="shared" si="1468"/>
        <v>1</v>
      </c>
      <c r="K1245" s="130">
        <f ca="1" t="shared" si="1468"/>
        <v>1</v>
      </c>
      <c r="L1245" s="130">
        <f ca="1" t="shared" si="1468"/>
        <v>1</v>
      </c>
      <c r="M1245" s="130">
        <f ca="1" t="shared" si="1468"/>
        <v>1</v>
      </c>
      <c r="N1245" s="130">
        <f ca="1" t="shared" si="1468"/>
        <v>1</v>
      </c>
      <c r="O1245" s="130">
        <f ca="1" t="shared" si="1468"/>
        <v>1</v>
      </c>
      <c r="P1245" s="130">
        <f ca="1" t="shared" si="1468"/>
        <v>0</v>
      </c>
      <c r="Q1245" s="130">
        <f ca="1" t="shared" si="1468"/>
        <v>0</v>
      </c>
      <c r="R1245" s="130">
        <f ca="1" t="shared" si="1468"/>
        <v>0</v>
      </c>
      <c r="S1245" s="130">
        <f ca="1" t="shared" si="1468"/>
        <v>0</v>
      </c>
      <c r="T1245" s="130">
        <f ca="1" t="shared" si="1468"/>
        <v>0</v>
      </c>
      <c r="U1245" s="130">
        <f ca="1" t="shared" si="1468"/>
        <v>0</v>
      </c>
      <c r="V1245" s="130">
        <f ca="1" t="shared" si="1468"/>
        <v>0</v>
      </c>
    </row>
    <row r="1246" s="106" customFormat="1" ht="16.5" spans="2:40">
      <c r="B1246" s="117">
        <v>10</v>
      </c>
      <c r="C1246" s="130">
        <f t="shared" si="1459"/>
        <v>1000</v>
      </c>
      <c r="D1246" s="130">
        <f ca="1" t="shared" ref="D1246:V1246" si="1469">IF($C1246&gt;D$633,1,0)</f>
        <v>1</v>
      </c>
      <c r="E1246" s="130">
        <f ca="1" t="shared" si="1469"/>
        <v>1</v>
      </c>
      <c r="F1246" s="130">
        <f ca="1" t="shared" si="1469"/>
        <v>1</v>
      </c>
      <c r="G1246" s="130">
        <f ca="1" t="shared" si="1469"/>
        <v>1</v>
      </c>
      <c r="H1246" s="130">
        <f ca="1" t="shared" si="1469"/>
        <v>1</v>
      </c>
      <c r="I1246" s="130">
        <f ca="1" t="shared" si="1469"/>
        <v>1</v>
      </c>
      <c r="J1246" s="130">
        <f ca="1" t="shared" si="1469"/>
        <v>1</v>
      </c>
      <c r="K1246" s="130">
        <f ca="1" t="shared" si="1469"/>
        <v>1</v>
      </c>
      <c r="L1246" s="130">
        <f ca="1" t="shared" si="1469"/>
        <v>1</v>
      </c>
      <c r="M1246" s="130">
        <f ca="1" t="shared" si="1469"/>
        <v>1</v>
      </c>
      <c r="N1246" s="130">
        <f ca="1" t="shared" si="1469"/>
        <v>1</v>
      </c>
      <c r="O1246" s="130">
        <f ca="1" t="shared" si="1469"/>
        <v>1</v>
      </c>
      <c r="P1246" s="130">
        <f ca="1" t="shared" si="1469"/>
        <v>0</v>
      </c>
      <c r="Q1246" s="130">
        <f ca="1" t="shared" si="1469"/>
        <v>1</v>
      </c>
      <c r="R1246" s="130">
        <f ca="1" t="shared" si="1469"/>
        <v>0</v>
      </c>
      <c r="S1246" s="130">
        <f ca="1" t="shared" si="1469"/>
        <v>0</v>
      </c>
      <c r="T1246" s="130">
        <f ca="1" t="shared" si="1469"/>
        <v>0</v>
      </c>
      <c r="U1246" s="130">
        <f ca="1" t="shared" si="1469"/>
        <v>0</v>
      </c>
      <c r="V1246" s="130">
        <f ca="1" t="shared" si="1469"/>
        <v>0</v>
      </c>
    </row>
    <row r="1247" s="106" customFormat="1" ht="16.5" spans="2:40">
      <c r="B1247" s="117">
        <v>11</v>
      </c>
      <c r="C1247" s="130">
        <f t="shared" si="1459"/>
        <v>1100</v>
      </c>
      <c r="D1247" s="130">
        <f ca="1" t="shared" ref="D1247:V1247" si="1470">IF($C1247&gt;D$633,1,0)</f>
        <v>1</v>
      </c>
      <c r="E1247" s="130">
        <f ca="1" t="shared" si="1470"/>
        <v>1</v>
      </c>
      <c r="F1247" s="130">
        <f ca="1" t="shared" si="1470"/>
        <v>1</v>
      </c>
      <c r="G1247" s="130">
        <f ca="1" t="shared" si="1470"/>
        <v>1</v>
      </c>
      <c r="H1247" s="130">
        <f ca="1" t="shared" si="1470"/>
        <v>1</v>
      </c>
      <c r="I1247" s="130">
        <f ca="1" t="shared" si="1470"/>
        <v>1</v>
      </c>
      <c r="J1247" s="130">
        <f ca="1" t="shared" si="1470"/>
        <v>1</v>
      </c>
      <c r="K1247" s="130">
        <f ca="1" t="shared" si="1470"/>
        <v>1</v>
      </c>
      <c r="L1247" s="130">
        <f ca="1" t="shared" si="1470"/>
        <v>1</v>
      </c>
      <c r="M1247" s="130">
        <f ca="1" t="shared" si="1470"/>
        <v>1</v>
      </c>
      <c r="N1247" s="130">
        <f ca="1" t="shared" si="1470"/>
        <v>1</v>
      </c>
      <c r="O1247" s="130">
        <f ca="1" t="shared" si="1470"/>
        <v>1</v>
      </c>
      <c r="P1247" s="130">
        <f ca="1" t="shared" si="1470"/>
        <v>0</v>
      </c>
      <c r="Q1247" s="130">
        <f ca="1" t="shared" si="1470"/>
        <v>1</v>
      </c>
      <c r="R1247" s="130">
        <f ca="1" t="shared" si="1470"/>
        <v>0</v>
      </c>
      <c r="S1247" s="130">
        <f ca="1" t="shared" si="1470"/>
        <v>0</v>
      </c>
      <c r="T1247" s="130">
        <f ca="1" t="shared" si="1470"/>
        <v>0</v>
      </c>
      <c r="U1247" s="130">
        <f ca="1" t="shared" si="1470"/>
        <v>0</v>
      </c>
      <c r="V1247" s="130">
        <f ca="1" t="shared" si="1470"/>
        <v>0</v>
      </c>
    </row>
    <row r="1248" s="106" customFormat="1" ht="16.5" spans="2:40">
      <c r="B1248" s="117">
        <v>12</v>
      </c>
      <c r="C1248" s="130">
        <f t="shared" si="1459"/>
        <v>1200</v>
      </c>
      <c r="D1248" s="130">
        <f ca="1" t="shared" ref="D1248:V1248" si="1471">IF($C1248&gt;D$633,1,0)</f>
        <v>1</v>
      </c>
      <c r="E1248" s="130">
        <f ca="1" t="shared" si="1471"/>
        <v>1</v>
      </c>
      <c r="F1248" s="130">
        <f ca="1" t="shared" si="1471"/>
        <v>1</v>
      </c>
      <c r="G1248" s="130">
        <f ca="1" t="shared" si="1471"/>
        <v>1</v>
      </c>
      <c r="H1248" s="130">
        <f ca="1" t="shared" si="1471"/>
        <v>1</v>
      </c>
      <c r="I1248" s="130">
        <f ca="1" t="shared" si="1471"/>
        <v>1</v>
      </c>
      <c r="J1248" s="130">
        <f ca="1" t="shared" si="1471"/>
        <v>1</v>
      </c>
      <c r="K1248" s="130">
        <f ca="1" t="shared" si="1471"/>
        <v>1</v>
      </c>
      <c r="L1248" s="130">
        <f ca="1" t="shared" si="1471"/>
        <v>1</v>
      </c>
      <c r="M1248" s="130">
        <f ca="1" t="shared" si="1471"/>
        <v>1</v>
      </c>
      <c r="N1248" s="130">
        <f ca="1" t="shared" si="1471"/>
        <v>1</v>
      </c>
      <c r="O1248" s="130">
        <f ca="1" t="shared" si="1471"/>
        <v>1</v>
      </c>
      <c r="P1248" s="130">
        <f ca="1" t="shared" si="1471"/>
        <v>0</v>
      </c>
      <c r="Q1248" s="130">
        <f ca="1" t="shared" si="1471"/>
        <v>1</v>
      </c>
      <c r="R1248" s="130">
        <f ca="1" t="shared" si="1471"/>
        <v>0</v>
      </c>
      <c r="S1248" s="130">
        <f ca="1" t="shared" si="1471"/>
        <v>0</v>
      </c>
      <c r="T1248" s="130">
        <f ca="1" t="shared" si="1471"/>
        <v>0</v>
      </c>
      <c r="U1248" s="130">
        <f ca="1" t="shared" si="1471"/>
        <v>0</v>
      </c>
      <c r="V1248" s="130">
        <f ca="1" t="shared" si="1471"/>
        <v>0</v>
      </c>
    </row>
    <row r="1249" s="106" customFormat="1" ht="16.5" spans="2:22">
      <c r="B1249" s="117">
        <v>13</v>
      </c>
      <c r="C1249" s="130">
        <f t="shared" si="1459"/>
        <v>1300</v>
      </c>
      <c r="D1249" s="130">
        <f ca="1" t="shared" ref="D1249:V1249" si="1472">IF($C1249&gt;D$633,1,0)</f>
        <v>1</v>
      </c>
      <c r="E1249" s="130">
        <f ca="1" t="shared" si="1472"/>
        <v>1</v>
      </c>
      <c r="F1249" s="130">
        <f ca="1" t="shared" si="1472"/>
        <v>1</v>
      </c>
      <c r="G1249" s="130">
        <f ca="1" t="shared" si="1472"/>
        <v>1</v>
      </c>
      <c r="H1249" s="130">
        <f ca="1" t="shared" si="1472"/>
        <v>1</v>
      </c>
      <c r="I1249" s="130">
        <f ca="1" t="shared" si="1472"/>
        <v>1</v>
      </c>
      <c r="J1249" s="130">
        <f ca="1" t="shared" si="1472"/>
        <v>1</v>
      </c>
      <c r="K1249" s="130">
        <f ca="1" t="shared" si="1472"/>
        <v>1</v>
      </c>
      <c r="L1249" s="130">
        <f ca="1" t="shared" si="1472"/>
        <v>1</v>
      </c>
      <c r="M1249" s="130">
        <f ca="1" t="shared" si="1472"/>
        <v>1</v>
      </c>
      <c r="N1249" s="130">
        <f ca="1" t="shared" si="1472"/>
        <v>1</v>
      </c>
      <c r="O1249" s="130">
        <f ca="1" t="shared" si="1472"/>
        <v>1</v>
      </c>
      <c r="P1249" s="130">
        <f ca="1" t="shared" si="1472"/>
        <v>0</v>
      </c>
      <c r="Q1249" s="130">
        <f ca="1" t="shared" si="1472"/>
        <v>1</v>
      </c>
      <c r="R1249" s="130">
        <f ca="1" t="shared" si="1472"/>
        <v>0</v>
      </c>
      <c r="S1249" s="130">
        <f ca="1" t="shared" si="1472"/>
        <v>0</v>
      </c>
      <c r="T1249" s="130">
        <f ca="1" t="shared" si="1472"/>
        <v>0</v>
      </c>
      <c r="U1249" s="130">
        <f ca="1" t="shared" si="1472"/>
        <v>0</v>
      </c>
      <c r="V1249" s="130">
        <f ca="1" t="shared" si="1472"/>
        <v>0</v>
      </c>
    </row>
    <row r="1250" s="106" customFormat="1" ht="16.5" spans="2:22">
      <c r="B1250" s="117">
        <v>14</v>
      </c>
      <c r="C1250" s="130">
        <f t="shared" si="1459"/>
        <v>1400</v>
      </c>
      <c r="D1250" s="130">
        <f ca="1" t="shared" ref="D1250:V1250" si="1473">IF($C1250&gt;D$633,1,0)</f>
        <v>1</v>
      </c>
      <c r="E1250" s="130">
        <f ca="1" t="shared" si="1473"/>
        <v>1</v>
      </c>
      <c r="F1250" s="130">
        <f ca="1" t="shared" si="1473"/>
        <v>1</v>
      </c>
      <c r="G1250" s="130">
        <f ca="1" t="shared" si="1473"/>
        <v>1</v>
      </c>
      <c r="H1250" s="130">
        <f ca="1" t="shared" si="1473"/>
        <v>1</v>
      </c>
      <c r="I1250" s="130">
        <f ca="1" t="shared" si="1473"/>
        <v>1</v>
      </c>
      <c r="J1250" s="130">
        <f ca="1" t="shared" si="1473"/>
        <v>1</v>
      </c>
      <c r="K1250" s="130">
        <f ca="1" t="shared" si="1473"/>
        <v>1</v>
      </c>
      <c r="L1250" s="130">
        <f ca="1" t="shared" si="1473"/>
        <v>1</v>
      </c>
      <c r="M1250" s="130">
        <f ca="1" t="shared" si="1473"/>
        <v>1</v>
      </c>
      <c r="N1250" s="130">
        <f ca="1" t="shared" si="1473"/>
        <v>1</v>
      </c>
      <c r="O1250" s="130">
        <f ca="1" t="shared" si="1473"/>
        <v>1</v>
      </c>
      <c r="P1250" s="130">
        <f ca="1" t="shared" si="1473"/>
        <v>0</v>
      </c>
      <c r="Q1250" s="130">
        <f ca="1" t="shared" si="1473"/>
        <v>1</v>
      </c>
      <c r="R1250" s="130">
        <f ca="1" t="shared" si="1473"/>
        <v>0</v>
      </c>
      <c r="S1250" s="130">
        <f ca="1" t="shared" si="1473"/>
        <v>0</v>
      </c>
      <c r="T1250" s="130">
        <f ca="1" t="shared" si="1473"/>
        <v>0</v>
      </c>
      <c r="U1250" s="130">
        <f ca="1" t="shared" si="1473"/>
        <v>0</v>
      </c>
      <c r="V1250" s="130">
        <f ca="1" t="shared" si="1473"/>
        <v>0</v>
      </c>
    </row>
    <row r="1251" s="106" customFormat="1" ht="16.5" spans="2:22">
      <c r="B1251" s="117">
        <v>15</v>
      </c>
      <c r="C1251" s="130">
        <f t="shared" si="1459"/>
        <v>1500</v>
      </c>
      <c r="D1251" s="130">
        <f ca="1" t="shared" ref="D1251:V1251" si="1474">IF($C1251&gt;D$633,1,0)</f>
        <v>1</v>
      </c>
      <c r="E1251" s="130">
        <f ca="1" t="shared" si="1474"/>
        <v>1</v>
      </c>
      <c r="F1251" s="130">
        <f ca="1" t="shared" si="1474"/>
        <v>1</v>
      </c>
      <c r="G1251" s="130">
        <f ca="1" t="shared" si="1474"/>
        <v>1</v>
      </c>
      <c r="H1251" s="130">
        <f ca="1" t="shared" si="1474"/>
        <v>1</v>
      </c>
      <c r="I1251" s="130">
        <f ca="1" t="shared" si="1474"/>
        <v>1</v>
      </c>
      <c r="J1251" s="130">
        <f ca="1" t="shared" si="1474"/>
        <v>1</v>
      </c>
      <c r="K1251" s="130">
        <f ca="1" t="shared" si="1474"/>
        <v>1</v>
      </c>
      <c r="L1251" s="130">
        <f ca="1" t="shared" si="1474"/>
        <v>1</v>
      </c>
      <c r="M1251" s="130">
        <f ca="1" t="shared" si="1474"/>
        <v>1</v>
      </c>
      <c r="N1251" s="130">
        <f ca="1" t="shared" si="1474"/>
        <v>1</v>
      </c>
      <c r="O1251" s="130">
        <f ca="1" t="shared" si="1474"/>
        <v>1</v>
      </c>
      <c r="P1251" s="130">
        <f ca="1" t="shared" si="1474"/>
        <v>1</v>
      </c>
      <c r="Q1251" s="130">
        <f ca="1" t="shared" si="1474"/>
        <v>1</v>
      </c>
      <c r="R1251" s="130">
        <f ca="1" t="shared" si="1474"/>
        <v>0</v>
      </c>
      <c r="S1251" s="130">
        <f ca="1" t="shared" si="1474"/>
        <v>0</v>
      </c>
      <c r="T1251" s="130">
        <f ca="1" t="shared" si="1474"/>
        <v>0</v>
      </c>
      <c r="U1251" s="130">
        <f ca="1" t="shared" si="1474"/>
        <v>0</v>
      </c>
      <c r="V1251" s="130">
        <f ca="1" t="shared" si="1474"/>
        <v>0</v>
      </c>
    </row>
    <row r="1252" s="106" customFormat="1" ht="16.5" spans="2:22">
      <c r="B1252" s="117">
        <v>16</v>
      </c>
      <c r="C1252" s="130">
        <f t="shared" si="1459"/>
        <v>1600</v>
      </c>
      <c r="D1252" s="130">
        <f ca="1" t="shared" ref="D1252:V1252" si="1475">IF($C1252&gt;D$633,1,0)</f>
        <v>1</v>
      </c>
      <c r="E1252" s="130">
        <f ca="1" t="shared" si="1475"/>
        <v>1</v>
      </c>
      <c r="F1252" s="130">
        <f ca="1" t="shared" si="1475"/>
        <v>1</v>
      </c>
      <c r="G1252" s="130">
        <f ca="1" t="shared" si="1475"/>
        <v>1</v>
      </c>
      <c r="H1252" s="130">
        <f ca="1" t="shared" si="1475"/>
        <v>1</v>
      </c>
      <c r="I1252" s="130">
        <f ca="1" t="shared" si="1475"/>
        <v>1</v>
      </c>
      <c r="J1252" s="130">
        <f ca="1" t="shared" si="1475"/>
        <v>1</v>
      </c>
      <c r="K1252" s="130">
        <f ca="1" t="shared" si="1475"/>
        <v>1</v>
      </c>
      <c r="L1252" s="130">
        <f ca="1" t="shared" si="1475"/>
        <v>1</v>
      </c>
      <c r="M1252" s="130">
        <f ca="1" t="shared" si="1475"/>
        <v>1</v>
      </c>
      <c r="N1252" s="130">
        <f ca="1" t="shared" si="1475"/>
        <v>1</v>
      </c>
      <c r="O1252" s="130">
        <f ca="1" t="shared" si="1475"/>
        <v>1</v>
      </c>
      <c r="P1252" s="130">
        <f ca="1" t="shared" si="1475"/>
        <v>1</v>
      </c>
      <c r="Q1252" s="130">
        <f ca="1" t="shared" si="1475"/>
        <v>1</v>
      </c>
      <c r="R1252" s="130">
        <f ca="1" t="shared" si="1475"/>
        <v>0</v>
      </c>
      <c r="S1252" s="130">
        <f ca="1" t="shared" si="1475"/>
        <v>0</v>
      </c>
      <c r="T1252" s="130">
        <f ca="1" t="shared" si="1475"/>
        <v>0</v>
      </c>
      <c r="U1252" s="130">
        <f ca="1" t="shared" si="1475"/>
        <v>0</v>
      </c>
      <c r="V1252" s="130">
        <f ca="1" t="shared" si="1475"/>
        <v>0</v>
      </c>
    </row>
    <row r="1253" s="106" customFormat="1" ht="16.5" spans="2:22">
      <c r="B1253" s="117">
        <v>17</v>
      </c>
      <c r="C1253" s="130">
        <f t="shared" si="1459"/>
        <v>1700</v>
      </c>
      <c r="D1253" s="130">
        <f ca="1" t="shared" ref="D1253:V1253" si="1476">IF($C1253&gt;D$633,1,0)</f>
        <v>1</v>
      </c>
      <c r="E1253" s="130">
        <f ca="1" t="shared" si="1476"/>
        <v>1</v>
      </c>
      <c r="F1253" s="130">
        <f ca="1" t="shared" si="1476"/>
        <v>1</v>
      </c>
      <c r="G1253" s="130">
        <f ca="1" t="shared" si="1476"/>
        <v>1</v>
      </c>
      <c r="H1253" s="130">
        <f ca="1" t="shared" si="1476"/>
        <v>1</v>
      </c>
      <c r="I1253" s="130">
        <f ca="1" t="shared" si="1476"/>
        <v>1</v>
      </c>
      <c r="J1253" s="130">
        <f ca="1" t="shared" si="1476"/>
        <v>1</v>
      </c>
      <c r="K1253" s="130">
        <f ca="1" t="shared" si="1476"/>
        <v>1</v>
      </c>
      <c r="L1253" s="130">
        <f ca="1" t="shared" si="1476"/>
        <v>1</v>
      </c>
      <c r="M1253" s="130">
        <f ca="1" t="shared" si="1476"/>
        <v>1</v>
      </c>
      <c r="N1253" s="130">
        <f ca="1" t="shared" si="1476"/>
        <v>1</v>
      </c>
      <c r="O1253" s="130">
        <f ca="1" t="shared" si="1476"/>
        <v>1</v>
      </c>
      <c r="P1253" s="130">
        <f ca="1" t="shared" si="1476"/>
        <v>1</v>
      </c>
      <c r="Q1253" s="130">
        <f ca="1" t="shared" si="1476"/>
        <v>1</v>
      </c>
      <c r="R1253" s="130">
        <f ca="1" t="shared" si="1476"/>
        <v>0</v>
      </c>
      <c r="S1253" s="130">
        <f ca="1" t="shared" si="1476"/>
        <v>0</v>
      </c>
      <c r="T1253" s="130">
        <f ca="1" t="shared" si="1476"/>
        <v>0</v>
      </c>
      <c r="U1253" s="130">
        <f ca="1" t="shared" si="1476"/>
        <v>0</v>
      </c>
      <c r="V1253" s="130">
        <f ca="1" t="shared" si="1476"/>
        <v>0</v>
      </c>
    </row>
    <row r="1254" s="106" customFormat="1" ht="16.5" spans="2:22">
      <c r="B1254" s="117">
        <v>18</v>
      </c>
      <c r="C1254" s="130">
        <f t="shared" si="1459"/>
        <v>1800</v>
      </c>
      <c r="D1254" s="130">
        <f ca="1" t="shared" ref="D1254:V1254" si="1477">IF($C1254&gt;D$633,1,0)</f>
        <v>1</v>
      </c>
      <c r="E1254" s="130">
        <f ca="1" t="shared" si="1477"/>
        <v>1</v>
      </c>
      <c r="F1254" s="130">
        <f ca="1" t="shared" si="1477"/>
        <v>1</v>
      </c>
      <c r="G1254" s="130">
        <f ca="1" t="shared" si="1477"/>
        <v>1</v>
      </c>
      <c r="H1254" s="130">
        <f ca="1" t="shared" si="1477"/>
        <v>1</v>
      </c>
      <c r="I1254" s="130">
        <f ca="1" t="shared" si="1477"/>
        <v>1</v>
      </c>
      <c r="J1254" s="130">
        <f ca="1" t="shared" si="1477"/>
        <v>1</v>
      </c>
      <c r="K1254" s="130">
        <f ca="1" t="shared" si="1477"/>
        <v>1</v>
      </c>
      <c r="L1254" s="130">
        <f ca="1" t="shared" si="1477"/>
        <v>1</v>
      </c>
      <c r="M1254" s="130">
        <f ca="1" t="shared" si="1477"/>
        <v>1</v>
      </c>
      <c r="N1254" s="130">
        <f ca="1" t="shared" si="1477"/>
        <v>1</v>
      </c>
      <c r="O1254" s="130">
        <f ca="1" t="shared" si="1477"/>
        <v>1</v>
      </c>
      <c r="P1254" s="130">
        <f ca="1" t="shared" si="1477"/>
        <v>1</v>
      </c>
      <c r="Q1254" s="130">
        <f ca="1" t="shared" si="1477"/>
        <v>1</v>
      </c>
      <c r="R1254" s="130">
        <f ca="1" t="shared" si="1477"/>
        <v>0</v>
      </c>
      <c r="S1254" s="130">
        <f ca="1" t="shared" si="1477"/>
        <v>0</v>
      </c>
      <c r="T1254" s="130">
        <f ca="1" t="shared" si="1477"/>
        <v>0</v>
      </c>
      <c r="U1254" s="130">
        <f ca="1" t="shared" si="1477"/>
        <v>0</v>
      </c>
      <c r="V1254" s="130">
        <f ca="1" t="shared" si="1477"/>
        <v>0</v>
      </c>
    </row>
    <row r="1255" s="106" customFormat="1" ht="16.5" spans="2:22">
      <c r="B1255" s="117">
        <v>19</v>
      </c>
      <c r="C1255" s="130">
        <f t="shared" si="1459"/>
        <v>1900</v>
      </c>
      <c r="D1255" s="130">
        <f ca="1" t="shared" ref="D1255:V1255" si="1478">IF($C1255&gt;D$633,1,0)</f>
        <v>1</v>
      </c>
      <c r="E1255" s="130">
        <f ca="1" t="shared" si="1478"/>
        <v>1</v>
      </c>
      <c r="F1255" s="130">
        <f ca="1" t="shared" si="1478"/>
        <v>1</v>
      </c>
      <c r="G1255" s="130">
        <f ca="1" t="shared" si="1478"/>
        <v>1</v>
      </c>
      <c r="H1255" s="130">
        <f ca="1" t="shared" si="1478"/>
        <v>1</v>
      </c>
      <c r="I1255" s="130">
        <f ca="1" t="shared" si="1478"/>
        <v>1</v>
      </c>
      <c r="J1255" s="130">
        <f ca="1" t="shared" si="1478"/>
        <v>1</v>
      </c>
      <c r="K1255" s="130">
        <f ca="1" t="shared" si="1478"/>
        <v>1</v>
      </c>
      <c r="L1255" s="130">
        <f ca="1" t="shared" si="1478"/>
        <v>1</v>
      </c>
      <c r="M1255" s="130">
        <f ca="1" t="shared" si="1478"/>
        <v>1</v>
      </c>
      <c r="N1255" s="130">
        <f ca="1" t="shared" si="1478"/>
        <v>1</v>
      </c>
      <c r="O1255" s="130">
        <f ca="1" t="shared" si="1478"/>
        <v>1</v>
      </c>
      <c r="P1255" s="130">
        <f ca="1" t="shared" si="1478"/>
        <v>1</v>
      </c>
      <c r="Q1255" s="130">
        <f ca="1" t="shared" si="1478"/>
        <v>1</v>
      </c>
      <c r="R1255" s="130">
        <f ca="1" t="shared" si="1478"/>
        <v>0</v>
      </c>
      <c r="S1255" s="130">
        <f ca="1" t="shared" si="1478"/>
        <v>0</v>
      </c>
      <c r="T1255" s="130">
        <f ca="1" t="shared" si="1478"/>
        <v>0</v>
      </c>
      <c r="U1255" s="130">
        <f ca="1" t="shared" si="1478"/>
        <v>0</v>
      </c>
      <c r="V1255" s="130">
        <f ca="1" t="shared" si="1478"/>
        <v>0</v>
      </c>
    </row>
    <row r="1256" s="106" customFormat="1" ht="16.5" spans="2:22">
      <c r="B1256" s="117">
        <v>20</v>
      </c>
      <c r="C1256" s="130">
        <f t="shared" si="1459"/>
        <v>2000</v>
      </c>
      <c r="D1256" s="130">
        <f ca="1" t="shared" ref="D1256:V1256" si="1479">IF($C1256&gt;D$633,1,0)</f>
        <v>1</v>
      </c>
      <c r="E1256" s="130">
        <f ca="1" t="shared" si="1479"/>
        <v>1</v>
      </c>
      <c r="F1256" s="130">
        <f ca="1" t="shared" si="1479"/>
        <v>1</v>
      </c>
      <c r="G1256" s="130">
        <f ca="1" t="shared" si="1479"/>
        <v>1</v>
      </c>
      <c r="H1256" s="130">
        <f ca="1" t="shared" si="1479"/>
        <v>1</v>
      </c>
      <c r="I1256" s="130">
        <f ca="1" t="shared" si="1479"/>
        <v>1</v>
      </c>
      <c r="J1256" s="130">
        <f ca="1" t="shared" si="1479"/>
        <v>1</v>
      </c>
      <c r="K1256" s="130">
        <f ca="1" t="shared" si="1479"/>
        <v>1</v>
      </c>
      <c r="L1256" s="130">
        <f ca="1" t="shared" si="1479"/>
        <v>1</v>
      </c>
      <c r="M1256" s="130">
        <f ca="1" t="shared" si="1479"/>
        <v>1</v>
      </c>
      <c r="N1256" s="130">
        <f ca="1" t="shared" si="1479"/>
        <v>1</v>
      </c>
      <c r="O1256" s="130">
        <f ca="1" t="shared" si="1479"/>
        <v>1</v>
      </c>
      <c r="P1256" s="130">
        <f ca="1" t="shared" si="1479"/>
        <v>1</v>
      </c>
      <c r="Q1256" s="130">
        <f ca="1" t="shared" si="1479"/>
        <v>1</v>
      </c>
      <c r="R1256" s="130">
        <f ca="1" t="shared" si="1479"/>
        <v>1</v>
      </c>
      <c r="S1256" s="130">
        <f ca="1" t="shared" si="1479"/>
        <v>0</v>
      </c>
      <c r="T1256" s="130">
        <f ca="1" t="shared" si="1479"/>
        <v>0</v>
      </c>
      <c r="U1256" s="130">
        <f ca="1" t="shared" si="1479"/>
        <v>0</v>
      </c>
      <c r="V1256" s="130">
        <f ca="1" t="shared" si="1479"/>
        <v>0</v>
      </c>
    </row>
    <row r="1257" s="106" customFormat="1" ht="16.5" spans="2:22">
      <c r="B1257" s="117">
        <v>21</v>
      </c>
      <c r="C1257" s="130">
        <f t="shared" si="1459"/>
        <v>2100</v>
      </c>
      <c r="D1257" s="130">
        <f ca="1" t="shared" ref="D1257:V1257" si="1480">IF($C1257&gt;D$633,1,0)</f>
        <v>1</v>
      </c>
      <c r="E1257" s="130">
        <f ca="1" t="shared" si="1480"/>
        <v>1</v>
      </c>
      <c r="F1257" s="130">
        <f ca="1" t="shared" si="1480"/>
        <v>1</v>
      </c>
      <c r="G1257" s="130">
        <f ca="1" t="shared" si="1480"/>
        <v>1</v>
      </c>
      <c r="H1257" s="130">
        <f ca="1" t="shared" si="1480"/>
        <v>1</v>
      </c>
      <c r="I1257" s="130">
        <f ca="1" t="shared" si="1480"/>
        <v>1</v>
      </c>
      <c r="J1257" s="130">
        <f ca="1" t="shared" si="1480"/>
        <v>1</v>
      </c>
      <c r="K1257" s="130">
        <f ca="1" t="shared" si="1480"/>
        <v>1</v>
      </c>
      <c r="L1257" s="130">
        <f ca="1" t="shared" si="1480"/>
        <v>1</v>
      </c>
      <c r="M1257" s="130">
        <f ca="1" t="shared" si="1480"/>
        <v>1</v>
      </c>
      <c r="N1257" s="130">
        <f ca="1" t="shared" si="1480"/>
        <v>1</v>
      </c>
      <c r="O1257" s="130">
        <f ca="1" t="shared" si="1480"/>
        <v>1</v>
      </c>
      <c r="P1257" s="130">
        <f ca="1" t="shared" si="1480"/>
        <v>1</v>
      </c>
      <c r="Q1257" s="130">
        <f ca="1" t="shared" si="1480"/>
        <v>1</v>
      </c>
      <c r="R1257" s="130">
        <f ca="1" t="shared" si="1480"/>
        <v>1</v>
      </c>
      <c r="S1257" s="130">
        <f ca="1" t="shared" si="1480"/>
        <v>0</v>
      </c>
      <c r="T1257" s="130">
        <f ca="1" t="shared" si="1480"/>
        <v>0</v>
      </c>
      <c r="U1257" s="130">
        <f ca="1" t="shared" si="1480"/>
        <v>0</v>
      </c>
      <c r="V1257" s="130">
        <f ca="1" t="shared" si="1480"/>
        <v>0</v>
      </c>
    </row>
    <row r="1258" s="106" customFormat="1" ht="16.5" spans="2:22">
      <c r="B1258" s="117">
        <v>22</v>
      </c>
      <c r="C1258" s="130">
        <f t="shared" si="1459"/>
        <v>2200</v>
      </c>
      <c r="D1258" s="130">
        <f ca="1" t="shared" ref="D1258:V1258" si="1481">IF($C1258&gt;D$633,1,0)</f>
        <v>1</v>
      </c>
      <c r="E1258" s="130">
        <f ca="1" t="shared" si="1481"/>
        <v>1</v>
      </c>
      <c r="F1258" s="130">
        <f ca="1" t="shared" si="1481"/>
        <v>1</v>
      </c>
      <c r="G1258" s="130">
        <f ca="1" t="shared" si="1481"/>
        <v>1</v>
      </c>
      <c r="H1258" s="130">
        <f ca="1" t="shared" si="1481"/>
        <v>1</v>
      </c>
      <c r="I1258" s="130">
        <f ca="1" t="shared" si="1481"/>
        <v>1</v>
      </c>
      <c r="J1258" s="130">
        <f ca="1" t="shared" si="1481"/>
        <v>1</v>
      </c>
      <c r="K1258" s="130">
        <f ca="1" t="shared" si="1481"/>
        <v>1</v>
      </c>
      <c r="L1258" s="130">
        <f ca="1" t="shared" si="1481"/>
        <v>1</v>
      </c>
      <c r="M1258" s="130">
        <f ca="1" t="shared" si="1481"/>
        <v>1</v>
      </c>
      <c r="N1258" s="130">
        <f ca="1" t="shared" si="1481"/>
        <v>1</v>
      </c>
      <c r="O1258" s="130">
        <f ca="1" t="shared" si="1481"/>
        <v>1</v>
      </c>
      <c r="P1258" s="130">
        <f ca="1" t="shared" si="1481"/>
        <v>1</v>
      </c>
      <c r="Q1258" s="130">
        <f ca="1" t="shared" si="1481"/>
        <v>1</v>
      </c>
      <c r="R1258" s="130">
        <f ca="1" t="shared" si="1481"/>
        <v>1</v>
      </c>
      <c r="S1258" s="130">
        <f ca="1" t="shared" si="1481"/>
        <v>0</v>
      </c>
      <c r="T1258" s="130">
        <f ca="1" t="shared" si="1481"/>
        <v>0</v>
      </c>
      <c r="U1258" s="130">
        <f ca="1" t="shared" si="1481"/>
        <v>0</v>
      </c>
      <c r="V1258" s="130">
        <f ca="1" t="shared" si="1481"/>
        <v>0</v>
      </c>
    </row>
    <row r="1259" s="106" customFormat="1" ht="16.5" spans="2:22">
      <c r="B1259" s="117">
        <v>23</v>
      </c>
      <c r="C1259" s="130">
        <f t="shared" si="1459"/>
        <v>2300</v>
      </c>
      <c r="D1259" s="130">
        <f ca="1" t="shared" ref="D1259:V1259" si="1482">IF($C1259&gt;D$633,1,0)</f>
        <v>1</v>
      </c>
      <c r="E1259" s="130">
        <f ca="1" t="shared" si="1482"/>
        <v>1</v>
      </c>
      <c r="F1259" s="130">
        <f ca="1" t="shared" si="1482"/>
        <v>1</v>
      </c>
      <c r="G1259" s="130">
        <f ca="1" t="shared" si="1482"/>
        <v>1</v>
      </c>
      <c r="H1259" s="130">
        <f ca="1" t="shared" si="1482"/>
        <v>1</v>
      </c>
      <c r="I1259" s="130">
        <f ca="1" t="shared" si="1482"/>
        <v>1</v>
      </c>
      <c r="J1259" s="130">
        <f ca="1" t="shared" si="1482"/>
        <v>1</v>
      </c>
      <c r="K1259" s="130">
        <f ca="1" t="shared" si="1482"/>
        <v>1</v>
      </c>
      <c r="L1259" s="130">
        <f ca="1" t="shared" si="1482"/>
        <v>1</v>
      </c>
      <c r="M1259" s="130">
        <f ca="1" t="shared" si="1482"/>
        <v>1</v>
      </c>
      <c r="N1259" s="130">
        <f ca="1" t="shared" si="1482"/>
        <v>1</v>
      </c>
      <c r="O1259" s="130">
        <f ca="1" t="shared" si="1482"/>
        <v>1</v>
      </c>
      <c r="P1259" s="130">
        <f ca="1" t="shared" si="1482"/>
        <v>1</v>
      </c>
      <c r="Q1259" s="130">
        <f ca="1" t="shared" si="1482"/>
        <v>1</v>
      </c>
      <c r="R1259" s="130">
        <f ca="1" t="shared" si="1482"/>
        <v>1</v>
      </c>
      <c r="S1259" s="130">
        <f ca="1" t="shared" si="1482"/>
        <v>1</v>
      </c>
      <c r="T1259" s="130">
        <f ca="1" t="shared" si="1482"/>
        <v>0</v>
      </c>
      <c r="U1259" s="130">
        <f ca="1" t="shared" si="1482"/>
        <v>0</v>
      </c>
      <c r="V1259" s="130">
        <f ca="1" t="shared" si="1482"/>
        <v>0</v>
      </c>
    </row>
    <row r="1260" s="106" customFormat="1" ht="16.5" spans="2:22">
      <c r="B1260" s="117">
        <v>24</v>
      </c>
      <c r="C1260" s="130">
        <f t="shared" si="1459"/>
        <v>2400</v>
      </c>
      <c r="D1260" s="130">
        <f ca="1" t="shared" ref="D1260:V1260" si="1483">IF($C1260&gt;D$633,1,0)</f>
        <v>1</v>
      </c>
      <c r="E1260" s="130">
        <f ca="1" t="shared" si="1483"/>
        <v>1</v>
      </c>
      <c r="F1260" s="130">
        <f ca="1" t="shared" si="1483"/>
        <v>1</v>
      </c>
      <c r="G1260" s="130">
        <f ca="1" t="shared" si="1483"/>
        <v>1</v>
      </c>
      <c r="H1260" s="130">
        <f ca="1" t="shared" si="1483"/>
        <v>1</v>
      </c>
      <c r="I1260" s="130">
        <f ca="1" t="shared" si="1483"/>
        <v>1</v>
      </c>
      <c r="J1260" s="130">
        <f ca="1" t="shared" si="1483"/>
        <v>1</v>
      </c>
      <c r="K1260" s="130">
        <f ca="1" t="shared" si="1483"/>
        <v>1</v>
      </c>
      <c r="L1260" s="130">
        <f ca="1" t="shared" si="1483"/>
        <v>1</v>
      </c>
      <c r="M1260" s="130">
        <f ca="1" t="shared" si="1483"/>
        <v>1</v>
      </c>
      <c r="N1260" s="130">
        <f ca="1" t="shared" si="1483"/>
        <v>1</v>
      </c>
      <c r="O1260" s="130">
        <f ca="1" t="shared" si="1483"/>
        <v>1</v>
      </c>
      <c r="P1260" s="130">
        <f ca="1" t="shared" si="1483"/>
        <v>1</v>
      </c>
      <c r="Q1260" s="130">
        <f ca="1" t="shared" si="1483"/>
        <v>1</v>
      </c>
      <c r="R1260" s="130">
        <f ca="1" t="shared" si="1483"/>
        <v>1</v>
      </c>
      <c r="S1260" s="130">
        <f ca="1" t="shared" si="1483"/>
        <v>1</v>
      </c>
      <c r="T1260" s="130">
        <f ca="1" t="shared" si="1483"/>
        <v>0</v>
      </c>
      <c r="U1260" s="130">
        <f ca="1" t="shared" si="1483"/>
        <v>0</v>
      </c>
      <c r="V1260" s="130">
        <f ca="1" t="shared" si="1483"/>
        <v>0</v>
      </c>
    </row>
    <row r="1261" s="106" customFormat="1" ht="16.5" spans="2:22">
      <c r="B1261" s="117">
        <v>25</v>
      </c>
      <c r="C1261" s="130">
        <f t="shared" si="1459"/>
        <v>2500</v>
      </c>
      <c r="D1261" s="130">
        <f ca="1" t="shared" ref="D1261:V1261" si="1484">IF($C1261&gt;D$633,1,0)</f>
        <v>1</v>
      </c>
      <c r="E1261" s="130">
        <f ca="1" t="shared" si="1484"/>
        <v>1</v>
      </c>
      <c r="F1261" s="130">
        <f ca="1" t="shared" si="1484"/>
        <v>1</v>
      </c>
      <c r="G1261" s="130">
        <f ca="1" t="shared" si="1484"/>
        <v>1</v>
      </c>
      <c r="H1261" s="130">
        <f ca="1" t="shared" si="1484"/>
        <v>1</v>
      </c>
      <c r="I1261" s="130">
        <f ca="1" t="shared" si="1484"/>
        <v>1</v>
      </c>
      <c r="J1261" s="130">
        <f ca="1" t="shared" si="1484"/>
        <v>1</v>
      </c>
      <c r="K1261" s="130">
        <f ca="1" t="shared" si="1484"/>
        <v>1</v>
      </c>
      <c r="L1261" s="130">
        <f ca="1" t="shared" si="1484"/>
        <v>1</v>
      </c>
      <c r="M1261" s="130">
        <f ca="1" t="shared" si="1484"/>
        <v>1</v>
      </c>
      <c r="N1261" s="130">
        <f ca="1" t="shared" si="1484"/>
        <v>1</v>
      </c>
      <c r="O1261" s="130">
        <f ca="1" t="shared" si="1484"/>
        <v>1</v>
      </c>
      <c r="P1261" s="130">
        <f ca="1" t="shared" si="1484"/>
        <v>1</v>
      </c>
      <c r="Q1261" s="130">
        <f ca="1" t="shared" si="1484"/>
        <v>1</v>
      </c>
      <c r="R1261" s="130">
        <f ca="1" t="shared" si="1484"/>
        <v>1</v>
      </c>
      <c r="S1261" s="130">
        <f ca="1" t="shared" si="1484"/>
        <v>1</v>
      </c>
      <c r="T1261" s="130">
        <f ca="1" t="shared" si="1484"/>
        <v>0</v>
      </c>
      <c r="U1261" s="130">
        <f ca="1" t="shared" si="1484"/>
        <v>0</v>
      </c>
      <c r="V1261" s="130">
        <f ca="1" t="shared" si="1484"/>
        <v>0</v>
      </c>
    </row>
    <row r="1262" s="106" customFormat="1" ht="16.5" spans="2:22">
      <c r="B1262" s="117">
        <v>26</v>
      </c>
      <c r="C1262" s="130">
        <f t="shared" si="1459"/>
        <v>2600</v>
      </c>
      <c r="D1262" s="130">
        <f ca="1" t="shared" ref="D1262:V1262" si="1485">IF($C1262&gt;D$633,1,0)</f>
        <v>1</v>
      </c>
      <c r="E1262" s="130">
        <f ca="1" t="shared" si="1485"/>
        <v>1</v>
      </c>
      <c r="F1262" s="130">
        <f ca="1" t="shared" si="1485"/>
        <v>1</v>
      </c>
      <c r="G1262" s="130">
        <f ca="1" t="shared" si="1485"/>
        <v>1</v>
      </c>
      <c r="H1262" s="130">
        <f ca="1" t="shared" si="1485"/>
        <v>1</v>
      </c>
      <c r="I1262" s="130">
        <f ca="1" t="shared" si="1485"/>
        <v>1</v>
      </c>
      <c r="J1262" s="130">
        <f ca="1" t="shared" si="1485"/>
        <v>1</v>
      </c>
      <c r="K1262" s="130">
        <f ca="1" t="shared" si="1485"/>
        <v>1</v>
      </c>
      <c r="L1262" s="130">
        <f ca="1" t="shared" si="1485"/>
        <v>1</v>
      </c>
      <c r="M1262" s="130">
        <f ca="1" t="shared" si="1485"/>
        <v>1</v>
      </c>
      <c r="N1262" s="130">
        <f ca="1" t="shared" si="1485"/>
        <v>1</v>
      </c>
      <c r="O1262" s="130">
        <f ca="1" t="shared" si="1485"/>
        <v>1</v>
      </c>
      <c r="P1262" s="130">
        <f ca="1" t="shared" si="1485"/>
        <v>1</v>
      </c>
      <c r="Q1262" s="130">
        <f ca="1" t="shared" si="1485"/>
        <v>1</v>
      </c>
      <c r="R1262" s="130">
        <f ca="1" t="shared" si="1485"/>
        <v>1</v>
      </c>
      <c r="S1262" s="130">
        <f ca="1" t="shared" si="1485"/>
        <v>1</v>
      </c>
      <c r="T1262" s="130">
        <f ca="1" t="shared" si="1485"/>
        <v>0</v>
      </c>
      <c r="U1262" s="130">
        <f ca="1" t="shared" si="1485"/>
        <v>0</v>
      </c>
      <c r="V1262" s="130">
        <f ca="1" t="shared" si="1485"/>
        <v>0</v>
      </c>
    </row>
    <row r="1263" s="106" customFormat="1" ht="16.5" spans="2:22">
      <c r="B1263" s="117">
        <v>27</v>
      </c>
      <c r="C1263" s="130">
        <f t="shared" si="1459"/>
        <v>2700</v>
      </c>
      <c r="D1263" s="130">
        <f ca="1" t="shared" ref="D1263:V1263" si="1486">IF($C1263&gt;D$633,1,0)</f>
        <v>1</v>
      </c>
      <c r="E1263" s="130">
        <f ca="1" t="shared" si="1486"/>
        <v>1</v>
      </c>
      <c r="F1263" s="130">
        <f ca="1" t="shared" si="1486"/>
        <v>1</v>
      </c>
      <c r="G1263" s="130">
        <f ca="1" t="shared" si="1486"/>
        <v>1</v>
      </c>
      <c r="H1263" s="130">
        <f ca="1" t="shared" si="1486"/>
        <v>1</v>
      </c>
      <c r="I1263" s="130">
        <f ca="1" t="shared" si="1486"/>
        <v>1</v>
      </c>
      <c r="J1263" s="130">
        <f ca="1" t="shared" si="1486"/>
        <v>1</v>
      </c>
      <c r="K1263" s="130">
        <f ca="1" t="shared" si="1486"/>
        <v>1</v>
      </c>
      <c r="L1263" s="130">
        <f ca="1" t="shared" si="1486"/>
        <v>1</v>
      </c>
      <c r="M1263" s="130">
        <f ca="1" t="shared" si="1486"/>
        <v>1</v>
      </c>
      <c r="N1263" s="130">
        <f ca="1" t="shared" si="1486"/>
        <v>1</v>
      </c>
      <c r="O1263" s="130">
        <f ca="1" t="shared" si="1486"/>
        <v>1</v>
      </c>
      <c r="P1263" s="130">
        <f ca="1" t="shared" si="1486"/>
        <v>1</v>
      </c>
      <c r="Q1263" s="130">
        <f ca="1" t="shared" si="1486"/>
        <v>1</v>
      </c>
      <c r="R1263" s="130">
        <f ca="1" t="shared" si="1486"/>
        <v>1</v>
      </c>
      <c r="S1263" s="130">
        <f ca="1" t="shared" si="1486"/>
        <v>1</v>
      </c>
      <c r="T1263" s="130">
        <f ca="1" t="shared" si="1486"/>
        <v>0</v>
      </c>
      <c r="U1263" s="130">
        <f ca="1" t="shared" si="1486"/>
        <v>0</v>
      </c>
      <c r="V1263" s="130">
        <f ca="1" t="shared" si="1486"/>
        <v>0</v>
      </c>
    </row>
    <row r="1264" s="106" customFormat="1" ht="16.5" spans="2:22">
      <c r="B1264" s="117">
        <v>28</v>
      </c>
      <c r="C1264" s="130">
        <f t="shared" si="1459"/>
        <v>2800</v>
      </c>
      <c r="D1264" s="130">
        <f ca="1" t="shared" ref="D1264:V1264" si="1487">IF($C1264&gt;D$633,1,0)</f>
        <v>1</v>
      </c>
      <c r="E1264" s="130">
        <f ca="1" t="shared" si="1487"/>
        <v>1</v>
      </c>
      <c r="F1264" s="130">
        <f ca="1" t="shared" si="1487"/>
        <v>1</v>
      </c>
      <c r="G1264" s="130">
        <f ca="1" t="shared" si="1487"/>
        <v>1</v>
      </c>
      <c r="H1264" s="130">
        <f ca="1" t="shared" si="1487"/>
        <v>1</v>
      </c>
      <c r="I1264" s="130">
        <f ca="1" t="shared" si="1487"/>
        <v>1</v>
      </c>
      <c r="J1264" s="130">
        <f ca="1" t="shared" si="1487"/>
        <v>1</v>
      </c>
      <c r="K1264" s="130">
        <f ca="1" t="shared" si="1487"/>
        <v>1</v>
      </c>
      <c r="L1264" s="130">
        <f ca="1" t="shared" si="1487"/>
        <v>1</v>
      </c>
      <c r="M1264" s="130">
        <f ca="1" t="shared" si="1487"/>
        <v>1</v>
      </c>
      <c r="N1264" s="130">
        <f ca="1" t="shared" si="1487"/>
        <v>1</v>
      </c>
      <c r="O1264" s="130">
        <f ca="1" t="shared" si="1487"/>
        <v>1</v>
      </c>
      <c r="P1264" s="130">
        <f ca="1" t="shared" si="1487"/>
        <v>1</v>
      </c>
      <c r="Q1264" s="130">
        <f ca="1" t="shared" si="1487"/>
        <v>1</v>
      </c>
      <c r="R1264" s="130">
        <f ca="1" t="shared" si="1487"/>
        <v>1</v>
      </c>
      <c r="S1264" s="130">
        <f ca="1" t="shared" si="1487"/>
        <v>1</v>
      </c>
      <c r="T1264" s="130">
        <f ca="1" t="shared" si="1487"/>
        <v>0</v>
      </c>
      <c r="U1264" s="130">
        <f ca="1" t="shared" si="1487"/>
        <v>0</v>
      </c>
      <c r="V1264" s="130">
        <f ca="1" t="shared" si="1487"/>
        <v>0</v>
      </c>
    </row>
    <row r="1265" s="106" customFormat="1" ht="16.5" spans="2:22">
      <c r="B1265" s="117">
        <v>29</v>
      </c>
      <c r="C1265" s="130">
        <f t="shared" si="1459"/>
        <v>2900</v>
      </c>
      <c r="D1265" s="130">
        <f ca="1" t="shared" ref="D1265:V1265" si="1488">IF($C1265&gt;D$633,1,0)</f>
        <v>1</v>
      </c>
      <c r="E1265" s="130">
        <f ca="1" t="shared" si="1488"/>
        <v>1</v>
      </c>
      <c r="F1265" s="130">
        <f ca="1" t="shared" si="1488"/>
        <v>1</v>
      </c>
      <c r="G1265" s="130">
        <f ca="1" t="shared" si="1488"/>
        <v>1</v>
      </c>
      <c r="H1265" s="130">
        <f ca="1" t="shared" si="1488"/>
        <v>1</v>
      </c>
      <c r="I1265" s="130">
        <f ca="1" t="shared" si="1488"/>
        <v>1</v>
      </c>
      <c r="J1265" s="130">
        <f ca="1" t="shared" si="1488"/>
        <v>1</v>
      </c>
      <c r="K1265" s="130">
        <f ca="1" t="shared" si="1488"/>
        <v>1</v>
      </c>
      <c r="L1265" s="130">
        <f ca="1" t="shared" si="1488"/>
        <v>1</v>
      </c>
      <c r="M1265" s="130">
        <f ca="1" t="shared" si="1488"/>
        <v>1</v>
      </c>
      <c r="N1265" s="130">
        <f ca="1" t="shared" si="1488"/>
        <v>1</v>
      </c>
      <c r="O1265" s="130">
        <f ca="1" t="shared" si="1488"/>
        <v>1</v>
      </c>
      <c r="P1265" s="130">
        <f ca="1" t="shared" si="1488"/>
        <v>1</v>
      </c>
      <c r="Q1265" s="130">
        <f ca="1" t="shared" si="1488"/>
        <v>1</v>
      </c>
      <c r="R1265" s="130">
        <f ca="1" t="shared" si="1488"/>
        <v>1</v>
      </c>
      <c r="S1265" s="130">
        <f ca="1" t="shared" si="1488"/>
        <v>1</v>
      </c>
      <c r="T1265" s="130">
        <f ca="1" t="shared" si="1488"/>
        <v>0</v>
      </c>
      <c r="U1265" s="130">
        <f ca="1" t="shared" si="1488"/>
        <v>0</v>
      </c>
      <c r="V1265" s="130">
        <f ca="1" t="shared" si="1488"/>
        <v>0</v>
      </c>
    </row>
    <row r="1266" s="106" customFormat="1" ht="16.5" spans="2:22">
      <c r="B1266" s="117">
        <v>30</v>
      </c>
      <c r="C1266" s="130">
        <f t="shared" si="1459"/>
        <v>3000</v>
      </c>
      <c r="D1266" s="130">
        <f ca="1" t="shared" ref="D1266:V1266" si="1489">IF($C1266&gt;D$633,1,0)</f>
        <v>1</v>
      </c>
      <c r="E1266" s="130">
        <f ca="1" t="shared" si="1489"/>
        <v>1</v>
      </c>
      <c r="F1266" s="130">
        <f ca="1" t="shared" si="1489"/>
        <v>1</v>
      </c>
      <c r="G1266" s="130">
        <f ca="1" t="shared" si="1489"/>
        <v>1</v>
      </c>
      <c r="H1266" s="130">
        <f ca="1" t="shared" si="1489"/>
        <v>1</v>
      </c>
      <c r="I1266" s="130">
        <f ca="1" t="shared" si="1489"/>
        <v>1</v>
      </c>
      <c r="J1266" s="130">
        <f ca="1" t="shared" si="1489"/>
        <v>1</v>
      </c>
      <c r="K1266" s="130">
        <f ca="1" t="shared" si="1489"/>
        <v>1</v>
      </c>
      <c r="L1266" s="130">
        <f ca="1" t="shared" si="1489"/>
        <v>1</v>
      </c>
      <c r="M1266" s="130">
        <f ca="1" t="shared" si="1489"/>
        <v>1</v>
      </c>
      <c r="N1266" s="130">
        <f ca="1" t="shared" si="1489"/>
        <v>1</v>
      </c>
      <c r="O1266" s="130">
        <f ca="1" t="shared" si="1489"/>
        <v>1</v>
      </c>
      <c r="P1266" s="130">
        <f ca="1" t="shared" si="1489"/>
        <v>1</v>
      </c>
      <c r="Q1266" s="130">
        <f ca="1" t="shared" si="1489"/>
        <v>1</v>
      </c>
      <c r="R1266" s="130">
        <f ca="1" t="shared" si="1489"/>
        <v>1</v>
      </c>
      <c r="S1266" s="130">
        <f ca="1" t="shared" si="1489"/>
        <v>1</v>
      </c>
      <c r="T1266" s="130">
        <f ca="1" t="shared" si="1489"/>
        <v>0</v>
      </c>
      <c r="U1266" s="130">
        <f ca="1" t="shared" si="1489"/>
        <v>0</v>
      </c>
      <c r="V1266" s="130">
        <f ca="1" t="shared" si="1489"/>
        <v>0</v>
      </c>
    </row>
    <row r="1267" s="106" customFormat="1" ht="16.5" spans="2:22">
      <c r="B1267" s="117">
        <v>31</v>
      </c>
      <c r="C1267" s="130">
        <f t="shared" si="1459"/>
        <v>3100</v>
      </c>
      <c r="D1267" s="130">
        <f ca="1" t="shared" ref="D1267:V1267" si="1490">IF($C1267&gt;D$633,1,0)</f>
        <v>1</v>
      </c>
      <c r="E1267" s="130">
        <f ca="1" t="shared" si="1490"/>
        <v>1</v>
      </c>
      <c r="F1267" s="130">
        <f ca="1" t="shared" si="1490"/>
        <v>1</v>
      </c>
      <c r="G1267" s="130">
        <f ca="1" t="shared" si="1490"/>
        <v>1</v>
      </c>
      <c r="H1267" s="130">
        <f ca="1" t="shared" si="1490"/>
        <v>1</v>
      </c>
      <c r="I1267" s="130">
        <f ca="1" t="shared" si="1490"/>
        <v>1</v>
      </c>
      <c r="J1267" s="130">
        <f ca="1" t="shared" si="1490"/>
        <v>1</v>
      </c>
      <c r="K1267" s="130">
        <f ca="1" t="shared" si="1490"/>
        <v>1</v>
      </c>
      <c r="L1267" s="130">
        <f ca="1" t="shared" si="1490"/>
        <v>1</v>
      </c>
      <c r="M1267" s="130">
        <f ca="1" t="shared" si="1490"/>
        <v>1</v>
      </c>
      <c r="N1267" s="130">
        <f ca="1" t="shared" si="1490"/>
        <v>1</v>
      </c>
      <c r="O1267" s="130">
        <f ca="1" t="shared" si="1490"/>
        <v>1</v>
      </c>
      <c r="P1267" s="130">
        <f ca="1" t="shared" si="1490"/>
        <v>1</v>
      </c>
      <c r="Q1267" s="130">
        <f ca="1" t="shared" si="1490"/>
        <v>1</v>
      </c>
      <c r="R1267" s="130">
        <f ca="1" t="shared" si="1490"/>
        <v>1</v>
      </c>
      <c r="S1267" s="130">
        <f ca="1" t="shared" si="1490"/>
        <v>1</v>
      </c>
      <c r="T1267" s="130">
        <f ca="1" t="shared" si="1490"/>
        <v>0</v>
      </c>
      <c r="U1267" s="130">
        <f ca="1" t="shared" si="1490"/>
        <v>0</v>
      </c>
      <c r="V1267" s="130">
        <f ca="1" t="shared" si="1490"/>
        <v>0</v>
      </c>
    </row>
    <row r="1268" s="106" customFormat="1" ht="16.5" spans="2:22">
      <c r="B1268" s="117">
        <v>32</v>
      </c>
      <c r="C1268" s="130">
        <f t="shared" si="1459"/>
        <v>3200</v>
      </c>
      <c r="D1268" s="130">
        <f ca="1" t="shared" ref="D1268:V1268" si="1491">IF($C1268&gt;D$633,1,0)</f>
        <v>1</v>
      </c>
      <c r="E1268" s="130">
        <f ca="1" t="shared" si="1491"/>
        <v>1</v>
      </c>
      <c r="F1268" s="130">
        <f ca="1" t="shared" si="1491"/>
        <v>1</v>
      </c>
      <c r="G1268" s="130">
        <f ca="1" t="shared" si="1491"/>
        <v>1</v>
      </c>
      <c r="H1268" s="130">
        <f ca="1" t="shared" si="1491"/>
        <v>1</v>
      </c>
      <c r="I1268" s="130">
        <f ca="1" t="shared" si="1491"/>
        <v>1</v>
      </c>
      <c r="J1268" s="130">
        <f ca="1" t="shared" si="1491"/>
        <v>1</v>
      </c>
      <c r="K1268" s="130">
        <f ca="1" t="shared" si="1491"/>
        <v>1</v>
      </c>
      <c r="L1268" s="130">
        <f ca="1" t="shared" si="1491"/>
        <v>1</v>
      </c>
      <c r="M1268" s="130">
        <f ca="1" t="shared" si="1491"/>
        <v>1</v>
      </c>
      <c r="N1268" s="130">
        <f ca="1" t="shared" si="1491"/>
        <v>1</v>
      </c>
      <c r="O1268" s="130">
        <f ca="1" t="shared" si="1491"/>
        <v>1</v>
      </c>
      <c r="P1268" s="130">
        <f ca="1" t="shared" si="1491"/>
        <v>1</v>
      </c>
      <c r="Q1268" s="130">
        <f ca="1" t="shared" si="1491"/>
        <v>1</v>
      </c>
      <c r="R1268" s="130">
        <f ca="1" t="shared" si="1491"/>
        <v>1</v>
      </c>
      <c r="S1268" s="130">
        <f ca="1" t="shared" si="1491"/>
        <v>1</v>
      </c>
      <c r="T1268" s="130">
        <f ca="1" t="shared" si="1491"/>
        <v>0</v>
      </c>
      <c r="U1268" s="130">
        <f ca="1" t="shared" si="1491"/>
        <v>0</v>
      </c>
      <c r="V1268" s="130">
        <f ca="1" t="shared" si="1491"/>
        <v>1</v>
      </c>
    </row>
    <row r="1269" s="106" customFormat="1" ht="16.5" spans="2:22">
      <c r="B1269" s="117">
        <v>33</v>
      </c>
      <c r="C1269" s="130">
        <f t="shared" si="1459"/>
        <v>3300</v>
      </c>
      <c r="D1269" s="130">
        <f ca="1" t="shared" ref="D1269:V1269" si="1492">IF($C1269&gt;D$633,1,0)</f>
        <v>1</v>
      </c>
      <c r="E1269" s="130">
        <f ca="1" t="shared" si="1492"/>
        <v>1</v>
      </c>
      <c r="F1269" s="130">
        <f ca="1" t="shared" si="1492"/>
        <v>1</v>
      </c>
      <c r="G1269" s="130">
        <f ca="1" t="shared" si="1492"/>
        <v>1</v>
      </c>
      <c r="H1269" s="130">
        <f ca="1" t="shared" si="1492"/>
        <v>1</v>
      </c>
      <c r="I1269" s="130">
        <f ca="1" t="shared" si="1492"/>
        <v>1</v>
      </c>
      <c r="J1269" s="130">
        <f ca="1" t="shared" si="1492"/>
        <v>1</v>
      </c>
      <c r="K1269" s="130">
        <f ca="1" t="shared" si="1492"/>
        <v>1</v>
      </c>
      <c r="L1269" s="130">
        <f ca="1" t="shared" si="1492"/>
        <v>1</v>
      </c>
      <c r="M1269" s="130">
        <f ca="1" t="shared" si="1492"/>
        <v>1</v>
      </c>
      <c r="N1269" s="130">
        <f ca="1" t="shared" si="1492"/>
        <v>1</v>
      </c>
      <c r="O1269" s="130">
        <f ca="1" t="shared" si="1492"/>
        <v>1</v>
      </c>
      <c r="P1269" s="130">
        <f ca="1" t="shared" si="1492"/>
        <v>1</v>
      </c>
      <c r="Q1269" s="130">
        <f ca="1" t="shared" si="1492"/>
        <v>1</v>
      </c>
      <c r="R1269" s="130">
        <f ca="1" t="shared" si="1492"/>
        <v>1</v>
      </c>
      <c r="S1269" s="130">
        <f ca="1" t="shared" si="1492"/>
        <v>1</v>
      </c>
      <c r="T1269" s="130">
        <f ca="1" t="shared" si="1492"/>
        <v>0</v>
      </c>
      <c r="U1269" s="130">
        <f ca="1" t="shared" si="1492"/>
        <v>0</v>
      </c>
      <c r="V1269" s="130">
        <f ca="1" t="shared" si="1492"/>
        <v>1</v>
      </c>
    </row>
    <row r="1270" s="106" customFormat="1" ht="16.5" spans="2:22">
      <c r="B1270" s="117">
        <v>34</v>
      </c>
      <c r="C1270" s="130">
        <f t="shared" si="1459"/>
        <v>3400</v>
      </c>
      <c r="D1270" s="130">
        <f ca="1" t="shared" ref="D1270:V1270" si="1493">IF($C1270&gt;D$633,1,0)</f>
        <v>1</v>
      </c>
      <c r="E1270" s="130">
        <f ca="1" t="shared" si="1493"/>
        <v>1</v>
      </c>
      <c r="F1270" s="130">
        <f ca="1" t="shared" si="1493"/>
        <v>1</v>
      </c>
      <c r="G1270" s="130">
        <f ca="1" t="shared" si="1493"/>
        <v>1</v>
      </c>
      <c r="H1270" s="130">
        <f ca="1" t="shared" si="1493"/>
        <v>1</v>
      </c>
      <c r="I1270" s="130">
        <f ca="1" t="shared" si="1493"/>
        <v>1</v>
      </c>
      <c r="J1270" s="130">
        <f ca="1" t="shared" si="1493"/>
        <v>1</v>
      </c>
      <c r="K1270" s="130">
        <f ca="1" t="shared" si="1493"/>
        <v>1</v>
      </c>
      <c r="L1270" s="130">
        <f ca="1" t="shared" si="1493"/>
        <v>1</v>
      </c>
      <c r="M1270" s="130">
        <f ca="1" t="shared" si="1493"/>
        <v>1</v>
      </c>
      <c r="N1270" s="130">
        <f ca="1" t="shared" si="1493"/>
        <v>1</v>
      </c>
      <c r="O1270" s="130">
        <f ca="1" t="shared" si="1493"/>
        <v>1</v>
      </c>
      <c r="P1270" s="130">
        <f ca="1" t="shared" si="1493"/>
        <v>1</v>
      </c>
      <c r="Q1270" s="130">
        <f ca="1" t="shared" si="1493"/>
        <v>1</v>
      </c>
      <c r="R1270" s="130">
        <f ca="1" t="shared" si="1493"/>
        <v>1</v>
      </c>
      <c r="S1270" s="130">
        <f ca="1" t="shared" si="1493"/>
        <v>1</v>
      </c>
      <c r="T1270" s="130">
        <f ca="1" t="shared" si="1493"/>
        <v>0</v>
      </c>
      <c r="U1270" s="130">
        <f ca="1" t="shared" si="1493"/>
        <v>0</v>
      </c>
      <c r="V1270" s="130">
        <f ca="1" t="shared" si="1493"/>
        <v>1</v>
      </c>
    </row>
    <row r="1271" s="106" customFormat="1" ht="16.5" spans="2:22">
      <c r="B1271" s="117">
        <v>35</v>
      </c>
      <c r="C1271" s="130">
        <f t="shared" si="1459"/>
        <v>3500</v>
      </c>
      <c r="D1271" s="130">
        <f ca="1" t="shared" ref="D1271:V1271" si="1494">IF($C1271&gt;D$633,1,0)</f>
        <v>1</v>
      </c>
      <c r="E1271" s="130">
        <f ca="1" t="shared" si="1494"/>
        <v>1</v>
      </c>
      <c r="F1271" s="130">
        <f ca="1" t="shared" si="1494"/>
        <v>1</v>
      </c>
      <c r="G1271" s="130">
        <f ca="1" t="shared" si="1494"/>
        <v>1</v>
      </c>
      <c r="H1271" s="130">
        <f ca="1" t="shared" si="1494"/>
        <v>1</v>
      </c>
      <c r="I1271" s="130">
        <f ca="1" t="shared" si="1494"/>
        <v>1</v>
      </c>
      <c r="J1271" s="130">
        <f ca="1" t="shared" si="1494"/>
        <v>1</v>
      </c>
      <c r="K1271" s="130">
        <f ca="1" t="shared" si="1494"/>
        <v>1</v>
      </c>
      <c r="L1271" s="130">
        <f ca="1" t="shared" si="1494"/>
        <v>1</v>
      </c>
      <c r="M1271" s="130">
        <f ca="1" t="shared" si="1494"/>
        <v>1</v>
      </c>
      <c r="N1271" s="130">
        <f ca="1" t="shared" si="1494"/>
        <v>1</v>
      </c>
      <c r="O1271" s="130">
        <f ca="1" t="shared" si="1494"/>
        <v>1</v>
      </c>
      <c r="P1271" s="130">
        <f ca="1" t="shared" si="1494"/>
        <v>1</v>
      </c>
      <c r="Q1271" s="130">
        <f ca="1" t="shared" si="1494"/>
        <v>1</v>
      </c>
      <c r="R1271" s="130">
        <f ca="1" t="shared" si="1494"/>
        <v>1</v>
      </c>
      <c r="S1271" s="130">
        <f ca="1" t="shared" si="1494"/>
        <v>1</v>
      </c>
      <c r="T1271" s="130">
        <f ca="1" t="shared" si="1494"/>
        <v>0</v>
      </c>
      <c r="U1271" s="130">
        <f ca="1" t="shared" si="1494"/>
        <v>0</v>
      </c>
      <c r="V1271" s="130">
        <f ca="1" t="shared" si="1494"/>
        <v>1</v>
      </c>
    </row>
    <row r="1272" s="106" customFormat="1" ht="16.5" spans="2:22">
      <c r="B1272" s="117">
        <v>36</v>
      </c>
      <c r="C1272" s="130">
        <f t="shared" si="1459"/>
        <v>3600</v>
      </c>
      <c r="D1272" s="130">
        <f ca="1" t="shared" ref="D1272:V1272" si="1495">IF($C1272&gt;D$633,1,0)</f>
        <v>1</v>
      </c>
      <c r="E1272" s="130">
        <f ca="1" t="shared" si="1495"/>
        <v>1</v>
      </c>
      <c r="F1272" s="130">
        <f ca="1" t="shared" si="1495"/>
        <v>1</v>
      </c>
      <c r="G1272" s="130">
        <f ca="1" t="shared" si="1495"/>
        <v>1</v>
      </c>
      <c r="H1272" s="130">
        <f ca="1" t="shared" si="1495"/>
        <v>1</v>
      </c>
      <c r="I1272" s="130">
        <f ca="1" t="shared" si="1495"/>
        <v>1</v>
      </c>
      <c r="J1272" s="130">
        <f ca="1" t="shared" si="1495"/>
        <v>1</v>
      </c>
      <c r="K1272" s="130">
        <f ca="1" t="shared" si="1495"/>
        <v>1</v>
      </c>
      <c r="L1272" s="130">
        <f ca="1" t="shared" si="1495"/>
        <v>1</v>
      </c>
      <c r="M1272" s="130">
        <f ca="1" t="shared" si="1495"/>
        <v>1</v>
      </c>
      <c r="N1272" s="130">
        <f ca="1" t="shared" si="1495"/>
        <v>1</v>
      </c>
      <c r="O1272" s="130">
        <f ca="1" t="shared" si="1495"/>
        <v>1</v>
      </c>
      <c r="P1272" s="130">
        <f ca="1" t="shared" si="1495"/>
        <v>1</v>
      </c>
      <c r="Q1272" s="130">
        <f ca="1" t="shared" si="1495"/>
        <v>1</v>
      </c>
      <c r="R1272" s="130">
        <f ca="1" t="shared" si="1495"/>
        <v>1</v>
      </c>
      <c r="S1272" s="130">
        <f ca="1" t="shared" si="1495"/>
        <v>1</v>
      </c>
      <c r="T1272" s="130">
        <f ca="1" t="shared" si="1495"/>
        <v>0</v>
      </c>
      <c r="U1272" s="130">
        <f ca="1" t="shared" si="1495"/>
        <v>0</v>
      </c>
      <c r="V1272" s="130">
        <f ca="1" t="shared" si="1495"/>
        <v>1</v>
      </c>
    </row>
    <row r="1273" s="106" customFormat="1" ht="16.5" spans="2:22">
      <c r="B1273" s="117">
        <v>37</v>
      </c>
      <c r="C1273" s="130">
        <f t="shared" si="1459"/>
        <v>3700</v>
      </c>
      <c r="D1273" s="130">
        <f ca="1" t="shared" ref="D1273:V1273" si="1496">IF($C1273&gt;D$633,1,0)</f>
        <v>1</v>
      </c>
      <c r="E1273" s="130">
        <f ca="1" t="shared" si="1496"/>
        <v>1</v>
      </c>
      <c r="F1273" s="130">
        <f ca="1" t="shared" si="1496"/>
        <v>1</v>
      </c>
      <c r="G1273" s="130">
        <f ca="1" t="shared" si="1496"/>
        <v>1</v>
      </c>
      <c r="H1273" s="130">
        <f ca="1" t="shared" si="1496"/>
        <v>1</v>
      </c>
      <c r="I1273" s="130">
        <f ca="1" t="shared" si="1496"/>
        <v>1</v>
      </c>
      <c r="J1273" s="130">
        <f ca="1" t="shared" si="1496"/>
        <v>1</v>
      </c>
      <c r="K1273" s="130">
        <f ca="1" t="shared" si="1496"/>
        <v>1</v>
      </c>
      <c r="L1273" s="130">
        <f ca="1" t="shared" si="1496"/>
        <v>1</v>
      </c>
      <c r="M1273" s="130">
        <f ca="1" t="shared" si="1496"/>
        <v>1</v>
      </c>
      <c r="N1273" s="130">
        <f ca="1" t="shared" si="1496"/>
        <v>1</v>
      </c>
      <c r="O1273" s="130">
        <f ca="1" t="shared" si="1496"/>
        <v>1</v>
      </c>
      <c r="P1273" s="130">
        <f ca="1" t="shared" si="1496"/>
        <v>1</v>
      </c>
      <c r="Q1273" s="130">
        <f ca="1" t="shared" si="1496"/>
        <v>1</v>
      </c>
      <c r="R1273" s="130">
        <f ca="1" t="shared" si="1496"/>
        <v>1</v>
      </c>
      <c r="S1273" s="130">
        <f ca="1" t="shared" si="1496"/>
        <v>1</v>
      </c>
      <c r="T1273" s="130">
        <f ca="1" t="shared" si="1496"/>
        <v>0</v>
      </c>
      <c r="U1273" s="130">
        <f ca="1" t="shared" si="1496"/>
        <v>0</v>
      </c>
      <c r="V1273" s="130">
        <f ca="1" t="shared" si="1496"/>
        <v>1</v>
      </c>
    </row>
    <row r="1274" s="106" customFormat="1" ht="16.5" spans="2:22">
      <c r="B1274" s="117">
        <v>38</v>
      </c>
      <c r="C1274" s="130">
        <f t="shared" si="1459"/>
        <v>3800</v>
      </c>
      <c r="D1274" s="130">
        <f ca="1" t="shared" ref="D1274:V1274" si="1497">IF($C1274&gt;D$633,1,0)</f>
        <v>1</v>
      </c>
      <c r="E1274" s="130">
        <f ca="1" t="shared" si="1497"/>
        <v>1</v>
      </c>
      <c r="F1274" s="130">
        <f ca="1" t="shared" si="1497"/>
        <v>1</v>
      </c>
      <c r="G1274" s="130">
        <f ca="1" t="shared" si="1497"/>
        <v>1</v>
      </c>
      <c r="H1274" s="130">
        <f ca="1" t="shared" si="1497"/>
        <v>1</v>
      </c>
      <c r="I1274" s="130">
        <f ca="1" t="shared" si="1497"/>
        <v>1</v>
      </c>
      <c r="J1274" s="130">
        <f ca="1" t="shared" si="1497"/>
        <v>1</v>
      </c>
      <c r="K1274" s="130">
        <f ca="1" t="shared" si="1497"/>
        <v>1</v>
      </c>
      <c r="L1274" s="130">
        <f ca="1" t="shared" si="1497"/>
        <v>1</v>
      </c>
      <c r="M1274" s="130">
        <f ca="1" t="shared" si="1497"/>
        <v>1</v>
      </c>
      <c r="N1274" s="130">
        <f ca="1" t="shared" si="1497"/>
        <v>1</v>
      </c>
      <c r="O1274" s="130">
        <f ca="1" t="shared" si="1497"/>
        <v>1</v>
      </c>
      <c r="P1274" s="130">
        <f ca="1" t="shared" si="1497"/>
        <v>1</v>
      </c>
      <c r="Q1274" s="130">
        <f ca="1" t="shared" si="1497"/>
        <v>1</v>
      </c>
      <c r="R1274" s="130">
        <f ca="1" t="shared" si="1497"/>
        <v>1</v>
      </c>
      <c r="S1274" s="130">
        <f ca="1" t="shared" si="1497"/>
        <v>1</v>
      </c>
      <c r="T1274" s="130">
        <f ca="1" t="shared" si="1497"/>
        <v>0</v>
      </c>
      <c r="U1274" s="130">
        <f ca="1" t="shared" si="1497"/>
        <v>0</v>
      </c>
      <c r="V1274" s="130">
        <f ca="1" t="shared" si="1497"/>
        <v>1</v>
      </c>
    </row>
    <row r="1275" s="106" customFormat="1" ht="16.5" spans="2:22">
      <c r="B1275" s="117">
        <v>39</v>
      </c>
      <c r="C1275" s="130">
        <f t="shared" si="1459"/>
        <v>3900</v>
      </c>
      <c r="D1275" s="130">
        <f ca="1" t="shared" ref="D1275:V1275" si="1498">IF($C1275&gt;D$633,1,0)</f>
        <v>1</v>
      </c>
      <c r="E1275" s="130">
        <f ca="1" t="shared" si="1498"/>
        <v>1</v>
      </c>
      <c r="F1275" s="130">
        <f ca="1" t="shared" si="1498"/>
        <v>1</v>
      </c>
      <c r="G1275" s="130">
        <f ca="1" t="shared" si="1498"/>
        <v>1</v>
      </c>
      <c r="H1275" s="130">
        <f ca="1" t="shared" si="1498"/>
        <v>1</v>
      </c>
      <c r="I1275" s="130">
        <f ca="1" t="shared" si="1498"/>
        <v>1</v>
      </c>
      <c r="J1275" s="130">
        <f ca="1" t="shared" si="1498"/>
        <v>1</v>
      </c>
      <c r="K1275" s="130">
        <f ca="1" t="shared" si="1498"/>
        <v>1</v>
      </c>
      <c r="L1275" s="130">
        <f ca="1" t="shared" si="1498"/>
        <v>1</v>
      </c>
      <c r="M1275" s="130">
        <f ca="1" t="shared" si="1498"/>
        <v>1</v>
      </c>
      <c r="N1275" s="130">
        <f ca="1" t="shared" si="1498"/>
        <v>1</v>
      </c>
      <c r="O1275" s="130">
        <f ca="1" t="shared" si="1498"/>
        <v>1</v>
      </c>
      <c r="P1275" s="130">
        <f ca="1" t="shared" si="1498"/>
        <v>1</v>
      </c>
      <c r="Q1275" s="130">
        <f ca="1" t="shared" si="1498"/>
        <v>1</v>
      </c>
      <c r="R1275" s="130">
        <f ca="1" t="shared" si="1498"/>
        <v>1</v>
      </c>
      <c r="S1275" s="130">
        <f ca="1" t="shared" si="1498"/>
        <v>1</v>
      </c>
      <c r="T1275" s="130">
        <f ca="1" t="shared" si="1498"/>
        <v>0</v>
      </c>
      <c r="U1275" s="130">
        <f ca="1" t="shared" si="1498"/>
        <v>1</v>
      </c>
      <c r="V1275" s="130">
        <f ca="1" t="shared" si="1498"/>
        <v>1</v>
      </c>
    </row>
    <row r="1276" s="106" customFormat="1" ht="16.5" spans="2:22">
      <c r="B1276" s="117">
        <v>40</v>
      </c>
      <c r="C1276" s="130">
        <f t="shared" si="1459"/>
        <v>4000</v>
      </c>
      <c r="D1276" s="130">
        <f ca="1" t="shared" ref="D1276:V1276" si="1499">IF($C1276&gt;D$633,1,0)</f>
        <v>1</v>
      </c>
      <c r="E1276" s="130">
        <f ca="1" t="shared" si="1499"/>
        <v>1</v>
      </c>
      <c r="F1276" s="130">
        <f ca="1" t="shared" si="1499"/>
        <v>1</v>
      </c>
      <c r="G1276" s="130">
        <f ca="1" t="shared" si="1499"/>
        <v>1</v>
      </c>
      <c r="H1276" s="130">
        <f ca="1" t="shared" si="1499"/>
        <v>1</v>
      </c>
      <c r="I1276" s="130">
        <f ca="1" t="shared" si="1499"/>
        <v>1</v>
      </c>
      <c r="J1276" s="130">
        <f ca="1" t="shared" si="1499"/>
        <v>1</v>
      </c>
      <c r="K1276" s="130">
        <f ca="1" t="shared" si="1499"/>
        <v>1</v>
      </c>
      <c r="L1276" s="130">
        <f ca="1" t="shared" si="1499"/>
        <v>1</v>
      </c>
      <c r="M1276" s="130">
        <f ca="1" t="shared" si="1499"/>
        <v>1</v>
      </c>
      <c r="N1276" s="130">
        <f ca="1" t="shared" si="1499"/>
        <v>1</v>
      </c>
      <c r="O1276" s="130">
        <f ca="1" t="shared" si="1499"/>
        <v>1</v>
      </c>
      <c r="P1276" s="130">
        <f ca="1" t="shared" si="1499"/>
        <v>1</v>
      </c>
      <c r="Q1276" s="130">
        <f ca="1" t="shared" si="1499"/>
        <v>1</v>
      </c>
      <c r="R1276" s="130">
        <f ca="1" t="shared" si="1499"/>
        <v>1</v>
      </c>
      <c r="S1276" s="130">
        <f ca="1" t="shared" si="1499"/>
        <v>1</v>
      </c>
      <c r="T1276" s="130">
        <f ca="1" t="shared" si="1499"/>
        <v>0</v>
      </c>
      <c r="U1276" s="130">
        <f ca="1" t="shared" si="1499"/>
        <v>1</v>
      </c>
      <c r="V1276" s="130">
        <f ca="1" t="shared" si="1499"/>
        <v>1</v>
      </c>
    </row>
    <row r="1277" s="106" customFormat="1" ht="16.5" spans="2:22">
      <c r="B1277" s="117">
        <v>41</v>
      </c>
      <c r="C1277" s="130">
        <f t="shared" si="1459"/>
        <v>4100</v>
      </c>
      <c r="D1277" s="130">
        <f ca="1" t="shared" ref="D1277:V1277" si="1500">IF($C1277&gt;D$633,1,0)</f>
        <v>1</v>
      </c>
      <c r="E1277" s="130">
        <f ca="1" t="shared" si="1500"/>
        <v>1</v>
      </c>
      <c r="F1277" s="130">
        <f ca="1" t="shared" si="1500"/>
        <v>1</v>
      </c>
      <c r="G1277" s="130">
        <f ca="1" t="shared" si="1500"/>
        <v>1</v>
      </c>
      <c r="H1277" s="130">
        <f ca="1" t="shared" si="1500"/>
        <v>1</v>
      </c>
      <c r="I1277" s="130">
        <f ca="1" t="shared" si="1500"/>
        <v>1</v>
      </c>
      <c r="J1277" s="130">
        <f ca="1" t="shared" si="1500"/>
        <v>1</v>
      </c>
      <c r="K1277" s="130">
        <f ca="1" t="shared" si="1500"/>
        <v>1</v>
      </c>
      <c r="L1277" s="130">
        <f ca="1" t="shared" si="1500"/>
        <v>1</v>
      </c>
      <c r="M1277" s="130">
        <f ca="1" t="shared" si="1500"/>
        <v>1</v>
      </c>
      <c r="N1277" s="130">
        <f ca="1" t="shared" si="1500"/>
        <v>1</v>
      </c>
      <c r="O1277" s="130">
        <f ca="1" t="shared" si="1500"/>
        <v>1</v>
      </c>
      <c r="P1277" s="130">
        <f ca="1" t="shared" si="1500"/>
        <v>1</v>
      </c>
      <c r="Q1277" s="130">
        <f ca="1" t="shared" si="1500"/>
        <v>1</v>
      </c>
      <c r="R1277" s="130">
        <f ca="1" t="shared" si="1500"/>
        <v>1</v>
      </c>
      <c r="S1277" s="130">
        <f ca="1" t="shared" si="1500"/>
        <v>1</v>
      </c>
      <c r="T1277" s="130">
        <f ca="1" t="shared" si="1500"/>
        <v>0</v>
      </c>
      <c r="U1277" s="130">
        <f ca="1" t="shared" si="1500"/>
        <v>1</v>
      </c>
      <c r="V1277" s="130">
        <f ca="1" t="shared" si="1500"/>
        <v>1</v>
      </c>
    </row>
    <row r="1278" s="106" customFormat="1" ht="16.5" spans="2:22">
      <c r="B1278" s="117">
        <v>42</v>
      </c>
      <c r="C1278" s="130">
        <f t="shared" si="1459"/>
        <v>4200</v>
      </c>
      <c r="D1278" s="130">
        <f ca="1" t="shared" ref="D1278:V1278" si="1501">IF($C1278&gt;D$633,1,0)</f>
        <v>1</v>
      </c>
      <c r="E1278" s="130">
        <f ca="1" t="shared" si="1501"/>
        <v>1</v>
      </c>
      <c r="F1278" s="130">
        <f ca="1" t="shared" si="1501"/>
        <v>1</v>
      </c>
      <c r="G1278" s="130">
        <f ca="1" t="shared" si="1501"/>
        <v>1</v>
      </c>
      <c r="H1278" s="130">
        <f ca="1" t="shared" si="1501"/>
        <v>1</v>
      </c>
      <c r="I1278" s="130">
        <f ca="1" t="shared" si="1501"/>
        <v>1</v>
      </c>
      <c r="J1278" s="130">
        <f ca="1" t="shared" si="1501"/>
        <v>1</v>
      </c>
      <c r="K1278" s="130">
        <f ca="1" t="shared" si="1501"/>
        <v>1</v>
      </c>
      <c r="L1278" s="130">
        <f ca="1" t="shared" si="1501"/>
        <v>1</v>
      </c>
      <c r="M1278" s="130">
        <f ca="1" t="shared" si="1501"/>
        <v>1</v>
      </c>
      <c r="N1278" s="130">
        <f ca="1" t="shared" si="1501"/>
        <v>1</v>
      </c>
      <c r="O1278" s="130">
        <f ca="1" t="shared" si="1501"/>
        <v>1</v>
      </c>
      <c r="P1278" s="130">
        <f ca="1" t="shared" si="1501"/>
        <v>1</v>
      </c>
      <c r="Q1278" s="130">
        <f ca="1" t="shared" si="1501"/>
        <v>1</v>
      </c>
      <c r="R1278" s="130">
        <f ca="1" t="shared" si="1501"/>
        <v>1</v>
      </c>
      <c r="S1278" s="130">
        <f ca="1" t="shared" si="1501"/>
        <v>1</v>
      </c>
      <c r="T1278" s="130">
        <f ca="1" t="shared" si="1501"/>
        <v>0</v>
      </c>
      <c r="U1278" s="130">
        <f ca="1" t="shared" si="1501"/>
        <v>1</v>
      </c>
      <c r="V1278" s="130">
        <f ca="1" t="shared" si="1501"/>
        <v>1</v>
      </c>
    </row>
    <row r="1279" s="106" customFormat="1" ht="16.5" spans="2:22">
      <c r="B1279" s="117">
        <v>43</v>
      </c>
      <c r="C1279" s="130">
        <f t="shared" si="1459"/>
        <v>4300</v>
      </c>
      <c r="D1279" s="130">
        <f ca="1" t="shared" ref="D1279:V1279" si="1502">IF($C1279&gt;D$633,1,0)</f>
        <v>1</v>
      </c>
      <c r="E1279" s="130">
        <f ca="1" t="shared" si="1502"/>
        <v>1</v>
      </c>
      <c r="F1279" s="130">
        <f ca="1" t="shared" si="1502"/>
        <v>1</v>
      </c>
      <c r="G1279" s="130">
        <f ca="1" t="shared" si="1502"/>
        <v>1</v>
      </c>
      <c r="H1279" s="130">
        <f ca="1" t="shared" si="1502"/>
        <v>1</v>
      </c>
      <c r="I1279" s="130">
        <f ca="1" t="shared" si="1502"/>
        <v>1</v>
      </c>
      <c r="J1279" s="130">
        <f ca="1" t="shared" si="1502"/>
        <v>1</v>
      </c>
      <c r="K1279" s="130">
        <f ca="1" t="shared" si="1502"/>
        <v>1</v>
      </c>
      <c r="L1279" s="130">
        <f ca="1" t="shared" si="1502"/>
        <v>1</v>
      </c>
      <c r="M1279" s="130">
        <f ca="1" t="shared" si="1502"/>
        <v>1</v>
      </c>
      <c r="N1279" s="130">
        <f ca="1" t="shared" si="1502"/>
        <v>1</v>
      </c>
      <c r="O1279" s="130">
        <f ca="1" t="shared" si="1502"/>
        <v>1</v>
      </c>
      <c r="P1279" s="130">
        <f ca="1" t="shared" si="1502"/>
        <v>1</v>
      </c>
      <c r="Q1279" s="130">
        <f ca="1" t="shared" si="1502"/>
        <v>1</v>
      </c>
      <c r="R1279" s="130">
        <f ca="1" t="shared" si="1502"/>
        <v>1</v>
      </c>
      <c r="S1279" s="130">
        <f ca="1" t="shared" si="1502"/>
        <v>1</v>
      </c>
      <c r="T1279" s="130">
        <f ca="1" t="shared" si="1502"/>
        <v>0</v>
      </c>
      <c r="U1279" s="130">
        <f ca="1" t="shared" si="1502"/>
        <v>1</v>
      </c>
      <c r="V1279" s="130">
        <f ca="1" t="shared" si="1502"/>
        <v>1</v>
      </c>
    </row>
    <row r="1280" s="106" customFormat="1" ht="16.5" spans="2:22">
      <c r="B1280" s="117">
        <v>44</v>
      </c>
      <c r="C1280" s="130">
        <f t="shared" si="1459"/>
        <v>4400</v>
      </c>
      <c r="D1280" s="130">
        <f ca="1" t="shared" ref="D1280:V1280" si="1503">IF($C1280&gt;D$633,1,0)</f>
        <v>1</v>
      </c>
      <c r="E1280" s="130">
        <f ca="1" t="shared" si="1503"/>
        <v>1</v>
      </c>
      <c r="F1280" s="130">
        <f ca="1" t="shared" si="1503"/>
        <v>1</v>
      </c>
      <c r="G1280" s="130">
        <f ca="1" t="shared" si="1503"/>
        <v>1</v>
      </c>
      <c r="H1280" s="130">
        <f ca="1" t="shared" si="1503"/>
        <v>1</v>
      </c>
      <c r="I1280" s="130">
        <f ca="1" t="shared" si="1503"/>
        <v>1</v>
      </c>
      <c r="J1280" s="130">
        <f ca="1" t="shared" si="1503"/>
        <v>1</v>
      </c>
      <c r="K1280" s="130">
        <f ca="1" t="shared" si="1503"/>
        <v>1</v>
      </c>
      <c r="L1280" s="130">
        <f ca="1" t="shared" si="1503"/>
        <v>1</v>
      </c>
      <c r="M1280" s="130">
        <f ca="1" t="shared" si="1503"/>
        <v>1</v>
      </c>
      <c r="N1280" s="130">
        <f ca="1" t="shared" si="1503"/>
        <v>1</v>
      </c>
      <c r="O1280" s="130">
        <f ca="1" t="shared" si="1503"/>
        <v>1</v>
      </c>
      <c r="P1280" s="130">
        <f ca="1" t="shared" si="1503"/>
        <v>1</v>
      </c>
      <c r="Q1280" s="130">
        <f ca="1" t="shared" si="1503"/>
        <v>1</v>
      </c>
      <c r="R1280" s="130">
        <f ca="1" t="shared" si="1503"/>
        <v>1</v>
      </c>
      <c r="S1280" s="130">
        <f ca="1" t="shared" si="1503"/>
        <v>1</v>
      </c>
      <c r="T1280" s="130">
        <f ca="1" t="shared" si="1503"/>
        <v>0</v>
      </c>
      <c r="U1280" s="130">
        <f ca="1" t="shared" si="1503"/>
        <v>1</v>
      </c>
      <c r="V1280" s="130">
        <f ca="1" t="shared" si="1503"/>
        <v>1</v>
      </c>
    </row>
    <row r="1281" s="106" customFormat="1" ht="16.5" spans="2:22">
      <c r="B1281" s="117">
        <v>45</v>
      </c>
      <c r="C1281" s="130">
        <f t="shared" si="1459"/>
        <v>4500</v>
      </c>
      <c r="D1281" s="130">
        <f ca="1" t="shared" ref="D1281:V1281" si="1504">IF($C1281&gt;D$633,1,0)</f>
        <v>1</v>
      </c>
      <c r="E1281" s="130">
        <f ca="1" t="shared" si="1504"/>
        <v>1</v>
      </c>
      <c r="F1281" s="130">
        <f ca="1" t="shared" si="1504"/>
        <v>1</v>
      </c>
      <c r="G1281" s="130">
        <f ca="1" t="shared" si="1504"/>
        <v>1</v>
      </c>
      <c r="H1281" s="130">
        <f ca="1" t="shared" si="1504"/>
        <v>1</v>
      </c>
      <c r="I1281" s="130">
        <f ca="1" t="shared" si="1504"/>
        <v>1</v>
      </c>
      <c r="J1281" s="130">
        <f ca="1" t="shared" si="1504"/>
        <v>1</v>
      </c>
      <c r="K1281" s="130">
        <f ca="1" t="shared" si="1504"/>
        <v>1</v>
      </c>
      <c r="L1281" s="130">
        <f ca="1" t="shared" si="1504"/>
        <v>1</v>
      </c>
      <c r="M1281" s="130">
        <f ca="1" t="shared" si="1504"/>
        <v>1</v>
      </c>
      <c r="N1281" s="130">
        <f ca="1" t="shared" si="1504"/>
        <v>1</v>
      </c>
      <c r="O1281" s="130">
        <f ca="1" t="shared" si="1504"/>
        <v>1</v>
      </c>
      <c r="P1281" s="130">
        <f ca="1" t="shared" si="1504"/>
        <v>1</v>
      </c>
      <c r="Q1281" s="130">
        <f ca="1" t="shared" si="1504"/>
        <v>1</v>
      </c>
      <c r="R1281" s="130">
        <f ca="1" t="shared" si="1504"/>
        <v>1</v>
      </c>
      <c r="S1281" s="130">
        <f ca="1" t="shared" si="1504"/>
        <v>1</v>
      </c>
      <c r="T1281" s="130">
        <f ca="1" t="shared" si="1504"/>
        <v>0</v>
      </c>
      <c r="U1281" s="130">
        <f ca="1" t="shared" si="1504"/>
        <v>1</v>
      </c>
      <c r="V1281" s="130">
        <f ca="1" t="shared" si="1504"/>
        <v>1</v>
      </c>
    </row>
    <row r="1282" s="106" customFormat="1" ht="16.5" spans="2:22">
      <c r="B1282" s="117">
        <v>46</v>
      </c>
      <c r="C1282" s="130">
        <f t="shared" si="1459"/>
        <v>4600</v>
      </c>
      <c r="D1282" s="130">
        <f ca="1" t="shared" ref="D1282:V1282" si="1505">IF($C1282&gt;D$633,1,0)</f>
        <v>1</v>
      </c>
      <c r="E1282" s="130">
        <f ca="1" t="shared" si="1505"/>
        <v>1</v>
      </c>
      <c r="F1282" s="130">
        <f ca="1" t="shared" si="1505"/>
        <v>1</v>
      </c>
      <c r="G1282" s="130">
        <f ca="1" t="shared" si="1505"/>
        <v>1</v>
      </c>
      <c r="H1282" s="130">
        <f ca="1" t="shared" si="1505"/>
        <v>1</v>
      </c>
      <c r="I1282" s="130">
        <f ca="1" t="shared" si="1505"/>
        <v>1</v>
      </c>
      <c r="J1282" s="130">
        <f ca="1" t="shared" si="1505"/>
        <v>1</v>
      </c>
      <c r="K1282" s="130">
        <f ca="1" t="shared" si="1505"/>
        <v>1</v>
      </c>
      <c r="L1282" s="130">
        <f ca="1" t="shared" si="1505"/>
        <v>1</v>
      </c>
      <c r="M1282" s="130">
        <f ca="1" t="shared" si="1505"/>
        <v>1</v>
      </c>
      <c r="N1282" s="130">
        <f ca="1" t="shared" si="1505"/>
        <v>1</v>
      </c>
      <c r="O1282" s="130">
        <f ca="1" t="shared" si="1505"/>
        <v>1</v>
      </c>
      <c r="P1282" s="130">
        <f ca="1" t="shared" si="1505"/>
        <v>1</v>
      </c>
      <c r="Q1282" s="130">
        <f ca="1" t="shared" si="1505"/>
        <v>1</v>
      </c>
      <c r="R1282" s="130">
        <f ca="1" t="shared" si="1505"/>
        <v>1</v>
      </c>
      <c r="S1282" s="130">
        <f ca="1" t="shared" si="1505"/>
        <v>1</v>
      </c>
      <c r="T1282" s="130">
        <f ca="1" t="shared" si="1505"/>
        <v>1</v>
      </c>
      <c r="U1282" s="130">
        <f ca="1" t="shared" si="1505"/>
        <v>1</v>
      </c>
      <c r="V1282" s="130">
        <f ca="1" t="shared" si="1505"/>
        <v>1</v>
      </c>
    </row>
    <row r="1283" s="106" customFormat="1" ht="16.5" spans="2:22">
      <c r="B1283" s="117">
        <v>47</v>
      </c>
      <c r="C1283" s="130">
        <f t="shared" si="1459"/>
        <v>4700</v>
      </c>
      <c r="D1283" s="130">
        <f ca="1" t="shared" ref="D1283:V1283" si="1506">IF($C1283&gt;D$633,1,0)</f>
        <v>1</v>
      </c>
      <c r="E1283" s="130">
        <f ca="1" t="shared" si="1506"/>
        <v>1</v>
      </c>
      <c r="F1283" s="130">
        <f ca="1" t="shared" si="1506"/>
        <v>1</v>
      </c>
      <c r="G1283" s="130">
        <f ca="1" t="shared" si="1506"/>
        <v>1</v>
      </c>
      <c r="H1283" s="130">
        <f ca="1" t="shared" si="1506"/>
        <v>1</v>
      </c>
      <c r="I1283" s="130">
        <f ca="1" t="shared" si="1506"/>
        <v>1</v>
      </c>
      <c r="J1283" s="130">
        <f ca="1" t="shared" si="1506"/>
        <v>1</v>
      </c>
      <c r="K1283" s="130">
        <f ca="1" t="shared" si="1506"/>
        <v>1</v>
      </c>
      <c r="L1283" s="130">
        <f ca="1" t="shared" si="1506"/>
        <v>1</v>
      </c>
      <c r="M1283" s="130">
        <f ca="1" t="shared" si="1506"/>
        <v>1</v>
      </c>
      <c r="N1283" s="130">
        <f ca="1" t="shared" si="1506"/>
        <v>1</v>
      </c>
      <c r="O1283" s="130">
        <f ca="1" t="shared" si="1506"/>
        <v>1</v>
      </c>
      <c r="P1283" s="130">
        <f ca="1" t="shared" si="1506"/>
        <v>1</v>
      </c>
      <c r="Q1283" s="130">
        <f ca="1" t="shared" si="1506"/>
        <v>1</v>
      </c>
      <c r="R1283" s="130">
        <f ca="1" t="shared" si="1506"/>
        <v>1</v>
      </c>
      <c r="S1283" s="130">
        <f ca="1" t="shared" si="1506"/>
        <v>1</v>
      </c>
      <c r="T1283" s="130">
        <f ca="1" t="shared" si="1506"/>
        <v>1</v>
      </c>
      <c r="U1283" s="130">
        <f ca="1" t="shared" si="1506"/>
        <v>1</v>
      </c>
      <c r="V1283" s="130">
        <f ca="1" t="shared" si="1506"/>
        <v>1</v>
      </c>
    </row>
    <row r="1284" s="106" customFormat="1" ht="16.5" spans="2:22">
      <c r="B1284" s="117">
        <v>48</v>
      </c>
      <c r="C1284" s="130">
        <f t="shared" si="1459"/>
        <v>4800</v>
      </c>
      <c r="D1284" s="130">
        <f ca="1" t="shared" ref="D1284:V1284" si="1507">IF($C1284&gt;D$633,1,0)</f>
        <v>1</v>
      </c>
      <c r="E1284" s="130">
        <f ca="1" t="shared" si="1507"/>
        <v>1</v>
      </c>
      <c r="F1284" s="130">
        <f ca="1" t="shared" si="1507"/>
        <v>1</v>
      </c>
      <c r="G1284" s="130">
        <f ca="1" t="shared" si="1507"/>
        <v>1</v>
      </c>
      <c r="H1284" s="130">
        <f ca="1" t="shared" si="1507"/>
        <v>1</v>
      </c>
      <c r="I1284" s="130">
        <f ca="1" t="shared" si="1507"/>
        <v>1</v>
      </c>
      <c r="J1284" s="130">
        <f ca="1" t="shared" si="1507"/>
        <v>1</v>
      </c>
      <c r="K1284" s="130">
        <f ca="1" t="shared" si="1507"/>
        <v>1</v>
      </c>
      <c r="L1284" s="130">
        <f ca="1" t="shared" si="1507"/>
        <v>1</v>
      </c>
      <c r="M1284" s="130">
        <f ca="1" t="shared" si="1507"/>
        <v>1</v>
      </c>
      <c r="N1284" s="130">
        <f ca="1" t="shared" si="1507"/>
        <v>1</v>
      </c>
      <c r="O1284" s="130">
        <f ca="1" t="shared" si="1507"/>
        <v>1</v>
      </c>
      <c r="P1284" s="130">
        <f ca="1" t="shared" si="1507"/>
        <v>1</v>
      </c>
      <c r="Q1284" s="130">
        <f ca="1" t="shared" si="1507"/>
        <v>1</v>
      </c>
      <c r="R1284" s="130">
        <f ca="1" t="shared" si="1507"/>
        <v>1</v>
      </c>
      <c r="S1284" s="130">
        <f ca="1" t="shared" si="1507"/>
        <v>1</v>
      </c>
      <c r="T1284" s="130">
        <f ca="1" t="shared" si="1507"/>
        <v>1</v>
      </c>
      <c r="U1284" s="130">
        <f ca="1" t="shared" si="1507"/>
        <v>1</v>
      </c>
      <c r="V1284" s="130">
        <f ca="1" t="shared" si="1507"/>
        <v>1</v>
      </c>
    </row>
    <row r="1285" s="106" customFormat="1" ht="16.5" spans="2:22">
      <c r="B1285" s="117">
        <v>49</v>
      </c>
      <c r="C1285" s="130">
        <f t="shared" si="1459"/>
        <v>4900</v>
      </c>
      <c r="D1285" s="130">
        <f ca="1" t="shared" ref="D1285:V1285" si="1508">IF($C1285&gt;D$633,1,0)</f>
        <v>1</v>
      </c>
      <c r="E1285" s="130">
        <f ca="1" t="shared" si="1508"/>
        <v>1</v>
      </c>
      <c r="F1285" s="130">
        <f ca="1" t="shared" si="1508"/>
        <v>1</v>
      </c>
      <c r="G1285" s="130">
        <f ca="1" t="shared" si="1508"/>
        <v>1</v>
      </c>
      <c r="H1285" s="130">
        <f ca="1" t="shared" si="1508"/>
        <v>1</v>
      </c>
      <c r="I1285" s="130">
        <f ca="1" t="shared" si="1508"/>
        <v>1</v>
      </c>
      <c r="J1285" s="130">
        <f ca="1" t="shared" si="1508"/>
        <v>1</v>
      </c>
      <c r="K1285" s="130">
        <f ca="1" t="shared" si="1508"/>
        <v>1</v>
      </c>
      <c r="L1285" s="130">
        <f ca="1" t="shared" si="1508"/>
        <v>1</v>
      </c>
      <c r="M1285" s="130">
        <f ca="1" t="shared" si="1508"/>
        <v>1</v>
      </c>
      <c r="N1285" s="130">
        <f ca="1" t="shared" si="1508"/>
        <v>1</v>
      </c>
      <c r="O1285" s="130">
        <f ca="1" t="shared" si="1508"/>
        <v>1</v>
      </c>
      <c r="P1285" s="130">
        <f ca="1" t="shared" si="1508"/>
        <v>1</v>
      </c>
      <c r="Q1285" s="130">
        <f ca="1" t="shared" si="1508"/>
        <v>1</v>
      </c>
      <c r="R1285" s="130">
        <f ca="1" t="shared" si="1508"/>
        <v>1</v>
      </c>
      <c r="S1285" s="130">
        <f ca="1" t="shared" si="1508"/>
        <v>1</v>
      </c>
      <c r="T1285" s="130">
        <f ca="1" t="shared" si="1508"/>
        <v>1</v>
      </c>
      <c r="U1285" s="130">
        <f ca="1" t="shared" si="1508"/>
        <v>1</v>
      </c>
      <c r="V1285" s="130">
        <f ca="1" t="shared" si="1508"/>
        <v>1</v>
      </c>
    </row>
    <row r="1286" s="106" customFormat="1" ht="16.5" spans="2:22">
      <c r="B1286" s="117">
        <v>50</v>
      </c>
      <c r="C1286" s="130">
        <f t="shared" si="1459"/>
        <v>5000</v>
      </c>
      <c r="D1286" s="130">
        <f ca="1" t="shared" ref="D1286:V1286" si="1509">IF($C1286&gt;D$633,1,0)</f>
        <v>1</v>
      </c>
      <c r="E1286" s="130">
        <f ca="1" t="shared" si="1509"/>
        <v>1</v>
      </c>
      <c r="F1286" s="130">
        <f ca="1" t="shared" si="1509"/>
        <v>1</v>
      </c>
      <c r="G1286" s="130">
        <f ca="1" t="shared" si="1509"/>
        <v>1</v>
      </c>
      <c r="H1286" s="130">
        <f ca="1" t="shared" si="1509"/>
        <v>1</v>
      </c>
      <c r="I1286" s="130">
        <f ca="1" t="shared" si="1509"/>
        <v>1</v>
      </c>
      <c r="J1286" s="130">
        <f ca="1" t="shared" si="1509"/>
        <v>1</v>
      </c>
      <c r="K1286" s="130">
        <f ca="1" t="shared" si="1509"/>
        <v>1</v>
      </c>
      <c r="L1286" s="130">
        <f ca="1" t="shared" si="1509"/>
        <v>1</v>
      </c>
      <c r="M1286" s="130">
        <f ca="1" t="shared" si="1509"/>
        <v>1</v>
      </c>
      <c r="N1286" s="130">
        <f ca="1" t="shared" si="1509"/>
        <v>1</v>
      </c>
      <c r="O1286" s="130">
        <f ca="1" t="shared" si="1509"/>
        <v>1</v>
      </c>
      <c r="P1286" s="130">
        <f ca="1" t="shared" si="1509"/>
        <v>1</v>
      </c>
      <c r="Q1286" s="130">
        <f ca="1" t="shared" si="1509"/>
        <v>1</v>
      </c>
      <c r="R1286" s="130">
        <f ca="1" t="shared" si="1509"/>
        <v>1</v>
      </c>
      <c r="S1286" s="130">
        <f ca="1" t="shared" si="1509"/>
        <v>1</v>
      </c>
      <c r="T1286" s="130">
        <f ca="1" t="shared" si="1509"/>
        <v>1</v>
      </c>
      <c r="U1286" s="130">
        <f ca="1" t="shared" si="1509"/>
        <v>1</v>
      </c>
      <c r="V1286" s="130">
        <f ca="1" t="shared" si="1509"/>
        <v>1</v>
      </c>
    </row>
    <row r="1287" s="106" customFormat="1" ht="16.5" spans="2:22">
      <c r="B1287" s="117">
        <v>51</v>
      </c>
      <c r="C1287" s="130">
        <f t="shared" si="1459"/>
        <v>5100</v>
      </c>
      <c r="D1287" s="130">
        <f ca="1" t="shared" ref="D1287:V1287" si="1510">IF($C1287&gt;D$633,1,0)</f>
        <v>1</v>
      </c>
      <c r="E1287" s="130">
        <f ca="1" t="shared" si="1510"/>
        <v>1</v>
      </c>
      <c r="F1287" s="130">
        <f ca="1" t="shared" si="1510"/>
        <v>1</v>
      </c>
      <c r="G1287" s="130">
        <f ca="1" t="shared" si="1510"/>
        <v>1</v>
      </c>
      <c r="H1287" s="130">
        <f ca="1" t="shared" si="1510"/>
        <v>1</v>
      </c>
      <c r="I1287" s="130">
        <f ca="1" t="shared" si="1510"/>
        <v>1</v>
      </c>
      <c r="J1287" s="130">
        <f ca="1" t="shared" si="1510"/>
        <v>1</v>
      </c>
      <c r="K1287" s="130">
        <f ca="1" t="shared" si="1510"/>
        <v>1</v>
      </c>
      <c r="L1287" s="130">
        <f ca="1" t="shared" si="1510"/>
        <v>1</v>
      </c>
      <c r="M1287" s="130">
        <f ca="1" t="shared" si="1510"/>
        <v>1</v>
      </c>
      <c r="N1287" s="130">
        <f ca="1" t="shared" si="1510"/>
        <v>1</v>
      </c>
      <c r="O1287" s="130">
        <f ca="1" t="shared" si="1510"/>
        <v>1</v>
      </c>
      <c r="P1287" s="130">
        <f ca="1" t="shared" si="1510"/>
        <v>1</v>
      </c>
      <c r="Q1287" s="130">
        <f ca="1" t="shared" si="1510"/>
        <v>1</v>
      </c>
      <c r="R1287" s="130">
        <f ca="1" t="shared" si="1510"/>
        <v>1</v>
      </c>
      <c r="S1287" s="130">
        <f ca="1" t="shared" si="1510"/>
        <v>1</v>
      </c>
      <c r="T1287" s="130">
        <f ca="1" t="shared" si="1510"/>
        <v>1</v>
      </c>
      <c r="U1287" s="130">
        <f ca="1" t="shared" si="1510"/>
        <v>1</v>
      </c>
      <c r="V1287" s="130">
        <f ca="1" t="shared" si="1510"/>
        <v>1</v>
      </c>
    </row>
    <row r="1288" s="106" customFormat="1" ht="16.5" spans="2:22">
      <c r="B1288" s="117">
        <v>52</v>
      </c>
      <c r="C1288" s="130">
        <f t="shared" si="1459"/>
        <v>5200</v>
      </c>
      <c r="D1288" s="130">
        <f ca="1" t="shared" ref="D1288:V1288" si="1511">IF($C1288&gt;D$633,1,0)</f>
        <v>1</v>
      </c>
      <c r="E1288" s="130">
        <f ca="1" t="shared" si="1511"/>
        <v>1</v>
      </c>
      <c r="F1288" s="130">
        <f ca="1" t="shared" si="1511"/>
        <v>1</v>
      </c>
      <c r="G1288" s="130">
        <f ca="1" t="shared" si="1511"/>
        <v>1</v>
      </c>
      <c r="H1288" s="130">
        <f ca="1" t="shared" si="1511"/>
        <v>1</v>
      </c>
      <c r="I1288" s="130">
        <f ca="1" t="shared" si="1511"/>
        <v>1</v>
      </c>
      <c r="J1288" s="130">
        <f ca="1" t="shared" si="1511"/>
        <v>1</v>
      </c>
      <c r="K1288" s="130">
        <f ca="1" t="shared" si="1511"/>
        <v>1</v>
      </c>
      <c r="L1288" s="130">
        <f ca="1" t="shared" si="1511"/>
        <v>1</v>
      </c>
      <c r="M1288" s="130">
        <f ca="1" t="shared" si="1511"/>
        <v>1</v>
      </c>
      <c r="N1288" s="130">
        <f ca="1" t="shared" si="1511"/>
        <v>1</v>
      </c>
      <c r="O1288" s="130">
        <f ca="1" t="shared" si="1511"/>
        <v>1</v>
      </c>
      <c r="P1288" s="130">
        <f ca="1" t="shared" si="1511"/>
        <v>1</v>
      </c>
      <c r="Q1288" s="130">
        <f ca="1" t="shared" si="1511"/>
        <v>1</v>
      </c>
      <c r="R1288" s="130">
        <f ca="1" t="shared" si="1511"/>
        <v>1</v>
      </c>
      <c r="S1288" s="130">
        <f ca="1" t="shared" si="1511"/>
        <v>1</v>
      </c>
      <c r="T1288" s="130">
        <f ca="1" t="shared" si="1511"/>
        <v>1</v>
      </c>
      <c r="U1288" s="130">
        <f ca="1" t="shared" si="1511"/>
        <v>1</v>
      </c>
      <c r="V1288" s="130">
        <f ca="1" t="shared" si="1511"/>
        <v>1</v>
      </c>
    </row>
    <row r="1289" s="106" customFormat="1" ht="16.5" spans="2:22">
      <c r="B1289" s="117">
        <v>53</v>
      </c>
      <c r="C1289" s="130">
        <f t="shared" si="1459"/>
        <v>5300</v>
      </c>
      <c r="D1289" s="130">
        <f ca="1" t="shared" ref="D1289:V1289" si="1512">IF($C1289&gt;D$633,1,0)</f>
        <v>1</v>
      </c>
      <c r="E1289" s="130">
        <f ca="1" t="shared" si="1512"/>
        <v>1</v>
      </c>
      <c r="F1289" s="130">
        <f ca="1" t="shared" si="1512"/>
        <v>1</v>
      </c>
      <c r="G1289" s="130">
        <f ca="1" t="shared" si="1512"/>
        <v>1</v>
      </c>
      <c r="H1289" s="130">
        <f ca="1" t="shared" si="1512"/>
        <v>1</v>
      </c>
      <c r="I1289" s="130">
        <f ca="1" t="shared" si="1512"/>
        <v>1</v>
      </c>
      <c r="J1289" s="130">
        <f ca="1" t="shared" si="1512"/>
        <v>1</v>
      </c>
      <c r="K1289" s="130">
        <f ca="1" t="shared" si="1512"/>
        <v>1</v>
      </c>
      <c r="L1289" s="130">
        <f ca="1" t="shared" si="1512"/>
        <v>1</v>
      </c>
      <c r="M1289" s="130">
        <f ca="1" t="shared" si="1512"/>
        <v>1</v>
      </c>
      <c r="N1289" s="130">
        <f ca="1" t="shared" si="1512"/>
        <v>1</v>
      </c>
      <c r="O1289" s="130">
        <f ca="1" t="shared" si="1512"/>
        <v>1</v>
      </c>
      <c r="P1289" s="130">
        <f ca="1" t="shared" si="1512"/>
        <v>1</v>
      </c>
      <c r="Q1289" s="130">
        <f ca="1" t="shared" si="1512"/>
        <v>1</v>
      </c>
      <c r="R1289" s="130">
        <f ca="1" t="shared" si="1512"/>
        <v>1</v>
      </c>
      <c r="S1289" s="130">
        <f ca="1" t="shared" si="1512"/>
        <v>1</v>
      </c>
      <c r="T1289" s="130">
        <f ca="1" t="shared" si="1512"/>
        <v>1</v>
      </c>
      <c r="U1289" s="130">
        <f ca="1" t="shared" si="1512"/>
        <v>1</v>
      </c>
      <c r="V1289" s="130">
        <f ca="1" t="shared" si="1512"/>
        <v>1</v>
      </c>
    </row>
    <row r="1290" s="106" customFormat="1" ht="16.5" spans="2:22">
      <c r="B1290" s="117">
        <v>54</v>
      </c>
      <c r="C1290" s="130">
        <f t="shared" si="1459"/>
        <v>5400</v>
      </c>
      <c r="D1290" s="130">
        <f ca="1" t="shared" ref="D1290:V1290" si="1513">IF($C1290&gt;D$633,1,0)</f>
        <v>1</v>
      </c>
      <c r="E1290" s="130">
        <f ca="1" t="shared" si="1513"/>
        <v>1</v>
      </c>
      <c r="F1290" s="130">
        <f ca="1" t="shared" si="1513"/>
        <v>1</v>
      </c>
      <c r="G1290" s="130">
        <f ca="1" t="shared" si="1513"/>
        <v>1</v>
      </c>
      <c r="H1290" s="130">
        <f ca="1" t="shared" si="1513"/>
        <v>1</v>
      </c>
      <c r="I1290" s="130">
        <f ca="1" t="shared" si="1513"/>
        <v>1</v>
      </c>
      <c r="J1290" s="130">
        <f ca="1" t="shared" si="1513"/>
        <v>1</v>
      </c>
      <c r="K1290" s="130">
        <f ca="1" t="shared" si="1513"/>
        <v>1</v>
      </c>
      <c r="L1290" s="130">
        <f ca="1" t="shared" si="1513"/>
        <v>1</v>
      </c>
      <c r="M1290" s="130">
        <f ca="1" t="shared" si="1513"/>
        <v>1</v>
      </c>
      <c r="N1290" s="130">
        <f ca="1" t="shared" si="1513"/>
        <v>1</v>
      </c>
      <c r="O1290" s="130">
        <f ca="1" t="shared" si="1513"/>
        <v>1</v>
      </c>
      <c r="P1290" s="130">
        <f ca="1" t="shared" si="1513"/>
        <v>1</v>
      </c>
      <c r="Q1290" s="130">
        <f ca="1" t="shared" si="1513"/>
        <v>1</v>
      </c>
      <c r="R1290" s="130">
        <f ca="1" t="shared" si="1513"/>
        <v>1</v>
      </c>
      <c r="S1290" s="130">
        <f ca="1" t="shared" si="1513"/>
        <v>1</v>
      </c>
      <c r="T1290" s="130">
        <f ca="1" t="shared" si="1513"/>
        <v>1</v>
      </c>
      <c r="U1290" s="130">
        <f ca="1" t="shared" si="1513"/>
        <v>1</v>
      </c>
      <c r="V1290" s="130">
        <f ca="1" t="shared" si="1513"/>
        <v>1</v>
      </c>
    </row>
    <row r="1291" s="106" customFormat="1" ht="16.5" spans="2:22">
      <c r="B1291" s="117">
        <v>55</v>
      </c>
      <c r="C1291" s="130">
        <f t="shared" si="1459"/>
        <v>5500</v>
      </c>
      <c r="D1291" s="130">
        <f ca="1" t="shared" ref="D1291:V1291" si="1514">IF($C1291&gt;D$633,1,0)</f>
        <v>1</v>
      </c>
      <c r="E1291" s="130">
        <f ca="1" t="shared" si="1514"/>
        <v>1</v>
      </c>
      <c r="F1291" s="130">
        <f ca="1" t="shared" si="1514"/>
        <v>1</v>
      </c>
      <c r="G1291" s="130">
        <f ca="1" t="shared" si="1514"/>
        <v>1</v>
      </c>
      <c r="H1291" s="130">
        <f ca="1" t="shared" si="1514"/>
        <v>1</v>
      </c>
      <c r="I1291" s="130">
        <f ca="1" t="shared" si="1514"/>
        <v>1</v>
      </c>
      <c r="J1291" s="130">
        <f ca="1" t="shared" si="1514"/>
        <v>1</v>
      </c>
      <c r="K1291" s="130">
        <f ca="1" t="shared" si="1514"/>
        <v>1</v>
      </c>
      <c r="L1291" s="130">
        <f ca="1" t="shared" si="1514"/>
        <v>1</v>
      </c>
      <c r="M1291" s="130">
        <f ca="1" t="shared" si="1514"/>
        <v>1</v>
      </c>
      <c r="N1291" s="130">
        <f ca="1" t="shared" si="1514"/>
        <v>1</v>
      </c>
      <c r="O1291" s="130">
        <f ca="1" t="shared" si="1514"/>
        <v>1</v>
      </c>
      <c r="P1291" s="130">
        <f ca="1" t="shared" si="1514"/>
        <v>1</v>
      </c>
      <c r="Q1291" s="130">
        <f ca="1" t="shared" si="1514"/>
        <v>1</v>
      </c>
      <c r="R1291" s="130">
        <f ca="1" t="shared" si="1514"/>
        <v>1</v>
      </c>
      <c r="S1291" s="130">
        <f ca="1" t="shared" si="1514"/>
        <v>1</v>
      </c>
      <c r="T1291" s="130">
        <f ca="1" t="shared" si="1514"/>
        <v>1</v>
      </c>
      <c r="U1291" s="130">
        <f ca="1" t="shared" si="1514"/>
        <v>1</v>
      </c>
      <c r="V1291" s="130">
        <f ca="1" t="shared" si="1514"/>
        <v>1</v>
      </c>
    </row>
    <row r="1292" s="106" customFormat="1" ht="16.5" spans="2:22">
      <c r="B1292" s="117">
        <v>56</v>
      </c>
      <c r="C1292" s="130">
        <f t="shared" si="1459"/>
        <v>5600</v>
      </c>
      <c r="D1292" s="130">
        <f ca="1" t="shared" ref="D1292:V1292" si="1515">IF($C1292&gt;D$633,1,0)</f>
        <v>1</v>
      </c>
      <c r="E1292" s="130">
        <f ca="1" t="shared" si="1515"/>
        <v>1</v>
      </c>
      <c r="F1292" s="130">
        <f ca="1" t="shared" si="1515"/>
        <v>1</v>
      </c>
      <c r="G1292" s="130">
        <f ca="1" t="shared" si="1515"/>
        <v>1</v>
      </c>
      <c r="H1292" s="130">
        <f ca="1" t="shared" si="1515"/>
        <v>1</v>
      </c>
      <c r="I1292" s="130">
        <f ca="1" t="shared" si="1515"/>
        <v>1</v>
      </c>
      <c r="J1292" s="130">
        <f ca="1" t="shared" si="1515"/>
        <v>1</v>
      </c>
      <c r="K1292" s="130">
        <f ca="1" t="shared" si="1515"/>
        <v>1</v>
      </c>
      <c r="L1292" s="130">
        <f ca="1" t="shared" si="1515"/>
        <v>1</v>
      </c>
      <c r="M1292" s="130">
        <f ca="1" t="shared" si="1515"/>
        <v>1</v>
      </c>
      <c r="N1292" s="130">
        <f ca="1" t="shared" si="1515"/>
        <v>1</v>
      </c>
      <c r="O1292" s="130">
        <f ca="1" t="shared" si="1515"/>
        <v>1</v>
      </c>
      <c r="P1292" s="130">
        <f ca="1" t="shared" si="1515"/>
        <v>1</v>
      </c>
      <c r="Q1292" s="130">
        <f ca="1" t="shared" si="1515"/>
        <v>1</v>
      </c>
      <c r="R1292" s="130">
        <f ca="1" t="shared" si="1515"/>
        <v>1</v>
      </c>
      <c r="S1292" s="130">
        <f ca="1" t="shared" si="1515"/>
        <v>1</v>
      </c>
      <c r="T1292" s="130">
        <f ca="1" t="shared" si="1515"/>
        <v>1</v>
      </c>
      <c r="U1292" s="130">
        <f ca="1" t="shared" si="1515"/>
        <v>1</v>
      </c>
      <c r="V1292" s="130">
        <f ca="1" t="shared" si="1515"/>
        <v>1</v>
      </c>
    </row>
    <row r="1293" s="106" customFormat="1" ht="16.5" spans="2:22">
      <c r="B1293" s="117">
        <v>57</v>
      </c>
      <c r="C1293" s="130">
        <f t="shared" si="1459"/>
        <v>5700</v>
      </c>
      <c r="D1293" s="130">
        <f ca="1" t="shared" ref="D1293:V1293" si="1516">IF($C1293&gt;D$633,1,0)</f>
        <v>1</v>
      </c>
      <c r="E1293" s="130">
        <f ca="1" t="shared" si="1516"/>
        <v>1</v>
      </c>
      <c r="F1293" s="130">
        <f ca="1" t="shared" si="1516"/>
        <v>1</v>
      </c>
      <c r="G1293" s="130">
        <f ca="1" t="shared" si="1516"/>
        <v>1</v>
      </c>
      <c r="H1293" s="130">
        <f ca="1" t="shared" si="1516"/>
        <v>1</v>
      </c>
      <c r="I1293" s="130">
        <f ca="1" t="shared" si="1516"/>
        <v>1</v>
      </c>
      <c r="J1293" s="130">
        <f ca="1" t="shared" si="1516"/>
        <v>1</v>
      </c>
      <c r="K1293" s="130">
        <f ca="1" t="shared" si="1516"/>
        <v>1</v>
      </c>
      <c r="L1293" s="130">
        <f ca="1" t="shared" si="1516"/>
        <v>1</v>
      </c>
      <c r="M1293" s="130">
        <f ca="1" t="shared" si="1516"/>
        <v>1</v>
      </c>
      <c r="N1293" s="130">
        <f ca="1" t="shared" si="1516"/>
        <v>1</v>
      </c>
      <c r="O1293" s="130">
        <f ca="1" t="shared" si="1516"/>
        <v>1</v>
      </c>
      <c r="P1293" s="130">
        <f ca="1" t="shared" si="1516"/>
        <v>1</v>
      </c>
      <c r="Q1293" s="130">
        <f ca="1" t="shared" si="1516"/>
        <v>1</v>
      </c>
      <c r="R1293" s="130">
        <f ca="1" t="shared" si="1516"/>
        <v>1</v>
      </c>
      <c r="S1293" s="130">
        <f ca="1" t="shared" si="1516"/>
        <v>1</v>
      </c>
      <c r="T1293" s="130">
        <f ca="1" t="shared" si="1516"/>
        <v>1</v>
      </c>
      <c r="U1293" s="130">
        <f ca="1" t="shared" si="1516"/>
        <v>1</v>
      </c>
      <c r="V1293" s="130">
        <f ca="1" t="shared" si="1516"/>
        <v>1</v>
      </c>
    </row>
    <row r="1294" s="106" customFormat="1" ht="16.5" spans="2:22">
      <c r="B1294" s="117">
        <v>58</v>
      </c>
      <c r="C1294" s="130">
        <f t="shared" si="1459"/>
        <v>5800</v>
      </c>
      <c r="D1294" s="130">
        <f ca="1" t="shared" ref="D1294:V1294" si="1517">IF($C1294&gt;D$633,1,0)</f>
        <v>1</v>
      </c>
      <c r="E1294" s="130">
        <f ca="1" t="shared" si="1517"/>
        <v>1</v>
      </c>
      <c r="F1294" s="130">
        <f ca="1" t="shared" si="1517"/>
        <v>1</v>
      </c>
      <c r="G1294" s="130">
        <f ca="1" t="shared" si="1517"/>
        <v>1</v>
      </c>
      <c r="H1294" s="130">
        <f ca="1" t="shared" si="1517"/>
        <v>1</v>
      </c>
      <c r="I1294" s="130">
        <f ca="1" t="shared" si="1517"/>
        <v>1</v>
      </c>
      <c r="J1294" s="130">
        <f ca="1" t="shared" si="1517"/>
        <v>1</v>
      </c>
      <c r="K1294" s="130">
        <f ca="1" t="shared" si="1517"/>
        <v>1</v>
      </c>
      <c r="L1294" s="130">
        <f ca="1" t="shared" si="1517"/>
        <v>1</v>
      </c>
      <c r="M1294" s="130">
        <f ca="1" t="shared" si="1517"/>
        <v>1</v>
      </c>
      <c r="N1294" s="130">
        <f ca="1" t="shared" si="1517"/>
        <v>1</v>
      </c>
      <c r="O1294" s="130">
        <f ca="1" t="shared" si="1517"/>
        <v>1</v>
      </c>
      <c r="P1294" s="130">
        <f ca="1" t="shared" si="1517"/>
        <v>1</v>
      </c>
      <c r="Q1294" s="130">
        <f ca="1" t="shared" si="1517"/>
        <v>1</v>
      </c>
      <c r="R1294" s="130">
        <f ca="1" t="shared" si="1517"/>
        <v>1</v>
      </c>
      <c r="S1294" s="130">
        <f ca="1" t="shared" si="1517"/>
        <v>1</v>
      </c>
      <c r="T1294" s="130">
        <f ca="1" t="shared" si="1517"/>
        <v>1</v>
      </c>
      <c r="U1294" s="130">
        <f ca="1" t="shared" si="1517"/>
        <v>1</v>
      </c>
      <c r="V1294" s="130">
        <f ca="1" t="shared" si="1517"/>
        <v>1</v>
      </c>
    </row>
    <row r="1295" s="106" customFormat="1" ht="16.5" spans="2:22">
      <c r="B1295" s="117">
        <v>59</v>
      </c>
      <c r="C1295" s="130">
        <f t="shared" si="1459"/>
        <v>5900</v>
      </c>
      <c r="D1295" s="130">
        <f ca="1" t="shared" ref="D1295:V1295" si="1518">IF($C1295&gt;D$633,1,0)</f>
        <v>1</v>
      </c>
      <c r="E1295" s="130">
        <f ca="1" t="shared" si="1518"/>
        <v>1</v>
      </c>
      <c r="F1295" s="130">
        <f ca="1" t="shared" si="1518"/>
        <v>1</v>
      </c>
      <c r="G1295" s="130">
        <f ca="1" t="shared" si="1518"/>
        <v>1</v>
      </c>
      <c r="H1295" s="130">
        <f ca="1" t="shared" si="1518"/>
        <v>1</v>
      </c>
      <c r="I1295" s="130">
        <f ca="1" t="shared" si="1518"/>
        <v>1</v>
      </c>
      <c r="J1295" s="130">
        <f ca="1" t="shared" si="1518"/>
        <v>1</v>
      </c>
      <c r="K1295" s="130">
        <f ca="1" t="shared" si="1518"/>
        <v>1</v>
      </c>
      <c r="L1295" s="130">
        <f ca="1" t="shared" si="1518"/>
        <v>1</v>
      </c>
      <c r="M1295" s="130">
        <f ca="1" t="shared" si="1518"/>
        <v>1</v>
      </c>
      <c r="N1295" s="130">
        <f ca="1" t="shared" si="1518"/>
        <v>1</v>
      </c>
      <c r="O1295" s="130">
        <f ca="1" t="shared" si="1518"/>
        <v>1</v>
      </c>
      <c r="P1295" s="130">
        <f ca="1" t="shared" si="1518"/>
        <v>1</v>
      </c>
      <c r="Q1295" s="130">
        <f ca="1" t="shared" si="1518"/>
        <v>1</v>
      </c>
      <c r="R1295" s="130">
        <f ca="1" t="shared" si="1518"/>
        <v>1</v>
      </c>
      <c r="S1295" s="130">
        <f ca="1" t="shared" si="1518"/>
        <v>1</v>
      </c>
      <c r="T1295" s="130">
        <f ca="1" t="shared" si="1518"/>
        <v>1</v>
      </c>
      <c r="U1295" s="130">
        <f ca="1" t="shared" si="1518"/>
        <v>1</v>
      </c>
      <c r="V1295" s="130">
        <f ca="1" t="shared" si="1518"/>
        <v>1</v>
      </c>
    </row>
    <row r="1296" s="106" customFormat="1" ht="16.5" spans="2:22">
      <c r="B1296" s="117">
        <v>60</v>
      </c>
      <c r="C1296" s="130">
        <f t="shared" si="1459"/>
        <v>6000</v>
      </c>
      <c r="D1296" s="130">
        <f ca="1" t="shared" ref="D1296:V1296" si="1519">IF($C1296&gt;D$633,1,0)</f>
        <v>1</v>
      </c>
      <c r="E1296" s="130">
        <f ca="1" t="shared" si="1519"/>
        <v>1</v>
      </c>
      <c r="F1296" s="130">
        <f ca="1" t="shared" si="1519"/>
        <v>1</v>
      </c>
      <c r="G1296" s="130">
        <f ca="1" t="shared" si="1519"/>
        <v>1</v>
      </c>
      <c r="H1296" s="130">
        <f ca="1" t="shared" si="1519"/>
        <v>1</v>
      </c>
      <c r="I1296" s="130">
        <f ca="1" t="shared" si="1519"/>
        <v>1</v>
      </c>
      <c r="J1296" s="130">
        <f ca="1" t="shared" si="1519"/>
        <v>1</v>
      </c>
      <c r="K1296" s="130">
        <f ca="1" t="shared" si="1519"/>
        <v>1</v>
      </c>
      <c r="L1296" s="130">
        <f ca="1" t="shared" si="1519"/>
        <v>1</v>
      </c>
      <c r="M1296" s="130">
        <f ca="1" t="shared" si="1519"/>
        <v>1</v>
      </c>
      <c r="N1296" s="130">
        <f ca="1" t="shared" si="1519"/>
        <v>1</v>
      </c>
      <c r="O1296" s="130">
        <f ca="1" t="shared" si="1519"/>
        <v>1</v>
      </c>
      <c r="P1296" s="130">
        <f ca="1" t="shared" si="1519"/>
        <v>1</v>
      </c>
      <c r="Q1296" s="130">
        <f ca="1" t="shared" si="1519"/>
        <v>1</v>
      </c>
      <c r="R1296" s="130">
        <f ca="1" t="shared" si="1519"/>
        <v>1</v>
      </c>
      <c r="S1296" s="130">
        <f ca="1" t="shared" si="1519"/>
        <v>1</v>
      </c>
      <c r="T1296" s="130">
        <f ca="1" t="shared" si="1519"/>
        <v>1</v>
      </c>
      <c r="U1296" s="130">
        <f ca="1" t="shared" si="1519"/>
        <v>1</v>
      </c>
      <c r="V1296" s="130">
        <f ca="1" t="shared" si="1519"/>
        <v>1</v>
      </c>
    </row>
    <row r="1297" s="106" customFormat="1" ht="16.5" spans="2:22">
      <c r="B1297" s="117">
        <v>61</v>
      </c>
      <c r="C1297" s="130">
        <f t="shared" si="1459"/>
        <v>6100</v>
      </c>
      <c r="D1297" s="130">
        <f ca="1" t="shared" ref="D1297:V1297" si="1520">IF($C1297&gt;D$633,1,0)</f>
        <v>1</v>
      </c>
      <c r="E1297" s="130">
        <f ca="1" t="shared" si="1520"/>
        <v>1</v>
      </c>
      <c r="F1297" s="130">
        <f ca="1" t="shared" si="1520"/>
        <v>1</v>
      </c>
      <c r="G1297" s="130">
        <f ca="1" t="shared" si="1520"/>
        <v>1</v>
      </c>
      <c r="H1297" s="130">
        <f ca="1" t="shared" si="1520"/>
        <v>1</v>
      </c>
      <c r="I1297" s="130">
        <f ca="1" t="shared" si="1520"/>
        <v>1</v>
      </c>
      <c r="J1297" s="130">
        <f ca="1" t="shared" si="1520"/>
        <v>1</v>
      </c>
      <c r="K1297" s="130">
        <f ca="1" t="shared" si="1520"/>
        <v>1</v>
      </c>
      <c r="L1297" s="130">
        <f ca="1" t="shared" si="1520"/>
        <v>1</v>
      </c>
      <c r="M1297" s="130">
        <f ca="1" t="shared" si="1520"/>
        <v>1</v>
      </c>
      <c r="N1297" s="130">
        <f ca="1" t="shared" si="1520"/>
        <v>1</v>
      </c>
      <c r="O1297" s="130">
        <f ca="1" t="shared" si="1520"/>
        <v>1</v>
      </c>
      <c r="P1297" s="130">
        <f ca="1" t="shared" si="1520"/>
        <v>1</v>
      </c>
      <c r="Q1297" s="130">
        <f ca="1" t="shared" si="1520"/>
        <v>1</v>
      </c>
      <c r="R1297" s="130">
        <f ca="1" t="shared" si="1520"/>
        <v>1</v>
      </c>
      <c r="S1297" s="130">
        <f ca="1" t="shared" si="1520"/>
        <v>1</v>
      </c>
      <c r="T1297" s="130">
        <f ca="1" t="shared" si="1520"/>
        <v>1</v>
      </c>
      <c r="U1297" s="130">
        <f ca="1" t="shared" si="1520"/>
        <v>1</v>
      </c>
      <c r="V1297" s="130">
        <f ca="1" t="shared" si="1520"/>
        <v>1</v>
      </c>
    </row>
    <row r="1298" s="106" customFormat="1" ht="16.5" spans="2:22">
      <c r="B1298" s="117">
        <v>62</v>
      </c>
      <c r="C1298" s="130">
        <f t="shared" si="1459"/>
        <v>6200</v>
      </c>
      <c r="D1298" s="130">
        <f ca="1" t="shared" ref="D1298:V1298" si="1521">IF($C1298&gt;D$633,1,0)</f>
        <v>1</v>
      </c>
      <c r="E1298" s="130">
        <f ca="1" t="shared" si="1521"/>
        <v>1</v>
      </c>
      <c r="F1298" s="130">
        <f ca="1" t="shared" si="1521"/>
        <v>1</v>
      </c>
      <c r="G1298" s="130">
        <f ca="1" t="shared" si="1521"/>
        <v>1</v>
      </c>
      <c r="H1298" s="130">
        <f ca="1" t="shared" si="1521"/>
        <v>1</v>
      </c>
      <c r="I1298" s="130">
        <f ca="1" t="shared" si="1521"/>
        <v>1</v>
      </c>
      <c r="J1298" s="130">
        <f ca="1" t="shared" si="1521"/>
        <v>1</v>
      </c>
      <c r="K1298" s="130">
        <f ca="1" t="shared" si="1521"/>
        <v>1</v>
      </c>
      <c r="L1298" s="130">
        <f ca="1" t="shared" si="1521"/>
        <v>1</v>
      </c>
      <c r="M1298" s="130">
        <f ca="1" t="shared" si="1521"/>
        <v>1</v>
      </c>
      <c r="N1298" s="130">
        <f ca="1" t="shared" si="1521"/>
        <v>1</v>
      </c>
      <c r="O1298" s="130">
        <f ca="1" t="shared" si="1521"/>
        <v>1</v>
      </c>
      <c r="P1298" s="130">
        <f ca="1" t="shared" si="1521"/>
        <v>1</v>
      </c>
      <c r="Q1298" s="130">
        <f ca="1" t="shared" si="1521"/>
        <v>1</v>
      </c>
      <c r="R1298" s="130">
        <f ca="1" t="shared" si="1521"/>
        <v>1</v>
      </c>
      <c r="S1298" s="130">
        <f ca="1" t="shared" si="1521"/>
        <v>1</v>
      </c>
      <c r="T1298" s="130">
        <f ca="1" t="shared" si="1521"/>
        <v>1</v>
      </c>
      <c r="U1298" s="130">
        <f ca="1" t="shared" si="1521"/>
        <v>1</v>
      </c>
      <c r="V1298" s="130">
        <f ca="1" t="shared" si="1521"/>
        <v>1</v>
      </c>
    </row>
    <row r="1299" s="106" customFormat="1" ht="16.5" spans="2:22">
      <c r="B1299" s="117">
        <v>63</v>
      </c>
      <c r="C1299" s="130">
        <f t="shared" si="1459"/>
        <v>6300</v>
      </c>
      <c r="D1299" s="130">
        <f ca="1" t="shared" ref="D1299:V1299" si="1522">IF($C1299&gt;D$633,1,0)</f>
        <v>1</v>
      </c>
      <c r="E1299" s="130">
        <f ca="1" t="shared" si="1522"/>
        <v>1</v>
      </c>
      <c r="F1299" s="130">
        <f ca="1" t="shared" si="1522"/>
        <v>1</v>
      </c>
      <c r="G1299" s="130">
        <f ca="1" t="shared" si="1522"/>
        <v>1</v>
      </c>
      <c r="H1299" s="130">
        <f ca="1" t="shared" si="1522"/>
        <v>1</v>
      </c>
      <c r="I1299" s="130">
        <f ca="1" t="shared" si="1522"/>
        <v>1</v>
      </c>
      <c r="J1299" s="130">
        <f ca="1" t="shared" si="1522"/>
        <v>1</v>
      </c>
      <c r="K1299" s="130">
        <f ca="1" t="shared" si="1522"/>
        <v>1</v>
      </c>
      <c r="L1299" s="130">
        <f ca="1" t="shared" si="1522"/>
        <v>1</v>
      </c>
      <c r="M1299" s="130">
        <f ca="1" t="shared" si="1522"/>
        <v>1</v>
      </c>
      <c r="N1299" s="130">
        <f ca="1" t="shared" si="1522"/>
        <v>1</v>
      </c>
      <c r="O1299" s="130">
        <f ca="1" t="shared" si="1522"/>
        <v>1</v>
      </c>
      <c r="P1299" s="130">
        <f ca="1" t="shared" si="1522"/>
        <v>1</v>
      </c>
      <c r="Q1299" s="130">
        <f ca="1" t="shared" si="1522"/>
        <v>1</v>
      </c>
      <c r="R1299" s="130">
        <f ca="1" t="shared" si="1522"/>
        <v>1</v>
      </c>
      <c r="S1299" s="130">
        <f ca="1" t="shared" si="1522"/>
        <v>1</v>
      </c>
      <c r="T1299" s="130">
        <f ca="1" t="shared" si="1522"/>
        <v>1</v>
      </c>
      <c r="U1299" s="130">
        <f ca="1" t="shared" si="1522"/>
        <v>1</v>
      </c>
      <c r="V1299" s="130">
        <f ca="1" t="shared" si="1522"/>
        <v>1</v>
      </c>
    </row>
    <row r="1300" s="106" customFormat="1" ht="16.5" spans="2:22">
      <c r="B1300" s="117">
        <v>64</v>
      </c>
      <c r="C1300" s="130">
        <f t="shared" si="1459"/>
        <v>6400</v>
      </c>
      <c r="D1300" s="130">
        <f ca="1" t="shared" ref="D1300:V1300" si="1523">IF($C1300&gt;D$633,1,0)</f>
        <v>1</v>
      </c>
      <c r="E1300" s="130">
        <f ca="1" t="shared" si="1523"/>
        <v>1</v>
      </c>
      <c r="F1300" s="130">
        <f ca="1" t="shared" si="1523"/>
        <v>1</v>
      </c>
      <c r="G1300" s="130">
        <f ca="1" t="shared" si="1523"/>
        <v>1</v>
      </c>
      <c r="H1300" s="130">
        <f ca="1" t="shared" si="1523"/>
        <v>1</v>
      </c>
      <c r="I1300" s="130">
        <f ca="1" t="shared" si="1523"/>
        <v>1</v>
      </c>
      <c r="J1300" s="130">
        <f ca="1" t="shared" si="1523"/>
        <v>1</v>
      </c>
      <c r="K1300" s="130">
        <f ca="1" t="shared" si="1523"/>
        <v>1</v>
      </c>
      <c r="L1300" s="130">
        <f ca="1" t="shared" si="1523"/>
        <v>1</v>
      </c>
      <c r="M1300" s="130">
        <f ca="1" t="shared" si="1523"/>
        <v>1</v>
      </c>
      <c r="N1300" s="130">
        <f ca="1" t="shared" si="1523"/>
        <v>1</v>
      </c>
      <c r="O1300" s="130">
        <f ca="1" t="shared" si="1523"/>
        <v>1</v>
      </c>
      <c r="P1300" s="130">
        <f ca="1" t="shared" si="1523"/>
        <v>1</v>
      </c>
      <c r="Q1300" s="130">
        <f ca="1" t="shared" si="1523"/>
        <v>1</v>
      </c>
      <c r="R1300" s="130">
        <f ca="1" t="shared" si="1523"/>
        <v>1</v>
      </c>
      <c r="S1300" s="130">
        <f ca="1" t="shared" si="1523"/>
        <v>1</v>
      </c>
      <c r="T1300" s="130">
        <f ca="1" t="shared" si="1523"/>
        <v>1</v>
      </c>
      <c r="U1300" s="130">
        <f ca="1" t="shared" si="1523"/>
        <v>1</v>
      </c>
      <c r="V1300" s="130">
        <f ca="1" t="shared" si="1523"/>
        <v>1</v>
      </c>
    </row>
    <row r="1301" s="106" customFormat="1" ht="16.5" spans="2:22">
      <c r="B1301" s="117">
        <v>65</v>
      </c>
      <c r="C1301" s="130">
        <f t="shared" ref="C1301:C1364" si="1524">C699</f>
        <v>6500</v>
      </c>
      <c r="D1301" s="130">
        <f ca="1" t="shared" ref="D1301:V1301" si="1525">IF($C1301&gt;D$633,1,0)</f>
        <v>1</v>
      </c>
      <c r="E1301" s="130">
        <f ca="1" t="shared" si="1525"/>
        <v>1</v>
      </c>
      <c r="F1301" s="130">
        <f ca="1" t="shared" si="1525"/>
        <v>1</v>
      </c>
      <c r="G1301" s="130">
        <f ca="1" t="shared" si="1525"/>
        <v>1</v>
      </c>
      <c r="H1301" s="130">
        <f ca="1" t="shared" si="1525"/>
        <v>1</v>
      </c>
      <c r="I1301" s="130">
        <f ca="1" t="shared" si="1525"/>
        <v>1</v>
      </c>
      <c r="J1301" s="130">
        <f ca="1" t="shared" si="1525"/>
        <v>1</v>
      </c>
      <c r="K1301" s="130">
        <f ca="1" t="shared" si="1525"/>
        <v>1</v>
      </c>
      <c r="L1301" s="130">
        <f ca="1" t="shared" si="1525"/>
        <v>1</v>
      </c>
      <c r="M1301" s="130">
        <f ca="1" t="shared" si="1525"/>
        <v>1</v>
      </c>
      <c r="N1301" s="130">
        <f ca="1" t="shared" si="1525"/>
        <v>1</v>
      </c>
      <c r="O1301" s="130">
        <f ca="1" t="shared" si="1525"/>
        <v>1</v>
      </c>
      <c r="P1301" s="130">
        <f ca="1" t="shared" si="1525"/>
        <v>1</v>
      </c>
      <c r="Q1301" s="130">
        <f ca="1" t="shared" si="1525"/>
        <v>1</v>
      </c>
      <c r="R1301" s="130">
        <f ca="1" t="shared" si="1525"/>
        <v>1</v>
      </c>
      <c r="S1301" s="130">
        <f ca="1" t="shared" si="1525"/>
        <v>1</v>
      </c>
      <c r="T1301" s="130">
        <f ca="1" t="shared" si="1525"/>
        <v>1</v>
      </c>
      <c r="U1301" s="130">
        <f ca="1" t="shared" si="1525"/>
        <v>1</v>
      </c>
      <c r="V1301" s="130">
        <f ca="1" t="shared" si="1525"/>
        <v>1</v>
      </c>
    </row>
    <row r="1302" s="106" customFormat="1" ht="16.5" spans="2:22">
      <c r="B1302" s="117">
        <v>66</v>
      </c>
      <c r="C1302" s="130">
        <f t="shared" si="1524"/>
        <v>6600</v>
      </c>
      <c r="D1302" s="130">
        <f ca="1" t="shared" ref="D1302:V1302" si="1526">IF($C1302&gt;D$633,1,0)</f>
        <v>1</v>
      </c>
      <c r="E1302" s="130">
        <f ca="1" t="shared" si="1526"/>
        <v>1</v>
      </c>
      <c r="F1302" s="130">
        <f ca="1" t="shared" si="1526"/>
        <v>1</v>
      </c>
      <c r="G1302" s="130">
        <f ca="1" t="shared" si="1526"/>
        <v>1</v>
      </c>
      <c r="H1302" s="130">
        <f ca="1" t="shared" si="1526"/>
        <v>1</v>
      </c>
      <c r="I1302" s="130">
        <f ca="1" t="shared" si="1526"/>
        <v>1</v>
      </c>
      <c r="J1302" s="130">
        <f ca="1" t="shared" si="1526"/>
        <v>1</v>
      </c>
      <c r="K1302" s="130">
        <f ca="1" t="shared" si="1526"/>
        <v>1</v>
      </c>
      <c r="L1302" s="130">
        <f ca="1" t="shared" si="1526"/>
        <v>1</v>
      </c>
      <c r="M1302" s="130">
        <f ca="1" t="shared" si="1526"/>
        <v>1</v>
      </c>
      <c r="N1302" s="130">
        <f ca="1" t="shared" si="1526"/>
        <v>1</v>
      </c>
      <c r="O1302" s="130">
        <f ca="1" t="shared" si="1526"/>
        <v>1</v>
      </c>
      <c r="P1302" s="130">
        <f ca="1" t="shared" si="1526"/>
        <v>1</v>
      </c>
      <c r="Q1302" s="130">
        <f ca="1" t="shared" si="1526"/>
        <v>1</v>
      </c>
      <c r="R1302" s="130">
        <f ca="1" t="shared" si="1526"/>
        <v>1</v>
      </c>
      <c r="S1302" s="130">
        <f ca="1" t="shared" si="1526"/>
        <v>1</v>
      </c>
      <c r="T1302" s="130">
        <f ca="1" t="shared" si="1526"/>
        <v>1</v>
      </c>
      <c r="U1302" s="130">
        <f ca="1" t="shared" si="1526"/>
        <v>1</v>
      </c>
      <c r="V1302" s="130">
        <f ca="1" t="shared" si="1526"/>
        <v>1</v>
      </c>
    </row>
    <row r="1303" s="106" customFormat="1" ht="16.5" spans="2:22">
      <c r="B1303" s="117">
        <v>67</v>
      </c>
      <c r="C1303" s="130">
        <f t="shared" si="1524"/>
        <v>6700</v>
      </c>
      <c r="D1303" s="130">
        <f ca="1" t="shared" ref="D1303:V1303" si="1527">IF($C1303&gt;D$633,1,0)</f>
        <v>1</v>
      </c>
      <c r="E1303" s="130">
        <f ca="1" t="shared" si="1527"/>
        <v>1</v>
      </c>
      <c r="F1303" s="130">
        <f ca="1" t="shared" si="1527"/>
        <v>1</v>
      </c>
      <c r="G1303" s="130">
        <f ca="1" t="shared" si="1527"/>
        <v>1</v>
      </c>
      <c r="H1303" s="130">
        <f ca="1" t="shared" si="1527"/>
        <v>1</v>
      </c>
      <c r="I1303" s="130">
        <f ca="1" t="shared" si="1527"/>
        <v>1</v>
      </c>
      <c r="J1303" s="130">
        <f ca="1" t="shared" si="1527"/>
        <v>1</v>
      </c>
      <c r="K1303" s="130">
        <f ca="1" t="shared" si="1527"/>
        <v>1</v>
      </c>
      <c r="L1303" s="130">
        <f ca="1" t="shared" si="1527"/>
        <v>1</v>
      </c>
      <c r="M1303" s="130">
        <f ca="1" t="shared" si="1527"/>
        <v>1</v>
      </c>
      <c r="N1303" s="130">
        <f ca="1" t="shared" si="1527"/>
        <v>1</v>
      </c>
      <c r="O1303" s="130">
        <f ca="1" t="shared" si="1527"/>
        <v>1</v>
      </c>
      <c r="P1303" s="130">
        <f ca="1" t="shared" si="1527"/>
        <v>1</v>
      </c>
      <c r="Q1303" s="130">
        <f ca="1" t="shared" si="1527"/>
        <v>1</v>
      </c>
      <c r="R1303" s="130">
        <f ca="1" t="shared" si="1527"/>
        <v>1</v>
      </c>
      <c r="S1303" s="130">
        <f ca="1" t="shared" si="1527"/>
        <v>1</v>
      </c>
      <c r="T1303" s="130">
        <f ca="1" t="shared" si="1527"/>
        <v>1</v>
      </c>
      <c r="U1303" s="130">
        <f ca="1" t="shared" si="1527"/>
        <v>1</v>
      </c>
      <c r="V1303" s="130">
        <f ca="1" t="shared" si="1527"/>
        <v>1</v>
      </c>
    </row>
    <row r="1304" s="106" customFormat="1" ht="16.5" spans="2:22">
      <c r="B1304" s="117">
        <v>68</v>
      </c>
      <c r="C1304" s="130">
        <f t="shared" si="1524"/>
        <v>6800</v>
      </c>
      <c r="D1304" s="130">
        <f ca="1" t="shared" ref="D1304:V1304" si="1528">IF($C1304&gt;D$633,1,0)</f>
        <v>1</v>
      </c>
      <c r="E1304" s="130">
        <f ca="1" t="shared" si="1528"/>
        <v>1</v>
      </c>
      <c r="F1304" s="130">
        <f ca="1" t="shared" si="1528"/>
        <v>1</v>
      </c>
      <c r="G1304" s="130">
        <f ca="1" t="shared" si="1528"/>
        <v>1</v>
      </c>
      <c r="H1304" s="130">
        <f ca="1" t="shared" si="1528"/>
        <v>1</v>
      </c>
      <c r="I1304" s="130">
        <f ca="1" t="shared" si="1528"/>
        <v>1</v>
      </c>
      <c r="J1304" s="130">
        <f ca="1" t="shared" si="1528"/>
        <v>1</v>
      </c>
      <c r="K1304" s="130">
        <f ca="1" t="shared" si="1528"/>
        <v>1</v>
      </c>
      <c r="L1304" s="130">
        <f ca="1" t="shared" si="1528"/>
        <v>1</v>
      </c>
      <c r="M1304" s="130">
        <f ca="1" t="shared" si="1528"/>
        <v>1</v>
      </c>
      <c r="N1304" s="130">
        <f ca="1" t="shared" si="1528"/>
        <v>1</v>
      </c>
      <c r="O1304" s="130">
        <f ca="1" t="shared" si="1528"/>
        <v>1</v>
      </c>
      <c r="P1304" s="130">
        <f ca="1" t="shared" si="1528"/>
        <v>1</v>
      </c>
      <c r="Q1304" s="130">
        <f ca="1" t="shared" si="1528"/>
        <v>1</v>
      </c>
      <c r="R1304" s="130">
        <f ca="1" t="shared" si="1528"/>
        <v>1</v>
      </c>
      <c r="S1304" s="130">
        <f ca="1" t="shared" si="1528"/>
        <v>1</v>
      </c>
      <c r="T1304" s="130">
        <f ca="1" t="shared" si="1528"/>
        <v>1</v>
      </c>
      <c r="U1304" s="130">
        <f ca="1" t="shared" si="1528"/>
        <v>1</v>
      </c>
      <c r="V1304" s="130">
        <f ca="1" t="shared" si="1528"/>
        <v>1</v>
      </c>
    </row>
    <row r="1305" s="106" customFormat="1" ht="16.5" spans="2:22">
      <c r="B1305" s="117">
        <v>69</v>
      </c>
      <c r="C1305" s="130">
        <f t="shared" si="1524"/>
        <v>6900</v>
      </c>
      <c r="D1305" s="130">
        <f ca="1" t="shared" ref="D1305:V1305" si="1529">IF($C1305&gt;D$633,1,0)</f>
        <v>1</v>
      </c>
      <c r="E1305" s="130">
        <f ca="1" t="shared" si="1529"/>
        <v>1</v>
      </c>
      <c r="F1305" s="130">
        <f ca="1" t="shared" si="1529"/>
        <v>1</v>
      </c>
      <c r="G1305" s="130">
        <f ca="1" t="shared" si="1529"/>
        <v>1</v>
      </c>
      <c r="H1305" s="130">
        <f ca="1" t="shared" si="1529"/>
        <v>1</v>
      </c>
      <c r="I1305" s="130">
        <f ca="1" t="shared" si="1529"/>
        <v>1</v>
      </c>
      <c r="J1305" s="130">
        <f ca="1" t="shared" si="1529"/>
        <v>1</v>
      </c>
      <c r="K1305" s="130">
        <f ca="1" t="shared" si="1529"/>
        <v>1</v>
      </c>
      <c r="L1305" s="130">
        <f ca="1" t="shared" si="1529"/>
        <v>1</v>
      </c>
      <c r="M1305" s="130">
        <f ca="1" t="shared" si="1529"/>
        <v>1</v>
      </c>
      <c r="N1305" s="130">
        <f ca="1" t="shared" si="1529"/>
        <v>1</v>
      </c>
      <c r="O1305" s="130">
        <f ca="1" t="shared" si="1529"/>
        <v>1</v>
      </c>
      <c r="P1305" s="130">
        <f ca="1" t="shared" si="1529"/>
        <v>1</v>
      </c>
      <c r="Q1305" s="130">
        <f ca="1" t="shared" si="1529"/>
        <v>1</v>
      </c>
      <c r="R1305" s="130">
        <f ca="1" t="shared" si="1529"/>
        <v>1</v>
      </c>
      <c r="S1305" s="130">
        <f ca="1" t="shared" si="1529"/>
        <v>1</v>
      </c>
      <c r="T1305" s="130">
        <f ca="1" t="shared" si="1529"/>
        <v>1</v>
      </c>
      <c r="U1305" s="130">
        <f ca="1" t="shared" si="1529"/>
        <v>1</v>
      </c>
      <c r="V1305" s="130">
        <f ca="1" t="shared" si="1529"/>
        <v>1</v>
      </c>
    </row>
    <row r="1306" s="106" customFormat="1" ht="16.5" spans="2:22">
      <c r="B1306" s="117">
        <v>70</v>
      </c>
      <c r="C1306" s="130">
        <f t="shared" si="1524"/>
        <v>7000</v>
      </c>
      <c r="D1306" s="130">
        <f ca="1" t="shared" ref="D1306:V1306" si="1530">IF($C1306&gt;D$633,1,0)</f>
        <v>1</v>
      </c>
      <c r="E1306" s="130">
        <f ca="1" t="shared" si="1530"/>
        <v>1</v>
      </c>
      <c r="F1306" s="130">
        <f ca="1" t="shared" si="1530"/>
        <v>1</v>
      </c>
      <c r="G1306" s="130">
        <f ca="1" t="shared" si="1530"/>
        <v>1</v>
      </c>
      <c r="H1306" s="130">
        <f ca="1" t="shared" si="1530"/>
        <v>1</v>
      </c>
      <c r="I1306" s="130">
        <f ca="1" t="shared" si="1530"/>
        <v>1</v>
      </c>
      <c r="J1306" s="130">
        <f ca="1" t="shared" si="1530"/>
        <v>1</v>
      </c>
      <c r="K1306" s="130">
        <f ca="1" t="shared" si="1530"/>
        <v>1</v>
      </c>
      <c r="L1306" s="130">
        <f ca="1" t="shared" si="1530"/>
        <v>1</v>
      </c>
      <c r="M1306" s="130">
        <f ca="1" t="shared" si="1530"/>
        <v>1</v>
      </c>
      <c r="N1306" s="130">
        <f ca="1" t="shared" si="1530"/>
        <v>1</v>
      </c>
      <c r="O1306" s="130">
        <f ca="1" t="shared" si="1530"/>
        <v>1</v>
      </c>
      <c r="P1306" s="130">
        <f ca="1" t="shared" si="1530"/>
        <v>1</v>
      </c>
      <c r="Q1306" s="130">
        <f ca="1" t="shared" si="1530"/>
        <v>1</v>
      </c>
      <c r="R1306" s="130">
        <f ca="1" t="shared" si="1530"/>
        <v>1</v>
      </c>
      <c r="S1306" s="130">
        <f ca="1" t="shared" si="1530"/>
        <v>1</v>
      </c>
      <c r="T1306" s="130">
        <f ca="1" t="shared" si="1530"/>
        <v>1</v>
      </c>
      <c r="U1306" s="130">
        <f ca="1" t="shared" si="1530"/>
        <v>1</v>
      </c>
      <c r="V1306" s="130">
        <f ca="1" t="shared" si="1530"/>
        <v>1</v>
      </c>
    </row>
    <row r="1307" s="106" customFormat="1" ht="16.5" spans="2:22">
      <c r="B1307" s="117">
        <v>71</v>
      </c>
      <c r="C1307" s="130">
        <f t="shared" si="1524"/>
        <v>7100</v>
      </c>
      <c r="D1307" s="130">
        <f ca="1" t="shared" ref="D1307:V1307" si="1531">IF($C1307&gt;D$633,1,0)</f>
        <v>1</v>
      </c>
      <c r="E1307" s="130">
        <f ca="1" t="shared" si="1531"/>
        <v>1</v>
      </c>
      <c r="F1307" s="130">
        <f ca="1" t="shared" si="1531"/>
        <v>1</v>
      </c>
      <c r="G1307" s="130">
        <f ca="1" t="shared" si="1531"/>
        <v>1</v>
      </c>
      <c r="H1307" s="130">
        <f ca="1" t="shared" si="1531"/>
        <v>1</v>
      </c>
      <c r="I1307" s="130">
        <f ca="1" t="shared" si="1531"/>
        <v>1</v>
      </c>
      <c r="J1307" s="130">
        <f ca="1" t="shared" si="1531"/>
        <v>1</v>
      </c>
      <c r="K1307" s="130">
        <f ca="1" t="shared" si="1531"/>
        <v>1</v>
      </c>
      <c r="L1307" s="130">
        <f ca="1" t="shared" si="1531"/>
        <v>1</v>
      </c>
      <c r="M1307" s="130">
        <f ca="1" t="shared" si="1531"/>
        <v>1</v>
      </c>
      <c r="N1307" s="130">
        <f ca="1" t="shared" si="1531"/>
        <v>1</v>
      </c>
      <c r="O1307" s="130">
        <f ca="1" t="shared" si="1531"/>
        <v>1</v>
      </c>
      <c r="P1307" s="130">
        <f ca="1" t="shared" si="1531"/>
        <v>1</v>
      </c>
      <c r="Q1307" s="130">
        <f ca="1" t="shared" si="1531"/>
        <v>1</v>
      </c>
      <c r="R1307" s="130">
        <f ca="1" t="shared" si="1531"/>
        <v>1</v>
      </c>
      <c r="S1307" s="130">
        <f ca="1" t="shared" si="1531"/>
        <v>1</v>
      </c>
      <c r="T1307" s="130">
        <f ca="1" t="shared" si="1531"/>
        <v>1</v>
      </c>
      <c r="U1307" s="130">
        <f ca="1" t="shared" si="1531"/>
        <v>1</v>
      </c>
      <c r="V1307" s="130">
        <f ca="1" t="shared" si="1531"/>
        <v>1</v>
      </c>
    </row>
    <row r="1308" s="106" customFormat="1" ht="16.5" spans="2:22">
      <c r="B1308" s="117">
        <v>72</v>
      </c>
      <c r="C1308" s="130">
        <f t="shared" si="1524"/>
        <v>7200</v>
      </c>
      <c r="D1308" s="130">
        <f ca="1" t="shared" ref="D1308:V1308" si="1532">IF($C1308&gt;D$633,1,0)</f>
        <v>1</v>
      </c>
      <c r="E1308" s="130">
        <f ca="1" t="shared" si="1532"/>
        <v>1</v>
      </c>
      <c r="F1308" s="130">
        <f ca="1" t="shared" si="1532"/>
        <v>1</v>
      </c>
      <c r="G1308" s="130">
        <f ca="1" t="shared" si="1532"/>
        <v>1</v>
      </c>
      <c r="H1308" s="130">
        <f ca="1" t="shared" si="1532"/>
        <v>1</v>
      </c>
      <c r="I1308" s="130">
        <f ca="1" t="shared" si="1532"/>
        <v>1</v>
      </c>
      <c r="J1308" s="130">
        <f ca="1" t="shared" si="1532"/>
        <v>1</v>
      </c>
      <c r="K1308" s="130">
        <f ca="1" t="shared" si="1532"/>
        <v>1</v>
      </c>
      <c r="L1308" s="130">
        <f ca="1" t="shared" si="1532"/>
        <v>1</v>
      </c>
      <c r="M1308" s="130">
        <f ca="1" t="shared" si="1532"/>
        <v>1</v>
      </c>
      <c r="N1308" s="130">
        <f ca="1" t="shared" si="1532"/>
        <v>1</v>
      </c>
      <c r="O1308" s="130">
        <f ca="1" t="shared" si="1532"/>
        <v>1</v>
      </c>
      <c r="P1308" s="130">
        <f ca="1" t="shared" si="1532"/>
        <v>1</v>
      </c>
      <c r="Q1308" s="130">
        <f ca="1" t="shared" si="1532"/>
        <v>1</v>
      </c>
      <c r="R1308" s="130">
        <f ca="1" t="shared" si="1532"/>
        <v>1</v>
      </c>
      <c r="S1308" s="130">
        <f ca="1" t="shared" si="1532"/>
        <v>1</v>
      </c>
      <c r="T1308" s="130">
        <f ca="1" t="shared" si="1532"/>
        <v>1</v>
      </c>
      <c r="U1308" s="130">
        <f ca="1" t="shared" si="1532"/>
        <v>1</v>
      </c>
      <c r="V1308" s="130">
        <f ca="1" t="shared" si="1532"/>
        <v>1</v>
      </c>
    </row>
    <row r="1309" s="106" customFormat="1" ht="16.5" spans="2:22">
      <c r="B1309" s="117">
        <v>73</v>
      </c>
      <c r="C1309" s="130">
        <f t="shared" si="1524"/>
        <v>7300</v>
      </c>
      <c r="D1309" s="130">
        <f ca="1" t="shared" ref="D1309:V1309" si="1533">IF($C1309&gt;D$633,1,0)</f>
        <v>1</v>
      </c>
      <c r="E1309" s="130">
        <f ca="1" t="shared" si="1533"/>
        <v>1</v>
      </c>
      <c r="F1309" s="130">
        <f ca="1" t="shared" si="1533"/>
        <v>1</v>
      </c>
      <c r="G1309" s="130">
        <f ca="1" t="shared" si="1533"/>
        <v>1</v>
      </c>
      <c r="H1309" s="130">
        <f ca="1" t="shared" si="1533"/>
        <v>1</v>
      </c>
      <c r="I1309" s="130">
        <f ca="1" t="shared" si="1533"/>
        <v>1</v>
      </c>
      <c r="J1309" s="130">
        <f ca="1" t="shared" si="1533"/>
        <v>1</v>
      </c>
      <c r="K1309" s="130">
        <f ca="1" t="shared" si="1533"/>
        <v>1</v>
      </c>
      <c r="L1309" s="130">
        <f ca="1" t="shared" si="1533"/>
        <v>1</v>
      </c>
      <c r="M1309" s="130">
        <f ca="1" t="shared" si="1533"/>
        <v>1</v>
      </c>
      <c r="N1309" s="130">
        <f ca="1" t="shared" si="1533"/>
        <v>1</v>
      </c>
      <c r="O1309" s="130">
        <f ca="1" t="shared" si="1533"/>
        <v>1</v>
      </c>
      <c r="P1309" s="130">
        <f ca="1" t="shared" si="1533"/>
        <v>1</v>
      </c>
      <c r="Q1309" s="130">
        <f ca="1" t="shared" si="1533"/>
        <v>1</v>
      </c>
      <c r="R1309" s="130">
        <f ca="1" t="shared" si="1533"/>
        <v>1</v>
      </c>
      <c r="S1309" s="130">
        <f ca="1" t="shared" si="1533"/>
        <v>1</v>
      </c>
      <c r="T1309" s="130">
        <f ca="1" t="shared" si="1533"/>
        <v>1</v>
      </c>
      <c r="U1309" s="130">
        <f ca="1" t="shared" si="1533"/>
        <v>1</v>
      </c>
      <c r="V1309" s="130">
        <f ca="1" t="shared" si="1533"/>
        <v>1</v>
      </c>
    </row>
    <row r="1310" s="106" customFormat="1" ht="16.5" spans="2:22">
      <c r="B1310" s="117">
        <v>74</v>
      </c>
      <c r="C1310" s="130">
        <f t="shared" si="1524"/>
        <v>7400</v>
      </c>
      <c r="D1310" s="130">
        <f ca="1" t="shared" ref="D1310:V1310" si="1534">IF($C1310&gt;D$633,1,0)</f>
        <v>1</v>
      </c>
      <c r="E1310" s="130">
        <f ca="1" t="shared" si="1534"/>
        <v>1</v>
      </c>
      <c r="F1310" s="130">
        <f ca="1" t="shared" si="1534"/>
        <v>1</v>
      </c>
      <c r="G1310" s="130">
        <f ca="1" t="shared" si="1534"/>
        <v>1</v>
      </c>
      <c r="H1310" s="130">
        <f ca="1" t="shared" si="1534"/>
        <v>1</v>
      </c>
      <c r="I1310" s="130">
        <f ca="1" t="shared" si="1534"/>
        <v>1</v>
      </c>
      <c r="J1310" s="130">
        <f ca="1" t="shared" si="1534"/>
        <v>1</v>
      </c>
      <c r="K1310" s="130">
        <f ca="1" t="shared" si="1534"/>
        <v>1</v>
      </c>
      <c r="L1310" s="130">
        <f ca="1" t="shared" si="1534"/>
        <v>1</v>
      </c>
      <c r="M1310" s="130">
        <f ca="1" t="shared" si="1534"/>
        <v>1</v>
      </c>
      <c r="N1310" s="130">
        <f ca="1" t="shared" si="1534"/>
        <v>1</v>
      </c>
      <c r="O1310" s="130">
        <f ca="1" t="shared" si="1534"/>
        <v>1</v>
      </c>
      <c r="P1310" s="130">
        <f ca="1" t="shared" si="1534"/>
        <v>1</v>
      </c>
      <c r="Q1310" s="130">
        <f ca="1" t="shared" si="1534"/>
        <v>1</v>
      </c>
      <c r="R1310" s="130">
        <f ca="1" t="shared" si="1534"/>
        <v>1</v>
      </c>
      <c r="S1310" s="130">
        <f ca="1" t="shared" si="1534"/>
        <v>1</v>
      </c>
      <c r="T1310" s="130">
        <f ca="1" t="shared" si="1534"/>
        <v>1</v>
      </c>
      <c r="U1310" s="130">
        <f ca="1" t="shared" si="1534"/>
        <v>1</v>
      </c>
      <c r="V1310" s="130">
        <f ca="1" t="shared" si="1534"/>
        <v>1</v>
      </c>
    </row>
    <row r="1311" s="106" customFormat="1" ht="16.5" spans="2:22">
      <c r="B1311" s="117">
        <v>75</v>
      </c>
      <c r="C1311" s="130">
        <f t="shared" si="1524"/>
        <v>7500</v>
      </c>
      <c r="D1311" s="130">
        <f ca="1" t="shared" ref="D1311:V1311" si="1535">IF($C1311&gt;D$633,1,0)</f>
        <v>1</v>
      </c>
      <c r="E1311" s="130">
        <f ca="1" t="shared" si="1535"/>
        <v>1</v>
      </c>
      <c r="F1311" s="130">
        <f ca="1" t="shared" si="1535"/>
        <v>1</v>
      </c>
      <c r="G1311" s="130">
        <f ca="1" t="shared" si="1535"/>
        <v>1</v>
      </c>
      <c r="H1311" s="130">
        <f ca="1" t="shared" si="1535"/>
        <v>1</v>
      </c>
      <c r="I1311" s="130">
        <f ca="1" t="shared" si="1535"/>
        <v>1</v>
      </c>
      <c r="J1311" s="130">
        <f ca="1" t="shared" si="1535"/>
        <v>1</v>
      </c>
      <c r="K1311" s="130">
        <f ca="1" t="shared" si="1535"/>
        <v>1</v>
      </c>
      <c r="L1311" s="130">
        <f ca="1" t="shared" si="1535"/>
        <v>1</v>
      </c>
      <c r="M1311" s="130">
        <f ca="1" t="shared" si="1535"/>
        <v>1</v>
      </c>
      <c r="N1311" s="130">
        <f ca="1" t="shared" si="1535"/>
        <v>1</v>
      </c>
      <c r="O1311" s="130">
        <f ca="1" t="shared" si="1535"/>
        <v>1</v>
      </c>
      <c r="P1311" s="130">
        <f ca="1" t="shared" si="1535"/>
        <v>1</v>
      </c>
      <c r="Q1311" s="130">
        <f ca="1" t="shared" si="1535"/>
        <v>1</v>
      </c>
      <c r="R1311" s="130">
        <f ca="1" t="shared" si="1535"/>
        <v>1</v>
      </c>
      <c r="S1311" s="130">
        <f ca="1" t="shared" si="1535"/>
        <v>1</v>
      </c>
      <c r="T1311" s="130">
        <f ca="1" t="shared" si="1535"/>
        <v>1</v>
      </c>
      <c r="U1311" s="130">
        <f ca="1" t="shared" si="1535"/>
        <v>1</v>
      </c>
      <c r="V1311" s="130">
        <f ca="1" t="shared" si="1535"/>
        <v>1</v>
      </c>
    </row>
    <row r="1312" s="106" customFormat="1" ht="16.5" spans="2:22">
      <c r="B1312" s="117">
        <v>76</v>
      </c>
      <c r="C1312" s="130">
        <f t="shared" si="1524"/>
        <v>7600</v>
      </c>
      <c r="D1312" s="130">
        <f ca="1" t="shared" ref="D1312:V1312" si="1536">IF($C1312&gt;D$633,1,0)</f>
        <v>1</v>
      </c>
      <c r="E1312" s="130">
        <f ca="1" t="shared" si="1536"/>
        <v>1</v>
      </c>
      <c r="F1312" s="130">
        <f ca="1" t="shared" si="1536"/>
        <v>1</v>
      </c>
      <c r="G1312" s="130">
        <f ca="1" t="shared" si="1536"/>
        <v>1</v>
      </c>
      <c r="H1312" s="130">
        <f ca="1" t="shared" si="1536"/>
        <v>1</v>
      </c>
      <c r="I1312" s="130">
        <f ca="1" t="shared" si="1536"/>
        <v>1</v>
      </c>
      <c r="J1312" s="130">
        <f ca="1" t="shared" si="1536"/>
        <v>1</v>
      </c>
      <c r="K1312" s="130">
        <f ca="1" t="shared" si="1536"/>
        <v>1</v>
      </c>
      <c r="L1312" s="130">
        <f ca="1" t="shared" si="1536"/>
        <v>1</v>
      </c>
      <c r="M1312" s="130">
        <f ca="1" t="shared" si="1536"/>
        <v>1</v>
      </c>
      <c r="N1312" s="130">
        <f ca="1" t="shared" si="1536"/>
        <v>1</v>
      </c>
      <c r="O1312" s="130">
        <f ca="1" t="shared" si="1536"/>
        <v>1</v>
      </c>
      <c r="P1312" s="130">
        <f ca="1" t="shared" si="1536"/>
        <v>1</v>
      </c>
      <c r="Q1312" s="130">
        <f ca="1" t="shared" si="1536"/>
        <v>1</v>
      </c>
      <c r="R1312" s="130">
        <f ca="1" t="shared" si="1536"/>
        <v>1</v>
      </c>
      <c r="S1312" s="130">
        <f ca="1" t="shared" si="1536"/>
        <v>1</v>
      </c>
      <c r="T1312" s="130">
        <f ca="1" t="shared" si="1536"/>
        <v>1</v>
      </c>
      <c r="U1312" s="130">
        <f ca="1" t="shared" si="1536"/>
        <v>1</v>
      </c>
      <c r="V1312" s="130">
        <f ca="1" t="shared" si="1536"/>
        <v>1</v>
      </c>
    </row>
    <row r="1313" s="106" customFormat="1" ht="16.5" spans="2:22">
      <c r="B1313" s="117">
        <v>77</v>
      </c>
      <c r="C1313" s="130">
        <f t="shared" si="1524"/>
        <v>7700</v>
      </c>
      <c r="D1313" s="130">
        <f ca="1" t="shared" ref="D1313:V1313" si="1537">IF($C1313&gt;D$633,1,0)</f>
        <v>1</v>
      </c>
      <c r="E1313" s="130">
        <f ca="1" t="shared" si="1537"/>
        <v>1</v>
      </c>
      <c r="F1313" s="130">
        <f ca="1" t="shared" si="1537"/>
        <v>1</v>
      </c>
      <c r="G1313" s="130">
        <f ca="1" t="shared" si="1537"/>
        <v>1</v>
      </c>
      <c r="H1313" s="130">
        <f ca="1" t="shared" si="1537"/>
        <v>1</v>
      </c>
      <c r="I1313" s="130">
        <f ca="1" t="shared" si="1537"/>
        <v>1</v>
      </c>
      <c r="J1313" s="130">
        <f ca="1" t="shared" si="1537"/>
        <v>1</v>
      </c>
      <c r="K1313" s="130">
        <f ca="1" t="shared" si="1537"/>
        <v>1</v>
      </c>
      <c r="L1313" s="130">
        <f ca="1" t="shared" si="1537"/>
        <v>1</v>
      </c>
      <c r="M1313" s="130">
        <f ca="1" t="shared" si="1537"/>
        <v>1</v>
      </c>
      <c r="N1313" s="130">
        <f ca="1" t="shared" si="1537"/>
        <v>1</v>
      </c>
      <c r="O1313" s="130">
        <f ca="1" t="shared" si="1537"/>
        <v>1</v>
      </c>
      <c r="P1313" s="130">
        <f ca="1" t="shared" si="1537"/>
        <v>1</v>
      </c>
      <c r="Q1313" s="130">
        <f ca="1" t="shared" si="1537"/>
        <v>1</v>
      </c>
      <c r="R1313" s="130">
        <f ca="1" t="shared" si="1537"/>
        <v>1</v>
      </c>
      <c r="S1313" s="130">
        <f ca="1" t="shared" si="1537"/>
        <v>1</v>
      </c>
      <c r="T1313" s="130">
        <f ca="1" t="shared" si="1537"/>
        <v>1</v>
      </c>
      <c r="U1313" s="130">
        <f ca="1" t="shared" si="1537"/>
        <v>1</v>
      </c>
      <c r="V1313" s="130">
        <f ca="1" t="shared" si="1537"/>
        <v>1</v>
      </c>
    </row>
    <row r="1314" s="106" customFormat="1" ht="16.5" spans="2:22">
      <c r="B1314" s="117">
        <v>78</v>
      </c>
      <c r="C1314" s="130">
        <f t="shared" si="1524"/>
        <v>7800</v>
      </c>
      <c r="D1314" s="130">
        <f ca="1" t="shared" ref="D1314:V1314" si="1538">IF($C1314&gt;D$633,1,0)</f>
        <v>1</v>
      </c>
      <c r="E1314" s="130">
        <f ca="1" t="shared" si="1538"/>
        <v>1</v>
      </c>
      <c r="F1314" s="130">
        <f ca="1" t="shared" si="1538"/>
        <v>1</v>
      </c>
      <c r="G1314" s="130">
        <f ca="1" t="shared" si="1538"/>
        <v>1</v>
      </c>
      <c r="H1314" s="130">
        <f ca="1" t="shared" si="1538"/>
        <v>1</v>
      </c>
      <c r="I1314" s="130">
        <f ca="1" t="shared" si="1538"/>
        <v>1</v>
      </c>
      <c r="J1314" s="130">
        <f ca="1" t="shared" si="1538"/>
        <v>1</v>
      </c>
      <c r="K1314" s="130">
        <f ca="1" t="shared" si="1538"/>
        <v>1</v>
      </c>
      <c r="L1314" s="130">
        <f ca="1" t="shared" si="1538"/>
        <v>1</v>
      </c>
      <c r="M1314" s="130">
        <f ca="1" t="shared" si="1538"/>
        <v>1</v>
      </c>
      <c r="N1314" s="130">
        <f ca="1" t="shared" si="1538"/>
        <v>1</v>
      </c>
      <c r="O1314" s="130">
        <f ca="1" t="shared" si="1538"/>
        <v>1</v>
      </c>
      <c r="P1314" s="130">
        <f ca="1" t="shared" si="1538"/>
        <v>1</v>
      </c>
      <c r="Q1314" s="130">
        <f ca="1" t="shared" si="1538"/>
        <v>1</v>
      </c>
      <c r="R1314" s="130">
        <f ca="1" t="shared" si="1538"/>
        <v>1</v>
      </c>
      <c r="S1314" s="130">
        <f ca="1" t="shared" si="1538"/>
        <v>1</v>
      </c>
      <c r="T1314" s="130">
        <f ca="1" t="shared" si="1538"/>
        <v>1</v>
      </c>
      <c r="U1314" s="130">
        <f ca="1" t="shared" si="1538"/>
        <v>1</v>
      </c>
      <c r="V1314" s="130">
        <f ca="1" t="shared" si="1538"/>
        <v>1</v>
      </c>
    </row>
    <row r="1315" s="106" customFormat="1" ht="16.5" spans="2:22">
      <c r="B1315" s="117">
        <v>79</v>
      </c>
      <c r="C1315" s="130">
        <f t="shared" si="1524"/>
        <v>7900</v>
      </c>
      <c r="D1315" s="130">
        <f ca="1" t="shared" ref="D1315:V1315" si="1539">IF($C1315&gt;D$633,1,0)</f>
        <v>1</v>
      </c>
      <c r="E1315" s="130">
        <f ca="1" t="shared" si="1539"/>
        <v>1</v>
      </c>
      <c r="F1315" s="130">
        <f ca="1" t="shared" si="1539"/>
        <v>1</v>
      </c>
      <c r="G1315" s="130">
        <f ca="1" t="shared" si="1539"/>
        <v>1</v>
      </c>
      <c r="H1315" s="130">
        <f ca="1" t="shared" si="1539"/>
        <v>1</v>
      </c>
      <c r="I1315" s="130">
        <f ca="1" t="shared" si="1539"/>
        <v>1</v>
      </c>
      <c r="J1315" s="130">
        <f ca="1" t="shared" si="1539"/>
        <v>1</v>
      </c>
      <c r="K1315" s="130">
        <f ca="1" t="shared" si="1539"/>
        <v>1</v>
      </c>
      <c r="L1315" s="130">
        <f ca="1" t="shared" si="1539"/>
        <v>1</v>
      </c>
      <c r="M1315" s="130">
        <f ca="1" t="shared" si="1539"/>
        <v>1</v>
      </c>
      <c r="N1315" s="130">
        <f ca="1" t="shared" si="1539"/>
        <v>1</v>
      </c>
      <c r="O1315" s="130">
        <f ca="1" t="shared" si="1539"/>
        <v>1</v>
      </c>
      <c r="P1315" s="130">
        <f ca="1" t="shared" si="1539"/>
        <v>1</v>
      </c>
      <c r="Q1315" s="130">
        <f ca="1" t="shared" si="1539"/>
        <v>1</v>
      </c>
      <c r="R1315" s="130">
        <f ca="1" t="shared" si="1539"/>
        <v>1</v>
      </c>
      <c r="S1315" s="130">
        <f ca="1" t="shared" si="1539"/>
        <v>1</v>
      </c>
      <c r="T1315" s="130">
        <f ca="1" t="shared" si="1539"/>
        <v>1</v>
      </c>
      <c r="U1315" s="130">
        <f ca="1" t="shared" si="1539"/>
        <v>1</v>
      </c>
      <c r="V1315" s="130">
        <f ca="1" t="shared" si="1539"/>
        <v>1</v>
      </c>
    </row>
    <row r="1316" s="106" customFormat="1" ht="16.5" spans="2:22">
      <c r="B1316" s="117">
        <v>80</v>
      </c>
      <c r="C1316" s="130">
        <f t="shared" si="1524"/>
        <v>8000</v>
      </c>
      <c r="D1316" s="130">
        <f ca="1" t="shared" ref="D1316:V1316" si="1540">IF($C1316&gt;D$633,1,0)</f>
        <v>1</v>
      </c>
      <c r="E1316" s="130">
        <f ca="1" t="shared" si="1540"/>
        <v>1</v>
      </c>
      <c r="F1316" s="130">
        <f ca="1" t="shared" si="1540"/>
        <v>1</v>
      </c>
      <c r="G1316" s="130">
        <f ca="1" t="shared" si="1540"/>
        <v>1</v>
      </c>
      <c r="H1316" s="130">
        <f ca="1" t="shared" si="1540"/>
        <v>1</v>
      </c>
      <c r="I1316" s="130">
        <f ca="1" t="shared" si="1540"/>
        <v>1</v>
      </c>
      <c r="J1316" s="130">
        <f ca="1" t="shared" si="1540"/>
        <v>1</v>
      </c>
      <c r="K1316" s="130">
        <f ca="1" t="shared" si="1540"/>
        <v>1</v>
      </c>
      <c r="L1316" s="130">
        <f ca="1" t="shared" si="1540"/>
        <v>1</v>
      </c>
      <c r="M1316" s="130">
        <f ca="1" t="shared" si="1540"/>
        <v>1</v>
      </c>
      <c r="N1316" s="130">
        <f ca="1" t="shared" si="1540"/>
        <v>1</v>
      </c>
      <c r="O1316" s="130">
        <f ca="1" t="shared" si="1540"/>
        <v>1</v>
      </c>
      <c r="P1316" s="130">
        <f ca="1" t="shared" si="1540"/>
        <v>1</v>
      </c>
      <c r="Q1316" s="130">
        <f ca="1" t="shared" si="1540"/>
        <v>1</v>
      </c>
      <c r="R1316" s="130">
        <f ca="1" t="shared" si="1540"/>
        <v>1</v>
      </c>
      <c r="S1316" s="130">
        <f ca="1" t="shared" si="1540"/>
        <v>1</v>
      </c>
      <c r="T1316" s="130">
        <f ca="1" t="shared" si="1540"/>
        <v>1</v>
      </c>
      <c r="U1316" s="130">
        <f ca="1" t="shared" si="1540"/>
        <v>1</v>
      </c>
      <c r="V1316" s="130">
        <f ca="1" t="shared" si="1540"/>
        <v>1</v>
      </c>
    </row>
    <row r="1317" s="106" customFormat="1" ht="16.5" spans="2:22">
      <c r="B1317" s="117">
        <v>81</v>
      </c>
      <c r="C1317" s="130">
        <f t="shared" si="1524"/>
        <v>8100</v>
      </c>
      <c r="D1317" s="130">
        <f ca="1" t="shared" ref="D1317:V1317" si="1541">IF($C1317&gt;D$633,1,0)</f>
        <v>1</v>
      </c>
      <c r="E1317" s="130">
        <f ca="1" t="shared" si="1541"/>
        <v>1</v>
      </c>
      <c r="F1317" s="130">
        <f ca="1" t="shared" si="1541"/>
        <v>1</v>
      </c>
      <c r="G1317" s="130">
        <f ca="1" t="shared" si="1541"/>
        <v>1</v>
      </c>
      <c r="H1317" s="130">
        <f ca="1" t="shared" si="1541"/>
        <v>1</v>
      </c>
      <c r="I1317" s="130">
        <f ca="1" t="shared" si="1541"/>
        <v>1</v>
      </c>
      <c r="J1317" s="130">
        <f ca="1" t="shared" si="1541"/>
        <v>1</v>
      </c>
      <c r="K1317" s="130">
        <f ca="1" t="shared" si="1541"/>
        <v>1</v>
      </c>
      <c r="L1317" s="130">
        <f ca="1" t="shared" si="1541"/>
        <v>1</v>
      </c>
      <c r="M1317" s="130">
        <f ca="1" t="shared" si="1541"/>
        <v>1</v>
      </c>
      <c r="N1317" s="130">
        <f ca="1" t="shared" si="1541"/>
        <v>1</v>
      </c>
      <c r="O1317" s="130">
        <f ca="1" t="shared" si="1541"/>
        <v>1</v>
      </c>
      <c r="P1317" s="130">
        <f ca="1" t="shared" si="1541"/>
        <v>1</v>
      </c>
      <c r="Q1317" s="130">
        <f ca="1" t="shared" si="1541"/>
        <v>1</v>
      </c>
      <c r="R1317" s="130">
        <f ca="1" t="shared" si="1541"/>
        <v>1</v>
      </c>
      <c r="S1317" s="130">
        <f ca="1" t="shared" si="1541"/>
        <v>1</v>
      </c>
      <c r="T1317" s="130">
        <f ca="1" t="shared" si="1541"/>
        <v>1</v>
      </c>
      <c r="U1317" s="130">
        <f ca="1" t="shared" si="1541"/>
        <v>1</v>
      </c>
      <c r="V1317" s="130">
        <f ca="1" t="shared" si="1541"/>
        <v>1</v>
      </c>
    </row>
    <row r="1318" s="106" customFormat="1" ht="16.5" spans="2:22">
      <c r="B1318" s="117">
        <v>82</v>
      </c>
      <c r="C1318" s="130">
        <f t="shared" si="1524"/>
        <v>8200</v>
      </c>
      <c r="D1318" s="130">
        <f ca="1" t="shared" ref="D1318:V1318" si="1542">IF($C1318&gt;D$633,1,0)</f>
        <v>1</v>
      </c>
      <c r="E1318" s="130">
        <f ca="1" t="shared" si="1542"/>
        <v>1</v>
      </c>
      <c r="F1318" s="130">
        <f ca="1" t="shared" si="1542"/>
        <v>1</v>
      </c>
      <c r="G1318" s="130">
        <f ca="1" t="shared" si="1542"/>
        <v>1</v>
      </c>
      <c r="H1318" s="130">
        <f ca="1" t="shared" si="1542"/>
        <v>1</v>
      </c>
      <c r="I1318" s="130">
        <f ca="1" t="shared" si="1542"/>
        <v>1</v>
      </c>
      <c r="J1318" s="130">
        <f ca="1" t="shared" si="1542"/>
        <v>1</v>
      </c>
      <c r="K1318" s="130">
        <f ca="1" t="shared" si="1542"/>
        <v>1</v>
      </c>
      <c r="L1318" s="130">
        <f ca="1" t="shared" si="1542"/>
        <v>1</v>
      </c>
      <c r="M1318" s="130">
        <f ca="1" t="shared" si="1542"/>
        <v>1</v>
      </c>
      <c r="N1318" s="130">
        <f ca="1" t="shared" si="1542"/>
        <v>1</v>
      </c>
      <c r="O1318" s="130">
        <f ca="1" t="shared" si="1542"/>
        <v>1</v>
      </c>
      <c r="P1318" s="130">
        <f ca="1" t="shared" si="1542"/>
        <v>1</v>
      </c>
      <c r="Q1318" s="130">
        <f ca="1" t="shared" si="1542"/>
        <v>1</v>
      </c>
      <c r="R1318" s="130">
        <f ca="1" t="shared" si="1542"/>
        <v>1</v>
      </c>
      <c r="S1318" s="130">
        <f ca="1" t="shared" si="1542"/>
        <v>1</v>
      </c>
      <c r="T1318" s="130">
        <f ca="1" t="shared" si="1542"/>
        <v>1</v>
      </c>
      <c r="U1318" s="130">
        <f ca="1" t="shared" si="1542"/>
        <v>1</v>
      </c>
      <c r="V1318" s="130">
        <f ca="1" t="shared" si="1542"/>
        <v>1</v>
      </c>
    </row>
    <row r="1319" s="106" customFormat="1" ht="16.5" spans="2:22">
      <c r="B1319" s="117">
        <v>83</v>
      </c>
      <c r="C1319" s="130">
        <f t="shared" si="1524"/>
        <v>8300</v>
      </c>
      <c r="D1319" s="130">
        <f ca="1" t="shared" ref="D1319:V1319" si="1543">IF($C1319&gt;D$633,1,0)</f>
        <v>1</v>
      </c>
      <c r="E1319" s="130">
        <f ca="1" t="shared" si="1543"/>
        <v>1</v>
      </c>
      <c r="F1319" s="130">
        <f ca="1" t="shared" si="1543"/>
        <v>1</v>
      </c>
      <c r="G1319" s="130">
        <f ca="1" t="shared" si="1543"/>
        <v>1</v>
      </c>
      <c r="H1319" s="130">
        <f ca="1" t="shared" si="1543"/>
        <v>1</v>
      </c>
      <c r="I1319" s="130">
        <f ca="1" t="shared" si="1543"/>
        <v>1</v>
      </c>
      <c r="J1319" s="130">
        <f ca="1" t="shared" si="1543"/>
        <v>1</v>
      </c>
      <c r="K1319" s="130">
        <f ca="1" t="shared" si="1543"/>
        <v>1</v>
      </c>
      <c r="L1319" s="130">
        <f ca="1" t="shared" si="1543"/>
        <v>1</v>
      </c>
      <c r="M1319" s="130">
        <f ca="1" t="shared" si="1543"/>
        <v>1</v>
      </c>
      <c r="N1319" s="130">
        <f ca="1" t="shared" si="1543"/>
        <v>1</v>
      </c>
      <c r="O1319" s="130">
        <f ca="1" t="shared" si="1543"/>
        <v>1</v>
      </c>
      <c r="P1319" s="130">
        <f ca="1" t="shared" si="1543"/>
        <v>1</v>
      </c>
      <c r="Q1319" s="130">
        <f ca="1" t="shared" si="1543"/>
        <v>1</v>
      </c>
      <c r="R1319" s="130">
        <f ca="1" t="shared" si="1543"/>
        <v>1</v>
      </c>
      <c r="S1319" s="130">
        <f ca="1" t="shared" si="1543"/>
        <v>1</v>
      </c>
      <c r="T1319" s="130">
        <f ca="1" t="shared" si="1543"/>
        <v>1</v>
      </c>
      <c r="U1319" s="130">
        <f ca="1" t="shared" si="1543"/>
        <v>1</v>
      </c>
      <c r="V1319" s="130">
        <f ca="1" t="shared" si="1543"/>
        <v>1</v>
      </c>
    </row>
    <row r="1320" s="106" customFormat="1" ht="16.5" spans="2:22">
      <c r="B1320" s="117">
        <v>84</v>
      </c>
      <c r="C1320" s="130">
        <f t="shared" si="1524"/>
        <v>8400</v>
      </c>
      <c r="D1320" s="130">
        <f ca="1" t="shared" ref="D1320:V1320" si="1544">IF($C1320&gt;D$633,1,0)</f>
        <v>1</v>
      </c>
      <c r="E1320" s="130">
        <f ca="1" t="shared" si="1544"/>
        <v>1</v>
      </c>
      <c r="F1320" s="130">
        <f ca="1" t="shared" si="1544"/>
        <v>1</v>
      </c>
      <c r="G1320" s="130">
        <f ca="1" t="shared" si="1544"/>
        <v>1</v>
      </c>
      <c r="H1320" s="130">
        <f ca="1" t="shared" si="1544"/>
        <v>1</v>
      </c>
      <c r="I1320" s="130">
        <f ca="1" t="shared" si="1544"/>
        <v>1</v>
      </c>
      <c r="J1320" s="130">
        <f ca="1" t="shared" si="1544"/>
        <v>1</v>
      </c>
      <c r="K1320" s="130">
        <f ca="1" t="shared" si="1544"/>
        <v>1</v>
      </c>
      <c r="L1320" s="130">
        <f ca="1" t="shared" si="1544"/>
        <v>1</v>
      </c>
      <c r="M1320" s="130">
        <f ca="1" t="shared" si="1544"/>
        <v>1</v>
      </c>
      <c r="N1320" s="130">
        <f ca="1" t="shared" si="1544"/>
        <v>1</v>
      </c>
      <c r="O1320" s="130">
        <f ca="1" t="shared" si="1544"/>
        <v>1</v>
      </c>
      <c r="P1320" s="130">
        <f ca="1" t="shared" si="1544"/>
        <v>1</v>
      </c>
      <c r="Q1320" s="130">
        <f ca="1" t="shared" si="1544"/>
        <v>1</v>
      </c>
      <c r="R1320" s="130">
        <f ca="1" t="shared" si="1544"/>
        <v>1</v>
      </c>
      <c r="S1320" s="130">
        <f ca="1" t="shared" si="1544"/>
        <v>1</v>
      </c>
      <c r="T1320" s="130">
        <f ca="1" t="shared" si="1544"/>
        <v>1</v>
      </c>
      <c r="U1320" s="130">
        <f ca="1" t="shared" si="1544"/>
        <v>1</v>
      </c>
      <c r="V1320" s="130">
        <f ca="1" t="shared" si="1544"/>
        <v>1</v>
      </c>
    </row>
    <row r="1321" s="106" customFormat="1" ht="16.5" spans="2:22">
      <c r="B1321" s="117">
        <v>85</v>
      </c>
      <c r="C1321" s="130">
        <f t="shared" si="1524"/>
        <v>8500</v>
      </c>
      <c r="D1321" s="130">
        <f ca="1" t="shared" ref="D1321:V1321" si="1545">IF($C1321&gt;D$633,1,0)</f>
        <v>1</v>
      </c>
      <c r="E1321" s="130">
        <f ca="1" t="shared" si="1545"/>
        <v>1</v>
      </c>
      <c r="F1321" s="130">
        <f ca="1" t="shared" si="1545"/>
        <v>1</v>
      </c>
      <c r="G1321" s="130">
        <f ca="1" t="shared" si="1545"/>
        <v>1</v>
      </c>
      <c r="H1321" s="130">
        <f ca="1" t="shared" si="1545"/>
        <v>1</v>
      </c>
      <c r="I1321" s="130">
        <f ca="1" t="shared" si="1545"/>
        <v>1</v>
      </c>
      <c r="J1321" s="130">
        <f ca="1" t="shared" si="1545"/>
        <v>1</v>
      </c>
      <c r="K1321" s="130">
        <f ca="1" t="shared" si="1545"/>
        <v>1</v>
      </c>
      <c r="L1321" s="130">
        <f ca="1" t="shared" si="1545"/>
        <v>1</v>
      </c>
      <c r="M1321" s="130">
        <f ca="1" t="shared" si="1545"/>
        <v>1</v>
      </c>
      <c r="N1321" s="130">
        <f ca="1" t="shared" si="1545"/>
        <v>1</v>
      </c>
      <c r="O1321" s="130">
        <f ca="1" t="shared" si="1545"/>
        <v>1</v>
      </c>
      <c r="P1321" s="130">
        <f ca="1" t="shared" si="1545"/>
        <v>1</v>
      </c>
      <c r="Q1321" s="130">
        <f ca="1" t="shared" si="1545"/>
        <v>1</v>
      </c>
      <c r="R1321" s="130">
        <f ca="1" t="shared" si="1545"/>
        <v>1</v>
      </c>
      <c r="S1321" s="130">
        <f ca="1" t="shared" si="1545"/>
        <v>1</v>
      </c>
      <c r="T1321" s="130">
        <f ca="1" t="shared" si="1545"/>
        <v>1</v>
      </c>
      <c r="U1321" s="130">
        <f ca="1" t="shared" si="1545"/>
        <v>1</v>
      </c>
      <c r="V1321" s="130">
        <f ca="1" t="shared" si="1545"/>
        <v>1</v>
      </c>
    </row>
    <row r="1322" s="106" customFormat="1" ht="16.5" spans="2:22">
      <c r="B1322" s="117">
        <v>86</v>
      </c>
      <c r="C1322" s="130">
        <f t="shared" si="1524"/>
        <v>8600</v>
      </c>
      <c r="D1322" s="130">
        <f ca="1" t="shared" ref="D1322:V1322" si="1546">IF($C1322&gt;D$633,1,0)</f>
        <v>1</v>
      </c>
      <c r="E1322" s="130">
        <f ca="1" t="shared" si="1546"/>
        <v>1</v>
      </c>
      <c r="F1322" s="130">
        <f ca="1" t="shared" si="1546"/>
        <v>1</v>
      </c>
      <c r="G1322" s="130">
        <f ca="1" t="shared" si="1546"/>
        <v>1</v>
      </c>
      <c r="H1322" s="130">
        <f ca="1" t="shared" si="1546"/>
        <v>1</v>
      </c>
      <c r="I1322" s="130">
        <f ca="1" t="shared" si="1546"/>
        <v>1</v>
      </c>
      <c r="J1322" s="130">
        <f ca="1" t="shared" si="1546"/>
        <v>1</v>
      </c>
      <c r="K1322" s="130">
        <f ca="1" t="shared" si="1546"/>
        <v>1</v>
      </c>
      <c r="L1322" s="130">
        <f ca="1" t="shared" si="1546"/>
        <v>1</v>
      </c>
      <c r="M1322" s="130">
        <f ca="1" t="shared" si="1546"/>
        <v>1</v>
      </c>
      <c r="N1322" s="130">
        <f ca="1" t="shared" si="1546"/>
        <v>1</v>
      </c>
      <c r="O1322" s="130">
        <f ca="1" t="shared" si="1546"/>
        <v>1</v>
      </c>
      <c r="P1322" s="130">
        <f ca="1" t="shared" si="1546"/>
        <v>1</v>
      </c>
      <c r="Q1322" s="130">
        <f ca="1" t="shared" si="1546"/>
        <v>1</v>
      </c>
      <c r="R1322" s="130">
        <f ca="1" t="shared" si="1546"/>
        <v>1</v>
      </c>
      <c r="S1322" s="130">
        <f ca="1" t="shared" si="1546"/>
        <v>1</v>
      </c>
      <c r="T1322" s="130">
        <f ca="1" t="shared" si="1546"/>
        <v>1</v>
      </c>
      <c r="U1322" s="130">
        <f ca="1" t="shared" si="1546"/>
        <v>1</v>
      </c>
      <c r="V1322" s="130">
        <f ca="1" t="shared" si="1546"/>
        <v>1</v>
      </c>
    </row>
    <row r="1323" s="106" customFormat="1" ht="16.5" spans="2:22">
      <c r="B1323" s="117">
        <v>87</v>
      </c>
      <c r="C1323" s="130">
        <f t="shared" si="1524"/>
        <v>8700</v>
      </c>
      <c r="D1323" s="130">
        <f ca="1" t="shared" ref="D1323:V1323" si="1547">IF($C1323&gt;D$633,1,0)</f>
        <v>1</v>
      </c>
      <c r="E1323" s="130">
        <f ca="1" t="shared" si="1547"/>
        <v>1</v>
      </c>
      <c r="F1323" s="130">
        <f ca="1" t="shared" si="1547"/>
        <v>1</v>
      </c>
      <c r="G1323" s="130">
        <f ca="1" t="shared" si="1547"/>
        <v>1</v>
      </c>
      <c r="H1323" s="130">
        <f ca="1" t="shared" si="1547"/>
        <v>1</v>
      </c>
      <c r="I1323" s="130">
        <f ca="1" t="shared" si="1547"/>
        <v>1</v>
      </c>
      <c r="J1323" s="130">
        <f ca="1" t="shared" si="1547"/>
        <v>1</v>
      </c>
      <c r="K1323" s="130">
        <f ca="1" t="shared" si="1547"/>
        <v>1</v>
      </c>
      <c r="L1323" s="130">
        <f ca="1" t="shared" si="1547"/>
        <v>1</v>
      </c>
      <c r="M1323" s="130">
        <f ca="1" t="shared" si="1547"/>
        <v>1</v>
      </c>
      <c r="N1323" s="130">
        <f ca="1" t="shared" si="1547"/>
        <v>1</v>
      </c>
      <c r="O1323" s="130">
        <f ca="1" t="shared" si="1547"/>
        <v>1</v>
      </c>
      <c r="P1323" s="130">
        <f ca="1" t="shared" si="1547"/>
        <v>1</v>
      </c>
      <c r="Q1323" s="130">
        <f ca="1" t="shared" si="1547"/>
        <v>1</v>
      </c>
      <c r="R1323" s="130">
        <f ca="1" t="shared" si="1547"/>
        <v>1</v>
      </c>
      <c r="S1323" s="130">
        <f ca="1" t="shared" si="1547"/>
        <v>1</v>
      </c>
      <c r="T1323" s="130">
        <f ca="1" t="shared" si="1547"/>
        <v>1</v>
      </c>
      <c r="U1323" s="130">
        <f ca="1" t="shared" si="1547"/>
        <v>1</v>
      </c>
      <c r="V1323" s="130">
        <f ca="1" t="shared" si="1547"/>
        <v>1</v>
      </c>
    </row>
    <row r="1324" s="106" customFormat="1" ht="16.5" spans="2:22">
      <c r="B1324" s="117">
        <v>88</v>
      </c>
      <c r="C1324" s="130">
        <f t="shared" si="1524"/>
        <v>8800</v>
      </c>
      <c r="D1324" s="130">
        <f ca="1" t="shared" ref="D1324:V1324" si="1548">IF($C1324&gt;D$633,1,0)</f>
        <v>1</v>
      </c>
      <c r="E1324" s="130">
        <f ca="1" t="shared" si="1548"/>
        <v>1</v>
      </c>
      <c r="F1324" s="130">
        <f ca="1" t="shared" si="1548"/>
        <v>1</v>
      </c>
      <c r="G1324" s="130">
        <f ca="1" t="shared" si="1548"/>
        <v>1</v>
      </c>
      <c r="H1324" s="130">
        <f ca="1" t="shared" si="1548"/>
        <v>1</v>
      </c>
      <c r="I1324" s="130">
        <f ca="1" t="shared" si="1548"/>
        <v>1</v>
      </c>
      <c r="J1324" s="130">
        <f ca="1" t="shared" si="1548"/>
        <v>1</v>
      </c>
      <c r="K1324" s="130">
        <f ca="1" t="shared" si="1548"/>
        <v>1</v>
      </c>
      <c r="L1324" s="130">
        <f ca="1" t="shared" si="1548"/>
        <v>1</v>
      </c>
      <c r="M1324" s="130">
        <f ca="1" t="shared" si="1548"/>
        <v>1</v>
      </c>
      <c r="N1324" s="130">
        <f ca="1" t="shared" si="1548"/>
        <v>1</v>
      </c>
      <c r="O1324" s="130">
        <f ca="1" t="shared" si="1548"/>
        <v>1</v>
      </c>
      <c r="P1324" s="130">
        <f ca="1" t="shared" si="1548"/>
        <v>1</v>
      </c>
      <c r="Q1324" s="130">
        <f ca="1" t="shared" si="1548"/>
        <v>1</v>
      </c>
      <c r="R1324" s="130">
        <f ca="1" t="shared" si="1548"/>
        <v>1</v>
      </c>
      <c r="S1324" s="130">
        <f ca="1" t="shared" si="1548"/>
        <v>1</v>
      </c>
      <c r="T1324" s="130">
        <f ca="1" t="shared" si="1548"/>
        <v>1</v>
      </c>
      <c r="U1324" s="130">
        <f ca="1" t="shared" si="1548"/>
        <v>1</v>
      </c>
      <c r="V1324" s="130">
        <f ca="1" t="shared" si="1548"/>
        <v>1</v>
      </c>
    </row>
    <row r="1325" s="106" customFormat="1" ht="16.5" spans="2:22">
      <c r="B1325" s="117">
        <v>89</v>
      </c>
      <c r="C1325" s="130">
        <f t="shared" si="1524"/>
        <v>8900</v>
      </c>
      <c r="D1325" s="130">
        <f ca="1" t="shared" ref="D1325:V1325" si="1549">IF($C1325&gt;D$633,1,0)</f>
        <v>1</v>
      </c>
      <c r="E1325" s="130">
        <f ca="1" t="shared" si="1549"/>
        <v>1</v>
      </c>
      <c r="F1325" s="130">
        <f ca="1" t="shared" si="1549"/>
        <v>1</v>
      </c>
      <c r="G1325" s="130">
        <f ca="1" t="shared" si="1549"/>
        <v>1</v>
      </c>
      <c r="H1325" s="130">
        <f ca="1" t="shared" si="1549"/>
        <v>1</v>
      </c>
      <c r="I1325" s="130">
        <f ca="1" t="shared" si="1549"/>
        <v>1</v>
      </c>
      <c r="J1325" s="130">
        <f ca="1" t="shared" si="1549"/>
        <v>1</v>
      </c>
      <c r="K1325" s="130">
        <f ca="1" t="shared" si="1549"/>
        <v>1</v>
      </c>
      <c r="L1325" s="130">
        <f ca="1" t="shared" si="1549"/>
        <v>1</v>
      </c>
      <c r="M1325" s="130">
        <f ca="1" t="shared" si="1549"/>
        <v>1</v>
      </c>
      <c r="N1325" s="130">
        <f ca="1" t="shared" si="1549"/>
        <v>1</v>
      </c>
      <c r="O1325" s="130">
        <f ca="1" t="shared" si="1549"/>
        <v>1</v>
      </c>
      <c r="P1325" s="130">
        <f ca="1" t="shared" si="1549"/>
        <v>1</v>
      </c>
      <c r="Q1325" s="130">
        <f ca="1" t="shared" si="1549"/>
        <v>1</v>
      </c>
      <c r="R1325" s="130">
        <f ca="1" t="shared" si="1549"/>
        <v>1</v>
      </c>
      <c r="S1325" s="130">
        <f ca="1" t="shared" si="1549"/>
        <v>1</v>
      </c>
      <c r="T1325" s="130">
        <f ca="1" t="shared" si="1549"/>
        <v>1</v>
      </c>
      <c r="U1325" s="130">
        <f ca="1" t="shared" si="1549"/>
        <v>1</v>
      </c>
      <c r="V1325" s="130">
        <f ca="1" t="shared" si="1549"/>
        <v>1</v>
      </c>
    </row>
    <row r="1326" s="106" customFormat="1" ht="16.5" spans="2:22">
      <c r="B1326" s="117">
        <v>90</v>
      </c>
      <c r="C1326" s="130">
        <f t="shared" si="1524"/>
        <v>9000</v>
      </c>
      <c r="D1326" s="130">
        <f ca="1" t="shared" ref="D1326:V1326" si="1550">IF($C1326&gt;D$633,1,0)</f>
        <v>1</v>
      </c>
      <c r="E1326" s="130">
        <f ca="1" t="shared" si="1550"/>
        <v>1</v>
      </c>
      <c r="F1326" s="130">
        <f ca="1" t="shared" si="1550"/>
        <v>1</v>
      </c>
      <c r="G1326" s="130">
        <f ca="1" t="shared" si="1550"/>
        <v>1</v>
      </c>
      <c r="H1326" s="130">
        <f ca="1" t="shared" si="1550"/>
        <v>1</v>
      </c>
      <c r="I1326" s="130">
        <f ca="1" t="shared" si="1550"/>
        <v>1</v>
      </c>
      <c r="J1326" s="130">
        <f ca="1" t="shared" si="1550"/>
        <v>1</v>
      </c>
      <c r="K1326" s="130">
        <f ca="1" t="shared" si="1550"/>
        <v>1</v>
      </c>
      <c r="L1326" s="130">
        <f ca="1" t="shared" si="1550"/>
        <v>1</v>
      </c>
      <c r="M1326" s="130">
        <f ca="1" t="shared" si="1550"/>
        <v>1</v>
      </c>
      <c r="N1326" s="130">
        <f ca="1" t="shared" si="1550"/>
        <v>1</v>
      </c>
      <c r="O1326" s="130">
        <f ca="1" t="shared" si="1550"/>
        <v>1</v>
      </c>
      <c r="P1326" s="130">
        <f ca="1" t="shared" si="1550"/>
        <v>1</v>
      </c>
      <c r="Q1326" s="130">
        <f ca="1" t="shared" si="1550"/>
        <v>1</v>
      </c>
      <c r="R1326" s="130">
        <f ca="1" t="shared" si="1550"/>
        <v>1</v>
      </c>
      <c r="S1326" s="130">
        <f ca="1" t="shared" si="1550"/>
        <v>1</v>
      </c>
      <c r="T1326" s="130">
        <f ca="1" t="shared" si="1550"/>
        <v>1</v>
      </c>
      <c r="U1326" s="130">
        <f ca="1" t="shared" si="1550"/>
        <v>1</v>
      </c>
      <c r="V1326" s="130">
        <f ca="1" t="shared" si="1550"/>
        <v>1</v>
      </c>
    </row>
    <row r="1327" s="106" customFormat="1" ht="16.5" spans="2:22">
      <c r="B1327" s="117">
        <v>91</v>
      </c>
      <c r="C1327" s="130">
        <f t="shared" si="1524"/>
        <v>9100</v>
      </c>
      <c r="D1327" s="130">
        <f ca="1" t="shared" ref="D1327:V1327" si="1551">IF($C1327&gt;D$633,1,0)</f>
        <v>1</v>
      </c>
      <c r="E1327" s="130">
        <f ca="1" t="shared" si="1551"/>
        <v>1</v>
      </c>
      <c r="F1327" s="130">
        <f ca="1" t="shared" si="1551"/>
        <v>1</v>
      </c>
      <c r="G1327" s="130">
        <f ca="1" t="shared" si="1551"/>
        <v>1</v>
      </c>
      <c r="H1327" s="130">
        <f ca="1" t="shared" si="1551"/>
        <v>1</v>
      </c>
      <c r="I1327" s="130">
        <f ca="1" t="shared" si="1551"/>
        <v>1</v>
      </c>
      <c r="J1327" s="130">
        <f ca="1" t="shared" si="1551"/>
        <v>1</v>
      </c>
      <c r="K1327" s="130">
        <f ca="1" t="shared" si="1551"/>
        <v>1</v>
      </c>
      <c r="L1327" s="130">
        <f ca="1" t="shared" si="1551"/>
        <v>1</v>
      </c>
      <c r="M1327" s="130">
        <f ca="1" t="shared" si="1551"/>
        <v>1</v>
      </c>
      <c r="N1327" s="130">
        <f ca="1" t="shared" si="1551"/>
        <v>1</v>
      </c>
      <c r="O1327" s="130">
        <f ca="1" t="shared" si="1551"/>
        <v>1</v>
      </c>
      <c r="P1327" s="130">
        <f ca="1" t="shared" si="1551"/>
        <v>1</v>
      </c>
      <c r="Q1327" s="130">
        <f ca="1" t="shared" si="1551"/>
        <v>1</v>
      </c>
      <c r="R1327" s="130">
        <f ca="1" t="shared" si="1551"/>
        <v>1</v>
      </c>
      <c r="S1327" s="130">
        <f ca="1" t="shared" si="1551"/>
        <v>1</v>
      </c>
      <c r="T1327" s="130">
        <f ca="1" t="shared" si="1551"/>
        <v>1</v>
      </c>
      <c r="U1327" s="130">
        <f ca="1" t="shared" si="1551"/>
        <v>1</v>
      </c>
      <c r="V1327" s="130">
        <f ca="1" t="shared" si="1551"/>
        <v>1</v>
      </c>
    </row>
    <row r="1328" s="106" customFormat="1" ht="16.5" spans="2:22">
      <c r="B1328" s="117">
        <v>92</v>
      </c>
      <c r="C1328" s="130">
        <f t="shared" si="1524"/>
        <v>9200</v>
      </c>
      <c r="D1328" s="130">
        <f ca="1" t="shared" ref="D1328:V1328" si="1552">IF($C1328&gt;D$633,1,0)</f>
        <v>1</v>
      </c>
      <c r="E1328" s="130">
        <f ca="1" t="shared" si="1552"/>
        <v>1</v>
      </c>
      <c r="F1328" s="130">
        <f ca="1" t="shared" si="1552"/>
        <v>1</v>
      </c>
      <c r="G1328" s="130">
        <f ca="1" t="shared" si="1552"/>
        <v>1</v>
      </c>
      <c r="H1328" s="130">
        <f ca="1" t="shared" si="1552"/>
        <v>1</v>
      </c>
      <c r="I1328" s="130">
        <f ca="1" t="shared" si="1552"/>
        <v>1</v>
      </c>
      <c r="J1328" s="130">
        <f ca="1" t="shared" si="1552"/>
        <v>1</v>
      </c>
      <c r="K1328" s="130">
        <f ca="1" t="shared" si="1552"/>
        <v>1</v>
      </c>
      <c r="L1328" s="130">
        <f ca="1" t="shared" si="1552"/>
        <v>1</v>
      </c>
      <c r="M1328" s="130">
        <f ca="1" t="shared" si="1552"/>
        <v>1</v>
      </c>
      <c r="N1328" s="130">
        <f ca="1" t="shared" si="1552"/>
        <v>1</v>
      </c>
      <c r="O1328" s="130">
        <f ca="1" t="shared" si="1552"/>
        <v>1</v>
      </c>
      <c r="P1328" s="130">
        <f ca="1" t="shared" si="1552"/>
        <v>1</v>
      </c>
      <c r="Q1328" s="130">
        <f ca="1" t="shared" si="1552"/>
        <v>1</v>
      </c>
      <c r="R1328" s="130">
        <f ca="1" t="shared" si="1552"/>
        <v>1</v>
      </c>
      <c r="S1328" s="130">
        <f ca="1" t="shared" si="1552"/>
        <v>1</v>
      </c>
      <c r="T1328" s="130">
        <f ca="1" t="shared" si="1552"/>
        <v>1</v>
      </c>
      <c r="U1328" s="130">
        <f ca="1" t="shared" si="1552"/>
        <v>1</v>
      </c>
      <c r="V1328" s="130">
        <f ca="1" t="shared" si="1552"/>
        <v>1</v>
      </c>
    </row>
    <row r="1329" s="106" customFormat="1" ht="16.5" spans="2:22">
      <c r="B1329" s="117">
        <v>93</v>
      </c>
      <c r="C1329" s="130">
        <f t="shared" si="1524"/>
        <v>9300</v>
      </c>
      <c r="D1329" s="130">
        <f ca="1" t="shared" ref="D1329:V1329" si="1553">IF($C1329&gt;D$633,1,0)</f>
        <v>1</v>
      </c>
      <c r="E1329" s="130">
        <f ca="1" t="shared" si="1553"/>
        <v>1</v>
      </c>
      <c r="F1329" s="130">
        <f ca="1" t="shared" si="1553"/>
        <v>1</v>
      </c>
      <c r="G1329" s="130">
        <f ca="1" t="shared" si="1553"/>
        <v>1</v>
      </c>
      <c r="H1329" s="130">
        <f ca="1" t="shared" si="1553"/>
        <v>1</v>
      </c>
      <c r="I1329" s="130">
        <f ca="1" t="shared" si="1553"/>
        <v>1</v>
      </c>
      <c r="J1329" s="130">
        <f ca="1" t="shared" si="1553"/>
        <v>1</v>
      </c>
      <c r="K1329" s="130">
        <f ca="1" t="shared" si="1553"/>
        <v>1</v>
      </c>
      <c r="L1329" s="130">
        <f ca="1" t="shared" si="1553"/>
        <v>1</v>
      </c>
      <c r="M1329" s="130">
        <f ca="1" t="shared" si="1553"/>
        <v>1</v>
      </c>
      <c r="N1329" s="130">
        <f ca="1" t="shared" si="1553"/>
        <v>1</v>
      </c>
      <c r="O1329" s="130">
        <f ca="1" t="shared" si="1553"/>
        <v>1</v>
      </c>
      <c r="P1329" s="130">
        <f ca="1" t="shared" si="1553"/>
        <v>1</v>
      </c>
      <c r="Q1329" s="130">
        <f ca="1" t="shared" si="1553"/>
        <v>1</v>
      </c>
      <c r="R1329" s="130">
        <f ca="1" t="shared" si="1553"/>
        <v>1</v>
      </c>
      <c r="S1329" s="130">
        <f ca="1" t="shared" si="1553"/>
        <v>1</v>
      </c>
      <c r="T1329" s="130">
        <f ca="1" t="shared" si="1553"/>
        <v>1</v>
      </c>
      <c r="U1329" s="130">
        <f ca="1" t="shared" si="1553"/>
        <v>1</v>
      </c>
      <c r="V1329" s="130">
        <f ca="1" t="shared" si="1553"/>
        <v>1</v>
      </c>
    </row>
    <row r="1330" s="106" customFormat="1" ht="16.5" spans="2:22">
      <c r="B1330" s="117">
        <v>94</v>
      </c>
      <c r="C1330" s="130">
        <f t="shared" si="1524"/>
        <v>9400</v>
      </c>
      <c r="D1330" s="130">
        <f ca="1" t="shared" ref="D1330:V1330" si="1554">IF($C1330&gt;D$633,1,0)</f>
        <v>1</v>
      </c>
      <c r="E1330" s="130">
        <f ca="1" t="shared" si="1554"/>
        <v>1</v>
      </c>
      <c r="F1330" s="130">
        <f ca="1" t="shared" si="1554"/>
        <v>1</v>
      </c>
      <c r="G1330" s="130">
        <f ca="1" t="shared" si="1554"/>
        <v>1</v>
      </c>
      <c r="H1330" s="130">
        <f ca="1" t="shared" si="1554"/>
        <v>1</v>
      </c>
      <c r="I1330" s="130">
        <f ca="1" t="shared" si="1554"/>
        <v>1</v>
      </c>
      <c r="J1330" s="130">
        <f ca="1" t="shared" si="1554"/>
        <v>1</v>
      </c>
      <c r="K1330" s="130">
        <f ca="1" t="shared" si="1554"/>
        <v>1</v>
      </c>
      <c r="L1330" s="130">
        <f ca="1" t="shared" si="1554"/>
        <v>1</v>
      </c>
      <c r="M1330" s="130">
        <f ca="1" t="shared" si="1554"/>
        <v>1</v>
      </c>
      <c r="N1330" s="130">
        <f ca="1" t="shared" si="1554"/>
        <v>1</v>
      </c>
      <c r="O1330" s="130">
        <f ca="1" t="shared" si="1554"/>
        <v>1</v>
      </c>
      <c r="P1330" s="130">
        <f ca="1" t="shared" si="1554"/>
        <v>1</v>
      </c>
      <c r="Q1330" s="130">
        <f ca="1" t="shared" si="1554"/>
        <v>1</v>
      </c>
      <c r="R1330" s="130">
        <f ca="1" t="shared" si="1554"/>
        <v>1</v>
      </c>
      <c r="S1330" s="130">
        <f ca="1" t="shared" si="1554"/>
        <v>1</v>
      </c>
      <c r="T1330" s="130">
        <f ca="1" t="shared" si="1554"/>
        <v>1</v>
      </c>
      <c r="U1330" s="130">
        <f ca="1" t="shared" si="1554"/>
        <v>1</v>
      </c>
      <c r="V1330" s="130">
        <f ca="1" t="shared" si="1554"/>
        <v>1</v>
      </c>
    </row>
    <row r="1331" s="106" customFormat="1" ht="16.5" spans="2:22">
      <c r="B1331" s="117">
        <v>95</v>
      </c>
      <c r="C1331" s="130">
        <f t="shared" si="1524"/>
        <v>9500</v>
      </c>
      <c r="D1331" s="130">
        <f ca="1" t="shared" ref="D1331:V1331" si="1555">IF($C1331&gt;D$633,1,0)</f>
        <v>1</v>
      </c>
      <c r="E1331" s="130">
        <f ca="1" t="shared" si="1555"/>
        <v>1</v>
      </c>
      <c r="F1331" s="130">
        <f ca="1" t="shared" si="1555"/>
        <v>1</v>
      </c>
      <c r="G1331" s="130">
        <f ca="1" t="shared" si="1555"/>
        <v>1</v>
      </c>
      <c r="H1331" s="130">
        <f ca="1" t="shared" si="1555"/>
        <v>1</v>
      </c>
      <c r="I1331" s="130">
        <f ca="1" t="shared" si="1555"/>
        <v>1</v>
      </c>
      <c r="J1331" s="130">
        <f ca="1" t="shared" si="1555"/>
        <v>1</v>
      </c>
      <c r="K1331" s="130">
        <f ca="1" t="shared" si="1555"/>
        <v>1</v>
      </c>
      <c r="L1331" s="130">
        <f ca="1" t="shared" si="1555"/>
        <v>1</v>
      </c>
      <c r="M1331" s="130">
        <f ca="1" t="shared" si="1555"/>
        <v>1</v>
      </c>
      <c r="N1331" s="130">
        <f ca="1" t="shared" si="1555"/>
        <v>1</v>
      </c>
      <c r="O1331" s="130">
        <f ca="1" t="shared" si="1555"/>
        <v>1</v>
      </c>
      <c r="P1331" s="130">
        <f ca="1" t="shared" si="1555"/>
        <v>1</v>
      </c>
      <c r="Q1331" s="130">
        <f ca="1" t="shared" si="1555"/>
        <v>1</v>
      </c>
      <c r="R1331" s="130">
        <f ca="1" t="shared" si="1555"/>
        <v>1</v>
      </c>
      <c r="S1331" s="130">
        <f ca="1" t="shared" si="1555"/>
        <v>1</v>
      </c>
      <c r="T1331" s="130">
        <f ca="1" t="shared" si="1555"/>
        <v>1</v>
      </c>
      <c r="U1331" s="130">
        <f ca="1" t="shared" si="1555"/>
        <v>1</v>
      </c>
      <c r="V1331" s="130">
        <f ca="1" t="shared" si="1555"/>
        <v>1</v>
      </c>
    </row>
    <row r="1332" s="106" customFormat="1" ht="16.5" spans="2:22">
      <c r="B1332" s="117">
        <v>96</v>
      </c>
      <c r="C1332" s="130">
        <f t="shared" si="1524"/>
        <v>9600</v>
      </c>
      <c r="D1332" s="130">
        <f ca="1" t="shared" ref="D1332:V1332" si="1556">IF($C1332&gt;D$633,1,0)</f>
        <v>1</v>
      </c>
      <c r="E1332" s="130">
        <f ca="1" t="shared" si="1556"/>
        <v>1</v>
      </c>
      <c r="F1332" s="130">
        <f ca="1" t="shared" si="1556"/>
        <v>1</v>
      </c>
      <c r="G1332" s="130">
        <f ca="1" t="shared" si="1556"/>
        <v>1</v>
      </c>
      <c r="H1332" s="130">
        <f ca="1" t="shared" si="1556"/>
        <v>1</v>
      </c>
      <c r="I1332" s="130">
        <f ca="1" t="shared" si="1556"/>
        <v>1</v>
      </c>
      <c r="J1332" s="130">
        <f ca="1" t="shared" si="1556"/>
        <v>1</v>
      </c>
      <c r="K1332" s="130">
        <f ca="1" t="shared" si="1556"/>
        <v>1</v>
      </c>
      <c r="L1332" s="130">
        <f ca="1" t="shared" si="1556"/>
        <v>1</v>
      </c>
      <c r="M1332" s="130">
        <f ca="1" t="shared" si="1556"/>
        <v>1</v>
      </c>
      <c r="N1332" s="130">
        <f ca="1" t="shared" si="1556"/>
        <v>1</v>
      </c>
      <c r="O1332" s="130">
        <f ca="1" t="shared" si="1556"/>
        <v>1</v>
      </c>
      <c r="P1332" s="130">
        <f ca="1" t="shared" si="1556"/>
        <v>1</v>
      </c>
      <c r="Q1332" s="130">
        <f ca="1" t="shared" si="1556"/>
        <v>1</v>
      </c>
      <c r="R1332" s="130">
        <f ca="1" t="shared" si="1556"/>
        <v>1</v>
      </c>
      <c r="S1332" s="130">
        <f ca="1" t="shared" si="1556"/>
        <v>1</v>
      </c>
      <c r="T1332" s="130">
        <f ca="1" t="shared" si="1556"/>
        <v>1</v>
      </c>
      <c r="U1332" s="130">
        <f ca="1" t="shared" si="1556"/>
        <v>1</v>
      </c>
      <c r="V1332" s="130">
        <f ca="1" t="shared" si="1556"/>
        <v>1</v>
      </c>
    </row>
    <row r="1333" s="106" customFormat="1" ht="16.5" spans="2:22">
      <c r="B1333" s="117">
        <v>97</v>
      </c>
      <c r="C1333" s="130">
        <f t="shared" si="1524"/>
        <v>9700</v>
      </c>
      <c r="D1333" s="130">
        <f ca="1" t="shared" ref="D1333:V1333" si="1557">IF($C1333&gt;D$633,1,0)</f>
        <v>1</v>
      </c>
      <c r="E1333" s="130">
        <f ca="1" t="shared" si="1557"/>
        <v>1</v>
      </c>
      <c r="F1333" s="130">
        <f ca="1" t="shared" si="1557"/>
        <v>1</v>
      </c>
      <c r="G1333" s="130">
        <f ca="1" t="shared" si="1557"/>
        <v>1</v>
      </c>
      <c r="H1333" s="130">
        <f ca="1" t="shared" si="1557"/>
        <v>1</v>
      </c>
      <c r="I1333" s="130">
        <f ca="1" t="shared" si="1557"/>
        <v>1</v>
      </c>
      <c r="J1333" s="130">
        <f ca="1" t="shared" si="1557"/>
        <v>1</v>
      </c>
      <c r="K1333" s="130">
        <f ca="1" t="shared" si="1557"/>
        <v>1</v>
      </c>
      <c r="L1333" s="130">
        <f ca="1" t="shared" si="1557"/>
        <v>1</v>
      </c>
      <c r="M1333" s="130">
        <f ca="1" t="shared" si="1557"/>
        <v>1</v>
      </c>
      <c r="N1333" s="130">
        <f ca="1" t="shared" si="1557"/>
        <v>1</v>
      </c>
      <c r="O1333" s="130">
        <f ca="1" t="shared" si="1557"/>
        <v>1</v>
      </c>
      <c r="P1333" s="130">
        <f ca="1" t="shared" si="1557"/>
        <v>1</v>
      </c>
      <c r="Q1333" s="130">
        <f ca="1" t="shared" si="1557"/>
        <v>1</v>
      </c>
      <c r="R1333" s="130">
        <f ca="1" t="shared" si="1557"/>
        <v>1</v>
      </c>
      <c r="S1333" s="130">
        <f ca="1" t="shared" si="1557"/>
        <v>1</v>
      </c>
      <c r="T1333" s="130">
        <f ca="1" t="shared" si="1557"/>
        <v>1</v>
      </c>
      <c r="U1333" s="130">
        <f ca="1" t="shared" si="1557"/>
        <v>1</v>
      </c>
      <c r="V1333" s="130">
        <f ca="1" t="shared" si="1557"/>
        <v>1</v>
      </c>
    </row>
    <row r="1334" s="106" customFormat="1" ht="16.5" spans="2:22">
      <c r="B1334" s="117">
        <v>98</v>
      </c>
      <c r="C1334" s="130">
        <f t="shared" si="1524"/>
        <v>9800</v>
      </c>
      <c r="D1334" s="130">
        <f ca="1" t="shared" ref="D1334:V1334" si="1558">IF($C1334&gt;D$633,1,0)</f>
        <v>1</v>
      </c>
      <c r="E1334" s="130">
        <f ca="1" t="shared" si="1558"/>
        <v>1</v>
      </c>
      <c r="F1334" s="130">
        <f ca="1" t="shared" si="1558"/>
        <v>1</v>
      </c>
      <c r="G1334" s="130">
        <f ca="1" t="shared" si="1558"/>
        <v>1</v>
      </c>
      <c r="H1334" s="130">
        <f ca="1" t="shared" si="1558"/>
        <v>1</v>
      </c>
      <c r="I1334" s="130">
        <f ca="1" t="shared" si="1558"/>
        <v>1</v>
      </c>
      <c r="J1334" s="130">
        <f ca="1" t="shared" si="1558"/>
        <v>1</v>
      </c>
      <c r="K1334" s="130">
        <f ca="1" t="shared" si="1558"/>
        <v>1</v>
      </c>
      <c r="L1334" s="130">
        <f ca="1" t="shared" si="1558"/>
        <v>1</v>
      </c>
      <c r="M1334" s="130">
        <f ca="1" t="shared" si="1558"/>
        <v>1</v>
      </c>
      <c r="N1334" s="130">
        <f ca="1" t="shared" si="1558"/>
        <v>1</v>
      </c>
      <c r="O1334" s="130">
        <f ca="1" t="shared" si="1558"/>
        <v>1</v>
      </c>
      <c r="P1334" s="130">
        <f ca="1" t="shared" si="1558"/>
        <v>1</v>
      </c>
      <c r="Q1334" s="130">
        <f ca="1" t="shared" si="1558"/>
        <v>1</v>
      </c>
      <c r="R1334" s="130">
        <f ca="1" t="shared" si="1558"/>
        <v>1</v>
      </c>
      <c r="S1334" s="130">
        <f ca="1" t="shared" si="1558"/>
        <v>1</v>
      </c>
      <c r="T1334" s="130">
        <f ca="1" t="shared" si="1558"/>
        <v>1</v>
      </c>
      <c r="U1334" s="130">
        <f ca="1" t="shared" si="1558"/>
        <v>1</v>
      </c>
      <c r="V1334" s="130">
        <f ca="1" t="shared" si="1558"/>
        <v>1</v>
      </c>
    </row>
    <row r="1335" s="106" customFormat="1" ht="16.5" spans="2:22">
      <c r="B1335" s="117">
        <v>99</v>
      </c>
      <c r="C1335" s="130">
        <f t="shared" si="1524"/>
        <v>9900</v>
      </c>
      <c r="D1335" s="130">
        <f ca="1" t="shared" ref="D1335:V1335" si="1559">IF($C1335&gt;D$633,1,0)</f>
        <v>1</v>
      </c>
      <c r="E1335" s="130">
        <f ca="1" t="shared" si="1559"/>
        <v>1</v>
      </c>
      <c r="F1335" s="130">
        <f ca="1" t="shared" si="1559"/>
        <v>1</v>
      </c>
      <c r="G1335" s="130">
        <f ca="1" t="shared" si="1559"/>
        <v>1</v>
      </c>
      <c r="H1335" s="130">
        <f ca="1" t="shared" si="1559"/>
        <v>1</v>
      </c>
      <c r="I1335" s="130">
        <f ca="1" t="shared" si="1559"/>
        <v>1</v>
      </c>
      <c r="J1335" s="130">
        <f ca="1" t="shared" si="1559"/>
        <v>1</v>
      </c>
      <c r="K1335" s="130">
        <f ca="1" t="shared" si="1559"/>
        <v>1</v>
      </c>
      <c r="L1335" s="130">
        <f ca="1" t="shared" si="1559"/>
        <v>1</v>
      </c>
      <c r="M1335" s="130">
        <f ca="1" t="shared" si="1559"/>
        <v>1</v>
      </c>
      <c r="N1335" s="130">
        <f ca="1" t="shared" si="1559"/>
        <v>1</v>
      </c>
      <c r="O1335" s="130">
        <f ca="1" t="shared" si="1559"/>
        <v>1</v>
      </c>
      <c r="P1335" s="130">
        <f ca="1" t="shared" si="1559"/>
        <v>1</v>
      </c>
      <c r="Q1335" s="130">
        <f ca="1" t="shared" si="1559"/>
        <v>1</v>
      </c>
      <c r="R1335" s="130">
        <f ca="1" t="shared" si="1559"/>
        <v>1</v>
      </c>
      <c r="S1335" s="130">
        <f ca="1" t="shared" si="1559"/>
        <v>1</v>
      </c>
      <c r="T1335" s="130">
        <f ca="1" t="shared" si="1559"/>
        <v>1</v>
      </c>
      <c r="U1335" s="130">
        <f ca="1" t="shared" si="1559"/>
        <v>1</v>
      </c>
      <c r="V1335" s="130">
        <f ca="1" t="shared" si="1559"/>
        <v>1</v>
      </c>
    </row>
    <row r="1336" s="106" customFormat="1" ht="16.5" spans="2:22">
      <c r="B1336" s="117">
        <v>100</v>
      </c>
      <c r="C1336" s="130">
        <f t="shared" si="1524"/>
        <v>10000</v>
      </c>
      <c r="D1336" s="130">
        <f ca="1" t="shared" ref="D1336:V1336" si="1560">IF($C1336&gt;D$633,1,0)</f>
        <v>1</v>
      </c>
      <c r="E1336" s="130">
        <f ca="1" t="shared" si="1560"/>
        <v>1</v>
      </c>
      <c r="F1336" s="130">
        <f ca="1" t="shared" si="1560"/>
        <v>1</v>
      </c>
      <c r="G1336" s="130">
        <f ca="1" t="shared" si="1560"/>
        <v>1</v>
      </c>
      <c r="H1336" s="130">
        <f ca="1" t="shared" si="1560"/>
        <v>1</v>
      </c>
      <c r="I1336" s="130">
        <f ca="1" t="shared" si="1560"/>
        <v>1</v>
      </c>
      <c r="J1336" s="130">
        <f ca="1" t="shared" si="1560"/>
        <v>1</v>
      </c>
      <c r="K1336" s="130">
        <f ca="1" t="shared" si="1560"/>
        <v>1</v>
      </c>
      <c r="L1336" s="130">
        <f ca="1" t="shared" si="1560"/>
        <v>1</v>
      </c>
      <c r="M1336" s="130">
        <f ca="1" t="shared" si="1560"/>
        <v>1</v>
      </c>
      <c r="N1336" s="130">
        <f ca="1" t="shared" si="1560"/>
        <v>1</v>
      </c>
      <c r="O1336" s="130">
        <f ca="1" t="shared" si="1560"/>
        <v>1</v>
      </c>
      <c r="P1336" s="130">
        <f ca="1" t="shared" si="1560"/>
        <v>1</v>
      </c>
      <c r="Q1336" s="130">
        <f ca="1" t="shared" si="1560"/>
        <v>1</v>
      </c>
      <c r="R1336" s="130">
        <f ca="1" t="shared" si="1560"/>
        <v>1</v>
      </c>
      <c r="S1336" s="130">
        <f ca="1" t="shared" si="1560"/>
        <v>1</v>
      </c>
      <c r="T1336" s="130">
        <f ca="1" t="shared" si="1560"/>
        <v>1</v>
      </c>
      <c r="U1336" s="130">
        <f ca="1" t="shared" si="1560"/>
        <v>1</v>
      </c>
      <c r="V1336" s="130">
        <f ca="1" t="shared" si="1560"/>
        <v>1</v>
      </c>
    </row>
    <row r="1337" s="106" customFormat="1" ht="16.5" spans="2:22">
      <c r="B1337" s="117">
        <v>101</v>
      </c>
      <c r="C1337" s="130">
        <f t="shared" si="1524"/>
        <v>10100</v>
      </c>
      <c r="D1337" s="130">
        <f ca="1" t="shared" ref="D1337:V1337" si="1561">IF($C1337&gt;D$633,1,0)</f>
        <v>1</v>
      </c>
      <c r="E1337" s="130">
        <f ca="1" t="shared" si="1561"/>
        <v>1</v>
      </c>
      <c r="F1337" s="130">
        <f ca="1" t="shared" si="1561"/>
        <v>1</v>
      </c>
      <c r="G1337" s="130">
        <f ca="1" t="shared" si="1561"/>
        <v>1</v>
      </c>
      <c r="H1337" s="130">
        <f ca="1" t="shared" si="1561"/>
        <v>1</v>
      </c>
      <c r="I1337" s="130">
        <f ca="1" t="shared" si="1561"/>
        <v>1</v>
      </c>
      <c r="J1337" s="130">
        <f ca="1" t="shared" si="1561"/>
        <v>1</v>
      </c>
      <c r="K1337" s="130">
        <f ca="1" t="shared" si="1561"/>
        <v>1</v>
      </c>
      <c r="L1337" s="130">
        <f ca="1" t="shared" si="1561"/>
        <v>1</v>
      </c>
      <c r="M1337" s="130">
        <f ca="1" t="shared" si="1561"/>
        <v>1</v>
      </c>
      <c r="N1337" s="130">
        <f ca="1" t="shared" si="1561"/>
        <v>1</v>
      </c>
      <c r="O1337" s="130">
        <f ca="1" t="shared" si="1561"/>
        <v>1</v>
      </c>
      <c r="P1337" s="130">
        <f ca="1" t="shared" si="1561"/>
        <v>1</v>
      </c>
      <c r="Q1337" s="130">
        <f ca="1" t="shared" si="1561"/>
        <v>1</v>
      </c>
      <c r="R1337" s="130">
        <f ca="1" t="shared" si="1561"/>
        <v>1</v>
      </c>
      <c r="S1337" s="130">
        <f ca="1" t="shared" si="1561"/>
        <v>1</v>
      </c>
      <c r="T1337" s="130">
        <f ca="1" t="shared" si="1561"/>
        <v>1</v>
      </c>
      <c r="U1337" s="130">
        <f ca="1" t="shared" si="1561"/>
        <v>1</v>
      </c>
      <c r="V1337" s="130">
        <f ca="1" t="shared" si="1561"/>
        <v>1</v>
      </c>
    </row>
    <row r="1338" s="106" customFormat="1" ht="16.5" spans="2:22">
      <c r="B1338" s="117">
        <v>102</v>
      </c>
      <c r="C1338" s="130">
        <f t="shared" si="1524"/>
        <v>10200</v>
      </c>
      <c r="D1338" s="130">
        <f ca="1" t="shared" ref="D1338:V1338" si="1562">IF($C1338&gt;D$633,1,0)</f>
        <v>1</v>
      </c>
      <c r="E1338" s="130">
        <f ca="1" t="shared" si="1562"/>
        <v>1</v>
      </c>
      <c r="F1338" s="130">
        <f ca="1" t="shared" si="1562"/>
        <v>1</v>
      </c>
      <c r="G1338" s="130">
        <f ca="1" t="shared" si="1562"/>
        <v>1</v>
      </c>
      <c r="H1338" s="130">
        <f ca="1" t="shared" si="1562"/>
        <v>1</v>
      </c>
      <c r="I1338" s="130">
        <f ca="1" t="shared" si="1562"/>
        <v>1</v>
      </c>
      <c r="J1338" s="130">
        <f ca="1" t="shared" si="1562"/>
        <v>1</v>
      </c>
      <c r="K1338" s="130">
        <f ca="1" t="shared" si="1562"/>
        <v>1</v>
      </c>
      <c r="L1338" s="130">
        <f ca="1" t="shared" si="1562"/>
        <v>1</v>
      </c>
      <c r="M1338" s="130">
        <f ca="1" t="shared" si="1562"/>
        <v>1</v>
      </c>
      <c r="N1338" s="130">
        <f ca="1" t="shared" si="1562"/>
        <v>1</v>
      </c>
      <c r="O1338" s="130">
        <f ca="1" t="shared" si="1562"/>
        <v>1</v>
      </c>
      <c r="P1338" s="130">
        <f ca="1" t="shared" si="1562"/>
        <v>1</v>
      </c>
      <c r="Q1338" s="130">
        <f ca="1" t="shared" si="1562"/>
        <v>1</v>
      </c>
      <c r="R1338" s="130">
        <f ca="1" t="shared" si="1562"/>
        <v>1</v>
      </c>
      <c r="S1338" s="130">
        <f ca="1" t="shared" si="1562"/>
        <v>1</v>
      </c>
      <c r="T1338" s="130">
        <f ca="1" t="shared" si="1562"/>
        <v>1</v>
      </c>
      <c r="U1338" s="130">
        <f ca="1" t="shared" si="1562"/>
        <v>1</v>
      </c>
      <c r="V1338" s="130">
        <f ca="1" t="shared" si="1562"/>
        <v>1</v>
      </c>
    </row>
    <row r="1339" s="106" customFormat="1" ht="16.5" spans="2:22">
      <c r="B1339" s="117">
        <v>103</v>
      </c>
      <c r="C1339" s="130">
        <f t="shared" si="1524"/>
        <v>10300</v>
      </c>
      <c r="D1339" s="130">
        <f ca="1" t="shared" ref="D1339:V1339" si="1563">IF($C1339&gt;D$633,1,0)</f>
        <v>1</v>
      </c>
      <c r="E1339" s="130">
        <f ca="1" t="shared" si="1563"/>
        <v>1</v>
      </c>
      <c r="F1339" s="130">
        <f ca="1" t="shared" si="1563"/>
        <v>1</v>
      </c>
      <c r="G1339" s="130">
        <f ca="1" t="shared" si="1563"/>
        <v>1</v>
      </c>
      <c r="H1339" s="130">
        <f ca="1" t="shared" si="1563"/>
        <v>1</v>
      </c>
      <c r="I1339" s="130">
        <f ca="1" t="shared" si="1563"/>
        <v>1</v>
      </c>
      <c r="J1339" s="130">
        <f ca="1" t="shared" si="1563"/>
        <v>1</v>
      </c>
      <c r="K1339" s="130">
        <f ca="1" t="shared" si="1563"/>
        <v>1</v>
      </c>
      <c r="L1339" s="130">
        <f ca="1" t="shared" si="1563"/>
        <v>1</v>
      </c>
      <c r="M1339" s="130">
        <f ca="1" t="shared" si="1563"/>
        <v>1</v>
      </c>
      <c r="N1339" s="130">
        <f ca="1" t="shared" si="1563"/>
        <v>1</v>
      </c>
      <c r="O1339" s="130">
        <f ca="1" t="shared" si="1563"/>
        <v>1</v>
      </c>
      <c r="P1339" s="130">
        <f ca="1" t="shared" si="1563"/>
        <v>1</v>
      </c>
      <c r="Q1339" s="130">
        <f ca="1" t="shared" si="1563"/>
        <v>1</v>
      </c>
      <c r="R1339" s="130">
        <f ca="1" t="shared" si="1563"/>
        <v>1</v>
      </c>
      <c r="S1339" s="130">
        <f ca="1" t="shared" si="1563"/>
        <v>1</v>
      </c>
      <c r="T1339" s="130">
        <f ca="1" t="shared" si="1563"/>
        <v>1</v>
      </c>
      <c r="U1339" s="130">
        <f ca="1" t="shared" si="1563"/>
        <v>1</v>
      </c>
      <c r="V1339" s="130">
        <f ca="1" t="shared" si="1563"/>
        <v>1</v>
      </c>
    </row>
    <row r="1340" s="106" customFormat="1" ht="16.5" spans="2:22">
      <c r="B1340" s="117">
        <v>104</v>
      </c>
      <c r="C1340" s="130">
        <f t="shared" si="1524"/>
        <v>10400</v>
      </c>
      <c r="D1340" s="130">
        <f ca="1" t="shared" ref="D1340:V1340" si="1564">IF($C1340&gt;D$633,1,0)</f>
        <v>1</v>
      </c>
      <c r="E1340" s="130">
        <f ca="1" t="shared" si="1564"/>
        <v>1</v>
      </c>
      <c r="F1340" s="130">
        <f ca="1" t="shared" si="1564"/>
        <v>1</v>
      </c>
      <c r="G1340" s="130">
        <f ca="1" t="shared" si="1564"/>
        <v>1</v>
      </c>
      <c r="H1340" s="130">
        <f ca="1" t="shared" si="1564"/>
        <v>1</v>
      </c>
      <c r="I1340" s="130">
        <f ca="1" t="shared" si="1564"/>
        <v>1</v>
      </c>
      <c r="J1340" s="130">
        <f ca="1" t="shared" si="1564"/>
        <v>1</v>
      </c>
      <c r="K1340" s="130">
        <f ca="1" t="shared" si="1564"/>
        <v>1</v>
      </c>
      <c r="L1340" s="130">
        <f ca="1" t="shared" si="1564"/>
        <v>1</v>
      </c>
      <c r="M1340" s="130">
        <f ca="1" t="shared" si="1564"/>
        <v>1</v>
      </c>
      <c r="N1340" s="130">
        <f ca="1" t="shared" si="1564"/>
        <v>1</v>
      </c>
      <c r="O1340" s="130">
        <f ca="1" t="shared" si="1564"/>
        <v>1</v>
      </c>
      <c r="P1340" s="130">
        <f ca="1" t="shared" si="1564"/>
        <v>1</v>
      </c>
      <c r="Q1340" s="130">
        <f ca="1" t="shared" si="1564"/>
        <v>1</v>
      </c>
      <c r="R1340" s="130">
        <f ca="1" t="shared" si="1564"/>
        <v>1</v>
      </c>
      <c r="S1340" s="130">
        <f ca="1" t="shared" si="1564"/>
        <v>1</v>
      </c>
      <c r="T1340" s="130">
        <f ca="1" t="shared" si="1564"/>
        <v>1</v>
      </c>
      <c r="U1340" s="130">
        <f ca="1" t="shared" si="1564"/>
        <v>1</v>
      </c>
      <c r="V1340" s="130">
        <f ca="1" t="shared" si="1564"/>
        <v>1</v>
      </c>
    </row>
    <row r="1341" s="106" customFormat="1" ht="16.5" spans="2:22">
      <c r="B1341" s="117">
        <v>105</v>
      </c>
      <c r="C1341" s="130">
        <f t="shared" si="1524"/>
        <v>10500</v>
      </c>
      <c r="D1341" s="130">
        <f ca="1" t="shared" ref="D1341:V1341" si="1565">IF($C1341&gt;D$633,1,0)</f>
        <v>1</v>
      </c>
      <c r="E1341" s="130">
        <f ca="1" t="shared" si="1565"/>
        <v>1</v>
      </c>
      <c r="F1341" s="130">
        <f ca="1" t="shared" si="1565"/>
        <v>1</v>
      </c>
      <c r="G1341" s="130">
        <f ca="1" t="shared" si="1565"/>
        <v>1</v>
      </c>
      <c r="H1341" s="130">
        <f ca="1" t="shared" si="1565"/>
        <v>1</v>
      </c>
      <c r="I1341" s="130">
        <f ca="1" t="shared" si="1565"/>
        <v>1</v>
      </c>
      <c r="J1341" s="130">
        <f ca="1" t="shared" si="1565"/>
        <v>1</v>
      </c>
      <c r="K1341" s="130">
        <f ca="1" t="shared" si="1565"/>
        <v>1</v>
      </c>
      <c r="L1341" s="130">
        <f ca="1" t="shared" si="1565"/>
        <v>1</v>
      </c>
      <c r="M1341" s="130">
        <f ca="1" t="shared" si="1565"/>
        <v>1</v>
      </c>
      <c r="N1341" s="130">
        <f ca="1" t="shared" si="1565"/>
        <v>1</v>
      </c>
      <c r="O1341" s="130">
        <f ca="1" t="shared" si="1565"/>
        <v>1</v>
      </c>
      <c r="P1341" s="130">
        <f ca="1" t="shared" si="1565"/>
        <v>1</v>
      </c>
      <c r="Q1341" s="130">
        <f ca="1" t="shared" si="1565"/>
        <v>1</v>
      </c>
      <c r="R1341" s="130">
        <f ca="1" t="shared" si="1565"/>
        <v>1</v>
      </c>
      <c r="S1341" s="130">
        <f ca="1" t="shared" si="1565"/>
        <v>1</v>
      </c>
      <c r="T1341" s="130">
        <f ca="1" t="shared" si="1565"/>
        <v>1</v>
      </c>
      <c r="U1341" s="130">
        <f ca="1" t="shared" si="1565"/>
        <v>1</v>
      </c>
      <c r="V1341" s="130">
        <f ca="1" t="shared" si="1565"/>
        <v>1</v>
      </c>
    </row>
    <row r="1342" s="106" customFormat="1" ht="16.5" spans="2:22">
      <c r="B1342" s="117">
        <v>106</v>
      </c>
      <c r="C1342" s="130">
        <f t="shared" si="1524"/>
        <v>10600</v>
      </c>
      <c r="D1342" s="130">
        <f ca="1" t="shared" ref="D1342:V1342" si="1566">IF($C1342&gt;D$633,1,0)</f>
        <v>1</v>
      </c>
      <c r="E1342" s="130">
        <f ca="1" t="shared" si="1566"/>
        <v>1</v>
      </c>
      <c r="F1342" s="130">
        <f ca="1" t="shared" si="1566"/>
        <v>1</v>
      </c>
      <c r="G1342" s="130">
        <f ca="1" t="shared" si="1566"/>
        <v>1</v>
      </c>
      <c r="H1342" s="130">
        <f ca="1" t="shared" si="1566"/>
        <v>1</v>
      </c>
      <c r="I1342" s="130">
        <f ca="1" t="shared" si="1566"/>
        <v>1</v>
      </c>
      <c r="J1342" s="130">
        <f ca="1" t="shared" si="1566"/>
        <v>1</v>
      </c>
      <c r="K1342" s="130">
        <f ca="1" t="shared" si="1566"/>
        <v>1</v>
      </c>
      <c r="L1342" s="130">
        <f ca="1" t="shared" si="1566"/>
        <v>1</v>
      </c>
      <c r="M1342" s="130">
        <f ca="1" t="shared" si="1566"/>
        <v>1</v>
      </c>
      <c r="N1342" s="130">
        <f ca="1" t="shared" si="1566"/>
        <v>1</v>
      </c>
      <c r="O1342" s="130">
        <f ca="1" t="shared" si="1566"/>
        <v>1</v>
      </c>
      <c r="P1342" s="130">
        <f ca="1" t="shared" si="1566"/>
        <v>1</v>
      </c>
      <c r="Q1342" s="130">
        <f ca="1" t="shared" si="1566"/>
        <v>1</v>
      </c>
      <c r="R1342" s="130">
        <f ca="1" t="shared" si="1566"/>
        <v>1</v>
      </c>
      <c r="S1342" s="130">
        <f ca="1" t="shared" si="1566"/>
        <v>1</v>
      </c>
      <c r="T1342" s="130">
        <f ca="1" t="shared" si="1566"/>
        <v>1</v>
      </c>
      <c r="U1342" s="130">
        <f ca="1" t="shared" si="1566"/>
        <v>1</v>
      </c>
      <c r="V1342" s="130">
        <f ca="1" t="shared" si="1566"/>
        <v>1</v>
      </c>
    </row>
    <row r="1343" s="106" customFormat="1" ht="16.5" spans="2:22">
      <c r="B1343" s="117">
        <v>107</v>
      </c>
      <c r="C1343" s="130">
        <f t="shared" si="1524"/>
        <v>10700</v>
      </c>
      <c r="D1343" s="130">
        <f ca="1" t="shared" ref="D1343:V1343" si="1567">IF($C1343&gt;D$633,1,0)</f>
        <v>1</v>
      </c>
      <c r="E1343" s="130">
        <f ca="1" t="shared" si="1567"/>
        <v>1</v>
      </c>
      <c r="F1343" s="130">
        <f ca="1" t="shared" si="1567"/>
        <v>1</v>
      </c>
      <c r="G1343" s="130">
        <f ca="1" t="shared" si="1567"/>
        <v>1</v>
      </c>
      <c r="H1343" s="130">
        <f ca="1" t="shared" si="1567"/>
        <v>1</v>
      </c>
      <c r="I1343" s="130">
        <f ca="1" t="shared" si="1567"/>
        <v>1</v>
      </c>
      <c r="J1343" s="130">
        <f ca="1" t="shared" si="1567"/>
        <v>1</v>
      </c>
      <c r="K1343" s="130">
        <f ca="1" t="shared" si="1567"/>
        <v>1</v>
      </c>
      <c r="L1343" s="130">
        <f ca="1" t="shared" si="1567"/>
        <v>1</v>
      </c>
      <c r="M1343" s="130">
        <f ca="1" t="shared" si="1567"/>
        <v>1</v>
      </c>
      <c r="N1343" s="130">
        <f ca="1" t="shared" si="1567"/>
        <v>1</v>
      </c>
      <c r="O1343" s="130">
        <f ca="1" t="shared" si="1567"/>
        <v>1</v>
      </c>
      <c r="P1343" s="130">
        <f ca="1" t="shared" si="1567"/>
        <v>1</v>
      </c>
      <c r="Q1343" s="130">
        <f ca="1" t="shared" si="1567"/>
        <v>1</v>
      </c>
      <c r="R1343" s="130">
        <f ca="1" t="shared" si="1567"/>
        <v>1</v>
      </c>
      <c r="S1343" s="130">
        <f ca="1" t="shared" si="1567"/>
        <v>1</v>
      </c>
      <c r="T1343" s="130">
        <f ca="1" t="shared" si="1567"/>
        <v>1</v>
      </c>
      <c r="U1343" s="130">
        <f ca="1" t="shared" si="1567"/>
        <v>1</v>
      </c>
      <c r="V1343" s="130">
        <f ca="1" t="shared" si="1567"/>
        <v>1</v>
      </c>
    </row>
    <row r="1344" s="106" customFormat="1" ht="16.5" spans="2:22">
      <c r="B1344" s="117">
        <v>108</v>
      </c>
      <c r="C1344" s="130">
        <f t="shared" si="1524"/>
        <v>10800</v>
      </c>
      <c r="D1344" s="130">
        <f ca="1" t="shared" ref="D1344:V1344" si="1568">IF($C1344&gt;D$633,1,0)</f>
        <v>1</v>
      </c>
      <c r="E1344" s="130">
        <f ca="1" t="shared" si="1568"/>
        <v>1</v>
      </c>
      <c r="F1344" s="130">
        <f ca="1" t="shared" si="1568"/>
        <v>1</v>
      </c>
      <c r="G1344" s="130">
        <f ca="1" t="shared" si="1568"/>
        <v>1</v>
      </c>
      <c r="H1344" s="130">
        <f ca="1" t="shared" si="1568"/>
        <v>1</v>
      </c>
      <c r="I1344" s="130">
        <f ca="1" t="shared" si="1568"/>
        <v>1</v>
      </c>
      <c r="J1344" s="130">
        <f ca="1" t="shared" si="1568"/>
        <v>1</v>
      </c>
      <c r="K1344" s="130">
        <f ca="1" t="shared" si="1568"/>
        <v>1</v>
      </c>
      <c r="L1344" s="130">
        <f ca="1" t="shared" si="1568"/>
        <v>1</v>
      </c>
      <c r="M1344" s="130">
        <f ca="1" t="shared" si="1568"/>
        <v>1</v>
      </c>
      <c r="N1344" s="130">
        <f ca="1" t="shared" si="1568"/>
        <v>1</v>
      </c>
      <c r="O1344" s="130">
        <f ca="1" t="shared" si="1568"/>
        <v>1</v>
      </c>
      <c r="P1344" s="130">
        <f ca="1" t="shared" si="1568"/>
        <v>1</v>
      </c>
      <c r="Q1344" s="130">
        <f ca="1" t="shared" si="1568"/>
        <v>1</v>
      </c>
      <c r="R1344" s="130">
        <f ca="1" t="shared" si="1568"/>
        <v>1</v>
      </c>
      <c r="S1344" s="130">
        <f ca="1" t="shared" si="1568"/>
        <v>1</v>
      </c>
      <c r="T1344" s="130">
        <f ca="1" t="shared" si="1568"/>
        <v>1</v>
      </c>
      <c r="U1344" s="130">
        <f ca="1" t="shared" si="1568"/>
        <v>1</v>
      </c>
      <c r="V1344" s="130">
        <f ca="1" t="shared" si="1568"/>
        <v>1</v>
      </c>
    </row>
    <row r="1345" s="106" customFormat="1" ht="16.5" spans="2:22">
      <c r="B1345" s="117">
        <v>109</v>
      </c>
      <c r="C1345" s="130">
        <f t="shared" si="1524"/>
        <v>10900</v>
      </c>
      <c r="D1345" s="130">
        <f ca="1" t="shared" ref="D1345:V1345" si="1569">IF($C1345&gt;D$633,1,0)</f>
        <v>1</v>
      </c>
      <c r="E1345" s="130">
        <f ca="1" t="shared" si="1569"/>
        <v>1</v>
      </c>
      <c r="F1345" s="130">
        <f ca="1" t="shared" si="1569"/>
        <v>1</v>
      </c>
      <c r="G1345" s="130">
        <f ca="1" t="shared" si="1569"/>
        <v>1</v>
      </c>
      <c r="H1345" s="130">
        <f ca="1" t="shared" si="1569"/>
        <v>1</v>
      </c>
      <c r="I1345" s="130">
        <f ca="1" t="shared" si="1569"/>
        <v>1</v>
      </c>
      <c r="J1345" s="130">
        <f ca="1" t="shared" si="1569"/>
        <v>1</v>
      </c>
      <c r="K1345" s="130">
        <f ca="1" t="shared" si="1569"/>
        <v>1</v>
      </c>
      <c r="L1345" s="130">
        <f ca="1" t="shared" si="1569"/>
        <v>1</v>
      </c>
      <c r="M1345" s="130">
        <f ca="1" t="shared" si="1569"/>
        <v>1</v>
      </c>
      <c r="N1345" s="130">
        <f ca="1" t="shared" si="1569"/>
        <v>1</v>
      </c>
      <c r="O1345" s="130">
        <f ca="1" t="shared" si="1569"/>
        <v>1</v>
      </c>
      <c r="P1345" s="130">
        <f ca="1" t="shared" si="1569"/>
        <v>1</v>
      </c>
      <c r="Q1345" s="130">
        <f ca="1" t="shared" si="1569"/>
        <v>1</v>
      </c>
      <c r="R1345" s="130">
        <f ca="1" t="shared" si="1569"/>
        <v>1</v>
      </c>
      <c r="S1345" s="130">
        <f ca="1" t="shared" si="1569"/>
        <v>1</v>
      </c>
      <c r="T1345" s="130">
        <f ca="1" t="shared" si="1569"/>
        <v>1</v>
      </c>
      <c r="U1345" s="130">
        <f ca="1" t="shared" si="1569"/>
        <v>1</v>
      </c>
      <c r="V1345" s="130">
        <f ca="1" t="shared" si="1569"/>
        <v>1</v>
      </c>
    </row>
    <row r="1346" s="106" customFormat="1" ht="16.5" spans="2:22">
      <c r="B1346" s="117">
        <v>110</v>
      </c>
      <c r="C1346" s="130">
        <f t="shared" si="1524"/>
        <v>11000</v>
      </c>
      <c r="D1346" s="130">
        <f ca="1" t="shared" ref="D1346:V1346" si="1570">IF($C1346&gt;D$633,1,0)</f>
        <v>1</v>
      </c>
      <c r="E1346" s="130">
        <f ca="1" t="shared" si="1570"/>
        <v>1</v>
      </c>
      <c r="F1346" s="130">
        <f ca="1" t="shared" si="1570"/>
        <v>1</v>
      </c>
      <c r="G1346" s="130">
        <f ca="1" t="shared" si="1570"/>
        <v>1</v>
      </c>
      <c r="H1346" s="130">
        <f ca="1" t="shared" si="1570"/>
        <v>1</v>
      </c>
      <c r="I1346" s="130">
        <f ca="1" t="shared" si="1570"/>
        <v>1</v>
      </c>
      <c r="J1346" s="130">
        <f ca="1" t="shared" si="1570"/>
        <v>1</v>
      </c>
      <c r="K1346" s="130">
        <f ca="1" t="shared" si="1570"/>
        <v>1</v>
      </c>
      <c r="L1346" s="130">
        <f ca="1" t="shared" si="1570"/>
        <v>1</v>
      </c>
      <c r="M1346" s="130">
        <f ca="1" t="shared" si="1570"/>
        <v>1</v>
      </c>
      <c r="N1346" s="130">
        <f ca="1" t="shared" si="1570"/>
        <v>1</v>
      </c>
      <c r="O1346" s="130">
        <f ca="1" t="shared" si="1570"/>
        <v>1</v>
      </c>
      <c r="P1346" s="130">
        <f ca="1" t="shared" si="1570"/>
        <v>1</v>
      </c>
      <c r="Q1346" s="130">
        <f ca="1" t="shared" si="1570"/>
        <v>1</v>
      </c>
      <c r="R1346" s="130">
        <f ca="1" t="shared" si="1570"/>
        <v>1</v>
      </c>
      <c r="S1346" s="130">
        <f ca="1" t="shared" si="1570"/>
        <v>1</v>
      </c>
      <c r="T1346" s="130">
        <f ca="1" t="shared" si="1570"/>
        <v>1</v>
      </c>
      <c r="U1346" s="130">
        <f ca="1" t="shared" si="1570"/>
        <v>1</v>
      </c>
      <c r="V1346" s="130">
        <f ca="1" t="shared" si="1570"/>
        <v>1</v>
      </c>
    </row>
    <row r="1347" s="106" customFormat="1" ht="16.5" spans="2:22">
      <c r="B1347" s="117">
        <v>111</v>
      </c>
      <c r="C1347" s="130">
        <f t="shared" si="1524"/>
        <v>11100</v>
      </c>
      <c r="D1347" s="130">
        <f ca="1" t="shared" ref="D1347:V1347" si="1571">IF($C1347&gt;D$633,1,0)</f>
        <v>1</v>
      </c>
      <c r="E1347" s="130">
        <f ca="1" t="shared" si="1571"/>
        <v>1</v>
      </c>
      <c r="F1347" s="130">
        <f ca="1" t="shared" si="1571"/>
        <v>1</v>
      </c>
      <c r="G1347" s="130">
        <f ca="1" t="shared" si="1571"/>
        <v>1</v>
      </c>
      <c r="H1347" s="130">
        <f ca="1" t="shared" si="1571"/>
        <v>1</v>
      </c>
      <c r="I1347" s="130">
        <f ca="1" t="shared" si="1571"/>
        <v>1</v>
      </c>
      <c r="J1347" s="130">
        <f ca="1" t="shared" si="1571"/>
        <v>1</v>
      </c>
      <c r="K1347" s="130">
        <f ca="1" t="shared" si="1571"/>
        <v>1</v>
      </c>
      <c r="L1347" s="130">
        <f ca="1" t="shared" si="1571"/>
        <v>1</v>
      </c>
      <c r="M1347" s="130">
        <f ca="1" t="shared" si="1571"/>
        <v>1</v>
      </c>
      <c r="N1347" s="130">
        <f ca="1" t="shared" si="1571"/>
        <v>1</v>
      </c>
      <c r="O1347" s="130">
        <f ca="1" t="shared" si="1571"/>
        <v>1</v>
      </c>
      <c r="P1347" s="130">
        <f ca="1" t="shared" si="1571"/>
        <v>1</v>
      </c>
      <c r="Q1347" s="130">
        <f ca="1" t="shared" si="1571"/>
        <v>1</v>
      </c>
      <c r="R1347" s="130">
        <f ca="1" t="shared" si="1571"/>
        <v>1</v>
      </c>
      <c r="S1347" s="130">
        <f ca="1" t="shared" si="1571"/>
        <v>1</v>
      </c>
      <c r="T1347" s="130">
        <f ca="1" t="shared" si="1571"/>
        <v>1</v>
      </c>
      <c r="U1347" s="130">
        <f ca="1" t="shared" si="1571"/>
        <v>1</v>
      </c>
      <c r="V1347" s="130">
        <f ca="1" t="shared" si="1571"/>
        <v>1</v>
      </c>
    </row>
    <row r="1348" s="106" customFormat="1" ht="16.5" spans="2:22">
      <c r="B1348" s="117">
        <v>112</v>
      </c>
      <c r="C1348" s="130">
        <f t="shared" si="1524"/>
        <v>11200</v>
      </c>
      <c r="D1348" s="130">
        <f ca="1" t="shared" ref="D1348:V1348" si="1572">IF($C1348&gt;D$633,1,0)</f>
        <v>1</v>
      </c>
      <c r="E1348" s="130">
        <f ca="1" t="shared" si="1572"/>
        <v>1</v>
      </c>
      <c r="F1348" s="130">
        <f ca="1" t="shared" si="1572"/>
        <v>1</v>
      </c>
      <c r="G1348" s="130">
        <f ca="1" t="shared" si="1572"/>
        <v>1</v>
      </c>
      <c r="H1348" s="130">
        <f ca="1" t="shared" si="1572"/>
        <v>1</v>
      </c>
      <c r="I1348" s="130">
        <f ca="1" t="shared" si="1572"/>
        <v>1</v>
      </c>
      <c r="J1348" s="130">
        <f ca="1" t="shared" si="1572"/>
        <v>1</v>
      </c>
      <c r="K1348" s="130">
        <f ca="1" t="shared" si="1572"/>
        <v>1</v>
      </c>
      <c r="L1348" s="130">
        <f ca="1" t="shared" si="1572"/>
        <v>1</v>
      </c>
      <c r="M1348" s="130">
        <f ca="1" t="shared" si="1572"/>
        <v>1</v>
      </c>
      <c r="N1348" s="130">
        <f ca="1" t="shared" si="1572"/>
        <v>1</v>
      </c>
      <c r="O1348" s="130">
        <f ca="1" t="shared" si="1572"/>
        <v>1</v>
      </c>
      <c r="P1348" s="130">
        <f ca="1" t="shared" si="1572"/>
        <v>1</v>
      </c>
      <c r="Q1348" s="130">
        <f ca="1" t="shared" si="1572"/>
        <v>1</v>
      </c>
      <c r="R1348" s="130">
        <f ca="1" t="shared" si="1572"/>
        <v>1</v>
      </c>
      <c r="S1348" s="130">
        <f ca="1" t="shared" si="1572"/>
        <v>1</v>
      </c>
      <c r="T1348" s="130">
        <f ca="1" t="shared" si="1572"/>
        <v>1</v>
      </c>
      <c r="U1348" s="130">
        <f ca="1" t="shared" si="1572"/>
        <v>1</v>
      </c>
      <c r="V1348" s="130">
        <f ca="1" t="shared" si="1572"/>
        <v>1</v>
      </c>
    </row>
    <row r="1349" s="106" customFormat="1" ht="16.5" spans="2:22">
      <c r="B1349" s="117">
        <v>113</v>
      </c>
      <c r="C1349" s="130">
        <f t="shared" si="1524"/>
        <v>11300</v>
      </c>
      <c r="D1349" s="130">
        <f ca="1" t="shared" ref="D1349:V1349" si="1573">IF($C1349&gt;D$633,1,0)</f>
        <v>1</v>
      </c>
      <c r="E1349" s="130">
        <f ca="1" t="shared" si="1573"/>
        <v>1</v>
      </c>
      <c r="F1349" s="130">
        <f ca="1" t="shared" si="1573"/>
        <v>1</v>
      </c>
      <c r="G1349" s="130">
        <f ca="1" t="shared" si="1573"/>
        <v>1</v>
      </c>
      <c r="H1349" s="130">
        <f ca="1" t="shared" si="1573"/>
        <v>1</v>
      </c>
      <c r="I1349" s="130">
        <f ca="1" t="shared" si="1573"/>
        <v>1</v>
      </c>
      <c r="J1349" s="130">
        <f ca="1" t="shared" si="1573"/>
        <v>1</v>
      </c>
      <c r="K1349" s="130">
        <f ca="1" t="shared" si="1573"/>
        <v>1</v>
      </c>
      <c r="L1349" s="130">
        <f ca="1" t="shared" si="1573"/>
        <v>1</v>
      </c>
      <c r="M1349" s="130">
        <f ca="1" t="shared" si="1573"/>
        <v>1</v>
      </c>
      <c r="N1349" s="130">
        <f ca="1" t="shared" si="1573"/>
        <v>1</v>
      </c>
      <c r="O1349" s="130">
        <f ca="1" t="shared" si="1573"/>
        <v>1</v>
      </c>
      <c r="P1349" s="130">
        <f ca="1" t="shared" si="1573"/>
        <v>1</v>
      </c>
      <c r="Q1349" s="130">
        <f ca="1" t="shared" si="1573"/>
        <v>1</v>
      </c>
      <c r="R1349" s="130">
        <f ca="1" t="shared" si="1573"/>
        <v>1</v>
      </c>
      <c r="S1349" s="130">
        <f ca="1" t="shared" si="1573"/>
        <v>1</v>
      </c>
      <c r="T1349" s="130">
        <f ca="1" t="shared" si="1573"/>
        <v>1</v>
      </c>
      <c r="U1349" s="130">
        <f ca="1" t="shared" si="1573"/>
        <v>1</v>
      </c>
      <c r="V1349" s="130">
        <f ca="1" t="shared" si="1573"/>
        <v>1</v>
      </c>
    </row>
    <row r="1350" s="106" customFormat="1" ht="16.5" spans="2:22">
      <c r="B1350" s="117">
        <v>114</v>
      </c>
      <c r="C1350" s="130">
        <f t="shared" si="1524"/>
        <v>11400</v>
      </c>
      <c r="D1350" s="130">
        <f ca="1" t="shared" ref="D1350:V1350" si="1574">IF($C1350&gt;D$633,1,0)</f>
        <v>1</v>
      </c>
      <c r="E1350" s="130">
        <f ca="1" t="shared" si="1574"/>
        <v>1</v>
      </c>
      <c r="F1350" s="130">
        <f ca="1" t="shared" si="1574"/>
        <v>1</v>
      </c>
      <c r="G1350" s="130">
        <f ca="1" t="shared" si="1574"/>
        <v>1</v>
      </c>
      <c r="H1350" s="130">
        <f ca="1" t="shared" si="1574"/>
        <v>1</v>
      </c>
      <c r="I1350" s="130">
        <f ca="1" t="shared" si="1574"/>
        <v>1</v>
      </c>
      <c r="J1350" s="130">
        <f ca="1" t="shared" si="1574"/>
        <v>1</v>
      </c>
      <c r="K1350" s="130">
        <f ca="1" t="shared" si="1574"/>
        <v>1</v>
      </c>
      <c r="L1350" s="130">
        <f ca="1" t="shared" si="1574"/>
        <v>1</v>
      </c>
      <c r="M1350" s="130">
        <f ca="1" t="shared" si="1574"/>
        <v>1</v>
      </c>
      <c r="N1350" s="130">
        <f ca="1" t="shared" si="1574"/>
        <v>1</v>
      </c>
      <c r="O1350" s="130">
        <f ca="1" t="shared" si="1574"/>
        <v>1</v>
      </c>
      <c r="P1350" s="130">
        <f ca="1" t="shared" si="1574"/>
        <v>1</v>
      </c>
      <c r="Q1350" s="130">
        <f ca="1" t="shared" si="1574"/>
        <v>1</v>
      </c>
      <c r="R1350" s="130">
        <f ca="1" t="shared" si="1574"/>
        <v>1</v>
      </c>
      <c r="S1350" s="130">
        <f ca="1" t="shared" si="1574"/>
        <v>1</v>
      </c>
      <c r="T1350" s="130">
        <f ca="1" t="shared" si="1574"/>
        <v>1</v>
      </c>
      <c r="U1350" s="130">
        <f ca="1" t="shared" si="1574"/>
        <v>1</v>
      </c>
      <c r="V1350" s="130">
        <f ca="1" t="shared" si="1574"/>
        <v>1</v>
      </c>
    </row>
    <row r="1351" s="106" customFormat="1" ht="16.5" spans="2:22">
      <c r="B1351" s="117">
        <v>115</v>
      </c>
      <c r="C1351" s="130">
        <f t="shared" si="1524"/>
        <v>11500</v>
      </c>
      <c r="D1351" s="130">
        <f ca="1" t="shared" ref="D1351:V1351" si="1575">IF($C1351&gt;D$633,1,0)</f>
        <v>1</v>
      </c>
      <c r="E1351" s="130">
        <f ca="1" t="shared" si="1575"/>
        <v>1</v>
      </c>
      <c r="F1351" s="130">
        <f ca="1" t="shared" si="1575"/>
        <v>1</v>
      </c>
      <c r="G1351" s="130">
        <f ca="1" t="shared" si="1575"/>
        <v>1</v>
      </c>
      <c r="H1351" s="130">
        <f ca="1" t="shared" si="1575"/>
        <v>1</v>
      </c>
      <c r="I1351" s="130">
        <f ca="1" t="shared" si="1575"/>
        <v>1</v>
      </c>
      <c r="J1351" s="130">
        <f ca="1" t="shared" si="1575"/>
        <v>1</v>
      </c>
      <c r="K1351" s="130">
        <f ca="1" t="shared" si="1575"/>
        <v>1</v>
      </c>
      <c r="L1351" s="130">
        <f ca="1" t="shared" si="1575"/>
        <v>1</v>
      </c>
      <c r="M1351" s="130">
        <f ca="1" t="shared" si="1575"/>
        <v>1</v>
      </c>
      <c r="N1351" s="130">
        <f ca="1" t="shared" si="1575"/>
        <v>1</v>
      </c>
      <c r="O1351" s="130">
        <f ca="1" t="shared" si="1575"/>
        <v>1</v>
      </c>
      <c r="P1351" s="130">
        <f ca="1" t="shared" si="1575"/>
        <v>1</v>
      </c>
      <c r="Q1351" s="130">
        <f ca="1" t="shared" si="1575"/>
        <v>1</v>
      </c>
      <c r="R1351" s="130">
        <f ca="1" t="shared" si="1575"/>
        <v>1</v>
      </c>
      <c r="S1351" s="130">
        <f ca="1" t="shared" si="1575"/>
        <v>1</v>
      </c>
      <c r="T1351" s="130">
        <f ca="1" t="shared" si="1575"/>
        <v>1</v>
      </c>
      <c r="U1351" s="130">
        <f ca="1" t="shared" si="1575"/>
        <v>1</v>
      </c>
      <c r="V1351" s="130">
        <f ca="1" t="shared" si="1575"/>
        <v>1</v>
      </c>
    </row>
    <row r="1352" s="106" customFormat="1" ht="16.5" spans="2:22">
      <c r="B1352" s="117">
        <v>116</v>
      </c>
      <c r="C1352" s="130">
        <f t="shared" si="1524"/>
        <v>11600</v>
      </c>
      <c r="D1352" s="130">
        <f ca="1" t="shared" ref="D1352:V1352" si="1576">IF($C1352&gt;D$633,1,0)</f>
        <v>1</v>
      </c>
      <c r="E1352" s="130">
        <f ca="1" t="shared" si="1576"/>
        <v>1</v>
      </c>
      <c r="F1352" s="130">
        <f ca="1" t="shared" si="1576"/>
        <v>1</v>
      </c>
      <c r="G1352" s="130">
        <f ca="1" t="shared" si="1576"/>
        <v>1</v>
      </c>
      <c r="H1352" s="130">
        <f ca="1" t="shared" si="1576"/>
        <v>1</v>
      </c>
      <c r="I1352" s="130">
        <f ca="1" t="shared" si="1576"/>
        <v>1</v>
      </c>
      <c r="J1352" s="130">
        <f ca="1" t="shared" si="1576"/>
        <v>1</v>
      </c>
      <c r="K1352" s="130">
        <f ca="1" t="shared" si="1576"/>
        <v>1</v>
      </c>
      <c r="L1352" s="130">
        <f ca="1" t="shared" si="1576"/>
        <v>1</v>
      </c>
      <c r="M1352" s="130">
        <f ca="1" t="shared" si="1576"/>
        <v>1</v>
      </c>
      <c r="N1352" s="130">
        <f ca="1" t="shared" si="1576"/>
        <v>1</v>
      </c>
      <c r="O1352" s="130">
        <f ca="1" t="shared" si="1576"/>
        <v>1</v>
      </c>
      <c r="P1352" s="130">
        <f ca="1" t="shared" si="1576"/>
        <v>1</v>
      </c>
      <c r="Q1352" s="130">
        <f ca="1" t="shared" si="1576"/>
        <v>1</v>
      </c>
      <c r="R1352" s="130">
        <f ca="1" t="shared" si="1576"/>
        <v>1</v>
      </c>
      <c r="S1352" s="130">
        <f ca="1" t="shared" si="1576"/>
        <v>1</v>
      </c>
      <c r="T1352" s="130">
        <f ca="1" t="shared" si="1576"/>
        <v>1</v>
      </c>
      <c r="U1352" s="130">
        <f ca="1" t="shared" si="1576"/>
        <v>1</v>
      </c>
      <c r="V1352" s="130">
        <f ca="1" t="shared" si="1576"/>
        <v>1</v>
      </c>
    </row>
    <row r="1353" s="106" customFormat="1" ht="16.5" spans="2:22">
      <c r="B1353" s="117">
        <v>117</v>
      </c>
      <c r="C1353" s="130">
        <f t="shared" si="1524"/>
        <v>11700</v>
      </c>
      <c r="D1353" s="130">
        <f ca="1" t="shared" ref="D1353:V1353" si="1577">IF($C1353&gt;D$633,1,0)</f>
        <v>1</v>
      </c>
      <c r="E1353" s="130">
        <f ca="1" t="shared" si="1577"/>
        <v>1</v>
      </c>
      <c r="F1353" s="130">
        <f ca="1" t="shared" si="1577"/>
        <v>1</v>
      </c>
      <c r="G1353" s="130">
        <f ca="1" t="shared" si="1577"/>
        <v>1</v>
      </c>
      <c r="H1353" s="130">
        <f ca="1" t="shared" si="1577"/>
        <v>1</v>
      </c>
      <c r="I1353" s="130">
        <f ca="1" t="shared" si="1577"/>
        <v>1</v>
      </c>
      <c r="J1353" s="130">
        <f ca="1" t="shared" si="1577"/>
        <v>1</v>
      </c>
      <c r="K1353" s="130">
        <f ca="1" t="shared" si="1577"/>
        <v>1</v>
      </c>
      <c r="L1353" s="130">
        <f ca="1" t="shared" si="1577"/>
        <v>1</v>
      </c>
      <c r="M1353" s="130">
        <f ca="1" t="shared" si="1577"/>
        <v>1</v>
      </c>
      <c r="N1353" s="130">
        <f ca="1" t="shared" si="1577"/>
        <v>1</v>
      </c>
      <c r="O1353" s="130">
        <f ca="1" t="shared" si="1577"/>
        <v>1</v>
      </c>
      <c r="P1353" s="130">
        <f ca="1" t="shared" si="1577"/>
        <v>1</v>
      </c>
      <c r="Q1353" s="130">
        <f ca="1" t="shared" si="1577"/>
        <v>1</v>
      </c>
      <c r="R1353" s="130">
        <f ca="1" t="shared" si="1577"/>
        <v>1</v>
      </c>
      <c r="S1353" s="130">
        <f ca="1" t="shared" si="1577"/>
        <v>1</v>
      </c>
      <c r="T1353" s="130">
        <f ca="1" t="shared" si="1577"/>
        <v>1</v>
      </c>
      <c r="U1353" s="130">
        <f ca="1" t="shared" si="1577"/>
        <v>1</v>
      </c>
      <c r="V1353" s="130">
        <f ca="1" t="shared" si="1577"/>
        <v>1</v>
      </c>
    </row>
    <row r="1354" s="106" customFormat="1" ht="16.5" spans="2:22">
      <c r="B1354" s="117">
        <v>118</v>
      </c>
      <c r="C1354" s="130">
        <f t="shared" si="1524"/>
        <v>11800</v>
      </c>
      <c r="D1354" s="130">
        <f ca="1" t="shared" ref="D1354:V1354" si="1578">IF($C1354&gt;D$633,1,0)</f>
        <v>1</v>
      </c>
      <c r="E1354" s="130">
        <f ca="1" t="shared" si="1578"/>
        <v>1</v>
      </c>
      <c r="F1354" s="130">
        <f ca="1" t="shared" si="1578"/>
        <v>1</v>
      </c>
      <c r="G1354" s="130">
        <f ca="1" t="shared" si="1578"/>
        <v>1</v>
      </c>
      <c r="H1354" s="130">
        <f ca="1" t="shared" si="1578"/>
        <v>1</v>
      </c>
      <c r="I1354" s="130">
        <f ca="1" t="shared" si="1578"/>
        <v>1</v>
      </c>
      <c r="J1354" s="130">
        <f ca="1" t="shared" si="1578"/>
        <v>1</v>
      </c>
      <c r="K1354" s="130">
        <f ca="1" t="shared" si="1578"/>
        <v>1</v>
      </c>
      <c r="L1354" s="130">
        <f ca="1" t="shared" si="1578"/>
        <v>1</v>
      </c>
      <c r="M1354" s="130">
        <f ca="1" t="shared" si="1578"/>
        <v>1</v>
      </c>
      <c r="N1354" s="130">
        <f ca="1" t="shared" si="1578"/>
        <v>1</v>
      </c>
      <c r="O1354" s="130">
        <f ca="1" t="shared" si="1578"/>
        <v>1</v>
      </c>
      <c r="P1354" s="130">
        <f ca="1" t="shared" si="1578"/>
        <v>1</v>
      </c>
      <c r="Q1354" s="130">
        <f ca="1" t="shared" si="1578"/>
        <v>1</v>
      </c>
      <c r="R1354" s="130">
        <f ca="1" t="shared" si="1578"/>
        <v>1</v>
      </c>
      <c r="S1354" s="130">
        <f ca="1" t="shared" si="1578"/>
        <v>1</v>
      </c>
      <c r="T1354" s="130">
        <f ca="1" t="shared" si="1578"/>
        <v>1</v>
      </c>
      <c r="U1354" s="130">
        <f ca="1" t="shared" si="1578"/>
        <v>1</v>
      </c>
      <c r="V1354" s="130">
        <f ca="1" t="shared" si="1578"/>
        <v>1</v>
      </c>
    </row>
    <row r="1355" s="106" customFormat="1" ht="16.5" spans="2:22">
      <c r="B1355" s="117">
        <v>119</v>
      </c>
      <c r="C1355" s="130">
        <f t="shared" si="1524"/>
        <v>11900</v>
      </c>
      <c r="D1355" s="130">
        <f ca="1" t="shared" ref="D1355:V1355" si="1579">IF($C1355&gt;D$633,1,0)</f>
        <v>1</v>
      </c>
      <c r="E1355" s="130">
        <f ca="1" t="shared" si="1579"/>
        <v>1</v>
      </c>
      <c r="F1355" s="130">
        <f ca="1" t="shared" si="1579"/>
        <v>1</v>
      </c>
      <c r="G1355" s="130">
        <f ca="1" t="shared" si="1579"/>
        <v>1</v>
      </c>
      <c r="H1355" s="130">
        <f ca="1" t="shared" si="1579"/>
        <v>1</v>
      </c>
      <c r="I1355" s="130">
        <f ca="1" t="shared" si="1579"/>
        <v>1</v>
      </c>
      <c r="J1355" s="130">
        <f ca="1" t="shared" si="1579"/>
        <v>1</v>
      </c>
      <c r="K1355" s="130">
        <f ca="1" t="shared" si="1579"/>
        <v>1</v>
      </c>
      <c r="L1355" s="130">
        <f ca="1" t="shared" si="1579"/>
        <v>1</v>
      </c>
      <c r="M1355" s="130">
        <f ca="1" t="shared" si="1579"/>
        <v>1</v>
      </c>
      <c r="N1355" s="130">
        <f ca="1" t="shared" si="1579"/>
        <v>1</v>
      </c>
      <c r="O1355" s="130">
        <f ca="1" t="shared" si="1579"/>
        <v>1</v>
      </c>
      <c r="P1355" s="130">
        <f ca="1" t="shared" si="1579"/>
        <v>1</v>
      </c>
      <c r="Q1355" s="130">
        <f ca="1" t="shared" si="1579"/>
        <v>1</v>
      </c>
      <c r="R1355" s="130">
        <f ca="1" t="shared" si="1579"/>
        <v>1</v>
      </c>
      <c r="S1355" s="130">
        <f ca="1" t="shared" si="1579"/>
        <v>1</v>
      </c>
      <c r="T1355" s="130">
        <f ca="1" t="shared" si="1579"/>
        <v>1</v>
      </c>
      <c r="U1355" s="130">
        <f ca="1" t="shared" si="1579"/>
        <v>1</v>
      </c>
      <c r="V1355" s="130">
        <f ca="1" t="shared" si="1579"/>
        <v>1</v>
      </c>
    </row>
    <row r="1356" s="106" customFormat="1" ht="16.5" spans="2:22">
      <c r="B1356" s="117">
        <v>120</v>
      </c>
      <c r="C1356" s="130">
        <f t="shared" si="1524"/>
        <v>12000</v>
      </c>
      <c r="D1356" s="130">
        <f ca="1" t="shared" ref="D1356:V1356" si="1580">IF($C1356&gt;D$633,1,0)</f>
        <v>1</v>
      </c>
      <c r="E1356" s="130">
        <f ca="1" t="shared" si="1580"/>
        <v>1</v>
      </c>
      <c r="F1356" s="130">
        <f ca="1" t="shared" si="1580"/>
        <v>1</v>
      </c>
      <c r="G1356" s="130">
        <f ca="1" t="shared" si="1580"/>
        <v>1</v>
      </c>
      <c r="H1356" s="130">
        <f ca="1" t="shared" si="1580"/>
        <v>1</v>
      </c>
      <c r="I1356" s="130">
        <f ca="1" t="shared" si="1580"/>
        <v>1</v>
      </c>
      <c r="J1356" s="130">
        <f ca="1" t="shared" si="1580"/>
        <v>1</v>
      </c>
      <c r="K1356" s="130">
        <f ca="1" t="shared" si="1580"/>
        <v>1</v>
      </c>
      <c r="L1356" s="130">
        <f ca="1" t="shared" si="1580"/>
        <v>1</v>
      </c>
      <c r="M1356" s="130">
        <f ca="1" t="shared" si="1580"/>
        <v>1</v>
      </c>
      <c r="N1356" s="130">
        <f ca="1" t="shared" si="1580"/>
        <v>1</v>
      </c>
      <c r="O1356" s="130">
        <f ca="1" t="shared" si="1580"/>
        <v>1</v>
      </c>
      <c r="P1356" s="130">
        <f ca="1" t="shared" si="1580"/>
        <v>1</v>
      </c>
      <c r="Q1356" s="130">
        <f ca="1" t="shared" si="1580"/>
        <v>1</v>
      </c>
      <c r="R1356" s="130">
        <f ca="1" t="shared" si="1580"/>
        <v>1</v>
      </c>
      <c r="S1356" s="130">
        <f ca="1" t="shared" si="1580"/>
        <v>1</v>
      </c>
      <c r="T1356" s="130">
        <f ca="1" t="shared" si="1580"/>
        <v>1</v>
      </c>
      <c r="U1356" s="130">
        <f ca="1" t="shared" si="1580"/>
        <v>1</v>
      </c>
      <c r="V1356" s="130">
        <f ca="1" t="shared" si="1580"/>
        <v>1</v>
      </c>
    </row>
    <row r="1357" s="106" customFormat="1" ht="16.5" spans="2:22">
      <c r="B1357" s="117">
        <v>121</v>
      </c>
      <c r="C1357" s="130">
        <f t="shared" si="1524"/>
        <v>12100</v>
      </c>
      <c r="D1357" s="130">
        <f ca="1" t="shared" ref="D1357:V1357" si="1581">IF($C1357&gt;D$633,1,0)</f>
        <v>1</v>
      </c>
      <c r="E1357" s="130">
        <f ca="1" t="shared" si="1581"/>
        <v>1</v>
      </c>
      <c r="F1357" s="130">
        <f ca="1" t="shared" si="1581"/>
        <v>1</v>
      </c>
      <c r="G1357" s="130">
        <f ca="1" t="shared" si="1581"/>
        <v>1</v>
      </c>
      <c r="H1357" s="130">
        <f ca="1" t="shared" si="1581"/>
        <v>1</v>
      </c>
      <c r="I1357" s="130">
        <f ca="1" t="shared" si="1581"/>
        <v>1</v>
      </c>
      <c r="J1357" s="130">
        <f ca="1" t="shared" si="1581"/>
        <v>1</v>
      </c>
      <c r="K1357" s="130">
        <f ca="1" t="shared" si="1581"/>
        <v>1</v>
      </c>
      <c r="L1357" s="130">
        <f ca="1" t="shared" si="1581"/>
        <v>1</v>
      </c>
      <c r="M1357" s="130">
        <f ca="1" t="shared" si="1581"/>
        <v>1</v>
      </c>
      <c r="N1357" s="130">
        <f ca="1" t="shared" si="1581"/>
        <v>1</v>
      </c>
      <c r="O1357" s="130">
        <f ca="1" t="shared" si="1581"/>
        <v>1</v>
      </c>
      <c r="P1357" s="130">
        <f ca="1" t="shared" si="1581"/>
        <v>1</v>
      </c>
      <c r="Q1357" s="130">
        <f ca="1" t="shared" si="1581"/>
        <v>1</v>
      </c>
      <c r="R1357" s="130">
        <f ca="1" t="shared" si="1581"/>
        <v>1</v>
      </c>
      <c r="S1357" s="130">
        <f ca="1" t="shared" si="1581"/>
        <v>1</v>
      </c>
      <c r="T1357" s="130">
        <f ca="1" t="shared" si="1581"/>
        <v>1</v>
      </c>
      <c r="U1357" s="130">
        <f ca="1" t="shared" si="1581"/>
        <v>1</v>
      </c>
      <c r="V1357" s="130">
        <f ca="1" t="shared" si="1581"/>
        <v>1</v>
      </c>
    </row>
    <row r="1358" s="106" customFormat="1" ht="16.5" spans="2:22">
      <c r="B1358" s="117">
        <v>122</v>
      </c>
      <c r="C1358" s="130">
        <f t="shared" si="1524"/>
        <v>12200</v>
      </c>
      <c r="D1358" s="130">
        <f ca="1" t="shared" ref="D1358:V1358" si="1582">IF($C1358&gt;D$633,1,0)</f>
        <v>1</v>
      </c>
      <c r="E1358" s="130">
        <f ca="1" t="shared" si="1582"/>
        <v>1</v>
      </c>
      <c r="F1358" s="130">
        <f ca="1" t="shared" si="1582"/>
        <v>1</v>
      </c>
      <c r="G1358" s="130">
        <f ca="1" t="shared" si="1582"/>
        <v>1</v>
      </c>
      <c r="H1358" s="130">
        <f ca="1" t="shared" si="1582"/>
        <v>1</v>
      </c>
      <c r="I1358" s="130">
        <f ca="1" t="shared" si="1582"/>
        <v>1</v>
      </c>
      <c r="J1358" s="130">
        <f ca="1" t="shared" si="1582"/>
        <v>1</v>
      </c>
      <c r="K1358" s="130">
        <f ca="1" t="shared" si="1582"/>
        <v>1</v>
      </c>
      <c r="L1358" s="130">
        <f ca="1" t="shared" si="1582"/>
        <v>1</v>
      </c>
      <c r="M1358" s="130">
        <f ca="1" t="shared" si="1582"/>
        <v>1</v>
      </c>
      <c r="N1358" s="130">
        <f ca="1" t="shared" si="1582"/>
        <v>1</v>
      </c>
      <c r="O1358" s="130">
        <f ca="1" t="shared" si="1582"/>
        <v>1</v>
      </c>
      <c r="P1358" s="130">
        <f ca="1" t="shared" si="1582"/>
        <v>1</v>
      </c>
      <c r="Q1358" s="130">
        <f ca="1" t="shared" si="1582"/>
        <v>1</v>
      </c>
      <c r="R1358" s="130">
        <f ca="1" t="shared" si="1582"/>
        <v>1</v>
      </c>
      <c r="S1358" s="130">
        <f ca="1" t="shared" si="1582"/>
        <v>1</v>
      </c>
      <c r="T1358" s="130">
        <f ca="1" t="shared" si="1582"/>
        <v>1</v>
      </c>
      <c r="U1358" s="130">
        <f ca="1" t="shared" si="1582"/>
        <v>1</v>
      </c>
      <c r="V1358" s="130">
        <f ca="1" t="shared" si="1582"/>
        <v>1</v>
      </c>
    </row>
    <row r="1359" s="106" customFormat="1" ht="16.5" spans="2:22">
      <c r="B1359" s="117">
        <v>123</v>
      </c>
      <c r="C1359" s="130">
        <f t="shared" si="1524"/>
        <v>12300</v>
      </c>
      <c r="D1359" s="130">
        <f ca="1" t="shared" ref="D1359:V1359" si="1583">IF($C1359&gt;D$633,1,0)</f>
        <v>1</v>
      </c>
      <c r="E1359" s="130">
        <f ca="1" t="shared" si="1583"/>
        <v>1</v>
      </c>
      <c r="F1359" s="130">
        <f ca="1" t="shared" si="1583"/>
        <v>1</v>
      </c>
      <c r="G1359" s="130">
        <f ca="1" t="shared" si="1583"/>
        <v>1</v>
      </c>
      <c r="H1359" s="130">
        <f ca="1" t="shared" si="1583"/>
        <v>1</v>
      </c>
      <c r="I1359" s="130">
        <f ca="1" t="shared" si="1583"/>
        <v>1</v>
      </c>
      <c r="J1359" s="130">
        <f ca="1" t="shared" si="1583"/>
        <v>1</v>
      </c>
      <c r="K1359" s="130">
        <f ca="1" t="shared" si="1583"/>
        <v>1</v>
      </c>
      <c r="L1359" s="130">
        <f ca="1" t="shared" si="1583"/>
        <v>1</v>
      </c>
      <c r="M1359" s="130">
        <f ca="1" t="shared" si="1583"/>
        <v>1</v>
      </c>
      <c r="N1359" s="130">
        <f ca="1" t="shared" si="1583"/>
        <v>1</v>
      </c>
      <c r="O1359" s="130">
        <f ca="1" t="shared" si="1583"/>
        <v>1</v>
      </c>
      <c r="P1359" s="130">
        <f ca="1" t="shared" si="1583"/>
        <v>1</v>
      </c>
      <c r="Q1359" s="130">
        <f ca="1" t="shared" si="1583"/>
        <v>1</v>
      </c>
      <c r="R1359" s="130">
        <f ca="1" t="shared" si="1583"/>
        <v>1</v>
      </c>
      <c r="S1359" s="130">
        <f ca="1" t="shared" si="1583"/>
        <v>1</v>
      </c>
      <c r="T1359" s="130">
        <f ca="1" t="shared" si="1583"/>
        <v>1</v>
      </c>
      <c r="U1359" s="130">
        <f ca="1" t="shared" si="1583"/>
        <v>1</v>
      </c>
      <c r="V1359" s="130">
        <f ca="1" t="shared" si="1583"/>
        <v>1</v>
      </c>
    </row>
    <row r="1360" s="106" customFormat="1" ht="16.5" spans="2:22">
      <c r="B1360" s="117">
        <v>124</v>
      </c>
      <c r="C1360" s="130">
        <f t="shared" si="1524"/>
        <v>12400</v>
      </c>
      <c r="D1360" s="130">
        <f ca="1" t="shared" ref="D1360:V1360" si="1584">IF($C1360&gt;D$633,1,0)</f>
        <v>1</v>
      </c>
      <c r="E1360" s="130">
        <f ca="1" t="shared" si="1584"/>
        <v>1</v>
      </c>
      <c r="F1360" s="130">
        <f ca="1" t="shared" si="1584"/>
        <v>1</v>
      </c>
      <c r="G1360" s="130">
        <f ca="1" t="shared" si="1584"/>
        <v>1</v>
      </c>
      <c r="H1360" s="130">
        <f ca="1" t="shared" si="1584"/>
        <v>1</v>
      </c>
      <c r="I1360" s="130">
        <f ca="1" t="shared" si="1584"/>
        <v>1</v>
      </c>
      <c r="J1360" s="130">
        <f ca="1" t="shared" si="1584"/>
        <v>1</v>
      </c>
      <c r="K1360" s="130">
        <f ca="1" t="shared" si="1584"/>
        <v>1</v>
      </c>
      <c r="L1360" s="130">
        <f ca="1" t="shared" si="1584"/>
        <v>1</v>
      </c>
      <c r="M1360" s="130">
        <f ca="1" t="shared" si="1584"/>
        <v>1</v>
      </c>
      <c r="N1360" s="130">
        <f ca="1" t="shared" si="1584"/>
        <v>1</v>
      </c>
      <c r="O1360" s="130">
        <f ca="1" t="shared" si="1584"/>
        <v>1</v>
      </c>
      <c r="P1360" s="130">
        <f ca="1" t="shared" si="1584"/>
        <v>1</v>
      </c>
      <c r="Q1360" s="130">
        <f ca="1" t="shared" si="1584"/>
        <v>1</v>
      </c>
      <c r="R1360" s="130">
        <f ca="1" t="shared" si="1584"/>
        <v>1</v>
      </c>
      <c r="S1360" s="130">
        <f ca="1" t="shared" si="1584"/>
        <v>1</v>
      </c>
      <c r="T1360" s="130">
        <f ca="1" t="shared" si="1584"/>
        <v>1</v>
      </c>
      <c r="U1360" s="130">
        <f ca="1" t="shared" si="1584"/>
        <v>1</v>
      </c>
      <c r="V1360" s="130">
        <f ca="1" t="shared" si="1584"/>
        <v>1</v>
      </c>
    </row>
    <row r="1361" s="106" customFormat="1" ht="16.5" spans="2:22">
      <c r="B1361" s="117">
        <v>125</v>
      </c>
      <c r="C1361" s="130">
        <f t="shared" si="1524"/>
        <v>12500</v>
      </c>
      <c r="D1361" s="130">
        <f ca="1" t="shared" ref="D1361:V1361" si="1585">IF($C1361&gt;D$633,1,0)</f>
        <v>1</v>
      </c>
      <c r="E1361" s="130">
        <f ca="1" t="shared" si="1585"/>
        <v>1</v>
      </c>
      <c r="F1361" s="130">
        <f ca="1" t="shared" si="1585"/>
        <v>1</v>
      </c>
      <c r="G1361" s="130">
        <f ca="1" t="shared" si="1585"/>
        <v>1</v>
      </c>
      <c r="H1361" s="130">
        <f ca="1" t="shared" si="1585"/>
        <v>1</v>
      </c>
      <c r="I1361" s="130">
        <f ca="1" t="shared" si="1585"/>
        <v>1</v>
      </c>
      <c r="J1361" s="130">
        <f ca="1" t="shared" si="1585"/>
        <v>1</v>
      </c>
      <c r="K1361" s="130">
        <f ca="1" t="shared" si="1585"/>
        <v>1</v>
      </c>
      <c r="L1361" s="130">
        <f ca="1" t="shared" si="1585"/>
        <v>1</v>
      </c>
      <c r="M1361" s="130">
        <f ca="1" t="shared" si="1585"/>
        <v>1</v>
      </c>
      <c r="N1361" s="130">
        <f ca="1" t="shared" si="1585"/>
        <v>1</v>
      </c>
      <c r="O1361" s="130">
        <f ca="1" t="shared" si="1585"/>
        <v>1</v>
      </c>
      <c r="P1361" s="130">
        <f ca="1" t="shared" si="1585"/>
        <v>1</v>
      </c>
      <c r="Q1361" s="130">
        <f ca="1" t="shared" si="1585"/>
        <v>1</v>
      </c>
      <c r="R1361" s="130">
        <f ca="1" t="shared" si="1585"/>
        <v>1</v>
      </c>
      <c r="S1361" s="130">
        <f ca="1" t="shared" si="1585"/>
        <v>1</v>
      </c>
      <c r="T1361" s="130">
        <f ca="1" t="shared" si="1585"/>
        <v>1</v>
      </c>
      <c r="U1361" s="130">
        <f ca="1" t="shared" si="1585"/>
        <v>1</v>
      </c>
      <c r="V1361" s="130">
        <f ca="1" t="shared" si="1585"/>
        <v>1</v>
      </c>
    </row>
    <row r="1362" s="106" customFormat="1" ht="16.5" spans="2:22">
      <c r="B1362" s="117">
        <v>126</v>
      </c>
      <c r="C1362" s="130">
        <f t="shared" si="1524"/>
        <v>12600</v>
      </c>
      <c r="D1362" s="130">
        <f ca="1" t="shared" ref="D1362:V1362" si="1586">IF($C1362&gt;D$633,1,0)</f>
        <v>1</v>
      </c>
      <c r="E1362" s="130">
        <f ca="1" t="shared" si="1586"/>
        <v>1</v>
      </c>
      <c r="F1362" s="130">
        <f ca="1" t="shared" si="1586"/>
        <v>1</v>
      </c>
      <c r="G1362" s="130">
        <f ca="1" t="shared" si="1586"/>
        <v>1</v>
      </c>
      <c r="H1362" s="130">
        <f ca="1" t="shared" si="1586"/>
        <v>1</v>
      </c>
      <c r="I1362" s="130">
        <f ca="1" t="shared" si="1586"/>
        <v>1</v>
      </c>
      <c r="J1362" s="130">
        <f ca="1" t="shared" si="1586"/>
        <v>1</v>
      </c>
      <c r="K1362" s="130">
        <f ca="1" t="shared" si="1586"/>
        <v>1</v>
      </c>
      <c r="L1362" s="130">
        <f ca="1" t="shared" si="1586"/>
        <v>1</v>
      </c>
      <c r="M1362" s="130">
        <f ca="1" t="shared" si="1586"/>
        <v>1</v>
      </c>
      <c r="N1362" s="130">
        <f ca="1" t="shared" si="1586"/>
        <v>1</v>
      </c>
      <c r="O1362" s="130">
        <f ca="1" t="shared" si="1586"/>
        <v>1</v>
      </c>
      <c r="P1362" s="130">
        <f ca="1" t="shared" si="1586"/>
        <v>1</v>
      </c>
      <c r="Q1362" s="130">
        <f ca="1" t="shared" si="1586"/>
        <v>1</v>
      </c>
      <c r="R1362" s="130">
        <f ca="1" t="shared" si="1586"/>
        <v>1</v>
      </c>
      <c r="S1362" s="130">
        <f ca="1" t="shared" si="1586"/>
        <v>1</v>
      </c>
      <c r="T1362" s="130">
        <f ca="1" t="shared" si="1586"/>
        <v>1</v>
      </c>
      <c r="U1362" s="130">
        <f ca="1" t="shared" si="1586"/>
        <v>1</v>
      </c>
      <c r="V1362" s="130">
        <f ca="1" t="shared" si="1586"/>
        <v>1</v>
      </c>
    </row>
    <row r="1363" s="106" customFormat="1" ht="16.5" spans="2:22">
      <c r="B1363" s="117">
        <v>127</v>
      </c>
      <c r="C1363" s="130">
        <f t="shared" si="1524"/>
        <v>12700</v>
      </c>
      <c r="D1363" s="130">
        <f ca="1" t="shared" ref="D1363:V1363" si="1587">IF($C1363&gt;D$633,1,0)</f>
        <v>1</v>
      </c>
      <c r="E1363" s="130">
        <f ca="1" t="shared" si="1587"/>
        <v>1</v>
      </c>
      <c r="F1363" s="130">
        <f ca="1" t="shared" si="1587"/>
        <v>1</v>
      </c>
      <c r="G1363" s="130">
        <f ca="1" t="shared" si="1587"/>
        <v>1</v>
      </c>
      <c r="H1363" s="130">
        <f ca="1" t="shared" si="1587"/>
        <v>1</v>
      </c>
      <c r="I1363" s="130">
        <f ca="1" t="shared" si="1587"/>
        <v>1</v>
      </c>
      <c r="J1363" s="130">
        <f ca="1" t="shared" si="1587"/>
        <v>1</v>
      </c>
      <c r="K1363" s="130">
        <f ca="1" t="shared" si="1587"/>
        <v>1</v>
      </c>
      <c r="L1363" s="130">
        <f ca="1" t="shared" si="1587"/>
        <v>1</v>
      </c>
      <c r="M1363" s="130">
        <f ca="1" t="shared" si="1587"/>
        <v>1</v>
      </c>
      <c r="N1363" s="130">
        <f ca="1" t="shared" si="1587"/>
        <v>1</v>
      </c>
      <c r="O1363" s="130">
        <f ca="1" t="shared" si="1587"/>
        <v>1</v>
      </c>
      <c r="P1363" s="130">
        <f ca="1" t="shared" si="1587"/>
        <v>1</v>
      </c>
      <c r="Q1363" s="130">
        <f ca="1" t="shared" si="1587"/>
        <v>1</v>
      </c>
      <c r="R1363" s="130">
        <f ca="1" t="shared" si="1587"/>
        <v>1</v>
      </c>
      <c r="S1363" s="130">
        <f ca="1" t="shared" si="1587"/>
        <v>1</v>
      </c>
      <c r="T1363" s="130">
        <f ca="1" t="shared" si="1587"/>
        <v>1</v>
      </c>
      <c r="U1363" s="130">
        <f ca="1" t="shared" si="1587"/>
        <v>1</v>
      </c>
      <c r="V1363" s="130">
        <f ca="1" t="shared" si="1587"/>
        <v>1</v>
      </c>
    </row>
    <row r="1364" s="106" customFormat="1" ht="16.5" spans="2:22">
      <c r="B1364" s="117">
        <v>128</v>
      </c>
      <c r="C1364" s="130">
        <f t="shared" si="1524"/>
        <v>12800</v>
      </c>
      <c r="D1364" s="130">
        <f ca="1" t="shared" ref="D1364:V1364" si="1588">IF($C1364&gt;D$633,1,0)</f>
        <v>1</v>
      </c>
      <c r="E1364" s="130">
        <f ca="1" t="shared" si="1588"/>
        <v>1</v>
      </c>
      <c r="F1364" s="130">
        <f ca="1" t="shared" si="1588"/>
        <v>1</v>
      </c>
      <c r="G1364" s="130">
        <f ca="1" t="shared" si="1588"/>
        <v>1</v>
      </c>
      <c r="H1364" s="130">
        <f ca="1" t="shared" si="1588"/>
        <v>1</v>
      </c>
      <c r="I1364" s="130">
        <f ca="1" t="shared" si="1588"/>
        <v>1</v>
      </c>
      <c r="J1364" s="130">
        <f ca="1" t="shared" si="1588"/>
        <v>1</v>
      </c>
      <c r="K1364" s="130">
        <f ca="1" t="shared" si="1588"/>
        <v>1</v>
      </c>
      <c r="L1364" s="130">
        <f ca="1" t="shared" si="1588"/>
        <v>1</v>
      </c>
      <c r="M1364" s="130">
        <f ca="1" t="shared" si="1588"/>
        <v>1</v>
      </c>
      <c r="N1364" s="130">
        <f ca="1" t="shared" si="1588"/>
        <v>1</v>
      </c>
      <c r="O1364" s="130">
        <f ca="1" t="shared" si="1588"/>
        <v>1</v>
      </c>
      <c r="P1364" s="130">
        <f ca="1" t="shared" si="1588"/>
        <v>1</v>
      </c>
      <c r="Q1364" s="130">
        <f ca="1" t="shared" si="1588"/>
        <v>1</v>
      </c>
      <c r="R1364" s="130">
        <f ca="1" t="shared" si="1588"/>
        <v>1</v>
      </c>
      <c r="S1364" s="130">
        <f ca="1" t="shared" si="1588"/>
        <v>1</v>
      </c>
      <c r="T1364" s="130">
        <f ca="1" t="shared" si="1588"/>
        <v>1</v>
      </c>
      <c r="U1364" s="130">
        <f ca="1" t="shared" si="1588"/>
        <v>1</v>
      </c>
      <c r="V1364" s="130">
        <f ca="1" t="shared" si="1588"/>
        <v>1</v>
      </c>
    </row>
    <row r="1365" s="106" customFormat="1" ht="16.5" spans="2:22">
      <c r="B1365" s="117">
        <v>129</v>
      </c>
      <c r="C1365" s="130">
        <f t="shared" ref="C1365:C1428" si="1589">C763</f>
        <v>12900</v>
      </c>
      <c r="D1365" s="130">
        <f ca="1" t="shared" ref="D1365:V1365" si="1590">IF($C1365&gt;D$633,1,0)</f>
        <v>1</v>
      </c>
      <c r="E1365" s="130">
        <f ca="1" t="shared" si="1590"/>
        <v>1</v>
      </c>
      <c r="F1365" s="130">
        <f ca="1" t="shared" si="1590"/>
        <v>1</v>
      </c>
      <c r="G1365" s="130">
        <f ca="1" t="shared" si="1590"/>
        <v>1</v>
      </c>
      <c r="H1365" s="130">
        <f ca="1" t="shared" si="1590"/>
        <v>1</v>
      </c>
      <c r="I1365" s="130">
        <f ca="1" t="shared" si="1590"/>
        <v>1</v>
      </c>
      <c r="J1365" s="130">
        <f ca="1" t="shared" si="1590"/>
        <v>1</v>
      </c>
      <c r="K1365" s="130">
        <f ca="1" t="shared" si="1590"/>
        <v>1</v>
      </c>
      <c r="L1365" s="130">
        <f ca="1" t="shared" si="1590"/>
        <v>1</v>
      </c>
      <c r="M1365" s="130">
        <f ca="1" t="shared" si="1590"/>
        <v>1</v>
      </c>
      <c r="N1365" s="130">
        <f ca="1" t="shared" si="1590"/>
        <v>1</v>
      </c>
      <c r="O1365" s="130">
        <f ca="1" t="shared" si="1590"/>
        <v>1</v>
      </c>
      <c r="P1365" s="130">
        <f ca="1" t="shared" si="1590"/>
        <v>1</v>
      </c>
      <c r="Q1365" s="130">
        <f ca="1" t="shared" si="1590"/>
        <v>1</v>
      </c>
      <c r="R1365" s="130">
        <f ca="1" t="shared" si="1590"/>
        <v>1</v>
      </c>
      <c r="S1365" s="130">
        <f ca="1" t="shared" si="1590"/>
        <v>1</v>
      </c>
      <c r="T1365" s="130">
        <f ca="1" t="shared" si="1590"/>
        <v>1</v>
      </c>
      <c r="U1365" s="130">
        <f ca="1" t="shared" si="1590"/>
        <v>1</v>
      </c>
      <c r="V1365" s="130">
        <f ca="1" t="shared" si="1590"/>
        <v>1</v>
      </c>
    </row>
    <row r="1366" s="106" customFormat="1" ht="16.5" spans="2:22">
      <c r="B1366" s="117">
        <v>130</v>
      </c>
      <c r="C1366" s="130">
        <f t="shared" si="1589"/>
        <v>13000</v>
      </c>
      <c r="D1366" s="130">
        <f ca="1" t="shared" ref="D1366:V1366" si="1591">IF($C1366&gt;D$633,1,0)</f>
        <v>1</v>
      </c>
      <c r="E1366" s="130">
        <f ca="1" t="shared" si="1591"/>
        <v>1</v>
      </c>
      <c r="F1366" s="130">
        <f ca="1" t="shared" si="1591"/>
        <v>1</v>
      </c>
      <c r="G1366" s="130">
        <f ca="1" t="shared" si="1591"/>
        <v>1</v>
      </c>
      <c r="H1366" s="130">
        <f ca="1" t="shared" si="1591"/>
        <v>1</v>
      </c>
      <c r="I1366" s="130">
        <f ca="1" t="shared" si="1591"/>
        <v>1</v>
      </c>
      <c r="J1366" s="130">
        <f ca="1" t="shared" si="1591"/>
        <v>1</v>
      </c>
      <c r="K1366" s="130">
        <f ca="1" t="shared" si="1591"/>
        <v>1</v>
      </c>
      <c r="L1366" s="130">
        <f ca="1" t="shared" si="1591"/>
        <v>1</v>
      </c>
      <c r="M1366" s="130">
        <f ca="1" t="shared" si="1591"/>
        <v>1</v>
      </c>
      <c r="N1366" s="130">
        <f ca="1" t="shared" si="1591"/>
        <v>1</v>
      </c>
      <c r="O1366" s="130">
        <f ca="1" t="shared" si="1591"/>
        <v>1</v>
      </c>
      <c r="P1366" s="130">
        <f ca="1" t="shared" si="1591"/>
        <v>1</v>
      </c>
      <c r="Q1366" s="130">
        <f ca="1" t="shared" si="1591"/>
        <v>1</v>
      </c>
      <c r="R1366" s="130">
        <f ca="1" t="shared" si="1591"/>
        <v>1</v>
      </c>
      <c r="S1366" s="130">
        <f ca="1" t="shared" si="1591"/>
        <v>1</v>
      </c>
      <c r="T1366" s="130">
        <f ca="1" t="shared" si="1591"/>
        <v>1</v>
      </c>
      <c r="U1366" s="130">
        <f ca="1" t="shared" si="1591"/>
        <v>1</v>
      </c>
      <c r="V1366" s="130">
        <f ca="1" t="shared" si="1591"/>
        <v>1</v>
      </c>
    </row>
    <row r="1367" s="106" customFormat="1" ht="16.5" spans="2:22">
      <c r="B1367" s="117">
        <v>131</v>
      </c>
      <c r="C1367" s="130">
        <f t="shared" si="1589"/>
        <v>13100</v>
      </c>
      <c r="D1367" s="130">
        <f ca="1" t="shared" ref="D1367:V1367" si="1592">IF($C1367&gt;D$633,1,0)</f>
        <v>1</v>
      </c>
      <c r="E1367" s="130">
        <f ca="1" t="shared" si="1592"/>
        <v>1</v>
      </c>
      <c r="F1367" s="130">
        <f ca="1" t="shared" si="1592"/>
        <v>1</v>
      </c>
      <c r="G1367" s="130">
        <f ca="1" t="shared" si="1592"/>
        <v>1</v>
      </c>
      <c r="H1367" s="130">
        <f ca="1" t="shared" si="1592"/>
        <v>1</v>
      </c>
      <c r="I1367" s="130">
        <f ca="1" t="shared" si="1592"/>
        <v>1</v>
      </c>
      <c r="J1367" s="130">
        <f ca="1" t="shared" si="1592"/>
        <v>1</v>
      </c>
      <c r="K1367" s="130">
        <f ca="1" t="shared" si="1592"/>
        <v>1</v>
      </c>
      <c r="L1367" s="130">
        <f ca="1" t="shared" si="1592"/>
        <v>1</v>
      </c>
      <c r="M1367" s="130">
        <f ca="1" t="shared" si="1592"/>
        <v>1</v>
      </c>
      <c r="N1367" s="130">
        <f ca="1" t="shared" si="1592"/>
        <v>1</v>
      </c>
      <c r="O1367" s="130">
        <f ca="1" t="shared" si="1592"/>
        <v>1</v>
      </c>
      <c r="P1367" s="130">
        <f ca="1" t="shared" si="1592"/>
        <v>1</v>
      </c>
      <c r="Q1367" s="130">
        <f ca="1" t="shared" si="1592"/>
        <v>1</v>
      </c>
      <c r="R1367" s="130">
        <f ca="1" t="shared" si="1592"/>
        <v>1</v>
      </c>
      <c r="S1367" s="130">
        <f ca="1" t="shared" si="1592"/>
        <v>1</v>
      </c>
      <c r="T1367" s="130">
        <f ca="1" t="shared" si="1592"/>
        <v>1</v>
      </c>
      <c r="U1367" s="130">
        <f ca="1" t="shared" si="1592"/>
        <v>1</v>
      </c>
      <c r="V1367" s="130">
        <f ca="1" t="shared" si="1592"/>
        <v>1</v>
      </c>
    </row>
    <row r="1368" s="106" customFormat="1" ht="16.5" spans="2:22">
      <c r="B1368" s="117">
        <v>132</v>
      </c>
      <c r="C1368" s="130">
        <f t="shared" si="1589"/>
        <v>13200</v>
      </c>
      <c r="D1368" s="130">
        <f ca="1" t="shared" ref="D1368:V1368" si="1593">IF($C1368&gt;D$633,1,0)</f>
        <v>1</v>
      </c>
      <c r="E1368" s="130">
        <f ca="1" t="shared" si="1593"/>
        <v>1</v>
      </c>
      <c r="F1368" s="130">
        <f ca="1" t="shared" si="1593"/>
        <v>1</v>
      </c>
      <c r="G1368" s="130">
        <f ca="1" t="shared" si="1593"/>
        <v>1</v>
      </c>
      <c r="H1368" s="130">
        <f ca="1" t="shared" si="1593"/>
        <v>1</v>
      </c>
      <c r="I1368" s="130">
        <f ca="1" t="shared" si="1593"/>
        <v>1</v>
      </c>
      <c r="J1368" s="130">
        <f ca="1" t="shared" si="1593"/>
        <v>1</v>
      </c>
      <c r="K1368" s="130">
        <f ca="1" t="shared" si="1593"/>
        <v>1</v>
      </c>
      <c r="L1368" s="130">
        <f ca="1" t="shared" si="1593"/>
        <v>1</v>
      </c>
      <c r="M1368" s="130">
        <f ca="1" t="shared" si="1593"/>
        <v>1</v>
      </c>
      <c r="N1368" s="130">
        <f ca="1" t="shared" si="1593"/>
        <v>1</v>
      </c>
      <c r="O1368" s="130">
        <f ca="1" t="shared" si="1593"/>
        <v>1</v>
      </c>
      <c r="P1368" s="130">
        <f ca="1" t="shared" si="1593"/>
        <v>1</v>
      </c>
      <c r="Q1368" s="130">
        <f ca="1" t="shared" si="1593"/>
        <v>1</v>
      </c>
      <c r="R1368" s="130">
        <f ca="1" t="shared" si="1593"/>
        <v>1</v>
      </c>
      <c r="S1368" s="130">
        <f ca="1" t="shared" si="1593"/>
        <v>1</v>
      </c>
      <c r="T1368" s="130">
        <f ca="1" t="shared" si="1593"/>
        <v>1</v>
      </c>
      <c r="U1368" s="130">
        <f ca="1" t="shared" si="1593"/>
        <v>1</v>
      </c>
      <c r="V1368" s="130">
        <f ca="1" t="shared" si="1593"/>
        <v>1</v>
      </c>
    </row>
    <row r="1369" s="106" customFormat="1" ht="16.5" spans="2:22">
      <c r="B1369" s="117">
        <v>133</v>
      </c>
      <c r="C1369" s="130">
        <f t="shared" si="1589"/>
        <v>13300</v>
      </c>
      <c r="D1369" s="130">
        <f ca="1" t="shared" ref="D1369:V1369" si="1594">IF($C1369&gt;D$633,1,0)</f>
        <v>1</v>
      </c>
      <c r="E1369" s="130">
        <f ca="1" t="shared" si="1594"/>
        <v>1</v>
      </c>
      <c r="F1369" s="130">
        <f ca="1" t="shared" si="1594"/>
        <v>1</v>
      </c>
      <c r="G1369" s="130">
        <f ca="1" t="shared" si="1594"/>
        <v>1</v>
      </c>
      <c r="H1369" s="130">
        <f ca="1" t="shared" si="1594"/>
        <v>1</v>
      </c>
      <c r="I1369" s="130">
        <f ca="1" t="shared" si="1594"/>
        <v>1</v>
      </c>
      <c r="J1369" s="130">
        <f ca="1" t="shared" si="1594"/>
        <v>1</v>
      </c>
      <c r="K1369" s="130">
        <f ca="1" t="shared" si="1594"/>
        <v>1</v>
      </c>
      <c r="L1369" s="130">
        <f ca="1" t="shared" si="1594"/>
        <v>1</v>
      </c>
      <c r="M1369" s="130">
        <f ca="1" t="shared" si="1594"/>
        <v>1</v>
      </c>
      <c r="N1369" s="130">
        <f ca="1" t="shared" si="1594"/>
        <v>1</v>
      </c>
      <c r="O1369" s="130">
        <f ca="1" t="shared" si="1594"/>
        <v>1</v>
      </c>
      <c r="P1369" s="130">
        <f ca="1" t="shared" si="1594"/>
        <v>1</v>
      </c>
      <c r="Q1369" s="130">
        <f ca="1" t="shared" si="1594"/>
        <v>1</v>
      </c>
      <c r="R1369" s="130">
        <f ca="1" t="shared" si="1594"/>
        <v>1</v>
      </c>
      <c r="S1369" s="130">
        <f ca="1" t="shared" si="1594"/>
        <v>1</v>
      </c>
      <c r="T1369" s="130">
        <f ca="1" t="shared" si="1594"/>
        <v>1</v>
      </c>
      <c r="U1369" s="130">
        <f ca="1" t="shared" si="1594"/>
        <v>1</v>
      </c>
      <c r="V1369" s="130">
        <f ca="1" t="shared" si="1594"/>
        <v>1</v>
      </c>
    </row>
    <row r="1370" s="106" customFormat="1" ht="16.5" spans="2:22">
      <c r="B1370" s="117">
        <v>134</v>
      </c>
      <c r="C1370" s="130">
        <f t="shared" si="1589"/>
        <v>13400</v>
      </c>
      <c r="D1370" s="130">
        <f ca="1" t="shared" ref="D1370:V1370" si="1595">IF($C1370&gt;D$633,1,0)</f>
        <v>1</v>
      </c>
      <c r="E1370" s="130">
        <f ca="1" t="shared" si="1595"/>
        <v>1</v>
      </c>
      <c r="F1370" s="130">
        <f ca="1" t="shared" si="1595"/>
        <v>1</v>
      </c>
      <c r="G1370" s="130">
        <f ca="1" t="shared" si="1595"/>
        <v>1</v>
      </c>
      <c r="H1370" s="130">
        <f ca="1" t="shared" si="1595"/>
        <v>1</v>
      </c>
      <c r="I1370" s="130">
        <f ca="1" t="shared" si="1595"/>
        <v>1</v>
      </c>
      <c r="J1370" s="130">
        <f ca="1" t="shared" si="1595"/>
        <v>1</v>
      </c>
      <c r="K1370" s="130">
        <f ca="1" t="shared" si="1595"/>
        <v>1</v>
      </c>
      <c r="L1370" s="130">
        <f ca="1" t="shared" si="1595"/>
        <v>1</v>
      </c>
      <c r="M1370" s="130">
        <f ca="1" t="shared" si="1595"/>
        <v>1</v>
      </c>
      <c r="N1370" s="130">
        <f ca="1" t="shared" si="1595"/>
        <v>1</v>
      </c>
      <c r="O1370" s="130">
        <f ca="1" t="shared" si="1595"/>
        <v>1</v>
      </c>
      <c r="P1370" s="130">
        <f ca="1" t="shared" si="1595"/>
        <v>1</v>
      </c>
      <c r="Q1370" s="130">
        <f ca="1" t="shared" si="1595"/>
        <v>1</v>
      </c>
      <c r="R1370" s="130">
        <f ca="1" t="shared" si="1595"/>
        <v>1</v>
      </c>
      <c r="S1370" s="130">
        <f ca="1" t="shared" si="1595"/>
        <v>1</v>
      </c>
      <c r="T1370" s="130">
        <f ca="1" t="shared" si="1595"/>
        <v>1</v>
      </c>
      <c r="U1370" s="130">
        <f ca="1" t="shared" si="1595"/>
        <v>1</v>
      </c>
      <c r="V1370" s="130">
        <f ca="1" t="shared" si="1595"/>
        <v>1</v>
      </c>
    </row>
    <row r="1371" s="106" customFormat="1" ht="16.5" spans="2:22">
      <c r="B1371" s="117">
        <v>135</v>
      </c>
      <c r="C1371" s="130">
        <f t="shared" si="1589"/>
        <v>13500</v>
      </c>
      <c r="D1371" s="130">
        <f ca="1" t="shared" ref="D1371:V1371" si="1596">IF($C1371&gt;D$633,1,0)</f>
        <v>1</v>
      </c>
      <c r="E1371" s="130">
        <f ca="1" t="shared" si="1596"/>
        <v>1</v>
      </c>
      <c r="F1371" s="130">
        <f ca="1" t="shared" si="1596"/>
        <v>1</v>
      </c>
      <c r="G1371" s="130">
        <f ca="1" t="shared" si="1596"/>
        <v>1</v>
      </c>
      <c r="H1371" s="130">
        <f ca="1" t="shared" si="1596"/>
        <v>1</v>
      </c>
      <c r="I1371" s="130">
        <f ca="1" t="shared" si="1596"/>
        <v>1</v>
      </c>
      <c r="J1371" s="130">
        <f ca="1" t="shared" si="1596"/>
        <v>1</v>
      </c>
      <c r="K1371" s="130">
        <f ca="1" t="shared" si="1596"/>
        <v>1</v>
      </c>
      <c r="L1371" s="130">
        <f ca="1" t="shared" si="1596"/>
        <v>1</v>
      </c>
      <c r="M1371" s="130">
        <f ca="1" t="shared" si="1596"/>
        <v>1</v>
      </c>
      <c r="N1371" s="130">
        <f ca="1" t="shared" si="1596"/>
        <v>1</v>
      </c>
      <c r="O1371" s="130">
        <f ca="1" t="shared" si="1596"/>
        <v>1</v>
      </c>
      <c r="P1371" s="130">
        <f ca="1" t="shared" si="1596"/>
        <v>1</v>
      </c>
      <c r="Q1371" s="130">
        <f ca="1" t="shared" si="1596"/>
        <v>1</v>
      </c>
      <c r="R1371" s="130">
        <f ca="1" t="shared" si="1596"/>
        <v>1</v>
      </c>
      <c r="S1371" s="130">
        <f ca="1" t="shared" si="1596"/>
        <v>1</v>
      </c>
      <c r="T1371" s="130">
        <f ca="1" t="shared" si="1596"/>
        <v>1</v>
      </c>
      <c r="U1371" s="130">
        <f ca="1" t="shared" si="1596"/>
        <v>1</v>
      </c>
      <c r="V1371" s="130">
        <f ca="1" t="shared" si="1596"/>
        <v>1</v>
      </c>
    </row>
    <row r="1372" s="106" customFormat="1" ht="16.5" spans="2:22">
      <c r="B1372" s="117">
        <v>136</v>
      </c>
      <c r="C1372" s="130">
        <f t="shared" si="1589"/>
        <v>13600</v>
      </c>
      <c r="D1372" s="130">
        <f ca="1" t="shared" ref="D1372:V1372" si="1597">IF($C1372&gt;D$633,1,0)</f>
        <v>1</v>
      </c>
      <c r="E1372" s="130">
        <f ca="1" t="shared" si="1597"/>
        <v>1</v>
      </c>
      <c r="F1372" s="130">
        <f ca="1" t="shared" si="1597"/>
        <v>1</v>
      </c>
      <c r="G1372" s="130">
        <f ca="1" t="shared" si="1597"/>
        <v>1</v>
      </c>
      <c r="H1372" s="130">
        <f ca="1" t="shared" si="1597"/>
        <v>1</v>
      </c>
      <c r="I1372" s="130">
        <f ca="1" t="shared" si="1597"/>
        <v>1</v>
      </c>
      <c r="J1372" s="130">
        <f ca="1" t="shared" si="1597"/>
        <v>1</v>
      </c>
      <c r="K1372" s="130">
        <f ca="1" t="shared" si="1597"/>
        <v>1</v>
      </c>
      <c r="L1372" s="130">
        <f ca="1" t="shared" si="1597"/>
        <v>1</v>
      </c>
      <c r="M1372" s="130">
        <f ca="1" t="shared" si="1597"/>
        <v>1</v>
      </c>
      <c r="N1372" s="130">
        <f ca="1" t="shared" si="1597"/>
        <v>1</v>
      </c>
      <c r="O1372" s="130">
        <f ca="1" t="shared" si="1597"/>
        <v>1</v>
      </c>
      <c r="P1372" s="130">
        <f ca="1" t="shared" si="1597"/>
        <v>1</v>
      </c>
      <c r="Q1372" s="130">
        <f ca="1" t="shared" si="1597"/>
        <v>1</v>
      </c>
      <c r="R1372" s="130">
        <f ca="1" t="shared" si="1597"/>
        <v>1</v>
      </c>
      <c r="S1372" s="130">
        <f ca="1" t="shared" si="1597"/>
        <v>1</v>
      </c>
      <c r="T1372" s="130">
        <f ca="1" t="shared" si="1597"/>
        <v>1</v>
      </c>
      <c r="U1372" s="130">
        <f ca="1" t="shared" si="1597"/>
        <v>1</v>
      </c>
      <c r="V1372" s="130">
        <f ca="1" t="shared" si="1597"/>
        <v>1</v>
      </c>
    </row>
    <row r="1373" s="106" customFormat="1" ht="16.5" spans="2:22">
      <c r="B1373" s="117">
        <v>137</v>
      </c>
      <c r="C1373" s="130">
        <f t="shared" si="1589"/>
        <v>13700</v>
      </c>
      <c r="D1373" s="130">
        <f ca="1" t="shared" ref="D1373:V1373" si="1598">IF($C1373&gt;D$633,1,0)</f>
        <v>1</v>
      </c>
      <c r="E1373" s="130">
        <f ca="1" t="shared" si="1598"/>
        <v>1</v>
      </c>
      <c r="F1373" s="130">
        <f ca="1" t="shared" si="1598"/>
        <v>1</v>
      </c>
      <c r="G1373" s="130">
        <f ca="1" t="shared" si="1598"/>
        <v>1</v>
      </c>
      <c r="H1373" s="130">
        <f ca="1" t="shared" si="1598"/>
        <v>1</v>
      </c>
      <c r="I1373" s="130">
        <f ca="1" t="shared" si="1598"/>
        <v>1</v>
      </c>
      <c r="J1373" s="130">
        <f ca="1" t="shared" si="1598"/>
        <v>1</v>
      </c>
      <c r="K1373" s="130">
        <f ca="1" t="shared" si="1598"/>
        <v>1</v>
      </c>
      <c r="L1373" s="130">
        <f ca="1" t="shared" si="1598"/>
        <v>1</v>
      </c>
      <c r="M1373" s="130">
        <f ca="1" t="shared" si="1598"/>
        <v>1</v>
      </c>
      <c r="N1373" s="130">
        <f ca="1" t="shared" si="1598"/>
        <v>1</v>
      </c>
      <c r="O1373" s="130">
        <f ca="1" t="shared" si="1598"/>
        <v>1</v>
      </c>
      <c r="P1373" s="130">
        <f ca="1" t="shared" si="1598"/>
        <v>1</v>
      </c>
      <c r="Q1373" s="130">
        <f ca="1" t="shared" si="1598"/>
        <v>1</v>
      </c>
      <c r="R1373" s="130">
        <f ca="1" t="shared" si="1598"/>
        <v>1</v>
      </c>
      <c r="S1373" s="130">
        <f ca="1" t="shared" si="1598"/>
        <v>1</v>
      </c>
      <c r="T1373" s="130">
        <f ca="1" t="shared" si="1598"/>
        <v>1</v>
      </c>
      <c r="U1373" s="130">
        <f ca="1" t="shared" si="1598"/>
        <v>1</v>
      </c>
      <c r="V1373" s="130">
        <f ca="1" t="shared" si="1598"/>
        <v>1</v>
      </c>
    </row>
    <row r="1374" s="106" customFormat="1" ht="16.5" spans="2:22">
      <c r="B1374" s="117">
        <v>138</v>
      </c>
      <c r="C1374" s="130">
        <f t="shared" si="1589"/>
        <v>13800</v>
      </c>
      <c r="D1374" s="130">
        <f ca="1" t="shared" ref="D1374:V1374" si="1599">IF($C1374&gt;D$633,1,0)</f>
        <v>1</v>
      </c>
      <c r="E1374" s="130">
        <f ca="1" t="shared" si="1599"/>
        <v>1</v>
      </c>
      <c r="F1374" s="130">
        <f ca="1" t="shared" si="1599"/>
        <v>1</v>
      </c>
      <c r="G1374" s="130">
        <f ca="1" t="shared" si="1599"/>
        <v>1</v>
      </c>
      <c r="H1374" s="130">
        <f ca="1" t="shared" si="1599"/>
        <v>1</v>
      </c>
      <c r="I1374" s="130">
        <f ca="1" t="shared" si="1599"/>
        <v>1</v>
      </c>
      <c r="J1374" s="130">
        <f ca="1" t="shared" si="1599"/>
        <v>1</v>
      </c>
      <c r="K1374" s="130">
        <f ca="1" t="shared" si="1599"/>
        <v>1</v>
      </c>
      <c r="L1374" s="130">
        <f ca="1" t="shared" si="1599"/>
        <v>1</v>
      </c>
      <c r="M1374" s="130">
        <f ca="1" t="shared" si="1599"/>
        <v>1</v>
      </c>
      <c r="N1374" s="130">
        <f ca="1" t="shared" si="1599"/>
        <v>1</v>
      </c>
      <c r="O1374" s="130">
        <f ca="1" t="shared" si="1599"/>
        <v>1</v>
      </c>
      <c r="P1374" s="130">
        <f ca="1" t="shared" si="1599"/>
        <v>1</v>
      </c>
      <c r="Q1374" s="130">
        <f ca="1" t="shared" si="1599"/>
        <v>1</v>
      </c>
      <c r="R1374" s="130">
        <f ca="1" t="shared" si="1599"/>
        <v>1</v>
      </c>
      <c r="S1374" s="130">
        <f ca="1" t="shared" si="1599"/>
        <v>1</v>
      </c>
      <c r="T1374" s="130">
        <f ca="1" t="shared" si="1599"/>
        <v>1</v>
      </c>
      <c r="U1374" s="130">
        <f ca="1" t="shared" si="1599"/>
        <v>1</v>
      </c>
      <c r="V1374" s="130">
        <f ca="1" t="shared" si="1599"/>
        <v>1</v>
      </c>
    </row>
    <row r="1375" s="106" customFormat="1" ht="16.5" spans="2:22">
      <c r="B1375" s="117">
        <v>139</v>
      </c>
      <c r="C1375" s="130">
        <f t="shared" si="1589"/>
        <v>13900</v>
      </c>
      <c r="D1375" s="130">
        <f ca="1" t="shared" ref="D1375:V1375" si="1600">IF($C1375&gt;D$633,1,0)</f>
        <v>1</v>
      </c>
      <c r="E1375" s="130">
        <f ca="1" t="shared" si="1600"/>
        <v>1</v>
      </c>
      <c r="F1375" s="130">
        <f ca="1" t="shared" si="1600"/>
        <v>1</v>
      </c>
      <c r="G1375" s="130">
        <f ca="1" t="shared" si="1600"/>
        <v>1</v>
      </c>
      <c r="H1375" s="130">
        <f ca="1" t="shared" si="1600"/>
        <v>1</v>
      </c>
      <c r="I1375" s="130">
        <f ca="1" t="shared" si="1600"/>
        <v>1</v>
      </c>
      <c r="J1375" s="130">
        <f ca="1" t="shared" si="1600"/>
        <v>1</v>
      </c>
      <c r="K1375" s="130">
        <f ca="1" t="shared" si="1600"/>
        <v>1</v>
      </c>
      <c r="L1375" s="130">
        <f ca="1" t="shared" si="1600"/>
        <v>1</v>
      </c>
      <c r="M1375" s="130">
        <f ca="1" t="shared" si="1600"/>
        <v>1</v>
      </c>
      <c r="N1375" s="130">
        <f ca="1" t="shared" si="1600"/>
        <v>1</v>
      </c>
      <c r="O1375" s="130">
        <f ca="1" t="shared" si="1600"/>
        <v>1</v>
      </c>
      <c r="P1375" s="130">
        <f ca="1" t="shared" si="1600"/>
        <v>1</v>
      </c>
      <c r="Q1375" s="130">
        <f ca="1" t="shared" si="1600"/>
        <v>1</v>
      </c>
      <c r="R1375" s="130">
        <f ca="1" t="shared" si="1600"/>
        <v>1</v>
      </c>
      <c r="S1375" s="130">
        <f ca="1" t="shared" si="1600"/>
        <v>1</v>
      </c>
      <c r="T1375" s="130">
        <f ca="1" t="shared" si="1600"/>
        <v>1</v>
      </c>
      <c r="U1375" s="130">
        <f ca="1" t="shared" si="1600"/>
        <v>1</v>
      </c>
      <c r="V1375" s="130">
        <f ca="1" t="shared" si="1600"/>
        <v>1</v>
      </c>
    </row>
    <row r="1376" s="106" customFormat="1" ht="16.5" spans="2:22">
      <c r="B1376" s="117">
        <v>140</v>
      </c>
      <c r="C1376" s="130">
        <f t="shared" si="1589"/>
        <v>14000</v>
      </c>
      <c r="D1376" s="130">
        <f ca="1" t="shared" ref="D1376:V1376" si="1601">IF($C1376&gt;D$633,1,0)</f>
        <v>1</v>
      </c>
      <c r="E1376" s="130">
        <f ca="1" t="shared" si="1601"/>
        <v>1</v>
      </c>
      <c r="F1376" s="130">
        <f ca="1" t="shared" si="1601"/>
        <v>1</v>
      </c>
      <c r="G1376" s="130">
        <f ca="1" t="shared" si="1601"/>
        <v>1</v>
      </c>
      <c r="H1376" s="130">
        <f ca="1" t="shared" si="1601"/>
        <v>1</v>
      </c>
      <c r="I1376" s="130">
        <f ca="1" t="shared" si="1601"/>
        <v>1</v>
      </c>
      <c r="J1376" s="130">
        <f ca="1" t="shared" si="1601"/>
        <v>1</v>
      </c>
      <c r="K1376" s="130">
        <f ca="1" t="shared" si="1601"/>
        <v>1</v>
      </c>
      <c r="L1376" s="130">
        <f ca="1" t="shared" si="1601"/>
        <v>1</v>
      </c>
      <c r="M1376" s="130">
        <f ca="1" t="shared" si="1601"/>
        <v>1</v>
      </c>
      <c r="N1376" s="130">
        <f ca="1" t="shared" si="1601"/>
        <v>1</v>
      </c>
      <c r="O1376" s="130">
        <f ca="1" t="shared" si="1601"/>
        <v>1</v>
      </c>
      <c r="P1376" s="130">
        <f ca="1" t="shared" si="1601"/>
        <v>1</v>
      </c>
      <c r="Q1376" s="130">
        <f ca="1" t="shared" si="1601"/>
        <v>1</v>
      </c>
      <c r="R1376" s="130">
        <f ca="1" t="shared" si="1601"/>
        <v>1</v>
      </c>
      <c r="S1376" s="130">
        <f ca="1" t="shared" si="1601"/>
        <v>1</v>
      </c>
      <c r="T1376" s="130">
        <f ca="1" t="shared" si="1601"/>
        <v>1</v>
      </c>
      <c r="U1376" s="130">
        <f ca="1" t="shared" si="1601"/>
        <v>1</v>
      </c>
      <c r="V1376" s="130">
        <f ca="1" t="shared" si="1601"/>
        <v>1</v>
      </c>
    </row>
    <row r="1377" s="106" customFormat="1" ht="16.5" spans="2:22">
      <c r="B1377" s="117">
        <v>141</v>
      </c>
      <c r="C1377" s="130">
        <f t="shared" si="1589"/>
        <v>14100</v>
      </c>
      <c r="D1377" s="130">
        <f ca="1" t="shared" ref="D1377:V1377" si="1602">IF($C1377&gt;D$633,1,0)</f>
        <v>1</v>
      </c>
      <c r="E1377" s="130">
        <f ca="1" t="shared" si="1602"/>
        <v>1</v>
      </c>
      <c r="F1377" s="130">
        <f ca="1" t="shared" si="1602"/>
        <v>1</v>
      </c>
      <c r="G1377" s="130">
        <f ca="1" t="shared" si="1602"/>
        <v>1</v>
      </c>
      <c r="H1377" s="130">
        <f ca="1" t="shared" si="1602"/>
        <v>1</v>
      </c>
      <c r="I1377" s="130">
        <f ca="1" t="shared" si="1602"/>
        <v>1</v>
      </c>
      <c r="J1377" s="130">
        <f ca="1" t="shared" si="1602"/>
        <v>1</v>
      </c>
      <c r="K1377" s="130">
        <f ca="1" t="shared" si="1602"/>
        <v>1</v>
      </c>
      <c r="L1377" s="130">
        <f ca="1" t="shared" si="1602"/>
        <v>1</v>
      </c>
      <c r="M1377" s="130">
        <f ca="1" t="shared" si="1602"/>
        <v>1</v>
      </c>
      <c r="N1377" s="130">
        <f ca="1" t="shared" si="1602"/>
        <v>1</v>
      </c>
      <c r="O1377" s="130">
        <f ca="1" t="shared" si="1602"/>
        <v>1</v>
      </c>
      <c r="P1377" s="130">
        <f ca="1" t="shared" si="1602"/>
        <v>1</v>
      </c>
      <c r="Q1377" s="130">
        <f ca="1" t="shared" si="1602"/>
        <v>1</v>
      </c>
      <c r="R1377" s="130">
        <f ca="1" t="shared" si="1602"/>
        <v>1</v>
      </c>
      <c r="S1377" s="130">
        <f ca="1" t="shared" si="1602"/>
        <v>1</v>
      </c>
      <c r="T1377" s="130">
        <f ca="1" t="shared" si="1602"/>
        <v>1</v>
      </c>
      <c r="U1377" s="130">
        <f ca="1" t="shared" si="1602"/>
        <v>1</v>
      </c>
      <c r="V1377" s="130">
        <f ca="1" t="shared" si="1602"/>
        <v>1</v>
      </c>
    </row>
    <row r="1378" s="106" customFormat="1" ht="16.5" spans="2:22">
      <c r="B1378" s="117">
        <v>142</v>
      </c>
      <c r="C1378" s="130">
        <f t="shared" si="1589"/>
        <v>14200</v>
      </c>
      <c r="D1378" s="130">
        <f ca="1" t="shared" ref="D1378:V1378" si="1603">IF($C1378&gt;D$633,1,0)</f>
        <v>1</v>
      </c>
      <c r="E1378" s="130">
        <f ca="1" t="shared" si="1603"/>
        <v>1</v>
      </c>
      <c r="F1378" s="130">
        <f ca="1" t="shared" si="1603"/>
        <v>1</v>
      </c>
      <c r="G1378" s="130">
        <f ca="1" t="shared" si="1603"/>
        <v>1</v>
      </c>
      <c r="H1378" s="130">
        <f ca="1" t="shared" si="1603"/>
        <v>1</v>
      </c>
      <c r="I1378" s="130">
        <f ca="1" t="shared" si="1603"/>
        <v>1</v>
      </c>
      <c r="J1378" s="130">
        <f ca="1" t="shared" si="1603"/>
        <v>1</v>
      </c>
      <c r="K1378" s="130">
        <f ca="1" t="shared" si="1603"/>
        <v>1</v>
      </c>
      <c r="L1378" s="130">
        <f ca="1" t="shared" si="1603"/>
        <v>1</v>
      </c>
      <c r="M1378" s="130">
        <f ca="1" t="shared" si="1603"/>
        <v>1</v>
      </c>
      <c r="N1378" s="130">
        <f ca="1" t="shared" si="1603"/>
        <v>1</v>
      </c>
      <c r="O1378" s="130">
        <f ca="1" t="shared" si="1603"/>
        <v>1</v>
      </c>
      <c r="P1378" s="130">
        <f ca="1" t="shared" si="1603"/>
        <v>1</v>
      </c>
      <c r="Q1378" s="130">
        <f ca="1" t="shared" si="1603"/>
        <v>1</v>
      </c>
      <c r="R1378" s="130">
        <f ca="1" t="shared" si="1603"/>
        <v>1</v>
      </c>
      <c r="S1378" s="130">
        <f ca="1" t="shared" si="1603"/>
        <v>1</v>
      </c>
      <c r="T1378" s="130">
        <f ca="1" t="shared" si="1603"/>
        <v>1</v>
      </c>
      <c r="U1378" s="130">
        <f ca="1" t="shared" si="1603"/>
        <v>1</v>
      </c>
      <c r="V1378" s="130">
        <f ca="1" t="shared" si="1603"/>
        <v>1</v>
      </c>
    </row>
    <row r="1379" s="106" customFormat="1" ht="16.5" spans="2:22">
      <c r="B1379" s="117">
        <v>143</v>
      </c>
      <c r="C1379" s="130">
        <f t="shared" si="1589"/>
        <v>14300</v>
      </c>
      <c r="D1379" s="130">
        <f ca="1" t="shared" ref="D1379:V1379" si="1604">IF($C1379&gt;D$633,1,0)</f>
        <v>1</v>
      </c>
      <c r="E1379" s="130">
        <f ca="1" t="shared" si="1604"/>
        <v>1</v>
      </c>
      <c r="F1379" s="130">
        <f ca="1" t="shared" si="1604"/>
        <v>1</v>
      </c>
      <c r="G1379" s="130">
        <f ca="1" t="shared" si="1604"/>
        <v>1</v>
      </c>
      <c r="H1379" s="130">
        <f ca="1" t="shared" si="1604"/>
        <v>1</v>
      </c>
      <c r="I1379" s="130">
        <f ca="1" t="shared" si="1604"/>
        <v>1</v>
      </c>
      <c r="J1379" s="130">
        <f ca="1" t="shared" si="1604"/>
        <v>1</v>
      </c>
      <c r="K1379" s="130">
        <f ca="1" t="shared" si="1604"/>
        <v>1</v>
      </c>
      <c r="L1379" s="130">
        <f ca="1" t="shared" si="1604"/>
        <v>1</v>
      </c>
      <c r="M1379" s="130">
        <f ca="1" t="shared" si="1604"/>
        <v>1</v>
      </c>
      <c r="N1379" s="130">
        <f ca="1" t="shared" si="1604"/>
        <v>1</v>
      </c>
      <c r="O1379" s="130">
        <f ca="1" t="shared" si="1604"/>
        <v>1</v>
      </c>
      <c r="P1379" s="130">
        <f ca="1" t="shared" si="1604"/>
        <v>1</v>
      </c>
      <c r="Q1379" s="130">
        <f ca="1" t="shared" si="1604"/>
        <v>1</v>
      </c>
      <c r="R1379" s="130">
        <f ca="1" t="shared" si="1604"/>
        <v>1</v>
      </c>
      <c r="S1379" s="130">
        <f ca="1" t="shared" si="1604"/>
        <v>1</v>
      </c>
      <c r="T1379" s="130">
        <f ca="1" t="shared" si="1604"/>
        <v>1</v>
      </c>
      <c r="U1379" s="130">
        <f ca="1" t="shared" si="1604"/>
        <v>1</v>
      </c>
      <c r="V1379" s="130">
        <f ca="1" t="shared" si="1604"/>
        <v>1</v>
      </c>
    </row>
    <row r="1380" s="106" customFormat="1" ht="16.5" spans="2:22">
      <c r="B1380" s="117">
        <v>144</v>
      </c>
      <c r="C1380" s="130">
        <f t="shared" si="1589"/>
        <v>14400</v>
      </c>
      <c r="D1380" s="130">
        <f ca="1" t="shared" ref="D1380:V1380" si="1605">IF($C1380&gt;D$633,1,0)</f>
        <v>1</v>
      </c>
      <c r="E1380" s="130">
        <f ca="1" t="shared" si="1605"/>
        <v>1</v>
      </c>
      <c r="F1380" s="130">
        <f ca="1" t="shared" si="1605"/>
        <v>1</v>
      </c>
      <c r="G1380" s="130">
        <f ca="1" t="shared" si="1605"/>
        <v>1</v>
      </c>
      <c r="H1380" s="130">
        <f ca="1" t="shared" si="1605"/>
        <v>1</v>
      </c>
      <c r="I1380" s="130">
        <f ca="1" t="shared" si="1605"/>
        <v>1</v>
      </c>
      <c r="J1380" s="130">
        <f ca="1" t="shared" si="1605"/>
        <v>1</v>
      </c>
      <c r="K1380" s="130">
        <f ca="1" t="shared" si="1605"/>
        <v>1</v>
      </c>
      <c r="L1380" s="130">
        <f ca="1" t="shared" si="1605"/>
        <v>1</v>
      </c>
      <c r="M1380" s="130">
        <f ca="1" t="shared" si="1605"/>
        <v>1</v>
      </c>
      <c r="N1380" s="130">
        <f ca="1" t="shared" si="1605"/>
        <v>1</v>
      </c>
      <c r="O1380" s="130">
        <f ca="1" t="shared" si="1605"/>
        <v>1</v>
      </c>
      <c r="P1380" s="130">
        <f ca="1" t="shared" si="1605"/>
        <v>1</v>
      </c>
      <c r="Q1380" s="130">
        <f ca="1" t="shared" si="1605"/>
        <v>1</v>
      </c>
      <c r="R1380" s="130">
        <f ca="1" t="shared" si="1605"/>
        <v>1</v>
      </c>
      <c r="S1380" s="130">
        <f ca="1" t="shared" si="1605"/>
        <v>1</v>
      </c>
      <c r="T1380" s="130">
        <f ca="1" t="shared" si="1605"/>
        <v>1</v>
      </c>
      <c r="U1380" s="130">
        <f ca="1" t="shared" si="1605"/>
        <v>1</v>
      </c>
      <c r="V1380" s="130">
        <f ca="1" t="shared" si="1605"/>
        <v>1</v>
      </c>
    </row>
    <row r="1381" s="106" customFormat="1" ht="16.5" spans="2:22">
      <c r="B1381" s="117">
        <v>145</v>
      </c>
      <c r="C1381" s="130">
        <f t="shared" si="1589"/>
        <v>14500</v>
      </c>
      <c r="D1381" s="130">
        <f ca="1" t="shared" ref="D1381:V1381" si="1606">IF($C1381&gt;D$633,1,0)</f>
        <v>1</v>
      </c>
      <c r="E1381" s="130">
        <f ca="1" t="shared" si="1606"/>
        <v>1</v>
      </c>
      <c r="F1381" s="130">
        <f ca="1" t="shared" si="1606"/>
        <v>1</v>
      </c>
      <c r="G1381" s="130">
        <f ca="1" t="shared" si="1606"/>
        <v>1</v>
      </c>
      <c r="H1381" s="130">
        <f ca="1" t="shared" si="1606"/>
        <v>1</v>
      </c>
      <c r="I1381" s="130">
        <f ca="1" t="shared" si="1606"/>
        <v>1</v>
      </c>
      <c r="J1381" s="130">
        <f ca="1" t="shared" si="1606"/>
        <v>1</v>
      </c>
      <c r="K1381" s="130">
        <f ca="1" t="shared" si="1606"/>
        <v>1</v>
      </c>
      <c r="L1381" s="130">
        <f ca="1" t="shared" si="1606"/>
        <v>1</v>
      </c>
      <c r="M1381" s="130">
        <f ca="1" t="shared" si="1606"/>
        <v>1</v>
      </c>
      <c r="N1381" s="130">
        <f ca="1" t="shared" si="1606"/>
        <v>1</v>
      </c>
      <c r="O1381" s="130">
        <f ca="1" t="shared" si="1606"/>
        <v>1</v>
      </c>
      <c r="P1381" s="130">
        <f ca="1" t="shared" si="1606"/>
        <v>1</v>
      </c>
      <c r="Q1381" s="130">
        <f ca="1" t="shared" si="1606"/>
        <v>1</v>
      </c>
      <c r="R1381" s="130">
        <f ca="1" t="shared" si="1606"/>
        <v>1</v>
      </c>
      <c r="S1381" s="130">
        <f ca="1" t="shared" si="1606"/>
        <v>1</v>
      </c>
      <c r="T1381" s="130">
        <f ca="1" t="shared" si="1606"/>
        <v>1</v>
      </c>
      <c r="U1381" s="130">
        <f ca="1" t="shared" si="1606"/>
        <v>1</v>
      </c>
      <c r="V1381" s="130">
        <f ca="1" t="shared" si="1606"/>
        <v>1</v>
      </c>
    </row>
    <row r="1382" s="106" customFormat="1" ht="16.5" spans="2:22">
      <c r="B1382" s="117">
        <v>146</v>
      </c>
      <c r="C1382" s="130">
        <f t="shared" si="1589"/>
        <v>14600</v>
      </c>
      <c r="D1382" s="130">
        <f ca="1" t="shared" ref="D1382:V1382" si="1607">IF($C1382&gt;D$633,1,0)</f>
        <v>1</v>
      </c>
      <c r="E1382" s="130">
        <f ca="1" t="shared" si="1607"/>
        <v>1</v>
      </c>
      <c r="F1382" s="130">
        <f ca="1" t="shared" si="1607"/>
        <v>1</v>
      </c>
      <c r="G1382" s="130">
        <f ca="1" t="shared" si="1607"/>
        <v>1</v>
      </c>
      <c r="H1382" s="130">
        <f ca="1" t="shared" si="1607"/>
        <v>1</v>
      </c>
      <c r="I1382" s="130">
        <f ca="1" t="shared" si="1607"/>
        <v>1</v>
      </c>
      <c r="J1382" s="130">
        <f ca="1" t="shared" si="1607"/>
        <v>1</v>
      </c>
      <c r="K1382" s="130">
        <f ca="1" t="shared" si="1607"/>
        <v>1</v>
      </c>
      <c r="L1382" s="130">
        <f ca="1" t="shared" si="1607"/>
        <v>1</v>
      </c>
      <c r="M1382" s="130">
        <f ca="1" t="shared" si="1607"/>
        <v>1</v>
      </c>
      <c r="N1382" s="130">
        <f ca="1" t="shared" si="1607"/>
        <v>1</v>
      </c>
      <c r="O1382" s="130">
        <f ca="1" t="shared" si="1607"/>
        <v>1</v>
      </c>
      <c r="P1382" s="130">
        <f ca="1" t="shared" si="1607"/>
        <v>1</v>
      </c>
      <c r="Q1382" s="130">
        <f ca="1" t="shared" si="1607"/>
        <v>1</v>
      </c>
      <c r="R1382" s="130">
        <f ca="1" t="shared" si="1607"/>
        <v>1</v>
      </c>
      <c r="S1382" s="130">
        <f ca="1" t="shared" si="1607"/>
        <v>1</v>
      </c>
      <c r="T1382" s="130">
        <f ca="1" t="shared" si="1607"/>
        <v>1</v>
      </c>
      <c r="U1382" s="130">
        <f ca="1" t="shared" si="1607"/>
        <v>1</v>
      </c>
      <c r="V1382" s="130">
        <f ca="1" t="shared" si="1607"/>
        <v>1</v>
      </c>
    </row>
    <row r="1383" s="106" customFormat="1" ht="16.5" spans="2:22">
      <c r="B1383" s="117">
        <v>147</v>
      </c>
      <c r="C1383" s="130">
        <f t="shared" si="1589"/>
        <v>14700</v>
      </c>
      <c r="D1383" s="130">
        <f ca="1" t="shared" ref="D1383:V1383" si="1608">IF($C1383&gt;D$633,1,0)</f>
        <v>1</v>
      </c>
      <c r="E1383" s="130">
        <f ca="1" t="shared" si="1608"/>
        <v>1</v>
      </c>
      <c r="F1383" s="130">
        <f ca="1" t="shared" si="1608"/>
        <v>1</v>
      </c>
      <c r="G1383" s="130">
        <f ca="1" t="shared" si="1608"/>
        <v>1</v>
      </c>
      <c r="H1383" s="130">
        <f ca="1" t="shared" si="1608"/>
        <v>1</v>
      </c>
      <c r="I1383" s="130">
        <f ca="1" t="shared" si="1608"/>
        <v>1</v>
      </c>
      <c r="J1383" s="130">
        <f ca="1" t="shared" si="1608"/>
        <v>1</v>
      </c>
      <c r="K1383" s="130">
        <f ca="1" t="shared" si="1608"/>
        <v>1</v>
      </c>
      <c r="L1383" s="130">
        <f ca="1" t="shared" si="1608"/>
        <v>1</v>
      </c>
      <c r="M1383" s="130">
        <f ca="1" t="shared" si="1608"/>
        <v>1</v>
      </c>
      <c r="N1383" s="130">
        <f ca="1" t="shared" si="1608"/>
        <v>1</v>
      </c>
      <c r="O1383" s="130">
        <f ca="1" t="shared" si="1608"/>
        <v>1</v>
      </c>
      <c r="P1383" s="130">
        <f ca="1" t="shared" si="1608"/>
        <v>1</v>
      </c>
      <c r="Q1383" s="130">
        <f ca="1" t="shared" si="1608"/>
        <v>1</v>
      </c>
      <c r="R1383" s="130">
        <f ca="1" t="shared" si="1608"/>
        <v>1</v>
      </c>
      <c r="S1383" s="130">
        <f ca="1" t="shared" si="1608"/>
        <v>1</v>
      </c>
      <c r="T1383" s="130">
        <f ca="1" t="shared" si="1608"/>
        <v>1</v>
      </c>
      <c r="U1383" s="130">
        <f ca="1" t="shared" si="1608"/>
        <v>1</v>
      </c>
      <c r="V1383" s="130">
        <f ca="1" t="shared" si="1608"/>
        <v>1</v>
      </c>
    </row>
    <row r="1384" s="106" customFormat="1" ht="16.5" spans="2:22">
      <c r="B1384" s="117">
        <v>148</v>
      </c>
      <c r="C1384" s="130">
        <f t="shared" si="1589"/>
        <v>14800</v>
      </c>
      <c r="D1384" s="130">
        <f ca="1" t="shared" ref="D1384:V1384" si="1609">IF($C1384&gt;D$633,1,0)</f>
        <v>1</v>
      </c>
      <c r="E1384" s="130">
        <f ca="1" t="shared" si="1609"/>
        <v>1</v>
      </c>
      <c r="F1384" s="130">
        <f ca="1" t="shared" si="1609"/>
        <v>1</v>
      </c>
      <c r="G1384" s="130">
        <f ca="1" t="shared" si="1609"/>
        <v>1</v>
      </c>
      <c r="H1384" s="130">
        <f ca="1" t="shared" si="1609"/>
        <v>1</v>
      </c>
      <c r="I1384" s="130">
        <f ca="1" t="shared" si="1609"/>
        <v>1</v>
      </c>
      <c r="J1384" s="130">
        <f ca="1" t="shared" si="1609"/>
        <v>1</v>
      </c>
      <c r="K1384" s="130">
        <f ca="1" t="shared" si="1609"/>
        <v>1</v>
      </c>
      <c r="L1384" s="130">
        <f ca="1" t="shared" si="1609"/>
        <v>1</v>
      </c>
      <c r="M1384" s="130">
        <f ca="1" t="shared" si="1609"/>
        <v>1</v>
      </c>
      <c r="N1384" s="130">
        <f ca="1" t="shared" si="1609"/>
        <v>1</v>
      </c>
      <c r="O1384" s="130">
        <f ca="1" t="shared" si="1609"/>
        <v>1</v>
      </c>
      <c r="P1384" s="130">
        <f ca="1" t="shared" si="1609"/>
        <v>1</v>
      </c>
      <c r="Q1384" s="130">
        <f ca="1" t="shared" si="1609"/>
        <v>1</v>
      </c>
      <c r="R1384" s="130">
        <f ca="1" t="shared" si="1609"/>
        <v>1</v>
      </c>
      <c r="S1384" s="130">
        <f ca="1" t="shared" si="1609"/>
        <v>1</v>
      </c>
      <c r="T1384" s="130">
        <f ca="1" t="shared" si="1609"/>
        <v>1</v>
      </c>
      <c r="U1384" s="130">
        <f ca="1" t="shared" si="1609"/>
        <v>1</v>
      </c>
      <c r="V1384" s="130">
        <f ca="1" t="shared" si="1609"/>
        <v>1</v>
      </c>
    </row>
    <row r="1385" s="106" customFormat="1" ht="16.5" spans="2:22">
      <c r="B1385" s="117">
        <v>149</v>
      </c>
      <c r="C1385" s="130">
        <f t="shared" si="1589"/>
        <v>14900</v>
      </c>
      <c r="D1385" s="130">
        <f ca="1" t="shared" ref="D1385:V1385" si="1610">IF($C1385&gt;D$633,1,0)</f>
        <v>1</v>
      </c>
      <c r="E1385" s="130">
        <f ca="1" t="shared" si="1610"/>
        <v>1</v>
      </c>
      <c r="F1385" s="130">
        <f ca="1" t="shared" si="1610"/>
        <v>1</v>
      </c>
      <c r="G1385" s="130">
        <f ca="1" t="shared" si="1610"/>
        <v>1</v>
      </c>
      <c r="H1385" s="130">
        <f ca="1" t="shared" si="1610"/>
        <v>1</v>
      </c>
      <c r="I1385" s="130">
        <f ca="1" t="shared" si="1610"/>
        <v>1</v>
      </c>
      <c r="J1385" s="130">
        <f ca="1" t="shared" si="1610"/>
        <v>1</v>
      </c>
      <c r="K1385" s="130">
        <f ca="1" t="shared" si="1610"/>
        <v>1</v>
      </c>
      <c r="L1385" s="130">
        <f ca="1" t="shared" si="1610"/>
        <v>1</v>
      </c>
      <c r="M1385" s="130">
        <f ca="1" t="shared" si="1610"/>
        <v>1</v>
      </c>
      <c r="N1385" s="130">
        <f ca="1" t="shared" si="1610"/>
        <v>1</v>
      </c>
      <c r="O1385" s="130">
        <f ca="1" t="shared" si="1610"/>
        <v>1</v>
      </c>
      <c r="P1385" s="130">
        <f ca="1" t="shared" si="1610"/>
        <v>1</v>
      </c>
      <c r="Q1385" s="130">
        <f ca="1" t="shared" si="1610"/>
        <v>1</v>
      </c>
      <c r="R1385" s="130">
        <f ca="1" t="shared" si="1610"/>
        <v>1</v>
      </c>
      <c r="S1385" s="130">
        <f ca="1" t="shared" si="1610"/>
        <v>1</v>
      </c>
      <c r="T1385" s="130">
        <f ca="1" t="shared" si="1610"/>
        <v>1</v>
      </c>
      <c r="U1385" s="130">
        <f ca="1" t="shared" si="1610"/>
        <v>1</v>
      </c>
      <c r="V1385" s="130">
        <f ca="1" t="shared" si="1610"/>
        <v>1</v>
      </c>
    </row>
    <row r="1386" s="106" customFormat="1" ht="16.5" spans="2:22">
      <c r="B1386" s="117">
        <v>150</v>
      </c>
      <c r="C1386" s="130">
        <f t="shared" si="1589"/>
        <v>15000</v>
      </c>
      <c r="D1386" s="130">
        <f ca="1" t="shared" ref="D1386:V1386" si="1611">IF($C1386&gt;D$633,1,0)</f>
        <v>1</v>
      </c>
      <c r="E1386" s="130">
        <f ca="1" t="shared" si="1611"/>
        <v>1</v>
      </c>
      <c r="F1386" s="130">
        <f ca="1" t="shared" si="1611"/>
        <v>1</v>
      </c>
      <c r="G1386" s="130">
        <f ca="1" t="shared" si="1611"/>
        <v>1</v>
      </c>
      <c r="H1386" s="130">
        <f ca="1" t="shared" si="1611"/>
        <v>1</v>
      </c>
      <c r="I1386" s="130">
        <f ca="1" t="shared" si="1611"/>
        <v>1</v>
      </c>
      <c r="J1386" s="130">
        <f ca="1" t="shared" si="1611"/>
        <v>1</v>
      </c>
      <c r="K1386" s="130">
        <f ca="1" t="shared" si="1611"/>
        <v>1</v>
      </c>
      <c r="L1386" s="130">
        <f ca="1" t="shared" si="1611"/>
        <v>1</v>
      </c>
      <c r="M1386" s="130">
        <f ca="1" t="shared" si="1611"/>
        <v>1</v>
      </c>
      <c r="N1386" s="130">
        <f ca="1" t="shared" si="1611"/>
        <v>1</v>
      </c>
      <c r="O1386" s="130">
        <f ca="1" t="shared" si="1611"/>
        <v>1</v>
      </c>
      <c r="P1386" s="130">
        <f ca="1" t="shared" si="1611"/>
        <v>1</v>
      </c>
      <c r="Q1386" s="130">
        <f ca="1" t="shared" si="1611"/>
        <v>1</v>
      </c>
      <c r="R1386" s="130">
        <f ca="1" t="shared" si="1611"/>
        <v>1</v>
      </c>
      <c r="S1386" s="130">
        <f ca="1" t="shared" si="1611"/>
        <v>1</v>
      </c>
      <c r="T1386" s="130">
        <f ca="1" t="shared" si="1611"/>
        <v>1</v>
      </c>
      <c r="U1386" s="130">
        <f ca="1" t="shared" si="1611"/>
        <v>1</v>
      </c>
      <c r="V1386" s="130">
        <f ca="1" t="shared" si="1611"/>
        <v>1</v>
      </c>
    </row>
    <row r="1387" s="106" customFormat="1" ht="16.5" spans="2:22">
      <c r="B1387" s="117">
        <v>151</v>
      </c>
      <c r="C1387" s="130">
        <f t="shared" si="1589"/>
        <v>15100</v>
      </c>
      <c r="D1387" s="130">
        <f ca="1" t="shared" ref="D1387:V1387" si="1612">IF($C1387&gt;D$633,1,0)</f>
        <v>1</v>
      </c>
      <c r="E1387" s="130">
        <f ca="1" t="shared" si="1612"/>
        <v>1</v>
      </c>
      <c r="F1387" s="130">
        <f ca="1" t="shared" si="1612"/>
        <v>1</v>
      </c>
      <c r="G1387" s="130">
        <f ca="1" t="shared" si="1612"/>
        <v>1</v>
      </c>
      <c r="H1387" s="130">
        <f ca="1" t="shared" si="1612"/>
        <v>1</v>
      </c>
      <c r="I1387" s="130">
        <f ca="1" t="shared" si="1612"/>
        <v>1</v>
      </c>
      <c r="J1387" s="130">
        <f ca="1" t="shared" si="1612"/>
        <v>1</v>
      </c>
      <c r="K1387" s="130">
        <f ca="1" t="shared" si="1612"/>
        <v>1</v>
      </c>
      <c r="L1387" s="130">
        <f ca="1" t="shared" si="1612"/>
        <v>1</v>
      </c>
      <c r="M1387" s="130">
        <f ca="1" t="shared" si="1612"/>
        <v>1</v>
      </c>
      <c r="N1387" s="130">
        <f ca="1" t="shared" si="1612"/>
        <v>1</v>
      </c>
      <c r="O1387" s="130">
        <f ca="1" t="shared" si="1612"/>
        <v>1</v>
      </c>
      <c r="P1387" s="130">
        <f ca="1" t="shared" si="1612"/>
        <v>1</v>
      </c>
      <c r="Q1387" s="130">
        <f ca="1" t="shared" si="1612"/>
        <v>1</v>
      </c>
      <c r="R1387" s="130">
        <f ca="1" t="shared" si="1612"/>
        <v>1</v>
      </c>
      <c r="S1387" s="130">
        <f ca="1" t="shared" si="1612"/>
        <v>1</v>
      </c>
      <c r="T1387" s="130">
        <f ca="1" t="shared" si="1612"/>
        <v>1</v>
      </c>
      <c r="U1387" s="130">
        <f ca="1" t="shared" si="1612"/>
        <v>1</v>
      </c>
      <c r="V1387" s="130">
        <f ca="1" t="shared" si="1612"/>
        <v>1</v>
      </c>
    </row>
    <row r="1388" s="106" customFormat="1" ht="16.5" spans="2:22">
      <c r="B1388" s="117">
        <v>152</v>
      </c>
      <c r="C1388" s="130">
        <f t="shared" si="1589"/>
        <v>15200</v>
      </c>
      <c r="D1388" s="130">
        <f ca="1" t="shared" ref="D1388:V1388" si="1613">IF($C1388&gt;D$633,1,0)</f>
        <v>1</v>
      </c>
      <c r="E1388" s="130">
        <f ca="1" t="shared" si="1613"/>
        <v>1</v>
      </c>
      <c r="F1388" s="130">
        <f ca="1" t="shared" si="1613"/>
        <v>1</v>
      </c>
      <c r="G1388" s="130">
        <f ca="1" t="shared" si="1613"/>
        <v>1</v>
      </c>
      <c r="H1388" s="130">
        <f ca="1" t="shared" si="1613"/>
        <v>1</v>
      </c>
      <c r="I1388" s="130">
        <f ca="1" t="shared" si="1613"/>
        <v>1</v>
      </c>
      <c r="J1388" s="130">
        <f ca="1" t="shared" si="1613"/>
        <v>1</v>
      </c>
      <c r="K1388" s="130">
        <f ca="1" t="shared" si="1613"/>
        <v>1</v>
      </c>
      <c r="L1388" s="130">
        <f ca="1" t="shared" si="1613"/>
        <v>1</v>
      </c>
      <c r="M1388" s="130">
        <f ca="1" t="shared" si="1613"/>
        <v>1</v>
      </c>
      <c r="N1388" s="130">
        <f ca="1" t="shared" si="1613"/>
        <v>1</v>
      </c>
      <c r="O1388" s="130">
        <f ca="1" t="shared" si="1613"/>
        <v>1</v>
      </c>
      <c r="P1388" s="130">
        <f ca="1" t="shared" si="1613"/>
        <v>1</v>
      </c>
      <c r="Q1388" s="130">
        <f ca="1" t="shared" si="1613"/>
        <v>1</v>
      </c>
      <c r="R1388" s="130">
        <f ca="1" t="shared" si="1613"/>
        <v>1</v>
      </c>
      <c r="S1388" s="130">
        <f ca="1" t="shared" si="1613"/>
        <v>1</v>
      </c>
      <c r="T1388" s="130">
        <f ca="1" t="shared" si="1613"/>
        <v>1</v>
      </c>
      <c r="U1388" s="130">
        <f ca="1" t="shared" si="1613"/>
        <v>1</v>
      </c>
      <c r="V1388" s="130">
        <f ca="1" t="shared" si="1613"/>
        <v>1</v>
      </c>
    </row>
    <row r="1389" s="106" customFormat="1" ht="16.5" spans="2:22">
      <c r="B1389" s="117">
        <v>153</v>
      </c>
      <c r="C1389" s="130">
        <f t="shared" si="1589"/>
        <v>15300</v>
      </c>
      <c r="D1389" s="130">
        <f ca="1" t="shared" ref="D1389:V1389" si="1614">IF($C1389&gt;D$633,1,0)</f>
        <v>1</v>
      </c>
      <c r="E1389" s="130">
        <f ca="1" t="shared" si="1614"/>
        <v>1</v>
      </c>
      <c r="F1389" s="130">
        <f ca="1" t="shared" si="1614"/>
        <v>1</v>
      </c>
      <c r="G1389" s="130">
        <f ca="1" t="shared" si="1614"/>
        <v>1</v>
      </c>
      <c r="H1389" s="130">
        <f ca="1" t="shared" si="1614"/>
        <v>1</v>
      </c>
      <c r="I1389" s="130">
        <f ca="1" t="shared" si="1614"/>
        <v>1</v>
      </c>
      <c r="J1389" s="130">
        <f ca="1" t="shared" si="1614"/>
        <v>1</v>
      </c>
      <c r="K1389" s="130">
        <f ca="1" t="shared" si="1614"/>
        <v>1</v>
      </c>
      <c r="L1389" s="130">
        <f ca="1" t="shared" si="1614"/>
        <v>1</v>
      </c>
      <c r="M1389" s="130">
        <f ca="1" t="shared" si="1614"/>
        <v>1</v>
      </c>
      <c r="N1389" s="130">
        <f ca="1" t="shared" si="1614"/>
        <v>1</v>
      </c>
      <c r="O1389" s="130">
        <f ca="1" t="shared" si="1614"/>
        <v>1</v>
      </c>
      <c r="P1389" s="130">
        <f ca="1" t="shared" si="1614"/>
        <v>1</v>
      </c>
      <c r="Q1389" s="130">
        <f ca="1" t="shared" si="1614"/>
        <v>1</v>
      </c>
      <c r="R1389" s="130">
        <f ca="1" t="shared" si="1614"/>
        <v>1</v>
      </c>
      <c r="S1389" s="130">
        <f ca="1" t="shared" si="1614"/>
        <v>1</v>
      </c>
      <c r="T1389" s="130">
        <f ca="1" t="shared" si="1614"/>
        <v>1</v>
      </c>
      <c r="U1389" s="130">
        <f ca="1" t="shared" si="1614"/>
        <v>1</v>
      </c>
      <c r="V1389" s="130">
        <f ca="1" t="shared" si="1614"/>
        <v>1</v>
      </c>
    </row>
    <row r="1390" s="106" customFormat="1" ht="16.5" spans="2:22">
      <c r="B1390" s="117">
        <v>154</v>
      </c>
      <c r="C1390" s="130">
        <f t="shared" si="1589"/>
        <v>15400</v>
      </c>
      <c r="D1390" s="130">
        <f ca="1" t="shared" ref="D1390:V1390" si="1615">IF($C1390&gt;D$633,1,0)</f>
        <v>1</v>
      </c>
      <c r="E1390" s="130">
        <f ca="1" t="shared" si="1615"/>
        <v>1</v>
      </c>
      <c r="F1390" s="130">
        <f ca="1" t="shared" si="1615"/>
        <v>1</v>
      </c>
      <c r="G1390" s="130">
        <f ca="1" t="shared" si="1615"/>
        <v>1</v>
      </c>
      <c r="H1390" s="130">
        <f ca="1" t="shared" si="1615"/>
        <v>1</v>
      </c>
      <c r="I1390" s="130">
        <f ca="1" t="shared" si="1615"/>
        <v>1</v>
      </c>
      <c r="J1390" s="130">
        <f ca="1" t="shared" si="1615"/>
        <v>1</v>
      </c>
      <c r="K1390" s="130">
        <f ca="1" t="shared" si="1615"/>
        <v>1</v>
      </c>
      <c r="L1390" s="130">
        <f ca="1" t="shared" si="1615"/>
        <v>1</v>
      </c>
      <c r="M1390" s="130">
        <f ca="1" t="shared" si="1615"/>
        <v>1</v>
      </c>
      <c r="N1390" s="130">
        <f ca="1" t="shared" si="1615"/>
        <v>1</v>
      </c>
      <c r="O1390" s="130">
        <f ca="1" t="shared" si="1615"/>
        <v>1</v>
      </c>
      <c r="P1390" s="130">
        <f ca="1" t="shared" si="1615"/>
        <v>1</v>
      </c>
      <c r="Q1390" s="130">
        <f ca="1" t="shared" si="1615"/>
        <v>1</v>
      </c>
      <c r="R1390" s="130">
        <f ca="1" t="shared" si="1615"/>
        <v>1</v>
      </c>
      <c r="S1390" s="130">
        <f ca="1" t="shared" si="1615"/>
        <v>1</v>
      </c>
      <c r="T1390" s="130">
        <f ca="1" t="shared" si="1615"/>
        <v>1</v>
      </c>
      <c r="U1390" s="130">
        <f ca="1" t="shared" si="1615"/>
        <v>1</v>
      </c>
      <c r="V1390" s="130">
        <f ca="1" t="shared" si="1615"/>
        <v>1</v>
      </c>
    </row>
    <row r="1391" s="106" customFormat="1" ht="16.5" spans="2:22">
      <c r="B1391" s="117">
        <v>155</v>
      </c>
      <c r="C1391" s="130">
        <f t="shared" si="1589"/>
        <v>15500</v>
      </c>
      <c r="D1391" s="130">
        <f ca="1" t="shared" ref="D1391:V1391" si="1616">IF($C1391&gt;D$633,1,0)</f>
        <v>1</v>
      </c>
      <c r="E1391" s="130">
        <f ca="1" t="shared" si="1616"/>
        <v>1</v>
      </c>
      <c r="F1391" s="130">
        <f ca="1" t="shared" si="1616"/>
        <v>1</v>
      </c>
      <c r="G1391" s="130">
        <f ca="1" t="shared" si="1616"/>
        <v>1</v>
      </c>
      <c r="H1391" s="130">
        <f ca="1" t="shared" si="1616"/>
        <v>1</v>
      </c>
      <c r="I1391" s="130">
        <f ca="1" t="shared" si="1616"/>
        <v>1</v>
      </c>
      <c r="J1391" s="130">
        <f ca="1" t="shared" si="1616"/>
        <v>1</v>
      </c>
      <c r="K1391" s="130">
        <f ca="1" t="shared" si="1616"/>
        <v>1</v>
      </c>
      <c r="L1391" s="130">
        <f ca="1" t="shared" si="1616"/>
        <v>1</v>
      </c>
      <c r="M1391" s="130">
        <f ca="1" t="shared" si="1616"/>
        <v>1</v>
      </c>
      <c r="N1391" s="130">
        <f ca="1" t="shared" si="1616"/>
        <v>1</v>
      </c>
      <c r="O1391" s="130">
        <f ca="1" t="shared" si="1616"/>
        <v>1</v>
      </c>
      <c r="P1391" s="130">
        <f ca="1" t="shared" si="1616"/>
        <v>1</v>
      </c>
      <c r="Q1391" s="130">
        <f ca="1" t="shared" si="1616"/>
        <v>1</v>
      </c>
      <c r="R1391" s="130">
        <f ca="1" t="shared" si="1616"/>
        <v>1</v>
      </c>
      <c r="S1391" s="130">
        <f ca="1" t="shared" si="1616"/>
        <v>1</v>
      </c>
      <c r="T1391" s="130">
        <f ca="1" t="shared" si="1616"/>
        <v>1</v>
      </c>
      <c r="U1391" s="130">
        <f ca="1" t="shared" si="1616"/>
        <v>1</v>
      </c>
      <c r="V1391" s="130">
        <f ca="1" t="shared" si="1616"/>
        <v>1</v>
      </c>
    </row>
    <row r="1392" s="106" customFormat="1" ht="16.5" spans="2:22">
      <c r="B1392" s="117">
        <v>156</v>
      </c>
      <c r="C1392" s="130">
        <f t="shared" si="1589"/>
        <v>15600</v>
      </c>
      <c r="D1392" s="130">
        <f ca="1" t="shared" ref="D1392:V1392" si="1617">IF($C1392&gt;D$633,1,0)</f>
        <v>1</v>
      </c>
      <c r="E1392" s="130">
        <f ca="1" t="shared" si="1617"/>
        <v>1</v>
      </c>
      <c r="F1392" s="130">
        <f ca="1" t="shared" si="1617"/>
        <v>1</v>
      </c>
      <c r="G1392" s="130">
        <f ca="1" t="shared" si="1617"/>
        <v>1</v>
      </c>
      <c r="H1392" s="130">
        <f ca="1" t="shared" si="1617"/>
        <v>1</v>
      </c>
      <c r="I1392" s="130">
        <f ca="1" t="shared" si="1617"/>
        <v>1</v>
      </c>
      <c r="J1392" s="130">
        <f ca="1" t="shared" si="1617"/>
        <v>1</v>
      </c>
      <c r="K1392" s="130">
        <f ca="1" t="shared" si="1617"/>
        <v>1</v>
      </c>
      <c r="L1392" s="130">
        <f ca="1" t="shared" si="1617"/>
        <v>1</v>
      </c>
      <c r="M1392" s="130">
        <f ca="1" t="shared" si="1617"/>
        <v>1</v>
      </c>
      <c r="N1392" s="130">
        <f ca="1" t="shared" si="1617"/>
        <v>1</v>
      </c>
      <c r="O1392" s="130">
        <f ca="1" t="shared" si="1617"/>
        <v>1</v>
      </c>
      <c r="P1392" s="130">
        <f ca="1" t="shared" si="1617"/>
        <v>1</v>
      </c>
      <c r="Q1392" s="130">
        <f ca="1" t="shared" si="1617"/>
        <v>1</v>
      </c>
      <c r="R1392" s="130">
        <f ca="1" t="shared" si="1617"/>
        <v>1</v>
      </c>
      <c r="S1392" s="130">
        <f ca="1" t="shared" si="1617"/>
        <v>1</v>
      </c>
      <c r="T1392" s="130">
        <f ca="1" t="shared" si="1617"/>
        <v>1</v>
      </c>
      <c r="U1392" s="130">
        <f ca="1" t="shared" si="1617"/>
        <v>1</v>
      </c>
      <c r="V1392" s="130">
        <f ca="1" t="shared" si="1617"/>
        <v>1</v>
      </c>
    </row>
    <row r="1393" s="106" customFormat="1" ht="16.5" spans="2:22">
      <c r="B1393" s="117">
        <v>157</v>
      </c>
      <c r="C1393" s="130">
        <f t="shared" si="1589"/>
        <v>15700</v>
      </c>
      <c r="D1393" s="130">
        <f ca="1" t="shared" ref="D1393:V1393" si="1618">IF($C1393&gt;D$633,1,0)</f>
        <v>1</v>
      </c>
      <c r="E1393" s="130">
        <f ca="1" t="shared" si="1618"/>
        <v>1</v>
      </c>
      <c r="F1393" s="130">
        <f ca="1" t="shared" si="1618"/>
        <v>1</v>
      </c>
      <c r="G1393" s="130">
        <f ca="1" t="shared" si="1618"/>
        <v>1</v>
      </c>
      <c r="H1393" s="130">
        <f ca="1" t="shared" si="1618"/>
        <v>1</v>
      </c>
      <c r="I1393" s="130">
        <f ca="1" t="shared" si="1618"/>
        <v>1</v>
      </c>
      <c r="J1393" s="130">
        <f ca="1" t="shared" si="1618"/>
        <v>1</v>
      </c>
      <c r="K1393" s="130">
        <f ca="1" t="shared" si="1618"/>
        <v>1</v>
      </c>
      <c r="L1393" s="130">
        <f ca="1" t="shared" si="1618"/>
        <v>1</v>
      </c>
      <c r="M1393" s="130">
        <f ca="1" t="shared" si="1618"/>
        <v>1</v>
      </c>
      <c r="N1393" s="130">
        <f ca="1" t="shared" si="1618"/>
        <v>1</v>
      </c>
      <c r="O1393" s="130">
        <f ca="1" t="shared" si="1618"/>
        <v>1</v>
      </c>
      <c r="P1393" s="130">
        <f ca="1" t="shared" si="1618"/>
        <v>1</v>
      </c>
      <c r="Q1393" s="130">
        <f ca="1" t="shared" si="1618"/>
        <v>1</v>
      </c>
      <c r="R1393" s="130">
        <f ca="1" t="shared" si="1618"/>
        <v>1</v>
      </c>
      <c r="S1393" s="130">
        <f ca="1" t="shared" si="1618"/>
        <v>1</v>
      </c>
      <c r="T1393" s="130">
        <f ca="1" t="shared" si="1618"/>
        <v>1</v>
      </c>
      <c r="U1393" s="130">
        <f ca="1" t="shared" si="1618"/>
        <v>1</v>
      </c>
      <c r="V1393" s="130">
        <f ca="1" t="shared" si="1618"/>
        <v>1</v>
      </c>
    </row>
    <row r="1394" s="106" customFormat="1" ht="16.5" spans="2:22">
      <c r="B1394" s="117">
        <v>158</v>
      </c>
      <c r="C1394" s="130">
        <f t="shared" si="1589"/>
        <v>15800</v>
      </c>
      <c r="D1394" s="130">
        <f ca="1" t="shared" ref="D1394:V1394" si="1619">IF($C1394&gt;D$633,1,0)</f>
        <v>1</v>
      </c>
      <c r="E1394" s="130">
        <f ca="1" t="shared" si="1619"/>
        <v>1</v>
      </c>
      <c r="F1394" s="130">
        <f ca="1" t="shared" si="1619"/>
        <v>1</v>
      </c>
      <c r="G1394" s="130">
        <f ca="1" t="shared" si="1619"/>
        <v>1</v>
      </c>
      <c r="H1394" s="130">
        <f ca="1" t="shared" si="1619"/>
        <v>1</v>
      </c>
      <c r="I1394" s="130">
        <f ca="1" t="shared" si="1619"/>
        <v>1</v>
      </c>
      <c r="J1394" s="130">
        <f ca="1" t="shared" si="1619"/>
        <v>1</v>
      </c>
      <c r="K1394" s="130">
        <f ca="1" t="shared" si="1619"/>
        <v>1</v>
      </c>
      <c r="L1394" s="130">
        <f ca="1" t="shared" si="1619"/>
        <v>1</v>
      </c>
      <c r="M1394" s="130">
        <f ca="1" t="shared" si="1619"/>
        <v>1</v>
      </c>
      <c r="N1394" s="130">
        <f ca="1" t="shared" si="1619"/>
        <v>1</v>
      </c>
      <c r="O1394" s="130">
        <f ca="1" t="shared" si="1619"/>
        <v>1</v>
      </c>
      <c r="P1394" s="130">
        <f ca="1" t="shared" si="1619"/>
        <v>1</v>
      </c>
      <c r="Q1394" s="130">
        <f ca="1" t="shared" si="1619"/>
        <v>1</v>
      </c>
      <c r="R1394" s="130">
        <f ca="1" t="shared" si="1619"/>
        <v>1</v>
      </c>
      <c r="S1394" s="130">
        <f ca="1" t="shared" si="1619"/>
        <v>1</v>
      </c>
      <c r="T1394" s="130">
        <f ca="1" t="shared" si="1619"/>
        <v>1</v>
      </c>
      <c r="U1394" s="130">
        <f ca="1" t="shared" si="1619"/>
        <v>1</v>
      </c>
      <c r="V1394" s="130">
        <f ca="1" t="shared" si="1619"/>
        <v>1</v>
      </c>
    </row>
    <row r="1395" s="106" customFormat="1" ht="16.5" spans="2:22">
      <c r="B1395" s="117">
        <v>159</v>
      </c>
      <c r="C1395" s="130">
        <f t="shared" si="1589"/>
        <v>15900</v>
      </c>
      <c r="D1395" s="130">
        <f ca="1" t="shared" ref="D1395:V1395" si="1620">IF($C1395&gt;D$633,1,0)</f>
        <v>1</v>
      </c>
      <c r="E1395" s="130">
        <f ca="1" t="shared" si="1620"/>
        <v>1</v>
      </c>
      <c r="F1395" s="130">
        <f ca="1" t="shared" si="1620"/>
        <v>1</v>
      </c>
      <c r="G1395" s="130">
        <f ca="1" t="shared" si="1620"/>
        <v>1</v>
      </c>
      <c r="H1395" s="130">
        <f ca="1" t="shared" si="1620"/>
        <v>1</v>
      </c>
      <c r="I1395" s="130">
        <f ca="1" t="shared" si="1620"/>
        <v>1</v>
      </c>
      <c r="J1395" s="130">
        <f ca="1" t="shared" si="1620"/>
        <v>1</v>
      </c>
      <c r="K1395" s="130">
        <f ca="1" t="shared" si="1620"/>
        <v>1</v>
      </c>
      <c r="L1395" s="130">
        <f ca="1" t="shared" si="1620"/>
        <v>1</v>
      </c>
      <c r="M1395" s="130">
        <f ca="1" t="shared" si="1620"/>
        <v>1</v>
      </c>
      <c r="N1395" s="130">
        <f ca="1" t="shared" si="1620"/>
        <v>1</v>
      </c>
      <c r="O1395" s="130">
        <f ca="1" t="shared" si="1620"/>
        <v>1</v>
      </c>
      <c r="P1395" s="130">
        <f ca="1" t="shared" si="1620"/>
        <v>1</v>
      </c>
      <c r="Q1395" s="130">
        <f ca="1" t="shared" si="1620"/>
        <v>1</v>
      </c>
      <c r="R1395" s="130">
        <f ca="1" t="shared" si="1620"/>
        <v>1</v>
      </c>
      <c r="S1395" s="130">
        <f ca="1" t="shared" si="1620"/>
        <v>1</v>
      </c>
      <c r="T1395" s="130">
        <f ca="1" t="shared" si="1620"/>
        <v>1</v>
      </c>
      <c r="U1395" s="130">
        <f ca="1" t="shared" si="1620"/>
        <v>1</v>
      </c>
      <c r="V1395" s="130">
        <f ca="1" t="shared" si="1620"/>
        <v>1</v>
      </c>
    </row>
    <row r="1396" s="106" customFormat="1" ht="16.5" spans="2:22">
      <c r="B1396" s="117">
        <v>160</v>
      </c>
      <c r="C1396" s="130">
        <f t="shared" si="1589"/>
        <v>16000</v>
      </c>
      <c r="D1396" s="130">
        <f ca="1" t="shared" ref="D1396:V1396" si="1621">IF($C1396&gt;D$633,1,0)</f>
        <v>1</v>
      </c>
      <c r="E1396" s="130">
        <f ca="1" t="shared" si="1621"/>
        <v>1</v>
      </c>
      <c r="F1396" s="130">
        <f ca="1" t="shared" si="1621"/>
        <v>1</v>
      </c>
      <c r="G1396" s="130">
        <f ca="1" t="shared" si="1621"/>
        <v>1</v>
      </c>
      <c r="H1396" s="130">
        <f ca="1" t="shared" si="1621"/>
        <v>1</v>
      </c>
      <c r="I1396" s="130">
        <f ca="1" t="shared" si="1621"/>
        <v>1</v>
      </c>
      <c r="J1396" s="130">
        <f ca="1" t="shared" si="1621"/>
        <v>1</v>
      </c>
      <c r="K1396" s="130">
        <f ca="1" t="shared" si="1621"/>
        <v>1</v>
      </c>
      <c r="L1396" s="130">
        <f ca="1" t="shared" si="1621"/>
        <v>1</v>
      </c>
      <c r="M1396" s="130">
        <f ca="1" t="shared" si="1621"/>
        <v>1</v>
      </c>
      <c r="N1396" s="130">
        <f ca="1" t="shared" si="1621"/>
        <v>1</v>
      </c>
      <c r="O1396" s="130">
        <f ca="1" t="shared" si="1621"/>
        <v>1</v>
      </c>
      <c r="P1396" s="130">
        <f ca="1" t="shared" si="1621"/>
        <v>1</v>
      </c>
      <c r="Q1396" s="130">
        <f ca="1" t="shared" si="1621"/>
        <v>1</v>
      </c>
      <c r="R1396" s="130">
        <f ca="1" t="shared" si="1621"/>
        <v>1</v>
      </c>
      <c r="S1396" s="130">
        <f ca="1" t="shared" si="1621"/>
        <v>1</v>
      </c>
      <c r="T1396" s="130">
        <f ca="1" t="shared" si="1621"/>
        <v>1</v>
      </c>
      <c r="U1396" s="130">
        <f ca="1" t="shared" si="1621"/>
        <v>1</v>
      </c>
      <c r="V1396" s="130">
        <f ca="1" t="shared" si="1621"/>
        <v>1</v>
      </c>
    </row>
    <row r="1397" s="106" customFormat="1" ht="16.5" spans="2:22">
      <c r="B1397" s="117">
        <v>161</v>
      </c>
      <c r="C1397" s="130">
        <f t="shared" si="1589"/>
        <v>16100</v>
      </c>
      <c r="D1397" s="130">
        <f ca="1" t="shared" ref="D1397:V1397" si="1622">IF($C1397&gt;D$633,1,0)</f>
        <v>1</v>
      </c>
      <c r="E1397" s="130">
        <f ca="1" t="shared" si="1622"/>
        <v>1</v>
      </c>
      <c r="F1397" s="130">
        <f ca="1" t="shared" si="1622"/>
        <v>1</v>
      </c>
      <c r="G1397" s="130">
        <f ca="1" t="shared" si="1622"/>
        <v>1</v>
      </c>
      <c r="H1397" s="130">
        <f ca="1" t="shared" si="1622"/>
        <v>1</v>
      </c>
      <c r="I1397" s="130">
        <f ca="1" t="shared" si="1622"/>
        <v>1</v>
      </c>
      <c r="J1397" s="130">
        <f ca="1" t="shared" si="1622"/>
        <v>1</v>
      </c>
      <c r="K1397" s="130">
        <f ca="1" t="shared" si="1622"/>
        <v>1</v>
      </c>
      <c r="L1397" s="130">
        <f ca="1" t="shared" si="1622"/>
        <v>1</v>
      </c>
      <c r="M1397" s="130">
        <f ca="1" t="shared" si="1622"/>
        <v>1</v>
      </c>
      <c r="N1397" s="130">
        <f ca="1" t="shared" si="1622"/>
        <v>1</v>
      </c>
      <c r="O1397" s="130">
        <f ca="1" t="shared" si="1622"/>
        <v>1</v>
      </c>
      <c r="P1397" s="130">
        <f ca="1" t="shared" si="1622"/>
        <v>1</v>
      </c>
      <c r="Q1397" s="130">
        <f ca="1" t="shared" si="1622"/>
        <v>1</v>
      </c>
      <c r="R1397" s="130">
        <f ca="1" t="shared" si="1622"/>
        <v>1</v>
      </c>
      <c r="S1397" s="130">
        <f ca="1" t="shared" si="1622"/>
        <v>1</v>
      </c>
      <c r="T1397" s="130">
        <f ca="1" t="shared" si="1622"/>
        <v>1</v>
      </c>
      <c r="U1397" s="130">
        <f ca="1" t="shared" si="1622"/>
        <v>1</v>
      </c>
      <c r="V1397" s="130">
        <f ca="1" t="shared" si="1622"/>
        <v>1</v>
      </c>
    </row>
    <row r="1398" s="106" customFormat="1" ht="16.5" spans="2:22">
      <c r="B1398" s="117">
        <v>162</v>
      </c>
      <c r="C1398" s="130">
        <f t="shared" si="1589"/>
        <v>16200</v>
      </c>
      <c r="D1398" s="130">
        <f ca="1" t="shared" ref="D1398:V1398" si="1623">IF($C1398&gt;D$633,1,0)</f>
        <v>1</v>
      </c>
      <c r="E1398" s="130">
        <f ca="1" t="shared" si="1623"/>
        <v>1</v>
      </c>
      <c r="F1398" s="130">
        <f ca="1" t="shared" si="1623"/>
        <v>1</v>
      </c>
      <c r="G1398" s="130">
        <f ca="1" t="shared" si="1623"/>
        <v>1</v>
      </c>
      <c r="H1398" s="130">
        <f ca="1" t="shared" si="1623"/>
        <v>1</v>
      </c>
      <c r="I1398" s="130">
        <f ca="1" t="shared" si="1623"/>
        <v>1</v>
      </c>
      <c r="J1398" s="130">
        <f ca="1" t="shared" si="1623"/>
        <v>1</v>
      </c>
      <c r="K1398" s="130">
        <f ca="1" t="shared" si="1623"/>
        <v>1</v>
      </c>
      <c r="L1398" s="130">
        <f ca="1" t="shared" si="1623"/>
        <v>1</v>
      </c>
      <c r="M1398" s="130">
        <f ca="1" t="shared" si="1623"/>
        <v>1</v>
      </c>
      <c r="N1398" s="130">
        <f ca="1" t="shared" si="1623"/>
        <v>1</v>
      </c>
      <c r="O1398" s="130">
        <f ca="1" t="shared" si="1623"/>
        <v>1</v>
      </c>
      <c r="P1398" s="130">
        <f ca="1" t="shared" si="1623"/>
        <v>1</v>
      </c>
      <c r="Q1398" s="130">
        <f ca="1" t="shared" si="1623"/>
        <v>1</v>
      </c>
      <c r="R1398" s="130">
        <f ca="1" t="shared" si="1623"/>
        <v>1</v>
      </c>
      <c r="S1398" s="130">
        <f ca="1" t="shared" si="1623"/>
        <v>1</v>
      </c>
      <c r="T1398" s="130">
        <f ca="1" t="shared" si="1623"/>
        <v>1</v>
      </c>
      <c r="U1398" s="130">
        <f ca="1" t="shared" si="1623"/>
        <v>1</v>
      </c>
      <c r="V1398" s="130">
        <f ca="1" t="shared" si="1623"/>
        <v>1</v>
      </c>
    </row>
    <row r="1399" s="106" customFormat="1" ht="16.5" spans="2:22">
      <c r="B1399" s="117">
        <v>163</v>
      </c>
      <c r="C1399" s="130">
        <f t="shared" si="1589"/>
        <v>16300</v>
      </c>
      <c r="D1399" s="130">
        <f ca="1" t="shared" ref="D1399:V1399" si="1624">IF($C1399&gt;D$633,1,0)</f>
        <v>1</v>
      </c>
      <c r="E1399" s="130">
        <f ca="1" t="shared" si="1624"/>
        <v>1</v>
      </c>
      <c r="F1399" s="130">
        <f ca="1" t="shared" si="1624"/>
        <v>1</v>
      </c>
      <c r="G1399" s="130">
        <f ca="1" t="shared" si="1624"/>
        <v>1</v>
      </c>
      <c r="H1399" s="130">
        <f ca="1" t="shared" si="1624"/>
        <v>1</v>
      </c>
      <c r="I1399" s="130">
        <f ca="1" t="shared" si="1624"/>
        <v>1</v>
      </c>
      <c r="J1399" s="130">
        <f ca="1" t="shared" si="1624"/>
        <v>1</v>
      </c>
      <c r="K1399" s="130">
        <f ca="1" t="shared" si="1624"/>
        <v>1</v>
      </c>
      <c r="L1399" s="130">
        <f ca="1" t="shared" si="1624"/>
        <v>1</v>
      </c>
      <c r="M1399" s="130">
        <f ca="1" t="shared" si="1624"/>
        <v>1</v>
      </c>
      <c r="N1399" s="130">
        <f ca="1" t="shared" si="1624"/>
        <v>1</v>
      </c>
      <c r="O1399" s="130">
        <f ca="1" t="shared" si="1624"/>
        <v>1</v>
      </c>
      <c r="P1399" s="130">
        <f ca="1" t="shared" si="1624"/>
        <v>1</v>
      </c>
      <c r="Q1399" s="130">
        <f ca="1" t="shared" si="1624"/>
        <v>1</v>
      </c>
      <c r="R1399" s="130">
        <f ca="1" t="shared" si="1624"/>
        <v>1</v>
      </c>
      <c r="S1399" s="130">
        <f ca="1" t="shared" si="1624"/>
        <v>1</v>
      </c>
      <c r="T1399" s="130">
        <f ca="1" t="shared" si="1624"/>
        <v>1</v>
      </c>
      <c r="U1399" s="130">
        <f ca="1" t="shared" si="1624"/>
        <v>1</v>
      </c>
      <c r="V1399" s="130">
        <f ca="1" t="shared" si="1624"/>
        <v>1</v>
      </c>
    </row>
    <row r="1400" s="106" customFormat="1" ht="16.5" spans="2:22">
      <c r="B1400" s="117">
        <v>164</v>
      </c>
      <c r="C1400" s="130">
        <f t="shared" si="1589"/>
        <v>16400</v>
      </c>
      <c r="D1400" s="130">
        <f ca="1" t="shared" ref="D1400:V1400" si="1625">IF($C1400&gt;D$633,1,0)</f>
        <v>1</v>
      </c>
      <c r="E1400" s="130">
        <f ca="1" t="shared" si="1625"/>
        <v>1</v>
      </c>
      <c r="F1400" s="130">
        <f ca="1" t="shared" si="1625"/>
        <v>1</v>
      </c>
      <c r="G1400" s="130">
        <f ca="1" t="shared" si="1625"/>
        <v>1</v>
      </c>
      <c r="H1400" s="130">
        <f ca="1" t="shared" si="1625"/>
        <v>1</v>
      </c>
      <c r="I1400" s="130">
        <f ca="1" t="shared" si="1625"/>
        <v>1</v>
      </c>
      <c r="J1400" s="130">
        <f ca="1" t="shared" si="1625"/>
        <v>1</v>
      </c>
      <c r="K1400" s="130">
        <f ca="1" t="shared" si="1625"/>
        <v>1</v>
      </c>
      <c r="L1400" s="130">
        <f ca="1" t="shared" si="1625"/>
        <v>1</v>
      </c>
      <c r="M1400" s="130">
        <f ca="1" t="shared" si="1625"/>
        <v>1</v>
      </c>
      <c r="N1400" s="130">
        <f ca="1" t="shared" si="1625"/>
        <v>1</v>
      </c>
      <c r="O1400" s="130">
        <f ca="1" t="shared" si="1625"/>
        <v>1</v>
      </c>
      <c r="P1400" s="130">
        <f ca="1" t="shared" si="1625"/>
        <v>1</v>
      </c>
      <c r="Q1400" s="130">
        <f ca="1" t="shared" si="1625"/>
        <v>1</v>
      </c>
      <c r="R1400" s="130">
        <f ca="1" t="shared" si="1625"/>
        <v>1</v>
      </c>
      <c r="S1400" s="130">
        <f ca="1" t="shared" si="1625"/>
        <v>1</v>
      </c>
      <c r="T1400" s="130">
        <f ca="1" t="shared" si="1625"/>
        <v>1</v>
      </c>
      <c r="U1400" s="130">
        <f ca="1" t="shared" si="1625"/>
        <v>1</v>
      </c>
      <c r="V1400" s="130">
        <f ca="1" t="shared" si="1625"/>
        <v>1</v>
      </c>
    </row>
    <row r="1401" s="106" customFormat="1" ht="16.5" spans="2:22">
      <c r="B1401" s="117">
        <v>165</v>
      </c>
      <c r="C1401" s="130">
        <f t="shared" si="1589"/>
        <v>16500</v>
      </c>
      <c r="D1401" s="130">
        <f ca="1" t="shared" ref="D1401:V1401" si="1626">IF($C1401&gt;D$633,1,0)</f>
        <v>1</v>
      </c>
      <c r="E1401" s="130">
        <f ca="1" t="shared" si="1626"/>
        <v>1</v>
      </c>
      <c r="F1401" s="130">
        <f ca="1" t="shared" si="1626"/>
        <v>1</v>
      </c>
      <c r="G1401" s="130">
        <f ca="1" t="shared" si="1626"/>
        <v>1</v>
      </c>
      <c r="H1401" s="130">
        <f ca="1" t="shared" si="1626"/>
        <v>1</v>
      </c>
      <c r="I1401" s="130">
        <f ca="1" t="shared" si="1626"/>
        <v>1</v>
      </c>
      <c r="J1401" s="130">
        <f ca="1" t="shared" si="1626"/>
        <v>1</v>
      </c>
      <c r="K1401" s="130">
        <f ca="1" t="shared" si="1626"/>
        <v>1</v>
      </c>
      <c r="L1401" s="130">
        <f ca="1" t="shared" si="1626"/>
        <v>1</v>
      </c>
      <c r="M1401" s="130">
        <f ca="1" t="shared" si="1626"/>
        <v>1</v>
      </c>
      <c r="N1401" s="130">
        <f ca="1" t="shared" si="1626"/>
        <v>1</v>
      </c>
      <c r="O1401" s="130">
        <f ca="1" t="shared" si="1626"/>
        <v>1</v>
      </c>
      <c r="P1401" s="130">
        <f ca="1" t="shared" si="1626"/>
        <v>1</v>
      </c>
      <c r="Q1401" s="130">
        <f ca="1" t="shared" si="1626"/>
        <v>1</v>
      </c>
      <c r="R1401" s="130">
        <f ca="1" t="shared" si="1626"/>
        <v>1</v>
      </c>
      <c r="S1401" s="130">
        <f ca="1" t="shared" si="1626"/>
        <v>1</v>
      </c>
      <c r="T1401" s="130">
        <f ca="1" t="shared" si="1626"/>
        <v>1</v>
      </c>
      <c r="U1401" s="130">
        <f ca="1" t="shared" si="1626"/>
        <v>1</v>
      </c>
      <c r="V1401" s="130">
        <f ca="1" t="shared" si="1626"/>
        <v>1</v>
      </c>
    </row>
    <row r="1402" s="106" customFormat="1" ht="16.5" spans="2:22">
      <c r="B1402" s="117">
        <v>166</v>
      </c>
      <c r="C1402" s="130">
        <f t="shared" si="1589"/>
        <v>16600</v>
      </c>
      <c r="D1402" s="130">
        <f ca="1" t="shared" ref="D1402:V1402" si="1627">IF($C1402&gt;D$633,1,0)</f>
        <v>1</v>
      </c>
      <c r="E1402" s="130">
        <f ca="1" t="shared" si="1627"/>
        <v>1</v>
      </c>
      <c r="F1402" s="130">
        <f ca="1" t="shared" si="1627"/>
        <v>1</v>
      </c>
      <c r="G1402" s="130">
        <f ca="1" t="shared" si="1627"/>
        <v>1</v>
      </c>
      <c r="H1402" s="130">
        <f ca="1" t="shared" si="1627"/>
        <v>1</v>
      </c>
      <c r="I1402" s="130">
        <f ca="1" t="shared" si="1627"/>
        <v>1</v>
      </c>
      <c r="J1402" s="130">
        <f ca="1" t="shared" si="1627"/>
        <v>1</v>
      </c>
      <c r="K1402" s="130">
        <f ca="1" t="shared" si="1627"/>
        <v>1</v>
      </c>
      <c r="L1402" s="130">
        <f ca="1" t="shared" si="1627"/>
        <v>1</v>
      </c>
      <c r="M1402" s="130">
        <f ca="1" t="shared" si="1627"/>
        <v>1</v>
      </c>
      <c r="N1402" s="130">
        <f ca="1" t="shared" si="1627"/>
        <v>1</v>
      </c>
      <c r="O1402" s="130">
        <f ca="1" t="shared" si="1627"/>
        <v>1</v>
      </c>
      <c r="P1402" s="130">
        <f ca="1" t="shared" si="1627"/>
        <v>1</v>
      </c>
      <c r="Q1402" s="130">
        <f ca="1" t="shared" si="1627"/>
        <v>1</v>
      </c>
      <c r="R1402" s="130">
        <f ca="1" t="shared" si="1627"/>
        <v>1</v>
      </c>
      <c r="S1402" s="130">
        <f ca="1" t="shared" si="1627"/>
        <v>1</v>
      </c>
      <c r="T1402" s="130">
        <f ca="1" t="shared" si="1627"/>
        <v>1</v>
      </c>
      <c r="U1402" s="130">
        <f ca="1" t="shared" si="1627"/>
        <v>1</v>
      </c>
      <c r="V1402" s="130">
        <f ca="1" t="shared" si="1627"/>
        <v>1</v>
      </c>
    </row>
    <row r="1403" s="106" customFormat="1" ht="16.5" spans="2:22">
      <c r="B1403" s="117">
        <v>167</v>
      </c>
      <c r="C1403" s="130">
        <f t="shared" si="1589"/>
        <v>16700</v>
      </c>
      <c r="D1403" s="130">
        <f ca="1" t="shared" ref="D1403:V1403" si="1628">IF($C1403&gt;D$633,1,0)</f>
        <v>1</v>
      </c>
      <c r="E1403" s="130">
        <f ca="1" t="shared" si="1628"/>
        <v>1</v>
      </c>
      <c r="F1403" s="130">
        <f ca="1" t="shared" si="1628"/>
        <v>1</v>
      </c>
      <c r="G1403" s="130">
        <f ca="1" t="shared" si="1628"/>
        <v>1</v>
      </c>
      <c r="H1403" s="130">
        <f ca="1" t="shared" si="1628"/>
        <v>1</v>
      </c>
      <c r="I1403" s="130">
        <f ca="1" t="shared" si="1628"/>
        <v>1</v>
      </c>
      <c r="J1403" s="130">
        <f ca="1" t="shared" si="1628"/>
        <v>1</v>
      </c>
      <c r="K1403" s="130">
        <f ca="1" t="shared" si="1628"/>
        <v>1</v>
      </c>
      <c r="L1403" s="130">
        <f ca="1" t="shared" si="1628"/>
        <v>1</v>
      </c>
      <c r="M1403" s="130">
        <f ca="1" t="shared" si="1628"/>
        <v>1</v>
      </c>
      <c r="N1403" s="130">
        <f ca="1" t="shared" si="1628"/>
        <v>1</v>
      </c>
      <c r="O1403" s="130">
        <f ca="1" t="shared" si="1628"/>
        <v>1</v>
      </c>
      <c r="P1403" s="130">
        <f ca="1" t="shared" si="1628"/>
        <v>1</v>
      </c>
      <c r="Q1403" s="130">
        <f ca="1" t="shared" si="1628"/>
        <v>1</v>
      </c>
      <c r="R1403" s="130">
        <f ca="1" t="shared" si="1628"/>
        <v>1</v>
      </c>
      <c r="S1403" s="130">
        <f ca="1" t="shared" si="1628"/>
        <v>1</v>
      </c>
      <c r="T1403" s="130">
        <f ca="1" t="shared" si="1628"/>
        <v>1</v>
      </c>
      <c r="U1403" s="130">
        <f ca="1" t="shared" si="1628"/>
        <v>1</v>
      </c>
      <c r="V1403" s="130">
        <f ca="1" t="shared" si="1628"/>
        <v>1</v>
      </c>
    </row>
    <row r="1404" s="106" customFormat="1" ht="16.5" spans="2:22">
      <c r="B1404" s="117">
        <v>168</v>
      </c>
      <c r="C1404" s="130">
        <f t="shared" si="1589"/>
        <v>16800</v>
      </c>
      <c r="D1404" s="130">
        <f ca="1" t="shared" ref="D1404:V1404" si="1629">IF($C1404&gt;D$633,1,0)</f>
        <v>1</v>
      </c>
      <c r="E1404" s="130">
        <f ca="1" t="shared" si="1629"/>
        <v>1</v>
      </c>
      <c r="F1404" s="130">
        <f ca="1" t="shared" si="1629"/>
        <v>1</v>
      </c>
      <c r="G1404" s="130">
        <f ca="1" t="shared" si="1629"/>
        <v>1</v>
      </c>
      <c r="H1404" s="130">
        <f ca="1" t="shared" si="1629"/>
        <v>1</v>
      </c>
      <c r="I1404" s="130">
        <f ca="1" t="shared" si="1629"/>
        <v>1</v>
      </c>
      <c r="J1404" s="130">
        <f ca="1" t="shared" si="1629"/>
        <v>1</v>
      </c>
      <c r="K1404" s="130">
        <f ca="1" t="shared" si="1629"/>
        <v>1</v>
      </c>
      <c r="L1404" s="130">
        <f ca="1" t="shared" si="1629"/>
        <v>1</v>
      </c>
      <c r="M1404" s="130">
        <f ca="1" t="shared" si="1629"/>
        <v>1</v>
      </c>
      <c r="N1404" s="130">
        <f ca="1" t="shared" si="1629"/>
        <v>1</v>
      </c>
      <c r="O1404" s="130">
        <f ca="1" t="shared" si="1629"/>
        <v>1</v>
      </c>
      <c r="P1404" s="130">
        <f ca="1" t="shared" si="1629"/>
        <v>1</v>
      </c>
      <c r="Q1404" s="130">
        <f ca="1" t="shared" si="1629"/>
        <v>1</v>
      </c>
      <c r="R1404" s="130">
        <f ca="1" t="shared" si="1629"/>
        <v>1</v>
      </c>
      <c r="S1404" s="130">
        <f ca="1" t="shared" si="1629"/>
        <v>1</v>
      </c>
      <c r="T1404" s="130">
        <f ca="1" t="shared" si="1629"/>
        <v>1</v>
      </c>
      <c r="U1404" s="130">
        <f ca="1" t="shared" si="1629"/>
        <v>1</v>
      </c>
      <c r="V1404" s="130">
        <f ca="1" t="shared" si="1629"/>
        <v>1</v>
      </c>
    </row>
    <row r="1405" s="106" customFormat="1" ht="16.5" spans="2:22">
      <c r="B1405" s="117">
        <v>169</v>
      </c>
      <c r="C1405" s="130">
        <f t="shared" si="1589"/>
        <v>16900</v>
      </c>
      <c r="D1405" s="130">
        <f ca="1" t="shared" ref="D1405:V1405" si="1630">IF($C1405&gt;D$633,1,0)</f>
        <v>1</v>
      </c>
      <c r="E1405" s="130">
        <f ca="1" t="shared" si="1630"/>
        <v>1</v>
      </c>
      <c r="F1405" s="130">
        <f ca="1" t="shared" si="1630"/>
        <v>1</v>
      </c>
      <c r="G1405" s="130">
        <f ca="1" t="shared" si="1630"/>
        <v>1</v>
      </c>
      <c r="H1405" s="130">
        <f ca="1" t="shared" si="1630"/>
        <v>1</v>
      </c>
      <c r="I1405" s="130">
        <f ca="1" t="shared" si="1630"/>
        <v>1</v>
      </c>
      <c r="J1405" s="130">
        <f ca="1" t="shared" si="1630"/>
        <v>1</v>
      </c>
      <c r="K1405" s="130">
        <f ca="1" t="shared" si="1630"/>
        <v>1</v>
      </c>
      <c r="L1405" s="130">
        <f ca="1" t="shared" si="1630"/>
        <v>1</v>
      </c>
      <c r="M1405" s="130">
        <f ca="1" t="shared" si="1630"/>
        <v>1</v>
      </c>
      <c r="N1405" s="130">
        <f ca="1" t="shared" si="1630"/>
        <v>1</v>
      </c>
      <c r="O1405" s="130">
        <f ca="1" t="shared" si="1630"/>
        <v>1</v>
      </c>
      <c r="P1405" s="130">
        <f ca="1" t="shared" si="1630"/>
        <v>1</v>
      </c>
      <c r="Q1405" s="130">
        <f ca="1" t="shared" si="1630"/>
        <v>1</v>
      </c>
      <c r="R1405" s="130">
        <f ca="1" t="shared" si="1630"/>
        <v>1</v>
      </c>
      <c r="S1405" s="130">
        <f ca="1" t="shared" si="1630"/>
        <v>1</v>
      </c>
      <c r="T1405" s="130">
        <f ca="1" t="shared" si="1630"/>
        <v>1</v>
      </c>
      <c r="U1405" s="130">
        <f ca="1" t="shared" si="1630"/>
        <v>1</v>
      </c>
      <c r="V1405" s="130">
        <f ca="1" t="shared" si="1630"/>
        <v>1</v>
      </c>
    </row>
    <row r="1406" s="106" customFormat="1" ht="16.5" spans="2:22">
      <c r="B1406" s="117">
        <v>170</v>
      </c>
      <c r="C1406" s="130">
        <f t="shared" si="1589"/>
        <v>17000</v>
      </c>
      <c r="D1406" s="130">
        <f ca="1" t="shared" ref="D1406:V1406" si="1631">IF($C1406&gt;D$633,1,0)</f>
        <v>1</v>
      </c>
      <c r="E1406" s="130">
        <f ca="1" t="shared" si="1631"/>
        <v>1</v>
      </c>
      <c r="F1406" s="130">
        <f ca="1" t="shared" si="1631"/>
        <v>1</v>
      </c>
      <c r="G1406" s="130">
        <f ca="1" t="shared" si="1631"/>
        <v>1</v>
      </c>
      <c r="H1406" s="130">
        <f ca="1" t="shared" si="1631"/>
        <v>1</v>
      </c>
      <c r="I1406" s="130">
        <f ca="1" t="shared" si="1631"/>
        <v>1</v>
      </c>
      <c r="J1406" s="130">
        <f ca="1" t="shared" si="1631"/>
        <v>1</v>
      </c>
      <c r="K1406" s="130">
        <f ca="1" t="shared" si="1631"/>
        <v>1</v>
      </c>
      <c r="L1406" s="130">
        <f ca="1" t="shared" si="1631"/>
        <v>1</v>
      </c>
      <c r="M1406" s="130">
        <f ca="1" t="shared" si="1631"/>
        <v>1</v>
      </c>
      <c r="N1406" s="130">
        <f ca="1" t="shared" si="1631"/>
        <v>1</v>
      </c>
      <c r="O1406" s="130">
        <f ca="1" t="shared" si="1631"/>
        <v>1</v>
      </c>
      <c r="P1406" s="130">
        <f ca="1" t="shared" si="1631"/>
        <v>1</v>
      </c>
      <c r="Q1406" s="130">
        <f ca="1" t="shared" si="1631"/>
        <v>1</v>
      </c>
      <c r="R1406" s="130">
        <f ca="1" t="shared" si="1631"/>
        <v>1</v>
      </c>
      <c r="S1406" s="130">
        <f ca="1" t="shared" si="1631"/>
        <v>1</v>
      </c>
      <c r="T1406" s="130">
        <f ca="1" t="shared" si="1631"/>
        <v>1</v>
      </c>
      <c r="U1406" s="130">
        <f ca="1" t="shared" si="1631"/>
        <v>1</v>
      </c>
      <c r="V1406" s="130">
        <f ca="1" t="shared" si="1631"/>
        <v>1</v>
      </c>
    </row>
    <row r="1407" s="106" customFormat="1" ht="16.5" spans="2:22">
      <c r="B1407" s="117">
        <v>171</v>
      </c>
      <c r="C1407" s="130">
        <f t="shared" si="1589"/>
        <v>17100</v>
      </c>
      <c r="D1407" s="130">
        <f ca="1" t="shared" ref="D1407:V1407" si="1632">IF($C1407&gt;D$633,1,0)</f>
        <v>1</v>
      </c>
      <c r="E1407" s="130">
        <f ca="1" t="shared" si="1632"/>
        <v>1</v>
      </c>
      <c r="F1407" s="130">
        <f ca="1" t="shared" si="1632"/>
        <v>1</v>
      </c>
      <c r="G1407" s="130">
        <f ca="1" t="shared" si="1632"/>
        <v>1</v>
      </c>
      <c r="H1407" s="130">
        <f ca="1" t="shared" si="1632"/>
        <v>1</v>
      </c>
      <c r="I1407" s="130">
        <f ca="1" t="shared" si="1632"/>
        <v>1</v>
      </c>
      <c r="J1407" s="130">
        <f ca="1" t="shared" si="1632"/>
        <v>1</v>
      </c>
      <c r="K1407" s="130">
        <f ca="1" t="shared" si="1632"/>
        <v>1</v>
      </c>
      <c r="L1407" s="130">
        <f ca="1" t="shared" si="1632"/>
        <v>1</v>
      </c>
      <c r="M1407" s="130">
        <f ca="1" t="shared" si="1632"/>
        <v>1</v>
      </c>
      <c r="N1407" s="130">
        <f ca="1" t="shared" si="1632"/>
        <v>1</v>
      </c>
      <c r="O1407" s="130">
        <f ca="1" t="shared" si="1632"/>
        <v>1</v>
      </c>
      <c r="P1407" s="130">
        <f ca="1" t="shared" si="1632"/>
        <v>1</v>
      </c>
      <c r="Q1407" s="130">
        <f ca="1" t="shared" si="1632"/>
        <v>1</v>
      </c>
      <c r="R1407" s="130">
        <f ca="1" t="shared" si="1632"/>
        <v>1</v>
      </c>
      <c r="S1407" s="130">
        <f ca="1" t="shared" si="1632"/>
        <v>1</v>
      </c>
      <c r="T1407" s="130">
        <f ca="1" t="shared" si="1632"/>
        <v>1</v>
      </c>
      <c r="U1407" s="130">
        <f ca="1" t="shared" si="1632"/>
        <v>1</v>
      </c>
      <c r="V1407" s="130">
        <f ca="1" t="shared" si="1632"/>
        <v>1</v>
      </c>
    </row>
    <row r="1408" s="106" customFormat="1" ht="16.5" spans="2:22">
      <c r="B1408" s="117">
        <v>172</v>
      </c>
      <c r="C1408" s="130">
        <f t="shared" si="1589"/>
        <v>17200</v>
      </c>
      <c r="D1408" s="130">
        <f ca="1" t="shared" ref="D1408:V1408" si="1633">IF($C1408&gt;D$633,1,0)</f>
        <v>1</v>
      </c>
      <c r="E1408" s="130">
        <f ca="1" t="shared" si="1633"/>
        <v>1</v>
      </c>
      <c r="F1408" s="130">
        <f ca="1" t="shared" si="1633"/>
        <v>1</v>
      </c>
      <c r="G1408" s="130">
        <f ca="1" t="shared" si="1633"/>
        <v>1</v>
      </c>
      <c r="H1408" s="130">
        <f ca="1" t="shared" si="1633"/>
        <v>1</v>
      </c>
      <c r="I1408" s="130">
        <f ca="1" t="shared" si="1633"/>
        <v>1</v>
      </c>
      <c r="J1408" s="130">
        <f ca="1" t="shared" si="1633"/>
        <v>1</v>
      </c>
      <c r="K1408" s="130">
        <f ca="1" t="shared" si="1633"/>
        <v>1</v>
      </c>
      <c r="L1408" s="130">
        <f ca="1" t="shared" si="1633"/>
        <v>1</v>
      </c>
      <c r="M1408" s="130">
        <f ca="1" t="shared" si="1633"/>
        <v>1</v>
      </c>
      <c r="N1408" s="130">
        <f ca="1" t="shared" si="1633"/>
        <v>1</v>
      </c>
      <c r="O1408" s="130">
        <f ca="1" t="shared" si="1633"/>
        <v>1</v>
      </c>
      <c r="P1408" s="130">
        <f ca="1" t="shared" si="1633"/>
        <v>1</v>
      </c>
      <c r="Q1408" s="130">
        <f ca="1" t="shared" si="1633"/>
        <v>1</v>
      </c>
      <c r="R1408" s="130">
        <f ca="1" t="shared" si="1633"/>
        <v>1</v>
      </c>
      <c r="S1408" s="130">
        <f ca="1" t="shared" si="1633"/>
        <v>1</v>
      </c>
      <c r="T1408" s="130">
        <f ca="1" t="shared" si="1633"/>
        <v>1</v>
      </c>
      <c r="U1408" s="130">
        <f ca="1" t="shared" si="1633"/>
        <v>1</v>
      </c>
      <c r="V1408" s="130">
        <f ca="1" t="shared" si="1633"/>
        <v>1</v>
      </c>
    </row>
    <row r="1409" s="106" customFormat="1" ht="16.5" spans="2:22">
      <c r="B1409" s="117">
        <v>173</v>
      </c>
      <c r="C1409" s="130">
        <f t="shared" si="1589"/>
        <v>17300</v>
      </c>
      <c r="D1409" s="130">
        <f ca="1" t="shared" ref="D1409:V1409" si="1634">IF($C1409&gt;D$633,1,0)</f>
        <v>1</v>
      </c>
      <c r="E1409" s="130">
        <f ca="1" t="shared" si="1634"/>
        <v>1</v>
      </c>
      <c r="F1409" s="130">
        <f ca="1" t="shared" si="1634"/>
        <v>1</v>
      </c>
      <c r="G1409" s="130">
        <f ca="1" t="shared" si="1634"/>
        <v>1</v>
      </c>
      <c r="H1409" s="130">
        <f ca="1" t="shared" si="1634"/>
        <v>1</v>
      </c>
      <c r="I1409" s="130">
        <f ca="1" t="shared" si="1634"/>
        <v>1</v>
      </c>
      <c r="J1409" s="130">
        <f ca="1" t="shared" si="1634"/>
        <v>1</v>
      </c>
      <c r="K1409" s="130">
        <f ca="1" t="shared" si="1634"/>
        <v>1</v>
      </c>
      <c r="L1409" s="130">
        <f ca="1" t="shared" si="1634"/>
        <v>1</v>
      </c>
      <c r="M1409" s="130">
        <f ca="1" t="shared" si="1634"/>
        <v>1</v>
      </c>
      <c r="N1409" s="130">
        <f ca="1" t="shared" si="1634"/>
        <v>1</v>
      </c>
      <c r="O1409" s="130">
        <f ca="1" t="shared" si="1634"/>
        <v>1</v>
      </c>
      <c r="P1409" s="130">
        <f ca="1" t="shared" si="1634"/>
        <v>1</v>
      </c>
      <c r="Q1409" s="130">
        <f ca="1" t="shared" si="1634"/>
        <v>1</v>
      </c>
      <c r="R1409" s="130">
        <f ca="1" t="shared" si="1634"/>
        <v>1</v>
      </c>
      <c r="S1409" s="130">
        <f ca="1" t="shared" si="1634"/>
        <v>1</v>
      </c>
      <c r="T1409" s="130">
        <f ca="1" t="shared" si="1634"/>
        <v>1</v>
      </c>
      <c r="U1409" s="130">
        <f ca="1" t="shared" si="1634"/>
        <v>1</v>
      </c>
      <c r="V1409" s="130">
        <f ca="1" t="shared" si="1634"/>
        <v>1</v>
      </c>
    </row>
    <row r="1410" s="106" customFormat="1" ht="16.5" spans="2:22">
      <c r="B1410" s="117">
        <v>174</v>
      </c>
      <c r="C1410" s="130">
        <f t="shared" si="1589"/>
        <v>17400</v>
      </c>
      <c r="D1410" s="130">
        <f ca="1" t="shared" ref="D1410:V1410" si="1635">IF($C1410&gt;D$633,1,0)</f>
        <v>1</v>
      </c>
      <c r="E1410" s="130">
        <f ca="1" t="shared" si="1635"/>
        <v>1</v>
      </c>
      <c r="F1410" s="130">
        <f ca="1" t="shared" si="1635"/>
        <v>1</v>
      </c>
      <c r="G1410" s="130">
        <f ca="1" t="shared" si="1635"/>
        <v>1</v>
      </c>
      <c r="H1410" s="130">
        <f ca="1" t="shared" si="1635"/>
        <v>1</v>
      </c>
      <c r="I1410" s="130">
        <f ca="1" t="shared" si="1635"/>
        <v>1</v>
      </c>
      <c r="J1410" s="130">
        <f ca="1" t="shared" si="1635"/>
        <v>1</v>
      </c>
      <c r="K1410" s="130">
        <f ca="1" t="shared" si="1635"/>
        <v>1</v>
      </c>
      <c r="L1410" s="130">
        <f ca="1" t="shared" si="1635"/>
        <v>1</v>
      </c>
      <c r="M1410" s="130">
        <f ca="1" t="shared" si="1635"/>
        <v>1</v>
      </c>
      <c r="N1410" s="130">
        <f ca="1" t="shared" si="1635"/>
        <v>1</v>
      </c>
      <c r="O1410" s="130">
        <f ca="1" t="shared" si="1635"/>
        <v>1</v>
      </c>
      <c r="P1410" s="130">
        <f ca="1" t="shared" si="1635"/>
        <v>1</v>
      </c>
      <c r="Q1410" s="130">
        <f ca="1" t="shared" si="1635"/>
        <v>1</v>
      </c>
      <c r="R1410" s="130">
        <f ca="1" t="shared" si="1635"/>
        <v>1</v>
      </c>
      <c r="S1410" s="130">
        <f ca="1" t="shared" si="1635"/>
        <v>1</v>
      </c>
      <c r="T1410" s="130">
        <f ca="1" t="shared" si="1635"/>
        <v>1</v>
      </c>
      <c r="U1410" s="130">
        <f ca="1" t="shared" si="1635"/>
        <v>1</v>
      </c>
      <c r="V1410" s="130">
        <f ca="1" t="shared" si="1635"/>
        <v>1</v>
      </c>
    </row>
    <row r="1411" s="106" customFormat="1" ht="16.5" spans="2:22">
      <c r="B1411" s="117">
        <v>175</v>
      </c>
      <c r="C1411" s="130">
        <f t="shared" si="1589"/>
        <v>17500</v>
      </c>
      <c r="D1411" s="130">
        <f ca="1" t="shared" ref="D1411:V1411" si="1636">IF($C1411&gt;D$633,1,0)</f>
        <v>1</v>
      </c>
      <c r="E1411" s="130">
        <f ca="1" t="shared" si="1636"/>
        <v>1</v>
      </c>
      <c r="F1411" s="130">
        <f ca="1" t="shared" si="1636"/>
        <v>1</v>
      </c>
      <c r="G1411" s="130">
        <f ca="1" t="shared" si="1636"/>
        <v>1</v>
      </c>
      <c r="H1411" s="130">
        <f ca="1" t="shared" si="1636"/>
        <v>1</v>
      </c>
      <c r="I1411" s="130">
        <f ca="1" t="shared" si="1636"/>
        <v>1</v>
      </c>
      <c r="J1411" s="130">
        <f ca="1" t="shared" si="1636"/>
        <v>1</v>
      </c>
      <c r="K1411" s="130">
        <f ca="1" t="shared" si="1636"/>
        <v>1</v>
      </c>
      <c r="L1411" s="130">
        <f ca="1" t="shared" si="1636"/>
        <v>1</v>
      </c>
      <c r="M1411" s="130">
        <f ca="1" t="shared" si="1636"/>
        <v>1</v>
      </c>
      <c r="N1411" s="130">
        <f ca="1" t="shared" si="1636"/>
        <v>1</v>
      </c>
      <c r="O1411" s="130">
        <f ca="1" t="shared" si="1636"/>
        <v>1</v>
      </c>
      <c r="P1411" s="130">
        <f ca="1" t="shared" si="1636"/>
        <v>1</v>
      </c>
      <c r="Q1411" s="130">
        <f ca="1" t="shared" si="1636"/>
        <v>1</v>
      </c>
      <c r="R1411" s="130">
        <f ca="1" t="shared" si="1636"/>
        <v>1</v>
      </c>
      <c r="S1411" s="130">
        <f ca="1" t="shared" si="1636"/>
        <v>1</v>
      </c>
      <c r="T1411" s="130">
        <f ca="1" t="shared" si="1636"/>
        <v>1</v>
      </c>
      <c r="U1411" s="130">
        <f ca="1" t="shared" si="1636"/>
        <v>1</v>
      </c>
      <c r="V1411" s="130">
        <f ca="1" t="shared" si="1636"/>
        <v>1</v>
      </c>
    </row>
    <row r="1412" s="106" customFormat="1" ht="16.5" spans="2:22">
      <c r="B1412" s="117">
        <v>176</v>
      </c>
      <c r="C1412" s="130">
        <f t="shared" si="1589"/>
        <v>17600</v>
      </c>
      <c r="D1412" s="130">
        <f ca="1" t="shared" ref="D1412:V1412" si="1637">IF($C1412&gt;D$633,1,0)</f>
        <v>1</v>
      </c>
      <c r="E1412" s="130">
        <f ca="1" t="shared" si="1637"/>
        <v>1</v>
      </c>
      <c r="F1412" s="130">
        <f ca="1" t="shared" si="1637"/>
        <v>1</v>
      </c>
      <c r="G1412" s="130">
        <f ca="1" t="shared" si="1637"/>
        <v>1</v>
      </c>
      <c r="H1412" s="130">
        <f ca="1" t="shared" si="1637"/>
        <v>1</v>
      </c>
      <c r="I1412" s="130">
        <f ca="1" t="shared" si="1637"/>
        <v>1</v>
      </c>
      <c r="J1412" s="130">
        <f ca="1" t="shared" si="1637"/>
        <v>1</v>
      </c>
      <c r="K1412" s="130">
        <f ca="1" t="shared" si="1637"/>
        <v>1</v>
      </c>
      <c r="L1412" s="130">
        <f ca="1" t="shared" si="1637"/>
        <v>1</v>
      </c>
      <c r="M1412" s="130">
        <f ca="1" t="shared" si="1637"/>
        <v>1</v>
      </c>
      <c r="N1412" s="130">
        <f ca="1" t="shared" si="1637"/>
        <v>1</v>
      </c>
      <c r="O1412" s="130">
        <f ca="1" t="shared" si="1637"/>
        <v>1</v>
      </c>
      <c r="P1412" s="130">
        <f ca="1" t="shared" si="1637"/>
        <v>1</v>
      </c>
      <c r="Q1412" s="130">
        <f ca="1" t="shared" si="1637"/>
        <v>1</v>
      </c>
      <c r="R1412" s="130">
        <f ca="1" t="shared" si="1637"/>
        <v>1</v>
      </c>
      <c r="S1412" s="130">
        <f ca="1" t="shared" si="1637"/>
        <v>1</v>
      </c>
      <c r="T1412" s="130">
        <f ca="1" t="shared" si="1637"/>
        <v>1</v>
      </c>
      <c r="U1412" s="130">
        <f ca="1" t="shared" si="1637"/>
        <v>1</v>
      </c>
      <c r="V1412" s="130">
        <f ca="1" t="shared" si="1637"/>
        <v>1</v>
      </c>
    </row>
    <row r="1413" s="106" customFormat="1" ht="16.5" spans="2:22">
      <c r="B1413" s="117">
        <v>177</v>
      </c>
      <c r="C1413" s="130">
        <f t="shared" si="1589"/>
        <v>17700</v>
      </c>
      <c r="D1413" s="130">
        <f ca="1" t="shared" ref="D1413:V1413" si="1638">IF($C1413&gt;D$633,1,0)</f>
        <v>1</v>
      </c>
      <c r="E1413" s="130">
        <f ca="1" t="shared" si="1638"/>
        <v>1</v>
      </c>
      <c r="F1413" s="130">
        <f ca="1" t="shared" si="1638"/>
        <v>1</v>
      </c>
      <c r="G1413" s="130">
        <f ca="1" t="shared" si="1638"/>
        <v>1</v>
      </c>
      <c r="H1413" s="130">
        <f ca="1" t="shared" si="1638"/>
        <v>1</v>
      </c>
      <c r="I1413" s="130">
        <f ca="1" t="shared" si="1638"/>
        <v>1</v>
      </c>
      <c r="J1413" s="130">
        <f ca="1" t="shared" si="1638"/>
        <v>1</v>
      </c>
      <c r="K1413" s="130">
        <f ca="1" t="shared" si="1638"/>
        <v>1</v>
      </c>
      <c r="L1413" s="130">
        <f ca="1" t="shared" si="1638"/>
        <v>1</v>
      </c>
      <c r="M1413" s="130">
        <f ca="1" t="shared" si="1638"/>
        <v>1</v>
      </c>
      <c r="N1413" s="130">
        <f ca="1" t="shared" si="1638"/>
        <v>1</v>
      </c>
      <c r="O1413" s="130">
        <f ca="1" t="shared" si="1638"/>
        <v>1</v>
      </c>
      <c r="P1413" s="130">
        <f ca="1" t="shared" si="1638"/>
        <v>1</v>
      </c>
      <c r="Q1413" s="130">
        <f ca="1" t="shared" si="1638"/>
        <v>1</v>
      </c>
      <c r="R1413" s="130">
        <f ca="1" t="shared" si="1638"/>
        <v>1</v>
      </c>
      <c r="S1413" s="130">
        <f ca="1" t="shared" si="1638"/>
        <v>1</v>
      </c>
      <c r="T1413" s="130">
        <f ca="1" t="shared" si="1638"/>
        <v>1</v>
      </c>
      <c r="U1413" s="130">
        <f ca="1" t="shared" si="1638"/>
        <v>1</v>
      </c>
      <c r="V1413" s="130">
        <f ca="1" t="shared" si="1638"/>
        <v>1</v>
      </c>
    </row>
    <row r="1414" s="106" customFormat="1" ht="16.5" spans="2:22">
      <c r="B1414" s="117">
        <v>178</v>
      </c>
      <c r="C1414" s="130">
        <f t="shared" si="1589"/>
        <v>17800</v>
      </c>
      <c r="D1414" s="130">
        <f ca="1" t="shared" ref="D1414:V1414" si="1639">IF($C1414&gt;D$633,1,0)</f>
        <v>1</v>
      </c>
      <c r="E1414" s="130">
        <f ca="1" t="shared" si="1639"/>
        <v>1</v>
      </c>
      <c r="F1414" s="130">
        <f ca="1" t="shared" si="1639"/>
        <v>1</v>
      </c>
      <c r="G1414" s="130">
        <f ca="1" t="shared" si="1639"/>
        <v>1</v>
      </c>
      <c r="H1414" s="130">
        <f ca="1" t="shared" si="1639"/>
        <v>1</v>
      </c>
      <c r="I1414" s="130">
        <f ca="1" t="shared" si="1639"/>
        <v>1</v>
      </c>
      <c r="J1414" s="130">
        <f ca="1" t="shared" si="1639"/>
        <v>1</v>
      </c>
      <c r="K1414" s="130">
        <f ca="1" t="shared" si="1639"/>
        <v>1</v>
      </c>
      <c r="L1414" s="130">
        <f ca="1" t="shared" si="1639"/>
        <v>1</v>
      </c>
      <c r="M1414" s="130">
        <f ca="1" t="shared" si="1639"/>
        <v>1</v>
      </c>
      <c r="N1414" s="130">
        <f ca="1" t="shared" si="1639"/>
        <v>1</v>
      </c>
      <c r="O1414" s="130">
        <f ca="1" t="shared" si="1639"/>
        <v>1</v>
      </c>
      <c r="P1414" s="130">
        <f ca="1" t="shared" si="1639"/>
        <v>1</v>
      </c>
      <c r="Q1414" s="130">
        <f ca="1" t="shared" si="1639"/>
        <v>1</v>
      </c>
      <c r="R1414" s="130">
        <f ca="1" t="shared" si="1639"/>
        <v>1</v>
      </c>
      <c r="S1414" s="130">
        <f ca="1" t="shared" si="1639"/>
        <v>1</v>
      </c>
      <c r="T1414" s="130">
        <f ca="1" t="shared" si="1639"/>
        <v>1</v>
      </c>
      <c r="U1414" s="130">
        <f ca="1" t="shared" si="1639"/>
        <v>1</v>
      </c>
      <c r="V1414" s="130">
        <f ca="1" t="shared" si="1639"/>
        <v>1</v>
      </c>
    </row>
    <row r="1415" s="106" customFormat="1" ht="16.5" spans="2:22">
      <c r="B1415" s="117">
        <v>179</v>
      </c>
      <c r="C1415" s="130">
        <f t="shared" si="1589"/>
        <v>17900</v>
      </c>
      <c r="D1415" s="130">
        <f ca="1" t="shared" ref="D1415:V1415" si="1640">IF($C1415&gt;D$633,1,0)</f>
        <v>1</v>
      </c>
      <c r="E1415" s="130">
        <f ca="1" t="shared" si="1640"/>
        <v>1</v>
      </c>
      <c r="F1415" s="130">
        <f ca="1" t="shared" si="1640"/>
        <v>1</v>
      </c>
      <c r="G1415" s="130">
        <f ca="1" t="shared" si="1640"/>
        <v>1</v>
      </c>
      <c r="H1415" s="130">
        <f ca="1" t="shared" si="1640"/>
        <v>1</v>
      </c>
      <c r="I1415" s="130">
        <f ca="1" t="shared" si="1640"/>
        <v>1</v>
      </c>
      <c r="J1415" s="130">
        <f ca="1" t="shared" si="1640"/>
        <v>1</v>
      </c>
      <c r="K1415" s="130">
        <f ca="1" t="shared" si="1640"/>
        <v>1</v>
      </c>
      <c r="L1415" s="130">
        <f ca="1" t="shared" si="1640"/>
        <v>1</v>
      </c>
      <c r="M1415" s="130">
        <f ca="1" t="shared" si="1640"/>
        <v>1</v>
      </c>
      <c r="N1415" s="130">
        <f ca="1" t="shared" si="1640"/>
        <v>1</v>
      </c>
      <c r="O1415" s="130">
        <f ca="1" t="shared" si="1640"/>
        <v>1</v>
      </c>
      <c r="P1415" s="130">
        <f ca="1" t="shared" si="1640"/>
        <v>1</v>
      </c>
      <c r="Q1415" s="130">
        <f ca="1" t="shared" si="1640"/>
        <v>1</v>
      </c>
      <c r="R1415" s="130">
        <f ca="1" t="shared" si="1640"/>
        <v>1</v>
      </c>
      <c r="S1415" s="130">
        <f ca="1" t="shared" si="1640"/>
        <v>1</v>
      </c>
      <c r="T1415" s="130">
        <f ca="1" t="shared" si="1640"/>
        <v>1</v>
      </c>
      <c r="U1415" s="130">
        <f ca="1" t="shared" si="1640"/>
        <v>1</v>
      </c>
      <c r="V1415" s="130">
        <f ca="1" t="shared" si="1640"/>
        <v>1</v>
      </c>
    </row>
    <row r="1416" s="106" customFormat="1" ht="16.5" spans="2:22">
      <c r="B1416" s="117">
        <v>180</v>
      </c>
      <c r="C1416" s="130">
        <f t="shared" si="1589"/>
        <v>18000</v>
      </c>
      <c r="D1416" s="130">
        <f ca="1" t="shared" ref="D1416:V1416" si="1641">IF($C1416&gt;D$633,1,0)</f>
        <v>1</v>
      </c>
      <c r="E1416" s="130">
        <f ca="1" t="shared" si="1641"/>
        <v>1</v>
      </c>
      <c r="F1416" s="130">
        <f ca="1" t="shared" si="1641"/>
        <v>1</v>
      </c>
      <c r="G1416" s="130">
        <f ca="1" t="shared" si="1641"/>
        <v>1</v>
      </c>
      <c r="H1416" s="130">
        <f ca="1" t="shared" si="1641"/>
        <v>1</v>
      </c>
      <c r="I1416" s="130">
        <f ca="1" t="shared" si="1641"/>
        <v>1</v>
      </c>
      <c r="J1416" s="130">
        <f ca="1" t="shared" si="1641"/>
        <v>1</v>
      </c>
      <c r="K1416" s="130">
        <f ca="1" t="shared" si="1641"/>
        <v>1</v>
      </c>
      <c r="L1416" s="130">
        <f ca="1" t="shared" si="1641"/>
        <v>1</v>
      </c>
      <c r="M1416" s="130">
        <f ca="1" t="shared" si="1641"/>
        <v>1</v>
      </c>
      <c r="N1416" s="130">
        <f ca="1" t="shared" si="1641"/>
        <v>1</v>
      </c>
      <c r="O1416" s="130">
        <f ca="1" t="shared" si="1641"/>
        <v>1</v>
      </c>
      <c r="P1416" s="130">
        <f ca="1" t="shared" si="1641"/>
        <v>1</v>
      </c>
      <c r="Q1416" s="130">
        <f ca="1" t="shared" si="1641"/>
        <v>1</v>
      </c>
      <c r="R1416" s="130">
        <f ca="1" t="shared" si="1641"/>
        <v>1</v>
      </c>
      <c r="S1416" s="130">
        <f ca="1" t="shared" si="1641"/>
        <v>1</v>
      </c>
      <c r="T1416" s="130">
        <f ca="1" t="shared" si="1641"/>
        <v>1</v>
      </c>
      <c r="U1416" s="130">
        <f ca="1" t="shared" si="1641"/>
        <v>1</v>
      </c>
      <c r="V1416" s="130">
        <f ca="1" t="shared" si="1641"/>
        <v>1</v>
      </c>
    </row>
    <row r="1417" s="106" customFormat="1" ht="16.5" spans="2:22">
      <c r="B1417" s="117">
        <v>181</v>
      </c>
      <c r="C1417" s="130">
        <f t="shared" si="1589"/>
        <v>18100</v>
      </c>
      <c r="D1417" s="130">
        <f ca="1" t="shared" ref="D1417:V1417" si="1642">IF($C1417&gt;D$633,1,0)</f>
        <v>1</v>
      </c>
      <c r="E1417" s="130">
        <f ca="1" t="shared" si="1642"/>
        <v>1</v>
      </c>
      <c r="F1417" s="130">
        <f ca="1" t="shared" si="1642"/>
        <v>1</v>
      </c>
      <c r="G1417" s="130">
        <f ca="1" t="shared" si="1642"/>
        <v>1</v>
      </c>
      <c r="H1417" s="130">
        <f ca="1" t="shared" si="1642"/>
        <v>1</v>
      </c>
      <c r="I1417" s="130">
        <f ca="1" t="shared" si="1642"/>
        <v>1</v>
      </c>
      <c r="J1417" s="130">
        <f ca="1" t="shared" si="1642"/>
        <v>1</v>
      </c>
      <c r="K1417" s="130">
        <f ca="1" t="shared" si="1642"/>
        <v>1</v>
      </c>
      <c r="L1417" s="130">
        <f ca="1" t="shared" si="1642"/>
        <v>1</v>
      </c>
      <c r="M1417" s="130">
        <f ca="1" t="shared" si="1642"/>
        <v>1</v>
      </c>
      <c r="N1417" s="130">
        <f ca="1" t="shared" si="1642"/>
        <v>1</v>
      </c>
      <c r="O1417" s="130">
        <f ca="1" t="shared" si="1642"/>
        <v>1</v>
      </c>
      <c r="P1417" s="130">
        <f ca="1" t="shared" si="1642"/>
        <v>1</v>
      </c>
      <c r="Q1417" s="130">
        <f ca="1" t="shared" si="1642"/>
        <v>1</v>
      </c>
      <c r="R1417" s="130">
        <f ca="1" t="shared" si="1642"/>
        <v>1</v>
      </c>
      <c r="S1417" s="130">
        <f ca="1" t="shared" si="1642"/>
        <v>1</v>
      </c>
      <c r="T1417" s="130">
        <f ca="1" t="shared" si="1642"/>
        <v>1</v>
      </c>
      <c r="U1417" s="130">
        <f ca="1" t="shared" si="1642"/>
        <v>1</v>
      </c>
      <c r="V1417" s="130">
        <f ca="1" t="shared" si="1642"/>
        <v>1</v>
      </c>
    </row>
    <row r="1418" s="106" customFormat="1" ht="16.5" spans="2:22">
      <c r="B1418" s="117">
        <v>182</v>
      </c>
      <c r="C1418" s="130">
        <f t="shared" si="1589"/>
        <v>18200</v>
      </c>
      <c r="D1418" s="130">
        <f ca="1" t="shared" ref="D1418:V1418" si="1643">IF($C1418&gt;D$633,1,0)</f>
        <v>1</v>
      </c>
      <c r="E1418" s="130">
        <f ca="1" t="shared" si="1643"/>
        <v>1</v>
      </c>
      <c r="F1418" s="130">
        <f ca="1" t="shared" si="1643"/>
        <v>1</v>
      </c>
      <c r="G1418" s="130">
        <f ca="1" t="shared" si="1643"/>
        <v>1</v>
      </c>
      <c r="H1418" s="130">
        <f ca="1" t="shared" si="1643"/>
        <v>1</v>
      </c>
      <c r="I1418" s="130">
        <f ca="1" t="shared" si="1643"/>
        <v>1</v>
      </c>
      <c r="J1418" s="130">
        <f ca="1" t="shared" si="1643"/>
        <v>1</v>
      </c>
      <c r="K1418" s="130">
        <f ca="1" t="shared" si="1643"/>
        <v>1</v>
      </c>
      <c r="L1418" s="130">
        <f ca="1" t="shared" si="1643"/>
        <v>1</v>
      </c>
      <c r="M1418" s="130">
        <f ca="1" t="shared" si="1643"/>
        <v>1</v>
      </c>
      <c r="N1418" s="130">
        <f ca="1" t="shared" si="1643"/>
        <v>1</v>
      </c>
      <c r="O1418" s="130">
        <f ca="1" t="shared" si="1643"/>
        <v>1</v>
      </c>
      <c r="P1418" s="130">
        <f ca="1" t="shared" si="1643"/>
        <v>1</v>
      </c>
      <c r="Q1418" s="130">
        <f ca="1" t="shared" si="1643"/>
        <v>1</v>
      </c>
      <c r="R1418" s="130">
        <f ca="1" t="shared" si="1643"/>
        <v>1</v>
      </c>
      <c r="S1418" s="130">
        <f ca="1" t="shared" si="1643"/>
        <v>1</v>
      </c>
      <c r="T1418" s="130">
        <f ca="1" t="shared" si="1643"/>
        <v>1</v>
      </c>
      <c r="U1418" s="130">
        <f ca="1" t="shared" si="1643"/>
        <v>1</v>
      </c>
      <c r="V1418" s="130">
        <f ca="1" t="shared" si="1643"/>
        <v>1</v>
      </c>
    </row>
    <row r="1419" s="106" customFormat="1" ht="16.5" spans="2:22">
      <c r="B1419" s="117">
        <v>183</v>
      </c>
      <c r="C1419" s="130">
        <f t="shared" si="1589"/>
        <v>18300</v>
      </c>
      <c r="D1419" s="130">
        <f ca="1" t="shared" ref="D1419:V1419" si="1644">IF($C1419&gt;D$633,1,0)</f>
        <v>1</v>
      </c>
      <c r="E1419" s="130">
        <f ca="1" t="shared" si="1644"/>
        <v>1</v>
      </c>
      <c r="F1419" s="130">
        <f ca="1" t="shared" si="1644"/>
        <v>1</v>
      </c>
      <c r="G1419" s="130">
        <f ca="1" t="shared" si="1644"/>
        <v>1</v>
      </c>
      <c r="H1419" s="130">
        <f ca="1" t="shared" si="1644"/>
        <v>1</v>
      </c>
      <c r="I1419" s="130">
        <f ca="1" t="shared" si="1644"/>
        <v>1</v>
      </c>
      <c r="J1419" s="130">
        <f ca="1" t="shared" si="1644"/>
        <v>1</v>
      </c>
      <c r="K1419" s="130">
        <f ca="1" t="shared" si="1644"/>
        <v>1</v>
      </c>
      <c r="L1419" s="130">
        <f ca="1" t="shared" si="1644"/>
        <v>1</v>
      </c>
      <c r="M1419" s="130">
        <f ca="1" t="shared" si="1644"/>
        <v>1</v>
      </c>
      <c r="N1419" s="130">
        <f ca="1" t="shared" si="1644"/>
        <v>1</v>
      </c>
      <c r="O1419" s="130">
        <f ca="1" t="shared" si="1644"/>
        <v>1</v>
      </c>
      <c r="P1419" s="130">
        <f ca="1" t="shared" si="1644"/>
        <v>1</v>
      </c>
      <c r="Q1419" s="130">
        <f ca="1" t="shared" si="1644"/>
        <v>1</v>
      </c>
      <c r="R1419" s="130">
        <f ca="1" t="shared" si="1644"/>
        <v>1</v>
      </c>
      <c r="S1419" s="130">
        <f ca="1" t="shared" si="1644"/>
        <v>1</v>
      </c>
      <c r="T1419" s="130">
        <f ca="1" t="shared" si="1644"/>
        <v>1</v>
      </c>
      <c r="U1419" s="130">
        <f ca="1" t="shared" si="1644"/>
        <v>1</v>
      </c>
      <c r="V1419" s="130">
        <f ca="1" t="shared" si="1644"/>
        <v>1</v>
      </c>
    </row>
    <row r="1420" s="106" customFormat="1" ht="16.5" spans="2:22">
      <c r="B1420" s="117">
        <v>184</v>
      </c>
      <c r="C1420" s="130">
        <f t="shared" si="1589"/>
        <v>18400</v>
      </c>
      <c r="D1420" s="130">
        <f ca="1" t="shared" ref="D1420:V1420" si="1645">IF($C1420&gt;D$633,1,0)</f>
        <v>1</v>
      </c>
      <c r="E1420" s="130">
        <f ca="1" t="shared" si="1645"/>
        <v>1</v>
      </c>
      <c r="F1420" s="130">
        <f ca="1" t="shared" si="1645"/>
        <v>1</v>
      </c>
      <c r="G1420" s="130">
        <f ca="1" t="shared" si="1645"/>
        <v>1</v>
      </c>
      <c r="H1420" s="130">
        <f ca="1" t="shared" si="1645"/>
        <v>1</v>
      </c>
      <c r="I1420" s="130">
        <f ca="1" t="shared" si="1645"/>
        <v>1</v>
      </c>
      <c r="J1420" s="130">
        <f ca="1" t="shared" si="1645"/>
        <v>1</v>
      </c>
      <c r="K1420" s="130">
        <f ca="1" t="shared" si="1645"/>
        <v>1</v>
      </c>
      <c r="L1420" s="130">
        <f ca="1" t="shared" si="1645"/>
        <v>1</v>
      </c>
      <c r="M1420" s="130">
        <f ca="1" t="shared" si="1645"/>
        <v>1</v>
      </c>
      <c r="N1420" s="130">
        <f ca="1" t="shared" si="1645"/>
        <v>1</v>
      </c>
      <c r="O1420" s="130">
        <f ca="1" t="shared" si="1645"/>
        <v>1</v>
      </c>
      <c r="P1420" s="130">
        <f ca="1" t="shared" si="1645"/>
        <v>1</v>
      </c>
      <c r="Q1420" s="130">
        <f ca="1" t="shared" si="1645"/>
        <v>1</v>
      </c>
      <c r="R1420" s="130">
        <f ca="1" t="shared" si="1645"/>
        <v>1</v>
      </c>
      <c r="S1420" s="130">
        <f ca="1" t="shared" si="1645"/>
        <v>1</v>
      </c>
      <c r="T1420" s="130">
        <f ca="1" t="shared" si="1645"/>
        <v>1</v>
      </c>
      <c r="U1420" s="130">
        <f ca="1" t="shared" si="1645"/>
        <v>1</v>
      </c>
      <c r="V1420" s="130">
        <f ca="1" t="shared" si="1645"/>
        <v>1</v>
      </c>
    </row>
    <row r="1421" s="106" customFormat="1" ht="16.5" spans="2:22">
      <c r="B1421" s="117">
        <v>185</v>
      </c>
      <c r="C1421" s="130">
        <f t="shared" si="1589"/>
        <v>18500</v>
      </c>
      <c r="D1421" s="130">
        <f ca="1" t="shared" ref="D1421:V1421" si="1646">IF($C1421&gt;D$633,1,0)</f>
        <v>1</v>
      </c>
      <c r="E1421" s="130">
        <f ca="1" t="shared" si="1646"/>
        <v>1</v>
      </c>
      <c r="F1421" s="130">
        <f ca="1" t="shared" si="1646"/>
        <v>1</v>
      </c>
      <c r="G1421" s="130">
        <f ca="1" t="shared" si="1646"/>
        <v>1</v>
      </c>
      <c r="H1421" s="130">
        <f ca="1" t="shared" si="1646"/>
        <v>1</v>
      </c>
      <c r="I1421" s="130">
        <f ca="1" t="shared" si="1646"/>
        <v>1</v>
      </c>
      <c r="J1421" s="130">
        <f ca="1" t="shared" si="1646"/>
        <v>1</v>
      </c>
      <c r="K1421" s="130">
        <f ca="1" t="shared" si="1646"/>
        <v>1</v>
      </c>
      <c r="L1421" s="130">
        <f ca="1" t="shared" si="1646"/>
        <v>1</v>
      </c>
      <c r="M1421" s="130">
        <f ca="1" t="shared" si="1646"/>
        <v>1</v>
      </c>
      <c r="N1421" s="130">
        <f ca="1" t="shared" si="1646"/>
        <v>1</v>
      </c>
      <c r="O1421" s="130">
        <f ca="1" t="shared" si="1646"/>
        <v>1</v>
      </c>
      <c r="P1421" s="130">
        <f ca="1" t="shared" si="1646"/>
        <v>1</v>
      </c>
      <c r="Q1421" s="130">
        <f ca="1" t="shared" si="1646"/>
        <v>1</v>
      </c>
      <c r="R1421" s="130">
        <f ca="1" t="shared" si="1646"/>
        <v>1</v>
      </c>
      <c r="S1421" s="130">
        <f ca="1" t="shared" si="1646"/>
        <v>1</v>
      </c>
      <c r="T1421" s="130">
        <f ca="1" t="shared" si="1646"/>
        <v>1</v>
      </c>
      <c r="U1421" s="130">
        <f ca="1" t="shared" si="1646"/>
        <v>1</v>
      </c>
      <c r="V1421" s="130">
        <f ca="1" t="shared" si="1646"/>
        <v>1</v>
      </c>
    </row>
    <row r="1422" s="106" customFormat="1" ht="16.5" spans="2:22">
      <c r="B1422" s="117">
        <v>186</v>
      </c>
      <c r="C1422" s="130">
        <f t="shared" si="1589"/>
        <v>18600</v>
      </c>
      <c r="D1422" s="130">
        <f ca="1" t="shared" ref="D1422:V1422" si="1647">IF($C1422&gt;D$633,1,0)</f>
        <v>1</v>
      </c>
      <c r="E1422" s="130">
        <f ca="1" t="shared" si="1647"/>
        <v>1</v>
      </c>
      <c r="F1422" s="130">
        <f ca="1" t="shared" si="1647"/>
        <v>1</v>
      </c>
      <c r="G1422" s="130">
        <f ca="1" t="shared" si="1647"/>
        <v>1</v>
      </c>
      <c r="H1422" s="130">
        <f ca="1" t="shared" si="1647"/>
        <v>1</v>
      </c>
      <c r="I1422" s="130">
        <f ca="1" t="shared" si="1647"/>
        <v>1</v>
      </c>
      <c r="J1422" s="130">
        <f ca="1" t="shared" si="1647"/>
        <v>1</v>
      </c>
      <c r="K1422" s="130">
        <f ca="1" t="shared" si="1647"/>
        <v>1</v>
      </c>
      <c r="L1422" s="130">
        <f ca="1" t="shared" si="1647"/>
        <v>1</v>
      </c>
      <c r="M1422" s="130">
        <f ca="1" t="shared" si="1647"/>
        <v>1</v>
      </c>
      <c r="N1422" s="130">
        <f ca="1" t="shared" si="1647"/>
        <v>1</v>
      </c>
      <c r="O1422" s="130">
        <f ca="1" t="shared" si="1647"/>
        <v>1</v>
      </c>
      <c r="P1422" s="130">
        <f ca="1" t="shared" si="1647"/>
        <v>1</v>
      </c>
      <c r="Q1422" s="130">
        <f ca="1" t="shared" si="1647"/>
        <v>1</v>
      </c>
      <c r="R1422" s="130">
        <f ca="1" t="shared" si="1647"/>
        <v>1</v>
      </c>
      <c r="S1422" s="130">
        <f ca="1" t="shared" si="1647"/>
        <v>1</v>
      </c>
      <c r="T1422" s="130">
        <f ca="1" t="shared" si="1647"/>
        <v>1</v>
      </c>
      <c r="U1422" s="130">
        <f ca="1" t="shared" si="1647"/>
        <v>1</v>
      </c>
      <c r="V1422" s="130">
        <f ca="1" t="shared" si="1647"/>
        <v>1</v>
      </c>
    </row>
    <row r="1423" s="106" customFormat="1" ht="16.5" spans="2:22">
      <c r="B1423" s="117">
        <v>187</v>
      </c>
      <c r="C1423" s="130">
        <f t="shared" si="1589"/>
        <v>18700</v>
      </c>
      <c r="D1423" s="130">
        <f ca="1" t="shared" ref="D1423:V1423" si="1648">IF($C1423&gt;D$633,1,0)</f>
        <v>1</v>
      </c>
      <c r="E1423" s="130">
        <f ca="1" t="shared" si="1648"/>
        <v>1</v>
      </c>
      <c r="F1423" s="130">
        <f ca="1" t="shared" si="1648"/>
        <v>1</v>
      </c>
      <c r="G1423" s="130">
        <f ca="1" t="shared" si="1648"/>
        <v>1</v>
      </c>
      <c r="H1423" s="130">
        <f ca="1" t="shared" si="1648"/>
        <v>1</v>
      </c>
      <c r="I1423" s="130">
        <f ca="1" t="shared" si="1648"/>
        <v>1</v>
      </c>
      <c r="J1423" s="130">
        <f ca="1" t="shared" si="1648"/>
        <v>1</v>
      </c>
      <c r="K1423" s="130">
        <f ca="1" t="shared" si="1648"/>
        <v>1</v>
      </c>
      <c r="L1423" s="130">
        <f ca="1" t="shared" si="1648"/>
        <v>1</v>
      </c>
      <c r="M1423" s="130">
        <f ca="1" t="shared" si="1648"/>
        <v>1</v>
      </c>
      <c r="N1423" s="130">
        <f ca="1" t="shared" si="1648"/>
        <v>1</v>
      </c>
      <c r="O1423" s="130">
        <f ca="1" t="shared" si="1648"/>
        <v>1</v>
      </c>
      <c r="P1423" s="130">
        <f ca="1" t="shared" si="1648"/>
        <v>1</v>
      </c>
      <c r="Q1423" s="130">
        <f ca="1" t="shared" si="1648"/>
        <v>1</v>
      </c>
      <c r="R1423" s="130">
        <f ca="1" t="shared" si="1648"/>
        <v>1</v>
      </c>
      <c r="S1423" s="130">
        <f ca="1" t="shared" si="1648"/>
        <v>1</v>
      </c>
      <c r="T1423" s="130">
        <f ca="1" t="shared" si="1648"/>
        <v>1</v>
      </c>
      <c r="U1423" s="130">
        <f ca="1" t="shared" si="1648"/>
        <v>1</v>
      </c>
      <c r="V1423" s="130">
        <f ca="1" t="shared" si="1648"/>
        <v>1</v>
      </c>
    </row>
    <row r="1424" s="106" customFormat="1" ht="16.5" spans="2:22">
      <c r="B1424" s="117">
        <v>188</v>
      </c>
      <c r="C1424" s="130">
        <f t="shared" si="1589"/>
        <v>18800</v>
      </c>
      <c r="D1424" s="130">
        <f ca="1" t="shared" ref="D1424:V1424" si="1649">IF($C1424&gt;D$633,1,0)</f>
        <v>1</v>
      </c>
      <c r="E1424" s="130">
        <f ca="1" t="shared" si="1649"/>
        <v>1</v>
      </c>
      <c r="F1424" s="130">
        <f ca="1" t="shared" si="1649"/>
        <v>1</v>
      </c>
      <c r="G1424" s="130">
        <f ca="1" t="shared" si="1649"/>
        <v>1</v>
      </c>
      <c r="H1424" s="130">
        <f ca="1" t="shared" si="1649"/>
        <v>1</v>
      </c>
      <c r="I1424" s="130">
        <f ca="1" t="shared" si="1649"/>
        <v>1</v>
      </c>
      <c r="J1424" s="130">
        <f ca="1" t="shared" si="1649"/>
        <v>1</v>
      </c>
      <c r="K1424" s="130">
        <f ca="1" t="shared" si="1649"/>
        <v>1</v>
      </c>
      <c r="L1424" s="130">
        <f ca="1" t="shared" si="1649"/>
        <v>1</v>
      </c>
      <c r="M1424" s="130">
        <f ca="1" t="shared" si="1649"/>
        <v>1</v>
      </c>
      <c r="N1424" s="130">
        <f ca="1" t="shared" si="1649"/>
        <v>1</v>
      </c>
      <c r="O1424" s="130">
        <f ca="1" t="shared" si="1649"/>
        <v>1</v>
      </c>
      <c r="P1424" s="130">
        <f ca="1" t="shared" si="1649"/>
        <v>1</v>
      </c>
      <c r="Q1424" s="130">
        <f ca="1" t="shared" si="1649"/>
        <v>1</v>
      </c>
      <c r="R1424" s="130">
        <f ca="1" t="shared" si="1649"/>
        <v>1</v>
      </c>
      <c r="S1424" s="130">
        <f ca="1" t="shared" si="1649"/>
        <v>1</v>
      </c>
      <c r="T1424" s="130">
        <f ca="1" t="shared" si="1649"/>
        <v>1</v>
      </c>
      <c r="U1424" s="130">
        <f ca="1" t="shared" si="1649"/>
        <v>1</v>
      </c>
      <c r="V1424" s="130">
        <f ca="1" t="shared" si="1649"/>
        <v>1</v>
      </c>
    </row>
    <row r="1425" s="106" customFormat="1" ht="16.5" spans="2:22">
      <c r="B1425" s="117">
        <v>189</v>
      </c>
      <c r="C1425" s="130">
        <f t="shared" si="1589"/>
        <v>18900</v>
      </c>
      <c r="D1425" s="130">
        <f ca="1" t="shared" ref="D1425:V1425" si="1650">IF($C1425&gt;D$633,1,0)</f>
        <v>1</v>
      </c>
      <c r="E1425" s="130">
        <f ca="1" t="shared" si="1650"/>
        <v>1</v>
      </c>
      <c r="F1425" s="130">
        <f ca="1" t="shared" si="1650"/>
        <v>1</v>
      </c>
      <c r="G1425" s="130">
        <f ca="1" t="shared" si="1650"/>
        <v>1</v>
      </c>
      <c r="H1425" s="130">
        <f ca="1" t="shared" si="1650"/>
        <v>1</v>
      </c>
      <c r="I1425" s="130">
        <f ca="1" t="shared" si="1650"/>
        <v>1</v>
      </c>
      <c r="J1425" s="130">
        <f ca="1" t="shared" si="1650"/>
        <v>1</v>
      </c>
      <c r="K1425" s="130">
        <f ca="1" t="shared" si="1650"/>
        <v>1</v>
      </c>
      <c r="L1425" s="130">
        <f ca="1" t="shared" si="1650"/>
        <v>1</v>
      </c>
      <c r="M1425" s="130">
        <f ca="1" t="shared" si="1650"/>
        <v>1</v>
      </c>
      <c r="N1425" s="130">
        <f ca="1" t="shared" si="1650"/>
        <v>1</v>
      </c>
      <c r="O1425" s="130">
        <f ca="1" t="shared" si="1650"/>
        <v>1</v>
      </c>
      <c r="P1425" s="130">
        <f ca="1" t="shared" si="1650"/>
        <v>1</v>
      </c>
      <c r="Q1425" s="130">
        <f ca="1" t="shared" si="1650"/>
        <v>1</v>
      </c>
      <c r="R1425" s="130">
        <f ca="1" t="shared" si="1650"/>
        <v>1</v>
      </c>
      <c r="S1425" s="130">
        <f ca="1" t="shared" si="1650"/>
        <v>1</v>
      </c>
      <c r="T1425" s="130">
        <f ca="1" t="shared" si="1650"/>
        <v>1</v>
      </c>
      <c r="U1425" s="130">
        <f ca="1" t="shared" si="1650"/>
        <v>1</v>
      </c>
      <c r="V1425" s="130">
        <f ca="1" t="shared" si="1650"/>
        <v>1</v>
      </c>
    </row>
    <row r="1426" s="106" customFormat="1" ht="16.5" spans="2:22">
      <c r="B1426" s="117">
        <v>190</v>
      </c>
      <c r="C1426" s="130">
        <f t="shared" si="1589"/>
        <v>19000</v>
      </c>
      <c r="D1426" s="130">
        <f ca="1" t="shared" ref="D1426:V1426" si="1651">IF($C1426&gt;D$633,1,0)</f>
        <v>1</v>
      </c>
      <c r="E1426" s="130">
        <f ca="1" t="shared" si="1651"/>
        <v>1</v>
      </c>
      <c r="F1426" s="130">
        <f ca="1" t="shared" si="1651"/>
        <v>1</v>
      </c>
      <c r="G1426" s="130">
        <f ca="1" t="shared" si="1651"/>
        <v>1</v>
      </c>
      <c r="H1426" s="130">
        <f ca="1" t="shared" si="1651"/>
        <v>1</v>
      </c>
      <c r="I1426" s="130">
        <f ca="1" t="shared" si="1651"/>
        <v>1</v>
      </c>
      <c r="J1426" s="130">
        <f ca="1" t="shared" si="1651"/>
        <v>1</v>
      </c>
      <c r="K1426" s="130">
        <f ca="1" t="shared" si="1651"/>
        <v>1</v>
      </c>
      <c r="L1426" s="130">
        <f ca="1" t="shared" si="1651"/>
        <v>1</v>
      </c>
      <c r="M1426" s="130">
        <f ca="1" t="shared" si="1651"/>
        <v>1</v>
      </c>
      <c r="N1426" s="130">
        <f ca="1" t="shared" si="1651"/>
        <v>1</v>
      </c>
      <c r="O1426" s="130">
        <f ca="1" t="shared" si="1651"/>
        <v>1</v>
      </c>
      <c r="P1426" s="130">
        <f ca="1" t="shared" si="1651"/>
        <v>1</v>
      </c>
      <c r="Q1426" s="130">
        <f ca="1" t="shared" si="1651"/>
        <v>1</v>
      </c>
      <c r="R1426" s="130">
        <f ca="1" t="shared" si="1651"/>
        <v>1</v>
      </c>
      <c r="S1426" s="130">
        <f ca="1" t="shared" si="1651"/>
        <v>1</v>
      </c>
      <c r="T1426" s="130">
        <f ca="1" t="shared" si="1651"/>
        <v>1</v>
      </c>
      <c r="U1426" s="130">
        <f ca="1" t="shared" si="1651"/>
        <v>1</v>
      </c>
      <c r="V1426" s="130">
        <f ca="1" t="shared" si="1651"/>
        <v>1</v>
      </c>
    </row>
    <row r="1427" s="106" customFormat="1" ht="16.5" spans="2:22">
      <c r="B1427" s="117">
        <v>191</v>
      </c>
      <c r="C1427" s="130">
        <f t="shared" si="1589"/>
        <v>19100</v>
      </c>
      <c r="D1427" s="130">
        <f ca="1" t="shared" ref="D1427:V1427" si="1652">IF($C1427&gt;D$633,1,0)</f>
        <v>1</v>
      </c>
      <c r="E1427" s="130">
        <f ca="1" t="shared" si="1652"/>
        <v>1</v>
      </c>
      <c r="F1427" s="130">
        <f ca="1" t="shared" si="1652"/>
        <v>1</v>
      </c>
      <c r="G1427" s="130">
        <f ca="1" t="shared" si="1652"/>
        <v>1</v>
      </c>
      <c r="H1427" s="130">
        <f ca="1" t="shared" si="1652"/>
        <v>1</v>
      </c>
      <c r="I1427" s="130">
        <f ca="1" t="shared" si="1652"/>
        <v>1</v>
      </c>
      <c r="J1427" s="130">
        <f ca="1" t="shared" si="1652"/>
        <v>1</v>
      </c>
      <c r="K1427" s="130">
        <f ca="1" t="shared" si="1652"/>
        <v>1</v>
      </c>
      <c r="L1427" s="130">
        <f ca="1" t="shared" si="1652"/>
        <v>1</v>
      </c>
      <c r="M1427" s="130">
        <f ca="1" t="shared" si="1652"/>
        <v>1</v>
      </c>
      <c r="N1427" s="130">
        <f ca="1" t="shared" si="1652"/>
        <v>1</v>
      </c>
      <c r="O1427" s="130">
        <f ca="1" t="shared" si="1652"/>
        <v>1</v>
      </c>
      <c r="P1427" s="130">
        <f ca="1" t="shared" si="1652"/>
        <v>1</v>
      </c>
      <c r="Q1427" s="130">
        <f ca="1" t="shared" si="1652"/>
        <v>1</v>
      </c>
      <c r="R1427" s="130">
        <f ca="1" t="shared" si="1652"/>
        <v>1</v>
      </c>
      <c r="S1427" s="130">
        <f ca="1" t="shared" si="1652"/>
        <v>1</v>
      </c>
      <c r="T1427" s="130">
        <f ca="1" t="shared" si="1652"/>
        <v>1</v>
      </c>
      <c r="U1427" s="130">
        <f ca="1" t="shared" si="1652"/>
        <v>1</v>
      </c>
      <c r="V1427" s="130">
        <f ca="1" t="shared" si="1652"/>
        <v>1</v>
      </c>
    </row>
    <row r="1428" s="106" customFormat="1" ht="16.5" spans="2:22">
      <c r="B1428" s="117">
        <v>192</v>
      </c>
      <c r="C1428" s="130">
        <f t="shared" si="1589"/>
        <v>19200</v>
      </c>
      <c r="D1428" s="130">
        <f ca="1" t="shared" ref="D1428:V1428" si="1653">IF($C1428&gt;D$633,1,0)</f>
        <v>1</v>
      </c>
      <c r="E1428" s="130">
        <f ca="1" t="shared" si="1653"/>
        <v>1</v>
      </c>
      <c r="F1428" s="130">
        <f ca="1" t="shared" si="1653"/>
        <v>1</v>
      </c>
      <c r="G1428" s="130">
        <f ca="1" t="shared" si="1653"/>
        <v>1</v>
      </c>
      <c r="H1428" s="130">
        <f ca="1" t="shared" si="1653"/>
        <v>1</v>
      </c>
      <c r="I1428" s="130">
        <f ca="1" t="shared" si="1653"/>
        <v>1</v>
      </c>
      <c r="J1428" s="130">
        <f ca="1" t="shared" si="1653"/>
        <v>1</v>
      </c>
      <c r="K1428" s="130">
        <f ca="1" t="shared" si="1653"/>
        <v>1</v>
      </c>
      <c r="L1428" s="130">
        <f ca="1" t="shared" si="1653"/>
        <v>1</v>
      </c>
      <c r="M1428" s="130">
        <f ca="1" t="shared" si="1653"/>
        <v>1</v>
      </c>
      <c r="N1428" s="130">
        <f ca="1" t="shared" si="1653"/>
        <v>1</v>
      </c>
      <c r="O1428" s="130">
        <f ca="1" t="shared" si="1653"/>
        <v>1</v>
      </c>
      <c r="P1428" s="130">
        <f ca="1" t="shared" si="1653"/>
        <v>1</v>
      </c>
      <c r="Q1428" s="130">
        <f ca="1" t="shared" si="1653"/>
        <v>1</v>
      </c>
      <c r="R1428" s="130">
        <f ca="1" t="shared" si="1653"/>
        <v>1</v>
      </c>
      <c r="S1428" s="130">
        <f ca="1" t="shared" si="1653"/>
        <v>1</v>
      </c>
      <c r="T1428" s="130">
        <f ca="1" t="shared" si="1653"/>
        <v>1</v>
      </c>
      <c r="U1428" s="130">
        <f ca="1" t="shared" si="1653"/>
        <v>1</v>
      </c>
      <c r="V1428" s="130">
        <f ca="1" t="shared" si="1653"/>
        <v>1</v>
      </c>
    </row>
    <row r="1429" s="106" customFormat="1" ht="16.5" spans="2:22">
      <c r="B1429" s="117">
        <v>193</v>
      </c>
      <c r="C1429" s="130">
        <f t="shared" ref="C1429:C1492" si="1654">C827</f>
        <v>19300</v>
      </c>
      <c r="D1429" s="130">
        <f ca="1" t="shared" ref="D1429:V1429" si="1655">IF($C1429&gt;D$633,1,0)</f>
        <v>1</v>
      </c>
      <c r="E1429" s="130">
        <f ca="1" t="shared" si="1655"/>
        <v>1</v>
      </c>
      <c r="F1429" s="130">
        <f ca="1" t="shared" si="1655"/>
        <v>1</v>
      </c>
      <c r="G1429" s="130">
        <f ca="1" t="shared" si="1655"/>
        <v>1</v>
      </c>
      <c r="H1429" s="130">
        <f ca="1" t="shared" si="1655"/>
        <v>1</v>
      </c>
      <c r="I1429" s="130">
        <f ca="1" t="shared" si="1655"/>
        <v>1</v>
      </c>
      <c r="J1429" s="130">
        <f ca="1" t="shared" si="1655"/>
        <v>1</v>
      </c>
      <c r="K1429" s="130">
        <f ca="1" t="shared" si="1655"/>
        <v>1</v>
      </c>
      <c r="L1429" s="130">
        <f ca="1" t="shared" si="1655"/>
        <v>1</v>
      </c>
      <c r="M1429" s="130">
        <f ca="1" t="shared" si="1655"/>
        <v>1</v>
      </c>
      <c r="N1429" s="130">
        <f ca="1" t="shared" si="1655"/>
        <v>1</v>
      </c>
      <c r="O1429" s="130">
        <f ca="1" t="shared" si="1655"/>
        <v>1</v>
      </c>
      <c r="P1429" s="130">
        <f ca="1" t="shared" si="1655"/>
        <v>1</v>
      </c>
      <c r="Q1429" s="130">
        <f ca="1" t="shared" si="1655"/>
        <v>1</v>
      </c>
      <c r="R1429" s="130">
        <f ca="1" t="shared" si="1655"/>
        <v>1</v>
      </c>
      <c r="S1429" s="130">
        <f ca="1" t="shared" si="1655"/>
        <v>1</v>
      </c>
      <c r="T1429" s="130">
        <f ca="1" t="shared" si="1655"/>
        <v>1</v>
      </c>
      <c r="U1429" s="130">
        <f ca="1" t="shared" si="1655"/>
        <v>1</v>
      </c>
      <c r="V1429" s="130">
        <f ca="1" t="shared" si="1655"/>
        <v>1</v>
      </c>
    </row>
    <row r="1430" s="106" customFormat="1" ht="16.5" spans="2:22">
      <c r="B1430" s="117">
        <v>194</v>
      </c>
      <c r="C1430" s="130">
        <f t="shared" si="1654"/>
        <v>19400</v>
      </c>
      <c r="D1430" s="130">
        <f ca="1" t="shared" ref="D1430:V1430" si="1656">IF($C1430&gt;D$633,1,0)</f>
        <v>1</v>
      </c>
      <c r="E1430" s="130">
        <f ca="1" t="shared" si="1656"/>
        <v>1</v>
      </c>
      <c r="F1430" s="130">
        <f ca="1" t="shared" si="1656"/>
        <v>1</v>
      </c>
      <c r="G1430" s="130">
        <f ca="1" t="shared" si="1656"/>
        <v>1</v>
      </c>
      <c r="H1430" s="130">
        <f ca="1" t="shared" si="1656"/>
        <v>1</v>
      </c>
      <c r="I1430" s="130">
        <f ca="1" t="shared" si="1656"/>
        <v>1</v>
      </c>
      <c r="J1430" s="130">
        <f ca="1" t="shared" si="1656"/>
        <v>1</v>
      </c>
      <c r="K1430" s="130">
        <f ca="1" t="shared" si="1656"/>
        <v>1</v>
      </c>
      <c r="L1430" s="130">
        <f ca="1" t="shared" si="1656"/>
        <v>1</v>
      </c>
      <c r="M1430" s="130">
        <f ca="1" t="shared" si="1656"/>
        <v>1</v>
      </c>
      <c r="N1430" s="130">
        <f ca="1" t="shared" si="1656"/>
        <v>1</v>
      </c>
      <c r="O1430" s="130">
        <f ca="1" t="shared" si="1656"/>
        <v>1</v>
      </c>
      <c r="P1430" s="130">
        <f ca="1" t="shared" si="1656"/>
        <v>1</v>
      </c>
      <c r="Q1430" s="130">
        <f ca="1" t="shared" si="1656"/>
        <v>1</v>
      </c>
      <c r="R1430" s="130">
        <f ca="1" t="shared" si="1656"/>
        <v>1</v>
      </c>
      <c r="S1430" s="130">
        <f ca="1" t="shared" si="1656"/>
        <v>1</v>
      </c>
      <c r="T1430" s="130">
        <f ca="1" t="shared" si="1656"/>
        <v>1</v>
      </c>
      <c r="U1430" s="130">
        <f ca="1" t="shared" si="1656"/>
        <v>1</v>
      </c>
      <c r="V1430" s="130">
        <f ca="1" t="shared" si="1656"/>
        <v>1</v>
      </c>
    </row>
    <row r="1431" s="106" customFormat="1" ht="16.5" spans="2:22">
      <c r="B1431" s="117">
        <v>195</v>
      </c>
      <c r="C1431" s="130">
        <f t="shared" si="1654"/>
        <v>19500</v>
      </c>
      <c r="D1431" s="130">
        <f ca="1" t="shared" ref="D1431:V1431" si="1657">IF($C1431&gt;D$633,1,0)</f>
        <v>1</v>
      </c>
      <c r="E1431" s="130">
        <f ca="1" t="shared" si="1657"/>
        <v>1</v>
      </c>
      <c r="F1431" s="130">
        <f ca="1" t="shared" si="1657"/>
        <v>1</v>
      </c>
      <c r="G1431" s="130">
        <f ca="1" t="shared" si="1657"/>
        <v>1</v>
      </c>
      <c r="H1431" s="130">
        <f ca="1" t="shared" si="1657"/>
        <v>1</v>
      </c>
      <c r="I1431" s="130">
        <f ca="1" t="shared" si="1657"/>
        <v>1</v>
      </c>
      <c r="J1431" s="130">
        <f ca="1" t="shared" si="1657"/>
        <v>1</v>
      </c>
      <c r="K1431" s="130">
        <f ca="1" t="shared" si="1657"/>
        <v>1</v>
      </c>
      <c r="L1431" s="130">
        <f ca="1" t="shared" si="1657"/>
        <v>1</v>
      </c>
      <c r="M1431" s="130">
        <f ca="1" t="shared" si="1657"/>
        <v>1</v>
      </c>
      <c r="N1431" s="130">
        <f ca="1" t="shared" si="1657"/>
        <v>1</v>
      </c>
      <c r="O1431" s="130">
        <f ca="1" t="shared" si="1657"/>
        <v>1</v>
      </c>
      <c r="P1431" s="130">
        <f ca="1" t="shared" si="1657"/>
        <v>1</v>
      </c>
      <c r="Q1431" s="130">
        <f ca="1" t="shared" si="1657"/>
        <v>1</v>
      </c>
      <c r="R1431" s="130">
        <f ca="1" t="shared" si="1657"/>
        <v>1</v>
      </c>
      <c r="S1431" s="130">
        <f ca="1" t="shared" si="1657"/>
        <v>1</v>
      </c>
      <c r="T1431" s="130">
        <f ca="1" t="shared" si="1657"/>
        <v>1</v>
      </c>
      <c r="U1431" s="130">
        <f ca="1" t="shared" si="1657"/>
        <v>1</v>
      </c>
      <c r="V1431" s="130">
        <f ca="1" t="shared" si="1657"/>
        <v>1</v>
      </c>
    </row>
    <row r="1432" s="106" customFormat="1" ht="16.5" spans="2:22">
      <c r="B1432" s="117">
        <v>196</v>
      </c>
      <c r="C1432" s="130">
        <f t="shared" si="1654"/>
        <v>19600</v>
      </c>
      <c r="D1432" s="130">
        <f ca="1" t="shared" ref="D1432:V1432" si="1658">IF($C1432&gt;D$633,1,0)</f>
        <v>1</v>
      </c>
      <c r="E1432" s="130">
        <f ca="1" t="shared" si="1658"/>
        <v>1</v>
      </c>
      <c r="F1432" s="130">
        <f ca="1" t="shared" si="1658"/>
        <v>1</v>
      </c>
      <c r="G1432" s="130">
        <f ca="1" t="shared" si="1658"/>
        <v>1</v>
      </c>
      <c r="H1432" s="130">
        <f ca="1" t="shared" si="1658"/>
        <v>1</v>
      </c>
      <c r="I1432" s="130">
        <f ca="1" t="shared" si="1658"/>
        <v>1</v>
      </c>
      <c r="J1432" s="130">
        <f ca="1" t="shared" si="1658"/>
        <v>1</v>
      </c>
      <c r="K1432" s="130">
        <f ca="1" t="shared" si="1658"/>
        <v>1</v>
      </c>
      <c r="L1432" s="130">
        <f ca="1" t="shared" si="1658"/>
        <v>1</v>
      </c>
      <c r="M1432" s="130">
        <f ca="1" t="shared" si="1658"/>
        <v>1</v>
      </c>
      <c r="N1432" s="130">
        <f ca="1" t="shared" si="1658"/>
        <v>1</v>
      </c>
      <c r="O1432" s="130">
        <f ca="1" t="shared" si="1658"/>
        <v>1</v>
      </c>
      <c r="P1432" s="130">
        <f ca="1" t="shared" si="1658"/>
        <v>1</v>
      </c>
      <c r="Q1432" s="130">
        <f ca="1" t="shared" si="1658"/>
        <v>1</v>
      </c>
      <c r="R1432" s="130">
        <f ca="1" t="shared" si="1658"/>
        <v>1</v>
      </c>
      <c r="S1432" s="130">
        <f ca="1" t="shared" si="1658"/>
        <v>1</v>
      </c>
      <c r="T1432" s="130">
        <f ca="1" t="shared" si="1658"/>
        <v>1</v>
      </c>
      <c r="U1432" s="130">
        <f ca="1" t="shared" si="1658"/>
        <v>1</v>
      </c>
      <c r="V1432" s="130">
        <f ca="1" t="shared" si="1658"/>
        <v>1</v>
      </c>
    </row>
    <row r="1433" s="106" customFormat="1" ht="16.5" spans="2:22">
      <c r="B1433" s="117">
        <v>197</v>
      </c>
      <c r="C1433" s="130">
        <f t="shared" si="1654"/>
        <v>19700</v>
      </c>
      <c r="D1433" s="130">
        <f ca="1" t="shared" ref="D1433:V1433" si="1659">IF($C1433&gt;D$633,1,0)</f>
        <v>1</v>
      </c>
      <c r="E1433" s="130">
        <f ca="1" t="shared" si="1659"/>
        <v>1</v>
      </c>
      <c r="F1433" s="130">
        <f ca="1" t="shared" si="1659"/>
        <v>1</v>
      </c>
      <c r="G1433" s="130">
        <f ca="1" t="shared" si="1659"/>
        <v>1</v>
      </c>
      <c r="H1433" s="130">
        <f ca="1" t="shared" si="1659"/>
        <v>1</v>
      </c>
      <c r="I1433" s="130">
        <f ca="1" t="shared" si="1659"/>
        <v>1</v>
      </c>
      <c r="J1433" s="130">
        <f ca="1" t="shared" si="1659"/>
        <v>1</v>
      </c>
      <c r="K1433" s="130">
        <f ca="1" t="shared" si="1659"/>
        <v>1</v>
      </c>
      <c r="L1433" s="130">
        <f ca="1" t="shared" si="1659"/>
        <v>1</v>
      </c>
      <c r="M1433" s="130">
        <f ca="1" t="shared" si="1659"/>
        <v>1</v>
      </c>
      <c r="N1433" s="130">
        <f ca="1" t="shared" si="1659"/>
        <v>1</v>
      </c>
      <c r="O1433" s="130">
        <f ca="1" t="shared" si="1659"/>
        <v>1</v>
      </c>
      <c r="P1433" s="130">
        <f ca="1" t="shared" si="1659"/>
        <v>1</v>
      </c>
      <c r="Q1433" s="130">
        <f ca="1" t="shared" si="1659"/>
        <v>1</v>
      </c>
      <c r="R1433" s="130">
        <f ca="1" t="shared" si="1659"/>
        <v>1</v>
      </c>
      <c r="S1433" s="130">
        <f ca="1" t="shared" si="1659"/>
        <v>1</v>
      </c>
      <c r="T1433" s="130">
        <f ca="1" t="shared" si="1659"/>
        <v>1</v>
      </c>
      <c r="U1433" s="130">
        <f ca="1" t="shared" si="1659"/>
        <v>1</v>
      </c>
      <c r="V1433" s="130">
        <f ca="1" t="shared" si="1659"/>
        <v>1</v>
      </c>
    </row>
    <row r="1434" s="106" customFormat="1" ht="16.5" spans="2:22">
      <c r="B1434" s="117">
        <v>198</v>
      </c>
      <c r="C1434" s="130">
        <f t="shared" si="1654"/>
        <v>19800</v>
      </c>
      <c r="D1434" s="130">
        <f ca="1" t="shared" ref="D1434:V1434" si="1660">IF($C1434&gt;D$633,1,0)</f>
        <v>1</v>
      </c>
      <c r="E1434" s="130">
        <f ca="1" t="shared" si="1660"/>
        <v>1</v>
      </c>
      <c r="F1434" s="130">
        <f ca="1" t="shared" si="1660"/>
        <v>1</v>
      </c>
      <c r="G1434" s="130">
        <f ca="1" t="shared" si="1660"/>
        <v>1</v>
      </c>
      <c r="H1434" s="130">
        <f ca="1" t="shared" si="1660"/>
        <v>1</v>
      </c>
      <c r="I1434" s="130">
        <f ca="1" t="shared" si="1660"/>
        <v>1</v>
      </c>
      <c r="J1434" s="130">
        <f ca="1" t="shared" si="1660"/>
        <v>1</v>
      </c>
      <c r="K1434" s="130">
        <f ca="1" t="shared" si="1660"/>
        <v>1</v>
      </c>
      <c r="L1434" s="130">
        <f ca="1" t="shared" si="1660"/>
        <v>1</v>
      </c>
      <c r="M1434" s="130">
        <f ca="1" t="shared" si="1660"/>
        <v>1</v>
      </c>
      <c r="N1434" s="130">
        <f ca="1" t="shared" si="1660"/>
        <v>1</v>
      </c>
      <c r="O1434" s="130">
        <f ca="1" t="shared" si="1660"/>
        <v>1</v>
      </c>
      <c r="P1434" s="130">
        <f ca="1" t="shared" si="1660"/>
        <v>1</v>
      </c>
      <c r="Q1434" s="130">
        <f ca="1" t="shared" si="1660"/>
        <v>1</v>
      </c>
      <c r="R1434" s="130">
        <f ca="1" t="shared" si="1660"/>
        <v>1</v>
      </c>
      <c r="S1434" s="130">
        <f ca="1" t="shared" si="1660"/>
        <v>1</v>
      </c>
      <c r="T1434" s="130">
        <f ca="1" t="shared" si="1660"/>
        <v>1</v>
      </c>
      <c r="U1434" s="130">
        <f ca="1" t="shared" si="1660"/>
        <v>1</v>
      </c>
      <c r="V1434" s="130">
        <f ca="1" t="shared" si="1660"/>
        <v>1</v>
      </c>
    </row>
    <row r="1435" s="106" customFormat="1" ht="16.5" spans="2:22">
      <c r="B1435" s="117">
        <v>199</v>
      </c>
      <c r="C1435" s="130">
        <f t="shared" si="1654"/>
        <v>19900</v>
      </c>
      <c r="D1435" s="130">
        <f ca="1" t="shared" ref="D1435:V1435" si="1661">IF($C1435&gt;D$633,1,0)</f>
        <v>1</v>
      </c>
      <c r="E1435" s="130">
        <f ca="1" t="shared" si="1661"/>
        <v>1</v>
      </c>
      <c r="F1435" s="130">
        <f ca="1" t="shared" si="1661"/>
        <v>1</v>
      </c>
      <c r="G1435" s="130">
        <f ca="1" t="shared" si="1661"/>
        <v>1</v>
      </c>
      <c r="H1435" s="130">
        <f ca="1" t="shared" si="1661"/>
        <v>1</v>
      </c>
      <c r="I1435" s="130">
        <f ca="1" t="shared" si="1661"/>
        <v>1</v>
      </c>
      <c r="J1435" s="130">
        <f ca="1" t="shared" si="1661"/>
        <v>1</v>
      </c>
      <c r="K1435" s="130">
        <f ca="1" t="shared" si="1661"/>
        <v>1</v>
      </c>
      <c r="L1435" s="130">
        <f ca="1" t="shared" si="1661"/>
        <v>1</v>
      </c>
      <c r="M1435" s="130">
        <f ca="1" t="shared" si="1661"/>
        <v>1</v>
      </c>
      <c r="N1435" s="130">
        <f ca="1" t="shared" si="1661"/>
        <v>1</v>
      </c>
      <c r="O1435" s="130">
        <f ca="1" t="shared" si="1661"/>
        <v>1</v>
      </c>
      <c r="P1435" s="130">
        <f ca="1" t="shared" si="1661"/>
        <v>1</v>
      </c>
      <c r="Q1435" s="130">
        <f ca="1" t="shared" si="1661"/>
        <v>1</v>
      </c>
      <c r="R1435" s="130">
        <f ca="1" t="shared" si="1661"/>
        <v>1</v>
      </c>
      <c r="S1435" s="130">
        <f ca="1" t="shared" si="1661"/>
        <v>1</v>
      </c>
      <c r="T1435" s="130">
        <f ca="1" t="shared" si="1661"/>
        <v>1</v>
      </c>
      <c r="U1435" s="130">
        <f ca="1" t="shared" si="1661"/>
        <v>1</v>
      </c>
      <c r="V1435" s="130">
        <f ca="1" t="shared" si="1661"/>
        <v>1</v>
      </c>
    </row>
    <row r="1436" s="106" customFormat="1" ht="16.5" spans="2:22">
      <c r="B1436" s="117">
        <v>200</v>
      </c>
      <c r="C1436" s="130">
        <f t="shared" si="1654"/>
        <v>20000</v>
      </c>
      <c r="D1436" s="130">
        <f ca="1" t="shared" ref="D1436:V1436" si="1662">IF($C1436&gt;D$633,1,0)</f>
        <v>1</v>
      </c>
      <c r="E1436" s="130">
        <f ca="1" t="shared" si="1662"/>
        <v>1</v>
      </c>
      <c r="F1436" s="130">
        <f ca="1" t="shared" si="1662"/>
        <v>1</v>
      </c>
      <c r="G1436" s="130">
        <f ca="1" t="shared" si="1662"/>
        <v>1</v>
      </c>
      <c r="H1436" s="130">
        <f ca="1" t="shared" si="1662"/>
        <v>1</v>
      </c>
      <c r="I1436" s="130">
        <f ca="1" t="shared" si="1662"/>
        <v>1</v>
      </c>
      <c r="J1436" s="130">
        <f ca="1" t="shared" si="1662"/>
        <v>1</v>
      </c>
      <c r="K1436" s="130">
        <f ca="1" t="shared" si="1662"/>
        <v>1</v>
      </c>
      <c r="L1436" s="130">
        <f ca="1" t="shared" si="1662"/>
        <v>1</v>
      </c>
      <c r="M1436" s="130">
        <f ca="1" t="shared" si="1662"/>
        <v>1</v>
      </c>
      <c r="N1436" s="130">
        <f ca="1" t="shared" si="1662"/>
        <v>1</v>
      </c>
      <c r="O1436" s="130">
        <f ca="1" t="shared" si="1662"/>
        <v>1</v>
      </c>
      <c r="P1436" s="130">
        <f ca="1" t="shared" si="1662"/>
        <v>1</v>
      </c>
      <c r="Q1436" s="130">
        <f ca="1" t="shared" si="1662"/>
        <v>1</v>
      </c>
      <c r="R1436" s="130">
        <f ca="1" t="shared" si="1662"/>
        <v>1</v>
      </c>
      <c r="S1436" s="130">
        <f ca="1" t="shared" si="1662"/>
        <v>1</v>
      </c>
      <c r="T1436" s="130">
        <f ca="1" t="shared" si="1662"/>
        <v>1</v>
      </c>
      <c r="U1436" s="130">
        <f ca="1" t="shared" si="1662"/>
        <v>1</v>
      </c>
      <c r="V1436" s="130">
        <f ca="1" t="shared" si="1662"/>
        <v>1</v>
      </c>
    </row>
    <row r="1437" s="106" customFormat="1" ht="16.5" spans="2:22">
      <c r="B1437" s="117">
        <v>201</v>
      </c>
      <c r="C1437" s="130">
        <f t="shared" si="1654"/>
        <v>20100</v>
      </c>
      <c r="D1437" s="130">
        <f ca="1" t="shared" ref="D1437:V1437" si="1663">IF($C1437&gt;D$633,1,0)</f>
        <v>1</v>
      </c>
      <c r="E1437" s="130">
        <f ca="1" t="shared" si="1663"/>
        <v>1</v>
      </c>
      <c r="F1437" s="130">
        <f ca="1" t="shared" si="1663"/>
        <v>1</v>
      </c>
      <c r="G1437" s="130">
        <f ca="1" t="shared" si="1663"/>
        <v>1</v>
      </c>
      <c r="H1437" s="130">
        <f ca="1" t="shared" si="1663"/>
        <v>1</v>
      </c>
      <c r="I1437" s="130">
        <f ca="1" t="shared" si="1663"/>
        <v>1</v>
      </c>
      <c r="J1437" s="130">
        <f ca="1" t="shared" si="1663"/>
        <v>1</v>
      </c>
      <c r="K1437" s="130">
        <f ca="1" t="shared" si="1663"/>
        <v>1</v>
      </c>
      <c r="L1437" s="130">
        <f ca="1" t="shared" si="1663"/>
        <v>1</v>
      </c>
      <c r="M1437" s="130">
        <f ca="1" t="shared" si="1663"/>
        <v>1</v>
      </c>
      <c r="N1437" s="130">
        <f ca="1" t="shared" si="1663"/>
        <v>1</v>
      </c>
      <c r="O1437" s="130">
        <f ca="1" t="shared" si="1663"/>
        <v>1</v>
      </c>
      <c r="P1437" s="130">
        <f ca="1" t="shared" si="1663"/>
        <v>1</v>
      </c>
      <c r="Q1437" s="130">
        <f ca="1" t="shared" si="1663"/>
        <v>1</v>
      </c>
      <c r="R1437" s="130">
        <f ca="1" t="shared" si="1663"/>
        <v>1</v>
      </c>
      <c r="S1437" s="130">
        <f ca="1" t="shared" si="1663"/>
        <v>1</v>
      </c>
      <c r="T1437" s="130">
        <f ca="1" t="shared" si="1663"/>
        <v>1</v>
      </c>
      <c r="U1437" s="130">
        <f ca="1" t="shared" si="1663"/>
        <v>1</v>
      </c>
      <c r="V1437" s="130">
        <f ca="1" t="shared" si="1663"/>
        <v>1</v>
      </c>
    </row>
    <row r="1438" s="106" customFormat="1" ht="16.5" spans="2:22">
      <c r="B1438" s="117">
        <v>202</v>
      </c>
      <c r="C1438" s="130">
        <f t="shared" si="1654"/>
        <v>20200</v>
      </c>
      <c r="D1438" s="130">
        <f ca="1" t="shared" ref="D1438:V1438" si="1664">IF($C1438&gt;D$633,1,0)</f>
        <v>1</v>
      </c>
      <c r="E1438" s="130">
        <f ca="1" t="shared" si="1664"/>
        <v>1</v>
      </c>
      <c r="F1438" s="130">
        <f ca="1" t="shared" si="1664"/>
        <v>1</v>
      </c>
      <c r="G1438" s="130">
        <f ca="1" t="shared" si="1664"/>
        <v>1</v>
      </c>
      <c r="H1438" s="130">
        <f ca="1" t="shared" si="1664"/>
        <v>1</v>
      </c>
      <c r="I1438" s="130">
        <f ca="1" t="shared" si="1664"/>
        <v>1</v>
      </c>
      <c r="J1438" s="130">
        <f ca="1" t="shared" si="1664"/>
        <v>1</v>
      </c>
      <c r="K1438" s="130">
        <f ca="1" t="shared" si="1664"/>
        <v>1</v>
      </c>
      <c r="L1438" s="130">
        <f ca="1" t="shared" si="1664"/>
        <v>1</v>
      </c>
      <c r="M1438" s="130">
        <f ca="1" t="shared" si="1664"/>
        <v>1</v>
      </c>
      <c r="N1438" s="130">
        <f ca="1" t="shared" si="1664"/>
        <v>1</v>
      </c>
      <c r="O1438" s="130">
        <f ca="1" t="shared" si="1664"/>
        <v>1</v>
      </c>
      <c r="P1438" s="130">
        <f ca="1" t="shared" si="1664"/>
        <v>1</v>
      </c>
      <c r="Q1438" s="130">
        <f ca="1" t="shared" si="1664"/>
        <v>1</v>
      </c>
      <c r="R1438" s="130">
        <f ca="1" t="shared" si="1664"/>
        <v>1</v>
      </c>
      <c r="S1438" s="130">
        <f ca="1" t="shared" si="1664"/>
        <v>1</v>
      </c>
      <c r="T1438" s="130">
        <f ca="1" t="shared" si="1664"/>
        <v>1</v>
      </c>
      <c r="U1438" s="130">
        <f ca="1" t="shared" si="1664"/>
        <v>1</v>
      </c>
      <c r="V1438" s="130">
        <f ca="1" t="shared" si="1664"/>
        <v>1</v>
      </c>
    </row>
    <row r="1439" s="106" customFormat="1" ht="16.5" spans="2:22">
      <c r="B1439" s="117">
        <v>203</v>
      </c>
      <c r="C1439" s="130">
        <f t="shared" si="1654"/>
        <v>20300</v>
      </c>
      <c r="D1439" s="130">
        <f ca="1" t="shared" ref="D1439:V1439" si="1665">IF($C1439&gt;D$633,1,0)</f>
        <v>1</v>
      </c>
      <c r="E1439" s="130">
        <f ca="1" t="shared" si="1665"/>
        <v>1</v>
      </c>
      <c r="F1439" s="130">
        <f ca="1" t="shared" si="1665"/>
        <v>1</v>
      </c>
      <c r="G1439" s="130">
        <f ca="1" t="shared" si="1665"/>
        <v>1</v>
      </c>
      <c r="H1439" s="130">
        <f ca="1" t="shared" si="1665"/>
        <v>1</v>
      </c>
      <c r="I1439" s="130">
        <f ca="1" t="shared" si="1665"/>
        <v>1</v>
      </c>
      <c r="J1439" s="130">
        <f ca="1" t="shared" si="1665"/>
        <v>1</v>
      </c>
      <c r="K1439" s="130">
        <f ca="1" t="shared" si="1665"/>
        <v>1</v>
      </c>
      <c r="L1439" s="130">
        <f ca="1" t="shared" si="1665"/>
        <v>1</v>
      </c>
      <c r="M1439" s="130">
        <f ca="1" t="shared" si="1665"/>
        <v>1</v>
      </c>
      <c r="N1439" s="130">
        <f ca="1" t="shared" si="1665"/>
        <v>1</v>
      </c>
      <c r="O1439" s="130">
        <f ca="1" t="shared" si="1665"/>
        <v>1</v>
      </c>
      <c r="P1439" s="130">
        <f ca="1" t="shared" si="1665"/>
        <v>1</v>
      </c>
      <c r="Q1439" s="130">
        <f ca="1" t="shared" si="1665"/>
        <v>1</v>
      </c>
      <c r="R1439" s="130">
        <f ca="1" t="shared" si="1665"/>
        <v>1</v>
      </c>
      <c r="S1439" s="130">
        <f ca="1" t="shared" si="1665"/>
        <v>1</v>
      </c>
      <c r="T1439" s="130">
        <f ca="1" t="shared" si="1665"/>
        <v>1</v>
      </c>
      <c r="U1439" s="130">
        <f ca="1" t="shared" si="1665"/>
        <v>1</v>
      </c>
      <c r="V1439" s="130">
        <f ca="1" t="shared" si="1665"/>
        <v>1</v>
      </c>
    </row>
    <row r="1440" s="106" customFormat="1" ht="16.5" spans="2:22">
      <c r="B1440" s="117">
        <v>204</v>
      </c>
      <c r="C1440" s="130">
        <f t="shared" si="1654"/>
        <v>20400</v>
      </c>
      <c r="D1440" s="130">
        <f ca="1" t="shared" ref="D1440:V1440" si="1666">IF($C1440&gt;D$633,1,0)</f>
        <v>1</v>
      </c>
      <c r="E1440" s="130">
        <f ca="1" t="shared" si="1666"/>
        <v>1</v>
      </c>
      <c r="F1440" s="130">
        <f ca="1" t="shared" si="1666"/>
        <v>1</v>
      </c>
      <c r="G1440" s="130">
        <f ca="1" t="shared" si="1666"/>
        <v>1</v>
      </c>
      <c r="H1440" s="130">
        <f ca="1" t="shared" si="1666"/>
        <v>1</v>
      </c>
      <c r="I1440" s="130">
        <f ca="1" t="shared" si="1666"/>
        <v>1</v>
      </c>
      <c r="J1440" s="130">
        <f ca="1" t="shared" si="1666"/>
        <v>1</v>
      </c>
      <c r="K1440" s="130">
        <f ca="1" t="shared" si="1666"/>
        <v>1</v>
      </c>
      <c r="L1440" s="130">
        <f ca="1" t="shared" si="1666"/>
        <v>1</v>
      </c>
      <c r="M1440" s="130">
        <f ca="1" t="shared" si="1666"/>
        <v>1</v>
      </c>
      <c r="N1440" s="130">
        <f ca="1" t="shared" si="1666"/>
        <v>1</v>
      </c>
      <c r="O1440" s="130">
        <f ca="1" t="shared" si="1666"/>
        <v>1</v>
      </c>
      <c r="P1440" s="130">
        <f ca="1" t="shared" si="1666"/>
        <v>1</v>
      </c>
      <c r="Q1440" s="130">
        <f ca="1" t="shared" si="1666"/>
        <v>1</v>
      </c>
      <c r="R1440" s="130">
        <f ca="1" t="shared" si="1666"/>
        <v>1</v>
      </c>
      <c r="S1440" s="130">
        <f ca="1" t="shared" si="1666"/>
        <v>1</v>
      </c>
      <c r="T1440" s="130">
        <f ca="1" t="shared" si="1666"/>
        <v>1</v>
      </c>
      <c r="U1440" s="130">
        <f ca="1" t="shared" si="1666"/>
        <v>1</v>
      </c>
      <c r="V1440" s="130">
        <f ca="1" t="shared" si="1666"/>
        <v>1</v>
      </c>
    </row>
    <row r="1441" s="106" customFormat="1" ht="16.5" spans="2:22">
      <c r="B1441" s="117">
        <v>205</v>
      </c>
      <c r="C1441" s="130">
        <f t="shared" si="1654"/>
        <v>20500</v>
      </c>
      <c r="D1441" s="130">
        <f ca="1" t="shared" ref="D1441:V1441" si="1667">IF($C1441&gt;D$633,1,0)</f>
        <v>1</v>
      </c>
      <c r="E1441" s="130">
        <f ca="1" t="shared" si="1667"/>
        <v>1</v>
      </c>
      <c r="F1441" s="130">
        <f ca="1" t="shared" si="1667"/>
        <v>1</v>
      </c>
      <c r="G1441" s="130">
        <f ca="1" t="shared" si="1667"/>
        <v>1</v>
      </c>
      <c r="H1441" s="130">
        <f ca="1" t="shared" si="1667"/>
        <v>1</v>
      </c>
      <c r="I1441" s="130">
        <f ca="1" t="shared" si="1667"/>
        <v>1</v>
      </c>
      <c r="J1441" s="130">
        <f ca="1" t="shared" si="1667"/>
        <v>1</v>
      </c>
      <c r="K1441" s="130">
        <f ca="1" t="shared" si="1667"/>
        <v>1</v>
      </c>
      <c r="L1441" s="130">
        <f ca="1" t="shared" si="1667"/>
        <v>1</v>
      </c>
      <c r="M1441" s="130">
        <f ca="1" t="shared" si="1667"/>
        <v>1</v>
      </c>
      <c r="N1441" s="130">
        <f ca="1" t="shared" si="1667"/>
        <v>1</v>
      </c>
      <c r="O1441" s="130">
        <f ca="1" t="shared" si="1667"/>
        <v>1</v>
      </c>
      <c r="P1441" s="130">
        <f ca="1" t="shared" si="1667"/>
        <v>1</v>
      </c>
      <c r="Q1441" s="130">
        <f ca="1" t="shared" si="1667"/>
        <v>1</v>
      </c>
      <c r="R1441" s="130">
        <f ca="1" t="shared" si="1667"/>
        <v>1</v>
      </c>
      <c r="S1441" s="130">
        <f ca="1" t="shared" si="1667"/>
        <v>1</v>
      </c>
      <c r="T1441" s="130">
        <f ca="1" t="shared" si="1667"/>
        <v>1</v>
      </c>
      <c r="U1441" s="130">
        <f ca="1" t="shared" si="1667"/>
        <v>1</v>
      </c>
      <c r="V1441" s="130">
        <f ca="1" t="shared" si="1667"/>
        <v>1</v>
      </c>
    </row>
    <row r="1442" s="106" customFormat="1" ht="16.5" spans="2:22">
      <c r="B1442" s="117">
        <v>206</v>
      </c>
      <c r="C1442" s="130">
        <f t="shared" si="1654"/>
        <v>20600</v>
      </c>
      <c r="D1442" s="130">
        <f ca="1" t="shared" ref="D1442:V1442" si="1668">IF($C1442&gt;D$633,1,0)</f>
        <v>1</v>
      </c>
      <c r="E1442" s="130">
        <f ca="1" t="shared" si="1668"/>
        <v>1</v>
      </c>
      <c r="F1442" s="130">
        <f ca="1" t="shared" si="1668"/>
        <v>1</v>
      </c>
      <c r="G1442" s="130">
        <f ca="1" t="shared" si="1668"/>
        <v>1</v>
      </c>
      <c r="H1442" s="130">
        <f ca="1" t="shared" si="1668"/>
        <v>1</v>
      </c>
      <c r="I1442" s="130">
        <f ca="1" t="shared" si="1668"/>
        <v>1</v>
      </c>
      <c r="J1442" s="130">
        <f ca="1" t="shared" si="1668"/>
        <v>1</v>
      </c>
      <c r="K1442" s="130">
        <f ca="1" t="shared" si="1668"/>
        <v>1</v>
      </c>
      <c r="L1442" s="130">
        <f ca="1" t="shared" si="1668"/>
        <v>1</v>
      </c>
      <c r="M1442" s="130">
        <f ca="1" t="shared" si="1668"/>
        <v>1</v>
      </c>
      <c r="N1442" s="130">
        <f ca="1" t="shared" si="1668"/>
        <v>1</v>
      </c>
      <c r="O1442" s="130">
        <f ca="1" t="shared" si="1668"/>
        <v>1</v>
      </c>
      <c r="P1442" s="130">
        <f ca="1" t="shared" si="1668"/>
        <v>1</v>
      </c>
      <c r="Q1442" s="130">
        <f ca="1" t="shared" si="1668"/>
        <v>1</v>
      </c>
      <c r="R1442" s="130">
        <f ca="1" t="shared" si="1668"/>
        <v>1</v>
      </c>
      <c r="S1442" s="130">
        <f ca="1" t="shared" si="1668"/>
        <v>1</v>
      </c>
      <c r="T1442" s="130">
        <f ca="1" t="shared" si="1668"/>
        <v>1</v>
      </c>
      <c r="U1442" s="130">
        <f ca="1" t="shared" si="1668"/>
        <v>1</v>
      </c>
      <c r="V1442" s="130">
        <f ca="1" t="shared" si="1668"/>
        <v>1</v>
      </c>
    </row>
    <row r="1443" s="106" customFormat="1" ht="16.5" spans="2:22">
      <c r="B1443" s="117">
        <v>207</v>
      </c>
      <c r="C1443" s="130">
        <f t="shared" si="1654"/>
        <v>20700</v>
      </c>
      <c r="D1443" s="130">
        <f ca="1" t="shared" ref="D1443:V1443" si="1669">IF($C1443&gt;D$633,1,0)</f>
        <v>1</v>
      </c>
      <c r="E1443" s="130">
        <f ca="1" t="shared" si="1669"/>
        <v>1</v>
      </c>
      <c r="F1443" s="130">
        <f ca="1" t="shared" si="1669"/>
        <v>1</v>
      </c>
      <c r="G1443" s="130">
        <f ca="1" t="shared" si="1669"/>
        <v>1</v>
      </c>
      <c r="H1443" s="130">
        <f ca="1" t="shared" si="1669"/>
        <v>1</v>
      </c>
      <c r="I1443" s="130">
        <f ca="1" t="shared" si="1669"/>
        <v>1</v>
      </c>
      <c r="J1443" s="130">
        <f ca="1" t="shared" si="1669"/>
        <v>1</v>
      </c>
      <c r="K1443" s="130">
        <f ca="1" t="shared" si="1669"/>
        <v>1</v>
      </c>
      <c r="L1443" s="130">
        <f ca="1" t="shared" si="1669"/>
        <v>1</v>
      </c>
      <c r="M1443" s="130">
        <f ca="1" t="shared" si="1669"/>
        <v>1</v>
      </c>
      <c r="N1443" s="130">
        <f ca="1" t="shared" si="1669"/>
        <v>1</v>
      </c>
      <c r="O1443" s="130">
        <f ca="1" t="shared" si="1669"/>
        <v>1</v>
      </c>
      <c r="P1443" s="130">
        <f ca="1" t="shared" si="1669"/>
        <v>1</v>
      </c>
      <c r="Q1443" s="130">
        <f ca="1" t="shared" si="1669"/>
        <v>1</v>
      </c>
      <c r="R1443" s="130">
        <f ca="1" t="shared" si="1669"/>
        <v>1</v>
      </c>
      <c r="S1443" s="130">
        <f ca="1" t="shared" si="1669"/>
        <v>1</v>
      </c>
      <c r="T1443" s="130">
        <f ca="1" t="shared" si="1669"/>
        <v>1</v>
      </c>
      <c r="U1443" s="130">
        <f ca="1" t="shared" si="1669"/>
        <v>1</v>
      </c>
      <c r="V1443" s="130">
        <f ca="1" t="shared" si="1669"/>
        <v>1</v>
      </c>
    </row>
    <row r="1444" s="106" customFormat="1" ht="16.5" spans="2:22">
      <c r="B1444" s="117">
        <v>208</v>
      </c>
      <c r="C1444" s="130">
        <f t="shared" si="1654"/>
        <v>20800</v>
      </c>
      <c r="D1444" s="130">
        <f ca="1" t="shared" ref="D1444:V1444" si="1670">IF($C1444&gt;D$633,1,0)</f>
        <v>1</v>
      </c>
      <c r="E1444" s="130">
        <f ca="1" t="shared" si="1670"/>
        <v>1</v>
      </c>
      <c r="F1444" s="130">
        <f ca="1" t="shared" si="1670"/>
        <v>1</v>
      </c>
      <c r="G1444" s="130">
        <f ca="1" t="shared" si="1670"/>
        <v>1</v>
      </c>
      <c r="H1444" s="130">
        <f ca="1" t="shared" si="1670"/>
        <v>1</v>
      </c>
      <c r="I1444" s="130">
        <f ca="1" t="shared" si="1670"/>
        <v>1</v>
      </c>
      <c r="J1444" s="130">
        <f ca="1" t="shared" si="1670"/>
        <v>1</v>
      </c>
      <c r="K1444" s="130">
        <f ca="1" t="shared" si="1670"/>
        <v>1</v>
      </c>
      <c r="L1444" s="130">
        <f ca="1" t="shared" si="1670"/>
        <v>1</v>
      </c>
      <c r="M1444" s="130">
        <f ca="1" t="shared" si="1670"/>
        <v>1</v>
      </c>
      <c r="N1444" s="130">
        <f ca="1" t="shared" si="1670"/>
        <v>1</v>
      </c>
      <c r="O1444" s="130">
        <f ca="1" t="shared" si="1670"/>
        <v>1</v>
      </c>
      <c r="P1444" s="130">
        <f ca="1" t="shared" si="1670"/>
        <v>1</v>
      </c>
      <c r="Q1444" s="130">
        <f ca="1" t="shared" si="1670"/>
        <v>1</v>
      </c>
      <c r="R1444" s="130">
        <f ca="1" t="shared" si="1670"/>
        <v>1</v>
      </c>
      <c r="S1444" s="130">
        <f ca="1" t="shared" si="1670"/>
        <v>1</v>
      </c>
      <c r="T1444" s="130">
        <f ca="1" t="shared" si="1670"/>
        <v>1</v>
      </c>
      <c r="U1444" s="130">
        <f ca="1" t="shared" si="1670"/>
        <v>1</v>
      </c>
      <c r="V1444" s="130">
        <f ca="1" t="shared" si="1670"/>
        <v>1</v>
      </c>
    </row>
    <row r="1445" s="106" customFormat="1" ht="16.5" spans="2:22">
      <c r="B1445" s="117">
        <v>209</v>
      </c>
      <c r="C1445" s="130">
        <f t="shared" si="1654"/>
        <v>20900</v>
      </c>
      <c r="D1445" s="130">
        <f ca="1" t="shared" ref="D1445:V1445" si="1671">IF($C1445&gt;D$633,1,0)</f>
        <v>1</v>
      </c>
      <c r="E1445" s="130">
        <f ca="1" t="shared" si="1671"/>
        <v>1</v>
      </c>
      <c r="F1445" s="130">
        <f ca="1" t="shared" si="1671"/>
        <v>1</v>
      </c>
      <c r="G1445" s="130">
        <f ca="1" t="shared" si="1671"/>
        <v>1</v>
      </c>
      <c r="H1445" s="130">
        <f ca="1" t="shared" si="1671"/>
        <v>1</v>
      </c>
      <c r="I1445" s="130">
        <f ca="1" t="shared" si="1671"/>
        <v>1</v>
      </c>
      <c r="J1445" s="130">
        <f ca="1" t="shared" si="1671"/>
        <v>1</v>
      </c>
      <c r="K1445" s="130">
        <f ca="1" t="shared" si="1671"/>
        <v>1</v>
      </c>
      <c r="L1445" s="130">
        <f ca="1" t="shared" si="1671"/>
        <v>1</v>
      </c>
      <c r="M1445" s="130">
        <f ca="1" t="shared" si="1671"/>
        <v>1</v>
      </c>
      <c r="N1445" s="130">
        <f ca="1" t="shared" si="1671"/>
        <v>1</v>
      </c>
      <c r="O1445" s="130">
        <f ca="1" t="shared" si="1671"/>
        <v>1</v>
      </c>
      <c r="P1445" s="130">
        <f ca="1" t="shared" si="1671"/>
        <v>1</v>
      </c>
      <c r="Q1445" s="130">
        <f ca="1" t="shared" si="1671"/>
        <v>1</v>
      </c>
      <c r="R1445" s="130">
        <f ca="1" t="shared" si="1671"/>
        <v>1</v>
      </c>
      <c r="S1445" s="130">
        <f ca="1" t="shared" si="1671"/>
        <v>1</v>
      </c>
      <c r="T1445" s="130">
        <f ca="1" t="shared" si="1671"/>
        <v>1</v>
      </c>
      <c r="U1445" s="130">
        <f ca="1" t="shared" si="1671"/>
        <v>1</v>
      </c>
      <c r="V1445" s="130">
        <f ca="1" t="shared" si="1671"/>
        <v>1</v>
      </c>
    </row>
    <row r="1446" s="106" customFormat="1" ht="16.5" spans="2:22">
      <c r="B1446" s="117">
        <v>210</v>
      </c>
      <c r="C1446" s="130">
        <f t="shared" si="1654"/>
        <v>21000</v>
      </c>
      <c r="D1446" s="130">
        <f ca="1" t="shared" ref="D1446:V1446" si="1672">IF($C1446&gt;D$633,1,0)</f>
        <v>1</v>
      </c>
      <c r="E1446" s="130">
        <f ca="1" t="shared" si="1672"/>
        <v>1</v>
      </c>
      <c r="F1446" s="130">
        <f ca="1" t="shared" si="1672"/>
        <v>1</v>
      </c>
      <c r="G1446" s="130">
        <f ca="1" t="shared" si="1672"/>
        <v>1</v>
      </c>
      <c r="H1446" s="130">
        <f ca="1" t="shared" si="1672"/>
        <v>1</v>
      </c>
      <c r="I1446" s="130">
        <f ca="1" t="shared" si="1672"/>
        <v>1</v>
      </c>
      <c r="J1446" s="130">
        <f ca="1" t="shared" si="1672"/>
        <v>1</v>
      </c>
      <c r="K1446" s="130">
        <f ca="1" t="shared" si="1672"/>
        <v>1</v>
      </c>
      <c r="L1446" s="130">
        <f ca="1" t="shared" si="1672"/>
        <v>1</v>
      </c>
      <c r="M1446" s="130">
        <f ca="1" t="shared" si="1672"/>
        <v>1</v>
      </c>
      <c r="N1446" s="130">
        <f ca="1" t="shared" si="1672"/>
        <v>1</v>
      </c>
      <c r="O1446" s="130">
        <f ca="1" t="shared" si="1672"/>
        <v>1</v>
      </c>
      <c r="P1446" s="130">
        <f ca="1" t="shared" si="1672"/>
        <v>1</v>
      </c>
      <c r="Q1446" s="130">
        <f ca="1" t="shared" si="1672"/>
        <v>1</v>
      </c>
      <c r="R1446" s="130">
        <f ca="1" t="shared" si="1672"/>
        <v>1</v>
      </c>
      <c r="S1446" s="130">
        <f ca="1" t="shared" si="1672"/>
        <v>1</v>
      </c>
      <c r="T1446" s="130">
        <f ca="1" t="shared" si="1672"/>
        <v>1</v>
      </c>
      <c r="U1446" s="130">
        <f ca="1" t="shared" si="1672"/>
        <v>1</v>
      </c>
      <c r="V1446" s="130">
        <f ca="1" t="shared" si="1672"/>
        <v>1</v>
      </c>
    </row>
    <row r="1447" s="106" customFormat="1" ht="16.5" spans="2:22">
      <c r="B1447" s="117">
        <v>211</v>
      </c>
      <c r="C1447" s="130">
        <f t="shared" si="1654"/>
        <v>21100</v>
      </c>
      <c r="D1447" s="130">
        <f ca="1" t="shared" ref="D1447:V1447" si="1673">IF($C1447&gt;D$633,1,0)</f>
        <v>1</v>
      </c>
      <c r="E1447" s="130">
        <f ca="1" t="shared" si="1673"/>
        <v>1</v>
      </c>
      <c r="F1447" s="130">
        <f ca="1" t="shared" si="1673"/>
        <v>1</v>
      </c>
      <c r="G1447" s="130">
        <f ca="1" t="shared" si="1673"/>
        <v>1</v>
      </c>
      <c r="H1447" s="130">
        <f ca="1" t="shared" si="1673"/>
        <v>1</v>
      </c>
      <c r="I1447" s="130">
        <f ca="1" t="shared" si="1673"/>
        <v>1</v>
      </c>
      <c r="J1447" s="130">
        <f ca="1" t="shared" si="1673"/>
        <v>1</v>
      </c>
      <c r="K1447" s="130">
        <f ca="1" t="shared" si="1673"/>
        <v>1</v>
      </c>
      <c r="L1447" s="130">
        <f ca="1" t="shared" si="1673"/>
        <v>1</v>
      </c>
      <c r="M1447" s="130">
        <f ca="1" t="shared" si="1673"/>
        <v>1</v>
      </c>
      <c r="N1447" s="130">
        <f ca="1" t="shared" si="1673"/>
        <v>1</v>
      </c>
      <c r="O1447" s="130">
        <f ca="1" t="shared" si="1673"/>
        <v>1</v>
      </c>
      <c r="P1447" s="130">
        <f ca="1" t="shared" si="1673"/>
        <v>1</v>
      </c>
      <c r="Q1447" s="130">
        <f ca="1" t="shared" si="1673"/>
        <v>1</v>
      </c>
      <c r="R1447" s="130">
        <f ca="1" t="shared" si="1673"/>
        <v>1</v>
      </c>
      <c r="S1447" s="130">
        <f ca="1" t="shared" si="1673"/>
        <v>1</v>
      </c>
      <c r="T1447" s="130">
        <f ca="1" t="shared" si="1673"/>
        <v>1</v>
      </c>
      <c r="U1447" s="130">
        <f ca="1" t="shared" si="1673"/>
        <v>1</v>
      </c>
      <c r="V1447" s="130">
        <f ca="1" t="shared" si="1673"/>
        <v>1</v>
      </c>
    </row>
    <row r="1448" s="106" customFormat="1" ht="16.5" spans="2:22">
      <c r="B1448" s="117">
        <v>212</v>
      </c>
      <c r="C1448" s="130">
        <f t="shared" si="1654"/>
        <v>21200</v>
      </c>
      <c r="D1448" s="130">
        <f ca="1" t="shared" ref="D1448:V1448" si="1674">IF($C1448&gt;D$633,1,0)</f>
        <v>1</v>
      </c>
      <c r="E1448" s="130">
        <f ca="1" t="shared" si="1674"/>
        <v>1</v>
      </c>
      <c r="F1448" s="130">
        <f ca="1" t="shared" si="1674"/>
        <v>1</v>
      </c>
      <c r="G1448" s="130">
        <f ca="1" t="shared" si="1674"/>
        <v>1</v>
      </c>
      <c r="H1448" s="130">
        <f ca="1" t="shared" si="1674"/>
        <v>1</v>
      </c>
      <c r="I1448" s="130">
        <f ca="1" t="shared" si="1674"/>
        <v>1</v>
      </c>
      <c r="J1448" s="130">
        <f ca="1" t="shared" si="1674"/>
        <v>1</v>
      </c>
      <c r="K1448" s="130">
        <f ca="1" t="shared" si="1674"/>
        <v>1</v>
      </c>
      <c r="L1448" s="130">
        <f ca="1" t="shared" si="1674"/>
        <v>1</v>
      </c>
      <c r="M1448" s="130">
        <f ca="1" t="shared" si="1674"/>
        <v>1</v>
      </c>
      <c r="N1448" s="130">
        <f ca="1" t="shared" si="1674"/>
        <v>1</v>
      </c>
      <c r="O1448" s="130">
        <f ca="1" t="shared" si="1674"/>
        <v>1</v>
      </c>
      <c r="P1448" s="130">
        <f ca="1" t="shared" si="1674"/>
        <v>1</v>
      </c>
      <c r="Q1448" s="130">
        <f ca="1" t="shared" si="1674"/>
        <v>1</v>
      </c>
      <c r="R1448" s="130">
        <f ca="1" t="shared" si="1674"/>
        <v>1</v>
      </c>
      <c r="S1448" s="130">
        <f ca="1" t="shared" si="1674"/>
        <v>1</v>
      </c>
      <c r="T1448" s="130">
        <f ca="1" t="shared" si="1674"/>
        <v>1</v>
      </c>
      <c r="U1448" s="130">
        <f ca="1" t="shared" si="1674"/>
        <v>1</v>
      </c>
      <c r="V1448" s="130">
        <f ca="1" t="shared" si="1674"/>
        <v>1</v>
      </c>
    </row>
    <row r="1449" s="106" customFormat="1" ht="16.5" spans="2:22">
      <c r="B1449" s="117">
        <v>213</v>
      </c>
      <c r="C1449" s="130">
        <f t="shared" si="1654"/>
        <v>21300</v>
      </c>
      <c r="D1449" s="130">
        <f ca="1" t="shared" ref="D1449:V1449" si="1675">IF($C1449&gt;D$633,1,0)</f>
        <v>1</v>
      </c>
      <c r="E1449" s="130">
        <f ca="1" t="shared" si="1675"/>
        <v>1</v>
      </c>
      <c r="F1449" s="130">
        <f ca="1" t="shared" si="1675"/>
        <v>1</v>
      </c>
      <c r="G1449" s="130">
        <f ca="1" t="shared" si="1675"/>
        <v>1</v>
      </c>
      <c r="H1449" s="130">
        <f ca="1" t="shared" si="1675"/>
        <v>1</v>
      </c>
      <c r="I1449" s="130">
        <f ca="1" t="shared" si="1675"/>
        <v>1</v>
      </c>
      <c r="J1449" s="130">
        <f ca="1" t="shared" si="1675"/>
        <v>1</v>
      </c>
      <c r="K1449" s="130">
        <f ca="1" t="shared" si="1675"/>
        <v>1</v>
      </c>
      <c r="L1449" s="130">
        <f ca="1" t="shared" si="1675"/>
        <v>1</v>
      </c>
      <c r="M1449" s="130">
        <f ca="1" t="shared" si="1675"/>
        <v>1</v>
      </c>
      <c r="N1449" s="130">
        <f ca="1" t="shared" si="1675"/>
        <v>1</v>
      </c>
      <c r="O1449" s="130">
        <f ca="1" t="shared" si="1675"/>
        <v>1</v>
      </c>
      <c r="P1449" s="130">
        <f ca="1" t="shared" si="1675"/>
        <v>1</v>
      </c>
      <c r="Q1449" s="130">
        <f ca="1" t="shared" si="1675"/>
        <v>1</v>
      </c>
      <c r="R1449" s="130">
        <f ca="1" t="shared" si="1675"/>
        <v>1</v>
      </c>
      <c r="S1449" s="130">
        <f ca="1" t="shared" si="1675"/>
        <v>1</v>
      </c>
      <c r="T1449" s="130">
        <f ca="1" t="shared" si="1675"/>
        <v>1</v>
      </c>
      <c r="U1449" s="130">
        <f ca="1" t="shared" si="1675"/>
        <v>1</v>
      </c>
      <c r="V1449" s="130">
        <f ca="1" t="shared" si="1675"/>
        <v>1</v>
      </c>
    </row>
    <row r="1450" s="106" customFormat="1" ht="16.5" spans="2:22">
      <c r="B1450" s="117">
        <v>214</v>
      </c>
      <c r="C1450" s="130">
        <f t="shared" si="1654"/>
        <v>21400</v>
      </c>
      <c r="D1450" s="130">
        <f ca="1" t="shared" ref="D1450:V1450" si="1676">IF($C1450&gt;D$633,1,0)</f>
        <v>1</v>
      </c>
      <c r="E1450" s="130">
        <f ca="1" t="shared" si="1676"/>
        <v>1</v>
      </c>
      <c r="F1450" s="130">
        <f ca="1" t="shared" si="1676"/>
        <v>1</v>
      </c>
      <c r="G1450" s="130">
        <f ca="1" t="shared" si="1676"/>
        <v>1</v>
      </c>
      <c r="H1450" s="130">
        <f ca="1" t="shared" si="1676"/>
        <v>1</v>
      </c>
      <c r="I1450" s="130">
        <f ca="1" t="shared" si="1676"/>
        <v>1</v>
      </c>
      <c r="J1450" s="130">
        <f ca="1" t="shared" si="1676"/>
        <v>1</v>
      </c>
      <c r="K1450" s="130">
        <f ca="1" t="shared" si="1676"/>
        <v>1</v>
      </c>
      <c r="L1450" s="130">
        <f ca="1" t="shared" si="1676"/>
        <v>1</v>
      </c>
      <c r="M1450" s="130">
        <f ca="1" t="shared" si="1676"/>
        <v>1</v>
      </c>
      <c r="N1450" s="130">
        <f ca="1" t="shared" si="1676"/>
        <v>1</v>
      </c>
      <c r="O1450" s="130">
        <f ca="1" t="shared" si="1676"/>
        <v>1</v>
      </c>
      <c r="P1450" s="130">
        <f ca="1" t="shared" si="1676"/>
        <v>1</v>
      </c>
      <c r="Q1450" s="130">
        <f ca="1" t="shared" si="1676"/>
        <v>1</v>
      </c>
      <c r="R1450" s="130">
        <f ca="1" t="shared" si="1676"/>
        <v>1</v>
      </c>
      <c r="S1450" s="130">
        <f ca="1" t="shared" si="1676"/>
        <v>1</v>
      </c>
      <c r="T1450" s="130">
        <f ca="1" t="shared" si="1676"/>
        <v>1</v>
      </c>
      <c r="U1450" s="130">
        <f ca="1" t="shared" si="1676"/>
        <v>1</v>
      </c>
      <c r="V1450" s="130">
        <f ca="1" t="shared" si="1676"/>
        <v>1</v>
      </c>
    </row>
    <row r="1451" s="106" customFormat="1" ht="16.5" spans="2:22">
      <c r="B1451" s="117">
        <v>215</v>
      </c>
      <c r="C1451" s="130">
        <f t="shared" si="1654"/>
        <v>21500</v>
      </c>
      <c r="D1451" s="130">
        <f ca="1" t="shared" ref="D1451:V1451" si="1677">IF($C1451&gt;D$633,1,0)</f>
        <v>1</v>
      </c>
      <c r="E1451" s="130">
        <f ca="1" t="shared" si="1677"/>
        <v>1</v>
      </c>
      <c r="F1451" s="130">
        <f ca="1" t="shared" si="1677"/>
        <v>1</v>
      </c>
      <c r="G1451" s="130">
        <f ca="1" t="shared" si="1677"/>
        <v>1</v>
      </c>
      <c r="H1451" s="130">
        <f ca="1" t="shared" si="1677"/>
        <v>1</v>
      </c>
      <c r="I1451" s="130">
        <f ca="1" t="shared" si="1677"/>
        <v>1</v>
      </c>
      <c r="J1451" s="130">
        <f ca="1" t="shared" si="1677"/>
        <v>1</v>
      </c>
      <c r="K1451" s="130">
        <f ca="1" t="shared" si="1677"/>
        <v>1</v>
      </c>
      <c r="L1451" s="130">
        <f ca="1" t="shared" si="1677"/>
        <v>1</v>
      </c>
      <c r="M1451" s="130">
        <f ca="1" t="shared" si="1677"/>
        <v>1</v>
      </c>
      <c r="N1451" s="130">
        <f ca="1" t="shared" si="1677"/>
        <v>1</v>
      </c>
      <c r="O1451" s="130">
        <f ca="1" t="shared" si="1677"/>
        <v>1</v>
      </c>
      <c r="P1451" s="130">
        <f ca="1" t="shared" si="1677"/>
        <v>1</v>
      </c>
      <c r="Q1451" s="130">
        <f ca="1" t="shared" si="1677"/>
        <v>1</v>
      </c>
      <c r="R1451" s="130">
        <f ca="1" t="shared" si="1677"/>
        <v>1</v>
      </c>
      <c r="S1451" s="130">
        <f ca="1" t="shared" si="1677"/>
        <v>1</v>
      </c>
      <c r="T1451" s="130">
        <f ca="1" t="shared" si="1677"/>
        <v>1</v>
      </c>
      <c r="U1451" s="130">
        <f ca="1" t="shared" si="1677"/>
        <v>1</v>
      </c>
      <c r="V1451" s="130">
        <f ca="1" t="shared" si="1677"/>
        <v>1</v>
      </c>
    </row>
    <row r="1452" s="106" customFormat="1" ht="16.5" spans="2:22">
      <c r="B1452" s="117">
        <v>216</v>
      </c>
      <c r="C1452" s="130">
        <f t="shared" si="1654"/>
        <v>21600</v>
      </c>
      <c r="D1452" s="130">
        <f ca="1" t="shared" ref="D1452:V1452" si="1678">IF($C1452&gt;D$633,1,0)</f>
        <v>1</v>
      </c>
      <c r="E1452" s="130">
        <f ca="1" t="shared" si="1678"/>
        <v>1</v>
      </c>
      <c r="F1452" s="130">
        <f ca="1" t="shared" si="1678"/>
        <v>1</v>
      </c>
      <c r="G1452" s="130">
        <f ca="1" t="shared" si="1678"/>
        <v>1</v>
      </c>
      <c r="H1452" s="130">
        <f ca="1" t="shared" si="1678"/>
        <v>1</v>
      </c>
      <c r="I1452" s="130">
        <f ca="1" t="shared" si="1678"/>
        <v>1</v>
      </c>
      <c r="J1452" s="130">
        <f ca="1" t="shared" si="1678"/>
        <v>1</v>
      </c>
      <c r="K1452" s="130">
        <f ca="1" t="shared" si="1678"/>
        <v>1</v>
      </c>
      <c r="L1452" s="130">
        <f ca="1" t="shared" si="1678"/>
        <v>1</v>
      </c>
      <c r="M1452" s="130">
        <f ca="1" t="shared" si="1678"/>
        <v>1</v>
      </c>
      <c r="N1452" s="130">
        <f ca="1" t="shared" si="1678"/>
        <v>1</v>
      </c>
      <c r="O1452" s="130">
        <f ca="1" t="shared" si="1678"/>
        <v>1</v>
      </c>
      <c r="P1452" s="130">
        <f ca="1" t="shared" si="1678"/>
        <v>1</v>
      </c>
      <c r="Q1452" s="130">
        <f ca="1" t="shared" si="1678"/>
        <v>1</v>
      </c>
      <c r="R1452" s="130">
        <f ca="1" t="shared" si="1678"/>
        <v>1</v>
      </c>
      <c r="S1452" s="130">
        <f ca="1" t="shared" si="1678"/>
        <v>1</v>
      </c>
      <c r="T1452" s="130">
        <f ca="1" t="shared" si="1678"/>
        <v>1</v>
      </c>
      <c r="U1452" s="130">
        <f ca="1" t="shared" si="1678"/>
        <v>1</v>
      </c>
      <c r="V1452" s="130">
        <f ca="1" t="shared" si="1678"/>
        <v>1</v>
      </c>
    </row>
    <row r="1453" s="106" customFormat="1" ht="16.5" spans="2:22">
      <c r="B1453" s="117">
        <v>217</v>
      </c>
      <c r="C1453" s="130">
        <f t="shared" si="1654"/>
        <v>21700</v>
      </c>
      <c r="D1453" s="130">
        <f ca="1" t="shared" ref="D1453:V1453" si="1679">IF($C1453&gt;D$633,1,0)</f>
        <v>1</v>
      </c>
      <c r="E1453" s="130">
        <f ca="1" t="shared" si="1679"/>
        <v>1</v>
      </c>
      <c r="F1453" s="130">
        <f ca="1" t="shared" si="1679"/>
        <v>1</v>
      </c>
      <c r="G1453" s="130">
        <f ca="1" t="shared" si="1679"/>
        <v>1</v>
      </c>
      <c r="H1453" s="130">
        <f ca="1" t="shared" si="1679"/>
        <v>1</v>
      </c>
      <c r="I1453" s="130">
        <f ca="1" t="shared" si="1679"/>
        <v>1</v>
      </c>
      <c r="J1453" s="130">
        <f ca="1" t="shared" si="1679"/>
        <v>1</v>
      </c>
      <c r="K1453" s="130">
        <f ca="1" t="shared" si="1679"/>
        <v>1</v>
      </c>
      <c r="L1453" s="130">
        <f ca="1" t="shared" si="1679"/>
        <v>1</v>
      </c>
      <c r="M1453" s="130">
        <f ca="1" t="shared" si="1679"/>
        <v>1</v>
      </c>
      <c r="N1453" s="130">
        <f ca="1" t="shared" si="1679"/>
        <v>1</v>
      </c>
      <c r="O1453" s="130">
        <f ca="1" t="shared" si="1679"/>
        <v>1</v>
      </c>
      <c r="P1453" s="130">
        <f ca="1" t="shared" si="1679"/>
        <v>1</v>
      </c>
      <c r="Q1453" s="130">
        <f ca="1" t="shared" si="1679"/>
        <v>1</v>
      </c>
      <c r="R1453" s="130">
        <f ca="1" t="shared" si="1679"/>
        <v>1</v>
      </c>
      <c r="S1453" s="130">
        <f ca="1" t="shared" si="1679"/>
        <v>1</v>
      </c>
      <c r="T1453" s="130">
        <f ca="1" t="shared" si="1679"/>
        <v>1</v>
      </c>
      <c r="U1453" s="130">
        <f ca="1" t="shared" si="1679"/>
        <v>1</v>
      </c>
      <c r="V1453" s="130">
        <f ca="1" t="shared" si="1679"/>
        <v>1</v>
      </c>
    </row>
    <row r="1454" s="106" customFormat="1" ht="16.5" spans="2:22">
      <c r="B1454" s="117">
        <v>218</v>
      </c>
      <c r="C1454" s="130">
        <f t="shared" si="1654"/>
        <v>21800</v>
      </c>
      <c r="D1454" s="130">
        <f ca="1" t="shared" ref="D1454:V1454" si="1680">IF($C1454&gt;D$633,1,0)</f>
        <v>1</v>
      </c>
      <c r="E1454" s="130">
        <f ca="1" t="shared" si="1680"/>
        <v>1</v>
      </c>
      <c r="F1454" s="130">
        <f ca="1" t="shared" si="1680"/>
        <v>1</v>
      </c>
      <c r="G1454" s="130">
        <f ca="1" t="shared" si="1680"/>
        <v>1</v>
      </c>
      <c r="H1454" s="130">
        <f ca="1" t="shared" si="1680"/>
        <v>1</v>
      </c>
      <c r="I1454" s="130">
        <f ca="1" t="shared" si="1680"/>
        <v>1</v>
      </c>
      <c r="J1454" s="130">
        <f ca="1" t="shared" si="1680"/>
        <v>1</v>
      </c>
      <c r="K1454" s="130">
        <f ca="1" t="shared" si="1680"/>
        <v>1</v>
      </c>
      <c r="L1454" s="130">
        <f ca="1" t="shared" si="1680"/>
        <v>1</v>
      </c>
      <c r="M1454" s="130">
        <f ca="1" t="shared" si="1680"/>
        <v>1</v>
      </c>
      <c r="N1454" s="130">
        <f ca="1" t="shared" si="1680"/>
        <v>1</v>
      </c>
      <c r="O1454" s="130">
        <f ca="1" t="shared" si="1680"/>
        <v>1</v>
      </c>
      <c r="P1454" s="130">
        <f ca="1" t="shared" si="1680"/>
        <v>1</v>
      </c>
      <c r="Q1454" s="130">
        <f ca="1" t="shared" si="1680"/>
        <v>1</v>
      </c>
      <c r="R1454" s="130">
        <f ca="1" t="shared" si="1680"/>
        <v>1</v>
      </c>
      <c r="S1454" s="130">
        <f ca="1" t="shared" si="1680"/>
        <v>1</v>
      </c>
      <c r="T1454" s="130">
        <f ca="1" t="shared" si="1680"/>
        <v>1</v>
      </c>
      <c r="U1454" s="130">
        <f ca="1" t="shared" si="1680"/>
        <v>1</v>
      </c>
      <c r="V1454" s="130">
        <f ca="1" t="shared" si="1680"/>
        <v>1</v>
      </c>
    </row>
    <row r="1455" s="106" customFormat="1" ht="16.5" spans="2:22">
      <c r="B1455" s="117">
        <v>219</v>
      </c>
      <c r="C1455" s="130">
        <f t="shared" si="1654"/>
        <v>21900</v>
      </c>
      <c r="D1455" s="130">
        <f ca="1" t="shared" ref="D1455:V1455" si="1681">IF($C1455&gt;D$633,1,0)</f>
        <v>1</v>
      </c>
      <c r="E1455" s="130">
        <f ca="1" t="shared" si="1681"/>
        <v>1</v>
      </c>
      <c r="F1455" s="130">
        <f ca="1" t="shared" si="1681"/>
        <v>1</v>
      </c>
      <c r="G1455" s="130">
        <f ca="1" t="shared" si="1681"/>
        <v>1</v>
      </c>
      <c r="H1455" s="130">
        <f ca="1" t="shared" si="1681"/>
        <v>1</v>
      </c>
      <c r="I1455" s="130">
        <f ca="1" t="shared" si="1681"/>
        <v>1</v>
      </c>
      <c r="J1455" s="130">
        <f ca="1" t="shared" si="1681"/>
        <v>1</v>
      </c>
      <c r="K1455" s="130">
        <f ca="1" t="shared" si="1681"/>
        <v>1</v>
      </c>
      <c r="L1455" s="130">
        <f ca="1" t="shared" si="1681"/>
        <v>1</v>
      </c>
      <c r="M1455" s="130">
        <f ca="1" t="shared" si="1681"/>
        <v>1</v>
      </c>
      <c r="N1455" s="130">
        <f ca="1" t="shared" si="1681"/>
        <v>1</v>
      </c>
      <c r="O1455" s="130">
        <f ca="1" t="shared" si="1681"/>
        <v>1</v>
      </c>
      <c r="P1455" s="130">
        <f ca="1" t="shared" si="1681"/>
        <v>1</v>
      </c>
      <c r="Q1455" s="130">
        <f ca="1" t="shared" si="1681"/>
        <v>1</v>
      </c>
      <c r="R1455" s="130">
        <f ca="1" t="shared" si="1681"/>
        <v>1</v>
      </c>
      <c r="S1455" s="130">
        <f ca="1" t="shared" si="1681"/>
        <v>1</v>
      </c>
      <c r="T1455" s="130">
        <f ca="1" t="shared" si="1681"/>
        <v>1</v>
      </c>
      <c r="U1455" s="130">
        <f ca="1" t="shared" si="1681"/>
        <v>1</v>
      </c>
      <c r="V1455" s="130">
        <f ca="1" t="shared" si="1681"/>
        <v>1</v>
      </c>
    </row>
    <row r="1456" s="106" customFormat="1" ht="16.5" spans="2:22">
      <c r="B1456" s="117">
        <v>220</v>
      </c>
      <c r="C1456" s="130">
        <f t="shared" si="1654"/>
        <v>22000</v>
      </c>
      <c r="D1456" s="130">
        <f ca="1" t="shared" ref="D1456:V1456" si="1682">IF($C1456&gt;D$633,1,0)</f>
        <v>1</v>
      </c>
      <c r="E1456" s="130">
        <f ca="1" t="shared" si="1682"/>
        <v>1</v>
      </c>
      <c r="F1456" s="130">
        <f ca="1" t="shared" si="1682"/>
        <v>1</v>
      </c>
      <c r="G1456" s="130">
        <f ca="1" t="shared" si="1682"/>
        <v>1</v>
      </c>
      <c r="H1456" s="130">
        <f ca="1" t="shared" si="1682"/>
        <v>1</v>
      </c>
      <c r="I1456" s="130">
        <f ca="1" t="shared" si="1682"/>
        <v>1</v>
      </c>
      <c r="J1456" s="130">
        <f ca="1" t="shared" si="1682"/>
        <v>1</v>
      </c>
      <c r="K1456" s="130">
        <f ca="1" t="shared" si="1682"/>
        <v>1</v>
      </c>
      <c r="L1456" s="130">
        <f ca="1" t="shared" si="1682"/>
        <v>1</v>
      </c>
      <c r="M1456" s="130">
        <f ca="1" t="shared" si="1682"/>
        <v>1</v>
      </c>
      <c r="N1456" s="130">
        <f ca="1" t="shared" si="1682"/>
        <v>1</v>
      </c>
      <c r="O1456" s="130">
        <f ca="1" t="shared" si="1682"/>
        <v>1</v>
      </c>
      <c r="P1456" s="130">
        <f ca="1" t="shared" si="1682"/>
        <v>1</v>
      </c>
      <c r="Q1456" s="130">
        <f ca="1" t="shared" si="1682"/>
        <v>1</v>
      </c>
      <c r="R1456" s="130">
        <f ca="1" t="shared" si="1682"/>
        <v>1</v>
      </c>
      <c r="S1456" s="130">
        <f ca="1" t="shared" si="1682"/>
        <v>1</v>
      </c>
      <c r="T1456" s="130">
        <f ca="1" t="shared" si="1682"/>
        <v>1</v>
      </c>
      <c r="U1456" s="130">
        <f ca="1" t="shared" si="1682"/>
        <v>1</v>
      </c>
      <c r="V1456" s="130">
        <f ca="1" t="shared" si="1682"/>
        <v>1</v>
      </c>
    </row>
    <row r="1457" s="106" customFormat="1" ht="16.5" spans="2:22">
      <c r="B1457" s="117">
        <v>221</v>
      </c>
      <c r="C1457" s="130">
        <f t="shared" si="1654"/>
        <v>22100</v>
      </c>
      <c r="D1457" s="130">
        <f ca="1" t="shared" ref="D1457:V1457" si="1683">IF($C1457&gt;D$633,1,0)</f>
        <v>1</v>
      </c>
      <c r="E1457" s="130">
        <f ca="1" t="shared" si="1683"/>
        <v>1</v>
      </c>
      <c r="F1457" s="130">
        <f ca="1" t="shared" si="1683"/>
        <v>1</v>
      </c>
      <c r="G1457" s="130">
        <f ca="1" t="shared" si="1683"/>
        <v>1</v>
      </c>
      <c r="H1457" s="130">
        <f ca="1" t="shared" si="1683"/>
        <v>1</v>
      </c>
      <c r="I1457" s="130">
        <f ca="1" t="shared" si="1683"/>
        <v>1</v>
      </c>
      <c r="J1457" s="130">
        <f ca="1" t="shared" si="1683"/>
        <v>1</v>
      </c>
      <c r="K1457" s="130">
        <f ca="1" t="shared" si="1683"/>
        <v>1</v>
      </c>
      <c r="L1457" s="130">
        <f ca="1" t="shared" si="1683"/>
        <v>1</v>
      </c>
      <c r="M1457" s="130">
        <f ca="1" t="shared" si="1683"/>
        <v>1</v>
      </c>
      <c r="N1457" s="130">
        <f ca="1" t="shared" si="1683"/>
        <v>1</v>
      </c>
      <c r="O1457" s="130">
        <f ca="1" t="shared" si="1683"/>
        <v>1</v>
      </c>
      <c r="P1457" s="130">
        <f ca="1" t="shared" si="1683"/>
        <v>1</v>
      </c>
      <c r="Q1457" s="130">
        <f ca="1" t="shared" si="1683"/>
        <v>1</v>
      </c>
      <c r="R1457" s="130">
        <f ca="1" t="shared" si="1683"/>
        <v>1</v>
      </c>
      <c r="S1457" s="130">
        <f ca="1" t="shared" si="1683"/>
        <v>1</v>
      </c>
      <c r="T1457" s="130">
        <f ca="1" t="shared" si="1683"/>
        <v>1</v>
      </c>
      <c r="U1457" s="130">
        <f ca="1" t="shared" si="1683"/>
        <v>1</v>
      </c>
      <c r="V1457" s="130">
        <f ca="1" t="shared" si="1683"/>
        <v>1</v>
      </c>
    </row>
    <row r="1458" s="106" customFormat="1" ht="16.5" spans="2:22">
      <c r="B1458" s="117">
        <v>222</v>
      </c>
      <c r="C1458" s="130">
        <f t="shared" si="1654"/>
        <v>22200</v>
      </c>
      <c r="D1458" s="130">
        <f ca="1" t="shared" ref="D1458:V1458" si="1684">IF($C1458&gt;D$633,1,0)</f>
        <v>1</v>
      </c>
      <c r="E1458" s="130">
        <f ca="1" t="shared" si="1684"/>
        <v>1</v>
      </c>
      <c r="F1458" s="130">
        <f ca="1" t="shared" si="1684"/>
        <v>1</v>
      </c>
      <c r="G1458" s="130">
        <f ca="1" t="shared" si="1684"/>
        <v>1</v>
      </c>
      <c r="H1458" s="130">
        <f ca="1" t="shared" si="1684"/>
        <v>1</v>
      </c>
      <c r="I1458" s="130">
        <f ca="1" t="shared" si="1684"/>
        <v>1</v>
      </c>
      <c r="J1458" s="130">
        <f ca="1" t="shared" si="1684"/>
        <v>1</v>
      </c>
      <c r="K1458" s="130">
        <f ca="1" t="shared" si="1684"/>
        <v>1</v>
      </c>
      <c r="L1458" s="130">
        <f ca="1" t="shared" si="1684"/>
        <v>1</v>
      </c>
      <c r="M1458" s="130">
        <f ca="1" t="shared" si="1684"/>
        <v>1</v>
      </c>
      <c r="N1458" s="130">
        <f ca="1" t="shared" si="1684"/>
        <v>1</v>
      </c>
      <c r="O1458" s="130">
        <f ca="1" t="shared" si="1684"/>
        <v>1</v>
      </c>
      <c r="P1458" s="130">
        <f ca="1" t="shared" si="1684"/>
        <v>1</v>
      </c>
      <c r="Q1458" s="130">
        <f ca="1" t="shared" si="1684"/>
        <v>1</v>
      </c>
      <c r="R1458" s="130">
        <f ca="1" t="shared" si="1684"/>
        <v>1</v>
      </c>
      <c r="S1458" s="130">
        <f ca="1" t="shared" si="1684"/>
        <v>1</v>
      </c>
      <c r="T1458" s="130">
        <f ca="1" t="shared" si="1684"/>
        <v>1</v>
      </c>
      <c r="U1458" s="130">
        <f ca="1" t="shared" si="1684"/>
        <v>1</v>
      </c>
      <c r="V1458" s="130">
        <f ca="1" t="shared" si="1684"/>
        <v>1</v>
      </c>
    </row>
    <row r="1459" s="106" customFormat="1" ht="16.5" spans="2:22">
      <c r="B1459" s="117">
        <v>223</v>
      </c>
      <c r="C1459" s="130">
        <f t="shared" si="1654"/>
        <v>22300</v>
      </c>
      <c r="D1459" s="130">
        <f ca="1" t="shared" ref="D1459:V1459" si="1685">IF($C1459&gt;D$633,1,0)</f>
        <v>1</v>
      </c>
      <c r="E1459" s="130">
        <f ca="1" t="shared" si="1685"/>
        <v>1</v>
      </c>
      <c r="F1459" s="130">
        <f ca="1" t="shared" si="1685"/>
        <v>1</v>
      </c>
      <c r="G1459" s="130">
        <f ca="1" t="shared" si="1685"/>
        <v>1</v>
      </c>
      <c r="H1459" s="130">
        <f ca="1" t="shared" si="1685"/>
        <v>1</v>
      </c>
      <c r="I1459" s="130">
        <f ca="1" t="shared" si="1685"/>
        <v>1</v>
      </c>
      <c r="J1459" s="130">
        <f ca="1" t="shared" si="1685"/>
        <v>1</v>
      </c>
      <c r="K1459" s="130">
        <f ca="1" t="shared" si="1685"/>
        <v>1</v>
      </c>
      <c r="L1459" s="130">
        <f ca="1" t="shared" si="1685"/>
        <v>1</v>
      </c>
      <c r="M1459" s="130">
        <f ca="1" t="shared" si="1685"/>
        <v>1</v>
      </c>
      <c r="N1459" s="130">
        <f ca="1" t="shared" si="1685"/>
        <v>1</v>
      </c>
      <c r="O1459" s="130">
        <f ca="1" t="shared" si="1685"/>
        <v>1</v>
      </c>
      <c r="P1459" s="130">
        <f ca="1" t="shared" si="1685"/>
        <v>1</v>
      </c>
      <c r="Q1459" s="130">
        <f ca="1" t="shared" si="1685"/>
        <v>1</v>
      </c>
      <c r="R1459" s="130">
        <f ca="1" t="shared" si="1685"/>
        <v>1</v>
      </c>
      <c r="S1459" s="130">
        <f ca="1" t="shared" si="1685"/>
        <v>1</v>
      </c>
      <c r="T1459" s="130">
        <f ca="1" t="shared" si="1685"/>
        <v>1</v>
      </c>
      <c r="U1459" s="130">
        <f ca="1" t="shared" si="1685"/>
        <v>1</v>
      </c>
      <c r="V1459" s="130">
        <f ca="1" t="shared" si="1685"/>
        <v>1</v>
      </c>
    </row>
    <row r="1460" s="106" customFormat="1" ht="16.5" spans="2:22">
      <c r="B1460" s="117">
        <v>224</v>
      </c>
      <c r="C1460" s="130">
        <f t="shared" si="1654"/>
        <v>22400</v>
      </c>
      <c r="D1460" s="130">
        <f ca="1" t="shared" ref="D1460:V1460" si="1686">IF($C1460&gt;D$633,1,0)</f>
        <v>1</v>
      </c>
      <c r="E1460" s="130">
        <f ca="1" t="shared" si="1686"/>
        <v>1</v>
      </c>
      <c r="F1460" s="130">
        <f ca="1" t="shared" si="1686"/>
        <v>1</v>
      </c>
      <c r="G1460" s="130">
        <f ca="1" t="shared" si="1686"/>
        <v>1</v>
      </c>
      <c r="H1460" s="130">
        <f ca="1" t="shared" si="1686"/>
        <v>1</v>
      </c>
      <c r="I1460" s="130">
        <f ca="1" t="shared" si="1686"/>
        <v>1</v>
      </c>
      <c r="J1460" s="130">
        <f ca="1" t="shared" si="1686"/>
        <v>1</v>
      </c>
      <c r="K1460" s="130">
        <f ca="1" t="shared" si="1686"/>
        <v>1</v>
      </c>
      <c r="L1460" s="130">
        <f ca="1" t="shared" si="1686"/>
        <v>1</v>
      </c>
      <c r="M1460" s="130">
        <f ca="1" t="shared" si="1686"/>
        <v>1</v>
      </c>
      <c r="N1460" s="130">
        <f ca="1" t="shared" si="1686"/>
        <v>1</v>
      </c>
      <c r="O1460" s="130">
        <f ca="1" t="shared" si="1686"/>
        <v>1</v>
      </c>
      <c r="P1460" s="130">
        <f ca="1" t="shared" si="1686"/>
        <v>1</v>
      </c>
      <c r="Q1460" s="130">
        <f ca="1" t="shared" si="1686"/>
        <v>1</v>
      </c>
      <c r="R1460" s="130">
        <f ca="1" t="shared" si="1686"/>
        <v>1</v>
      </c>
      <c r="S1460" s="130">
        <f ca="1" t="shared" si="1686"/>
        <v>1</v>
      </c>
      <c r="T1460" s="130">
        <f ca="1" t="shared" si="1686"/>
        <v>1</v>
      </c>
      <c r="U1460" s="130">
        <f ca="1" t="shared" si="1686"/>
        <v>1</v>
      </c>
      <c r="V1460" s="130">
        <f ca="1" t="shared" si="1686"/>
        <v>1</v>
      </c>
    </row>
    <row r="1461" s="106" customFormat="1" ht="16.5" spans="2:22">
      <c r="B1461" s="117">
        <v>225</v>
      </c>
      <c r="C1461" s="130">
        <f t="shared" si="1654"/>
        <v>22500</v>
      </c>
      <c r="D1461" s="130">
        <f ca="1" t="shared" ref="D1461:V1461" si="1687">IF($C1461&gt;D$633,1,0)</f>
        <v>1</v>
      </c>
      <c r="E1461" s="130">
        <f ca="1" t="shared" si="1687"/>
        <v>1</v>
      </c>
      <c r="F1461" s="130">
        <f ca="1" t="shared" si="1687"/>
        <v>1</v>
      </c>
      <c r="G1461" s="130">
        <f ca="1" t="shared" si="1687"/>
        <v>1</v>
      </c>
      <c r="H1461" s="130">
        <f ca="1" t="shared" si="1687"/>
        <v>1</v>
      </c>
      <c r="I1461" s="130">
        <f ca="1" t="shared" si="1687"/>
        <v>1</v>
      </c>
      <c r="J1461" s="130">
        <f ca="1" t="shared" si="1687"/>
        <v>1</v>
      </c>
      <c r="K1461" s="130">
        <f ca="1" t="shared" si="1687"/>
        <v>1</v>
      </c>
      <c r="L1461" s="130">
        <f ca="1" t="shared" si="1687"/>
        <v>1</v>
      </c>
      <c r="M1461" s="130">
        <f ca="1" t="shared" si="1687"/>
        <v>1</v>
      </c>
      <c r="N1461" s="130">
        <f ca="1" t="shared" si="1687"/>
        <v>1</v>
      </c>
      <c r="O1461" s="130">
        <f ca="1" t="shared" si="1687"/>
        <v>1</v>
      </c>
      <c r="P1461" s="130">
        <f ca="1" t="shared" si="1687"/>
        <v>1</v>
      </c>
      <c r="Q1461" s="130">
        <f ca="1" t="shared" si="1687"/>
        <v>1</v>
      </c>
      <c r="R1461" s="130">
        <f ca="1" t="shared" si="1687"/>
        <v>1</v>
      </c>
      <c r="S1461" s="130">
        <f ca="1" t="shared" si="1687"/>
        <v>1</v>
      </c>
      <c r="T1461" s="130">
        <f ca="1" t="shared" si="1687"/>
        <v>1</v>
      </c>
      <c r="U1461" s="130">
        <f ca="1" t="shared" si="1687"/>
        <v>1</v>
      </c>
      <c r="V1461" s="130">
        <f ca="1" t="shared" si="1687"/>
        <v>1</v>
      </c>
    </row>
    <row r="1462" s="106" customFormat="1" ht="16.5" spans="2:22">
      <c r="B1462" s="117">
        <v>226</v>
      </c>
      <c r="C1462" s="130">
        <f t="shared" si="1654"/>
        <v>22600</v>
      </c>
      <c r="D1462" s="130">
        <f ca="1" t="shared" ref="D1462:V1462" si="1688">IF($C1462&gt;D$633,1,0)</f>
        <v>1</v>
      </c>
      <c r="E1462" s="130">
        <f ca="1" t="shared" si="1688"/>
        <v>1</v>
      </c>
      <c r="F1462" s="130">
        <f ca="1" t="shared" si="1688"/>
        <v>1</v>
      </c>
      <c r="G1462" s="130">
        <f ca="1" t="shared" si="1688"/>
        <v>1</v>
      </c>
      <c r="H1462" s="130">
        <f ca="1" t="shared" si="1688"/>
        <v>1</v>
      </c>
      <c r="I1462" s="130">
        <f ca="1" t="shared" si="1688"/>
        <v>1</v>
      </c>
      <c r="J1462" s="130">
        <f ca="1" t="shared" si="1688"/>
        <v>1</v>
      </c>
      <c r="K1462" s="130">
        <f ca="1" t="shared" si="1688"/>
        <v>1</v>
      </c>
      <c r="L1462" s="130">
        <f ca="1" t="shared" si="1688"/>
        <v>1</v>
      </c>
      <c r="M1462" s="130">
        <f ca="1" t="shared" si="1688"/>
        <v>1</v>
      </c>
      <c r="N1462" s="130">
        <f ca="1" t="shared" si="1688"/>
        <v>1</v>
      </c>
      <c r="O1462" s="130">
        <f ca="1" t="shared" si="1688"/>
        <v>1</v>
      </c>
      <c r="P1462" s="130">
        <f ca="1" t="shared" si="1688"/>
        <v>1</v>
      </c>
      <c r="Q1462" s="130">
        <f ca="1" t="shared" si="1688"/>
        <v>1</v>
      </c>
      <c r="R1462" s="130">
        <f ca="1" t="shared" si="1688"/>
        <v>1</v>
      </c>
      <c r="S1462" s="130">
        <f ca="1" t="shared" si="1688"/>
        <v>1</v>
      </c>
      <c r="T1462" s="130">
        <f ca="1" t="shared" si="1688"/>
        <v>1</v>
      </c>
      <c r="U1462" s="130">
        <f ca="1" t="shared" si="1688"/>
        <v>1</v>
      </c>
      <c r="V1462" s="130">
        <f ca="1" t="shared" si="1688"/>
        <v>1</v>
      </c>
    </row>
    <row r="1463" s="106" customFormat="1" ht="16.5" spans="2:22">
      <c r="B1463" s="117">
        <v>227</v>
      </c>
      <c r="C1463" s="130">
        <f t="shared" si="1654"/>
        <v>22700</v>
      </c>
      <c r="D1463" s="130">
        <f ca="1" t="shared" ref="D1463:V1463" si="1689">IF($C1463&gt;D$633,1,0)</f>
        <v>1</v>
      </c>
      <c r="E1463" s="130">
        <f ca="1" t="shared" si="1689"/>
        <v>1</v>
      </c>
      <c r="F1463" s="130">
        <f ca="1" t="shared" si="1689"/>
        <v>1</v>
      </c>
      <c r="G1463" s="130">
        <f ca="1" t="shared" si="1689"/>
        <v>1</v>
      </c>
      <c r="H1463" s="130">
        <f ca="1" t="shared" si="1689"/>
        <v>1</v>
      </c>
      <c r="I1463" s="130">
        <f ca="1" t="shared" si="1689"/>
        <v>1</v>
      </c>
      <c r="J1463" s="130">
        <f ca="1" t="shared" si="1689"/>
        <v>1</v>
      </c>
      <c r="K1463" s="130">
        <f ca="1" t="shared" si="1689"/>
        <v>1</v>
      </c>
      <c r="L1463" s="130">
        <f ca="1" t="shared" si="1689"/>
        <v>1</v>
      </c>
      <c r="M1463" s="130">
        <f ca="1" t="shared" si="1689"/>
        <v>1</v>
      </c>
      <c r="N1463" s="130">
        <f ca="1" t="shared" si="1689"/>
        <v>1</v>
      </c>
      <c r="O1463" s="130">
        <f ca="1" t="shared" si="1689"/>
        <v>1</v>
      </c>
      <c r="P1463" s="130">
        <f ca="1" t="shared" si="1689"/>
        <v>1</v>
      </c>
      <c r="Q1463" s="130">
        <f ca="1" t="shared" si="1689"/>
        <v>1</v>
      </c>
      <c r="R1463" s="130">
        <f ca="1" t="shared" si="1689"/>
        <v>1</v>
      </c>
      <c r="S1463" s="130">
        <f ca="1" t="shared" si="1689"/>
        <v>1</v>
      </c>
      <c r="T1463" s="130">
        <f ca="1" t="shared" si="1689"/>
        <v>1</v>
      </c>
      <c r="U1463" s="130">
        <f ca="1" t="shared" si="1689"/>
        <v>1</v>
      </c>
      <c r="V1463" s="130">
        <f ca="1" t="shared" si="1689"/>
        <v>1</v>
      </c>
    </row>
    <row r="1464" s="106" customFormat="1" ht="16.5" spans="2:22">
      <c r="B1464" s="117">
        <v>228</v>
      </c>
      <c r="C1464" s="130">
        <f t="shared" si="1654"/>
        <v>22800</v>
      </c>
      <c r="D1464" s="130">
        <f ca="1" t="shared" ref="D1464:V1464" si="1690">IF($C1464&gt;D$633,1,0)</f>
        <v>1</v>
      </c>
      <c r="E1464" s="130">
        <f ca="1" t="shared" si="1690"/>
        <v>1</v>
      </c>
      <c r="F1464" s="130">
        <f ca="1" t="shared" si="1690"/>
        <v>1</v>
      </c>
      <c r="G1464" s="130">
        <f ca="1" t="shared" si="1690"/>
        <v>1</v>
      </c>
      <c r="H1464" s="130">
        <f ca="1" t="shared" si="1690"/>
        <v>1</v>
      </c>
      <c r="I1464" s="130">
        <f ca="1" t="shared" si="1690"/>
        <v>1</v>
      </c>
      <c r="J1464" s="130">
        <f ca="1" t="shared" si="1690"/>
        <v>1</v>
      </c>
      <c r="K1464" s="130">
        <f ca="1" t="shared" si="1690"/>
        <v>1</v>
      </c>
      <c r="L1464" s="130">
        <f ca="1" t="shared" si="1690"/>
        <v>1</v>
      </c>
      <c r="M1464" s="130">
        <f ca="1" t="shared" si="1690"/>
        <v>1</v>
      </c>
      <c r="N1464" s="130">
        <f ca="1" t="shared" si="1690"/>
        <v>1</v>
      </c>
      <c r="O1464" s="130">
        <f ca="1" t="shared" si="1690"/>
        <v>1</v>
      </c>
      <c r="P1464" s="130">
        <f ca="1" t="shared" si="1690"/>
        <v>1</v>
      </c>
      <c r="Q1464" s="130">
        <f ca="1" t="shared" si="1690"/>
        <v>1</v>
      </c>
      <c r="R1464" s="130">
        <f ca="1" t="shared" si="1690"/>
        <v>1</v>
      </c>
      <c r="S1464" s="130">
        <f ca="1" t="shared" si="1690"/>
        <v>1</v>
      </c>
      <c r="T1464" s="130">
        <f ca="1" t="shared" si="1690"/>
        <v>1</v>
      </c>
      <c r="U1464" s="130">
        <f ca="1" t="shared" si="1690"/>
        <v>1</v>
      </c>
      <c r="V1464" s="130">
        <f ca="1" t="shared" si="1690"/>
        <v>1</v>
      </c>
    </row>
    <row r="1465" s="106" customFormat="1" ht="16.5" spans="2:22">
      <c r="B1465" s="117">
        <v>229</v>
      </c>
      <c r="C1465" s="130">
        <f t="shared" si="1654"/>
        <v>22900</v>
      </c>
      <c r="D1465" s="130">
        <f ca="1" t="shared" ref="D1465:V1465" si="1691">IF($C1465&gt;D$633,1,0)</f>
        <v>1</v>
      </c>
      <c r="E1465" s="130">
        <f ca="1" t="shared" si="1691"/>
        <v>1</v>
      </c>
      <c r="F1465" s="130">
        <f ca="1" t="shared" si="1691"/>
        <v>1</v>
      </c>
      <c r="G1465" s="130">
        <f ca="1" t="shared" si="1691"/>
        <v>1</v>
      </c>
      <c r="H1465" s="130">
        <f ca="1" t="shared" si="1691"/>
        <v>1</v>
      </c>
      <c r="I1465" s="130">
        <f ca="1" t="shared" si="1691"/>
        <v>1</v>
      </c>
      <c r="J1465" s="130">
        <f ca="1" t="shared" si="1691"/>
        <v>1</v>
      </c>
      <c r="K1465" s="130">
        <f ca="1" t="shared" si="1691"/>
        <v>1</v>
      </c>
      <c r="L1465" s="130">
        <f ca="1" t="shared" si="1691"/>
        <v>1</v>
      </c>
      <c r="M1465" s="130">
        <f ca="1" t="shared" si="1691"/>
        <v>1</v>
      </c>
      <c r="N1465" s="130">
        <f ca="1" t="shared" si="1691"/>
        <v>1</v>
      </c>
      <c r="O1465" s="130">
        <f ca="1" t="shared" si="1691"/>
        <v>1</v>
      </c>
      <c r="P1465" s="130">
        <f ca="1" t="shared" si="1691"/>
        <v>1</v>
      </c>
      <c r="Q1465" s="130">
        <f ca="1" t="shared" si="1691"/>
        <v>1</v>
      </c>
      <c r="R1465" s="130">
        <f ca="1" t="shared" si="1691"/>
        <v>1</v>
      </c>
      <c r="S1465" s="130">
        <f ca="1" t="shared" si="1691"/>
        <v>1</v>
      </c>
      <c r="T1465" s="130">
        <f ca="1" t="shared" si="1691"/>
        <v>1</v>
      </c>
      <c r="U1465" s="130">
        <f ca="1" t="shared" si="1691"/>
        <v>1</v>
      </c>
      <c r="V1465" s="130">
        <f ca="1" t="shared" si="1691"/>
        <v>1</v>
      </c>
    </row>
    <row r="1466" s="106" customFormat="1" ht="16.5" spans="2:22">
      <c r="B1466" s="117">
        <v>230</v>
      </c>
      <c r="C1466" s="130">
        <f t="shared" si="1654"/>
        <v>23000</v>
      </c>
      <c r="D1466" s="130">
        <f ca="1" t="shared" ref="D1466:V1466" si="1692">IF($C1466&gt;D$633,1,0)</f>
        <v>1</v>
      </c>
      <c r="E1466" s="130">
        <f ca="1" t="shared" si="1692"/>
        <v>1</v>
      </c>
      <c r="F1466" s="130">
        <f ca="1" t="shared" si="1692"/>
        <v>1</v>
      </c>
      <c r="G1466" s="130">
        <f ca="1" t="shared" si="1692"/>
        <v>1</v>
      </c>
      <c r="H1466" s="130">
        <f ca="1" t="shared" si="1692"/>
        <v>1</v>
      </c>
      <c r="I1466" s="130">
        <f ca="1" t="shared" si="1692"/>
        <v>1</v>
      </c>
      <c r="J1466" s="130">
        <f ca="1" t="shared" si="1692"/>
        <v>1</v>
      </c>
      <c r="K1466" s="130">
        <f ca="1" t="shared" si="1692"/>
        <v>1</v>
      </c>
      <c r="L1466" s="130">
        <f ca="1" t="shared" si="1692"/>
        <v>1</v>
      </c>
      <c r="M1466" s="130">
        <f ca="1" t="shared" si="1692"/>
        <v>1</v>
      </c>
      <c r="N1466" s="130">
        <f ca="1" t="shared" si="1692"/>
        <v>1</v>
      </c>
      <c r="O1466" s="130">
        <f ca="1" t="shared" si="1692"/>
        <v>1</v>
      </c>
      <c r="P1466" s="130">
        <f ca="1" t="shared" si="1692"/>
        <v>1</v>
      </c>
      <c r="Q1466" s="130">
        <f ca="1" t="shared" si="1692"/>
        <v>1</v>
      </c>
      <c r="R1466" s="130">
        <f ca="1" t="shared" si="1692"/>
        <v>1</v>
      </c>
      <c r="S1466" s="130">
        <f ca="1" t="shared" si="1692"/>
        <v>1</v>
      </c>
      <c r="T1466" s="130">
        <f ca="1" t="shared" si="1692"/>
        <v>1</v>
      </c>
      <c r="U1466" s="130">
        <f ca="1" t="shared" si="1692"/>
        <v>1</v>
      </c>
      <c r="V1466" s="130">
        <f ca="1" t="shared" si="1692"/>
        <v>1</v>
      </c>
    </row>
    <row r="1467" s="106" customFormat="1" ht="16.5" spans="2:22">
      <c r="B1467" s="117">
        <v>231</v>
      </c>
      <c r="C1467" s="130">
        <f t="shared" si="1654"/>
        <v>23100</v>
      </c>
      <c r="D1467" s="130">
        <f ca="1" t="shared" ref="D1467:V1467" si="1693">IF($C1467&gt;D$633,1,0)</f>
        <v>1</v>
      </c>
      <c r="E1467" s="130">
        <f ca="1" t="shared" si="1693"/>
        <v>1</v>
      </c>
      <c r="F1467" s="130">
        <f ca="1" t="shared" si="1693"/>
        <v>1</v>
      </c>
      <c r="G1467" s="130">
        <f ca="1" t="shared" si="1693"/>
        <v>1</v>
      </c>
      <c r="H1467" s="130">
        <f ca="1" t="shared" si="1693"/>
        <v>1</v>
      </c>
      <c r="I1467" s="130">
        <f ca="1" t="shared" si="1693"/>
        <v>1</v>
      </c>
      <c r="J1467" s="130">
        <f ca="1" t="shared" si="1693"/>
        <v>1</v>
      </c>
      <c r="K1467" s="130">
        <f ca="1" t="shared" si="1693"/>
        <v>1</v>
      </c>
      <c r="L1467" s="130">
        <f ca="1" t="shared" si="1693"/>
        <v>1</v>
      </c>
      <c r="M1467" s="130">
        <f ca="1" t="shared" si="1693"/>
        <v>1</v>
      </c>
      <c r="N1467" s="130">
        <f ca="1" t="shared" si="1693"/>
        <v>1</v>
      </c>
      <c r="O1467" s="130">
        <f ca="1" t="shared" si="1693"/>
        <v>1</v>
      </c>
      <c r="P1467" s="130">
        <f ca="1" t="shared" si="1693"/>
        <v>1</v>
      </c>
      <c r="Q1467" s="130">
        <f ca="1" t="shared" si="1693"/>
        <v>1</v>
      </c>
      <c r="R1467" s="130">
        <f ca="1" t="shared" si="1693"/>
        <v>1</v>
      </c>
      <c r="S1467" s="130">
        <f ca="1" t="shared" si="1693"/>
        <v>1</v>
      </c>
      <c r="T1467" s="130">
        <f ca="1" t="shared" si="1693"/>
        <v>1</v>
      </c>
      <c r="U1467" s="130">
        <f ca="1" t="shared" si="1693"/>
        <v>1</v>
      </c>
      <c r="V1467" s="130">
        <f ca="1" t="shared" si="1693"/>
        <v>1</v>
      </c>
    </row>
    <row r="1468" s="106" customFormat="1" ht="16.5" spans="2:22">
      <c r="B1468" s="117">
        <v>232</v>
      </c>
      <c r="C1468" s="130">
        <f t="shared" si="1654"/>
        <v>23200</v>
      </c>
      <c r="D1468" s="130">
        <f ca="1" t="shared" ref="D1468:V1468" si="1694">IF($C1468&gt;D$633,1,0)</f>
        <v>1</v>
      </c>
      <c r="E1468" s="130">
        <f ca="1" t="shared" si="1694"/>
        <v>1</v>
      </c>
      <c r="F1468" s="130">
        <f ca="1" t="shared" si="1694"/>
        <v>1</v>
      </c>
      <c r="G1468" s="130">
        <f ca="1" t="shared" si="1694"/>
        <v>1</v>
      </c>
      <c r="H1468" s="130">
        <f ca="1" t="shared" si="1694"/>
        <v>1</v>
      </c>
      <c r="I1468" s="130">
        <f ca="1" t="shared" si="1694"/>
        <v>1</v>
      </c>
      <c r="J1468" s="130">
        <f ca="1" t="shared" si="1694"/>
        <v>1</v>
      </c>
      <c r="K1468" s="130">
        <f ca="1" t="shared" si="1694"/>
        <v>1</v>
      </c>
      <c r="L1468" s="130">
        <f ca="1" t="shared" si="1694"/>
        <v>1</v>
      </c>
      <c r="M1468" s="130">
        <f ca="1" t="shared" si="1694"/>
        <v>1</v>
      </c>
      <c r="N1468" s="130">
        <f ca="1" t="shared" si="1694"/>
        <v>1</v>
      </c>
      <c r="O1468" s="130">
        <f ca="1" t="shared" si="1694"/>
        <v>1</v>
      </c>
      <c r="P1468" s="130">
        <f ca="1" t="shared" si="1694"/>
        <v>1</v>
      </c>
      <c r="Q1468" s="130">
        <f ca="1" t="shared" si="1694"/>
        <v>1</v>
      </c>
      <c r="R1468" s="130">
        <f ca="1" t="shared" si="1694"/>
        <v>1</v>
      </c>
      <c r="S1468" s="130">
        <f ca="1" t="shared" si="1694"/>
        <v>1</v>
      </c>
      <c r="T1468" s="130">
        <f ca="1" t="shared" si="1694"/>
        <v>1</v>
      </c>
      <c r="U1468" s="130">
        <f ca="1" t="shared" si="1694"/>
        <v>1</v>
      </c>
      <c r="V1468" s="130">
        <f ca="1" t="shared" si="1694"/>
        <v>1</v>
      </c>
    </row>
    <row r="1469" s="106" customFormat="1" ht="16.5" spans="2:22">
      <c r="B1469" s="117">
        <v>233</v>
      </c>
      <c r="C1469" s="130">
        <f t="shared" si="1654"/>
        <v>23300</v>
      </c>
      <c r="D1469" s="130">
        <f ca="1" t="shared" ref="D1469:V1469" si="1695">IF($C1469&gt;D$633,1,0)</f>
        <v>1</v>
      </c>
      <c r="E1469" s="130">
        <f ca="1" t="shared" si="1695"/>
        <v>1</v>
      </c>
      <c r="F1469" s="130">
        <f ca="1" t="shared" si="1695"/>
        <v>1</v>
      </c>
      <c r="G1469" s="130">
        <f ca="1" t="shared" si="1695"/>
        <v>1</v>
      </c>
      <c r="H1469" s="130">
        <f ca="1" t="shared" si="1695"/>
        <v>1</v>
      </c>
      <c r="I1469" s="130">
        <f ca="1" t="shared" si="1695"/>
        <v>1</v>
      </c>
      <c r="J1469" s="130">
        <f ca="1" t="shared" si="1695"/>
        <v>1</v>
      </c>
      <c r="K1469" s="130">
        <f ca="1" t="shared" si="1695"/>
        <v>1</v>
      </c>
      <c r="L1469" s="130">
        <f ca="1" t="shared" si="1695"/>
        <v>1</v>
      </c>
      <c r="M1469" s="130">
        <f ca="1" t="shared" si="1695"/>
        <v>1</v>
      </c>
      <c r="N1469" s="130">
        <f ca="1" t="shared" si="1695"/>
        <v>1</v>
      </c>
      <c r="O1469" s="130">
        <f ca="1" t="shared" si="1695"/>
        <v>1</v>
      </c>
      <c r="P1469" s="130">
        <f ca="1" t="shared" si="1695"/>
        <v>1</v>
      </c>
      <c r="Q1469" s="130">
        <f ca="1" t="shared" si="1695"/>
        <v>1</v>
      </c>
      <c r="R1469" s="130">
        <f ca="1" t="shared" si="1695"/>
        <v>1</v>
      </c>
      <c r="S1469" s="130">
        <f ca="1" t="shared" si="1695"/>
        <v>1</v>
      </c>
      <c r="T1469" s="130">
        <f ca="1" t="shared" si="1695"/>
        <v>1</v>
      </c>
      <c r="U1469" s="130">
        <f ca="1" t="shared" si="1695"/>
        <v>1</v>
      </c>
      <c r="V1469" s="130">
        <f ca="1" t="shared" si="1695"/>
        <v>1</v>
      </c>
    </row>
    <row r="1470" s="106" customFormat="1" ht="16.5" spans="2:22">
      <c r="B1470" s="117">
        <v>234</v>
      </c>
      <c r="C1470" s="130">
        <f t="shared" si="1654"/>
        <v>23400</v>
      </c>
      <c r="D1470" s="130">
        <f ca="1" t="shared" ref="D1470:V1470" si="1696">IF($C1470&gt;D$633,1,0)</f>
        <v>1</v>
      </c>
      <c r="E1470" s="130">
        <f ca="1" t="shared" si="1696"/>
        <v>1</v>
      </c>
      <c r="F1470" s="130">
        <f ca="1" t="shared" si="1696"/>
        <v>1</v>
      </c>
      <c r="G1470" s="130">
        <f ca="1" t="shared" si="1696"/>
        <v>1</v>
      </c>
      <c r="H1470" s="130">
        <f ca="1" t="shared" si="1696"/>
        <v>1</v>
      </c>
      <c r="I1470" s="130">
        <f ca="1" t="shared" si="1696"/>
        <v>1</v>
      </c>
      <c r="J1470" s="130">
        <f ca="1" t="shared" si="1696"/>
        <v>1</v>
      </c>
      <c r="K1470" s="130">
        <f ca="1" t="shared" si="1696"/>
        <v>1</v>
      </c>
      <c r="L1470" s="130">
        <f ca="1" t="shared" si="1696"/>
        <v>1</v>
      </c>
      <c r="M1470" s="130">
        <f ca="1" t="shared" si="1696"/>
        <v>1</v>
      </c>
      <c r="N1470" s="130">
        <f ca="1" t="shared" si="1696"/>
        <v>1</v>
      </c>
      <c r="O1470" s="130">
        <f ca="1" t="shared" si="1696"/>
        <v>1</v>
      </c>
      <c r="P1470" s="130">
        <f ca="1" t="shared" si="1696"/>
        <v>1</v>
      </c>
      <c r="Q1470" s="130">
        <f ca="1" t="shared" si="1696"/>
        <v>1</v>
      </c>
      <c r="R1470" s="130">
        <f ca="1" t="shared" si="1696"/>
        <v>1</v>
      </c>
      <c r="S1470" s="130">
        <f ca="1" t="shared" si="1696"/>
        <v>1</v>
      </c>
      <c r="T1470" s="130">
        <f ca="1" t="shared" si="1696"/>
        <v>1</v>
      </c>
      <c r="U1470" s="130">
        <f ca="1" t="shared" si="1696"/>
        <v>1</v>
      </c>
      <c r="V1470" s="130">
        <f ca="1" t="shared" si="1696"/>
        <v>1</v>
      </c>
    </row>
    <row r="1471" s="106" customFormat="1" ht="16.5" spans="2:22">
      <c r="B1471" s="117">
        <v>235</v>
      </c>
      <c r="C1471" s="130">
        <f t="shared" si="1654"/>
        <v>23500</v>
      </c>
      <c r="D1471" s="130">
        <f ca="1" t="shared" ref="D1471:V1471" si="1697">IF($C1471&gt;D$633,1,0)</f>
        <v>1</v>
      </c>
      <c r="E1471" s="130">
        <f ca="1" t="shared" si="1697"/>
        <v>1</v>
      </c>
      <c r="F1471" s="130">
        <f ca="1" t="shared" si="1697"/>
        <v>1</v>
      </c>
      <c r="G1471" s="130">
        <f ca="1" t="shared" si="1697"/>
        <v>1</v>
      </c>
      <c r="H1471" s="130">
        <f ca="1" t="shared" si="1697"/>
        <v>1</v>
      </c>
      <c r="I1471" s="130">
        <f ca="1" t="shared" si="1697"/>
        <v>1</v>
      </c>
      <c r="J1471" s="130">
        <f ca="1" t="shared" si="1697"/>
        <v>1</v>
      </c>
      <c r="K1471" s="130">
        <f ca="1" t="shared" si="1697"/>
        <v>1</v>
      </c>
      <c r="L1471" s="130">
        <f ca="1" t="shared" si="1697"/>
        <v>1</v>
      </c>
      <c r="M1471" s="130">
        <f ca="1" t="shared" si="1697"/>
        <v>1</v>
      </c>
      <c r="N1471" s="130">
        <f ca="1" t="shared" si="1697"/>
        <v>1</v>
      </c>
      <c r="O1471" s="130">
        <f ca="1" t="shared" si="1697"/>
        <v>1</v>
      </c>
      <c r="P1471" s="130">
        <f ca="1" t="shared" si="1697"/>
        <v>1</v>
      </c>
      <c r="Q1471" s="130">
        <f ca="1" t="shared" si="1697"/>
        <v>1</v>
      </c>
      <c r="R1471" s="130">
        <f ca="1" t="shared" si="1697"/>
        <v>1</v>
      </c>
      <c r="S1471" s="130">
        <f ca="1" t="shared" si="1697"/>
        <v>1</v>
      </c>
      <c r="T1471" s="130">
        <f ca="1" t="shared" si="1697"/>
        <v>1</v>
      </c>
      <c r="U1471" s="130">
        <f ca="1" t="shared" si="1697"/>
        <v>1</v>
      </c>
      <c r="V1471" s="130">
        <f ca="1" t="shared" si="1697"/>
        <v>1</v>
      </c>
    </row>
    <row r="1472" s="106" customFormat="1" ht="16.5" spans="2:22">
      <c r="B1472" s="117">
        <v>236</v>
      </c>
      <c r="C1472" s="130">
        <f t="shared" si="1654"/>
        <v>23600</v>
      </c>
      <c r="D1472" s="130">
        <f ca="1" t="shared" ref="D1472:V1472" si="1698">IF($C1472&gt;D$633,1,0)</f>
        <v>1</v>
      </c>
      <c r="E1472" s="130">
        <f ca="1" t="shared" si="1698"/>
        <v>1</v>
      </c>
      <c r="F1472" s="130">
        <f ca="1" t="shared" si="1698"/>
        <v>1</v>
      </c>
      <c r="G1472" s="130">
        <f ca="1" t="shared" si="1698"/>
        <v>1</v>
      </c>
      <c r="H1472" s="130">
        <f ca="1" t="shared" si="1698"/>
        <v>1</v>
      </c>
      <c r="I1472" s="130">
        <f ca="1" t="shared" si="1698"/>
        <v>1</v>
      </c>
      <c r="J1472" s="130">
        <f ca="1" t="shared" si="1698"/>
        <v>1</v>
      </c>
      <c r="K1472" s="130">
        <f ca="1" t="shared" si="1698"/>
        <v>1</v>
      </c>
      <c r="L1472" s="130">
        <f ca="1" t="shared" si="1698"/>
        <v>1</v>
      </c>
      <c r="M1472" s="130">
        <f ca="1" t="shared" si="1698"/>
        <v>1</v>
      </c>
      <c r="N1472" s="130">
        <f ca="1" t="shared" si="1698"/>
        <v>1</v>
      </c>
      <c r="O1472" s="130">
        <f ca="1" t="shared" si="1698"/>
        <v>1</v>
      </c>
      <c r="P1472" s="130">
        <f ca="1" t="shared" si="1698"/>
        <v>1</v>
      </c>
      <c r="Q1472" s="130">
        <f ca="1" t="shared" si="1698"/>
        <v>1</v>
      </c>
      <c r="R1472" s="130">
        <f ca="1" t="shared" si="1698"/>
        <v>1</v>
      </c>
      <c r="S1472" s="130">
        <f ca="1" t="shared" si="1698"/>
        <v>1</v>
      </c>
      <c r="T1472" s="130">
        <f ca="1" t="shared" si="1698"/>
        <v>1</v>
      </c>
      <c r="U1472" s="130">
        <f ca="1" t="shared" si="1698"/>
        <v>1</v>
      </c>
      <c r="V1472" s="130">
        <f ca="1" t="shared" si="1698"/>
        <v>1</v>
      </c>
    </row>
    <row r="1473" s="106" customFormat="1" ht="16.5" spans="2:22">
      <c r="B1473" s="117">
        <v>237</v>
      </c>
      <c r="C1473" s="130">
        <f t="shared" si="1654"/>
        <v>23700</v>
      </c>
      <c r="D1473" s="130">
        <f ca="1" t="shared" ref="D1473:V1473" si="1699">IF($C1473&gt;D$633,1,0)</f>
        <v>1</v>
      </c>
      <c r="E1473" s="130">
        <f ca="1" t="shared" si="1699"/>
        <v>1</v>
      </c>
      <c r="F1473" s="130">
        <f ca="1" t="shared" si="1699"/>
        <v>1</v>
      </c>
      <c r="G1473" s="130">
        <f ca="1" t="shared" si="1699"/>
        <v>1</v>
      </c>
      <c r="H1473" s="130">
        <f ca="1" t="shared" si="1699"/>
        <v>1</v>
      </c>
      <c r="I1473" s="130">
        <f ca="1" t="shared" si="1699"/>
        <v>1</v>
      </c>
      <c r="J1473" s="130">
        <f ca="1" t="shared" si="1699"/>
        <v>1</v>
      </c>
      <c r="K1473" s="130">
        <f ca="1" t="shared" si="1699"/>
        <v>1</v>
      </c>
      <c r="L1473" s="130">
        <f ca="1" t="shared" si="1699"/>
        <v>1</v>
      </c>
      <c r="M1473" s="130">
        <f ca="1" t="shared" si="1699"/>
        <v>1</v>
      </c>
      <c r="N1473" s="130">
        <f ca="1" t="shared" si="1699"/>
        <v>1</v>
      </c>
      <c r="O1473" s="130">
        <f ca="1" t="shared" si="1699"/>
        <v>1</v>
      </c>
      <c r="P1473" s="130">
        <f ca="1" t="shared" si="1699"/>
        <v>1</v>
      </c>
      <c r="Q1473" s="130">
        <f ca="1" t="shared" si="1699"/>
        <v>1</v>
      </c>
      <c r="R1473" s="130">
        <f ca="1" t="shared" si="1699"/>
        <v>1</v>
      </c>
      <c r="S1473" s="130">
        <f ca="1" t="shared" si="1699"/>
        <v>1</v>
      </c>
      <c r="T1473" s="130">
        <f ca="1" t="shared" si="1699"/>
        <v>1</v>
      </c>
      <c r="U1473" s="130">
        <f ca="1" t="shared" si="1699"/>
        <v>1</v>
      </c>
      <c r="V1473" s="130">
        <f ca="1" t="shared" si="1699"/>
        <v>1</v>
      </c>
    </row>
    <row r="1474" s="106" customFormat="1" ht="16.5" spans="2:22">
      <c r="B1474" s="117">
        <v>238</v>
      </c>
      <c r="C1474" s="130">
        <f t="shared" si="1654"/>
        <v>23800</v>
      </c>
      <c r="D1474" s="130">
        <f ca="1" t="shared" ref="D1474:V1474" si="1700">IF($C1474&gt;D$633,1,0)</f>
        <v>1</v>
      </c>
      <c r="E1474" s="130">
        <f ca="1" t="shared" si="1700"/>
        <v>1</v>
      </c>
      <c r="F1474" s="130">
        <f ca="1" t="shared" si="1700"/>
        <v>1</v>
      </c>
      <c r="G1474" s="130">
        <f ca="1" t="shared" si="1700"/>
        <v>1</v>
      </c>
      <c r="H1474" s="130">
        <f ca="1" t="shared" si="1700"/>
        <v>1</v>
      </c>
      <c r="I1474" s="130">
        <f ca="1" t="shared" si="1700"/>
        <v>1</v>
      </c>
      <c r="J1474" s="130">
        <f ca="1" t="shared" si="1700"/>
        <v>1</v>
      </c>
      <c r="K1474" s="130">
        <f ca="1" t="shared" si="1700"/>
        <v>1</v>
      </c>
      <c r="L1474" s="130">
        <f ca="1" t="shared" si="1700"/>
        <v>1</v>
      </c>
      <c r="M1474" s="130">
        <f ca="1" t="shared" si="1700"/>
        <v>1</v>
      </c>
      <c r="N1474" s="130">
        <f ca="1" t="shared" si="1700"/>
        <v>1</v>
      </c>
      <c r="O1474" s="130">
        <f ca="1" t="shared" si="1700"/>
        <v>1</v>
      </c>
      <c r="P1474" s="130">
        <f ca="1" t="shared" si="1700"/>
        <v>1</v>
      </c>
      <c r="Q1474" s="130">
        <f ca="1" t="shared" si="1700"/>
        <v>1</v>
      </c>
      <c r="R1474" s="130">
        <f ca="1" t="shared" si="1700"/>
        <v>1</v>
      </c>
      <c r="S1474" s="130">
        <f ca="1" t="shared" si="1700"/>
        <v>1</v>
      </c>
      <c r="T1474" s="130">
        <f ca="1" t="shared" si="1700"/>
        <v>1</v>
      </c>
      <c r="U1474" s="130">
        <f ca="1" t="shared" si="1700"/>
        <v>1</v>
      </c>
      <c r="V1474" s="130">
        <f ca="1" t="shared" si="1700"/>
        <v>1</v>
      </c>
    </row>
    <row r="1475" s="106" customFormat="1" ht="16.5" spans="2:22">
      <c r="B1475" s="117">
        <v>239</v>
      </c>
      <c r="C1475" s="130">
        <f t="shared" si="1654"/>
        <v>23900</v>
      </c>
      <c r="D1475" s="130">
        <f ca="1" t="shared" ref="D1475:V1475" si="1701">IF($C1475&gt;D$633,1,0)</f>
        <v>1</v>
      </c>
      <c r="E1475" s="130">
        <f ca="1" t="shared" si="1701"/>
        <v>1</v>
      </c>
      <c r="F1475" s="130">
        <f ca="1" t="shared" si="1701"/>
        <v>1</v>
      </c>
      <c r="G1475" s="130">
        <f ca="1" t="shared" si="1701"/>
        <v>1</v>
      </c>
      <c r="H1475" s="130">
        <f ca="1" t="shared" si="1701"/>
        <v>1</v>
      </c>
      <c r="I1475" s="130">
        <f ca="1" t="shared" si="1701"/>
        <v>1</v>
      </c>
      <c r="J1475" s="130">
        <f ca="1" t="shared" si="1701"/>
        <v>1</v>
      </c>
      <c r="K1475" s="130">
        <f ca="1" t="shared" si="1701"/>
        <v>1</v>
      </c>
      <c r="L1475" s="130">
        <f ca="1" t="shared" si="1701"/>
        <v>1</v>
      </c>
      <c r="M1475" s="130">
        <f ca="1" t="shared" si="1701"/>
        <v>1</v>
      </c>
      <c r="N1475" s="130">
        <f ca="1" t="shared" si="1701"/>
        <v>1</v>
      </c>
      <c r="O1475" s="130">
        <f ca="1" t="shared" si="1701"/>
        <v>1</v>
      </c>
      <c r="P1475" s="130">
        <f ca="1" t="shared" si="1701"/>
        <v>1</v>
      </c>
      <c r="Q1475" s="130">
        <f ca="1" t="shared" si="1701"/>
        <v>1</v>
      </c>
      <c r="R1475" s="130">
        <f ca="1" t="shared" si="1701"/>
        <v>1</v>
      </c>
      <c r="S1475" s="130">
        <f ca="1" t="shared" si="1701"/>
        <v>1</v>
      </c>
      <c r="T1475" s="130">
        <f ca="1" t="shared" si="1701"/>
        <v>1</v>
      </c>
      <c r="U1475" s="130">
        <f ca="1" t="shared" si="1701"/>
        <v>1</v>
      </c>
      <c r="V1475" s="130">
        <f ca="1" t="shared" si="1701"/>
        <v>1</v>
      </c>
    </row>
    <row r="1476" s="106" customFormat="1" ht="16.5" spans="2:22">
      <c r="B1476" s="117">
        <v>240</v>
      </c>
      <c r="C1476" s="130">
        <f t="shared" si="1654"/>
        <v>24000</v>
      </c>
      <c r="D1476" s="130">
        <f ca="1" t="shared" ref="D1476:V1476" si="1702">IF($C1476&gt;D$633,1,0)</f>
        <v>1</v>
      </c>
      <c r="E1476" s="130">
        <f ca="1" t="shared" si="1702"/>
        <v>1</v>
      </c>
      <c r="F1476" s="130">
        <f ca="1" t="shared" si="1702"/>
        <v>1</v>
      </c>
      <c r="G1476" s="130">
        <f ca="1" t="shared" si="1702"/>
        <v>1</v>
      </c>
      <c r="H1476" s="130">
        <f ca="1" t="shared" si="1702"/>
        <v>1</v>
      </c>
      <c r="I1476" s="130">
        <f ca="1" t="shared" si="1702"/>
        <v>1</v>
      </c>
      <c r="J1476" s="130">
        <f ca="1" t="shared" si="1702"/>
        <v>1</v>
      </c>
      <c r="K1476" s="130">
        <f ca="1" t="shared" si="1702"/>
        <v>1</v>
      </c>
      <c r="L1476" s="130">
        <f ca="1" t="shared" si="1702"/>
        <v>1</v>
      </c>
      <c r="M1476" s="130">
        <f ca="1" t="shared" si="1702"/>
        <v>1</v>
      </c>
      <c r="N1476" s="130">
        <f ca="1" t="shared" si="1702"/>
        <v>1</v>
      </c>
      <c r="O1476" s="130">
        <f ca="1" t="shared" si="1702"/>
        <v>1</v>
      </c>
      <c r="P1476" s="130">
        <f ca="1" t="shared" si="1702"/>
        <v>1</v>
      </c>
      <c r="Q1476" s="130">
        <f ca="1" t="shared" si="1702"/>
        <v>1</v>
      </c>
      <c r="R1476" s="130">
        <f ca="1" t="shared" si="1702"/>
        <v>1</v>
      </c>
      <c r="S1476" s="130">
        <f ca="1" t="shared" si="1702"/>
        <v>1</v>
      </c>
      <c r="T1476" s="130">
        <f ca="1" t="shared" si="1702"/>
        <v>1</v>
      </c>
      <c r="U1476" s="130">
        <f ca="1" t="shared" si="1702"/>
        <v>1</v>
      </c>
      <c r="V1476" s="130">
        <f ca="1" t="shared" si="1702"/>
        <v>1</v>
      </c>
    </row>
    <row r="1477" s="106" customFormat="1" ht="16.5" spans="2:22">
      <c r="B1477" s="117">
        <v>241</v>
      </c>
      <c r="C1477" s="130">
        <f t="shared" si="1654"/>
        <v>24100</v>
      </c>
      <c r="D1477" s="130">
        <f ca="1" t="shared" ref="D1477:V1477" si="1703">IF($C1477&gt;D$633,1,0)</f>
        <v>1</v>
      </c>
      <c r="E1477" s="130">
        <f ca="1" t="shared" si="1703"/>
        <v>1</v>
      </c>
      <c r="F1477" s="130">
        <f ca="1" t="shared" si="1703"/>
        <v>1</v>
      </c>
      <c r="G1477" s="130">
        <f ca="1" t="shared" si="1703"/>
        <v>1</v>
      </c>
      <c r="H1477" s="130">
        <f ca="1" t="shared" si="1703"/>
        <v>1</v>
      </c>
      <c r="I1477" s="130">
        <f ca="1" t="shared" si="1703"/>
        <v>1</v>
      </c>
      <c r="J1477" s="130">
        <f ca="1" t="shared" si="1703"/>
        <v>1</v>
      </c>
      <c r="K1477" s="130">
        <f ca="1" t="shared" si="1703"/>
        <v>1</v>
      </c>
      <c r="L1477" s="130">
        <f ca="1" t="shared" si="1703"/>
        <v>1</v>
      </c>
      <c r="M1477" s="130">
        <f ca="1" t="shared" si="1703"/>
        <v>1</v>
      </c>
      <c r="N1477" s="130">
        <f ca="1" t="shared" si="1703"/>
        <v>1</v>
      </c>
      <c r="O1477" s="130">
        <f ca="1" t="shared" si="1703"/>
        <v>1</v>
      </c>
      <c r="P1477" s="130">
        <f ca="1" t="shared" si="1703"/>
        <v>1</v>
      </c>
      <c r="Q1477" s="130">
        <f ca="1" t="shared" si="1703"/>
        <v>1</v>
      </c>
      <c r="R1477" s="130">
        <f ca="1" t="shared" si="1703"/>
        <v>1</v>
      </c>
      <c r="S1477" s="130">
        <f ca="1" t="shared" si="1703"/>
        <v>1</v>
      </c>
      <c r="T1477" s="130">
        <f ca="1" t="shared" si="1703"/>
        <v>1</v>
      </c>
      <c r="U1477" s="130">
        <f ca="1" t="shared" si="1703"/>
        <v>1</v>
      </c>
      <c r="V1477" s="130">
        <f ca="1" t="shared" si="1703"/>
        <v>1</v>
      </c>
    </row>
    <row r="1478" s="106" customFormat="1" ht="16.5" spans="2:22">
      <c r="B1478" s="117">
        <v>242</v>
      </c>
      <c r="C1478" s="130">
        <f t="shared" si="1654"/>
        <v>24200</v>
      </c>
      <c r="D1478" s="130">
        <f ca="1" t="shared" ref="D1478:V1478" si="1704">IF($C1478&gt;D$633,1,0)</f>
        <v>1</v>
      </c>
      <c r="E1478" s="130">
        <f ca="1" t="shared" si="1704"/>
        <v>1</v>
      </c>
      <c r="F1478" s="130">
        <f ca="1" t="shared" si="1704"/>
        <v>1</v>
      </c>
      <c r="G1478" s="130">
        <f ca="1" t="shared" si="1704"/>
        <v>1</v>
      </c>
      <c r="H1478" s="130">
        <f ca="1" t="shared" si="1704"/>
        <v>1</v>
      </c>
      <c r="I1478" s="130">
        <f ca="1" t="shared" si="1704"/>
        <v>1</v>
      </c>
      <c r="J1478" s="130">
        <f ca="1" t="shared" si="1704"/>
        <v>1</v>
      </c>
      <c r="K1478" s="130">
        <f ca="1" t="shared" si="1704"/>
        <v>1</v>
      </c>
      <c r="L1478" s="130">
        <f ca="1" t="shared" si="1704"/>
        <v>1</v>
      </c>
      <c r="M1478" s="130">
        <f ca="1" t="shared" si="1704"/>
        <v>1</v>
      </c>
      <c r="N1478" s="130">
        <f ca="1" t="shared" si="1704"/>
        <v>1</v>
      </c>
      <c r="O1478" s="130">
        <f ca="1" t="shared" si="1704"/>
        <v>1</v>
      </c>
      <c r="P1478" s="130">
        <f ca="1" t="shared" si="1704"/>
        <v>1</v>
      </c>
      <c r="Q1478" s="130">
        <f ca="1" t="shared" si="1704"/>
        <v>1</v>
      </c>
      <c r="R1478" s="130">
        <f ca="1" t="shared" si="1704"/>
        <v>1</v>
      </c>
      <c r="S1478" s="130">
        <f ca="1" t="shared" si="1704"/>
        <v>1</v>
      </c>
      <c r="T1478" s="130">
        <f ca="1" t="shared" si="1704"/>
        <v>1</v>
      </c>
      <c r="U1478" s="130">
        <f ca="1" t="shared" si="1704"/>
        <v>1</v>
      </c>
      <c r="V1478" s="130">
        <f ca="1" t="shared" si="1704"/>
        <v>1</v>
      </c>
    </row>
    <row r="1479" s="106" customFormat="1" ht="16.5" spans="2:22">
      <c r="B1479" s="117">
        <v>243</v>
      </c>
      <c r="C1479" s="130">
        <f t="shared" si="1654"/>
        <v>24300</v>
      </c>
      <c r="D1479" s="130">
        <f ca="1" t="shared" ref="D1479:V1479" si="1705">IF($C1479&gt;D$633,1,0)</f>
        <v>1</v>
      </c>
      <c r="E1479" s="130">
        <f ca="1" t="shared" si="1705"/>
        <v>1</v>
      </c>
      <c r="F1479" s="130">
        <f ca="1" t="shared" si="1705"/>
        <v>1</v>
      </c>
      <c r="G1479" s="130">
        <f ca="1" t="shared" si="1705"/>
        <v>1</v>
      </c>
      <c r="H1479" s="130">
        <f ca="1" t="shared" si="1705"/>
        <v>1</v>
      </c>
      <c r="I1479" s="130">
        <f ca="1" t="shared" si="1705"/>
        <v>1</v>
      </c>
      <c r="J1479" s="130">
        <f ca="1" t="shared" si="1705"/>
        <v>1</v>
      </c>
      <c r="K1479" s="130">
        <f ca="1" t="shared" si="1705"/>
        <v>1</v>
      </c>
      <c r="L1479" s="130">
        <f ca="1" t="shared" si="1705"/>
        <v>1</v>
      </c>
      <c r="M1479" s="130">
        <f ca="1" t="shared" si="1705"/>
        <v>1</v>
      </c>
      <c r="N1479" s="130">
        <f ca="1" t="shared" si="1705"/>
        <v>1</v>
      </c>
      <c r="O1479" s="130">
        <f ca="1" t="shared" si="1705"/>
        <v>1</v>
      </c>
      <c r="P1479" s="130">
        <f ca="1" t="shared" si="1705"/>
        <v>1</v>
      </c>
      <c r="Q1479" s="130">
        <f ca="1" t="shared" si="1705"/>
        <v>1</v>
      </c>
      <c r="R1479" s="130">
        <f ca="1" t="shared" si="1705"/>
        <v>1</v>
      </c>
      <c r="S1479" s="130">
        <f ca="1" t="shared" si="1705"/>
        <v>1</v>
      </c>
      <c r="T1479" s="130">
        <f ca="1" t="shared" si="1705"/>
        <v>1</v>
      </c>
      <c r="U1479" s="130">
        <f ca="1" t="shared" si="1705"/>
        <v>1</v>
      </c>
      <c r="V1479" s="130">
        <f ca="1" t="shared" si="1705"/>
        <v>1</v>
      </c>
    </row>
    <row r="1480" s="106" customFormat="1" ht="16.5" spans="2:22">
      <c r="B1480" s="117">
        <v>244</v>
      </c>
      <c r="C1480" s="130">
        <f t="shared" si="1654"/>
        <v>24400</v>
      </c>
      <c r="D1480" s="130">
        <f ca="1" t="shared" ref="D1480:V1480" si="1706">IF($C1480&gt;D$633,1,0)</f>
        <v>1</v>
      </c>
      <c r="E1480" s="130">
        <f ca="1" t="shared" si="1706"/>
        <v>1</v>
      </c>
      <c r="F1480" s="130">
        <f ca="1" t="shared" si="1706"/>
        <v>1</v>
      </c>
      <c r="G1480" s="130">
        <f ca="1" t="shared" si="1706"/>
        <v>1</v>
      </c>
      <c r="H1480" s="130">
        <f ca="1" t="shared" si="1706"/>
        <v>1</v>
      </c>
      <c r="I1480" s="130">
        <f ca="1" t="shared" si="1706"/>
        <v>1</v>
      </c>
      <c r="J1480" s="130">
        <f ca="1" t="shared" si="1706"/>
        <v>1</v>
      </c>
      <c r="K1480" s="130">
        <f ca="1" t="shared" si="1706"/>
        <v>1</v>
      </c>
      <c r="L1480" s="130">
        <f ca="1" t="shared" si="1706"/>
        <v>1</v>
      </c>
      <c r="M1480" s="130">
        <f ca="1" t="shared" si="1706"/>
        <v>1</v>
      </c>
      <c r="N1480" s="130">
        <f ca="1" t="shared" si="1706"/>
        <v>1</v>
      </c>
      <c r="O1480" s="130">
        <f ca="1" t="shared" si="1706"/>
        <v>1</v>
      </c>
      <c r="P1480" s="130">
        <f ca="1" t="shared" si="1706"/>
        <v>1</v>
      </c>
      <c r="Q1480" s="130">
        <f ca="1" t="shared" si="1706"/>
        <v>1</v>
      </c>
      <c r="R1480" s="130">
        <f ca="1" t="shared" si="1706"/>
        <v>1</v>
      </c>
      <c r="S1480" s="130">
        <f ca="1" t="shared" si="1706"/>
        <v>1</v>
      </c>
      <c r="T1480" s="130">
        <f ca="1" t="shared" si="1706"/>
        <v>1</v>
      </c>
      <c r="U1480" s="130">
        <f ca="1" t="shared" si="1706"/>
        <v>1</v>
      </c>
      <c r="V1480" s="130">
        <f ca="1" t="shared" si="1706"/>
        <v>1</v>
      </c>
    </row>
    <row r="1481" s="106" customFormat="1" ht="16.5" spans="2:22">
      <c r="B1481" s="117">
        <v>245</v>
      </c>
      <c r="C1481" s="130">
        <f t="shared" si="1654"/>
        <v>24500</v>
      </c>
      <c r="D1481" s="130">
        <f ca="1" t="shared" ref="D1481:V1481" si="1707">IF($C1481&gt;D$633,1,0)</f>
        <v>1</v>
      </c>
      <c r="E1481" s="130">
        <f ca="1" t="shared" si="1707"/>
        <v>1</v>
      </c>
      <c r="F1481" s="130">
        <f ca="1" t="shared" si="1707"/>
        <v>1</v>
      </c>
      <c r="G1481" s="130">
        <f ca="1" t="shared" si="1707"/>
        <v>1</v>
      </c>
      <c r="H1481" s="130">
        <f ca="1" t="shared" si="1707"/>
        <v>1</v>
      </c>
      <c r="I1481" s="130">
        <f ca="1" t="shared" si="1707"/>
        <v>1</v>
      </c>
      <c r="J1481" s="130">
        <f ca="1" t="shared" si="1707"/>
        <v>1</v>
      </c>
      <c r="K1481" s="130">
        <f ca="1" t="shared" si="1707"/>
        <v>1</v>
      </c>
      <c r="L1481" s="130">
        <f ca="1" t="shared" si="1707"/>
        <v>1</v>
      </c>
      <c r="M1481" s="130">
        <f ca="1" t="shared" si="1707"/>
        <v>1</v>
      </c>
      <c r="N1481" s="130">
        <f ca="1" t="shared" si="1707"/>
        <v>1</v>
      </c>
      <c r="O1481" s="130">
        <f ca="1" t="shared" si="1707"/>
        <v>1</v>
      </c>
      <c r="P1481" s="130">
        <f ca="1" t="shared" si="1707"/>
        <v>1</v>
      </c>
      <c r="Q1481" s="130">
        <f ca="1" t="shared" si="1707"/>
        <v>1</v>
      </c>
      <c r="R1481" s="130">
        <f ca="1" t="shared" si="1707"/>
        <v>1</v>
      </c>
      <c r="S1481" s="130">
        <f ca="1" t="shared" si="1707"/>
        <v>1</v>
      </c>
      <c r="T1481" s="130">
        <f ca="1" t="shared" si="1707"/>
        <v>1</v>
      </c>
      <c r="U1481" s="130">
        <f ca="1" t="shared" si="1707"/>
        <v>1</v>
      </c>
      <c r="V1481" s="130">
        <f ca="1" t="shared" si="1707"/>
        <v>1</v>
      </c>
    </row>
    <row r="1482" s="106" customFormat="1" ht="16.5" spans="2:22">
      <c r="B1482" s="117">
        <v>246</v>
      </c>
      <c r="C1482" s="130">
        <f t="shared" si="1654"/>
        <v>24600</v>
      </c>
      <c r="D1482" s="130">
        <f ca="1" t="shared" ref="D1482:V1482" si="1708">IF($C1482&gt;D$633,1,0)</f>
        <v>1</v>
      </c>
      <c r="E1482" s="130">
        <f ca="1" t="shared" si="1708"/>
        <v>1</v>
      </c>
      <c r="F1482" s="130">
        <f ca="1" t="shared" si="1708"/>
        <v>1</v>
      </c>
      <c r="G1482" s="130">
        <f ca="1" t="shared" si="1708"/>
        <v>1</v>
      </c>
      <c r="H1482" s="130">
        <f ca="1" t="shared" si="1708"/>
        <v>1</v>
      </c>
      <c r="I1482" s="130">
        <f ca="1" t="shared" si="1708"/>
        <v>1</v>
      </c>
      <c r="J1482" s="130">
        <f ca="1" t="shared" si="1708"/>
        <v>1</v>
      </c>
      <c r="K1482" s="130">
        <f ca="1" t="shared" si="1708"/>
        <v>1</v>
      </c>
      <c r="L1482" s="130">
        <f ca="1" t="shared" si="1708"/>
        <v>1</v>
      </c>
      <c r="M1482" s="130">
        <f ca="1" t="shared" si="1708"/>
        <v>1</v>
      </c>
      <c r="N1482" s="130">
        <f ca="1" t="shared" si="1708"/>
        <v>1</v>
      </c>
      <c r="O1482" s="130">
        <f ca="1" t="shared" si="1708"/>
        <v>1</v>
      </c>
      <c r="P1482" s="130">
        <f ca="1" t="shared" si="1708"/>
        <v>1</v>
      </c>
      <c r="Q1482" s="130">
        <f ca="1" t="shared" si="1708"/>
        <v>1</v>
      </c>
      <c r="R1482" s="130">
        <f ca="1" t="shared" si="1708"/>
        <v>1</v>
      </c>
      <c r="S1482" s="130">
        <f ca="1" t="shared" si="1708"/>
        <v>1</v>
      </c>
      <c r="T1482" s="130">
        <f ca="1" t="shared" si="1708"/>
        <v>1</v>
      </c>
      <c r="U1482" s="130">
        <f ca="1" t="shared" si="1708"/>
        <v>1</v>
      </c>
      <c r="V1482" s="130">
        <f ca="1" t="shared" si="1708"/>
        <v>1</v>
      </c>
    </row>
    <row r="1483" s="106" customFormat="1" ht="16.5" spans="2:22">
      <c r="B1483" s="117">
        <v>247</v>
      </c>
      <c r="C1483" s="130">
        <f t="shared" si="1654"/>
        <v>24700</v>
      </c>
      <c r="D1483" s="130">
        <f ca="1" t="shared" ref="D1483:V1483" si="1709">IF($C1483&gt;D$633,1,0)</f>
        <v>1</v>
      </c>
      <c r="E1483" s="130">
        <f ca="1" t="shared" si="1709"/>
        <v>1</v>
      </c>
      <c r="F1483" s="130">
        <f ca="1" t="shared" si="1709"/>
        <v>1</v>
      </c>
      <c r="G1483" s="130">
        <f ca="1" t="shared" si="1709"/>
        <v>1</v>
      </c>
      <c r="H1483" s="130">
        <f ca="1" t="shared" si="1709"/>
        <v>1</v>
      </c>
      <c r="I1483" s="130">
        <f ca="1" t="shared" si="1709"/>
        <v>1</v>
      </c>
      <c r="J1483" s="130">
        <f ca="1" t="shared" si="1709"/>
        <v>1</v>
      </c>
      <c r="K1483" s="130">
        <f ca="1" t="shared" si="1709"/>
        <v>1</v>
      </c>
      <c r="L1483" s="130">
        <f ca="1" t="shared" si="1709"/>
        <v>1</v>
      </c>
      <c r="M1483" s="130">
        <f ca="1" t="shared" si="1709"/>
        <v>1</v>
      </c>
      <c r="N1483" s="130">
        <f ca="1" t="shared" si="1709"/>
        <v>1</v>
      </c>
      <c r="O1483" s="130">
        <f ca="1" t="shared" si="1709"/>
        <v>1</v>
      </c>
      <c r="P1483" s="130">
        <f ca="1" t="shared" si="1709"/>
        <v>1</v>
      </c>
      <c r="Q1483" s="130">
        <f ca="1" t="shared" si="1709"/>
        <v>1</v>
      </c>
      <c r="R1483" s="130">
        <f ca="1" t="shared" si="1709"/>
        <v>1</v>
      </c>
      <c r="S1483" s="130">
        <f ca="1" t="shared" si="1709"/>
        <v>1</v>
      </c>
      <c r="T1483" s="130">
        <f ca="1" t="shared" si="1709"/>
        <v>1</v>
      </c>
      <c r="U1483" s="130">
        <f ca="1" t="shared" si="1709"/>
        <v>1</v>
      </c>
      <c r="V1483" s="130">
        <f ca="1" t="shared" si="1709"/>
        <v>1</v>
      </c>
    </row>
    <row r="1484" s="106" customFormat="1" ht="16.5" spans="2:22">
      <c r="B1484" s="117">
        <v>248</v>
      </c>
      <c r="C1484" s="130">
        <f t="shared" si="1654"/>
        <v>24800</v>
      </c>
      <c r="D1484" s="130">
        <f ca="1" t="shared" ref="D1484:V1484" si="1710">IF($C1484&gt;D$633,1,0)</f>
        <v>1</v>
      </c>
      <c r="E1484" s="130">
        <f ca="1" t="shared" si="1710"/>
        <v>1</v>
      </c>
      <c r="F1484" s="130">
        <f ca="1" t="shared" si="1710"/>
        <v>1</v>
      </c>
      <c r="G1484" s="130">
        <f ca="1" t="shared" si="1710"/>
        <v>1</v>
      </c>
      <c r="H1484" s="130">
        <f ca="1" t="shared" si="1710"/>
        <v>1</v>
      </c>
      <c r="I1484" s="130">
        <f ca="1" t="shared" si="1710"/>
        <v>1</v>
      </c>
      <c r="J1484" s="130">
        <f ca="1" t="shared" si="1710"/>
        <v>1</v>
      </c>
      <c r="K1484" s="130">
        <f ca="1" t="shared" si="1710"/>
        <v>1</v>
      </c>
      <c r="L1484" s="130">
        <f ca="1" t="shared" si="1710"/>
        <v>1</v>
      </c>
      <c r="M1484" s="130">
        <f ca="1" t="shared" si="1710"/>
        <v>1</v>
      </c>
      <c r="N1484" s="130">
        <f ca="1" t="shared" si="1710"/>
        <v>1</v>
      </c>
      <c r="O1484" s="130">
        <f ca="1" t="shared" si="1710"/>
        <v>1</v>
      </c>
      <c r="P1484" s="130">
        <f ca="1" t="shared" si="1710"/>
        <v>1</v>
      </c>
      <c r="Q1484" s="130">
        <f ca="1" t="shared" si="1710"/>
        <v>1</v>
      </c>
      <c r="R1484" s="130">
        <f ca="1" t="shared" si="1710"/>
        <v>1</v>
      </c>
      <c r="S1484" s="130">
        <f ca="1" t="shared" si="1710"/>
        <v>1</v>
      </c>
      <c r="T1484" s="130">
        <f ca="1" t="shared" si="1710"/>
        <v>1</v>
      </c>
      <c r="U1484" s="130">
        <f ca="1" t="shared" si="1710"/>
        <v>1</v>
      </c>
      <c r="V1484" s="130">
        <f ca="1" t="shared" si="1710"/>
        <v>1</v>
      </c>
    </row>
    <row r="1485" s="106" customFormat="1" ht="16.5" spans="2:22">
      <c r="B1485" s="117">
        <v>249</v>
      </c>
      <c r="C1485" s="130">
        <f t="shared" si="1654"/>
        <v>24900</v>
      </c>
      <c r="D1485" s="130">
        <f ca="1" t="shared" ref="D1485:V1485" si="1711">IF($C1485&gt;D$633,1,0)</f>
        <v>1</v>
      </c>
      <c r="E1485" s="130">
        <f ca="1" t="shared" si="1711"/>
        <v>1</v>
      </c>
      <c r="F1485" s="130">
        <f ca="1" t="shared" si="1711"/>
        <v>1</v>
      </c>
      <c r="G1485" s="130">
        <f ca="1" t="shared" si="1711"/>
        <v>1</v>
      </c>
      <c r="H1485" s="130">
        <f ca="1" t="shared" si="1711"/>
        <v>1</v>
      </c>
      <c r="I1485" s="130">
        <f ca="1" t="shared" si="1711"/>
        <v>1</v>
      </c>
      <c r="J1485" s="130">
        <f ca="1" t="shared" si="1711"/>
        <v>1</v>
      </c>
      <c r="K1485" s="130">
        <f ca="1" t="shared" si="1711"/>
        <v>1</v>
      </c>
      <c r="L1485" s="130">
        <f ca="1" t="shared" si="1711"/>
        <v>1</v>
      </c>
      <c r="M1485" s="130">
        <f ca="1" t="shared" si="1711"/>
        <v>1</v>
      </c>
      <c r="N1485" s="130">
        <f ca="1" t="shared" si="1711"/>
        <v>1</v>
      </c>
      <c r="O1485" s="130">
        <f ca="1" t="shared" si="1711"/>
        <v>1</v>
      </c>
      <c r="P1485" s="130">
        <f ca="1" t="shared" si="1711"/>
        <v>1</v>
      </c>
      <c r="Q1485" s="130">
        <f ca="1" t="shared" si="1711"/>
        <v>1</v>
      </c>
      <c r="R1485" s="130">
        <f ca="1" t="shared" si="1711"/>
        <v>1</v>
      </c>
      <c r="S1485" s="130">
        <f ca="1" t="shared" si="1711"/>
        <v>1</v>
      </c>
      <c r="T1485" s="130">
        <f ca="1" t="shared" si="1711"/>
        <v>1</v>
      </c>
      <c r="U1485" s="130">
        <f ca="1" t="shared" si="1711"/>
        <v>1</v>
      </c>
      <c r="V1485" s="130">
        <f ca="1" t="shared" si="1711"/>
        <v>1</v>
      </c>
    </row>
    <row r="1486" s="106" customFormat="1" ht="16.5" spans="2:22">
      <c r="B1486" s="117">
        <v>250</v>
      </c>
      <c r="C1486" s="130">
        <f t="shared" si="1654"/>
        <v>25000</v>
      </c>
      <c r="D1486" s="130">
        <f ca="1" t="shared" ref="D1486:V1486" si="1712">IF($C1486&gt;D$633,1,0)</f>
        <v>1</v>
      </c>
      <c r="E1486" s="130">
        <f ca="1" t="shared" si="1712"/>
        <v>1</v>
      </c>
      <c r="F1486" s="130">
        <f ca="1" t="shared" si="1712"/>
        <v>1</v>
      </c>
      <c r="G1486" s="130">
        <f ca="1" t="shared" si="1712"/>
        <v>1</v>
      </c>
      <c r="H1486" s="130">
        <f ca="1" t="shared" si="1712"/>
        <v>1</v>
      </c>
      <c r="I1486" s="130">
        <f ca="1" t="shared" si="1712"/>
        <v>1</v>
      </c>
      <c r="J1486" s="130">
        <f ca="1" t="shared" si="1712"/>
        <v>1</v>
      </c>
      <c r="K1486" s="130">
        <f ca="1" t="shared" si="1712"/>
        <v>1</v>
      </c>
      <c r="L1486" s="130">
        <f ca="1" t="shared" si="1712"/>
        <v>1</v>
      </c>
      <c r="M1486" s="130">
        <f ca="1" t="shared" si="1712"/>
        <v>1</v>
      </c>
      <c r="N1486" s="130">
        <f ca="1" t="shared" si="1712"/>
        <v>1</v>
      </c>
      <c r="O1486" s="130">
        <f ca="1" t="shared" si="1712"/>
        <v>1</v>
      </c>
      <c r="P1486" s="130">
        <f ca="1" t="shared" si="1712"/>
        <v>1</v>
      </c>
      <c r="Q1486" s="130">
        <f ca="1" t="shared" si="1712"/>
        <v>1</v>
      </c>
      <c r="R1486" s="130">
        <f ca="1" t="shared" si="1712"/>
        <v>1</v>
      </c>
      <c r="S1486" s="130">
        <f ca="1" t="shared" si="1712"/>
        <v>1</v>
      </c>
      <c r="T1486" s="130">
        <f ca="1" t="shared" si="1712"/>
        <v>1</v>
      </c>
      <c r="U1486" s="130">
        <f ca="1" t="shared" si="1712"/>
        <v>1</v>
      </c>
      <c r="V1486" s="130">
        <f ca="1" t="shared" si="1712"/>
        <v>1</v>
      </c>
    </row>
    <row r="1487" s="106" customFormat="1" ht="16.5" spans="2:22">
      <c r="B1487" s="117">
        <v>251</v>
      </c>
      <c r="C1487" s="130">
        <f t="shared" si="1654"/>
        <v>25100</v>
      </c>
      <c r="D1487" s="130">
        <f ca="1" t="shared" ref="D1487:V1487" si="1713">IF($C1487&gt;D$633,1,0)</f>
        <v>1</v>
      </c>
      <c r="E1487" s="130">
        <f ca="1" t="shared" si="1713"/>
        <v>1</v>
      </c>
      <c r="F1487" s="130">
        <f ca="1" t="shared" si="1713"/>
        <v>1</v>
      </c>
      <c r="G1487" s="130">
        <f ca="1" t="shared" si="1713"/>
        <v>1</v>
      </c>
      <c r="H1487" s="130">
        <f ca="1" t="shared" si="1713"/>
        <v>1</v>
      </c>
      <c r="I1487" s="130">
        <f ca="1" t="shared" si="1713"/>
        <v>1</v>
      </c>
      <c r="J1487" s="130">
        <f ca="1" t="shared" si="1713"/>
        <v>1</v>
      </c>
      <c r="K1487" s="130">
        <f ca="1" t="shared" si="1713"/>
        <v>1</v>
      </c>
      <c r="L1487" s="130">
        <f ca="1" t="shared" si="1713"/>
        <v>1</v>
      </c>
      <c r="M1487" s="130">
        <f ca="1" t="shared" si="1713"/>
        <v>1</v>
      </c>
      <c r="N1487" s="130">
        <f ca="1" t="shared" si="1713"/>
        <v>1</v>
      </c>
      <c r="O1487" s="130">
        <f ca="1" t="shared" si="1713"/>
        <v>1</v>
      </c>
      <c r="P1487" s="130">
        <f ca="1" t="shared" si="1713"/>
        <v>1</v>
      </c>
      <c r="Q1487" s="130">
        <f ca="1" t="shared" si="1713"/>
        <v>1</v>
      </c>
      <c r="R1487" s="130">
        <f ca="1" t="shared" si="1713"/>
        <v>1</v>
      </c>
      <c r="S1487" s="130">
        <f ca="1" t="shared" si="1713"/>
        <v>1</v>
      </c>
      <c r="T1487" s="130">
        <f ca="1" t="shared" si="1713"/>
        <v>1</v>
      </c>
      <c r="U1487" s="130">
        <f ca="1" t="shared" si="1713"/>
        <v>1</v>
      </c>
      <c r="V1487" s="130">
        <f ca="1" t="shared" si="1713"/>
        <v>1</v>
      </c>
    </row>
    <row r="1488" s="106" customFormat="1" ht="16.5" spans="2:22">
      <c r="B1488" s="117">
        <v>252</v>
      </c>
      <c r="C1488" s="130">
        <f t="shared" si="1654"/>
        <v>25200</v>
      </c>
      <c r="D1488" s="130">
        <f ca="1" t="shared" ref="D1488:V1488" si="1714">IF($C1488&gt;D$633,1,0)</f>
        <v>1</v>
      </c>
      <c r="E1488" s="130">
        <f ca="1" t="shared" si="1714"/>
        <v>1</v>
      </c>
      <c r="F1488" s="130">
        <f ca="1" t="shared" si="1714"/>
        <v>1</v>
      </c>
      <c r="G1488" s="130">
        <f ca="1" t="shared" si="1714"/>
        <v>1</v>
      </c>
      <c r="H1488" s="130">
        <f ca="1" t="shared" si="1714"/>
        <v>1</v>
      </c>
      <c r="I1488" s="130">
        <f ca="1" t="shared" si="1714"/>
        <v>1</v>
      </c>
      <c r="J1488" s="130">
        <f ca="1" t="shared" si="1714"/>
        <v>1</v>
      </c>
      <c r="K1488" s="130">
        <f ca="1" t="shared" si="1714"/>
        <v>1</v>
      </c>
      <c r="L1488" s="130">
        <f ca="1" t="shared" si="1714"/>
        <v>1</v>
      </c>
      <c r="M1488" s="130">
        <f ca="1" t="shared" si="1714"/>
        <v>1</v>
      </c>
      <c r="N1488" s="130">
        <f ca="1" t="shared" si="1714"/>
        <v>1</v>
      </c>
      <c r="O1488" s="130">
        <f ca="1" t="shared" si="1714"/>
        <v>1</v>
      </c>
      <c r="P1488" s="130">
        <f ca="1" t="shared" si="1714"/>
        <v>1</v>
      </c>
      <c r="Q1488" s="130">
        <f ca="1" t="shared" si="1714"/>
        <v>1</v>
      </c>
      <c r="R1488" s="130">
        <f ca="1" t="shared" si="1714"/>
        <v>1</v>
      </c>
      <c r="S1488" s="130">
        <f ca="1" t="shared" si="1714"/>
        <v>1</v>
      </c>
      <c r="T1488" s="130">
        <f ca="1" t="shared" si="1714"/>
        <v>1</v>
      </c>
      <c r="U1488" s="130">
        <f ca="1" t="shared" si="1714"/>
        <v>1</v>
      </c>
      <c r="V1488" s="130">
        <f ca="1" t="shared" si="1714"/>
        <v>1</v>
      </c>
    </row>
    <row r="1489" s="106" customFormat="1" ht="16.5" spans="2:22">
      <c r="B1489" s="117">
        <v>253</v>
      </c>
      <c r="C1489" s="130">
        <f t="shared" si="1654"/>
        <v>25300</v>
      </c>
      <c r="D1489" s="130">
        <f ca="1" t="shared" ref="D1489:V1489" si="1715">IF($C1489&gt;D$633,1,0)</f>
        <v>1</v>
      </c>
      <c r="E1489" s="130">
        <f ca="1" t="shared" si="1715"/>
        <v>1</v>
      </c>
      <c r="F1489" s="130">
        <f ca="1" t="shared" si="1715"/>
        <v>1</v>
      </c>
      <c r="G1489" s="130">
        <f ca="1" t="shared" si="1715"/>
        <v>1</v>
      </c>
      <c r="H1489" s="130">
        <f ca="1" t="shared" si="1715"/>
        <v>1</v>
      </c>
      <c r="I1489" s="130">
        <f ca="1" t="shared" si="1715"/>
        <v>1</v>
      </c>
      <c r="J1489" s="130">
        <f ca="1" t="shared" si="1715"/>
        <v>1</v>
      </c>
      <c r="K1489" s="130">
        <f ca="1" t="shared" si="1715"/>
        <v>1</v>
      </c>
      <c r="L1489" s="130">
        <f ca="1" t="shared" si="1715"/>
        <v>1</v>
      </c>
      <c r="M1489" s="130">
        <f ca="1" t="shared" si="1715"/>
        <v>1</v>
      </c>
      <c r="N1489" s="130">
        <f ca="1" t="shared" si="1715"/>
        <v>1</v>
      </c>
      <c r="O1489" s="130">
        <f ca="1" t="shared" si="1715"/>
        <v>1</v>
      </c>
      <c r="P1489" s="130">
        <f ca="1" t="shared" si="1715"/>
        <v>1</v>
      </c>
      <c r="Q1489" s="130">
        <f ca="1" t="shared" si="1715"/>
        <v>1</v>
      </c>
      <c r="R1489" s="130">
        <f ca="1" t="shared" si="1715"/>
        <v>1</v>
      </c>
      <c r="S1489" s="130">
        <f ca="1" t="shared" si="1715"/>
        <v>1</v>
      </c>
      <c r="T1489" s="130">
        <f ca="1" t="shared" si="1715"/>
        <v>1</v>
      </c>
      <c r="U1489" s="130">
        <f ca="1" t="shared" si="1715"/>
        <v>1</v>
      </c>
      <c r="V1489" s="130">
        <f ca="1" t="shared" si="1715"/>
        <v>1</v>
      </c>
    </row>
    <row r="1490" s="106" customFormat="1" ht="16.5" spans="2:22">
      <c r="B1490" s="117">
        <v>254</v>
      </c>
      <c r="C1490" s="130">
        <f t="shared" si="1654"/>
        <v>25400</v>
      </c>
      <c r="D1490" s="130">
        <f ca="1" t="shared" ref="D1490:V1490" si="1716">IF($C1490&gt;D$633,1,0)</f>
        <v>1</v>
      </c>
      <c r="E1490" s="130">
        <f ca="1" t="shared" si="1716"/>
        <v>1</v>
      </c>
      <c r="F1490" s="130">
        <f ca="1" t="shared" si="1716"/>
        <v>1</v>
      </c>
      <c r="G1490" s="130">
        <f ca="1" t="shared" si="1716"/>
        <v>1</v>
      </c>
      <c r="H1490" s="130">
        <f ca="1" t="shared" si="1716"/>
        <v>1</v>
      </c>
      <c r="I1490" s="130">
        <f ca="1" t="shared" si="1716"/>
        <v>1</v>
      </c>
      <c r="J1490" s="130">
        <f ca="1" t="shared" si="1716"/>
        <v>1</v>
      </c>
      <c r="K1490" s="130">
        <f ca="1" t="shared" si="1716"/>
        <v>1</v>
      </c>
      <c r="L1490" s="130">
        <f ca="1" t="shared" si="1716"/>
        <v>1</v>
      </c>
      <c r="M1490" s="130">
        <f ca="1" t="shared" si="1716"/>
        <v>1</v>
      </c>
      <c r="N1490" s="130">
        <f ca="1" t="shared" si="1716"/>
        <v>1</v>
      </c>
      <c r="O1490" s="130">
        <f ca="1" t="shared" si="1716"/>
        <v>1</v>
      </c>
      <c r="P1490" s="130">
        <f ca="1" t="shared" si="1716"/>
        <v>1</v>
      </c>
      <c r="Q1490" s="130">
        <f ca="1" t="shared" si="1716"/>
        <v>1</v>
      </c>
      <c r="R1490" s="130">
        <f ca="1" t="shared" si="1716"/>
        <v>1</v>
      </c>
      <c r="S1490" s="130">
        <f ca="1" t="shared" si="1716"/>
        <v>1</v>
      </c>
      <c r="T1490" s="130">
        <f ca="1" t="shared" si="1716"/>
        <v>1</v>
      </c>
      <c r="U1490" s="130">
        <f ca="1" t="shared" si="1716"/>
        <v>1</v>
      </c>
      <c r="V1490" s="130">
        <f ca="1" t="shared" si="1716"/>
        <v>1</v>
      </c>
    </row>
    <row r="1491" s="106" customFormat="1" ht="16.5" spans="2:22">
      <c r="B1491" s="117">
        <v>255</v>
      </c>
      <c r="C1491" s="130">
        <f t="shared" si="1654"/>
        <v>25500</v>
      </c>
      <c r="D1491" s="130">
        <f ca="1" t="shared" ref="D1491:V1491" si="1717">IF($C1491&gt;D$633,1,0)</f>
        <v>1</v>
      </c>
      <c r="E1491" s="130">
        <f ca="1" t="shared" si="1717"/>
        <v>1</v>
      </c>
      <c r="F1491" s="130">
        <f ca="1" t="shared" si="1717"/>
        <v>1</v>
      </c>
      <c r="G1491" s="130">
        <f ca="1" t="shared" si="1717"/>
        <v>1</v>
      </c>
      <c r="H1491" s="130">
        <f ca="1" t="shared" si="1717"/>
        <v>1</v>
      </c>
      <c r="I1491" s="130">
        <f ca="1" t="shared" si="1717"/>
        <v>1</v>
      </c>
      <c r="J1491" s="130">
        <f ca="1" t="shared" si="1717"/>
        <v>1</v>
      </c>
      <c r="K1491" s="130">
        <f ca="1" t="shared" si="1717"/>
        <v>1</v>
      </c>
      <c r="L1491" s="130">
        <f ca="1" t="shared" si="1717"/>
        <v>1</v>
      </c>
      <c r="M1491" s="130">
        <f ca="1" t="shared" si="1717"/>
        <v>1</v>
      </c>
      <c r="N1491" s="130">
        <f ca="1" t="shared" si="1717"/>
        <v>1</v>
      </c>
      <c r="O1491" s="130">
        <f ca="1" t="shared" si="1717"/>
        <v>1</v>
      </c>
      <c r="P1491" s="130">
        <f ca="1" t="shared" si="1717"/>
        <v>1</v>
      </c>
      <c r="Q1491" s="130">
        <f ca="1" t="shared" si="1717"/>
        <v>1</v>
      </c>
      <c r="R1491" s="130">
        <f ca="1" t="shared" si="1717"/>
        <v>1</v>
      </c>
      <c r="S1491" s="130">
        <f ca="1" t="shared" si="1717"/>
        <v>1</v>
      </c>
      <c r="T1491" s="130">
        <f ca="1" t="shared" si="1717"/>
        <v>1</v>
      </c>
      <c r="U1491" s="130">
        <f ca="1" t="shared" si="1717"/>
        <v>1</v>
      </c>
      <c r="V1491" s="130">
        <f ca="1" t="shared" si="1717"/>
        <v>1</v>
      </c>
    </row>
    <row r="1492" s="106" customFormat="1" ht="16.5" spans="2:22">
      <c r="B1492" s="117">
        <v>256</v>
      </c>
      <c r="C1492" s="130">
        <f t="shared" si="1654"/>
        <v>25600</v>
      </c>
      <c r="D1492" s="130">
        <f ca="1" t="shared" ref="D1492:V1492" si="1718">IF($C1492&gt;D$633,1,0)</f>
        <v>1</v>
      </c>
      <c r="E1492" s="130">
        <f ca="1" t="shared" si="1718"/>
        <v>1</v>
      </c>
      <c r="F1492" s="130">
        <f ca="1" t="shared" si="1718"/>
        <v>1</v>
      </c>
      <c r="G1492" s="130">
        <f ca="1" t="shared" si="1718"/>
        <v>1</v>
      </c>
      <c r="H1492" s="130">
        <f ca="1" t="shared" si="1718"/>
        <v>1</v>
      </c>
      <c r="I1492" s="130">
        <f ca="1" t="shared" si="1718"/>
        <v>1</v>
      </c>
      <c r="J1492" s="130">
        <f ca="1" t="shared" si="1718"/>
        <v>1</v>
      </c>
      <c r="K1492" s="130">
        <f ca="1" t="shared" si="1718"/>
        <v>1</v>
      </c>
      <c r="L1492" s="130">
        <f ca="1" t="shared" si="1718"/>
        <v>1</v>
      </c>
      <c r="M1492" s="130">
        <f ca="1" t="shared" si="1718"/>
        <v>1</v>
      </c>
      <c r="N1492" s="130">
        <f ca="1" t="shared" si="1718"/>
        <v>1</v>
      </c>
      <c r="O1492" s="130">
        <f ca="1" t="shared" si="1718"/>
        <v>1</v>
      </c>
      <c r="P1492" s="130">
        <f ca="1" t="shared" si="1718"/>
        <v>1</v>
      </c>
      <c r="Q1492" s="130">
        <f ca="1" t="shared" si="1718"/>
        <v>1</v>
      </c>
      <c r="R1492" s="130">
        <f ca="1" t="shared" si="1718"/>
        <v>1</v>
      </c>
      <c r="S1492" s="130">
        <f ca="1" t="shared" si="1718"/>
        <v>1</v>
      </c>
      <c r="T1492" s="130">
        <f ca="1" t="shared" si="1718"/>
        <v>1</v>
      </c>
      <c r="U1492" s="130">
        <f ca="1" t="shared" si="1718"/>
        <v>1</v>
      </c>
      <c r="V1492" s="130">
        <f ca="1" t="shared" si="1718"/>
        <v>1</v>
      </c>
    </row>
    <row r="1493" s="106" customFormat="1" ht="16.5" spans="2:22">
      <c r="B1493" s="117">
        <v>257</v>
      </c>
      <c r="C1493" s="130">
        <f t="shared" ref="C1493:C1536" si="1719">C891</f>
        <v>25700</v>
      </c>
      <c r="D1493" s="130">
        <f ca="1" t="shared" ref="D1493:V1493" si="1720">IF($C1493&gt;D$633,1,0)</f>
        <v>1</v>
      </c>
      <c r="E1493" s="130">
        <f ca="1" t="shared" si="1720"/>
        <v>1</v>
      </c>
      <c r="F1493" s="130">
        <f ca="1" t="shared" si="1720"/>
        <v>1</v>
      </c>
      <c r="G1493" s="130">
        <f ca="1" t="shared" si="1720"/>
        <v>1</v>
      </c>
      <c r="H1493" s="130">
        <f ca="1" t="shared" si="1720"/>
        <v>1</v>
      </c>
      <c r="I1493" s="130">
        <f ca="1" t="shared" si="1720"/>
        <v>1</v>
      </c>
      <c r="J1493" s="130">
        <f ca="1" t="shared" si="1720"/>
        <v>1</v>
      </c>
      <c r="K1493" s="130">
        <f ca="1" t="shared" si="1720"/>
        <v>1</v>
      </c>
      <c r="L1493" s="130">
        <f ca="1" t="shared" si="1720"/>
        <v>1</v>
      </c>
      <c r="M1493" s="130">
        <f ca="1" t="shared" si="1720"/>
        <v>1</v>
      </c>
      <c r="N1493" s="130">
        <f ca="1" t="shared" si="1720"/>
        <v>1</v>
      </c>
      <c r="O1493" s="130">
        <f ca="1" t="shared" si="1720"/>
        <v>1</v>
      </c>
      <c r="P1493" s="130">
        <f ca="1" t="shared" si="1720"/>
        <v>1</v>
      </c>
      <c r="Q1493" s="130">
        <f ca="1" t="shared" si="1720"/>
        <v>1</v>
      </c>
      <c r="R1493" s="130">
        <f ca="1" t="shared" si="1720"/>
        <v>1</v>
      </c>
      <c r="S1493" s="130">
        <f ca="1" t="shared" si="1720"/>
        <v>1</v>
      </c>
      <c r="T1493" s="130">
        <f ca="1" t="shared" si="1720"/>
        <v>1</v>
      </c>
      <c r="U1493" s="130">
        <f ca="1" t="shared" si="1720"/>
        <v>1</v>
      </c>
      <c r="V1493" s="130">
        <f ca="1" t="shared" si="1720"/>
        <v>1</v>
      </c>
    </row>
    <row r="1494" s="106" customFormat="1" ht="16.5" spans="2:22">
      <c r="B1494" s="117">
        <v>258</v>
      </c>
      <c r="C1494" s="130">
        <f t="shared" si="1719"/>
        <v>25800</v>
      </c>
      <c r="D1494" s="130">
        <f ca="1" t="shared" ref="D1494:V1494" si="1721">IF($C1494&gt;D$633,1,0)</f>
        <v>1</v>
      </c>
      <c r="E1494" s="130">
        <f ca="1" t="shared" si="1721"/>
        <v>1</v>
      </c>
      <c r="F1494" s="130">
        <f ca="1" t="shared" si="1721"/>
        <v>1</v>
      </c>
      <c r="G1494" s="130">
        <f ca="1" t="shared" si="1721"/>
        <v>1</v>
      </c>
      <c r="H1494" s="130">
        <f ca="1" t="shared" si="1721"/>
        <v>1</v>
      </c>
      <c r="I1494" s="130">
        <f ca="1" t="shared" si="1721"/>
        <v>1</v>
      </c>
      <c r="J1494" s="130">
        <f ca="1" t="shared" si="1721"/>
        <v>1</v>
      </c>
      <c r="K1494" s="130">
        <f ca="1" t="shared" si="1721"/>
        <v>1</v>
      </c>
      <c r="L1494" s="130">
        <f ca="1" t="shared" si="1721"/>
        <v>1</v>
      </c>
      <c r="M1494" s="130">
        <f ca="1" t="shared" si="1721"/>
        <v>1</v>
      </c>
      <c r="N1494" s="130">
        <f ca="1" t="shared" si="1721"/>
        <v>1</v>
      </c>
      <c r="O1494" s="130">
        <f ca="1" t="shared" si="1721"/>
        <v>1</v>
      </c>
      <c r="P1494" s="130">
        <f ca="1" t="shared" si="1721"/>
        <v>1</v>
      </c>
      <c r="Q1494" s="130">
        <f ca="1" t="shared" si="1721"/>
        <v>1</v>
      </c>
      <c r="R1494" s="130">
        <f ca="1" t="shared" si="1721"/>
        <v>1</v>
      </c>
      <c r="S1494" s="130">
        <f ca="1" t="shared" si="1721"/>
        <v>1</v>
      </c>
      <c r="T1494" s="130">
        <f ca="1" t="shared" si="1721"/>
        <v>1</v>
      </c>
      <c r="U1494" s="130">
        <f ca="1" t="shared" si="1721"/>
        <v>1</v>
      </c>
      <c r="V1494" s="130">
        <f ca="1" t="shared" si="1721"/>
        <v>1</v>
      </c>
    </row>
    <row r="1495" s="106" customFormat="1" ht="16.5" spans="2:22">
      <c r="B1495" s="117">
        <v>259</v>
      </c>
      <c r="C1495" s="130">
        <f t="shared" si="1719"/>
        <v>25900</v>
      </c>
      <c r="D1495" s="130">
        <f ca="1" t="shared" ref="D1495:V1495" si="1722">IF($C1495&gt;D$633,1,0)</f>
        <v>1</v>
      </c>
      <c r="E1495" s="130">
        <f ca="1" t="shared" si="1722"/>
        <v>1</v>
      </c>
      <c r="F1495" s="130">
        <f ca="1" t="shared" si="1722"/>
        <v>1</v>
      </c>
      <c r="G1495" s="130">
        <f ca="1" t="shared" si="1722"/>
        <v>1</v>
      </c>
      <c r="H1495" s="130">
        <f ca="1" t="shared" si="1722"/>
        <v>1</v>
      </c>
      <c r="I1495" s="130">
        <f ca="1" t="shared" si="1722"/>
        <v>1</v>
      </c>
      <c r="J1495" s="130">
        <f ca="1" t="shared" si="1722"/>
        <v>1</v>
      </c>
      <c r="K1495" s="130">
        <f ca="1" t="shared" si="1722"/>
        <v>1</v>
      </c>
      <c r="L1495" s="130">
        <f ca="1" t="shared" si="1722"/>
        <v>1</v>
      </c>
      <c r="M1495" s="130">
        <f ca="1" t="shared" si="1722"/>
        <v>1</v>
      </c>
      <c r="N1495" s="130">
        <f ca="1" t="shared" si="1722"/>
        <v>1</v>
      </c>
      <c r="O1495" s="130">
        <f ca="1" t="shared" si="1722"/>
        <v>1</v>
      </c>
      <c r="P1495" s="130">
        <f ca="1" t="shared" si="1722"/>
        <v>1</v>
      </c>
      <c r="Q1495" s="130">
        <f ca="1" t="shared" si="1722"/>
        <v>1</v>
      </c>
      <c r="R1495" s="130">
        <f ca="1" t="shared" si="1722"/>
        <v>1</v>
      </c>
      <c r="S1495" s="130">
        <f ca="1" t="shared" si="1722"/>
        <v>1</v>
      </c>
      <c r="T1495" s="130">
        <f ca="1" t="shared" si="1722"/>
        <v>1</v>
      </c>
      <c r="U1495" s="130">
        <f ca="1" t="shared" si="1722"/>
        <v>1</v>
      </c>
      <c r="V1495" s="130">
        <f ca="1" t="shared" si="1722"/>
        <v>1</v>
      </c>
    </row>
    <row r="1496" s="106" customFormat="1" ht="16.5" spans="2:22">
      <c r="B1496" s="117">
        <v>260</v>
      </c>
      <c r="C1496" s="130">
        <f t="shared" si="1719"/>
        <v>26000</v>
      </c>
      <c r="D1496" s="130">
        <f ca="1" t="shared" ref="D1496:V1496" si="1723">IF($C1496&gt;D$633,1,0)</f>
        <v>1</v>
      </c>
      <c r="E1496" s="130">
        <f ca="1" t="shared" si="1723"/>
        <v>1</v>
      </c>
      <c r="F1496" s="130">
        <f ca="1" t="shared" si="1723"/>
        <v>1</v>
      </c>
      <c r="G1496" s="130">
        <f ca="1" t="shared" si="1723"/>
        <v>1</v>
      </c>
      <c r="H1496" s="130">
        <f ca="1" t="shared" si="1723"/>
        <v>1</v>
      </c>
      <c r="I1496" s="130">
        <f ca="1" t="shared" si="1723"/>
        <v>1</v>
      </c>
      <c r="J1496" s="130">
        <f ca="1" t="shared" si="1723"/>
        <v>1</v>
      </c>
      <c r="K1496" s="130">
        <f ca="1" t="shared" si="1723"/>
        <v>1</v>
      </c>
      <c r="L1496" s="130">
        <f ca="1" t="shared" si="1723"/>
        <v>1</v>
      </c>
      <c r="M1496" s="130">
        <f ca="1" t="shared" si="1723"/>
        <v>1</v>
      </c>
      <c r="N1496" s="130">
        <f ca="1" t="shared" si="1723"/>
        <v>1</v>
      </c>
      <c r="O1496" s="130">
        <f ca="1" t="shared" si="1723"/>
        <v>1</v>
      </c>
      <c r="P1496" s="130">
        <f ca="1" t="shared" si="1723"/>
        <v>1</v>
      </c>
      <c r="Q1496" s="130">
        <f ca="1" t="shared" si="1723"/>
        <v>1</v>
      </c>
      <c r="R1496" s="130">
        <f ca="1" t="shared" si="1723"/>
        <v>1</v>
      </c>
      <c r="S1496" s="130">
        <f ca="1" t="shared" si="1723"/>
        <v>1</v>
      </c>
      <c r="T1496" s="130">
        <f ca="1" t="shared" si="1723"/>
        <v>1</v>
      </c>
      <c r="U1496" s="130">
        <f ca="1" t="shared" si="1723"/>
        <v>1</v>
      </c>
      <c r="V1496" s="130">
        <f ca="1" t="shared" si="1723"/>
        <v>1</v>
      </c>
    </row>
    <row r="1497" s="106" customFormat="1" ht="16.5" spans="2:22">
      <c r="B1497" s="117">
        <v>261</v>
      </c>
      <c r="C1497" s="130">
        <f t="shared" si="1719"/>
        <v>26100</v>
      </c>
      <c r="D1497" s="130">
        <f ca="1" t="shared" ref="D1497:V1497" si="1724">IF($C1497&gt;D$633,1,0)</f>
        <v>1</v>
      </c>
      <c r="E1497" s="130">
        <f ca="1" t="shared" si="1724"/>
        <v>1</v>
      </c>
      <c r="F1497" s="130">
        <f ca="1" t="shared" si="1724"/>
        <v>1</v>
      </c>
      <c r="G1497" s="130">
        <f ca="1" t="shared" si="1724"/>
        <v>1</v>
      </c>
      <c r="H1497" s="130">
        <f ca="1" t="shared" si="1724"/>
        <v>1</v>
      </c>
      <c r="I1497" s="130">
        <f ca="1" t="shared" si="1724"/>
        <v>1</v>
      </c>
      <c r="J1497" s="130">
        <f ca="1" t="shared" si="1724"/>
        <v>1</v>
      </c>
      <c r="K1497" s="130">
        <f ca="1" t="shared" si="1724"/>
        <v>1</v>
      </c>
      <c r="L1497" s="130">
        <f ca="1" t="shared" si="1724"/>
        <v>1</v>
      </c>
      <c r="M1497" s="130">
        <f ca="1" t="shared" si="1724"/>
        <v>1</v>
      </c>
      <c r="N1497" s="130">
        <f ca="1" t="shared" si="1724"/>
        <v>1</v>
      </c>
      <c r="O1497" s="130">
        <f ca="1" t="shared" si="1724"/>
        <v>1</v>
      </c>
      <c r="P1497" s="130">
        <f ca="1" t="shared" si="1724"/>
        <v>1</v>
      </c>
      <c r="Q1497" s="130">
        <f ca="1" t="shared" si="1724"/>
        <v>1</v>
      </c>
      <c r="R1497" s="130">
        <f ca="1" t="shared" si="1724"/>
        <v>1</v>
      </c>
      <c r="S1497" s="130">
        <f ca="1" t="shared" si="1724"/>
        <v>1</v>
      </c>
      <c r="T1497" s="130">
        <f ca="1" t="shared" si="1724"/>
        <v>1</v>
      </c>
      <c r="U1497" s="130">
        <f ca="1" t="shared" si="1724"/>
        <v>1</v>
      </c>
      <c r="V1497" s="130">
        <f ca="1" t="shared" si="1724"/>
        <v>1</v>
      </c>
    </row>
    <row r="1498" s="106" customFormat="1" ht="16.5" spans="2:22">
      <c r="B1498" s="117">
        <v>262</v>
      </c>
      <c r="C1498" s="130">
        <f t="shared" si="1719"/>
        <v>26200</v>
      </c>
      <c r="D1498" s="130">
        <f ca="1" t="shared" ref="D1498:V1498" si="1725">IF($C1498&gt;D$633,1,0)</f>
        <v>1</v>
      </c>
      <c r="E1498" s="130">
        <f ca="1" t="shared" si="1725"/>
        <v>1</v>
      </c>
      <c r="F1498" s="130">
        <f ca="1" t="shared" si="1725"/>
        <v>1</v>
      </c>
      <c r="G1498" s="130">
        <f ca="1" t="shared" si="1725"/>
        <v>1</v>
      </c>
      <c r="H1498" s="130">
        <f ca="1" t="shared" si="1725"/>
        <v>1</v>
      </c>
      <c r="I1498" s="130">
        <f ca="1" t="shared" si="1725"/>
        <v>1</v>
      </c>
      <c r="J1498" s="130">
        <f ca="1" t="shared" si="1725"/>
        <v>1</v>
      </c>
      <c r="K1498" s="130">
        <f ca="1" t="shared" si="1725"/>
        <v>1</v>
      </c>
      <c r="L1498" s="130">
        <f ca="1" t="shared" si="1725"/>
        <v>1</v>
      </c>
      <c r="M1498" s="130">
        <f ca="1" t="shared" si="1725"/>
        <v>1</v>
      </c>
      <c r="N1498" s="130">
        <f ca="1" t="shared" si="1725"/>
        <v>1</v>
      </c>
      <c r="O1498" s="130">
        <f ca="1" t="shared" si="1725"/>
        <v>1</v>
      </c>
      <c r="P1498" s="130">
        <f ca="1" t="shared" si="1725"/>
        <v>1</v>
      </c>
      <c r="Q1498" s="130">
        <f ca="1" t="shared" si="1725"/>
        <v>1</v>
      </c>
      <c r="R1498" s="130">
        <f ca="1" t="shared" si="1725"/>
        <v>1</v>
      </c>
      <c r="S1498" s="130">
        <f ca="1" t="shared" si="1725"/>
        <v>1</v>
      </c>
      <c r="T1498" s="130">
        <f ca="1" t="shared" si="1725"/>
        <v>1</v>
      </c>
      <c r="U1498" s="130">
        <f ca="1" t="shared" si="1725"/>
        <v>1</v>
      </c>
      <c r="V1498" s="130">
        <f ca="1" t="shared" si="1725"/>
        <v>1</v>
      </c>
    </row>
    <row r="1499" s="106" customFormat="1" ht="16.5" spans="2:22">
      <c r="B1499" s="117">
        <v>263</v>
      </c>
      <c r="C1499" s="130">
        <f t="shared" si="1719"/>
        <v>26300</v>
      </c>
      <c r="D1499" s="130">
        <f ca="1" t="shared" ref="D1499:V1499" si="1726">IF($C1499&gt;D$633,1,0)</f>
        <v>1</v>
      </c>
      <c r="E1499" s="130">
        <f ca="1" t="shared" si="1726"/>
        <v>1</v>
      </c>
      <c r="F1499" s="130">
        <f ca="1" t="shared" si="1726"/>
        <v>1</v>
      </c>
      <c r="G1499" s="130">
        <f ca="1" t="shared" si="1726"/>
        <v>1</v>
      </c>
      <c r="H1499" s="130">
        <f ca="1" t="shared" si="1726"/>
        <v>1</v>
      </c>
      <c r="I1499" s="130">
        <f ca="1" t="shared" si="1726"/>
        <v>1</v>
      </c>
      <c r="J1499" s="130">
        <f ca="1" t="shared" si="1726"/>
        <v>1</v>
      </c>
      <c r="K1499" s="130">
        <f ca="1" t="shared" si="1726"/>
        <v>1</v>
      </c>
      <c r="L1499" s="130">
        <f ca="1" t="shared" si="1726"/>
        <v>1</v>
      </c>
      <c r="M1499" s="130">
        <f ca="1" t="shared" si="1726"/>
        <v>1</v>
      </c>
      <c r="N1499" s="130">
        <f ca="1" t="shared" si="1726"/>
        <v>1</v>
      </c>
      <c r="O1499" s="130">
        <f ca="1" t="shared" si="1726"/>
        <v>1</v>
      </c>
      <c r="P1499" s="130">
        <f ca="1" t="shared" si="1726"/>
        <v>1</v>
      </c>
      <c r="Q1499" s="130">
        <f ca="1" t="shared" si="1726"/>
        <v>1</v>
      </c>
      <c r="R1499" s="130">
        <f ca="1" t="shared" si="1726"/>
        <v>1</v>
      </c>
      <c r="S1499" s="130">
        <f ca="1" t="shared" si="1726"/>
        <v>1</v>
      </c>
      <c r="T1499" s="130">
        <f ca="1" t="shared" si="1726"/>
        <v>1</v>
      </c>
      <c r="U1499" s="130">
        <f ca="1" t="shared" si="1726"/>
        <v>1</v>
      </c>
      <c r="V1499" s="130">
        <f ca="1" t="shared" si="1726"/>
        <v>1</v>
      </c>
    </row>
    <row r="1500" s="106" customFormat="1" ht="16.5" spans="2:22">
      <c r="B1500" s="117">
        <v>264</v>
      </c>
      <c r="C1500" s="130">
        <f t="shared" si="1719"/>
        <v>26400</v>
      </c>
      <c r="D1500" s="130">
        <f ca="1" t="shared" ref="D1500:V1500" si="1727">IF($C1500&gt;D$633,1,0)</f>
        <v>1</v>
      </c>
      <c r="E1500" s="130">
        <f ca="1" t="shared" si="1727"/>
        <v>1</v>
      </c>
      <c r="F1500" s="130">
        <f ca="1" t="shared" si="1727"/>
        <v>1</v>
      </c>
      <c r="G1500" s="130">
        <f ca="1" t="shared" si="1727"/>
        <v>1</v>
      </c>
      <c r="H1500" s="130">
        <f ca="1" t="shared" si="1727"/>
        <v>1</v>
      </c>
      <c r="I1500" s="130">
        <f ca="1" t="shared" si="1727"/>
        <v>1</v>
      </c>
      <c r="J1500" s="130">
        <f ca="1" t="shared" si="1727"/>
        <v>1</v>
      </c>
      <c r="K1500" s="130">
        <f ca="1" t="shared" si="1727"/>
        <v>1</v>
      </c>
      <c r="L1500" s="130">
        <f ca="1" t="shared" si="1727"/>
        <v>1</v>
      </c>
      <c r="M1500" s="130">
        <f ca="1" t="shared" si="1727"/>
        <v>1</v>
      </c>
      <c r="N1500" s="130">
        <f ca="1" t="shared" si="1727"/>
        <v>1</v>
      </c>
      <c r="O1500" s="130">
        <f ca="1" t="shared" si="1727"/>
        <v>1</v>
      </c>
      <c r="P1500" s="130">
        <f ca="1" t="shared" si="1727"/>
        <v>1</v>
      </c>
      <c r="Q1500" s="130">
        <f ca="1" t="shared" si="1727"/>
        <v>1</v>
      </c>
      <c r="R1500" s="130">
        <f ca="1" t="shared" si="1727"/>
        <v>1</v>
      </c>
      <c r="S1500" s="130">
        <f ca="1" t="shared" si="1727"/>
        <v>1</v>
      </c>
      <c r="T1500" s="130">
        <f ca="1" t="shared" si="1727"/>
        <v>1</v>
      </c>
      <c r="U1500" s="130">
        <f ca="1" t="shared" si="1727"/>
        <v>1</v>
      </c>
      <c r="V1500" s="130">
        <f ca="1" t="shared" si="1727"/>
        <v>1</v>
      </c>
    </row>
    <row r="1501" s="106" customFormat="1" ht="16.5" spans="2:22">
      <c r="B1501" s="117">
        <v>265</v>
      </c>
      <c r="C1501" s="130">
        <f t="shared" si="1719"/>
        <v>26500</v>
      </c>
      <c r="D1501" s="130">
        <f ca="1" t="shared" ref="D1501:V1501" si="1728">IF($C1501&gt;D$633,1,0)</f>
        <v>1</v>
      </c>
      <c r="E1501" s="130">
        <f ca="1" t="shared" si="1728"/>
        <v>1</v>
      </c>
      <c r="F1501" s="130">
        <f ca="1" t="shared" si="1728"/>
        <v>1</v>
      </c>
      <c r="G1501" s="130">
        <f ca="1" t="shared" si="1728"/>
        <v>1</v>
      </c>
      <c r="H1501" s="130">
        <f ca="1" t="shared" si="1728"/>
        <v>1</v>
      </c>
      <c r="I1501" s="130">
        <f ca="1" t="shared" si="1728"/>
        <v>1</v>
      </c>
      <c r="J1501" s="130">
        <f ca="1" t="shared" si="1728"/>
        <v>1</v>
      </c>
      <c r="K1501" s="130">
        <f ca="1" t="shared" si="1728"/>
        <v>1</v>
      </c>
      <c r="L1501" s="130">
        <f ca="1" t="shared" si="1728"/>
        <v>1</v>
      </c>
      <c r="M1501" s="130">
        <f ca="1" t="shared" si="1728"/>
        <v>1</v>
      </c>
      <c r="N1501" s="130">
        <f ca="1" t="shared" si="1728"/>
        <v>1</v>
      </c>
      <c r="O1501" s="130">
        <f ca="1" t="shared" si="1728"/>
        <v>1</v>
      </c>
      <c r="P1501" s="130">
        <f ca="1" t="shared" si="1728"/>
        <v>1</v>
      </c>
      <c r="Q1501" s="130">
        <f ca="1" t="shared" si="1728"/>
        <v>1</v>
      </c>
      <c r="R1501" s="130">
        <f ca="1" t="shared" si="1728"/>
        <v>1</v>
      </c>
      <c r="S1501" s="130">
        <f ca="1" t="shared" si="1728"/>
        <v>1</v>
      </c>
      <c r="T1501" s="130">
        <f ca="1" t="shared" si="1728"/>
        <v>1</v>
      </c>
      <c r="U1501" s="130">
        <f ca="1" t="shared" si="1728"/>
        <v>1</v>
      </c>
      <c r="V1501" s="130">
        <f ca="1" t="shared" si="1728"/>
        <v>1</v>
      </c>
    </row>
    <row r="1502" s="106" customFormat="1" ht="16.5" spans="2:22">
      <c r="B1502" s="117">
        <v>266</v>
      </c>
      <c r="C1502" s="130">
        <f t="shared" si="1719"/>
        <v>26600</v>
      </c>
      <c r="D1502" s="130">
        <f ca="1" t="shared" ref="D1502:V1502" si="1729">IF($C1502&gt;D$633,1,0)</f>
        <v>1</v>
      </c>
      <c r="E1502" s="130">
        <f ca="1" t="shared" si="1729"/>
        <v>1</v>
      </c>
      <c r="F1502" s="130">
        <f ca="1" t="shared" si="1729"/>
        <v>1</v>
      </c>
      <c r="G1502" s="130">
        <f ca="1" t="shared" si="1729"/>
        <v>1</v>
      </c>
      <c r="H1502" s="130">
        <f ca="1" t="shared" si="1729"/>
        <v>1</v>
      </c>
      <c r="I1502" s="130">
        <f ca="1" t="shared" si="1729"/>
        <v>1</v>
      </c>
      <c r="J1502" s="130">
        <f ca="1" t="shared" si="1729"/>
        <v>1</v>
      </c>
      <c r="K1502" s="130">
        <f ca="1" t="shared" si="1729"/>
        <v>1</v>
      </c>
      <c r="L1502" s="130">
        <f ca="1" t="shared" si="1729"/>
        <v>1</v>
      </c>
      <c r="M1502" s="130">
        <f ca="1" t="shared" si="1729"/>
        <v>1</v>
      </c>
      <c r="N1502" s="130">
        <f ca="1" t="shared" si="1729"/>
        <v>1</v>
      </c>
      <c r="O1502" s="130">
        <f ca="1" t="shared" si="1729"/>
        <v>1</v>
      </c>
      <c r="P1502" s="130">
        <f ca="1" t="shared" si="1729"/>
        <v>1</v>
      </c>
      <c r="Q1502" s="130">
        <f ca="1" t="shared" si="1729"/>
        <v>1</v>
      </c>
      <c r="R1502" s="130">
        <f ca="1" t="shared" si="1729"/>
        <v>1</v>
      </c>
      <c r="S1502" s="130">
        <f ca="1" t="shared" si="1729"/>
        <v>1</v>
      </c>
      <c r="T1502" s="130">
        <f ca="1" t="shared" si="1729"/>
        <v>1</v>
      </c>
      <c r="U1502" s="130">
        <f ca="1" t="shared" si="1729"/>
        <v>1</v>
      </c>
      <c r="V1502" s="130">
        <f ca="1" t="shared" si="1729"/>
        <v>1</v>
      </c>
    </row>
    <row r="1503" s="106" customFormat="1" ht="16.5" spans="2:22">
      <c r="B1503" s="117">
        <v>267</v>
      </c>
      <c r="C1503" s="130">
        <f t="shared" si="1719"/>
        <v>26700</v>
      </c>
      <c r="D1503" s="130">
        <f ca="1" t="shared" ref="D1503:V1503" si="1730">IF($C1503&gt;D$633,1,0)</f>
        <v>1</v>
      </c>
      <c r="E1503" s="130">
        <f ca="1" t="shared" si="1730"/>
        <v>1</v>
      </c>
      <c r="F1503" s="130">
        <f ca="1" t="shared" si="1730"/>
        <v>1</v>
      </c>
      <c r="G1503" s="130">
        <f ca="1" t="shared" si="1730"/>
        <v>1</v>
      </c>
      <c r="H1503" s="130">
        <f ca="1" t="shared" si="1730"/>
        <v>1</v>
      </c>
      <c r="I1503" s="130">
        <f ca="1" t="shared" si="1730"/>
        <v>1</v>
      </c>
      <c r="J1503" s="130">
        <f ca="1" t="shared" si="1730"/>
        <v>1</v>
      </c>
      <c r="K1503" s="130">
        <f ca="1" t="shared" si="1730"/>
        <v>1</v>
      </c>
      <c r="L1503" s="130">
        <f ca="1" t="shared" si="1730"/>
        <v>1</v>
      </c>
      <c r="M1503" s="130">
        <f ca="1" t="shared" si="1730"/>
        <v>1</v>
      </c>
      <c r="N1503" s="130">
        <f ca="1" t="shared" si="1730"/>
        <v>1</v>
      </c>
      <c r="O1503" s="130">
        <f ca="1" t="shared" si="1730"/>
        <v>1</v>
      </c>
      <c r="P1503" s="130">
        <f ca="1" t="shared" si="1730"/>
        <v>1</v>
      </c>
      <c r="Q1503" s="130">
        <f ca="1" t="shared" si="1730"/>
        <v>1</v>
      </c>
      <c r="R1503" s="130">
        <f ca="1" t="shared" si="1730"/>
        <v>1</v>
      </c>
      <c r="S1503" s="130">
        <f ca="1" t="shared" si="1730"/>
        <v>1</v>
      </c>
      <c r="T1503" s="130">
        <f ca="1" t="shared" si="1730"/>
        <v>1</v>
      </c>
      <c r="U1503" s="130">
        <f ca="1" t="shared" si="1730"/>
        <v>1</v>
      </c>
      <c r="V1503" s="130">
        <f ca="1" t="shared" si="1730"/>
        <v>1</v>
      </c>
    </row>
    <row r="1504" s="106" customFormat="1" ht="16.5" spans="2:22">
      <c r="B1504" s="117">
        <v>268</v>
      </c>
      <c r="C1504" s="130">
        <f t="shared" si="1719"/>
        <v>26800</v>
      </c>
      <c r="D1504" s="130">
        <f ca="1" t="shared" ref="D1504:V1504" si="1731">IF($C1504&gt;D$633,1,0)</f>
        <v>1</v>
      </c>
      <c r="E1504" s="130">
        <f ca="1" t="shared" si="1731"/>
        <v>1</v>
      </c>
      <c r="F1504" s="130">
        <f ca="1" t="shared" si="1731"/>
        <v>1</v>
      </c>
      <c r="G1504" s="130">
        <f ca="1" t="shared" si="1731"/>
        <v>1</v>
      </c>
      <c r="H1504" s="130">
        <f ca="1" t="shared" si="1731"/>
        <v>1</v>
      </c>
      <c r="I1504" s="130">
        <f ca="1" t="shared" si="1731"/>
        <v>1</v>
      </c>
      <c r="J1504" s="130">
        <f ca="1" t="shared" si="1731"/>
        <v>1</v>
      </c>
      <c r="K1504" s="130">
        <f ca="1" t="shared" si="1731"/>
        <v>1</v>
      </c>
      <c r="L1504" s="130">
        <f ca="1" t="shared" si="1731"/>
        <v>1</v>
      </c>
      <c r="M1504" s="130">
        <f ca="1" t="shared" si="1731"/>
        <v>1</v>
      </c>
      <c r="N1504" s="130">
        <f ca="1" t="shared" si="1731"/>
        <v>1</v>
      </c>
      <c r="O1504" s="130">
        <f ca="1" t="shared" si="1731"/>
        <v>1</v>
      </c>
      <c r="P1504" s="130">
        <f ca="1" t="shared" si="1731"/>
        <v>1</v>
      </c>
      <c r="Q1504" s="130">
        <f ca="1" t="shared" si="1731"/>
        <v>1</v>
      </c>
      <c r="R1504" s="130">
        <f ca="1" t="shared" si="1731"/>
        <v>1</v>
      </c>
      <c r="S1504" s="130">
        <f ca="1" t="shared" si="1731"/>
        <v>1</v>
      </c>
      <c r="T1504" s="130">
        <f ca="1" t="shared" si="1731"/>
        <v>1</v>
      </c>
      <c r="U1504" s="130">
        <f ca="1" t="shared" si="1731"/>
        <v>1</v>
      </c>
      <c r="V1504" s="130">
        <f ca="1" t="shared" si="1731"/>
        <v>1</v>
      </c>
    </row>
    <row r="1505" s="106" customFormat="1" ht="16.5" spans="2:22">
      <c r="B1505" s="117">
        <v>269</v>
      </c>
      <c r="C1505" s="130">
        <f t="shared" si="1719"/>
        <v>26900</v>
      </c>
      <c r="D1505" s="130">
        <f ca="1" t="shared" ref="D1505:V1505" si="1732">IF($C1505&gt;D$633,1,0)</f>
        <v>1</v>
      </c>
      <c r="E1505" s="130">
        <f ca="1" t="shared" si="1732"/>
        <v>1</v>
      </c>
      <c r="F1505" s="130">
        <f ca="1" t="shared" si="1732"/>
        <v>1</v>
      </c>
      <c r="G1505" s="130">
        <f ca="1" t="shared" si="1732"/>
        <v>1</v>
      </c>
      <c r="H1505" s="130">
        <f ca="1" t="shared" si="1732"/>
        <v>1</v>
      </c>
      <c r="I1505" s="130">
        <f ca="1" t="shared" si="1732"/>
        <v>1</v>
      </c>
      <c r="J1505" s="130">
        <f ca="1" t="shared" si="1732"/>
        <v>1</v>
      </c>
      <c r="K1505" s="130">
        <f ca="1" t="shared" si="1732"/>
        <v>1</v>
      </c>
      <c r="L1505" s="130">
        <f ca="1" t="shared" si="1732"/>
        <v>1</v>
      </c>
      <c r="M1505" s="130">
        <f ca="1" t="shared" si="1732"/>
        <v>1</v>
      </c>
      <c r="N1505" s="130">
        <f ca="1" t="shared" si="1732"/>
        <v>1</v>
      </c>
      <c r="O1505" s="130">
        <f ca="1" t="shared" si="1732"/>
        <v>1</v>
      </c>
      <c r="P1505" s="130">
        <f ca="1" t="shared" si="1732"/>
        <v>1</v>
      </c>
      <c r="Q1505" s="130">
        <f ca="1" t="shared" si="1732"/>
        <v>1</v>
      </c>
      <c r="R1505" s="130">
        <f ca="1" t="shared" si="1732"/>
        <v>1</v>
      </c>
      <c r="S1505" s="130">
        <f ca="1" t="shared" si="1732"/>
        <v>1</v>
      </c>
      <c r="T1505" s="130">
        <f ca="1" t="shared" si="1732"/>
        <v>1</v>
      </c>
      <c r="U1505" s="130">
        <f ca="1" t="shared" si="1732"/>
        <v>1</v>
      </c>
      <c r="V1505" s="130">
        <f ca="1" t="shared" si="1732"/>
        <v>1</v>
      </c>
    </row>
    <row r="1506" s="106" customFormat="1" ht="16.5" spans="2:22">
      <c r="B1506" s="117">
        <v>270</v>
      </c>
      <c r="C1506" s="130">
        <f t="shared" si="1719"/>
        <v>27000</v>
      </c>
      <c r="D1506" s="130">
        <f ca="1" t="shared" ref="D1506:V1506" si="1733">IF($C1506&gt;D$633,1,0)</f>
        <v>1</v>
      </c>
      <c r="E1506" s="130">
        <f ca="1" t="shared" si="1733"/>
        <v>1</v>
      </c>
      <c r="F1506" s="130">
        <f ca="1" t="shared" si="1733"/>
        <v>1</v>
      </c>
      <c r="G1506" s="130">
        <f ca="1" t="shared" si="1733"/>
        <v>1</v>
      </c>
      <c r="H1506" s="130">
        <f ca="1" t="shared" si="1733"/>
        <v>1</v>
      </c>
      <c r="I1506" s="130">
        <f ca="1" t="shared" si="1733"/>
        <v>1</v>
      </c>
      <c r="J1506" s="130">
        <f ca="1" t="shared" si="1733"/>
        <v>1</v>
      </c>
      <c r="K1506" s="130">
        <f ca="1" t="shared" si="1733"/>
        <v>1</v>
      </c>
      <c r="L1506" s="130">
        <f ca="1" t="shared" si="1733"/>
        <v>1</v>
      </c>
      <c r="M1506" s="130">
        <f ca="1" t="shared" si="1733"/>
        <v>1</v>
      </c>
      <c r="N1506" s="130">
        <f ca="1" t="shared" si="1733"/>
        <v>1</v>
      </c>
      <c r="O1506" s="130">
        <f ca="1" t="shared" si="1733"/>
        <v>1</v>
      </c>
      <c r="P1506" s="130">
        <f ca="1" t="shared" si="1733"/>
        <v>1</v>
      </c>
      <c r="Q1506" s="130">
        <f ca="1" t="shared" si="1733"/>
        <v>1</v>
      </c>
      <c r="R1506" s="130">
        <f ca="1" t="shared" si="1733"/>
        <v>1</v>
      </c>
      <c r="S1506" s="130">
        <f ca="1" t="shared" si="1733"/>
        <v>1</v>
      </c>
      <c r="T1506" s="130">
        <f ca="1" t="shared" si="1733"/>
        <v>1</v>
      </c>
      <c r="U1506" s="130">
        <f ca="1" t="shared" si="1733"/>
        <v>1</v>
      </c>
      <c r="V1506" s="130">
        <f ca="1" t="shared" si="1733"/>
        <v>1</v>
      </c>
    </row>
    <row r="1507" s="106" customFormat="1" ht="16.5" spans="2:22">
      <c r="B1507" s="117">
        <v>271</v>
      </c>
      <c r="C1507" s="130">
        <f t="shared" si="1719"/>
        <v>27100</v>
      </c>
      <c r="D1507" s="130">
        <f ca="1" t="shared" ref="D1507:V1507" si="1734">IF($C1507&gt;D$633,1,0)</f>
        <v>1</v>
      </c>
      <c r="E1507" s="130">
        <f ca="1" t="shared" si="1734"/>
        <v>1</v>
      </c>
      <c r="F1507" s="130">
        <f ca="1" t="shared" si="1734"/>
        <v>1</v>
      </c>
      <c r="G1507" s="130">
        <f ca="1" t="shared" si="1734"/>
        <v>1</v>
      </c>
      <c r="H1507" s="130">
        <f ca="1" t="shared" si="1734"/>
        <v>1</v>
      </c>
      <c r="I1507" s="130">
        <f ca="1" t="shared" si="1734"/>
        <v>1</v>
      </c>
      <c r="J1507" s="130">
        <f ca="1" t="shared" si="1734"/>
        <v>1</v>
      </c>
      <c r="K1507" s="130">
        <f ca="1" t="shared" si="1734"/>
        <v>1</v>
      </c>
      <c r="L1507" s="130">
        <f ca="1" t="shared" si="1734"/>
        <v>1</v>
      </c>
      <c r="M1507" s="130">
        <f ca="1" t="shared" si="1734"/>
        <v>1</v>
      </c>
      <c r="N1507" s="130">
        <f ca="1" t="shared" si="1734"/>
        <v>1</v>
      </c>
      <c r="O1507" s="130">
        <f ca="1" t="shared" si="1734"/>
        <v>1</v>
      </c>
      <c r="P1507" s="130">
        <f ca="1" t="shared" si="1734"/>
        <v>1</v>
      </c>
      <c r="Q1507" s="130">
        <f ca="1" t="shared" si="1734"/>
        <v>1</v>
      </c>
      <c r="R1507" s="130">
        <f ca="1" t="shared" si="1734"/>
        <v>1</v>
      </c>
      <c r="S1507" s="130">
        <f ca="1" t="shared" si="1734"/>
        <v>1</v>
      </c>
      <c r="T1507" s="130">
        <f ca="1" t="shared" si="1734"/>
        <v>1</v>
      </c>
      <c r="U1507" s="130">
        <f ca="1" t="shared" si="1734"/>
        <v>1</v>
      </c>
      <c r="V1507" s="130">
        <f ca="1" t="shared" si="1734"/>
        <v>1</v>
      </c>
    </row>
    <row r="1508" s="106" customFormat="1" ht="16.5" spans="2:22">
      <c r="B1508" s="117">
        <v>272</v>
      </c>
      <c r="C1508" s="130">
        <f t="shared" si="1719"/>
        <v>27200</v>
      </c>
      <c r="D1508" s="130">
        <f ca="1" t="shared" ref="D1508:V1508" si="1735">IF($C1508&gt;D$633,1,0)</f>
        <v>1</v>
      </c>
      <c r="E1508" s="130">
        <f ca="1" t="shared" si="1735"/>
        <v>1</v>
      </c>
      <c r="F1508" s="130">
        <f ca="1" t="shared" si="1735"/>
        <v>1</v>
      </c>
      <c r="G1508" s="130">
        <f ca="1" t="shared" si="1735"/>
        <v>1</v>
      </c>
      <c r="H1508" s="130">
        <f ca="1" t="shared" si="1735"/>
        <v>1</v>
      </c>
      <c r="I1508" s="130">
        <f ca="1" t="shared" si="1735"/>
        <v>1</v>
      </c>
      <c r="J1508" s="130">
        <f ca="1" t="shared" si="1735"/>
        <v>1</v>
      </c>
      <c r="K1508" s="130">
        <f ca="1" t="shared" si="1735"/>
        <v>1</v>
      </c>
      <c r="L1508" s="130">
        <f ca="1" t="shared" si="1735"/>
        <v>1</v>
      </c>
      <c r="M1508" s="130">
        <f ca="1" t="shared" si="1735"/>
        <v>1</v>
      </c>
      <c r="N1508" s="130">
        <f ca="1" t="shared" si="1735"/>
        <v>1</v>
      </c>
      <c r="O1508" s="130">
        <f ca="1" t="shared" si="1735"/>
        <v>1</v>
      </c>
      <c r="P1508" s="130">
        <f ca="1" t="shared" si="1735"/>
        <v>1</v>
      </c>
      <c r="Q1508" s="130">
        <f ca="1" t="shared" si="1735"/>
        <v>1</v>
      </c>
      <c r="R1508" s="130">
        <f ca="1" t="shared" si="1735"/>
        <v>1</v>
      </c>
      <c r="S1508" s="130">
        <f ca="1" t="shared" si="1735"/>
        <v>1</v>
      </c>
      <c r="T1508" s="130">
        <f ca="1" t="shared" si="1735"/>
        <v>1</v>
      </c>
      <c r="U1508" s="130">
        <f ca="1" t="shared" si="1735"/>
        <v>1</v>
      </c>
      <c r="V1508" s="130">
        <f ca="1" t="shared" si="1735"/>
        <v>1</v>
      </c>
    </row>
    <row r="1509" s="106" customFormat="1" ht="16.5" spans="2:22">
      <c r="B1509" s="117">
        <v>273</v>
      </c>
      <c r="C1509" s="130">
        <f t="shared" si="1719"/>
        <v>27300</v>
      </c>
      <c r="D1509" s="130">
        <f ca="1" t="shared" ref="D1509:V1509" si="1736">IF($C1509&gt;D$633,1,0)</f>
        <v>1</v>
      </c>
      <c r="E1509" s="130">
        <f ca="1" t="shared" si="1736"/>
        <v>1</v>
      </c>
      <c r="F1509" s="130">
        <f ca="1" t="shared" si="1736"/>
        <v>1</v>
      </c>
      <c r="G1509" s="130">
        <f ca="1" t="shared" si="1736"/>
        <v>1</v>
      </c>
      <c r="H1509" s="130">
        <f ca="1" t="shared" si="1736"/>
        <v>1</v>
      </c>
      <c r="I1509" s="130">
        <f ca="1" t="shared" si="1736"/>
        <v>1</v>
      </c>
      <c r="J1509" s="130">
        <f ca="1" t="shared" si="1736"/>
        <v>1</v>
      </c>
      <c r="K1509" s="130">
        <f ca="1" t="shared" si="1736"/>
        <v>1</v>
      </c>
      <c r="L1509" s="130">
        <f ca="1" t="shared" si="1736"/>
        <v>1</v>
      </c>
      <c r="M1509" s="130">
        <f ca="1" t="shared" si="1736"/>
        <v>1</v>
      </c>
      <c r="N1509" s="130">
        <f ca="1" t="shared" si="1736"/>
        <v>1</v>
      </c>
      <c r="O1509" s="130">
        <f ca="1" t="shared" si="1736"/>
        <v>1</v>
      </c>
      <c r="P1509" s="130">
        <f ca="1" t="shared" si="1736"/>
        <v>1</v>
      </c>
      <c r="Q1509" s="130">
        <f ca="1" t="shared" si="1736"/>
        <v>1</v>
      </c>
      <c r="R1509" s="130">
        <f ca="1" t="shared" si="1736"/>
        <v>1</v>
      </c>
      <c r="S1509" s="130">
        <f ca="1" t="shared" si="1736"/>
        <v>1</v>
      </c>
      <c r="T1509" s="130">
        <f ca="1" t="shared" si="1736"/>
        <v>1</v>
      </c>
      <c r="U1509" s="130">
        <f ca="1" t="shared" si="1736"/>
        <v>1</v>
      </c>
      <c r="V1509" s="130">
        <f ca="1" t="shared" si="1736"/>
        <v>1</v>
      </c>
    </row>
    <row r="1510" s="106" customFormat="1" ht="16.5" spans="2:22">
      <c r="B1510" s="117">
        <v>274</v>
      </c>
      <c r="C1510" s="130">
        <f t="shared" si="1719"/>
        <v>27400</v>
      </c>
      <c r="D1510" s="130">
        <f ca="1" t="shared" ref="D1510:V1510" si="1737">IF($C1510&gt;D$633,1,0)</f>
        <v>1</v>
      </c>
      <c r="E1510" s="130">
        <f ca="1" t="shared" si="1737"/>
        <v>1</v>
      </c>
      <c r="F1510" s="130">
        <f ca="1" t="shared" si="1737"/>
        <v>1</v>
      </c>
      <c r="G1510" s="130">
        <f ca="1" t="shared" si="1737"/>
        <v>1</v>
      </c>
      <c r="H1510" s="130">
        <f ca="1" t="shared" si="1737"/>
        <v>1</v>
      </c>
      <c r="I1510" s="130">
        <f ca="1" t="shared" si="1737"/>
        <v>1</v>
      </c>
      <c r="J1510" s="130">
        <f ca="1" t="shared" si="1737"/>
        <v>1</v>
      </c>
      <c r="K1510" s="130">
        <f ca="1" t="shared" si="1737"/>
        <v>1</v>
      </c>
      <c r="L1510" s="130">
        <f ca="1" t="shared" si="1737"/>
        <v>1</v>
      </c>
      <c r="M1510" s="130">
        <f ca="1" t="shared" si="1737"/>
        <v>1</v>
      </c>
      <c r="N1510" s="130">
        <f ca="1" t="shared" si="1737"/>
        <v>1</v>
      </c>
      <c r="O1510" s="130">
        <f ca="1" t="shared" si="1737"/>
        <v>1</v>
      </c>
      <c r="P1510" s="130">
        <f ca="1" t="shared" si="1737"/>
        <v>1</v>
      </c>
      <c r="Q1510" s="130">
        <f ca="1" t="shared" si="1737"/>
        <v>1</v>
      </c>
      <c r="R1510" s="130">
        <f ca="1" t="shared" si="1737"/>
        <v>1</v>
      </c>
      <c r="S1510" s="130">
        <f ca="1" t="shared" si="1737"/>
        <v>1</v>
      </c>
      <c r="T1510" s="130">
        <f ca="1" t="shared" si="1737"/>
        <v>1</v>
      </c>
      <c r="U1510" s="130">
        <f ca="1" t="shared" si="1737"/>
        <v>1</v>
      </c>
      <c r="V1510" s="130">
        <f ca="1" t="shared" si="1737"/>
        <v>1</v>
      </c>
    </row>
    <row r="1511" s="106" customFormat="1" ht="16.5" spans="2:22">
      <c r="B1511" s="117">
        <v>275</v>
      </c>
      <c r="C1511" s="130">
        <f t="shared" si="1719"/>
        <v>27500</v>
      </c>
      <c r="D1511" s="130">
        <f ca="1" t="shared" ref="D1511:V1511" si="1738">IF($C1511&gt;D$633,1,0)</f>
        <v>1</v>
      </c>
      <c r="E1511" s="130">
        <f ca="1" t="shared" si="1738"/>
        <v>1</v>
      </c>
      <c r="F1511" s="130">
        <f ca="1" t="shared" si="1738"/>
        <v>1</v>
      </c>
      <c r="G1511" s="130">
        <f ca="1" t="shared" si="1738"/>
        <v>1</v>
      </c>
      <c r="H1511" s="130">
        <f ca="1" t="shared" si="1738"/>
        <v>1</v>
      </c>
      <c r="I1511" s="130">
        <f ca="1" t="shared" si="1738"/>
        <v>1</v>
      </c>
      <c r="J1511" s="130">
        <f ca="1" t="shared" si="1738"/>
        <v>1</v>
      </c>
      <c r="K1511" s="130">
        <f ca="1" t="shared" si="1738"/>
        <v>1</v>
      </c>
      <c r="L1511" s="130">
        <f ca="1" t="shared" si="1738"/>
        <v>1</v>
      </c>
      <c r="M1511" s="130">
        <f ca="1" t="shared" si="1738"/>
        <v>1</v>
      </c>
      <c r="N1511" s="130">
        <f ca="1" t="shared" si="1738"/>
        <v>1</v>
      </c>
      <c r="O1511" s="130">
        <f ca="1" t="shared" si="1738"/>
        <v>1</v>
      </c>
      <c r="P1511" s="130">
        <f ca="1" t="shared" si="1738"/>
        <v>1</v>
      </c>
      <c r="Q1511" s="130">
        <f ca="1" t="shared" si="1738"/>
        <v>1</v>
      </c>
      <c r="R1511" s="130">
        <f ca="1" t="shared" si="1738"/>
        <v>1</v>
      </c>
      <c r="S1511" s="130">
        <f ca="1" t="shared" si="1738"/>
        <v>1</v>
      </c>
      <c r="T1511" s="130">
        <f ca="1" t="shared" si="1738"/>
        <v>1</v>
      </c>
      <c r="U1511" s="130">
        <f ca="1" t="shared" si="1738"/>
        <v>1</v>
      </c>
      <c r="V1511" s="130">
        <f ca="1" t="shared" si="1738"/>
        <v>1</v>
      </c>
    </row>
    <row r="1512" s="106" customFormat="1" ht="16.5" spans="2:22">
      <c r="B1512" s="117">
        <v>276</v>
      </c>
      <c r="C1512" s="130">
        <f t="shared" si="1719"/>
        <v>27600</v>
      </c>
      <c r="D1512" s="130">
        <f ca="1" t="shared" ref="D1512:V1512" si="1739">IF($C1512&gt;D$633,1,0)</f>
        <v>1</v>
      </c>
      <c r="E1512" s="130">
        <f ca="1" t="shared" si="1739"/>
        <v>1</v>
      </c>
      <c r="F1512" s="130">
        <f ca="1" t="shared" si="1739"/>
        <v>1</v>
      </c>
      <c r="G1512" s="130">
        <f ca="1" t="shared" si="1739"/>
        <v>1</v>
      </c>
      <c r="H1512" s="130">
        <f ca="1" t="shared" si="1739"/>
        <v>1</v>
      </c>
      <c r="I1512" s="130">
        <f ca="1" t="shared" si="1739"/>
        <v>1</v>
      </c>
      <c r="J1512" s="130">
        <f ca="1" t="shared" si="1739"/>
        <v>1</v>
      </c>
      <c r="K1512" s="130">
        <f ca="1" t="shared" si="1739"/>
        <v>1</v>
      </c>
      <c r="L1512" s="130">
        <f ca="1" t="shared" si="1739"/>
        <v>1</v>
      </c>
      <c r="M1512" s="130">
        <f ca="1" t="shared" si="1739"/>
        <v>1</v>
      </c>
      <c r="N1512" s="130">
        <f ca="1" t="shared" si="1739"/>
        <v>1</v>
      </c>
      <c r="O1512" s="130">
        <f ca="1" t="shared" si="1739"/>
        <v>1</v>
      </c>
      <c r="P1512" s="130">
        <f ca="1" t="shared" si="1739"/>
        <v>1</v>
      </c>
      <c r="Q1512" s="130">
        <f ca="1" t="shared" si="1739"/>
        <v>1</v>
      </c>
      <c r="R1512" s="130">
        <f ca="1" t="shared" si="1739"/>
        <v>1</v>
      </c>
      <c r="S1512" s="130">
        <f ca="1" t="shared" si="1739"/>
        <v>1</v>
      </c>
      <c r="T1512" s="130">
        <f ca="1" t="shared" si="1739"/>
        <v>1</v>
      </c>
      <c r="U1512" s="130">
        <f ca="1" t="shared" si="1739"/>
        <v>1</v>
      </c>
      <c r="V1512" s="130">
        <f ca="1" t="shared" si="1739"/>
        <v>1</v>
      </c>
    </row>
    <row r="1513" s="106" customFormat="1" ht="16.5" spans="2:22">
      <c r="B1513" s="117">
        <v>277</v>
      </c>
      <c r="C1513" s="130">
        <f t="shared" si="1719"/>
        <v>27700</v>
      </c>
      <c r="D1513" s="130">
        <f ca="1" t="shared" ref="D1513:V1513" si="1740">IF($C1513&gt;D$633,1,0)</f>
        <v>1</v>
      </c>
      <c r="E1513" s="130">
        <f ca="1" t="shared" si="1740"/>
        <v>1</v>
      </c>
      <c r="F1513" s="130">
        <f ca="1" t="shared" si="1740"/>
        <v>1</v>
      </c>
      <c r="G1513" s="130">
        <f ca="1" t="shared" si="1740"/>
        <v>1</v>
      </c>
      <c r="H1513" s="130">
        <f ca="1" t="shared" si="1740"/>
        <v>1</v>
      </c>
      <c r="I1513" s="130">
        <f ca="1" t="shared" si="1740"/>
        <v>1</v>
      </c>
      <c r="J1513" s="130">
        <f ca="1" t="shared" si="1740"/>
        <v>1</v>
      </c>
      <c r="K1513" s="130">
        <f ca="1" t="shared" si="1740"/>
        <v>1</v>
      </c>
      <c r="L1513" s="130">
        <f ca="1" t="shared" si="1740"/>
        <v>1</v>
      </c>
      <c r="M1513" s="130">
        <f ca="1" t="shared" si="1740"/>
        <v>1</v>
      </c>
      <c r="N1513" s="130">
        <f ca="1" t="shared" si="1740"/>
        <v>1</v>
      </c>
      <c r="O1513" s="130">
        <f ca="1" t="shared" si="1740"/>
        <v>1</v>
      </c>
      <c r="P1513" s="130">
        <f ca="1" t="shared" si="1740"/>
        <v>1</v>
      </c>
      <c r="Q1513" s="130">
        <f ca="1" t="shared" si="1740"/>
        <v>1</v>
      </c>
      <c r="R1513" s="130">
        <f ca="1" t="shared" si="1740"/>
        <v>1</v>
      </c>
      <c r="S1513" s="130">
        <f ca="1" t="shared" si="1740"/>
        <v>1</v>
      </c>
      <c r="T1513" s="130">
        <f ca="1" t="shared" si="1740"/>
        <v>1</v>
      </c>
      <c r="U1513" s="130">
        <f ca="1" t="shared" si="1740"/>
        <v>1</v>
      </c>
      <c r="V1513" s="130">
        <f ca="1" t="shared" si="1740"/>
        <v>1</v>
      </c>
    </row>
    <row r="1514" s="106" customFormat="1" ht="16.5" spans="2:22">
      <c r="B1514" s="117">
        <v>278</v>
      </c>
      <c r="C1514" s="130">
        <f t="shared" si="1719"/>
        <v>27800</v>
      </c>
      <c r="D1514" s="130">
        <f ca="1" t="shared" ref="D1514:V1514" si="1741">IF($C1514&gt;D$633,1,0)</f>
        <v>1</v>
      </c>
      <c r="E1514" s="130">
        <f ca="1" t="shared" si="1741"/>
        <v>1</v>
      </c>
      <c r="F1514" s="130">
        <f ca="1" t="shared" si="1741"/>
        <v>1</v>
      </c>
      <c r="G1514" s="130">
        <f ca="1" t="shared" si="1741"/>
        <v>1</v>
      </c>
      <c r="H1514" s="130">
        <f ca="1" t="shared" si="1741"/>
        <v>1</v>
      </c>
      <c r="I1514" s="130">
        <f ca="1" t="shared" si="1741"/>
        <v>1</v>
      </c>
      <c r="J1514" s="130">
        <f ca="1" t="shared" si="1741"/>
        <v>1</v>
      </c>
      <c r="K1514" s="130">
        <f ca="1" t="shared" si="1741"/>
        <v>1</v>
      </c>
      <c r="L1514" s="130">
        <f ca="1" t="shared" si="1741"/>
        <v>1</v>
      </c>
      <c r="M1514" s="130">
        <f ca="1" t="shared" si="1741"/>
        <v>1</v>
      </c>
      <c r="N1514" s="130">
        <f ca="1" t="shared" si="1741"/>
        <v>1</v>
      </c>
      <c r="O1514" s="130">
        <f ca="1" t="shared" si="1741"/>
        <v>1</v>
      </c>
      <c r="P1514" s="130">
        <f ca="1" t="shared" si="1741"/>
        <v>1</v>
      </c>
      <c r="Q1514" s="130">
        <f ca="1" t="shared" si="1741"/>
        <v>1</v>
      </c>
      <c r="R1514" s="130">
        <f ca="1" t="shared" si="1741"/>
        <v>1</v>
      </c>
      <c r="S1514" s="130">
        <f ca="1" t="shared" si="1741"/>
        <v>1</v>
      </c>
      <c r="T1514" s="130">
        <f ca="1" t="shared" si="1741"/>
        <v>1</v>
      </c>
      <c r="U1514" s="130">
        <f ca="1" t="shared" si="1741"/>
        <v>1</v>
      </c>
      <c r="V1514" s="130">
        <f ca="1" t="shared" si="1741"/>
        <v>1</v>
      </c>
    </row>
    <row r="1515" s="106" customFormat="1" ht="16.5" spans="2:22">
      <c r="B1515" s="117">
        <v>279</v>
      </c>
      <c r="C1515" s="130">
        <f t="shared" si="1719"/>
        <v>27900</v>
      </c>
      <c r="D1515" s="130">
        <f ca="1" t="shared" ref="D1515:V1515" si="1742">IF($C1515&gt;D$633,1,0)</f>
        <v>1</v>
      </c>
      <c r="E1515" s="130">
        <f ca="1" t="shared" si="1742"/>
        <v>1</v>
      </c>
      <c r="F1515" s="130">
        <f ca="1" t="shared" si="1742"/>
        <v>1</v>
      </c>
      <c r="G1515" s="130">
        <f ca="1" t="shared" si="1742"/>
        <v>1</v>
      </c>
      <c r="H1515" s="130">
        <f ca="1" t="shared" si="1742"/>
        <v>1</v>
      </c>
      <c r="I1515" s="130">
        <f ca="1" t="shared" si="1742"/>
        <v>1</v>
      </c>
      <c r="J1515" s="130">
        <f ca="1" t="shared" si="1742"/>
        <v>1</v>
      </c>
      <c r="K1515" s="130">
        <f ca="1" t="shared" si="1742"/>
        <v>1</v>
      </c>
      <c r="L1515" s="130">
        <f ca="1" t="shared" si="1742"/>
        <v>1</v>
      </c>
      <c r="M1515" s="130">
        <f ca="1" t="shared" si="1742"/>
        <v>1</v>
      </c>
      <c r="N1515" s="130">
        <f ca="1" t="shared" si="1742"/>
        <v>1</v>
      </c>
      <c r="O1515" s="130">
        <f ca="1" t="shared" si="1742"/>
        <v>1</v>
      </c>
      <c r="P1515" s="130">
        <f ca="1" t="shared" si="1742"/>
        <v>1</v>
      </c>
      <c r="Q1515" s="130">
        <f ca="1" t="shared" si="1742"/>
        <v>1</v>
      </c>
      <c r="R1515" s="130">
        <f ca="1" t="shared" si="1742"/>
        <v>1</v>
      </c>
      <c r="S1515" s="130">
        <f ca="1" t="shared" si="1742"/>
        <v>1</v>
      </c>
      <c r="T1515" s="130">
        <f ca="1" t="shared" si="1742"/>
        <v>1</v>
      </c>
      <c r="U1515" s="130">
        <f ca="1" t="shared" si="1742"/>
        <v>1</v>
      </c>
      <c r="V1515" s="130">
        <f ca="1" t="shared" si="1742"/>
        <v>1</v>
      </c>
    </row>
    <row r="1516" s="106" customFormat="1" ht="16.5" spans="2:22">
      <c r="B1516" s="117">
        <v>280</v>
      </c>
      <c r="C1516" s="130">
        <f t="shared" si="1719"/>
        <v>28000</v>
      </c>
      <c r="D1516" s="130">
        <f ca="1" t="shared" ref="D1516:V1516" si="1743">IF($C1516&gt;D$633,1,0)</f>
        <v>1</v>
      </c>
      <c r="E1516" s="130">
        <f ca="1" t="shared" si="1743"/>
        <v>1</v>
      </c>
      <c r="F1516" s="130">
        <f ca="1" t="shared" si="1743"/>
        <v>1</v>
      </c>
      <c r="G1516" s="130">
        <f ca="1" t="shared" si="1743"/>
        <v>1</v>
      </c>
      <c r="H1516" s="130">
        <f ca="1" t="shared" si="1743"/>
        <v>1</v>
      </c>
      <c r="I1516" s="130">
        <f ca="1" t="shared" si="1743"/>
        <v>1</v>
      </c>
      <c r="J1516" s="130">
        <f ca="1" t="shared" si="1743"/>
        <v>1</v>
      </c>
      <c r="K1516" s="130">
        <f ca="1" t="shared" si="1743"/>
        <v>1</v>
      </c>
      <c r="L1516" s="130">
        <f ca="1" t="shared" si="1743"/>
        <v>1</v>
      </c>
      <c r="M1516" s="130">
        <f ca="1" t="shared" si="1743"/>
        <v>1</v>
      </c>
      <c r="N1516" s="130">
        <f ca="1" t="shared" si="1743"/>
        <v>1</v>
      </c>
      <c r="O1516" s="130">
        <f ca="1" t="shared" si="1743"/>
        <v>1</v>
      </c>
      <c r="P1516" s="130">
        <f ca="1" t="shared" si="1743"/>
        <v>1</v>
      </c>
      <c r="Q1516" s="130">
        <f ca="1" t="shared" si="1743"/>
        <v>1</v>
      </c>
      <c r="R1516" s="130">
        <f ca="1" t="shared" si="1743"/>
        <v>1</v>
      </c>
      <c r="S1516" s="130">
        <f ca="1" t="shared" si="1743"/>
        <v>1</v>
      </c>
      <c r="T1516" s="130">
        <f ca="1" t="shared" si="1743"/>
        <v>1</v>
      </c>
      <c r="U1516" s="130">
        <f ca="1" t="shared" si="1743"/>
        <v>1</v>
      </c>
      <c r="V1516" s="130">
        <f ca="1" t="shared" si="1743"/>
        <v>1</v>
      </c>
    </row>
    <row r="1517" s="106" customFormat="1" ht="16.5" spans="2:22">
      <c r="B1517" s="117">
        <v>281</v>
      </c>
      <c r="C1517" s="130">
        <f t="shared" si="1719"/>
        <v>28100</v>
      </c>
      <c r="D1517" s="130">
        <f ca="1" t="shared" ref="D1517:V1517" si="1744">IF($C1517&gt;D$633,1,0)</f>
        <v>1</v>
      </c>
      <c r="E1517" s="130">
        <f ca="1" t="shared" si="1744"/>
        <v>1</v>
      </c>
      <c r="F1517" s="130">
        <f ca="1" t="shared" si="1744"/>
        <v>1</v>
      </c>
      <c r="G1517" s="130">
        <f ca="1" t="shared" si="1744"/>
        <v>1</v>
      </c>
      <c r="H1517" s="130">
        <f ca="1" t="shared" si="1744"/>
        <v>1</v>
      </c>
      <c r="I1517" s="130">
        <f ca="1" t="shared" si="1744"/>
        <v>1</v>
      </c>
      <c r="J1517" s="130">
        <f ca="1" t="shared" si="1744"/>
        <v>1</v>
      </c>
      <c r="K1517" s="130">
        <f ca="1" t="shared" si="1744"/>
        <v>1</v>
      </c>
      <c r="L1517" s="130">
        <f ca="1" t="shared" si="1744"/>
        <v>1</v>
      </c>
      <c r="M1517" s="130">
        <f ca="1" t="shared" si="1744"/>
        <v>1</v>
      </c>
      <c r="N1517" s="130">
        <f ca="1" t="shared" si="1744"/>
        <v>1</v>
      </c>
      <c r="O1517" s="130">
        <f ca="1" t="shared" si="1744"/>
        <v>1</v>
      </c>
      <c r="P1517" s="130">
        <f ca="1" t="shared" si="1744"/>
        <v>1</v>
      </c>
      <c r="Q1517" s="130">
        <f ca="1" t="shared" si="1744"/>
        <v>1</v>
      </c>
      <c r="R1517" s="130">
        <f ca="1" t="shared" si="1744"/>
        <v>1</v>
      </c>
      <c r="S1517" s="130">
        <f ca="1" t="shared" si="1744"/>
        <v>1</v>
      </c>
      <c r="T1517" s="130">
        <f ca="1" t="shared" si="1744"/>
        <v>1</v>
      </c>
      <c r="U1517" s="130">
        <f ca="1" t="shared" si="1744"/>
        <v>1</v>
      </c>
      <c r="V1517" s="130">
        <f ca="1" t="shared" si="1744"/>
        <v>1</v>
      </c>
    </row>
    <row r="1518" s="106" customFormat="1" ht="16.5" spans="2:22">
      <c r="B1518" s="117">
        <v>282</v>
      </c>
      <c r="C1518" s="130">
        <f t="shared" si="1719"/>
        <v>28200</v>
      </c>
      <c r="D1518" s="130">
        <f ca="1" t="shared" ref="D1518:V1518" si="1745">IF($C1518&gt;D$633,1,0)</f>
        <v>1</v>
      </c>
      <c r="E1518" s="130">
        <f ca="1" t="shared" si="1745"/>
        <v>1</v>
      </c>
      <c r="F1518" s="130">
        <f ca="1" t="shared" si="1745"/>
        <v>1</v>
      </c>
      <c r="G1518" s="130">
        <f ca="1" t="shared" si="1745"/>
        <v>1</v>
      </c>
      <c r="H1518" s="130">
        <f ca="1" t="shared" si="1745"/>
        <v>1</v>
      </c>
      <c r="I1518" s="130">
        <f ca="1" t="shared" si="1745"/>
        <v>1</v>
      </c>
      <c r="J1518" s="130">
        <f ca="1" t="shared" si="1745"/>
        <v>1</v>
      </c>
      <c r="K1518" s="130">
        <f ca="1" t="shared" si="1745"/>
        <v>1</v>
      </c>
      <c r="L1518" s="130">
        <f ca="1" t="shared" si="1745"/>
        <v>1</v>
      </c>
      <c r="M1518" s="130">
        <f ca="1" t="shared" si="1745"/>
        <v>1</v>
      </c>
      <c r="N1518" s="130">
        <f ca="1" t="shared" si="1745"/>
        <v>1</v>
      </c>
      <c r="O1518" s="130">
        <f ca="1" t="shared" si="1745"/>
        <v>1</v>
      </c>
      <c r="P1518" s="130">
        <f ca="1" t="shared" si="1745"/>
        <v>1</v>
      </c>
      <c r="Q1518" s="130">
        <f ca="1" t="shared" si="1745"/>
        <v>1</v>
      </c>
      <c r="R1518" s="130">
        <f ca="1" t="shared" si="1745"/>
        <v>1</v>
      </c>
      <c r="S1518" s="130">
        <f ca="1" t="shared" si="1745"/>
        <v>1</v>
      </c>
      <c r="T1518" s="130">
        <f ca="1" t="shared" si="1745"/>
        <v>1</v>
      </c>
      <c r="U1518" s="130">
        <f ca="1" t="shared" si="1745"/>
        <v>1</v>
      </c>
      <c r="V1518" s="130">
        <f ca="1" t="shared" si="1745"/>
        <v>1</v>
      </c>
    </row>
    <row r="1519" s="106" customFormat="1" ht="16.5" spans="2:22">
      <c r="B1519" s="117">
        <v>283</v>
      </c>
      <c r="C1519" s="130">
        <f t="shared" si="1719"/>
        <v>28300</v>
      </c>
      <c r="D1519" s="130">
        <f ca="1" t="shared" ref="D1519:V1519" si="1746">IF($C1519&gt;D$633,1,0)</f>
        <v>1</v>
      </c>
      <c r="E1519" s="130">
        <f ca="1" t="shared" si="1746"/>
        <v>1</v>
      </c>
      <c r="F1519" s="130">
        <f ca="1" t="shared" si="1746"/>
        <v>1</v>
      </c>
      <c r="G1519" s="130">
        <f ca="1" t="shared" si="1746"/>
        <v>1</v>
      </c>
      <c r="H1519" s="130">
        <f ca="1" t="shared" si="1746"/>
        <v>1</v>
      </c>
      <c r="I1519" s="130">
        <f ca="1" t="shared" si="1746"/>
        <v>1</v>
      </c>
      <c r="J1519" s="130">
        <f ca="1" t="shared" si="1746"/>
        <v>1</v>
      </c>
      <c r="K1519" s="130">
        <f ca="1" t="shared" si="1746"/>
        <v>1</v>
      </c>
      <c r="L1519" s="130">
        <f ca="1" t="shared" si="1746"/>
        <v>1</v>
      </c>
      <c r="M1519" s="130">
        <f ca="1" t="shared" si="1746"/>
        <v>1</v>
      </c>
      <c r="N1519" s="130">
        <f ca="1" t="shared" si="1746"/>
        <v>1</v>
      </c>
      <c r="O1519" s="130">
        <f ca="1" t="shared" si="1746"/>
        <v>1</v>
      </c>
      <c r="P1519" s="130">
        <f ca="1" t="shared" si="1746"/>
        <v>1</v>
      </c>
      <c r="Q1519" s="130">
        <f ca="1" t="shared" si="1746"/>
        <v>1</v>
      </c>
      <c r="R1519" s="130">
        <f ca="1" t="shared" si="1746"/>
        <v>1</v>
      </c>
      <c r="S1519" s="130">
        <f ca="1" t="shared" si="1746"/>
        <v>1</v>
      </c>
      <c r="T1519" s="130">
        <f ca="1" t="shared" si="1746"/>
        <v>1</v>
      </c>
      <c r="U1519" s="130">
        <f ca="1" t="shared" si="1746"/>
        <v>1</v>
      </c>
      <c r="V1519" s="130">
        <f ca="1" t="shared" si="1746"/>
        <v>1</v>
      </c>
    </row>
    <row r="1520" s="106" customFormat="1" ht="16.5" spans="2:22">
      <c r="B1520" s="117">
        <v>284</v>
      </c>
      <c r="C1520" s="130">
        <f t="shared" si="1719"/>
        <v>28400</v>
      </c>
      <c r="D1520" s="130">
        <f ca="1" t="shared" ref="D1520:V1520" si="1747">IF($C1520&gt;D$633,1,0)</f>
        <v>1</v>
      </c>
      <c r="E1520" s="130">
        <f ca="1" t="shared" si="1747"/>
        <v>1</v>
      </c>
      <c r="F1520" s="130">
        <f ca="1" t="shared" si="1747"/>
        <v>1</v>
      </c>
      <c r="G1520" s="130">
        <f ca="1" t="shared" si="1747"/>
        <v>1</v>
      </c>
      <c r="H1520" s="130">
        <f ca="1" t="shared" si="1747"/>
        <v>1</v>
      </c>
      <c r="I1520" s="130">
        <f ca="1" t="shared" si="1747"/>
        <v>1</v>
      </c>
      <c r="J1520" s="130">
        <f ca="1" t="shared" si="1747"/>
        <v>1</v>
      </c>
      <c r="K1520" s="130">
        <f ca="1" t="shared" si="1747"/>
        <v>1</v>
      </c>
      <c r="L1520" s="130">
        <f ca="1" t="shared" si="1747"/>
        <v>1</v>
      </c>
      <c r="M1520" s="130">
        <f ca="1" t="shared" si="1747"/>
        <v>1</v>
      </c>
      <c r="N1520" s="130">
        <f ca="1" t="shared" si="1747"/>
        <v>1</v>
      </c>
      <c r="O1520" s="130">
        <f ca="1" t="shared" si="1747"/>
        <v>1</v>
      </c>
      <c r="P1520" s="130">
        <f ca="1" t="shared" si="1747"/>
        <v>1</v>
      </c>
      <c r="Q1520" s="130">
        <f ca="1" t="shared" si="1747"/>
        <v>1</v>
      </c>
      <c r="R1520" s="130">
        <f ca="1" t="shared" si="1747"/>
        <v>1</v>
      </c>
      <c r="S1520" s="130">
        <f ca="1" t="shared" si="1747"/>
        <v>1</v>
      </c>
      <c r="T1520" s="130">
        <f ca="1" t="shared" si="1747"/>
        <v>1</v>
      </c>
      <c r="U1520" s="130">
        <f ca="1" t="shared" si="1747"/>
        <v>1</v>
      </c>
      <c r="V1520" s="130">
        <f ca="1" t="shared" si="1747"/>
        <v>1</v>
      </c>
    </row>
    <row r="1521" s="106" customFormat="1" ht="16.5" spans="2:22">
      <c r="B1521" s="117">
        <v>285</v>
      </c>
      <c r="C1521" s="130">
        <f t="shared" si="1719"/>
        <v>28500</v>
      </c>
      <c r="D1521" s="130">
        <f ca="1" t="shared" ref="D1521:V1521" si="1748">IF($C1521&gt;D$633,1,0)</f>
        <v>1</v>
      </c>
      <c r="E1521" s="130">
        <f ca="1" t="shared" si="1748"/>
        <v>1</v>
      </c>
      <c r="F1521" s="130">
        <f ca="1" t="shared" si="1748"/>
        <v>1</v>
      </c>
      <c r="G1521" s="130">
        <f ca="1" t="shared" si="1748"/>
        <v>1</v>
      </c>
      <c r="H1521" s="130">
        <f ca="1" t="shared" si="1748"/>
        <v>1</v>
      </c>
      <c r="I1521" s="130">
        <f ca="1" t="shared" si="1748"/>
        <v>1</v>
      </c>
      <c r="J1521" s="130">
        <f ca="1" t="shared" si="1748"/>
        <v>1</v>
      </c>
      <c r="K1521" s="130">
        <f ca="1" t="shared" si="1748"/>
        <v>1</v>
      </c>
      <c r="L1521" s="130">
        <f ca="1" t="shared" si="1748"/>
        <v>1</v>
      </c>
      <c r="M1521" s="130">
        <f ca="1" t="shared" si="1748"/>
        <v>1</v>
      </c>
      <c r="N1521" s="130">
        <f ca="1" t="shared" si="1748"/>
        <v>1</v>
      </c>
      <c r="O1521" s="130">
        <f ca="1" t="shared" si="1748"/>
        <v>1</v>
      </c>
      <c r="P1521" s="130">
        <f ca="1" t="shared" si="1748"/>
        <v>1</v>
      </c>
      <c r="Q1521" s="130">
        <f ca="1" t="shared" si="1748"/>
        <v>1</v>
      </c>
      <c r="R1521" s="130">
        <f ca="1" t="shared" si="1748"/>
        <v>1</v>
      </c>
      <c r="S1521" s="130">
        <f ca="1" t="shared" si="1748"/>
        <v>1</v>
      </c>
      <c r="T1521" s="130">
        <f ca="1" t="shared" si="1748"/>
        <v>1</v>
      </c>
      <c r="U1521" s="130">
        <f ca="1" t="shared" si="1748"/>
        <v>1</v>
      </c>
      <c r="V1521" s="130">
        <f ca="1" t="shared" si="1748"/>
        <v>1</v>
      </c>
    </row>
    <row r="1522" s="106" customFormat="1" ht="16.5" spans="2:22">
      <c r="B1522" s="117">
        <v>286</v>
      </c>
      <c r="C1522" s="130">
        <f t="shared" si="1719"/>
        <v>28600</v>
      </c>
      <c r="D1522" s="130">
        <f ca="1" t="shared" ref="D1522:V1522" si="1749">IF($C1522&gt;D$633,1,0)</f>
        <v>1</v>
      </c>
      <c r="E1522" s="130">
        <f ca="1" t="shared" si="1749"/>
        <v>1</v>
      </c>
      <c r="F1522" s="130">
        <f ca="1" t="shared" si="1749"/>
        <v>1</v>
      </c>
      <c r="G1522" s="130">
        <f ca="1" t="shared" si="1749"/>
        <v>1</v>
      </c>
      <c r="H1522" s="130">
        <f ca="1" t="shared" si="1749"/>
        <v>1</v>
      </c>
      <c r="I1522" s="130">
        <f ca="1" t="shared" si="1749"/>
        <v>1</v>
      </c>
      <c r="J1522" s="130">
        <f ca="1" t="shared" si="1749"/>
        <v>1</v>
      </c>
      <c r="K1522" s="130">
        <f ca="1" t="shared" si="1749"/>
        <v>1</v>
      </c>
      <c r="L1522" s="130">
        <f ca="1" t="shared" si="1749"/>
        <v>1</v>
      </c>
      <c r="M1522" s="130">
        <f ca="1" t="shared" si="1749"/>
        <v>1</v>
      </c>
      <c r="N1522" s="130">
        <f ca="1" t="shared" si="1749"/>
        <v>1</v>
      </c>
      <c r="O1522" s="130">
        <f ca="1" t="shared" si="1749"/>
        <v>1</v>
      </c>
      <c r="P1522" s="130">
        <f ca="1" t="shared" si="1749"/>
        <v>1</v>
      </c>
      <c r="Q1522" s="130">
        <f ca="1" t="shared" si="1749"/>
        <v>1</v>
      </c>
      <c r="R1522" s="130">
        <f ca="1" t="shared" si="1749"/>
        <v>1</v>
      </c>
      <c r="S1522" s="130">
        <f ca="1" t="shared" si="1749"/>
        <v>1</v>
      </c>
      <c r="T1522" s="130">
        <f ca="1" t="shared" si="1749"/>
        <v>1</v>
      </c>
      <c r="U1522" s="130">
        <f ca="1" t="shared" si="1749"/>
        <v>1</v>
      </c>
      <c r="V1522" s="130">
        <f ca="1" t="shared" si="1749"/>
        <v>1</v>
      </c>
    </row>
    <row r="1523" s="106" customFormat="1" ht="16.5" spans="2:22">
      <c r="B1523" s="117">
        <v>287</v>
      </c>
      <c r="C1523" s="130">
        <f t="shared" si="1719"/>
        <v>28700</v>
      </c>
      <c r="D1523" s="130">
        <f ca="1" t="shared" ref="D1523:V1523" si="1750">IF($C1523&gt;D$633,1,0)</f>
        <v>1</v>
      </c>
      <c r="E1523" s="130">
        <f ca="1" t="shared" si="1750"/>
        <v>1</v>
      </c>
      <c r="F1523" s="130">
        <f ca="1" t="shared" si="1750"/>
        <v>1</v>
      </c>
      <c r="G1523" s="130">
        <f ca="1" t="shared" si="1750"/>
        <v>1</v>
      </c>
      <c r="H1523" s="130">
        <f ca="1" t="shared" si="1750"/>
        <v>1</v>
      </c>
      <c r="I1523" s="130">
        <f ca="1" t="shared" si="1750"/>
        <v>1</v>
      </c>
      <c r="J1523" s="130">
        <f ca="1" t="shared" si="1750"/>
        <v>1</v>
      </c>
      <c r="K1523" s="130">
        <f ca="1" t="shared" si="1750"/>
        <v>1</v>
      </c>
      <c r="L1523" s="130">
        <f ca="1" t="shared" si="1750"/>
        <v>1</v>
      </c>
      <c r="M1523" s="130">
        <f ca="1" t="shared" si="1750"/>
        <v>1</v>
      </c>
      <c r="N1523" s="130">
        <f ca="1" t="shared" si="1750"/>
        <v>1</v>
      </c>
      <c r="O1523" s="130">
        <f ca="1" t="shared" si="1750"/>
        <v>1</v>
      </c>
      <c r="P1523" s="130">
        <f ca="1" t="shared" si="1750"/>
        <v>1</v>
      </c>
      <c r="Q1523" s="130">
        <f ca="1" t="shared" si="1750"/>
        <v>1</v>
      </c>
      <c r="R1523" s="130">
        <f ca="1" t="shared" si="1750"/>
        <v>1</v>
      </c>
      <c r="S1523" s="130">
        <f ca="1" t="shared" si="1750"/>
        <v>1</v>
      </c>
      <c r="T1523" s="130">
        <f ca="1" t="shared" si="1750"/>
        <v>1</v>
      </c>
      <c r="U1523" s="130">
        <f ca="1" t="shared" si="1750"/>
        <v>1</v>
      </c>
      <c r="V1523" s="130">
        <f ca="1" t="shared" si="1750"/>
        <v>1</v>
      </c>
    </row>
    <row r="1524" s="106" customFormat="1" ht="16.5" spans="2:22">
      <c r="B1524" s="117">
        <v>288</v>
      </c>
      <c r="C1524" s="130">
        <f t="shared" si="1719"/>
        <v>28800</v>
      </c>
      <c r="D1524" s="130">
        <f ca="1" t="shared" ref="D1524:V1524" si="1751">IF($C1524&gt;D$633,1,0)</f>
        <v>1</v>
      </c>
      <c r="E1524" s="130">
        <f ca="1" t="shared" si="1751"/>
        <v>1</v>
      </c>
      <c r="F1524" s="130">
        <f ca="1" t="shared" si="1751"/>
        <v>1</v>
      </c>
      <c r="G1524" s="130">
        <f ca="1" t="shared" si="1751"/>
        <v>1</v>
      </c>
      <c r="H1524" s="130">
        <f ca="1" t="shared" si="1751"/>
        <v>1</v>
      </c>
      <c r="I1524" s="130">
        <f ca="1" t="shared" si="1751"/>
        <v>1</v>
      </c>
      <c r="J1524" s="130">
        <f ca="1" t="shared" si="1751"/>
        <v>1</v>
      </c>
      <c r="K1524" s="130">
        <f ca="1" t="shared" si="1751"/>
        <v>1</v>
      </c>
      <c r="L1524" s="130">
        <f ca="1" t="shared" si="1751"/>
        <v>1</v>
      </c>
      <c r="M1524" s="130">
        <f ca="1" t="shared" si="1751"/>
        <v>1</v>
      </c>
      <c r="N1524" s="130">
        <f ca="1" t="shared" si="1751"/>
        <v>1</v>
      </c>
      <c r="O1524" s="130">
        <f ca="1" t="shared" si="1751"/>
        <v>1</v>
      </c>
      <c r="P1524" s="130">
        <f ca="1" t="shared" si="1751"/>
        <v>1</v>
      </c>
      <c r="Q1524" s="130">
        <f ca="1" t="shared" si="1751"/>
        <v>1</v>
      </c>
      <c r="R1524" s="130">
        <f ca="1" t="shared" si="1751"/>
        <v>1</v>
      </c>
      <c r="S1524" s="130">
        <f ca="1" t="shared" si="1751"/>
        <v>1</v>
      </c>
      <c r="T1524" s="130">
        <f ca="1" t="shared" si="1751"/>
        <v>1</v>
      </c>
      <c r="U1524" s="130">
        <f ca="1" t="shared" si="1751"/>
        <v>1</v>
      </c>
      <c r="V1524" s="130">
        <f ca="1" t="shared" si="1751"/>
        <v>1</v>
      </c>
    </row>
    <row r="1525" s="106" customFormat="1" ht="16.5" spans="2:22">
      <c r="B1525" s="117">
        <v>289</v>
      </c>
      <c r="C1525" s="130">
        <f t="shared" si="1719"/>
        <v>28900</v>
      </c>
      <c r="D1525" s="130">
        <f ca="1" t="shared" ref="D1525:V1525" si="1752">IF($C1525&gt;D$633,1,0)</f>
        <v>1</v>
      </c>
      <c r="E1525" s="130">
        <f ca="1" t="shared" si="1752"/>
        <v>1</v>
      </c>
      <c r="F1525" s="130">
        <f ca="1" t="shared" si="1752"/>
        <v>1</v>
      </c>
      <c r="G1525" s="130">
        <f ca="1" t="shared" si="1752"/>
        <v>1</v>
      </c>
      <c r="H1525" s="130">
        <f ca="1" t="shared" si="1752"/>
        <v>1</v>
      </c>
      <c r="I1525" s="130">
        <f ca="1" t="shared" si="1752"/>
        <v>1</v>
      </c>
      <c r="J1525" s="130">
        <f ca="1" t="shared" si="1752"/>
        <v>1</v>
      </c>
      <c r="K1525" s="130">
        <f ca="1" t="shared" si="1752"/>
        <v>1</v>
      </c>
      <c r="L1525" s="130">
        <f ca="1" t="shared" si="1752"/>
        <v>1</v>
      </c>
      <c r="M1525" s="130">
        <f ca="1" t="shared" si="1752"/>
        <v>1</v>
      </c>
      <c r="N1525" s="130">
        <f ca="1" t="shared" si="1752"/>
        <v>1</v>
      </c>
      <c r="O1525" s="130">
        <f ca="1" t="shared" si="1752"/>
        <v>1</v>
      </c>
      <c r="P1525" s="130">
        <f ca="1" t="shared" si="1752"/>
        <v>1</v>
      </c>
      <c r="Q1525" s="130">
        <f ca="1" t="shared" si="1752"/>
        <v>1</v>
      </c>
      <c r="R1525" s="130">
        <f ca="1" t="shared" si="1752"/>
        <v>1</v>
      </c>
      <c r="S1525" s="130">
        <f ca="1" t="shared" si="1752"/>
        <v>1</v>
      </c>
      <c r="T1525" s="130">
        <f ca="1" t="shared" si="1752"/>
        <v>1</v>
      </c>
      <c r="U1525" s="130">
        <f ca="1" t="shared" si="1752"/>
        <v>1</v>
      </c>
      <c r="V1525" s="130">
        <f ca="1" t="shared" si="1752"/>
        <v>1</v>
      </c>
    </row>
    <row r="1526" s="106" customFormat="1" ht="16.5" spans="2:22">
      <c r="B1526" s="117">
        <v>290</v>
      </c>
      <c r="C1526" s="130">
        <f t="shared" si="1719"/>
        <v>29000</v>
      </c>
      <c r="D1526" s="130">
        <f ca="1" t="shared" ref="D1526:V1526" si="1753">IF($C1526&gt;D$633,1,0)</f>
        <v>1</v>
      </c>
      <c r="E1526" s="130">
        <f ca="1" t="shared" si="1753"/>
        <v>1</v>
      </c>
      <c r="F1526" s="130">
        <f ca="1" t="shared" si="1753"/>
        <v>1</v>
      </c>
      <c r="G1526" s="130">
        <f ca="1" t="shared" si="1753"/>
        <v>1</v>
      </c>
      <c r="H1526" s="130">
        <f ca="1" t="shared" si="1753"/>
        <v>1</v>
      </c>
      <c r="I1526" s="130">
        <f ca="1" t="shared" si="1753"/>
        <v>1</v>
      </c>
      <c r="J1526" s="130">
        <f ca="1" t="shared" si="1753"/>
        <v>1</v>
      </c>
      <c r="K1526" s="130">
        <f ca="1" t="shared" si="1753"/>
        <v>1</v>
      </c>
      <c r="L1526" s="130">
        <f ca="1" t="shared" si="1753"/>
        <v>1</v>
      </c>
      <c r="M1526" s="130">
        <f ca="1" t="shared" si="1753"/>
        <v>1</v>
      </c>
      <c r="N1526" s="130">
        <f ca="1" t="shared" si="1753"/>
        <v>1</v>
      </c>
      <c r="O1526" s="130">
        <f ca="1" t="shared" si="1753"/>
        <v>1</v>
      </c>
      <c r="P1526" s="130">
        <f ca="1" t="shared" si="1753"/>
        <v>1</v>
      </c>
      <c r="Q1526" s="130">
        <f ca="1" t="shared" si="1753"/>
        <v>1</v>
      </c>
      <c r="R1526" s="130">
        <f ca="1" t="shared" si="1753"/>
        <v>1</v>
      </c>
      <c r="S1526" s="130">
        <f ca="1" t="shared" si="1753"/>
        <v>1</v>
      </c>
      <c r="T1526" s="130">
        <f ca="1" t="shared" si="1753"/>
        <v>1</v>
      </c>
      <c r="U1526" s="130">
        <f ca="1" t="shared" si="1753"/>
        <v>1</v>
      </c>
      <c r="V1526" s="130">
        <f ca="1" t="shared" si="1753"/>
        <v>1</v>
      </c>
    </row>
    <row r="1527" s="106" customFormat="1" ht="16.5" spans="2:22">
      <c r="B1527" s="117">
        <v>291</v>
      </c>
      <c r="C1527" s="130">
        <f t="shared" si="1719"/>
        <v>29100</v>
      </c>
      <c r="D1527" s="130">
        <f ca="1" t="shared" ref="D1527:V1527" si="1754">IF($C1527&gt;D$633,1,0)</f>
        <v>1</v>
      </c>
      <c r="E1527" s="130">
        <f ca="1" t="shared" si="1754"/>
        <v>1</v>
      </c>
      <c r="F1527" s="130">
        <f ca="1" t="shared" si="1754"/>
        <v>1</v>
      </c>
      <c r="G1527" s="130">
        <f ca="1" t="shared" si="1754"/>
        <v>1</v>
      </c>
      <c r="H1527" s="130">
        <f ca="1" t="shared" si="1754"/>
        <v>1</v>
      </c>
      <c r="I1527" s="130">
        <f ca="1" t="shared" si="1754"/>
        <v>1</v>
      </c>
      <c r="J1527" s="130">
        <f ca="1" t="shared" si="1754"/>
        <v>1</v>
      </c>
      <c r="K1527" s="130">
        <f ca="1" t="shared" si="1754"/>
        <v>1</v>
      </c>
      <c r="L1527" s="130">
        <f ca="1" t="shared" si="1754"/>
        <v>1</v>
      </c>
      <c r="M1527" s="130">
        <f ca="1" t="shared" si="1754"/>
        <v>1</v>
      </c>
      <c r="N1527" s="130">
        <f ca="1" t="shared" si="1754"/>
        <v>1</v>
      </c>
      <c r="O1527" s="130">
        <f ca="1" t="shared" si="1754"/>
        <v>1</v>
      </c>
      <c r="P1527" s="130">
        <f ca="1" t="shared" si="1754"/>
        <v>1</v>
      </c>
      <c r="Q1527" s="130">
        <f ca="1" t="shared" si="1754"/>
        <v>1</v>
      </c>
      <c r="R1527" s="130">
        <f ca="1" t="shared" si="1754"/>
        <v>1</v>
      </c>
      <c r="S1527" s="130">
        <f ca="1" t="shared" si="1754"/>
        <v>1</v>
      </c>
      <c r="T1527" s="130">
        <f ca="1" t="shared" si="1754"/>
        <v>1</v>
      </c>
      <c r="U1527" s="130">
        <f ca="1" t="shared" si="1754"/>
        <v>1</v>
      </c>
      <c r="V1527" s="130">
        <f ca="1" t="shared" si="1754"/>
        <v>1</v>
      </c>
    </row>
    <row r="1528" s="106" customFormat="1" ht="16.5" spans="2:22">
      <c r="B1528" s="117">
        <v>292</v>
      </c>
      <c r="C1528" s="130">
        <f t="shared" si="1719"/>
        <v>29200</v>
      </c>
      <c r="D1528" s="130">
        <f ca="1" t="shared" ref="D1528:V1528" si="1755">IF($C1528&gt;D$633,1,0)</f>
        <v>1</v>
      </c>
      <c r="E1528" s="130">
        <f ca="1" t="shared" si="1755"/>
        <v>1</v>
      </c>
      <c r="F1528" s="130">
        <f ca="1" t="shared" si="1755"/>
        <v>1</v>
      </c>
      <c r="G1528" s="130">
        <f ca="1" t="shared" si="1755"/>
        <v>1</v>
      </c>
      <c r="H1528" s="130">
        <f ca="1" t="shared" si="1755"/>
        <v>1</v>
      </c>
      <c r="I1528" s="130">
        <f ca="1" t="shared" si="1755"/>
        <v>1</v>
      </c>
      <c r="J1528" s="130">
        <f ca="1" t="shared" si="1755"/>
        <v>1</v>
      </c>
      <c r="K1528" s="130">
        <f ca="1" t="shared" si="1755"/>
        <v>1</v>
      </c>
      <c r="L1528" s="130">
        <f ca="1" t="shared" si="1755"/>
        <v>1</v>
      </c>
      <c r="M1528" s="130">
        <f ca="1" t="shared" si="1755"/>
        <v>1</v>
      </c>
      <c r="N1528" s="130">
        <f ca="1" t="shared" si="1755"/>
        <v>1</v>
      </c>
      <c r="O1528" s="130">
        <f ca="1" t="shared" si="1755"/>
        <v>1</v>
      </c>
      <c r="P1528" s="130">
        <f ca="1" t="shared" si="1755"/>
        <v>1</v>
      </c>
      <c r="Q1528" s="130">
        <f ca="1" t="shared" si="1755"/>
        <v>1</v>
      </c>
      <c r="R1528" s="130">
        <f ca="1" t="shared" si="1755"/>
        <v>1</v>
      </c>
      <c r="S1528" s="130">
        <f ca="1" t="shared" si="1755"/>
        <v>1</v>
      </c>
      <c r="T1528" s="130">
        <f ca="1" t="shared" si="1755"/>
        <v>1</v>
      </c>
      <c r="U1528" s="130">
        <f ca="1" t="shared" si="1755"/>
        <v>1</v>
      </c>
      <c r="V1528" s="130">
        <f ca="1" t="shared" si="1755"/>
        <v>1</v>
      </c>
    </row>
    <row r="1529" s="106" customFormat="1" ht="16.5" spans="2:22">
      <c r="B1529" s="117">
        <v>293</v>
      </c>
      <c r="C1529" s="130">
        <f t="shared" si="1719"/>
        <v>29300</v>
      </c>
      <c r="D1529" s="130">
        <f ca="1" t="shared" ref="D1529:V1529" si="1756">IF($C1529&gt;D$633,1,0)</f>
        <v>1</v>
      </c>
      <c r="E1529" s="130">
        <f ca="1" t="shared" si="1756"/>
        <v>1</v>
      </c>
      <c r="F1529" s="130">
        <f ca="1" t="shared" si="1756"/>
        <v>1</v>
      </c>
      <c r="G1529" s="130">
        <f ca="1" t="shared" si="1756"/>
        <v>1</v>
      </c>
      <c r="H1529" s="130">
        <f ca="1" t="shared" si="1756"/>
        <v>1</v>
      </c>
      <c r="I1529" s="130">
        <f ca="1" t="shared" si="1756"/>
        <v>1</v>
      </c>
      <c r="J1529" s="130">
        <f ca="1" t="shared" si="1756"/>
        <v>1</v>
      </c>
      <c r="K1529" s="130">
        <f ca="1" t="shared" si="1756"/>
        <v>1</v>
      </c>
      <c r="L1529" s="130">
        <f ca="1" t="shared" si="1756"/>
        <v>1</v>
      </c>
      <c r="M1529" s="130">
        <f ca="1" t="shared" si="1756"/>
        <v>1</v>
      </c>
      <c r="N1529" s="130">
        <f ca="1" t="shared" si="1756"/>
        <v>1</v>
      </c>
      <c r="O1529" s="130">
        <f ca="1" t="shared" si="1756"/>
        <v>1</v>
      </c>
      <c r="P1529" s="130">
        <f ca="1" t="shared" si="1756"/>
        <v>1</v>
      </c>
      <c r="Q1529" s="130">
        <f ca="1" t="shared" si="1756"/>
        <v>1</v>
      </c>
      <c r="R1529" s="130">
        <f ca="1" t="shared" si="1756"/>
        <v>1</v>
      </c>
      <c r="S1529" s="130">
        <f ca="1" t="shared" si="1756"/>
        <v>1</v>
      </c>
      <c r="T1529" s="130">
        <f ca="1" t="shared" si="1756"/>
        <v>1</v>
      </c>
      <c r="U1529" s="130">
        <f ca="1" t="shared" si="1756"/>
        <v>1</v>
      </c>
      <c r="V1529" s="130">
        <f ca="1" t="shared" si="1756"/>
        <v>1</v>
      </c>
    </row>
    <row r="1530" s="106" customFormat="1" ht="16.5" spans="2:22">
      <c r="B1530" s="117">
        <v>294</v>
      </c>
      <c r="C1530" s="130">
        <f t="shared" si="1719"/>
        <v>29400</v>
      </c>
      <c r="D1530" s="130">
        <f ca="1" t="shared" ref="D1530:V1530" si="1757">IF($C1530&gt;D$633,1,0)</f>
        <v>1</v>
      </c>
      <c r="E1530" s="130">
        <f ca="1" t="shared" si="1757"/>
        <v>1</v>
      </c>
      <c r="F1530" s="130">
        <f ca="1" t="shared" si="1757"/>
        <v>1</v>
      </c>
      <c r="G1530" s="130">
        <f ca="1" t="shared" si="1757"/>
        <v>1</v>
      </c>
      <c r="H1530" s="130">
        <f ca="1" t="shared" si="1757"/>
        <v>1</v>
      </c>
      <c r="I1530" s="130">
        <f ca="1" t="shared" si="1757"/>
        <v>1</v>
      </c>
      <c r="J1530" s="130">
        <f ca="1" t="shared" si="1757"/>
        <v>1</v>
      </c>
      <c r="K1530" s="130">
        <f ca="1" t="shared" si="1757"/>
        <v>1</v>
      </c>
      <c r="L1530" s="130">
        <f ca="1" t="shared" si="1757"/>
        <v>1</v>
      </c>
      <c r="M1530" s="130">
        <f ca="1" t="shared" si="1757"/>
        <v>1</v>
      </c>
      <c r="N1530" s="130">
        <f ca="1" t="shared" si="1757"/>
        <v>1</v>
      </c>
      <c r="O1530" s="130">
        <f ca="1" t="shared" si="1757"/>
        <v>1</v>
      </c>
      <c r="P1530" s="130">
        <f ca="1" t="shared" si="1757"/>
        <v>1</v>
      </c>
      <c r="Q1530" s="130">
        <f ca="1" t="shared" si="1757"/>
        <v>1</v>
      </c>
      <c r="R1530" s="130">
        <f ca="1" t="shared" si="1757"/>
        <v>1</v>
      </c>
      <c r="S1530" s="130">
        <f ca="1" t="shared" si="1757"/>
        <v>1</v>
      </c>
      <c r="T1530" s="130">
        <f ca="1" t="shared" si="1757"/>
        <v>1</v>
      </c>
      <c r="U1530" s="130">
        <f ca="1" t="shared" si="1757"/>
        <v>1</v>
      </c>
      <c r="V1530" s="130">
        <f ca="1" t="shared" si="1757"/>
        <v>1</v>
      </c>
    </row>
    <row r="1531" s="106" customFormat="1" ht="16.5" spans="2:22">
      <c r="B1531" s="117">
        <v>295</v>
      </c>
      <c r="C1531" s="130">
        <f t="shared" si="1719"/>
        <v>29500</v>
      </c>
      <c r="D1531" s="130">
        <f ca="1" t="shared" ref="D1531:V1531" si="1758">IF($C1531&gt;D$633,1,0)</f>
        <v>1</v>
      </c>
      <c r="E1531" s="130">
        <f ca="1" t="shared" si="1758"/>
        <v>1</v>
      </c>
      <c r="F1531" s="130">
        <f ca="1" t="shared" si="1758"/>
        <v>1</v>
      </c>
      <c r="G1531" s="130">
        <f ca="1" t="shared" si="1758"/>
        <v>1</v>
      </c>
      <c r="H1531" s="130">
        <f ca="1" t="shared" si="1758"/>
        <v>1</v>
      </c>
      <c r="I1531" s="130">
        <f ca="1" t="shared" si="1758"/>
        <v>1</v>
      </c>
      <c r="J1531" s="130">
        <f ca="1" t="shared" si="1758"/>
        <v>1</v>
      </c>
      <c r="K1531" s="130">
        <f ca="1" t="shared" si="1758"/>
        <v>1</v>
      </c>
      <c r="L1531" s="130">
        <f ca="1" t="shared" si="1758"/>
        <v>1</v>
      </c>
      <c r="M1531" s="130">
        <f ca="1" t="shared" si="1758"/>
        <v>1</v>
      </c>
      <c r="N1531" s="130">
        <f ca="1" t="shared" si="1758"/>
        <v>1</v>
      </c>
      <c r="O1531" s="130">
        <f ca="1" t="shared" si="1758"/>
        <v>1</v>
      </c>
      <c r="P1531" s="130">
        <f ca="1" t="shared" si="1758"/>
        <v>1</v>
      </c>
      <c r="Q1531" s="130">
        <f ca="1" t="shared" si="1758"/>
        <v>1</v>
      </c>
      <c r="R1531" s="130">
        <f ca="1" t="shared" si="1758"/>
        <v>1</v>
      </c>
      <c r="S1531" s="130">
        <f ca="1" t="shared" si="1758"/>
        <v>1</v>
      </c>
      <c r="T1531" s="130">
        <f ca="1" t="shared" si="1758"/>
        <v>1</v>
      </c>
      <c r="U1531" s="130">
        <f ca="1" t="shared" si="1758"/>
        <v>1</v>
      </c>
      <c r="V1531" s="130">
        <f ca="1" t="shared" si="1758"/>
        <v>1</v>
      </c>
    </row>
    <row r="1532" s="106" customFormat="1" ht="16.5" spans="2:22">
      <c r="B1532" s="117">
        <v>296</v>
      </c>
      <c r="C1532" s="130">
        <f t="shared" si="1719"/>
        <v>29600</v>
      </c>
      <c r="D1532" s="130">
        <f ca="1" t="shared" ref="D1532:V1532" si="1759">IF($C1532&gt;D$633,1,0)</f>
        <v>1</v>
      </c>
      <c r="E1532" s="130">
        <f ca="1" t="shared" si="1759"/>
        <v>1</v>
      </c>
      <c r="F1532" s="130">
        <f ca="1" t="shared" si="1759"/>
        <v>1</v>
      </c>
      <c r="G1532" s="130">
        <f ca="1" t="shared" si="1759"/>
        <v>1</v>
      </c>
      <c r="H1532" s="130">
        <f ca="1" t="shared" si="1759"/>
        <v>1</v>
      </c>
      <c r="I1532" s="130">
        <f ca="1" t="shared" si="1759"/>
        <v>1</v>
      </c>
      <c r="J1532" s="130">
        <f ca="1" t="shared" si="1759"/>
        <v>1</v>
      </c>
      <c r="K1532" s="130">
        <f ca="1" t="shared" si="1759"/>
        <v>1</v>
      </c>
      <c r="L1532" s="130">
        <f ca="1" t="shared" si="1759"/>
        <v>1</v>
      </c>
      <c r="M1532" s="130">
        <f ca="1" t="shared" si="1759"/>
        <v>1</v>
      </c>
      <c r="N1532" s="130">
        <f ca="1" t="shared" si="1759"/>
        <v>1</v>
      </c>
      <c r="O1532" s="130">
        <f ca="1" t="shared" si="1759"/>
        <v>1</v>
      </c>
      <c r="P1532" s="130">
        <f ca="1" t="shared" si="1759"/>
        <v>1</v>
      </c>
      <c r="Q1532" s="130">
        <f ca="1" t="shared" si="1759"/>
        <v>1</v>
      </c>
      <c r="R1532" s="130">
        <f ca="1" t="shared" si="1759"/>
        <v>1</v>
      </c>
      <c r="S1532" s="130">
        <f ca="1" t="shared" si="1759"/>
        <v>1</v>
      </c>
      <c r="T1532" s="130">
        <f ca="1" t="shared" si="1759"/>
        <v>1</v>
      </c>
      <c r="U1532" s="130">
        <f ca="1" t="shared" si="1759"/>
        <v>1</v>
      </c>
      <c r="V1532" s="130">
        <f ca="1" t="shared" si="1759"/>
        <v>1</v>
      </c>
    </row>
    <row r="1533" s="106" customFormat="1" ht="16.5" spans="2:22">
      <c r="B1533" s="117">
        <v>297</v>
      </c>
      <c r="C1533" s="130">
        <f t="shared" si="1719"/>
        <v>29700</v>
      </c>
      <c r="D1533" s="130">
        <f ca="1" t="shared" ref="D1533:V1533" si="1760">IF($C1533&gt;D$633,1,0)</f>
        <v>1</v>
      </c>
      <c r="E1533" s="130">
        <f ca="1" t="shared" si="1760"/>
        <v>1</v>
      </c>
      <c r="F1533" s="130">
        <f ca="1" t="shared" si="1760"/>
        <v>1</v>
      </c>
      <c r="G1533" s="130">
        <f ca="1" t="shared" si="1760"/>
        <v>1</v>
      </c>
      <c r="H1533" s="130">
        <f ca="1" t="shared" si="1760"/>
        <v>1</v>
      </c>
      <c r="I1533" s="130">
        <f ca="1" t="shared" si="1760"/>
        <v>1</v>
      </c>
      <c r="J1533" s="130">
        <f ca="1" t="shared" si="1760"/>
        <v>1</v>
      </c>
      <c r="K1533" s="130">
        <f ca="1" t="shared" si="1760"/>
        <v>1</v>
      </c>
      <c r="L1533" s="130">
        <f ca="1" t="shared" si="1760"/>
        <v>1</v>
      </c>
      <c r="M1533" s="130">
        <f ca="1" t="shared" si="1760"/>
        <v>1</v>
      </c>
      <c r="N1533" s="130">
        <f ca="1" t="shared" si="1760"/>
        <v>1</v>
      </c>
      <c r="O1533" s="130">
        <f ca="1" t="shared" si="1760"/>
        <v>1</v>
      </c>
      <c r="P1533" s="130">
        <f ca="1" t="shared" si="1760"/>
        <v>1</v>
      </c>
      <c r="Q1533" s="130">
        <f ca="1" t="shared" si="1760"/>
        <v>1</v>
      </c>
      <c r="R1533" s="130">
        <f ca="1" t="shared" si="1760"/>
        <v>1</v>
      </c>
      <c r="S1533" s="130">
        <f ca="1" t="shared" si="1760"/>
        <v>1</v>
      </c>
      <c r="T1533" s="130">
        <f ca="1" t="shared" si="1760"/>
        <v>1</v>
      </c>
      <c r="U1533" s="130">
        <f ca="1" t="shared" si="1760"/>
        <v>1</v>
      </c>
      <c r="V1533" s="130">
        <f ca="1" t="shared" si="1760"/>
        <v>1</v>
      </c>
    </row>
    <row r="1534" s="106" customFormat="1" ht="16.5" spans="2:22">
      <c r="B1534" s="117">
        <v>298</v>
      </c>
      <c r="C1534" s="130">
        <f t="shared" si="1719"/>
        <v>29800</v>
      </c>
      <c r="D1534" s="130">
        <f ca="1" t="shared" ref="D1534:V1534" si="1761">IF($C1534&gt;D$633,1,0)</f>
        <v>1</v>
      </c>
      <c r="E1534" s="130">
        <f ca="1" t="shared" si="1761"/>
        <v>1</v>
      </c>
      <c r="F1534" s="130">
        <f ca="1" t="shared" si="1761"/>
        <v>1</v>
      </c>
      <c r="G1534" s="130">
        <f ca="1" t="shared" si="1761"/>
        <v>1</v>
      </c>
      <c r="H1534" s="130">
        <f ca="1" t="shared" si="1761"/>
        <v>1</v>
      </c>
      <c r="I1534" s="130">
        <f ca="1" t="shared" si="1761"/>
        <v>1</v>
      </c>
      <c r="J1534" s="130">
        <f ca="1" t="shared" si="1761"/>
        <v>1</v>
      </c>
      <c r="K1534" s="130">
        <f ca="1" t="shared" si="1761"/>
        <v>1</v>
      </c>
      <c r="L1534" s="130">
        <f ca="1" t="shared" si="1761"/>
        <v>1</v>
      </c>
      <c r="M1534" s="130">
        <f ca="1" t="shared" si="1761"/>
        <v>1</v>
      </c>
      <c r="N1534" s="130">
        <f ca="1" t="shared" si="1761"/>
        <v>1</v>
      </c>
      <c r="O1534" s="130">
        <f ca="1" t="shared" si="1761"/>
        <v>1</v>
      </c>
      <c r="P1534" s="130">
        <f ca="1" t="shared" si="1761"/>
        <v>1</v>
      </c>
      <c r="Q1534" s="130">
        <f ca="1" t="shared" si="1761"/>
        <v>1</v>
      </c>
      <c r="R1534" s="130">
        <f ca="1" t="shared" si="1761"/>
        <v>1</v>
      </c>
      <c r="S1534" s="130">
        <f ca="1" t="shared" si="1761"/>
        <v>1</v>
      </c>
      <c r="T1534" s="130">
        <f ca="1" t="shared" si="1761"/>
        <v>1</v>
      </c>
      <c r="U1534" s="130">
        <f ca="1" t="shared" si="1761"/>
        <v>1</v>
      </c>
      <c r="V1534" s="130">
        <f ca="1" t="shared" si="1761"/>
        <v>1</v>
      </c>
    </row>
    <row r="1535" s="106" customFormat="1" ht="16.5" spans="2:22">
      <c r="B1535" s="117">
        <v>299</v>
      </c>
      <c r="C1535" s="130">
        <f t="shared" si="1719"/>
        <v>29900</v>
      </c>
      <c r="D1535" s="130">
        <f ca="1" t="shared" ref="D1535:V1535" si="1762">IF($C1535&gt;D$633,1,0)</f>
        <v>1</v>
      </c>
      <c r="E1535" s="130">
        <f ca="1" t="shared" si="1762"/>
        <v>1</v>
      </c>
      <c r="F1535" s="130">
        <f ca="1" t="shared" si="1762"/>
        <v>1</v>
      </c>
      <c r="G1535" s="130">
        <f ca="1" t="shared" si="1762"/>
        <v>1</v>
      </c>
      <c r="H1535" s="130">
        <f ca="1" t="shared" si="1762"/>
        <v>1</v>
      </c>
      <c r="I1535" s="130">
        <f ca="1" t="shared" si="1762"/>
        <v>1</v>
      </c>
      <c r="J1535" s="130">
        <f ca="1" t="shared" si="1762"/>
        <v>1</v>
      </c>
      <c r="K1535" s="130">
        <f ca="1" t="shared" si="1762"/>
        <v>1</v>
      </c>
      <c r="L1535" s="130">
        <f ca="1" t="shared" si="1762"/>
        <v>1</v>
      </c>
      <c r="M1535" s="130">
        <f ca="1" t="shared" si="1762"/>
        <v>1</v>
      </c>
      <c r="N1535" s="130">
        <f ca="1" t="shared" si="1762"/>
        <v>1</v>
      </c>
      <c r="O1535" s="130">
        <f ca="1" t="shared" si="1762"/>
        <v>1</v>
      </c>
      <c r="P1535" s="130">
        <f ca="1" t="shared" si="1762"/>
        <v>1</v>
      </c>
      <c r="Q1535" s="130">
        <f ca="1" t="shared" si="1762"/>
        <v>1</v>
      </c>
      <c r="R1535" s="130">
        <f ca="1" t="shared" si="1762"/>
        <v>1</v>
      </c>
      <c r="S1535" s="130">
        <f ca="1" t="shared" si="1762"/>
        <v>1</v>
      </c>
      <c r="T1535" s="130">
        <f ca="1" t="shared" si="1762"/>
        <v>1</v>
      </c>
      <c r="U1535" s="130">
        <f ca="1" t="shared" si="1762"/>
        <v>1</v>
      </c>
      <c r="V1535" s="130">
        <f ca="1" t="shared" si="1762"/>
        <v>1</v>
      </c>
    </row>
    <row r="1536" s="106" customFormat="1" ht="16.5" spans="2:22">
      <c r="B1536" s="117">
        <v>300</v>
      </c>
      <c r="C1536" s="130">
        <f t="shared" si="1719"/>
        <v>30000</v>
      </c>
      <c r="D1536" s="130">
        <f ca="1" t="shared" ref="D1536:V1536" si="1763">IF($C1536&gt;D$633,1,0)</f>
        <v>1</v>
      </c>
      <c r="E1536" s="130">
        <f ca="1" t="shared" si="1763"/>
        <v>1</v>
      </c>
      <c r="F1536" s="130">
        <f ca="1" t="shared" si="1763"/>
        <v>1</v>
      </c>
      <c r="G1536" s="130">
        <f ca="1" t="shared" si="1763"/>
        <v>1</v>
      </c>
      <c r="H1536" s="130">
        <f ca="1" t="shared" si="1763"/>
        <v>1</v>
      </c>
      <c r="I1536" s="130">
        <f ca="1" t="shared" si="1763"/>
        <v>1</v>
      </c>
      <c r="J1536" s="130">
        <f ca="1" t="shared" si="1763"/>
        <v>1</v>
      </c>
      <c r="K1536" s="130">
        <f ca="1" t="shared" si="1763"/>
        <v>1</v>
      </c>
      <c r="L1536" s="130">
        <f ca="1" t="shared" si="1763"/>
        <v>1</v>
      </c>
      <c r="M1536" s="130">
        <f ca="1" t="shared" si="1763"/>
        <v>1</v>
      </c>
      <c r="N1536" s="130">
        <f ca="1" t="shared" si="1763"/>
        <v>1</v>
      </c>
      <c r="O1536" s="130">
        <f ca="1" t="shared" si="1763"/>
        <v>1</v>
      </c>
      <c r="P1536" s="130">
        <f ca="1" t="shared" si="1763"/>
        <v>1</v>
      </c>
      <c r="Q1536" s="130">
        <f ca="1" t="shared" si="1763"/>
        <v>1</v>
      </c>
      <c r="R1536" s="130">
        <f ca="1" t="shared" si="1763"/>
        <v>1</v>
      </c>
      <c r="S1536" s="130">
        <f ca="1" t="shared" si="1763"/>
        <v>1</v>
      </c>
      <c r="T1536" s="130">
        <f ca="1" t="shared" si="1763"/>
        <v>1</v>
      </c>
      <c r="U1536" s="130">
        <f ca="1" t="shared" si="1763"/>
        <v>1</v>
      </c>
      <c r="V1536" s="130">
        <f ca="1" t="shared" si="1763"/>
        <v>1</v>
      </c>
    </row>
    <row r="1537" ht="16.5" spans="2:22">
      <c r="B1537" s="117">
        <v>301</v>
      </c>
      <c r="C1537" s="130">
        <f t="shared" ref="C1537:C1600" si="1764">C935</f>
        <v>30100</v>
      </c>
      <c r="D1537" s="130">
        <f ca="1" t="shared" ref="D1537:D1600" si="1765">IF($C1537&gt;D$633,1,0)</f>
        <v>1</v>
      </c>
      <c r="E1537" s="130">
        <f ca="1" t="shared" ref="E1537:E1600" si="1766">IF($C1537&gt;E$633,1,0)</f>
        <v>1</v>
      </c>
      <c r="F1537" s="130">
        <f ca="1" t="shared" ref="F1537:F1600" si="1767">IF($C1537&gt;F$633,1,0)</f>
        <v>1</v>
      </c>
      <c r="G1537" s="130">
        <f ca="1" t="shared" ref="G1537:G1600" si="1768">IF($C1537&gt;G$633,1,0)</f>
        <v>1</v>
      </c>
      <c r="H1537" s="130">
        <f ca="1" t="shared" ref="H1537:H1600" si="1769">IF($C1537&gt;H$633,1,0)</f>
        <v>1</v>
      </c>
      <c r="I1537" s="130">
        <f ca="1" t="shared" ref="I1537:I1600" si="1770">IF($C1537&gt;I$633,1,0)</f>
        <v>1</v>
      </c>
      <c r="J1537" s="130">
        <f ca="1" t="shared" ref="J1537:J1600" si="1771">IF($C1537&gt;J$633,1,0)</f>
        <v>1</v>
      </c>
      <c r="K1537" s="130">
        <f ca="1" t="shared" ref="K1537:K1600" si="1772">IF($C1537&gt;K$633,1,0)</f>
        <v>1</v>
      </c>
      <c r="L1537" s="130">
        <f ca="1" t="shared" ref="L1537:L1600" si="1773">IF($C1537&gt;L$633,1,0)</f>
        <v>1</v>
      </c>
      <c r="M1537" s="130">
        <f ca="1" t="shared" ref="M1537:M1600" si="1774">IF($C1537&gt;M$633,1,0)</f>
        <v>1</v>
      </c>
      <c r="N1537" s="130">
        <f ca="1" t="shared" ref="N1537:N1600" si="1775">IF($C1537&gt;N$633,1,0)</f>
        <v>1</v>
      </c>
      <c r="O1537" s="130">
        <f ca="1" t="shared" ref="O1537:O1600" si="1776">IF($C1537&gt;O$633,1,0)</f>
        <v>1</v>
      </c>
      <c r="P1537" s="130">
        <f ca="1" t="shared" ref="P1537:P1600" si="1777">IF($C1537&gt;P$633,1,0)</f>
        <v>1</v>
      </c>
      <c r="Q1537" s="130">
        <f ca="1" t="shared" ref="Q1537:Q1600" si="1778">IF($C1537&gt;Q$633,1,0)</f>
        <v>1</v>
      </c>
      <c r="R1537" s="130">
        <f ca="1" t="shared" ref="R1537:R1600" si="1779">IF($C1537&gt;R$633,1,0)</f>
        <v>1</v>
      </c>
      <c r="S1537" s="130">
        <f ca="1" t="shared" ref="S1537:S1600" si="1780">IF($C1537&gt;S$633,1,0)</f>
        <v>1</v>
      </c>
      <c r="T1537" s="130">
        <f ca="1" t="shared" ref="T1537:T1600" si="1781">IF($C1537&gt;T$633,1,0)</f>
        <v>1</v>
      </c>
      <c r="U1537" s="130">
        <f ca="1" t="shared" ref="U1537:U1600" si="1782">IF($C1537&gt;U$633,1,0)</f>
        <v>1</v>
      </c>
      <c r="V1537" s="130">
        <f ca="1" t="shared" ref="V1537:V1600" si="1783">IF($C1537&gt;V$633,1,0)</f>
        <v>1</v>
      </c>
    </row>
    <row r="1538" ht="16.5" spans="2:22">
      <c r="B1538" s="117">
        <v>302</v>
      </c>
      <c r="C1538" s="130">
        <f t="shared" si="1764"/>
        <v>30200</v>
      </c>
      <c r="D1538" s="130">
        <f ca="1" t="shared" si="1765"/>
        <v>1</v>
      </c>
      <c r="E1538" s="130">
        <f ca="1" t="shared" si="1766"/>
        <v>1</v>
      </c>
      <c r="F1538" s="130">
        <f ca="1" t="shared" si="1767"/>
        <v>1</v>
      </c>
      <c r="G1538" s="130">
        <f ca="1" t="shared" si="1768"/>
        <v>1</v>
      </c>
      <c r="H1538" s="130">
        <f ca="1" t="shared" si="1769"/>
        <v>1</v>
      </c>
      <c r="I1538" s="130">
        <f ca="1" t="shared" si="1770"/>
        <v>1</v>
      </c>
      <c r="J1538" s="130">
        <f ca="1" t="shared" si="1771"/>
        <v>1</v>
      </c>
      <c r="K1538" s="130">
        <f ca="1" t="shared" si="1772"/>
        <v>1</v>
      </c>
      <c r="L1538" s="130">
        <f ca="1" t="shared" si="1773"/>
        <v>1</v>
      </c>
      <c r="M1538" s="130">
        <f ca="1" t="shared" si="1774"/>
        <v>1</v>
      </c>
      <c r="N1538" s="130">
        <f ca="1" t="shared" si="1775"/>
        <v>1</v>
      </c>
      <c r="O1538" s="130">
        <f ca="1" t="shared" si="1776"/>
        <v>1</v>
      </c>
      <c r="P1538" s="130">
        <f ca="1" t="shared" si="1777"/>
        <v>1</v>
      </c>
      <c r="Q1538" s="130">
        <f ca="1" t="shared" si="1778"/>
        <v>1</v>
      </c>
      <c r="R1538" s="130">
        <f ca="1" t="shared" si="1779"/>
        <v>1</v>
      </c>
      <c r="S1538" s="130">
        <f ca="1" t="shared" si="1780"/>
        <v>1</v>
      </c>
      <c r="T1538" s="130">
        <f ca="1" t="shared" si="1781"/>
        <v>1</v>
      </c>
      <c r="U1538" s="130">
        <f ca="1" t="shared" si="1782"/>
        <v>1</v>
      </c>
      <c r="V1538" s="130">
        <f ca="1" t="shared" si="1783"/>
        <v>1</v>
      </c>
    </row>
    <row r="1539" ht="16.5" spans="2:22">
      <c r="B1539" s="117">
        <v>303</v>
      </c>
      <c r="C1539" s="130">
        <f t="shared" si="1764"/>
        <v>30300</v>
      </c>
      <c r="D1539" s="130">
        <f ca="1" t="shared" si="1765"/>
        <v>1</v>
      </c>
      <c r="E1539" s="130">
        <f ca="1" t="shared" si="1766"/>
        <v>1</v>
      </c>
      <c r="F1539" s="130">
        <f ca="1" t="shared" si="1767"/>
        <v>1</v>
      </c>
      <c r="G1539" s="130">
        <f ca="1" t="shared" si="1768"/>
        <v>1</v>
      </c>
      <c r="H1539" s="130">
        <f ca="1" t="shared" si="1769"/>
        <v>1</v>
      </c>
      <c r="I1539" s="130">
        <f ca="1" t="shared" si="1770"/>
        <v>1</v>
      </c>
      <c r="J1539" s="130">
        <f ca="1" t="shared" si="1771"/>
        <v>1</v>
      </c>
      <c r="K1539" s="130">
        <f ca="1" t="shared" si="1772"/>
        <v>1</v>
      </c>
      <c r="L1539" s="130">
        <f ca="1" t="shared" si="1773"/>
        <v>1</v>
      </c>
      <c r="M1539" s="130">
        <f ca="1" t="shared" si="1774"/>
        <v>1</v>
      </c>
      <c r="N1539" s="130">
        <f ca="1" t="shared" si="1775"/>
        <v>1</v>
      </c>
      <c r="O1539" s="130">
        <f ca="1" t="shared" si="1776"/>
        <v>1</v>
      </c>
      <c r="P1539" s="130">
        <f ca="1" t="shared" si="1777"/>
        <v>1</v>
      </c>
      <c r="Q1539" s="130">
        <f ca="1" t="shared" si="1778"/>
        <v>1</v>
      </c>
      <c r="R1539" s="130">
        <f ca="1" t="shared" si="1779"/>
        <v>1</v>
      </c>
      <c r="S1539" s="130">
        <f ca="1" t="shared" si="1780"/>
        <v>1</v>
      </c>
      <c r="T1539" s="130">
        <f ca="1" t="shared" si="1781"/>
        <v>1</v>
      </c>
      <c r="U1539" s="130">
        <f ca="1" t="shared" si="1782"/>
        <v>1</v>
      </c>
      <c r="V1539" s="130">
        <f ca="1" t="shared" si="1783"/>
        <v>1</v>
      </c>
    </row>
    <row r="1540" ht="16.5" spans="2:22">
      <c r="B1540" s="117">
        <v>304</v>
      </c>
      <c r="C1540" s="130">
        <f t="shared" si="1764"/>
        <v>30400</v>
      </c>
      <c r="D1540" s="130">
        <f ca="1" t="shared" si="1765"/>
        <v>1</v>
      </c>
      <c r="E1540" s="130">
        <f ca="1" t="shared" si="1766"/>
        <v>1</v>
      </c>
      <c r="F1540" s="130">
        <f ca="1" t="shared" si="1767"/>
        <v>1</v>
      </c>
      <c r="G1540" s="130">
        <f ca="1" t="shared" si="1768"/>
        <v>1</v>
      </c>
      <c r="H1540" s="130">
        <f ca="1" t="shared" si="1769"/>
        <v>1</v>
      </c>
      <c r="I1540" s="130">
        <f ca="1" t="shared" si="1770"/>
        <v>1</v>
      </c>
      <c r="J1540" s="130">
        <f ca="1" t="shared" si="1771"/>
        <v>1</v>
      </c>
      <c r="K1540" s="130">
        <f ca="1" t="shared" si="1772"/>
        <v>1</v>
      </c>
      <c r="L1540" s="130">
        <f ca="1" t="shared" si="1773"/>
        <v>1</v>
      </c>
      <c r="M1540" s="130">
        <f ca="1" t="shared" si="1774"/>
        <v>1</v>
      </c>
      <c r="N1540" s="130">
        <f ca="1" t="shared" si="1775"/>
        <v>1</v>
      </c>
      <c r="O1540" s="130">
        <f ca="1" t="shared" si="1776"/>
        <v>1</v>
      </c>
      <c r="P1540" s="130">
        <f ca="1" t="shared" si="1777"/>
        <v>1</v>
      </c>
      <c r="Q1540" s="130">
        <f ca="1" t="shared" si="1778"/>
        <v>1</v>
      </c>
      <c r="R1540" s="130">
        <f ca="1" t="shared" si="1779"/>
        <v>1</v>
      </c>
      <c r="S1540" s="130">
        <f ca="1" t="shared" si="1780"/>
        <v>1</v>
      </c>
      <c r="T1540" s="130">
        <f ca="1" t="shared" si="1781"/>
        <v>1</v>
      </c>
      <c r="U1540" s="130">
        <f ca="1" t="shared" si="1782"/>
        <v>1</v>
      </c>
      <c r="V1540" s="130">
        <f ca="1" t="shared" si="1783"/>
        <v>1</v>
      </c>
    </row>
    <row r="1541" ht="16.5" spans="2:22">
      <c r="B1541" s="117">
        <v>305</v>
      </c>
      <c r="C1541" s="130">
        <f t="shared" si="1764"/>
        <v>30500</v>
      </c>
      <c r="D1541" s="130">
        <f ca="1" t="shared" si="1765"/>
        <v>1</v>
      </c>
      <c r="E1541" s="130">
        <f ca="1" t="shared" si="1766"/>
        <v>1</v>
      </c>
      <c r="F1541" s="130">
        <f ca="1" t="shared" si="1767"/>
        <v>1</v>
      </c>
      <c r="G1541" s="130">
        <f ca="1" t="shared" si="1768"/>
        <v>1</v>
      </c>
      <c r="H1541" s="130">
        <f ca="1" t="shared" si="1769"/>
        <v>1</v>
      </c>
      <c r="I1541" s="130">
        <f ca="1" t="shared" si="1770"/>
        <v>1</v>
      </c>
      <c r="J1541" s="130">
        <f ca="1" t="shared" si="1771"/>
        <v>1</v>
      </c>
      <c r="K1541" s="130">
        <f ca="1" t="shared" si="1772"/>
        <v>1</v>
      </c>
      <c r="L1541" s="130">
        <f ca="1" t="shared" si="1773"/>
        <v>1</v>
      </c>
      <c r="M1541" s="130">
        <f ca="1" t="shared" si="1774"/>
        <v>1</v>
      </c>
      <c r="N1541" s="130">
        <f ca="1" t="shared" si="1775"/>
        <v>1</v>
      </c>
      <c r="O1541" s="130">
        <f ca="1" t="shared" si="1776"/>
        <v>1</v>
      </c>
      <c r="P1541" s="130">
        <f ca="1" t="shared" si="1777"/>
        <v>1</v>
      </c>
      <c r="Q1541" s="130">
        <f ca="1" t="shared" si="1778"/>
        <v>1</v>
      </c>
      <c r="R1541" s="130">
        <f ca="1" t="shared" si="1779"/>
        <v>1</v>
      </c>
      <c r="S1541" s="130">
        <f ca="1" t="shared" si="1780"/>
        <v>1</v>
      </c>
      <c r="T1541" s="130">
        <f ca="1" t="shared" si="1781"/>
        <v>1</v>
      </c>
      <c r="U1541" s="130">
        <f ca="1" t="shared" si="1782"/>
        <v>1</v>
      </c>
      <c r="V1541" s="130">
        <f ca="1" t="shared" si="1783"/>
        <v>1</v>
      </c>
    </row>
    <row r="1542" ht="16.5" spans="2:22">
      <c r="B1542" s="117">
        <v>306</v>
      </c>
      <c r="C1542" s="130">
        <f t="shared" si="1764"/>
        <v>30600</v>
      </c>
      <c r="D1542" s="130">
        <f ca="1" t="shared" si="1765"/>
        <v>1</v>
      </c>
      <c r="E1542" s="130">
        <f ca="1" t="shared" si="1766"/>
        <v>1</v>
      </c>
      <c r="F1542" s="130">
        <f ca="1" t="shared" si="1767"/>
        <v>1</v>
      </c>
      <c r="G1542" s="130">
        <f ca="1" t="shared" si="1768"/>
        <v>1</v>
      </c>
      <c r="H1542" s="130">
        <f ca="1" t="shared" si="1769"/>
        <v>1</v>
      </c>
      <c r="I1542" s="130">
        <f ca="1" t="shared" si="1770"/>
        <v>1</v>
      </c>
      <c r="J1542" s="130">
        <f ca="1" t="shared" si="1771"/>
        <v>1</v>
      </c>
      <c r="K1542" s="130">
        <f ca="1" t="shared" si="1772"/>
        <v>1</v>
      </c>
      <c r="L1542" s="130">
        <f ca="1" t="shared" si="1773"/>
        <v>1</v>
      </c>
      <c r="M1542" s="130">
        <f ca="1" t="shared" si="1774"/>
        <v>1</v>
      </c>
      <c r="N1542" s="130">
        <f ca="1" t="shared" si="1775"/>
        <v>1</v>
      </c>
      <c r="O1542" s="130">
        <f ca="1" t="shared" si="1776"/>
        <v>1</v>
      </c>
      <c r="P1542" s="130">
        <f ca="1" t="shared" si="1777"/>
        <v>1</v>
      </c>
      <c r="Q1542" s="130">
        <f ca="1" t="shared" si="1778"/>
        <v>1</v>
      </c>
      <c r="R1542" s="130">
        <f ca="1" t="shared" si="1779"/>
        <v>1</v>
      </c>
      <c r="S1542" s="130">
        <f ca="1" t="shared" si="1780"/>
        <v>1</v>
      </c>
      <c r="T1542" s="130">
        <f ca="1" t="shared" si="1781"/>
        <v>1</v>
      </c>
      <c r="U1542" s="130">
        <f ca="1" t="shared" si="1782"/>
        <v>1</v>
      </c>
      <c r="V1542" s="130">
        <f ca="1" t="shared" si="1783"/>
        <v>1</v>
      </c>
    </row>
    <row r="1543" ht="16.5" spans="2:22">
      <c r="B1543" s="117">
        <v>307</v>
      </c>
      <c r="C1543" s="130">
        <f t="shared" si="1764"/>
        <v>30700</v>
      </c>
      <c r="D1543" s="130">
        <f ca="1" t="shared" si="1765"/>
        <v>1</v>
      </c>
      <c r="E1543" s="130">
        <f ca="1" t="shared" si="1766"/>
        <v>1</v>
      </c>
      <c r="F1543" s="130">
        <f ca="1" t="shared" si="1767"/>
        <v>1</v>
      </c>
      <c r="G1543" s="130">
        <f ca="1" t="shared" si="1768"/>
        <v>1</v>
      </c>
      <c r="H1543" s="130">
        <f ca="1" t="shared" si="1769"/>
        <v>1</v>
      </c>
      <c r="I1543" s="130">
        <f ca="1" t="shared" si="1770"/>
        <v>1</v>
      </c>
      <c r="J1543" s="130">
        <f ca="1" t="shared" si="1771"/>
        <v>1</v>
      </c>
      <c r="K1543" s="130">
        <f ca="1" t="shared" si="1772"/>
        <v>1</v>
      </c>
      <c r="L1543" s="130">
        <f ca="1" t="shared" si="1773"/>
        <v>1</v>
      </c>
      <c r="M1543" s="130">
        <f ca="1" t="shared" si="1774"/>
        <v>1</v>
      </c>
      <c r="N1543" s="130">
        <f ca="1" t="shared" si="1775"/>
        <v>1</v>
      </c>
      <c r="O1543" s="130">
        <f ca="1" t="shared" si="1776"/>
        <v>1</v>
      </c>
      <c r="P1543" s="130">
        <f ca="1" t="shared" si="1777"/>
        <v>1</v>
      </c>
      <c r="Q1543" s="130">
        <f ca="1" t="shared" si="1778"/>
        <v>1</v>
      </c>
      <c r="R1543" s="130">
        <f ca="1" t="shared" si="1779"/>
        <v>1</v>
      </c>
      <c r="S1543" s="130">
        <f ca="1" t="shared" si="1780"/>
        <v>1</v>
      </c>
      <c r="T1543" s="130">
        <f ca="1" t="shared" si="1781"/>
        <v>1</v>
      </c>
      <c r="U1543" s="130">
        <f ca="1" t="shared" si="1782"/>
        <v>1</v>
      </c>
      <c r="V1543" s="130">
        <f ca="1" t="shared" si="1783"/>
        <v>1</v>
      </c>
    </row>
    <row r="1544" ht="16.5" spans="2:22">
      <c r="B1544" s="117">
        <v>308</v>
      </c>
      <c r="C1544" s="130">
        <f t="shared" si="1764"/>
        <v>30800</v>
      </c>
      <c r="D1544" s="130">
        <f ca="1" t="shared" si="1765"/>
        <v>1</v>
      </c>
      <c r="E1544" s="130">
        <f ca="1" t="shared" si="1766"/>
        <v>1</v>
      </c>
      <c r="F1544" s="130">
        <f ca="1" t="shared" si="1767"/>
        <v>1</v>
      </c>
      <c r="G1544" s="130">
        <f ca="1" t="shared" si="1768"/>
        <v>1</v>
      </c>
      <c r="H1544" s="130">
        <f ca="1" t="shared" si="1769"/>
        <v>1</v>
      </c>
      <c r="I1544" s="130">
        <f ca="1" t="shared" si="1770"/>
        <v>1</v>
      </c>
      <c r="J1544" s="130">
        <f ca="1" t="shared" si="1771"/>
        <v>1</v>
      </c>
      <c r="K1544" s="130">
        <f ca="1" t="shared" si="1772"/>
        <v>1</v>
      </c>
      <c r="L1544" s="130">
        <f ca="1" t="shared" si="1773"/>
        <v>1</v>
      </c>
      <c r="M1544" s="130">
        <f ca="1" t="shared" si="1774"/>
        <v>1</v>
      </c>
      <c r="N1544" s="130">
        <f ca="1" t="shared" si="1775"/>
        <v>1</v>
      </c>
      <c r="O1544" s="130">
        <f ca="1" t="shared" si="1776"/>
        <v>1</v>
      </c>
      <c r="P1544" s="130">
        <f ca="1" t="shared" si="1777"/>
        <v>1</v>
      </c>
      <c r="Q1544" s="130">
        <f ca="1" t="shared" si="1778"/>
        <v>1</v>
      </c>
      <c r="R1544" s="130">
        <f ca="1" t="shared" si="1779"/>
        <v>1</v>
      </c>
      <c r="S1544" s="130">
        <f ca="1" t="shared" si="1780"/>
        <v>1</v>
      </c>
      <c r="T1544" s="130">
        <f ca="1" t="shared" si="1781"/>
        <v>1</v>
      </c>
      <c r="U1544" s="130">
        <f ca="1" t="shared" si="1782"/>
        <v>1</v>
      </c>
      <c r="V1544" s="130">
        <f ca="1" t="shared" si="1783"/>
        <v>1</v>
      </c>
    </row>
    <row r="1545" ht="16.5" spans="2:22">
      <c r="B1545" s="117">
        <v>309</v>
      </c>
      <c r="C1545" s="130">
        <f t="shared" si="1764"/>
        <v>30900</v>
      </c>
      <c r="D1545" s="130">
        <f ca="1" t="shared" si="1765"/>
        <v>1</v>
      </c>
      <c r="E1545" s="130">
        <f ca="1" t="shared" si="1766"/>
        <v>1</v>
      </c>
      <c r="F1545" s="130">
        <f ca="1" t="shared" si="1767"/>
        <v>1</v>
      </c>
      <c r="G1545" s="130">
        <f ca="1" t="shared" si="1768"/>
        <v>1</v>
      </c>
      <c r="H1545" s="130">
        <f ca="1" t="shared" si="1769"/>
        <v>1</v>
      </c>
      <c r="I1545" s="130">
        <f ca="1" t="shared" si="1770"/>
        <v>1</v>
      </c>
      <c r="J1545" s="130">
        <f ca="1" t="shared" si="1771"/>
        <v>1</v>
      </c>
      <c r="K1545" s="130">
        <f ca="1" t="shared" si="1772"/>
        <v>1</v>
      </c>
      <c r="L1545" s="130">
        <f ca="1" t="shared" si="1773"/>
        <v>1</v>
      </c>
      <c r="M1545" s="130">
        <f ca="1" t="shared" si="1774"/>
        <v>1</v>
      </c>
      <c r="N1545" s="130">
        <f ca="1" t="shared" si="1775"/>
        <v>1</v>
      </c>
      <c r="O1545" s="130">
        <f ca="1" t="shared" si="1776"/>
        <v>1</v>
      </c>
      <c r="P1545" s="130">
        <f ca="1" t="shared" si="1777"/>
        <v>1</v>
      </c>
      <c r="Q1545" s="130">
        <f ca="1" t="shared" si="1778"/>
        <v>1</v>
      </c>
      <c r="R1545" s="130">
        <f ca="1" t="shared" si="1779"/>
        <v>1</v>
      </c>
      <c r="S1545" s="130">
        <f ca="1" t="shared" si="1780"/>
        <v>1</v>
      </c>
      <c r="T1545" s="130">
        <f ca="1" t="shared" si="1781"/>
        <v>1</v>
      </c>
      <c r="U1545" s="130">
        <f ca="1" t="shared" si="1782"/>
        <v>1</v>
      </c>
      <c r="V1545" s="130">
        <f ca="1" t="shared" si="1783"/>
        <v>1</v>
      </c>
    </row>
    <row r="1546" ht="16.5" spans="2:22">
      <c r="B1546" s="117">
        <v>310</v>
      </c>
      <c r="C1546" s="130">
        <f t="shared" si="1764"/>
        <v>31000</v>
      </c>
      <c r="D1546" s="130">
        <f ca="1" t="shared" si="1765"/>
        <v>1</v>
      </c>
      <c r="E1546" s="130">
        <f ca="1" t="shared" si="1766"/>
        <v>1</v>
      </c>
      <c r="F1546" s="130">
        <f ca="1" t="shared" si="1767"/>
        <v>1</v>
      </c>
      <c r="G1546" s="130">
        <f ca="1" t="shared" si="1768"/>
        <v>1</v>
      </c>
      <c r="H1546" s="130">
        <f ca="1" t="shared" si="1769"/>
        <v>1</v>
      </c>
      <c r="I1546" s="130">
        <f ca="1" t="shared" si="1770"/>
        <v>1</v>
      </c>
      <c r="J1546" s="130">
        <f ca="1" t="shared" si="1771"/>
        <v>1</v>
      </c>
      <c r="K1546" s="130">
        <f ca="1" t="shared" si="1772"/>
        <v>1</v>
      </c>
      <c r="L1546" s="130">
        <f ca="1" t="shared" si="1773"/>
        <v>1</v>
      </c>
      <c r="M1546" s="130">
        <f ca="1" t="shared" si="1774"/>
        <v>1</v>
      </c>
      <c r="N1546" s="130">
        <f ca="1" t="shared" si="1775"/>
        <v>1</v>
      </c>
      <c r="O1546" s="130">
        <f ca="1" t="shared" si="1776"/>
        <v>1</v>
      </c>
      <c r="P1546" s="130">
        <f ca="1" t="shared" si="1777"/>
        <v>1</v>
      </c>
      <c r="Q1546" s="130">
        <f ca="1" t="shared" si="1778"/>
        <v>1</v>
      </c>
      <c r="R1546" s="130">
        <f ca="1" t="shared" si="1779"/>
        <v>1</v>
      </c>
      <c r="S1546" s="130">
        <f ca="1" t="shared" si="1780"/>
        <v>1</v>
      </c>
      <c r="T1546" s="130">
        <f ca="1" t="shared" si="1781"/>
        <v>1</v>
      </c>
      <c r="U1546" s="130">
        <f ca="1" t="shared" si="1782"/>
        <v>1</v>
      </c>
      <c r="V1546" s="130">
        <f ca="1" t="shared" si="1783"/>
        <v>1</v>
      </c>
    </row>
    <row r="1547" ht="16.5" spans="2:22">
      <c r="B1547" s="117">
        <v>311</v>
      </c>
      <c r="C1547" s="130">
        <f t="shared" si="1764"/>
        <v>31100</v>
      </c>
      <c r="D1547" s="130">
        <f ca="1" t="shared" si="1765"/>
        <v>1</v>
      </c>
      <c r="E1547" s="130">
        <f ca="1" t="shared" si="1766"/>
        <v>1</v>
      </c>
      <c r="F1547" s="130">
        <f ca="1" t="shared" si="1767"/>
        <v>1</v>
      </c>
      <c r="G1547" s="130">
        <f ca="1" t="shared" si="1768"/>
        <v>1</v>
      </c>
      <c r="H1547" s="130">
        <f ca="1" t="shared" si="1769"/>
        <v>1</v>
      </c>
      <c r="I1547" s="130">
        <f ca="1" t="shared" si="1770"/>
        <v>1</v>
      </c>
      <c r="J1547" s="130">
        <f ca="1" t="shared" si="1771"/>
        <v>1</v>
      </c>
      <c r="K1547" s="130">
        <f ca="1" t="shared" si="1772"/>
        <v>1</v>
      </c>
      <c r="L1547" s="130">
        <f ca="1" t="shared" si="1773"/>
        <v>1</v>
      </c>
      <c r="M1547" s="130">
        <f ca="1" t="shared" si="1774"/>
        <v>1</v>
      </c>
      <c r="N1547" s="130">
        <f ca="1" t="shared" si="1775"/>
        <v>1</v>
      </c>
      <c r="O1547" s="130">
        <f ca="1" t="shared" si="1776"/>
        <v>1</v>
      </c>
      <c r="P1547" s="130">
        <f ca="1" t="shared" si="1777"/>
        <v>1</v>
      </c>
      <c r="Q1547" s="130">
        <f ca="1" t="shared" si="1778"/>
        <v>1</v>
      </c>
      <c r="R1547" s="130">
        <f ca="1" t="shared" si="1779"/>
        <v>1</v>
      </c>
      <c r="S1547" s="130">
        <f ca="1" t="shared" si="1780"/>
        <v>1</v>
      </c>
      <c r="T1547" s="130">
        <f ca="1" t="shared" si="1781"/>
        <v>1</v>
      </c>
      <c r="U1547" s="130">
        <f ca="1" t="shared" si="1782"/>
        <v>1</v>
      </c>
      <c r="V1547" s="130">
        <f ca="1" t="shared" si="1783"/>
        <v>1</v>
      </c>
    </row>
    <row r="1548" ht="16.5" spans="2:22">
      <c r="B1548" s="117">
        <v>312</v>
      </c>
      <c r="C1548" s="130">
        <f t="shared" si="1764"/>
        <v>31200</v>
      </c>
      <c r="D1548" s="130">
        <f ca="1" t="shared" si="1765"/>
        <v>1</v>
      </c>
      <c r="E1548" s="130">
        <f ca="1" t="shared" si="1766"/>
        <v>1</v>
      </c>
      <c r="F1548" s="130">
        <f ca="1" t="shared" si="1767"/>
        <v>1</v>
      </c>
      <c r="G1548" s="130">
        <f ca="1" t="shared" si="1768"/>
        <v>1</v>
      </c>
      <c r="H1548" s="130">
        <f ca="1" t="shared" si="1769"/>
        <v>1</v>
      </c>
      <c r="I1548" s="130">
        <f ca="1" t="shared" si="1770"/>
        <v>1</v>
      </c>
      <c r="J1548" s="130">
        <f ca="1" t="shared" si="1771"/>
        <v>1</v>
      </c>
      <c r="K1548" s="130">
        <f ca="1" t="shared" si="1772"/>
        <v>1</v>
      </c>
      <c r="L1548" s="130">
        <f ca="1" t="shared" si="1773"/>
        <v>1</v>
      </c>
      <c r="M1548" s="130">
        <f ca="1" t="shared" si="1774"/>
        <v>1</v>
      </c>
      <c r="N1548" s="130">
        <f ca="1" t="shared" si="1775"/>
        <v>1</v>
      </c>
      <c r="O1548" s="130">
        <f ca="1" t="shared" si="1776"/>
        <v>1</v>
      </c>
      <c r="P1548" s="130">
        <f ca="1" t="shared" si="1777"/>
        <v>1</v>
      </c>
      <c r="Q1548" s="130">
        <f ca="1" t="shared" si="1778"/>
        <v>1</v>
      </c>
      <c r="R1548" s="130">
        <f ca="1" t="shared" si="1779"/>
        <v>1</v>
      </c>
      <c r="S1548" s="130">
        <f ca="1" t="shared" si="1780"/>
        <v>1</v>
      </c>
      <c r="T1548" s="130">
        <f ca="1" t="shared" si="1781"/>
        <v>1</v>
      </c>
      <c r="U1548" s="130">
        <f ca="1" t="shared" si="1782"/>
        <v>1</v>
      </c>
      <c r="V1548" s="130">
        <f ca="1" t="shared" si="1783"/>
        <v>1</v>
      </c>
    </row>
    <row r="1549" ht="16.5" spans="2:22">
      <c r="B1549" s="117">
        <v>313</v>
      </c>
      <c r="C1549" s="130">
        <f t="shared" si="1764"/>
        <v>31300</v>
      </c>
      <c r="D1549" s="130">
        <f ca="1" t="shared" si="1765"/>
        <v>1</v>
      </c>
      <c r="E1549" s="130">
        <f ca="1" t="shared" si="1766"/>
        <v>1</v>
      </c>
      <c r="F1549" s="130">
        <f ca="1" t="shared" si="1767"/>
        <v>1</v>
      </c>
      <c r="G1549" s="130">
        <f ca="1" t="shared" si="1768"/>
        <v>1</v>
      </c>
      <c r="H1549" s="130">
        <f ca="1" t="shared" si="1769"/>
        <v>1</v>
      </c>
      <c r="I1549" s="130">
        <f ca="1" t="shared" si="1770"/>
        <v>1</v>
      </c>
      <c r="J1549" s="130">
        <f ca="1" t="shared" si="1771"/>
        <v>1</v>
      </c>
      <c r="K1549" s="130">
        <f ca="1" t="shared" si="1772"/>
        <v>1</v>
      </c>
      <c r="L1549" s="130">
        <f ca="1" t="shared" si="1773"/>
        <v>1</v>
      </c>
      <c r="M1549" s="130">
        <f ca="1" t="shared" si="1774"/>
        <v>1</v>
      </c>
      <c r="N1549" s="130">
        <f ca="1" t="shared" si="1775"/>
        <v>1</v>
      </c>
      <c r="O1549" s="130">
        <f ca="1" t="shared" si="1776"/>
        <v>1</v>
      </c>
      <c r="P1549" s="130">
        <f ca="1" t="shared" si="1777"/>
        <v>1</v>
      </c>
      <c r="Q1549" s="130">
        <f ca="1" t="shared" si="1778"/>
        <v>1</v>
      </c>
      <c r="R1549" s="130">
        <f ca="1" t="shared" si="1779"/>
        <v>1</v>
      </c>
      <c r="S1549" s="130">
        <f ca="1" t="shared" si="1780"/>
        <v>1</v>
      </c>
      <c r="T1549" s="130">
        <f ca="1" t="shared" si="1781"/>
        <v>1</v>
      </c>
      <c r="U1549" s="130">
        <f ca="1" t="shared" si="1782"/>
        <v>1</v>
      </c>
      <c r="V1549" s="130">
        <f ca="1" t="shared" si="1783"/>
        <v>1</v>
      </c>
    </row>
    <row r="1550" ht="16.5" spans="2:22">
      <c r="B1550" s="117">
        <v>314</v>
      </c>
      <c r="C1550" s="130">
        <f t="shared" si="1764"/>
        <v>31400</v>
      </c>
      <c r="D1550" s="130">
        <f ca="1" t="shared" si="1765"/>
        <v>1</v>
      </c>
      <c r="E1550" s="130">
        <f ca="1" t="shared" si="1766"/>
        <v>1</v>
      </c>
      <c r="F1550" s="130">
        <f ca="1" t="shared" si="1767"/>
        <v>1</v>
      </c>
      <c r="G1550" s="130">
        <f ca="1" t="shared" si="1768"/>
        <v>1</v>
      </c>
      <c r="H1550" s="130">
        <f ca="1" t="shared" si="1769"/>
        <v>1</v>
      </c>
      <c r="I1550" s="130">
        <f ca="1" t="shared" si="1770"/>
        <v>1</v>
      </c>
      <c r="J1550" s="130">
        <f ca="1" t="shared" si="1771"/>
        <v>1</v>
      </c>
      <c r="K1550" s="130">
        <f ca="1" t="shared" si="1772"/>
        <v>1</v>
      </c>
      <c r="L1550" s="130">
        <f ca="1" t="shared" si="1773"/>
        <v>1</v>
      </c>
      <c r="M1550" s="130">
        <f ca="1" t="shared" si="1774"/>
        <v>1</v>
      </c>
      <c r="N1550" s="130">
        <f ca="1" t="shared" si="1775"/>
        <v>1</v>
      </c>
      <c r="O1550" s="130">
        <f ca="1" t="shared" si="1776"/>
        <v>1</v>
      </c>
      <c r="P1550" s="130">
        <f ca="1" t="shared" si="1777"/>
        <v>1</v>
      </c>
      <c r="Q1550" s="130">
        <f ca="1" t="shared" si="1778"/>
        <v>1</v>
      </c>
      <c r="R1550" s="130">
        <f ca="1" t="shared" si="1779"/>
        <v>1</v>
      </c>
      <c r="S1550" s="130">
        <f ca="1" t="shared" si="1780"/>
        <v>1</v>
      </c>
      <c r="T1550" s="130">
        <f ca="1" t="shared" si="1781"/>
        <v>1</v>
      </c>
      <c r="U1550" s="130">
        <f ca="1" t="shared" si="1782"/>
        <v>1</v>
      </c>
      <c r="V1550" s="130">
        <f ca="1" t="shared" si="1783"/>
        <v>1</v>
      </c>
    </row>
    <row r="1551" ht="16.5" spans="2:22">
      <c r="B1551" s="117">
        <v>315</v>
      </c>
      <c r="C1551" s="130">
        <f t="shared" si="1764"/>
        <v>31500</v>
      </c>
      <c r="D1551" s="130">
        <f ca="1" t="shared" si="1765"/>
        <v>1</v>
      </c>
      <c r="E1551" s="130">
        <f ca="1" t="shared" si="1766"/>
        <v>1</v>
      </c>
      <c r="F1551" s="130">
        <f ca="1" t="shared" si="1767"/>
        <v>1</v>
      </c>
      <c r="G1551" s="130">
        <f ca="1" t="shared" si="1768"/>
        <v>1</v>
      </c>
      <c r="H1551" s="130">
        <f ca="1" t="shared" si="1769"/>
        <v>1</v>
      </c>
      <c r="I1551" s="130">
        <f ca="1" t="shared" si="1770"/>
        <v>1</v>
      </c>
      <c r="J1551" s="130">
        <f ca="1" t="shared" si="1771"/>
        <v>1</v>
      </c>
      <c r="K1551" s="130">
        <f ca="1" t="shared" si="1772"/>
        <v>1</v>
      </c>
      <c r="L1551" s="130">
        <f ca="1" t="shared" si="1773"/>
        <v>1</v>
      </c>
      <c r="M1551" s="130">
        <f ca="1" t="shared" si="1774"/>
        <v>1</v>
      </c>
      <c r="N1551" s="130">
        <f ca="1" t="shared" si="1775"/>
        <v>1</v>
      </c>
      <c r="O1551" s="130">
        <f ca="1" t="shared" si="1776"/>
        <v>1</v>
      </c>
      <c r="P1551" s="130">
        <f ca="1" t="shared" si="1777"/>
        <v>1</v>
      </c>
      <c r="Q1551" s="130">
        <f ca="1" t="shared" si="1778"/>
        <v>1</v>
      </c>
      <c r="R1551" s="130">
        <f ca="1" t="shared" si="1779"/>
        <v>1</v>
      </c>
      <c r="S1551" s="130">
        <f ca="1" t="shared" si="1780"/>
        <v>1</v>
      </c>
      <c r="T1551" s="130">
        <f ca="1" t="shared" si="1781"/>
        <v>1</v>
      </c>
      <c r="U1551" s="130">
        <f ca="1" t="shared" si="1782"/>
        <v>1</v>
      </c>
      <c r="V1551" s="130">
        <f ca="1" t="shared" si="1783"/>
        <v>1</v>
      </c>
    </row>
    <row r="1552" ht="16.5" spans="2:22">
      <c r="B1552" s="117">
        <v>316</v>
      </c>
      <c r="C1552" s="130">
        <f t="shared" si="1764"/>
        <v>31600</v>
      </c>
      <c r="D1552" s="130">
        <f ca="1" t="shared" si="1765"/>
        <v>1</v>
      </c>
      <c r="E1552" s="130">
        <f ca="1" t="shared" si="1766"/>
        <v>1</v>
      </c>
      <c r="F1552" s="130">
        <f ca="1" t="shared" si="1767"/>
        <v>1</v>
      </c>
      <c r="G1552" s="130">
        <f ca="1" t="shared" si="1768"/>
        <v>1</v>
      </c>
      <c r="H1552" s="130">
        <f ca="1" t="shared" si="1769"/>
        <v>1</v>
      </c>
      <c r="I1552" s="130">
        <f ca="1" t="shared" si="1770"/>
        <v>1</v>
      </c>
      <c r="J1552" s="130">
        <f ca="1" t="shared" si="1771"/>
        <v>1</v>
      </c>
      <c r="K1552" s="130">
        <f ca="1" t="shared" si="1772"/>
        <v>1</v>
      </c>
      <c r="L1552" s="130">
        <f ca="1" t="shared" si="1773"/>
        <v>1</v>
      </c>
      <c r="M1552" s="130">
        <f ca="1" t="shared" si="1774"/>
        <v>1</v>
      </c>
      <c r="N1552" s="130">
        <f ca="1" t="shared" si="1775"/>
        <v>1</v>
      </c>
      <c r="O1552" s="130">
        <f ca="1" t="shared" si="1776"/>
        <v>1</v>
      </c>
      <c r="P1552" s="130">
        <f ca="1" t="shared" si="1777"/>
        <v>1</v>
      </c>
      <c r="Q1552" s="130">
        <f ca="1" t="shared" si="1778"/>
        <v>1</v>
      </c>
      <c r="R1552" s="130">
        <f ca="1" t="shared" si="1779"/>
        <v>1</v>
      </c>
      <c r="S1552" s="130">
        <f ca="1" t="shared" si="1780"/>
        <v>1</v>
      </c>
      <c r="T1552" s="130">
        <f ca="1" t="shared" si="1781"/>
        <v>1</v>
      </c>
      <c r="U1552" s="130">
        <f ca="1" t="shared" si="1782"/>
        <v>1</v>
      </c>
      <c r="V1552" s="130">
        <f ca="1" t="shared" si="1783"/>
        <v>1</v>
      </c>
    </row>
    <row r="1553" ht="16.5" spans="2:22">
      <c r="B1553" s="117">
        <v>317</v>
      </c>
      <c r="C1553" s="130">
        <f t="shared" si="1764"/>
        <v>31700</v>
      </c>
      <c r="D1553" s="130">
        <f ca="1" t="shared" si="1765"/>
        <v>1</v>
      </c>
      <c r="E1553" s="130">
        <f ca="1" t="shared" si="1766"/>
        <v>1</v>
      </c>
      <c r="F1553" s="130">
        <f ca="1" t="shared" si="1767"/>
        <v>1</v>
      </c>
      <c r="G1553" s="130">
        <f ca="1" t="shared" si="1768"/>
        <v>1</v>
      </c>
      <c r="H1553" s="130">
        <f ca="1" t="shared" si="1769"/>
        <v>1</v>
      </c>
      <c r="I1553" s="130">
        <f ca="1" t="shared" si="1770"/>
        <v>1</v>
      </c>
      <c r="J1553" s="130">
        <f ca="1" t="shared" si="1771"/>
        <v>1</v>
      </c>
      <c r="K1553" s="130">
        <f ca="1" t="shared" si="1772"/>
        <v>1</v>
      </c>
      <c r="L1553" s="130">
        <f ca="1" t="shared" si="1773"/>
        <v>1</v>
      </c>
      <c r="M1553" s="130">
        <f ca="1" t="shared" si="1774"/>
        <v>1</v>
      </c>
      <c r="N1553" s="130">
        <f ca="1" t="shared" si="1775"/>
        <v>1</v>
      </c>
      <c r="O1553" s="130">
        <f ca="1" t="shared" si="1776"/>
        <v>1</v>
      </c>
      <c r="P1553" s="130">
        <f ca="1" t="shared" si="1777"/>
        <v>1</v>
      </c>
      <c r="Q1553" s="130">
        <f ca="1" t="shared" si="1778"/>
        <v>1</v>
      </c>
      <c r="R1553" s="130">
        <f ca="1" t="shared" si="1779"/>
        <v>1</v>
      </c>
      <c r="S1553" s="130">
        <f ca="1" t="shared" si="1780"/>
        <v>1</v>
      </c>
      <c r="T1553" s="130">
        <f ca="1" t="shared" si="1781"/>
        <v>1</v>
      </c>
      <c r="U1553" s="130">
        <f ca="1" t="shared" si="1782"/>
        <v>1</v>
      </c>
      <c r="V1553" s="130">
        <f ca="1" t="shared" si="1783"/>
        <v>1</v>
      </c>
    </row>
    <row r="1554" ht="16.5" spans="2:22">
      <c r="B1554" s="117">
        <v>318</v>
      </c>
      <c r="C1554" s="130">
        <f t="shared" si="1764"/>
        <v>31800</v>
      </c>
      <c r="D1554" s="130">
        <f ca="1" t="shared" si="1765"/>
        <v>1</v>
      </c>
      <c r="E1554" s="130">
        <f ca="1" t="shared" si="1766"/>
        <v>1</v>
      </c>
      <c r="F1554" s="130">
        <f ca="1" t="shared" si="1767"/>
        <v>1</v>
      </c>
      <c r="G1554" s="130">
        <f ca="1" t="shared" si="1768"/>
        <v>1</v>
      </c>
      <c r="H1554" s="130">
        <f ca="1" t="shared" si="1769"/>
        <v>1</v>
      </c>
      <c r="I1554" s="130">
        <f ca="1" t="shared" si="1770"/>
        <v>1</v>
      </c>
      <c r="J1554" s="130">
        <f ca="1" t="shared" si="1771"/>
        <v>1</v>
      </c>
      <c r="K1554" s="130">
        <f ca="1" t="shared" si="1772"/>
        <v>1</v>
      </c>
      <c r="L1554" s="130">
        <f ca="1" t="shared" si="1773"/>
        <v>1</v>
      </c>
      <c r="M1554" s="130">
        <f ca="1" t="shared" si="1774"/>
        <v>1</v>
      </c>
      <c r="N1554" s="130">
        <f ca="1" t="shared" si="1775"/>
        <v>1</v>
      </c>
      <c r="O1554" s="130">
        <f ca="1" t="shared" si="1776"/>
        <v>1</v>
      </c>
      <c r="P1554" s="130">
        <f ca="1" t="shared" si="1777"/>
        <v>1</v>
      </c>
      <c r="Q1554" s="130">
        <f ca="1" t="shared" si="1778"/>
        <v>1</v>
      </c>
      <c r="R1554" s="130">
        <f ca="1" t="shared" si="1779"/>
        <v>1</v>
      </c>
      <c r="S1554" s="130">
        <f ca="1" t="shared" si="1780"/>
        <v>1</v>
      </c>
      <c r="T1554" s="130">
        <f ca="1" t="shared" si="1781"/>
        <v>1</v>
      </c>
      <c r="U1554" s="130">
        <f ca="1" t="shared" si="1782"/>
        <v>1</v>
      </c>
      <c r="V1554" s="130">
        <f ca="1" t="shared" si="1783"/>
        <v>1</v>
      </c>
    </row>
    <row r="1555" ht="16.5" spans="2:22">
      <c r="B1555" s="117">
        <v>319</v>
      </c>
      <c r="C1555" s="130">
        <f t="shared" si="1764"/>
        <v>31900</v>
      </c>
      <c r="D1555" s="130">
        <f ca="1" t="shared" si="1765"/>
        <v>1</v>
      </c>
      <c r="E1555" s="130">
        <f ca="1" t="shared" si="1766"/>
        <v>1</v>
      </c>
      <c r="F1555" s="130">
        <f ca="1" t="shared" si="1767"/>
        <v>1</v>
      </c>
      <c r="G1555" s="130">
        <f ca="1" t="shared" si="1768"/>
        <v>1</v>
      </c>
      <c r="H1555" s="130">
        <f ca="1" t="shared" si="1769"/>
        <v>1</v>
      </c>
      <c r="I1555" s="130">
        <f ca="1" t="shared" si="1770"/>
        <v>1</v>
      </c>
      <c r="J1555" s="130">
        <f ca="1" t="shared" si="1771"/>
        <v>1</v>
      </c>
      <c r="K1555" s="130">
        <f ca="1" t="shared" si="1772"/>
        <v>1</v>
      </c>
      <c r="L1555" s="130">
        <f ca="1" t="shared" si="1773"/>
        <v>1</v>
      </c>
      <c r="M1555" s="130">
        <f ca="1" t="shared" si="1774"/>
        <v>1</v>
      </c>
      <c r="N1555" s="130">
        <f ca="1" t="shared" si="1775"/>
        <v>1</v>
      </c>
      <c r="O1555" s="130">
        <f ca="1" t="shared" si="1776"/>
        <v>1</v>
      </c>
      <c r="P1555" s="130">
        <f ca="1" t="shared" si="1777"/>
        <v>1</v>
      </c>
      <c r="Q1555" s="130">
        <f ca="1" t="shared" si="1778"/>
        <v>1</v>
      </c>
      <c r="R1555" s="130">
        <f ca="1" t="shared" si="1779"/>
        <v>1</v>
      </c>
      <c r="S1555" s="130">
        <f ca="1" t="shared" si="1780"/>
        <v>1</v>
      </c>
      <c r="T1555" s="130">
        <f ca="1" t="shared" si="1781"/>
        <v>1</v>
      </c>
      <c r="U1555" s="130">
        <f ca="1" t="shared" si="1782"/>
        <v>1</v>
      </c>
      <c r="V1555" s="130">
        <f ca="1" t="shared" si="1783"/>
        <v>1</v>
      </c>
    </row>
    <row r="1556" ht="16.5" spans="2:22">
      <c r="B1556" s="117">
        <v>320</v>
      </c>
      <c r="C1556" s="130">
        <f t="shared" si="1764"/>
        <v>32000</v>
      </c>
      <c r="D1556" s="130">
        <f ca="1" t="shared" si="1765"/>
        <v>1</v>
      </c>
      <c r="E1556" s="130">
        <f ca="1" t="shared" si="1766"/>
        <v>1</v>
      </c>
      <c r="F1556" s="130">
        <f ca="1" t="shared" si="1767"/>
        <v>1</v>
      </c>
      <c r="G1556" s="130">
        <f ca="1" t="shared" si="1768"/>
        <v>1</v>
      </c>
      <c r="H1556" s="130">
        <f ca="1" t="shared" si="1769"/>
        <v>1</v>
      </c>
      <c r="I1556" s="130">
        <f ca="1" t="shared" si="1770"/>
        <v>1</v>
      </c>
      <c r="J1556" s="130">
        <f ca="1" t="shared" si="1771"/>
        <v>1</v>
      </c>
      <c r="K1556" s="130">
        <f ca="1" t="shared" si="1772"/>
        <v>1</v>
      </c>
      <c r="L1556" s="130">
        <f ca="1" t="shared" si="1773"/>
        <v>1</v>
      </c>
      <c r="M1556" s="130">
        <f ca="1" t="shared" si="1774"/>
        <v>1</v>
      </c>
      <c r="N1556" s="130">
        <f ca="1" t="shared" si="1775"/>
        <v>1</v>
      </c>
      <c r="O1556" s="130">
        <f ca="1" t="shared" si="1776"/>
        <v>1</v>
      </c>
      <c r="P1556" s="130">
        <f ca="1" t="shared" si="1777"/>
        <v>1</v>
      </c>
      <c r="Q1556" s="130">
        <f ca="1" t="shared" si="1778"/>
        <v>1</v>
      </c>
      <c r="R1556" s="130">
        <f ca="1" t="shared" si="1779"/>
        <v>1</v>
      </c>
      <c r="S1556" s="130">
        <f ca="1" t="shared" si="1780"/>
        <v>1</v>
      </c>
      <c r="T1556" s="130">
        <f ca="1" t="shared" si="1781"/>
        <v>1</v>
      </c>
      <c r="U1556" s="130">
        <f ca="1" t="shared" si="1782"/>
        <v>1</v>
      </c>
      <c r="V1556" s="130">
        <f ca="1" t="shared" si="1783"/>
        <v>1</v>
      </c>
    </row>
    <row r="1557" ht="16.5" spans="2:22">
      <c r="B1557" s="117">
        <v>321</v>
      </c>
      <c r="C1557" s="130">
        <f t="shared" si="1764"/>
        <v>32100</v>
      </c>
      <c r="D1557" s="130">
        <f ca="1" t="shared" si="1765"/>
        <v>1</v>
      </c>
      <c r="E1557" s="130">
        <f ca="1" t="shared" si="1766"/>
        <v>1</v>
      </c>
      <c r="F1557" s="130">
        <f ca="1" t="shared" si="1767"/>
        <v>1</v>
      </c>
      <c r="G1557" s="130">
        <f ca="1" t="shared" si="1768"/>
        <v>1</v>
      </c>
      <c r="H1557" s="130">
        <f ca="1" t="shared" si="1769"/>
        <v>1</v>
      </c>
      <c r="I1557" s="130">
        <f ca="1" t="shared" si="1770"/>
        <v>1</v>
      </c>
      <c r="J1557" s="130">
        <f ca="1" t="shared" si="1771"/>
        <v>1</v>
      </c>
      <c r="K1557" s="130">
        <f ca="1" t="shared" si="1772"/>
        <v>1</v>
      </c>
      <c r="L1557" s="130">
        <f ca="1" t="shared" si="1773"/>
        <v>1</v>
      </c>
      <c r="M1557" s="130">
        <f ca="1" t="shared" si="1774"/>
        <v>1</v>
      </c>
      <c r="N1557" s="130">
        <f ca="1" t="shared" si="1775"/>
        <v>1</v>
      </c>
      <c r="O1557" s="130">
        <f ca="1" t="shared" si="1776"/>
        <v>1</v>
      </c>
      <c r="P1557" s="130">
        <f ca="1" t="shared" si="1777"/>
        <v>1</v>
      </c>
      <c r="Q1557" s="130">
        <f ca="1" t="shared" si="1778"/>
        <v>1</v>
      </c>
      <c r="R1557" s="130">
        <f ca="1" t="shared" si="1779"/>
        <v>1</v>
      </c>
      <c r="S1557" s="130">
        <f ca="1" t="shared" si="1780"/>
        <v>1</v>
      </c>
      <c r="T1557" s="130">
        <f ca="1" t="shared" si="1781"/>
        <v>1</v>
      </c>
      <c r="U1557" s="130">
        <f ca="1" t="shared" si="1782"/>
        <v>1</v>
      </c>
      <c r="V1557" s="130">
        <f ca="1" t="shared" si="1783"/>
        <v>1</v>
      </c>
    </row>
    <row r="1558" ht="16.5" spans="2:22">
      <c r="B1558" s="117">
        <v>322</v>
      </c>
      <c r="C1558" s="130">
        <f t="shared" si="1764"/>
        <v>32200</v>
      </c>
      <c r="D1558" s="130">
        <f ca="1" t="shared" si="1765"/>
        <v>1</v>
      </c>
      <c r="E1558" s="130">
        <f ca="1" t="shared" si="1766"/>
        <v>1</v>
      </c>
      <c r="F1558" s="130">
        <f ca="1" t="shared" si="1767"/>
        <v>1</v>
      </c>
      <c r="G1558" s="130">
        <f ca="1" t="shared" si="1768"/>
        <v>1</v>
      </c>
      <c r="H1558" s="130">
        <f ca="1" t="shared" si="1769"/>
        <v>1</v>
      </c>
      <c r="I1558" s="130">
        <f ca="1" t="shared" si="1770"/>
        <v>1</v>
      </c>
      <c r="J1558" s="130">
        <f ca="1" t="shared" si="1771"/>
        <v>1</v>
      </c>
      <c r="K1558" s="130">
        <f ca="1" t="shared" si="1772"/>
        <v>1</v>
      </c>
      <c r="L1558" s="130">
        <f ca="1" t="shared" si="1773"/>
        <v>1</v>
      </c>
      <c r="M1558" s="130">
        <f ca="1" t="shared" si="1774"/>
        <v>1</v>
      </c>
      <c r="N1558" s="130">
        <f ca="1" t="shared" si="1775"/>
        <v>1</v>
      </c>
      <c r="O1558" s="130">
        <f ca="1" t="shared" si="1776"/>
        <v>1</v>
      </c>
      <c r="P1558" s="130">
        <f ca="1" t="shared" si="1777"/>
        <v>1</v>
      </c>
      <c r="Q1558" s="130">
        <f ca="1" t="shared" si="1778"/>
        <v>1</v>
      </c>
      <c r="R1558" s="130">
        <f ca="1" t="shared" si="1779"/>
        <v>1</v>
      </c>
      <c r="S1558" s="130">
        <f ca="1" t="shared" si="1780"/>
        <v>1</v>
      </c>
      <c r="T1558" s="130">
        <f ca="1" t="shared" si="1781"/>
        <v>1</v>
      </c>
      <c r="U1558" s="130">
        <f ca="1" t="shared" si="1782"/>
        <v>1</v>
      </c>
      <c r="V1558" s="130">
        <f ca="1" t="shared" si="1783"/>
        <v>1</v>
      </c>
    </row>
    <row r="1559" ht="16.5" spans="2:22">
      <c r="B1559" s="117">
        <v>323</v>
      </c>
      <c r="C1559" s="130">
        <f t="shared" si="1764"/>
        <v>32300</v>
      </c>
      <c r="D1559" s="130">
        <f ca="1" t="shared" si="1765"/>
        <v>1</v>
      </c>
      <c r="E1559" s="130">
        <f ca="1" t="shared" si="1766"/>
        <v>1</v>
      </c>
      <c r="F1559" s="130">
        <f ca="1" t="shared" si="1767"/>
        <v>1</v>
      </c>
      <c r="G1559" s="130">
        <f ca="1" t="shared" si="1768"/>
        <v>1</v>
      </c>
      <c r="H1559" s="130">
        <f ca="1" t="shared" si="1769"/>
        <v>1</v>
      </c>
      <c r="I1559" s="130">
        <f ca="1" t="shared" si="1770"/>
        <v>1</v>
      </c>
      <c r="J1559" s="130">
        <f ca="1" t="shared" si="1771"/>
        <v>1</v>
      </c>
      <c r="K1559" s="130">
        <f ca="1" t="shared" si="1772"/>
        <v>1</v>
      </c>
      <c r="L1559" s="130">
        <f ca="1" t="shared" si="1773"/>
        <v>1</v>
      </c>
      <c r="M1559" s="130">
        <f ca="1" t="shared" si="1774"/>
        <v>1</v>
      </c>
      <c r="N1559" s="130">
        <f ca="1" t="shared" si="1775"/>
        <v>1</v>
      </c>
      <c r="O1559" s="130">
        <f ca="1" t="shared" si="1776"/>
        <v>1</v>
      </c>
      <c r="P1559" s="130">
        <f ca="1" t="shared" si="1777"/>
        <v>1</v>
      </c>
      <c r="Q1559" s="130">
        <f ca="1" t="shared" si="1778"/>
        <v>1</v>
      </c>
      <c r="R1559" s="130">
        <f ca="1" t="shared" si="1779"/>
        <v>1</v>
      </c>
      <c r="S1559" s="130">
        <f ca="1" t="shared" si="1780"/>
        <v>1</v>
      </c>
      <c r="T1559" s="130">
        <f ca="1" t="shared" si="1781"/>
        <v>1</v>
      </c>
      <c r="U1559" s="130">
        <f ca="1" t="shared" si="1782"/>
        <v>1</v>
      </c>
      <c r="V1559" s="130">
        <f ca="1" t="shared" si="1783"/>
        <v>1</v>
      </c>
    </row>
    <row r="1560" ht="16.5" spans="2:22">
      <c r="B1560" s="117">
        <v>324</v>
      </c>
      <c r="C1560" s="130">
        <f t="shared" si="1764"/>
        <v>32400</v>
      </c>
      <c r="D1560" s="130">
        <f ca="1" t="shared" si="1765"/>
        <v>1</v>
      </c>
      <c r="E1560" s="130">
        <f ca="1" t="shared" si="1766"/>
        <v>1</v>
      </c>
      <c r="F1560" s="130">
        <f ca="1" t="shared" si="1767"/>
        <v>1</v>
      </c>
      <c r="G1560" s="130">
        <f ca="1" t="shared" si="1768"/>
        <v>1</v>
      </c>
      <c r="H1560" s="130">
        <f ca="1" t="shared" si="1769"/>
        <v>1</v>
      </c>
      <c r="I1560" s="130">
        <f ca="1" t="shared" si="1770"/>
        <v>1</v>
      </c>
      <c r="J1560" s="130">
        <f ca="1" t="shared" si="1771"/>
        <v>1</v>
      </c>
      <c r="K1560" s="130">
        <f ca="1" t="shared" si="1772"/>
        <v>1</v>
      </c>
      <c r="L1560" s="130">
        <f ca="1" t="shared" si="1773"/>
        <v>1</v>
      </c>
      <c r="M1560" s="130">
        <f ca="1" t="shared" si="1774"/>
        <v>1</v>
      </c>
      <c r="N1560" s="130">
        <f ca="1" t="shared" si="1775"/>
        <v>1</v>
      </c>
      <c r="O1560" s="130">
        <f ca="1" t="shared" si="1776"/>
        <v>1</v>
      </c>
      <c r="P1560" s="130">
        <f ca="1" t="shared" si="1777"/>
        <v>1</v>
      </c>
      <c r="Q1560" s="130">
        <f ca="1" t="shared" si="1778"/>
        <v>1</v>
      </c>
      <c r="R1560" s="130">
        <f ca="1" t="shared" si="1779"/>
        <v>1</v>
      </c>
      <c r="S1560" s="130">
        <f ca="1" t="shared" si="1780"/>
        <v>1</v>
      </c>
      <c r="T1560" s="130">
        <f ca="1" t="shared" si="1781"/>
        <v>1</v>
      </c>
      <c r="U1560" s="130">
        <f ca="1" t="shared" si="1782"/>
        <v>1</v>
      </c>
      <c r="V1560" s="130">
        <f ca="1" t="shared" si="1783"/>
        <v>1</v>
      </c>
    </row>
    <row r="1561" ht="16.5" spans="2:22">
      <c r="B1561" s="117">
        <v>325</v>
      </c>
      <c r="C1561" s="130">
        <f t="shared" si="1764"/>
        <v>32500</v>
      </c>
      <c r="D1561" s="130">
        <f ca="1" t="shared" si="1765"/>
        <v>1</v>
      </c>
      <c r="E1561" s="130">
        <f ca="1" t="shared" si="1766"/>
        <v>1</v>
      </c>
      <c r="F1561" s="130">
        <f ca="1" t="shared" si="1767"/>
        <v>1</v>
      </c>
      <c r="G1561" s="130">
        <f ca="1" t="shared" si="1768"/>
        <v>1</v>
      </c>
      <c r="H1561" s="130">
        <f ca="1" t="shared" si="1769"/>
        <v>1</v>
      </c>
      <c r="I1561" s="130">
        <f ca="1" t="shared" si="1770"/>
        <v>1</v>
      </c>
      <c r="J1561" s="130">
        <f ca="1" t="shared" si="1771"/>
        <v>1</v>
      </c>
      <c r="K1561" s="130">
        <f ca="1" t="shared" si="1772"/>
        <v>1</v>
      </c>
      <c r="L1561" s="130">
        <f ca="1" t="shared" si="1773"/>
        <v>1</v>
      </c>
      <c r="M1561" s="130">
        <f ca="1" t="shared" si="1774"/>
        <v>1</v>
      </c>
      <c r="N1561" s="130">
        <f ca="1" t="shared" si="1775"/>
        <v>1</v>
      </c>
      <c r="O1561" s="130">
        <f ca="1" t="shared" si="1776"/>
        <v>1</v>
      </c>
      <c r="P1561" s="130">
        <f ca="1" t="shared" si="1777"/>
        <v>1</v>
      </c>
      <c r="Q1561" s="130">
        <f ca="1" t="shared" si="1778"/>
        <v>1</v>
      </c>
      <c r="R1561" s="130">
        <f ca="1" t="shared" si="1779"/>
        <v>1</v>
      </c>
      <c r="S1561" s="130">
        <f ca="1" t="shared" si="1780"/>
        <v>1</v>
      </c>
      <c r="T1561" s="130">
        <f ca="1" t="shared" si="1781"/>
        <v>1</v>
      </c>
      <c r="U1561" s="130">
        <f ca="1" t="shared" si="1782"/>
        <v>1</v>
      </c>
      <c r="V1561" s="130">
        <f ca="1" t="shared" si="1783"/>
        <v>1</v>
      </c>
    </row>
    <row r="1562" ht="16.5" spans="2:22">
      <c r="B1562" s="117">
        <v>326</v>
      </c>
      <c r="C1562" s="130">
        <f t="shared" si="1764"/>
        <v>32600</v>
      </c>
      <c r="D1562" s="130">
        <f ca="1" t="shared" si="1765"/>
        <v>1</v>
      </c>
      <c r="E1562" s="130">
        <f ca="1" t="shared" si="1766"/>
        <v>1</v>
      </c>
      <c r="F1562" s="130">
        <f ca="1" t="shared" si="1767"/>
        <v>1</v>
      </c>
      <c r="G1562" s="130">
        <f ca="1" t="shared" si="1768"/>
        <v>1</v>
      </c>
      <c r="H1562" s="130">
        <f ca="1" t="shared" si="1769"/>
        <v>1</v>
      </c>
      <c r="I1562" s="130">
        <f ca="1" t="shared" si="1770"/>
        <v>1</v>
      </c>
      <c r="J1562" s="130">
        <f ca="1" t="shared" si="1771"/>
        <v>1</v>
      </c>
      <c r="K1562" s="130">
        <f ca="1" t="shared" si="1772"/>
        <v>1</v>
      </c>
      <c r="L1562" s="130">
        <f ca="1" t="shared" si="1773"/>
        <v>1</v>
      </c>
      <c r="M1562" s="130">
        <f ca="1" t="shared" si="1774"/>
        <v>1</v>
      </c>
      <c r="N1562" s="130">
        <f ca="1" t="shared" si="1775"/>
        <v>1</v>
      </c>
      <c r="O1562" s="130">
        <f ca="1" t="shared" si="1776"/>
        <v>1</v>
      </c>
      <c r="P1562" s="130">
        <f ca="1" t="shared" si="1777"/>
        <v>1</v>
      </c>
      <c r="Q1562" s="130">
        <f ca="1" t="shared" si="1778"/>
        <v>1</v>
      </c>
      <c r="R1562" s="130">
        <f ca="1" t="shared" si="1779"/>
        <v>1</v>
      </c>
      <c r="S1562" s="130">
        <f ca="1" t="shared" si="1780"/>
        <v>1</v>
      </c>
      <c r="T1562" s="130">
        <f ca="1" t="shared" si="1781"/>
        <v>1</v>
      </c>
      <c r="U1562" s="130">
        <f ca="1" t="shared" si="1782"/>
        <v>1</v>
      </c>
      <c r="V1562" s="130">
        <f ca="1" t="shared" si="1783"/>
        <v>1</v>
      </c>
    </row>
    <row r="1563" ht="16.5" spans="2:22">
      <c r="B1563" s="117">
        <v>327</v>
      </c>
      <c r="C1563" s="130">
        <f t="shared" si="1764"/>
        <v>32700</v>
      </c>
      <c r="D1563" s="130">
        <f ca="1" t="shared" si="1765"/>
        <v>1</v>
      </c>
      <c r="E1563" s="130">
        <f ca="1" t="shared" si="1766"/>
        <v>1</v>
      </c>
      <c r="F1563" s="130">
        <f ca="1" t="shared" si="1767"/>
        <v>1</v>
      </c>
      <c r="G1563" s="130">
        <f ca="1" t="shared" si="1768"/>
        <v>1</v>
      </c>
      <c r="H1563" s="130">
        <f ca="1" t="shared" si="1769"/>
        <v>1</v>
      </c>
      <c r="I1563" s="130">
        <f ca="1" t="shared" si="1770"/>
        <v>1</v>
      </c>
      <c r="J1563" s="130">
        <f ca="1" t="shared" si="1771"/>
        <v>1</v>
      </c>
      <c r="K1563" s="130">
        <f ca="1" t="shared" si="1772"/>
        <v>1</v>
      </c>
      <c r="L1563" s="130">
        <f ca="1" t="shared" si="1773"/>
        <v>1</v>
      </c>
      <c r="M1563" s="130">
        <f ca="1" t="shared" si="1774"/>
        <v>1</v>
      </c>
      <c r="N1563" s="130">
        <f ca="1" t="shared" si="1775"/>
        <v>1</v>
      </c>
      <c r="O1563" s="130">
        <f ca="1" t="shared" si="1776"/>
        <v>1</v>
      </c>
      <c r="P1563" s="130">
        <f ca="1" t="shared" si="1777"/>
        <v>1</v>
      </c>
      <c r="Q1563" s="130">
        <f ca="1" t="shared" si="1778"/>
        <v>1</v>
      </c>
      <c r="R1563" s="130">
        <f ca="1" t="shared" si="1779"/>
        <v>1</v>
      </c>
      <c r="S1563" s="130">
        <f ca="1" t="shared" si="1780"/>
        <v>1</v>
      </c>
      <c r="T1563" s="130">
        <f ca="1" t="shared" si="1781"/>
        <v>1</v>
      </c>
      <c r="U1563" s="130">
        <f ca="1" t="shared" si="1782"/>
        <v>1</v>
      </c>
      <c r="V1563" s="130">
        <f ca="1" t="shared" si="1783"/>
        <v>1</v>
      </c>
    </row>
    <row r="1564" ht="16.5" spans="2:22">
      <c r="B1564" s="117">
        <v>328</v>
      </c>
      <c r="C1564" s="130">
        <f t="shared" si="1764"/>
        <v>32800</v>
      </c>
      <c r="D1564" s="130">
        <f ca="1" t="shared" si="1765"/>
        <v>1</v>
      </c>
      <c r="E1564" s="130">
        <f ca="1" t="shared" si="1766"/>
        <v>1</v>
      </c>
      <c r="F1564" s="130">
        <f ca="1" t="shared" si="1767"/>
        <v>1</v>
      </c>
      <c r="G1564" s="130">
        <f ca="1" t="shared" si="1768"/>
        <v>1</v>
      </c>
      <c r="H1564" s="130">
        <f ca="1" t="shared" si="1769"/>
        <v>1</v>
      </c>
      <c r="I1564" s="130">
        <f ca="1" t="shared" si="1770"/>
        <v>1</v>
      </c>
      <c r="J1564" s="130">
        <f ca="1" t="shared" si="1771"/>
        <v>1</v>
      </c>
      <c r="K1564" s="130">
        <f ca="1" t="shared" si="1772"/>
        <v>1</v>
      </c>
      <c r="L1564" s="130">
        <f ca="1" t="shared" si="1773"/>
        <v>1</v>
      </c>
      <c r="M1564" s="130">
        <f ca="1" t="shared" si="1774"/>
        <v>1</v>
      </c>
      <c r="N1564" s="130">
        <f ca="1" t="shared" si="1775"/>
        <v>1</v>
      </c>
      <c r="O1564" s="130">
        <f ca="1" t="shared" si="1776"/>
        <v>1</v>
      </c>
      <c r="P1564" s="130">
        <f ca="1" t="shared" si="1777"/>
        <v>1</v>
      </c>
      <c r="Q1564" s="130">
        <f ca="1" t="shared" si="1778"/>
        <v>1</v>
      </c>
      <c r="R1564" s="130">
        <f ca="1" t="shared" si="1779"/>
        <v>1</v>
      </c>
      <c r="S1564" s="130">
        <f ca="1" t="shared" si="1780"/>
        <v>1</v>
      </c>
      <c r="T1564" s="130">
        <f ca="1" t="shared" si="1781"/>
        <v>1</v>
      </c>
      <c r="U1564" s="130">
        <f ca="1" t="shared" si="1782"/>
        <v>1</v>
      </c>
      <c r="V1564" s="130">
        <f ca="1" t="shared" si="1783"/>
        <v>1</v>
      </c>
    </row>
    <row r="1565" ht="16.5" spans="2:22">
      <c r="B1565" s="117">
        <v>329</v>
      </c>
      <c r="C1565" s="130">
        <f t="shared" si="1764"/>
        <v>32900</v>
      </c>
      <c r="D1565" s="130">
        <f ca="1" t="shared" si="1765"/>
        <v>1</v>
      </c>
      <c r="E1565" s="130">
        <f ca="1" t="shared" si="1766"/>
        <v>1</v>
      </c>
      <c r="F1565" s="130">
        <f ca="1" t="shared" si="1767"/>
        <v>1</v>
      </c>
      <c r="G1565" s="130">
        <f ca="1" t="shared" si="1768"/>
        <v>1</v>
      </c>
      <c r="H1565" s="130">
        <f ca="1" t="shared" si="1769"/>
        <v>1</v>
      </c>
      <c r="I1565" s="130">
        <f ca="1" t="shared" si="1770"/>
        <v>1</v>
      </c>
      <c r="J1565" s="130">
        <f ca="1" t="shared" si="1771"/>
        <v>1</v>
      </c>
      <c r="K1565" s="130">
        <f ca="1" t="shared" si="1772"/>
        <v>1</v>
      </c>
      <c r="L1565" s="130">
        <f ca="1" t="shared" si="1773"/>
        <v>1</v>
      </c>
      <c r="M1565" s="130">
        <f ca="1" t="shared" si="1774"/>
        <v>1</v>
      </c>
      <c r="N1565" s="130">
        <f ca="1" t="shared" si="1775"/>
        <v>1</v>
      </c>
      <c r="O1565" s="130">
        <f ca="1" t="shared" si="1776"/>
        <v>1</v>
      </c>
      <c r="P1565" s="130">
        <f ca="1" t="shared" si="1777"/>
        <v>1</v>
      </c>
      <c r="Q1565" s="130">
        <f ca="1" t="shared" si="1778"/>
        <v>1</v>
      </c>
      <c r="R1565" s="130">
        <f ca="1" t="shared" si="1779"/>
        <v>1</v>
      </c>
      <c r="S1565" s="130">
        <f ca="1" t="shared" si="1780"/>
        <v>1</v>
      </c>
      <c r="T1565" s="130">
        <f ca="1" t="shared" si="1781"/>
        <v>1</v>
      </c>
      <c r="U1565" s="130">
        <f ca="1" t="shared" si="1782"/>
        <v>1</v>
      </c>
      <c r="V1565" s="130">
        <f ca="1" t="shared" si="1783"/>
        <v>1</v>
      </c>
    </row>
    <row r="1566" ht="16.5" spans="2:22">
      <c r="B1566" s="117">
        <v>330</v>
      </c>
      <c r="C1566" s="130">
        <f t="shared" si="1764"/>
        <v>33000</v>
      </c>
      <c r="D1566" s="130">
        <f ca="1" t="shared" si="1765"/>
        <v>1</v>
      </c>
      <c r="E1566" s="130">
        <f ca="1" t="shared" si="1766"/>
        <v>1</v>
      </c>
      <c r="F1566" s="130">
        <f ca="1" t="shared" si="1767"/>
        <v>1</v>
      </c>
      <c r="G1566" s="130">
        <f ca="1" t="shared" si="1768"/>
        <v>1</v>
      </c>
      <c r="H1566" s="130">
        <f ca="1" t="shared" si="1769"/>
        <v>1</v>
      </c>
      <c r="I1566" s="130">
        <f ca="1" t="shared" si="1770"/>
        <v>1</v>
      </c>
      <c r="J1566" s="130">
        <f ca="1" t="shared" si="1771"/>
        <v>1</v>
      </c>
      <c r="K1566" s="130">
        <f ca="1" t="shared" si="1772"/>
        <v>1</v>
      </c>
      <c r="L1566" s="130">
        <f ca="1" t="shared" si="1773"/>
        <v>1</v>
      </c>
      <c r="M1566" s="130">
        <f ca="1" t="shared" si="1774"/>
        <v>1</v>
      </c>
      <c r="N1566" s="130">
        <f ca="1" t="shared" si="1775"/>
        <v>1</v>
      </c>
      <c r="O1566" s="130">
        <f ca="1" t="shared" si="1776"/>
        <v>1</v>
      </c>
      <c r="P1566" s="130">
        <f ca="1" t="shared" si="1777"/>
        <v>1</v>
      </c>
      <c r="Q1566" s="130">
        <f ca="1" t="shared" si="1778"/>
        <v>1</v>
      </c>
      <c r="R1566" s="130">
        <f ca="1" t="shared" si="1779"/>
        <v>1</v>
      </c>
      <c r="S1566" s="130">
        <f ca="1" t="shared" si="1780"/>
        <v>1</v>
      </c>
      <c r="T1566" s="130">
        <f ca="1" t="shared" si="1781"/>
        <v>1</v>
      </c>
      <c r="U1566" s="130">
        <f ca="1" t="shared" si="1782"/>
        <v>1</v>
      </c>
      <c r="V1566" s="130">
        <f ca="1" t="shared" si="1783"/>
        <v>1</v>
      </c>
    </row>
    <row r="1567" ht="16.5" spans="2:22">
      <c r="B1567" s="117">
        <v>331</v>
      </c>
      <c r="C1567" s="130">
        <f t="shared" si="1764"/>
        <v>33100</v>
      </c>
      <c r="D1567" s="130">
        <f ca="1" t="shared" si="1765"/>
        <v>1</v>
      </c>
      <c r="E1567" s="130">
        <f ca="1" t="shared" si="1766"/>
        <v>1</v>
      </c>
      <c r="F1567" s="130">
        <f ca="1" t="shared" si="1767"/>
        <v>1</v>
      </c>
      <c r="G1567" s="130">
        <f ca="1" t="shared" si="1768"/>
        <v>1</v>
      </c>
      <c r="H1567" s="130">
        <f ca="1" t="shared" si="1769"/>
        <v>1</v>
      </c>
      <c r="I1567" s="130">
        <f ca="1" t="shared" si="1770"/>
        <v>1</v>
      </c>
      <c r="J1567" s="130">
        <f ca="1" t="shared" si="1771"/>
        <v>1</v>
      </c>
      <c r="K1567" s="130">
        <f ca="1" t="shared" si="1772"/>
        <v>1</v>
      </c>
      <c r="L1567" s="130">
        <f ca="1" t="shared" si="1773"/>
        <v>1</v>
      </c>
      <c r="M1567" s="130">
        <f ca="1" t="shared" si="1774"/>
        <v>1</v>
      </c>
      <c r="N1567" s="130">
        <f ca="1" t="shared" si="1775"/>
        <v>1</v>
      </c>
      <c r="O1567" s="130">
        <f ca="1" t="shared" si="1776"/>
        <v>1</v>
      </c>
      <c r="P1567" s="130">
        <f ca="1" t="shared" si="1777"/>
        <v>1</v>
      </c>
      <c r="Q1567" s="130">
        <f ca="1" t="shared" si="1778"/>
        <v>1</v>
      </c>
      <c r="R1567" s="130">
        <f ca="1" t="shared" si="1779"/>
        <v>1</v>
      </c>
      <c r="S1567" s="130">
        <f ca="1" t="shared" si="1780"/>
        <v>1</v>
      </c>
      <c r="T1567" s="130">
        <f ca="1" t="shared" si="1781"/>
        <v>1</v>
      </c>
      <c r="U1567" s="130">
        <f ca="1" t="shared" si="1782"/>
        <v>1</v>
      </c>
      <c r="V1567" s="130">
        <f ca="1" t="shared" si="1783"/>
        <v>1</v>
      </c>
    </row>
    <row r="1568" ht="16.5" spans="2:22">
      <c r="B1568" s="117">
        <v>332</v>
      </c>
      <c r="C1568" s="130">
        <f t="shared" si="1764"/>
        <v>33200</v>
      </c>
      <c r="D1568" s="130">
        <f ca="1" t="shared" si="1765"/>
        <v>1</v>
      </c>
      <c r="E1568" s="130">
        <f ca="1" t="shared" si="1766"/>
        <v>1</v>
      </c>
      <c r="F1568" s="130">
        <f ca="1" t="shared" si="1767"/>
        <v>1</v>
      </c>
      <c r="G1568" s="130">
        <f ca="1" t="shared" si="1768"/>
        <v>1</v>
      </c>
      <c r="H1568" s="130">
        <f ca="1" t="shared" si="1769"/>
        <v>1</v>
      </c>
      <c r="I1568" s="130">
        <f ca="1" t="shared" si="1770"/>
        <v>1</v>
      </c>
      <c r="J1568" s="130">
        <f ca="1" t="shared" si="1771"/>
        <v>1</v>
      </c>
      <c r="K1568" s="130">
        <f ca="1" t="shared" si="1772"/>
        <v>1</v>
      </c>
      <c r="L1568" s="130">
        <f ca="1" t="shared" si="1773"/>
        <v>1</v>
      </c>
      <c r="M1568" s="130">
        <f ca="1" t="shared" si="1774"/>
        <v>1</v>
      </c>
      <c r="N1568" s="130">
        <f ca="1" t="shared" si="1775"/>
        <v>1</v>
      </c>
      <c r="O1568" s="130">
        <f ca="1" t="shared" si="1776"/>
        <v>1</v>
      </c>
      <c r="P1568" s="130">
        <f ca="1" t="shared" si="1777"/>
        <v>1</v>
      </c>
      <c r="Q1568" s="130">
        <f ca="1" t="shared" si="1778"/>
        <v>1</v>
      </c>
      <c r="R1568" s="130">
        <f ca="1" t="shared" si="1779"/>
        <v>1</v>
      </c>
      <c r="S1568" s="130">
        <f ca="1" t="shared" si="1780"/>
        <v>1</v>
      </c>
      <c r="T1568" s="130">
        <f ca="1" t="shared" si="1781"/>
        <v>1</v>
      </c>
      <c r="U1568" s="130">
        <f ca="1" t="shared" si="1782"/>
        <v>1</v>
      </c>
      <c r="V1568" s="130">
        <f ca="1" t="shared" si="1783"/>
        <v>1</v>
      </c>
    </row>
    <row r="1569" ht="16.5" spans="2:22">
      <c r="B1569" s="117">
        <v>333</v>
      </c>
      <c r="C1569" s="130">
        <f t="shared" si="1764"/>
        <v>33300</v>
      </c>
      <c r="D1569" s="130">
        <f ca="1" t="shared" si="1765"/>
        <v>1</v>
      </c>
      <c r="E1569" s="130">
        <f ca="1" t="shared" si="1766"/>
        <v>1</v>
      </c>
      <c r="F1569" s="130">
        <f ca="1" t="shared" si="1767"/>
        <v>1</v>
      </c>
      <c r="G1569" s="130">
        <f ca="1" t="shared" si="1768"/>
        <v>1</v>
      </c>
      <c r="H1569" s="130">
        <f ca="1" t="shared" si="1769"/>
        <v>1</v>
      </c>
      <c r="I1569" s="130">
        <f ca="1" t="shared" si="1770"/>
        <v>1</v>
      </c>
      <c r="J1569" s="130">
        <f ca="1" t="shared" si="1771"/>
        <v>1</v>
      </c>
      <c r="K1569" s="130">
        <f ca="1" t="shared" si="1772"/>
        <v>1</v>
      </c>
      <c r="L1569" s="130">
        <f ca="1" t="shared" si="1773"/>
        <v>1</v>
      </c>
      <c r="M1569" s="130">
        <f ca="1" t="shared" si="1774"/>
        <v>1</v>
      </c>
      <c r="N1569" s="130">
        <f ca="1" t="shared" si="1775"/>
        <v>1</v>
      </c>
      <c r="O1569" s="130">
        <f ca="1" t="shared" si="1776"/>
        <v>1</v>
      </c>
      <c r="P1569" s="130">
        <f ca="1" t="shared" si="1777"/>
        <v>1</v>
      </c>
      <c r="Q1569" s="130">
        <f ca="1" t="shared" si="1778"/>
        <v>1</v>
      </c>
      <c r="R1569" s="130">
        <f ca="1" t="shared" si="1779"/>
        <v>1</v>
      </c>
      <c r="S1569" s="130">
        <f ca="1" t="shared" si="1780"/>
        <v>1</v>
      </c>
      <c r="T1569" s="130">
        <f ca="1" t="shared" si="1781"/>
        <v>1</v>
      </c>
      <c r="U1569" s="130">
        <f ca="1" t="shared" si="1782"/>
        <v>1</v>
      </c>
      <c r="V1569" s="130">
        <f ca="1" t="shared" si="1783"/>
        <v>1</v>
      </c>
    </row>
    <row r="1570" ht="16.5" spans="2:22">
      <c r="B1570" s="117">
        <v>334</v>
      </c>
      <c r="C1570" s="130">
        <f t="shared" si="1764"/>
        <v>33400</v>
      </c>
      <c r="D1570" s="130">
        <f ca="1" t="shared" si="1765"/>
        <v>1</v>
      </c>
      <c r="E1570" s="130">
        <f ca="1" t="shared" si="1766"/>
        <v>1</v>
      </c>
      <c r="F1570" s="130">
        <f ca="1" t="shared" si="1767"/>
        <v>1</v>
      </c>
      <c r="G1570" s="130">
        <f ca="1" t="shared" si="1768"/>
        <v>1</v>
      </c>
      <c r="H1570" s="130">
        <f ca="1" t="shared" si="1769"/>
        <v>1</v>
      </c>
      <c r="I1570" s="130">
        <f ca="1" t="shared" si="1770"/>
        <v>1</v>
      </c>
      <c r="J1570" s="130">
        <f ca="1" t="shared" si="1771"/>
        <v>1</v>
      </c>
      <c r="K1570" s="130">
        <f ca="1" t="shared" si="1772"/>
        <v>1</v>
      </c>
      <c r="L1570" s="130">
        <f ca="1" t="shared" si="1773"/>
        <v>1</v>
      </c>
      <c r="M1570" s="130">
        <f ca="1" t="shared" si="1774"/>
        <v>1</v>
      </c>
      <c r="N1570" s="130">
        <f ca="1" t="shared" si="1775"/>
        <v>1</v>
      </c>
      <c r="O1570" s="130">
        <f ca="1" t="shared" si="1776"/>
        <v>1</v>
      </c>
      <c r="P1570" s="130">
        <f ca="1" t="shared" si="1777"/>
        <v>1</v>
      </c>
      <c r="Q1570" s="130">
        <f ca="1" t="shared" si="1778"/>
        <v>1</v>
      </c>
      <c r="R1570" s="130">
        <f ca="1" t="shared" si="1779"/>
        <v>1</v>
      </c>
      <c r="S1570" s="130">
        <f ca="1" t="shared" si="1780"/>
        <v>1</v>
      </c>
      <c r="T1570" s="130">
        <f ca="1" t="shared" si="1781"/>
        <v>1</v>
      </c>
      <c r="U1570" s="130">
        <f ca="1" t="shared" si="1782"/>
        <v>1</v>
      </c>
      <c r="V1570" s="130">
        <f ca="1" t="shared" si="1783"/>
        <v>1</v>
      </c>
    </row>
    <row r="1571" ht="16.5" spans="2:22">
      <c r="B1571" s="117">
        <v>335</v>
      </c>
      <c r="C1571" s="130">
        <f t="shared" si="1764"/>
        <v>33500</v>
      </c>
      <c r="D1571" s="130">
        <f ca="1" t="shared" si="1765"/>
        <v>1</v>
      </c>
      <c r="E1571" s="130">
        <f ca="1" t="shared" si="1766"/>
        <v>1</v>
      </c>
      <c r="F1571" s="130">
        <f ca="1" t="shared" si="1767"/>
        <v>1</v>
      </c>
      <c r="G1571" s="130">
        <f ca="1" t="shared" si="1768"/>
        <v>1</v>
      </c>
      <c r="H1571" s="130">
        <f ca="1" t="shared" si="1769"/>
        <v>1</v>
      </c>
      <c r="I1571" s="130">
        <f ca="1" t="shared" si="1770"/>
        <v>1</v>
      </c>
      <c r="J1571" s="130">
        <f ca="1" t="shared" si="1771"/>
        <v>1</v>
      </c>
      <c r="K1571" s="130">
        <f ca="1" t="shared" si="1772"/>
        <v>1</v>
      </c>
      <c r="L1571" s="130">
        <f ca="1" t="shared" si="1773"/>
        <v>1</v>
      </c>
      <c r="M1571" s="130">
        <f ca="1" t="shared" si="1774"/>
        <v>1</v>
      </c>
      <c r="N1571" s="130">
        <f ca="1" t="shared" si="1775"/>
        <v>1</v>
      </c>
      <c r="O1571" s="130">
        <f ca="1" t="shared" si="1776"/>
        <v>1</v>
      </c>
      <c r="P1571" s="130">
        <f ca="1" t="shared" si="1777"/>
        <v>1</v>
      </c>
      <c r="Q1571" s="130">
        <f ca="1" t="shared" si="1778"/>
        <v>1</v>
      </c>
      <c r="R1571" s="130">
        <f ca="1" t="shared" si="1779"/>
        <v>1</v>
      </c>
      <c r="S1571" s="130">
        <f ca="1" t="shared" si="1780"/>
        <v>1</v>
      </c>
      <c r="T1571" s="130">
        <f ca="1" t="shared" si="1781"/>
        <v>1</v>
      </c>
      <c r="U1571" s="130">
        <f ca="1" t="shared" si="1782"/>
        <v>1</v>
      </c>
      <c r="V1571" s="130">
        <f ca="1" t="shared" si="1783"/>
        <v>1</v>
      </c>
    </row>
    <row r="1572" ht="16.5" spans="2:22">
      <c r="B1572" s="117">
        <v>336</v>
      </c>
      <c r="C1572" s="130">
        <f t="shared" si="1764"/>
        <v>33600</v>
      </c>
      <c r="D1572" s="130">
        <f ca="1" t="shared" si="1765"/>
        <v>1</v>
      </c>
      <c r="E1572" s="130">
        <f ca="1" t="shared" si="1766"/>
        <v>1</v>
      </c>
      <c r="F1572" s="130">
        <f ca="1" t="shared" si="1767"/>
        <v>1</v>
      </c>
      <c r="G1572" s="130">
        <f ca="1" t="shared" si="1768"/>
        <v>1</v>
      </c>
      <c r="H1572" s="130">
        <f ca="1" t="shared" si="1769"/>
        <v>1</v>
      </c>
      <c r="I1572" s="130">
        <f ca="1" t="shared" si="1770"/>
        <v>1</v>
      </c>
      <c r="J1572" s="130">
        <f ca="1" t="shared" si="1771"/>
        <v>1</v>
      </c>
      <c r="K1572" s="130">
        <f ca="1" t="shared" si="1772"/>
        <v>1</v>
      </c>
      <c r="L1572" s="130">
        <f ca="1" t="shared" si="1773"/>
        <v>1</v>
      </c>
      <c r="M1572" s="130">
        <f ca="1" t="shared" si="1774"/>
        <v>1</v>
      </c>
      <c r="N1572" s="130">
        <f ca="1" t="shared" si="1775"/>
        <v>1</v>
      </c>
      <c r="O1572" s="130">
        <f ca="1" t="shared" si="1776"/>
        <v>1</v>
      </c>
      <c r="P1572" s="130">
        <f ca="1" t="shared" si="1777"/>
        <v>1</v>
      </c>
      <c r="Q1572" s="130">
        <f ca="1" t="shared" si="1778"/>
        <v>1</v>
      </c>
      <c r="R1572" s="130">
        <f ca="1" t="shared" si="1779"/>
        <v>1</v>
      </c>
      <c r="S1572" s="130">
        <f ca="1" t="shared" si="1780"/>
        <v>1</v>
      </c>
      <c r="T1572" s="130">
        <f ca="1" t="shared" si="1781"/>
        <v>1</v>
      </c>
      <c r="U1572" s="130">
        <f ca="1" t="shared" si="1782"/>
        <v>1</v>
      </c>
      <c r="V1572" s="130">
        <f ca="1" t="shared" si="1783"/>
        <v>1</v>
      </c>
    </row>
    <row r="1573" ht="16.5" spans="2:22">
      <c r="B1573" s="117">
        <v>337</v>
      </c>
      <c r="C1573" s="130">
        <f t="shared" si="1764"/>
        <v>33700</v>
      </c>
      <c r="D1573" s="130">
        <f ca="1" t="shared" si="1765"/>
        <v>1</v>
      </c>
      <c r="E1573" s="130">
        <f ca="1" t="shared" si="1766"/>
        <v>1</v>
      </c>
      <c r="F1573" s="130">
        <f ca="1" t="shared" si="1767"/>
        <v>1</v>
      </c>
      <c r="G1573" s="130">
        <f ca="1" t="shared" si="1768"/>
        <v>1</v>
      </c>
      <c r="H1573" s="130">
        <f ca="1" t="shared" si="1769"/>
        <v>1</v>
      </c>
      <c r="I1573" s="130">
        <f ca="1" t="shared" si="1770"/>
        <v>1</v>
      </c>
      <c r="J1573" s="130">
        <f ca="1" t="shared" si="1771"/>
        <v>1</v>
      </c>
      <c r="K1573" s="130">
        <f ca="1" t="shared" si="1772"/>
        <v>1</v>
      </c>
      <c r="L1573" s="130">
        <f ca="1" t="shared" si="1773"/>
        <v>1</v>
      </c>
      <c r="M1573" s="130">
        <f ca="1" t="shared" si="1774"/>
        <v>1</v>
      </c>
      <c r="N1573" s="130">
        <f ca="1" t="shared" si="1775"/>
        <v>1</v>
      </c>
      <c r="O1573" s="130">
        <f ca="1" t="shared" si="1776"/>
        <v>1</v>
      </c>
      <c r="P1573" s="130">
        <f ca="1" t="shared" si="1777"/>
        <v>1</v>
      </c>
      <c r="Q1573" s="130">
        <f ca="1" t="shared" si="1778"/>
        <v>1</v>
      </c>
      <c r="R1573" s="130">
        <f ca="1" t="shared" si="1779"/>
        <v>1</v>
      </c>
      <c r="S1573" s="130">
        <f ca="1" t="shared" si="1780"/>
        <v>1</v>
      </c>
      <c r="T1573" s="130">
        <f ca="1" t="shared" si="1781"/>
        <v>1</v>
      </c>
      <c r="U1573" s="130">
        <f ca="1" t="shared" si="1782"/>
        <v>1</v>
      </c>
      <c r="V1573" s="130">
        <f ca="1" t="shared" si="1783"/>
        <v>1</v>
      </c>
    </row>
    <row r="1574" ht="16.5" spans="2:22">
      <c r="B1574" s="117">
        <v>338</v>
      </c>
      <c r="C1574" s="130">
        <f t="shared" si="1764"/>
        <v>33800</v>
      </c>
      <c r="D1574" s="130">
        <f ca="1" t="shared" si="1765"/>
        <v>1</v>
      </c>
      <c r="E1574" s="130">
        <f ca="1" t="shared" si="1766"/>
        <v>1</v>
      </c>
      <c r="F1574" s="130">
        <f ca="1" t="shared" si="1767"/>
        <v>1</v>
      </c>
      <c r="G1574" s="130">
        <f ca="1" t="shared" si="1768"/>
        <v>1</v>
      </c>
      <c r="H1574" s="130">
        <f ca="1" t="shared" si="1769"/>
        <v>1</v>
      </c>
      <c r="I1574" s="130">
        <f ca="1" t="shared" si="1770"/>
        <v>1</v>
      </c>
      <c r="J1574" s="130">
        <f ca="1" t="shared" si="1771"/>
        <v>1</v>
      </c>
      <c r="K1574" s="130">
        <f ca="1" t="shared" si="1772"/>
        <v>1</v>
      </c>
      <c r="L1574" s="130">
        <f ca="1" t="shared" si="1773"/>
        <v>1</v>
      </c>
      <c r="M1574" s="130">
        <f ca="1" t="shared" si="1774"/>
        <v>1</v>
      </c>
      <c r="N1574" s="130">
        <f ca="1" t="shared" si="1775"/>
        <v>1</v>
      </c>
      <c r="O1574" s="130">
        <f ca="1" t="shared" si="1776"/>
        <v>1</v>
      </c>
      <c r="P1574" s="130">
        <f ca="1" t="shared" si="1777"/>
        <v>1</v>
      </c>
      <c r="Q1574" s="130">
        <f ca="1" t="shared" si="1778"/>
        <v>1</v>
      </c>
      <c r="R1574" s="130">
        <f ca="1" t="shared" si="1779"/>
        <v>1</v>
      </c>
      <c r="S1574" s="130">
        <f ca="1" t="shared" si="1780"/>
        <v>1</v>
      </c>
      <c r="T1574" s="130">
        <f ca="1" t="shared" si="1781"/>
        <v>1</v>
      </c>
      <c r="U1574" s="130">
        <f ca="1" t="shared" si="1782"/>
        <v>1</v>
      </c>
      <c r="V1574" s="130">
        <f ca="1" t="shared" si="1783"/>
        <v>1</v>
      </c>
    </row>
    <row r="1575" ht="16.5" spans="2:22">
      <c r="B1575" s="117">
        <v>339</v>
      </c>
      <c r="C1575" s="130">
        <f t="shared" si="1764"/>
        <v>33900</v>
      </c>
      <c r="D1575" s="130">
        <f ca="1" t="shared" si="1765"/>
        <v>1</v>
      </c>
      <c r="E1575" s="130">
        <f ca="1" t="shared" si="1766"/>
        <v>1</v>
      </c>
      <c r="F1575" s="130">
        <f ca="1" t="shared" si="1767"/>
        <v>1</v>
      </c>
      <c r="G1575" s="130">
        <f ca="1" t="shared" si="1768"/>
        <v>1</v>
      </c>
      <c r="H1575" s="130">
        <f ca="1" t="shared" si="1769"/>
        <v>1</v>
      </c>
      <c r="I1575" s="130">
        <f ca="1" t="shared" si="1770"/>
        <v>1</v>
      </c>
      <c r="J1575" s="130">
        <f ca="1" t="shared" si="1771"/>
        <v>1</v>
      </c>
      <c r="K1575" s="130">
        <f ca="1" t="shared" si="1772"/>
        <v>1</v>
      </c>
      <c r="L1575" s="130">
        <f ca="1" t="shared" si="1773"/>
        <v>1</v>
      </c>
      <c r="M1575" s="130">
        <f ca="1" t="shared" si="1774"/>
        <v>1</v>
      </c>
      <c r="N1575" s="130">
        <f ca="1" t="shared" si="1775"/>
        <v>1</v>
      </c>
      <c r="O1575" s="130">
        <f ca="1" t="shared" si="1776"/>
        <v>1</v>
      </c>
      <c r="P1575" s="130">
        <f ca="1" t="shared" si="1777"/>
        <v>1</v>
      </c>
      <c r="Q1575" s="130">
        <f ca="1" t="shared" si="1778"/>
        <v>1</v>
      </c>
      <c r="R1575" s="130">
        <f ca="1" t="shared" si="1779"/>
        <v>1</v>
      </c>
      <c r="S1575" s="130">
        <f ca="1" t="shared" si="1780"/>
        <v>1</v>
      </c>
      <c r="T1575" s="130">
        <f ca="1" t="shared" si="1781"/>
        <v>1</v>
      </c>
      <c r="U1575" s="130">
        <f ca="1" t="shared" si="1782"/>
        <v>1</v>
      </c>
      <c r="V1575" s="130">
        <f ca="1" t="shared" si="1783"/>
        <v>1</v>
      </c>
    </row>
    <row r="1576" ht="16.5" spans="2:22">
      <c r="B1576" s="117">
        <v>340</v>
      </c>
      <c r="C1576" s="130">
        <f t="shared" si="1764"/>
        <v>34000</v>
      </c>
      <c r="D1576" s="130">
        <f ca="1" t="shared" si="1765"/>
        <v>1</v>
      </c>
      <c r="E1576" s="130">
        <f ca="1" t="shared" si="1766"/>
        <v>1</v>
      </c>
      <c r="F1576" s="130">
        <f ca="1" t="shared" si="1767"/>
        <v>1</v>
      </c>
      <c r="G1576" s="130">
        <f ca="1" t="shared" si="1768"/>
        <v>1</v>
      </c>
      <c r="H1576" s="130">
        <f ca="1" t="shared" si="1769"/>
        <v>1</v>
      </c>
      <c r="I1576" s="130">
        <f ca="1" t="shared" si="1770"/>
        <v>1</v>
      </c>
      <c r="J1576" s="130">
        <f ca="1" t="shared" si="1771"/>
        <v>1</v>
      </c>
      <c r="K1576" s="130">
        <f ca="1" t="shared" si="1772"/>
        <v>1</v>
      </c>
      <c r="L1576" s="130">
        <f ca="1" t="shared" si="1773"/>
        <v>1</v>
      </c>
      <c r="M1576" s="130">
        <f ca="1" t="shared" si="1774"/>
        <v>1</v>
      </c>
      <c r="N1576" s="130">
        <f ca="1" t="shared" si="1775"/>
        <v>1</v>
      </c>
      <c r="O1576" s="130">
        <f ca="1" t="shared" si="1776"/>
        <v>1</v>
      </c>
      <c r="P1576" s="130">
        <f ca="1" t="shared" si="1777"/>
        <v>1</v>
      </c>
      <c r="Q1576" s="130">
        <f ca="1" t="shared" si="1778"/>
        <v>1</v>
      </c>
      <c r="R1576" s="130">
        <f ca="1" t="shared" si="1779"/>
        <v>1</v>
      </c>
      <c r="S1576" s="130">
        <f ca="1" t="shared" si="1780"/>
        <v>1</v>
      </c>
      <c r="T1576" s="130">
        <f ca="1" t="shared" si="1781"/>
        <v>1</v>
      </c>
      <c r="U1576" s="130">
        <f ca="1" t="shared" si="1782"/>
        <v>1</v>
      </c>
      <c r="V1576" s="130">
        <f ca="1" t="shared" si="1783"/>
        <v>1</v>
      </c>
    </row>
    <row r="1577" ht="16.5" spans="2:22">
      <c r="B1577" s="117">
        <v>341</v>
      </c>
      <c r="C1577" s="130">
        <f t="shared" si="1764"/>
        <v>34100</v>
      </c>
      <c r="D1577" s="130">
        <f ca="1" t="shared" si="1765"/>
        <v>1</v>
      </c>
      <c r="E1577" s="130">
        <f ca="1" t="shared" si="1766"/>
        <v>1</v>
      </c>
      <c r="F1577" s="130">
        <f ca="1" t="shared" si="1767"/>
        <v>1</v>
      </c>
      <c r="G1577" s="130">
        <f ca="1" t="shared" si="1768"/>
        <v>1</v>
      </c>
      <c r="H1577" s="130">
        <f ca="1" t="shared" si="1769"/>
        <v>1</v>
      </c>
      <c r="I1577" s="130">
        <f ca="1" t="shared" si="1770"/>
        <v>1</v>
      </c>
      <c r="J1577" s="130">
        <f ca="1" t="shared" si="1771"/>
        <v>1</v>
      </c>
      <c r="K1577" s="130">
        <f ca="1" t="shared" si="1772"/>
        <v>1</v>
      </c>
      <c r="L1577" s="130">
        <f ca="1" t="shared" si="1773"/>
        <v>1</v>
      </c>
      <c r="M1577" s="130">
        <f ca="1" t="shared" si="1774"/>
        <v>1</v>
      </c>
      <c r="N1577" s="130">
        <f ca="1" t="shared" si="1775"/>
        <v>1</v>
      </c>
      <c r="O1577" s="130">
        <f ca="1" t="shared" si="1776"/>
        <v>1</v>
      </c>
      <c r="P1577" s="130">
        <f ca="1" t="shared" si="1777"/>
        <v>1</v>
      </c>
      <c r="Q1577" s="130">
        <f ca="1" t="shared" si="1778"/>
        <v>1</v>
      </c>
      <c r="R1577" s="130">
        <f ca="1" t="shared" si="1779"/>
        <v>1</v>
      </c>
      <c r="S1577" s="130">
        <f ca="1" t="shared" si="1780"/>
        <v>1</v>
      </c>
      <c r="T1577" s="130">
        <f ca="1" t="shared" si="1781"/>
        <v>1</v>
      </c>
      <c r="U1577" s="130">
        <f ca="1" t="shared" si="1782"/>
        <v>1</v>
      </c>
      <c r="V1577" s="130">
        <f ca="1" t="shared" si="1783"/>
        <v>1</v>
      </c>
    </row>
    <row r="1578" ht="16.5" spans="2:22">
      <c r="B1578" s="117">
        <v>342</v>
      </c>
      <c r="C1578" s="130">
        <f t="shared" si="1764"/>
        <v>34200</v>
      </c>
      <c r="D1578" s="130">
        <f ca="1" t="shared" si="1765"/>
        <v>1</v>
      </c>
      <c r="E1578" s="130">
        <f ca="1" t="shared" si="1766"/>
        <v>1</v>
      </c>
      <c r="F1578" s="130">
        <f ca="1" t="shared" si="1767"/>
        <v>1</v>
      </c>
      <c r="G1578" s="130">
        <f ca="1" t="shared" si="1768"/>
        <v>1</v>
      </c>
      <c r="H1578" s="130">
        <f ca="1" t="shared" si="1769"/>
        <v>1</v>
      </c>
      <c r="I1578" s="130">
        <f ca="1" t="shared" si="1770"/>
        <v>1</v>
      </c>
      <c r="J1578" s="130">
        <f ca="1" t="shared" si="1771"/>
        <v>1</v>
      </c>
      <c r="K1578" s="130">
        <f ca="1" t="shared" si="1772"/>
        <v>1</v>
      </c>
      <c r="L1578" s="130">
        <f ca="1" t="shared" si="1773"/>
        <v>1</v>
      </c>
      <c r="M1578" s="130">
        <f ca="1" t="shared" si="1774"/>
        <v>1</v>
      </c>
      <c r="N1578" s="130">
        <f ca="1" t="shared" si="1775"/>
        <v>1</v>
      </c>
      <c r="O1578" s="130">
        <f ca="1" t="shared" si="1776"/>
        <v>1</v>
      </c>
      <c r="P1578" s="130">
        <f ca="1" t="shared" si="1777"/>
        <v>1</v>
      </c>
      <c r="Q1578" s="130">
        <f ca="1" t="shared" si="1778"/>
        <v>1</v>
      </c>
      <c r="R1578" s="130">
        <f ca="1" t="shared" si="1779"/>
        <v>1</v>
      </c>
      <c r="S1578" s="130">
        <f ca="1" t="shared" si="1780"/>
        <v>1</v>
      </c>
      <c r="T1578" s="130">
        <f ca="1" t="shared" si="1781"/>
        <v>1</v>
      </c>
      <c r="U1578" s="130">
        <f ca="1" t="shared" si="1782"/>
        <v>1</v>
      </c>
      <c r="V1578" s="130">
        <f ca="1" t="shared" si="1783"/>
        <v>1</v>
      </c>
    </row>
    <row r="1579" ht="16.5" spans="2:22">
      <c r="B1579" s="117">
        <v>343</v>
      </c>
      <c r="C1579" s="130">
        <f t="shared" si="1764"/>
        <v>34300</v>
      </c>
      <c r="D1579" s="130">
        <f ca="1" t="shared" si="1765"/>
        <v>1</v>
      </c>
      <c r="E1579" s="130">
        <f ca="1" t="shared" si="1766"/>
        <v>1</v>
      </c>
      <c r="F1579" s="130">
        <f ca="1" t="shared" si="1767"/>
        <v>1</v>
      </c>
      <c r="G1579" s="130">
        <f ca="1" t="shared" si="1768"/>
        <v>1</v>
      </c>
      <c r="H1579" s="130">
        <f ca="1" t="shared" si="1769"/>
        <v>1</v>
      </c>
      <c r="I1579" s="130">
        <f ca="1" t="shared" si="1770"/>
        <v>1</v>
      </c>
      <c r="J1579" s="130">
        <f ca="1" t="shared" si="1771"/>
        <v>1</v>
      </c>
      <c r="K1579" s="130">
        <f ca="1" t="shared" si="1772"/>
        <v>1</v>
      </c>
      <c r="L1579" s="130">
        <f ca="1" t="shared" si="1773"/>
        <v>1</v>
      </c>
      <c r="M1579" s="130">
        <f ca="1" t="shared" si="1774"/>
        <v>1</v>
      </c>
      <c r="N1579" s="130">
        <f ca="1" t="shared" si="1775"/>
        <v>1</v>
      </c>
      <c r="O1579" s="130">
        <f ca="1" t="shared" si="1776"/>
        <v>1</v>
      </c>
      <c r="P1579" s="130">
        <f ca="1" t="shared" si="1777"/>
        <v>1</v>
      </c>
      <c r="Q1579" s="130">
        <f ca="1" t="shared" si="1778"/>
        <v>1</v>
      </c>
      <c r="R1579" s="130">
        <f ca="1" t="shared" si="1779"/>
        <v>1</v>
      </c>
      <c r="S1579" s="130">
        <f ca="1" t="shared" si="1780"/>
        <v>1</v>
      </c>
      <c r="T1579" s="130">
        <f ca="1" t="shared" si="1781"/>
        <v>1</v>
      </c>
      <c r="U1579" s="130">
        <f ca="1" t="shared" si="1782"/>
        <v>1</v>
      </c>
      <c r="V1579" s="130">
        <f ca="1" t="shared" si="1783"/>
        <v>1</v>
      </c>
    </row>
    <row r="1580" ht="16.5" spans="2:22">
      <c r="B1580" s="117">
        <v>344</v>
      </c>
      <c r="C1580" s="130">
        <f t="shared" si="1764"/>
        <v>34400</v>
      </c>
      <c r="D1580" s="130">
        <f ca="1" t="shared" si="1765"/>
        <v>1</v>
      </c>
      <c r="E1580" s="130">
        <f ca="1" t="shared" si="1766"/>
        <v>1</v>
      </c>
      <c r="F1580" s="130">
        <f ca="1" t="shared" si="1767"/>
        <v>1</v>
      </c>
      <c r="G1580" s="130">
        <f ca="1" t="shared" si="1768"/>
        <v>1</v>
      </c>
      <c r="H1580" s="130">
        <f ca="1" t="shared" si="1769"/>
        <v>1</v>
      </c>
      <c r="I1580" s="130">
        <f ca="1" t="shared" si="1770"/>
        <v>1</v>
      </c>
      <c r="J1580" s="130">
        <f ca="1" t="shared" si="1771"/>
        <v>1</v>
      </c>
      <c r="K1580" s="130">
        <f ca="1" t="shared" si="1772"/>
        <v>1</v>
      </c>
      <c r="L1580" s="130">
        <f ca="1" t="shared" si="1773"/>
        <v>1</v>
      </c>
      <c r="M1580" s="130">
        <f ca="1" t="shared" si="1774"/>
        <v>1</v>
      </c>
      <c r="N1580" s="130">
        <f ca="1" t="shared" si="1775"/>
        <v>1</v>
      </c>
      <c r="O1580" s="130">
        <f ca="1" t="shared" si="1776"/>
        <v>1</v>
      </c>
      <c r="P1580" s="130">
        <f ca="1" t="shared" si="1777"/>
        <v>1</v>
      </c>
      <c r="Q1580" s="130">
        <f ca="1" t="shared" si="1778"/>
        <v>1</v>
      </c>
      <c r="R1580" s="130">
        <f ca="1" t="shared" si="1779"/>
        <v>1</v>
      </c>
      <c r="S1580" s="130">
        <f ca="1" t="shared" si="1780"/>
        <v>1</v>
      </c>
      <c r="T1580" s="130">
        <f ca="1" t="shared" si="1781"/>
        <v>1</v>
      </c>
      <c r="U1580" s="130">
        <f ca="1" t="shared" si="1782"/>
        <v>1</v>
      </c>
      <c r="V1580" s="130">
        <f ca="1" t="shared" si="1783"/>
        <v>1</v>
      </c>
    </row>
    <row r="1581" ht="16.5" spans="2:22">
      <c r="B1581" s="117">
        <v>345</v>
      </c>
      <c r="C1581" s="130">
        <f t="shared" si="1764"/>
        <v>34500</v>
      </c>
      <c r="D1581" s="130">
        <f ca="1" t="shared" si="1765"/>
        <v>1</v>
      </c>
      <c r="E1581" s="130">
        <f ca="1" t="shared" si="1766"/>
        <v>1</v>
      </c>
      <c r="F1581" s="130">
        <f ca="1" t="shared" si="1767"/>
        <v>1</v>
      </c>
      <c r="G1581" s="130">
        <f ca="1" t="shared" si="1768"/>
        <v>1</v>
      </c>
      <c r="H1581" s="130">
        <f ca="1" t="shared" si="1769"/>
        <v>1</v>
      </c>
      <c r="I1581" s="130">
        <f ca="1" t="shared" si="1770"/>
        <v>1</v>
      </c>
      <c r="J1581" s="130">
        <f ca="1" t="shared" si="1771"/>
        <v>1</v>
      </c>
      <c r="K1581" s="130">
        <f ca="1" t="shared" si="1772"/>
        <v>1</v>
      </c>
      <c r="L1581" s="130">
        <f ca="1" t="shared" si="1773"/>
        <v>1</v>
      </c>
      <c r="M1581" s="130">
        <f ca="1" t="shared" si="1774"/>
        <v>1</v>
      </c>
      <c r="N1581" s="130">
        <f ca="1" t="shared" si="1775"/>
        <v>1</v>
      </c>
      <c r="O1581" s="130">
        <f ca="1" t="shared" si="1776"/>
        <v>1</v>
      </c>
      <c r="P1581" s="130">
        <f ca="1" t="shared" si="1777"/>
        <v>1</v>
      </c>
      <c r="Q1581" s="130">
        <f ca="1" t="shared" si="1778"/>
        <v>1</v>
      </c>
      <c r="R1581" s="130">
        <f ca="1" t="shared" si="1779"/>
        <v>1</v>
      </c>
      <c r="S1581" s="130">
        <f ca="1" t="shared" si="1780"/>
        <v>1</v>
      </c>
      <c r="T1581" s="130">
        <f ca="1" t="shared" si="1781"/>
        <v>1</v>
      </c>
      <c r="U1581" s="130">
        <f ca="1" t="shared" si="1782"/>
        <v>1</v>
      </c>
      <c r="V1581" s="130">
        <f ca="1" t="shared" si="1783"/>
        <v>1</v>
      </c>
    </row>
    <row r="1582" ht="16.5" spans="2:22">
      <c r="B1582" s="117">
        <v>346</v>
      </c>
      <c r="C1582" s="130">
        <f t="shared" si="1764"/>
        <v>34600</v>
      </c>
      <c r="D1582" s="130">
        <f ca="1" t="shared" si="1765"/>
        <v>1</v>
      </c>
      <c r="E1582" s="130">
        <f ca="1" t="shared" si="1766"/>
        <v>1</v>
      </c>
      <c r="F1582" s="130">
        <f ca="1" t="shared" si="1767"/>
        <v>1</v>
      </c>
      <c r="G1582" s="130">
        <f ca="1" t="shared" si="1768"/>
        <v>1</v>
      </c>
      <c r="H1582" s="130">
        <f ca="1" t="shared" si="1769"/>
        <v>1</v>
      </c>
      <c r="I1582" s="130">
        <f ca="1" t="shared" si="1770"/>
        <v>1</v>
      </c>
      <c r="J1582" s="130">
        <f ca="1" t="shared" si="1771"/>
        <v>1</v>
      </c>
      <c r="K1582" s="130">
        <f ca="1" t="shared" si="1772"/>
        <v>1</v>
      </c>
      <c r="L1582" s="130">
        <f ca="1" t="shared" si="1773"/>
        <v>1</v>
      </c>
      <c r="M1582" s="130">
        <f ca="1" t="shared" si="1774"/>
        <v>1</v>
      </c>
      <c r="N1582" s="130">
        <f ca="1" t="shared" si="1775"/>
        <v>1</v>
      </c>
      <c r="O1582" s="130">
        <f ca="1" t="shared" si="1776"/>
        <v>1</v>
      </c>
      <c r="P1582" s="130">
        <f ca="1" t="shared" si="1777"/>
        <v>1</v>
      </c>
      <c r="Q1582" s="130">
        <f ca="1" t="shared" si="1778"/>
        <v>1</v>
      </c>
      <c r="R1582" s="130">
        <f ca="1" t="shared" si="1779"/>
        <v>1</v>
      </c>
      <c r="S1582" s="130">
        <f ca="1" t="shared" si="1780"/>
        <v>1</v>
      </c>
      <c r="T1582" s="130">
        <f ca="1" t="shared" si="1781"/>
        <v>1</v>
      </c>
      <c r="U1582" s="130">
        <f ca="1" t="shared" si="1782"/>
        <v>1</v>
      </c>
      <c r="V1582" s="130">
        <f ca="1" t="shared" si="1783"/>
        <v>1</v>
      </c>
    </row>
    <row r="1583" ht="16.5" spans="2:22">
      <c r="B1583" s="117">
        <v>347</v>
      </c>
      <c r="C1583" s="130">
        <f t="shared" si="1764"/>
        <v>34700</v>
      </c>
      <c r="D1583" s="130">
        <f ca="1" t="shared" si="1765"/>
        <v>1</v>
      </c>
      <c r="E1583" s="130">
        <f ca="1" t="shared" si="1766"/>
        <v>1</v>
      </c>
      <c r="F1583" s="130">
        <f ca="1" t="shared" si="1767"/>
        <v>1</v>
      </c>
      <c r="G1583" s="130">
        <f ca="1" t="shared" si="1768"/>
        <v>1</v>
      </c>
      <c r="H1583" s="130">
        <f ca="1" t="shared" si="1769"/>
        <v>1</v>
      </c>
      <c r="I1583" s="130">
        <f ca="1" t="shared" si="1770"/>
        <v>1</v>
      </c>
      <c r="J1583" s="130">
        <f ca="1" t="shared" si="1771"/>
        <v>1</v>
      </c>
      <c r="K1583" s="130">
        <f ca="1" t="shared" si="1772"/>
        <v>1</v>
      </c>
      <c r="L1583" s="130">
        <f ca="1" t="shared" si="1773"/>
        <v>1</v>
      </c>
      <c r="M1583" s="130">
        <f ca="1" t="shared" si="1774"/>
        <v>1</v>
      </c>
      <c r="N1583" s="130">
        <f ca="1" t="shared" si="1775"/>
        <v>1</v>
      </c>
      <c r="O1583" s="130">
        <f ca="1" t="shared" si="1776"/>
        <v>1</v>
      </c>
      <c r="P1583" s="130">
        <f ca="1" t="shared" si="1777"/>
        <v>1</v>
      </c>
      <c r="Q1583" s="130">
        <f ca="1" t="shared" si="1778"/>
        <v>1</v>
      </c>
      <c r="R1583" s="130">
        <f ca="1" t="shared" si="1779"/>
        <v>1</v>
      </c>
      <c r="S1583" s="130">
        <f ca="1" t="shared" si="1780"/>
        <v>1</v>
      </c>
      <c r="T1583" s="130">
        <f ca="1" t="shared" si="1781"/>
        <v>1</v>
      </c>
      <c r="U1583" s="130">
        <f ca="1" t="shared" si="1782"/>
        <v>1</v>
      </c>
      <c r="V1583" s="130">
        <f ca="1" t="shared" si="1783"/>
        <v>1</v>
      </c>
    </row>
    <row r="1584" ht="16.5" spans="2:22">
      <c r="B1584" s="117">
        <v>348</v>
      </c>
      <c r="C1584" s="130">
        <f t="shared" si="1764"/>
        <v>34800</v>
      </c>
      <c r="D1584" s="130">
        <f ca="1" t="shared" si="1765"/>
        <v>1</v>
      </c>
      <c r="E1584" s="130">
        <f ca="1" t="shared" si="1766"/>
        <v>1</v>
      </c>
      <c r="F1584" s="130">
        <f ca="1" t="shared" si="1767"/>
        <v>1</v>
      </c>
      <c r="G1584" s="130">
        <f ca="1" t="shared" si="1768"/>
        <v>1</v>
      </c>
      <c r="H1584" s="130">
        <f ca="1" t="shared" si="1769"/>
        <v>1</v>
      </c>
      <c r="I1584" s="130">
        <f ca="1" t="shared" si="1770"/>
        <v>1</v>
      </c>
      <c r="J1584" s="130">
        <f ca="1" t="shared" si="1771"/>
        <v>1</v>
      </c>
      <c r="K1584" s="130">
        <f ca="1" t="shared" si="1772"/>
        <v>1</v>
      </c>
      <c r="L1584" s="130">
        <f ca="1" t="shared" si="1773"/>
        <v>1</v>
      </c>
      <c r="M1584" s="130">
        <f ca="1" t="shared" si="1774"/>
        <v>1</v>
      </c>
      <c r="N1584" s="130">
        <f ca="1" t="shared" si="1775"/>
        <v>1</v>
      </c>
      <c r="O1584" s="130">
        <f ca="1" t="shared" si="1776"/>
        <v>1</v>
      </c>
      <c r="P1584" s="130">
        <f ca="1" t="shared" si="1777"/>
        <v>1</v>
      </c>
      <c r="Q1584" s="130">
        <f ca="1" t="shared" si="1778"/>
        <v>1</v>
      </c>
      <c r="R1584" s="130">
        <f ca="1" t="shared" si="1779"/>
        <v>1</v>
      </c>
      <c r="S1584" s="130">
        <f ca="1" t="shared" si="1780"/>
        <v>1</v>
      </c>
      <c r="T1584" s="130">
        <f ca="1" t="shared" si="1781"/>
        <v>1</v>
      </c>
      <c r="U1584" s="130">
        <f ca="1" t="shared" si="1782"/>
        <v>1</v>
      </c>
      <c r="V1584" s="130">
        <f ca="1" t="shared" si="1783"/>
        <v>1</v>
      </c>
    </row>
    <row r="1585" ht="16.5" spans="2:22">
      <c r="B1585" s="117">
        <v>349</v>
      </c>
      <c r="C1585" s="130">
        <f t="shared" si="1764"/>
        <v>34900</v>
      </c>
      <c r="D1585" s="130">
        <f ca="1" t="shared" si="1765"/>
        <v>1</v>
      </c>
      <c r="E1585" s="130">
        <f ca="1" t="shared" si="1766"/>
        <v>1</v>
      </c>
      <c r="F1585" s="130">
        <f ca="1" t="shared" si="1767"/>
        <v>1</v>
      </c>
      <c r="G1585" s="130">
        <f ca="1" t="shared" si="1768"/>
        <v>1</v>
      </c>
      <c r="H1585" s="130">
        <f ca="1" t="shared" si="1769"/>
        <v>1</v>
      </c>
      <c r="I1585" s="130">
        <f ca="1" t="shared" si="1770"/>
        <v>1</v>
      </c>
      <c r="J1585" s="130">
        <f ca="1" t="shared" si="1771"/>
        <v>1</v>
      </c>
      <c r="K1585" s="130">
        <f ca="1" t="shared" si="1772"/>
        <v>1</v>
      </c>
      <c r="L1585" s="130">
        <f ca="1" t="shared" si="1773"/>
        <v>1</v>
      </c>
      <c r="M1585" s="130">
        <f ca="1" t="shared" si="1774"/>
        <v>1</v>
      </c>
      <c r="N1585" s="130">
        <f ca="1" t="shared" si="1775"/>
        <v>1</v>
      </c>
      <c r="O1585" s="130">
        <f ca="1" t="shared" si="1776"/>
        <v>1</v>
      </c>
      <c r="P1585" s="130">
        <f ca="1" t="shared" si="1777"/>
        <v>1</v>
      </c>
      <c r="Q1585" s="130">
        <f ca="1" t="shared" si="1778"/>
        <v>1</v>
      </c>
      <c r="R1585" s="130">
        <f ca="1" t="shared" si="1779"/>
        <v>1</v>
      </c>
      <c r="S1585" s="130">
        <f ca="1" t="shared" si="1780"/>
        <v>1</v>
      </c>
      <c r="T1585" s="130">
        <f ca="1" t="shared" si="1781"/>
        <v>1</v>
      </c>
      <c r="U1585" s="130">
        <f ca="1" t="shared" si="1782"/>
        <v>1</v>
      </c>
      <c r="V1585" s="130">
        <f ca="1" t="shared" si="1783"/>
        <v>1</v>
      </c>
    </row>
    <row r="1586" ht="16.5" spans="2:22">
      <c r="B1586" s="117">
        <v>350</v>
      </c>
      <c r="C1586" s="130">
        <f t="shared" si="1764"/>
        <v>35000</v>
      </c>
      <c r="D1586" s="130">
        <f ca="1" t="shared" si="1765"/>
        <v>1</v>
      </c>
      <c r="E1586" s="130">
        <f ca="1" t="shared" si="1766"/>
        <v>1</v>
      </c>
      <c r="F1586" s="130">
        <f ca="1" t="shared" si="1767"/>
        <v>1</v>
      </c>
      <c r="G1586" s="130">
        <f ca="1" t="shared" si="1768"/>
        <v>1</v>
      </c>
      <c r="H1586" s="130">
        <f ca="1" t="shared" si="1769"/>
        <v>1</v>
      </c>
      <c r="I1586" s="130">
        <f ca="1" t="shared" si="1770"/>
        <v>1</v>
      </c>
      <c r="J1586" s="130">
        <f ca="1" t="shared" si="1771"/>
        <v>1</v>
      </c>
      <c r="K1586" s="130">
        <f ca="1" t="shared" si="1772"/>
        <v>1</v>
      </c>
      <c r="L1586" s="130">
        <f ca="1" t="shared" si="1773"/>
        <v>1</v>
      </c>
      <c r="M1586" s="130">
        <f ca="1" t="shared" si="1774"/>
        <v>1</v>
      </c>
      <c r="N1586" s="130">
        <f ca="1" t="shared" si="1775"/>
        <v>1</v>
      </c>
      <c r="O1586" s="130">
        <f ca="1" t="shared" si="1776"/>
        <v>1</v>
      </c>
      <c r="P1586" s="130">
        <f ca="1" t="shared" si="1777"/>
        <v>1</v>
      </c>
      <c r="Q1586" s="130">
        <f ca="1" t="shared" si="1778"/>
        <v>1</v>
      </c>
      <c r="R1586" s="130">
        <f ca="1" t="shared" si="1779"/>
        <v>1</v>
      </c>
      <c r="S1586" s="130">
        <f ca="1" t="shared" si="1780"/>
        <v>1</v>
      </c>
      <c r="T1586" s="130">
        <f ca="1" t="shared" si="1781"/>
        <v>1</v>
      </c>
      <c r="U1586" s="130">
        <f ca="1" t="shared" si="1782"/>
        <v>1</v>
      </c>
      <c r="V1586" s="130">
        <f ca="1" t="shared" si="1783"/>
        <v>1</v>
      </c>
    </row>
    <row r="1587" ht="16.5" spans="2:22">
      <c r="B1587" s="117">
        <v>351</v>
      </c>
      <c r="C1587" s="130">
        <f t="shared" si="1764"/>
        <v>35100</v>
      </c>
      <c r="D1587" s="130">
        <f ca="1" t="shared" si="1765"/>
        <v>1</v>
      </c>
      <c r="E1587" s="130">
        <f ca="1" t="shared" si="1766"/>
        <v>1</v>
      </c>
      <c r="F1587" s="130">
        <f ca="1" t="shared" si="1767"/>
        <v>1</v>
      </c>
      <c r="G1587" s="130">
        <f ca="1" t="shared" si="1768"/>
        <v>1</v>
      </c>
      <c r="H1587" s="130">
        <f ca="1" t="shared" si="1769"/>
        <v>1</v>
      </c>
      <c r="I1587" s="130">
        <f ca="1" t="shared" si="1770"/>
        <v>1</v>
      </c>
      <c r="J1587" s="130">
        <f ca="1" t="shared" si="1771"/>
        <v>1</v>
      </c>
      <c r="K1587" s="130">
        <f ca="1" t="shared" si="1772"/>
        <v>1</v>
      </c>
      <c r="L1587" s="130">
        <f ca="1" t="shared" si="1773"/>
        <v>1</v>
      </c>
      <c r="M1587" s="130">
        <f ca="1" t="shared" si="1774"/>
        <v>1</v>
      </c>
      <c r="N1587" s="130">
        <f ca="1" t="shared" si="1775"/>
        <v>1</v>
      </c>
      <c r="O1587" s="130">
        <f ca="1" t="shared" si="1776"/>
        <v>1</v>
      </c>
      <c r="P1587" s="130">
        <f ca="1" t="shared" si="1777"/>
        <v>1</v>
      </c>
      <c r="Q1587" s="130">
        <f ca="1" t="shared" si="1778"/>
        <v>1</v>
      </c>
      <c r="R1587" s="130">
        <f ca="1" t="shared" si="1779"/>
        <v>1</v>
      </c>
      <c r="S1587" s="130">
        <f ca="1" t="shared" si="1780"/>
        <v>1</v>
      </c>
      <c r="T1587" s="130">
        <f ca="1" t="shared" si="1781"/>
        <v>1</v>
      </c>
      <c r="U1587" s="130">
        <f ca="1" t="shared" si="1782"/>
        <v>1</v>
      </c>
      <c r="V1587" s="130">
        <f ca="1" t="shared" si="1783"/>
        <v>1</v>
      </c>
    </row>
    <row r="1588" ht="16.5" spans="2:22">
      <c r="B1588" s="117">
        <v>352</v>
      </c>
      <c r="C1588" s="130">
        <f t="shared" si="1764"/>
        <v>35200</v>
      </c>
      <c r="D1588" s="130">
        <f ca="1" t="shared" si="1765"/>
        <v>1</v>
      </c>
      <c r="E1588" s="130">
        <f ca="1" t="shared" si="1766"/>
        <v>1</v>
      </c>
      <c r="F1588" s="130">
        <f ca="1" t="shared" si="1767"/>
        <v>1</v>
      </c>
      <c r="G1588" s="130">
        <f ca="1" t="shared" si="1768"/>
        <v>1</v>
      </c>
      <c r="H1588" s="130">
        <f ca="1" t="shared" si="1769"/>
        <v>1</v>
      </c>
      <c r="I1588" s="130">
        <f ca="1" t="shared" si="1770"/>
        <v>1</v>
      </c>
      <c r="J1588" s="130">
        <f ca="1" t="shared" si="1771"/>
        <v>1</v>
      </c>
      <c r="K1588" s="130">
        <f ca="1" t="shared" si="1772"/>
        <v>1</v>
      </c>
      <c r="L1588" s="130">
        <f ca="1" t="shared" si="1773"/>
        <v>1</v>
      </c>
      <c r="M1588" s="130">
        <f ca="1" t="shared" si="1774"/>
        <v>1</v>
      </c>
      <c r="N1588" s="130">
        <f ca="1" t="shared" si="1775"/>
        <v>1</v>
      </c>
      <c r="O1588" s="130">
        <f ca="1" t="shared" si="1776"/>
        <v>1</v>
      </c>
      <c r="P1588" s="130">
        <f ca="1" t="shared" si="1777"/>
        <v>1</v>
      </c>
      <c r="Q1588" s="130">
        <f ca="1" t="shared" si="1778"/>
        <v>1</v>
      </c>
      <c r="R1588" s="130">
        <f ca="1" t="shared" si="1779"/>
        <v>1</v>
      </c>
      <c r="S1588" s="130">
        <f ca="1" t="shared" si="1780"/>
        <v>1</v>
      </c>
      <c r="T1588" s="130">
        <f ca="1" t="shared" si="1781"/>
        <v>1</v>
      </c>
      <c r="U1588" s="130">
        <f ca="1" t="shared" si="1782"/>
        <v>1</v>
      </c>
      <c r="V1588" s="130">
        <f ca="1" t="shared" si="1783"/>
        <v>1</v>
      </c>
    </row>
    <row r="1589" ht="16.5" spans="2:22">
      <c r="B1589" s="117">
        <v>353</v>
      </c>
      <c r="C1589" s="130">
        <f t="shared" si="1764"/>
        <v>35300</v>
      </c>
      <c r="D1589" s="130">
        <f ca="1" t="shared" si="1765"/>
        <v>1</v>
      </c>
      <c r="E1589" s="130">
        <f ca="1" t="shared" si="1766"/>
        <v>1</v>
      </c>
      <c r="F1589" s="130">
        <f ca="1" t="shared" si="1767"/>
        <v>1</v>
      </c>
      <c r="G1589" s="130">
        <f ca="1" t="shared" si="1768"/>
        <v>1</v>
      </c>
      <c r="H1589" s="130">
        <f ca="1" t="shared" si="1769"/>
        <v>1</v>
      </c>
      <c r="I1589" s="130">
        <f ca="1" t="shared" si="1770"/>
        <v>1</v>
      </c>
      <c r="J1589" s="130">
        <f ca="1" t="shared" si="1771"/>
        <v>1</v>
      </c>
      <c r="K1589" s="130">
        <f ca="1" t="shared" si="1772"/>
        <v>1</v>
      </c>
      <c r="L1589" s="130">
        <f ca="1" t="shared" si="1773"/>
        <v>1</v>
      </c>
      <c r="M1589" s="130">
        <f ca="1" t="shared" si="1774"/>
        <v>1</v>
      </c>
      <c r="N1589" s="130">
        <f ca="1" t="shared" si="1775"/>
        <v>1</v>
      </c>
      <c r="O1589" s="130">
        <f ca="1" t="shared" si="1776"/>
        <v>1</v>
      </c>
      <c r="P1589" s="130">
        <f ca="1" t="shared" si="1777"/>
        <v>1</v>
      </c>
      <c r="Q1589" s="130">
        <f ca="1" t="shared" si="1778"/>
        <v>1</v>
      </c>
      <c r="R1589" s="130">
        <f ca="1" t="shared" si="1779"/>
        <v>1</v>
      </c>
      <c r="S1589" s="130">
        <f ca="1" t="shared" si="1780"/>
        <v>1</v>
      </c>
      <c r="T1589" s="130">
        <f ca="1" t="shared" si="1781"/>
        <v>1</v>
      </c>
      <c r="U1589" s="130">
        <f ca="1" t="shared" si="1782"/>
        <v>1</v>
      </c>
      <c r="V1589" s="130">
        <f ca="1" t="shared" si="1783"/>
        <v>1</v>
      </c>
    </row>
    <row r="1590" ht="16.5" spans="2:22">
      <c r="B1590" s="117">
        <v>354</v>
      </c>
      <c r="C1590" s="130">
        <f t="shared" si="1764"/>
        <v>35400</v>
      </c>
      <c r="D1590" s="130">
        <f ca="1" t="shared" si="1765"/>
        <v>1</v>
      </c>
      <c r="E1590" s="130">
        <f ca="1" t="shared" si="1766"/>
        <v>1</v>
      </c>
      <c r="F1590" s="130">
        <f ca="1" t="shared" si="1767"/>
        <v>1</v>
      </c>
      <c r="G1590" s="130">
        <f ca="1" t="shared" si="1768"/>
        <v>1</v>
      </c>
      <c r="H1590" s="130">
        <f ca="1" t="shared" si="1769"/>
        <v>1</v>
      </c>
      <c r="I1590" s="130">
        <f ca="1" t="shared" si="1770"/>
        <v>1</v>
      </c>
      <c r="J1590" s="130">
        <f ca="1" t="shared" si="1771"/>
        <v>1</v>
      </c>
      <c r="K1590" s="130">
        <f ca="1" t="shared" si="1772"/>
        <v>1</v>
      </c>
      <c r="L1590" s="130">
        <f ca="1" t="shared" si="1773"/>
        <v>1</v>
      </c>
      <c r="M1590" s="130">
        <f ca="1" t="shared" si="1774"/>
        <v>1</v>
      </c>
      <c r="N1590" s="130">
        <f ca="1" t="shared" si="1775"/>
        <v>1</v>
      </c>
      <c r="O1590" s="130">
        <f ca="1" t="shared" si="1776"/>
        <v>1</v>
      </c>
      <c r="P1590" s="130">
        <f ca="1" t="shared" si="1777"/>
        <v>1</v>
      </c>
      <c r="Q1590" s="130">
        <f ca="1" t="shared" si="1778"/>
        <v>1</v>
      </c>
      <c r="R1590" s="130">
        <f ca="1" t="shared" si="1779"/>
        <v>1</v>
      </c>
      <c r="S1590" s="130">
        <f ca="1" t="shared" si="1780"/>
        <v>1</v>
      </c>
      <c r="T1590" s="130">
        <f ca="1" t="shared" si="1781"/>
        <v>1</v>
      </c>
      <c r="U1590" s="130">
        <f ca="1" t="shared" si="1782"/>
        <v>1</v>
      </c>
      <c r="V1590" s="130">
        <f ca="1" t="shared" si="1783"/>
        <v>1</v>
      </c>
    </row>
    <row r="1591" ht="16.5" spans="2:22">
      <c r="B1591" s="117">
        <v>355</v>
      </c>
      <c r="C1591" s="130">
        <f t="shared" si="1764"/>
        <v>35500</v>
      </c>
      <c r="D1591" s="130">
        <f ca="1" t="shared" si="1765"/>
        <v>1</v>
      </c>
      <c r="E1591" s="130">
        <f ca="1" t="shared" si="1766"/>
        <v>1</v>
      </c>
      <c r="F1591" s="130">
        <f ca="1" t="shared" si="1767"/>
        <v>1</v>
      </c>
      <c r="G1591" s="130">
        <f ca="1" t="shared" si="1768"/>
        <v>1</v>
      </c>
      <c r="H1591" s="130">
        <f ca="1" t="shared" si="1769"/>
        <v>1</v>
      </c>
      <c r="I1591" s="130">
        <f ca="1" t="shared" si="1770"/>
        <v>1</v>
      </c>
      <c r="J1591" s="130">
        <f ca="1" t="shared" si="1771"/>
        <v>1</v>
      </c>
      <c r="K1591" s="130">
        <f ca="1" t="shared" si="1772"/>
        <v>1</v>
      </c>
      <c r="L1591" s="130">
        <f ca="1" t="shared" si="1773"/>
        <v>1</v>
      </c>
      <c r="M1591" s="130">
        <f ca="1" t="shared" si="1774"/>
        <v>1</v>
      </c>
      <c r="N1591" s="130">
        <f ca="1" t="shared" si="1775"/>
        <v>1</v>
      </c>
      <c r="O1591" s="130">
        <f ca="1" t="shared" si="1776"/>
        <v>1</v>
      </c>
      <c r="P1591" s="130">
        <f ca="1" t="shared" si="1777"/>
        <v>1</v>
      </c>
      <c r="Q1591" s="130">
        <f ca="1" t="shared" si="1778"/>
        <v>1</v>
      </c>
      <c r="R1591" s="130">
        <f ca="1" t="shared" si="1779"/>
        <v>1</v>
      </c>
      <c r="S1591" s="130">
        <f ca="1" t="shared" si="1780"/>
        <v>1</v>
      </c>
      <c r="T1591" s="130">
        <f ca="1" t="shared" si="1781"/>
        <v>1</v>
      </c>
      <c r="U1591" s="130">
        <f ca="1" t="shared" si="1782"/>
        <v>1</v>
      </c>
      <c r="V1591" s="130">
        <f ca="1" t="shared" si="1783"/>
        <v>1</v>
      </c>
    </row>
    <row r="1592" ht="16.5" spans="2:22">
      <c r="B1592" s="117">
        <v>356</v>
      </c>
      <c r="C1592" s="130">
        <f t="shared" si="1764"/>
        <v>35600</v>
      </c>
      <c r="D1592" s="130">
        <f ca="1" t="shared" si="1765"/>
        <v>1</v>
      </c>
      <c r="E1592" s="130">
        <f ca="1" t="shared" si="1766"/>
        <v>1</v>
      </c>
      <c r="F1592" s="130">
        <f ca="1" t="shared" si="1767"/>
        <v>1</v>
      </c>
      <c r="G1592" s="130">
        <f ca="1" t="shared" si="1768"/>
        <v>1</v>
      </c>
      <c r="H1592" s="130">
        <f ca="1" t="shared" si="1769"/>
        <v>1</v>
      </c>
      <c r="I1592" s="130">
        <f ca="1" t="shared" si="1770"/>
        <v>1</v>
      </c>
      <c r="J1592" s="130">
        <f ca="1" t="shared" si="1771"/>
        <v>1</v>
      </c>
      <c r="K1592" s="130">
        <f ca="1" t="shared" si="1772"/>
        <v>1</v>
      </c>
      <c r="L1592" s="130">
        <f ca="1" t="shared" si="1773"/>
        <v>1</v>
      </c>
      <c r="M1592" s="130">
        <f ca="1" t="shared" si="1774"/>
        <v>1</v>
      </c>
      <c r="N1592" s="130">
        <f ca="1" t="shared" si="1775"/>
        <v>1</v>
      </c>
      <c r="O1592" s="130">
        <f ca="1" t="shared" si="1776"/>
        <v>1</v>
      </c>
      <c r="P1592" s="130">
        <f ca="1" t="shared" si="1777"/>
        <v>1</v>
      </c>
      <c r="Q1592" s="130">
        <f ca="1" t="shared" si="1778"/>
        <v>1</v>
      </c>
      <c r="R1592" s="130">
        <f ca="1" t="shared" si="1779"/>
        <v>1</v>
      </c>
      <c r="S1592" s="130">
        <f ca="1" t="shared" si="1780"/>
        <v>1</v>
      </c>
      <c r="T1592" s="130">
        <f ca="1" t="shared" si="1781"/>
        <v>1</v>
      </c>
      <c r="U1592" s="130">
        <f ca="1" t="shared" si="1782"/>
        <v>1</v>
      </c>
      <c r="V1592" s="130">
        <f ca="1" t="shared" si="1783"/>
        <v>1</v>
      </c>
    </row>
    <row r="1593" ht="16.5" spans="2:22">
      <c r="B1593" s="117">
        <v>357</v>
      </c>
      <c r="C1593" s="130">
        <f t="shared" si="1764"/>
        <v>35700</v>
      </c>
      <c r="D1593" s="130">
        <f ca="1" t="shared" si="1765"/>
        <v>1</v>
      </c>
      <c r="E1593" s="130">
        <f ca="1" t="shared" si="1766"/>
        <v>1</v>
      </c>
      <c r="F1593" s="130">
        <f ca="1" t="shared" si="1767"/>
        <v>1</v>
      </c>
      <c r="G1593" s="130">
        <f ca="1" t="shared" si="1768"/>
        <v>1</v>
      </c>
      <c r="H1593" s="130">
        <f ca="1" t="shared" si="1769"/>
        <v>1</v>
      </c>
      <c r="I1593" s="130">
        <f ca="1" t="shared" si="1770"/>
        <v>1</v>
      </c>
      <c r="J1593" s="130">
        <f ca="1" t="shared" si="1771"/>
        <v>1</v>
      </c>
      <c r="K1593" s="130">
        <f ca="1" t="shared" si="1772"/>
        <v>1</v>
      </c>
      <c r="L1593" s="130">
        <f ca="1" t="shared" si="1773"/>
        <v>1</v>
      </c>
      <c r="M1593" s="130">
        <f ca="1" t="shared" si="1774"/>
        <v>1</v>
      </c>
      <c r="N1593" s="130">
        <f ca="1" t="shared" si="1775"/>
        <v>1</v>
      </c>
      <c r="O1593" s="130">
        <f ca="1" t="shared" si="1776"/>
        <v>1</v>
      </c>
      <c r="P1593" s="130">
        <f ca="1" t="shared" si="1777"/>
        <v>1</v>
      </c>
      <c r="Q1593" s="130">
        <f ca="1" t="shared" si="1778"/>
        <v>1</v>
      </c>
      <c r="R1593" s="130">
        <f ca="1" t="shared" si="1779"/>
        <v>1</v>
      </c>
      <c r="S1593" s="130">
        <f ca="1" t="shared" si="1780"/>
        <v>1</v>
      </c>
      <c r="T1593" s="130">
        <f ca="1" t="shared" si="1781"/>
        <v>1</v>
      </c>
      <c r="U1593" s="130">
        <f ca="1" t="shared" si="1782"/>
        <v>1</v>
      </c>
      <c r="V1593" s="130">
        <f ca="1" t="shared" si="1783"/>
        <v>1</v>
      </c>
    </row>
    <row r="1594" ht="16.5" spans="2:22">
      <c r="B1594" s="117">
        <v>358</v>
      </c>
      <c r="C1594" s="130">
        <f t="shared" si="1764"/>
        <v>35800</v>
      </c>
      <c r="D1594" s="130">
        <f ca="1" t="shared" si="1765"/>
        <v>1</v>
      </c>
      <c r="E1594" s="130">
        <f ca="1" t="shared" si="1766"/>
        <v>1</v>
      </c>
      <c r="F1594" s="130">
        <f ca="1" t="shared" si="1767"/>
        <v>1</v>
      </c>
      <c r="G1594" s="130">
        <f ca="1" t="shared" si="1768"/>
        <v>1</v>
      </c>
      <c r="H1594" s="130">
        <f ca="1" t="shared" si="1769"/>
        <v>1</v>
      </c>
      <c r="I1594" s="130">
        <f ca="1" t="shared" si="1770"/>
        <v>1</v>
      </c>
      <c r="J1594" s="130">
        <f ca="1" t="shared" si="1771"/>
        <v>1</v>
      </c>
      <c r="K1594" s="130">
        <f ca="1" t="shared" si="1772"/>
        <v>1</v>
      </c>
      <c r="L1594" s="130">
        <f ca="1" t="shared" si="1773"/>
        <v>1</v>
      </c>
      <c r="M1594" s="130">
        <f ca="1" t="shared" si="1774"/>
        <v>1</v>
      </c>
      <c r="N1594" s="130">
        <f ca="1" t="shared" si="1775"/>
        <v>1</v>
      </c>
      <c r="O1594" s="130">
        <f ca="1" t="shared" si="1776"/>
        <v>1</v>
      </c>
      <c r="P1594" s="130">
        <f ca="1" t="shared" si="1777"/>
        <v>1</v>
      </c>
      <c r="Q1594" s="130">
        <f ca="1" t="shared" si="1778"/>
        <v>1</v>
      </c>
      <c r="R1594" s="130">
        <f ca="1" t="shared" si="1779"/>
        <v>1</v>
      </c>
      <c r="S1594" s="130">
        <f ca="1" t="shared" si="1780"/>
        <v>1</v>
      </c>
      <c r="T1594" s="130">
        <f ca="1" t="shared" si="1781"/>
        <v>1</v>
      </c>
      <c r="U1594" s="130">
        <f ca="1" t="shared" si="1782"/>
        <v>1</v>
      </c>
      <c r="V1594" s="130">
        <f ca="1" t="shared" si="1783"/>
        <v>1</v>
      </c>
    </row>
    <row r="1595" ht="16.5" spans="2:22">
      <c r="B1595" s="117">
        <v>359</v>
      </c>
      <c r="C1595" s="130">
        <f t="shared" si="1764"/>
        <v>35900</v>
      </c>
      <c r="D1595" s="130">
        <f ca="1" t="shared" si="1765"/>
        <v>1</v>
      </c>
      <c r="E1595" s="130">
        <f ca="1" t="shared" si="1766"/>
        <v>1</v>
      </c>
      <c r="F1595" s="130">
        <f ca="1" t="shared" si="1767"/>
        <v>1</v>
      </c>
      <c r="G1595" s="130">
        <f ca="1" t="shared" si="1768"/>
        <v>1</v>
      </c>
      <c r="H1595" s="130">
        <f ca="1" t="shared" si="1769"/>
        <v>1</v>
      </c>
      <c r="I1595" s="130">
        <f ca="1" t="shared" si="1770"/>
        <v>1</v>
      </c>
      <c r="J1595" s="130">
        <f ca="1" t="shared" si="1771"/>
        <v>1</v>
      </c>
      <c r="K1595" s="130">
        <f ca="1" t="shared" si="1772"/>
        <v>1</v>
      </c>
      <c r="L1595" s="130">
        <f ca="1" t="shared" si="1773"/>
        <v>1</v>
      </c>
      <c r="M1595" s="130">
        <f ca="1" t="shared" si="1774"/>
        <v>1</v>
      </c>
      <c r="N1595" s="130">
        <f ca="1" t="shared" si="1775"/>
        <v>1</v>
      </c>
      <c r="O1595" s="130">
        <f ca="1" t="shared" si="1776"/>
        <v>1</v>
      </c>
      <c r="P1595" s="130">
        <f ca="1" t="shared" si="1777"/>
        <v>1</v>
      </c>
      <c r="Q1595" s="130">
        <f ca="1" t="shared" si="1778"/>
        <v>1</v>
      </c>
      <c r="R1595" s="130">
        <f ca="1" t="shared" si="1779"/>
        <v>1</v>
      </c>
      <c r="S1595" s="130">
        <f ca="1" t="shared" si="1780"/>
        <v>1</v>
      </c>
      <c r="T1595" s="130">
        <f ca="1" t="shared" si="1781"/>
        <v>1</v>
      </c>
      <c r="U1595" s="130">
        <f ca="1" t="shared" si="1782"/>
        <v>1</v>
      </c>
      <c r="V1595" s="130">
        <f ca="1" t="shared" si="1783"/>
        <v>1</v>
      </c>
    </row>
    <row r="1596" ht="16.5" spans="2:22">
      <c r="B1596" s="117">
        <v>360</v>
      </c>
      <c r="C1596" s="130">
        <f t="shared" si="1764"/>
        <v>36000</v>
      </c>
      <c r="D1596" s="130">
        <f ca="1" t="shared" si="1765"/>
        <v>1</v>
      </c>
      <c r="E1596" s="130">
        <f ca="1" t="shared" si="1766"/>
        <v>1</v>
      </c>
      <c r="F1596" s="130">
        <f ca="1" t="shared" si="1767"/>
        <v>1</v>
      </c>
      <c r="G1596" s="130">
        <f ca="1" t="shared" si="1768"/>
        <v>1</v>
      </c>
      <c r="H1596" s="130">
        <f ca="1" t="shared" si="1769"/>
        <v>1</v>
      </c>
      <c r="I1596" s="130">
        <f ca="1" t="shared" si="1770"/>
        <v>1</v>
      </c>
      <c r="J1596" s="130">
        <f ca="1" t="shared" si="1771"/>
        <v>1</v>
      </c>
      <c r="K1596" s="130">
        <f ca="1" t="shared" si="1772"/>
        <v>1</v>
      </c>
      <c r="L1596" s="130">
        <f ca="1" t="shared" si="1773"/>
        <v>1</v>
      </c>
      <c r="M1596" s="130">
        <f ca="1" t="shared" si="1774"/>
        <v>1</v>
      </c>
      <c r="N1596" s="130">
        <f ca="1" t="shared" si="1775"/>
        <v>1</v>
      </c>
      <c r="O1596" s="130">
        <f ca="1" t="shared" si="1776"/>
        <v>1</v>
      </c>
      <c r="P1596" s="130">
        <f ca="1" t="shared" si="1777"/>
        <v>1</v>
      </c>
      <c r="Q1596" s="130">
        <f ca="1" t="shared" si="1778"/>
        <v>1</v>
      </c>
      <c r="R1596" s="130">
        <f ca="1" t="shared" si="1779"/>
        <v>1</v>
      </c>
      <c r="S1596" s="130">
        <f ca="1" t="shared" si="1780"/>
        <v>1</v>
      </c>
      <c r="T1596" s="130">
        <f ca="1" t="shared" si="1781"/>
        <v>1</v>
      </c>
      <c r="U1596" s="130">
        <f ca="1" t="shared" si="1782"/>
        <v>1</v>
      </c>
      <c r="V1596" s="130">
        <f ca="1" t="shared" si="1783"/>
        <v>1</v>
      </c>
    </row>
    <row r="1597" ht="16.5" spans="2:22">
      <c r="B1597" s="117">
        <v>361</v>
      </c>
      <c r="C1597" s="130">
        <f t="shared" si="1764"/>
        <v>36100</v>
      </c>
      <c r="D1597" s="130">
        <f ca="1" t="shared" si="1765"/>
        <v>1</v>
      </c>
      <c r="E1597" s="130">
        <f ca="1" t="shared" si="1766"/>
        <v>1</v>
      </c>
      <c r="F1597" s="130">
        <f ca="1" t="shared" si="1767"/>
        <v>1</v>
      </c>
      <c r="G1597" s="130">
        <f ca="1" t="shared" si="1768"/>
        <v>1</v>
      </c>
      <c r="H1597" s="130">
        <f ca="1" t="shared" si="1769"/>
        <v>1</v>
      </c>
      <c r="I1597" s="130">
        <f ca="1" t="shared" si="1770"/>
        <v>1</v>
      </c>
      <c r="J1597" s="130">
        <f ca="1" t="shared" si="1771"/>
        <v>1</v>
      </c>
      <c r="K1597" s="130">
        <f ca="1" t="shared" si="1772"/>
        <v>1</v>
      </c>
      <c r="L1597" s="130">
        <f ca="1" t="shared" si="1773"/>
        <v>1</v>
      </c>
      <c r="M1597" s="130">
        <f ca="1" t="shared" si="1774"/>
        <v>1</v>
      </c>
      <c r="N1597" s="130">
        <f ca="1" t="shared" si="1775"/>
        <v>1</v>
      </c>
      <c r="O1597" s="130">
        <f ca="1" t="shared" si="1776"/>
        <v>1</v>
      </c>
      <c r="P1597" s="130">
        <f ca="1" t="shared" si="1777"/>
        <v>1</v>
      </c>
      <c r="Q1597" s="130">
        <f ca="1" t="shared" si="1778"/>
        <v>1</v>
      </c>
      <c r="R1597" s="130">
        <f ca="1" t="shared" si="1779"/>
        <v>1</v>
      </c>
      <c r="S1597" s="130">
        <f ca="1" t="shared" si="1780"/>
        <v>1</v>
      </c>
      <c r="T1597" s="130">
        <f ca="1" t="shared" si="1781"/>
        <v>1</v>
      </c>
      <c r="U1597" s="130">
        <f ca="1" t="shared" si="1782"/>
        <v>1</v>
      </c>
      <c r="V1597" s="130">
        <f ca="1" t="shared" si="1783"/>
        <v>1</v>
      </c>
    </row>
    <row r="1598" ht="16.5" spans="2:22">
      <c r="B1598" s="117">
        <v>362</v>
      </c>
      <c r="C1598" s="130">
        <f t="shared" si="1764"/>
        <v>36200</v>
      </c>
      <c r="D1598" s="130">
        <f ca="1" t="shared" si="1765"/>
        <v>1</v>
      </c>
      <c r="E1598" s="130">
        <f ca="1" t="shared" si="1766"/>
        <v>1</v>
      </c>
      <c r="F1598" s="130">
        <f ca="1" t="shared" si="1767"/>
        <v>1</v>
      </c>
      <c r="G1598" s="130">
        <f ca="1" t="shared" si="1768"/>
        <v>1</v>
      </c>
      <c r="H1598" s="130">
        <f ca="1" t="shared" si="1769"/>
        <v>1</v>
      </c>
      <c r="I1598" s="130">
        <f ca="1" t="shared" si="1770"/>
        <v>1</v>
      </c>
      <c r="J1598" s="130">
        <f ca="1" t="shared" si="1771"/>
        <v>1</v>
      </c>
      <c r="K1598" s="130">
        <f ca="1" t="shared" si="1772"/>
        <v>1</v>
      </c>
      <c r="L1598" s="130">
        <f ca="1" t="shared" si="1773"/>
        <v>1</v>
      </c>
      <c r="M1598" s="130">
        <f ca="1" t="shared" si="1774"/>
        <v>1</v>
      </c>
      <c r="N1598" s="130">
        <f ca="1" t="shared" si="1775"/>
        <v>1</v>
      </c>
      <c r="O1598" s="130">
        <f ca="1" t="shared" si="1776"/>
        <v>1</v>
      </c>
      <c r="P1598" s="130">
        <f ca="1" t="shared" si="1777"/>
        <v>1</v>
      </c>
      <c r="Q1598" s="130">
        <f ca="1" t="shared" si="1778"/>
        <v>1</v>
      </c>
      <c r="R1598" s="130">
        <f ca="1" t="shared" si="1779"/>
        <v>1</v>
      </c>
      <c r="S1598" s="130">
        <f ca="1" t="shared" si="1780"/>
        <v>1</v>
      </c>
      <c r="T1598" s="130">
        <f ca="1" t="shared" si="1781"/>
        <v>1</v>
      </c>
      <c r="U1598" s="130">
        <f ca="1" t="shared" si="1782"/>
        <v>1</v>
      </c>
      <c r="V1598" s="130">
        <f ca="1" t="shared" si="1783"/>
        <v>1</v>
      </c>
    </row>
    <row r="1599" ht="16.5" spans="2:22">
      <c r="B1599" s="117">
        <v>363</v>
      </c>
      <c r="C1599" s="130">
        <f t="shared" si="1764"/>
        <v>36300</v>
      </c>
      <c r="D1599" s="130">
        <f ca="1" t="shared" si="1765"/>
        <v>1</v>
      </c>
      <c r="E1599" s="130">
        <f ca="1" t="shared" si="1766"/>
        <v>1</v>
      </c>
      <c r="F1599" s="130">
        <f ca="1" t="shared" si="1767"/>
        <v>1</v>
      </c>
      <c r="G1599" s="130">
        <f ca="1" t="shared" si="1768"/>
        <v>1</v>
      </c>
      <c r="H1599" s="130">
        <f ca="1" t="shared" si="1769"/>
        <v>1</v>
      </c>
      <c r="I1599" s="130">
        <f ca="1" t="shared" si="1770"/>
        <v>1</v>
      </c>
      <c r="J1599" s="130">
        <f ca="1" t="shared" si="1771"/>
        <v>1</v>
      </c>
      <c r="K1599" s="130">
        <f ca="1" t="shared" si="1772"/>
        <v>1</v>
      </c>
      <c r="L1599" s="130">
        <f ca="1" t="shared" si="1773"/>
        <v>1</v>
      </c>
      <c r="M1599" s="130">
        <f ca="1" t="shared" si="1774"/>
        <v>1</v>
      </c>
      <c r="N1599" s="130">
        <f ca="1" t="shared" si="1775"/>
        <v>1</v>
      </c>
      <c r="O1599" s="130">
        <f ca="1" t="shared" si="1776"/>
        <v>1</v>
      </c>
      <c r="P1599" s="130">
        <f ca="1" t="shared" si="1777"/>
        <v>1</v>
      </c>
      <c r="Q1599" s="130">
        <f ca="1" t="shared" si="1778"/>
        <v>1</v>
      </c>
      <c r="R1599" s="130">
        <f ca="1" t="shared" si="1779"/>
        <v>1</v>
      </c>
      <c r="S1599" s="130">
        <f ca="1" t="shared" si="1780"/>
        <v>1</v>
      </c>
      <c r="T1599" s="130">
        <f ca="1" t="shared" si="1781"/>
        <v>1</v>
      </c>
      <c r="U1599" s="130">
        <f ca="1" t="shared" si="1782"/>
        <v>1</v>
      </c>
      <c r="V1599" s="130">
        <f ca="1" t="shared" si="1783"/>
        <v>1</v>
      </c>
    </row>
    <row r="1600" ht="16.5" spans="2:22">
      <c r="B1600" s="117">
        <v>364</v>
      </c>
      <c r="C1600" s="130">
        <f t="shared" si="1764"/>
        <v>36400</v>
      </c>
      <c r="D1600" s="130">
        <f ca="1" t="shared" si="1765"/>
        <v>1</v>
      </c>
      <c r="E1600" s="130">
        <f ca="1" t="shared" si="1766"/>
        <v>1</v>
      </c>
      <c r="F1600" s="130">
        <f ca="1" t="shared" si="1767"/>
        <v>1</v>
      </c>
      <c r="G1600" s="130">
        <f ca="1" t="shared" si="1768"/>
        <v>1</v>
      </c>
      <c r="H1600" s="130">
        <f ca="1" t="shared" si="1769"/>
        <v>1</v>
      </c>
      <c r="I1600" s="130">
        <f ca="1" t="shared" si="1770"/>
        <v>1</v>
      </c>
      <c r="J1600" s="130">
        <f ca="1" t="shared" si="1771"/>
        <v>1</v>
      </c>
      <c r="K1600" s="130">
        <f ca="1" t="shared" si="1772"/>
        <v>1</v>
      </c>
      <c r="L1600" s="130">
        <f ca="1" t="shared" si="1773"/>
        <v>1</v>
      </c>
      <c r="M1600" s="130">
        <f ca="1" t="shared" si="1774"/>
        <v>1</v>
      </c>
      <c r="N1600" s="130">
        <f ca="1" t="shared" si="1775"/>
        <v>1</v>
      </c>
      <c r="O1600" s="130">
        <f ca="1" t="shared" si="1776"/>
        <v>1</v>
      </c>
      <c r="P1600" s="130">
        <f ca="1" t="shared" si="1777"/>
        <v>1</v>
      </c>
      <c r="Q1600" s="130">
        <f ca="1" t="shared" si="1778"/>
        <v>1</v>
      </c>
      <c r="R1600" s="130">
        <f ca="1" t="shared" si="1779"/>
        <v>1</v>
      </c>
      <c r="S1600" s="130">
        <f ca="1" t="shared" si="1780"/>
        <v>1</v>
      </c>
      <c r="T1600" s="130">
        <f ca="1" t="shared" si="1781"/>
        <v>1</v>
      </c>
      <c r="U1600" s="130">
        <f ca="1" t="shared" si="1782"/>
        <v>1</v>
      </c>
      <c r="V1600" s="130">
        <f ca="1" t="shared" si="1783"/>
        <v>1</v>
      </c>
    </row>
    <row r="1601" ht="16.5" spans="2:22">
      <c r="B1601" s="117">
        <v>365</v>
      </c>
      <c r="C1601" s="130">
        <f t="shared" ref="C1601:C1664" si="1784">C999</f>
        <v>36500</v>
      </c>
      <c r="D1601" s="130">
        <f ca="1" t="shared" ref="D1601:D1664" si="1785">IF($C1601&gt;D$633,1,0)</f>
        <v>1</v>
      </c>
      <c r="E1601" s="130">
        <f ca="1" t="shared" ref="E1601:E1664" si="1786">IF($C1601&gt;E$633,1,0)</f>
        <v>1</v>
      </c>
      <c r="F1601" s="130">
        <f ca="1" t="shared" ref="F1601:F1664" si="1787">IF($C1601&gt;F$633,1,0)</f>
        <v>1</v>
      </c>
      <c r="G1601" s="130">
        <f ca="1" t="shared" ref="G1601:G1664" si="1788">IF($C1601&gt;G$633,1,0)</f>
        <v>1</v>
      </c>
      <c r="H1601" s="130">
        <f ca="1" t="shared" ref="H1601:H1664" si="1789">IF($C1601&gt;H$633,1,0)</f>
        <v>1</v>
      </c>
      <c r="I1601" s="130">
        <f ca="1" t="shared" ref="I1601:I1664" si="1790">IF($C1601&gt;I$633,1,0)</f>
        <v>1</v>
      </c>
      <c r="J1601" s="130">
        <f ca="1" t="shared" ref="J1601:J1664" si="1791">IF($C1601&gt;J$633,1,0)</f>
        <v>1</v>
      </c>
      <c r="K1601" s="130">
        <f ca="1" t="shared" ref="K1601:K1664" si="1792">IF($C1601&gt;K$633,1,0)</f>
        <v>1</v>
      </c>
      <c r="L1601" s="130">
        <f ca="1" t="shared" ref="L1601:L1664" si="1793">IF($C1601&gt;L$633,1,0)</f>
        <v>1</v>
      </c>
      <c r="M1601" s="130">
        <f ca="1" t="shared" ref="M1601:M1664" si="1794">IF($C1601&gt;M$633,1,0)</f>
        <v>1</v>
      </c>
      <c r="N1601" s="130">
        <f ca="1" t="shared" ref="N1601:N1664" si="1795">IF($C1601&gt;N$633,1,0)</f>
        <v>1</v>
      </c>
      <c r="O1601" s="130">
        <f ca="1" t="shared" ref="O1601:O1664" si="1796">IF($C1601&gt;O$633,1,0)</f>
        <v>1</v>
      </c>
      <c r="P1601" s="130">
        <f ca="1" t="shared" ref="P1601:P1664" si="1797">IF($C1601&gt;P$633,1,0)</f>
        <v>1</v>
      </c>
      <c r="Q1601" s="130">
        <f ca="1" t="shared" ref="Q1601:Q1664" si="1798">IF($C1601&gt;Q$633,1,0)</f>
        <v>1</v>
      </c>
      <c r="R1601" s="130">
        <f ca="1" t="shared" ref="R1601:R1664" si="1799">IF($C1601&gt;R$633,1,0)</f>
        <v>1</v>
      </c>
      <c r="S1601" s="130">
        <f ca="1" t="shared" ref="S1601:S1664" si="1800">IF($C1601&gt;S$633,1,0)</f>
        <v>1</v>
      </c>
      <c r="T1601" s="130">
        <f ca="1" t="shared" ref="T1601:T1664" si="1801">IF($C1601&gt;T$633,1,0)</f>
        <v>1</v>
      </c>
      <c r="U1601" s="130">
        <f ca="1" t="shared" ref="U1601:U1664" si="1802">IF($C1601&gt;U$633,1,0)</f>
        <v>1</v>
      </c>
      <c r="V1601" s="130">
        <f ca="1" t="shared" ref="V1601:V1664" si="1803">IF($C1601&gt;V$633,1,0)</f>
        <v>1</v>
      </c>
    </row>
    <row r="1602" ht="16.5" spans="2:22">
      <c r="B1602" s="117">
        <v>366</v>
      </c>
      <c r="C1602" s="130">
        <f t="shared" si="1784"/>
        <v>36600</v>
      </c>
      <c r="D1602" s="130">
        <f ca="1" t="shared" si="1785"/>
        <v>1</v>
      </c>
      <c r="E1602" s="130">
        <f ca="1" t="shared" si="1786"/>
        <v>1</v>
      </c>
      <c r="F1602" s="130">
        <f ca="1" t="shared" si="1787"/>
        <v>1</v>
      </c>
      <c r="G1602" s="130">
        <f ca="1" t="shared" si="1788"/>
        <v>1</v>
      </c>
      <c r="H1602" s="130">
        <f ca="1" t="shared" si="1789"/>
        <v>1</v>
      </c>
      <c r="I1602" s="130">
        <f ca="1" t="shared" si="1790"/>
        <v>1</v>
      </c>
      <c r="J1602" s="130">
        <f ca="1" t="shared" si="1791"/>
        <v>1</v>
      </c>
      <c r="K1602" s="130">
        <f ca="1" t="shared" si="1792"/>
        <v>1</v>
      </c>
      <c r="L1602" s="130">
        <f ca="1" t="shared" si="1793"/>
        <v>1</v>
      </c>
      <c r="M1602" s="130">
        <f ca="1" t="shared" si="1794"/>
        <v>1</v>
      </c>
      <c r="N1602" s="130">
        <f ca="1" t="shared" si="1795"/>
        <v>1</v>
      </c>
      <c r="O1602" s="130">
        <f ca="1" t="shared" si="1796"/>
        <v>1</v>
      </c>
      <c r="P1602" s="130">
        <f ca="1" t="shared" si="1797"/>
        <v>1</v>
      </c>
      <c r="Q1602" s="130">
        <f ca="1" t="shared" si="1798"/>
        <v>1</v>
      </c>
      <c r="R1602" s="130">
        <f ca="1" t="shared" si="1799"/>
        <v>1</v>
      </c>
      <c r="S1602" s="130">
        <f ca="1" t="shared" si="1800"/>
        <v>1</v>
      </c>
      <c r="T1602" s="130">
        <f ca="1" t="shared" si="1801"/>
        <v>1</v>
      </c>
      <c r="U1602" s="130">
        <f ca="1" t="shared" si="1802"/>
        <v>1</v>
      </c>
      <c r="V1602" s="130">
        <f ca="1" t="shared" si="1803"/>
        <v>1</v>
      </c>
    </row>
    <row r="1603" ht="16.5" spans="2:22">
      <c r="B1603" s="117">
        <v>367</v>
      </c>
      <c r="C1603" s="130">
        <f t="shared" si="1784"/>
        <v>36700</v>
      </c>
      <c r="D1603" s="130">
        <f ca="1" t="shared" si="1785"/>
        <v>1</v>
      </c>
      <c r="E1603" s="130">
        <f ca="1" t="shared" si="1786"/>
        <v>1</v>
      </c>
      <c r="F1603" s="130">
        <f ca="1" t="shared" si="1787"/>
        <v>1</v>
      </c>
      <c r="G1603" s="130">
        <f ca="1" t="shared" si="1788"/>
        <v>1</v>
      </c>
      <c r="H1603" s="130">
        <f ca="1" t="shared" si="1789"/>
        <v>1</v>
      </c>
      <c r="I1603" s="130">
        <f ca="1" t="shared" si="1790"/>
        <v>1</v>
      </c>
      <c r="J1603" s="130">
        <f ca="1" t="shared" si="1791"/>
        <v>1</v>
      </c>
      <c r="K1603" s="130">
        <f ca="1" t="shared" si="1792"/>
        <v>1</v>
      </c>
      <c r="L1603" s="130">
        <f ca="1" t="shared" si="1793"/>
        <v>1</v>
      </c>
      <c r="M1603" s="130">
        <f ca="1" t="shared" si="1794"/>
        <v>1</v>
      </c>
      <c r="N1603" s="130">
        <f ca="1" t="shared" si="1795"/>
        <v>1</v>
      </c>
      <c r="O1603" s="130">
        <f ca="1" t="shared" si="1796"/>
        <v>1</v>
      </c>
      <c r="P1603" s="130">
        <f ca="1" t="shared" si="1797"/>
        <v>1</v>
      </c>
      <c r="Q1603" s="130">
        <f ca="1" t="shared" si="1798"/>
        <v>1</v>
      </c>
      <c r="R1603" s="130">
        <f ca="1" t="shared" si="1799"/>
        <v>1</v>
      </c>
      <c r="S1603" s="130">
        <f ca="1" t="shared" si="1800"/>
        <v>1</v>
      </c>
      <c r="T1603" s="130">
        <f ca="1" t="shared" si="1801"/>
        <v>1</v>
      </c>
      <c r="U1603" s="130">
        <f ca="1" t="shared" si="1802"/>
        <v>1</v>
      </c>
      <c r="V1603" s="130">
        <f ca="1" t="shared" si="1803"/>
        <v>1</v>
      </c>
    </row>
    <row r="1604" ht="16.5" spans="2:22">
      <c r="B1604" s="117">
        <v>368</v>
      </c>
      <c r="C1604" s="130">
        <f t="shared" si="1784"/>
        <v>36800</v>
      </c>
      <c r="D1604" s="130">
        <f ca="1" t="shared" si="1785"/>
        <v>1</v>
      </c>
      <c r="E1604" s="130">
        <f ca="1" t="shared" si="1786"/>
        <v>1</v>
      </c>
      <c r="F1604" s="130">
        <f ca="1" t="shared" si="1787"/>
        <v>1</v>
      </c>
      <c r="G1604" s="130">
        <f ca="1" t="shared" si="1788"/>
        <v>1</v>
      </c>
      <c r="H1604" s="130">
        <f ca="1" t="shared" si="1789"/>
        <v>1</v>
      </c>
      <c r="I1604" s="130">
        <f ca="1" t="shared" si="1790"/>
        <v>1</v>
      </c>
      <c r="J1604" s="130">
        <f ca="1" t="shared" si="1791"/>
        <v>1</v>
      </c>
      <c r="K1604" s="130">
        <f ca="1" t="shared" si="1792"/>
        <v>1</v>
      </c>
      <c r="L1604" s="130">
        <f ca="1" t="shared" si="1793"/>
        <v>1</v>
      </c>
      <c r="M1604" s="130">
        <f ca="1" t="shared" si="1794"/>
        <v>1</v>
      </c>
      <c r="N1604" s="130">
        <f ca="1" t="shared" si="1795"/>
        <v>1</v>
      </c>
      <c r="O1604" s="130">
        <f ca="1" t="shared" si="1796"/>
        <v>1</v>
      </c>
      <c r="P1604" s="130">
        <f ca="1" t="shared" si="1797"/>
        <v>1</v>
      </c>
      <c r="Q1604" s="130">
        <f ca="1" t="shared" si="1798"/>
        <v>1</v>
      </c>
      <c r="R1604" s="130">
        <f ca="1" t="shared" si="1799"/>
        <v>1</v>
      </c>
      <c r="S1604" s="130">
        <f ca="1" t="shared" si="1800"/>
        <v>1</v>
      </c>
      <c r="T1604" s="130">
        <f ca="1" t="shared" si="1801"/>
        <v>1</v>
      </c>
      <c r="U1604" s="130">
        <f ca="1" t="shared" si="1802"/>
        <v>1</v>
      </c>
      <c r="V1604" s="130">
        <f ca="1" t="shared" si="1803"/>
        <v>1</v>
      </c>
    </row>
    <row r="1605" ht="16.5" spans="2:22">
      <c r="B1605" s="117">
        <v>369</v>
      </c>
      <c r="C1605" s="130">
        <f t="shared" si="1784"/>
        <v>36900</v>
      </c>
      <c r="D1605" s="130">
        <f ca="1" t="shared" si="1785"/>
        <v>1</v>
      </c>
      <c r="E1605" s="130">
        <f ca="1" t="shared" si="1786"/>
        <v>1</v>
      </c>
      <c r="F1605" s="130">
        <f ca="1" t="shared" si="1787"/>
        <v>1</v>
      </c>
      <c r="G1605" s="130">
        <f ca="1" t="shared" si="1788"/>
        <v>1</v>
      </c>
      <c r="H1605" s="130">
        <f ca="1" t="shared" si="1789"/>
        <v>1</v>
      </c>
      <c r="I1605" s="130">
        <f ca="1" t="shared" si="1790"/>
        <v>1</v>
      </c>
      <c r="J1605" s="130">
        <f ca="1" t="shared" si="1791"/>
        <v>1</v>
      </c>
      <c r="K1605" s="130">
        <f ca="1" t="shared" si="1792"/>
        <v>1</v>
      </c>
      <c r="L1605" s="130">
        <f ca="1" t="shared" si="1793"/>
        <v>1</v>
      </c>
      <c r="M1605" s="130">
        <f ca="1" t="shared" si="1794"/>
        <v>1</v>
      </c>
      <c r="N1605" s="130">
        <f ca="1" t="shared" si="1795"/>
        <v>1</v>
      </c>
      <c r="O1605" s="130">
        <f ca="1" t="shared" si="1796"/>
        <v>1</v>
      </c>
      <c r="P1605" s="130">
        <f ca="1" t="shared" si="1797"/>
        <v>1</v>
      </c>
      <c r="Q1605" s="130">
        <f ca="1" t="shared" si="1798"/>
        <v>1</v>
      </c>
      <c r="R1605" s="130">
        <f ca="1" t="shared" si="1799"/>
        <v>1</v>
      </c>
      <c r="S1605" s="130">
        <f ca="1" t="shared" si="1800"/>
        <v>1</v>
      </c>
      <c r="T1605" s="130">
        <f ca="1" t="shared" si="1801"/>
        <v>1</v>
      </c>
      <c r="U1605" s="130">
        <f ca="1" t="shared" si="1802"/>
        <v>1</v>
      </c>
      <c r="V1605" s="130">
        <f ca="1" t="shared" si="1803"/>
        <v>1</v>
      </c>
    </row>
    <row r="1606" ht="16.5" spans="2:22">
      <c r="B1606" s="117">
        <v>370</v>
      </c>
      <c r="C1606" s="130">
        <f t="shared" si="1784"/>
        <v>37000</v>
      </c>
      <c r="D1606" s="130">
        <f ca="1" t="shared" si="1785"/>
        <v>1</v>
      </c>
      <c r="E1606" s="130">
        <f ca="1" t="shared" si="1786"/>
        <v>1</v>
      </c>
      <c r="F1606" s="130">
        <f ca="1" t="shared" si="1787"/>
        <v>1</v>
      </c>
      <c r="G1606" s="130">
        <f ca="1" t="shared" si="1788"/>
        <v>1</v>
      </c>
      <c r="H1606" s="130">
        <f ca="1" t="shared" si="1789"/>
        <v>1</v>
      </c>
      <c r="I1606" s="130">
        <f ca="1" t="shared" si="1790"/>
        <v>1</v>
      </c>
      <c r="J1606" s="130">
        <f ca="1" t="shared" si="1791"/>
        <v>1</v>
      </c>
      <c r="K1606" s="130">
        <f ca="1" t="shared" si="1792"/>
        <v>1</v>
      </c>
      <c r="L1606" s="130">
        <f ca="1" t="shared" si="1793"/>
        <v>1</v>
      </c>
      <c r="M1606" s="130">
        <f ca="1" t="shared" si="1794"/>
        <v>1</v>
      </c>
      <c r="N1606" s="130">
        <f ca="1" t="shared" si="1795"/>
        <v>1</v>
      </c>
      <c r="O1606" s="130">
        <f ca="1" t="shared" si="1796"/>
        <v>1</v>
      </c>
      <c r="P1606" s="130">
        <f ca="1" t="shared" si="1797"/>
        <v>1</v>
      </c>
      <c r="Q1606" s="130">
        <f ca="1" t="shared" si="1798"/>
        <v>1</v>
      </c>
      <c r="R1606" s="130">
        <f ca="1" t="shared" si="1799"/>
        <v>1</v>
      </c>
      <c r="S1606" s="130">
        <f ca="1" t="shared" si="1800"/>
        <v>1</v>
      </c>
      <c r="T1606" s="130">
        <f ca="1" t="shared" si="1801"/>
        <v>1</v>
      </c>
      <c r="U1606" s="130">
        <f ca="1" t="shared" si="1802"/>
        <v>1</v>
      </c>
      <c r="V1606" s="130">
        <f ca="1" t="shared" si="1803"/>
        <v>1</v>
      </c>
    </row>
    <row r="1607" ht="16.5" spans="2:22">
      <c r="B1607" s="117">
        <v>371</v>
      </c>
      <c r="C1607" s="130">
        <f t="shared" si="1784"/>
        <v>37100</v>
      </c>
      <c r="D1607" s="130">
        <f ca="1" t="shared" si="1785"/>
        <v>1</v>
      </c>
      <c r="E1607" s="130">
        <f ca="1" t="shared" si="1786"/>
        <v>1</v>
      </c>
      <c r="F1607" s="130">
        <f ca="1" t="shared" si="1787"/>
        <v>1</v>
      </c>
      <c r="G1607" s="130">
        <f ca="1" t="shared" si="1788"/>
        <v>1</v>
      </c>
      <c r="H1607" s="130">
        <f ca="1" t="shared" si="1789"/>
        <v>1</v>
      </c>
      <c r="I1607" s="130">
        <f ca="1" t="shared" si="1790"/>
        <v>1</v>
      </c>
      <c r="J1607" s="130">
        <f ca="1" t="shared" si="1791"/>
        <v>1</v>
      </c>
      <c r="K1607" s="130">
        <f ca="1" t="shared" si="1792"/>
        <v>1</v>
      </c>
      <c r="L1607" s="130">
        <f ca="1" t="shared" si="1793"/>
        <v>1</v>
      </c>
      <c r="M1607" s="130">
        <f ca="1" t="shared" si="1794"/>
        <v>1</v>
      </c>
      <c r="N1607" s="130">
        <f ca="1" t="shared" si="1795"/>
        <v>1</v>
      </c>
      <c r="O1607" s="130">
        <f ca="1" t="shared" si="1796"/>
        <v>1</v>
      </c>
      <c r="P1607" s="130">
        <f ca="1" t="shared" si="1797"/>
        <v>1</v>
      </c>
      <c r="Q1607" s="130">
        <f ca="1" t="shared" si="1798"/>
        <v>1</v>
      </c>
      <c r="R1607" s="130">
        <f ca="1" t="shared" si="1799"/>
        <v>1</v>
      </c>
      <c r="S1607" s="130">
        <f ca="1" t="shared" si="1800"/>
        <v>1</v>
      </c>
      <c r="T1607" s="130">
        <f ca="1" t="shared" si="1801"/>
        <v>1</v>
      </c>
      <c r="U1607" s="130">
        <f ca="1" t="shared" si="1802"/>
        <v>1</v>
      </c>
      <c r="V1607" s="130">
        <f ca="1" t="shared" si="1803"/>
        <v>1</v>
      </c>
    </row>
    <row r="1608" ht="16.5" spans="2:22">
      <c r="B1608" s="117">
        <v>372</v>
      </c>
      <c r="C1608" s="130">
        <f t="shared" si="1784"/>
        <v>37200</v>
      </c>
      <c r="D1608" s="130">
        <f ca="1" t="shared" si="1785"/>
        <v>1</v>
      </c>
      <c r="E1608" s="130">
        <f ca="1" t="shared" si="1786"/>
        <v>1</v>
      </c>
      <c r="F1608" s="130">
        <f ca="1" t="shared" si="1787"/>
        <v>1</v>
      </c>
      <c r="G1608" s="130">
        <f ca="1" t="shared" si="1788"/>
        <v>1</v>
      </c>
      <c r="H1608" s="130">
        <f ca="1" t="shared" si="1789"/>
        <v>1</v>
      </c>
      <c r="I1608" s="130">
        <f ca="1" t="shared" si="1790"/>
        <v>1</v>
      </c>
      <c r="J1608" s="130">
        <f ca="1" t="shared" si="1791"/>
        <v>1</v>
      </c>
      <c r="K1608" s="130">
        <f ca="1" t="shared" si="1792"/>
        <v>1</v>
      </c>
      <c r="L1608" s="130">
        <f ca="1" t="shared" si="1793"/>
        <v>1</v>
      </c>
      <c r="M1608" s="130">
        <f ca="1" t="shared" si="1794"/>
        <v>1</v>
      </c>
      <c r="N1608" s="130">
        <f ca="1" t="shared" si="1795"/>
        <v>1</v>
      </c>
      <c r="O1608" s="130">
        <f ca="1" t="shared" si="1796"/>
        <v>1</v>
      </c>
      <c r="P1608" s="130">
        <f ca="1" t="shared" si="1797"/>
        <v>1</v>
      </c>
      <c r="Q1608" s="130">
        <f ca="1" t="shared" si="1798"/>
        <v>1</v>
      </c>
      <c r="R1608" s="130">
        <f ca="1" t="shared" si="1799"/>
        <v>1</v>
      </c>
      <c r="S1608" s="130">
        <f ca="1" t="shared" si="1800"/>
        <v>1</v>
      </c>
      <c r="T1608" s="130">
        <f ca="1" t="shared" si="1801"/>
        <v>1</v>
      </c>
      <c r="U1608" s="130">
        <f ca="1" t="shared" si="1802"/>
        <v>1</v>
      </c>
      <c r="V1608" s="130">
        <f ca="1" t="shared" si="1803"/>
        <v>1</v>
      </c>
    </row>
    <row r="1609" ht="16.5" spans="2:22">
      <c r="B1609" s="117">
        <v>373</v>
      </c>
      <c r="C1609" s="130">
        <f t="shared" si="1784"/>
        <v>37300</v>
      </c>
      <c r="D1609" s="130">
        <f ca="1" t="shared" si="1785"/>
        <v>1</v>
      </c>
      <c r="E1609" s="130">
        <f ca="1" t="shared" si="1786"/>
        <v>1</v>
      </c>
      <c r="F1609" s="130">
        <f ca="1" t="shared" si="1787"/>
        <v>1</v>
      </c>
      <c r="G1609" s="130">
        <f ca="1" t="shared" si="1788"/>
        <v>1</v>
      </c>
      <c r="H1609" s="130">
        <f ca="1" t="shared" si="1789"/>
        <v>1</v>
      </c>
      <c r="I1609" s="130">
        <f ca="1" t="shared" si="1790"/>
        <v>1</v>
      </c>
      <c r="J1609" s="130">
        <f ca="1" t="shared" si="1791"/>
        <v>1</v>
      </c>
      <c r="K1609" s="130">
        <f ca="1" t="shared" si="1792"/>
        <v>1</v>
      </c>
      <c r="L1609" s="130">
        <f ca="1" t="shared" si="1793"/>
        <v>1</v>
      </c>
      <c r="M1609" s="130">
        <f ca="1" t="shared" si="1794"/>
        <v>1</v>
      </c>
      <c r="N1609" s="130">
        <f ca="1" t="shared" si="1795"/>
        <v>1</v>
      </c>
      <c r="O1609" s="130">
        <f ca="1" t="shared" si="1796"/>
        <v>1</v>
      </c>
      <c r="P1609" s="130">
        <f ca="1" t="shared" si="1797"/>
        <v>1</v>
      </c>
      <c r="Q1609" s="130">
        <f ca="1" t="shared" si="1798"/>
        <v>1</v>
      </c>
      <c r="R1609" s="130">
        <f ca="1" t="shared" si="1799"/>
        <v>1</v>
      </c>
      <c r="S1609" s="130">
        <f ca="1" t="shared" si="1800"/>
        <v>1</v>
      </c>
      <c r="T1609" s="130">
        <f ca="1" t="shared" si="1801"/>
        <v>1</v>
      </c>
      <c r="U1609" s="130">
        <f ca="1" t="shared" si="1802"/>
        <v>1</v>
      </c>
      <c r="V1609" s="130">
        <f ca="1" t="shared" si="1803"/>
        <v>1</v>
      </c>
    </row>
    <row r="1610" ht="16.5" spans="2:22">
      <c r="B1610" s="117">
        <v>374</v>
      </c>
      <c r="C1610" s="130">
        <f t="shared" si="1784"/>
        <v>37400</v>
      </c>
      <c r="D1610" s="130">
        <f ca="1" t="shared" si="1785"/>
        <v>1</v>
      </c>
      <c r="E1610" s="130">
        <f ca="1" t="shared" si="1786"/>
        <v>1</v>
      </c>
      <c r="F1610" s="130">
        <f ca="1" t="shared" si="1787"/>
        <v>1</v>
      </c>
      <c r="G1610" s="130">
        <f ca="1" t="shared" si="1788"/>
        <v>1</v>
      </c>
      <c r="H1610" s="130">
        <f ca="1" t="shared" si="1789"/>
        <v>1</v>
      </c>
      <c r="I1610" s="130">
        <f ca="1" t="shared" si="1790"/>
        <v>1</v>
      </c>
      <c r="J1610" s="130">
        <f ca="1" t="shared" si="1791"/>
        <v>1</v>
      </c>
      <c r="K1610" s="130">
        <f ca="1" t="shared" si="1792"/>
        <v>1</v>
      </c>
      <c r="L1610" s="130">
        <f ca="1" t="shared" si="1793"/>
        <v>1</v>
      </c>
      <c r="M1610" s="130">
        <f ca="1" t="shared" si="1794"/>
        <v>1</v>
      </c>
      <c r="N1610" s="130">
        <f ca="1" t="shared" si="1795"/>
        <v>1</v>
      </c>
      <c r="O1610" s="130">
        <f ca="1" t="shared" si="1796"/>
        <v>1</v>
      </c>
      <c r="P1610" s="130">
        <f ca="1" t="shared" si="1797"/>
        <v>1</v>
      </c>
      <c r="Q1610" s="130">
        <f ca="1" t="shared" si="1798"/>
        <v>1</v>
      </c>
      <c r="R1610" s="130">
        <f ca="1" t="shared" si="1799"/>
        <v>1</v>
      </c>
      <c r="S1610" s="130">
        <f ca="1" t="shared" si="1800"/>
        <v>1</v>
      </c>
      <c r="T1610" s="130">
        <f ca="1" t="shared" si="1801"/>
        <v>1</v>
      </c>
      <c r="U1610" s="130">
        <f ca="1" t="shared" si="1802"/>
        <v>1</v>
      </c>
      <c r="V1610" s="130">
        <f ca="1" t="shared" si="1803"/>
        <v>1</v>
      </c>
    </row>
    <row r="1611" ht="16.5" spans="2:22">
      <c r="B1611" s="117">
        <v>375</v>
      </c>
      <c r="C1611" s="130">
        <f t="shared" si="1784"/>
        <v>37500</v>
      </c>
      <c r="D1611" s="130">
        <f ca="1" t="shared" si="1785"/>
        <v>1</v>
      </c>
      <c r="E1611" s="130">
        <f ca="1" t="shared" si="1786"/>
        <v>1</v>
      </c>
      <c r="F1611" s="130">
        <f ca="1" t="shared" si="1787"/>
        <v>1</v>
      </c>
      <c r="G1611" s="130">
        <f ca="1" t="shared" si="1788"/>
        <v>1</v>
      </c>
      <c r="H1611" s="130">
        <f ca="1" t="shared" si="1789"/>
        <v>1</v>
      </c>
      <c r="I1611" s="130">
        <f ca="1" t="shared" si="1790"/>
        <v>1</v>
      </c>
      <c r="J1611" s="130">
        <f ca="1" t="shared" si="1791"/>
        <v>1</v>
      </c>
      <c r="K1611" s="130">
        <f ca="1" t="shared" si="1792"/>
        <v>1</v>
      </c>
      <c r="L1611" s="130">
        <f ca="1" t="shared" si="1793"/>
        <v>1</v>
      </c>
      <c r="M1611" s="130">
        <f ca="1" t="shared" si="1794"/>
        <v>1</v>
      </c>
      <c r="N1611" s="130">
        <f ca="1" t="shared" si="1795"/>
        <v>1</v>
      </c>
      <c r="O1611" s="130">
        <f ca="1" t="shared" si="1796"/>
        <v>1</v>
      </c>
      <c r="P1611" s="130">
        <f ca="1" t="shared" si="1797"/>
        <v>1</v>
      </c>
      <c r="Q1611" s="130">
        <f ca="1" t="shared" si="1798"/>
        <v>1</v>
      </c>
      <c r="R1611" s="130">
        <f ca="1" t="shared" si="1799"/>
        <v>1</v>
      </c>
      <c r="S1611" s="130">
        <f ca="1" t="shared" si="1800"/>
        <v>1</v>
      </c>
      <c r="T1611" s="130">
        <f ca="1" t="shared" si="1801"/>
        <v>1</v>
      </c>
      <c r="U1611" s="130">
        <f ca="1" t="shared" si="1802"/>
        <v>1</v>
      </c>
      <c r="V1611" s="130">
        <f ca="1" t="shared" si="1803"/>
        <v>1</v>
      </c>
    </row>
    <row r="1612" ht="16.5" spans="2:22">
      <c r="B1612" s="117">
        <v>376</v>
      </c>
      <c r="C1612" s="130">
        <f t="shared" si="1784"/>
        <v>37600</v>
      </c>
      <c r="D1612" s="130">
        <f ca="1" t="shared" si="1785"/>
        <v>1</v>
      </c>
      <c r="E1612" s="130">
        <f ca="1" t="shared" si="1786"/>
        <v>1</v>
      </c>
      <c r="F1612" s="130">
        <f ca="1" t="shared" si="1787"/>
        <v>1</v>
      </c>
      <c r="G1612" s="130">
        <f ca="1" t="shared" si="1788"/>
        <v>1</v>
      </c>
      <c r="H1612" s="130">
        <f ca="1" t="shared" si="1789"/>
        <v>1</v>
      </c>
      <c r="I1612" s="130">
        <f ca="1" t="shared" si="1790"/>
        <v>1</v>
      </c>
      <c r="J1612" s="130">
        <f ca="1" t="shared" si="1791"/>
        <v>1</v>
      </c>
      <c r="K1612" s="130">
        <f ca="1" t="shared" si="1792"/>
        <v>1</v>
      </c>
      <c r="L1612" s="130">
        <f ca="1" t="shared" si="1793"/>
        <v>1</v>
      </c>
      <c r="M1612" s="130">
        <f ca="1" t="shared" si="1794"/>
        <v>1</v>
      </c>
      <c r="N1612" s="130">
        <f ca="1" t="shared" si="1795"/>
        <v>1</v>
      </c>
      <c r="O1612" s="130">
        <f ca="1" t="shared" si="1796"/>
        <v>1</v>
      </c>
      <c r="P1612" s="130">
        <f ca="1" t="shared" si="1797"/>
        <v>1</v>
      </c>
      <c r="Q1612" s="130">
        <f ca="1" t="shared" si="1798"/>
        <v>1</v>
      </c>
      <c r="R1612" s="130">
        <f ca="1" t="shared" si="1799"/>
        <v>1</v>
      </c>
      <c r="S1612" s="130">
        <f ca="1" t="shared" si="1800"/>
        <v>1</v>
      </c>
      <c r="T1612" s="130">
        <f ca="1" t="shared" si="1801"/>
        <v>1</v>
      </c>
      <c r="U1612" s="130">
        <f ca="1" t="shared" si="1802"/>
        <v>1</v>
      </c>
      <c r="V1612" s="130">
        <f ca="1" t="shared" si="1803"/>
        <v>1</v>
      </c>
    </row>
    <row r="1613" ht="16.5" spans="2:22">
      <c r="B1613" s="117">
        <v>377</v>
      </c>
      <c r="C1613" s="130">
        <f t="shared" si="1784"/>
        <v>37700</v>
      </c>
      <c r="D1613" s="130">
        <f ca="1" t="shared" si="1785"/>
        <v>1</v>
      </c>
      <c r="E1613" s="130">
        <f ca="1" t="shared" si="1786"/>
        <v>1</v>
      </c>
      <c r="F1613" s="130">
        <f ca="1" t="shared" si="1787"/>
        <v>1</v>
      </c>
      <c r="G1613" s="130">
        <f ca="1" t="shared" si="1788"/>
        <v>1</v>
      </c>
      <c r="H1613" s="130">
        <f ca="1" t="shared" si="1789"/>
        <v>1</v>
      </c>
      <c r="I1613" s="130">
        <f ca="1" t="shared" si="1790"/>
        <v>1</v>
      </c>
      <c r="J1613" s="130">
        <f ca="1" t="shared" si="1791"/>
        <v>1</v>
      </c>
      <c r="K1613" s="130">
        <f ca="1" t="shared" si="1792"/>
        <v>1</v>
      </c>
      <c r="L1613" s="130">
        <f ca="1" t="shared" si="1793"/>
        <v>1</v>
      </c>
      <c r="M1613" s="130">
        <f ca="1" t="shared" si="1794"/>
        <v>1</v>
      </c>
      <c r="N1613" s="130">
        <f ca="1" t="shared" si="1795"/>
        <v>1</v>
      </c>
      <c r="O1613" s="130">
        <f ca="1" t="shared" si="1796"/>
        <v>1</v>
      </c>
      <c r="P1613" s="130">
        <f ca="1" t="shared" si="1797"/>
        <v>1</v>
      </c>
      <c r="Q1613" s="130">
        <f ca="1" t="shared" si="1798"/>
        <v>1</v>
      </c>
      <c r="R1613" s="130">
        <f ca="1" t="shared" si="1799"/>
        <v>1</v>
      </c>
      <c r="S1613" s="130">
        <f ca="1" t="shared" si="1800"/>
        <v>1</v>
      </c>
      <c r="T1613" s="130">
        <f ca="1" t="shared" si="1801"/>
        <v>1</v>
      </c>
      <c r="U1613" s="130">
        <f ca="1" t="shared" si="1802"/>
        <v>1</v>
      </c>
      <c r="V1613" s="130">
        <f ca="1" t="shared" si="1803"/>
        <v>1</v>
      </c>
    </row>
    <row r="1614" ht="16.5" spans="2:22">
      <c r="B1614" s="117">
        <v>378</v>
      </c>
      <c r="C1614" s="130">
        <f t="shared" si="1784"/>
        <v>37800</v>
      </c>
      <c r="D1614" s="130">
        <f ca="1" t="shared" si="1785"/>
        <v>1</v>
      </c>
      <c r="E1614" s="130">
        <f ca="1" t="shared" si="1786"/>
        <v>1</v>
      </c>
      <c r="F1614" s="130">
        <f ca="1" t="shared" si="1787"/>
        <v>1</v>
      </c>
      <c r="G1614" s="130">
        <f ca="1" t="shared" si="1788"/>
        <v>1</v>
      </c>
      <c r="H1614" s="130">
        <f ca="1" t="shared" si="1789"/>
        <v>1</v>
      </c>
      <c r="I1614" s="130">
        <f ca="1" t="shared" si="1790"/>
        <v>1</v>
      </c>
      <c r="J1614" s="130">
        <f ca="1" t="shared" si="1791"/>
        <v>1</v>
      </c>
      <c r="K1614" s="130">
        <f ca="1" t="shared" si="1792"/>
        <v>1</v>
      </c>
      <c r="L1614" s="130">
        <f ca="1" t="shared" si="1793"/>
        <v>1</v>
      </c>
      <c r="M1614" s="130">
        <f ca="1" t="shared" si="1794"/>
        <v>1</v>
      </c>
      <c r="N1614" s="130">
        <f ca="1" t="shared" si="1795"/>
        <v>1</v>
      </c>
      <c r="O1614" s="130">
        <f ca="1" t="shared" si="1796"/>
        <v>1</v>
      </c>
      <c r="P1614" s="130">
        <f ca="1" t="shared" si="1797"/>
        <v>1</v>
      </c>
      <c r="Q1614" s="130">
        <f ca="1" t="shared" si="1798"/>
        <v>1</v>
      </c>
      <c r="R1614" s="130">
        <f ca="1" t="shared" si="1799"/>
        <v>1</v>
      </c>
      <c r="S1614" s="130">
        <f ca="1" t="shared" si="1800"/>
        <v>1</v>
      </c>
      <c r="T1614" s="130">
        <f ca="1" t="shared" si="1801"/>
        <v>1</v>
      </c>
      <c r="U1614" s="130">
        <f ca="1" t="shared" si="1802"/>
        <v>1</v>
      </c>
      <c r="V1614" s="130">
        <f ca="1" t="shared" si="1803"/>
        <v>1</v>
      </c>
    </row>
    <row r="1615" ht="16.5" spans="2:22">
      <c r="B1615" s="117">
        <v>379</v>
      </c>
      <c r="C1615" s="130">
        <f t="shared" si="1784"/>
        <v>37900</v>
      </c>
      <c r="D1615" s="130">
        <f ca="1" t="shared" si="1785"/>
        <v>1</v>
      </c>
      <c r="E1615" s="130">
        <f ca="1" t="shared" si="1786"/>
        <v>1</v>
      </c>
      <c r="F1615" s="130">
        <f ca="1" t="shared" si="1787"/>
        <v>1</v>
      </c>
      <c r="G1615" s="130">
        <f ca="1" t="shared" si="1788"/>
        <v>1</v>
      </c>
      <c r="H1615" s="130">
        <f ca="1" t="shared" si="1789"/>
        <v>1</v>
      </c>
      <c r="I1615" s="130">
        <f ca="1" t="shared" si="1790"/>
        <v>1</v>
      </c>
      <c r="J1615" s="130">
        <f ca="1" t="shared" si="1791"/>
        <v>1</v>
      </c>
      <c r="K1615" s="130">
        <f ca="1" t="shared" si="1792"/>
        <v>1</v>
      </c>
      <c r="L1615" s="130">
        <f ca="1" t="shared" si="1793"/>
        <v>1</v>
      </c>
      <c r="M1615" s="130">
        <f ca="1" t="shared" si="1794"/>
        <v>1</v>
      </c>
      <c r="N1615" s="130">
        <f ca="1" t="shared" si="1795"/>
        <v>1</v>
      </c>
      <c r="O1615" s="130">
        <f ca="1" t="shared" si="1796"/>
        <v>1</v>
      </c>
      <c r="P1615" s="130">
        <f ca="1" t="shared" si="1797"/>
        <v>1</v>
      </c>
      <c r="Q1615" s="130">
        <f ca="1" t="shared" si="1798"/>
        <v>1</v>
      </c>
      <c r="R1615" s="130">
        <f ca="1" t="shared" si="1799"/>
        <v>1</v>
      </c>
      <c r="S1615" s="130">
        <f ca="1" t="shared" si="1800"/>
        <v>1</v>
      </c>
      <c r="T1615" s="130">
        <f ca="1" t="shared" si="1801"/>
        <v>1</v>
      </c>
      <c r="U1615" s="130">
        <f ca="1" t="shared" si="1802"/>
        <v>1</v>
      </c>
      <c r="V1615" s="130">
        <f ca="1" t="shared" si="1803"/>
        <v>1</v>
      </c>
    </row>
    <row r="1616" ht="16.5" spans="2:22">
      <c r="B1616" s="117">
        <v>380</v>
      </c>
      <c r="C1616" s="130">
        <f t="shared" si="1784"/>
        <v>38000</v>
      </c>
      <c r="D1616" s="130">
        <f ca="1" t="shared" si="1785"/>
        <v>1</v>
      </c>
      <c r="E1616" s="130">
        <f ca="1" t="shared" si="1786"/>
        <v>1</v>
      </c>
      <c r="F1616" s="130">
        <f ca="1" t="shared" si="1787"/>
        <v>1</v>
      </c>
      <c r="G1616" s="130">
        <f ca="1" t="shared" si="1788"/>
        <v>1</v>
      </c>
      <c r="H1616" s="130">
        <f ca="1" t="shared" si="1789"/>
        <v>1</v>
      </c>
      <c r="I1616" s="130">
        <f ca="1" t="shared" si="1790"/>
        <v>1</v>
      </c>
      <c r="J1616" s="130">
        <f ca="1" t="shared" si="1791"/>
        <v>1</v>
      </c>
      <c r="K1616" s="130">
        <f ca="1" t="shared" si="1792"/>
        <v>1</v>
      </c>
      <c r="L1616" s="130">
        <f ca="1" t="shared" si="1793"/>
        <v>1</v>
      </c>
      <c r="M1616" s="130">
        <f ca="1" t="shared" si="1794"/>
        <v>1</v>
      </c>
      <c r="N1616" s="130">
        <f ca="1" t="shared" si="1795"/>
        <v>1</v>
      </c>
      <c r="O1616" s="130">
        <f ca="1" t="shared" si="1796"/>
        <v>1</v>
      </c>
      <c r="P1616" s="130">
        <f ca="1" t="shared" si="1797"/>
        <v>1</v>
      </c>
      <c r="Q1616" s="130">
        <f ca="1" t="shared" si="1798"/>
        <v>1</v>
      </c>
      <c r="R1616" s="130">
        <f ca="1" t="shared" si="1799"/>
        <v>1</v>
      </c>
      <c r="S1616" s="130">
        <f ca="1" t="shared" si="1800"/>
        <v>1</v>
      </c>
      <c r="T1616" s="130">
        <f ca="1" t="shared" si="1801"/>
        <v>1</v>
      </c>
      <c r="U1616" s="130">
        <f ca="1" t="shared" si="1802"/>
        <v>1</v>
      </c>
      <c r="V1616" s="130">
        <f ca="1" t="shared" si="1803"/>
        <v>1</v>
      </c>
    </row>
    <row r="1617" ht="16.5" spans="2:22">
      <c r="B1617" s="117">
        <v>381</v>
      </c>
      <c r="C1617" s="130">
        <f t="shared" si="1784"/>
        <v>38100</v>
      </c>
      <c r="D1617" s="130">
        <f ca="1" t="shared" si="1785"/>
        <v>1</v>
      </c>
      <c r="E1617" s="130">
        <f ca="1" t="shared" si="1786"/>
        <v>1</v>
      </c>
      <c r="F1617" s="130">
        <f ca="1" t="shared" si="1787"/>
        <v>1</v>
      </c>
      <c r="G1617" s="130">
        <f ca="1" t="shared" si="1788"/>
        <v>1</v>
      </c>
      <c r="H1617" s="130">
        <f ca="1" t="shared" si="1789"/>
        <v>1</v>
      </c>
      <c r="I1617" s="130">
        <f ca="1" t="shared" si="1790"/>
        <v>1</v>
      </c>
      <c r="J1617" s="130">
        <f ca="1" t="shared" si="1791"/>
        <v>1</v>
      </c>
      <c r="K1617" s="130">
        <f ca="1" t="shared" si="1792"/>
        <v>1</v>
      </c>
      <c r="L1617" s="130">
        <f ca="1" t="shared" si="1793"/>
        <v>1</v>
      </c>
      <c r="M1617" s="130">
        <f ca="1" t="shared" si="1794"/>
        <v>1</v>
      </c>
      <c r="N1617" s="130">
        <f ca="1" t="shared" si="1795"/>
        <v>1</v>
      </c>
      <c r="O1617" s="130">
        <f ca="1" t="shared" si="1796"/>
        <v>1</v>
      </c>
      <c r="P1617" s="130">
        <f ca="1" t="shared" si="1797"/>
        <v>1</v>
      </c>
      <c r="Q1617" s="130">
        <f ca="1" t="shared" si="1798"/>
        <v>1</v>
      </c>
      <c r="R1617" s="130">
        <f ca="1" t="shared" si="1799"/>
        <v>1</v>
      </c>
      <c r="S1617" s="130">
        <f ca="1" t="shared" si="1800"/>
        <v>1</v>
      </c>
      <c r="T1617" s="130">
        <f ca="1" t="shared" si="1801"/>
        <v>1</v>
      </c>
      <c r="U1617" s="130">
        <f ca="1" t="shared" si="1802"/>
        <v>1</v>
      </c>
      <c r="V1617" s="130">
        <f ca="1" t="shared" si="1803"/>
        <v>1</v>
      </c>
    </row>
    <row r="1618" ht="16.5" spans="2:22">
      <c r="B1618" s="117">
        <v>382</v>
      </c>
      <c r="C1618" s="130">
        <f t="shared" si="1784"/>
        <v>38200</v>
      </c>
      <c r="D1618" s="130">
        <f ca="1" t="shared" si="1785"/>
        <v>1</v>
      </c>
      <c r="E1618" s="130">
        <f ca="1" t="shared" si="1786"/>
        <v>1</v>
      </c>
      <c r="F1618" s="130">
        <f ca="1" t="shared" si="1787"/>
        <v>1</v>
      </c>
      <c r="G1618" s="130">
        <f ca="1" t="shared" si="1788"/>
        <v>1</v>
      </c>
      <c r="H1618" s="130">
        <f ca="1" t="shared" si="1789"/>
        <v>1</v>
      </c>
      <c r="I1618" s="130">
        <f ca="1" t="shared" si="1790"/>
        <v>1</v>
      </c>
      <c r="J1618" s="130">
        <f ca="1" t="shared" si="1791"/>
        <v>1</v>
      </c>
      <c r="K1618" s="130">
        <f ca="1" t="shared" si="1792"/>
        <v>1</v>
      </c>
      <c r="L1618" s="130">
        <f ca="1" t="shared" si="1793"/>
        <v>1</v>
      </c>
      <c r="M1618" s="130">
        <f ca="1" t="shared" si="1794"/>
        <v>1</v>
      </c>
      <c r="N1618" s="130">
        <f ca="1" t="shared" si="1795"/>
        <v>1</v>
      </c>
      <c r="O1618" s="130">
        <f ca="1" t="shared" si="1796"/>
        <v>1</v>
      </c>
      <c r="P1618" s="130">
        <f ca="1" t="shared" si="1797"/>
        <v>1</v>
      </c>
      <c r="Q1618" s="130">
        <f ca="1" t="shared" si="1798"/>
        <v>1</v>
      </c>
      <c r="R1618" s="130">
        <f ca="1" t="shared" si="1799"/>
        <v>1</v>
      </c>
      <c r="S1618" s="130">
        <f ca="1" t="shared" si="1800"/>
        <v>1</v>
      </c>
      <c r="T1618" s="130">
        <f ca="1" t="shared" si="1801"/>
        <v>1</v>
      </c>
      <c r="U1618" s="130">
        <f ca="1" t="shared" si="1802"/>
        <v>1</v>
      </c>
      <c r="V1618" s="130">
        <f ca="1" t="shared" si="1803"/>
        <v>1</v>
      </c>
    </row>
    <row r="1619" ht="16.5" spans="2:22">
      <c r="B1619" s="117">
        <v>383</v>
      </c>
      <c r="C1619" s="130">
        <f t="shared" si="1784"/>
        <v>38300</v>
      </c>
      <c r="D1619" s="130">
        <f ca="1" t="shared" si="1785"/>
        <v>1</v>
      </c>
      <c r="E1619" s="130">
        <f ca="1" t="shared" si="1786"/>
        <v>1</v>
      </c>
      <c r="F1619" s="130">
        <f ca="1" t="shared" si="1787"/>
        <v>1</v>
      </c>
      <c r="G1619" s="130">
        <f ca="1" t="shared" si="1788"/>
        <v>1</v>
      </c>
      <c r="H1619" s="130">
        <f ca="1" t="shared" si="1789"/>
        <v>1</v>
      </c>
      <c r="I1619" s="130">
        <f ca="1" t="shared" si="1790"/>
        <v>1</v>
      </c>
      <c r="J1619" s="130">
        <f ca="1" t="shared" si="1791"/>
        <v>1</v>
      </c>
      <c r="K1619" s="130">
        <f ca="1" t="shared" si="1792"/>
        <v>1</v>
      </c>
      <c r="L1619" s="130">
        <f ca="1" t="shared" si="1793"/>
        <v>1</v>
      </c>
      <c r="M1619" s="130">
        <f ca="1" t="shared" si="1794"/>
        <v>1</v>
      </c>
      <c r="N1619" s="130">
        <f ca="1" t="shared" si="1795"/>
        <v>1</v>
      </c>
      <c r="O1619" s="130">
        <f ca="1" t="shared" si="1796"/>
        <v>1</v>
      </c>
      <c r="P1619" s="130">
        <f ca="1" t="shared" si="1797"/>
        <v>1</v>
      </c>
      <c r="Q1619" s="130">
        <f ca="1" t="shared" si="1798"/>
        <v>1</v>
      </c>
      <c r="R1619" s="130">
        <f ca="1" t="shared" si="1799"/>
        <v>1</v>
      </c>
      <c r="S1619" s="130">
        <f ca="1" t="shared" si="1800"/>
        <v>1</v>
      </c>
      <c r="T1619" s="130">
        <f ca="1" t="shared" si="1801"/>
        <v>1</v>
      </c>
      <c r="U1619" s="130">
        <f ca="1" t="shared" si="1802"/>
        <v>1</v>
      </c>
      <c r="V1619" s="130">
        <f ca="1" t="shared" si="1803"/>
        <v>1</v>
      </c>
    </row>
    <row r="1620" ht="16.5" spans="2:22">
      <c r="B1620" s="117">
        <v>384</v>
      </c>
      <c r="C1620" s="130">
        <f t="shared" si="1784"/>
        <v>38400</v>
      </c>
      <c r="D1620" s="130">
        <f ca="1" t="shared" si="1785"/>
        <v>1</v>
      </c>
      <c r="E1620" s="130">
        <f ca="1" t="shared" si="1786"/>
        <v>1</v>
      </c>
      <c r="F1620" s="130">
        <f ca="1" t="shared" si="1787"/>
        <v>1</v>
      </c>
      <c r="G1620" s="130">
        <f ca="1" t="shared" si="1788"/>
        <v>1</v>
      </c>
      <c r="H1620" s="130">
        <f ca="1" t="shared" si="1789"/>
        <v>1</v>
      </c>
      <c r="I1620" s="130">
        <f ca="1" t="shared" si="1790"/>
        <v>1</v>
      </c>
      <c r="J1620" s="130">
        <f ca="1" t="shared" si="1791"/>
        <v>1</v>
      </c>
      <c r="K1620" s="130">
        <f ca="1" t="shared" si="1792"/>
        <v>1</v>
      </c>
      <c r="L1620" s="130">
        <f ca="1" t="shared" si="1793"/>
        <v>1</v>
      </c>
      <c r="M1620" s="130">
        <f ca="1" t="shared" si="1794"/>
        <v>1</v>
      </c>
      <c r="N1620" s="130">
        <f ca="1" t="shared" si="1795"/>
        <v>1</v>
      </c>
      <c r="O1620" s="130">
        <f ca="1" t="shared" si="1796"/>
        <v>1</v>
      </c>
      <c r="P1620" s="130">
        <f ca="1" t="shared" si="1797"/>
        <v>1</v>
      </c>
      <c r="Q1620" s="130">
        <f ca="1" t="shared" si="1798"/>
        <v>1</v>
      </c>
      <c r="R1620" s="130">
        <f ca="1" t="shared" si="1799"/>
        <v>1</v>
      </c>
      <c r="S1620" s="130">
        <f ca="1" t="shared" si="1800"/>
        <v>1</v>
      </c>
      <c r="T1620" s="130">
        <f ca="1" t="shared" si="1801"/>
        <v>1</v>
      </c>
      <c r="U1620" s="130">
        <f ca="1" t="shared" si="1802"/>
        <v>1</v>
      </c>
      <c r="V1620" s="130">
        <f ca="1" t="shared" si="1803"/>
        <v>1</v>
      </c>
    </row>
    <row r="1621" ht="16.5" spans="2:22">
      <c r="B1621" s="117">
        <v>385</v>
      </c>
      <c r="C1621" s="130">
        <f t="shared" si="1784"/>
        <v>38500</v>
      </c>
      <c r="D1621" s="130">
        <f ca="1" t="shared" si="1785"/>
        <v>1</v>
      </c>
      <c r="E1621" s="130">
        <f ca="1" t="shared" si="1786"/>
        <v>1</v>
      </c>
      <c r="F1621" s="130">
        <f ca="1" t="shared" si="1787"/>
        <v>1</v>
      </c>
      <c r="G1621" s="130">
        <f ca="1" t="shared" si="1788"/>
        <v>1</v>
      </c>
      <c r="H1621" s="130">
        <f ca="1" t="shared" si="1789"/>
        <v>1</v>
      </c>
      <c r="I1621" s="130">
        <f ca="1" t="shared" si="1790"/>
        <v>1</v>
      </c>
      <c r="J1621" s="130">
        <f ca="1" t="shared" si="1791"/>
        <v>1</v>
      </c>
      <c r="K1621" s="130">
        <f ca="1" t="shared" si="1792"/>
        <v>1</v>
      </c>
      <c r="L1621" s="130">
        <f ca="1" t="shared" si="1793"/>
        <v>1</v>
      </c>
      <c r="M1621" s="130">
        <f ca="1" t="shared" si="1794"/>
        <v>1</v>
      </c>
      <c r="N1621" s="130">
        <f ca="1" t="shared" si="1795"/>
        <v>1</v>
      </c>
      <c r="O1621" s="130">
        <f ca="1" t="shared" si="1796"/>
        <v>1</v>
      </c>
      <c r="P1621" s="130">
        <f ca="1" t="shared" si="1797"/>
        <v>1</v>
      </c>
      <c r="Q1621" s="130">
        <f ca="1" t="shared" si="1798"/>
        <v>1</v>
      </c>
      <c r="R1621" s="130">
        <f ca="1" t="shared" si="1799"/>
        <v>1</v>
      </c>
      <c r="S1621" s="130">
        <f ca="1" t="shared" si="1800"/>
        <v>1</v>
      </c>
      <c r="T1621" s="130">
        <f ca="1" t="shared" si="1801"/>
        <v>1</v>
      </c>
      <c r="U1621" s="130">
        <f ca="1" t="shared" si="1802"/>
        <v>1</v>
      </c>
      <c r="V1621" s="130">
        <f ca="1" t="shared" si="1803"/>
        <v>1</v>
      </c>
    </row>
    <row r="1622" ht="16.5" spans="2:22">
      <c r="B1622" s="117">
        <v>386</v>
      </c>
      <c r="C1622" s="130">
        <f t="shared" si="1784"/>
        <v>38600</v>
      </c>
      <c r="D1622" s="130">
        <f ca="1" t="shared" si="1785"/>
        <v>1</v>
      </c>
      <c r="E1622" s="130">
        <f ca="1" t="shared" si="1786"/>
        <v>1</v>
      </c>
      <c r="F1622" s="130">
        <f ca="1" t="shared" si="1787"/>
        <v>1</v>
      </c>
      <c r="G1622" s="130">
        <f ca="1" t="shared" si="1788"/>
        <v>1</v>
      </c>
      <c r="H1622" s="130">
        <f ca="1" t="shared" si="1789"/>
        <v>1</v>
      </c>
      <c r="I1622" s="130">
        <f ca="1" t="shared" si="1790"/>
        <v>1</v>
      </c>
      <c r="J1622" s="130">
        <f ca="1" t="shared" si="1791"/>
        <v>1</v>
      </c>
      <c r="K1622" s="130">
        <f ca="1" t="shared" si="1792"/>
        <v>1</v>
      </c>
      <c r="L1622" s="130">
        <f ca="1" t="shared" si="1793"/>
        <v>1</v>
      </c>
      <c r="M1622" s="130">
        <f ca="1" t="shared" si="1794"/>
        <v>1</v>
      </c>
      <c r="N1622" s="130">
        <f ca="1" t="shared" si="1795"/>
        <v>1</v>
      </c>
      <c r="O1622" s="130">
        <f ca="1" t="shared" si="1796"/>
        <v>1</v>
      </c>
      <c r="P1622" s="130">
        <f ca="1" t="shared" si="1797"/>
        <v>1</v>
      </c>
      <c r="Q1622" s="130">
        <f ca="1" t="shared" si="1798"/>
        <v>1</v>
      </c>
      <c r="R1622" s="130">
        <f ca="1" t="shared" si="1799"/>
        <v>1</v>
      </c>
      <c r="S1622" s="130">
        <f ca="1" t="shared" si="1800"/>
        <v>1</v>
      </c>
      <c r="T1622" s="130">
        <f ca="1" t="shared" si="1801"/>
        <v>1</v>
      </c>
      <c r="U1622" s="130">
        <f ca="1" t="shared" si="1802"/>
        <v>1</v>
      </c>
      <c r="V1622" s="130">
        <f ca="1" t="shared" si="1803"/>
        <v>1</v>
      </c>
    </row>
    <row r="1623" ht="16.5" spans="2:22">
      <c r="B1623" s="117">
        <v>387</v>
      </c>
      <c r="C1623" s="130">
        <f t="shared" si="1784"/>
        <v>38700</v>
      </c>
      <c r="D1623" s="130">
        <f ca="1" t="shared" si="1785"/>
        <v>1</v>
      </c>
      <c r="E1623" s="130">
        <f ca="1" t="shared" si="1786"/>
        <v>1</v>
      </c>
      <c r="F1623" s="130">
        <f ca="1" t="shared" si="1787"/>
        <v>1</v>
      </c>
      <c r="G1623" s="130">
        <f ca="1" t="shared" si="1788"/>
        <v>1</v>
      </c>
      <c r="H1623" s="130">
        <f ca="1" t="shared" si="1789"/>
        <v>1</v>
      </c>
      <c r="I1623" s="130">
        <f ca="1" t="shared" si="1790"/>
        <v>1</v>
      </c>
      <c r="J1623" s="130">
        <f ca="1" t="shared" si="1791"/>
        <v>1</v>
      </c>
      <c r="K1623" s="130">
        <f ca="1" t="shared" si="1792"/>
        <v>1</v>
      </c>
      <c r="L1623" s="130">
        <f ca="1" t="shared" si="1793"/>
        <v>1</v>
      </c>
      <c r="M1623" s="130">
        <f ca="1" t="shared" si="1794"/>
        <v>1</v>
      </c>
      <c r="N1623" s="130">
        <f ca="1" t="shared" si="1795"/>
        <v>1</v>
      </c>
      <c r="O1623" s="130">
        <f ca="1" t="shared" si="1796"/>
        <v>1</v>
      </c>
      <c r="P1623" s="130">
        <f ca="1" t="shared" si="1797"/>
        <v>1</v>
      </c>
      <c r="Q1623" s="130">
        <f ca="1" t="shared" si="1798"/>
        <v>1</v>
      </c>
      <c r="R1623" s="130">
        <f ca="1" t="shared" si="1799"/>
        <v>1</v>
      </c>
      <c r="S1623" s="130">
        <f ca="1" t="shared" si="1800"/>
        <v>1</v>
      </c>
      <c r="T1623" s="130">
        <f ca="1" t="shared" si="1801"/>
        <v>1</v>
      </c>
      <c r="U1623" s="130">
        <f ca="1" t="shared" si="1802"/>
        <v>1</v>
      </c>
      <c r="V1623" s="130">
        <f ca="1" t="shared" si="1803"/>
        <v>1</v>
      </c>
    </row>
    <row r="1624" ht="16.5" spans="2:22">
      <c r="B1624" s="117">
        <v>388</v>
      </c>
      <c r="C1624" s="130">
        <f t="shared" si="1784"/>
        <v>38800</v>
      </c>
      <c r="D1624" s="130">
        <f ca="1" t="shared" si="1785"/>
        <v>1</v>
      </c>
      <c r="E1624" s="130">
        <f ca="1" t="shared" si="1786"/>
        <v>1</v>
      </c>
      <c r="F1624" s="130">
        <f ca="1" t="shared" si="1787"/>
        <v>1</v>
      </c>
      <c r="G1624" s="130">
        <f ca="1" t="shared" si="1788"/>
        <v>1</v>
      </c>
      <c r="H1624" s="130">
        <f ca="1" t="shared" si="1789"/>
        <v>1</v>
      </c>
      <c r="I1624" s="130">
        <f ca="1" t="shared" si="1790"/>
        <v>1</v>
      </c>
      <c r="J1624" s="130">
        <f ca="1" t="shared" si="1791"/>
        <v>1</v>
      </c>
      <c r="K1624" s="130">
        <f ca="1" t="shared" si="1792"/>
        <v>1</v>
      </c>
      <c r="L1624" s="130">
        <f ca="1" t="shared" si="1793"/>
        <v>1</v>
      </c>
      <c r="M1624" s="130">
        <f ca="1" t="shared" si="1794"/>
        <v>1</v>
      </c>
      <c r="N1624" s="130">
        <f ca="1" t="shared" si="1795"/>
        <v>1</v>
      </c>
      <c r="O1624" s="130">
        <f ca="1" t="shared" si="1796"/>
        <v>1</v>
      </c>
      <c r="P1624" s="130">
        <f ca="1" t="shared" si="1797"/>
        <v>1</v>
      </c>
      <c r="Q1624" s="130">
        <f ca="1" t="shared" si="1798"/>
        <v>1</v>
      </c>
      <c r="R1624" s="130">
        <f ca="1" t="shared" si="1799"/>
        <v>1</v>
      </c>
      <c r="S1624" s="130">
        <f ca="1" t="shared" si="1800"/>
        <v>1</v>
      </c>
      <c r="T1624" s="130">
        <f ca="1" t="shared" si="1801"/>
        <v>1</v>
      </c>
      <c r="U1624" s="130">
        <f ca="1" t="shared" si="1802"/>
        <v>1</v>
      </c>
      <c r="V1624" s="130">
        <f ca="1" t="shared" si="1803"/>
        <v>1</v>
      </c>
    </row>
    <row r="1625" ht="16.5" spans="2:22">
      <c r="B1625" s="117">
        <v>389</v>
      </c>
      <c r="C1625" s="130">
        <f t="shared" si="1784"/>
        <v>38900</v>
      </c>
      <c r="D1625" s="130">
        <f ca="1" t="shared" si="1785"/>
        <v>1</v>
      </c>
      <c r="E1625" s="130">
        <f ca="1" t="shared" si="1786"/>
        <v>1</v>
      </c>
      <c r="F1625" s="130">
        <f ca="1" t="shared" si="1787"/>
        <v>1</v>
      </c>
      <c r="G1625" s="130">
        <f ca="1" t="shared" si="1788"/>
        <v>1</v>
      </c>
      <c r="H1625" s="130">
        <f ca="1" t="shared" si="1789"/>
        <v>1</v>
      </c>
      <c r="I1625" s="130">
        <f ca="1" t="shared" si="1790"/>
        <v>1</v>
      </c>
      <c r="J1625" s="130">
        <f ca="1" t="shared" si="1791"/>
        <v>1</v>
      </c>
      <c r="K1625" s="130">
        <f ca="1" t="shared" si="1792"/>
        <v>1</v>
      </c>
      <c r="L1625" s="130">
        <f ca="1" t="shared" si="1793"/>
        <v>1</v>
      </c>
      <c r="M1625" s="130">
        <f ca="1" t="shared" si="1794"/>
        <v>1</v>
      </c>
      <c r="N1625" s="130">
        <f ca="1" t="shared" si="1795"/>
        <v>1</v>
      </c>
      <c r="O1625" s="130">
        <f ca="1" t="shared" si="1796"/>
        <v>1</v>
      </c>
      <c r="P1625" s="130">
        <f ca="1" t="shared" si="1797"/>
        <v>1</v>
      </c>
      <c r="Q1625" s="130">
        <f ca="1" t="shared" si="1798"/>
        <v>1</v>
      </c>
      <c r="R1625" s="130">
        <f ca="1" t="shared" si="1799"/>
        <v>1</v>
      </c>
      <c r="S1625" s="130">
        <f ca="1" t="shared" si="1800"/>
        <v>1</v>
      </c>
      <c r="T1625" s="130">
        <f ca="1" t="shared" si="1801"/>
        <v>1</v>
      </c>
      <c r="U1625" s="130">
        <f ca="1" t="shared" si="1802"/>
        <v>1</v>
      </c>
      <c r="V1625" s="130">
        <f ca="1" t="shared" si="1803"/>
        <v>1</v>
      </c>
    </row>
    <row r="1626" ht="16.5" spans="2:22">
      <c r="B1626" s="117">
        <v>390</v>
      </c>
      <c r="C1626" s="130">
        <f t="shared" si="1784"/>
        <v>39000</v>
      </c>
      <c r="D1626" s="130">
        <f ca="1" t="shared" si="1785"/>
        <v>1</v>
      </c>
      <c r="E1626" s="130">
        <f ca="1" t="shared" si="1786"/>
        <v>1</v>
      </c>
      <c r="F1626" s="130">
        <f ca="1" t="shared" si="1787"/>
        <v>1</v>
      </c>
      <c r="G1626" s="130">
        <f ca="1" t="shared" si="1788"/>
        <v>1</v>
      </c>
      <c r="H1626" s="130">
        <f ca="1" t="shared" si="1789"/>
        <v>1</v>
      </c>
      <c r="I1626" s="130">
        <f ca="1" t="shared" si="1790"/>
        <v>1</v>
      </c>
      <c r="J1626" s="130">
        <f ca="1" t="shared" si="1791"/>
        <v>1</v>
      </c>
      <c r="K1626" s="130">
        <f ca="1" t="shared" si="1792"/>
        <v>1</v>
      </c>
      <c r="L1626" s="130">
        <f ca="1" t="shared" si="1793"/>
        <v>1</v>
      </c>
      <c r="M1626" s="130">
        <f ca="1" t="shared" si="1794"/>
        <v>1</v>
      </c>
      <c r="N1626" s="130">
        <f ca="1" t="shared" si="1795"/>
        <v>1</v>
      </c>
      <c r="O1626" s="130">
        <f ca="1" t="shared" si="1796"/>
        <v>1</v>
      </c>
      <c r="P1626" s="130">
        <f ca="1" t="shared" si="1797"/>
        <v>1</v>
      </c>
      <c r="Q1626" s="130">
        <f ca="1" t="shared" si="1798"/>
        <v>1</v>
      </c>
      <c r="R1626" s="130">
        <f ca="1" t="shared" si="1799"/>
        <v>1</v>
      </c>
      <c r="S1626" s="130">
        <f ca="1" t="shared" si="1800"/>
        <v>1</v>
      </c>
      <c r="T1626" s="130">
        <f ca="1" t="shared" si="1801"/>
        <v>1</v>
      </c>
      <c r="U1626" s="130">
        <f ca="1" t="shared" si="1802"/>
        <v>1</v>
      </c>
      <c r="V1626" s="130">
        <f ca="1" t="shared" si="1803"/>
        <v>1</v>
      </c>
    </row>
    <row r="1627" ht="16.5" spans="2:22">
      <c r="B1627" s="117">
        <v>391</v>
      </c>
      <c r="C1627" s="130">
        <f t="shared" si="1784"/>
        <v>39100</v>
      </c>
      <c r="D1627" s="130">
        <f ca="1" t="shared" si="1785"/>
        <v>1</v>
      </c>
      <c r="E1627" s="130">
        <f ca="1" t="shared" si="1786"/>
        <v>1</v>
      </c>
      <c r="F1627" s="130">
        <f ca="1" t="shared" si="1787"/>
        <v>1</v>
      </c>
      <c r="G1627" s="130">
        <f ca="1" t="shared" si="1788"/>
        <v>1</v>
      </c>
      <c r="H1627" s="130">
        <f ca="1" t="shared" si="1789"/>
        <v>1</v>
      </c>
      <c r="I1627" s="130">
        <f ca="1" t="shared" si="1790"/>
        <v>1</v>
      </c>
      <c r="J1627" s="130">
        <f ca="1" t="shared" si="1791"/>
        <v>1</v>
      </c>
      <c r="K1627" s="130">
        <f ca="1" t="shared" si="1792"/>
        <v>1</v>
      </c>
      <c r="L1627" s="130">
        <f ca="1" t="shared" si="1793"/>
        <v>1</v>
      </c>
      <c r="M1627" s="130">
        <f ca="1" t="shared" si="1794"/>
        <v>1</v>
      </c>
      <c r="N1627" s="130">
        <f ca="1" t="shared" si="1795"/>
        <v>1</v>
      </c>
      <c r="O1627" s="130">
        <f ca="1" t="shared" si="1796"/>
        <v>1</v>
      </c>
      <c r="P1627" s="130">
        <f ca="1" t="shared" si="1797"/>
        <v>1</v>
      </c>
      <c r="Q1627" s="130">
        <f ca="1" t="shared" si="1798"/>
        <v>1</v>
      </c>
      <c r="R1627" s="130">
        <f ca="1" t="shared" si="1799"/>
        <v>1</v>
      </c>
      <c r="S1627" s="130">
        <f ca="1" t="shared" si="1800"/>
        <v>1</v>
      </c>
      <c r="T1627" s="130">
        <f ca="1" t="shared" si="1801"/>
        <v>1</v>
      </c>
      <c r="U1627" s="130">
        <f ca="1" t="shared" si="1802"/>
        <v>1</v>
      </c>
      <c r="V1627" s="130">
        <f ca="1" t="shared" si="1803"/>
        <v>1</v>
      </c>
    </row>
    <row r="1628" ht="16.5" spans="2:22">
      <c r="B1628" s="117">
        <v>392</v>
      </c>
      <c r="C1628" s="130">
        <f t="shared" si="1784"/>
        <v>39200</v>
      </c>
      <c r="D1628" s="130">
        <f ca="1" t="shared" si="1785"/>
        <v>1</v>
      </c>
      <c r="E1628" s="130">
        <f ca="1" t="shared" si="1786"/>
        <v>1</v>
      </c>
      <c r="F1628" s="130">
        <f ca="1" t="shared" si="1787"/>
        <v>1</v>
      </c>
      <c r="G1628" s="130">
        <f ca="1" t="shared" si="1788"/>
        <v>1</v>
      </c>
      <c r="H1628" s="130">
        <f ca="1" t="shared" si="1789"/>
        <v>1</v>
      </c>
      <c r="I1628" s="130">
        <f ca="1" t="shared" si="1790"/>
        <v>1</v>
      </c>
      <c r="J1628" s="130">
        <f ca="1" t="shared" si="1791"/>
        <v>1</v>
      </c>
      <c r="K1628" s="130">
        <f ca="1" t="shared" si="1792"/>
        <v>1</v>
      </c>
      <c r="L1628" s="130">
        <f ca="1" t="shared" si="1793"/>
        <v>1</v>
      </c>
      <c r="M1628" s="130">
        <f ca="1" t="shared" si="1794"/>
        <v>1</v>
      </c>
      <c r="N1628" s="130">
        <f ca="1" t="shared" si="1795"/>
        <v>1</v>
      </c>
      <c r="O1628" s="130">
        <f ca="1" t="shared" si="1796"/>
        <v>1</v>
      </c>
      <c r="P1628" s="130">
        <f ca="1" t="shared" si="1797"/>
        <v>1</v>
      </c>
      <c r="Q1628" s="130">
        <f ca="1" t="shared" si="1798"/>
        <v>1</v>
      </c>
      <c r="R1628" s="130">
        <f ca="1" t="shared" si="1799"/>
        <v>1</v>
      </c>
      <c r="S1628" s="130">
        <f ca="1" t="shared" si="1800"/>
        <v>1</v>
      </c>
      <c r="T1628" s="130">
        <f ca="1" t="shared" si="1801"/>
        <v>1</v>
      </c>
      <c r="U1628" s="130">
        <f ca="1" t="shared" si="1802"/>
        <v>1</v>
      </c>
      <c r="V1628" s="130">
        <f ca="1" t="shared" si="1803"/>
        <v>1</v>
      </c>
    </row>
    <row r="1629" ht="16.5" spans="2:22">
      <c r="B1629" s="117">
        <v>393</v>
      </c>
      <c r="C1629" s="130">
        <f t="shared" si="1784"/>
        <v>39300</v>
      </c>
      <c r="D1629" s="130">
        <f ca="1" t="shared" si="1785"/>
        <v>1</v>
      </c>
      <c r="E1629" s="130">
        <f ca="1" t="shared" si="1786"/>
        <v>1</v>
      </c>
      <c r="F1629" s="130">
        <f ca="1" t="shared" si="1787"/>
        <v>1</v>
      </c>
      <c r="G1629" s="130">
        <f ca="1" t="shared" si="1788"/>
        <v>1</v>
      </c>
      <c r="H1629" s="130">
        <f ca="1" t="shared" si="1789"/>
        <v>1</v>
      </c>
      <c r="I1629" s="130">
        <f ca="1" t="shared" si="1790"/>
        <v>1</v>
      </c>
      <c r="J1629" s="130">
        <f ca="1" t="shared" si="1791"/>
        <v>1</v>
      </c>
      <c r="K1629" s="130">
        <f ca="1" t="shared" si="1792"/>
        <v>1</v>
      </c>
      <c r="L1629" s="130">
        <f ca="1" t="shared" si="1793"/>
        <v>1</v>
      </c>
      <c r="M1629" s="130">
        <f ca="1" t="shared" si="1794"/>
        <v>1</v>
      </c>
      <c r="N1629" s="130">
        <f ca="1" t="shared" si="1795"/>
        <v>1</v>
      </c>
      <c r="O1629" s="130">
        <f ca="1" t="shared" si="1796"/>
        <v>1</v>
      </c>
      <c r="P1629" s="130">
        <f ca="1" t="shared" si="1797"/>
        <v>1</v>
      </c>
      <c r="Q1629" s="130">
        <f ca="1" t="shared" si="1798"/>
        <v>1</v>
      </c>
      <c r="R1629" s="130">
        <f ca="1" t="shared" si="1799"/>
        <v>1</v>
      </c>
      <c r="S1629" s="130">
        <f ca="1" t="shared" si="1800"/>
        <v>1</v>
      </c>
      <c r="T1629" s="130">
        <f ca="1" t="shared" si="1801"/>
        <v>1</v>
      </c>
      <c r="U1629" s="130">
        <f ca="1" t="shared" si="1802"/>
        <v>1</v>
      </c>
      <c r="V1629" s="130">
        <f ca="1" t="shared" si="1803"/>
        <v>1</v>
      </c>
    </row>
    <row r="1630" ht="16.5" spans="2:22">
      <c r="B1630" s="117">
        <v>394</v>
      </c>
      <c r="C1630" s="130">
        <f t="shared" si="1784"/>
        <v>39400</v>
      </c>
      <c r="D1630" s="130">
        <f ca="1" t="shared" si="1785"/>
        <v>1</v>
      </c>
      <c r="E1630" s="130">
        <f ca="1" t="shared" si="1786"/>
        <v>1</v>
      </c>
      <c r="F1630" s="130">
        <f ca="1" t="shared" si="1787"/>
        <v>1</v>
      </c>
      <c r="G1630" s="130">
        <f ca="1" t="shared" si="1788"/>
        <v>1</v>
      </c>
      <c r="H1630" s="130">
        <f ca="1" t="shared" si="1789"/>
        <v>1</v>
      </c>
      <c r="I1630" s="130">
        <f ca="1" t="shared" si="1790"/>
        <v>1</v>
      </c>
      <c r="J1630" s="130">
        <f ca="1" t="shared" si="1791"/>
        <v>1</v>
      </c>
      <c r="K1630" s="130">
        <f ca="1" t="shared" si="1792"/>
        <v>1</v>
      </c>
      <c r="L1630" s="130">
        <f ca="1" t="shared" si="1793"/>
        <v>1</v>
      </c>
      <c r="M1630" s="130">
        <f ca="1" t="shared" si="1794"/>
        <v>1</v>
      </c>
      <c r="N1630" s="130">
        <f ca="1" t="shared" si="1795"/>
        <v>1</v>
      </c>
      <c r="O1630" s="130">
        <f ca="1" t="shared" si="1796"/>
        <v>1</v>
      </c>
      <c r="P1630" s="130">
        <f ca="1" t="shared" si="1797"/>
        <v>1</v>
      </c>
      <c r="Q1630" s="130">
        <f ca="1" t="shared" si="1798"/>
        <v>1</v>
      </c>
      <c r="R1630" s="130">
        <f ca="1" t="shared" si="1799"/>
        <v>1</v>
      </c>
      <c r="S1630" s="130">
        <f ca="1" t="shared" si="1800"/>
        <v>1</v>
      </c>
      <c r="T1630" s="130">
        <f ca="1" t="shared" si="1801"/>
        <v>1</v>
      </c>
      <c r="U1630" s="130">
        <f ca="1" t="shared" si="1802"/>
        <v>1</v>
      </c>
      <c r="V1630" s="130">
        <f ca="1" t="shared" si="1803"/>
        <v>1</v>
      </c>
    </row>
    <row r="1631" ht="16.5" spans="2:22">
      <c r="B1631" s="117">
        <v>395</v>
      </c>
      <c r="C1631" s="130">
        <f t="shared" si="1784"/>
        <v>39500</v>
      </c>
      <c r="D1631" s="130">
        <f ca="1" t="shared" si="1785"/>
        <v>1</v>
      </c>
      <c r="E1631" s="130">
        <f ca="1" t="shared" si="1786"/>
        <v>1</v>
      </c>
      <c r="F1631" s="130">
        <f ca="1" t="shared" si="1787"/>
        <v>1</v>
      </c>
      <c r="G1631" s="130">
        <f ca="1" t="shared" si="1788"/>
        <v>1</v>
      </c>
      <c r="H1631" s="130">
        <f ca="1" t="shared" si="1789"/>
        <v>1</v>
      </c>
      <c r="I1631" s="130">
        <f ca="1" t="shared" si="1790"/>
        <v>1</v>
      </c>
      <c r="J1631" s="130">
        <f ca="1" t="shared" si="1791"/>
        <v>1</v>
      </c>
      <c r="K1631" s="130">
        <f ca="1" t="shared" si="1792"/>
        <v>1</v>
      </c>
      <c r="L1631" s="130">
        <f ca="1" t="shared" si="1793"/>
        <v>1</v>
      </c>
      <c r="M1631" s="130">
        <f ca="1" t="shared" si="1794"/>
        <v>1</v>
      </c>
      <c r="N1631" s="130">
        <f ca="1" t="shared" si="1795"/>
        <v>1</v>
      </c>
      <c r="O1631" s="130">
        <f ca="1" t="shared" si="1796"/>
        <v>1</v>
      </c>
      <c r="P1631" s="130">
        <f ca="1" t="shared" si="1797"/>
        <v>1</v>
      </c>
      <c r="Q1631" s="130">
        <f ca="1" t="shared" si="1798"/>
        <v>1</v>
      </c>
      <c r="R1631" s="130">
        <f ca="1" t="shared" si="1799"/>
        <v>1</v>
      </c>
      <c r="S1631" s="130">
        <f ca="1" t="shared" si="1800"/>
        <v>1</v>
      </c>
      <c r="T1631" s="130">
        <f ca="1" t="shared" si="1801"/>
        <v>1</v>
      </c>
      <c r="U1631" s="130">
        <f ca="1" t="shared" si="1802"/>
        <v>1</v>
      </c>
      <c r="V1631" s="130">
        <f ca="1" t="shared" si="1803"/>
        <v>1</v>
      </c>
    </row>
    <row r="1632" ht="16.5" spans="2:22">
      <c r="B1632" s="117">
        <v>396</v>
      </c>
      <c r="C1632" s="130">
        <f t="shared" si="1784"/>
        <v>39600</v>
      </c>
      <c r="D1632" s="130">
        <f ca="1" t="shared" si="1785"/>
        <v>1</v>
      </c>
      <c r="E1632" s="130">
        <f ca="1" t="shared" si="1786"/>
        <v>1</v>
      </c>
      <c r="F1632" s="130">
        <f ca="1" t="shared" si="1787"/>
        <v>1</v>
      </c>
      <c r="G1632" s="130">
        <f ca="1" t="shared" si="1788"/>
        <v>1</v>
      </c>
      <c r="H1632" s="130">
        <f ca="1" t="shared" si="1789"/>
        <v>1</v>
      </c>
      <c r="I1632" s="130">
        <f ca="1" t="shared" si="1790"/>
        <v>1</v>
      </c>
      <c r="J1632" s="130">
        <f ca="1" t="shared" si="1791"/>
        <v>1</v>
      </c>
      <c r="K1632" s="130">
        <f ca="1" t="shared" si="1792"/>
        <v>1</v>
      </c>
      <c r="L1632" s="130">
        <f ca="1" t="shared" si="1793"/>
        <v>1</v>
      </c>
      <c r="M1632" s="130">
        <f ca="1" t="shared" si="1794"/>
        <v>1</v>
      </c>
      <c r="N1632" s="130">
        <f ca="1" t="shared" si="1795"/>
        <v>1</v>
      </c>
      <c r="O1632" s="130">
        <f ca="1" t="shared" si="1796"/>
        <v>1</v>
      </c>
      <c r="P1632" s="130">
        <f ca="1" t="shared" si="1797"/>
        <v>1</v>
      </c>
      <c r="Q1632" s="130">
        <f ca="1" t="shared" si="1798"/>
        <v>1</v>
      </c>
      <c r="R1632" s="130">
        <f ca="1" t="shared" si="1799"/>
        <v>1</v>
      </c>
      <c r="S1632" s="130">
        <f ca="1" t="shared" si="1800"/>
        <v>1</v>
      </c>
      <c r="T1632" s="130">
        <f ca="1" t="shared" si="1801"/>
        <v>1</v>
      </c>
      <c r="U1632" s="130">
        <f ca="1" t="shared" si="1802"/>
        <v>1</v>
      </c>
      <c r="V1632" s="130">
        <f ca="1" t="shared" si="1803"/>
        <v>1</v>
      </c>
    </row>
    <row r="1633" ht="16.5" spans="2:22">
      <c r="B1633" s="117">
        <v>397</v>
      </c>
      <c r="C1633" s="130">
        <f t="shared" si="1784"/>
        <v>39700</v>
      </c>
      <c r="D1633" s="130">
        <f ca="1" t="shared" si="1785"/>
        <v>1</v>
      </c>
      <c r="E1633" s="130">
        <f ca="1" t="shared" si="1786"/>
        <v>1</v>
      </c>
      <c r="F1633" s="130">
        <f ca="1" t="shared" si="1787"/>
        <v>1</v>
      </c>
      <c r="G1633" s="130">
        <f ca="1" t="shared" si="1788"/>
        <v>1</v>
      </c>
      <c r="H1633" s="130">
        <f ca="1" t="shared" si="1789"/>
        <v>1</v>
      </c>
      <c r="I1633" s="130">
        <f ca="1" t="shared" si="1790"/>
        <v>1</v>
      </c>
      <c r="J1633" s="130">
        <f ca="1" t="shared" si="1791"/>
        <v>1</v>
      </c>
      <c r="K1633" s="130">
        <f ca="1" t="shared" si="1792"/>
        <v>1</v>
      </c>
      <c r="L1633" s="130">
        <f ca="1" t="shared" si="1793"/>
        <v>1</v>
      </c>
      <c r="M1633" s="130">
        <f ca="1" t="shared" si="1794"/>
        <v>1</v>
      </c>
      <c r="N1633" s="130">
        <f ca="1" t="shared" si="1795"/>
        <v>1</v>
      </c>
      <c r="O1633" s="130">
        <f ca="1" t="shared" si="1796"/>
        <v>1</v>
      </c>
      <c r="P1633" s="130">
        <f ca="1" t="shared" si="1797"/>
        <v>1</v>
      </c>
      <c r="Q1633" s="130">
        <f ca="1" t="shared" si="1798"/>
        <v>1</v>
      </c>
      <c r="R1633" s="130">
        <f ca="1" t="shared" si="1799"/>
        <v>1</v>
      </c>
      <c r="S1633" s="130">
        <f ca="1" t="shared" si="1800"/>
        <v>1</v>
      </c>
      <c r="T1633" s="130">
        <f ca="1" t="shared" si="1801"/>
        <v>1</v>
      </c>
      <c r="U1633" s="130">
        <f ca="1" t="shared" si="1802"/>
        <v>1</v>
      </c>
      <c r="V1633" s="130">
        <f ca="1" t="shared" si="1803"/>
        <v>1</v>
      </c>
    </row>
    <row r="1634" ht="16.5" spans="2:22">
      <c r="B1634" s="117">
        <v>398</v>
      </c>
      <c r="C1634" s="130">
        <f t="shared" si="1784"/>
        <v>39800</v>
      </c>
      <c r="D1634" s="130">
        <f ca="1" t="shared" si="1785"/>
        <v>1</v>
      </c>
      <c r="E1634" s="130">
        <f ca="1" t="shared" si="1786"/>
        <v>1</v>
      </c>
      <c r="F1634" s="130">
        <f ca="1" t="shared" si="1787"/>
        <v>1</v>
      </c>
      <c r="G1634" s="130">
        <f ca="1" t="shared" si="1788"/>
        <v>1</v>
      </c>
      <c r="H1634" s="130">
        <f ca="1" t="shared" si="1789"/>
        <v>1</v>
      </c>
      <c r="I1634" s="130">
        <f ca="1" t="shared" si="1790"/>
        <v>1</v>
      </c>
      <c r="J1634" s="130">
        <f ca="1" t="shared" si="1791"/>
        <v>1</v>
      </c>
      <c r="K1634" s="130">
        <f ca="1" t="shared" si="1792"/>
        <v>1</v>
      </c>
      <c r="L1634" s="130">
        <f ca="1" t="shared" si="1793"/>
        <v>1</v>
      </c>
      <c r="M1634" s="130">
        <f ca="1" t="shared" si="1794"/>
        <v>1</v>
      </c>
      <c r="N1634" s="130">
        <f ca="1" t="shared" si="1795"/>
        <v>1</v>
      </c>
      <c r="O1634" s="130">
        <f ca="1" t="shared" si="1796"/>
        <v>1</v>
      </c>
      <c r="P1634" s="130">
        <f ca="1" t="shared" si="1797"/>
        <v>1</v>
      </c>
      <c r="Q1634" s="130">
        <f ca="1" t="shared" si="1798"/>
        <v>1</v>
      </c>
      <c r="R1634" s="130">
        <f ca="1" t="shared" si="1799"/>
        <v>1</v>
      </c>
      <c r="S1634" s="130">
        <f ca="1" t="shared" si="1800"/>
        <v>1</v>
      </c>
      <c r="T1634" s="130">
        <f ca="1" t="shared" si="1801"/>
        <v>1</v>
      </c>
      <c r="U1634" s="130">
        <f ca="1" t="shared" si="1802"/>
        <v>1</v>
      </c>
      <c r="V1634" s="130">
        <f ca="1" t="shared" si="1803"/>
        <v>1</v>
      </c>
    </row>
    <row r="1635" ht="16.5" spans="2:22">
      <c r="B1635" s="117">
        <v>399</v>
      </c>
      <c r="C1635" s="130">
        <f t="shared" si="1784"/>
        <v>39900</v>
      </c>
      <c r="D1635" s="130">
        <f ca="1" t="shared" si="1785"/>
        <v>1</v>
      </c>
      <c r="E1635" s="130">
        <f ca="1" t="shared" si="1786"/>
        <v>1</v>
      </c>
      <c r="F1635" s="130">
        <f ca="1" t="shared" si="1787"/>
        <v>1</v>
      </c>
      <c r="G1635" s="130">
        <f ca="1" t="shared" si="1788"/>
        <v>1</v>
      </c>
      <c r="H1635" s="130">
        <f ca="1" t="shared" si="1789"/>
        <v>1</v>
      </c>
      <c r="I1635" s="130">
        <f ca="1" t="shared" si="1790"/>
        <v>1</v>
      </c>
      <c r="J1635" s="130">
        <f ca="1" t="shared" si="1791"/>
        <v>1</v>
      </c>
      <c r="K1635" s="130">
        <f ca="1" t="shared" si="1792"/>
        <v>1</v>
      </c>
      <c r="L1635" s="130">
        <f ca="1" t="shared" si="1793"/>
        <v>1</v>
      </c>
      <c r="M1635" s="130">
        <f ca="1" t="shared" si="1794"/>
        <v>1</v>
      </c>
      <c r="N1635" s="130">
        <f ca="1" t="shared" si="1795"/>
        <v>1</v>
      </c>
      <c r="O1635" s="130">
        <f ca="1" t="shared" si="1796"/>
        <v>1</v>
      </c>
      <c r="P1635" s="130">
        <f ca="1" t="shared" si="1797"/>
        <v>1</v>
      </c>
      <c r="Q1635" s="130">
        <f ca="1" t="shared" si="1798"/>
        <v>1</v>
      </c>
      <c r="R1635" s="130">
        <f ca="1" t="shared" si="1799"/>
        <v>1</v>
      </c>
      <c r="S1635" s="130">
        <f ca="1" t="shared" si="1800"/>
        <v>1</v>
      </c>
      <c r="T1635" s="130">
        <f ca="1" t="shared" si="1801"/>
        <v>1</v>
      </c>
      <c r="U1635" s="130">
        <f ca="1" t="shared" si="1802"/>
        <v>1</v>
      </c>
      <c r="V1635" s="130">
        <f ca="1" t="shared" si="1803"/>
        <v>1</v>
      </c>
    </row>
    <row r="1636" ht="16.5" spans="2:22">
      <c r="B1636" s="117">
        <v>400</v>
      </c>
      <c r="C1636" s="130">
        <f t="shared" si="1784"/>
        <v>40000</v>
      </c>
      <c r="D1636" s="130">
        <f ca="1" t="shared" si="1785"/>
        <v>1</v>
      </c>
      <c r="E1636" s="130">
        <f ca="1" t="shared" si="1786"/>
        <v>1</v>
      </c>
      <c r="F1636" s="130">
        <f ca="1" t="shared" si="1787"/>
        <v>1</v>
      </c>
      <c r="G1636" s="130">
        <f ca="1" t="shared" si="1788"/>
        <v>1</v>
      </c>
      <c r="H1636" s="130">
        <f ca="1" t="shared" si="1789"/>
        <v>1</v>
      </c>
      <c r="I1636" s="130">
        <f ca="1" t="shared" si="1790"/>
        <v>1</v>
      </c>
      <c r="J1636" s="130">
        <f ca="1" t="shared" si="1791"/>
        <v>1</v>
      </c>
      <c r="K1636" s="130">
        <f ca="1" t="shared" si="1792"/>
        <v>1</v>
      </c>
      <c r="L1636" s="130">
        <f ca="1" t="shared" si="1793"/>
        <v>1</v>
      </c>
      <c r="M1636" s="130">
        <f ca="1" t="shared" si="1794"/>
        <v>1</v>
      </c>
      <c r="N1636" s="130">
        <f ca="1" t="shared" si="1795"/>
        <v>1</v>
      </c>
      <c r="O1636" s="130">
        <f ca="1" t="shared" si="1796"/>
        <v>1</v>
      </c>
      <c r="P1636" s="130">
        <f ca="1" t="shared" si="1797"/>
        <v>1</v>
      </c>
      <c r="Q1636" s="130">
        <f ca="1" t="shared" si="1798"/>
        <v>1</v>
      </c>
      <c r="R1636" s="130">
        <f ca="1" t="shared" si="1799"/>
        <v>1</v>
      </c>
      <c r="S1636" s="130">
        <f ca="1" t="shared" si="1800"/>
        <v>1</v>
      </c>
      <c r="T1636" s="130">
        <f ca="1" t="shared" si="1801"/>
        <v>1</v>
      </c>
      <c r="U1636" s="130">
        <f ca="1" t="shared" si="1802"/>
        <v>1</v>
      </c>
      <c r="V1636" s="130">
        <f ca="1" t="shared" si="1803"/>
        <v>1</v>
      </c>
    </row>
    <row r="1637" ht="16.5" spans="2:22">
      <c r="B1637" s="117">
        <v>401</v>
      </c>
      <c r="C1637" s="130">
        <f t="shared" si="1784"/>
        <v>40100</v>
      </c>
      <c r="D1637" s="130">
        <f ca="1" t="shared" si="1785"/>
        <v>1</v>
      </c>
      <c r="E1637" s="130">
        <f ca="1" t="shared" si="1786"/>
        <v>1</v>
      </c>
      <c r="F1637" s="130">
        <f ca="1" t="shared" si="1787"/>
        <v>1</v>
      </c>
      <c r="G1637" s="130">
        <f ca="1" t="shared" si="1788"/>
        <v>1</v>
      </c>
      <c r="H1637" s="130">
        <f ca="1" t="shared" si="1789"/>
        <v>1</v>
      </c>
      <c r="I1637" s="130">
        <f ca="1" t="shared" si="1790"/>
        <v>1</v>
      </c>
      <c r="J1637" s="130">
        <f ca="1" t="shared" si="1791"/>
        <v>1</v>
      </c>
      <c r="K1637" s="130">
        <f ca="1" t="shared" si="1792"/>
        <v>1</v>
      </c>
      <c r="L1637" s="130">
        <f ca="1" t="shared" si="1793"/>
        <v>1</v>
      </c>
      <c r="M1637" s="130">
        <f ca="1" t="shared" si="1794"/>
        <v>1</v>
      </c>
      <c r="N1637" s="130">
        <f ca="1" t="shared" si="1795"/>
        <v>1</v>
      </c>
      <c r="O1637" s="130">
        <f ca="1" t="shared" si="1796"/>
        <v>1</v>
      </c>
      <c r="P1637" s="130">
        <f ca="1" t="shared" si="1797"/>
        <v>1</v>
      </c>
      <c r="Q1637" s="130">
        <f ca="1" t="shared" si="1798"/>
        <v>1</v>
      </c>
      <c r="R1637" s="130">
        <f ca="1" t="shared" si="1799"/>
        <v>1</v>
      </c>
      <c r="S1637" s="130">
        <f ca="1" t="shared" si="1800"/>
        <v>1</v>
      </c>
      <c r="T1637" s="130">
        <f ca="1" t="shared" si="1801"/>
        <v>1</v>
      </c>
      <c r="U1637" s="130">
        <f ca="1" t="shared" si="1802"/>
        <v>1</v>
      </c>
      <c r="V1637" s="130">
        <f ca="1" t="shared" si="1803"/>
        <v>1</v>
      </c>
    </row>
    <row r="1638" ht="16.5" spans="2:22">
      <c r="B1638" s="117">
        <v>402</v>
      </c>
      <c r="C1638" s="130">
        <f t="shared" si="1784"/>
        <v>40200</v>
      </c>
      <c r="D1638" s="130">
        <f ca="1" t="shared" si="1785"/>
        <v>1</v>
      </c>
      <c r="E1638" s="130">
        <f ca="1" t="shared" si="1786"/>
        <v>1</v>
      </c>
      <c r="F1638" s="130">
        <f ca="1" t="shared" si="1787"/>
        <v>1</v>
      </c>
      <c r="G1638" s="130">
        <f ca="1" t="shared" si="1788"/>
        <v>1</v>
      </c>
      <c r="H1638" s="130">
        <f ca="1" t="shared" si="1789"/>
        <v>1</v>
      </c>
      <c r="I1638" s="130">
        <f ca="1" t="shared" si="1790"/>
        <v>1</v>
      </c>
      <c r="J1638" s="130">
        <f ca="1" t="shared" si="1791"/>
        <v>1</v>
      </c>
      <c r="K1638" s="130">
        <f ca="1" t="shared" si="1792"/>
        <v>1</v>
      </c>
      <c r="L1638" s="130">
        <f ca="1" t="shared" si="1793"/>
        <v>1</v>
      </c>
      <c r="M1638" s="130">
        <f ca="1" t="shared" si="1794"/>
        <v>1</v>
      </c>
      <c r="N1638" s="130">
        <f ca="1" t="shared" si="1795"/>
        <v>1</v>
      </c>
      <c r="O1638" s="130">
        <f ca="1" t="shared" si="1796"/>
        <v>1</v>
      </c>
      <c r="P1638" s="130">
        <f ca="1" t="shared" si="1797"/>
        <v>1</v>
      </c>
      <c r="Q1638" s="130">
        <f ca="1" t="shared" si="1798"/>
        <v>1</v>
      </c>
      <c r="R1638" s="130">
        <f ca="1" t="shared" si="1799"/>
        <v>1</v>
      </c>
      <c r="S1638" s="130">
        <f ca="1" t="shared" si="1800"/>
        <v>1</v>
      </c>
      <c r="T1638" s="130">
        <f ca="1" t="shared" si="1801"/>
        <v>1</v>
      </c>
      <c r="U1638" s="130">
        <f ca="1" t="shared" si="1802"/>
        <v>1</v>
      </c>
      <c r="V1638" s="130">
        <f ca="1" t="shared" si="1803"/>
        <v>1</v>
      </c>
    </row>
    <row r="1639" ht="16.5" spans="2:22">
      <c r="B1639" s="117">
        <v>403</v>
      </c>
      <c r="C1639" s="130">
        <f t="shared" si="1784"/>
        <v>40300</v>
      </c>
      <c r="D1639" s="130">
        <f ca="1" t="shared" si="1785"/>
        <v>1</v>
      </c>
      <c r="E1639" s="130">
        <f ca="1" t="shared" si="1786"/>
        <v>1</v>
      </c>
      <c r="F1639" s="130">
        <f ca="1" t="shared" si="1787"/>
        <v>1</v>
      </c>
      <c r="G1639" s="130">
        <f ca="1" t="shared" si="1788"/>
        <v>1</v>
      </c>
      <c r="H1639" s="130">
        <f ca="1" t="shared" si="1789"/>
        <v>1</v>
      </c>
      <c r="I1639" s="130">
        <f ca="1" t="shared" si="1790"/>
        <v>1</v>
      </c>
      <c r="J1639" s="130">
        <f ca="1" t="shared" si="1791"/>
        <v>1</v>
      </c>
      <c r="K1639" s="130">
        <f ca="1" t="shared" si="1792"/>
        <v>1</v>
      </c>
      <c r="L1639" s="130">
        <f ca="1" t="shared" si="1793"/>
        <v>1</v>
      </c>
      <c r="M1639" s="130">
        <f ca="1" t="shared" si="1794"/>
        <v>1</v>
      </c>
      <c r="N1639" s="130">
        <f ca="1" t="shared" si="1795"/>
        <v>1</v>
      </c>
      <c r="O1639" s="130">
        <f ca="1" t="shared" si="1796"/>
        <v>1</v>
      </c>
      <c r="P1639" s="130">
        <f ca="1" t="shared" si="1797"/>
        <v>1</v>
      </c>
      <c r="Q1639" s="130">
        <f ca="1" t="shared" si="1798"/>
        <v>1</v>
      </c>
      <c r="R1639" s="130">
        <f ca="1" t="shared" si="1799"/>
        <v>1</v>
      </c>
      <c r="S1639" s="130">
        <f ca="1" t="shared" si="1800"/>
        <v>1</v>
      </c>
      <c r="T1639" s="130">
        <f ca="1" t="shared" si="1801"/>
        <v>1</v>
      </c>
      <c r="U1639" s="130">
        <f ca="1" t="shared" si="1802"/>
        <v>1</v>
      </c>
      <c r="V1639" s="130">
        <f ca="1" t="shared" si="1803"/>
        <v>1</v>
      </c>
    </row>
    <row r="1640" ht="16.5" spans="2:22">
      <c r="B1640" s="117">
        <v>404</v>
      </c>
      <c r="C1640" s="130">
        <f t="shared" si="1784"/>
        <v>40400</v>
      </c>
      <c r="D1640" s="130">
        <f ca="1" t="shared" si="1785"/>
        <v>1</v>
      </c>
      <c r="E1640" s="130">
        <f ca="1" t="shared" si="1786"/>
        <v>1</v>
      </c>
      <c r="F1640" s="130">
        <f ca="1" t="shared" si="1787"/>
        <v>1</v>
      </c>
      <c r="G1640" s="130">
        <f ca="1" t="shared" si="1788"/>
        <v>1</v>
      </c>
      <c r="H1640" s="130">
        <f ca="1" t="shared" si="1789"/>
        <v>1</v>
      </c>
      <c r="I1640" s="130">
        <f ca="1" t="shared" si="1790"/>
        <v>1</v>
      </c>
      <c r="J1640" s="130">
        <f ca="1" t="shared" si="1791"/>
        <v>1</v>
      </c>
      <c r="K1640" s="130">
        <f ca="1" t="shared" si="1792"/>
        <v>1</v>
      </c>
      <c r="L1640" s="130">
        <f ca="1" t="shared" si="1793"/>
        <v>1</v>
      </c>
      <c r="M1640" s="130">
        <f ca="1" t="shared" si="1794"/>
        <v>1</v>
      </c>
      <c r="N1640" s="130">
        <f ca="1" t="shared" si="1795"/>
        <v>1</v>
      </c>
      <c r="O1640" s="130">
        <f ca="1" t="shared" si="1796"/>
        <v>1</v>
      </c>
      <c r="P1640" s="130">
        <f ca="1" t="shared" si="1797"/>
        <v>1</v>
      </c>
      <c r="Q1640" s="130">
        <f ca="1" t="shared" si="1798"/>
        <v>1</v>
      </c>
      <c r="R1640" s="130">
        <f ca="1" t="shared" si="1799"/>
        <v>1</v>
      </c>
      <c r="S1640" s="130">
        <f ca="1" t="shared" si="1800"/>
        <v>1</v>
      </c>
      <c r="T1640" s="130">
        <f ca="1" t="shared" si="1801"/>
        <v>1</v>
      </c>
      <c r="U1640" s="130">
        <f ca="1" t="shared" si="1802"/>
        <v>1</v>
      </c>
      <c r="V1640" s="130">
        <f ca="1" t="shared" si="1803"/>
        <v>1</v>
      </c>
    </row>
    <row r="1641" ht="16.5" spans="2:22">
      <c r="B1641" s="117">
        <v>405</v>
      </c>
      <c r="C1641" s="130">
        <f t="shared" si="1784"/>
        <v>40500</v>
      </c>
      <c r="D1641" s="130">
        <f ca="1" t="shared" si="1785"/>
        <v>1</v>
      </c>
      <c r="E1641" s="130">
        <f ca="1" t="shared" si="1786"/>
        <v>1</v>
      </c>
      <c r="F1641" s="130">
        <f ca="1" t="shared" si="1787"/>
        <v>1</v>
      </c>
      <c r="G1641" s="130">
        <f ca="1" t="shared" si="1788"/>
        <v>1</v>
      </c>
      <c r="H1641" s="130">
        <f ca="1" t="shared" si="1789"/>
        <v>1</v>
      </c>
      <c r="I1641" s="130">
        <f ca="1" t="shared" si="1790"/>
        <v>1</v>
      </c>
      <c r="J1641" s="130">
        <f ca="1" t="shared" si="1791"/>
        <v>1</v>
      </c>
      <c r="K1641" s="130">
        <f ca="1" t="shared" si="1792"/>
        <v>1</v>
      </c>
      <c r="L1641" s="130">
        <f ca="1" t="shared" si="1793"/>
        <v>1</v>
      </c>
      <c r="M1641" s="130">
        <f ca="1" t="shared" si="1794"/>
        <v>1</v>
      </c>
      <c r="N1641" s="130">
        <f ca="1" t="shared" si="1795"/>
        <v>1</v>
      </c>
      <c r="O1641" s="130">
        <f ca="1" t="shared" si="1796"/>
        <v>1</v>
      </c>
      <c r="P1641" s="130">
        <f ca="1" t="shared" si="1797"/>
        <v>1</v>
      </c>
      <c r="Q1641" s="130">
        <f ca="1" t="shared" si="1798"/>
        <v>1</v>
      </c>
      <c r="R1641" s="130">
        <f ca="1" t="shared" si="1799"/>
        <v>1</v>
      </c>
      <c r="S1641" s="130">
        <f ca="1" t="shared" si="1800"/>
        <v>1</v>
      </c>
      <c r="T1641" s="130">
        <f ca="1" t="shared" si="1801"/>
        <v>1</v>
      </c>
      <c r="U1641" s="130">
        <f ca="1" t="shared" si="1802"/>
        <v>1</v>
      </c>
      <c r="V1641" s="130">
        <f ca="1" t="shared" si="1803"/>
        <v>1</v>
      </c>
    </row>
    <row r="1642" ht="16.5" spans="2:22">
      <c r="B1642" s="117">
        <v>406</v>
      </c>
      <c r="C1642" s="130">
        <f t="shared" si="1784"/>
        <v>40600</v>
      </c>
      <c r="D1642" s="130">
        <f ca="1" t="shared" si="1785"/>
        <v>1</v>
      </c>
      <c r="E1642" s="130">
        <f ca="1" t="shared" si="1786"/>
        <v>1</v>
      </c>
      <c r="F1642" s="130">
        <f ca="1" t="shared" si="1787"/>
        <v>1</v>
      </c>
      <c r="G1642" s="130">
        <f ca="1" t="shared" si="1788"/>
        <v>1</v>
      </c>
      <c r="H1642" s="130">
        <f ca="1" t="shared" si="1789"/>
        <v>1</v>
      </c>
      <c r="I1642" s="130">
        <f ca="1" t="shared" si="1790"/>
        <v>1</v>
      </c>
      <c r="J1642" s="130">
        <f ca="1" t="shared" si="1791"/>
        <v>1</v>
      </c>
      <c r="K1642" s="130">
        <f ca="1" t="shared" si="1792"/>
        <v>1</v>
      </c>
      <c r="L1642" s="130">
        <f ca="1" t="shared" si="1793"/>
        <v>1</v>
      </c>
      <c r="M1642" s="130">
        <f ca="1" t="shared" si="1794"/>
        <v>1</v>
      </c>
      <c r="N1642" s="130">
        <f ca="1" t="shared" si="1795"/>
        <v>1</v>
      </c>
      <c r="O1642" s="130">
        <f ca="1" t="shared" si="1796"/>
        <v>1</v>
      </c>
      <c r="P1642" s="130">
        <f ca="1" t="shared" si="1797"/>
        <v>1</v>
      </c>
      <c r="Q1642" s="130">
        <f ca="1" t="shared" si="1798"/>
        <v>1</v>
      </c>
      <c r="R1642" s="130">
        <f ca="1" t="shared" si="1799"/>
        <v>1</v>
      </c>
      <c r="S1642" s="130">
        <f ca="1" t="shared" si="1800"/>
        <v>1</v>
      </c>
      <c r="T1642" s="130">
        <f ca="1" t="shared" si="1801"/>
        <v>1</v>
      </c>
      <c r="U1642" s="130">
        <f ca="1" t="shared" si="1802"/>
        <v>1</v>
      </c>
      <c r="V1642" s="130">
        <f ca="1" t="shared" si="1803"/>
        <v>1</v>
      </c>
    </row>
    <row r="1643" ht="16.5" spans="2:22">
      <c r="B1643" s="117">
        <v>407</v>
      </c>
      <c r="C1643" s="130">
        <f t="shared" si="1784"/>
        <v>40700</v>
      </c>
      <c r="D1643" s="130">
        <f ca="1" t="shared" si="1785"/>
        <v>1</v>
      </c>
      <c r="E1643" s="130">
        <f ca="1" t="shared" si="1786"/>
        <v>1</v>
      </c>
      <c r="F1643" s="130">
        <f ca="1" t="shared" si="1787"/>
        <v>1</v>
      </c>
      <c r="G1643" s="130">
        <f ca="1" t="shared" si="1788"/>
        <v>1</v>
      </c>
      <c r="H1643" s="130">
        <f ca="1" t="shared" si="1789"/>
        <v>1</v>
      </c>
      <c r="I1643" s="130">
        <f ca="1" t="shared" si="1790"/>
        <v>1</v>
      </c>
      <c r="J1643" s="130">
        <f ca="1" t="shared" si="1791"/>
        <v>1</v>
      </c>
      <c r="K1643" s="130">
        <f ca="1" t="shared" si="1792"/>
        <v>1</v>
      </c>
      <c r="L1643" s="130">
        <f ca="1" t="shared" si="1793"/>
        <v>1</v>
      </c>
      <c r="M1643" s="130">
        <f ca="1" t="shared" si="1794"/>
        <v>1</v>
      </c>
      <c r="N1643" s="130">
        <f ca="1" t="shared" si="1795"/>
        <v>1</v>
      </c>
      <c r="O1643" s="130">
        <f ca="1" t="shared" si="1796"/>
        <v>1</v>
      </c>
      <c r="P1643" s="130">
        <f ca="1" t="shared" si="1797"/>
        <v>1</v>
      </c>
      <c r="Q1643" s="130">
        <f ca="1" t="shared" si="1798"/>
        <v>1</v>
      </c>
      <c r="R1643" s="130">
        <f ca="1" t="shared" si="1799"/>
        <v>1</v>
      </c>
      <c r="S1643" s="130">
        <f ca="1" t="shared" si="1800"/>
        <v>1</v>
      </c>
      <c r="T1643" s="130">
        <f ca="1" t="shared" si="1801"/>
        <v>1</v>
      </c>
      <c r="U1643" s="130">
        <f ca="1" t="shared" si="1802"/>
        <v>1</v>
      </c>
      <c r="V1643" s="130">
        <f ca="1" t="shared" si="1803"/>
        <v>1</v>
      </c>
    </row>
    <row r="1644" ht="16.5" spans="2:22">
      <c r="B1644" s="117">
        <v>408</v>
      </c>
      <c r="C1644" s="130">
        <f t="shared" si="1784"/>
        <v>40800</v>
      </c>
      <c r="D1644" s="130">
        <f ca="1" t="shared" si="1785"/>
        <v>1</v>
      </c>
      <c r="E1644" s="130">
        <f ca="1" t="shared" si="1786"/>
        <v>1</v>
      </c>
      <c r="F1644" s="130">
        <f ca="1" t="shared" si="1787"/>
        <v>1</v>
      </c>
      <c r="G1644" s="130">
        <f ca="1" t="shared" si="1788"/>
        <v>1</v>
      </c>
      <c r="H1644" s="130">
        <f ca="1" t="shared" si="1789"/>
        <v>1</v>
      </c>
      <c r="I1644" s="130">
        <f ca="1" t="shared" si="1790"/>
        <v>1</v>
      </c>
      <c r="J1644" s="130">
        <f ca="1" t="shared" si="1791"/>
        <v>1</v>
      </c>
      <c r="K1644" s="130">
        <f ca="1" t="shared" si="1792"/>
        <v>1</v>
      </c>
      <c r="L1644" s="130">
        <f ca="1" t="shared" si="1793"/>
        <v>1</v>
      </c>
      <c r="M1644" s="130">
        <f ca="1" t="shared" si="1794"/>
        <v>1</v>
      </c>
      <c r="N1644" s="130">
        <f ca="1" t="shared" si="1795"/>
        <v>1</v>
      </c>
      <c r="O1644" s="130">
        <f ca="1" t="shared" si="1796"/>
        <v>1</v>
      </c>
      <c r="P1644" s="130">
        <f ca="1" t="shared" si="1797"/>
        <v>1</v>
      </c>
      <c r="Q1644" s="130">
        <f ca="1" t="shared" si="1798"/>
        <v>1</v>
      </c>
      <c r="R1644" s="130">
        <f ca="1" t="shared" si="1799"/>
        <v>1</v>
      </c>
      <c r="S1644" s="130">
        <f ca="1" t="shared" si="1800"/>
        <v>1</v>
      </c>
      <c r="T1644" s="130">
        <f ca="1" t="shared" si="1801"/>
        <v>1</v>
      </c>
      <c r="U1644" s="130">
        <f ca="1" t="shared" si="1802"/>
        <v>1</v>
      </c>
      <c r="V1644" s="130">
        <f ca="1" t="shared" si="1803"/>
        <v>1</v>
      </c>
    </row>
    <row r="1645" ht="16.5" spans="2:22">
      <c r="B1645" s="117">
        <v>409</v>
      </c>
      <c r="C1645" s="130">
        <f t="shared" si="1784"/>
        <v>40900</v>
      </c>
      <c r="D1645" s="130">
        <f ca="1" t="shared" si="1785"/>
        <v>1</v>
      </c>
      <c r="E1645" s="130">
        <f ca="1" t="shared" si="1786"/>
        <v>1</v>
      </c>
      <c r="F1645" s="130">
        <f ca="1" t="shared" si="1787"/>
        <v>1</v>
      </c>
      <c r="G1645" s="130">
        <f ca="1" t="shared" si="1788"/>
        <v>1</v>
      </c>
      <c r="H1645" s="130">
        <f ca="1" t="shared" si="1789"/>
        <v>1</v>
      </c>
      <c r="I1645" s="130">
        <f ca="1" t="shared" si="1790"/>
        <v>1</v>
      </c>
      <c r="J1645" s="130">
        <f ca="1" t="shared" si="1791"/>
        <v>1</v>
      </c>
      <c r="K1645" s="130">
        <f ca="1" t="shared" si="1792"/>
        <v>1</v>
      </c>
      <c r="L1645" s="130">
        <f ca="1" t="shared" si="1793"/>
        <v>1</v>
      </c>
      <c r="M1645" s="130">
        <f ca="1" t="shared" si="1794"/>
        <v>1</v>
      </c>
      <c r="N1645" s="130">
        <f ca="1" t="shared" si="1795"/>
        <v>1</v>
      </c>
      <c r="O1645" s="130">
        <f ca="1" t="shared" si="1796"/>
        <v>1</v>
      </c>
      <c r="P1645" s="130">
        <f ca="1" t="shared" si="1797"/>
        <v>1</v>
      </c>
      <c r="Q1645" s="130">
        <f ca="1" t="shared" si="1798"/>
        <v>1</v>
      </c>
      <c r="R1645" s="130">
        <f ca="1" t="shared" si="1799"/>
        <v>1</v>
      </c>
      <c r="S1645" s="130">
        <f ca="1" t="shared" si="1800"/>
        <v>1</v>
      </c>
      <c r="T1645" s="130">
        <f ca="1" t="shared" si="1801"/>
        <v>1</v>
      </c>
      <c r="U1645" s="130">
        <f ca="1" t="shared" si="1802"/>
        <v>1</v>
      </c>
      <c r="V1645" s="130">
        <f ca="1" t="shared" si="1803"/>
        <v>1</v>
      </c>
    </row>
    <row r="1646" ht="16.5" spans="2:22">
      <c r="B1646" s="117">
        <v>410</v>
      </c>
      <c r="C1646" s="130">
        <f t="shared" si="1784"/>
        <v>41000</v>
      </c>
      <c r="D1646" s="130">
        <f ca="1" t="shared" si="1785"/>
        <v>1</v>
      </c>
      <c r="E1646" s="130">
        <f ca="1" t="shared" si="1786"/>
        <v>1</v>
      </c>
      <c r="F1646" s="130">
        <f ca="1" t="shared" si="1787"/>
        <v>1</v>
      </c>
      <c r="G1646" s="130">
        <f ca="1" t="shared" si="1788"/>
        <v>1</v>
      </c>
      <c r="H1646" s="130">
        <f ca="1" t="shared" si="1789"/>
        <v>1</v>
      </c>
      <c r="I1646" s="130">
        <f ca="1" t="shared" si="1790"/>
        <v>1</v>
      </c>
      <c r="J1646" s="130">
        <f ca="1" t="shared" si="1791"/>
        <v>1</v>
      </c>
      <c r="K1646" s="130">
        <f ca="1" t="shared" si="1792"/>
        <v>1</v>
      </c>
      <c r="L1646" s="130">
        <f ca="1" t="shared" si="1793"/>
        <v>1</v>
      </c>
      <c r="M1646" s="130">
        <f ca="1" t="shared" si="1794"/>
        <v>1</v>
      </c>
      <c r="N1646" s="130">
        <f ca="1" t="shared" si="1795"/>
        <v>1</v>
      </c>
      <c r="O1646" s="130">
        <f ca="1" t="shared" si="1796"/>
        <v>1</v>
      </c>
      <c r="P1646" s="130">
        <f ca="1" t="shared" si="1797"/>
        <v>1</v>
      </c>
      <c r="Q1646" s="130">
        <f ca="1" t="shared" si="1798"/>
        <v>1</v>
      </c>
      <c r="R1646" s="130">
        <f ca="1" t="shared" si="1799"/>
        <v>1</v>
      </c>
      <c r="S1646" s="130">
        <f ca="1" t="shared" si="1800"/>
        <v>1</v>
      </c>
      <c r="T1646" s="130">
        <f ca="1" t="shared" si="1801"/>
        <v>1</v>
      </c>
      <c r="U1646" s="130">
        <f ca="1" t="shared" si="1802"/>
        <v>1</v>
      </c>
      <c r="V1646" s="130">
        <f ca="1" t="shared" si="1803"/>
        <v>1</v>
      </c>
    </row>
    <row r="1647" ht="16.5" spans="2:22">
      <c r="B1647" s="117">
        <v>411</v>
      </c>
      <c r="C1647" s="130">
        <f t="shared" si="1784"/>
        <v>41100</v>
      </c>
      <c r="D1647" s="130">
        <f ca="1" t="shared" si="1785"/>
        <v>1</v>
      </c>
      <c r="E1647" s="130">
        <f ca="1" t="shared" si="1786"/>
        <v>1</v>
      </c>
      <c r="F1647" s="130">
        <f ca="1" t="shared" si="1787"/>
        <v>1</v>
      </c>
      <c r="G1647" s="130">
        <f ca="1" t="shared" si="1788"/>
        <v>1</v>
      </c>
      <c r="H1647" s="130">
        <f ca="1" t="shared" si="1789"/>
        <v>1</v>
      </c>
      <c r="I1647" s="130">
        <f ca="1" t="shared" si="1790"/>
        <v>1</v>
      </c>
      <c r="J1647" s="130">
        <f ca="1" t="shared" si="1791"/>
        <v>1</v>
      </c>
      <c r="K1647" s="130">
        <f ca="1" t="shared" si="1792"/>
        <v>1</v>
      </c>
      <c r="L1647" s="130">
        <f ca="1" t="shared" si="1793"/>
        <v>1</v>
      </c>
      <c r="M1647" s="130">
        <f ca="1" t="shared" si="1794"/>
        <v>1</v>
      </c>
      <c r="N1647" s="130">
        <f ca="1" t="shared" si="1795"/>
        <v>1</v>
      </c>
      <c r="O1647" s="130">
        <f ca="1" t="shared" si="1796"/>
        <v>1</v>
      </c>
      <c r="P1647" s="130">
        <f ca="1" t="shared" si="1797"/>
        <v>1</v>
      </c>
      <c r="Q1647" s="130">
        <f ca="1" t="shared" si="1798"/>
        <v>1</v>
      </c>
      <c r="R1647" s="130">
        <f ca="1" t="shared" si="1799"/>
        <v>1</v>
      </c>
      <c r="S1647" s="130">
        <f ca="1" t="shared" si="1800"/>
        <v>1</v>
      </c>
      <c r="T1647" s="130">
        <f ca="1" t="shared" si="1801"/>
        <v>1</v>
      </c>
      <c r="U1647" s="130">
        <f ca="1" t="shared" si="1802"/>
        <v>1</v>
      </c>
      <c r="V1647" s="130">
        <f ca="1" t="shared" si="1803"/>
        <v>1</v>
      </c>
    </row>
    <row r="1648" ht="16.5" spans="2:22">
      <c r="B1648" s="117">
        <v>412</v>
      </c>
      <c r="C1648" s="130">
        <f t="shared" si="1784"/>
        <v>41200</v>
      </c>
      <c r="D1648" s="130">
        <f ca="1" t="shared" si="1785"/>
        <v>1</v>
      </c>
      <c r="E1648" s="130">
        <f ca="1" t="shared" si="1786"/>
        <v>1</v>
      </c>
      <c r="F1648" s="130">
        <f ca="1" t="shared" si="1787"/>
        <v>1</v>
      </c>
      <c r="G1648" s="130">
        <f ca="1" t="shared" si="1788"/>
        <v>1</v>
      </c>
      <c r="H1648" s="130">
        <f ca="1" t="shared" si="1789"/>
        <v>1</v>
      </c>
      <c r="I1648" s="130">
        <f ca="1" t="shared" si="1790"/>
        <v>1</v>
      </c>
      <c r="J1648" s="130">
        <f ca="1" t="shared" si="1791"/>
        <v>1</v>
      </c>
      <c r="K1648" s="130">
        <f ca="1" t="shared" si="1792"/>
        <v>1</v>
      </c>
      <c r="L1648" s="130">
        <f ca="1" t="shared" si="1793"/>
        <v>1</v>
      </c>
      <c r="M1648" s="130">
        <f ca="1" t="shared" si="1794"/>
        <v>1</v>
      </c>
      <c r="N1648" s="130">
        <f ca="1" t="shared" si="1795"/>
        <v>1</v>
      </c>
      <c r="O1648" s="130">
        <f ca="1" t="shared" si="1796"/>
        <v>1</v>
      </c>
      <c r="P1648" s="130">
        <f ca="1" t="shared" si="1797"/>
        <v>1</v>
      </c>
      <c r="Q1648" s="130">
        <f ca="1" t="shared" si="1798"/>
        <v>1</v>
      </c>
      <c r="R1648" s="130">
        <f ca="1" t="shared" si="1799"/>
        <v>1</v>
      </c>
      <c r="S1648" s="130">
        <f ca="1" t="shared" si="1800"/>
        <v>1</v>
      </c>
      <c r="T1648" s="130">
        <f ca="1" t="shared" si="1801"/>
        <v>1</v>
      </c>
      <c r="U1648" s="130">
        <f ca="1" t="shared" si="1802"/>
        <v>1</v>
      </c>
      <c r="V1648" s="130">
        <f ca="1" t="shared" si="1803"/>
        <v>1</v>
      </c>
    </row>
    <row r="1649" ht="16.5" spans="2:22">
      <c r="B1649" s="117">
        <v>413</v>
      </c>
      <c r="C1649" s="130">
        <f t="shared" si="1784"/>
        <v>41300</v>
      </c>
      <c r="D1649" s="130">
        <f ca="1" t="shared" si="1785"/>
        <v>1</v>
      </c>
      <c r="E1649" s="130">
        <f ca="1" t="shared" si="1786"/>
        <v>1</v>
      </c>
      <c r="F1649" s="130">
        <f ca="1" t="shared" si="1787"/>
        <v>1</v>
      </c>
      <c r="G1649" s="130">
        <f ca="1" t="shared" si="1788"/>
        <v>1</v>
      </c>
      <c r="H1649" s="130">
        <f ca="1" t="shared" si="1789"/>
        <v>1</v>
      </c>
      <c r="I1649" s="130">
        <f ca="1" t="shared" si="1790"/>
        <v>1</v>
      </c>
      <c r="J1649" s="130">
        <f ca="1" t="shared" si="1791"/>
        <v>1</v>
      </c>
      <c r="K1649" s="130">
        <f ca="1" t="shared" si="1792"/>
        <v>1</v>
      </c>
      <c r="L1649" s="130">
        <f ca="1" t="shared" si="1793"/>
        <v>1</v>
      </c>
      <c r="M1649" s="130">
        <f ca="1" t="shared" si="1794"/>
        <v>1</v>
      </c>
      <c r="N1649" s="130">
        <f ca="1" t="shared" si="1795"/>
        <v>1</v>
      </c>
      <c r="O1649" s="130">
        <f ca="1" t="shared" si="1796"/>
        <v>1</v>
      </c>
      <c r="P1649" s="130">
        <f ca="1" t="shared" si="1797"/>
        <v>1</v>
      </c>
      <c r="Q1649" s="130">
        <f ca="1" t="shared" si="1798"/>
        <v>1</v>
      </c>
      <c r="R1649" s="130">
        <f ca="1" t="shared" si="1799"/>
        <v>1</v>
      </c>
      <c r="S1649" s="130">
        <f ca="1" t="shared" si="1800"/>
        <v>1</v>
      </c>
      <c r="T1649" s="130">
        <f ca="1" t="shared" si="1801"/>
        <v>1</v>
      </c>
      <c r="U1649" s="130">
        <f ca="1" t="shared" si="1802"/>
        <v>1</v>
      </c>
      <c r="V1649" s="130">
        <f ca="1" t="shared" si="1803"/>
        <v>1</v>
      </c>
    </row>
    <row r="1650" ht="16.5" spans="2:22">
      <c r="B1650" s="117">
        <v>414</v>
      </c>
      <c r="C1650" s="130">
        <f t="shared" si="1784"/>
        <v>41400</v>
      </c>
      <c r="D1650" s="130">
        <f ca="1" t="shared" si="1785"/>
        <v>1</v>
      </c>
      <c r="E1650" s="130">
        <f ca="1" t="shared" si="1786"/>
        <v>1</v>
      </c>
      <c r="F1650" s="130">
        <f ca="1" t="shared" si="1787"/>
        <v>1</v>
      </c>
      <c r="G1650" s="130">
        <f ca="1" t="shared" si="1788"/>
        <v>1</v>
      </c>
      <c r="H1650" s="130">
        <f ca="1" t="shared" si="1789"/>
        <v>1</v>
      </c>
      <c r="I1650" s="130">
        <f ca="1" t="shared" si="1790"/>
        <v>1</v>
      </c>
      <c r="J1650" s="130">
        <f ca="1" t="shared" si="1791"/>
        <v>1</v>
      </c>
      <c r="K1650" s="130">
        <f ca="1" t="shared" si="1792"/>
        <v>1</v>
      </c>
      <c r="L1650" s="130">
        <f ca="1" t="shared" si="1793"/>
        <v>1</v>
      </c>
      <c r="M1650" s="130">
        <f ca="1" t="shared" si="1794"/>
        <v>1</v>
      </c>
      <c r="N1650" s="130">
        <f ca="1" t="shared" si="1795"/>
        <v>1</v>
      </c>
      <c r="O1650" s="130">
        <f ca="1" t="shared" si="1796"/>
        <v>1</v>
      </c>
      <c r="P1650" s="130">
        <f ca="1" t="shared" si="1797"/>
        <v>1</v>
      </c>
      <c r="Q1650" s="130">
        <f ca="1" t="shared" si="1798"/>
        <v>1</v>
      </c>
      <c r="R1650" s="130">
        <f ca="1" t="shared" si="1799"/>
        <v>1</v>
      </c>
      <c r="S1650" s="130">
        <f ca="1" t="shared" si="1800"/>
        <v>1</v>
      </c>
      <c r="T1650" s="130">
        <f ca="1" t="shared" si="1801"/>
        <v>1</v>
      </c>
      <c r="U1650" s="130">
        <f ca="1" t="shared" si="1802"/>
        <v>1</v>
      </c>
      <c r="V1650" s="130">
        <f ca="1" t="shared" si="1803"/>
        <v>1</v>
      </c>
    </row>
    <row r="1651" ht="16.5" spans="2:22">
      <c r="B1651" s="117">
        <v>415</v>
      </c>
      <c r="C1651" s="130">
        <f t="shared" si="1784"/>
        <v>41500</v>
      </c>
      <c r="D1651" s="130">
        <f ca="1" t="shared" si="1785"/>
        <v>1</v>
      </c>
      <c r="E1651" s="130">
        <f ca="1" t="shared" si="1786"/>
        <v>1</v>
      </c>
      <c r="F1651" s="130">
        <f ca="1" t="shared" si="1787"/>
        <v>1</v>
      </c>
      <c r="G1651" s="130">
        <f ca="1" t="shared" si="1788"/>
        <v>1</v>
      </c>
      <c r="H1651" s="130">
        <f ca="1" t="shared" si="1789"/>
        <v>1</v>
      </c>
      <c r="I1651" s="130">
        <f ca="1" t="shared" si="1790"/>
        <v>1</v>
      </c>
      <c r="J1651" s="130">
        <f ca="1" t="shared" si="1791"/>
        <v>1</v>
      </c>
      <c r="K1651" s="130">
        <f ca="1" t="shared" si="1792"/>
        <v>1</v>
      </c>
      <c r="L1651" s="130">
        <f ca="1" t="shared" si="1793"/>
        <v>1</v>
      </c>
      <c r="M1651" s="130">
        <f ca="1" t="shared" si="1794"/>
        <v>1</v>
      </c>
      <c r="N1651" s="130">
        <f ca="1" t="shared" si="1795"/>
        <v>1</v>
      </c>
      <c r="O1651" s="130">
        <f ca="1" t="shared" si="1796"/>
        <v>1</v>
      </c>
      <c r="P1651" s="130">
        <f ca="1" t="shared" si="1797"/>
        <v>1</v>
      </c>
      <c r="Q1651" s="130">
        <f ca="1" t="shared" si="1798"/>
        <v>1</v>
      </c>
      <c r="R1651" s="130">
        <f ca="1" t="shared" si="1799"/>
        <v>1</v>
      </c>
      <c r="S1651" s="130">
        <f ca="1" t="shared" si="1800"/>
        <v>1</v>
      </c>
      <c r="T1651" s="130">
        <f ca="1" t="shared" si="1801"/>
        <v>1</v>
      </c>
      <c r="U1651" s="130">
        <f ca="1" t="shared" si="1802"/>
        <v>1</v>
      </c>
      <c r="V1651" s="130">
        <f ca="1" t="shared" si="1803"/>
        <v>1</v>
      </c>
    </row>
    <row r="1652" ht="16.5" spans="2:22">
      <c r="B1652" s="117">
        <v>416</v>
      </c>
      <c r="C1652" s="130">
        <f t="shared" si="1784"/>
        <v>41600</v>
      </c>
      <c r="D1652" s="130">
        <f ca="1" t="shared" si="1785"/>
        <v>1</v>
      </c>
      <c r="E1652" s="130">
        <f ca="1" t="shared" si="1786"/>
        <v>1</v>
      </c>
      <c r="F1652" s="130">
        <f ca="1" t="shared" si="1787"/>
        <v>1</v>
      </c>
      <c r="G1652" s="130">
        <f ca="1" t="shared" si="1788"/>
        <v>1</v>
      </c>
      <c r="H1652" s="130">
        <f ca="1" t="shared" si="1789"/>
        <v>1</v>
      </c>
      <c r="I1652" s="130">
        <f ca="1" t="shared" si="1790"/>
        <v>1</v>
      </c>
      <c r="J1652" s="130">
        <f ca="1" t="shared" si="1791"/>
        <v>1</v>
      </c>
      <c r="K1652" s="130">
        <f ca="1" t="shared" si="1792"/>
        <v>1</v>
      </c>
      <c r="L1652" s="130">
        <f ca="1" t="shared" si="1793"/>
        <v>1</v>
      </c>
      <c r="M1652" s="130">
        <f ca="1" t="shared" si="1794"/>
        <v>1</v>
      </c>
      <c r="N1652" s="130">
        <f ca="1" t="shared" si="1795"/>
        <v>1</v>
      </c>
      <c r="O1652" s="130">
        <f ca="1" t="shared" si="1796"/>
        <v>1</v>
      </c>
      <c r="P1652" s="130">
        <f ca="1" t="shared" si="1797"/>
        <v>1</v>
      </c>
      <c r="Q1652" s="130">
        <f ca="1" t="shared" si="1798"/>
        <v>1</v>
      </c>
      <c r="R1652" s="130">
        <f ca="1" t="shared" si="1799"/>
        <v>1</v>
      </c>
      <c r="S1652" s="130">
        <f ca="1" t="shared" si="1800"/>
        <v>1</v>
      </c>
      <c r="T1652" s="130">
        <f ca="1" t="shared" si="1801"/>
        <v>1</v>
      </c>
      <c r="U1652" s="130">
        <f ca="1" t="shared" si="1802"/>
        <v>1</v>
      </c>
      <c r="V1652" s="130">
        <f ca="1" t="shared" si="1803"/>
        <v>1</v>
      </c>
    </row>
    <row r="1653" ht="16.5" spans="2:22">
      <c r="B1653" s="117">
        <v>417</v>
      </c>
      <c r="C1653" s="130">
        <f t="shared" si="1784"/>
        <v>41700</v>
      </c>
      <c r="D1653" s="130">
        <f ca="1" t="shared" si="1785"/>
        <v>1</v>
      </c>
      <c r="E1653" s="130">
        <f ca="1" t="shared" si="1786"/>
        <v>1</v>
      </c>
      <c r="F1653" s="130">
        <f ca="1" t="shared" si="1787"/>
        <v>1</v>
      </c>
      <c r="G1653" s="130">
        <f ca="1" t="shared" si="1788"/>
        <v>1</v>
      </c>
      <c r="H1653" s="130">
        <f ca="1" t="shared" si="1789"/>
        <v>1</v>
      </c>
      <c r="I1653" s="130">
        <f ca="1" t="shared" si="1790"/>
        <v>1</v>
      </c>
      <c r="J1653" s="130">
        <f ca="1" t="shared" si="1791"/>
        <v>1</v>
      </c>
      <c r="K1653" s="130">
        <f ca="1" t="shared" si="1792"/>
        <v>1</v>
      </c>
      <c r="L1653" s="130">
        <f ca="1" t="shared" si="1793"/>
        <v>1</v>
      </c>
      <c r="M1653" s="130">
        <f ca="1" t="shared" si="1794"/>
        <v>1</v>
      </c>
      <c r="N1653" s="130">
        <f ca="1" t="shared" si="1795"/>
        <v>1</v>
      </c>
      <c r="O1653" s="130">
        <f ca="1" t="shared" si="1796"/>
        <v>1</v>
      </c>
      <c r="P1653" s="130">
        <f ca="1" t="shared" si="1797"/>
        <v>1</v>
      </c>
      <c r="Q1653" s="130">
        <f ca="1" t="shared" si="1798"/>
        <v>1</v>
      </c>
      <c r="R1653" s="130">
        <f ca="1" t="shared" si="1799"/>
        <v>1</v>
      </c>
      <c r="S1653" s="130">
        <f ca="1" t="shared" si="1800"/>
        <v>1</v>
      </c>
      <c r="T1653" s="130">
        <f ca="1" t="shared" si="1801"/>
        <v>1</v>
      </c>
      <c r="U1653" s="130">
        <f ca="1" t="shared" si="1802"/>
        <v>1</v>
      </c>
      <c r="V1653" s="130">
        <f ca="1" t="shared" si="1803"/>
        <v>1</v>
      </c>
    </row>
    <row r="1654" ht="16.5" spans="2:22">
      <c r="B1654" s="117">
        <v>418</v>
      </c>
      <c r="C1654" s="130">
        <f t="shared" si="1784"/>
        <v>41800</v>
      </c>
      <c r="D1654" s="130">
        <f ca="1" t="shared" si="1785"/>
        <v>1</v>
      </c>
      <c r="E1654" s="130">
        <f ca="1" t="shared" si="1786"/>
        <v>1</v>
      </c>
      <c r="F1654" s="130">
        <f ca="1" t="shared" si="1787"/>
        <v>1</v>
      </c>
      <c r="G1654" s="130">
        <f ca="1" t="shared" si="1788"/>
        <v>1</v>
      </c>
      <c r="H1654" s="130">
        <f ca="1" t="shared" si="1789"/>
        <v>1</v>
      </c>
      <c r="I1654" s="130">
        <f ca="1" t="shared" si="1790"/>
        <v>1</v>
      </c>
      <c r="J1654" s="130">
        <f ca="1" t="shared" si="1791"/>
        <v>1</v>
      </c>
      <c r="K1654" s="130">
        <f ca="1" t="shared" si="1792"/>
        <v>1</v>
      </c>
      <c r="L1654" s="130">
        <f ca="1" t="shared" si="1793"/>
        <v>1</v>
      </c>
      <c r="M1654" s="130">
        <f ca="1" t="shared" si="1794"/>
        <v>1</v>
      </c>
      <c r="N1654" s="130">
        <f ca="1" t="shared" si="1795"/>
        <v>1</v>
      </c>
      <c r="O1654" s="130">
        <f ca="1" t="shared" si="1796"/>
        <v>1</v>
      </c>
      <c r="P1654" s="130">
        <f ca="1" t="shared" si="1797"/>
        <v>1</v>
      </c>
      <c r="Q1654" s="130">
        <f ca="1" t="shared" si="1798"/>
        <v>1</v>
      </c>
      <c r="R1654" s="130">
        <f ca="1" t="shared" si="1799"/>
        <v>1</v>
      </c>
      <c r="S1654" s="130">
        <f ca="1" t="shared" si="1800"/>
        <v>1</v>
      </c>
      <c r="T1654" s="130">
        <f ca="1" t="shared" si="1801"/>
        <v>1</v>
      </c>
      <c r="U1654" s="130">
        <f ca="1" t="shared" si="1802"/>
        <v>1</v>
      </c>
      <c r="V1654" s="130">
        <f ca="1" t="shared" si="1803"/>
        <v>1</v>
      </c>
    </row>
    <row r="1655" ht="16.5" spans="2:22">
      <c r="B1655" s="117">
        <v>419</v>
      </c>
      <c r="C1655" s="130">
        <f t="shared" si="1784"/>
        <v>41900</v>
      </c>
      <c r="D1655" s="130">
        <f ca="1" t="shared" si="1785"/>
        <v>1</v>
      </c>
      <c r="E1655" s="130">
        <f ca="1" t="shared" si="1786"/>
        <v>1</v>
      </c>
      <c r="F1655" s="130">
        <f ca="1" t="shared" si="1787"/>
        <v>1</v>
      </c>
      <c r="G1655" s="130">
        <f ca="1" t="shared" si="1788"/>
        <v>1</v>
      </c>
      <c r="H1655" s="130">
        <f ca="1" t="shared" si="1789"/>
        <v>1</v>
      </c>
      <c r="I1655" s="130">
        <f ca="1" t="shared" si="1790"/>
        <v>1</v>
      </c>
      <c r="J1655" s="130">
        <f ca="1" t="shared" si="1791"/>
        <v>1</v>
      </c>
      <c r="K1655" s="130">
        <f ca="1" t="shared" si="1792"/>
        <v>1</v>
      </c>
      <c r="L1655" s="130">
        <f ca="1" t="shared" si="1793"/>
        <v>1</v>
      </c>
      <c r="M1655" s="130">
        <f ca="1" t="shared" si="1794"/>
        <v>1</v>
      </c>
      <c r="N1655" s="130">
        <f ca="1" t="shared" si="1795"/>
        <v>1</v>
      </c>
      <c r="O1655" s="130">
        <f ca="1" t="shared" si="1796"/>
        <v>1</v>
      </c>
      <c r="P1655" s="130">
        <f ca="1" t="shared" si="1797"/>
        <v>1</v>
      </c>
      <c r="Q1655" s="130">
        <f ca="1" t="shared" si="1798"/>
        <v>1</v>
      </c>
      <c r="R1655" s="130">
        <f ca="1" t="shared" si="1799"/>
        <v>1</v>
      </c>
      <c r="S1655" s="130">
        <f ca="1" t="shared" si="1800"/>
        <v>1</v>
      </c>
      <c r="T1655" s="130">
        <f ca="1" t="shared" si="1801"/>
        <v>1</v>
      </c>
      <c r="U1655" s="130">
        <f ca="1" t="shared" si="1802"/>
        <v>1</v>
      </c>
      <c r="V1655" s="130">
        <f ca="1" t="shared" si="1803"/>
        <v>1</v>
      </c>
    </row>
    <row r="1656" ht="16.5" spans="2:22">
      <c r="B1656" s="117">
        <v>420</v>
      </c>
      <c r="C1656" s="130">
        <f t="shared" si="1784"/>
        <v>42000</v>
      </c>
      <c r="D1656" s="130">
        <f ca="1" t="shared" si="1785"/>
        <v>1</v>
      </c>
      <c r="E1656" s="130">
        <f ca="1" t="shared" si="1786"/>
        <v>1</v>
      </c>
      <c r="F1656" s="130">
        <f ca="1" t="shared" si="1787"/>
        <v>1</v>
      </c>
      <c r="G1656" s="130">
        <f ca="1" t="shared" si="1788"/>
        <v>1</v>
      </c>
      <c r="H1656" s="130">
        <f ca="1" t="shared" si="1789"/>
        <v>1</v>
      </c>
      <c r="I1656" s="130">
        <f ca="1" t="shared" si="1790"/>
        <v>1</v>
      </c>
      <c r="J1656" s="130">
        <f ca="1" t="shared" si="1791"/>
        <v>1</v>
      </c>
      <c r="K1656" s="130">
        <f ca="1" t="shared" si="1792"/>
        <v>1</v>
      </c>
      <c r="L1656" s="130">
        <f ca="1" t="shared" si="1793"/>
        <v>1</v>
      </c>
      <c r="M1656" s="130">
        <f ca="1" t="shared" si="1794"/>
        <v>1</v>
      </c>
      <c r="N1656" s="130">
        <f ca="1" t="shared" si="1795"/>
        <v>1</v>
      </c>
      <c r="O1656" s="130">
        <f ca="1" t="shared" si="1796"/>
        <v>1</v>
      </c>
      <c r="P1656" s="130">
        <f ca="1" t="shared" si="1797"/>
        <v>1</v>
      </c>
      <c r="Q1656" s="130">
        <f ca="1" t="shared" si="1798"/>
        <v>1</v>
      </c>
      <c r="R1656" s="130">
        <f ca="1" t="shared" si="1799"/>
        <v>1</v>
      </c>
      <c r="S1656" s="130">
        <f ca="1" t="shared" si="1800"/>
        <v>1</v>
      </c>
      <c r="T1656" s="130">
        <f ca="1" t="shared" si="1801"/>
        <v>1</v>
      </c>
      <c r="U1656" s="130">
        <f ca="1" t="shared" si="1802"/>
        <v>1</v>
      </c>
      <c r="V1656" s="130">
        <f ca="1" t="shared" si="1803"/>
        <v>1</v>
      </c>
    </row>
    <row r="1657" ht="16.5" spans="2:22">
      <c r="B1657" s="117">
        <v>421</v>
      </c>
      <c r="C1657" s="130">
        <f t="shared" si="1784"/>
        <v>42100</v>
      </c>
      <c r="D1657" s="130">
        <f ca="1" t="shared" si="1785"/>
        <v>1</v>
      </c>
      <c r="E1657" s="130">
        <f ca="1" t="shared" si="1786"/>
        <v>1</v>
      </c>
      <c r="F1657" s="130">
        <f ca="1" t="shared" si="1787"/>
        <v>1</v>
      </c>
      <c r="G1657" s="130">
        <f ca="1" t="shared" si="1788"/>
        <v>1</v>
      </c>
      <c r="H1657" s="130">
        <f ca="1" t="shared" si="1789"/>
        <v>1</v>
      </c>
      <c r="I1657" s="130">
        <f ca="1" t="shared" si="1790"/>
        <v>1</v>
      </c>
      <c r="J1657" s="130">
        <f ca="1" t="shared" si="1791"/>
        <v>1</v>
      </c>
      <c r="K1657" s="130">
        <f ca="1" t="shared" si="1792"/>
        <v>1</v>
      </c>
      <c r="L1657" s="130">
        <f ca="1" t="shared" si="1793"/>
        <v>1</v>
      </c>
      <c r="M1657" s="130">
        <f ca="1" t="shared" si="1794"/>
        <v>1</v>
      </c>
      <c r="N1657" s="130">
        <f ca="1" t="shared" si="1795"/>
        <v>1</v>
      </c>
      <c r="O1657" s="130">
        <f ca="1" t="shared" si="1796"/>
        <v>1</v>
      </c>
      <c r="P1657" s="130">
        <f ca="1" t="shared" si="1797"/>
        <v>1</v>
      </c>
      <c r="Q1657" s="130">
        <f ca="1" t="shared" si="1798"/>
        <v>1</v>
      </c>
      <c r="R1657" s="130">
        <f ca="1" t="shared" si="1799"/>
        <v>1</v>
      </c>
      <c r="S1657" s="130">
        <f ca="1" t="shared" si="1800"/>
        <v>1</v>
      </c>
      <c r="T1657" s="130">
        <f ca="1" t="shared" si="1801"/>
        <v>1</v>
      </c>
      <c r="U1657" s="130">
        <f ca="1" t="shared" si="1802"/>
        <v>1</v>
      </c>
      <c r="V1657" s="130">
        <f ca="1" t="shared" si="1803"/>
        <v>1</v>
      </c>
    </row>
    <row r="1658" ht="16.5" spans="2:22">
      <c r="B1658" s="117">
        <v>422</v>
      </c>
      <c r="C1658" s="130">
        <f t="shared" si="1784"/>
        <v>42200</v>
      </c>
      <c r="D1658" s="130">
        <f ca="1" t="shared" si="1785"/>
        <v>1</v>
      </c>
      <c r="E1658" s="130">
        <f ca="1" t="shared" si="1786"/>
        <v>1</v>
      </c>
      <c r="F1658" s="130">
        <f ca="1" t="shared" si="1787"/>
        <v>1</v>
      </c>
      <c r="G1658" s="130">
        <f ca="1" t="shared" si="1788"/>
        <v>1</v>
      </c>
      <c r="H1658" s="130">
        <f ca="1" t="shared" si="1789"/>
        <v>1</v>
      </c>
      <c r="I1658" s="130">
        <f ca="1" t="shared" si="1790"/>
        <v>1</v>
      </c>
      <c r="J1658" s="130">
        <f ca="1" t="shared" si="1791"/>
        <v>1</v>
      </c>
      <c r="K1658" s="130">
        <f ca="1" t="shared" si="1792"/>
        <v>1</v>
      </c>
      <c r="L1658" s="130">
        <f ca="1" t="shared" si="1793"/>
        <v>1</v>
      </c>
      <c r="M1658" s="130">
        <f ca="1" t="shared" si="1794"/>
        <v>1</v>
      </c>
      <c r="N1658" s="130">
        <f ca="1" t="shared" si="1795"/>
        <v>1</v>
      </c>
      <c r="O1658" s="130">
        <f ca="1" t="shared" si="1796"/>
        <v>1</v>
      </c>
      <c r="P1658" s="130">
        <f ca="1" t="shared" si="1797"/>
        <v>1</v>
      </c>
      <c r="Q1658" s="130">
        <f ca="1" t="shared" si="1798"/>
        <v>1</v>
      </c>
      <c r="R1658" s="130">
        <f ca="1" t="shared" si="1799"/>
        <v>1</v>
      </c>
      <c r="S1658" s="130">
        <f ca="1" t="shared" si="1800"/>
        <v>1</v>
      </c>
      <c r="T1658" s="130">
        <f ca="1" t="shared" si="1801"/>
        <v>1</v>
      </c>
      <c r="U1658" s="130">
        <f ca="1" t="shared" si="1802"/>
        <v>1</v>
      </c>
      <c r="V1658" s="130">
        <f ca="1" t="shared" si="1803"/>
        <v>1</v>
      </c>
    </row>
    <row r="1659" ht="16.5" spans="2:22">
      <c r="B1659" s="117">
        <v>423</v>
      </c>
      <c r="C1659" s="130">
        <f t="shared" si="1784"/>
        <v>42300</v>
      </c>
      <c r="D1659" s="130">
        <f ca="1" t="shared" si="1785"/>
        <v>1</v>
      </c>
      <c r="E1659" s="130">
        <f ca="1" t="shared" si="1786"/>
        <v>1</v>
      </c>
      <c r="F1659" s="130">
        <f ca="1" t="shared" si="1787"/>
        <v>1</v>
      </c>
      <c r="G1659" s="130">
        <f ca="1" t="shared" si="1788"/>
        <v>1</v>
      </c>
      <c r="H1659" s="130">
        <f ca="1" t="shared" si="1789"/>
        <v>1</v>
      </c>
      <c r="I1659" s="130">
        <f ca="1" t="shared" si="1790"/>
        <v>1</v>
      </c>
      <c r="J1659" s="130">
        <f ca="1" t="shared" si="1791"/>
        <v>1</v>
      </c>
      <c r="K1659" s="130">
        <f ca="1" t="shared" si="1792"/>
        <v>1</v>
      </c>
      <c r="L1659" s="130">
        <f ca="1" t="shared" si="1793"/>
        <v>1</v>
      </c>
      <c r="M1659" s="130">
        <f ca="1" t="shared" si="1794"/>
        <v>1</v>
      </c>
      <c r="N1659" s="130">
        <f ca="1" t="shared" si="1795"/>
        <v>1</v>
      </c>
      <c r="O1659" s="130">
        <f ca="1" t="shared" si="1796"/>
        <v>1</v>
      </c>
      <c r="P1659" s="130">
        <f ca="1" t="shared" si="1797"/>
        <v>1</v>
      </c>
      <c r="Q1659" s="130">
        <f ca="1" t="shared" si="1798"/>
        <v>1</v>
      </c>
      <c r="R1659" s="130">
        <f ca="1" t="shared" si="1799"/>
        <v>1</v>
      </c>
      <c r="S1659" s="130">
        <f ca="1" t="shared" si="1800"/>
        <v>1</v>
      </c>
      <c r="T1659" s="130">
        <f ca="1" t="shared" si="1801"/>
        <v>1</v>
      </c>
      <c r="U1659" s="130">
        <f ca="1" t="shared" si="1802"/>
        <v>1</v>
      </c>
      <c r="V1659" s="130">
        <f ca="1" t="shared" si="1803"/>
        <v>1</v>
      </c>
    </row>
    <row r="1660" ht="16.5" spans="2:22">
      <c r="B1660" s="117">
        <v>424</v>
      </c>
      <c r="C1660" s="130">
        <f t="shared" si="1784"/>
        <v>42400</v>
      </c>
      <c r="D1660" s="130">
        <f ca="1" t="shared" si="1785"/>
        <v>1</v>
      </c>
      <c r="E1660" s="130">
        <f ca="1" t="shared" si="1786"/>
        <v>1</v>
      </c>
      <c r="F1660" s="130">
        <f ca="1" t="shared" si="1787"/>
        <v>1</v>
      </c>
      <c r="G1660" s="130">
        <f ca="1" t="shared" si="1788"/>
        <v>1</v>
      </c>
      <c r="H1660" s="130">
        <f ca="1" t="shared" si="1789"/>
        <v>1</v>
      </c>
      <c r="I1660" s="130">
        <f ca="1" t="shared" si="1790"/>
        <v>1</v>
      </c>
      <c r="J1660" s="130">
        <f ca="1" t="shared" si="1791"/>
        <v>1</v>
      </c>
      <c r="K1660" s="130">
        <f ca="1" t="shared" si="1792"/>
        <v>1</v>
      </c>
      <c r="L1660" s="130">
        <f ca="1" t="shared" si="1793"/>
        <v>1</v>
      </c>
      <c r="M1660" s="130">
        <f ca="1" t="shared" si="1794"/>
        <v>1</v>
      </c>
      <c r="N1660" s="130">
        <f ca="1" t="shared" si="1795"/>
        <v>1</v>
      </c>
      <c r="O1660" s="130">
        <f ca="1" t="shared" si="1796"/>
        <v>1</v>
      </c>
      <c r="P1660" s="130">
        <f ca="1" t="shared" si="1797"/>
        <v>1</v>
      </c>
      <c r="Q1660" s="130">
        <f ca="1" t="shared" si="1798"/>
        <v>1</v>
      </c>
      <c r="R1660" s="130">
        <f ca="1" t="shared" si="1799"/>
        <v>1</v>
      </c>
      <c r="S1660" s="130">
        <f ca="1" t="shared" si="1800"/>
        <v>1</v>
      </c>
      <c r="T1660" s="130">
        <f ca="1" t="shared" si="1801"/>
        <v>1</v>
      </c>
      <c r="U1660" s="130">
        <f ca="1" t="shared" si="1802"/>
        <v>1</v>
      </c>
      <c r="V1660" s="130">
        <f ca="1" t="shared" si="1803"/>
        <v>1</v>
      </c>
    </row>
    <row r="1661" ht="16.5" spans="2:22">
      <c r="B1661" s="117">
        <v>425</v>
      </c>
      <c r="C1661" s="130">
        <f t="shared" si="1784"/>
        <v>42500</v>
      </c>
      <c r="D1661" s="130">
        <f ca="1" t="shared" si="1785"/>
        <v>1</v>
      </c>
      <c r="E1661" s="130">
        <f ca="1" t="shared" si="1786"/>
        <v>1</v>
      </c>
      <c r="F1661" s="130">
        <f ca="1" t="shared" si="1787"/>
        <v>1</v>
      </c>
      <c r="G1661" s="130">
        <f ca="1" t="shared" si="1788"/>
        <v>1</v>
      </c>
      <c r="H1661" s="130">
        <f ca="1" t="shared" si="1789"/>
        <v>1</v>
      </c>
      <c r="I1661" s="130">
        <f ca="1" t="shared" si="1790"/>
        <v>1</v>
      </c>
      <c r="J1661" s="130">
        <f ca="1" t="shared" si="1791"/>
        <v>1</v>
      </c>
      <c r="K1661" s="130">
        <f ca="1" t="shared" si="1792"/>
        <v>1</v>
      </c>
      <c r="L1661" s="130">
        <f ca="1" t="shared" si="1793"/>
        <v>1</v>
      </c>
      <c r="M1661" s="130">
        <f ca="1" t="shared" si="1794"/>
        <v>1</v>
      </c>
      <c r="N1661" s="130">
        <f ca="1" t="shared" si="1795"/>
        <v>1</v>
      </c>
      <c r="O1661" s="130">
        <f ca="1" t="shared" si="1796"/>
        <v>1</v>
      </c>
      <c r="P1661" s="130">
        <f ca="1" t="shared" si="1797"/>
        <v>1</v>
      </c>
      <c r="Q1661" s="130">
        <f ca="1" t="shared" si="1798"/>
        <v>1</v>
      </c>
      <c r="R1661" s="130">
        <f ca="1" t="shared" si="1799"/>
        <v>1</v>
      </c>
      <c r="S1661" s="130">
        <f ca="1" t="shared" si="1800"/>
        <v>1</v>
      </c>
      <c r="T1661" s="130">
        <f ca="1" t="shared" si="1801"/>
        <v>1</v>
      </c>
      <c r="U1661" s="130">
        <f ca="1" t="shared" si="1802"/>
        <v>1</v>
      </c>
      <c r="V1661" s="130">
        <f ca="1" t="shared" si="1803"/>
        <v>1</v>
      </c>
    </row>
    <row r="1662" ht="16.5" spans="2:22">
      <c r="B1662" s="117">
        <v>426</v>
      </c>
      <c r="C1662" s="130">
        <f t="shared" si="1784"/>
        <v>42600</v>
      </c>
      <c r="D1662" s="130">
        <f ca="1" t="shared" si="1785"/>
        <v>1</v>
      </c>
      <c r="E1662" s="130">
        <f ca="1" t="shared" si="1786"/>
        <v>1</v>
      </c>
      <c r="F1662" s="130">
        <f ca="1" t="shared" si="1787"/>
        <v>1</v>
      </c>
      <c r="G1662" s="130">
        <f ca="1" t="shared" si="1788"/>
        <v>1</v>
      </c>
      <c r="H1662" s="130">
        <f ca="1" t="shared" si="1789"/>
        <v>1</v>
      </c>
      <c r="I1662" s="130">
        <f ca="1" t="shared" si="1790"/>
        <v>1</v>
      </c>
      <c r="J1662" s="130">
        <f ca="1" t="shared" si="1791"/>
        <v>1</v>
      </c>
      <c r="K1662" s="130">
        <f ca="1" t="shared" si="1792"/>
        <v>1</v>
      </c>
      <c r="L1662" s="130">
        <f ca="1" t="shared" si="1793"/>
        <v>1</v>
      </c>
      <c r="M1662" s="130">
        <f ca="1" t="shared" si="1794"/>
        <v>1</v>
      </c>
      <c r="N1662" s="130">
        <f ca="1" t="shared" si="1795"/>
        <v>1</v>
      </c>
      <c r="O1662" s="130">
        <f ca="1" t="shared" si="1796"/>
        <v>1</v>
      </c>
      <c r="P1662" s="130">
        <f ca="1" t="shared" si="1797"/>
        <v>1</v>
      </c>
      <c r="Q1662" s="130">
        <f ca="1" t="shared" si="1798"/>
        <v>1</v>
      </c>
      <c r="R1662" s="130">
        <f ca="1" t="shared" si="1799"/>
        <v>1</v>
      </c>
      <c r="S1662" s="130">
        <f ca="1" t="shared" si="1800"/>
        <v>1</v>
      </c>
      <c r="T1662" s="130">
        <f ca="1" t="shared" si="1801"/>
        <v>1</v>
      </c>
      <c r="U1662" s="130">
        <f ca="1" t="shared" si="1802"/>
        <v>1</v>
      </c>
      <c r="V1662" s="130">
        <f ca="1" t="shared" si="1803"/>
        <v>1</v>
      </c>
    </row>
    <row r="1663" ht="16.5" spans="2:22">
      <c r="B1663" s="117">
        <v>427</v>
      </c>
      <c r="C1663" s="130">
        <f t="shared" si="1784"/>
        <v>42700</v>
      </c>
      <c r="D1663" s="130">
        <f ca="1" t="shared" si="1785"/>
        <v>1</v>
      </c>
      <c r="E1663" s="130">
        <f ca="1" t="shared" si="1786"/>
        <v>1</v>
      </c>
      <c r="F1663" s="130">
        <f ca="1" t="shared" si="1787"/>
        <v>1</v>
      </c>
      <c r="G1663" s="130">
        <f ca="1" t="shared" si="1788"/>
        <v>1</v>
      </c>
      <c r="H1663" s="130">
        <f ca="1" t="shared" si="1789"/>
        <v>1</v>
      </c>
      <c r="I1663" s="130">
        <f ca="1" t="shared" si="1790"/>
        <v>1</v>
      </c>
      <c r="J1663" s="130">
        <f ca="1" t="shared" si="1791"/>
        <v>1</v>
      </c>
      <c r="K1663" s="130">
        <f ca="1" t="shared" si="1792"/>
        <v>1</v>
      </c>
      <c r="L1663" s="130">
        <f ca="1" t="shared" si="1793"/>
        <v>1</v>
      </c>
      <c r="M1663" s="130">
        <f ca="1" t="shared" si="1794"/>
        <v>1</v>
      </c>
      <c r="N1663" s="130">
        <f ca="1" t="shared" si="1795"/>
        <v>1</v>
      </c>
      <c r="O1663" s="130">
        <f ca="1" t="shared" si="1796"/>
        <v>1</v>
      </c>
      <c r="P1663" s="130">
        <f ca="1" t="shared" si="1797"/>
        <v>1</v>
      </c>
      <c r="Q1663" s="130">
        <f ca="1" t="shared" si="1798"/>
        <v>1</v>
      </c>
      <c r="R1663" s="130">
        <f ca="1" t="shared" si="1799"/>
        <v>1</v>
      </c>
      <c r="S1663" s="130">
        <f ca="1" t="shared" si="1800"/>
        <v>1</v>
      </c>
      <c r="T1663" s="130">
        <f ca="1" t="shared" si="1801"/>
        <v>1</v>
      </c>
      <c r="U1663" s="130">
        <f ca="1" t="shared" si="1802"/>
        <v>1</v>
      </c>
      <c r="V1663" s="130">
        <f ca="1" t="shared" si="1803"/>
        <v>1</v>
      </c>
    </row>
    <row r="1664" ht="16.5" spans="2:22">
      <c r="B1664" s="117">
        <v>428</v>
      </c>
      <c r="C1664" s="130">
        <f t="shared" si="1784"/>
        <v>42800</v>
      </c>
      <c r="D1664" s="130">
        <f ca="1" t="shared" si="1785"/>
        <v>1</v>
      </c>
      <c r="E1664" s="130">
        <f ca="1" t="shared" si="1786"/>
        <v>1</v>
      </c>
      <c r="F1664" s="130">
        <f ca="1" t="shared" si="1787"/>
        <v>1</v>
      </c>
      <c r="G1664" s="130">
        <f ca="1" t="shared" si="1788"/>
        <v>1</v>
      </c>
      <c r="H1664" s="130">
        <f ca="1" t="shared" si="1789"/>
        <v>1</v>
      </c>
      <c r="I1664" s="130">
        <f ca="1" t="shared" si="1790"/>
        <v>1</v>
      </c>
      <c r="J1664" s="130">
        <f ca="1" t="shared" si="1791"/>
        <v>1</v>
      </c>
      <c r="K1664" s="130">
        <f ca="1" t="shared" si="1792"/>
        <v>1</v>
      </c>
      <c r="L1664" s="130">
        <f ca="1" t="shared" si="1793"/>
        <v>1</v>
      </c>
      <c r="M1664" s="130">
        <f ca="1" t="shared" si="1794"/>
        <v>1</v>
      </c>
      <c r="N1664" s="130">
        <f ca="1" t="shared" si="1795"/>
        <v>1</v>
      </c>
      <c r="O1664" s="130">
        <f ca="1" t="shared" si="1796"/>
        <v>1</v>
      </c>
      <c r="P1664" s="130">
        <f ca="1" t="shared" si="1797"/>
        <v>1</v>
      </c>
      <c r="Q1664" s="130">
        <f ca="1" t="shared" si="1798"/>
        <v>1</v>
      </c>
      <c r="R1664" s="130">
        <f ca="1" t="shared" si="1799"/>
        <v>1</v>
      </c>
      <c r="S1664" s="130">
        <f ca="1" t="shared" si="1800"/>
        <v>1</v>
      </c>
      <c r="T1664" s="130">
        <f ca="1" t="shared" si="1801"/>
        <v>1</v>
      </c>
      <c r="U1664" s="130">
        <f ca="1" t="shared" si="1802"/>
        <v>1</v>
      </c>
      <c r="V1664" s="130">
        <f ca="1" t="shared" si="1803"/>
        <v>1</v>
      </c>
    </row>
    <row r="1665" ht="16.5" spans="2:22">
      <c r="B1665" s="117">
        <v>429</v>
      </c>
      <c r="C1665" s="130">
        <f t="shared" ref="C1665:C1728" si="1804">C1063</f>
        <v>42900</v>
      </c>
      <c r="D1665" s="130">
        <f ca="1" t="shared" ref="D1665:D1728" si="1805">IF($C1665&gt;D$633,1,0)</f>
        <v>1</v>
      </c>
      <c r="E1665" s="130">
        <f ca="1" t="shared" ref="E1665:E1728" si="1806">IF($C1665&gt;E$633,1,0)</f>
        <v>1</v>
      </c>
      <c r="F1665" s="130">
        <f ca="1" t="shared" ref="F1665:F1728" si="1807">IF($C1665&gt;F$633,1,0)</f>
        <v>1</v>
      </c>
      <c r="G1665" s="130">
        <f ca="1" t="shared" ref="G1665:G1728" si="1808">IF($C1665&gt;G$633,1,0)</f>
        <v>1</v>
      </c>
      <c r="H1665" s="130">
        <f ca="1" t="shared" ref="H1665:H1728" si="1809">IF($C1665&gt;H$633,1,0)</f>
        <v>1</v>
      </c>
      <c r="I1665" s="130">
        <f ca="1" t="shared" ref="I1665:I1728" si="1810">IF($C1665&gt;I$633,1,0)</f>
        <v>1</v>
      </c>
      <c r="J1665" s="130">
        <f ca="1" t="shared" ref="J1665:J1728" si="1811">IF($C1665&gt;J$633,1,0)</f>
        <v>1</v>
      </c>
      <c r="K1665" s="130">
        <f ca="1" t="shared" ref="K1665:K1728" si="1812">IF($C1665&gt;K$633,1,0)</f>
        <v>1</v>
      </c>
      <c r="L1665" s="130">
        <f ca="1" t="shared" ref="L1665:L1728" si="1813">IF($C1665&gt;L$633,1,0)</f>
        <v>1</v>
      </c>
      <c r="M1665" s="130">
        <f ca="1" t="shared" ref="M1665:M1728" si="1814">IF($C1665&gt;M$633,1,0)</f>
        <v>1</v>
      </c>
      <c r="N1665" s="130">
        <f ca="1" t="shared" ref="N1665:N1728" si="1815">IF($C1665&gt;N$633,1,0)</f>
        <v>1</v>
      </c>
      <c r="O1665" s="130">
        <f ca="1" t="shared" ref="O1665:O1728" si="1816">IF($C1665&gt;O$633,1,0)</f>
        <v>1</v>
      </c>
      <c r="P1665" s="130">
        <f ca="1" t="shared" ref="P1665:P1728" si="1817">IF($C1665&gt;P$633,1,0)</f>
        <v>1</v>
      </c>
      <c r="Q1665" s="130">
        <f ca="1" t="shared" ref="Q1665:Q1728" si="1818">IF($C1665&gt;Q$633,1,0)</f>
        <v>1</v>
      </c>
      <c r="R1665" s="130">
        <f ca="1" t="shared" ref="R1665:R1728" si="1819">IF($C1665&gt;R$633,1,0)</f>
        <v>1</v>
      </c>
      <c r="S1665" s="130">
        <f ca="1" t="shared" ref="S1665:S1728" si="1820">IF($C1665&gt;S$633,1,0)</f>
        <v>1</v>
      </c>
      <c r="T1665" s="130">
        <f ca="1" t="shared" ref="T1665:T1728" si="1821">IF($C1665&gt;T$633,1,0)</f>
        <v>1</v>
      </c>
      <c r="U1665" s="130">
        <f ca="1" t="shared" ref="U1665:U1728" si="1822">IF($C1665&gt;U$633,1,0)</f>
        <v>1</v>
      </c>
      <c r="V1665" s="130">
        <f ca="1" t="shared" ref="V1665:V1728" si="1823">IF($C1665&gt;V$633,1,0)</f>
        <v>1</v>
      </c>
    </row>
    <row r="1666" ht="16.5" spans="2:22">
      <c r="B1666" s="117">
        <v>430</v>
      </c>
      <c r="C1666" s="130">
        <f t="shared" si="1804"/>
        <v>43000</v>
      </c>
      <c r="D1666" s="130">
        <f ca="1" t="shared" si="1805"/>
        <v>1</v>
      </c>
      <c r="E1666" s="130">
        <f ca="1" t="shared" si="1806"/>
        <v>1</v>
      </c>
      <c r="F1666" s="130">
        <f ca="1" t="shared" si="1807"/>
        <v>1</v>
      </c>
      <c r="G1666" s="130">
        <f ca="1" t="shared" si="1808"/>
        <v>1</v>
      </c>
      <c r="H1666" s="130">
        <f ca="1" t="shared" si="1809"/>
        <v>1</v>
      </c>
      <c r="I1666" s="130">
        <f ca="1" t="shared" si="1810"/>
        <v>1</v>
      </c>
      <c r="J1666" s="130">
        <f ca="1" t="shared" si="1811"/>
        <v>1</v>
      </c>
      <c r="K1666" s="130">
        <f ca="1" t="shared" si="1812"/>
        <v>1</v>
      </c>
      <c r="L1666" s="130">
        <f ca="1" t="shared" si="1813"/>
        <v>1</v>
      </c>
      <c r="M1666" s="130">
        <f ca="1" t="shared" si="1814"/>
        <v>1</v>
      </c>
      <c r="N1666" s="130">
        <f ca="1" t="shared" si="1815"/>
        <v>1</v>
      </c>
      <c r="O1666" s="130">
        <f ca="1" t="shared" si="1816"/>
        <v>1</v>
      </c>
      <c r="P1666" s="130">
        <f ca="1" t="shared" si="1817"/>
        <v>1</v>
      </c>
      <c r="Q1666" s="130">
        <f ca="1" t="shared" si="1818"/>
        <v>1</v>
      </c>
      <c r="R1666" s="130">
        <f ca="1" t="shared" si="1819"/>
        <v>1</v>
      </c>
      <c r="S1666" s="130">
        <f ca="1" t="shared" si="1820"/>
        <v>1</v>
      </c>
      <c r="T1666" s="130">
        <f ca="1" t="shared" si="1821"/>
        <v>1</v>
      </c>
      <c r="U1666" s="130">
        <f ca="1" t="shared" si="1822"/>
        <v>1</v>
      </c>
      <c r="V1666" s="130">
        <f ca="1" t="shared" si="1823"/>
        <v>1</v>
      </c>
    </row>
    <row r="1667" ht="16.5" spans="2:22">
      <c r="B1667" s="117">
        <v>431</v>
      </c>
      <c r="C1667" s="130">
        <f t="shared" si="1804"/>
        <v>43100</v>
      </c>
      <c r="D1667" s="130">
        <f ca="1" t="shared" si="1805"/>
        <v>1</v>
      </c>
      <c r="E1667" s="130">
        <f ca="1" t="shared" si="1806"/>
        <v>1</v>
      </c>
      <c r="F1667" s="130">
        <f ca="1" t="shared" si="1807"/>
        <v>1</v>
      </c>
      <c r="G1667" s="130">
        <f ca="1" t="shared" si="1808"/>
        <v>1</v>
      </c>
      <c r="H1667" s="130">
        <f ca="1" t="shared" si="1809"/>
        <v>1</v>
      </c>
      <c r="I1667" s="130">
        <f ca="1" t="shared" si="1810"/>
        <v>1</v>
      </c>
      <c r="J1667" s="130">
        <f ca="1" t="shared" si="1811"/>
        <v>1</v>
      </c>
      <c r="K1667" s="130">
        <f ca="1" t="shared" si="1812"/>
        <v>1</v>
      </c>
      <c r="L1667" s="130">
        <f ca="1" t="shared" si="1813"/>
        <v>1</v>
      </c>
      <c r="M1667" s="130">
        <f ca="1" t="shared" si="1814"/>
        <v>1</v>
      </c>
      <c r="N1667" s="130">
        <f ca="1" t="shared" si="1815"/>
        <v>1</v>
      </c>
      <c r="O1667" s="130">
        <f ca="1" t="shared" si="1816"/>
        <v>1</v>
      </c>
      <c r="P1667" s="130">
        <f ca="1" t="shared" si="1817"/>
        <v>1</v>
      </c>
      <c r="Q1667" s="130">
        <f ca="1" t="shared" si="1818"/>
        <v>1</v>
      </c>
      <c r="R1667" s="130">
        <f ca="1" t="shared" si="1819"/>
        <v>1</v>
      </c>
      <c r="S1667" s="130">
        <f ca="1" t="shared" si="1820"/>
        <v>1</v>
      </c>
      <c r="T1667" s="130">
        <f ca="1" t="shared" si="1821"/>
        <v>1</v>
      </c>
      <c r="U1667" s="130">
        <f ca="1" t="shared" si="1822"/>
        <v>1</v>
      </c>
      <c r="V1667" s="130">
        <f ca="1" t="shared" si="1823"/>
        <v>1</v>
      </c>
    </row>
    <row r="1668" ht="16.5" spans="2:22">
      <c r="B1668" s="117">
        <v>432</v>
      </c>
      <c r="C1668" s="130">
        <f t="shared" si="1804"/>
        <v>43200</v>
      </c>
      <c r="D1668" s="130">
        <f ca="1" t="shared" si="1805"/>
        <v>1</v>
      </c>
      <c r="E1668" s="130">
        <f ca="1" t="shared" si="1806"/>
        <v>1</v>
      </c>
      <c r="F1668" s="130">
        <f ca="1" t="shared" si="1807"/>
        <v>1</v>
      </c>
      <c r="G1668" s="130">
        <f ca="1" t="shared" si="1808"/>
        <v>1</v>
      </c>
      <c r="H1668" s="130">
        <f ca="1" t="shared" si="1809"/>
        <v>1</v>
      </c>
      <c r="I1668" s="130">
        <f ca="1" t="shared" si="1810"/>
        <v>1</v>
      </c>
      <c r="J1668" s="130">
        <f ca="1" t="shared" si="1811"/>
        <v>1</v>
      </c>
      <c r="K1668" s="130">
        <f ca="1" t="shared" si="1812"/>
        <v>1</v>
      </c>
      <c r="L1668" s="130">
        <f ca="1" t="shared" si="1813"/>
        <v>1</v>
      </c>
      <c r="M1668" s="130">
        <f ca="1" t="shared" si="1814"/>
        <v>1</v>
      </c>
      <c r="N1668" s="130">
        <f ca="1" t="shared" si="1815"/>
        <v>1</v>
      </c>
      <c r="O1668" s="130">
        <f ca="1" t="shared" si="1816"/>
        <v>1</v>
      </c>
      <c r="P1668" s="130">
        <f ca="1" t="shared" si="1817"/>
        <v>1</v>
      </c>
      <c r="Q1668" s="130">
        <f ca="1" t="shared" si="1818"/>
        <v>1</v>
      </c>
      <c r="R1668" s="130">
        <f ca="1" t="shared" si="1819"/>
        <v>1</v>
      </c>
      <c r="S1668" s="130">
        <f ca="1" t="shared" si="1820"/>
        <v>1</v>
      </c>
      <c r="T1668" s="130">
        <f ca="1" t="shared" si="1821"/>
        <v>1</v>
      </c>
      <c r="U1668" s="130">
        <f ca="1" t="shared" si="1822"/>
        <v>1</v>
      </c>
      <c r="V1668" s="130">
        <f ca="1" t="shared" si="1823"/>
        <v>1</v>
      </c>
    </row>
    <row r="1669" ht="16.5" spans="2:22">
      <c r="B1669" s="117">
        <v>433</v>
      </c>
      <c r="C1669" s="130">
        <f t="shared" si="1804"/>
        <v>43300</v>
      </c>
      <c r="D1669" s="130">
        <f ca="1" t="shared" si="1805"/>
        <v>1</v>
      </c>
      <c r="E1669" s="130">
        <f ca="1" t="shared" si="1806"/>
        <v>1</v>
      </c>
      <c r="F1669" s="130">
        <f ca="1" t="shared" si="1807"/>
        <v>1</v>
      </c>
      <c r="G1669" s="130">
        <f ca="1" t="shared" si="1808"/>
        <v>1</v>
      </c>
      <c r="H1669" s="130">
        <f ca="1" t="shared" si="1809"/>
        <v>1</v>
      </c>
      <c r="I1669" s="130">
        <f ca="1" t="shared" si="1810"/>
        <v>1</v>
      </c>
      <c r="J1669" s="130">
        <f ca="1" t="shared" si="1811"/>
        <v>1</v>
      </c>
      <c r="K1669" s="130">
        <f ca="1" t="shared" si="1812"/>
        <v>1</v>
      </c>
      <c r="L1669" s="130">
        <f ca="1" t="shared" si="1813"/>
        <v>1</v>
      </c>
      <c r="M1669" s="130">
        <f ca="1" t="shared" si="1814"/>
        <v>1</v>
      </c>
      <c r="N1669" s="130">
        <f ca="1" t="shared" si="1815"/>
        <v>1</v>
      </c>
      <c r="O1669" s="130">
        <f ca="1" t="shared" si="1816"/>
        <v>1</v>
      </c>
      <c r="P1669" s="130">
        <f ca="1" t="shared" si="1817"/>
        <v>1</v>
      </c>
      <c r="Q1669" s="130">
        <f ca="1" t="shared" si="1818"/>
        <v>1</v>
      </c>
      <c r="R1669" s="130">
        <f ca="1" t="shared" si="1819"/>
        <v>1</v>
      </c>
      <c r="S1669" s="130">
        <f ca="1" t="shared" si="1820"/>
        <v>1</v>
      </c>
      <c r="T1669" s="130">
        <f ca="1" t="shared" si="1821"/>
        <v>1</v>
      </c>
      <c r="U1669" s="130">
        <f ca="1" t="shared" si="1822"/>
        <v>1</v>
      </c>
      <c r="V1669" s="130">
        <f ca="1" t="shared" si="1823"/>
        <v>1</v>
      </c>
    </row>
    <row r="1670" ht="16.5" spans="2:22">
      <c r="B1670" s="117">
        <v>434</v>
      </c>
      <c r="C1670" s="130">
        <f t="shared" si="1804"/>
        <v>43400</v>
      </c>
      <c r="D1670" s="130">
        <f ca="1" t="shared" si="1805"/>
        <v>1</v>
      </c>
      <c r="E1670" s="130">
        <f ca="1" t="shared" si="1806"/>
        <v>1</v>
      </c>
      <c r="F1670" s="130">
        <f ca="1" t="shared" si="1807"/>
        <v>1</v>
      </c>
      <c r="G1670" s="130">
        <f ca="1" t="shared" si="1808"/>
        <v>1</v>
      </c>
      <c r="H1670" s="130">
        <f ca="1" t="shared" si="1809"/>
        <v>1</v>
      </c>
      <c r="I1670" s="130">
        <f ca="1" t="shared" si="1810"/>
        <v>1</v>
      </c>
      <c r="J1670" s="130">
        <f ca="1" t="shared" si="1811"/>
        <v>1</v>
      </c>
      <c r="K1670" s="130">
        <f ca="1" t="shared" si="1812"/>
        <v>1</v>
      </c>
      <c r="L1670" s="130">
        <f ca="1" t="shared" si="1813"/>
        <v>1</v>
      </c>
      <c r="M1670" s="130">
        <f ca="1" t="shared" si="1814"/>
        <v>1</v>
      </c>
      <c r="N1670" s="130">
        <f ca="1" t="shared" si="1815"/>
        <v>1</v>
      </c>
      <c r="O1670" s="130">
        <f ca="1" t="shared" si="1816"/>
        <v>1</v>
      </c>
      <c r="P1670" s="130">
        <f ca="1" t="shared" si="1817"/>
        <v>1</v>
      </c>
      <c r="Q1670" s="130">
        <f ca="1" t="shared" si="1818"/>
        <v>1</v>
      </c>
      <c r="R1670" s="130">
        <f ca="1" t="shared" si="1819"/>
        <v>1</v>
      </c>
      <c r="S1670" s="130">
        <f ca="1" t="shared" si="1820"/>
        <v>1</v>
      </c>
      <c r="T1670" s="130">
        <f ca="1" t="shared" si="1821"/>
        <v>1</v>
      </c>
      <c r="U1670" s="130">
        <f ca="1" t="shared" si="1822"/>
        <v>1</v>
      </c>
      <c r="V1670" s="130">
        <f ca="1" t="shared" si="1823"/>
        <v>1</v>
      </c>
    </row>
    <row r="1671" ht="16.5" spans="2:22">
      <c r="B1671" s="117">
        <v>435</v>
      </c>
      <c r="C1671" s="130">
        <f t="shared" si="1804"/>
        <v>43500</v>
      </c>
      <c r="D1671" s="130">
        <f ca="1" t="shared" si="1805"/>
        <v>1</v>
      </c>
      <c r="E1671" s="130">
        <f ca="1" t="shared" si="1806"/>
        <v>1</v>
      </c>
      <c r="F1671" s="130">
        <f ca="1" t="shared" si="1807"/>
        <v>1</v>
      </c>
      <c r="G1671" s="130">
        <f ca="1" t="shared" si="1808"/>
        <v>1</v>
      </c>
      <c r="H1671" s="130">
        <f ca="1" t="shared" si="1809"/>
        <v>1</v>
      </c>
      <c r="I1671" s="130">
        <f ca="1" t="shared" si="1810"/>
        <v>1</v>
      </c>
      <c r="J1671" s="130">
        <f ca="1" t="shared" si="1811"/>
        <v>1</v>
      </c>
      <c r="K1671" s="130">
        <f ca="1" t="shared" si="1812"/>
        <v>1</v>
      </c>
      <c r="L1671" s="130">
        <f ca="1" t="shared" si="1813"/>
        <v>1</v>
      </c>
      <c r="M1671" s="130">
        <f ca="1" t="shared" si="1814"/>
        <v>1</v>
      </c>
      <c r="N1671" s="130">
        <f ca="1" t="shared" si="1815"/>
        <v>1</v>
      </c>
      <c r="O1671" s="130">
        <f ca="1" t="shared" si="1816"/>
        <v>1</v>
      </c>
      <c r="P1671" s="130">
        <f ca="1" t="shared" si="1817"/>
        <v>1</v>
      </c>
      <c r="Q1671" s="130">
        <f ca="1" t="shared" si="1818"/>
        <v>1</v>
      </c>
      <c r="R1671" s="130">
        <f ca="1" t="shared" si="1819"/>
        <v>1</v>
      </c>
      <c r="S1671" s="130">
        <f ca="1" t="shared" si="1820"/>
        <v>1</v>
      </c>
      <c r="T1671" s="130">
        <f ca="1" t="shared" si="1821"/>
        <v>1</v>
      </c>
      <c r="U1671" s="130">
        <f ca="1" t="shared" si="1822"/>
        <v>1</v>
      </c>
      <c r="V1671" s="130">
        <f ca="1" t="shared" si="1823"/>
        <v>1</v>
      </c>
    </row>
    <row r="1672" ht="16.5" spans="2:22">
      <c r="B1672" s="117">
        <v>436</v>
      </c>
      <c r="C1672" s="130">
        <f t="shared" si="1804"/>
        <v>43600</v>
      </c>
      <c r="D1672" s="130">
        <f ca="1" t="shared" si="1805"/>
        <v>1</v>
      </c>
      <c r="E1672" s="130">
        <f ca="1" t="shared" si="1806"/>
        <v>1</v>
      </c>
      <c r="F1672" s="130">
        <f ca="1" t="shared" si="1807"/>
        <v>1</v>
      </c>
      <c r="G1672" s="130">
        <f ca="1" t="shared" si="1808"/>
        <v>1</v>
      </c>
      <c r="H1672" s="130">
        <f ca="1" t="shared" si="1809"/>
        <v>1</v>
      </c>
      <c r="I1672" s="130">
        <f ca="1" t="shared" si="1810"/>
        <v>1</v>
      </c>
      <c r="J1672" s="130">
        <f ca="1" t="shared" si="1811"/>
        <v>1</v>
      </c>
      <c r="K1672" s="130">
        <f ca="1" t="shared" si="1812"/>
        <v>1</v>
      </c>
      <c r="L1672" s="130">
        <f ca="1" t="shared" si="1813"/>
        <v>1</v>
      </c>
      <c r="M1672" s="130">
        <f ca="1" t="shared" si="1814"/>
        <v>1</v>
      </c>
      <c r="N1672" s="130">
        <f ca="1" t="shared" si="1815"/>
        <v>1</v>
      </c>
      <c r="O1672" s="130">
        <f ca="1" t="shared" si="1816"/>
        <v>1</v>
      </c>
      <c r="P1672" s="130">
        <f ca="1" t="shared" si="1817"/>
        <v>1</v>
      </c>
      <c r="Q1672" s="130">
        <f ca="1" t="shared" si="1818"/>
        <v>1</v>
      </c>
      <c r="R1672" s="130">
        <f ca="1" t="shared" si="1819"/>
        <v>1</v>
      </c>
      <c r="S1672" s="130">
        <f ca="1" t="shared" si="1820"/>
        <v>1</v>
      </c>
      <c r="T1672" s="130">
        <f ca="1" t="shared" si="1821"/>
        <v>1</v>
      </c>
      <c r="U1672" s="130">
        <f ca="1" t="shared" si="1822"/>
        <v>1</v>
      </c>
      <c r="V1672" s="130">
        <f ca="1" t="shared" si="1823"/>
        <v>1</v>
      </c>
    </row>
    <row r="1673" ht="16.5" spans="2:22">
      <c r="B1673" s="117">
        <v>437</v>
      </c>
      <c r="C1673" s="130">
        <f t="shared" si="1804"/>
        <v>43700</v>
      </c>
      <c r="D1673" s="130">
        <f ca="1" t="shared" si="1805"/>
        <v>1</v>
      </c>
      <c r="E1673" s="130">
        <f ca="1" t="shared" si="1806"/>
        <v>1</v>
      </c>
      <c r="F1673" s="130">
        <f ca="1" t="shared" si="1807"/>
        <v>1</v>
      </c>
      <c r="G1673" s="130">
        <f ca="1" t="shared" si="1808"/>
        <v>1</v>
      </c>
      <c r="H1673" s="130">
        <f ca="1" t="shared" si="1809"/>
        <v>1</v>
      </c>
      <c r="I1673" s="130">
        <f ca="1" t="shared" si="1810"/>
        <v>1</v>
      </c>
      <c r="J1673" s="130">
        <f ca="1" t="shared" si="1811"/>
        <v>1</v>
      </c>
      <c r="K1673" s="130">
        <f ca="1" t="shared" si="1812"/>
        <v>1</v>
      </c>
      <c r="L1673" s="130">
        <f ca="1" t="shared" si="1813"/>
        <v>1</v>
      </c>
      <c r="M1673" s="130">
        <f ca="1" t="shared" si="1814"/>
        <v>1</v>
      </c>
      <c r="N1673" s="130">
        <f ca="1" t="shared" si="1815"/>
        <v>1</v>
      </c>
      <c r="O1673" s="130">
        <f ca="1" t="shared" si="1816"/>
        <v>1</v>
      </c>
      <c r="P1673" s="130">
        <f ca="1" t="shared" si="1817"/>
        <v>1</v>
      </c>
      <c r="Q1673" s="130">
        <f ca="1" t="shared" si="1818"/>
        <v>1</v>
      </c>
      <c r="R1673" s="130">
        <f ca="1" t="shared" si="1819"/>
        <v>1</v>
      </c>
      <c r="S1673" s="130">
        <f ca="1" t="shared" si="1820"/>
        <v>1</v>
      </c>
      <c r="T1673" s="130">
        <f ca="1" t="shared" si="1821"/>
        <v>1</v>
      </c>
      <c r="U1673" s="130">
        <f ca="1" t="shared" si="1822"/>
        <v>1</v>
      </c>
      <c r="V1673" s="130">
        <f ca="1" t="shared" si="1823"/>
        <v>1</v>
      </c>
    </row>
    <row r="1674" ht="16.5" spans="2:22">
      <c r="B1674" s="117">
        <v>438</v>
      </c>
      <c r="C1674" s="130">
        <f t="shared" si="1804"/>
        <v>43800</v>
      </c>
      <c r="D1674" s="130">
        <f ca="1" t="shared" si="1805"/>
        <v>1</v>
      </c>
      <c r="E1674" s="130">
        <f ca="1" t="shared" si="1806"/>
        <v>1</v>
      </c>
      <c r="F1674" s="130">
        <f ca="1" t="shared" si="1807"/>
        <v>1</v>
      </c>
      <c r="G1674" s="130">
        <f ca="1" t="shared" si="1808"/>
        <v>1</v>
      </c>
      <c r="H1674" s="130">
        <f ca="1" t="shared" si="1809"/>
        <v>1</v>
      </c>
      <c r="I1674" s="130">
        <f ca="1" t="shared" si="1810"/>
        <v>1</v>
      </c>
      <c r="J1674" s="130">
        <f ca="1" t="shared" si="1811"/>
        <v>1</v>
      </c>
      <c r="K1674" s="130">
        <f ca="1" t="shared" si="1812"/>
        <v>1</v>
      </c>
      <c r="L1674" s="130">
        <f ca="1" t="shared" si="1813"/>
        <v>1</v>
      </c>
      <c r="M1674" s="130">
        <f ca="1" t="shared" si="1814"/>
        <v>1</v>
      </c>
      <c r="N1674" s="130">
        <f ca="1" t="shared" si="1815"/>
        <v>1</v>
      </c>
      <c r="O1674" s="130">
        <f ca="1" t="shared" si="1816"/>
        <v>1</v>
      </c>
      <c r="P1674" s="130">
        <f ca="1" t="shared" si="1817"/>
        <v>1</v>
      </c>
      <c r="Q1674" s="130">
        <f ca="1" t="shared" si="1818"/>
        <v>1</v>
      </c>
      <c r="R1674" s="130">
        <f ca="1" t="shared" si="1819"/>
        <v>1</v>
      </c>
      <c r="S1674" s="130">
        <f ca="1" t="shared" si="1820"/>
        <v>1</v>
      </c>
      <c r="T1674" s="130">
        <f ca="1" t="shared" si="1821"/>
        <v>1</v>
      </c>
      <c r="U1674" s="130">
        <f ca="1" t="shared" si="1822"/>
        <v>1</v>
      </c>
      <c r="V1674" s="130">
        <f ca="1" t="shared" si="1823"/>
        <v>1</v>
      </c>
    </row>
    <row r="1675" ht="16.5" spans="2:22">
      <c r="B1675" s="117">
        <v>439</v>
      </c>
      <c r="C1675" s="130">
        <f t="shared" si="1804"/>
        <v>43900</v>
      </c>
      <c r="D1675" s="130">
        <f ca="1" t="shared" si="1805"/>
        <v>1</v>
      </c>
      <c r="E1675" s="130">
        <f ca="1" t="shared" si="1806"/>
        <v>1</v>
      </c>
      <c r="F1675" s="130">
        <f ca="1" t="shared" si="1807"/>
        <v>1</v>
      </c>
      <c r="G1675" s="130">
        <f ca="1" t="shared" si="1808"/>
        <v>1</v>
      </c>
      <c r="H1675" s="130">
        <f ca="1" t="shared" si="1809"/>
        <v>1</v>
      </c>
      <c r="I1675" s="130">
        <f ca="1" t="shared" si="1810"/>
        <v>1</v>
      </c>
      <c r="J1675" s="130">
        <f ca="1" t="shared" si="1811"/>
        <v>1</v>
      </c>
      <c r="K1675" s="130">
        <f ca="1" t="shared" si="1812"/>
        <v>1</v>
      </c>
      <c r="L1675" s="130">
        <f ca="1" t="shared" si="1813"/>
        <v>1</v>
      </c>
      <c r="M1675" s="130">
        <f ca="1" t="shared" si="1814"/>
        <v>1</v>
      </c>
      <c r="N1675" s="130">
        <f ca="1" t="shared" si="1815"/>
        <v>1</v>
      </c>
      <c r="O1675" s="130">
        <f ca="1" t="shared" si="1816"/>
        <v>1</v>
      </c>
      <c r="P1675" s="130">
        <f ca="1" t="shared" si="1817"/>
        <v>1</v>
      </c>
      <c r="Q1675" s="130">
        <f ca="1" t="shared" si="1818"/>
        <v>1</v>
      </c>
      <c r="R1675" s="130">
        <f ca="1" t="shared" si="1819"/>
        <v>1</v>
      </c>
      <c r="S1675" s="130">
        <f ca="1" t="shared" si="1820"/>
        <v>1</v>
      </c>
      <c r="T1675" s="130">
        <f ca="1" t="shared" si="1821"/>
        <v>1</v>
      </c>
      <c r="U1675" s="130">
        <f ca="1" t="shared" si="1822"/>
        <v>1</v>
      </c>
      <c r="V1675" s="130">
        <f ca="1" t="shared" si="1823"/>
        <v>1</v>
      </c>
    </row>
    <row r="1676" ht="16.5" spans="2:22">
      <c r="B1676" s="117">
        <v>440</v>
      </c>
      <c r="C1676" s="130">
        <f t="shared" si="1804"/>
        <v>44000</v>
      </c>
      <c r="D1676" s="130">
        <f ca="1" t="shared" si="1805"/>
        <v>1</v>
      </c>
      <c r="E1676" s="130">
        <f ca="1" t="shared" si="1806"/>
        <v>1</v>
      </c>
      <c r="F1676" s="130">
        <f ca="1" t="shared" si="1807"/>
        <v>1</v>
      </c>
      <c r="G1676" s="130">
        <f ca="1" t="shared" si="1808"/>
        <v>1</v>
      </c>
      <c r="H1676" s="130">
        <f ca="1" t="shared" si="1809"/>
        <v>1</v>
      </c>
      <c r="I1676" s="130">
        <f ca="1" t="shared" si="1810"/>
        <v>1</v>
      </c>
      <c r="J1676" s="130">
        <f ca="1" t="shared" si="1811"/>
        <v>1</v>
      </c>
      <c r="K1676" s="130">
        <f ca="1" t="shared" si="1812"/>
        <v>1</v>
      </c>
      <c r="L1676" s="130">
        <f ca="1" t="shared" si="1813"/>
        <v>1</v>
      </c>
      <c r="M1676" s="130">
        <f ca="1" t="shared" si="1814"/>
        <v>1</v>
      </c>
      <c r="N1676" s="130">
        <f ca="1" t="shared" si="1815"/>
        <v>1</v>
      </c>
      <c r="O1676" s="130">
        <f ca="1" t="shared" si="1816"/>
        <v>1</v>
      </c>
      <c r="P1676" s="130">
        <f ca="1" t="shared" si="1817"/>
        <v>1</v>
      </c>
      <c r="Q1676" s="130">
        <f ca="1" t="shared" si="1818"/>
        <v>1</v>
      </c>
      <c r="R1676" s="130">
        <f ca="1" t="shared" si="1819"/>
        <v>1</v>
      </c>
      <c r="S1676" s="130">
        <f ca="1" t="shared" si="1820"/>
        <v>1</v>
      </c>
      <c r="T1676" s="130">
        <f ca="1" t="shared" si="1821"/>
        <v>1</v>
      </c>
      <c r="U1676" s="130">
        <f ca="1" t="shared" si="1822"/>
        <v>1</v>
      </c>
      <c r="V1676" s="130">
        <f ca="1" t="shared" si="1823"/>
        <v>1</v>
      </c>
    </row>
    <row r="1677" ht="16.5" spans="2:22">
      <c r="B1677" s="117">
        <v>441</v>
      </c>
      <c r="C1677" s="130">
        <f t="shared" si="1804"/>
        <v>44100</v>
      </c>
      <c r="D1677" s="130">
        <f ca="1" t="shared" si="1805"/>
        <v>1</v>
      </c>
      <c r="E1677" s="130">
        <f ca="1" t="shared" si="1806"/>
        <v>1</v>
      </c>
      <c r="F1677" s="130">
        <f ca="1" t="shared" si="1807"/>
        <v>1</v>
      </c>
      <c r="G1677" s="130">
        <f ca="1" t="shared" si="1808"/>
        <v>1</v>
      </c>
      <c r="H1677" s="130">
        <f ca="1" t="shared" si="1809"/>
        <v>1</v>
      </c>
      <c r="I1677" s="130">
        <f ca="1" t="shared" si="1810"/>
        <v>1</v>
      </c>
      <c r="J1677" s="130">
        <f ca="1" t="shared" si="1811"/>
        <v>1</v>
      </c>
      <c r="K1677" s="130">
        <f ca="1" t="shared" si="1812"/>
        <v>1</v>
      </c>
      <c r="L1677" s="130">
        <f ca="1" t="shared" si="1813"/>
        <v>1</v>
      </c>
      <c r="M1677" s="130">
        <f ca="1" t="shared" si="1814"/>
        <v>1</v>
      </c>
      <c r="N1677" s="130">
        <f ca="1" t="shared" si="1815"/>
        <v>1</v>
      </c>
      <c r="O1677" s="130">
        <f ca="1" t="shared" si="1816"/>
        <v>1</v>
      </c>
      <c r="P1677" s="130">
        <f ca="1" t="shared" si="1817"/>
        <v>1</v>
      </c>
      <c r="Q1677" s="130">
        <f ca="1" t="shared" si="1818"/>
        <v>1</v>
      </c>
      <c r="R1677" s="130">
        <f ca="1" t="shared" si="1819"/>
        <v>1</v>
      </c>
      <c r="S1677" s="130">
        <f ca="1" t="shared" si="1820"/>
        <v>1</v>
      </c>
      <c r="T1677" s="130">
        <f ca="1" t="shared" si="1821"/>
        <v>1</v>
      </c>
      <c r="U1677" s="130">
        <f ca="1" t="shared" si="1822"/>
        <v>1</v>
      </c>
      <c r="V1677" s="130">
        <f ca="1" t="shared" si="1823"/>
        <v>1</v>
      </c>
    </row>
    <row r="1678" ht="16.5" spans="2:22">
      <c r="B1678" s="117">
        <v>442</v>
      </c>
      <c r="C1678" s="130">
        <f t="shared" si="1804"/>
        <v>44200</v>
      </c>
      <c r="D1678" s="130">
        <f ca="1" t="shared" si="1805"/>
        <v>1</v>
      </c>
      <c r="E1678" s="130">
        <f ca="1" t="shared" si="1806"/>
        <v>1</v>
      </c>
      <c r="F1678" s="130">
        <f ca="1" t="shared" si="1807"/>
        <v>1</v>
      </c>
      <c r="G1678" s="130">
        <f ca="1" t="shared" si="1808"/>
        <v>1</v>
      </c>
      <c r="H1678" s="130">
        <f ca="1" t="shared" si="1809"/>
        <v>1</v>
      </c>
      <c r="I1678" s="130">
        <f ca="1" t="shared" si="1810"/>
        <v>1</v>
      </c>
      <c r="J1678" s="130">
        <f ca="1" t="shared" si="1811"/>
        <v>1</v>
      </c>
      <c r="K1678" s="130">
        <f ca="1" t="shared" si="1812"/>
        <v>1</v>
      </c>
      <c r="L1678" s="130">
        <f ca="1" t="shared" si="1813"/>
        <v>1</v>
      </c>
      <c r="M1678" s="130">
        <f ca="1" t="shared" si="1814"/>
        <v>1</v>
      </c>
      <c r="N1678" s="130">
        <f ca="1" t="shared" si="1815"/>
        <v>1</v>
      </c>
      <c r="O1678" s="130">
        <f ca="1" t="shared" si="1816"/>
        <v>1</v>
      </c>
      <c r="P1678" s="130">
        <f ca="1" t="shared" si="1817"/>
        <v>1</v>
      </c>
      <c r="Q1678" s="130">
        <f ca="1" t="shared" si="1818"/>
        <v>1</v>
      </c>
      <c r="R1678" s="130">
        <f ca="1" t="shared" si="1819"/>
        <v>1</v>
      </c>
      <c r="S1678" s="130">
        <f ca="1" t="shared" si="1820"/>
        <v>1</v>
      </c>
      <c r="T1678" s="130">
        <f ca="1" t="shared" si="1821"/>
        <v>1</v>
      </c>
      <c r="U1678" s="130">
        <f ca="1" t="shared" si="1822"/>
        <v>1</v>
      </c>
      <c r="V1678" s="130">
        <f ca="1" t="shared" si="1823"/>
        <v>1</v>
      </c>
    </row>
    <row r="1679" ht="16.5" spans="2:22">
      <c r="B1679" s="117">
        <v>443</v>
      </c>
      <c r="C1679" s="130">
        <f t="shared" si="1804"/>
        <v>44300</v>
      </c>
      <c r="D1679" s="130">
        <f ca="1" t="shared" si="1805"/>
        <v>1</v>
      </c>
      <c r="E1679" s="130">
        <f ca="1" t="shared" si="1806"/>
        <v>1</v>
      </c>
      <c r="F1679" s="130">
        <f ca="1" t="shared" si="1807"/>
        <v>1</v>
      </c>
      <c r="G1679" s="130">
        <f ca="1" t="shared" si="1808"/>
        <v>1</v>
      </c>
      <c r="H1679" s="130">
        <f ca="1" t="shared" si="1809"/>
        <v>1</v>
      </c>
      <c r="I1679" s="130">
        <f ca="1" t="shared" si="1810"/>
        <v>1</v>
      </c>
      <c r="J1679" s="130">
        <f ca="1" t="shared" si="1811"/>
        <v>1</v>
      </c>
      <c r="K1679" s="130">
        <f ca="1" t="shared" si="1812"/>
        <v>1</v>
      </c>
      <c r="L1679" s="130">
        <f ca="1" t="shared" si="1813"/>
        <v>1</v>
      </c>
      <c r="M1679" s="130">
        <f ca="1" t="shared" si="1814"/>
        <v>1</v>
      </c>
      <c r="N1679" s="130">
        <f ca="1" t="shared" si="1815"/>
        <v>1</v>
      </c>
      <c r="O1679" s="130">
        <f ca="1" t="shared" si="1816"/>
        <v>1</v>
      </c>
      <c r="P1679" s="130">
        <f ca="1" t="shared" si="1817"/>
        <v>1</v>
      </c>
      <c r="Q1679" s="130">
        <f ca="1" t="shared" si="1818"/>
        <v>1</v>
      </c>
      <c r="R1679" s="130">
        <f ca="1" t="shared" si="1819"/>
        <v>1</v>
      </c>
      <c r="S1679" s="130">
        <f ca="1" t="shared" si="1820"/>
        <v>1</v>
      </c>
      <c r="T1679" s="130">
        <f ca="1" t="shared" si="1821"/>
        <v>1</v>
      </c>
      <c r="U1679" s="130">
        <f ca="1" t="shared" si="1822"/>
        <v>1</v>
      </c>
      <c r="V1679" s="130">
        <f ca="1" t="shared" si="1823"/>
        <v>1</v>
      </c>
    </row>
    <row r="1680" ht="16.5" spans="2:22">
      <c r="B1680" s="117">
        <v>444</v>
      </c>
      <c r="C1680" s="130">
        <f t="shared" si="1804"/>
        <v>44400</v>
      </c>
      <c r="D1680" s="130">
        <f ca="1" t="shared" si="1805"/>
        <v>1</v>
      </c>
      <c r="E1680" s="130">
        <f ca="1" t="shared" si="1806"/>
        <v>1</v>
      </c>
      <c r="F1680" s="130">
        <f ca="1" t="shared" si="1807"/>
        <v>1</v>
      </c>
      <c r="G1680" s="130">
        <f ca="1" t="shared" si="1808"/>
        <v>1</v>
      </c>
      <c r="H1680" s="130">
        <f ca="1" t="shared" si="1809"/>
        <v>1</v>
      </c>
      <c r="I1680" s="130">
        <f ca="1" t="shared" si="1810"/>
        <v>1</v>
      </c>
      <c r="J1680" s="130">
        <f ca="1" t="shared" si="1811"/>
        <v>1</v>
      </c>
      <c r="K1680" s="130">
        <f ca="1" t="shared" si="1812"/>
        <v>1</v>
      </c>
      <c r="L1680" s="130">
        <f ca="1" t="shared" si="1813"/>
        <v>1</v>
      </c>
      <c r="M1680" s="130">
        <f ca="1" t="shared" si="1814"/>
        <v>1</v>
      </c>
      <c r="N1680" s="130">
        <f ca="1" t="shared" si="1815"/>
        <v>1</v>
      </c>
      <c r="O1680" s="130">
        <f ca="1" t="shared" si="1816"/>
        <v>1</v>
      </c>
      <c r="P1680" s="130">
        <f ca="1" t="shared" si="1817"/>
        <v>1</v>
      </c>
      <c r="Q1680" s="130">
        <f ca="1" t="shared" si="1818"/>
        <v>1</v>
      </c>
      <c r="R1680" s="130">
        <f ca="1" t="shared" si="1819"/>
        <v>1</v>
      </c>
      <c r="S1680" s="130">
        <f ca="1" t="shared" si="1820"/>
        <v>1</v>
      </c>
      <c r="T1680" s="130">
        <f ca="1" t="shared" si="1821"/>
        <v>1</v>
      </c>
      <c r="U1680" s="130">
        <f ca="1" t="shared" si="1822"/>
        <v>1</v>
      </c>
      <c r="V1680" s="130">
        <f ca="1" t="shared" si="1823"/>
        <v>1</v>
      </c>
    </row>
    <row r="1681" ht="16.5" spans="2:22">
      <c r="B1681" s="117">
        <v>445</v>
      </c>
      <c r="C1681" s="130">
        <f t="shared" si="1804"/>
        <v>44500</v>
      </c>
      <c r="D1681" s="130">
        <f ca="1" t="shared" si="1805"/>
        <v>1</v>
      </c>
      <c r="E1681" s="130">
        <f ca="1" t="shared" si="1806"/>
        <v>1</v>
      </c>
      <c r="F1681" s="130">
        <f ca="1" t="shared" si="1807"/>
        <v>1</v>
      </c>
      <c r="G1681" s="130">
        <f ca="1" t="shared" si="1808"/>
        <v>1</v>
      </c>
      <c r="H1681" s="130">
        <f ca="1" t="shared" si="1809"/>
        <v>1</v>
      </c>
      <c r="I1681" s="130">
        <f ca="1" t="shared" si="1810"/>
        <v>1</v>
      </c>
      <c r="J1681" s="130">
        <f ca="1" t="shared" si="1811"/>
        <v>1</v>
      </c>
      <c r="K1681" s="130">
        <f ca="1" t="shared" si="1812"/>
        <v>1</v>
      </c>
      <c r="L1681" s="130">
        <f ca="1" t="shared" si="1813"/>
        <v>1</v>
      </c>
      <c r="M1681" s="130">
        <f ca="1" t="shared" si="1814"/>
        <v>1</v>
      </c>
      <c r="N1681" s="130">
        <f ca="1" t="shared" si="1815"/>
        <v>1</v>
      </c>
      <c r="O1681" s="130">
        <f ca="1" t="shared" si="1816"/>
        <v>1</v>
      </c>
      <c r="P1681" s="130">
        <f ca="1" t="shared" si="1817"/>
        <v>1</v>
      </c>
      <c r="Q1681" s="130">
        <f ca="1" t="shared" si="1818"/>
        <v>1</v>
      </c>
      <c r="R1681" s="130">
        <f ca="1" t="shared" si="1819"/>
        <v>1</v>
      </c>
      <c r="S1681" s="130">
        <f ca="1" t="shared" si="1820"/>
        <v>1</v>
      </c>
      <c r="T1681" s="130">
        <f ca="1" t="shared" si="1821"/>
        <v>1</v>
      </c>
      <c r="U1681" s="130">
        <f ca="1" t="shared" si="1822"/>
        <v>1</v>
      </c>
      <c r="V1681" s="130">
        <f ca="1" t="shared" si="1823"/>
        <v>1</v>
      </c>
    </row>
    <row r="1682" ht="16.5" spans="2:22">
      <c r="B1682" s="117">
        <v>446</v>
      </c>
      <c r="C1682" s="130">
        <f t="shared" si="1804"/>
        <v>44600</v>
      </c>
      <c r="D1682" s="130">
        <f ca="1" t="shared" si="1805"/>
        <v>1</v>
      </c>
      <c r="E1682" s="130">
        <f ca="1" t="shared" si="1806"/>
        <v>1</v>
      </c>
      <c r="F1682" s="130">
        <f ca="1" t="shared" si="1807"/>
        <v>1</v>
      </c>
      <c r="G1682" s="130">
        <f ca="1" t="shared" si="1808"/>
        <v>1</v>
      </c>
      <c r="H1682" s="130">
        <f ca="1" t="shared" si="1809"/>
        <v>1</v>
      </c>
      <c r="I1682" s="130">
        <f ca="1" t="shared" si="1810"/>
        <v>1</v>
      </c>
      <c r="J1682" s="130">
        <f ca="1" t="shared" si="1811"/>
        <v>1</v>
      </c>
      <c r="K1682" s="130">
        <f ca="1" t="shared" si="1812"/>
        <v>1</v>
      </c>
      <c r="L1682" s="130">
        <f ca="1" t="shared" si="1813"/>
        <v>1</v>
      </c>
      <c r="M1682" s="130">
        <f ca="1" t="shared" si="1814"/>
        <v>1</v>
      </c>
      <c r="N1682" s="130">
        <f ca="1" t="shared" si="1815"/>
        <v>1</v>
      </c>
      <c r="O1682" s="130">
        <f ca="1" t="shared" si="1816"/>
        <v>1</v>
      </c>
      <c r="P1682" s="130">
        <f ca="1" t="shared" si="1817"/>
        <v>1</v>
      </c>
      <c r="Q1682" s="130">
        <f ca="1" t="shared" si="1818"/>
        <v>1</v>
      </c>
      <c r="R1682" s="130">
        <f ca="1" t="shared" si="1819"/>
        <v>1</v>
      </c>
      <c r="S1682" s="130">
        <f ca="1" t="shared" si="1820"/>
        <v>1</v>
      </c>
      <c r="T1682" s="130">
        <f ca="1" t="shared" si="1821"/>
        <v>1</v>
      </c>
      <c r="U1682" s="130">
        <f ca="1" t="shared" si="1822"/>
        <v>1</v>
      </c>
      <c r="V1682" s="130">
        <f ca="1" t="shared" si="1823"/>
        <v>1</v>
      </c>
    </row>
    <row r="1683" ht="16.5" spans="2:22">
      <c r="B1683" s="117">
        <v>447</v>
      </c>
      <c r="C1683" s="130">
        <f t="shared" si="1804"/>
        <v>44700</v>
      </c>
      <c r="D1683" s="130">
        <f ca="1" t="shared" si="1805"/>
        <v>1</v>
      </c>
      <c r="E1683" s="130">
        <f ca="1" t="shared" si="1806"/>
        <v>1</v>
      </c>
      <c r="F1683" s="130">
        <f ca="1" t="shared" si="1807"/>
        <v>1</v>
      </c>
      <c r="G1683" s="130">
        <f ca="1" t="shared" si="1808"/>
        <v>1</v>
      </c>
      <c r="H1683" s="130">
        <f ca="1" t="shared" si="1809"/>
        <v>1</v>
      </c>
      <c r="I1683" s="130">
        <f ca="1" t="shared" si="1810"/>
        <v>1</v>
      </c>
      <c r="J1683" s="130">
        <f ca="1" t="shared" si="1811"/>
        <v>1</v>
      </c>
      <c r="K1683" s="130">
        <f ca="1" t="shared" si="1812"/>
        <v>1</v>
      </c>
      <c r="L1683" s="130">
        <f ca="1" t="shared" si="1813"/>
        <v>1</v>
      </c>
      <c r="M1683" s="130">
        <f ca="1" t="shared" si="1814"/>
        <v>1</v>
      </c>
      <c r="N1683" s="130">
        <f ca="1" t="shared" si="1815"/>
        <v>1</v>
      </c>
      <c r="O1683" s="130">
        <f ca="1" t="shared" si="1816"/>
        <v>1</v>
      </c>
      <c r="P1683" s="130">
        <f ca="1" t="shared" si="1817"/>
        <v>1</v>
      </c>
      <c r="Q1683" s="130">
        <f ca="1" t="shared" si="1818"/>
        <v>1</v>
      </c>
      <c r="R1683" s="130">
        <f ca="1" t="shared" si="1819"/>
        <v>1</v>
      </c>
      <c r="S1683" s="130">
        <f ca="1" t="shared" si="1820"/>
        <v>1</v>
      </c>
      <c r="T1683" s="130">
        <f ca="1" t="shared" si="1821"/>
        <v>1</v>
      </c>
      <c r="U1683" s="130">
        <f ca="1" t="shared" si="1822"/>
        <v>1</v>
      </c>
      <c r="V1683" s="130">
        <f ca="1" t="shared" si="1823"/>
        <v>1</v>
      </c>
    </row>
    <row r="1684" ht="16.5" spans="2:22">
      <c r="B1684" s="117">
        <v>448</v>
      </c>
      <c r="C1684" s="130">
        <f t="shared" si="1804"/>
        <v>44800</v>
      </c>
      <c r="D1684" s="130">
        <f ca="1" t="shared" si="1805"/>
        <v>1</v>
      </c>
      <c r="E1684" s="130">
        <f ca="1" t="shared" si="1806"/>
        <v>1</v>
      </c>
      <c r="F1684" s="130">
        <f ca="1" t="shared" si="1807"/>
        <v>1</v>
      </c>
      <c r="G1684" s="130">
        <f ca="1" t="shared" si="1808"/>
        <v>1</v>
      </c>
      <c r="H1684" s="130">
        <f ca="1" t="shared" si="1809"/>
        <v>1</v>
      </c>
      <c r="I1684" s="130">
        <f ca="1" t="shared" si="1810"/>
        <v>1</v>
      </c>
      <c r="J1684" s="130">
        <f ca="1" t="shared" si="1811"/>
        <v>1</v>
      </c>
      <c r="K1684" s="130">
        <f ca="1" t="shared" si="1812"/>
        <v>1</v>
      </c>
      <c r="L1684" s="130">
        <f ca="1" t="shared" si="1813"/>
        <v>1</v>
      </c>
      <c r="M1684" s="130">
        <f ca="1" t="shared" si="1814"/>
        <v>1</v>
      </c>
      <c r="N1684" s="130">
        <f ca="1" t="shared" si="1815"/>
        <v>1</v>
      </c>
      <c r="O1684" s="130">
        <f ca="1" t="shared" si="1816"/>
        <v>1</v>
      </c>
      <c r="P1684" s="130">
        <f ca="1" t="shared" si="1817"/>
        <v>1</v>
      </c>
      <c r="Q1684" s="130">
        <f ca="1" t="shared" si="1818"/>
        <v>1</v>
      </c>
      <c r="R1684" s="130">
        <f ca="1" t="shared" si="1819"/>
        <v>1</v>
      </c>
      <c r="S1684" s="130">
        <f ca="1" t="shared" si="1820"/>
        <v>1</v>
      </c>
      <c r="T1684" s="130">
        <f ca="1" t="shared" si="1821"/>
        <v>1</v>
      </c>
      <c r="U1684" s="130">
        <f ca="1" t="shared" si="1822"/>
        <v>1</v>
      </c>
      <c r="V1684" s="130">
        <f ca="1" t="shared" si="1823"/>
        <v>1</v>
      </c>
    </row>
    <row r="1685" ht="16.5" spans="2:22">
      <c r="B1685" s="117">
        <v>449</v>
      </c>
      <c r="C1685" s="130">
        <f t="shared" si="1804"/>
        <v>44900</v>
      </c>
      <c r="D1685" s="130">
        <f ca="1" t="shared" si="1805"/>
        <v>1</v>
      </c>
      <c r="E1685" s="130">
        <f ca="1" t="shared" si="1806"/>
        <v>1</v>
      </c>
      <c r="F1685" s="130">
        <f ca="1" t="shared" si="1807"/>
        <v>1</v>
      </c>
      <c r="G1685" s="130">
        <f ca="1" t="shared" si="1808"/>
        <v>1</v>
      </c>
      <c r="H1685" s="130">
        <f ca="1" t="shared" si="1809"/>
        <v>1</v>
      </c>
      <c r="I1685" s="130">
        <f ca="1" t="shared" si="1810"/>
        <v>1</v>
      </c>
      <c r="J1685" s="130">
        <f ca="1" t="shared" si="1811"/>
        <v>1</v>
      </c>
      <c r="K1685" s="130">
        <f ca="1" t="shared" si="1812"/>
        <v>1</v>
      </c>
      <c r="L1685" s="130">
        <f ca="1" t="shared" si="1813"/>
        <v>1</v>
      </c>
      <c r="M1685" s="130">
        <f ca="1" t="shared" si="1814"/>
        <v>1</v>
      </c>
      <c r="N1685" s="130">
        <f ca="1" t="shared" si="1815"/>
        <v>1</v>
      </c>
      <c r="O1685" s="130">
        <f ca="1" t="shared" si="1816"/>
        <v>1</v>
      </c>
      <c r="P1685" s="130">
        <f ca="1" t="shared" si="1817"/>
        <v>1</v>
      </c>
      <c r="Q1685" s="130">
        <f ca="1" t="shared" si="1818"/>
        <v>1</v>
      </c>
      <c r="R1685" s="130">
        <f ca="1" t="shared" si="1819"/>
        <v>1</v>
      </c>
      <c r="S1685" s="130">
        <f ca="1" t="shared" si="1820"/>
        <v>1</v>
      </c>
      <c r="T1685" s="130">
        <f ca="1" t="shared" si="1821"/>
        <v>1</v>
      </c>
      <c r="U1685" s="130">
        <f ca="1" t="shared" si="1822"/>
        <v>1</v>
      </c>
      <c r="V1685" s="130">
        <f ca="1" t="shared" si="1823"/>
        <v>1</v>
      </c>
    </row>
    <row r="1686" ht="16.5" spans="2:22">
      <c r="B1686" s="117">
        <v>450</v>
      </c>
      <c r="C1686" s="130">
        <f t="shared" si="1804"/>
        <v>45000</v>
      </c>
      <c r="D1686" s="130">
        <f ca="1" t="shared" si="1805"/>
        <v>1</v>
      </c>
      <c r="E1686" s="130">
        <f ca="1" t="shared" si="1806"/>
        <v>1</v>
      </c>
      <c r="F1686" s="130">
        <f ca="1" t="shared" si="1807"/>
        <v>1</v>
      </c>
      <c r="G1686" s="130">
        <f ca="1" t="shared" si="1808"/>
        <v>1</v>
      </c>
      <c r="H1686" s="130">
        <f ca="1" t="shared" si="1809"/>
        <v>1</v>
      </c>
      <c r="I1686" s="130">
        <f ca="1" t="shared" si="1810"/>
        <v>1</v>
      </c>
      <c r="J1686" s="130">
        <f ca="1" t="shared" si="1811"/>
        <v>1</v>
      </c>
      <c r="K1686" s="130">
        <f ca="1" t="shared" si="1812"/>
        <v>1</v>
      </c>
      <c r="L1686" s="130">
        <f ca="1" t="shared" si="1813"/>
        <v>1</v>
      </c>
      <c r="M1686" s="130">
        <f ca="1" t="shared" si="1814"/>
        <v>1</v>
      </c>
      <c r="N1686" s="130">
        <f ca="1" t="shared" si="1815"/>
        <v>1</v>
      </c>
      <c r="O1686" s="130">
        <f ca="1" t="shared" si="1816"/>
        <v>1</v>
      </c>
      <c r="P1686" s="130">
        <f ca="1" t="shared" si="1817"/>
        <v>1</v>
      </c>
      <c r="Q1686" s="130">
        <f ca="1" t="shared" si="1818"/>
        <v>1</v>
      </c>
      <c r="R1686" s="130">
        <f ca="1" t="shared" si="1819"/>
        <v>1</v>
      </c>
      <c r="S1686" s="130">
        <f ca="1" t="shared" si="1820"/>
        <v>1</v>
      </c>
      <c r="T1686" s="130">
        <f ca="1" t="shared" si="1821"/>
        <v>1</v>
      </c>
      <c r="U1686" s="130">
        <f ca="1" t="shared" si="1822"/>
        <v>1</v>
      </c>
      <c r="V1686" s="130">
        <f ca="1" t="shared" si="1823"/>
        <v>1</v>
      </c>
    </row>
    <row r="1687" ht="16.5" spans="2:22">
      <c r="B1687" s="117">
        <v>451</v>
      </c>
      <c r="C1687" s="130">
        <f t="shared" si="1804"/>
        <v>45100</v>
      </c>
      <c r="D1687" s="130">
        <f ca="1" t="shared" si="1805"/>
        <v>1</v>
      </c>
      <c r="E1687" s="130">
        <f ca="1" t="shared" si="1806"/>
        <v>1</v>
      </c>
      <c r="F1687" s="130">
        <f ca="1" t="shared" si="1807"/>
        <v>1</v>
      </c>
      <c r="G1687" s="130">
        <f ca="1" t="shared" si="1808"/>
        <v>1</v>
      </c>
      <c r="H1687" s="130">
        <f ca="1" t="shared" si="1809"/>
        <v>1</v>
      </c>
      <c r="I1687" s="130">
        <f ca="1" t="shared" si="1810"/>
        <v>1</v>
      </c>
      <c r="J1687" s="130">
        <f ca="1" t="shared" si="1811"/>
        <v>1</v>
      </c>
      <c r="K1687" s="130">
        <f ca="1" t="shared" si="1812"/>
        <v>1</v>
      </c>
      <c r="L1687" s="130">
        <f ca="1" t="shared" si="1813"/>
        <v>1</v>
      </c>
      <c r="M1687" s="130">
        <f ca="1" t="shared" si="1814"/>
        <v>1</v>
      </c>
      <c r="N1687" s="130">
        <f ca="1" t="shared" si="1815"/>
        <v>1</v>
      </c>
      <c r="O1687" s="130">
        <f ca="1" t="shared" si="1816"/>
        <v>1</v>
      </c>
      <c r="P1687" s="130">
        <f ca="1" t="shared" si="1817"/>
        <v>1</v>
      </c>
      <c r="Q1687" s="130">
        <f ca="1" t="shared" si="1818"/>
        <v>1</v>
      </c>
      <c r="R1687" s="130">
        <f ca="1" t="shared" si="1819"/>
        <v>1</v>
      </c>
      <c r="S1687" s="130">
        <f ca="1" t="shared" si="1820"/>
        <v>1</v>
      </c>
      <c r="T1687" s="130">
        <f ca="1" t="shared" si="1821"/>
        <v>1</v>
      </c>
      <c r="U1687" s="130">
        <f ca="1" t="shared" si="1822"/>
        <v>1</v>
      </c>
      <c r="V1687" s="130">
        <f ca="1" t="shared" si="1823"/>
        <v>1</v>
      </c>
    </row>
    <row r="1688" ht="16.5" spans="2:22">
      <c r="B1688" s="117">
        <v>452</v>
      </c>
      <c r="C1688" s="130">
        <f t="shared" si="1804"/>
        <v>45200</v>
      </c>
      <c r="D1688" s="130">
        <f ca="1" t="shared" si="1805"/>
        <v>1</v>
      </c>
      <c r="E1688" s="130">
        <f ca="1" t="shared" si="1806"/>
        <v>1</v>
      </c>
      <c r="F1688" s="130">
        <f ca="1" t="shared" si="1807"/>
        <v>1</v>
      </c>
      <c r="G1688" s="130">
        <f ca="1" t="shared" si="1808"/>
        <v>1</v>
      </c>
      <c r="H1688" s="130">
        <f ca="1" t="shared" si="1809"/>
        <v>1</v>
      </c>
      <c r="I1688" s="130">
        <f ca="1" t="shared" si="1810"/>
        <v>1</v>
      </c>
      <c r="J1688" s="130">
        <f ca="1" t="shared" si="1811"/>
        <v>1</v>
      </c>
      <c r="K1688" s="130">
        <f ca="1" t="shared" si="1812"/>
        <v>1</v>
      </c>
      <c r="L1688" s="130">
        <f ca="1" t="shared" si="1813"/>
        <v>1</v>
      </c>
      <c r="M1688" s="130">
        <f ca="1" t="shared" si="1814"/>
        <v>1</v>
      </c>
      <c r="N1688" s="130">
        <f ca="1" t="shared" si="1815"/>
        <v>1</v>
      </c>
      <c r="O1688" s="130">
        <f ca="1" t="shared" si="1816"/>
        <v>1</v>
      </c>
      <c r="P1688" s="130">
        <f ca="1" t="shared" si="1817"/>
        <v>1</v>
      </c>
      <c r="Q1688" s="130">
        <f ca="1" t="shared" si="1818"/>
        <v>1</v>
      </c>
      <c r="R1688" s="130">
        <f ca="1" t="shared" si="1819"/>
        <v>1</v>
      </c>
      <c r="S1688" s="130">
        <f ca="1" t="shared" si="1820"/>
        <v>1</v>
      </c>
      <c r="T1688" s="130">
        <f ca="1" t="shared" si="1821"/>
        <v>1</v>
      </c>
      <c r="U1688" s="130">
        <f ca="1" t="shared" si="1822"/>
        <v>1</v>
      </c>
      <c r="V1688" s="130">
        <f ca="1" t="shared" si="1823"/>
        <v>1</v>
      </c>
    </row>
    <row r="1689" ht="16.5" spans="2:22">
      <c r="B1689" s="117">
        <v>453</v>
      </c>
      <c r="C1689" s="130">
        <f t="shared" si="1804"/>
        <v>45300</v>
      </c>
      <c r="D1689" s="130">
        <f ca="1" t="shared" si="1805"/>
        <v>1</v>
      </c>
      <c r="E1689" s="130">
        <f ca="1" t="shared" si="1806"/>
        <v>1</v>
      </c>
      <c r="F1689" s="130">
        <f ca="1" t="shared" si="1807"/>
        <v>1</v>
      </c>
      <c r="G1689" s="130">
        <f ca="1" t="shared" si="1808"/>
        <v>1</v>
      </c>
      <c r="H1689" s="130">
        <f ca="1" t="shared" si="1809"/>
        <v>1</v>
      </c>
      <c r="I1689" s="130">
        <f ca="1" t="shared" si="1810"/>
        <v>1</v>
      </c>
      <c r="J1689" s="130">
        <f ca="1" t="shared" si="1811"/>
        <v>1</v>
      </c>
      <c r="K1689" s="130">
        <f ca="1" t="shared" si="1812"/>
        <v>1</v>
      </c>
      <c r="L1689" s="130">
        <f ca="1" t="shared" si="1813"/>
        <v>1</v>
      </c>
      <c r="M1689" s="130">
        <f ca="1" t="shared" si="1814"/>
        <v>1</v>
      </c>
      <c r="N1689" s="130">
        <f ca="1" t="shared" si="1815"/>
        <v>1</v>
      </c>
      <c r="O1689" s="130">
        <f ca="1" t="shared" si="1816"/>
        <v>1</v>
      </c>
      <c r="P1689" s="130">
        <f ca="1" t="shared" si="1817"/>
        <v>1</v>
      </c>
      <c r="Q1689" s="130">
        <f ca="1" t="shared" si="1818"/>
        <v>1</v>
      </c>
      <c r="R1689" s="130">
        <f ca="1" t="shared" si="1819"/>
        <v>1</v>
      </c>
      <c r="S1689" s="130">
        <f ca="1" t="shared" si="1820"/>
        <v>1</v>
      </c>
      <c r="T1689" s="130">
        <f ca="1" t="shared" si="1821"/>
        <v>1</v>
      </c>
      <c r="U1689" s="130">
        <f ca="1" t="shared" si="1822"/>
        <v>1</v>
      </c>
      <c r="V1689" s="130">
        <f ca="1" t="shared" si="1823"/>
        <v>1</v>
      </c>
    </row>
    <row r="1690" ht="16.5" spans="2:22">
      <c r="B1690" s="117">
        <v>454</v>
      </c>
      <c r="C1690" s="130">
        <f t="shared" si="1804"/>
        <v>45400</v>
      </c>
      <c r="D1690" s="130">
        <f ca="1" t="shared" si="1805"/>
        <v>1</v>
      </c>
      <c r="E1690" s="130">
        <f ca="1" t="shared" si="1806"/>
        <v>1</v>
      </c>
      <c r="F1690" s="130">
        <f ca="1" t="shared" si="1807"/>
        <v>1</v>
      </c>
      <c r="G1690" s="130">
        <f ca="1" t="shared" si="1808"/>
        <v>1</v>
      </c>
      <c r="H1690" s="130">
        <f ca="1" t="shared" si="1809"/>
        <v>1</v>
      </c>
      <c r="I1690" s="130">
        <f ca="1" t="shared" si="1810"/>
        <v>1</v>
      </c>
      <c r="J1690" s="130">
        <f ca="1" t="shared" si="1811"/>
        <v>1</v>
      </c>
      <c r="K1690" s="130">
        <f ca="1" t="shared" si="1812"/>
        <v>1</v>
      </c>
      <c r="L1690" s="130">
        <f ca="1" t="shared" si="1813"/>
        <v>1</v>
      </c>
      <c r="M1690" s="130">
        <f ca="1" t="shared" si="1814"/>
        <v>1</v>
      </c>
      <c r="N1690" s="130">
        <f ca="1" t="shared" si="1815"/>
        <v>1</v>
      </c>
      <c r="O1690" s="130">
        <f ca="1" t="shared" si="1816"/>
        <v>1</v>
      </c>
      <c r="P1690" s="130">
        <f ca="1" t="shared" si="1817"/>
        <v>1</v>
      </c>
      <c r="Q1690" s="130">
        <f ca="1" t="shared" si="1818"/>
        <v>1</v>
      </c>
      <c r="R1690" s="130">
        <f ca="1" t="shared" si="1819"/>
        <v>1</v>
      </c>
      <c r="S1690" s="130">
        <f ca="1" t="shared" si="1820"/>
        <v>1</v>
      </c>
      <c r="T1690" s="130">
        <f ca="1" t="shared" si="1821"/>
        <v>1</v>
      </c>
      <c r="U1690" s="130">
        <f ca="1" t="shared" si="1822"/>
        <v>1</v>
      </c>
      <c r="V1690" s="130">
        <f ca="1" t="shared" si="1823"/>
        <v>1</v>
      </c>
    </row>
    <row r="1691" ht="16.5" spans="2:22">
      <c r="B1691" s="117">
        <v>455</v>
      </c>
      <c r="C1691" s="130">
        <f t="shared" si="1804"/>
        <v>45500</v>
      </c>
      <c r="D1691" s="130">
        <f ca="1" t="shared" si="1805"/>
        <v>1</v>
      </c>
      <c r="E1691" s="130">
        <f ca="1" t="shared" si="1806"/>
        <v>1</v>
      </c>
      <c r="F1691" s="130">
        <f ca="1" t="shared" si="1807"/>
        <v>1</v>
      </c>
      <c r="G1691" s="130">
        <f ca="1" t="shared" si="1808"/>
        <v>1</v>
      </c>
      <c r="H1691" s="130">
        <f ca="1" t="shared" si="1809"/>
        <v>1</v>
      </c>
      <c r="I1691" s="130">
        <f ca="1" t="shared" si="1810"/>
        <v>1</v>
      </c>
      <c r="J1691" s="130">
        <f ca="1" t="shared" si="1811"/>
        <v>1</v>
      </c>
      <c r="K1691" s="130">
        <f ca="1" t="shared" si="1812"/>
        <v>1</v>
      </c>
      <c r="L1691" s="130">
        <f ca="1" t="shared" si="1813"/>
        <v>1</v>
      </c>
      <c r="M1691" s="130">
        <f ca="1" t="shared" si="1814"/>
        <v>1</v>
      </c>
      <c r="N1691" s="130">
        <f ca="1" t="shared" si="1815"/>
        <v>1</v>
      </c>
      <c r="O1691" s="130">
        <f ca="1" t="shared" si="1816"/>
        <v>1</v>
      </c>
      <c r="P1691" s="130">
        <f ca="1" t="shared" si="1817"/>
        <v>1</v>
      </c>
      <c r="Q1691" s="130">
        <f ca="1" t="shared" si="1818"/>
        <v>1</v>
      </c>
      <c r="R1691" s="130">
        <f ca="1" t="shared" si="1819"/>
        <v>1</v>
      </c>
      <c r="S1691" s="130">
        <f ca="1" t="shared" si="1820"/>
        <v>1</v>
      </c>
      <c r="T1691" s="130">
        <f ca="1" t="shared" si="1821"/>
        <v>1</v>
      </c>
      <c r="U1691" s="130">
        <f ca="1" t="shared" si="1822"/>
        <v>1</v>
      </c>
      <c r="V1691" s="130">
        <f ca="1" t="shared" si="1823"/>
        <v>1</v>
      </c>
    </row>
    <row r="1692" ht="16.5" spans="2:22">
      <c r="B1692" s="117">
        <v>456</v>
      </c>
      <c r="C1692" s="130">
        <f t="shared" si="1804"/>
        <v>45600</v>
      </c>
      <c r="D1692" s="130">
        <f ca="1" t="shared" si="1805"/>
        <v>1</v>
      </c>
      <c r="E1692" s="130">
        <f ca="1" t="shared" si="1806"/>
        <v>1</v>
      </c>
      <c r="F1692" s="130">
        <f ca="1" t="shared" si="1807"/>
        <v>1</v>
      </c>
      <c r="G1692" s="130">
        <f ca="1" t="shared" si="1808"/>
        <v>1</v>
      </c>
      <c r="H1692" s="130">
        <f ca="1" t="shared" si="1809"/>
        <v>1</v>
      </c>
      <c r="I1692" s="130">
        <f ca="1" t="shared" si="1810"/>
        <v>1</v>
      </c>
      <c r="J1692" s="130">
        <f ca="1" t="shared" si="1811"/>
        <v>1</v>
      </c>
      <c r="K1692" s="130">
        <f ca="1" t="shared" si="1812"/>
        <v>1</v>
      </c>
      <c r="L1692" s="130">
        <f ca="1" t="shared" si="1813"/>
        <v>1</v>
      </c>
      <c r="M1692" s="130">
        <f ca="1" t="shared" si="1814"/>
        <v>1</v>
      </c>
      <c r="N1692" s="130">
        <f ca="1" t="shared" si="1815"/>
        <v>1</v>
      </c>
      <c r="O1692" s="130">
        <f ca="1" t="shared" si="1816"/>
        <v>1</v>
      </c>
      <c r="P1692" s="130">
        <f ca="1" t="shared" si="1817"/>
        <v>1</v>
      </c>
      <c r="Q1692" s="130">
        <f ca="1" t="shared" si="1818"/>
        <v>1</v>
      </c>
      <c r="R1692" s="130">
        <f ca="1" t="shared" si="1819"/>
        <v>1</v>
      </c>
      <c r="S1692" s="130">
        <f ca="1" t="shared" si="1820"/>
        <v>1</v>
      </c>
      <c r="T1692" s="130">
        <f ca="1" t="shared" si="1821"/>
        <v>1</v>
      </c>
      <c r="U1692" s="130">
        <f ca="1" t="shared" si="1822"/>
        <v>1</v>
      </c>
      <c r="V1692" s="130">
        <f ca="1" t="shared" si="1823"/>
        <v>1</v>
      </c>
    </row>
    <row r="1693" ht="16.5" spans="2:22">
      <c r="B1693" s="117">
        <v>457</v>
      </c>
      <c r="C1693" s="130">
        <f t="shared" si="1804"/>
        <v>45700</v>
      </c>
      <c r="D1693" s="130">
        <f ca="1" t="shared" si="1805"/>
        <v>1</v>
      </c>
      <c r="E1693" s="130">
        <f ca="1" t="shared" si="1806"/>
        <v>1</v>
      </c>
      <c r="F1693" s="130">
        <f ca="1" t="shared" si="1807"/>
        <v>1</v>
      </c>
      <c r="G1693" s="130">
        <f ca="1" t="shared" si="1808"/>
        <v>1</v>
      </c>
      <c r="H1693" s="130">
        <f ca="1" t="shared" si="1809"/>
        <v>1</v>
      </c>
      <c r="I1693" s="130">
        <f ca="1" t="shared" si="1810"/>
        <v>1</v>
      </c>
      <c r="J1693" s="130">
        <f ca="1" t="shared" si="1811"/>
        <v>1</v>
      </c>
      <c r="K1693" s="130">
        <f ca="1" t="shared" si="1812"/>
        <v>1</v>
      </c>
      <c r="L1693" s="130">
        <f ca="1" t="shared" si="1813"/>
        <v>1</v>
      </c>
      <c r="M1693" s="130">
        <f ca="1" t="shared" si="1814"/>
        <v>1</v>
      </c>
      <c r="N1693" s="130">
        <f ca="1" t="shared" si="1815"/>
        <v>1</v>
      </c>
      <c r="O1693" s="130">
        <f ca="1" t="shared" si="1816"/>
        <v>1</v>
      </c>
      <c r="P1693" s="130">
        <f ca="1" t="shared" si="1817"/>
        <v>1</v>
      </c>
      <c r="Q1693" s="130">
        <f ca="1" t="shared" si="1818"/>
        <v>1</v>
      </c>
      <c r="R1693" s="130">
        <f ca="1" t="shared" si="1819"/>
        <v>1</v>
      </c>
      <c r="S1693" s="130">
        <f ca="1" t="shared" si="1820"/>
        <v>1</v>
      </c>
      <c r="T1693" s="130">
        <f ca="1" t="shared" si="1821"/>
        <v>1</v>
      </c>
      <c r="U1693" s="130">
        <f ca="1" t="shared" si="1822"/>
        <v>1</v>
      </c>
      <c r="V1693" s="130">
        <f ca="1" t="shared" si="1823"/>
        <v>1</v>
      </c>
    </row>
    <row r="1694" ht="16.5" spans="2:22">
      <c r="B1694" s="117">
        <v>458</v>
      </c>
      <c r="C1694" s="130">
        <f t="shared" si="1804"/>
        <v>45800</v>
      </c>
      <c r="D1694" s="130">
        <f ca="1" t="shared" si="1805"/>
        <v>1</v>
      </c>
      <c r="E1694" s="130">
        <f ca="1" t="shared" si="1806"/>
        <v>1</v>
      </c>
      <c r="F1694" s="130">
        <f ca="1" t="shared" si="1807"/>
        <v>1</v>
      </c>
      <c r="G1694" s="130">
        <f ca="1" t="shared" si="1808"/>
        <v>1</v>
      </c>
      <c r="H1694" s="130">
        <f ca="1" t="shared" si="1809"/>
        <v>1</v>
      </c>
      <c r="I1694" s="130">
        <f ca="1" t="shared" si="1810"/>
        <v>1</v>
      </c>
      <c r="J1694" s="130">
        <f ca="1" t="shared" si="1811"/>
        <v>1</v>
      </c>
      <c r="K1694" s="130">
        <f ca="1" t="shared" si="1812"/>
        <v>1</v>
      </c>
      <c r="L1694" s="130">
        <f ca="1" t="shared" si="1813"/>
        <v>1</v>
      </c>
      <c r="M1694" s="130">
        <f ca="1" t="shared" si="1814"/>
        <v>1</v>
      </c>
      <c r="N1694" s="130">
        <f ca="1" t="shared" si="1815"/>
        <v>1</v>
      </c>
      <c r="O1694" s="130">
        <f ca="1" t="shared" si="1816"/>
        <v>1</v>
      </c>
      <c r="P1694" s="130">
        <f ca="1" t="shared" si="1817"/>
        <v>1</v>
      </c>
      <c r="Q1694" s="130">
        <f ca="1" t="shared" si="1818"/>
        <v>1</v>
      </c>
      <c r="R1694" s="130">
        <f ca="1" t="shared" si="1819"/>
        <v>1</v>
      </c>
      <c r="S1694" s="130">
        <f ca="1" t="shared" si="1820"/>
        <v>1</v>
      </c>
      <c r="T1694" s="130">
        <f ca="1" t="shared" si="1821"/>
        <v>1</v>
      </c>
      <c r="U1694" s="130">
        <f ca="1" t="shared" si="1822"/>
        <v>1</v>
      </c>
      <c r="V1694" s="130">
        <f ca="1" t="shared" si="1823"/>
        <v>1</v>
      </c>
    </row>
    <row r="1695" ht="16.5" spans="2:22">
      <c r="B1695" s="117">
        <v>459</v>
      </c>
      <c r="C1695" s="130">
        <f t="shared" si="1804"/>
        <v>45900</v>
      </c>
      <c r="D1695" s="130">
        <f ca="1" t="shared" si="1805"/>
        <v>1</v>
      </c>
      <c r="E1695" s="130">
        <f ca="1" t="shared" si="1806"/>
        <v>1</v>
      </c>
      <c r="F1695" s="130">
        <f ca="1" t="shared" si="1807"/>
        <v>1</v>
      </c>
      <c r="G1695" s="130">
        <f ca="1" t="shared" si="1808"/>
        <v>1</v>
      </c>
      <c r="H1695" s="130">
        <f ca="1" t="shared" si="1809"/>
        <v>1</v>
      </c>
      <c r="I1695" s="130">
        <f ca="1" t="shared" si="1810"/>
        <v>1</v>
      </c>
      <c r="J1695" s="130">
        <f ca="1" t="shared" si="1811"/>
        <v>1</v>
      </c>
      <c r="K1695" s="130">
        <f ca="1" t="shared" si="1812"/>
        <v>1</v>
      </c>
      <c r="L1695" s="130">
        <f ca="1" t="shared" si="1813"/>
        <v>1</v>
      </c>
      <c r="M1695" s="130">
        <f ca="1" t="shared" si="1814"/>
        <v>1</v>
      </c>
      <c r="N1695" s="130">
        <f ca="1" t="shared" si="1815"/>
        <v>1</v>
      </c>
      <c r="O1695" s="130">
        <f ca="1" t="shared" si="1816"/>
        <v>1</v>
      </c>
      <c r="P1695" s="130">
        <f ca="1" t="shared" si="1817"/>
        <v>1</v>
      </c>
      <c r="Q1695" s="130">
        <f ca="1" t="shared" si="1818"/>
        <v>1</v>
      </c>
      <c r="R1695" s="130">
        <f ca="1" t="shared" si="1819"/>
        <v>1</v>
      </c>
      <c r="S1695" s="130">
        <f ca="1" t="shared" si="1820"/>
        <v>1</v>
      </c>
      <c r="T1695" s="130">
        <f ca="1" t="shared" si="1821"/>
        <v>1</v>
      </c>
      <c r="U1695" s="130">
        <f ca="1" t="shared" si="1822"/>
        <v>1</v>
      </c>
      <c r="V1695" s="130">
        <f ca="1" t="shared" si="1823"/>
        <v>1</v>
      </c>
    </row>
    <row r="1696" ht="16.5" spans="2:22">
      <c r="B1696" s="117">
        <v>460</v>
      </c>
      <c r="C1696" s="130">
        <f t="shared" si="1804"/>
        <v>46000</v>
      </c>
      <c r="D1696" s="130">
        <f ca="1" t="shared" si="1805"/>
        <v>1</v>
      </c>
      <c r="E1696" s="130">
        <f ca="1" t="shared" si="1806"/>
        <v>1</v>
      </c>
      <c r="F1696" s="130">
        <f ca="1" t="shared" si="1807"/>
        <v>1</v>
      </c>
      <c r="G1696" s="130">
        <f ca="1" t="shared" si="1808"/>
        <v>1</v>
      </c>
      <c r="H1696" s="130">
        <f ca="1" t="shared" si="1809"/>
        <v>1</v>
      </c>
      <c r="I1696" s="130">
        <f ca="1" t="shared" si="1810"/>
        <v>1</v>
      </c>
      <c r="J1696" s="130">
        <f ca="1" t="shared" si="1811"/>
        <v>1</v>
      </c>
      <c r="K1696" s="130">
        <f ca="1" t="shared" si="1812"/>
        <v>1</v>
      </c>
      <c r="L1696" s="130">
        <f ca="1" t="shared" si="1813"/>
        <v>1</v>
      </c>
      <c r="M1696" s="130">
        <f ca="1" t="shared" si="1814"/>
        <v>1</v>
      </c>
      <c r="N1696" s="130">
        <f ca="1" t="shared" si="1815"/>
        <v>1</v>
      </c>
      <c r="O1696" s="130">
        <f ca="1" t="shared" si="1816"/>
        <v>1</v>
      </c>
      <c r="P1696" s="130">
        <f ca="1" t="shared" si="1817"/>
        <v>1</v>
      </c>
      <c r="Q1696" s="130">
        <f ca="1" t="shared" si="1818"/>
        <v>1</v>
      </c>
      <c r="R1696" s="130">
        <f ca="1" t="shared" si="1819"/>
        <v>1</v>
      </c>
      <c r="S1696" s="130">
        <f ca="1" t="shared" si="1820"/>
        <v>1</v>
      </c>
      <c r="T1696" s="130">
        <f ca="1" t="shared" si="1821"/>
        <v>1</v>
      </c>
      <c r="U1696" s="130">
        <f ca="1" t="shared" si="1822"/>
        <v>1</v>
      </c>
      <c r="V1696" s="130">
        <f ca="1" t="shared" si="1823"/>
        <v>1</v>
      </c>
    </row>
    <row r="1697" ht="16.5" spans="2:22">
      <c r="B1697" s="117">
        <v>461</v>
      </c>
      <c r="C1697" s="130">
        <f t="shared" si="1804"/>
        <v>46100</v>
      </c>
      <c r="D1697" s="130">
        <f ca="1" t="shared" si="1805"/>
        <v>1</v>
      </c>
      <c r="E1697" s="130">
        <f ca="1" t="shared" si="1806"/>
        <v>1</v>
      </c>
      <c r="F1697" s="130">
        <f ca="1" t="shared" si="1807"/>
        <v>1</v>
      </c>
      <c r="G1697" s="130">
        <f ca="1" t="shared" si="1808"/>
        <v>1</v>
      </c>
      <c r="H1697" s="130">
        <f ca="1" t="shared" si="1809"/>
        <v>1</v>
      </c>
      <c r="I1697" s="130">
        <f ca="1" t="shared" si="1810"/>
        <v>1</v>
      </c>
      <c r="J1697" s="130">
        <f ca="1" t="shared" si="1811"/>
        <v>1</v>
      </c>
      <c r="K1697" s="130">
        <f ca="1" t="shared" si="1812"/>
        <v>1</v>
      </c>
      <c r="L1697" s="130">
        <f ca="1" t="shared" si="1813"/>
        <v>1</v>
      </c>
      <c r="M1697" s="130">
        <f ca="1" t="shared" si="1814"/>
        <v>1</v>
      </c>
      <c r="N1697" s="130">
        <f ca="1" t="shared" si="1815"/>
        <v>1</v>
      </c>
      <c r="O1697" s="130">
        <f ca="1" t="shared" si="1816"/>
        <v>1</v>
      </c>
      <c r="P1697" s="130">
        <f ca="1" t="shared" si="1817"/>
        <v>1</v>
      </c>
      <c r="Q1697" s="130">
        <f ca="1" t="shared" si="1818"/>
        <v>1</v>
      </c>
      <c r="R1697" s="130">
        <f ca="1" t="shared" si="1819"/>
        <v>1</v>
      </c>
      <c r="S1697" s="130">
        <f ca="1" t="shared" si="1820"/>
        <v>1</v>
      </c>
      <c r="T1697" s="130">
        <f ca="1" t="shared" si="1821"/>
        <v>1</v>
      </c>
      <c r="U1697" s="130">
        <f ca="1" t="shared" si="1822"/>
        <v>1</v>
      </c>
      <c r="V1697" s="130">
        <f ca="1" t="shared" si="1823"/>
        <v>1</v>
      </c>
    </row>
    <row r="1698" ht="16.5" spans="2:22">
      <c r="B1698" s="117">
        <v>462</v>
      </c>
      <c r="C1698" s="130">
        <f t="shared" si="1804"/>
        <v>46200</v>
      </c>
      <c r="D1698" s="130">
        <f ca="1" t="shared" si="1805"/>
        <v>1</v>
      </c>
      <c r="E1698" s="130">
        <f ca="1" t="shared" si="1806"/>
        <v>1</v>
      </c>
      <c r="F1698" s="130">
        <f ca="1" t="shared" si="1807"/>
        <v>1</v>
      </c>
      <c r="G1698" s="130">
        <f ca="1" t="shared" si="1808"/>
        <v>1</v>
      </c>
      <c r="H1698" s="130">
        <f ca="1" t="shared" si="1809"/>
        <v>1</v>
      </c>
      <c r="I1698" s="130">
        <f ca="1" t="shared" si="1810"/>
        <v>1</v>
      </c>
      <c r="J1698" s="130">
        <f ca="1" t="shared" si="1811"/>
        <v>1</v>
      </c>
      <c r="K1698" s="130">
        <f ca="1" t="shared" si="1812"/>
        <v>1</v>
      </c>
      <c r="L1698" s="130">
        <f ca="1" t="shared" si="1813"/>
        <v>1</v>
      </c>
      <c r="M1698" s="130">
        <f ca="1" t="shared" si="1814"/>
        <v>1</v>
      </c>
      <c r="N1698" s="130">
        <f ca="1" t="shared" si="1815"/>
        <v>1</v>
      </c>
      <c r="O1698" s="130">
        <f ca="1" t="shared" si="1816"/>
        <v>1</v>
      </c>
      <c r="P1698" s="130">
        <f ca="1" t="shared" si="1817"/>
        <v>1</v>
      </c>
      <c r="Q1698" s="130">
        <f ca="1" t="shared" si="1818"/>
        <v>1</v>
      </c>
      <c r="R1698" s="130">
        <f ca="1" t="shared" si="1819"/>
        <v>1</v>
      </c>
      <c r="S1698" s="130">
        <f ca="1" t="shared" si="1820"/>
        <v>1</v>
      </c>
      <c r="T1698" s="130">
        <f ca="1" t="shared" si="1821"/>
        <v>1</v>
      </c>
      <c r="U1698" s="130">
        <f ca="1" t="shared" si="1822"/>
        <v>1</v>
      </c>
      <c r="V1698" s="130">
        <f ca="1" t="shared" si="1823"/>
        <v>1</v>
      </c>
    </row>
    <row r="1699" ht="16.5" spans="2:22">
      <c r="B1699" s="117">
        <v>463</v>
      </c>
      <c r="C1699" s="130">
        <f t="shared" si="1804"/>
        <v>46300</v>
      </c>
      <c r="D1699" s="130">
        <f ca="1" t="shared" si="1805"/>
        <v>1</v>
      </c>
      <c r="E1699" s="130">
        <f ca="1" t="shared" si="1806"/>
        <v>1</v>
      </c>
      <c r="F1699" s="130">
        <f ca="1" t="shared" si="1807"/>
        <v>1</v>
      </c>
      <c r="G1699" s="130">
        <f ca="1" t="shared" si="1808"/>
        <v>1</v>
      </c>
      <c r="H1699" s="130">
        <f ca="1" t="shared" si="1809"/>
        <v>1</v>
      </c>
      <c r="I1699" s="130">
        <f ca="1" t="shared" si="1810"/>
        <v>1</v>
      </c>
      <c r="J1699" s="130">
        <f ca="1" t="shared" si="1811"/>
        <v>1</v>
      </c>
      <c r="K1699" s="130">
        <f ca="1" t="shared" si="1812"/>
        <v>1</v>
      </c>
      <c r="L1699" s="130">
        <f ca="1" t="shared" si="1813"/>
        <v>1</v>
      </c>
      <c r="M1699" s="130">
        <f ca="1" t="shared" si="1814"/>
        <v>1</v>
      </c>
      <c r="N1699" s="130">
        <f ca="1" t="shared" si="1815"/>
        <v>1</v>
      </c>
      <c r="O1699" s="130">
        <f ca="1" t="shared" si="1816"/>
        <v>1</v>
      </c>
      <c r="P1699" s="130">
        <f ca="1" t="shared" si="1817"/>
        <v>1</v>
      </c>
      <c r="Q1699" s="130">
        <f ca="1" t="shared" si="1818"/>
        <v>1</v>
      </c>
      <c r="R1699" s="130">
        <f ca="1" t="shared" si="1819"/>
        <v>1</v>
      </c>
      <c r="S1699" s="130">
        <f ca="1" t="shared" si="1820"/>
        <v>1</v>
      </c>
      <c r="T1699" s="130">
        <f ca="1" t="shared" si="1821"/>
        <v>1</v>
      </c>
      <c r="U1699" s="130">
        <f ca="1" t="shared" si="1822"/>
        <v>1</v>
      </c>
      <c r="V1699" s="130">
        <f ca="1" t="shared" si="1823"/>
        <v>1</v>
      </c>
    </row>
    <row r="1700" ht="16.5" spans="2:22">
      <c r="B1700" s="117">
        <v>464</v>
      </c>
      <c r="C1700" s="130">
        <f t="shared" si="1804"/>
        <v>46400</v>
      </c>
      <c r="D1700" s="130">
        <f ca="1" t="shared" si="1805"/>
        <v>1</v>
      </c>
      <c r="E1700" s="130">
        <f ca="1" t="shared" si="1806"/>
        <v>1</v>
      </c>
      <c r="F1700" s="130">
        <f ca="1" t="shared" si="1807"/>
        <v>1</v>
      </c>
      <c r="G1700" s="130">
        <f ca="1" t="shared" si="1808"/>
        <v>1</v>
      </c>
      <c r="H1700" s="130">
        <f ca="1" t="shared" si="1809"/>
        <v>1</v>
      </c>
      <c r="I1700" s="130">
        <f ca="1" t="shared" si="1810"/>
        <v>1</v>
      </c>
      <c r="J1700" s="130">
        <f ca="1" t="shared" si="1811"/>
        <v>1</v>
      </c>
      <c r="K1700" s="130">
        <f ca="1" t="shared" si="1812"/>
        <v>1</v>
      </c>
      <c r="L1700" s="130">
        <f ca="1" t="shared" si="1813"/>
        <v>1</v>
      </c>
      <c r="M1700" s="130">
        <f ca="1" t="shared" si="1814"/>
        <v>1</v>
      </c>
      <c r="N1700" s="130">
        <f ca="1" t="shared" si="1815"/>
        <v>1</v>
      </c>
      <c r="O1700" s="130">
        <f ca="1" t="shared" si="1816"/>
        <v>1</v>
      </c>
      <c r="P1700" s="130">
        <f ca="1" t="shared" si="1817"/>
        <v>1</v>
      </c>
      <c r="Q1700" s="130">
        <f ca="1" t="shared" si="1818"/>
        <v>1</v>
      </c>
      <c r="R1700" s="130">
        <f ca="1" t="shared" si="1819"/>
        <v>1</v>
      </c>
      <c r="S1700" s="130">
        <f ca="1" t="shared" si="1820"/>
        <v>1</v>
      </c>
      <c r="T1700" s="130">
        <f ca="1" t="shared" si="1821"/>
        <v>1</v>
      </c>
      <c r="U1700" s="130">
        <f ca="1" t="shared" si="1822"/>
        <v>1</v>
      </c>
      <c r="V1700" s="130">
        <f ca="1" t="shared" si="1823"/>
        <v>1</v>
      </c>
    </row>
    <row r="1701" ht="16.5" spans="2:22">
      <c r="B1701" s="117">
        <v>465</v>
      </c>
      <c r="C1701" s="130">
        <f t="shared" si="1804"/>
        <v>46500</v>
      </c>
      <c r="D1701" s="130">
        <f ca="1" t="shared" si="1805"/>
        <v>1</v>
      </c>
      <c r="E1701" s="130">
        <f ca="1" t="shared" si="1806"/>
        <v>1</v>
      </c>
      <c r="F1701" s="130">
        <f ca="1" t="shared" si="1807"/>
        <v>1</v>
      </c>
      <c r="G1701" s="130">
        <f ca="1" t="shared" si="1808"/>
        <v>1</v>
      </c>
      <c r="H1701" s="130">
        <f ca="1" t="shared" si="1809"/>
        <v>1</v>
      </c>
      <c r="I1701" s="130">
        <f ca="1" t="shared" si="1810"/>
        <v>1</v>
      </c>
      <c r="J1701" s="130">
        <f ca="1" t="shared" si="1811"/>
        <v>1</v>
      </c>
      <c r="K1701" s="130">
        <f ca="1" t="shared" si="1812"/>
        <v>1</v>
      </c>
      <c r="L1701" s="130">
        <f ca="1" t="shared" si="1813"/>
        <v>1</v>
      </c>
      <c r="M1701" s="130">
        <f ca="1" t="shared" si="1814"/>
        <v>1</v>
      </c>
      <c r="N1701" s="130">
        <f ca="1" t="shared" si="1815"/>
        <v>1</v>
      </c>
      <c r="O1701" s="130">
        <f ca="1" t="shared" si="1816"/>
        <v>1</v>
      </c>
      <c r="P1701" s="130">
        <f ca="1" t="shared" si="1817"/>
        <v>1</v>
      </c>
      <c r="Q1701" s="130">
        <f ca="1" t="shared" si="1818"/>
        <v>1</v>
      </c>
      <c r="R1701" s="130">
        <f ca="1" t="shared" si="1819"/>
        <v>1</v>
      </c>
      <c r="S1701" s="130">
        <f ca="1" t="shared" si="1820"/>
        <v>1</v>
      </c>
      <c r="T1701" s="130">
        <f ca="1" t="shared" si="1821"/>
        <v>1</v>
      </c>
      <c r="U1701" s="130">
        <f ca="1" t="shared" si="1822"/>
        <v>1</v>
      </c>
      <c r="V1701" s="130">
        <f ca="1" t="shared" si="1823"/>
        <v>1</v>
      </c>
    </row>
    <row r="1702" ht="16.5" spans="2:22">
      <c r="B1702" s="117">
        <v>466</v>
      </c>
      <c r="C1702" s="130">
        <f t="shared" si="1804"/>
        <v>46600</v>
      </c>
      <c r="D1702" s="130">
        <f ca="1" t="shared" si="1805"/>
        <v>1</v>
      </c>
      <c r="E1702" s="130">
        <f ca="1" t="shared" si="1806"/>
        <v>1</v>
      </c>
      <c r="F1702" s="130">
        <f ca="1" t="shared" si="1807"/>
        <v>1</v>
      </c>
      <c r="G1702" s="130">
        <f ca="1" t="shared" si="1808"/>
        <v>1</v>
      </c>
      <c r="H1702" s="130">
        <f ca="1" t="shared" si="1809"/>
        <v>1</v>
      </c>
      <c r="I1702" s="130">
        <f ca="1" t="shared" si="1810"/>
        <v>1</v>
      </c>
      <c r="J1702" s="130">
        <f ca="1" t="shared" si="1811"/>
        <v>1</v>
      </c>
      <c r="K1702" s="130">
        <f ca="1" t="shared" si="1812"/>
        <v>1</v>
      </c>
      <c r="L1702" s="130">
        <f ca="1" t="shared" si="1813"/>
        <v>1</v>
      </c>
      <c r="M1702" s="130">
        <f ca="1" t="shared" si="1814"/>
        <v>1</v>
      </c>
      <c r="N1702" s="130">
        <f ca="1" t="shared" si="1815"/>
        <v>1</v>
      </c>
      <c r="O1702" s="130">
        <f ca="1" t="shared" si="1816"/>
        <v>1</v>
      </c>
      <c r="P1702" s="130">
        <f ca="1" t="shared" si="1817"/>
        <v>1</v>
      </c>
      <c r="Q1702" s="130">
        <f ca="1" t="shared" si="1818"/>
        <v>1</v>
      </c>
      <c r="R1702" s="130">
        <f ca="1" t="shared" si="1819"/>
        <v>1</v>
      </c>
      <c r="S1702" s="130">
        <f ca="1" t="shared" si="1820"/>
        <v>1</v>
      </c>
      <c r="T1702" s="130">
        <f ca="1" t="shared" si="1821"/>
        <v>1</v>
      </c>
      <c r="U1702" s="130">
        <f ca="1" t="shared" si="1822"/>
        <v>1</v>
      </c>
      <c r="V1702" s="130">
        <f ca="1" t="shared" si="1823"/>
        <v>1</v>
      </c>
    </row>
    <row r="1703" ht="16.5" spans="2:22">
      <c r="B1703" s="117">
        <v>467</v>
      </c>
      <c r="C1703" s="130">
        <f t="shared" si="1804"/>
        <v>46700</v>
      </c>
      <c r="D1703" s="130">
        <f ca="1" t="shared" si="1805"/>
        <v>1</v>
      </c>
      <c r="E1703" s="130">
        <f ca="1" t="shared" si="1806"/>
        <v>1</v>
      </c>
      <c r="F1703" s="130">
        <f ca="1" t="shared" si="1807"/>
        <v>1</v>
      </c>
      <c r="G1703" s="130">
        <f ca="1" t="shared" si="1808"/>
        <v>1</v>
      </c>
      <c r="H1703" s="130">
        <f ca="1" t="shared" si="1809"/>
        <v>1</v>
      </c>
      <c r="I1703" s="130">
        <f ca="1" t="shared" si="1810"/>
        <v>1</v>
      </c>
      <c r="J1703" s="130">
        <f ca="1" t="shared" si="1811"/>
        <v>1</v>
      </c>
      <c r="K1703" s="130">
        <f ca="1" t="shared" si="1812"/>
        <v>1</v>
      </c>
      <c r="L1703" s="130">
        <f ca="1" t="shared" si="1813"/>
        <v>1</v>
      </c>
      <c r="M1703" s="130">
        <f ca="1" t="shared" si="1814"/>
        <v>1</v>
      </c>
      <c r="N1703" s="130">
        <f ca="1" t="shared" si="1815"/>
        <v>1</v>
      </c>
      <c r="O1703" s="130">
        <f ca="1" t="shared" si="1816"/>
        <v>1</v>
      </c>
      <c r="P1703" s="130">
        <f ca="1" t="shared" si="1817"/>
        <v>1</v>
      </c>
      <c r="Q1703" s="130">
        <f ca="1" t="shared" si="1818"/>
        <v>1</v>
      </c>
      <c r="R1703" s="130">
        <f ca="1" t="shared" si="1819"/>
        <v>1</v>
      </c>
      <c r="S1703" s="130">
        <f ca="1" t="shared" si="1820"/>
        <v>1</v>
      </c>
      <c r="T1703" s="130">
        <f ca="1" t="shared" si="1821"/>
        <v>1</v>
      </c>
      <c r="U1703" s="130">
        <f ca="1" t="shared" si="1822"/>
        <v>1</v>
      </c>
      <c r="V1703" s="130">
        <f ca="1" t="shared" si="1823"/>
        <v>1</v>
      </c>
    </row>
    <row r="1704" ht="16.5" spans="2:22">
      <c r="B1704" s="117">
        <v>468</v>
      </c>
      <c r="C1704" s="130">
        <f t="shared" si="1804"/>
        <v>46800</v>
      </c>
      <c r="D1704" s="130">
        <f ca="1" t="shared" si="1805"/>
        <v>1</v>
      </c>
      <c r="E1704" s="130">
        <f ca="1" t="shared" si="1806"/>
        <v>1</v>
      </c>
      <c r="F1704" s="130">
        <f ca="1" t="shared" si="1807"/>
        <v>1</v>
      </c>
      <c r="G1704" s="130">
        <f ca="1" t="shared" si="1808"/>
        <v>1</v>
      </c>
      <c r="H1704" s="130">
        <f ca="1" t="shared" si="1809"/>
        <v>1</v>
      </c>
      <c r="I1704" s="130">
        <f ca="1" t="shared" si="1810"/>
        <v>1</v>
      </c>
      <c r="J1704" s="130">
        <f ca="1" t="shared" si="1811"/>
        <v>1</v>
      </c>
      <c r="K1704" s="130">
        <f ca="1" t="shared" si="1812"/>
        <v>1</v>
      </c>
      <c r="L1704" s="130">
        <f ca="1" t="shared" si="1813"/>
        <v>1</v>
      </c>
      <c r="M1704" s="130">
        <f ca="1" t="shared" si="1814"/>
        <v>1</v>
      </c>
      <c r="N1704" s="130">
        <f ca="1" t="shared" si="1815"/>
        <v>1</v>
      </c>
      <c r="O1704" s="130">
        <f ca="1" t="shared" si="1816"/>
        <v>1</v>
      </c>
      <c r="P1704" s="130">
        <f ca="1" t="shared" si="1817"/>
        <v>1</v>
      </c>
      <c r="Q1704" s="130">
        <f ca="1" t="shared" si="1818"/>
        <v>1</v>
      </c>
      <c r="R1704" s="130">
        <f ca="1" t="shared" si="1819"/>
        <v>1</v>
      </c>
      <c r="S1704" s="130">
        <f ca="1" t="shared" si="1820"/>
        <v>1</v>
      </c>
      <c r="T1704" s="130">
        <f ca="1" t="shared" si="1821"/>
        <v>1</v>
      </c>
      <c r="U1704" s="130">
        <f ca="1" t="shared" si="1822"/>
        <v>1</v>
      </c>
      <c r="V1704" s="130">
        <f ca="1" t="shared" si="1823"/>
        <v>1</v>
      </c>
    </row>
    <row r="1705" ht="16.5" spans="2:22">
      <c r="B1705" s="117">
        <v>469</v>
      </c>
      <c r="C1705" s="130">
        <f t="shared" si="1804"/>
        <v>46900</v>
      </c>
      <c r="D1705" s="130">
        <f ca="1" t="shared" si="1805"/>
        <v>1</v>
      </c>
      <c r="E1705" s="130">
        <f ca="1" t="shared" si="1806"/>
        <v>1</v>
      </c>
      <c r="F1705" s="130">
        <f ca="1" t="shared" si="1807"/>
        <v>1</v>
      </c>
      <c r="G1705" s="130">
        <f ca="1" t="shared" si="1808"/>
        <v>1</v>
      </c>
      <c r="H1705" s="130">
        <f ca="1" t="shared" si="1809"/>
        <v>1</v>
      </c>
      <c r="I1705" s="130">
        <f ca="1" t="shared" si="1810"/>
        <v>1</v>
      </c>
      <c r="J1705" s="130">
        <f ca="1" t="shared" si="1811"/>
        <v>1</v>
      </c>
      <c r="K1705" s="130">
        <f ca="1" t="shared" si="1812"/>
        <v>1</v>
      </c>
      <c r="L1705" s="130">
        <f ca="1" t="shared" si="1813"/>
        <v>1</v>
      </c>
      <c r="M1705" s="130">
        <f ca="1" t="shared" si="1814"/>
        <v>1</v>
      </c>
      <c r="N1705" s="130">
        <f ca="1" t="shared" si="1815"/>
        <v>1</v>
      </c>
      <c r="O1705" s="130">
        <f ca="1" t="shared" si="1816"/>
        <v>1</v>
      </c>
      <c r="P1705" s="130">
        <f ca="1" t="shared" si="1817"/>
        <v>1</v>
      </c>
      <c r="Q1705" s="130">
        <f ca="1" t="shared" si="1818"/>
        <v>1</v>
      </c>
      <c r="R1705" s="130">
        <f ca="1" t="shared" si="1819"/>
        <v>1</v>
      </c>
      <c r="S1705" s="130">
        <f ca="1" t="shared" si="1820"/>
        <v>1</v>
      </c>
      <c r="T1705" s="130">
        <f ca="1" t="shared" si="1821"/>
        <v>1</v>
      </c>
      <c r="U1705" s="130">
        <f ca="1" t="shared" si="1822"/>
        <v>1</v>
      </c>
      <c r="V1705" s="130">
        <f ca="1" t="shared" si="1823"/>
        <v>1</v>
      </c>
    </row>
    <row r="1706" ht="16.5" spans="2:22">
      <c r="B1706" s="117">
        <v>470</v>
      </c>
      <c r="C1706" s="130">
        <f t="shared" si="1804"/>
        <v>47000</v>
      </c>
      <c r="D1706" s="130">
        <f ca="1" t="shared" si="1805"/>
        <v>1</v>
      </c>
      <c r="E1706" s="130">
        <f ca="1" t="shared" si="1806"/>
        <v>1</v>
      </c>
      <c r="F1706" s="130">
        <f ca="1" t="shared" si="1807"/>
        <v>1</v>
      </c>
      <c r="G1706" s="130">
        <f ca="1" t="shared" si="1808"/>
        <v>1</v>
      </c>
      <c r="H1706" s="130">
        <f ca="1" t="shared" si="1809"/>
        <v>1</v>
      </c>
      <c r="I1706" s="130">
        <f ca="1" t="shared" si="1810"/>
        <v>1</v>
      </c>
      <c r="J1706" s="130">
        <f ca="1" t="shared" si="1811"/>
        <v>1</v>
      </c>
      <c r="K1706" s="130">
        <f ca="1" t="shared" si="1812"/>
        <v>1</v>
      </c>
      <c r="L1706" s="130">
        <f ca="1" t="shared" si="1813"/>
        <v>1</v>
      </c>
      <c r="M1706" s="130">
        <f ca="1" t="shared" si="1814"/>
        <v>1</v>
      </c>
      <c r="N1706" s="130">
        <f ca="1" t="shared" si="1815"/>
        <v>1</v>
      </c>
      <c r="O1706" s="130">
        <f ca="1" t="shared" si="1816"/>
        <v>1</v>
      </c>
      <c r="P1706" s="130">
        <f ca="1" t="shared" si="1817"/>
        <v>1</v>
      </c>
      <c r="Q1706" s="130">
        <f ca="1" t="shared" si="1818"/>
        <v>1</v>
      </c>
      <c r="R1706" s="130">
        <f ca="1" t="shared" si="1819"/>
        <v>1</v>
      </c>
      <c r="S1706" s="130">
        <f ca="1" t="shared" si="1820"/>
        <v>1</v>
      </c>
      <c r="T1706" s="130">
        <f ca="1" t="shared" si="1821"/>
        <v>1</v>
      </c>
      <c r="U1706" s="130">
        <f ca="1" t="shared" si="1822"/>
        <v>1</v>
      </c>
      <c r="V1706" s="130">
        <f ca="1" t="shared" si="1823"/>
        <v>1</v>
      </c>
    </row>
    <row r="1707" ht="16.5" spans="2:22">
      <c r="B1707" s="117">
        <v>471</v>
      </c>
      <c r="C1707" s="130">
        <f t="shared" si="1804"/>
        <v>47100</v>
      </c>
      <c r="D1707" s="130">
        <f ca="1" t="shared" si="1805"/>
        <v>1</v>
      </c>
      <c r="E1707" s="130">
        <f ca="1" t="shared" si="1806"/>
        <v>1</v>
      </c>
      <c r="F1707" s="130">
        <f ca="1" t="shared" si="1807"/>
        <v>1</v>
      </c>
      <c r="G1707" s="130">
        <f ca="1" t="shared" si="1808"/>
        <v>1</v>
      </c>
      <c r="H1707" s="130">
        <f ca="1" t="shared" si="1809"/>
        <v>1</v>
      </c>
      <c r="I1707" s="130">
        <f ca="1" t="shared" si="1810"/>
        <v>1</v>
      </c>
      <c r="J1707" s="130">
        <f ca="1" t="shared" si="1811"/>
        <v>1</v>
      </c>
      <c r="K1707" s="130">
        <f ca="1" t="shared" si="1812"/>
        <v>1</v>
      </c>
      <c r="L1707" s="130">
        <f ca="1" t="shared" si="1813"/>
        <v>1</v>
      </c>
      <c r="M1707" s="130">
        <f ca="1" t="shared" si="1814"/>
        <v>1</v>
      </c>
      <c r="N1707" s="130">
        <f ca="1" t="shared" si="1815"/>
        <v>1</v>
      </c>
      <c r="O1707" s="130">
        <f ca="1" t="shared" si="1816"/>
        <v>1</v>
      </c>
      <c r="P1707" s="130">
        <f ca="1" t="shared" si="1817"/>
        <v>1</v>
      </c>
      <c r="Q1707" s="130">
        <f ca="1" t="shared" si="1818"/>
        <v>1</v>
      </c>
      <c r="R1707" s="130">
        <f ca="1" t="shared" si="1819"/>
        <v>1</v>
      </c>
      <c r="S1707" s="130">
        <f ca="1" t="shared" si="1820"/>
        <v>1</v>
      </c>
      <c r="T1707" s="130">
        <f ca="1" t="shared" si="1821"/>
        <v>1</v>
      </c>
      <c r="U1707" s="130">
        <f ca="1" t="shared" si="1822"/>
        <v>1</v>
      </c>
      <c r="V1707" s="130">
        <f ca="1" t="shared" si="1823"/>
        <v>1</v>
      </c>
    </row>
    <row r="1708" ht="16.5" spans="2:22">
      <c r="B1708" s="117">
        <v>472</v>
      </c>
      <c r="C1708" s="130">
        <f t="shared" si="1804"/>
        <v>47200</v>
      </c>
      <c r="D1708" s="130">
        <f ca="1" t="shared" si="1805"/>
        <v>1</v>
      </c>
      <c r="E1708" s="130">
        <f ca="1" t="shared" si="1806"/>
        <v>1</v>
      </c>
      <c r="F1708" s="130">
        <f ca="1" t="shared" si="1807"/>
        <v>1</v>
      </c>
      <c r="G1708" s="130">
        <f ca="1" t="shared" si="1808"/>
        <v>1</v>
      </c>
      <c r="H1708" s="130">
        <f ca="1" t="shared" si="1809"/>
        <v>1</v>
      </c>
      <c r="I1708" s="130">
        <f ca="1" t="shared" si="1810"/>
        <v>1</v>
      </c>
      <c r="J1708" s="130">
        <f ca="1" t="shared" si="1811"/>
        <v>1</v>
      </c>
      <c r="K1708" s="130">
        <f ca="1" t="shared" si="1812"/>
        <v>1</v>
      </c>
      <c r="L1708" s="130">
        <f ca="1" t="shared" si="1813"/>
        <v>1</v>
      </c>
      <c r="M1708" s="130">
        <f ca="1" t="shared" si="1814"/>
        <v>1</v>
      </c>
      <c r="N1708" s="130">
        <f ca="1" t="shared" si="1815"/>
        <v>1</v>
      </c>
      <c r="O1708" s="130">
        <f ca="1" t="shared" si="1816"/>
        <v>1</v>
      </c>
      <c r="P1708" s="130">
        <f ca="1" t="shared" si="1817"/>
        <v>1</v>
      </c>
      <c r="Q1708" s="130">
        <f ca="1" t="shared" si="1818"/>
        <v>1</v>
      </c>
      <c r="R1708" s="130">
        <f ca="1" t="shared" si="1819"/>
        <v>1</v>
      </c>
      <c r="S1708" s="130">
        <f ca="1" t="shared" si="1820"/>
        <v>1</v>
      </c>
      <c r="T1708" s="130">
        <f ca="1" t="shared" si="1821"/>
        <v>1</v>
      </c>
      <c r="U1708" s="130">
        <f ca="1" t="shared" si="1822"/>
        <v>1</v>
      </c>
      <c r="V1708" s="130">
        <f ca="1" t="shared" si="1823"/>
        <v>1</v>
      </c>
    </row>
    <row r="1709" ht="16.5" spans="2:22">
      <c r="B1709" s="117">
        <v>473</v>
      </c>
      <c r="C1709" s="130">
        <f t="shared" si="1804"/>
        <v>47300</v>
      </c>
      <c r="D1709" s="130">
        <f ca="1" t="shared" si="1805"/>
        <v>1</v>
      </c>
      <c r="E1709" s="130">
        <f ca="1" t="shared" si="1806"/>
        <v>1</v>
      </c>
      <c r="F1709" s="130">
        <f ca="1" t="shared" si="1807"/>
        <v>1</v>
      </c>
      <c r="G1709" s="130">
        <f ca="1" t="shared" si="1808"/>
        <v>1</v>
      </c>
      <c r="H1709" s="130">
        <f ca="1" t="shared" si="1809"/>
        <v>1</v>
      </c>
      <c r="I1709" s="130">
        <f ca="1" t="shared" si="1810"/>
        <v>1</v>
      </c>
      <c r="J1709" s="130">
        <f ca="1" t="shared" si="1811"/>
        <v>1</v>
      </c>
      <c r="K1709" s="130">
        <f ca="1" t="shared" si="1812"/>
        <v>1</v>
      </c>
      <c r="L1709" s="130">
        <f ca="1" t="shared" si="1813"/>
        <v>1</v>
      </c>
      <c r="M1709" s="130">
        <f ca="1" t="shared" si="1814"/>
        <v>1</v>
      </c>
      <c r="N1709" s="130">
        <f ca="1" t="shared" si="1815"/>
        <v>1</v>
      </c>
      <c r="O1709" s="130">
        <f ca="1" t="shared" si="1816"/>
        <v>1</v>
      </c>
      <c r="P1709" s="130">
        <f ca="1" t="shared" si="1817"/>
        <v>1</v>
      </c>
      <c r="Q1709" s="130">
        <f ca="1" t="shared" si="1818"/>
        <v>1</v>
      </c>
      <c r="R1709" s="130">
        <f ca="1" t="shared" si="1819"/>
        <v>1</v>
      </c>
      <c r="S1709" s="130">
        <f ca="1" t="shared" si="1820"/>
        <v>1</v>
      </c>
      <c r="T1709" s="130">
        <f ca="1" t="shared" si="1821"/>
        <v>1</v>
      </c>
      <c r="U1709" s="130">
        <f ca="1" t="shared" si="1822"/>
        <v>1</v>
      </c>
      <c r="V1709" s="130">
        <f ca="1" t="shared" si="1823"/>
        <v>1</v>
      </c>
    </row>
    <row r="1710" ht="16.5" spans="2:22">
      <c r="B1710" s="117">
        <v>474</v>
      </c>
      <c r="C1710" s="130">
        <f t="shared" si="1804"/>
        <v>47400</v>
      </c>
      <c r="D1710" s="130">
        <f ca="1" t="shared" si="1805"/>
        <v>1</v>
      </c>
      <c r="E1710" s="130">
        <f ca="1" t="shared" si="1806"/>
        <v>1</v>
      </c>
      <c r="F1710" s="130">
        <f ca="1" t="shared" si="1807"/>
        <v>1</v>
      </c>
      <c r="G1710" s="130">
        <f ca="1" t="shared" si="1808"/>
        <v>1</v>
      </c>
      <c r="H1710" s="130">
        <f ca="1" t="shared" si="1809"/>
        <v>1</v>
      </c>
      <c r="I1710" s="130">
        <f ca="1" t="shared" si="1810"/>
        <v>1</v>
      </c>
      <c r="J1710" s="130">
        <f ca="1" t="shared" si="1811"/>
        <v>1</v>
      </c>
      <c r="K1710" s="130">
        <f ca="1" t="shared" si="1812"/>
        <v>1</v>
      </c>
      <c r="L1710" s="130">
        <f ca="1" t="shared" si="1813"/>
        <v>1</v>
      </c>
      <c r="M1710" s="130">
        <f ca="1" t="shared" si="1814"/>
        <v>1</v>
      </c>
      <c r="N1710" s="130">
        <f ca="1" t="shared" si="1815"/>
        <v>1</v>
      </c>
      <c r="O1710" s="130">
        <f ca="1" t="shared" si="1816"/>
        <v>1</v>
      </c>
      <c r="P1710" s="130">
        <f ca="1" t="shared" si="1817"/>
        <v>1</v>
      </c>
      <c r="Q1710" s="130">
        <f ca="1" t="shared" si="1818"/>
        <v>1</v>
      </c>
      <c r="R1710" s="130">
        <f ca="1" t="shared" si="1819"/>
        <v>1</v>
      </c>
      <c r="S1710" s="130">
        <f ca="1" t="shared" si="1820"/>
        <v>1</v>
      </c>
      <c r="T1710" s="130">
        <f ca="1" t="shared" si="1821"/>
        <v>1</v>
      </c>
      <c r="U1710" s="130">
        <f ca="1" t="shared" si="1822"/>
        <v>1</v>
      </c>
      <c r="V1710" s="130">
        <f ca="1" t="shared" si="1823"/>
        <v>1</v>
      </c>
    </row>
    <row r="1711" ht="16.5" spans="2:22">
      <c r="B1711" s="117">
        <v>475</v>
      </c>
      <c r="C1711" s="130">
        <f t="shared" si="1804"/>
        <v>47500</v>
      </c>
      <c r="D1711" s="130">
        <f ca="1" t="shared" si="1805"/>
        <v>1</v>
      </c>
      <c r="E1711" s="130">
        <f ca="1" t="shared" si="1806"/>
        <v>1</v>
      </c>
      <c r="F1711" s="130">
        <f ca="1" t="shared" si="1807"/>
        <v>1</v>
      </c>
      <c r="G1711" s="130">
        <f ca="1" t="shared" si="1808"/>
        <v>1</v>
      </c>
      <c r="H1711" s="130">
        <f ca="1" t="shared" si="1809"/>
        <v>1</v>
      </c>
      <c r="I1711" s="130">
        <f ca="1" t="shared" si="1810"/>
        <v>1</v>
      </c>
      <c r="J1711" s="130">
        <f ca="1" t="shared" si="1811"/>
        <v>1</v>
      </c>
      <c r="K1711" s="130">
        <f ca="1" t="shared" si="1812"/>
        <v>1</v>
      </c>
      <c r="L1711" s="130">
        <f ca="1" t="shared" si="1813"/>
        <v>1</v>
      </c>
      <c r="M1711" s="130">
        <f ca="1" t="shared" si="1814"/>
        <v>1</v>
      </c>
      <c r="N1711" s="130">
        <f ca="1" t="shared" si="1815"/>
        <v>1</v>
      </c>
      <c r="O1711" s="130">
        <f ca="1" t="shared" si="1816"/>
        <v>1</v>
      </c>
      <c r="P1711" s="130">
        <f ca="1" t="shared" si="1817"/>
        <v>1</v>
      </c>
      <c r="Q1711" s="130">
        <f ca="1" t="shared" si="1818"/>
        <v>1</v>
      </c>
      <c r="R1711" s="130">
        <f ca="1" t="shared" si="1819"/>
        <v>1</v>
      </c>
      <c r="S1711" s="130">
        <f ca="1" t="shared" si="1820"/>
        <v>1</v>
      </c>
      <c r="T1711" s="130">
        <f ca="1" t="shared" si="1821"/>
        <v>1</v>
      </c>
      <c r="U1711" s="130">
        <f ca="1" t="shared" si="1822"/>
        <v>1</v>
      </c>
      <c r="V1711" s="130">
        <f ca="1" t="shared" si="1823"/>
        <v>1</v>
      </c>
    </row>
    <row r="1712" ht="16.5" spans="2:22">
      <c r="B1712" s="117">
        <v>476</v>
      </c>
      <c r="C1712" s="130">
        <f t="shared" si="1804"/>
        <v>47600</v>
      </c>
      <c r="D1712" s="130">
        <f ca="1" t="shared" si="1805"/>
        <v>1</v>
      </c>
      <c r="E1712" s="130">
        <f ca="1" t="shared" si="1806"/>
        <v>1</v>
      </c>
      <c r="F1712" s="130">
        <f ca="1" t="shared" si="1807"/>
        <v>1</v>
      </c>
      <c r="G1712" s="130">
        <f ca="1" t="shared" si="1808"/>
        <v>1</v>
      </c>
      <c r="H1712" s="130">
        <f ca="1" t="shared" si="1809"/>
        <v>1</v>
      </c>
      <c r="I1712" s="130">
        <f ca="1" t="shared" si="1810"/>
        <v>1</v>
      </c>
      <c r="J1712" s="130">
        <f ca="1" t="shared" si="1811"/>
        <v>1</v>
      </c>
      <c r="K1712" s="130">
        <f ca="1" t="shared" si="1812"/>
        <v>1</v>
      </c>
      <c r="L1712" s="130">
        <f ca="1" t="shared" si="1813"/>
        <v>1</v>
      </c>
      <c r="M1712" s="130">
        <f ca="1" t="shared" si="1814"/>
        <v>1</v>
      </c>
      <c r="N1712" s="130">
        <f ca="1" t="shared" si="1815"/>
        <v>1</v>
      </c>
      <c r="O1712" s="130">
        <f ca="1" t="shared" si="1816"/>
        <v>1</v>
      </c>
      <c r="P1712" s="130">
        <f ca="1" t="shared" si="1817"/>
        <v>1</v>
      </c>
      <c r="Q1712" s="130">
        <f ca="1" t="shared" si="1818"/>
        <v>1</v>
      </c>
      <c r="R1712" s="130">
        <f ca="1" t="shared" si="1819"/>
        <v>1</v>
      </c>
      <c r="S1712" s="130">
        <f ca="1" t="shared" si="1820"/>
        <v>1</v>
      </c>
      <c r="T1712" s="130">
        <f ca="1" t="shared" si="1821"/>
        <v>1</v>
      </c>
      <c r="U1712" s="130">
        <f ca="1" t="shared" si="1822"/>
        <v>1</v>
      </c>
      <c r="V1712" s="130">
        <f ca="1" t="shared" si="1823"/>
        <v>1</v>
      </c>
    </row>
    <row r="1713" ht="16.5" spans="2:22">
      <c r="B1713" s="117">
        <v>477</v>
      </c>
      <c r="C1713" s="130">
        <f t="shared" si="1804"/>
        <v>47700</v>
      </c>
      <c r="D1713" s="130">
        <f ca="1" t="shared" si="1805"/>
        <v>1</v>
      </c>
      <c r="E1713" s="130">
        <f ca="1" t="shared" si="1806"/>
        <v>1</v>
      </c>
      <c r="F1713" s="130">
        <f ca="1" t="shared" si="1807"/>
        <v>1</v>
      </c>
      <c r="G1713" s="130">
        <f ca="1" t="shared" si="1808"/>
        <v>1</v>
      </c>
      <c r="H1713" s="130">
        <f ca="1" t="shared" si="1809"/>
        <v>1</v>
      </c>
      <c r="I1713" s="130">
        <f ca="1" t="shared" si="1810"/>
        <v>1</v>
      </c>
      <c r="J1713" s="130">
        <f ca="1" t="shared" si="1811"/>
        <v>1</v>
      </c>
      <c r="K1713" s="130">
        <f ca="1" t="shared" si="1812"/>
        <v>1</v>
      </c>
      <c r="L1713" s="130">
        <f ca="1" t="shared" si="1813"/>
        <v>1</v>
      </c>
      <c r="M1713" s="130">
        <f ca="1" t="shared" si="1814"/>
        <v>1</v>
      </c>
      <c r="N1713" s="130">
        <f ca="1" t="shared" si="1815"/>
        <v>1</v>
      </c>
      <c r="O1713" s="130">
        <f ca="1" t="shared" si="1816"/>
        <v>1</v>
      </c>
      <c r="P1713" s="130">
        <f ca="1" t="shared" si="1817"/>
        <v>1</v>
      </c>
      <c r="Q1713" s="130">
        <f ca="1" t="shared" si="1818"/>
        <v>1</v>
      </c>
      <c r="R1713" s="130">
        <f ca="1" t="shared" si="1819"/>
        <v>1</v>
      </c>
      <c r="S1713" s="130">
        <f ca="1" t="shared" si="1820"/>
        <v>1</v>
      </c>
      <c r="T1713" s="130">
        <f ca="1" t="shared" si="1821"/>
        <v>1</v>
      </c>
      <c r="U1713" s="130">
        <f ca="1" t="shared" si="1822"/>
        <v>1</v>
      </c>
      <c r="V1713" s="130">
        <f ca="1" t="shared" si="1823"/>
        <v>1</v>
      </c>
    </row>
    <row r="1714" ht="16.5" spans="2:22">
      <c r="B1714" s="117">
        <v>478</v>
      </c>
      <c r="C1714" s="130">
        <f t="shared" si="1804"/>
        <v>47800</v>
      </c>
      <c r="D1714" s="130">
        <f ca="1" t="shared" si="1805"/>
        <v>1</v>
      </c>
      <c r="E1714" s="130">
        <f ca="1" t="shared" si="1806"/>
        <v>1</v>
      </c>
      <c r="F1714" s="130">
        <f ca="1" t="shared" si="1807"/>
        <v>1</v>
      </c>
      <c r="G1714" s="130">
        <f ca="1" t="shared" si="1808"/>
        <v>1</v>
      </c>
      <c r="H1714" s="130">
        <f ca="1" t="shared" si="1809"/>
        <v>1</v>
      </c>
      <c r="I1714" s="130">
        <f ca="1" t="shared" si="1810"/>
        <v>1</v>
      </c>
      <c r="J1714" s="130">
        <f ca="1" t="shared" si="1811"/>
        <v>1</v>
      </c>
      <c r="K1714" s="130">
        <f ca="1" t="shared" si="1812"/>
        <v>1</v>
      </c>
      <c r="L1714" s="130">
        <f ca="1" t="shared" si="1813"/>
        <v>1</v>
      </c>
      <c r="M1714" s="130">
        <f ca="1" t="shared" si="1814"/>
        <v>1</v>
      </c>
      <c r="N1714" s="130">
        <f ca="1" t="shared" si="1815"/>
        <v>1</v>
      </c>
      <c r="O1714" s="130">
        <f ca="1" t="shared" si="1816"/>
        <v>1</v>
      </c>
      <c r="P1714" s="130">
        <f ca="1" t="shared" si="1817"/>
        <v>1</v>
      </c>
      <c r="Q1714" s="130">
        <f ca="1" t="shared" si="1818"/>
        <v>1</v>
      </c>
      <c r="R1714" s="130">
        <f ca="1" t="shared" si="1819"/>
        <v>1</v>
      </c>
      <c r="S1714" s="130">
        <f ca="1" t="shared" si="1820"/>
        <v>1</v>
      </c>
      <c r="T1714" s="130">
        <f ca="1" t="shared" si="1821"/>
        <v>1</v>
      </c>
      <c r="U1714" s="130">
        <f ca="1" t="shared" si="1822"/>
        <v>1</v>
      </c>
      <c r="V1714" s="130">
        <f ca="1" t="shared" si="1823"/>
        <v>1</v>
      </c>
    </row>
    <row r="1715" ht="16.5" spans="2:22">
      <c r="B1715" s="117">
        <v>479</v>
      </c>
      <c r="C1715" s="130">
        <f t="shared" si="1804"/>
        <v>47900</v>
      </c>
      <c r="D1715" s="130">
        <f ca="1" t="shared" si="1805"/>
        <v>1</v>
      </c>
      <c r="E1715" s="130">
        <f ca="1" t="shared" si="1806"/>
        <v>1</v>
      </c>
      <c r="F1715" s="130">
        <f ca="1" t="shared" si="1807"/>
        <v>1</v>
      </c>
      <c r="G1715" s="130">
        <f ca="1" t="shared" si="1808"/>
        <v>1</v>
      </c>
      <c r="H1715" s="130">
        <f ca="1" t="shared" si="1809"/>
        <v>1</v>
      </c>
      <c r="I1715" s="130">
        <f ca="1" t="shared" si="1810"/>
        <v>1</v>
      </c>
      <c r="J1715" s="130">
        <f ca="1" t="shared" si="1811"/>
        <v>1</v>
      </c>
      <c r="K1715" s="130">
        <f ca="1" t="shared" si="1812"/>
        <v>1</v>
      </c>
      <c r="L1715" s="130">
        <f ca="1" t="shared" si="1813"/>
        <v>1</v>
      </c>
      <c r="M1715" s="130">
        <f ca="1" t="shared" si="1814"/>
        <v>1</v>
      </c>
      <c r="N1715" s="130">
        <f ca="1" t="shared" si="1815"/>
        <v>1</v>
      </c>
      <c r="O1715" s="130">
        <f ca="1" t="shared" si="1816"/>
        <v>1</v>
      </c>
      <c r="P1715" s="130">
        <f ca="1" t="shared" si="1817"/>
        <v>1</v>
      </c>
      <c r="Q1715" s="130">
        <f ca="1" t="shared" si="1818"/>
        <v>1</v>
      </c>
      <c r="R1715" s="130">
        <f ca="1" t="shared" si="1819"/>
        <v>1</v>
      </c>
      <c r="S1715" s="130">
        <f ca="1" t="shared" si="1820"/>
        <v>1</v>
      </c>
      <c r="T1715" s="130">
        <f ca="1" t="shared" si="1821"/>
        <v>1</v>
      </c>
      <c r="U1715" s="130">
        <f ca="1" t="shared" si="1822"/>
        <v>1</v>
      </c>
      <c r="V1715" s="130">
        <f ca="1" t="shared" si="1823"/>
        <v>1</v>
      </c>
    </row>
    <row r="1716" ht="16.5" spans="2:22">
      <c r="B1716" s="117">
        <v>480</v>
      </c>
      <c r="C1716" s="130">
        <f t="shared" si="1804"/>
        <v>48000</v>
      </c>
      <c r="D1716" s="130">
        <f ca="1" t="shared" si="1805"/>
        <v>1</v>
      </c>
      <c r="E1716" s="130">
        <f ca="1" t="shared" si="1806"/>
        <v>1</v>
      </c>
      <c r="F1716" s="130">
        <f ca="1" t="shared" si="1807"/>
        <v>1</v>
      </c>
      <c r="G1716" s="130">
        <f ca="1" t="shared" si="1808"/>
        <v>1</v>
      </c>
      <c r="H1716" s="130">
        <f ca="1" t="shared" si="1809"/>
        <v>1</v>
      </c>
      <c r="I1716" s="130">
        <f ca="1" t="shared" si="1810"/>
        <v>1</v>
      </c>
      <c r="J1716" s="130">
        <f ca="1" t="shared" si="1811"/>
        <v>1</v>
      </c>
      <c r="K1716" s="130">
        <f ca="1" t="shared" si="1812"/>
        <v>1</v>
      </c>
      <c r="L1716" s="130">
        <f ca="1" t="shared" si="1813"/>
        <v>1</v>
      </c>
      <c r="M1716" s="130">
        <f ca="1" t="shared" si="1814"/>
        <v>1</v>
      </c>
      <c r="N1716" s="130">
        <f ca="1" t="shared" si="1815"/>
        <v>1</v>
      </c>
      <c r="O1716" s="130">
        <f ca="1" t="shared" si="1816"/>
        <v>1</v>
      </c>
      <c r="P1716" s="130">
        <f ca="1" t="shared" si="1817"/>
        <v>1</v>
      </c>
      <c r="Q1716" s="130">
        <f ca="1" t="shared" si="1818"/>
        <v>1</v>
      </c>
      <c r="R1716" s="130">
        <f ca="1" t="shared" si="1819"/>
        <v>1</v>
      </c>
      <c r="S1716" s="130">
        <f ca="1" t="shared" si="1820"/>
        <v>1</v>
      </c>
      <c r="T1716" s="130">
        <f ca="1" t="shared" si="1821"/>
        <v>1</v>
      </c>
      <c r="U1716" s="130">
        <f ca="1" t="shared" si="1822"/>
        <v>1</v>
      </c>
      <c r="V1716" s="130">
        <f ca="1" t="shared" si="1823"/>
        <v>1</v>
      </c>
    </row>
    <row r="1717" ht="16.5" spans="2:22">
      <c r="B1717" s="117">
        <v>481</v>
      </c>
      <c r="C1717" s="130">
        <f t="shared" si="1804"/>
        <v>48100</v>
      </c>
      <c r="D1717" s="130">
        <f ca="1" t="shared" si="1805"/>
        <v>1</v>
      </c>
      <c r="E1717" s="130">
        <f ca="1" t="shared" si="1806"/>
        <v>1</v>
      </c>
      <c r="F1717" s="130">
        <f ca="1" t="shared" si="1807"/>
        <v>1</v>
      </c>
      <c r="G1717" s="130">
        <f ca="1" t="shared" si="1808"/>
        <v>1</v>
      </c>
      <c r="H1717" s="130">
        <f ca="1" t="shared" si="1809"/>
        <v>1</v>
      </c>
      <c r="I1717" s="130">
        <f ca="1" t="shared" si="1810"/>
        <v>1</v>
      </c>
      <c r="J1717" s="130">
        <f ca="1" t="shared" si="1811"/>
        <v>1</v>
      </c>
      <c r="K1717" s="130">
        <f ca="1" t="shared" si="1812"/>
        <v>1</v>
      </c>
      <c r="L1717" s="130">
        <f ca="1" t="shared" si="1813"/>
        <v>1</v>
      </c>
      <c r="M1717" s="130">
        <f ca="1" t="shared" si="1814"/>
        <v>1</v>
      </c>
      <c r="N1717" s="130">
        <f ca="1" t="shared" si="1815"/>
        <v>1</v>
      </c>
      <c r="O1717" s="130">
        <f ca="1" t="shared" si="1816"/>
        <v>1</v>
      </c>
      <c r="P1717" s="130">
        <f ca="1" t="shared" si="1817"/>
        <v>1</v>
      </c>
      <c r="Q1717" s="130">
        <f ca="1" t="shared" si="1818"/>
        <v>1</v>
      </c>
      <c r="R1717" s="130">
        <f ca="1" t="shared" si="1819"/>
        <v>1</v>
      </c>
      <c r="S1717" s="130">
        <f ca="1" t="shared" si="1820"/>
        <v>1</v>
      </c>
      <c r="T1717" s="130">
        <f ca="1" t="shared" si="1821"/>
        <v>1</v>
      </c>
      <c r="U1717" s="130">
        <f ca="1" t="shared" si="1822"/>
        <v>1</v>
      </c>
      <c r="V1717" s="130">
        <f ca="1" t="shared" si="1823"/>
        <v>1</v>
      </c>
    </row>
    <row r="1718" ht="16.5" spans="2:22">
      <c r="B1718" s="117">
        <v>482</v>
      </c>
      <c r="C1718" s="130">
        <f t="shared" si="1804"/>
        <v>48200</v>
      </c>
      <c r="D1718" s="130">
        <f ca="1" t="shared" si="1805"/>
        <v>1</v>
      </c>
      <c r="E1718" s="130">
        <f ca="1" t="shared" si="1806"/>
        <v>1</v>
      </c>
      <c r="F1718" s="130">
        <f ca="1" t="shared" si="1807"/>
        <v>1</v>
      </c>
      <c r="G1718" s="130">
        <f ca="1" t="shared" si="1808"/>
        <v>1</v>
      </c>
      <c r="H1718" s="130">
        <f ca="1" t="shared" si="1809"/>
        <v>1</v>
      </c>
      <c r="I1718" s="130">
        <f ca="1" t="shared" si="1810"/>
        <v>1</v>
      </c>
      <c r="J1718" s="130">
        <f ca="1" t="shared" si="1811"/>
        <v>1</v>
      </c>
      <c r="K1718" s="130">
        <f ca="1" t="shared" si="1812"/>
        <v>1</v>
      </c>
      <c r="L1718" s="130">
        <f ca="1" t="shared" si="1813"/>
        <v>1</v>
      </c>
      <c r="M1718" s="130">
        <f ca="1" t="shared" si="1814"/>
        <v>1</v>
      </c>
      <c r="N1718" s="130">
        <f ca="1" t="shared" si="1815"/>
        <v>1</v>
      </c>
      <c r="O1718" s="130">
        <f ca="1" t="shared" si="1816"/>
        <v>1</v>
      </c>
      <c r="P1718" s="130">
        <f ca="1" t="shared" si="1817"/>
        <v>1</v>
      </c>
      <c r="Q1718" s="130">
        <f ca="1" t="shared" si="1818"/>
        <v>1</v>
      </c>
      <c r="R1718" s="130">
        <f ca="1" t="shared" si="1819"/>
        <v>1</v>
      </c>
      <c r="S1718" s="130">
        <f ca="1" t="shared" si="1820"/>
        <v>1</v>
      </c>
      <c r="T1718" s="130">
        <f ca="1" t="shared" si="1821"/>
        <v>1</v>
      </c>
      <c r="U1718" s="130">
        <f ca="1" t="shared" si="1822"/>
        <v>1</v>
      </c>
      <c r="V1718" s="130">
        <f ca="1" t="shared" si="1823"/>
        <v>1</v>
      </c>
    </row>
    <row r="1719" ht="16.5" spans="2:22">
      <c r="B1719" s="117">
        <v>483</v>
      </c>
      <c r="C1719" s="130">
        <f t="shared" si="1804"/>
        <v>48300</v>
      </c>
      <c r="D1719" s="130">
        <f ca="1" t="shared" si="1805"/>
        <v>1</v>
      </c>
      <c r="E1719" s="130">
        <f ca="1" t="shared" si="1806"/>
        <v>1</v>
      </c>
      <c r="F1719" s="130">
        <f ca="1" t="shared" si="1807"/>
        <v>1</v>
      </c>
      <c r="G1719" s="130">
        <f ca="1" t="shared" si="1808"/>
        <v>1</v>
      </c>
      <c r="H1719" s="130">
        <f ca="1" t="shared" si="1809"/>
        <v>1</v>
      </c>
      <c r="I1719" s="130">
        <f ca="1" t="shared" si="1810"/>
        <v>1</v>
      </c>
      <c r="J1719" s="130">
        <f ca="1" t="shared" si="1811"/>
        <v>1</v>
      </c>
      <c r="K1719" s="130">
        <f ca="1" t="shared" si="1812"/>
        <v>1</v>
      </c>
      <c r="L1719" s="130">
        <f ca="1" t="shared" si="1813"/>
        <v>1</v>
      </c>
      <c r="M1719" s="130">
        <f ca="1" t="shared" si="1814"/>
        <v>1</v>
      </c>
      <c r="N1719" s="130">
        <f ca="1" t="shared" si="1815"/>
        <v>1</v>
      </c>
      <c r="O1719" s="130">
        <f ca="1" t="shared" si="1816"/>
        <v>1</v>
      </c>
      <c r="P1719" s="130">
        <f ca="1" t="shared" si="1817"/>
        <v>1</v>
      </c>
      <c r="Q1719" s="130">
        <f ca="1" t="shared" si="1818"/>
        <v>1</v>
      </c>
      <c r="R1719" s="130">
        <f ca="1" t="shared" si="1819"/>
        <v>1</v>
      </c>
      <c r="S1719" s="130">
        <f ca="1" t="shared" si="1820"/>
        <v>1</v>
      </c>
      <c r="T1719" s="130">
        <f ca="1" t="shared" si="1821"/>
        <v>1</v>
      </c>
      <c r="U1719" s="130">
        <f ca="1" t="shared" si="1822"/>
        <v>1</v>
      </c>
      <c r="V1719" s="130">
        <f ca="1" t="shared" si="1823"/>
        <v>1</v>
      </c>
    </row>
    <row r="1720" ht="16.5" spans="2:22">
      <c r="B1720" s="117">
        <v>484</v>
      </c>
      <c r="C1720" s="130">
        <f t="shared" si="1804"/>
        <v>48400</v>
      </c>
      <c r="D1720" s="130">
        <f ca="1" t="shared" si="1805"/>
        <v>1</v>
      </c>
      <c r="E1720" s="130">
        <f ca="1" t="shared" si="1806"/>
        <v>1</v>
      </c>
      <c r="F1720" s="130">
        <f ca="1" t="shared" si="1807"/>
        <v>1</v>
      </c>
      <c r="G1720" s="130">
        <f ca="1" t="shared" si="1808"/>
        <v>1</v>
      </c>
      <c r="H1720" s="130">
        <f ca="1" t="shared" si="1809"/>
        <v>1</v>
      </c>
      <c r="I1720" s="130">
        <f ca="1" t="shared" si="1810"/>
        <v>1</v>
      </c>
      <c r="J1720" s="130">
        <f ca="1" t="shared" si="1811"/>
        <v>1</v>
      </c>
      <c r="K1720" s="130">
        <f ca="1" t="shared" si="1812"/>
        <v>1</v>
      </c>
      <c r="L1720" s="130">
        <f ca="1" t="shared" si="1813"/>
        <v>1</v>
      </c>
      <c r="M1720" s="130">
        <f ca="1" t="shared" si="1814"/>
        <v>1</v>
      </c>
      <c r="N1720" s="130">
        <f ca="1" t="shared" si="1815"/>
        <v>1</v>
      </c>
      <c r="O1720" s="130">
        <f ca="1" t="shared" si="1816"/>
        <v>1</v>
      </c>
      <c r="P1720" s="130">
        <f ca="1" t="shared" si="1817"/>
        <v>1</v>
      </c>
      <c r="Q1720" s="130">
        <f ca="1" t="shared" si="1818"/>
        <v>1</v>
      </c>
      <c r="R1720" s="130">
        <f ca="1" t="shared" si="1819"/>
        <v>1</v>
      </c>
      <c r="S1720" s="130">
        <f ca="1" t="shared" si="1820"/>
        <v>1</v>
      </c>
      <c r="T1720" s="130">
        <f ca="1" t="shared" si="1821"/>
        <v>1</v>
      </c>
      <c r="U1720" s="130">
        <f ca="1" t="shared" si="1822"/>
        <v>1</v>
      </c>
      <c r="V1720" s="130">
        <f ca="1" t="shared" si="1823"/>
        <v>1</v>
      </c>
    </row>
    <row r="1721" ht="16.5" spans="2:22">
      <c r="B1721" s="117">
        <v>485</v>
      </c>
      <c r="C1721" s="130">
        <f t="shared" si="1804"/>
        <v>48500</v>
      </c>
      <c r="D1721" s="130">
        <f ca="1" t="shared" si="1805"/>
        <v>1</v>
      </c>
      <c r="E1721" s="130">
        <f ca="1" t="shared" si="1806"/>
        <v>1</v>
      </c>
      <c r="F1721" s="130">
        <f ca="1" t="shared" si="1807"/>
        <v>1</v>
      </c>
      <c r="G1721" s="130">
        <f ca="1" t="shared" si="1808"/>
        <v>1</v>
      </c>
      <c r="H1721" s="130">
        <f ca="1" t="shared" si="1809"/>
        <v>1</v>
      </c>
      <c r="I1721" s="130">
        <f ca="1" t="shared" si="1810"/>
        <v>1</v>
      </c>
      <c r="J1721" s="130">
        <f ca="1" t="shared" si="1811"/>
        <v>1</v>
      </c>
      <c r="K1721" s="130">
        <f ca="1" t="shared" si="1812"/>
        <v>1</v>
      </c>
      <c r="L1721" s="130">
        <f ca="1" t="shared" si="1813"/>
        <v>1</v>
      </c>
      <c r="M1721" s="130">
        <f ca="1" t="shared" si="1814"/>
        <v>1</v>
      </c>
      <c r="N1721" s="130">
        <f ca="1" t="shared" si="1815"/>
        <v>1</v>
      </c>
      <c r="O1721" s="130">
        <f ca="1" t="shared" si="1816"/>
        <v>1</v>
      </c>
      <c r="P1721" s="130">
        <f ca="1" t="shared" si="1817"/>
        <v>1</v>
      </c>
      <c r="Q1721" s="130">
        <f ca="1" t="shared" si="1818"/>
        <v>1</v>
      </c>
      <c r="R1721" s="130">
        <f ca="1" t="shared" si="1819"/>
        <v>1</v>
      </c>
      <c r="S1721" s="130">
        <f ca="1" t="shared" si="1820"/>
        <v>1</v>
      </c>
      <c r="T1721" s="130">
        <f ca="1" t="shared" si="1821"/>
        <v>1</v>
      </c>
      <c r="U1721" s="130">
        <f ca="1" t="shared" si="1822"/>
        <v>1</v>
      </c>
      <c r="V1721" s="130">
        <f ca="1" t="shared" si="1823"/>
        <v>1</v>
      </c>
    </row>
    <row r="1722" ht="16.5" spans="2:22">
      <c r="B1722" s="117">
        <v>486</v>
      </c>
      <c r="C1722" s="130">
        <f t="shared" si="1804"/>
        <v>48600</v>
      </c>
      <c r="D1722" s="130">
        <f ca="1" t="shared" si="1805"/>
        <v>1</v>
      </c>
      <c r="E1722" s="130">
        <f ca="1" t="shared" si="1806"/>
        <v>1</v>
      </c>
      <c r="F1722" s="130">
        <f ca="1" t="shared" si="1807"/>
        <v>1</v>
      </c>
      <c r="G1722" s="130">
        <f ca="1" t="shared" si="1808"/>
        <v>1</v>
      </c>
      <c r="H1722" s="130">
        <f ca="1" t="shared" si="1809"/>
        <v>1</v>
      </c>
      <c r="I1722" s="130">
        <f ca="1" t="shared" si="1810"/>
        <v>1</v>
      </c>
      <c r="J1722" s="130">
        <f ca="1" t="shared" si="1811"/>
        <v>1</v>
      </c>
      <c r="K1722" s="130">
        <f ca="1" t="shared" si="1812"/>
        <v>1</v>
      </c>
      <c r="L1722" s="130">
        <f ca="1" t="shared" si="1813"/>
        <v>1</v>
      </c>
      <c r="M1722" s="130">
        <f ca="1" t="shared" si="1814"/>
        <v>1</v>
      </c>
      <c r="N1722" s="130">
        <f ca="1" t="shared" si="1815"/>
        <v>1</v>
      </c>
      <c r="O1722" s="130">
        <f ca="1" t="shared" si="1816"/>
        <v>1</v>
      </c>
      <c r="P1722" s="130">
        <f ca="1" t="shared" si="1817"/>
        <v>1</v>
      </c>
      <c r="Q1722" s="130">
        <f ca="1" t="shared" si="1818"/>
        <v>1</v>
      </c>
      <c r="R1722" s="130">
        <f ca="1" t="shared" si="1819"/>
        <v>1</v>
      </c>
      <c r="S1722" s="130">
        <f ca="1" t="shared" si="1820"/>
        <v>1</v>
      </c>
      <c r="T1722" s="130">
        <f ca="1" t="shared" si="1821"/>
        <v>1</v>
      </c>
      <c r="U1722" s="130">
        <f ca="1" t="shared" si="1822"/>
        <v>1</v>
      </c>
      <c r="V1722" s="130">
        <f ca="1" t="shared" si="1823"/>
        <v>1</v>
      </c>
    </row>
    <row r="1723" ht="16.5" spans="2:22">
      <c r="B1723" s="117">
        <v>487</v>
      </c>
      <c r="C1723" s="130">
        <f t="shared" si="1804"/>
        <v>48700</v>
      </c>
      <c r="D1723" s="130">
        <f ca="1" t="shared" si="1805"/>
        <v>1</v>
      </c>
      <c r="E1723" s="130">
        <f ca="1" t="shared" si="1806"/>
        <v>1</v>
      </c>
      <c r="F1723" s="130">
        <f ca="1" t="shared" si="1807"/>
        <v>1</v>
      </c>
      <c r="G1723" s="130">
        <f ca="1" t="shared" si="1808"/>
        <v>1</v>
      </c>
      <c r="H1723" s="130">
        <f ca="1" t="shared" si="1809"/>
        <v>1</v>
      </c>
      <c r="I1723" s="130">
        <f ca="1" t="shared" si="1810"/>
        <v>1</v>
      </c>
      <c r="J1723" s="130">
        <f ca="1" t="shared" si="1811"/>
        <v>1</v>
      </c>
      <c r="K1723" s="130">
        <f ca="1" t="shared" si="1812"/>
        <v>1</v>
      </c>
      <c r="L1723" s="130">
        <f ca="1" t="shared" si="1813"/>
        <v>1</v>
      </c>
      <c r="M1723" s="130">
        <f ca="1" t="shared" si="1814"/>
        <v>1</v>
      </c>
      <c r="N1723" s="130">
        <f ca="1" t="shared" si="1815"/>
        <v>1</v>
      </c>
      <c r="O1723" s="130">
        <f ca="1" t="shared" si="1816"/>
        <v>1</v>
      </c>
      <c r="P1723" s="130">
        <f ca="1" t="shared" si="1817"/>
        <v>1</v>
      </c>
      <c r="Q1723" s="130">
        <f ca="1" t="shared" si="1818"/>
        <v>1</v>
      </c>
      <c r="R1723" s="130">
        <f ca="1" t="shared" si="1819"/>
        <v>1</v>
      </c>
      <c r="S1723" s="130">
        <f ca="1" t="shared" si="1820"/>
        <v>1</v>
      </c>
      <c r="T1723" s="130">
        <f ca="1" t="shared" si="1821"/>
        <v>1</v>
      </c>
      <c r="U1723" s="130">
        <f ca="1" t="shared" si="1822"/>
        <v>1</v>
      </c>
      <c r="V1723" s="130">
        <f ca="1" t="shared" si="1823"/>
        <v>1</v>
      </c>
    </row>
    <row r="1724" ht="16.5" spans="2:22">
      <c r="B1724" s="117">
        <v>488</v>
      </c>
      <c r="C1724" s="130">
        <f t="shared" si="1804"/>
        <v>48800</v>
      </c>
      <c r="D1724" s="130">
        <f ca="1" t="shared" si="1805"/>
        <v>1</v>
      </c>
      <c r="E1724" s="130">
        <f ca="1" t="shared" si="1806"/>
        <v>1</v>
      </c>
      <c r="F1724" s="130">
        <f ca="1" t="shared" si="1807"/>
        <v>1</v>
      </c>
      <c r="G1724" s="130">
        <f ca="1" t="shared" si="1808"/>
        <v>1</v>
      </c>
      <c r="H1724" s="130">
        <f ca="1" t="shared" si="1809"/>
        <v>1</v>
      </c>
      <c r="I1724" s="130">
        <f ca="1" t="shared" si="1810"/>
        <v>1</v>
      </c>
      <c r="J1724" s="130">
        <f ca="1" t="shared" si="1811"/>
        <v>1</v>
      </c>
      <c r="K1724" s="130">
        <f ca="1" t="shared" si="1812"/>
        <v>1</v>
      </c>
      <c r="L1724" s="130">
        <f ca="1" t="shared" si="1813"/>
        <v>1</v>
      </c>
      <c r="M1724" s="130">
        <f ca="1" t="shared" si="1814"/>
        <v>1</v>
      </c>
      <c r="N1724" s="130">
        <f ca="1" t="shared" si="1815"/>
        <v>1</v>
      </c>
      <c r="O1724" s="130">
        <f ca="1" t="shared" si="1816"/>
        <v>1</v>
      </c>
      <c r="P1724" s="130">
        <f ca="1" t="shared" si="1817"/>
        <v>1</v>
      </c>
      <c r="Q1724" s="130">
        <f ca="1" t="shared" si="1818"/>
        <v>1</v>
      </c>
      <c r="R1724" s="130">
        <f ca="1" t="shared" si="1819"/>
        <v>1</v>
      </c>
      <c r="S1724" s="130">
        <f ca="1" t="shared" si="1820"/>
        <v>1</v>
      </c>
      <c r="T1724" s="130">
        <f ca="1" t="shared" si="1821"/>
        <v>1</v>
      </c>
      <c r="U1724" s="130">
        <f ca="1" t="shared" si="1822"/>
        <v>1</v>
      </c>
      <c r="V1724" s="130">
        <f ca="1" t="shared" si="1823"/>
        <v>1</v>
      </c>
    </row>
    <row r="1725" ht="16.5" spans="2:22">
      <c r="B1725" s="117">
        <v>489</v>
      </c>
      <c r="C1725" s="130">
        <f t="shared" si="1804"/>
        <v>48900</v>
      </c>
      <c r="D1725" s="130">
        <f ca="1" t="shared" si="1805"/>
        <v>1</v>
      </c>
      <c r="E1725" s="130">
        <f ca="1" t="shared" si="1806"/>
        <v>1</v>
      </c>
      <c r="F1725" s="130">
        <f ca="1" t="shared" si="1807"/>
        <v>1</v>
      </c>
      <c r="G1725" s="130">
        <f ca="1" t="shared" si="1808"/>
        <v>1</v>
      </c>
      <c r="H1725" s="130">
        <f ca="1" t="shared" si="1809"/>
        <v>1</v>
      </c>
      <c r="I1725" s="130">
        <f ca="1" t="shared" si="1810"/>
        <v>1</v>
      </c>
      <c r="J1725" s="130">
        <f ca="1" t="shared" si="1811"/>
        <v>1</v>
      </c>
      <c r="K1725" s="130">
        <f ca="1" t="shared" si="1812"/>
        <v>1</v>
      </c>
      <c r="L1725" s="130">
        <f ca="1" t="shared" si="1813"/>
        <v>1</v>
      </c>
      <c r="M1725" s="130">
        <f ca="1" t="shared" si="1814"/>
        <v>1</v>
      </c>
      <c r="N1725" s="130">
        <f ca="1" t="shared" si="1815"/>
        <v>1</v>
      </c>
      <c r="O1725" s="130">
        <f ca="1" t="shared" si="1816"/>
        <v>1</v>
      </c>
      <c r="P1725" s="130">
        <f ca="1" t="shared" si="1817"/>
        <v>1</v>
      </c>
      <c r="Q1725" s="130">
        <f ca="1" t="shared" si="1818"/>
        <v>1</v>
      </c>
      <c r="R1725" s="130">
        <f ca="1" t="shared" si="1819"/>
        <v>1</v>
      </c>
      <c r="S1725" s="130">
        <f ca="1" t="shared" si="1820"/>
        <v>1</v>
      </c>
      <c r="T1725" s="130">
        <f ca="1" t="shared" si="1821"/>
        <v>1</v>
      </c>
      <c r="U1725" s="130">
        <f ca="1" t="shared" si="1822"/>
        <v>1</v>
      </c>
      <c r="V1725" s="130">
        <f ca="1" t="shared" si="1823"/>
        <v>1</v>
      </c>
    </row>
    <row r="1726" ht="16.5" spans="2:22">
      <c r="B1726" s="117">
        <v>490</v>
      </c>
      <c r="C1726" s="130">
        <f t="shared" si="1804"/>
        <v>49000</v>
      </c>
      <c r="D1726" s="130">
        <f ca="1" t="shared" si="1805"/>
        <v>1</v>
      </c>
      <c r="E1726" s="130">
        <f ca="1" t="shared" si="1806"/>
        <v>1</v>
      </c>
      <c r="F1726" s="130">
        <f ca="1" t="shared" si="1807"/>
        <v>1</v>
      </c>
      <c r="G1726" s="130">
        <f ca="1" t="shared" si="1808"/>
        <v>1</v>
      </c>
      <c r="H1726" s="130">
        <f ca="1" t="shared" si="1809"/>
        <v>1</v>
      </c>
      <c r="I1726" s="130">
        <f ca="1" t="shared" si="1810"/>
        <v>1</v>
      </c>
      <c r="J1726" s="130">
        <f ca="1" t="shared" si="1811"/>
        <v>1</v>
      </c>
      <c r="K1726" s="130">
        <f ca="1" t="shared" si="1812"/>
        <v>1</v>
      </c>
      <c r="L1726" s="130">
        <f ca="1" t="shared" si="1813"/>
        <v>1</v>
      </c>
      <c r="M1726" s="130">
        <f ca="1" t="shared" si="1814"/>
        <v>1</v>
      </c>
      <c r="N1726" s="130">
        <f ca="1" t="shared" si="1815"/>
        <v>1</v>
      </c>
      <c r="O1726" s="130">
        <f ca="1" t="shared" si="1816"/>
        <v>1</v>
      </c>
      <c r="P1726" s="130">
        <f ca="1" t="shared" si="1817"/>
        <v>1</v>
      </c>
      <c r="Q1726" s="130">
        <f ca="1" t="shared" si="1818"/>
        <v>1</v>
      </c>
      <c r="R1726" s="130">
        <f ca="1" t="shared" si="1819"/>
        <v>1</v>
      </c>
      <c r="S1726" s="130">
        <f ca="1" t="shared" si="1820"/>
        <v>1</v>
      </c>
      <c r="T1726" s="130">
        <f ca="1" t="shared" si="1821"/>
        <v>1</v>
      </c>
      <c r="U1726" s="130">
        <f ca="1" t="shared" si="1822"/>
        <v>1</v>
      </c>
      <c r="V1726" s="130">
        <f ca="1" t="shared" si="1823"/>
        <v>1</v>
      </c>
    </row>
    <row r="1727" ht="16.5" spans="2:22">
      <c r="B1727" s="117">
        <v>491</v>
      </c>
      <c r="C1727" s="130">
        <f t="shared" si="1804"/>
        <v>49100</v>
      </c>
      <c r="D1727" s="130">
        <f ca="1" t="shared" si="1805"/>
        <v>1</v>
      </c>
      <c r="E1727" s="130">
        <f ca="1" t="shared" si="1806"/>
        <v>1</v>
      </c>
      <c r="F1727" s="130">
        <f ca="1" t="shared" si="1807"/>
        <v>1</v>
      </c>
      <c r="G1727" s="130">
        <f ca="1" t="shared" si="1808"/>
        <v>1</v>
      </c>
      <c r="H1727" s="130">
        <f ca="1" t="shared" si="1809"/>
        <v>1</v>
      </c>
      <c r="I1727" s="130">
        <f ca="1" t="shared" si="1810"/>
        <v>1</v>
      </c>
      <c r="J1727" s="130">
        <f ca="1" t="shared" si="1811"/>
        <v>1</v>
      </c>
      <c r="K1727" s="130">
        <f ca="1" t="shared" si="1812"/>
        <v>1</v>
      </c>
      <c r="L1727" s="130">
        <f ca="1" t="shared" si="1813"/>
        <v>1</v>
      </c>
      <c r="M1727" s="130">
        <f ca="1" t="shared" si="1814"/>
        <v>1</v>
      </c>
      <c r="N1727" s="130">
        <f ca="1" t="shared" si="1815"/>
        <v>1</v>
      </c>
      <c r="O1727" s="130">
        <f ca="1" t="shared" si="1816"/>
        <v>1</v>
      </c>
      <c r="P1727" s="130">
        <f ca="1" t="shared" si="1817"/>
        <v>1</v>
      </c>
      <c r="Q1727" s="130">
        <f ca="1" t="shared" si="1818"/>
        <v>1</v>
      </c>
      <c r="R1727" s="130">
        <f ca="1" t="shared" si="1819"/>
        <v>1</v>
      </c>
      <c r="S1727" s="130">
        <f ca="1" t="shared" si="1820"/>
        <v>1</v>
      </c>
      <c r="T1727" s="130">
        <f ca="1" t="shared" si="1821"/>
        <v>1</v>
      </c>
      <c r="U1727" s="130">
        <f ca="1" t="shared" si="1822"/>
        <v>1</v>
      </c>
      <c r="V1727" s="130">
        <f ca="1" t="shared" si="1823"/>
        <v>1</v>
      </c>
    </row>
    <row r="1728" ht="16.5" spans="2:22">
      <c r="B1728" s="117">
        <v>492</v>
      </c>
      <c r="C1728" s="130">
        <f t="shared" si="1804"/>
        <v>49200</v>
      </c>
      <c r="D1728" s="130">
        <f ca="1" t="shared" si="1805"/>
        <v>1</v>
      </c>
      <c r="E1728" s="130">
        <f ca="1" t="shared" si="1806"/>
        <v>1</v>
      </c>
      <c r="F1728" s="130">
        <f ca="1" t="shared" si="1807"/>
        <v>1</v>
      </c>
      <c r="G1728" s="130">
        <f ca="1" t="shared" si="1808"/>
        <v>1</v>
      </c>
      <c r="H1728" s="130">
        <f ca="1" t="shared" si="1809"/>
        <v>1</v>
      </c>
      <c r="I1728" s="130">
        <f ca="1" t="shared" si="1810"/>
        <v>1</v>
      </c>
      <c r="J1728" s="130">
        <f ca="1" t="shared" si="1811"/>
        <v>1</v>
      </c>
      <c r="K1728" s="130">
        <f ca="1" t="shared" si="1812"/>
        <v>1</v>
      </c>
      <c r="L1728" s="130">
        <f ca="1" t="shared" si="1813"/>
        <v>1</v>
      </c>
      <c r="M1728" s="130">
        <f ca="1" t="shared" si="1814"/>
        <v>1</v>
      </c>
      <c r="N1728" s="130">
        <f ca="1" t="shared" si="1815"/>
        <v>1</v>
      </c>
      <c r="O1728" s="130">
        <f ca="1" t="shared" si="1816"/>
        <v>1</v>
      </c>
      <c r="P1728" s="130">
        <f ca="1" t="shared" si="1817"/>
        <v>1</v>
      </c>
      <c r="Q1728" s="130">
        <f ca="1" t="shared" si="1818"/>
        <v>1</v>
      </c>
      <c r="R1728" s="130">
        <f ca="1" t="shared" si="1819"/>
        <v>1</v>
      </c>
      <c r="S1728" s="130">
        <f ca="1" t="shared" si="1820"/>
        <v>1</v>
      </c>
      <c r="T1728" s="130">
        <f ca="1" t="shared" si="1821"/>
        <v>1</v>
      </c>
      <c r="U1728" s="130">
        <f ca="1" t="shared" si="1822"/>
        <v>1</v>
      </c>
      <c r="V1728" s="130">
        <f ca="1" t="shared" si="1823"/>
        <v>1</v>
      </c>
    </row>
    <row r="1729" ht="16.5" spans="2:22">
      <c r="B1729" s="117">
        <v>493</v>
      </c>
      <c r="C1729" s="130">
        <f t="shared" ref="C1729:C1792" si="1824">C1127</f>
        <v>49300</v>
      </c>
      <c r="D1729" s="130">
        <f ca="1" t="shared" ref="D1729:D1792" si="1825">IF($C1729&gt;D$633,1,0)</f>
        <v>1</v>
      </c>
      <c r="E1729" s="130">
        <f ca="1" t="shared" ref="E1729:E1792" si="1826">IF($C1729&gt;E$633,1,0)</f>
        <v>1</v>
      </c>
      <c r="F1729" s="130">
        <f ca="1" t="shared" ref="F1729:F1792" si="1827">IF($C1729&gt;F$633,1,0)</f>
        <v>1</v>
      </c>
      <c r="G1729" s="130">
        <f ca="1" t="shared" ref="G1729:G1792" si="1828">IF($C1729&gt;G$633,1,0)</f>
        <v>1</v>
      </c>
      <c r="H1729" s="130">
        <f ca="1" t="shared" ref="H1729:H1792" si="1829">IF($C1729&gt;H$633,1,0)</f>
        <v>1</v>
      </c>
      <c r="I1729" s="130">
        <f ca="1" t="shared" ref="I1729:I1792" si="1830">IF($C1729&gt;I$633,1,0)</f>
        <v>1</v>
      </c>
      <c r="J1729" s="130">
        <f ca="1" t="shared" ref="J1729:J1792" si="1831">IF($C1729&gt;J$633,1,0)</f>
        <v>1</v>
      </c>
      <c r="K1729" s="130">
        <f ca="1" t="shared" ref="K1729:K1792" si="1832">IF($C1729&gt;K$633,1,0)</f>
        <v>1</v>
      </c>
      <c r="L1729" s="130">
        <f ca="1" t="shared" ref="L1729:L1792" si="1833">IF($C1729&gt;L$633,1,0)</f>
        <v>1</v>
      </c>
      <c r="M1729" s="130">
        <f ca="1" t="shared" ref="M1729:M1792" si="1834">IF($C1729&gt;M$633,1,0)</f>
        <v>1</v>
      </c>
      <c r="N1729" s="130">
        <f ca="1" t="shared" ref="N1729:N1792" si="1835">IF($C1729&gt;N$633,1,0)</f>
        <v>1</v>
      </c>
      <c r="O1729" s="130">
        <f ca="1" t="shared" ref="O1729:O1792" si="1836">IF($C1729&gt;O$633,1,0)</f>
        <v>1</v>
      </c>
      <c r="P1729" s="130">
        <f ca="1" t="shared" ref="P1729:P1792" si="1837">IF($C1729&gt;P$633,1,0)</f>
        <v>1</v>
      </c>
      <c r="Q1729" s="130">
        <f ca="1" t="shared" ref="Q1729:Q1792" si="1838">IF($C1729&gt;Q$633,1,0)</f>
        <v>1</v>
      </c>
      <c r="R1729" s="130">
        <f ca="1" t="shared" ref="R1729:R1792" si="1839">IF($C1729&gt;R$633,1,0)</f>
        <v>1</v>
      </c>
      <c r="S1729" s="130">
        <f ca="1" t="shared" ref="S1729:S1792" si="1840">IF($C1729&gt;S$633,1,0)</f>
        <v>1</v>
      </c>
      <c r="T1729" s="130">
        <f ca="1" t="shared" ref="T1729:T1792" si="1841">IF($C1729&gt;T$633,1,0)</f>
        <v>1</v>
      </c>
      <c r="U1729" s="130">
        <f ca="1" t="shared" ref="U1729:U1792" si="1842">IF($C1729&gt;U$633,1,0)</f>
        <v>1</v>
      </c>
      <c r="V1729" s="130">
        <f ca="1" t="shared" ref="V1729:V1792" si="1843">IF($C1729&gt;V$633,1,0)</f>
        <v>1</v>
      </c>
    </row>
    <row r="1730" ht="16.5" spans="2:22">
      <c r="B1730" s="117">
        <v>494</v>
      </c>
      <c r="C1730" s="130">
        <f t="shared" si="1824"/>
        <v>49400</v>
      </c>
      <c r="D1730" s="130">
        <f ca="1" t="shared" si="1825"/>
        <v>1</v>
      </c>
      <c r="E1730" s="130">
        <f ca="1" t="shared" si="1826"/>
        <v>1</v>
      </c>
      <c r="F1730" s="130">
        <f ca="1" t="shared" si="1827"/>
        <v>1</v>
      </c>
      <c r="G1730" s="130">
        <f ca="1" t="shared" si="1828"/>
        <v>1</v>
      </c>
      <c r="H1730" s="130">
        <f ca="1" t="shared" si="1829"/>
        <v>1</v>
      </c>
      <c r="I1730" s="130">
        <f ca="1" t="shared" si="1830"/>
        <v>1</v>
      </c>
      <c r="J1730" s="130">
        <f ca="1" t="shared" si="1831"/>
        <v>1</v>
      </c>
      <c r="K1730" s="130">
        <f ca="1" t="shared" si="1832"/>
        <v>1</v>
      </c>
      <c r="L1730" s="130">
        <f ca="1" t="shared" si="1833"/>
        <v>1</v>
      </c>
      <c r="M1730" s="130">
        <f ca="1" t="shared" si="1834"/>
        <v>1</v>
      </c>
      <c r="N1730" s="130">
        <f ca="1" t="shared" si="1835"/>
        <v>1</v>
      </c>
      <c r="O1730" s="130">
        <f ca="1" t="shared" si="1836"/>
        <v>1</v>
      </c>
      <c r="P1730" s="130">
        <f ca="1" t="shared" si="1837"/>
        <v>1</v>
      </c>
      <c r="Q1730" s="130">
        <f ca="1" t="shared" si="1838"/>
        <v>1</v>
      </c>
      <c r="R1730" s="130">
        <f ca="1" t="shared" si="1839"/>
        <v>1</v>
      </c>
      <c r="S1730" s="130">
        <f ca="1" t="shared" si="1840"/>
        <v>1</v>
      </c>
      <c r="T1730" s="130">
        <f ca="1" t="shared" si="1841"/>
        <v>1</v>
      </c>
      <c r="U1730" s="130">
        <f ca="1" t="shared" si="1842"/>
        <v>1</v>
      </c>
      <c r="V1730" s="130">
        <f ca="1" t="shared" si="1843"/>
        <v>1</v>
      </c>
    </row>
    <row r="1731" ht="16.5" spans="2:22">
      <c r="B1731" s="117">
        <v>495</v>
      </c>
      <c r="C1731" s="130">
        <f t="shared" si="1824"/>
        <v>49500</v>
      </c>
      <c r="D1731" s="130">
        <f ca="1" t="shared" si="1825"/>
        <v>1</v>
      </c>
      <c r="E1731" s="130">
        <f ca="1" t="shared" si="1826"/>
        <v>1</v>
      </c>
      <c r="F1731" s="130">
        <f ca="1" t="shared" si="1827"/>
        <v>1</v>
      </c>
      <c r="G1731" s="130">
        <f ca="1" t="shared" si="1828"/>
        <v>1</v>
      </c>
      <c r="H1731" s="130">
        <f ca="1" t="shared" si="1829"/>
        <v>1</v>
      </c>
      <c r="I1731" s="130">
        <f ca="1" t="shared" si="1830"/>
        <v>1</v>
      </c>
      <c r="J1731" s="130">
        <f ca="1" t="shared" si="1831"/>
        <v>1</v>
      </c>
      <c r="K1731" s="130">
        <f ca="1" t="shared" si="1832"/>
        <v>1</v>
      </c>
      <c r="L1731" s="130">
        <f ca="1" t="shared" si="1833"/>
        <v>1</v>
      </c>
      <c r="M1731" s="130">
        <f ca="1" t="shared" si="1834"/>
        <v>1</v>
      </c>
      <c r="N1731" s="130">
        <f ca="1" t="shared" si="1835"/>
        <v>1</v>
      </c>
      <c r="O1731" s="130">
        <f ca="1" t="shared" si="1836"/>
        <v>1</v>
      </c>
      <c r="P1731" s="130">
        <f ca="1" t="shared" si="1837"/>
        <v>1</v>
      </c>
      <c r="Q1731" s="130">
        <f ca="1" t="shared" si="1838"/>
        <v>1</v>
      </c>
      <c r="R1731" s="130">
        <f ca="1" t="shared" si="1839"/>
        <v>1</v>
      </c>
      <c r="S1731" s="130">
        <f ca="1" t="shared" si="1840"/>
        <v>1</v>
      </c>
      <c r="T1731" s="130">
        <f ca="1" t="shared" si="1841"/>
        <v>1</v>
      </c>
      <c r="U1731" s="130">
        <f ca="1" t="shared" si="1842"/>
        <v>1</v>
      </c>
      <c r="V1731" s="130">
        <f ca="1" t="shared" si="1843"/>
        <v>1</v>
      </c>
    </row>
    <row r="1732" ht="16.5" spans="2:22">
      <c r="B1732" s="117">
        <v>496</v>
      </c>
      <c r="C1732" s="130">
        <f t="shared" si="1824"/>
        <v>49600</v>
      </c>
      <c r="D1732" s="130">
        <f ca="1" t="shared" si="1825"/>
        <v>1</v>
      </c>
      <c r="E1732" s="130">
        <f ca="1" t="shared" si="1826"/>
        <v>1</v>
      </c>
      <c r="F1732" s="130">
        <f ca="1" t="shared" si="1827"/>
        <v>1</v>
      </c>
      <c r="G1732" s="130">
        <f ca="1" t="shared" si="1828"/>
        <v>1</v>
      </c>
      <c r="H1732" s="130">
        <f ca="1" t="shared" si="1829"/>
        <v>1</v>
      </c>
      <c r="I1732" s="130">
        <f ca="1" t="shared" si="1830"/>
        <v>1</v>
      </c>
      <c r="J1732" s="130">
        <f ca="1" t="shared" si="1831"/>
        <v>1</v>
      </c>
      <c r="K1732" s="130">
        <f ca="1" t="shared" si="1832"/>
        <v>1</v>
      </c>
      <c r="L1732" s="130">
        <f ca="1" t="shared" si="1833"/>
        <v>1</v>
      </c>
      <c r="M1732" s="130">
        <f ca="1" t="shared" si="1834"/>
        <v>1</v>
      </c>
      <c r="N1732" s="130">
        <f ca="1" t="shared" si="1835"/>
        <v>1</v>
      </c>
      <c r="O1732" s="130">
        <f ca="1" t="shared" si="1836"/>
        <v>1</v>
      </c>
      <c r="P1732" s="130">
        <f ca="1" t="shared" si="1837"/>
        <v>1</v>
      </c>
      <c r="Q1732" s="130">
        <f ca="1" t="shared" si="1838"/>
        <v>1</v>
      </c>
      <c r="R1732" s="130">
        <f ca="1" t="shared" si="1839"/>
        <v>1</v>
      </c>
      <c r="S1732" s="130">
        <f ca="1" t="shared" si="1840"/>
        <v>1</v>
      </c>
      <c r="T1732" s="130">
        <f ca="1" t="shared" si="1841"/>
        <v>1</v>
      </c>
      <c r="U1732" s="130">
        <f ca="1" t="shared" si="1842"/>
        <v>1</v>
      </c>
      <c r="V1732" s="130">
        <f ca="1" t="shared" si="1843"/>
        <v>1</v>
      </c>
    </row>
    <row r="1733" ht="16.5" spans="2:22">
      <c r="B1733" s="117">
        <v>497</v>
      </c>
      <c r="C1733" s="130">
        <f t="shared" si="1824"/>
        <v>49700</v>
      </c>
      <c r="D1733" s="130">
        <f ca="1" t="shared" si="1825"/>
        <v>1</v>
      </c>
      <c r="E1733" s="130">
        <f ca="1" t="shared" si="1826"/>
        <v>1</v>
      </c>
      <c r="F1733" s="130">
        <f ca="1" t="shared" si="1827"/>
        <v>1</v>
      </c>
      <c r="G1733" s="130">
        <f ca="1" t="shared" si="1828"/>
        <v>1</v>
      </c>
      <c r="H1733" s="130">
        <f ca="1" t="shared" si="1829"/>
        <v>1</v>
      </c>
      <c r="I1733" s="130">
        <f ca="1" t="shared" si="1830"/>
        <v>1</v>
      </c>
      <c r="J1733" s="130">
        <f ca="1" t="shared" si="1831"/>
        <v>1</v>
      </c>
      <c r="K1733" s="130">
        <f ca="1" t="shared" si="1832"/>
        <v>1</v>
      </c>
      <c r="L1733" s="130">
        <f ca="1" t="shared" si="1833"/>
        <v>1</v>
      </c>
      <c r="M1733" s="130">
        <f ca="1" t="shared" si="1834"/>
        <v>1</v>
      </c>
      <c r="N1733" s="130">
        <f ca="1" t="shared" si="1835"/>
        <v>1</v>
      </c>
      <c r="O1733" s="130">
        <f ca="1" t="shared" si="1836"/>
        <v>1</v>
      </c>
      <c r="P1733" s="130">
        <f ca="1" t="shared" si="1837"/>
        <v>1</v>
      </c>
      <c r="Q1733" s="130">
        <f ca="1" t="shared" si="1838"/>
        <v>1</v>
      </c>
      <c r="R1733" s="130">
        <f ca="1" t="shared" si="1839"/>
        <v>1</v>
      </c>
      <c r="S1733" s="130">
        <f ca="1" t="shared" si="1840"/>
        <v>1</v>
      </c>
      <c r="T1733" s="130">
        <f ca="1" t="shared" si="1841"/>
        <v>1</v>
      </c>
      <c r="U1733" s="130">
        <f ca="1" t="shared" si="1842"/>
        <v>1</v>
      </c>
      <c r="V1733" s="130">
        <f ca="1" t="shared" si="1843"/>
        <v>1</v>
      </c>
    </row>
    <row r="1734" ht="16.5" spans="2:22">
      <c r="B1734" s="117">
        <v>498</v>
      </c>
      <c r="C1734" s="130">
        <f t="shared" si="1824"/>
        <v>49800</v>
      </c>
      <c r="D1734" s="130">
        <f ca="1" t="shared" si="1825"/>
        <v>1</v>
      </c>
      <c r="E1734" s="130">
        <f ca="1" t="shared" si="1826"/>
        <v>1</v>
      </c>
      <c r="F1734" s="130">
        <f ca="1" t="shared" si="1827"/>
        <v>1</v>
      </c>
      <c r="G1734" s="130">
        <f ca="1" t="shared" si="1828"/>
        <v>1</v>
      </c>
      <c r="H1734" s="130">
        <f ca="1" t="shared" si="1829"/>
        <v>1</v>
      </c>
      <c r="I1734" s="130">
        <f ca="1" t="shared" si="1830"/>
        <v>1</v>
      </c>
      <c r="J1734" s="130">
        <f ca="1" t="shared" si="1831"/>
        <v>1</v>
      </c>
      <c r="K1734" s="130">
        <f ca="1" t="shared" si="1832"/>
        <v>1</v>
      </c>
      <c r="L1734" s="130">
        <f ca="1" t="shared" si="1833"/>
        <v>1</v>
      </c>
      <c r="M1734" s="130">
        <f ca="1" t="shared" si="1834"/>
        <v>1</v>
      </c>
      <c r="N1734" s="130">
        <f ca="1" t="shared" si="1835"/>
        <v>1</v>
      </c>
      <c r="O1734" s="130">
        <f ca="1" t="shared" si="1836"/>
        <v>1</v>
      </c>
      <c r="P1734" s="130">
        <f ca="1" t="shared" si="1837"/>
        <v>1</v>
      </c>
      <c r="Q1734" s="130">
        <f ca="1" t="shared" si="1838"/>
        <v>1</v>
      </c>
      <c r="R1734" s="130">
        <f ca="1" t="shared" si="1839"/>
        <v>1</v>
      </c>
      <c r="S1734" s="130">
        <f ca="1" t="shared" si="1840"/>
        <v>1</v>
      </c>
      <c r="T1734" s="130">
        <f ca="1" t="shared" si="1841"/>
        <v>1</v>
      </c>
      <c r="U1734" s="130">
        <f ca="1" t="shared" si="1842"/>
        <v>1</v>
      </c>
      <c r="V1734" s="130">
        <f ca="1" t="shared" si="1843"/>
        <v>1</v>
      </c>
    </row>
    <row r="1735" ht="16.5" spans="2:22">
      <c r="B1735" s="117">
        <v>499</v>
      </c>
      <c r="C1735" s="130">
        <f t="shared" si="1824"/>
        <v>49900</v>
      </c>
      <c r="D1735" s="130">
        <f ca="1" t="shared" si="1825"/>
        <v>1</v>
      </c>
      <c r="E1735" s="130">
        <f ca="1" t="shared" si="1826"/>
        <v>1</v>
      </c>
      <c r="F1735" s="130">
        <f ca="1" t="shared" si="1827"/>
        <v>1</v>
      </c>
      <c r="G1735" s="130">
        <f ca="1" t="shared" si="1828"/>
        <v>1</v>
      </c>
      <c r="H1735" s="130">
        <f ca="1" t="shared" si="1829"/>
        <v>1</v>
      </c>
      <c r="I1735" s="130">
        <f ca="1" t="shared" si="1830"/>
        <v>1</v>
      </c>
      <c r="J1735" s="130">
        <f ca="1" t="shared" si="1831"/>
        <v>1</v>
      </c>
      <c r="K1735" s="130">
        <f ca="1" t="shared" si="1832"/>
        <v>1</v>
      </c>
      <c r="L1735" s="130">
        <f ca="1" t="shared" si="1833"/>
        <v>1</v>
      </c>
      <c r="M1735" s="130">
        <f ca="1" t="shared" si="1834"/>
        <v>1</v>
      </c>
      <c r="N1735" s="130">
        <f ca="1" t="shared" si="1835"/>
        <v>1</v>
      </c>
      <c r="O1735" s="130">
        <f ca="1" t="shared" si="1836"/>
        <v>1</v>
      </c>
      <c r="P1735" s="130">
        <f ca="1" t="shared" si="1837"/>
        <v>1</v>
      </c>
      <c r="Q1735" s="130">
        <f ca="1" t="shared" si="1838"/>
        <v>1</v>
      </c>
      <c r="R1735" s="130">
        <f ca="1" t="shared" si="1839"/>
        <v>1</v>
      </c>
      <c r="S1735" s="130">
        <f ca="1" t="shared" si="1840"/>
        <v>1</v>
      </c>
      <c r="T1735" s="130">
        <f ca="1" t="shared" si="1841"/>
        <v>1</v>
      </c>
      <c r="U1735" s="130">
        <f ca="1" t="shared" si="1842"/>
        <v>1</v>
      </c>
      <c r="V1735" s="130">
        <f ca="1" t="shared" si="1843"/>
        <v>1</v>
      </c>
    </row>
    <row r="1736" ht="16.5" spans="2:22">
      <c r="B1736" s="117">
        <v>500</v>
      </c>
      <c r="C1736" s="130">
        <f t="shared" si="1824"/>
        <v>50000</v>
      </c>
      <c r="D1736" s="130">
        <f ca="1" t="shared" si="1825"/>
        <v>1</v>
      </c>
      <c r="E1736" s="130">
        <f ca="1" t="shared" si="1826"/>
        <v>1</v>
      </c>
      <c r="F1736" s="130">
        <f ca="1" t="shared" si="1827"/>
        <v>1</v>
      </c>
      <c r="G1736" s="130">
        <f ca="1" t="shared" si="1828"/>
        <v>1</v>
      </c>
      <c r="H1736" s="130">
        <f ca="1" t="shared" si="1829"/>
        <v>1</v>
      </c>
      <c r="I1736" s="130">
        <f ca="1" t="shared" si="1830"/>
        <v>1</v>
      </c>
      <c r="J1736" s="130">
        <f ca="1" t="shared" si="1831"/>
        <v>1</v>
      </c>
      <c r="K1736" s="130">
        <f ca="1" t="shared" si="1832"/>
        <v>1</v>
      </c>
      <c r="L1736" s="130">
        <f ca="1" t="shared" si="1833"/>
        <v>1</v>
      </c>
      <c r="M1736" s="130">
        <f ca="1" t="shared" si="1834"/>
        <v>1</v>
      </c>
      <c r="N1736" s="130">
        <f ca="1" t="shared" si="1835"/>
        <v>1</v>
      </c>
      <c r="O1736" s="130">
        <f ca="1" t="shared" si="1836"/>
        <v>1</v>
      </c>
      <c r="P1736" s="130">
        <f ca="1" t="shared" si="1837"/>
        <v>1</v>
      </c>
      <c r="Q1736" s="130">
        <f ca="1" t="shared" si="1838"/>
        <v>1</v>
      </c>
      <c r="R1736" s="130">
        <f ca="1" t="shared" si="1839"/>
        <v>1</v>
      </c>
      <c r="S1736" s="130">
        <f ca="1" t="shared" si="1840"/>
        <v>1</v>
      </c>
      <c r="T1736" s="130">
        <f ca="1" t="shared" si="1841"/>
        <v>1</v>
      </c>
      <c r="U1736" s="130">
        <f ca="1" t="shared" si="1842"/>
        <v>1</v>
      </c>
      <c r="V1736" s="130">
        <f ca="1" t="shared" si="1843"/>
        <v>1</v>
      </c>
    </row>
    <row r="1737" ht="16.5" spans="2:22">
      <c r="B1737" s="117">
        <v>501</v>
      </c>
      <c r="C1737" s="130">
        <f t="shared" si="1824"/>
        <v>50100</v>
      </c>
      <c r="D1737" s="130">
        <f ca="1" t="shared" si="1825"/>
        <v>1</v>
      </c>
      <c r="E1737" s="130">
        <f ca="1" t="shared" si="1826"/>
        <v>1</v>
      </c>
      <c r="F1737" s="130">
        <f ca="1" t="shared" si="1827"/>
        <v>1</v>
      </c>
      <c r="G1737" s="130">
        <f ca="1" t="shared" si="1828"/>
        <v>1</v>
      </c>
      <c r="H1737" s="130">
        <f ca="1" t="shared" si="1829"/>
        <v>1</v>
      </c>
      <c r="I1737" s="130">
        <f ca="1" t="shared" si="1830"/>
        <v>1</v>
      </c>
      <c r="J1737" s="130">
        <f ca="1" t="shared" si="1831"/>
        <v>1</v>
      </c>
      <c r="K1737" s="130">
        <f ca="1" t="shared" si="1832"/>
        <v>1</v>
      </c>
      <c r="L1737" s="130">
        <f ca="1" t="shared" si="1833"/>
        <v>1</v>
      </c>
      <c r="M1737" s="130">
        <f ca="1" t="shared" si="1834"/>
        <v>1</v>
      </c>
      <c r="N1737" s="130">
        <f ca="1" t="shared" si="1835"/>
        <v>1</v>
      </c>
      <c r="O1737" s="130">
        <f ca="1" t="shared" si="1836"/>
        <v>1</v>
      </c>
      <c r="P1737" s="130">
        <f ca="1" t="shared" si="1837"/>
        <v>1</v>
      </c>
      <c r="Q1737" s="130">
        <f ca="1" t="shared" si="1838"/>
        <v>1</v>
      </c>
      <c r="R1737" s="130">
        <f ca="1" t="shared" si="1839"/>
        <v>1</v>
      </c>
      <c r="S1737" s="130">
        <f ca="1" t="shared" si="1840"/>
        <v>1</v>
      </c>
      <c r="T1737" s="130">
        <f ca="1" t="shared" si="1841"/>
        <v>1</v>
      </c>
      <c r="U1737" s="130">
        <f ca="1" t="shared" si="1842"/>
        <v>1</v>
      </c>
      <c r="V1737" s="130">
        <f ca="1" t="shared" si="1843"/>
        <v>1</v>
      </c>
    </row>
    <row r="1738" ht="16.5" spans="2:22">
      <c r="B1738" s="117">
        <v>502</v>
      </c>
      <c r="C1738" s="130">
        <f t="shared" si="1824"/>
        <v>50200</v>
      </c>
      <c r="D1738" s="130">
        <f ca="1" t="shared" si="1825"/>
        <v>1</v>
      </c>
      <c r="E1738" s="130">
        <f ca="1" t="shared" si="1826"/>
        <v>1</v>
      </c>
      <c r="F1738" s="130">
        <f ca="1" t="shared" si="1827"/>
        <v>1</v>
      </c>
      <c r="G1738" s="130">
        <f ca="1" t="shared" si="1828"/>
        <v>1</v>
      </c>
      <c r="H1738" s="130">
        <f ca="1" t="shared" si="1829"/>
        <v>1</v>
      </c>
      <c r="I1738" s="130">
        <f ca="1" t="shared" si="1830"/>
        <v>1</v>
      </c>
      <c r="J1738" s="130">
        <f ca="1" t="shared" si="1831"/>
        <v>1</v>
      </c>
      <c r="K1738" s="130">
        <f ca="1" t="shared" si="1832"/>
        <v>1</v>
      </c>
      <c r="L1738" s="130">
        <f ca="1" t="shared" si="1833"/>
        <v>1</v>
      </c>
      <c r="M1738" s="130">
        <f ca="1" t="shared" si="1834"/>
        <v>1</v>
      </c>
      <c r="N1738" s="130">
        <f ca="1" t="shared" si="1835"/>
        <v>1</v>
      </c>
      <c r="O1738" s="130">
        <f ca="1" t="shared" si="1836"/>
        <v>1</v>
      </c>
      <c r="P1738" s="130">
        <f ca="1" t="shared" si="1837"/>
        <v>1</v>
      </c>
      <c r="Q1738" s="130">
        <f ca="1" t="shared" si="1838"/>
        <v>1</v>
      </c>
      <c r="R1738" s="130">
        <f ca="1" t="shared" si="1839"/>
        <v>1</v>
      </c>
      <c r="S1738" s="130">
        <f ca="1" t="shared" si="1840"/>
        <v>1</v>
      </c>
      <c r="T1738" s="130">
        <f ca="1" t="shared" si="1841"/>
        <v>1</v>
      </c>
      <c r="U1738" s="130">
        <f ca="1" t="shared" si="1842"/>
        <v>1</v>
      </c>
      <c r="V1738" s="130">
        <f ca="1" t="shared" si="1843"/>
        <v>1</v>
      </c>
    </row>
    <row r="1739" ht="16.5" spans="2:22">
      <c r="B1739" s="117">
        <v>503</v>
      </c>
      <c r="C1739" s="130">
        <f t="shared" si="1824"/>
        <v>50300</v>
      </c>
      <c r="D1739" s="130">
        <f ca="1" t="shared" si="1825"/>
        <v>1</v>
      </c>
      <c r="E1739" s="130">
        <f ca="1" t="shared" si="1826"/>
        <v>1</v>
      </c>
      <c r="F1739" s="130">
        <f ca="1" t="shared" si="1827"/>
        <v>1</v>
      </c>
      <c r="G1739" s="130">
        <f ca="1" t="shared" si="1828"/>
        <v>1</v>
      </c>
      <c r="H1739" s="130">
        <f ca="1" t="shared" si="1829"/>
        <v>1</v>
      </c>
      <c r="I1739" s="130">
        <f ca="1" t="shared" si="1830"/>
        <v>1</v>
      </c>
      <c r="J1739" s="130">
        <f ca="1" t="shared" si="1831"/>
        <v>1</v>
      </c>
      <c r="K1739" s="130">
        <f ca="1" t="shared" si="1832"/>
        <v>1</v>
      </c>
      <c r="L1739" s="130">
        <f ca="1" t="shared" si="1833"/>
        <v>1</v>
      </c>
      <c r="M1739" s="130">
        <f ca="1" t="shared" si="1834"/>
        <v>1</v>
      </c>
      <c r="N1739" s="130">
        <f ca="1" t="shared" si="1835"/>
        <v>1</v>
      </c>
      <c r="O1739" s="130">
        <f ca="1" t="shared" si="1836"/>
        <v>1</v>
      </c>
      <c r="P1739" s="130">
        <f ca="1" t="shared" si="1837"/>
        <v>1</v>
      </c>
      <c r="Q1739" s="130">
        <f ca="1" t="shared" si="1838"/>
        <v>1</v>
      </c>
      <c r="R1739" s="130">
        <f ca="1" t="shared" si="1839"/>
        <v>1</v>
      </c>
      <c r="S1739" s="130">
        <f ca="1" t="shared" si="1840"/>
        <v>1</v>
      </c>
      <c r="T1739" s="130">
        <f ca="1" t="shared" si="1841"/>
        <v>1</v>
      </c>
      <c r="U1739" s="130">
        <f ca="1" t="shared" si="1842"/>
        <v>1</v>
      </c>
      <c r="V1739" s="130">
        <f ca="1" t="shared" si="1843"/>
        <v>1</v>
      </c>
    </row>
    <row r="1740" ht="16.5" spans="2:22">
      <c r="B1740" s="117">
        <v>504</v>
      </c>
      <c r="C1740" s="130">
        <f t="shared" si="1824"/>
        <v>50400</v>
      </c>
      <c r="D1740" s="130">
        <f ca="1" t="shared" si="1825"/>
        <v>1</v>
      </c>
      <c r="E1740" s="130">
        <f ca="1" t="shared" si="1826"/>
        <v>1</v>
      </c>
      <c r="F1740" s="130">
        <f ca="1" t="shared" si="1827"/>
        <v>1</v>
      </c>
      <c r="G1740" s="130">
        <f ca="1" t="shared" si="1828"/>
        <v>1</v>
      </c>
      <c r="H1740" s="130">
        <f ca="1" t="shared" si="1829"/>
        <v>1</v>
      </c>
      <c r="I1740" s="130">
        <f ca="1" t="shared" si="1830"/>
        <v>1</v>
      </c>
      <c r="J1740" s="130">
        <f ca="1" t="shared" si="1831"/>
        <v>1</v>
      </c>
      <c r="K1740" s="130">
        <f ca="1" t="shared" si="1832"/>
        <v>1</v>
      </c>
      <c r="L1740" s="130">
        <f ca="1" t="shared" si="1833"/>
        <v>1</v>
      </c>
      <c r="M1740" s="130">
        <f ca="1" t="shared" si="1834"/>
        <v>1</v>
      </c>
      <c r="N1740" s="130">
        <f ca="1" t="shared" si="1835"/>
        <v>1</v>
      </c>
      <c r="O1740" s="130">
        <f ca="1" t="shared" si="1836"/>
        <v>1</v>
      </c>
      <c r="P1740" s="130">
        <f ca="1" t="shared" si="1837"/>
        <v>1</v>
      </c>
      <c r="Q1740" s="130">
        <f ca="1" t="shared" si="1838"/>
        <v>1</v>
      </c>
      <c r="R1740" s="130">
        <f ca="1" t="shared" si="1839"/>
        <v>1</v>
      </c>
      <c r="S1740" s="130">
        <f ca="1" t="shared" si="1840"/>
        <v>1</v>
      </c>
      <c r="T1740" s="130">
        <f ca="1" t="shared" si="1841"/>
        <v>1</v>
      </c>
      <c r="U1740" s="130">
        <f ca="1" t="shared" si="1842"/>
        <v>1</v>
      </c>
      <c r="V1740" s="130">
        <f ca="1" t="shared" si="1843"/>
        <v>1</v>
      </c>
    </row>
    <row r="1741" ht="16.5" spans="2:22">
      <c r="B1741" s="117">
        <v>505</v>
      </c>
      <c r="C1741" s="130">
        <f t="shared" si="1824"/>
        <v>50500</v>
      </c>
      <c r="D1741" s="130">
        <f ca="1" t="shared" si="1825"/>
        <v>1</v>
      </c>
      <c r="E1741" s="130">
        <f ca="1" t="shared" si="1826"/>
        <v>1</v>
      </c>
      <c r="F1741" s="130">
        <f ca="1" t="shared" si="1827"/>
        <v>1</v>
      </c>
      <c r="G1741" s="130">
        <f ca="1" t="shared" si="1828"/>
        <v>1</v>
      </c>
      <c r="H1741" s="130">
        <f ca="1" t="shared" si="1829"/>
        <v>1</v>
      </c>
      <c r="I1741" s="130">
        <f ca="1" t="shared" si="1830"/>
        <v>1</v>
      </c>
      <c r="J1741" s="130">
        <f ca="1" t="shared" si="1831"/>
        <v>1</v>
      </c>
      <c r="K1741" s="130">
        <f ca="1" t="shared" si="1832"/>
        <v>1</v>
      </c>
      <c r="L1741" s="130">
        <f ca="1" t="shared" si="1833"/>
        <v>1</v>
      </c>
      <c r="M1741" s="130">
        <f ca="1" t="shared" si="1834"/>
        <v>1</v>
      </c>
      <c r="N1741" s="130">
        <f ca="1" t="shared" si="1835"/>
        <v>1</v>
      </c>
      <c r="O1741" s="130">
        <f ca="1" t="shared" si="1836"/>
        <v>1</v>
      </c>
      <c r="P1741" s="130">
        <f ca="1" t="shared" si="1837"/>
        <v>1</v>
      </c>
      <c r="Q1741" s="130">
        <f ca="1" t="shared" si="1838"/>
        <v>1</v>
      </c>
      <c r="R1741" s="130">
        <f ca="1" t="shared" si="1839"/>
        <v>1</v>
      </c>
      <c r="S1741" s="130">
        <f ca="1" t="shared" si="1840"/>
        <v>1</v>
      </c>
      <c r="T1741" s="130">
        <f ca="1" t="shared" si="1841"/>
        <v>1</v>
      </c>
      <c r="U1741" s="130">
        <f ca="1" t="shared" si="1842"/>
        <v>1</v>
      </c>
      <c r="V1741" s="130">
        <f ca="1" t="shared" si="1843"/>
        <v>1</v>
      </c>
    </row>
    <row r="1742" ht="16.5" spans="2:22">
      <c r="B1742" s="117">
        <v>506</v>
      </c>
      <c r="C1742" s="130">
        <f t="shared" si="1824"/>
        <v>50600</v>
      </c>
      <c r="D1742" s="130">
        <f ca="1" t="shared" si="1825"/>
        <v>1</v>
      </c>
      <c r="E1742" s="130">
        <f ca="1" t="shared" si="1826"/>
        <v>1</v>
      </c>
      <c r="F1742" s="130">
        <f ca="1" t="shared" si="1827"/>
        <v>1</v>
      </c>
      <c r="G1742" s="130">
        <f ca="1" t="shared" si="1828"/>
        <v>1</v>
      </c>
      <c r="H1742" s="130">
        <f ca="1" t="shared" si="1829"/>
        <v>1</v>
      </c>
      <c r="I1742" s="130">
        <f ca="1" t="shared" si="1830"/>
        <v>1</v>
      </c>
      <c r="J1742" s="130">
        <f ca="1" t="shared" si="1831"/>
        <v>1</v>
      </c>
      <c r="K1742" s="130">
        <f ca="1" t="shared" si="1832"/>
        <v>1</v>
      </c>
      <c r="L1742" s="130">
        <f ca="1" t="shared" si="1833"/>
        <v>1</v>
      </c>
      <c r="M1742" s="130">
        <f ca="1" t="shared" si="1834"/>
        <v>1</v>
      </c>
      <c r="N1742" s="130">
        <f ca="1" t="shared" si="1835"/>
        <v>1</v>
      </c>
      <c r="O1742" s="130">
        <f ca="1" t="shared" si="1836"/>
        <v>1</v>
      </c>
      <c r="P1742" s="130">
        <f ca="1" t="shared" si="1837"/>
        <v>1</v>
      </c>
      <c r="Q1742" s="130">
        <f ca="1" t="shared" si="1838"/>
        <v>1</v>
      </c>
      <c r="R1742" s="130">
        <f ca="1" t="shared" si="1839"/>
        <v>1</v>
      </c>
      <c r="S1742" s="130">
        <f ca="1" t="shared" si="1840"/>
        <v>1</v>
      </c>
      <c r="T1742" s="130">
        <f ca="1" t="shared" si="1841"/>
        <v>1</v>
      </c>
      <c r="U1742" s="130">
        <f ca="1" t="shared" si="1842"/>
        <v>1</v>
      </c>
      <c r="V1742" s="130">
        <f ca="1" t="shared" si="1843"/>
        <v>1</v>
      </c>
    </row>
    <row r="1743" ht="16.5" spans="2:22">
      <c r="B1743" s="117">
        <v>507</v>
      </c>
      <c r="C1743" s="130">
        <f t="shared" si="1824"/>
        <v>50700</v>
      </c>
      <c r="D1743" s="130">
        <f ca="1" t="shared" si="1825"/>
        <v>1</v>
      </c>
      <c r="E1743" s="130">
        <f ca="1" t="shared" si="1826"/>
        <v>1</v>
      </c>
      <c r="F1743" s="130">
        <f ca="1" t="shared" si="1827"/>
        <v>1</v>
      </c>
      <c r="G1743" s="130">
        <f ca="1" t="shared" si="1828"/>
        <v>1</v>
      </c>
      <c r="H1743" s="130">
        <f ca="1" t="shared" si="1829"/>
        <v>1</v>
      </c>
      <c r="I1743" s="130">
        <f ca="1" t="shared" si="1830"/>
        <v>1</v>
      </c>
      <c r="J1743" s="130">
        <f ca="1" t="shared" si="1831"/>
        <v>1</v>
      </c>
      <c r="K1743" s="130">
        <f ca="1" t="shared" si="1832"/>
        <v>1</v>
      </c>
      <c r="L1743" s="130">
        <f ca="1" t="shared" si="1833"/>
        <v>1</v>
      </c>
      <c r="M1743" s="130">
        <f ca="1" t="shared" si="1834"/>
        <v>1</v>
      </c>
      <c r="N1743" s="130">
        <f ca="1" t="shared" si="1835"/>
        <v>1</v>
      </c>
      <c r="O1743" s="130">
        <f ca="1" t="shared" si="1836"/>
        <v>1</v>
      </c>
      <c r="P1743" s="130">
        <f ca="1" t="shared" si="1837"/>
        <v>1</v>
      </c>
      <c r="Q1743" s="130">
        <f ca="1" t="shared" si="1838"/>
        <v>1</v>
      </c>
      <c r="R1743" s="130">
        <f ca="1" t="shared" si="1839"/>
        <v>1</v>
      </c>
      <c r="S1743" s="130">
        <f ca="1" t="shared" si="1840"/>
        <v>1</v>
      </c>
      <c r="T1743" s="130">
        <f ca="1" t="shared" si="1841"/>
        <v>1</v>
      </c>
      <c r="U1743" s="130">
        <f ca="1" t="shared" si="1842"/>
        <v>1</v>
      </c>
      <c r="V1743" s="130">
        <f ca="1" t="shared" si="1843"/>
        <v>1</v>
      </c>
    </row>
    <row r="1744" ht="16.5" spans="2:22">
      <c r="B1744" s="117">
        <v>508</v>
      </c>
      <c r="C1744" s="130">
        <f t="shared" si="1824"/>
        <v>50800</v>
      </c>
      <c r="D1744" s="130">
        <f ca="1" t="shared" si="1825"/>
        <v>1</v>
      </c>
      <c r="E1744" s="130">
        <f ca="1" t="shared" si="1826"/>
        <v>1</v>
      </c>
      <c r="F1744" s="130">
        <f ca="1" t="shared" si="1827"/>
        <v>1</v>
      </c>
      <c r="G1744" s="130">
        <f ca="1" t="shared" si="1828"/>
        <v>1</v>
      </c>
      <c r="H1744" s="130">
        <f ca="1" t="shared" si="1829"/>
        <v>1</v>
      </c>
      <c r="I1744" s="130">
        <f ca="1" t="shared" si="1830"/>
        <v>1</v>
      </c>
      <c r="J1744" s="130">
        <f ca="1" t="shared" si="1831"/>
        <v>1</v>
      </c>
      <c r="K1744" s="130">
        <f ca="1" t="shared" si="1832"/>
        <v>1</v>
      </c>
      <c r="L1744" s="130">
        <f ca="1" t="shared" si="1833"/>
        <v>1</v>
      </c>
      <c r="M1744" s="130">
        <f ca="1" t="shared" si="1834"/>
        <v>1</v>
      </c>
      <c r="N1744" s="130">
        <f ca="1" t="shared" si="1835"/>
        <v>1</v>
      </c>
      <c r="O1744" s="130">
        <f ca="1" t="shared" si="1836"/>
        <v>1</v>
      </c>
      <c r="P1744" s="130">
        <f ca="1" t="shared" si="1837"/>
        <v>1</v>
      </c>
      <c r="Q1744" s="130">
        <f ca="1" t="shared" si="1838"/>
        <v>1</v>
      </c>
      <c r="R1744" s="130">
        <f ca="1" t="shared" si="1839"/>
        <v>1</v>
      </c>
      <c r="S1744" s="130">
        <f ca="1" t="shared" si="1840"/>
        <v>1</v>
      </c>
      <c r="T1744" s="130">
        <f ca="1" t="shared" si="1841"/>
        <v>1</v>
      </c>
      <c r="U1744" s="130">
        <f ca="1" t="shared" si="1842"/>
        <v>1</v>
      </c>
      <c r="V1744" s="130">
        <f ca="1" t="shared" si="1843"/>
        <v>1</v>
      </c>
    </row>
    <row r="1745" ht="16.5" spans="2:22">
      <c r="B1745" s="117">
        <v>509</v>
      </c>
      <c r="C1745" s="130">
        <f t="shared" si="1824"/>
        <v>50900</v>
      </c>
      <c r="D1745" s="130">
        <f ca="1" t="shared" si="1825"/>
        <v>1</v>
      </c>
      <c r="E1745" s="130">
        <f ca="1" t="shared" si="1826"/>
        <v>1</v>
      </c>
      <c r="F1745" s="130">
        <f ca="1" t="shared" si="1827"/>
        <v>1</v>
      </c>
      <c r="G1745" s="130">
        <f ca="1" t="shared" si="1828"/>
        <v>1</v>
      </c>
      <c r="H1745" s="130">
        <f ca="1" t="shared" si="1829"/>
        <v>1</v>
      </c>
      <c r="I1745" s="130">
        <f ca="1" t="shared" si="1830"/>
        <v>1</v>
      </c>
      <c r="J1745" s="130">
        <f ca="1" t="shared" si="1831"/>
        <v>1</v>
      </c>
      <c r="K1745" s="130">
        <f ca="1" t="shared" si="1832"/>
        <v>1</v>
      </c>
      <c r="L1745" s="130">
        <f ca="1" t="shared" si="1833"/>
        <v>1</v>
      </c>
      <c r="M1745" s="130">
        <f ca="1" t="shared" si="1834"/>
        <v>1</v>
      </c>
      <c r="N1745" s="130">
        <f ca="1" t="shared" si="1835"/>
        <v>1</v>
      </c>
      <c r="O1745" s="130">
        <f ca="1" t="shared" si="1836"/>
        <v>1</v>
      </c>
      <c r="P1745" s="130">
        <f ca="1" t="shared" si="1837"/>
        <v>1</v>
      </c>
      <c r="Q1745" s="130">
        <f ca="1" t="shared" si="1838"/>
        <v>1</v>
      </c>
      <c r="R1745" s="130">
        <f ca="1" t="shared" si="1839"/>
        <v>1</v>
      </c>
      <c r="S1745" s="130">
        <f ca="1" t="shared" si="1840"/>
        <v>1</v>
      </c>
      <c r="T1745" s="130">
        <f ca="1" t="shared" si="1841"/>
        <v>1</v>
      </c>
      <c r="U1745" s="130">
        <f ca="1" t="shared" si="1842"/>
        <v>1</v>
      </c>
      <c r="V1745" s="130">
        <f ca="1" t="shared" si="1843"/>
        <v>1</v>
      </c>
    </row>
    <row r="1746" ht="16.5" spans="2:22">
      <c r="B1746" s="117">
        <v>510</v>
      </c>
      <c r="C1746" s="130">
        <f t="shared" si="1824"/>
        <v>51000</v>
      </c>
      <c r="D1746" s="130">
        <f ca="1" t="shared" si="1825"/>
        <v>1</v>
      </c>
      <c r="E1746" s="130">
        <f ca="1" t="shared" si="1826"/>
        <v>1</v>
      </c>
      <c r="F1746" s="130">
        <f ca="1" t="shared" si="1827"/>
        <v>1</v>
      </c>
      <c r="G1746" s="130">
        <f ca="1" t="shared" si="1828"/>
        <v>1</v>
      </c>
      <c r="H1746" s="130">
        <f ca="1" t="shared" si="1829"/>
        <v>1</v>
      </c>
      <c r="I1746" s="130">
        <f ca="1" t="shared" si="1830"/>
        <v>1</v>
      </c>
      <c r="J1746" s="130">
        <f ca="1" t="shared" si="1831"/>
        <v>1</v>
      </c>
      <c r="K1746" s="130">
        <f ca="1" t="shared" si="1832"/>
        <v>1</v>
      </c>
      <c r="L1746" s="130">
        <f ca="1" t="shared" si="1833"/>
        <v>1</v>
      </c>
      <c r="M1746" s="130">
        <f ca="1" t="shared" si="1834"/>
        <v>1</v>
      </c>
      <c r="N1746" s="130">
        <f ca="1" t="shared" si="1835"/>
        <v>1</v>
      </c>
      <c r="O1746" s="130">
        <f ca="1" t="shared" si="1836"/>
        <v>1</v>
      </c>
      <c r="P1746" s="130">
        <f ca="1" t="shared" si="1837"/>
        <v>1</v>
      </c>
      <c r="Q1746" s="130">
        <f ca="1" t="shared" si="1838"/>
        <v>1</v>
      </c>
      <c r="R1746" s="130">
        <f ca="1" t="shared" si="1839"/>
        <v>1</v>
      </c>
      <c r="S1746" s="130">
        <f ca="1" t="shared" si="1840"/>
        <v>1</v>
      </c>
      <c r="T1746" s="130">
        <f ca="1" t="shared" si="1841"/>
        <v>1</v>
      </c>
      <c r="U1746" s="130">
        <f ca="1" t="shared" si="1842"/>
        <v>1</v>
      </c>
      <c r="V1746" s="130">
        <f ca="1" t="shared" si="1843"/>
        <v>1</v>
      </c>
    </row>
    <row r="1747" ht="16.5" spans="2:22">
      <c r="B1747" s="117">
        <v>511</v>
      </c>
      <c r="C1747" s="130">
        <f t="shared" si="1824"/>
        <v>51100</v>
      </c>
      <c r="D1747" s="130">
        <f ca="1" t="shared" si="1825"/>
        <v>1</v>
      </c>
      <c r="E1747" s="130">
        <f ca="1" t="shared" si="1826"/>
        <v>1</v>
      </c>
      <c r="F1747" s="130">
        <f ca="1" t="shared" si="1827"/>
        <v>1</v>
      </c>
      <c r="G1747" s="130">
        <f ca="1" t="shared" si="1828"/>
        <v>1</v>
      </c>
      <c r="H1747" s="130">
        <f ca="1" t="shared" si="1829"/>
        <v>1</v>
      </c>
      <c r="I1747" s="130">
        <f ca="1" t="shared" si="1830"/>
        <v>1</v>
      </c>
      <c r="J1747" s="130">
        <f ca="1" t="shared" si="1831"/>
        <v>1</v>
      </c>
      <c r="K1747" s="130">
        <f ca="1" t="shared" si="1832"/>
        <v>1</v>
      </c>
      <c r="L1747" s="130">
        <f ca="1" t="shared" si="1833"/>
        <v>1</v>
      </c>
      <c r="M1747" s="130">
        <f ca="1" t="shared" si="1834"/>
        <v>1</v>
      </c>
      <c r="N1747" s="130">
        <f ca="1" t="shared" si="1835"/>
        <v>1</v>
      </c>
      <c r="O1747" s="130">
        <f ca="1" t="shared" si="1836"/>
        <v>1</v>
      </c>
      <c r="P1747" s="130">
        <f ca="1" t="shared" si="1837"/>
        <v>1</v>
      </c>
      <c r="Q1747" s="130">
        <f ca="1" t="shared" si="1838"/>
        <v>1</v>
      </c>
      <c r="R1747" s="130">
        <f ca="1" t="shared" si="1839"/>
        <v>1</v>
      </c>
      <c r="S1747" s="130">
        <f ca="1" t="shared" si="1840"/>
        <v>1</v>
      </c>
      <c r="T1747" s="130">
        <f ca="1" t="shared" si="1841"/>
        <v>1</v>
      </c>
      <c r="U1747" s="130">
        <f ca="1" t="shared" si="1842"/>
        <v>1</v>
      </c>
      <c r="V1747" s="130">
        <f ca="1" t="shared" si="1843"/>
        <v>1</v>
      </c>
    </row>
    <row r="1748" ht="16.5" spans="2:22">
      <c r="B1748" s="117">
        <v>512</v>
      </c>
      <c r="C1748" s="130">
        <f t="shared" si="1824"/>
        <v>51200</v>
      </c>
      <c r="D1748" s="130">
        <f ca="1" t="shared" si="1825"/>
        <v>1</v>
      </c>
      <c r="E1748" s="130">
        <f ca="1" t="shared" si="1826"/>
        <v>1</v>
      </c>
      <c r="F1748" s="130">
        <f ca="1" t="shared" si="1827"/>
        <v>1</v>
      </c>
      <c r="G1748" s="130">
        <f ca="1" t="shared" si="1828"/>
        <v>1</v>
      </c>
      <c r="H1748" s="130">
        <f ca="1" t="shared" si="1829"/>
        <v>1</v>
      </c>
      <c r="I1748" s="130">
        <f ca="1" t="shared" si="1830"/>
        <v>1</v>
      </c>
      <c r="J1748" s="130">
        <f ca="1" t="shared" si="1831"/>
        <v>1</v>
      </c>
      <c r="K1748" s="130">
        <f ca="1" t="shared" si="1832"/>
        <v>1</v>
      </c>
      <c r="L1748" s="130">
        <f ca="1" t="shared" si="1833"/>
        <v>1</v>
      </c>
      <c r="M1748" s="130">
        <f ca="1" t="shared" si="1834"/>
        <v>1</v>
      </c>
      <c r="N1748" s="130">
        <f ca="1" t="shared" si="1835"/>
        <v>1</v>
      </c>
      <c r="O1748" s="130">
        <f ca="1" t="shared" si="1836"/>
        <v>1</v>
      </c>
      <c r="P1748" s="130">
        <f ca="1" t="shared" si="1837"/>
        <v>1</v>
      </c>
      <c r="Q1748" s="130">
        <f ca="1" t="shared" si="1838"/>
        <v>1</v>
      </c>
      <c r="R1748" s="130">
        <f ca="1" t="shared" si="1839"/>
        <v>1</v>
      </c>
      <c r="S1748" s="130">
        <f ca="1" t="shared" si="1840"/>
        <v>1</v>
      </c>
      <c r="T1748" s="130">
        <f ca="1" t="shared" si="1841"/>
        <v>1</v>
      </c>
      <c r="U1748" s="130">
        <f ca="1" t="shared" si="1842"/>
        <v>1</v>
      </c>
      <c r="V1748" s="130">
        <f ca="1" t="shared" si="1843"/>
        <v>1</v>
      </c>
    </row>
    <row r="1749" ht="16.5" spans="2:22">
      <c r="B1749" s="117">
        <v>513</v>
      </c>
      <c r="C1749" s="130">
        <f t="shared" si="1824"/>
        <v>51300</v>
      </c>
      <c r="D1749" s="130">
        <f ca="1" t="shared" si="1825"/>
        <v>1</v>
      </c>
      <c r="E1749" s="130">
        <f ca="1" t="shared" si="1826"/>
        <v>1</v>
      </c>
      <c r="F1749" s="130">
        <f ca="1" t="shared" si="1827"/>
        <v>1</v>
      </c>
      <c r="G1749" s="130">
        <f ca="1" t="shared" si="1828"/>
        <v>1</v>
      </c>
      <c r="H1749" s="130">
        <f ca="1" t="shared" si="1829"/>
        <v>1</v>
      </c>
      <c r="I1749" s="130">
        <f ca="1" t="shared" si="1830"/>
        <v>1</v>
      </c>
      <c r="J1749" s="130">
        <f ca="1" t="shared" si="1831"/>
        <v>1</v>
      </c>
      <c r="K1749" s="130">
        <f ca="1" t="shared" si="1832"/>
        <v>1</v>
      </c>
      <c r="L1749" s="130">
        <f ca="1" t="shared" si="1833"/>
        <v>1</v>
      </c>
      <c r="M1749" s="130">
        <f ca="1" t="shared" si="1834"/>
        <v>1</v>
      </c>
      <c r="N1749" s="130">
        <f ca="1" t="shared" si="1835"/>
        <v>1</v>
      </c>
      <c r="O1749" s="130">
        <f ca="1" t="shared" si="1836"/>
        <v>1</v>
      </c>
      <c r="P1749" s="130">
        <f ca="1" t="shared" si="1837"/>
        <v>1</v>
      </c>
      <c r="Q1749" s="130">
        <f ca="1" t="shared" si="1838"/>
        <v>1</v>
      </c>
      <c r="R1749" s="130">
        <f ca="1" t="shared" si="1839"/>
        <v>1</v>
      </c>
      <c r="S1749" s="130">
        <f ca="1" t="shared" si="1840"/>
        <v>1</v>
      </c>
      <c r="T1749" s="130">
        <f ca="1" t="shared" si="1841"/>
        <v>1</v>
      </c>
      <c r="U1749" s="130">
        <f ca="1" t="shared" si="1842"/>
        <v>1</v>
      </c>
      <c r="V1749" s="130">
        <f ca="1" t="shared" si="1843"/>
        <v>1</v>
      </c>
    </row>
    <row r="1750" ht="16.5" spans="2:22">
      <c r="B1750" s="117">
        <v>514</v>
      </c>
      <c r="C1750" s="130">
        <f t="shared" si="1824"/>
        <v>51400</v>
      </c>
      <c r="D1750" s="130">
        <f ca="1" t="shared" si="1825"/>
        <v>1</v>
      </c>
      <c r="E1750" s="130">
        <f ca="1" t="shared" si="1826"/>
        <v>1</v>
      </c>
      <c r="F1750" s="130">
        <f ca="1" t="shared" si="1827"/>
        <v>1</v>
      </c>
      <c r="G1750" s="130">
        <f ca="1" t="shared" si="1828"/>
        <v>1</v>
      </c>
      <c r="H1750" s="130">
        <f ca="1" t="shared" si="1829"/>
        <v>1</v>
      </c>
      <c r="I1750" s="130">
        <f ca="1" t="shared" si="1830"/>
        <v>1</v>
      </c>
      <c r="J1750" s="130">
        <f ca="1" t="shared" si="1831"/>
        <v>1</v>
      </c>
      <c r="K1750" s="130">
        <f ca="1" t="shared" si="1832"/>
        <v>1</v>
      </c>
      <c r="L1750" s="130">
        <f ca="1" t="shared" si="1833"/>
        <v>1</v>
      </c>
      <c r="M1750" s="130">
        <f ca="1" t="shared" si="1834"/>
        <v>1</v>
      </c>
      <c r="N1750" s="130">
        <f ca="1" t="shared" si="1835"/>
        <v>1</v>
      </c>
      <c r="O1750" s="130">
        <f ca="1" t="shared" si="1836"/>
        <v>1</v>
      </c>
      <c r="P1750" s="130">
        <f ca="1" t="shared" si="1837"/>
        <v>1</v>
      </c>
      <c r="Q1750" s="130">
        <f ca="1" t="shared" si="1838"/>
        <v>1</v>
      </c>
      <c r="R1750" s="130">
        <f ca="1" t="shared" si="1839"/>
        <v>1</v>
      </c>
      <c r="S1750" s="130">
        <f ca="1" t="shared" si="1840"/>
        <v>1</v>
      </c>
      <c r="T1750" s="130">
        <f ca="1" t="shared" si="1841"/>
        <v>1</v>
      </c>
      <c r="U1750" s="130">
        <f ca="1" t="shared" si="1842"/>
        <v>1</v>
      </c>
      <c r="V1750" s="130">
        <f ca="1" t="shared" si="1843"/>
        <v>1</v>
      </c>
    </row>
    <row r="1751" ht="16.5" spans="2:22">
      <c r="B1751" s="117">
        <v>515</v>
      </c>
      <c r="C1751" s="130">
        <f t="shared" si="1824"/>
        <v>51500</v>
      </c>
      <c r="D1751" s="130">
        <f ca="1" t="shared" si="1825"/>
        <v>1</v>
      </c>
      <c r="E1751" s="130">
        <f ca="1" t="shared" si="1826"/>
        <v>1</v>
      </c>
      <c r="F1751" s="130">
        <f ca="1" t="shared" si="1827"/>
        <v>1</v>
      </c>
      <c r="G1751" s="130">
        <f ca="1" t="shared" si="1828"/>
        <v>1</v>
      </c>
      <c r="H1751" s="130">
        <f ca="1" t="shared" si="1829"/>
        <v>1</v>
      </c>
      <c r="I1751" s="130">
        <f ca="1" t="shared" si="1830"/>
        <v>1</v>
      </c>
      <c r="J1751" s="130">
        <f ca="1" t="shared" si="1831"/>
        <v>1</v>
      </c>
      <c r="K1751" s="130">
        <f ca="1" t="shared" si="1832"/>
        <v>1</v>
      </c>
      <c r="L1751" s="130">
        <f ca="1" t="shared" si="1833"/>
        <v>1</v>
      </c>
      <c r="M1751" s="130">
        <f ca="1" t="shared" si="1834"/>
        <v>1</v>
      </c>
      <c r="N1751" s="130">
        <f ca="1" t="shared" si="1835"/>
        <v>1</v>
      </c>
      <c r="O1751" s="130">
        <f ca="1" t="shared" si="1836"/>
        <v>1</v>
      </c>
      <c r="P1751" s="130">
        <f ca="1" t="shared" si="1837"/>
        <v>1</v>
      </c>
      <c r="Q1751" s="130">
        <f ca="1" t="shared" si="1838"/>
        <v>1</v>
      </c>
      <c r="R1751" s="130">
        <f ca="1" t="shared" si="1839"/>
        <v>1</v>
      </c>
      <c r="S1751" s="130">
        <f ca="1" t="shared" si="1840"/>
        <v>1</v>
      </c>
      <c r="T1751" s="130">
        <f ca="1" t="shared" si="1841"/>
        <v>1</v>
      </c>
      <c r="U1751" s="130">
        <f ca="1" t="shared" si="1842"/>
        <v>1</v>
      </c>
      <c r="V1751" s="130">
        <f ca="1" t="shared" si="1843"/>
        <v>1</v>
      </c>
    </row>
    <row r="1752" ht="16.5" spans="2:22">
      <c r="B1752" s="117">
        <v>516</v>
      </c>
      <c r="C1752" s="130">
        <f t="shared" si="1824"/>
        <v>51600</v>
      </c>
      <c r="D1752" s="130">
        <f ca="1" t="shared" si="1825"/>
        <v>1</v>
      </c>
      <c r="E1752" s="130">
        <f ca="1" t="shared" si="1826"/>
        <v>1</v>
      </c>
      <c r="F1752" s="130">
        <f ca="1" t="shared" si="1827"/>
        <v>1</v>
      </c>
      <c r="G1752" s="130">
        <f ca="1" t="shared" si="1828"/>
        <v>1</v>
      </c>
      <c r="H1752" s="130">
        <f ca="1" t="shared" si="1829"/>
        <v>1</v>
      </c>
      <c r="I1752" s="130">
        <f ca="1" t="shared" si="1830"/>
        <v>1</v>
      </c>
      <c r="J1752" s="130">
        <f ca="1" t="shared" si="1831"/>
        <v>1</v>
      </c>
      <c r="K1752" s="130">
        <f ca="1" t="shared" si="1832"/>
        <v>1</v>
      </c>
      <c r="L1752" s="130">
        <f ca="1" t="shared" si="1833"/>
        <v>1</v>
      </c>
      <c r="M1752" s="130">
        <f ca="1" t="shared" si="1834"/>
        <v>1</v>
      </c>
      <c r="N1752" s="130">
        <f ca="1" t="shared" si="1835"/>
        <v>1</v>
      </c>
      <c r="O1752" s="130">
        <f ca="1" t="shared" si="1836"/>
        <v>1</v>
      </c>
      <c r="P1752" s="130">
        <f ca="1" t="shared" si="1837"/>
        <v>1</v>
      </c>
      <c r="Q1752" s="130">
        <f ca="1" t="shared" si="1838"/>
        <v>1</v>
      </c>
      <c r="R1752" s="130">
        <f ca="1" t="shared" si="1839"/>
        <v>1</v>
      </c>
      <c r="S1752" s="130">
        <f ca="1" t="shared" si="1840"/>
        <v>1</v>
      </c>
      <c r="T1752" s="130">
        <f ca="1" t="shared" si="1841"/>
        <v>1</v>
      </c>
      <c r="U1752" s="130">
        <f ca="1" t="shared" si="1842"/>
        <v>1</v>
      </c>
      <c r="V1752" s="130">
        <f ca="1" t="shared" si="1843"/>
        <v>1</v>
      </c>
    </row>
    <row r="1753" ht="16.5" spans="2:22">
      <c r="B1753" s="117">
        <v>517</v>
      </c>
      <c r="C1753" s="130">
        <f t="shared" si="1824"/>
        <v>51700</v>
      </c>
      <c r="D1753" s="130">
        <f ca="1" t="shared" si="1825"/>
        <v>1</v>
      </c>
      <c r="E1753" s="130">
        <f ca="1" t="shared" si="1826"/>
        <v>1</v>
      </c>
      <c r="F1753" s="130">
        <f ca="1" t="shared" si="1827"/>
        <v>1</v>
      </c>
      <c r="G1753" s="130">
        <f ca="1" t="shared" si="1828"/>
        <v>1</v>
      </c>
      <c r="H1753" s="130">
        <f ca="1" t="shared" si="1829"/>
        <v>1</v>
      </c>
      <c r="I1753" s="130">
        <f ca="1" t="shared" si="1830"/>
        <v>1</v>
      </c>
      <c r="J1753" s="130">
        <f ca="1" t="shared" si="1831"/>
        <v>1</v>
      </c>
      <c r="K1753" s="130">
        <f ca="1" t="shared" si="1832"/>
        <v>1</v>
      </c>
      <c r="L1753" s="130">
        <f ca="1" t="shared" si="1833"/>
        <v>1</v>
      </c>
      <c r="M1753" s="130">
        <f ca="1" t="shared" si="1834"/>
        <v>1</v>
      </c>
      <c r="N1753" s="130">
        <f ca="1" t="shared" si="1835"/>
        <v>1</v>
      </c>
      <c r="O1753" s="130">
        <f ca="1" t="shared" si="1836"/>
        <v>1</v>
      </c>
      <c r="P1753" s="130">
        <f ca="1" t="shared" si="1837"/>
        <v>1</v>
      </c>
      <c r="Q1753" s="130">
        <f ca="1" t="shared" si="1838"/>
        <v>1</v>
      </c>
      <c r="R1753" s="130">
        <f ca="1" t="shared" si="1839"/>
        <v>1</v>
      </c>
      <c r="S1753" s="130">
        <f ca="1" t="shared" si="1840"/>
        <v>1</v>
      </c>
      <c r="T1753" s="130">
        <f ca="1" t="shared" si="1841"/>
        <v>1</v>
      </c>
      <c r="U1753" s="130">
        <f ca="1" t="shared" si="1842"/>
        <v>1</v>
      </c>
      <c r="V1753" s="130">
        <f ca="1" t="shared" si="1843"/>
        <v>1</v>
      </c>
    </row>
    <row r="1754" ht="16.5" spans="2:22">
      <c r="B1754" s="117">
        <v>518</v>
      </c>
      <c r="C1754" s="130">
        <f t="shared" si="1824"/>
        <v>51800</v>
      </c>
      <c r="D1754" s="130">
        <f ca="1" t="shared" si="1825"/>
        <v>1</v>
      </c>
      <c r="E1754" s="130">
        <f ca="1" t="shared" si="1826"/>
        <v>1</v>
      </c>
      <c r="F1754" s="130">
        <f ca="1" t="shared" si="1827"/>
        <v>1</v>
      </c>
      <c r="G1754" s="130">
        <f ca="1" t="shared" si="1828"/>
        <v>1</v>
      </c>
      <c r="H1754" s="130">
        <f ca="1" t="shared" si="1829"/>
        <v>1</v>
      </c>
      <c r="I1754" s="130">
        <f ca="1" t="shared" si="1830"/>
        <v>1</v>
      </c>
      <c r="J1754" s="130">
        <f ca="1" t="shared" si="1831"/>
        <v>1</v>
      </c>
      <c r="K1754" s="130">
        <f ca="1" t="shared" si="1832"/>
        <v>1</v>
      </c>
      <c r="L1754" s="130">
        <f ca="1" t="shared" si="1833"/>
        <v>1</v>
      </c>
      <c r="M1754" s="130">
        <f ca="1" t="shared" si="1834"/>
        <v>1</v>
      </c>
      <c r="N1754" s="130">
        <f ca="1" t="shared" si="1835"/>
        <v>1</v>
      </c>
      <c r="O1754" s="130">
        <f ca="1" t="shared" si="1836"/>
        <v>1</v>
      </c>
      <c r="P1754" s="130">
        <f ca="1" t="shared" si="1837"/>
        <v>1</v>
      </c>
      <c r="Q1754" s="130">
        <f ca="1" t="shared" si="1838"/>
        <v>1</v>
      </c>
      <c r="R1754" s="130">
        <f ca="1" t="shared" si="1839"/>
        <v>1</v>
      </c>
      <c r="S1754" s="130">
        <f ca="1" t="shared" si="1840"/>
        <v>1</v>
      </c>
      <c r="T1754" s="130">
        <f ca="1" t="shared" si="1841"/>
        <v>1</v>
      </c>
      <c r="U1754" s="130">
        <f ca="1" t="shared" si="1842"/>
        <v>1</v>
      </c>
      <c r="V1754" s="130">
        <f ca="1" t="shared" si="1843"/>
        <v>1</v>
      </c>
    </row>
    <row r="1755" ht="16.5" spans="2:22">
      <c r="B1755" s="117">
        <v>519</v>
      </c>
      <c r="C1755" s="130">
        <f t="shared" si="1824"/>
        <v>51900</v>
      </c>
      <c r="D1755" s="130">
        <f ca="1" t="shared" si="1825"/>
        <v>1</v>
      </c>
      <c r="E1755" s="130">
        <f ca="1" t="shared" si="1826"/>
        <v>1</v>
      </c>
      <c r="F1755" s="130">
        <f ca="1" t="shared" si="1827"/>
        <v>1</v>
      </c>
      <c r="G1755" s="130">
        <f ca="1" t="shared" si="1828"/>
        <v>1</v>
      </c>
      <c r="H1755" s="130">
        <f ca="1" t="shared" si="1829"/>
        <v>1</v>
      </c>
      <c r="I1755" s="130">
        <f ca="1" t="shared" si="1830"/>
        <v>1</v>
      </c>
      <c r="J1755" s="130">
        <f ca="1" t="shared" si="1831"/>
        <v>1</v>
      </c>
      <c r="K1755" s="130">
        <f ca="1" t="shared" si="1832"/>
        <v>1</v>
      </c>
      <c r="L1755" s="130">
        <f ca="1" t="shared" si="1833"/>
        <v>1</v>
      </c>
      <c r="M1755" s="130">
        <f ca="1" t="shared" si="1834"/>
        <v>1</v>
      </c>
      <c r="N1755" s="130">
        <f ca="1" t="shared" si="1835"/>
        <v>1</v>
      </c>
      <c r="O1755" s="130">
        <f ca="1" t="shared" si="1836"/>
        <v>1</v>
      </c>
      <c r="P1755" s="130">
        <f ca="1" t="shared" si="1837"/>
        <v>1</v>
      </c>
      <c r="Q1755" s="130">
        <f ca="1" t="shared" si="1838"/>
        <v>1</v>
      </c>
      <c r="R1755" s="130">
        <f ca="1" t="shared" si="1839"/>
        <v>1</v>
      </c>
      <c r="S1755" s="130">
        <f ca="1" t="shared" si="1840"/>
        <v>1</v>
      </c>
      <c r="T1755" s="130">
        <f ca="1" t="shared" si="1841"/>
        <v>1</v>
      </c>
      <c r="U1755" s="130">
        <f ca="1" t="shared" si="1842"/>
        <v>1</v>
      </c>
      <c r="V1755" s="130">
        <f ca="1" t="shared" si="1843"/>
        <v>1</v>
      </c>
    </row>
    <row r="1756" ht="16.5" spans="2:22">
      <c r="B1756" s="117">
        <v>520</v>
      </c>
      <c r="C1756" s="130">
        <f t="shared" si="1824"/>
        <v>52000</v>
      </c>
      <c r="D1756" s="130">
        <f ca="1" t="shared" si="1825"/>
        <v>1</v>
      </c>
      <c r="E1756" s="130">
        <f ca="1" t="shared" si="1826"/>
        <v>1</v>
      </c>
      <c r="F1756" s="130">
        <f ca="1" t="shared" si="1827"/>
        <v>1</v>
      </c>
      <c r="G1756" s="130">
        <f ca="1" t="shared" si="1828"/>
        <v>1</v>
      </c>
      <c r="H1756" s="130">
        <f ca="1" t="shared" si="1829"/>
        <v>1</v>
      </c>
      <c r="I1756" s="130">
        <f ca="1" t="shared" si="1830"/>
        <v>1</v>
      </c>
      <c r="J1756" s="130">
        <f ca="1" t="shared" si="1831"/>
        <v>1</v>
      </c>
      <c r="K1756" s="130">
        <f ca="1" t="shared" si="1832"/>
        <v>1</v>
      </c>
      <c r="L1756" s="130">
        <f ca="1" t="shared" si="1833"/>
        <v>1</v>
      </c>
      <c r="M1756" s="130">
        <f ca="1" t="shared" si="1834"/>
        <v>1</v>
      </c>
      <c r="N1756" s="130">
        <f ca="1" t="shared" si="1835"/>
        <v>1</v>
      </c>
      <c r="O1756" s="130">
        <f ca="1" t="shared" si="1836"/>
        <v>1</v>
      </c>
      <c r="P1756" s="130">
        <f ca="1" t="shared" si="1837"/>
        <v>1</v>
      </c>
      <c r="Q1756" s="130">
        <f ca="1" t="shared" si="1838"/>
        <v>1</v>
      </c>
      <c r="R1756" s="130">
        <f ca="1" t="shared" si="1839"/>
        <v>1</v>
      </c>
      <c r="S1756" s="130">
        <f ca="1" t="shared" si="1840"/>
        <v>1</v>
      </c>
      <c r="T1756" s="130">
        <f ca="1" t="shared" si="1841"/>
        <v>1</v>
      </c>
      <c r="U1756" s="130">
        <f ca="1" t="shared" si="1842"/>
        <v>1</v>
      </c>
      <c r="V1756" s="130">
        <f ca="1" t="shared" si="1843"/>
        <v>1</v>
      </c>
    </row>
    <row r="1757" ht="16.5" spans="2:22">
      <c r="B1757" s="117">
        <v>521</v>
      </c>
      <c r="C1757" s="130">
        <f t="shared" si="1824"/>
        <v>52100</v>
      </c>
      <c r="D1757" s="130">
        <f ca="1" t="shared" si="1825"/>
        <v>1</v>
      </c>
      <c r="E1757" s="130">
        <f ca="1" t="shared" si="1826"/>
        <v>1</v>
      </c>
      <c r="F1757" s="130">
        <f ca="1" t="shared" si="1827"/>
        <v>1</v>
      </c>
      <c r="G1757" s="130">
        <f ca="1" t="shared" si="1828"/>
        <v>1</v>
      </c>
      <c r="H1757" s="130">
        <f ca="1" t="shared" si="1829"/>
        <v>1</v>
      </c>
      <c r="I1757" s="130">
        <f ca="1" t="shared" si="1830"/>
        <v>1</v>
      </c>
      <c r="J1757" s="130">
        <f ca="1" t="shared" si="1831"/>
        <v>1</v>
      </c>
      <c r="K1757" s="130">
        <f ca="1" t="shared" si="1832"/>
        <v>1</v>
      </c>
      <c r="L1757" s="130">
        <f ca="1" t="shared" si="1833"/>
        <v>1</v>
      </c>
      <c r="M1757" s="130">
        <f ca="1" t="shared" si="1834"/>
        <v>1</v>
      </c>
      <c r="N1757" s="130">
        <f ca="1" t="shared" si="1835"/>
        <v>1</v>
      </c>
      <c r="O1757" s="130">
        <f ca="1" t="shared" si="1836"/>
        <v>1</v>
      </c>
      <c r="P1757" s="130">
        <f ca="1" t="shared" si="1837"/>
        <v>1</v>
      </c>
      <c r="Q1757" s="130">
        <f ca="1" t="shared" si="1838"/>
        <v>1</v>
      </c>
      <c r="R1757" s="130">
        <f ca="1" t="shared" si="1839"/>
        <v>1</v>
      </c>
      <c r="S1757" s="130">
        <f ca="1" t="shared" si="1840"/>
        <v>1</v>
      </c>
      <c r="T1757" s="130">
        <f ca="1" t="shared" si="1841"/>
        <v>1</v>
      </c>
      <c r="U1757" s="130">
        <f ca="1" t="shared" si="1842"/>
        <v>1</v>
      </c>
      <c r="V1757" s="130">
        <f ca="1" t="shared" si="1843"/>
        <v>1</v>
      </c>
    </row>
    <row r="1758" ht="16.5" spans="2:22">
      <c r="B1758" s="117">
        <v>522</v>
      </c>
      <c r="C1758" s="130">
        <f t="shared" si="1824"/>
        <v>52200</v>
      </c>
      <c r="D1758" s="130">
        <f ca="1" t="shared" si="1825"/>
        <v>1</v>
      </c>
      <c r="E1758" s="130">
        <f ca="1" t="shared" si="1826"/>
        <v>1</v>
      </c>
      <c r="F1758" s="130">
        <f ca="1" t="shared" si="1827"/>
        <v>1</v>
      </c>
      <c r="G1758" s="130">
        <f ca="1" t="shared" si="1828"/>
        <v>1</v>
      </c>
      <c r="H1758" s="130">
        <f ca="1" t="shared" si="1829"/>
        <v>1</v>
      </c>
      <c r="I1758" s="130">
        <f ca="1" t="shared" si="1830"/>
        <v>1</v>
      </c>
      <c r="J1758" s="130">
        <f ca="1" t="shared" si="1831"/>
        <v>1</v>
      </c>
      <c r="K1758" s="130">
        <f ca="1" t="shared" si="1832"/>
        <v>1</v>
      </c>
      <c r="L1758" s="130">
        <f ca="1" t="shared" si="1833"/>
        <v>1</v>
      </c>
      <c r="M1758" s="130">
        <f ca="1" t="shared" si="1834"/>
        <v>1</v>
      </c>
      <c r="N1758" s="130">
        <f ca="1" t="shared" si="1835"/>
        <v>1</v>
      </c>
      <c r="O1758" s="130">
        <f ca="1" t="shared" si="1836"/>
        <v>1</v>
      </c>
      <c r="P1758" s="130">
        <f ca="1" t="shared" si="1837"/>
        <v>1</v>
      </c>
      <c r="Q1758" s="130">
        <f ca="1" t="shared" si="1838"/>
        <v>1</v>
      </c>
      <c r="R1758" s="130">
        <f ca="1" t="shared" si="1839"/>
        <v>1</v>
      </c>
      <c r="S1758" s="130">
        <f ca="1" t="shared" si="1840"/>
        <v>1</v>
      </c>
      <c r="T1758" s="130">
        <f ca="1" t="shared" si="1841"/>
        <v>1</v>
      </c>
      <c r="U1758" s="130">
        <f ca="1" t="shared" si="1842"/>
        <v>1</v>
      </c>
      <c r="V1758" s="130">
        <f ca="1" t="shared" si="1843"/>
        <v>1</v>
      </c>
    </row>
    <row r="1759" ht="16.5" spans="2:22">
      <c r="B1759" s="117">
        <v>523</v>
      </c>
      <c r="C1759" s="130">
        <f t="shared" si="1824"/>
        <v>52300</v>
      </c>
      <c r="D1759" s="130">
        <f ca="1" t="shared" si="1825"/>
        <v>1</v>
      </c>
      <c r="E1759" s="130">
        <f ca="1" t="shared" si="1826"/>
        <v>1</v>
      </c>
      <c r="F1759" s="130">
        <f ca="1" t="shared" si="1827"/>
        <v>1</v>
      </c>
      <c r="G1759" s="130">
        <f ca="1" t="shared" si="1828"/>
        <v>1</v>
      </c>
      <c r="H1759" s="130">
        <f ca="1" t="shared" si="1829"/>
        <v>1</v>
      </c>
      <c r="I1759" s="130">
        <f ca="1" t="shared" si="1830"/>
        <v>1</v>
      </c>
      <c r="J1759" s="130">
        <f ca="1" t="shared" si="1831"/>
        <v>1</v>
      </c>
      <c r="K1759" s="130">
        <f ca="1" t="shared" si="1832"/>
        <v>1</v>
      </c>
      <c r="L1759" s="130">
        <f ca="1" t="shared" si="1833"/>
        <v>1</v>
      </c>
      <c r="M1759" s="130">
        <f ca="1" t="shared" si="1834"/>
        <v>1</v>
      </c>
      <c r="N1759" s="130">
        <f ca="1" t="shared" si="1835"/>
        <v>1</v>
      </c>
      <c r="O1759" s="130">
        <f ca="1" t="shared" si="1836"/>
        <v>1</v>
      </c>
      <c r="P1759" s="130">
        <f ca="1" t="shared" si="1837"/>
        <v>1</v>
      </c>
      <c r="Q1759" s="130">
        <f ca="1" t="shared" si="1838"/>
        <v>1</v>
      </c>
      <c r="R1759" s="130">
        <f ca="1" t="shared" si="1839"/>
        <v>1</v>
      </c>
      <c r="S1759" s="130">
        <f ca="1" t="shared" si="1840"/>
        <v>1</v>
      </c>
      <c r="T1759" s="130">
        <f ca="1" t="shared" si="1841"/>
        <v>1</v>
      </c>
      <c r="U1759" s="130">
        <f ca="1" t="shared" si="1842"/>
        <v>1</v>
      </c>
      <c r="V1759" s="130">
        <f ca="1" t="shared" si="1843"/>
        <v>1</v>
      </c>
    </row>
    <row r="1760" ht="16.5" spans="2:22">
      <c r="B1760" s="117">
        <v>524</v>
      </c>
      <c r="C1760" s="130">
        <f t="shared" si="1824"/>
        <v>52400</v>
      </c>
      <c r="D1760" s="130">
        <f ca="1" t="shared" si="1825"/>
        <v>1</v>
      </c>
      <c r="E1760" s="130">
        <f ca="1" t="shared" si="1826"/>
        <v>1</v>
      </c>
      <c r="F1760" s="130">
        <f ca="1" t="shared" si="1827"/>
        <v>1</v>
      </c>
      <c r="G1760" s="130">
        <f ca="1" t="shared" si="1828"/>
        <v>1</v>
      </c>
      <c r="H1760" s="130">
        <f ca="1" t="shared" si="1829"/>
        <v>1</v>
      </c>
      <c r="I1760" s="130">
        <f ca="1" t="shared" si="1830"/>
        <v>1</v>
      </c>
      <c r="J1760" s="130">
        <f ca="1" t="shared" si="1831"/>
        <v>1</v>
      </c>
      <c r="K1760" s="130">
        <f ca="1" t="shared" si="1832"/>
        <v>1</v>
      </c>
      <c r="L1760" s="130">
        <f ca="1" t="shared" si="1833"/>
        <v>1</v>
      </c>
      <c r="M1760" s="130">
        <f ca="1" t="shared" si="1834"/>
        <v>1</v>
      </c>
      <c r="N1760" s="130">
        <f ca="1" t="shared" si="1835"/>
        <v>1</v>
      </c>
      <c r="O1760" s="130">
        <f ca="1" t="shared" si="1836"/>
        <v>1</v>
      </c>
      <c r="P1760" s="130">
        <f ca="1" t="shared" si="1837"/>
        <v>1</v>
      </c>
      <c r="Q1760" s="130">
        <f ca="1" t="shared" si="1838"/>
        <v>1</v>
      </c>
      <c r="R1760" s="130">
        <f ca="1" t="shared" si="1839"/>
        <v>1</v>
      </c>
      <c r="S1760" s="130">
        <f ca="1" t="shared" si="1840"/>
        <v>1</v>
      </c>
      <c r="T1760" s="130">
        <f ca="1" t="shared" si="1841"/>
        <v>1</v>
      </c>
      <c r="U1760" s="130">
        <f ca="1" t="shared" si="1842"/>
        <v>1</v>
      </c>
      <c r="V1760" s="130">
        <f ca="1" t="shared" si="1843"/>
        <v>1</v>
      </c>
    </row>
    <row r="1761" ht="16.5" spans="2:22">
      <c r="B1761" s="117">
        <v>525</v>
      </c>
      <c r="C1761" s="130">
        <f t="shared" si="1824"/>
        <v>52500</v>
      </c>
      <c r="D1761" s="130">
        <f ca="1" t="shared" si="1825"/>
        <v>1</v>
      </c>
      <c r="E1761" s="130">
        <f ca="1" t="shared" si="1826"/>
        <v>1</v>
      </c>
      <c r="F1761" s="130">
        <f ca="1" t="shared" si="1827"/>
        <v>1</v>
      </c>
      <c r="G1761" s="130">
        <f ca="1" t="shared" si="1828"/>
        <v>1</v>
      </c>
      <c r="H1761" s="130">
        <f ca="1" t="shared" si="1829"/>
        <v>1</v>
      </c>
      <c r="I1761" s="130">
        <f ca="1" t="shared" si="1830"/>
        <v>1</v>
      </c>
      <c r="J1761" s="130">
        <f ca="1" t="shared" si="1831"/>
        <v>1</v>
      </c>
      <c r="K1761" s="130">
        <f ca="1" t="shared" si="1832"/>
        <v>1</v>
      </c>
      <c r="L1761" s="130">
        <f ca="1" t="shared" si="1833"/>
        <v>1</v>
      </c>
      <c r="M1761" s="130">
        <f ca="1" t="shared" si="1834"/>
        <v>1</v>
      </c>
      <c r="N1761" s="130">
        <f ca="1" t="shared" si="1835"/>
        <v>1</v>
      </c>
      <c r="O1761" s="130">
        <f ca="1" t="shared" si="1836"/>
        <v>1</v>
      </c>
      <c r="P1761" s="130">
        <f ca="1" t="shared" si="1837"/>
        <v>1</v>
      </c>
      <c r="Q1761" s="130">
        <f ca="1" t="shared" si="1838"/>
        <v>1</v>
      </c>
      <c r="R1761" s="130">
        <f ca="1" t="shared" si="1839"/>
        <v>1</v>
      </c>
      <c r="S1761" s="130">
        <f ca="1" t="shared" si="1840"/>
        <v>1</v>
      </c>
      <c r="T1761" s="130">
        <f ca="1" t="shared" si="1841"/>
        <v>1</v>
      </c>
      <c r="U1761" s="130">
        <f ca="1" t="shared" si="1842"/>
        <v>1</v>
      </c>
      <c r="V1761" s="130">
        <f ca="1" t="shared" si="1843"/>
        <v>1</v>
      </c>
    </row>
    <row r="1762" ht="16.5" spans="2:22">
      <c r="B1762" s="117">
        <v>526</v>
      </c>
      <c r="C1762" s="130">
        <f t="shared" si="1824"/>
        <v>52600</v>
      </c>
      <c r="D1762" s="130">
        <f ca="1" t="shared" si="1825"/>
        <v>1</v>
      </c>
      <c r="E1762" s="130">
        <f ca="1" t="shared" si="1826"/>
        <v>1</v>
      </c>
      <c r="F1762" s="130">
        <f ca="1" t="shared" si="1827"/>
        <v>1</v>
      </c>
      <c r="G1762" s="130">
        <f ca="1" t="shared" si="1828"/>
        <v>1</v>
      </c>
      <c r="H1762" s="130">
        <f ca="1" t="shared" si="1829"/>
        <v>1</v>
      </c>
      <c r="I1762" s="130">
        <f ca="1" t="shared" si="1830"/>
        <v>1</v>
      </c>
      <c r="J1762" s="130">
        <f ca="1" t="shared" si="1831"/>
        <v>1</v>
      </c>
      <c r="K1762" s="130">
        <f ca="1" t="shared" si="1832"/>
        <v>1</v>
      </c>
      <c r="L1762" s="130">
        <f ca="1" t="shared" si="1833"/>
        <v>1</v>
      </c>
      <c r="M1762" s="130">
        <f ca="1" t="shared" si="1834"/>
        <v>1</v>
      </c>
      <c r="N1762" s="130">
        <f ca="1" t="shared" si="1835"/>
        <v>1</v>
      </c>
      <c r="O1762" s="130">
        <f ca="1" t="shared" si="1836"/>
        <v>1</v>
      </c>
      <c r="P1762" s="130">
        <f ca="1" t="shared" si="1837"/>
        <v>1</v>
      </c>
      <c r="Q1762" s="130">
        <f ca="1" t="shared" si="1838"/>
        <v>1</v>
      </c>
      <c r="R1762" s="130">
        <f ca="1" t="shared" si="1839"/>
        <v>1</v>
      </c>
      <c r="S1762" s="130">
        <f ca="1" t="shared" si="1840"/>
        <v>1</v>
      </c>
      <c r="T1762" s="130">
        <f ca="1" t="shared" si="1841"/>
        <v>1</v>
      </c>
      <c r="U1762" s="130">
        <f ca="1" t="shared" si="1842"/>
        <v>1</v>
      </c>
      <c r="V1762" s="130">
        <f ca="1" t="shared" si="1843"/>
        <v>1</v>
      </c>
    </row>
    <row r="1763" ht="16.5" spans="2:22">
      <c r="B1763" s="117">
        <v>527</v>
      </c>
      <c r="C1763" s="130">
        <f t="shared" si="1824"/>
        <v>52700</v>
      </c>
      <c r="D1763" s="130">
        <f ca="1" t="shared" si="1825"/>
        <v>1</v>
      </c>
      <c r="E1763" s="130">
        <f ca="1" t="shared" si="1826"/>
        <v>1</v>
      </c>
      <c r="F1763" s="130">
        <f ca="1" t="shared" si="1827"/>
        <v>1</v>
      </c>
      <c r="G1763" s="130">
        <f ca="1" t="shared" si="1828"/>
        <v>1</v>
      </c>
      <c r="H1763" s="130">
        <f ca="1" t="shared" si="1829"/>
        <v>1</v>
      </c>
      <c r="I1763" s="130">
        <f ca="1" t="shared" si="1830"/>
        <v>1</v>
      </c>
      <c r="J1763" s="130">
        <f ca="1" t="shared" si="1831"/>
        <v>1</v>
      </c>
      <c r="K1763" s="130">
        <f ca="1" t="shared" si="1832"/>
        <v>1</v>
      </c>
      <c r="L1763" s="130">
        <f ca="1" t="shared" si="1833"/>
        <v>1</v>
      </c>
      <c r="M1763" s="130">
        <f ca="1" t="shared" si="1834"/>
        <v>1</v>
      </c>
      <c r="N1763" s="130">
        <f ca="1" t="shared" si="1835"/>
        <v>1</v>
      </c>
      <c r="O1763" s="130">
        <f ca="1" t="shared" si="1836"/>
        <v>1</v>
      </c>
      <c r="P1763" s="130">
        <f ca="1" t="shared" si="1837"/>
        <v>1</v>
      </c>
      <c r="Q1763" s="130">
        <f ca="1" t="shared" si="1838"/>
        <v>1</v>
      </c>
      <c r="R1763" s="130">
        <f ca="1" t="shared" si="1839"/>
        <v>1</v>
      </c>
      <c r="S1763" s="130">
        <f ca="1" t="shared" si="1840"/>
        <v>1</v>
      </c>
      <c r="T1763" s="130">
        <f ca="1" t="shared" si="1841"/>
        <v>1</v>
      </c>
      <c r="U1763" s="130">
        <f ca="1" t="shared" si="1842"/>
        <v>1</v>
      </c>
      <c r="V1763" s="130">
        <f ca="1" t="shared" si="1843"/>
        <v>1</v>
      </c>
    </row>
    <row r="1764" ht="16.5" spans="2:22">
      <c r="B1764" s="117">
        <v>528</v>
      </c>
      <c r="C1764" s="130">
        <f t="shared" si="1824"/>
        <v>52800</v>
      </c>
      <c r="D1764" s="130">
        <f ca="1" t="shared" si="1825"/>
        <v>1</v>
      </c>
      <c r="E1764" s="130">
        <f ca="1" t="shared" si="1826"/>
        <v>1</v>
      </c>
      <c r="F1764" s="130">
        <f ca="1" t="shared" si="1827"/>
        <v>1</v>
      </c>
      <c r="G1764" s="130">
        <f ca="1" t="shared" si="1828"/>
        <v>1</v>
      </c>
      <c r="H1764" s="130">
        <f ca="1" t="shared" si="1829"/>
        <v>1</v>
      </c>
      <c r="I1764" s="130">
        <f ca="1" t="shared" si="1830"/>
        <v>1</v>
      </c>
      <c r="J1764" s="130">
        <f ca="1" t="shared" si="1831"/>
        <v>1</v>
      </c>
      <c r="K1764" s="130">
        <f ca="1" t="shared" si="1832"/>
        <v>1</v>
      </c>
      <c r="L1764" s="130">
        <f ca="1" t="shared" si="1833"/>
        <v>1</v>
      </c>
      <c r="M1764" s="130">
        <f ca="1" t="shared" si="1834"/>
        <v>1</v>
      </c>
      <c r="N1764" s="130">
        <f ca="1" t="shared" si="1835"/>
        <v>1</v>
      </c>
      <c r="O1764" s="130">
        <f ca="1" t="shared" si="1836"/>
        <v>1</v>
      </c>
      <c r="P1764" s="130">
        <f ca="1" t="shared" si="1837"/>
        <v>1</v>
      </c>
      <c r="Q1764" s="130">
        <f ca="1" t="shared" si="1838"/>
        <v>1</v>
      </c>
      <c r="R1764" s="130">
        <f ca="1" t="shared" si="1839"/>
        <v>1</v>
      </c>
      <c r="S1764" s="130">
        <f ca="1" t="shared" si="1840"/>
        <v>1</v>
      </c>
      <c r="T1764" s="130">
        <f ca="1" t="shared" si="1841"/>
        <v>1</v>
      </c>
      <c r="U1764" s="130">
        <f ca="1" t="shared" si="1842"/>
        <v>1</v>
      </c>
      <c r="V1764" s="130">
        <f ca="1" t="shared" si="1843"/>
        <v>1</v>
      </c>
    </row>
    <row r="1765" ht="16.5" spans="2:22">
      <c r="B1765" s="117">
        <v>529</v>
      </c>
      <c r="C1765" s="130">
        <f t="shared" si="1824"/>
        <v>52900</v>
      </c>
      <c r="D1765" s="130">
        <f ca="1" t="shared" si="1825"/>
        <v>1</v>
      </c>
      <c r="E1765" s="130">
        <f ca="1" t="shared" si="1826"/>
        <v>1</v>
      </c>
      <c r="F1765" s="130">
        <f ca="1" t="shared" si="1827"/>
        <v>1</v>
      </c>
      <c r="G1765" s="130">
        <f ca="1" t="shared" si="1828"/>
        <v>1</v>
      </c>
      <c r="H1765" s="130">
        <f ca="1" t="shared" si="1829"/>
        <v>1</v>
      </c>
      <c r="I1765" s="130">
        <f ca="1" t="shared" si="1830"/>
        <v>1</v>
      </c>
      <c r="J1765" s="130">
        <f ca="1" t="shared" si="1831"/>
        <v>1</v>
      </c>
      <c r="K1765" s="130">
        <f ca="1" t="shared" si="1832"/>
        <v>1</v>
      </c>
      <c r="L1765" s="130">
        <f ca="1" t="shared" si="1833"/>
        <v>1</v>
      </c>
      <c r="M1765" s="130">
        <f ca="1" t="shared" si="1834"/>
        <v>1</v>
      </c>
      <c r="N1765" s="130">
        <f ca="1" t="shared" si="1835"/>
        <v>1</v>
      </c>
      <c r="O1765" s="130">
        <f ca="1" t="shared" si="1836"/>
        <v>1</v>
      </c>
      <c r="P1765" s="130">
        <f ca="1" t="shared" si="1837"/>
        <v>1</v>
      </c>
      <c r="Q1765" s="130">
        <f ca="1" t="shared" si="1838"/>
        <v>1</v>
      </c>
      <c r="R1765" s="130">
        <f ca="1" t="shared" si="1839"/>
        <v>1</v>
      </c>
      <c r="S1765" s="130">
        <f ca="1" t="shared" si="1840"/>
        <v>1</v>
      </c>
      <c r="T1765" s="130">
        <f ca="1" t="shared" si="1841"/>
        <v>1</v>
      </c>
      <c r="U1765" s="130">
        <f ca="1" t="shared" si="1842"/>
        <v>1</v>
      </c>
      <c r="V1765" s="130">
        <f ca="1" t="shared" si="1843"/>
        <v>1</v>
      </c>
    </row>
    <row r="1766" ht="16.5" spans="2:22">
      <c r="B1766" s="117">
        <v>530</v>
      </c>
      <c r="C1766" s="130">
        <f t="shared" si="1824"/>
        <v>53000</v>
      </c>
      <c r="D1766" s="130">
        <f ca="1" t="shared" si="1825"/>
        <v>1</v>
      </c>
      <c r="E1766" s="130">
        <f ca="1" t="shared" si="1826"/>
        <v>1</v>
      </c>
      <c r="F1766" s="130">
        <f ca="1" t="shared" si="1827"/>
        <v>1</v>
      </c>
      <c r="G1766" s="130">
        <f ca="1" t="shared" si="1828"/>
        <v>1</v>
      </c>
      <c r="H1766" s="130">
        <f ca="1" t="shared" si="1829"/>
        <v>1</v>
      </c>
      <c r="I1766" s="130">
        <f ca="1" t="shared" si="1830"/>
        <v>1</v>
      </c>
      <c r="J1766" s="130">
        <f ca="1" t="shared" si="1831"/>
        <v>1</v>
      </c>
      <c r="K1766" s="130">
        <f ca="1" t="shared" si="1832"/>
        <v>1</v>
      </c>
      <c r="L1766" s="130">
        <f ca="1" t="shared" si="1833"/>
        <v>1</v>
      </c>
      <c r="M1766" s="130">
        <f ca="1" t="shared" si="1834"/>
        <v>1</v>
      </c>
      <c r="N1766" s="130">
        <f ca="1" t="shared" si="1835"/>
        <v>1</v>
      </c>
      <c r="O1766" s="130">
        <f ca="1" t="shared" si="1836"/>
        <v>1</v>
      </c>
      <c r="P1766" s="130">
        <f ca="1" t="shared" si="1837"/>
        <v>1</v>
      </c>
      <c r="Q1766" s="130">
        <f ca="1" t="shared" si="1838"/>
        <v>1</v>
      </c>
      <c r="R1766" s="130">
        <f ca="1" t="shared" si="1839"/>
        <v>1</v>
      </c>
      <c r="S1766" s="130">
        <f ca="1" t="shared" si="1840"/>
        <v>1</v>
      </c>
      <c r="T1766" s="130">
        <f ca="1" t="shared" si="1841"/>
        <v>1</v>
      </c>
      <c r="U1766" s="130">
        <f ca="1" t="shared" si="1842"/>
        <v>1</v>
      </c>
      <c r="V1766" s="130">
        <f ca="1" t="shared" si="1843"/>
        <v>1</v>
      </c>
    </row>
    <row r="1767" ht="16.5" spans="2:22">
      <c r="B1767" s="117">
        <v>531</v>
      </c>
      <c r="C1767" s="130">
        <f t="shared" si="1824"/>
        <v>53100</v>
      </c>
      <c r="D1767" s="130">
        <f ca="1" t="shared" si="1825"/>
        <v>1</v>
      </c>
      <c r="E1767" s="130">
        <f ca="1" t="shared" si="1826"/>
        <v>1</v>
      </c>
      <c r="F1767" s="130">
        <f ca="1" t="shared" si="1827"/>
        <v>1</v>
      </c>
      <c r="G1767" s="130">
        <f ca="1" t="shared" si="1828"/>
        <v>1</v>
      </c>
      <c r="H1767" s="130">
        <f ca="1" t="shared" si="1829"/>
        <v>1</v>
      </c>
      <c r="I1767" s="130">
        <f ca="1" t="shared" si="1830"/>
        <v>1</v>
      </c>
      <c r="J1767" s="130">
        <f ca="1" t="shared" si="1831"/>
        <v>1</v>
      </c>
      <c r="K1767" s="130">
        <f ca="1" t="shared" si="1832"/>
        <v>1</v>
      </c>
      <c r="L1767" s="130">
        <f ca="1" t="shared" si="1833"/>
        <v>1</v>
      </c>
      <c r="M1767" s="130">
        <f ca="1" t="shared" si="1834"/>
        <v>1</v>
      </c>
      <c r="N1767" s="130">
        <f ca="1" t="shared" si="1835"/>
        <v>1</v>
      </c>
      <c r="O1767" s="130">
        <f ca="1" t="shared" si="1836"/>
        <v>1</v>
      </c>
      <c r="P1767" s="130">
        <f ca="1" t="shared" si="1837"/>
        <v>1</v>
      </c>
      <c r="Q1767" s="130">
        <f ca="1" t="shared" si="1838"/>
        <v>1</v>
      </c>
      <c r="R1767" s="130">
        <f ca="1" t="shared" si="1839"/>
        <v>1</v>
      </c>
      <c r="S1767" s="130">
        <f ca="1" t="shared" si="1840"/>
        <v>1</v>
      </c>
      <c r="T1767" s="130">
        <f ca="1" t="shared" si="1841"/>
        <v>1</v>
      </c>
      <c r="U1767" s="130">
        <f ca="1" t="shared" si="1842"/>
        <v>1</v>
      </c>
      <c r="V1767" s="130">
        <f ca="1" t="shared" si="1843"/>
        <v>1</v>
      </c>
    </row>
    <row r="1768" ht="16.5" spans="2:22">
      <c r="B1768" s="117">
        <v>532</v>
      </c>
      <c r="C1768" s="130">
        <f t="shared" si="1824"/>
        <v>53200</v>
      </c>
      <c r="D1768" s="130">
        <f ca="1" t="shared" si="1825"/>
        <v>1</v>
      </c>
      <c r="E1768" s="130">
        <f ca="1" t="shared" si="1826"/>
        <v>1</v>
      </c>
      <c r="F1768" s="130">
        <f ca="1" t="shared" si="1827"/>
        <v>1</v>
      </c>
      <c r="G1768" s="130">
        <f ca="1" t="shared" si="1828"/>
        <v>1</v>
      </c>
      <c r="H1768" s="130">
        <f ca="1" t="shared" si="1829"/>
        <v>1</v>
      </c>
      <c r="I1768" s="130">
        <f ca="1" t="shared" si="1830"/>
        <v>1</v>
      </c>
      <c r="J1768" s="130">
        <f ca="1" t="shared" si="1831"/>
        <v>1</v>
      </c>
      <c r="K1768" s="130">
        <f ca="1" t="shared" si="1832"/>
        <v>1</v>
      </c>
      <c r="L1768" s="130">
        <f ca="1" t="shared" si="1833"/>
        <v>1</v>
      </c>
      <c r="M1768" s="130">
        <f ca="1" t="shared" si="1834"/>
        <v>1</v>
      </c>
      <c r="N1768" s="130">
        <f ca="1" t="shared" si="1835"/>
        <v>1</v>
      </c>
      <c r="O1768" s="130">
        <f ca="1" t="shared" si="1836"/>
        <v>1</v>
      </c>
      <c r="P1768" s="130">
        <f ca="1" t="shared" si="1837"/>
        <v>1</v>
      </c>
      <c r="Q1768" s="130">
        <f ca="1" t="shared" si="1838"/>
        <v>1</v>
      </c>
      <c r="R1768" s="130">
        <f ca="1" t="shared" si="1839"/>
        <v>1</v>
      </c>
      <c r="S1768" s="130">
        <f ca="1" t="shared" si="1840"/>
        <v>1</v>
      </c>
      <c r="T1768" s="130">
        <f ca="1" t="shared" si="1841"/>
        <v>1</v>
      </c>
      <c r="U1768" s="130">
        <f ca="1" t="shared" si="1842"/>
        <v>1</v>
      </c>
      <c r="V1768" s="130">
        <f ca="1" t="shared" si="1843"/>
        <v>1</v>
      </c>
    </row>
    <row r="1769" ht="16.5" spans="2:22">
      <c r="B1769" s="117">
        <v>533</v>
      </c>
      <c r="C1769" s="130">
        <f t="shared" si="1824"/>
        <v>53300</v>
      </c>
      <c r="D1769" s="130">
        <f ca="1" t="shared" si="1825"/>
        <v>1</v>
      </c>
      <c r="E1769" s="130">
        <f ca="1" t="shared" si="1826"/>
        <v>1</v>
      </c>
      <c r="F1769" s="130">
        <f ca="1" t="shared" si="1827"/>
        <v>1</v>
      </c>
      <c r="G1769" s="130">
        <f ca="1" t="shared" si="1828"/>
        <v>1</v>
      </c>
      <c r="H1769" s="130">
        <f ca="1" t="shared" si="1829"/>
        <v>1</v>
      </c>
      <c r="I1769" s="130">
        <f ca="1" t="shared" si="1830"/>
        <v>1</v>
      </c>
      <c r="J1769" s="130">
        <f ca="1" t="shared" si="1831"/>
        <v>1</v>
      </c>
      <c r="K1769" s="130">
        <f ca="1" t="shared" si="1832"/>
        <v>1</v>
      </c>
      <c r="L1769" s="130">
        <f ca="1" t="shared" si="1833"/>
        <v>1</v>
      </c>
      <c r="M1769" s="130">
        <f ca="1" t="shared" si="1834"/>
        <v>1</v>
      </c>
      <c r="N1769" s="130">
        <f ca="1" t="shared" si="1835"/>
        <v>1</v>
      </c>
      <c r="O1769" s="130">
        <f ca="1" t="shared" si="1836"/>
        <v>1</v>
      </c>
      <c r="P1769" s="130">
        <f ca="1" t="shared" si="1837"/>
        <v>1</v>
      </c>
      <c r="Q1769" s="130">
        <f ca="1" t="shared" si="1838"/>
        <v>1</v>
      </c>
      <c r="R1769" s="130">
        <f ca="1" t="shared" si="1839"/>
        <v>1</v>
      </c>
      <c r="S1769" s="130">
        <f ca="1" t="shared" si="1840"/>
        <v>1</v>
      </c>
      <c r="T1769" s="130">
        <f ca="1" t="shared" si="1841"/>
        <v>1</v>
      </c>
      <c r="U1769" s="130">
        <f ca="1" t="shared" si="1842"/>
        <v>1</v>
      </c>
      <c r="V1769" s="130">
        <f ca="1" t="shared" si="1843"/>
        <v>1</v>
      </c>
    </row>
    <row r="1770" ht="16.5" spans="2:22">
      <c r="B1770" s="117">
        <v>534</v>
      </c>
      <c r="C1770" s="130">
        <f t="shared" si="1824"/>
        <v>53400</v>
      </c>
      <c r="D1770" s="130">
        <f ca="1" t="shared" si="1825"/>
        <v>1</v>
      </c>
      <c r="E1770" s="130">
        <f ca="1" t="shared" si="1826"/>
        <v>1</v>
      </c>
      <c r="F1770" s="130">
        <f ca="1" t="shared" si="1827"/>
        <v>1</v>
      </c>
      <c r="G1770" s="130">
        <f ca="1" t="shared" si="1828"/>
        <v>1</v>
      </c>
      <c r="H1770" s="130">
        <f ca="1" t="shared" si="1829"/>
        <v>1</v>
      </c>
      <c r="I1770" s="130">
        <f ca="1" t="shared" si="1830"/>
        <v>1</v>
      </c>
      <c r="J1770" s="130">
        <f ca="1" t="shared" si="1831"/>
        <v>1</v>
      </c>
      <c r="K1770" s="130">
        <f ca="1" t="shared" si="1832"/>
        <v>1</v>
      </c>
      <c r="L1770" s="130">
        <f ca="1" t="shared" si="1833"/>
        <v>1</v>
      </c>
      <c r="M1770" s="130">
        <f ca="1" t="shared" si="1834"/>
        <v>1</v>
      </c>
      <c r="N1770" s="130">
        <f ca="1" t="shared" si="1835"/>
        <v>1</v>
      </c>
      <c r="O1770" s="130">
        <f ca="1" t="shared" si="1836"/>
        <v>1</v>
      </c>
      <c r="P1770" s="130">
        <f ca="1" t="shared" si="1837"/>
        <v>1</v>
      </c>
      <c r="Q1770" s="130">
        <f ca="1" t="shared" si="1838"/>
        <v>1</v>
      </c>
      <c r="R1770" s="130">
        <f ca="1" t="shared" si="1839"/>
        <v>1</v>
      </c>
      <c r="S1770" s="130">
        <f ca="1" t="shared" si="1840"/>
        <v>1</v>
      </c>
      <c r="T1770" s="130">
        <f ca="1" t="shared" si="1841"/>
        <v>1</v>
      </c>
      <c r="U1770" s="130">
        <f ca="1" t="shared" si="1842"/>
        <v>1</v>
      </c>
      <c r="V1770" s="130">
        <f ca="1" t="shared" si="1843"/>
        <v>1</v>
      </c>
    </row>
    <row r="1771" ht="16.5" spans="2:22">
      <c r="B1771" s="117">
        <v>535</v>
      </c>
      <c r="C1771" s="130">
        <f t="shared" si="1824"/>
        <v>53500</v>
      </c>
      <c r="D1771" s="130">
        <f ca="1" t="shared" si="1825"/>
        <v>1</v>
      </c>
      <c r="E1771" s="130">
        <f ca="1" t="shared" si="1826"/>
        <v>1</v>
      </c>
      <c r="F1771" s="130">
        <f ca="1" t="shared" si="1827"/>
        <v>1</v>
      </c>
      <c r="G1771" s="130">
        <f ca="1" t="shared" si="1828"/>
        <v>1</v>
      </c>
      <c r="H1771" s="130">
        <f ca="1" t="shared" si="1829"/>
        <v>1</v>
      </c>
      <c r="I1771" s="130">
        <f ca="1" t="shared" si="1830"/>
        <v>1</v>
      </c>
      <c r="J1771" s="130">
        <f ca="1" t="shared" si="1831"/>
        <v>1</v>
      </c>
      <c r="K1771" s="130">
        <f ca="1" t="shared" si="1832"/>
        <v>1</v>
      </c>
      <c r="L1771" s="130">
        <f ca="1" t="shared" si="1833"/>
        <v>1</v>
      </c>
      <c r="M1771" s="130">
        <f ca="1" t="shared" si="1834"/>
        <v>1</v>
      </c>
      <c r="N1771" s="130">
        <f ca="1" t="shared" si="1835"/>
        <v>1</v>
      </c>
      <c r="O1771" s="130">
        <f ca="1" t="shared" si="1836"/>
        <v>1</v>
      </c>
      <c r="P1771" s="130">
        <f ca="1" t="shared" si="1837"/>
        <v>1</v>
      </c>
      <c r="Q1771" s="130">
        <f ca="1" t="shared" si="1838"/>
        <v>1</v>
      </c>
      <c r="R1771" s="130">
        <f ca="1" t="shared" si="1839"/>
        <v>1</v>
      </c>
      <c r="S1771" s="130">
        <f ca="1" t="shared" si="1840"/>
        <v>1</v>
      </c>
      <c r="T1771" s="130">
        <f ca="1" t="shared" si="1841"/>
        <v>1</v>
      </c>
      <c r="U1771" s="130">
        <f ca="1" t="shared" si="1842"/>
        <v>1</v>
      </c>
      <c r="V1771" s="130">
        <f ca="1" t="shared" si="1843"/>
        <v>1</v>
      </c>
    </row>
    <row r="1772" ht="16.5" spans="2:22">
      <c r="B1772" s="117">
        <v>536</v>
      </c>
      <c r="C1772" s="130">
        <f t="shared" si="1824"/>
        <v>53600</v>
      </c>
      <c r="D1772" s="130">
        <f ca="1" t="shared" si="1825"/>
        <v>1</v>
      </c>
      <c r="E1772" s="130">
        <f ca="1" t="shared" si="1826"/>
        <v>1</v>
      </c>
      <c r="F1772" s="130">
        <f ca="1" t="shared" si="1827"/>
        <v>1</v>
      </c>
      <c r="G1772" s="130">
        <f ca="1" t="shared" si="1828"/>
        <v>1</v>
      </c>
      <c r="H1772" s="130">
        <f ca="1" t="shared" si="1829"/>
        <v>1</v>
      </c>
      <c r="I1772" s="130">
        <f ca="1" t="shared" si="1830"/>
        <v>1</v>
      </c>
      <c r="J1772" s="130">
        <f ca="1" t="shared" si="1831"/>
        <v>1</v>
      </c>
      <c r="K1772" s="130">
        <f ca="1" t="shared" si="1832"/>
        <v>1</v>
      </c>
      <c r="L1772" s="130">
        <f ca="1" t="shared" si="1833"/>
        <v>1</v>
      </c>
      <c r="M1772" s="130">
        <f ca="1" t="shared" si="1834"/>
        <v>1</v>
      </c>
      <c r="N1772" s="130">
        <f ca="1" t="shared" si="1835"/>
        <v>1</v>
      </c>
      <c r="O1772" s="130">
        <f ca="1" t="shared" si="1836"/>
        <v>1</v>
      </c>
      <c r="P1772" s="130">
        <f ca="1" t="shared" si="1837"/>
        <v>1</v>
      </c>
      <c r="Q1772" s="130">
        <f ca="1" t="shared" si="1838"/>
        <v>1</v>
      </c>
      <c r="R1772" s="130">
        <f ca="1" t="shared" si="1839"/>
        <v>1</v>
      </c>
      <c r="S1772" s="130">
        <f ca="1" t="shared" si="1840"/>
        <v>1</v>
      </c>
      <c r="T1772" s="130">
        <f ca="1" t="shared" si="1841"/>
        <v>1</v>
      </c>
      <c r="U1772" s="130">
        <f ca="1" t="shared" si="1842"/>
        <v>1</v>
      </c>
      <c r="V1772" s="130">
        <f ca="1" t="shared" si="1843"/>
        <v>1</v>
      </c>
    </row>
    <row r="1773" ht="16.5" spans="2:22">
      <c r="B1773" s="117">
        <v>537</v>
      </c>
      <c r="C1773" s="130">
        <f t="shared" si="1824"/>
        <v>53700</v>
      </c>
      <c r="D1773" s="130">
        <f ca="1" t="shared" si="1825"/>
        <v>1</v>
      </c>
      <c r="E1773" s="130">
        <f ca="1" t="shared" si="1826"/>
        <v>1</v>
      </c>
      <c r="F1773" s="130">
        <f ca="1" t="shared" si="1827"/>
        <v>1</v>
      </c>
      <c r="G1773" s="130">
        <f ca="1" t="shared" si="1828"/>
        <v>1</v>
      </c>
      <c r="H1773" s="130">
        <f ca="1" t="shared" si="1829"/>
        <v>1</v>
      </c>
      <c r="I1773" s="130">
        <f ca="1" t="shared" si="1830"/>
        <v>1</v>
      </c>
      <c r="J1773" s="130">
        <f ca="1" t="shared" si="1831"/>
        <v>1</v>
      </c>
      <c r="K1773" s="130">
        <f ca="1" t="shared" si="1832"/>
        <v>1</v>
      </c>
      <c r="L1773" s="130">
        <f ca="1" t="shared" si="1833"/>
        <v>1</v>
      </c>
      <c r="M1773" s="130">
        <f ca="1" t="shared" si="1834"/>
        <v>1</v>
      </c>
      <c r="N1773" s="130">
        <f ca="1" t="shared" si="1835"/>
        <v>1</v>
      </c>
      <c r="O1773" s="130">
        <f ca="1" t="shared" si="1836"/>
        <v>1</v>
      </c>
      <c r="P1773" s="130">
        <f ca="1" t="shared" si="1837"/>
        <v>1</v>
      </c>
      <c r="Q1773" s="130">
        <f ca="1" t="shared" si="1838"/>
        <v>1</v>
      </c>
      <c r="R1773" s="130">
        <f ca="1" t="shared" si="1839"/>
        <v>1</v>
      </c>
      <c r="S1773" s="130">
        <f ca="1" t="shared" si="1840"/>
        <v>1</v>
      </c>
      <c r="T1773" s="130">
        <f ca="1" t="shared" si="1841"/>
        <v>1</v>
      </c>
      <c r="U1773" s="130">
        <f ca="1" t="shared" si="1842"/>
        <v>1</v>
      </c>
      <c r="V1773" s="130">
        <f ca="1" t="shared" si="1843"/>
        <v>1</v>
      </c>
    </row>
    <row r="1774" ht="16.5" spans="2:22">
      <c r="B1774" s="117">
        <v>538</v>
      </c>
      <c r="C1774" s="130">
        <f t="shared" si="1824"/>
        <v>53800</v>
      </c>
      <c r="D1774" s="130">
        <f ca="1" t="shared" si="1825"/>
        <v>1</v>
      </c>
      <c r="E1774" s="130">
        <f ca="1" t="shared" si="1826"/>
        <v>1</v>
      </c>
      <c r="F1774" s="130">
        <f ca="1" t="shared" si="1827"/>
        <v>1</v>
      </c>
      <c r="G1774" s="130">
        <f ca="1" t="shared" si="1828"/>
        <v>1</v>
      </c>
      <c r="H1774" s="130">
        <f ca="1" t="shared" si="1829"/>
        <v>1</v>
      </c>
      <c r="I1774" s="130">
        <f ca="1" t="shared" si="1830"/>
        <v>1</v>
      </c>
      <c r="J1774" s="130">
        <f ca="1" t="shared" si="1831"/>
        <v>1</v>
      </c>
      <c r="K1774" s="130">
        <f ca="1" t="shared" si="1832"/>
        <v>1</v>
      </c>
      <c r="L1774" s="130">
        <f ca="1" t="shared" si="1833"/>
        <v>1</v>
      </c>
      <c r="M1774" s="130">
        <f ca="1" t="shared" si="1834"/>
        <v>1</v>
      </c>
      <c r="N1774" s="130">
        <f ca="1" t="shared" si="1835"/>
        <v>1</v>
      </c>
      <c r="O1774" s="130">
        <f ca="1" t="shared" si="1836"/>
        <v>1</v>
      </c>
      <c r="P1774" s="130">
        <f ca="1" t="shared" si="1837"/>
        <v>1</v>
      </c>
      <c r="Q1774" s="130">
        <f ca="1" t="shared" si="1838"/>
        <v>1</v>
      </c>
      <c r="R1774" s="130">
        <f ca="1" t="shared" si="1839"/>
        <v>1</v>
      </c>
      <c r="S1774" s="130">
        <f ca="1" t="shared" si="1840"/>
        <v>1</v>
      </c>
      <c r="T1774" s="130">
        <f ca="1" t="shared" si="1841"/>
        <v>1</v>
      </c>
      <c r="U1774" s="130">
        <f ca="1" t="shared" si="1842"/>
        <v>1</v>
      </c>
      <c r="V1774" s="130">
        <f ca="1" t="shared" si="1843"/>
        <v>1</v>
      </c>
    </row>
    <row r="1775" ht="16.5" spans="2:22">
      <c r="B1775" s="117">
        <v>539</v>
      </c>
      <c r="C1775" s="130">
        <f t="shared" si="1824"/>
        <v>53900</v>
      </c>
      <c r="D1775" s="130">
        <f ca="1" t="shared" si="1825"/>
        <v>1</v>
      </c>
      <c r="E1775" s="130">
        <f ca="1" t="shared" si="1826"/>
        <v>1</v>
      </c>
      <c r="F1775" s="130">
        <f ca="1" t="shared" si="1827"/>
        <v>1</v>
      </c>
      <c r="G1775" s="130">
        <f ca="1" t="shared" si="1828"/>
        <v>1</v>
      </c>
      <c r="H1775" s="130">
        <f ca="1" t="shared" si="1829"/>
        <v>1</v>
      </c>
      <c r="I1775" s="130">
        <f ca="1" t="shared" si="1830"/>
        <v>1</v>
      </c>
      <c r="J1775" s="130">
        <f ca="1" t="shared" si="1831"/>
        <v>1</v>
      </c>
      <c r="K1775" s="130">
        <f ca="1" t="shared" si="1832"/>
        <v>1</v>
      </c>
      <c r="L1775" s="130">
        <f ca="1" t="shared" si="1833"/>
        <v>1</v>
      </c>
      <c r="M1775" s="130">
        <f ca="1" t="shared" si="1834"/>
        <v>1</v>
      </c>
      <c r="N1775" s="130">
        <f ca="1" t="shared" si="1835"/>
        <v>1</v>
      </c>
      <c r="O1775" s="130">
        <f ca="1" t="shared" si="1836"/>
        <v>1</v>
      </c>
      <c r="P1775" s="130">
        <f ca="1" t="shared" si="1837"/>
        <v>1</v>
      </c>
      <c r="Q1775" s="130">
        <f ca="1" t="shared" si="1838"/>
        <v>1</v>
      </c>
      <c r="R1775" s="130">
        <f ca="1" t="shared" si="1839"/>
        <v>1</v>
      </c>
      <c r="S1775" s="130">
        <f ca="1" t="shared" si="1840"/>
        <v>1</v>
      </c>
      <c r="T1775" s="130">
        <f ca="1" t="shared" si="1841"/>
        <v>1</v>
      </c>
      <c r="U1775" s="130">
        <f ca="1" t="shared" si="1842"/>
        <v>1</v>
      </c>
      <c r="V1775" s="130">
        <f ca="1" t="shared" si="1843"/>
        <v>1</v>
      </c>
    </row>
    <row r="1776" ht="16.5" spans="2:22">
      <c r="B1776" s="117">
        <v>540</v>
      </c>
      <c r="C1776" s="130">
        <f t="shared" si="1824"/>
        <v>54000</v>
      </c>
      <c r="D1776" s="130">
        <f ca="1" t="shared" si="1825"/>
        <v>1</v>
      </c>
      <c r="E1776" s="130">
        <f ca="1" t="shared" si="1826"/>
        <v>1</v>
      </c>
      <c r="F1776" s="130">
        <f ca="1" t="shared" si="1827"/>
        <v>1</v>
      </c>
      <c r="G1776" s="130">
        <f ca="1" t="shared" si="1828"/>
        <v>1</v>
      </c>
      <c r="H1776" s="130">
        <f ca="1" t="shared" si="1829"/>
        <v>1</v>
      </c>
      <c r="I1776" s="130">
        <f ca="1" t="shared" si="1830"/>
        <v>1</v>
      </c>
      <c r="J1776" s="130">
        <f ca="1" t="shared" si="1831"/>
        <v>1</v>
      </c>
      <c r="K1776" s="130">
        <f ca="1" t="shared" si="1832"/>
        <v>1</v>
      </c>
      <c r="L1776" s="130">
        <f ca="1" t="shared" si="1833"/>
        <v>1</v>
      </c>
      <c r="M1776" s="130">
        <f ca="1" t="shared" si="1834"/>
        <v>1</v>
      </c>
      <c r="N1776" s="130">
        <f ca="1" t="shared" si="1835"/>
        <v>1</v>
      </c>
      <c r="O1776" s="130">
        <f ca="1" t="shared" si="1836"/>
        <v>1</v>
      </c>
      <c r="P1776" s="130">
        <f ca="1" t="shared" si="1837"/>
        <v>1</v>
      </c>
      <c r="Q1776" s="130">
        <f ca="1" t="shared" si="1838"/>
        <v>1</v>
      </c>
      <c r="R1776" s="130">
        <f ca="1" t="shared" si="1839"/>
        <v>1</v>
      </c>
      <c r="S1776" s="130">
        <f ca="1" t="shared" si="1840"/>
        <v>1</v>
      </c>
      <c r="T1776" s="130">
        <f ca="1" t="shared" si="1841"/>
        <v>1</v>
      </c>
      <c r="U1776" s="130">
        <f ca="1" t="shared" si="1842"/>
        <v>1</v>
      </c>
      <c r="V1776" s="130">
        <f ca="1" t="shared" si="1843"/>
        <v>1</v>
      </c>
    </row>
    <row r="1777" ht="16.5" spans="2:22">
      <c r="B1777" s="117">
        <v>541</v>
      </c>
      <c r="C1777" s="130">
        <f t="shared" si="1824"/>
        <v>54100</v>
      </c>
      <c r="D1777" s="130">
        <f ca="1" t="shared" si="1825"/>
        <v>1</v>
      </c>
      <c r="E1777" s="130">
        <f ca="1" t="shared" si="1826"/>
        <v>1</v>
      </c>
      <c r="F1777" s="130">
        <f ca="1" t="shared" si="1827"/>
        <v>1</v>
      </c>
      <c r="G1777" s="130">
        <f ca="1" t="shared" si="1828"/>
        <v>1</v>
      </c>
      <c r="H1777" s="130">
        <f ca="1" t="shared" si="1829"/>
        <v>1</v>
      </c>
      <c r="I1777" s="130">
        <f ca="1" t="shared" si="1830"/>
        <v>1</v>
      </c>
      <c r="J1777" s="130">
        <f ca="1" t="shared" si="1831"/>
        <v>1</v>
      </c>
      <c r="K1777" s="130">
        <f ca="1" t="shared" si="1832"/>
        <v>1</v>
      </c>
      <c r="L1777" s="130">
        <f ca="1" t="shared" si="1833"/>
        <v>1</v>
      </c>
      <c r="M1777" s="130">
        <f ca="1" t="shared" si="1834"/>
        <v>1</v>
      </c>
      <c r="N1777" s="130">
        <f ca="1" t="shared" si="1835"/>
        <v>1</v>
      </c>
      <c r="O1777" s="130">
        <f ca="1" t="shared" si="1836"/>
        <v>1</v>
      </c>
      <c r="P1777" s="130">
        <f ca="1" t="shared" si="1837"/>
        <v>1</v>
      </c>
      <c r="Q1777" s="130">
        <f ca="1" t="shared" si="1838"/>
        <v>1</v>
      </c>
      <c r="R1777" s="130">
        <f ca="1" t="shared" si="1839"/>
        <v>1</v>
      </c>
      <c r="S1777" s="130">
        <f ca="1" t="shared" si="1840"/>
        <v>1</v>
      </c>
      <c r="T1777" s="130">
        <f ca="1" t="shared" si="1841"/>
        <v>1</v>
      </c>
      <c r="U1777" s="130">
        <f ca="1" t="shared" si="1842"/>
        <v>1</v>
      </c>
      <c r="V1777" s="130">
        <f ca="1" t="shared" si="1843"/>
        <v>1</v>
      </c>
    </row>
    <row r="1778" ht="16.5" spans="2:22">
      <c r="B1778" s="117">
        <v>542</v>
      </c>
      <c r="C1778" s="130">
        <f t="shared" si="1824"/>
        <v>54200</v>
      </c>
      <c r="D1778" s="130">
        <f ca="1" t="shared" si="1825"/>
        <v>1</v>
      </c>
      <c r="E1778" s="130">
        <f ca="1" t="shared" si="1826"/>
        <v>1</v>
      </c>
      <c r="F1778" s="130">
        <f ca="1" t="shared" si="1827"/>
        <v>1</v>
      </c>
      <c r="G1778" s="130">
        <f ca="1" t="shared" si="1828"/>
        <v>1</v>
      </c>
      <c r="H1778" s="130">
        <f ca="1" t="shared" si="1829"/>
        <v>1</v>
      </c>
      <c r="I1778" s="130">
        <f ca="1" t="shared" si="1830"/>
        <v>1</v>
      </c>
      <c r="J1778" s="130">
        <f ca="1" t="shared" si="1831"/>
        <v>1</v>
      </c>
      <c r="K1778" s="130">
        <f ca="1" t="shared" si="1832"/>
        <v>1</v>
      </c>
      <c r="L1778" s="130">
        <f ca="1" t="shared" si="1833"/>
        <v>1</v>
      </c>
      <c r="M1778" s="130">
        <f ca="1" t="shared" si="1834"/>
        <v>1</v>
      </c>
      <c r="N1778" s="130">
        <f ca="1" t="shared" si="1835"/>
        <v>1</v>
      </c>
      <c r="O1778" s="130">
        <f ca="1" t="shared" si="1836"/>
        <v>1</v>
      </c>
      <c r="P1778" s="130">
        <f ca="1" t="shared" si="1837"/>
        <v>1</v>
      </c>
      <c r="Q1778" s="130">
        <f ca="1" t="shared" si="1838"/>
        <v>1</v>
      </c>
      <c r="R1778" s="130">
        <f ca="1" t="shared" si="1839"/>
        <v>1</v>
      </c>
      <c r="S1778" s="130">
        <f ca="1" t="shared" si="1840"/>
        <v>1</v>
      </c>
      <c r="T1778" s="130">
        <f ca="1" t="shared" si="1841"/>
        <v>1</v>
      </c>
      <c r="U1778" s="130">
        <f ca="1" t="shared" si="1842"/>
        <v>1</v>
      </c>
      <c r="V1778" s="130">
        <f ca="1" t="shared" si="1843"/>
        <v>1</v>
      </c>
    </row>
    <row r="1779" ht="16.5" spans="2:22">
      <c r="B1779" s="117">
        <v>543</v>
      </c>
      <c r="C1779" s="130">
        <f t="shared" si="1824"/>
        <v>54300</v>
      </c>
      <c r="D1779" s="130">
        <f ca="1" t="shared" si="1825"/>
        <v>1</v>
      </c>
      <c r="E1779" s="130">
        <f ca="1" t="shared" si="1826"/>
        <v>1</v>
      </c>
      <c r="F1779" s="130">
        <f ca="1" t="shared" si="1827"/>
        <v>1</v>
      </c>
      <c r="G1779" s="130">
        <f ca="1" t="shared" si="1828"/>
        <v>1</v>
      </c>
      <c r="H1779" s="130">
        <f ca="1" t="shared" si="1829"/>
        <v>1</v>
      </c>
      <c r="I1779" s="130">
        <f ca="1" t="shared" si="1830"/>
        <v>1</v>
      </c>
      <c r="J1779" s="130">
        <f ca="1" t="shared" si="1831"/>
        <v>1</v>
      </c>
      <c r="K1779" s="130">
        <f ca="1" t="shared" si="1832"/>
        <v>1</v>
      </c>
      <c r="L1779" s="130">
        <f ca="1" t="shared" si="1833"/>
        <v>1</v>
      </c>
      <c r="M1779" s="130">
        <f ca="1" t="shared" si="1834"/>
        <v>1</v>
      </c>
      <c r="N1779" s="130">
        <f ca="1" t="shared" si="1835"/>
        <v>1</v>
      </c>
      <c r="O1779" s="130">
        <f ca="1" t="shared" si="1836"/>
        <v>1</v>
      </c>
      <c r="P1779" s="130">
        <f ca="1" t="shared" si="1837"/>
        <v>1</v>
      </c>
      <c r="Q1779" s="130">
        <f ca="1" t="shared" si="1838"/>
        <v>1</v>
      </c>
      <c r="R1779" s="130">
        <f ca="1" t="shared" si="1839"/>
        <v>1</v>
      </c>
      <c r="S1779" s="130">
        <f ca="1" t="shared" si="1840"/>
        <v>1</v>
      </c>
      <c r="T1779" s="130">
        <f ca="1" t="shared" si="1841"/>
        <v>1</v>
      </c>
      <c r="U1779" s="130">
        <f ca="1" t="shared" si="1842"/>
        <v>1</v>
      </c>
      <c r="V1779" s="130">
        <f ca="1" t="shared" si="1843"/>
        <v>1</v>
      </c>
    </row>
    <row r="1780" ht="16.5" spans="2:22">
      <c r="B1780" s="117">
        <v>544</v>
      </c>
      <c r="C1780" s="130">
        <f t="shared" si="1824"/>
        <v>54400</v>
      </c>
      <c r="D1780" s="130">
        <f ca="1" t="shared" si="1825"/>
        <v>1</v>
      </c>
      <c r="E1780" s="130">
        <f ca="1" t="shared" si="1826"/>
        <v>1</v>
      </c>
      <c r="F1780" s="130">
        <f ca="1" t="shared" si="1827"/>
        <v>1</v>
      </c>
      <c r="G1780" s="130">
        <f ca="1" t="shared" si="1828"/>
        <v>1</v>
      </c>
      <c r="H1780" s="130">
        <f ca="1" t="shared" si="1829"/>
        <v>1</v>
      </c>
      <c r="I1780" s="130">
        <f ca="1" t="shared" si="1830"/>
        <v>1</v>
      </c>
      <c r="J1780" s="130">
        <f ca="1" t="shared" si="1831"/>
        <v>1</v>
      </c>
      <c r="K1780" s="130">
        <f ca="1" t="shared" si="1832"/>
        <v>1</v>
      </c>
      <c r="L1780" s="130">
        <f ca="1" t="shared" si="1833"/>
        <v>1</v>
      </c>
      <c r="M1780" s="130">
        <f ca="1" t="shared" si="1834"/>
        <v>1</v>
      </c>
      <c r="N1780" s="130">
        <f ca="1" t="shared" si="1835"/>
        <v>1</v>
      </c>
      <c r="O1780" s="130">
        <f ca="1" t="shared" si="1836"/>
        <v>1</v>
      </c>
      <c r="P1780" s="130">
        <f ca="1" t="shared" si="1837"/>
        <v>1</v>
      </c>
      <c r="Q1780" s="130">
        <f ca="1" t="shared" si="1838"/>
        <v>1</v>
      </c>
      <c r="R1780" s="130">
        <f ca="1" t="shared" si="1839"/>
        <v>1</v>
      </c>
      <c r="S1780" s="130">
        <f ca="1" t="shared" si="1840"/>
        <v>1</v>
      </c>
      <c r="T1780" s="130">
        <f ca="1" t="shared" si="1841"/>
        <v>1</v>
      </c>
      <c r="U1780" s="130">
        <f ca="1" t="shared" si="1842"/>
        <v>1</v>
      </c>
      <c r="V1780" s="130">
        <f ca="1" t="shared" si="1843"/>
        <v>1</v>
      </c>
    </row>
    <row r="1781" ht="16.5" spans="2:22">
      <c r="B1781" s="117">
        <v>545</v>
      </c>
      <c r="C1781" s="130">
        <f t="shared" si="1824"/>
        <v>54500</v>
      </c>
      <c r="D1781" s="130">
        <f ca="1" t="shared" si="1825"/>
        <v>1</v>
      </c>
      <c r="E1781" s="130">
        <f ca="1" t="shared" si="1826"/>
        <v>1</v>
      </c>
      <c r="F1781" s="130">
        <f ca="1" t="shared" si="1827"/>
        <v>1</v>
      </c>
      <c r="G1781" s="130">
        <f ca="1" t="shared" si="1828"/>
        <v>1</v>
      </c>
      <c r="H1781" s="130">
        <f ca="1" t="shared" si="1829"/>
        <v>1</v>
      </c>
      <c r="I1781" s="130">
        <f ca="1" t="shared" si="1830"/>
        <v>1</v>
      </c>
      <c r="J1781" s="130">
        <f ca="1" t="shared" si="1831"/>
        <v>1</v>
      </c>
      <c r="K1781" s="130">
        <f ca="1" t="shared" si="1832"/>
        <v>1</v>
      </c>
      <c r="L1781" s="130">
        <f ca="1" t="shared" si="1833"/>
        <v>1</v>
      </c>
      <c r="M1781" s="130">
        <f ca="1" t="shared" si="1834"/>
        <v>1</v>
      </c>
      <c r="N1781" s="130">
        <f ca="1" t="shared" si="1835"/>
        <v>1</v>
      </c>
      <c r="O1781" s="130">
        <f ca="1" t="shared" si="1836"/>
        <v>1</v>
      </c>
      <c r="P1781" s="130">
        <f ca="1" t="shared" si="1837"/>
        <v>1</v>
      </c>
      <c r="Q1781" s="130">
        <f ca="1" t="shared" si="1838"/>
        <v>1</v>
      </c>
      <c r="R1781" s="130">
        <f ca="1" t="shared" si="1839"/>
        <v>1</v>
      </c>
      <c r="S1781" s="130">
        <f ca="1" t="shared" si="1840"/>
        <v>1</v>
      </c>
      <c r="T1781" s="130">
        <f ca="1" t="shared" si="1841"/>
        <v>1</v>
      </c>
      <c r="U1781" s="130">
        <f ca="1" t="shared" si="1842"/>
        <v>1</v>
      </c>
      <c r="V1781" s="130">
        <f ca="1" t="shared" si="1843"/>
        <v>1</v>
      </c>
    </row>
    <row r="1782" ht="16.5" spans="2:22">
      <c r="B1782" s="117">
        <v>546</v>
      </c>
      <c r="C1782" s="130">
        <f t="shared" si="1824"/>
        <v>54600</v>
      </c>
      <c r="D1782" s="130">
        <f ca="1" t="shared" si="1825"/>
        <v>1</v>
      </c>
      <c r="E1782" s="130">
        <f ca="1" t="shared" si="1826"/>
        <v>1</v>
      </c>
      <c r="F1782" s="130">
        <f ca="1" t="shared" si="1827"/>
        <v>1</v>
      </c>
      <c r="G1782" s="130">
        <f ca="1" t="shared" si="1828"/>
        <v>1</v>
      </c>
      <c r="H1782" s="130">
        <f ca="1" t="shared" si="1829"/>
        <v>1</v>
      </c>
      <c r="I1782" s="130">
        <f ca="1" t="shared" si="1830"/>
        <v>1</v>
      </c>
      <c r="J1782" s="130">
        <f ca="1" t="shared" si="1831"/>
        <v>1</v>
      </c>
      <c r="K1782" s="130">
        <f ca="1" t="shared" si="1832"/>
        <v>1</v>
      </c>
      <c r="L1782" s="130">
        <f ca="1" t="shared" si="1833"/>
        <v>1</v>
      </c>
      <c r="M1782" s="130">
        <f ca="1" t="shared" si="1834"/>
        <v>1</v>
      </c>
      <c r="N1782" s="130">
        <f ca="1" t="shared" si="1835"/>
        <v>1</v>
      </c>
      <c r="O1782" s="130">
        <f ca="1" t="shared" si="1836"/>
        <v>1</v>
      </c>
      <c r="P1782" s="130">
        <f ca="1" t="shared" si="1837"/>
        <v>1</v>
      </c>
      <c r="Q1782" s="130">
        <f ca="1" t="shared" si="1838"/>
        <v>1</v>
      </c>
      <c r="R1782" s="130">
        <f ca="1" t="shared" si="1839"/>
        <v>1</v>
      </c>
      <c r="S1782" s="130">
        <f ca="1" t="shared" si="1840"/>
        <v>1</v>
      </c>
      <c r="T1782" s="130">
        <f ca="1" t="shared" si="1841"/>
        <v>1</v>
      </c>
      <c r="U1782" s="130">
        <f ca="1" t="shared" si="1842"/>
        <v>1</v>
      </c>
      <c r="V1782" s="130">
        <f ca="1" t="shared" si="1843"/>
        <v>1</v>
      </c>
    </row>
    <row r="1783" ht="16.5" spans="2:22">
      <c r="B1783" s="117">
        <v>547</v>
      </c>
      <c r="C1783" s="130">
        <f t="shared" si="1824"/>
        <v>54700</v>
      </c>
      <c r="D1783" s="130">
        <f ca="1" t="shared" si="1825"/>
        <v>1</v>
      </c>
      <c r="E1783" s="130">
        <f ca="1" t="shared" si="1826"/>
        <v>1</v>
      </c>
      <c r="F1783" s="130">
        <f ca="1" t="shared" si="1827"/>
        <v>1</v>
      </c>
      <c r="G1783" s="130">
        <f ca="1" t="shared" si="1828"/>
        <v>1</v>
      </c>
      <c r="H1783" s="130">
        <f ca="1" t="shared" si="1829"/>
        <v>1</v>
      </c>
      <c r="I1783" s="130">
        <f ca="1" t="shared" si="1830"/>
        <v>1</v>
      </c>
      <c r="J1783" s="130">
        <f ca="1" t="shared" si="1831"/>
        <v>1</v>
      </c>
      <c r="K1783" s="130">
        <f ca="1" t="shared" si="1832"/>
        <v>1</v>
      </c>
      <c r="L1783" s="130">
        <f ca="1" t="shared" si="1833"/>
        <v>1</v>
      </c>
      <c r="M1783" s="130">
        <f ca="1" t="shared" si="1834"/>
        <v>1</v>
      </c>
      <c r="N1783" s="130">
        <f ca="1" t="shared" si="1835"/>
        <v>1</v>
      </c>
      <c r="O1783" s="130">
        <f ca="1" t="shared" si="1836"/>
        <v>1</v>
      </c>
      <c r="P1783" s="130">
        <f ca="1" t="shared" si="1837"/>
        <v>1</v>
      </c>
      <c r="Q1783" s="130">
        <f ca="1" t="shared" si="1838"/>
        <v>1</v>
      </c>
      <c r="R1783" s="130">
        <f ca="1" t="shared" si="1839"/>
        <v>1</v>
      </c>
      <c r="S1783" s="130">
        <f ca="1" t="shared" si="1840"/>
        <v>1</v>
      </c>
      <c r="T1783" s="130">
        <f ca="1" t="shared" si="1841"/>
        <v>1</v>
      </c>
      <c r="U1783" s="130">
        <f ca="1" t="shared" si="1842"/>
        <v>1</v>
      </c>
      <c r="V1783" s="130">
        <f ca="1" t="shared" si="1843"/>
        <v>1</v>
      </c>
    </row>
    <row r="1784" ht="16.5" spans="2:22">
      <c r="B1784" s="117">
        <v>548</v>
      </c>
      <c r="C1784" s="130">
        <f t="shared" si="1824"/>
        <v>54800</v>
      </c>
      <c r="D1784" s="130">
        <f ca="1" t="shared" si="1825"/>
        <v>1</v>
      </c>
      <c r="E1784" s="130">
        <f ca="1" t="shared" si="1826"/>
        <v>1</v>
      </c>
      <c r="F1784" s="130">
        <f ca="1" t="shared" si="1827"/>
        <v>1</v>
      </c>
      <c r="G1784" s="130">
        <f ca="1" t="shared" si="1828"/>
        <v>1</v>
      </c>
      <c r="H1784" s="130">
        <f ca="1" t="shared" si="1829"/>
        <v>1</v>
      </c>
      <c r="I1784" s="130">
        <f ca="1" t="shared" si="1830"/>
        <v>1</v>
      </c>
      <c r="J1784" s="130">
        <f ca="1" t="shared" si="1831"/>
        <v>1</v>
      </c>
      <c r="K1784" s="130">
        <f ca="1" t="shared" si="1832"/>
        <v>1</v>
      </c>
      <c r="L1784" s="130">
        <f ca="1" t="shared" si="1833"/>
        <v>1</v>
      </c>
      <c r="M1784" s="130">
        <f ca="1" t="shared" si="1834"/>
        <v>1</v>
      </c>
      <c r="N1784" s="130">
        <f ca="1" t="shared" si="1835"/>
        <v>1</v>
      </c>
      <c r="O1784" s="130">
        <f ca="1" t="shared" si="1836"/>
        <v>1</v>
      </c>
      <c r="P1784" s="130">
        <f ca="1" t="shared" si="1837"/>
        <v>1</v>
      </c>
      <c r="Q1784" s="130">
        <f ca="1" t="shared" si="1838"/>
        <v>1</v>
      </c>
      <c r="R1784" s="130">
        <f ca="1" t="shared" si="1839"/>
        <v>1</v>
      </c>
      <c r="S1784" s="130">
        <f ca="1" t="shared" si="1840"/>
        <v>1</v>
      </c>
      <c r="T1784" s="130">
        <f ca="1" t="shared" si="1841"/>
        <v>1</v>
      </c>
      <c r="U1784" s="130">
        <f ca="1" t="shared" si="1842"/>
        <v>1</v>
      </c>
      <c r="V1784" s="130">
        <f ca="1" t="shared" si="1843"/>
        <v>1</v>
      </c>
    </row>
    <row r="1785" ht="16.5" spans="2:22">
      <c r="B1785" s="117">
        <v>549</v>
      </c>
      <c r="C1785" s="130">
        <f t="shared" si="1824"/>
        <v>54900</v>
      </c>
      <c r="D1785" s="130">
        <f ca="1" t="shared" si="1825"/>
        <v>1</v>
      </c>
      <c r="E1785" s="130">
        <f ca="1" t="shared" si="1826"/>
        <v>1</v>
      </c>
      <c r="F1785" s="130">
        <f ca="1" t="shared" si="1827"/>
        <v>1</v>
      </c>
      <c r="G1785" s="130">
        <f ca="1" t="shared" si="1828"/>
        <v>1</v>
      </c>
      <c r="H1785" s="130">
        <f ca="1" t="shared" si="1829"/>
        <v>1</v>
      </c>
      <c r="I1785" s="130">
        <f ca="1" t="shared" si="1830"/>
        <v>1</v>
      </c>
      <c r="J1785" s="130">
        <f ca="1" t="shared" si="1831"/>
        <v>1</v>
      </c>
      <c r="K1785" s="130">
        <f ca="1" t="shared" si="1832"/>
        <v>1</v>
      </c>
      <c r="L1785" s="130">
        <f ca="1" t="shared" si="1833"/>
        <v>1</v>
      </c>
      <c r="M1785" s="130">
        <f ca="1" t="shared" si="1834"/>
        <v>1</v>
      </c>
      <c r="N1785" s="130">
        <f ca="1" t="shared" si="1835"/>
        <v>1</v>
      </c>
      <c r="O1785" s="130">
        <f ca="1" t="shared" si="1836"/>
        <v>1</v>
      </c>
      <c r="P1785" s="130">
        <f ca="1" t="shared" si="1837"/>
        <v>1</v>
      </c>
      <c r="Q1785" s="130">
        <f ca="1" t="shared" si="1838"/>
        <v>1</v>
      </c>
      <c r="R1785" s="130">
        <f ca="1" t="shared" si="1839"/>
        <v>1</v>
      </c>
      <c r="S1785" s="130">
        <f ca="1" t="shared" si="1840"/>
        <v>1</v>
      </c>
      <c r="T1785" s="130">
        <f ca="1" t="shared" si="1841"/>
        <v>1</v>
      </c>
      <c r="U1785" s="130">
        <f ca="1" t="shared" si="1842"/>
        <v>1</v>
      </c>
      <c r="V1785" s="130">
        <f ca="1" t="shared" si="1843"/>
        <v>1</v>
      </c>
    </row>
    <row r="1786" ht="16.5" spans="2:22">
      <c r="B1786" s="117">
        <v>550</v>
      </c>
      <c r="C1786" s="130">
        <f t="shared" si="1824"/>
        <v>55000</v>
      </c>
      <c r="D1786" s="130">
        <f ca="1" t="shared" si="1825"/>
        <v>1</v>
      </c>
      <c r="E1786" s="130">
        <f ca="1" t="shared" si="1826"/>
        <v>1</v>
      </c>
      <c r="F1786" s="130">
        <f ca="1" t="shared" si="1827"/>
        <v>1</v>
      </c>
      <c r="G1786" s="130">
        <f ca="1" t="shared" si="1828"/>
        <v>1</v>
      </c>
      <c r="H1786" s="130">
        <f ca="1" t="shared" si="1829"/>
        <v>1</v>
      </c>
      <c r="I1786" s="130">
        <f ca="1" t="shared" si="1830"/>
        <v>1</v>
      </c>
      <c r="J1786" s="130">
        <f ca="1" t="shared" si="1831"/>
        <v>1</v>
      </c>
      <c r="K1786" s="130">
        <f ca="1" t="shared" si="1832"/>
        <v>1</v>
      </c>
      <c r="L1786" s="130">
        <f ca="1" t="shared" si="1833"/>
        <v>1</v>
      </c>
      <c r="M1786" s="130">
        <f ca="1" t="shared" si="1834"/>
        <v>1</v>
      </c>
      <c r="N1786" s="130">
        <f ca="1" t="shared" si="1835"/>
        <v>1</v>
      </c>
      <c r="O1786" s="130">
        <f ca="1" t="shared" si="1836"/>
        <v>1</v>
      </c>
      <c r="P1786" s="130">
        <f ca="1" t="shared" si="1837"/>
        <v>1</v>
      </c>
      <c r="Q1786" s="130">
        <f ca="1" t="shared" si="1838"/>
        <v>1</v>
      </c>
      <c r="R1786" s="130">
        <f ca="1" t="shared" si="1839"/>
        <v>1</v>
      </c>
      <c r="S1786" s="130">
        <f ca="1" t="shared" si="1840"/>
        <v>1</v>
      </c>
      <c r="T1786" s="130">
        <f ca="1" t="shared" si="1841"/>
        <v>1</v>
      </c>
      <c r="U1786" s="130">
        <f ca="1" t="shared" si="1842"/>
        <v>1</v>
      </c>
      <c r="V1786" s="130">
        <f ca="1" t="shared" si="1843"/>
        <v>1</v>
      </c>
    </row>
    <row r="1787" ht="16.5" spans="2:22">
      <c r="B1787" s="117">
        <v>551</v>
      </c>
      <c r="C1787" s="130">
        <f t="shared" si="1824"/>
        <v>55100</v>
      </c>
      <c r="D1787" s="130">
        <f ca="1" t="shared" si="1825"/>
        <v>1</v>
      </c>
      <c r="E1787" s="130">
        <f ca="1" t="shared" si="1826"/>
        <v>1</v>
      </c>
      <c r="F1787" s="130">
        <f ca="1" t="shared" si="1827"/>
        <v>1</v>
      </c>
      <c r="G1787" s="130">
        <f ca="1" t="shared" si="1828"/>
        <v>1</v>
      </c>
      <c r="H1787" s="130">
        <f ca="1" t="shared" si="1829"/>
        <v>1</v>
      </c>
      <c r="I1787" s="130">
        <f ca="1" t="shared" si="1830"/>
        <v>1</v>
      </c>
      <c r="J1787" s="130">
        <f ca="1" t="shared" si="1831"/>
        <v>1</v>
      </c>
      <c r="K1787" s="130">
        <f ca="1" t="shared" si="1832"/>
        <v>1</v>
      </c>
      <c r="L1787" s="130">
        <f ca="1" t="shared" si="1833"/>
        <v>1</v>
      </c>
      <c r="M1787" s="130">
        <f ca="1" t="shared" si="1834"/>
        <v>1</v>
      </c>
      <c r="N1787" s="130">
        <f ca="1" t="shared" si="1835"/>
        <v>1</v>
      </c>
      <c r="O1787" s="130">
        <f ca="1" t="shared" si="1836"/>
        <v>1</v>
      </c>
      <c r="P1787" s="130">
        <f ca="1" t="shared" si="1837"/>
        <v>1</v>
      </c>
      <c r="Q1787" s="130">
        <f ca="1" t="shared" si="1838"/>
        <v>1</v>
      </c>
      <c r="R1787" s="130">
        <f ca="1" t="shared" si="1839"/>
        <v>1</v>
      </c>
      <c r="S1787" s="130">
        <f ca="1" t="shared" si="1840"/>
        <v>1</v>
      </c>
      <c r="T1787" s="130">
        <f ca="1" t="shared" si="1841"/>
        <v>1</v>
      </c>
      <c r="U1787" s="130">
        <f ca="1" t="shared" si="1842"/>
        <v>1</v>
      </c>
      <c r="V1787" s="130">
        <f ca="1" t="shared" si="1843"/>
        <v>1</v>
      </c>
    </row>
    <row r="1788" ht="16.5" spans="2:22">
      <c r="B1788" s="117">
        <v>552</v>
      </c>
      <c r="C1788" s="130">
        <f t="shared" si="1824"/>
        <v>55200</v>
      </c>
      <c r="D1788" s="130">
        <f ca="1" t="shared" si="1825"/>
        <v>1</v>
      </c>
      <c r="E1788" s="130">
        <f ca="1" t="shared" si="1826"/>
        <v>1</v>
      </c>
      <c r="F1788" s="130">
        <f ca="1" t="shared" si="1827"/>
        <v>1</v>
      </c>
      <c r="G1788" s="130">
        <f ca="1" t="shared" si="1828"/>
        <v>1</v>
      </c>
      <c r="H1788" s="130">
        <f ca="1" t="shared" si="1829"/>
        <v>1</v>
      </c>
      <c r="I1788" s="130">
        <f ca="1" t="shared" si="1830"/>
        <v>1</v>
      </c>
      <c r="J1788" s="130">
        <f ca="1" t="shared" si="1831"/>
        <v>1</v>
      </c>
      <c r="K1788" s="130">
        <f ca="1" t="shared" si="1832"/>
        <v>1</v>
      </c>
      <c r="L1788" s="130">
        <f ca="1" t="shared" si="1833"/>
        <v>1</v>
      </c>
      <c r="M1788" s="130">
        <f ca="1" t="shared" si="1834"/>
        <v>1</v>
      </c>
      <c r="N1788" s="130">
        <f ca="1" t="shared" si="1835"/>
        <v>1</v>
      </c>
      <c r="O1788" s="130">
        <f ca="1" t="shared" si="1836"/>
        <v>1</v>
      </c>
      <c r="P1788" s="130">
        <f ca="1" t="shared" si="1837"/>
        <v>1</v>
      </c>
      <c r="Q1788" s="130">
        <f ca="1" t="shared" si="1838"/>
        <v>1</v>
      </c>
      <c r="R1788" s="130">
        <f ca="1" t="shared" si="1839"/>
        <v>1</v>
      </c>
      <c r="S1788" s="130">
        <f ca="1" t="shared" si="1840"/>
        <v>1</v>
      </c>
      <c r="T1788" s="130">
        <f ca="1" t="shared" si="1841"/>
        <v>1</v>
      </c>
      <c r="U1788" s="130">
        <f ca="1" t="shared" si="1842"/>
        <v>1</v>
      </c>
      <c r="V1788" s="130">
        <f ca="1" t="shared" si="1843"/>
        <v>1</v>
      </c>
    </row>
    <row r="1789" ht="16.5" spans="2:22">
      <c r="B1789" s="117">
        <v>553</v>
      </c>
      <c r="C1789" s="130">
        <f t="shared" si="1824"/>
        <v>55300</v>
      </c>
      <c r="D1789" s="130">
        <f ca="1" t="shared" si="1825"/>
        <v>1</v>
      </c>
      <c r="E1789" s="130">
        <f ca="1" t="shared" si="1826"/>
        <v>1</v>
      </c>
      <c r="F1789" s="130">
        <f ca="1" t="shared" si="1827"/>
        <v>1</v>
      </c>
      <c r="G1789" s="130">
        <f ca="1" t="shared" si="1828"/>
        <v>1</v>
      </c>
      <c r="H1789" s="130">
        <f ca="1" t="shared" si="1829"/>
        <v>1</v>
      </c>
      <c r="I1789" s="130">
        <f ca="1" t="shared" si="1830"/>
        <v>1</v>
      </c>
      <c r="J1789" s="130">
        <f ca="1" t="shared" si="1831"/>
        <v>1</v>
      </c>
      <c r="K1789" s="130">
        <f ca="1" t="shared" si="1832"/>
        <v>1</v>
      </c>
      <c r="L1789" s="130">
        <f ca="1" t="shared" si="1833"/>
        <v>1</v>
      </c>
      <c r="M1789" s="130">
        <f ca="1" t="shared" si="1834"/>
        <v>1</v>
      </c>
      <c r="N1789" s="130">
        <f ca="1" t="shared" si="1835"/>
        <v>1</v>
      </c>
      <c r="O1789" s="130">
        <f ca="1" t="shared" si="1836"/>
        <v>1</v>
      </c>
      <c r="P1789" s="130">
        <f ca="1" t="shared" si="1837"/>
        <v>1</v>
      </c>
      <c r="Q1789" s="130">
        <f ca="1" t="shared" si="1838"/>
        <v>1</v>
      </c>
      <c r="R1789" s="130">
        <f ca="1" t="shared" si="1839"/>
        <v>1</v>
      </c>
      <c r="S1789" s="130">
        <f ca="1" t="shared" si="1840"/>
        <v>1</v>
      </c>
      <c r="T1789" s="130">
        <f ca="1" t="shared" si="1841"/>
        <v>1</v>
      </c>
      <c r="U1789" s="130">
        <f ca="1" t="shared" si="1842"/>
        <v>1</v>
      </c>
      <c r="V1789" s="130">
        <f ca="1" t="shared" si="1843"/>
        <v>1</v>
      </c>
    </row>
    <row r="1790" ht="16.5" spans="2:22">
      <c r="B1790" s="117">
        <v>554</v>
      </c>
      <c r="C1790" s="130">
        <f t="shared" si="1824"/>
        <v>55400</v>
      </c>
      <c r="D1790" s="130">
        <f ca="1" t="shared" si="1825"/>
        <v>1</v>
      </c>
      <c r="E1790" s="130">
        <f ca="1" t="shared" si="1826"/>
        <v>1</v>
      </c>
      <c r="F1790" s="130">
        <f ca="1" t="shared" si="1827"/>
        <v>1</v>
      </c>
      <c r="G1790" s="130">
        <f ca="1" t="shared" si="1828"/>
        <v>1</v>
      </c>
      <c r="H1790" s="130">
        <f ca="1" t="shared" si="1829"/>
        <v>1</v>
      </c>
      <c r="I1790" s="130">
        <f ca="1" t="shared" si="1830"/>
        <v>1</v>
      </c>
      <c r="J1790" s="130">
        <f ca="1" t="shared" si="1831"/>
        <v>1</v>
      </c>
      <c r="K1790" s="130">
        <f ca="1" t="shared" si="1832"/>
        <v>1</v>
      </c>
      <c r="L1790" s="130">
        <f ca="1" t="shared" si="1833"/>
        <v>1</v>
      </c>
      <c r="M1790" s="130">
        <f ca="1" t="shared" si="1834"/>
        <v>1</v>
      </c>
      <c r="N1790" s="130">
        <f ca="1" t="shared" si="1835"/>
        <v>1</v>
      </c>
      <c r="O1790" s="130">
        <f ca="1" t="shared" si="1836"/>
        <v>1</v>
      </c>
      <c r="P1790" s="130">
        <f ca="1" t="shared" si="1837"/>
        <v>1</v>
      </c>
      <c r="Q1790" s="130">
        <f ca="1" t="shared" si="1838"/>
        <v>1</v>
      </c>
      <c r="R1790" s="130">
        <f ca="1" t="shared" si="1839"/>
        <v>1</v>
      </c>
      <c r="S1790" s="130">
        <f ca="1" t="shared" si="1840"/>
        <v>1</v>
      </c>
      <c r="T1790" s="130">
        <f ca="1" t="shared" si="1841"/>
        <v>1</v>
      </c>
      <c r="U1790" s="130">
        <f ca="1" t="shared" si="1842"/>
        <v>1</v>
      </c>
      <c r="V1790" s="130">
        <f ca="1" t="shared" si="1843"/>
        <v>1</v>
      </c>
    </row>
    <row r="1791" ht="16.5" spans="2:22">
      <c r="B1791" s="117">
        <v>555</v>
      </c>
      <c r="C1791" s="130">
        <f t="shared" si="1824"/>
        <v>55500</v>
      </c>
      <c r="D1791" s="130">
        <f ca="1" t="shared" si="1825"/>
        <v>1</v>
      </c>
      <c r="E1791" s="130">
        <f ca="1" t="shared" si="1826"/>
        <v>1</v>
      </c>
      <c r="F1791" s="130">
        <f ca="1" t="shared" si="1827"/>
        <v>1</v>
      </c>
      <c r="G1791" s="130">
        <f ca="1" t="shared" si="1828"/>
        <v>1</v>
      </c>
      <c r="H1791" s="130">
        <f ca="1" t="shared" si="1829"/>
        <v>1</v>
      </c>
      <c r="I1791" s="130">
        <f ca="1" t="shared" si="1830"/>
        <v>1</v>
      </c>
      <c r="J1791" s="130">
        <f ca="1" t="shared" si="1831"/>
        <v>1</v>
      </c>
      <c r="K1791" s="130">
        <f ca="1" t="shared" si="1832"/>
        <v>1</v>
      </c>
      <c r="L1791" s="130">
        <f ca="1" t="shared" si="1833"/>
        <v>1</v>
      </c>
      <c r="M1791" s="130">
        <f ca="1" t="shared" si="1834"/>
        <v>1</v>
      </c>
      <c r="N1791" s="130">
        <f ca="1" t="shared" si="1835"/>
        <v>1</v>
      </c>
      <c r="O1791" s="130">
        <f ca="1" t="shared" si="1836"/>
        <v>1</v>
      </c>
      <c r="P1791" s="130">
        <f ca="1" t="shared" si="1837"/>
        <v>1</v>
      </c>
      <c r="Q1791" s="130">
        <f ca="1" t="shared" si="1838"/>
        <v>1</v>
      </c>
      <c r="R1791" s="130">
        <f ca="1" t="shared" si="1839"/>
        <v>1</v>
      </c>
      <c r="S1791" s="130">
        <f ca="1" t="shared" si="1840"/>
        <v>1</v>
      </c>
      <c r="T1791" s="130">
        <f ca="1" t="shared" si="1841"/>
        <v>1</v>
      </c>
      <c r="U1791" s="130">
        <f ca="1" t="shared" si="1842"/>
        <v>1</v>
      </c>
      <c r="V1791" s="130">
        <f ca="1" t="shared" si="1843"/>
        <v>1</v>
      </c>
    </row>
    <row r="1792" ht="16.5" spans="2:22">
      <c r="B1792" s="117">
        <v>556</v>
      </c>
      <c r="C1792" s="130">
        <f t="shared" si="1824"/>
        <v>55600</v>
      </c>
      <c r="D1792" s="130">
        <f ca="1" t="shared" si="1825"/>
        <v>1</v>
      </c>
      <c r="E1792" s="130">
        <f ca="1" t="shared" si="1826"/>
        <v>1</v>
      </c>
      <c r="F1792" s="130">
        <f ca="1" t="shared" si="1827"/>
        <v>1</v>
      </c>
      <c r="G1792" s="130">
        <f ca="1" t="shared" si="1828"/>
        <v>1</v>
      </c>
      <c r="H1792" s="130">
        <f ca="1" t="shared" si="1829"/>
        <v>1</v>
      </c>
      <c r="I1792" s="130">
        <f ca="1" t="shared" si="1830"/>
        <v>1</v>
      </c>
      <c r="J1792" s="130">
        <f ca="1" t="shared" si="1831"/>
        <v>1</v>
      </c>
      <c r="K1792" s="130">
        <f ca="1" t="shared" si="1832"/>
        <v>1</v>
      </c>
      <c r="L1792" s="130">
        <f ca="1" t="shared" si="1833"/>
        <v>1</v>
      </c>
      <c r="M1792" s="130">
        <f ca="1" t="shared" si="1834"/>
        <v>1</v>
      </c>
      <c r="N1792" s="130">
        <f ca="1" t="shared" si="1835"/>
        <v>1</v>
      </c>
      <c r="O1792" s="130">
        <f ca="1" t="shared" si="1836"/>
        <v>1</v>
      </c>
      <c r="P1792" s="130">
        <f ca="1" t="shared" si="1837"/>
        <v>1</v>
      </c>
      <c r="Q1792" s="130">
        <f ca="1" t="shared" si="1838"/>
        <v>1</v>
      </c>
      <c r="R1792" s="130">
        <f ca="1" t="shared" si="1839"/>
        <v>1</v>
      </c>
      <c r="S1792" s="130">
        <f ca="1" t="shared" si="1840"/>
        <v>1</v>
      </c>
      <c r="T1792" s="130">
        <f ca="1" t="shared" si="1841"/>
        <v>1</v>
      </c>
      <c r="U1792" s="130">
        <f ca="1" t="shared" si="1842"/>
        <v>1</v>
      </c>
      <c r="V1792" s="130">
        <f ca="1" t="shared" si="1843"/>
        <v>1</v>
      </c>
    </row>
    <row r="1793" ht="16.5" spans="2:22">
      <c r="B1793" s="117">
        <v>557</v>
      </c>
      <c r="C1793" s="130">
        <f t="shared" ref="C1793:C1836" si="1844">C1191</f>
        <v>55700</v>
      </c>
      <c r="D1793" s="130">
        <f ca="1" t="shared" ref="D1793:D1836" si="1845">IF($C1793&gt;D$633,1,0)</f>
        <v>1</v>
      </c>
      <c r="E1793" s="130">
        <f ca="1" t="shared" ref="E1793:E1836" si="1846">IF($C1793&gt;E$633,1,0)</f>
        <v>1</v>
      </c>
      <c r="F1793" s="130">
        <f ca="1" t="shared" ref="F1793:F1836" si="1847">IF($C1793&gt;F$633,1,0)</f>
        <v>1</v>
      </c>
      <c r="G1793" s="130">
        <f ca="1" t="shared" ref="G1793:G1836" si="1848">IF($C1793&gt;G$633,1,0)</f>
        <v>1</v>
      </c>
      <c r="H1793" s="130">
        <f ca="1" t="shared" ref="H1793:H1836" si="1849">IF($C1793&gt;H$633,1,0)</f>
        <v>1</v>
      </c>
      <c r="I1793" s="130">
        <f ca="1" t="shared" ref="I1793:I1836" si="1850">IF($C1793&gt;I$633,1,0)</f>
        <v>1</v>
      </c>
      <c r="J1793" s="130">
        <f ca="1" t="shared" ref="J1793:J1836" si="1851">IF($C1793&gt;J$633,1,0)</f>
        <v>1</v>
      </c>
      <c r="K1793" s="130">
        <f ca="1" t="shared" ref="K1793:K1836" si="1852">IF($C1793&gt;K$633,1,0)</f>
        <v>1</v>
      </c>
      <c r="L1793" s="130">
        <f ca="1" t="shared" ref="L1793:L1836" si="1853">IF($C1793&gt;L$633,1,0)</f>
        <v>1</v>
      </c>
      <c r="M1793" s="130">
        <f ca="1" t="shared" ref="M1793:M1836" si="1854">IF($C1793&gt;M$633,1,0)</f>
        <v>1</v>
      </c>
      <c r="N1793" s="130">
        <f ca="1" t="shared" ref="N1793:N1836" si="1855">IF($C1793&gt;N$633,1,0)</f>
        <v>1</v>
      </c>
      <c r="O1793" s="130">
        <f ca="1" t="shared" ref="O1793:O1836" si="1856">IF($C1793&gt;O$633,1,0)</f>
        <v>1</v>
      </c>
      <c r="P1793" s="130">
        <f ca="1" t="shared" ref="P1793:P1836" si="1857">IF($C1793&gt;P$633,1,0)</f>
        <v>1</v>
      </c>
      <c r="Q1793" s="130">
        <f ca="1" t="shared" ref="Q1793:Q1836" si="1858">IF($C1793&gt;Q$633,1,0)</f>
        <v>1</v>
      </c>
      <c r="R1793" s="130">
        <f ca="1" t="shared" ref="R1793:R1836" si="1859">IF($C1793&gt;R$633,1,0)</f>
        <v>1</v>
      </c>
      <c r="S1793" s="130">
        <f ca="1" t="shared" ref="S1793:S1836" si="1860">IF($C1793&gt;S$633,1,0)</f>
        <v>1</v>
      </c>
      <c r="T1793" s="130">
        <f ca="1" t="shared" ref="T1793:T1836" si="1861">IF($C1793&gt;T$633,1,0)</f>
        <v>1</v>
      </c>
      <c r="U1793" s="130">
        <f ca="1" t="shared" ref="U1793:U1836" si="1862">IF($C1793&gt;U$633,1,0)</f>
        <v>1</v>
      </c>
      <c r="V1793" s="130">
        <f ca="1" t="shared" ref="V1793:V1836" si="1863">IF($C1793&gt;V$633,1,0)</f>
        <v>1</v>
      </c>
    </row>
    <row r="1794" ht="16.5" spans="2:22">
      <c r="B1794" s="117">
        <v>558</v>
      </c>
      <c r="C1794" s="130">
        <f t="shared" si="1844"/>
        <v>55800</v>
      </c>
      <c r="D1794" s="130">
        <f ca="1" t="shared" si="1845"/>
        <v>1</v>
      </c>
      <c r="E1794" s="130">
        <f ca="1" t="shared" si="1846"/>
        <v>1</v>
      </c>
      <c r="F1794" s="130">
        <f ca="1" t="shared" si="1847"/>
        <v>1</v>
      </c>
      <c r="G1794" s="130">
        <f ca="1" t="shared" si="1848"/>
        <v>1</v>
      </c>
      <c r="H1794" s="130">
        <f ca="1" t="shared" si="1849"/>
        <v>1</v>
      </c>
      <c r="I1794" s="130">
        <f ca="1" t="shared" si="1850"/>
        <v>1</v>
      </c>
      <c r="J1794" s="130">
        <f ca="1" t="shared" si="1851"/>
        <v>1</v>
      </c>
      <c r="K1794" s="130">
        <f ca="1" t="shared" si="1852"/>
        <v>1</v>
      </c>
      <c r="L1794" s="130">
        <f ca="1" t="shared" si="1853"/>
        <v>1</v>
      </c>
      <c r="M1794" s="130">
        <f ca="1" t="shared" si="1854"/>
        <v>1</v>
      </c>
      <c r="N1794" s="130">
        <f ca="1" t="shared" si="1855"/>
        <v>1</v>
      </c>
      <c r="O1794" s="130">
        <f ca="1" t="shared" si="1856"/>
        <v>1</v>
      </c>
      <c r="P1794" s="130">
        <f ca="1" t="shared" si="1857"/>
        <v>1</v>
      </c>
      <c r="Q1794" s="130">
        <f ca="1" t="shared" si="1858"/>
        <v>1</v>
      </c>
      <c r="R1794" s="130">
        <f ca="1" t="shared" si="1859"/>
        <v>1</v>
      </c>
      <c r="S1794" s="130">
        <f ca="1" t="shared" si="1860"/>
        <v>1</v>
      </c>
      <c r="T1794" s="130">
        <f ca="1" t="shared" si="1861"/>
        <v>1</v>
      </c>
      <c r="U1794" s="130">
        <f ca="1" t="shared" si="1862"/>
        <v>1</v>
      </c>
      <c r="V1794" s="130">
        <f ca="1" t="shared" si="1863"/>
        <v>1</v>
      </c>
    </row>
    <row r="1795" ht="16.5" spans="2:22">
      <c r="B1795" s="117">
        <v>559</v>
      </c>
      <c r="C1795" s="130">
        <f t="shared" si="1844"/>
        <v>55900</v>
      </c>
      <c r="D1795" s="130">
        <f ca="1" t="shared" si="1845"/>
        <v>1</v>
      </c>
      <c r="E1795" s="130">
        <f ca="1" t="shared" si="1846"/>
        <v>1</v>
      </c>
      <c r="F1795" s="130">
        <f ca="1" t="shared" si="1847"/>
        <v>1</v>
      </c>
      <c r="G1795" s="130">
        <f ca="1" t="shared" si="1848"/>
        <v>1</v>
      </c>
      <c r="H1795" s="130">
        <f ca="1" t="shared" si="1849"/>
        <v>1</v>
      </c>
      <c r="I1795" s="130">
        <f ca="1" t="shared" si="1850"/>
        <v>1</v>
      </c>
      <c r="J1795" s="130">
        <f ca="1" t="shared" si="1851"/>
        <v>1</v>
      </c>
      <c r="K1795" s="130">
        <f ca="1" t="shared" si="1852"/>
        <v>1</v>
      </c>
      <c r="L1795" s="130">
        <f ca="1" t="shared" si="1853"/>
        <v>1</v>
      </c>
      <c r="M1795" s="130">
        <f ca="1" t="shared" si="1854"/>
        <v>1</v>
      </c>
      <c r="N1795" s="130">
        <f ca="1" t="shared" si="1855"/>
        <v>1</v>
      </c>
      <c r="O1795" s="130">
        <f ca="1" t="shared" si="1856"/>
        <v>1</v>
      </c>
      <c r="P1795" s="130">
        <f ca="1" t="shared" si="1857"/>
        <v>1</v>
      </c>
      <c r="Q1795" s="130">
        <f ca="1" t="shared" si="1858"/>
        <v>1</v>
      </c>
      <c r="R1795" s="130">
        <f ca="1" t="shared" si="1859"/>
        <v>1</v>
      </c>
      <c r="S1795" s="130">
        <f ca="1" t="shared" si="1860"/>
        <v>1</v>
      </c>
      <c r="T1795" s="130">
        <f ca="1" t="shared" si="1861"/>
        <v>1</v>
      </c>
      <c r="U1795" s="130">
        <f ca="1" t="shared" si="1862"/>
        <v>1</v>
      </c>
      <c r="V1795" s="130">
        <f ca="1" t="shared" si="1863"/>
        <v>1</v>
      </c>
    </row>
    <row r="1796" ht="16.5" spans="2:22">
      <c r="B1796" s="117">
        <v>560</v>
      </c>
      <c r="C1796" s="130">
        <f t="shared" si="1844"/>
        <v>56000</v>
      </c>
      <c r="D1796" s="130">
        <f ca="1" t="shared" si="1845"/>
        <v>1</v>
      </c>
      <c r="E1796" s="130">
        <f ca="1" t="shared" si="1846"/>
        <v>1</v>
      </c>
      <c r="F1796" s="130">
        <f ca="1" t="shared" si="1847"/>
        <v>1</v>
      </c>
      <c r="G1796" s="130">
        <f ca="1" t="shared" si="1848"/>
        <v>1</v>
      </c>
      <c r="H1796" s="130">
        <f ca="1" t="shared" si="1849"/>
        <v>1</v>
      </c>
      <c r="I1796" s="130">
        <f ca="1" t="shared" si="1850"/>
        <v>1</v>
      </c>
      <c r="J1796" s="130">
        <f ca="1" t="shared" si="1851"/>
        <v>1</v>
      </c>
      <c r="K1796" s="130">
        <f ca="1" t="shared" si="1852"/>
        <v>1</v>
      </c>
      <c r="L1796" s="130">
        <f ca="1" t="shared" si="1853"/>
        <v>1</v>
      </c>
      <c r="M1796" s="130">
        <f ca="1" t="shared" si="1854"/>
        <v>1</v>
      </c>
      <c r="N1796" s="130">
        <f ca="1" t="shared" si="1855"/>
        <v>1</v>
      </c>
      <c r="O1796" s="130">
        <f ca="1" t="shared" si="1856"/>
        <v>1</v>
      </c>
      <c r="P1796" s="130">
        <f ca="1" t="shared" si="1857"/>
        <v>1</v>
      </c>
      <c r="Q1796" s="130">
        <f ca="1" t="shared" si="1858"/>
        <v>1</v>
      </c>
      <c r="R1796" s="130">
        <f ca="1" t="shared" si="1859"/>
        <v>1</v>
      </c>
      <c r="S1796" s="130">
        <f ca="1" t="shared" si="1860"/>
        <v>1</v>
      </c>
      <c r="T1796" s="130">
        <f ca="1" t="shared" si="1861"/>
        <v>1</v>
      </c>
      <c r="U1796" s="130">
        <f ca="1" t="shared" si="1862"/>
        <v>1</v>
      </c>
      <c r="V1796" s="130">
        <f ca="1" t="shared" si="1863"/>
        <v>1</v>
      </c>
    </row>
    <row r="1797" ht="16.5" spans="2:22">
      <c r="B1797" s="117">
        <v>561</v>
      </c>
      <c r="C1797" s="130">
        <f t="shared" si="1844"/>
        <v>56100</v>
      </c>
      <c r="D1797" s="130">
        <f ca="1" t="shared" si="1845"/>
        <v>1</v>
      </c>
      <c r="E1797" s="130">
        <f ca="1" t="shared" si="1846"/>
        <v>1</v>
      </c>
      <c r="F1797" s="130">
        <f ca="1" t="shared" si="1847"/>
        <v>1</v>
      </c>
      <c r="G1797" s="130">
        <f ca="1" t="shared" si="1848"/>
        <v>1</v>
      </c>
      <c r="H1797" s="130">
        <f ca="1" t="shared" si="1849"/>
        <v>1</v>
      </c>
      <c r="I1797" s="130">
        <f ca="1" t="shared" si="1850"/>
        <v>1</v>
      </c>
      <c r="J1797" s="130">
        <f ca="1" t="shared" si="1851"/>
        <v>1</v>
      </c>
      <c r="K1797" s="130">
        <f ca="1" t="shared" si="1852"/>
        <v>1</v>
      </c>
      <c r="L1797" s="130">
        <f ca="1" t="shared" si="1853"/>
        <v>1</v>
      </c>
      <c r="M1797" s="130">
        <f ca="1" t="shared" si="1854"/>
        <v>1</v>
      </c>
      <c r="N1797" s="130">
        <f ca="1" t="shared" si="1855"/>
        <v>1</v>
      </c>
      <c r="O1797" s="130">
        <f ca="1" t="shared" si="1856"/>
        <v>1</v>
      </c>
      <c r="P1797" s="130">
        <f ca="1" t="shared" si="1857"/>
        <v>1</v>
      </c>
      <c r="Q1797" s="130">
        <f ca="1" t="shared" si="1858"/>
        <v>1</v>
      </c>
      <c r="R1797" s="130">
        <f ca="1" t="shared" si="1859"/>
        <v>1</v>
      </c>
      <c r="S1797" s="130">
        <f ca="1" t="shared" si="1860"/>
        <v>1</v>
      </c>
      <c r="T1797" s="130">
        <f ca="1" t="shared" si="1861"/>
        <v>1</v>
      </c>
      <c r="U1797" s="130">
        <f ca="1" t="shared" si="1862"/>
        <v>1</v>
      </c>
      <c r="V1797" s="130">
        <f ca="1" t="shared" si="1863"/>
        <v>1</v>
      </c>
    </row>
    <row r="1798" ht="16.5" spans="2:22">
      <c r="B1798" s="117">
        <v>562</v>
      </c>
      <c r="C1798" s="130">
        <f t="shared" si="1844"/>
        <v>56200</v>
      </c>
      <c r="D1798" s="130">
        <f ca="1" t="shared" si="1845"/>
        <v>1</v>
      </c>
      <c r="E1798" s="130">
        <f ca="1" t="shared" si="1846"/>
        <v>1</v>
      </c>
      <c r="F1798" s="130">
        <f ca="1" t="shared" si="1847"/>
        <v>1</v>
      </c>
      <c r="G1798" s="130">
        <f ca="1" t="shared" si="1848"/>
        <v>1</v>
      </c>
      <c r="H1798" s="130">
        <f ca="1" t="shared" si="1849"/>
        <v>1</v>
      </c>
      <c r="I1798" s="130">
        <f ca="1" t="shared" si="1850"/>
        <v>1</v>
      </c>
      <c r="J1798" s="130">
        <f ca="1" t="shared" si="1851"/>
        <v>1</v>
      </c>
      <c r="K1798" s="130">
        <f ca="1" t="shared" si="1852"/>
        <v>1</v>
      </c>
      <c r="L1798" s="130">
        <f ca="1" t="shared" si="1853"/>
        <v>1</v>
      </c>
      <c r="M1798" s="130">
        <f ca="1" t="shared" si="1854"/>
        <v>1</v>
      </c>
      <c r="N1798" s="130">
        <f ca="1" t="shared" si="1855"/>
        <v>1</v>
      </c>
      <c r="O1798" s="130">
        <f ca="1" t="shared" si="1856"/>
        <v>1</v>
      </c>
      <c r="P1798" s="130">
        <f ca="1" t="shared" si="1857"/>
        <v>1</v>
      </c>
      <c r="Q1798" s="130">
        <f ca="1" t="shared" si="1858"/>
        <v>1</v>
      </c>
      <c r="R1798" s="130">
        <f ca="1" t="shared" si="1859"/>
        <v>1</v>
      </c>
      <c r="S1798" s="130">
        <f ca="1" t="shared" si="1860"/>
        <v>1</v>
      </c>
      <c r="T1798" s="130">
        <f ca="1" t="shared" si="1861"/>
        <v>1</v>
      </c>
      <c r="U1798" s="130">
        <f ca="1" t="shared" si="1862"/>
        <v>1</v>
      </c>
      <c r="V1798" s="130">
        <f ca="1" t="shared" si="1863"/>
        <v>1</v>
      </c>
    </row>
    <row r="1799" ht="16.5" spans="2:22">
      <c r="B1799" s="117">
        <v>563</v>
      </c>
      <c r="C1799" s="130">
        <f t="shared" si="1844"/>
        <v>56300</v>
      </c>
      <c r="D1799" s="130">
        <f ca="1" t="shared" si="1845"/>
        <v>1</v>
      </c>
      <c r="E1799" s="130">
        <f ca="1" t="shared" si="1846"/>
        <v>1</v>
      </c>
      <c r="F1799" s="130">
        <f ca="1" t="shared" si="1847"/>
        <v>1</v>
      </c>
      <c r="G1799" s="130">
        <f ca="1" t="shared" si="1848"/>
        <v>1</v>
      </c>
      <c r="H1799" s="130">
        <f ca="1" t="shared" si="1849"/>
        <v>1</v>
      </c>
      <c r="I1799" s="130">
        <f ca="1" t="shared" si="1850"/>
        <v>1</v>
      </c>
      <c r="J1799" s="130">
        <f ca="1" t="shared" si="1851"/>
        <v>1</v>
      </c>
      <c r="K1799" s="130">
        <f ca="1" t="shared" si="1852"/>
        <v>1</v>
      </c>
      <c r="L1799" s="130">
        <f ca="1" t="shared" si="1853"/>
        <v>1</v>
      </c>
      <c r="M1799" s="130">
        <f ca="1" t="shared" si="1854"/>
        <v>1</v>
      </c>
      <c r="N1799" s="130">
        <f ca="1" t="shared" si="1855"/>
        <v>1</v>
      </c>
      <c r="O1799" s="130">
        <f ca="1" t="shared" si="1856"/>
        <v>1</v>
      </c>
      <c r="P1799" s="130">
        <f ca="1" t="shared" si="1857"/>
        <v>1</v>
      </c>
      <c r="Q1799" s="130">
        <f ca="1" t="shared" si="1858"/>
        <v>1</v>
      </c>
      <c r="R1799" s="130">
        <f ca="1" t="shared" si="1859"/>
        <v>1</v>
      </c>
      <c r="S1799" s="130">
        <f ca="1" t="shared" si="1860"/>
        <v>1</v>
      </c>
      <c r="T1799" s="130">
        <f ca="1" t="shared" si="1861"/>
        <v>1</v>
      </c>
      <c r="U1799" s="130">
        <f ca="1" t="shared" si="1862"/>
        <v>1</v>
      </c>
      <c r="V1799" s="130">
        <f ca="1" t="shared" si="1863"/>
        <v>1</v>
      </c>
    </row>
    <row r="1800" ht="16.5" spans="2:22">
      <c r="B1800" s="117">
        <v>564</v>
      </c>
      <c r="C1800" s="130">
        <f t="shared" si="1844"/>
        <v>56400</v>
      </c>
      <c r="D1800" s="130">
        <f ca="1" t="shared" si="1845"/>
        <v>1</v>
      </c>
      <c r="E1800" s="130">
        <f ca="1" t="shared" si="1846"/>
        <v>1</v>
      </c>
      <c r="F1800" s="130">
        <f ca="1" t="shared" si="1847"/>
        <v>1</v>
      </c>
      <c r="G1800" s="130">
        <f ca="1" t="shared" si="1848"/>
        <v>1</v>
      </c>
      <c r="H1800" s="130">
        <f ca="1" t="shared" si="1849"/>
        <v>1</v>
      </c>
      <c r="I1800" s="130">
        <f ca="1" t="shared" si="1850"/>
        <v>1</v>
      </c>
      <c r="J1800" s="130">
        <f ca="1" t="shared" si="1851"/>
        <v>1</v>
      </c>
      <c r="K1800" s="130">
        <f ca="1" t="shared" si="1852"/>
        <v>1</v>
      </c>
      <c r="L1800" s="130">
        <f ca="1" t="shared" si="1853"/>
        <v>1</v>
      </c>
      <c r="M1800" s="130">
        <f ca="1" t="shared" si="1854"/>
        <v>1</v>
      </c>
      <c r="N1800" s="130">
        <f ca="1" t="shared" si="1855"/>
        <v>1</v>
      </c>
      <c r="O1800" s="130">
        <f ca="1" t="shared" si="1856"/>
        <v>1</v>
      </c>
      <c r="P1800" s="130">
        <f ca="1" t="shared" si="1857"/>
        <v>1</v>
      </c>
      <c r="Q1800" s="130">
        <f ca="1" t="shared" si="1858"/>
        <v>1</v>
      </c>
      <c r="R1800" s="130">
        <f ca="1" t="shared" si="1859"/>
        <v>1</v>
      </c>
      <c r="S1800" s="130">
        <f ca="1" t="shared" si="1860"/>
        <v>1</v>
      </c>
      <c r="T1800" s="130">
        <f ca="1" t="shared" si="1861"/>
        <v>1</v>
      </c>
      <c r="U1800" s="130">
        <f ca="1" t="shared" si="1862"/>
        <v>1</v>
      </c>
      <c r="V1800" s="130">
        <f ca="1" t="shared" si="1863"/>
        <v>1</v>
      </c>
    </row>
    <row r="1801" ht="16.5" spans="2:22">
      <c r="B1801" s="117">
        <v>565</v>
      </c>
      <c r="C1801" s="130">
        <f t="shared" si="1844"/>
        <v>56500</v>
      </c>
      <c r="D1801" s="130">
        <f ca="1" t="shared" si="1845"/>
        <v>1</v>
      </c>
      <c r="E1801" s="130">
        <f ca="1" t="shared" si="1846"/>
        <v>1</v>
      </c>
      <c r="F1801" s="130">
        <f ca="1" t="shared" si="1847"/>
        <v>1</v>
      </c>
      <c r="G1801" s="130">
        <f ca="1" t="shared" si="1848"/>
        <v>1</v>
      </c>
      <c r="H1801" s="130">
        <f ca="1" t="shared" si="1849"/>
        <v>1</v>
      </c>
      <c r="I1801" s="130">
        <f ca="1" t="shared" si="1850"/>
        <v>1</v>
      </c>
      <c r="J1801" s="130">
        <f ca="1" t="shared" si="1851"/>
        <v>1</v>
      </c>
      <c r="K1801" s="130">
        <f ca="1" t="shared" si="1852"/>
        <v>1</v>
      </c>
      <c r="L1801" s="130">
        <f ca="1" t="shared" si="1853"/>
        <v>1</v>
      </c>
      <c r="M1801" s="130">
        <f ca="1" t="shared" si="1854"/>
        <v>1</v>
      </c>
      <c r="N1801" s="130">
        <f ca="1" t="shared" si="1855"/>
        <v>1</v>
      </c>
      <c r="O1801" s="130">
        <f ca="1" t="shared" si="1856"/>
        <v>1</v>
      </c>
      <c r="P1801" s="130">
        <f ca="1" t="shared" si="1857"/>
        <v>1</v>
      </c>
      <c r="Q1801" s="130">
        <f ca="1" t="shared" si="1858"/>
        <v>1</v>
      </c>
      <c r="R1801" s="130">
        <f ca="1" t="shared" si="1859"/>
        <v>1</v>
      </c>
      <c r="S1801" s="130">
        <f ca="1" t="shared" si="1860"/>
        <v>1</v>
      </c>
      <c r="T1801" s="130">
        <f ca="1" t="shared" si="1861"/>
        <v>1</v>
      </c>
      <c r="U1801" s="130">
        <f ca="1" t="shared" si="1862"/>
        <v>1</v>
      </c>
      <c r="V1801" s="130">
        <f ca="1" t="shared" si="1863"/>
        <v>1</v>
      </c>
    </row>
    <row r="1802" ht="16.5" spans="2:22">
      <c r="B1802" s="117">
        <v>566</v>
      </c>
      <c r="C1802" s="130">
        <f t="shared" si="1844"/>
        <v>56600</v>
      </c>
      <c r="D1802" s="130">
        <f ca="1" t="shared" si="1845"/>
        <v>1</v>
      </c>
      <c r="E1802" s="130">
        <f ca="1" t="shared" si="1846"/>
        <v>1</v>
      </c>
      <c r="F1802" s="130">
        <f ca="1" t="shared" si="1847"/>
        <v>1</v>
      </c>
      <c r="G1802" s="130">
        <f ca="1" t="shared" si="1848"/>
        <v>1</v>
      </c>
      <c r="H1802" s="130">
        <f ca="1" t="shared" si="1849"/>
        <v>1</v>
      </c>
      <c r="I1802" s="130">
        <f ca="1" t="shared" si="1850"/>
        <v>1</v>
      </c>
      <c r="J1802" s="130">
        <f ca="1" t="shared" si="1851"/>
        <v>1</v>
      </c>
      <c r="K1802" s="130">
        <f ca="1" t="shared" si="1852"/>
        <v>1</v>
      </c>
      <c r="L1802" s="130">
        <f ca="1" t="shared" si="1853"/>
        <v>1</v>
      </c>
      <c r="M1802" s="130">
        <f ca="1" t="shared" si="1854"/>
        <v>1</v>
      </c>
      <c r="N1802" s="130">
        <f ca="1" t="shared" si="1855"/>
        <v>1</v>
      </c>
      <c r="O1802" s="130">
        <f ca="1" t="shared" si="1856"/>
        <v>1</v>
      </c>
      <c r="P1802" s="130">
        <f ca="1" t="shared" si="1857"/>
        <v>1</v>
      </c>
      <c r="Q1802" s="130">
        <f ca="1" t="shared" si="1858"/>
        <v>1</v>
      </c>
      <c r="R1802" s="130">
        <f ca="1" t="shared" si="1859"/>
        <v>1</v>
      </c>
      <c r="S1802" s="130">
        <f ca="1" t="shared" si="1860"/>
        <v>1</v>
      </c>
      <c r="T1802" s="130">
        <f ca="1" t="shared" si="1861"/>
        <v>1</v>
      </c>
      <c r="U1802" s="130">
        <f ca="1" t="shared" si="1862"/>
        <v>1</v>
      </c>
      <c r="V1802" s="130">
        <f ca="1" t="shared" si="1863"/>
        <v>1</v>
      </c>
    </row>
    <row r="1803" ht="16.5" spans="2:22">
      <c r="B1803" s="117">
        <v>567</v>
      </c>
      <c r="C1803" s="130">
        <f t="shared" si="1844"/>
        <v>56700</v>
      </c>
      <c r="D1803" s="130">
        <f ca="1" t="shared" si="1845"/>
        <v>1</v>
      </c>
      <c r="E1803" s="130">
        <f ca="1" t="shared" si="1846"/>
        <v>1</v>
      </c>
      <c r="F1803" s="130">
        <f ca="1" t="shared" si="1847"/>
        <v>1</v>
      </c>
      <c r="G1803" s="130">
        <f ca="1" t="shared" si="1848"/>
        <v>1</v>
      </c>
      <c r="H1803" s="130">
        <f ca="1" t="shared" si="1849"/>
        <v>1</v>
      </c>
      <c r="I1803" s="130">
        <f ca="1" t="shared" si="1850"/>
        <v>1</v>
      </c>
      <c r="J1803" s="130">
        <f ca="1" t="shared" si="1851"/>
        <v>1</v>
      </c>
      <c r="K1803" s="130">
        <f ca="1" t="shared" si="1852"/>
        <v>1</v>
      </c>
      <c r="L1803" s="130">
        <f ca="1" t="shared" si="1853"/>
        <v>1</v>
      </c>
      <c r="M1803" s="130">
        <f ca="1" t="shared" si="1854"/>
        <v>1</v>
      </c>
      <c r="N1803" s="130">
        <f ca="1" t="shared" si="1855"/>
        <v>1</v>
      </c>
      <c r="O1803" s="130">
        <f ca="1" t="shared" si="1856"/>
        <v>1</v>
      </c>
      <c r="P1803" s="130">
        <f ca="1" t="shared" si="1857"/>
        <v>1</v>
      </c>
      <c r="Q1803" s="130">
        <f ca="1" t="shared" si="1858"/>
        <v>1</v>
      </c>
      <c r="R1803" s="130">
        <f ca="1" t="shared" si="1859"/>
        <v>1</v>
      </c>
      <c r="S1803" s="130">
        <f ca="1" t="shared" si="1860"/>
        <v>1</v>
      </c>
      <c r="T1803" s="130">
        <f ca="1" t="shared" si="1861"/>
        <v>1</v>
      </c>
      <c r="U1803" s="130">
        <f ca="1" t="shared" si="1862"/>
        <v>1</v>
      </c>
      <c r="V1803" s="130">
        <f ca="1" t="shared" si="1863"/>
        <v>1</v>
      </c>
    </row>
    <row r="1804" ht="16.5" spans="2:22">
      <c r="B1804" s="117">
        <v>568</v>
      </c>
      <c r="C1804" s="130">
        <f t="shared" si="1844"/>
        <v>56800</v>
      </c>
      <c r="D1804" s="130">
        <f ca="1" t="shared" si="1845"/>
        <v>1</v>
      </c>
      <c r="E1804" s="130">
        <f ca="1" t="shared" si="1846"/>
        <v>1</v>
      </c>
      <c r="F1804" s="130">
        <f ca="1" t="shared" si="1847"/>
        <v>1</v>
      </c>
      <c r="G1804" s="130">
        <f ca="1" t="shared" si="1848"/>
        <v>1</v>
      </c>
      <c r="H1804" s="130">
        <f ca="1" t="shared" si="1849"/>
        <v>1</v>
      </c>
      <c r="I1804" s="130">
        <f ca="1" t="shared" si="1850"/>
        <v>1</v>
      </c>
      <c r="J1804" s="130">
        <f ca="1" t="shared" si="1851"/>
        <v>1</v>
      </c>
      <c r="K1804" s="130">
        <f ca="1" t="shared" si="1852"/>
        <v>1</v>
      </c>
      <c r="L1804" s="130">
        <f ca="1" t="shared" si="1853"/>
        <v>1</v>
      </c>
      <c r="M1804" s="130">
        <f ca="1" t="shared" si="1854"/>
        <v>1</v>
      </c>
      <c r="N1804" s="130">
        <f ca="1" t="shared" si="1855"/>
        <v>1</v>
      </c>
      <c r="O1804" s="130">
        <f ca="1" t="shared" si="1856"/>
        <v>1</v>
      </c>
      <c r="P1804" s="130">
        <f ca="1" t="shared" si="1857"/>
        <v>1</v>
      </c>
      <c r="Q1804" s="130">
        <f ca="1" t="shared" si="1858"/>
        <v>1</v>
      </c>
      <c r="R1804" s="130">
        <f ca="1" t="shared" si="1859"/>
        <v>1</v>
      </c>
      <c r="S1804" s="130">
        <f ca="1" t="shared" si="1860"/>
        <v>1</v>
      </c>
      <c r="T1804" s="130">
        <f ca="1" t="shared" si="1861"/>
        <v>1</v>
      </c>
      <c r="U1804" s="130">
        <f ca="1" t="shared" si="1862"/>
        <v>1</v>
      </c>
      <c r="V1804" s="130">
        <f ca="1" t="shared" si="1863"/>
        <v>1</v>
      </c>
    </row>
    <row r="1805" ht="16.5" spans="2:22">
      <c r="B1805" s="117">
        <v>569</v>
      </c>
      <c r="C1805" s="130">
        <f t="shared" si="1844"/>
        <v>56900</v>
      </c>
      <c r="D1805" s="130">
        <f ca="1" t="shared" si="1845"/>
        <v>1</v>
      </c>
      <c r="E1805" s="130">
        <f ca="1" t="shared" si="1846"/>
        <v>1</v>
      </c>
      <c r="F1805" s="130">
        <f ca="1" t="shared" si="1847"/>
        <v>1</v>
      </c>
      <c r="G1805" s="130">
        <f ca="1" t="shared" si="1848"/>
        <v>1</v>
      </c>
      <c r="H1805" s="130">
        <f ca="1" t="shared" si="1849"/>
        <v>1</v>
      </c>
      <c r="I1805" s="130">
        <f ca="1" t="shared" si="1850"/>
        <v>1</v>
      </c>
      <c r="J1805" s="130">
        <f ca="1" t="shared" si="1851"/>
        <v>1</v>
      </c>
      <c r="K1805" s="130">
        <f ca="1" t="shared" si="1852"/>
        <v>1</v>
      </c>
      <c r="L1805" s="130">
        <f ca="1" t="shared" si="1853"/>
        <v>1</v>
      </c>
      <c r="M1805" s="130">
        <f ca="1" t="shared" si="1854"/>
        <v>1</v>
      </c>
      <c r="N1805" s="130">
        <f ca="1" t="shared" si="1855"/>
        <v>1</v>
      </c>
      <c r="O1805" s="130">
        <f ca="1" t="shared" si="1856"/>
        <v>1</v>
      </c>
      <c r="P1805" s="130">
        <f ca="1" t="shared" si="1857"/>
        <v>1</v>
      </c>
      <c r="Q1805" s="130">
        <f ca="1" t="shared" si="1858"/>
        <v>1</v>
      </c>
      <c r="R1805" s="130">
        <f ca="1" t="shared" si="1859"/>
        <v>1</v>
      </c>
      <c r="S1805" s="130">
        <f ca="1" t="shared" si="1860"/>
        <v>1</v>
      </c>
      <c r="T1805" s="130">
        <f ca="1" t="shared" si="1861"/>
        <v>1</v>
      </c>
      <c r="U1805" s="130">
        <f ca="1" t="shared" si="1862"/>
        <v>1</v>
      </c>
      <c r="V1805" s="130">
        <f ca="1" t="shared" si="1863"/>
        <v>1</v>
      </c>
    </row>
    <row r="1806" ht="16.5" spans="2:22">
      <c r="B1806" s="117">
        <v>570</v>
      </c>
      <c r="C1806" s="130">
        <f t="shared" si="1844"/>
        <v>57000</v>
      </c>
      <c r="D1806" s="130">
        <f ca="1" t="shared" si="1845"/>
        <v>1</v>
      </c>
      <c r="E1806" s="130">
        <f ca="1" t="shared" si="1846"/>
        <v>1</v>
      </c>
      <c r="F1806" s="130">
        <f ca="1" t="shared" si="1847"/>
        <v>1</v>
      </c>
      <c r="G1806" s="130">
        <f ca="1" t="shared" si="1848"/>
        <v>1</v>
      </c>
      <c r="H1806" s="130">
        <f ca="1" t="shared" si="1849"/>
        <v>1</v>
      </c>
      <c r="I1806" s="130">
        <f ca="1" t="shared" si="1850"/>
        <v>1</v>
      </c>
      <c r="J1806" s="130">
        <f ca="1" t="shared" si="1851"/>
        <v>1</v>
      </c>
      <c r="K1806" s="130">
        <f ca="1" t="shared" si="1852"/>
        <v>1</v>
      </c>
      <c r="L1806" s="130">
        <f ca="1" t="shared" si="1853"/>
        <v>1</v>
      </c>
      <c r="M1806" s="130">
        <f ca="1" t="shared" si="1854"/>
        <v>1</v>
      </c>
      <c r="N1806" s="130">
        <f ca="1" t="shared" si="1855"/>
        <v>1</v>
      </c>
      <c r="O1806" s="130">
        <f ca="1" t="shared" si="1856"/>
        <v>1</v>
      </c>
      <c r="P1806" s="130">
        <f ca="1" t="shared" si="1857"/>
        <v>1</v>
      </c>
      <c r="Q1806" s="130">
        <f ca="1" t="shared" si="1858"/>
        <v>1</v>
      </c>
      <c r="R1806" s="130">
        <f ca="1" t="shared" si="1859"/>
        <v>1</v>
      </c>
      <c r="S1806" s="130">
        <f ca="1" t="shared" si="1860"/>
        <v>1</v>
      </c>
      <c r="T1806" s="130">
        <f ca="1" t="shared" si="1861"/>
        <v>1</v>
      </c>
      <c r="U1806" s="130">
        <f ca="1" t="shared" si="1862"/>
        <v>1</v>
      </c>
      <c r="V1806" s="130">
        <f ca="1" t="shared" si="1863"/>
        <v>1</v>
      </c>
    </row>
    <row r="1807" ht="16.5" spans="2:22">
      <c r="B1807" s="117">
        <v>571</v>
      </c>
      <c r="C1807" s="130">
        <f t="shared" si="1844"/>
        <v>57100</v>
      </c>
      <c r="D1807" s="130">
        <f ca="1" t="shared" si="1845"/>
        <v>1</v>
      </c>
      <c r="E1807" s="130">
        <f ca="1" t="shared" si="1846"/>
        <v>1</v>
      </c>
      <c r="F1807" s="130">
        <f ca="1" t="shared" si="1847"/>
        <v>1</v>
      </c>
      <c r="G1807" s="130">
        <f ca="1" t="shared" si="1848"/>
        <v>1</v>
      </c>
      <c r="H1807" s="130">
        <f ca="1" t="shared" si="1849"/>
        <v>1</v>
      </c>
      <c r="I1807" s="130">
        <f ca="1" t="shared" si="1850"/>
        <v>1</v>
      </c>
      <c r="J1807" s="130">
        <f ca="1" t="shared" si="1851"/>
        <v>1</v>
      </c>
      <c r="K1807" s="130">
        <f ca="1" t="shared" si="1852"/>
        <v>1</v>
      </c>
      <c r="L1807" s="130">
        <f ca="1" t="shared" si="1853"/>
        <v>1</v>
      </c>
      <c r="M1807" s="130">
        <f ca="1" t="shared" si="1854"/>
        <v>1</v>
      </c>
      <c r="N1807" s="130">
        <f ca="1" t="shared" si="1855"/>
        <v>1</v>
      </c>
      <c r="O1807" s="130">
        <f ca="1" t="shared" si="1856"/>
        <v>1</v>
      </c>
      <c r="P1807" s="130">
        <f ca="1" t="shared" si="1857"/>
        <v>1</v>
      </c>
      <c r="Q1807" s="130">
        <f ca="1" t="shared" si="1858"/>
        <v>1</v>
      </c>
      <c r="R1807" s="130">
        <f ca="1" t="shared" si="1859"/>
        <v>1</v>
      </c>
      <c r="S1807" s="130">
        <f ca="1" t="shared" si="1860"/>
        <v>1</v>
      </c>
      <c r="T1807" s="130">
        <f ca="1" t="shared" si="1861"/>
        <v>1</v>
      </c>
      <c r="U1807" s="130">
        <f ca="1" t="shared" si="1862"/>
        <v>1</v>
      </c>
      <c r="V1807" s="130">
        <f ca="1" t="shared" si="1863"/>
        <v>1</v>
      </c>
    </row>
    <row r="1808" ht="16.5" spans="2:22">
      <c r="B1808" s="117">
        <v>572</v>
      </c>
      <c r="C1808" s="130">
        <f t="shared" si="1844"/>
        <v>57200</v>
      </c>
      <c r="D1808" s="130">
        <f ca="1" t="shared" si="1845"/>
        <v>1</v>
      </c>
      <c r="E1808" s="130">
        <f ca="1" t="shared" si="1846"/>
        <v>1</v>
      </c>
      <c r="F1808" s="130">
        <f ca="1" t="shared" si="1847"/>
        <v>1</v>
      </c>
      <c r="G1808" s="130">
        <f ca="1" t="shared" si="1848"/>
        <v>1</v>
      </c>
      <c r="H1808" s="130">
        <f ca="1" t="shared" si="1849"/>
        <v>1</v>
      </c>
      <c r="I1808" s="130">
        <f ca="1" t="shared" si="1850"/>
        <v>1</v>
      </c>
      <c r="J1808" s="130">
        <f ca="1" t="shared" si="1851"/>
        <v>1</v>
      </c>
      <c r="K1808" s="130">
        <f ca="1" t="shared" si="1852"/>
        <v>1</v>
      </c>
      <c r="L1808" s="130">
        <f ca="1" t="shared" si="1853"/>
        <v>1</v>
      </c>
      <c r="M1808" s="130">
        <f ca="1" t="shared" si="1854"/>
        <v>1</v>
      </c>
      <c r="N1808" s="130">
        <f ca="1" t="shared" si="1855"/>
        <v>1</v>
      </c>
      <c r="O1808" s="130">
        <f ca="1" t="shared" si="1856"/>
        <v>1</v>
      </c>
      <c r="P1808" s="130">
        <f ca="1" t="shared" si="1857"/>
        <v>1</v>
      </c>
      <c r="Q1808" s="130">
        <f ca="1" t="shared" si="1858"/>
        <v>1</v>
      </c>
      <c r="R1808" s="130">
        <f ca="1" t="shared" si="1859"/>
        <v>1</v>
      </c>
      <c r="S1808" s="130">
        <f ca="1" t="shared" si="1860"/>
        <v>1</v>
      </c>
      <c r="T1808" s="130">
        <f ca="1" t="shared" si="1861"/>
        <v>1</v>
      </c>
      <c r="U1808" s="130">
        <f ca="1" t="shared" si="1862"/>
        <v>1</v>
      </c>
      <c r="V1808" s="130">
        <f ca="1" t="shared" si="1863"/>
        <v>1</v>
      </c>
    </row>
    <row r="1809" ht="16.5" spans="2:22">
      <c r="B1809" s="117">
        <v>573</v>
      </c>
      <c r="C1809" s="130">
        <f t="shared" si="1844"/>
        <v>57300</v>
      </c>
      <c r="D1809" s="130">
        <f ca="1" t="shared" si="1845"/>
        <v>1</v>
      </c>
      <c r="E1809" s="130">
        <f ca="1" t="shared" si="1846"/>
        <v>1</v>
      </c>
      <c r="F1809" s="130">
        <f ca="1" t="shared" si="1847"/>
        <v>1</v>
      </c>
      <c r="G1809" s="130">
        <f ca="1" t="shared" si="1848"/>
        <v>1</v>
      </c>
      <c r="H1809" s="130">
        <f ca="1" t="shared" si="1849"/>
        <v>1</v>
      </c>
      <c r="I1809" s="130">
        <f ca="1" t="shared" si="1850"/>
        <v>1</v>
      </c>
      <c r="J1809" s="130">
        <f ca="1" t="shared" si="1851"/>
        <v>1</v>
      </c>
      <c r="K1809" s="130">
        <f ca="1" t="shared" si="1852"/>
        <v>1</v>
      </c>
      <c r="L1809" s="130">
        <f ca="1" t="shared" si="1853"/>
        <v>1</v>
      </c>
      <c r="M1809" s="130">
        <f ca="1" t="shared" si="1854"/>
        <v>1</v>
      </c>
      <c r="N1809" s="130">
        <f ca="1" t="shared" si="1855"/>
        <v>1</v>
      </c>
      <c r="O1809" s="130">
        <f ca="1" t="shared" si="1856"/>
        <v>1</v>
      </c>
      <c r="P1809" s="130">
        <f ca="1" t="shared" si="1857"/>
        <v>1</v>
      </c>
      <c r="Q1809" s="130">
        <f ca="1" t="shared" si="1858"/>
        <v>1</v>
      </c>
      <c r="R1809" s="130">
        <f ca="1" t="shared" si="1859"/>
        <v>1</v>
      </c>
      <c r="S1809" s="130">
        <f ca="1" t="shared" si="1860"/>
        <v>1</v>
      </c>
      <c r="T1809" s="130">
        <f ca="1" t="shared" si="1861"/>
        <v>1</v>
      </c>
      <c r="U1809" s="130">
        <f ca="1" t="shared" si="1862"/>
        <v>1</v>
      </c>
      <c r="V1809" s="130">
        <f ca="1" t="shared" si="1863"/>
        <v>1</v>
      </c>
    </row>
    <row r="1810" ht="16.5" spans="2:22">
      <c r="B1810" s="117">
        <v>574</v>
      </c>
      <c r="C1810" s="130">
        <f t="shared" si="1844"/>
        <v>57400</v>
      </c>
      <c r="D1810" s="130">
        <f ca="1" t="shared" si="1845"/>
        <v>1</v>
      </c>
      <c r="E1810" s="130">
        <f ca="1" t="shared" si="1846"/>
        <v>1</v>
      </c>
      <c r="F1810" s="130">
        <f ca="1" t="shared" si="1847"/>
        <v>1</v>
      </c>
      <c r="G1810" s="130">
        <f ca="1" t="shared" si="1848"/>
        <v>1</v>
      </c>
      <c r="H1810" s="130">
        <f ca="1" t="shared" si="1849"/>
        <v>1</v>
      </c>
      <c r="I1810" s="130">
        <f ca="1" t="shared" si="1850"/>
        <v>1</v>
      </c>
      <c r="J1810" s="130">
        <f ca="1" t="shared" si="1851"/>
        <v>1</v>
      </c>
      <c r="K1810" s="130">
        <f ca="1" t="shared" si="1852"/>
        <v>1</v>
      </c>
      <c r="L1810" s="130">
        <f ca="1" t="shared" si="1853"/>
        <v>1</v>
      </c>
      <c r="M1810" s="130">
        <f ca="1" t="shared" si="1854"/>
        <v>1</v>
      </c>
      <c r="N1810" s="130">
        <f ca="1" t="shared" si="1855"/>
        <v>1</v>
      </c>
      <c r="O1810" s="130">
        <f ca="1" t="shared" si="1856"/>
        <v>1</v>
      </c>
      <c r="P1810" s="130">
        <f ca="1" t="shared" si="1857"/>
        <v>1</v>
      </c>
      <c r="Q1810" s="130">
        <f ca="1" t="shared" si="1858"/>
        <v>1</v>
      </c>
      <c r="R1810" s="130">
        <f ca="1" t="shared" si="1859"/>
        <v>1</v>
      </c>
      <c r="S1810" s="130">
        <f ca="1" t="shared" si="1860"/>
        <v>1</v>
      </c>
      <c r="T1810" s="130">
        <f ca="1" t="shared" si="1861"/>
        <v>1</v>
      </c>
      <c r="U1810" s="130">
        <f ca="1" t="shared" si="1862"/>
        <v>1</v>
      </c>
      <c r="V1810" s="130">
        <f ca="1" t="shared" si="1863"/>
        <v>1</v>
      </c>
    </row>
    <row r="1811" ht="16.5" spans="2:22">
      <c r="B1811" s="117">
        <v>575</v>
      </c>
      <c r="C1811" s="130">
        <f t="shared" si="1844"/>
        <v>57500</v>
      </c>
      <c r="D1811" s="130">
        <f ca="1" t="shared" si="1845"/>
        <v>1</v>
      </c>
      <c r="E1811" s="130">
        <f ca="1" t="shared" si="1846"/>
        <v>1</v>
      </c>
      <c r="F1811" s="130">
        <f ca="1" t="shared" si="1847"/>
        <v>1</v>
      </c>
      <c r="G1811" s="130">
        <f ca="1" t="shared" si="1848"/>
        <v>1</v>
      </c>
      <c r="H1811" s="130">
        <f ca="1" t="shared" si="1849"/>
        <v>1</v>
      </c>
      <c r="I1811" s="130">
        <f ca="1" t="shared" si="1850"/>
        <v>1</v>
      </c>
      <c r="J1811" s="130">
        <f ca="1" t="shared" si="1851"/>
        <v>1</v>
      </c>
      <c r="K1811" s="130">
        <f ca="1" t="shared" si="1852"/>
        <v>1</v>
      </c>
      <c r="L1811" s="130">
        <f ca="1" t="shared" si="1853"/>
        <v>1</v>
      </c>
      <c r="M1811" s="130">
        <f ca="1" t="shared" si="1854"/>
        <v>1</v>
      </c>
      <c r="N1811" s="130">
        <f ca="1" t="shared" si="1855"/>
        <v>1</v>
      </c>
      <c r="O1811" s="130">
        <f ca="1" t="shared" si="1856"/>
        <v>1</v>
      </c>
      <c r="P1811" s="130">
        <f ca="1" t="shared" si="1857"/>
        <v>1</v>
      </c>
      <c r="Q1811" s="130">
        <f ca="1" t="shared" si="1858"/>
        <v>1</v>
      </c>
      <c r="R1811" s="130">
        <f ca="1" t="shared" si="1859"/>
        <v>1</v>
      </c>
      <c r="S1811" s="130">
        <f ca="1" t="shared" si="1860"/>
        <v>1</v>
      </c>
      <c r="T1811" s="130">
        <f ca="1" t="shared" si="1861"/>
        <v>1</v>
      </c>
      <c r="U1811" s="130">
        <f ca="1" t="shared" si="1862"/>
        <v>1</v>
      </c>
      <c r="V1811" s="130">
        <f ca="1" t="shared" si="1863"/>
        <v>1</v>
      </c>
    </row>
    <row r="1812" ht="16.5" spans="2:22">
      <c r="B1812" s="117">
        <v>576</v>
      </c>
      <c r="C1812" s="130">
        <f t="shared" si="1844"/>
        <v>57600</v>
      </c>
      <c r="D1812" s="130">
        <f ca="1" t="shared" si="1845"/>
        <v>1</v>
      </c>
      <c r="E1812" s="130">
        <f ca="1" t="shared" si="1846"/>
        <v>1</v>
      </c>
      <c r="F1812" s="130">
        <f ca="1" t="shared" si="1847"/>
        <v>1</v>
      </c>
      <c r="G1812" s="130">
        <f ca="1" t="shared" si="1848"/>
        <v>1</v>
      </c>
      <c r="H1812" s="130">
        <f ca="1" t="shared" si="1849"/>
        <v>1</v>
      </c>
      <c r="I1812" s="130">
        <f ca="1" t="shared" si="1850"/>
        <v>1</v>
      </c>
      <c r="J1812" s="130">
        <f ca="1" t="shared" si="1851"/>
        <v>1</v>
      </c>
      <c r="K1812" s="130">
        <f ca="1" t="shared" si="1852"/>
        <v>1</v>
      </c>
      <c r="L1812" s="130">
        <f ca="1" t="shared" si="1853"/>
        <v>1</v>
      </c>
      <c r="M1812" s="130">
        <f ca="1" t="shared" si="1854"/>
        <v>1</v>
      </c>
      <c r="N1812" s="130">
        <f ca="1" t="shared" si="1855"/>
        <v>1</v>
      </c>
      <c r="O1812" s="130">
        <f ca="1" t="shared" si="1856"/>
        <v>1</v>
      </c>
      <c r="P1812" s="130">
        <f ca="1" t="shared" si="1857"/>
        <v>1</v>
      </c>
      <c r="Q1812" s="130">
        <f ca="1" t="shared" si="1858"/>
        <v>1</v>
      </c>
      <c r="R1812" s="130">
        <f ca="1" t="shared" si="1859"/>
        <v>1</v>
      </c>
      <c r="S1812" s="130">
        <f ca="1" t="shared" si="1860"/>
        <v>1</v>
      </c>
      <c r="T1812" s="130">
        <f ca="1" t="shared" si="1861"/>
        <v>1</v>
      </c>
      <c r="U1812" s="130">
        <f ca="1" t="shared" si="1862"/>
        <v>1</v>
      </c>
      <c r="V1812" s="130">
        <f ca="1" t="shared" si="1863"/>
        <v>1</v>
      </c>
    </row>
    <row r="1813" ht="16.5" spans="2:22">
      <c r="B1813" s="117">
        <v>577</v>
      </c>
      <c r="C1813" s="130">
        <f t="shared" si="1844"/>
        <v>57700</v>
      </c>
      <c r="D1813" s="130">
        <f ca="1" t="shared" si="1845"/>
        <v>1</v>
      </c>
      <c r="E1813" s="130">
        <f ca="1" t="shared" si="1846"/>
        <v>1</v>
      </c>
      <c r="F1813" s="130">
        <f ca="1" t="shared" si="1847"/>
        <v>1</v>
      </c>
      <c r="G1813" s="130">
        <f ca="1" t="shared" si="1848"/>
        <v>1</v>
      </c>
      <c r="H1813" s="130">
        <f ca="1" t="shared" si="1849"/>
        <v>1</v>
      </c>
      <c r="I1813" s="130">
        <f ca="1" t="shared" si="1850"/>
        <v>1</v>
      </c>
      <c r="J1813" s="130">
        <f ca="1" t="shared" si="1851"/>
        <v>1</v>
      </c>
      <c r="K1813" s="130">
        <f ca="1" t="shared" si="1852"/>
        <v>1</v>
      </c>
      <c r="L1813" s="130">
        <f ca="1" t="shared" si="1853"/>
        <v>1</v>
      </c>
      <c r="M1813" s="130">
        <f ca="1" t="shared" si="1854"/>
        <v>1</v>
      </c>
      <c r="N1813" s="130">
        <f ca="1" t="shared" si="1855"/>
        <v>1</v>
      </c>
      <c r="O1813" s="130">
        <f ca="1" t="shared" si="1856"/>
        <v>1</v>
      </c>
      <c r="P1813" s="130">
        <f ca="1" t="shared" si="1857"/>
        <v>1</v>
      </c>
      <c r="Q1813" s="130">
        <f ca="1" t="shared" si="1858"/>
        <v>1</v>
      </c>
      <c r="R1813" s="130">
        <f ca="1" t="shared" si="1859"/>
        <v>1</v>
      </c>
      <c r="S1813" s="130">
        <f ca="1" t="shared" si="1860"/>
        <v>1</v>
      </c>
      <c r="T1813" s="130">
        <f ca="1" t="shared" si="1861"/>
        <v>1</v>
      </c>
      <c r="U1813" s="130">
        <f ca="1" t="shared" si="1862"/>
        <v>1</v>
      </c>
      <c r="V1813" s="130">
        <f ca="1" t="shared" si="1863"/>
        <v>1</v>
      </c>
    </row>
    <row r="1814" ht="16.5" spans="2:22">
      <c r="B1814" s="117">
        <v>578</v>
      </c>
      <c r="C1814" s="130">
        <f t="shared" si="1844"/>
        <v>57800</v>
      </c>
      <c r="D1814" s="130">
        <f ca="1" t="shared" si="1845"/>
        <v>1</v>
      </c>
      <c r="E1814" s="130">
        <f ca="1" t="shared" si="1846"/>
        <v>1</v>
      </c>
      <c r="F1814" s="130">
        <f ca="1" t="shared" si="1847"/>
        <v>1</v>
      </c>
      <c r="G1814" s="130">
        <f ca="1" t="shared" si="1848"/>
        <v>1</v>
      </c>
      <c r="H1814" s="130">
        <f ca="1" t="shared" si="1849"/>
        <v>1</v>
      </c>
      <c r="I1814" s="130">
        <f ca="1" t="shared" si="1850"/>
        <v>1</v>
      </c>
      <c r="J1814" s="130">
        <f ca="1" t="shared" si="1851"/>
        <v>1</v>
      </c>
      <c r="K1814" s="130">
        <f ca="1" t="shared" si="1852"/>
        <v>1</v>
      </c>
      <c r="L1814" s="130">
        <f ca="1" t="shared" si="1853"/>
        <v>1</v>
      </c>
      <c r="M1814" s="130">
        <f ca="1" t="shared" si="1854"/>
        <v>1</v>
      </c>
      <c r="N1814" s="130">
        <f ca="1" t="shared" si="1855"/>
        <v>1</v>
      </c>
      <c r="O1814" s="130">
        <f ca="1" t="shared" si="1856"/>
        <v>1</v>
      </c>
      <c r="P1814" s="130">
        <f ca="1" t="shared" si="1857"/>
        <v>1</v>
      </c>
      <c r="Q1814" s="130">
        <f ca="1" t="shared" si="1858"/>
        <v>1</v>
      </c>
      <c r="R1814" s="130">
        <f ca="1" t="shared" si="1859"/>
        <v>1</v>
      </c>
      <c r="S1814" s="130">
        <f ca="1" t="shared" si="1860"/>
        <v>1</v>
      </c>
      <c r="T1814" s="130">
        <f ca="1" t="shared" si="1861"/>
        <v>1</v>
      </c>
      <c r="U1814" s="130">
        <f ca="1" t="shared" si="1862"/>
        <v>1</v>
      </c>
      <c r="V1814" s="130">
        <f ca="1" t="shared" si="1863"/>
        <v>1</v>
      </c>
    </row>
    <row r="1815" ht="16.5" spans="2:22">
      <c r="B1815" s="117">
        <v>579</v>
      </c>
      <c r="C1815" s="130">
        <f t="shared" si="1844"/>
        <v>57900</v>
      </c>
      <c r="D1815" s="130">
        <f ca="1" t="shared" si="1845"/>
        <v>1</v>
      </c>
      <c r="E1815" s="130">
        <f ca="1" t="shared" si="1846"/>
        <v>1</v>
      </c>
      <c r="F1815" s="130">
        <f ca="1" t="shared" si="1847"/>
        <v>1</v>
      </c>
      <c r="G1815" s="130">
        <f ca="1" t="shared" si="1848"/>
        <v>1</v>
      </c>
      <c r="H1815" s="130">
        <f ca="1" t="shared" si="1849"/>
        <v>1</v>
      </c>
      <c r="I1815" s="130">
        <f ca="1" t="shared" si="1850"/>
        <v>1</v>
      </c>
      <c r="J1815" s="130">
        <f ca="1" t="shared" si="1851"/>
        <v>1</v>
      </c>
      <c r="K1815" s="130">
        <f ca="1" t="shared" si="1852"/>
        <v>1</v>
      </c>
      <c r="L1815" s="130">
        <f ca="1" t="shared" si="1853"/>
        <v>1</v>
      </c>
      <c r="M1815" s="130">
        <f ca="1" t="shared" si="1854"/>
        <v>1</v>
      </c>
      <c r="N1815" s="130">
        <f ca="1" t="shared" si="1855"/>
        <v>1</v>
      </c>
      <c r="O1815" s="130">
        <f ca="1" t="shared" si="1856"/>
        <v>1</v>
      </c>
      <c r="P1815" s="130">
        <f ca="1" t="shared" si="1857"/>
        <v>1</v>
      </c>
      <c r="Q1815" s="130">
        <f ca="1" t="shared" si="1858"/>
        <v>1</v>
      </c>
      <c r="R1815" s="130">
        <f ca="1" t="shared" si="1859"/>
        <v>1</v>
      </c>
      <c r="S1815" s="130">
        <f ca="1" t="shared" si="1860"/>
        <v>1</v>
      </c>
      <c r="T1815" s="130">
        <f ca="1" t="shared" si="1861"/>
        <v>1</v>
      </c>
      <c r="U1815" s="130">
        <f ca="1" t="shared" si="1862"/>
        <v>1</v>
      </c>
      <c r="V1815" s="130">
        <f ca="1" t="shared" si="1863"/>
        <v>1</v>
      </c>
    </row>
    <row r="1816" ht="16.5" spans="2:22">
      <c r="B1816" s="117">
        <v>580</v>
      </c>
      <c r="C1816" s="130">
        <f t="shared" si="1844"/>
        <v>58000</v>
      </c>
      <c r="D1816" s="130">
        <f ca="1" t="shared" si="1845"/>
        <v>1</v>
      </c>
      <c r="E1816" s="130">
        <f ca="1" t="shared" si="1846"/>
        <v>1</v>
      </c>
      <c r="F1816" s="130">
        <f ca="1" t="shared" si="1847"/>
        <v>1</v>
      </c>
      <c r="G1816" s="130">
        <f ca="1" t="shared" si="1848"/>
        <v>1</v>
      </c>
      <c r="H1816" s="130">
        <f ca="1" t="shared" si="1849"/>
        <v>1</v>
      </c>
      <c r="I1816" s="130">
        <f ca="1" t="shared" si="1850"/>
        <v>1</v>
      </c>
      <c r="J1816" s="130">
        <f ca="1" t="shared" si="1851"/>
        <v>1</v>
      </c>
      <c r="K1816" s="130">
        <f ca="1" t="shared" si="1852"/>
        <v>1</v>
      </c>
      <c r="L1816" s="130">
        <f ca="1" t="shared" si="1853"/>
        <v>1</v>
      </c>
      <c r="M1816" s="130">
        <f ca="1" t="shared" si="1854"/>
        <v>1</v>
      </c>
      <c r="N1816" s="130">
        <f ca="1" t="shared" si="1855"/>
        <v>1</v>
      </c>
      <c r="O1816" s="130">
        <f ca="1" t="shared" si="1856"/>
        <v>1</v>
      </c>
      <c r="P1816" s="130">
        <f ca="1" t="shared" si="1857"/>
        <v>1</v>
      </c>
      <c r="Q1816" s="130">
        <f ca="1" t="shared" si="1858"/>
        <v>1</v>
      </c>
      <c r="R1816" s="130">
        <f ca="1" t="shared" si="1859"/>
        <v>1</v>
      </c>
      <c r="S1816" s="130">
        <f ca="1" t="shared" si="1860"/>
        <v>1</v>
      </c>
      <c r="T1816" s="130">
        <f ca="1" t="shared" si="1861"/>
        <v>1</v>
      </c>
      <c r="U1816" s="130">
        <f ca="1" t="shared" si="1862"/>
        <v>1</v>
      </c>
      <c r="V1816" s="130">
        <f ca="1" t="shared" si="1863"/>
        <v>1</v>
      </c>
    </row>
    <row r="1817" ht="16.5" spans="2:22">
      <c r="B1817" s="117">
        <v>581</v>
      </c>
      <c r="C1817" s="130">
        <f t="shared" si="1844"/>
        <v>58100</v>
      </c>
      <c r="D1817" s="130">
        <f ca="1" t="shared" si="1845"/>
        <v>1</v>
      </c>
      <c r="E1817" s="130">
        <f ca="1" t="shared" si="1846"/>
        <v>1</v>
      </c>
      <c r="F1817" s="130">
        <f ca="1" t="shared" si="1847"/>
        <v>1</v>
      </c>
      <c r="G1817" s="130">
        <f ca="1" t="shared" si="1848"/>
        <v>1</v>
      </c>
      <c r="H1817" s="130">
        <f ca="1" t="shared" si="1849"/>
        <v>1</v>
      </c>
      <c r="I1817" s="130">
        <f ca="1" t="shared" si="1850"/>
        <v>1</v>
      </c>
      <c r="J1817" s="130">
        <f ca="1" t="shared" si="1851"/>
        <v>1</v>
      </c>
      <c r="K1817" s="130">
        <f ca="1" t="shared" si="1852"/>
        <v>1</v>
      </c>
      <c r="L1817" s="130">
        <f ca="1" t="shared" si="1853"/>
        <v>1</v>
      </c>
      <c r="M1817" s="130">
        <f ca="1" t="shared" si="1854"/>
        <v>1</v>
      </c>
      <c r="N1817" s="130">
        <f ca="1" t="shared" si="1855"/>
        <v>1</v>
      </c>
      <c r="O1817" s="130">
        <f ca="1" t="shared" si="1856"/>
        <v>1</v>
      </c>
      <c r="P1817" s="130">
        <f ca="1" t="shared" si="1857"/>
        <v>1</v>
      </c>
      <c r="Q1817" s="130">
        <f ca="1" t="shared" si="1858"/>
        <v>1</v>
      </c>
      <c r="R1817" s="130">
        <f ca="1" t="shared" si="1859"/>
        <v>1</v>
      </c>
      <c r="S1817" s="130">
        <f ca="1" t="shared" si="1860"/>
        <v>1</v>
      </c>
      <c r="T1817" s="130">
        <f ca="1" t="shared" si="1861"/>
        <v>1</v>
      </c>
      <c r="U1817" s="130">
        <f ca="1" t="shared" si="1862"/>
        <v>1</v>
      </c>
      <c r="V1817" s="130">
        <f ca="1" t="shared" si="1863"/>
        <v>1</v>
      </c>
    </row>
    <row r="1818" ht="16.5" spans="2:22">
      <c r="B1818" s="117">
        <v>582</v>
      </c>
      <c r="C1818" s="130">
        <f t="shared" si="1844"/>
        <v>58200</v>
      </c>
      <c r="D1818" s="130">
        <f ca="1" t="shared" si="1845"/>
        <v>1</v>
      </c>
      <c r="E1818" s="130">
        <f ca="1" t="shared" si="1846"/>
        <v>1</v>
      </c>
      <c r="F1818" s="130">
        <f ca="1" t="shared" si="1847"/>
        <v>1</v>
      </c>
      <c r="G1818" s="130">
        <f ca="1" t="shared" si="1848"/>
        <v>1</v>
      </c>
      <c r="H1818" s="130">
        <f ca="1" t="shared" si="1849"/>
        <v>1</v>
      </c>
      <c r="I1818" s="130">
        <f ca="1" t="shared" si="1850"/>
        <v>1</v>
      </c>
      <c r="J1818" s="130">
        <f ca="1" t="shared" si="1851"/>
        <v>1</v>
      </c>
      <c r="K1818" s="130">
        <f ca="1" t="shared" si="1852"/>
        <v>1</v>
      </c>
      <c r="L1818" s="130">
        <f ca="1" t="shared" si="1853"/>
        <v>1</v>
      </c>
      <c r="M1818" s="130">
        <f ca="1" t="shared" si="1854"/>
        <v>1</v>
      </c>
      <c r="N1818" s="130">
        <f ca="1" t="shared" si="1855"/>
        <v>1</v>
      </c>
      <c r="O1818" s="130">
        <f ca="1" t="shared" si="1856"/>
        <v>1</v>
      </c>
      <c r="P1818" s="130">
        <f ca="1" t="shared" si="1857"/>
        <v>1</v>
      </c>
      <c r="Q1818" s="130">
        <f ca="1" t="shared" si="1858"/>
        <v>1</v>
      </c>
      <c r="R1818" s="130">
        <f ca="1" t="shared" si="1859"/>
        <v>1</v>
      </c>
      <c r="S1818" s="130">
        <f ca="1" t="shared" si="1860"/>
        <v>1</v>
      </c>
      <c r="T1818" s="130">
        <f ca="1" t="shared" si="1861"/>
        <v>1</v>
      </c>
      <c r="U1818" s="130">
        <f ca="1" t="shared" si="1862"/>
        <v>1</v>
      </c>
      <c r="V1818" s="130">
        <f ca="1" t="shared" si="1863"/>
        <v>1</v>
      </c>
    </row>
    <row r="1819" ht="16.5" spans="2:22">
      <c r="B1819" s="117">
        <v>583</v>
      </c>
      <c r="C1819" s="130">
        <f t="shared" si="1844"/>
        <v>58300</v>
      </c>
      <c r="D1819" s="130">
        <f ca="1" t="shared" si="1845"/>
        <v>1</v>
      </c>
      <c r="E1819" s="130">
        <f ca="1" t="shared" si="1846"/>
        <v>1</v>
      </c>
      <c r="F1819" s="130">
        <f ca="1" t="shared" si="1847"/>
        <v>1</v>
      </c>
      <c r="G1819" s="130">
        <f ca="1" t="shared" si="1848"/>
        <v>1</v>
      </c>
      <c r="H1819" s="130">
        <f ca="1" t="shared" si="1849"/>
        <v>1</v>
      </c>
      <c r="I1819" s="130">
        <f ca="1" t="shared" si="1850"/>
        <v>1</v>
      </c>
      <c r="J1819" s="130">
        <f ca="1" t="shared" si="1851"/>
        <v>1</v>
      </c>
      <c r="K1819" s="130">
        <f ca="1" t="shared" si="1852"/>
        <v>1</v>
      </c>
      <c r="L1819" s="130">
        <f ca="1" t="shared" si="1853"/>
        <v>1</v>
      </c>
      <c r="M1819" s="130">
        <f ca="1" t="shared" si="1854"/>
        <v>1</v>
      </c>
      <c r="N1819" s="130">
        <f ca="1" t="shared" si="1855"/>
        <v>1</v>
      </c>
      <c r="O1819" s="130">
        <f ca="1" t="shared" si="1856"/>
        <v>1</v>
      </c>
      <c r="P1819" s="130">
        <f ca="1" t="shared" si="1857"/>
        <v>1</v>
      </c>
      <c r="Q1819" s="130">
        <f ca="1" t="shared" si="1858"/>
        <v>1</v>
      </c>
      <c r="R1819" s="130">
        <f ca="1" t="shared" si="1859"/>
        <v>1</v>
      </c>
      <c r="S1819" s="130">
        <f ca="1" t="shared" si="1860"/>
        <v>1</v>
      </c>
      <c r="T1819" s="130">
        <f ca="1" t="shared" si="1861"/>
        <v>1</v>
      </c>
      <c r="U1819" s="130">
        <f ca="1" t="shared" si="1862"/>
        <v>1</v>
      </c>
      <c r="V1819" s="130">
        <f ca="1" t="shared" si="1863"/>
        <v>1</v>
      </c>
    </row>
    <row r="1820" ht="16.5" spans="2:22">
      <c r="B1820" s="117">
        <v>584</v>
      </c>
      <c r="C1820" s="130">
        <f t="shared" si="1844"/>
        <v>58400</v>
      </c>
      <c r="D1820" s="130">
        <f ca="1" t="shared" si="1845"/>
        <v>1</v>
      </c>
      <c r="E1820" s="130">
        <f ca="1" t="shared" si="1846"/>
        <v>1</v>
      </c>
      <c r="F1820" s="130">
        <f ca="1" t="shared" si="1847"/>
        <v>1</v>
      </c>
      <c r="G1820" s="130">
        <f ca="1" t="shared" si="1848"/>
        <v>1</v>
      </c>
      <c r="H1820" s="130">
        <f ca="1" t="shared" si="1849"/>
        <v>1</v>
      </c>
      <c r="I1820" s="130">
        <f ca="1" t="shared" si="1850"/>
        <v>1</v>
      </c>
      <c r="J1820" s="130">
        <f ca="1" t="shared" si="1851"/>
        <v>1</v>
      </c>
      <c r="K1820" s="130">
        <f ca="1" t="shared" si="1852"/>
        <v>1</v>
      </c>
      <c r="L1820" s="130">
        <f ca="1" t="shared" si="1853"/>
        <v>1</v>
      </c>
      <c r="M1820" s="130">
        <f ca="1" t="shared" si="1854"/>
        <v>1</v>
      </c>
      <c r="N1820" s="130">
        <f ca="1" t="shared" si="1855"/>
        <v>1</v>
      </c>
      <c r="O1820" s="130">
        <f ca="1" t="shared" si="1856"/>
        <v>1</v>
      </c>
      <c r="P1820" s="130">
        <f ca="1" t="shared" si="1857"/>
        <v>1</v>
      </c>
      <c r="Q1820" s="130">
        <f ca="1" t="shared" si="1858"/>
        <v>1</v>
      </c>
      <c r="R1820" s="130">
        <f ca="1" t="shared" si="1859"/>
        <v>1</v>
      </c>
      <c r="S1820" s="130">
        <f ca="1" t="shared" si="1860"/>
        <v>1</v>
      </c>
      <c r="T1820" s="130">
        <f ca="1" t="shared" si="1861"/>
        <v>1</v>
      </c>
      <c r="U1820" s="130">
        <f ca="1" t="shared" si="1862"/>
        <v>1</v>
      </c>
      <c r="V1820" s="130">
        <f ca="1" t="shared" si="1863"/>
        <v>1</v>
      </c>
    </row>
    <row r="1821" ht="16.5" spans="2:22">
      <c r="B1821" s="117">
        <v>585</v>
      </c>
      <c r="C1821" s="130">
        <f t="shared" si="1844"/>
        <v>58500</v>
      </c>
      <c r="D1821" s="130">
        <f ca="1" t="shared" si="1845"/>
        <v>1</v>
      </c>
      <c r="E1821" s="130">
        <f ca="1" t="shared" si="1846"/>
        <v>1</v>
      </c>
      <c r="F1821" s="130">
        <f ca="1" t="shared" si="1847"/>
        <v>1</v>
      </c>
      <c r="G1821" s="130">
        <f ca="1" t="shared" si="1848"/>
        <v>1</v>
      </c>
      <c r="H1821" s="130">
        <f ca="1" t="shared" si="1849"/>
        <v>1</v>
      </c>
      <c r="I1821" s="130">
        <f ca="1" t="shared" si="1850"/>
        <v>1</v>
      </c>
      <c r="J1821" s="130">
        <f ca="1" t="shared" si="1851"/>
        <v>1</v>
      </c>
      <c r="K1821" s="130">
        <f ca="1" t="shared" si="1852"/>
        <v>1</v>
      </c>
      <c r="L1821" s="130">
        <f ca="1" t="shared" si="1853"/>
        <v>1</v>
      </c>
      <c r="M1821" s="130">
        <f ca="1" t="shared" si="1854"/>
        <v>1</v>
      </c>
      <c r="N1821" s="130">
        <f ca="1" t="shared" si="1855"/>
        <v>1</v>
      </c>
      <c r="O1821" s="130">
        <f ca="1" t="shared" si="1856"/>
        <v>1</v>
      </c>
      <c r="P1821" s="130">
        <f ca="1" t="shared" si="1857"/>
        <v>1</v>
      </c>
      <c r="Q1821" s="130">
        <f ca="1" t="shared" si="1858"/>
        <v>1</v>
      </c>
      <c r="R1821" s="130">
        <f ca="1" t="shared" si="1859"/>
        <v>1</v>
      </c>
      <c r="S1821" s="130">
        <f ca="1" t="shared" si="1860"/>
        <v>1</v>
      </c>
      <c r="T1821" s="130">
        <f ca="1" t="shared" si="1861"/>
        <v>1</v>
      </c>
      <c r="U1821" s="130">
        <f ca="1" t="shared" si="1862"/>
        <v>1</v>
      </c>
      <c r="V1821" s="130">
        <f ca="1" t="shared" si="1863"/>
        <v>1</v>
      </c>
    </row>
    <row r="1822" ht="16.5" spans="2:22">
      <c r="B1822" s="117">
        <v>586</v>
      </c>
      <c r="C1822" s="130">
        <f t="shared" si="1844"/>
        <v>58600</v>
      </c>
      <c r="D1822" s="130">
        <f ca="1" t="shared" si="1845"/>
        <v>1</v>
      </c>
      <c r="E1822" s="130">
        <f ca="1" t="shared" si="1846"/>
        <v>1</v>
      </c>
      <c r="F1822" s="130">
        <f ca="1" t="shared" si="1847"/>
        <v>1</v>
      </c>
      <c r="G1822" s="130">
        <f ca="1" t="shared" si="1848"/>
        <v>1</v>
      </c>
      <c r="H1822" s="130">
        <f ca="1" t="shared" si="1849"/>
        <v>1</v>
      </c>
      <c r="I1822" s="130">
        <f ca="1" t="shared" si="1850"/>
        <v>1</v>
      </c>
      <c r="J1822" s="130">
        <f ca="1" t="shared" si="1851"/>
        <v>1</v>
      </c>
      <c r="K1822" s="130">
        <f ca="1" t="shared" si="1852"/>
        <v>1</v>
      </c>
      <c r="L1822" s="130">
        <f ca="1" t="shared" si="1853"/>
        <v>1</v>
      </c>
      <c r="M1822" s="130">
        <f ca="1" t="shared" si="1854"/>
        <v>1</v>
      </c>
      <c r="N1822" s="130">
        <f ca="1" t="shared" si="1855"/>
        <v>1</v>
      </c>
      <c r="O1822" s="130">
        <f ca="1" t="shared" si="1856"/>
        <v>1</v>
      </c>
      <c r="P1822" s="130">
        <f ca="1" t="shared" si="1857"/>
        <v>1</v>
      </c>
      <c r="Q1822" s="130">
        <f ca="1" t="shared" si="1858"/>
        <v>1</v>
      </c>
      <c r="R1822" s="130">
        <f ca="1" t="shared" si="1859"/>
        <v>1</v>
      </c>
      <c r="S1822" s="130">
        <f ca="1" t="shared" si="1860"/>
        <v>1</v>
      </c>
      <c r="T1822" s="130">
        <f ca="1" t="shared" si="1861"/>
        <v>1</v>
      </c>
      <c r="U1822" s="130">
        <f ca="1" t="shared" si="1862"/>
        <v>1</v>
      </c>
      <c r="V1822" s="130">
        <f ca="1" t="shared" si="1863"/>
        <v>1</v>
      </c>
    </row>
    <row r="1823" ht="16.5" spans="2:22">
      <c r="B1823" s="117">
        <v>587</v>
      </c>
      <c r="C1823" s="130">
        <f t="shared" si="1844"/>
        <v>58700</v>
      </c>
      <c r="D1823" s="130">
        <f ca="1" t="shared" si="1845"/>
        <v>1</v>
      </c>
      <c r="E1823" s="130">
        <f ca="1" t="shared" si="1846"/>
        <v>1</v>
      </c>
      <c r="F1823" s="130">
        <f ca="1" t="shared" si="1847"/>
        <v>1</v>
      </c>
      <c r="G1823" s="130">
        <f ca="1" t="shared" si="1848"/>
        <v>1</v>
      </c>
      <c r="H1823" s="130">
        <f ca="1" t="shared" si="1849"/>
        <v>1</v>
      </c>
      <c r="I1823" s="130">
        <f ca="1" t="shared" si="1850"/>
        <v>1</v>
      </c>
      <c r="J1823" s="130">
        <f ca="1" t="shared" si="1851"/>
        <v>1</v>
      </c>
      <c r="K1823" s="130">
        <f ca="1" t="shared" si="1852"/>
        <v>1</v>
      </c>
      <c r="L1823" s="130">
        <f ca="1" t="shared" si="1853"/>
        <v>1</v>
      </c>
      <c r="M1823" s="130">
        <f ca="1" t="shared" si="1854"/>
        <v>1</v>
      </c>
      <c r="N1823" s="130">
        <f ca="1" t="shared" si="1855"/>
        <v>1</v>
      </c>
      <c r="O1823" s="130">
        <f ca="1" t="shared" si="1856"/>
        <v>1</v>
      </c>
      <c r="P1823" s="130">
        <f ca="1" t="shared" si="1857"/>
        <v>1</v>
      </c>
      <c r="Q1823" s="130">
        <f ca="1" t="shared" si="1858"/>
        <v>1</v>
      </c>
      <c r="R1823" s="130">
        <f ca="1" t="shared" si="1859"/>
        <v>1</v>
      </c>
      <c r="S1823" s="130">
        <f ca="1" t="shared" si="1860"/>
        <v>1</v>
      </c>
      <c r="T1823" s="130">
        <f ca="1" t="shared" si="1861"/>
        <v>1</v>
      </c>
      <c r="U1823" s="130">
        <f ca="1" t="shared" si="1862"/>
        <v>1</v>
      </c>
      <c r="V1823" s="130">
        <f ca="1" t="shared" si="1863"/>
        <v>1</v>
      </c>
    </row>
    <row r="1824" ht="16.5" spans="2:22">
      <c r="B1824" s="117">
        <v>588</v>
      </c>
      <c r="C1824" s="130">
        <f t="shared" si="1844"/>
        <v>58800</v>
      </c>
      <c r="D1824" s="130">
        <f ca="1" t="shared" si="1845"/>
        <v>1</v>
      </c>
      <c r="E1824" s="130">
        <f ca="1" t="shared" si="1846"/>
        <v>1</v>
      </c>
      <c r="F1824" s="130">
        <f ca="1" t="shared" si="1847"/>
        <v>1</v>
      </c>
      <c r="G1824" s="130">
        <f ca="1" t="shared" si="1848"/>
        <v>1</v>
      </c>
      <c r="H1824" s="130">
        <f ca="1" t="shared" si="1849"/>
        <v>1</v>
      </c>
      <c r="I1824" s="130">
        <f ca="1" t="shared" si="1850"/>
        <v>1</v>
      </c>
      <c r="J1824" s="130">
        <f ca="1" t="shared" si="1851"/>
        <v>1</v>
      </c>
      <c r="K1824" s="130">
        <f ca="1" t="shared" si="1852"/>
        <v>1</v>
      </c>
      <c r="L1824" s="130">
        <f ca="1" t="shared" si="1853"/>
        <v>1</v>
      </c>
      <c r="M1824" s="130">
        <f ca="1" t="shared" si="1854"/>
        <v>1</v>
      </c>
      <c r="N1824" s="130">
        <f ca="1" t="shared" si="1855"/>
        <v>1</v>
      </c>
      <c r="O1824" s="130">
        <f ca="1" t="shared" si="1856"/>
        <v>1</v>
      </c>
      <c r="P1824" s="130">
        <f ca="1" t="shared" si="1857"/>
        <v>1</v>
      </c>
      <c r="Q1824" s="130">
        <f ca="1" t="shared" si="1858"/>
        <v>1</v>
      </c>
      <c r="R1824" s="130">
        <f ca="1" t="shared" si="1859"/>
        <v>1</v>
      </c>
      <c r="S1824" s="130">
        <f ca="1" t="shared" si="1860"/>
        <v>1</v>
      </c>
      <c r="T1824" s="130">
        <f ca="1" t="shared" si="1861"/>
        <v>1</v>
      </c>
      <c r="U1824" s="130">
        <f ca="1" t="shared" si="1862"/>
        <v>1</v>
      </c>
      <c r="V1824" s="130">
        <f ca="1" t="shared" si="1863"/>
        <v>1</v>
      </c>
    </row>
    <row r="1825" ht="16.5" spans="2:22">
      <c r="B1825" s="117">
        <v>589</v>
      </c>
      <c r="C1825" s="130">
        <f t="shared" si="1844"/>
        <v>58900</v>
      </c>
      <c r="D1825" s="130">
        <f ca="1" t="shared" si="1845"/>
        <v>1</v>
      </c>
      <c r="E1825" s="130">
        <f ca="1" t="shared" si="1846"/>
        <v>1</v>
      </c>
      <c r="F1825" s="130">
        <f ca="1" t="shared" si="1847"/>
        <v>1</v>
      </c>
      <c r="G1825" s="130">
        <f ca="1" t="shared" si="1848"/>
        <v>1</v>
      </c>
      <c r="H1825" s="130">
        <f ca="1" t="shared" si="1849"/>
        <v>1</v>
      </c>
      <c r="I1825" s="130">
        <f ca="1" t="shared" si="1850"/>
        <v>1</v>
      </c>
      <c r="J1825" s="130">
        <f ca="1" t="shared" si="1851"/>
        <v>1</v>
      </c>
      <c r="K1825" s="130">
        <f ca="1" t="shared" si="1852"/>
        <v>1</v>
      </c>
      <c r="L1825" s="130">
        <f ca="1" t="shared" si="1853"/>
        <v>1</v>
      </c>
      <c r="M1825" s="130">
        <f ca="1" t="shared" si="1854"/>
        <v>1</v>
      </c>
      <c r="N1825" s="130">
        <f ca="1" t="shared" si="1855"/>
        <v>1</v>
      </c>
      <c r="O1825" s="130">
        <f ca="1" t="shared" si="1856"/>
        <v>1</v>
      </c>
      <c r="P1825" s="130">
        <f ca="1" t="shared" si="1857"/>
        <v>1</v>
      </c>
      <c r="Q1825" s="130">
        <f ca="1" t="shared" si="1858"/>
        <v>1</v>
      </c>
      <c r="R1825" s="130">
        <f ca="1" t="shared" si="1859"/>
        <v>1</v>
      </c>
      <c r="S1825" s="130">
        <f ca="1" t="shared" si="1860"/>
        <v>1</v>
      </c>
      <c r="T1825" s="130">
        <f ca="1" t="shared" si="1861"/>
        <v>1</v>
      </c>
      <c r="U1825" s="130">
        <f ca="1" t="shared" si="1862"/>
        <v>1</v>
      </c>
      <c r="V1825" s="130">
        <f ca="1" t="shared" si="1863"/>
        <v>1</v>
      </c>
    </row>
    <row r="1826" ht="16.5" spans="2:22">
      <c r="B1826" s="117">
        <v>590</v>
      </c>
      <c r="C1826" s="130">
        <f t="shared" si="1844"/>
        <v>59000</v>
      </c>
      <c r="D1826" s="130">
        <f ca="1" t="shared" si="1845"/>
        <v>1</v>
      </c>
      <c r="E1826" s="130">
        <f ca="1" t="shared" si="1846"/>
        <v>1</v>
      </c>
      <c r="F1826" s="130">
        <f ca="1" t="shared" si="1847"/>
        <v>1</v>
      </c>
      <c r="G1826" s="130">
        <f ca="1" t="shared" si="1848"/>
        <v>1</v>
      </c>
      <c r="H1826" s="130">
        <f ca="1" t="shared" si="1849"/>
        <v>1</v>
      </c>
      <c r="I1826" s="130">
        <f ca="1" t="shared" si="1850"/>
        <v>1</v>
      </c>
      <c r="J1826" s="130">
        <f ca="1" t="shared" si="1851"/>
        <v>1</v>
      </c>
      <c r="K1826" s="130">
        <f ca="1" t="shared" si="1852"/>
        <v>1</v>
      </c>
      <c r="L1826" s="130">
        <f ca="1" t="shared" si="1853"/>
        <v>1</v>
      </c>
      <c r="M1826" s="130">
        <f ca="1" t="shared" si="1854"/>
        <v>1</v>
      </c>
      <c r="N1826" s="130">
        <f ca="1" t="shared" si="1855"/>
        <v>1</v>
      </c>
      <c r="O1826" s="130">
        <f ca="1" t="shared" si="1856"/>
        <v>1</v>
      </c>
      <c r="P1826" s="130">
        <f ca="1" t="shared" si="1857"/>
        <v>1</v>
      </c>
      <c r="Q1826" s="130">
        <f ca="1" t="shared" si="1858"/>
        <v>1</v>
      </c>
      <c r="R1826" s="130">
        <f ca="1" t="shared" si="1859"/>
        <v>1</v>
      </c>
      <c r="S1826" s="130">
        <f ca="1" t="shared" si="1860"/>
        <v>1</v>
      </c>
      <c r="T1826" s="130">
        <f ca="1" t="shared" si="1861"/>
        <v>1</v>
      </c>
      <c r="U1826" s="130">
        <f ca="1" t="shared" si="1862"/>
        <v>1</v>
      </c>
      <c r="V1826" s="130">
        <f ca="1" t="shared" si="1863"/>
        <v>1</v>
      </c>
    </row>
    <row r="1827" ht="16.5" spans="2:22">
      <c r="B1827" s="117">
        <v>591</v>
      </c>
      <c r="C1827" s="130">
        <f t="shared" si="1844"/>
        <v>59100</v>
      </c>
      <c r="D1827" s="130">
        <f ca="1" t="shared" si="1845"/>
        <v>1</v>
      </c>
      <c r="E1827" s="130">
        <f ca="1" t="shared" si="1846"/>
        <v>1</v>
      </c>
      <c r="F1827" s="130">
        <f ca="1" t="shared" si="1847"/>
        <v>1</v>
      </c>
      <c r="G1827" s="130">
        <f ca="1" t="shared" si="1848"/>
        <v>1</v>
      </c>
      <c r="H1827" s="130">
        <f ca="1" t="shared" si="1849"/>
        <v>1</v>
      </c>
      <c r="I1827" s="130">
        <f ca="1" t="shared" si="1850"/>
        <v>1</v>
      </c>
      <c r="J1827" s="130">
        <f ca="1" t="shared" si="1851"/>
        <v>1</v>
      </c>
      <c r="K1827" s="130">
        <f ca="1" t="shared" si="1852"/>
        <v>1</v>
      </c>
      <c r="L1827" s="130">
        <f ca="1" t="shared" si="1853"/>
        <v>1</v>
      </c>
      <c r="M1827" s="130">
        <f ca="1" t="shared" si="1854"/>
        <v>1</v>
      </c>
      <c r="N1827" s="130">
        <f ca="1" t="shared" si="1855"/>
        <v>1</v>
      </c>
      <c r="O1827" s="130">
        <f ca="1" t="shared" si="1856"/>
        <v>1</v>
      </c>
      <c r="P1827" s="130">
        <f ca="1" t="shared" si="1857"/>
        <v>1</v>
      </c>
      <c r="Q1827" s="130">
        <f ca="1" t="shared" si="1858"/>
        <v>1</v>
      </c>
      <c r="R1827" s="130">
        <f ca="1" t="shared" si="1859"/>
        <v>1</v>
      </c>
      <c r="S1827" s="130">
        <f ca="1" t="shared" si="1860"/>
        <v>1</v>
      </c>
      <c r="T1827" s="130">
        <f ca="1" t="shared" si="1861"/>
        <v>1</v>
      </c>
      <c r="U1827" s="130">
        <f ca="1" t="shared" si="1862"/>
        <v>1</v>
      </c>
      <c r="V1827" s="130">
        <f ca="1" t="shared" si="1863"/>
        <v>1</v>
      </c>
    </row>
    <row r="1828" ht="16.5" spans="2:22">
      <c r="B1828" s="117">
        <v>592</v>
      </c>
      <c r="C1828" s="130">
        <f t="shared" si="1844"/>
        <v>59200</v>
      </c>
      <c r="D1828" s="130">
        <f ca="1" t="shared" si="1845"/>
        <v>1</v>
      </c>
      <c r="E1828" s="130">
        <f ca="1" t="shared" si="1846"/>
        <v>1</v>
      </c>
      <c r="F1828" s="130">
        <f ca="1" t="shared" si="1847"/>
        <v>1</v>
      </c>
      <c r="G1828" s="130">
        <f ca="1" t="shared" si="1848"/>
        <v>1</v>
      </c>
      <c r="H1828" s="130">
        <f ca="1" t="shared" si="1849"/>
        <v>1</v>
      </c>
      <c r="I1828" s="130">
        <f ca="1" t="shared" si="1850"/>
        <v>1</v>
      </c>
      <c r="J1828" s="130">
        <f ca="1" t="shared" si="1851"/>
        <v>1</v>
      </c>
      <c r="K1828" s="130">
        <f ca="1" t="shared" si="1852"/>
        <v>1</v>
      </c>
      <c r="L1828" s="130">
        <f ca="1" t="shared" si="1853"/>
        <v>1</v>
      </c>
      <c r="M1828" s="130">
        <f ca="1" t="shared" si="1854"/>
        <v>1</v>
      </c>
      <c r="N1828" s="130">
        <f ca="1" t="shared" si="1855"/>
        <v>1</v>
      </c>
      <c r="O1828" s="130">
        <f ca="1" t="shared" si="1856"/>
        <v>1</v>
      </c>
      <c r="P1828" s="130">
        <f ca="1" t="shared" si="1857"/>
        <v>1</v>
      </c>
      <c r="Q1828" s="130">
        <f ca="1" t="shared" si="1858"/>
        <v>1</v>
      </c>
      <c r="R1828" s="130">
        <f ca="1" t="shared" si="1859"/>
        <v>1</v>
      </c>
      <c r="S1828" s="130">
        <f ca="1" t="shared" si="1860"/>
        <v>1</v>
      </c>
      <c r="T1828" s="130">
        <f ca="1" t="shared" si="1861"/>
        <v>1</v>
      </c>
      <c r="U1828" s="130">
        <f ca="1" t="shared" si="1862"/>
        <v>1</v>
      </c>
      <c r="V1828" s="130">
        <f ca="1" t="shared" si="1863"/>
        <v>1</v>
      </c>
    </row>
    <row r="1829" ht="16.5" spans="2:22">
      <c r="B1829" s="117">
        <v>593</v>
      </c>
      <c r="C1829" s="130">
        <f t="shared" si="1844"/>
        <v>59300</v>
      </c>
      <c r="D1829" s="130">
        <f ca="1" t="shared" si="1845"/>
        <v>1</v>
      </c>
      <c r="E1829" s="130">
        <f ca="1" t="shared" si="1846"/>
        <v>1</v>
      </c>
      <c r="F1829" s="130">
        <f ca="1" t="shared" si="1847"/>
        <v>1</v>
      </c>
      <c r="G1829" s="130">
        <f ca="1" t="shared" si="1848"/>
        <v>1</v>
      </c>
      <c r="H1829" s="130">
        <f ca="1" t="shared" si="1849"/>
        <v>1</v>
      </c>
      <c r="I1829" s="130">
        <f ca="1" t="shared" si="1850"/>
        <v>1</v>
      </c>
      <c r="J1829" s="130">
        <f ca="1" t="shared" si="1851"/>
        <v>1</v>
      </c>
      <c r="K1829" s="130">
        <f ca="1" t="shared" si="1852"/>
        <v>1</v>
      </c>
      <c r="L1829" s="130">
        <f ca="1" t="shared" si="1853"/>
        <v>1</v>
      </c>
      <c r="M1829" s="130">
        <f ca="1" t="shared" si="1854"/>
        <v>1</v>
      </c>
      <c r="N1829" s="130">
        <f ca="1" t="shared" si="1855"/>
        <v>1</v>
      </c>
      <c r="O1829" s="130">
        <f ca="1" t="shared" si="1856"/>
        <v>1</v>
      </c>
      <c r="P1829" s="130">
        <f ca="1" t="shared" si="1857"/>
        <v>1</v>
      </c>
      <c r="Q1829" s="130">
        <f ca="1" t="shared" si="1858"/>
        <v>1</v>
      </c>
      <c r="R1829" s="130">
        <f ca="1" t="shared" si="1859"/>
        <v>1</v>
      </c>
      <c r="S1829" s="130">
        <f ca="1" t="shared" si="1860"/>
        <v>1</v>
      </c>
      <c r="T1829" s="130">
        <f ca="1" t="shared" si="1861"/>
        <v>1</v>
      </c>
      <c r="U1829" s="130">
        <f ca="1" t="shared" si="1862"/>
        <v>1</v>
      </c>
      <c r="V1829" s="130">
        <f ca="1" t="shared" si="1863"/>
        <v>1</v>
      </c>
    </row>
    <row r="1830" ht="16.5" spans="2:22">
      <c r="B1830" s="117">
        <v>594</v>
      </c>
      <c r="C1830" s="130">
        <f t="shared" si="1844"/>
        <v>59400</v>
      </c>
      <c r="D1830" s="130">
        <f ca="1" t="shared" si="1845"/>
        <v>1</v>
      </c>
      <c r="E1830" s="130">
        <f ca="1" t="shared" si="1846"/>
        <v>1</v>
      </c>
      <c r="F1830" s="130">
        <f ca="1" t="shared" si="1847"/>
        <v>1</v>
      </c>
      <c r="G1830" s="130">
        <f ca="1" t="shared" si="1848"/>
        <v>1</v>
      </c>
      <c r="H1830" s="130">
        <f ca="1" t="shared" si="1849"/>
        <v>1</v>
      </c>
      <c r="I1830" s="130">
        <f ca="1" t="shared" si="1850"/>
        <v>1</v>
      </c>
      <c r="J1830" s="130">
        <f ca="1" t="shared" si="1851"/>
        <v>1</v>
      </c>
      <c r="K1830" s="130">
        <f ca="1" t="shared" si="1852"/>
        <v>1</v>
      </c>
      <c r="L1830" s="130">
        <f ca="1" t="shared" si="1853"/>
        <v>1</v>
      </c>
      <c r="M1830" s="130">
        <f ca="1" t="shared" si="1854"/>
        <v>1</v>
      </c>
      <c r="N1830" s="130">
        <f ca="1" t="shared" si="1855"/>
        <v>1</v>
      </c>
      <c r="O1830" s="130">
        <f ca="1" t="shared" si="1856"/>
        <v>1</v>
      </c>
      <c r="P1830" s="130">
        <f ca="1" t="shared" si="1857"/>
        <v>1</v>
      </c>
      <c r="Q1830" s="130">
        <f ca="1" t="shared" si="1858"/>
        <v>1</v>
      </c>
      <c r="R1830" s="130">
        <f ca="1" t="shared" si="1859"/>
        <v>1</v>
      </c>
      <c r="S1830" s="130">
        <f ca="1" t="shared" si="1860"/>
        <v>1</v>
      </c>
      <c r="T1830" s="130">
        <f ca="1" t="shared" si="1861"/>
        <v>1</v>
      </c>
      <c r="U1830" s="130">
        <f ca="1" t="shared" si="1862"/>
        <v>1</v>
      </c>
      <c r="V1830" s="130">
        <f ca="1" t="shared" si="1863"/>
        <v>1</v>
      </c>
    </row>
    <row r="1831" ht="16.5" spans="2:22">
      <c r="B1831" s="117">
        <v>595</v>
      </c>
      <c r="C1831" s="130">
        <f t="shared" si="1844"/>
        <v>59500</v>
      </c>
      <c r="D1831" s="130">
        <f ca="1" t="shared" si="1845"/>
        <v>1</v>
      </c>
      <c r="E1831" s="130">
        <f ca="1" t="shared" si="1846"/>
        <v>1</v>
      </c>
      <c r="F1831" s="130">
        <f ca="1" t="shared" si="1847"/>
        <v>1</v>
      </c>
      <c r="G1831" s="130">
        <f ca="1" t="shared" si="1848"/>
        <v>1</v>
      </c>
      <c r="H1831" s="130">
        <f ca="1" t="shared" si="1849"/>
        <v>1</v>
      </c>
      <c r="I1831" s="130">
        <f ca="1" t="shared" si="1850"/>
        <v>1</v>
      </c>
      <c r="J1831" s="130">
        <f ca="1" t="shared" si="1851"/>
        <v>1</v>
      </c>
      <c r="K1831" s="130">
        <f ca="1" t="shared" si="1852"/>
        <v>1</v>
      </c>
      <c r="L1831" s="130">
        <f ca="1" t="shared" si="1853"/>
        <v>1</v>
      </c>
      <c r="M1831" s="130">
        <f ca="1" t="shared" si="1854"/>
        <v>1</v>
      </c>
      <c r="N1831" s="130">
        <f ca="1" t="shared" si="1855"/>
        <v>1</v>
      </c>
      <c r="O1831" s="130">
        <f ca="1" t="shared" si="1856"/>
        <v>1</v>
      </c>
      <c r="P1831" s="130">
        <f ca="1" t="shared" si="1857"/>
        <v>1</v>
      </c>
      <c r="Q1831" s="130">
        <f ca="1" t="shared" si="1858"/>
        <v>1</v>
      </c>
      <c r="R1831" s="130">
        <f ca="1" t="shared" si="1859"/>
        <v>1</v>
      </c>
      <c r="S1831" s="130">
        <f ca="1" t="shared" si="1860"/>
        <v>1</v>
      </c>
      <c r="T1831" s="130">
        <f ca="1" t="shared" si="1861"/>
        <v>1</v>
      </c>
      <c r="U1831" s="130">
        <f ca="1" t="shared" si="1862"/>
        <v>1</v>
      </c>
      <c r="V1831" s="130">
        <f ca="1" t="shared" si="1863"/>
        <v>1</v>
      </c>
    </row>
    <row r="1832" ht="16.5" spans="2:22">
      <c r="B1832" s="117">
        <v>596</v>
      </c>
      <c r="C1832" s="130">
        <f t="shared" si="1844"/>
        <v>59600</v>
      </c>
      <c r="D1832" s="130">
        <f ca="1" t="shared" si="1845"/>
        <v>1</v>
      </c>
      <c r="E1832" s="130">
        <f ca="1" t="shared" si="1846"/>
        <v>1</v>
      </c>
      <c r="F1832" s="130">
        <f ca="1" t="shared" si="1847"/>
        <v>1</v>
      </c>
      <c r="G1832" s="130">
        <f ca="1" t="shared" si="1848"/>
        <v>1</v>
      </c>
      <c r="H1832" s="130">
        <f ca="1" t="shared" si="1849"/>
        <v>1</v>
      </c>
      <c r="I1832" s="130">
        <f ca="1" t="shared" si="1850"/>
        <v>1</v>
      </c>
      <c r="J1832" s="130">
        <f ca="1" t="shared" si="1851"/>
        <v>1</v>
      </c>
      <c r="K1832" s="130">
        <f ca="1" t="shared" si="1852"/>
        <v>1</v>
      </c>
      <c r="L1832" s="130">
        <f ca="1" t="shared" si="1853"/>
        <v>1</v>
      </c>
      <c r="M1832" s="130">
        <f ca="1" t="shared" si="1854"/>
        <v>1</v>
      </c>
      <c r="N1832" s="130">
        <f ca="1" t="shared" si="1855"/>
        <v>1</v>
      </c>
      <c r="O1832" s="130">
        <f ca="1" t="shared" si="1856"/>
        <v>1</v>
      </c>
      <c r="P1832" s="130">
        <f ca="1" t="shared" si="1857"/>
        <v>1</v>
      </c>
      <c r="Q1832" s="130">
        <f ca="1" t="shared" si="1858"/>
        <v>1</v>
      </c>
      <c r="R1832" s="130">
        <f ca="1" t="shared" si="1859"/>
        <v>1</v>
      </c>
      <c r="S1832" s="130">
        <f ca="1" t="shared" si="1860"/>
        <v>1</v>
      </c>
      <c r="T1832" s="130">
        <f ca="1" t="shared" si="1861"/>
        <v>1</v>
      </c>
      <c r="U1832" s="130">
        <f ca="1" t="shared" si="1862"/>
        <v>1</v>
      </c>
      <c r="V1832" s="130">
        <f ca="1" t="shared" si="1863"/>
        <v>1</v>
      </c>
    </row>
    <row r="1833" ht="16.5" spans="2:22">
      <c r="B1833" s="117">
        <v>597</v>
      </c>
      <c r="C1833" s="130">
        <f t="shared" si="1844"/>
        <v>59700</v>
      </c>
      <c r="D1833" s="130">
        <f ca="1" t="shared" si="1845"/>
        <v>1</v>
      </c>
      <c r="E1833" s="130">
        <f ca="1" t="shared" si="1846"/>
        <v>1</v>
      </c>
      <c r="F1833" s="130">
        <f ca="1" t="shared" si="1847"/>
        <v>1</v>
      </c>
      <c r="G1833" s="130">
        <f ca="1" t="shared" si="1848"/>
        <v>1</v>
      </c>
      <c r="H1833" s="130">
        <f ca="1" t="shared" si="1849"/>
        <v>1</v>
      </c>
      <c r="I1833" s="130">
        <f ca="1" t="shared" si="1850"/>
        <v>1</v>
      </c>
      <c r="J1833" s="130">
        <f ca="1" t="shared" si="1851"/>
        <v>1</v>
      </c>
      <c r="K1833" s="130">
        <f ca="1" t="shared" si="1852"/>
        <v>1</v>
      </c>
      <c r="L1833" s="130">
        <f ca="1" t="shared" si="1853"/>
        <v>1</v>
      </c>
      <c r="M1833" s="130">
        <f ca="1" t="shared" si="1854"/>
        <v>1</v>
      </c>
      <c r="N1833" s="130">
        <f ca="1" t="shared" si="1855"/>
        <v>1</v>
      </c>
      <c r="O1833" s="130">
        <f ca="1" t="shared" si="1856"/>
        <v>1</v>
      </c>
      <c r="P1833" s="130">
        <f ca="1" t="shared" si="1857"/>
        <v>1</v>
      </c>
      <c r="Q1833" s="130">
        <f ca="1" t="shared" si="1858"/>
        <v>1</v>
      </c>
      <c r="R1833" s="130">
        <f ca="1" t="shared" si="1859"/>
        <v>1</v>
      </c>
      <c r="S1833" s="130">
        <f ca="1" t="shared" si="1860"/>
        <v>1</v>
      </c>
      <c r="T1833" s="130">
        <f ca="1" t="shared" si="1861"/>
        <v>1</v>
      </c>
      <c r="U1833" s="130">
        <f ca="1" t="shared" si="1862"/>
        <v>1</v>
      </c>
      <c r="V1833" s="130">
        <f ca="1" t="shared" si="1863"/>
        <v>1</v>
      </c>
    </row>
    <row r="1834" ht="16.5" spans="2:22">
      <c r="B1834" s="117">
        <v>598</v>
      </c>
      <c r="C1834" s="130">
        <f t="shared" si="1844"/>
        <v>59800</v>
      </c>
      <c r="D1834" s="130">
        <f ca="1" t="shared" si="1845"/>
        <v>1</v>
      </c>
      <c r="E1834" s="130">
        <f ca="1" t="shared" si="1846"/>
        <v>1</v>
      </c>
      <c r="F1834" s="130">
        <f ca="1" t="shared" si="1847"/>
        <v>1</v>
      </c>
      <c r="G1834" s="130">
        <f ca="1" t="shared" si="1848"/>
        <v>1</v>
      </c>
      <c r="H1834" s="130">
        <f ca="1" t="shared" si="1849"/>
        <v>1</v>
      </c>
      <c r="I1834" s="130">
        <f ca="1" t="shared" si="1850"/>
        <v>1</v>
      </c>
      <c r="J1834" s="130">
        <f ca="1" t="shared" si="1851"/>
        <v>1</v>
      </c>
      <c r="K1834" s="130">
        <f ca="1" t="shared" si="1852"/>
        <v>1</v>
      </c>
      <c r="L1834" s="130">
        <f ca="1" t="shared" si="1853"/>
        <v>1</v>
      </c>
      <c r="M1834" s="130">
        <f ca="1" t="shared" si="1854"/>
        <v>1</v>
      </c>
      <c r="N1834" s="130">
        <f ca="1" t="shared" si="1855"/>
        <v>1</v>
      </c>
      <c r="O1834" s="130">
        <f ca="1" t="shared" si="1856"/>
        <v>1</v>
      </c>
      <c r="P1834" s="130">
        <f ca="1" t="shared" si="1857"/>
        <v>1</v>
      </c>
      <c r="Q1834" s="130">
        <f ca="1" t="shared" si="1858"/>
        <v>1</v>
      </c>
      <c r="R1834" s="130">
        <f ca="1" t="shared" si="1859"/>
        <v>1</v>
      </c>
      <c r="S1834" s="130">
        <f ca="1" t="shared" si="1860"/>
        <v>1</v>
      </c>
      <c r="T1834" s="130">
        <f ca="1" t="shared" si="1861"/>
        <v>1</v>
      </c>
      <c r="U1834" s="130">
        <f ca="1" t="shared" si="1862"/>
        <v>1</v>
      </c>
      <c r="V1834" s="130">
        <f ca="1" t="shared" si="1863"/>
        <v>1</v>
      </c>
    </row>
    <row r="1835" ht="16.5" spans="2:22">
      <c r="B1835" s="117">
        <v>599</v>
      </c>
      <c r="C1835" s="130">
        <f t="shared" si="1844"/>
        <v>59900</v>
      </c>
      <c r="D1835" s="130">
        <f ca="1" t="shared" si="1845"/>
        <v>1</v>
      </c>
      <c r="E1835" s="130">
        <f ca="1" t="shared" si="1846"/>
        <v>1</v>
      </c>
      <c r="F1835" s="130">
        <f ca="1" t="shared" si="1847"/>
        <v>1</v>
      </c>
      <c r="G1835" s="130">
        <f ca="1" t="shared" si="1848"/>
        <v>1</v>
      </c>
      <c r="H1835" s="130">
        <f ca="1" t="shared" si="1849"/>
        <v>1</v>
      </c>
      <c r="I1835" s="130">
        <f ca="1" t="shared" si="1850"/>
        <v>1</v>
      </c>
      <c r="J1835" s="130">
        <f ca="1" t="shared" si="1851"/>
        <v>1</v>
      </c>
      <c r="K1835" s="130">
        <f ca="1" t="shared" si="1852"/>
        <v>1</v>
      </c>
      <c r="L1835" s="130">
        <f ca="1" t="shared" si="1853"/>
        <v>1</v>
      </c>
      <c r="M1835" s="130">
        <f ca="1" t="shared" si="1854"/>
        <v>1</v>
      </c>
      <c r="N1835" s="130">
        <f ca="1" t="shared" si="1855"/>
        <v>1</v>
      </c>
      <c r="O1835" s="130">
        <f ca="1" t="shared" si="1856"/>
        <v>1</v>
      </c>
      <c r="P1835" s="130">
        <f ca="1" t="shared" si="1857"/>
        <v>1</v>
      </c>
      <c r="Q1835" s="130">
        <f ca="1" t="shared" si="1858"/>
        <v>1</v>
      </c>
      <c r="R1835" s="130">
        <f ca="1" t="shared" si="1859"/>
        <v>1</v>
      </c>
      <c r="S1835" s="130">
        <f ca="1" t="shared" si="1860"/>
        <v>1</v>
      </c>
      <c r="T1835" s="130">
        <f ca="1" t="shared" si="1861"/>
        <v>1</v>
      </c>
      <c r="U1835" s="130">
        <f ca="1" t="shared" si="1862"/>
        <v>1</v>
      </c>
      <c r="V1835" s="130">
        <f ca="1" t="shared" si="1863"/>
        <v>1</v>
      </c>
    </row>
    <row r="1836" ht="16.5" spans="2:22">
      <c r="B1836" s="117">
        <v>600</v>
      </c>
      <c r="C1836" s="130">
        <f t="shared" si="1844"/>
        <v>60000</v>
      </c>
      <c r="D1836" s="130">
        <f ca="1" t="shared" si="1845"/>
        <v>1</v>
      </c>
      <c r="E1836" s="130">
        <f ca="1" t="shared" si="1846"/>
        <v>1</v>
      </c>
      <c r="F1836" s="130">
        <f ca="1" t="shared" si="1847"/>
        <v>1</v>
      </c>
      <c r="G1836" s="130">
        <f ca="1" t="shared" si="1848"/>
        <v>1</v>
      </c>
      <c r="H1836" s="130">
        <f ca="1" t="shared" si="1849"/>
        <v>1</v>
      </c>
      <c r="I1836" s="130">
        <f ca="1" t="shared" si="1850"/>
        <v>1</v>
      </c>
      <c r="J1836" s="130">
        <f ca="1" t="shared" si="1851"/>
        <v>1</v>
      </c>
      <c r="K1836" s="130">
        <f ca="1" t="shared" si="1852"/>
        <v>1</v>
      </c>
      <c r="L1836" s="130">
        <f ca="1" t="shared" si="1853"/>
        <v>1</v>
      </c>
      <c r="M1836" s="130">
        <f ca="1" t="shared" si="1854"/>
        <v>1</v>
      </c>
      <c r="N1836" s="130">
        <f ca="1" t="shared" si="1855"/>
        <v>1</v>
      </c>
      <c r="O1836" s="130">
        <f ca="1" t="shared" si="1856"/>
        <v>1</v>
      </c>
      <c r="P1836" s="130">
        <f ca="1" t="shared" si="1857"/>
        <v>1</v>
      </c>
      <c r="Q1836" s="130">
        <f ca="1" t="shared" si="1858"/>
        <v>1</v>
      </c>
      <c r="R1836" s="130">
        <f ca="1" t="shared" si="1859"/>
        <v>1</v>
      </c>
      <c r="S1836" s="130">
        <f ca="1" t="shared" si="1860"/>
        <v>1</v>
      </c>
      <c r="T1836" s="130">
        <f ca="1" t="shared" si="1861"/>
        <v>1</v>
      </c>
      <c r="U1836" s="130">
        <f ca="1" t="shared" si="1862"/>
        <v>1</v>
      </c>
      <c r="V1836" s="130">
        <f ca="1" t="shared" si="1863"/>
        <v>1</v>
      </c>
    </row>
  </sheetData>
  <pageMargins left="0.7" right="0.7" top="0.75" bottom="0.75" header="0.3" footer="0.3"/>
  <pageSetup paperSize="9" orientation="portrait"/>
  <headerFooter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S2052"/>
  <sheetViews>
    <sheetView showGridLines="0" zoomScale="115" zoomScaleNormal="115" workbookViewId="0">
      <selection activeCell="L31" sqref="L31"/>
    </sheetView>
  </sheetViews>
  <sheetFormatPr defaultColWidth="9" defaultRowHeight="16.5"/>
  <cols>
    <col min="1" max="5" width="9" style="95"/>
    <col min="6" max="13" width="8.95833333333333" style="95" customWidth="1"/>
    <col min="14" max="14" width="9" style="95"/>
    <col min="15" max="15" width="8.11666666666667" style="95" customWidth="1"/>
    <col min="16" max="16" width="12.625" style="95"/>
    <col min="17" max="17" width="8.95833333333333" style="95" customWidth="1"/>
    <col min="18" max="18" width="12.625" style="95"/>
    <col min="19" max="16384" width="9" style="95"/>
  </cols>
  <sheetData>
    <row r="1" s="93" customFormat="1" ht="24.75" spans="1:15">
      <c r="A1" s="93" t="s">
        <v>87</v>
      </c>
    </row>
    <row r="2" s="94" customFormat="1"/>
    <row r="3" s="94" customFormat="1"/>
    <row r="4" s="94" customFormat="1" spans="1:15">
      <c r="K4" s="96">
        <f>1/COUNTA(C14:C20)</f>
        <v>0.142857142857143</v>
      </c>
    </row>
    <row r="5" spans="1:15">
      <c r="B5" s="95" t="s">
        <v>88</v>
      </c>
      <c r="C5" s="95" t="s">
        <v>89</v>
      </c>
      <c r="D5" s="95" t="s">
        <v>90</v>
      </c>
      <c r="E5" s="97" t="s">
        <v>91</v>
      </c>
      <c r="F5" s="97" t="s">
        <v>92</v>
      </c>
      <c r="G5" s="97" t="s">
        <v>93</v>
      </c>
      <c r="H5" s="97" t="s">
        <v>94</v>
      </c>
      <c r="I5" s="97" t="s">
        <v>95</v>
      </c>
      <c r="J5" s="97" t="s">
        <v>96</v>
      </c>
      <c r="K5" s="95" t="s">
        <v>97</v>
      </c>
      <c r="L5" s="95" t="s">
        <v>98</v>
      </c>
      <c r="N5" s="95" t="s">
        <v>99</v>
      </c>
      <c r="O5" s="95" t="s">
        <v>100</v>
      </c>
    </row>
    <row r="6" spans="1:15">
      <c r="B6" s="95">
        <v>4</v>
      </c>
      <c r="C6" s="95">
        <v>1</v>
      </c>
      <c r="D6" s="98">
        <f ca="1" t="shared" ref="D6:D12" si="0">IF(C6="","",E6*OFFSET($E$51,0,MATCH(C6,$C$14:$C$20,0)))</f>
        <v>0.313313313313313</v>
      </c>
      <c r="E6" s="99">
        <f>IF($B6="","",SUMIFS(符文总览!O:O,符文总览!$D:$D,$B6,符文总览!$AL:$AL,$C6))</f>
        <v>0.313313313313313</v>
      </c>
      <c r="F6" s="99">
        <f>IF($B6="","",SUMIFS(符文总览!N:N,符文总览!$D:$D,$B6,符文总览!$AL:$AL,$C6))</f>
        <v>0.313313313313313</v>
      </c>
      <c r="G6" s="99">
        <f>IF($B6="","",SUMIFS(符文总览!O:O,符文总览!$D:$D,$B6,符文总览!$AL:$AL,$C6))</f>
        <v>0.313313313313313</v>
      </c>
      <c r="H6" s="99">
        <f>IF($B6="","",SUMIFS(符文总览!P:P,符文总览!$D:$D,$B6,符文总览!$AL:$AL,$C6))</f>
        <v>0.313313313313313</v>
      </c>
      <c r="I6" s="99">
        <f>IF($B6="","",SUMIFS(符文总览!Q:Q,符文总览!$D:$D,$B6,符文总览!$AL:$AL,$C6))</f>
        <v>0.313313313313313</v>
      </c>
      <c r="J6" s="99">
        <f>IF($B6="","",SUMIFS(符文总览!R:R,符文总览!$D:$D,$B6,符文总览!$AL:$AL,$C6))</f>
        <v>0.313313313313313</v>
      </c>
      <c r="K6" s="100">
        <f>1/E6*_xlfn.XLOOKUP(B6,$N$5:$N$16,$O$5:$O$16)*K$4</f>
        <v>45.595618439069</v>
      </c>
      <c r="L6" s="95" cm="1">
        <f t="array" ref="L6">SUMPRODUCT(K6:K12,E6:E12)</f>
        <v>85.7142857142858</v>
      </c>
    </row>
    <row r="7" spans="1:15">
      <c r="B7" s="95">
        <v>4</v>
      </c>
      <c r="C7" s="95">
        <v>2</v>
      </c>
      <c r="D7" s="98">
        <f ca="1" t="shared" si="0"/>
        <v>0.314314314314314</v>
      </c>
      <c r="E7" s="99">
        <f>IF($B7="","",SUMIFS(符文总览!O:O,符文总览!$D:$D,$B7,符文总览!$AL:$AL,$C7))</f>
        <v>0.314314314314314</v>
      </c>
      <c r="F7" s="99">
        <f>IF($B7="","",SUMIFS(符文总览!N:N,符文总览!$D:$D,$B7,符文总览!$AL:$AL,$C7))</f>
        <v>0.314314314314314</v>
      </c>
      <c r="G7" s="99">
        <f>IF($B7="","",SUMIFS(符文总览!O:O,符文总览!$D:$D,$B7,符文总览!$AL:$AL,$C7))</f>
        <v>0.314314314314314</v>
      </c>
      <c r="H7" s="99">
        <f>IF($B7="","",SUMIFS(符文总览!P:P,符文总览!$D:$D,$B7,符文总览!$AL:$AL,$C7))</f>
        <v>0.314314314314314</v>
      </c>
      <c r="I7" s="99">
        <f>IF($B7="","",SUMIFS(符文总览!Q:Q,符文总览!$D:$D,$B7,符文总览!$AL:$AL,$C7))</f>
        <v>0.314314314314314</v>
      </c>
      <c r="J7" s="99">
        <f>IF($B7="","",SUMIFS(符文总览!R:R,符文总览!$D:$D,$B7,符文总览!$AL:$AL,$C7))</f>
        <v>0.314314314314314</v>
      </c>
      <c r="K7" s="100">
        <f t="shared" ref="K6:K12" si="1">1/E7*_xlfn.XLOOKUP(B7,$N$5:$N$16,$O$5:$O$16)*K$4</f>
        <v>45.4504094631484</v>
      </c>
      <c r="L7" s="101"/>
    </row>
    <row r="8" spans="1:15">
      <c r="B8" s="95">
        <v>4</v>
      </c>
      <c r="C8" s="95">
        <v>3</v>
      </c>
      <c r="D8" s="98">
        <f ca="1" t="shared" si="0"/>
        <v>0.303176739958349</v>
      </c>
      <c r="E8" s="99">
        <f>IF($B8="","",SUMIFS(符文总览!O:O,符文总览!$D:$D,$B8,符文总览!$AL:$AL,$C8))</f>
        <v>0.303176739958349</v>
      </c>
      <c r="F8" s="99">
        <f>IF($B8="","",SUMIFS(符文总览!N:N,符文总览!$D:$D,$B8,符文总览!$AL:$AL,$C8))</f>
        <v>0.299966633299967</v>
      </c>
      <c r="G8" s="99">
        <f>IF($B8="","",SUMIFS(符文总览!O:O,符文总览!$D:$D,$B8,符文总览!$AL:$AL,$C8))</f>
        <v>0.303176739958349</v>
      </c>
      <c r="H8" s="99">
        <f>IF($B8="","",SUMIFS(符文总览!P:P,符文总览!$D:$D,$B8,符文总览!$AL:$AL,$C8))</f>
        <v>0.299966633299967</v>
      </c>
      <c r="I8" s="99">
        <f>IF($B8="","",SUMIFS(符文总览!Q:Q,符文总览!$D:$D,$B8,符文总览!$AL:$AL,$C8))</f>
        <v>0.29973154973155</v>
      </c>
      <c r="J8" s="99">
        <f>IF($B8="","",SUMIFS(符文总览!R:R,符文总览!$D:$D,$B8,符文总览!$AL:$AL,$C8))</f>
        <v>0.296670296670297</v>
      </c>
      <c r="K8" s="100">
        <f t="shared" si="1"/>
        <v>47.1200867443752</v>
      </c>
      <c r="L8" s="101"/>
    </row>
    <row r="9" spans="1:15">
      <c r="B9" s="95">
        <v>4</v>
      </c>
      <c r="C9" s="95">
        <v>4</v>
      </c>
      <c r="D9" s="98">
        <f ca="1" t="shared" si="0"/>
        <v>0.0186336336336336</v>
      </c>
      <c r="E9" s="99">
        <f>IF($B9="","",SUMIFS(符文总览!O:O,符文总览!$D:$D,$B9,符文总览!$AL:$AL,$C9))</f>
        <v>0.0564655564655565</v>
      </c>
      <c r="F9" s="99">
        <f>IF($B9="","",SUMIFS(符文总览!N:N,符文总览!$D:$D,$B9,符文总览!$AL:$AL,$C9))</f>
        <v>0.0402461284814226</v>
      </c>
      <c r="G9" s="99">
        <f>IF($B9="","",SUMIFS(符文总览!O:O,符文总览!$D:$D,$B9,符文总览!$AL:$AL,$C9))</f>
        <v>0.0564655564655565</v>
      </c>
      <c r="H9" s="99">
        <f>IF($B9="","",SUMIFS(符文总览!P:P,符文总览!$D:$D,$B9,符文总览!$AL:$AL,$C9))</f>
        <v>0.0564655564655565</v>
      </c>
      <c r="I9" s="99">
        <f>IF($B9="","",SUMIFS(符文总览!Q:Q,符文总览!$D:$D,$B9,符文总览!$AL:$AL,$C9))</f>
        <v>0.044976794976795</v>
      </c>
      <c r="J9" s="99">
        <f>IF($B9="","",SUMIFS(符文总览!R:R,符文总览!$D:$D,$B9,符文总览!$AL:$AL,$C9))</f>
        <v>0.0551139374668787</v>
      </c>
      <c r="K9" s="100">
        <f t="shared" si="1"/>
        <v>252.998733740072</v>
      </c>
      <c r="L9" s="101"/>
    </row>
    <row r="10" spans="1:15">
      <c r="B10" s="95">
        <v>4</v>
      </c>
      <c r="C10" s="95">
        <v>5</v>
      </c>
      <c r="D10" s="98">
        <f ca="1" t="shared" si="0"/>
        <v>0.00356678517598058</v>
      </c>
      <c r="E10" s="99">
        <f>IF($B10="","",SUMIFS(符文总览!O:O,符文总览!$D:$D,$B10,符文总览!$AL:$AL,$C10))</f>
        <v>0.00713357035196116</v>
      </c>
      <c r="F10" s="99">
        <f>IF($B10="","",SUMIFS(符文总览!N:N,符文总览!$D:$D,$B10,符文总览!$AL:$AL,$C10))</f>
        <v>0.0252114859957997</v>
      </c>
      <c r="G10" s="99">
        <f>IF($B10="","",SUMIFS(符文总览!O:O,符文总览!$D:$D,$B10,符文总览!$AL:$AL,$C10))</f>
        <v>0.00713357035196116</v>
      </c>
      <c r="H10" s="99">
        <f>IF($B10="","",SUMIFS(符文总览!P:P,符文总览!$D:$D,$B10,符文总览!$AL:$AL,$C10))</f>
        <v>0.0103436770103437</v>
      </c>
      <c r="I10" s="99">
        <f>IF($B10="","",SUMIFS(符文总览!Q:Q,符文总览!$D:$D,$B10,符文总览!$AL:$AL,$C10))</f>
        <v>0.0220675220675221</v>
      </c>
      <c r="J10" s="99">
        <f>IF($B10="","",SUMIFS(符文总览!R:R,符文总览!$D:$D,$B10,符文总览!$AL:$AL,$C10))</f>
        <v>0.0136400136400136</v>
      </c>
      <c r="K10" s="100">
        <f t="shared" si="1"/>
        <v>2002.60368663595</v>
      </c>
      <c r="L10" s="101"/>
    </row>
    <row r="11" spans="1:15">
      <c r="B11" s="95">
        <v>4</v>
      </c>
      <c r="C11" s="95">
        <v>6</v>
      </c>
      <c r="D11" s="98">
        <f ca="1" t="shared" si="0"/>
        <v>0.00223860223860224</v>
      </c>
      <c r="E11" s="99">
        <f>IF($B11="","",SUMIFS(符文总览!O:O,符文总览!$D:$D,$B11,符文总览!$AL:$AL,$C11))</f>
        <v>0.0055965055965056</v>
      </c>
      <c r="F11" s="99">
        <f>IF($B11="","",SUMIFS(符文总览!N:N,符文总览!$D:$D,$B11,符文总览!$AL:$AL,$C11))</f>
        <v>0.00694812459518342</v>
      </c>
      <c r="G11" s="99">
        <f>IF($B11="","",SUMIFS(符文总览!O:O,符文总览!$D:$D,$B11,符文总览!$AL:$AL,$C11))</f>
        <v>0.0055965055965056</v>
      </c>
      <c r="H11" s="99">
        <f>IF($B11="","",SUMIFS(符文总览!P:P,符文总览!$D:$D,$B11,符文总览!$AL:$AL,$C11))</f>
        <v>0.0055965055965056</v>
      </c>
      <c r="I11" s="99">
        <f>IF($B11="","",SUMIFS(符文总览!Q:Q,符文总览!$D:$D,$B11,符文总览!$AL:$AL,$C11))</f>
        <v>0.0055965055965056</v>
      </c>
      <c r="J11" s="99">
        <f>IF($B11="","",SUMIFS(符文总览!R:R,符文总览!$D:$D,$B11,符文总览!$AL:$AL,$C11))</f>
        <v>0.00694812459518342</v>
      </c>
      <c r="K11" s="100">
        <f t="shared" si="1"/>
        <v>2552.61324041812</v>
      </c>
      <c r="L11" s="101"/>
    </row>
    <row r="12" spans="1:15">
      <c r="D12" s="98"/>
      <c r="E12" s="99"/>
      <c r="F12" s="99"/>
      <c r="G12" s="99"/>
      <c r="H12" s="99"/>
      <c r="I12" s="99"/>
      <c r="J12" s="99"/>
      <c r="K12" s="100"/>
      <c r="L12" s="101"/>
    </row>
    <row r="13" spans="1:15">
      <c r="E13" s="97"/>
      <c r="F13" s="97"/>
      <c r="G13" s="97"/>
      <c r="H13" s="97"/>
      <c r="I13" s="97"/>
      <c r="J13" s="97"/>
      <c r="N13" s="95">
        <v>4</v>
      </c>
      <c r="O13" s="95">
        <f>80*5/4</f>
        <v>100</v>
      </c>
    </row>
    <row r="14" spans="1:15">
      <c r="B14" s="95">
        <v>5</v>
      </c>
      <c r="C14" s="95">
        <v>1</v>
      </c>
      <c r="D14" s="98">
        <f ca="1">IF(C14="","",E14*OFFSET($E$51,0,MATCH(C14,$C$14:$C$20,0)))</f>
        <v>0.306</v>
      </c>
      <c r="E14" s="99">
        <f>IF($B14="","",SUMIFS(符文总览!O:O,符文总览!$D:$D,$B14,符文总览!$AL:$AL,$C14))</f>
        <v>0.306</v>
      </c>
      <c r="F14" s="99">
        <f>IF($B14="","",SUMIFS(符文总览!N:N,符文总览!$D:$D,$B14,符文总览!$AL:$AL,$C14))</f>
        <v>0.306</v>
      </c>
      <c r="G14" s="99">
        <f>IF($B14="","",SUMIFS(符文总览!O:O,符文总览!$D:$D,$B14,符文总览!$AL:$AL,$C14))</f>
        <v>0.306</v>
      </c>
      <c r="H14" s="99">
        <f>IF($B14="","",SUMIFS(符文总览!P:P,符文总览!$D:$D,$B14,符文总览!$AL:$AL,$C14))</f>
        <v>0.306</v>
      </c>
      <c r="I14" s="99">
        <f>IF($B14="","",SUMIFS(符文总览!Q:Q,符文总览!$D:$D,$B14,符文总览!$AL:$AL,$C14))</f>
        <v>0.306</v>
      </c>
      <c r="J14" s="99">
        <f>IF($B14="","",SUMIFS(符文总览!R:R,符文总览!$D:$D,$B14,符文总览!$AL:$AL,$C14))</f>
        <v>0.306</v>
      </c>
      <c r="K14" s="100">
        <f>1/E14*_xlfn.XLOOKUP(B14,$N$5:$N$16,$O$5:$O$16)*K$4</f>
        <v>168.067226890757</v>
      </c>
      <c r="L14" s="95" cm="1">
        <f t="array" ref="L14">SUMPRODUCT(K14:K20,E14:E20)</f>
        <v>360</v>
      </c>
      <c r="N14" s="95">
        <v>5</v>
      </c>
      <c r="O14" s="95">
        <f>60*6</f>
        <v>360</v>
      </c>
    </row>
    <row r="15" spans="1:15">
      <c r="B15" s="95">
        <v>5</v>
      </c>
      <c r="C15" s="95">
        <v>2</v>
      </c>
      <c r="D15" s="98">
        <f ca="1" t="shared" ref="D15:D36" si="2">IF(C15="","",E15*OFFSET($E$51,0,MATCH(C15,$C$14:$C$20,0)))</f>
        <v>0.306</v>
      </c>
      <c r="E15" s="99">
        <f>IF($B15="","",SUMIFS(符文总览!O:O,符文总览!$D:$D,$B15,符文总览!$AL:$AL,$C15))</f>
        <v>0.306</v>
      </c>
      <c r="F15" s="99">
        <f>IF($B15="","",SUMIFS(符文总览!N:N,符文总览!$D:$D,$B15,符文总览!$AL:$AL,$C15))</f>
        <v>0.306</v>
      </c>
      <c r="G15" s="99">
        <f>IF($B15="","",SUMIFS(符文总览!O:O,符文总览!$D:$D,$B15,符文总览!$AL:$AL,$C15))</f>
        <v>0.306</v>
      </c>
      <c r="H15" s="99">
        <f>IF($B15="","",SUMIFS(符文总览!P:P,符文总览!$D:$D,$B15,符文总览!$AL:$AL,$C15))</f>
        <v>0.306</v>
      </c>
      <c r="I15" s="99">
        <f>IF($B15="","",SUMIFS(符文总览!Q:Q,符文总览!$D:$D,$B15,符文总览!$AL:$AL,$C15))</f>
        <v>0.306</v>
      </c>
      <c r="J15" s="99">
        <f>IF($B15="","",SUMIFS(符文总览!R:R,符文总览!$D:$D,$B15,符文总览!$AL:$AL,$C15))</f>
        <v>0.306</v>
      </c>
      <c r="K15" s="100">
        <f t="shared" ref="K15:K20" si="3">1/E15*_xlfn.XLOOKUP(B15,$N$5:$N$16,$O$5:$O$16)*K$4</f>
        <v>168.067226890756</v>
      </c>
      <c r="L15" s="101"/>
      <c r="N15" s="95">
        <v>6</v>
      </c>
      <c r="O15" s="95">
        <f>12*60</f>
        <v>720</v>
      </c>
    </row>
    <row r="16" spans="1:15">
      <c r="B16" s="95">
        <v>5</v>
      </c>
      <c r="C16" s="95">
        <v>3</v>
      </c>
      <c r="D16" s="98">
        <f ca="1" t="shared" si="2"/>
        <v>0.333857142857143</v>
      </c>
      <c r="E16" s="99">
        <f>IF($B16="","",SUMIFS(符文总览!O:O,符文总览!$D:$D,$B16,符文总览!$AL:$AL,$C16))</f>
        <v>0.333857142857143</v>
      </c>
      <c r="F16" s="99">
        <f>IF($B16="","",SUMIFS(符文总览!N:N,符文总览!$D:$D,$B16,符文总览!$AL:$AL,$C16))</f>
        <v>0.33025</v>
      </c>
      <c r="G16" s="99">
        <f>IF($B16="","",SUMIFS(符文总览!O:O,符文总览!$D:$D,$B16,符文总览!$AL:$AL,$C16))</f>
        <v>0.333857142857143</v>
      </c>
      <c r="H16" s="99">
        <f>IF($B16="","",SUMIFS(符文总览!P:P,符文总览!$D:$D,$B16,符文总览!$AL:$AL,$C16))</f>
        <v>0.33025</v>
      </c>
      <c r="I16" s="99">
        <f>IF($B16="","",SUMIFS(符文总览!Q:Q,符文总览!$D:$D,$B16,符文总览!$AL:$AL,$C16))</f>
        <v>0.326642857142857</v>
      </c>
      <c r="J16" s="99">
        <f>IF($B16="","",SUMIFS(符文总览!R:R,符文总览!$D:$D,$B16,符文总览!$AL:$AL,$C16))</f>
        <v>0.33025</v>
      </c>
      <c r="K16" s="100">
        <f t="shared" si="3"/>
        <v>154.043645699615</v>
      </c>
      <c r="L16" s="101"/>
      <c r="N16" s="95">
        <v>7</v>
      </c>
      <c r="O16" s="95">
        <f>24*60</f>
        <v>1440</v>
      </c>
    </row>
    <row r="17" spans="2:18">
      <c r="B17" s="95">
        <v>5</v>
      </c>
      <c r="C17" s="95">
        <v>4</v>
      </c>
      <c r="D17" s="98">
        <f ca="1" t="shared" si="2"/>
        <v>0.00714214285714284</v>
      </c>
      <c r="E17" s="99">
        <f>IF($B17="","",SUMIFS(符文总览!O:O,符文总览!$D:$D,$B17,符文总览!$AL:$AL,$C17))</f>
        <v>0.0216428571428571</v>
      </c>
      <c r="F17" s="99">
        <f>IF($B17="","",SUMIFS(符文总览!N:N,符文总览!$D:$D,$B17,符文总览!$AL:$AL,$C17))</f>
        <v>0.02525</v>
      </c>
      <c r="G17" s="99">
        <f>IF($B17="","",SUMIFS(符文总览!O:O,符文总览!$D:$D,$B17,符文总览!$AL:$AL,$C17))</f>
        <v>0.0216428571428571</v>
      </c>
      <c r="H17" s="99">
        <f>IF($B17="","",SUMIFS(符文总览!P:P,符文总览!$D:$D,$B17,符文总览!$AL:$AL,$C17))</f>
        <v>0.02525</v>
      </c>
      <c r="I17" s="99">
        <f>IF($B17="","",SUMIFS(符文总览!Q:Q,符文总览!$D:$D,$B17,符文总览!$AL:$AL,$C17))</f>
        <v>0.0288571428571429</v>
      </c>
      <c r="J17" s="99">
        <f>IF($B17="","",SUMIFS(符文总览!R:R,符文总览!$D:$D,$B17,符文总览!$AL:$AL,$C17))</f>
        <v>0.02525</v>
      </c>
      <c r="K17" s="100">
        <f t="shared" si="3"/>
        <v>2376.23762376238</v>
      </c>
      <c r="L17" s="101"/>
    </row>
    <row r="18" spans="2:18">
      <c r="B18" s="95">
        <v>5</v>
      </c>
      <c r="C18" s="95">
        <v>5</v>
      </c>
      <c r="D18" s="98">
        <f ca="1" t="shared" si="2"/>
        <v>0.0075</v>
      </c>
      <c r="E18" s="99">
        <f>IF($B18="","",SUMIFS(符文总览!O:O,符文总览!$D:$D,$B18,符文总览!$AL:$AL,$C18))</f>
        <v>0.015</v>
      </c>
      <c r="F18" s="99">
        <f>IF($B18="","",SUMIFS(符文总览!N:N,符文总览!$D:$D,$B18,符文总览!$AL:$AL,$C18))</f>
        <v>0.015</v>
      </c>
      <c r="G18" s="99">
        <f>IF($B18="","",SUMIFS(符文总览!O:O,符文总览!$D:$D,$B18,符文总览!$AL:$AL,$C18))</f>
        <v>0.015</v>
      </c>
      <c r="H18" s="99">
        <f>IF($B18="","",SUMIFS(符文总览!P:P,符文总览!$D:$D,$B18,符文总览!$AL:$AL,$C18))</f>
        <v>0.015</v>
      </c>
      <c r="I18" s="99">
        <f>IF($B18="","",SUMIFS(符文总览!Q:Q,符文总览!$D:$D,$B18,符文总览!$AL:$AL,$C18))</f>
        <v>0.015</v>
      </c>
      <c r="J18" s="99">
        <f>IF($B18="","",SUMIFS(符文总览!R:R,符文总览!$D:$D,$B18,符文总览!$AL:$AL,$C18))</f>
        <v>0.015</v>
      </c>
      <c r="K18" s="100">
        <f t="shared" si="3"/>
        <v>3428.57142857143</v>
      </c>
      <c r="L18" s="101"/>
    </row>
    <row r="19" spans="2:18">
      <c r="B19" s="95">
        <v>5</v>
      </c>
      <c r="C19" s="95">
        <v>6</v>
      </c>
      <c r="D19" s="98">
        <f ca="1" t="shared" si="2"/>
        <v>0.0028</v>
      </c>
      <c r="E19" s="99">
        <f>IF($B19="","",SUMIFS(符文总览!O:O,符文总览!$D:$D,$B19,符文总览!$AL:$AL,$C19))</f>
        <v>0.007</v>
      </c>
      <c r="F19" s="99">
        <f>IF($B19="","",SUMIFS(符文总览!N:N,符文总览!$D:$D,$B19,符文总览!$AL:$AL,$C19))</f>
        <v>0.007</v>
      </c>
      <c r="G19" s="99">
        <f>IF($B19="","",SUMIFS(符文总览!O:O,符文总览!$D:$D,$B19,符文总览!$AL:$AL,$C19))</f>
        <v>0.007</v>
      </c>
      <c r="H19" s="99">
        <f>IF($B19="","",SUMIFS(符文总览!P:P,符文总览!$D:$D,$B19,符文总览!$AL:$AL,$C19))</f>
        <v>0.007</v>
      </c>
      <c r="I19" s="99">
        <f>IF($B19="","",SUMIFS(符文总览!Q:Q,符文总览!$D:$D,$B19,符文总览!$AL:$AL,$C19))</f>
        <v>0.007</v>
      </c>
      <c r="J19" s="99">
        <f>IF($B19="","",SUMIFS(符文总览!R:R,符文总览!$D:$D,$B19,符文总览!$AL:$AL,$C19))</f>
        <v>0.007</v>
      </c>
      <c r="K19" s="100">
        <f t="shared" si="3"/>
        <v>7346.93877551021</v>
      </c>
      <c r="L19" s="101"/>
      <c r="P19" s="95">
        <f>1/P26*P20</f>
        <v>100</v>
      </c>
      <c r="Q19" s="95">
        <f>1/Q26*Q20</f>
        <v>171.428571428571</v>
      </c>
      <c r="R19" s="95">
        <f>1/R26*R20</f>
        <v>300</v>
      </c>
    </row>
    <row r="20" spans="2:18">
      <c r="B20" s="95">
        <v>5</v>
      </c>
      <c r="C20" s="95">
        <v>8</v>
      </c>
      <c r="D20" s="98">
        <f ca="1" t="shared" si="2"/>
        <v>0.00525</v>
      </c>
      <c r="E20" s="99">
        <f>IF($B20="","",SUMIFS(符文总览!O:O,符文总览!$D:$D,$B20,符文总览!$AL:$AL,$C20))</f>
        <v>0.0105</v>
      </c>
      <c r="F20" s="99">
        <f>IF($B20="","",SUMIFS(符文总览!N:N,符文总览!$D:$D,$B20,符文总览!$AL:$AL,$C20))</f>
        <v>0.0105</v>
      </c>
      <c r="G20" s="99">
        <f>IF($B20="","",SUMIFS(符文总览!O:O,符文总览!$D:$D,$B20,符文总览!$AL:$AL,$C20))</f>
        <v>0.0105</v>
      </c>
      <c r="H20" s="99">
        <f>IF($B20="","",SUMIFS(符文总览!P:P,符文总览!$D:$D,$B20,符文总览!$AL:$AL,$C20))</f>
        <v>0.0105</v>
      </c>
      <c r="I20" s="99">
        <f>IF($B20="","",SUMIFS(符文总览!Q:Q,符文总览!$D:$D,$B20,符文总览!$AL:$AL,$C20))</f>
        <v>0.0105</v>
      </c>
      <c r="J20" s="99">
        <f>IF($B20="","",SUMIFS(符文总览!R:R,符文总览!$D:$D,$B20,符文总览!$AL:$AL,$C20))</f>
        <v>0.0105</v>
      </c>
      <c r="K20" s="100">
        <f t="shared" si="3"/>
        <v>4897.95918367347</v>
      </c>
      <c r="L20" s="101"/>
      <c r="P20" s="95">
        <v>6</v>
      </c>
      <c r="Q20" s="95">
        <v>12</v>
      </c>
      <c r="R20" s="95">
        <v>24</v>
      </c>
    </row>
    <row r="21" spans="2:18">
      <c r="D21" s="98" t="str">
        <f ca="1" t="shared" si="2"/>
        <v/>
      </c>
      <c r="E21" s="99" t="str">
        <f>IF($B21="","",SUMIFS(符文总览!O:O,符文总览!$D:$D,$B21,符文总览!$AL:$AL,$C21))</f>
        <v/>
      </c>
      <c r="F21" s="99" t="str">
        <f>IF($B21="","",SUMIFS(符文总览!N:N,符文总览!$D:$D,$B21,符文总览!$AL:$AL,$C21))</f>
        <v/>
      </c>
      <c r="G21" s="99" t="str">
        <f>IF($B21="","",SUMIFS(符文总览!O:O,符文总览!$D:$D,$B21,符文总览!$AL:$AL,$C21))</f>
        <v/>
      </c>
      <c r="H21" s="99" t="str">
        <f>IF($B21="","",SUMIFS(符文总览!P:P,符文总览!$D:$D,$B21,符文总览!$AL:$AL,$C21))</f>
        <v/>
      </c>
      <c r="I21" s="99" t="str">
        <f>IF($B21="","",SUMIFS(符文总览!Q:Q,符文总览!$D:$D,$B21,符文总览!$AL:$AL,$C21))</f>
        <v/>
      </c>
      <c r="J21" s="99" t="str">
        <f>IF($B21="","",SUMIFS(符文总览!R:R,符文总览!$D:$D,$B21,符文总览!$AL:$AL,$C21))</f>
        <v/>
      </c>
      <c r="K21" s="102"/>
      <c r="L21" s="102"/>
      <c r="P21" s="95" t="s">
        <v>101</v>
      </c>
    </row>
    <row r="22" spans="2:18">
      <c r="B22" s="95">
        <f t="shared" ref="B22:B27" si="4">B14+1</f>
        <v>6</v>
      </c>
      <c r="C22" s="95">
        <f t="shared" ref="C22:C27" si="5">C14</f>
        <v>1</v>
      </c>
      <c r="D22" s="98">
        <f ca="1" t="shared" si="2"/>
        <v>0.306</v>
      </c>
      <c r="E22" s="99">
        <f>IF($B22="","",SUMIFS(符文总览!O:O,符文总览!$D:$D,$B22,符文总览!$AL:$AL,$C22))</f>
        <v>0.306</v>
      </c>
      <c r="F22" s="99">
        <f>IF($B22="","",SUMIFS(符文总览!N:N,符文总览!$D:$D,$B22,符文总览!$AL:$AL,$C22))</f>
        <v>0.306</v>
      </c>
      <c r="G22" s="99">
        <f>IF($B22="","",SUMIFS(符文总览!O:O,符文总览!$D:$D,$B22,符文总览!$AL:$AL,$C22))</f>
        <v>0.306</v>
      </c>
      <c r="H22" s="99">
        <f>IF($B22="","",SUMIFS(符文总览!P:P,符文总览!$D:$D,$B22,符文总览!$AL:$AL,$C22))</f>
        <v>0.306</v>
      </c>
      <c r="I22" s="99">
        <f>IF($B22="","",SUMIFS(符文总览!Q:Q,符文总览!$D:$D,$B22,符文总览!$AL:$AL,$C22))</f>
        <v>0.306</v>
      </c>
      <c r="J22" s="99">
        <f>IF($B22="","",SUMIFS(符文总览!R:R,符文总览!$D:$D,$B22,符文总览!$AL:$AL,$C22))</f>
        <v>0.306</v>
      </c>
      <c r="K22" s="100">
        <f>1/E22*_xlfn.XLOOKUP(B22,$N$5:$N$16,$O$5:$O$16)*K$4</f>
        <v>336.134453781513</v>
      </c>
      <c r="L22" s="95" cm="1">
        <f t="array" ref="L22">SUMPRODUCT(K22:K28,E22:E28)</f>
        <v>720.000000000001</v>
      </c>
      <c r="P22" s="103">
        <f>SUM(E17:E20)</f>
        <v>0.0541428571428571</v>
      </c>
      <c r="Q22" s="103">
        <f>SUM(E25:E28)</f>
        <v>0.0541428571428571</v>
      </c>
      <c r="R22" s="103">
        <f>SUM(E33:E36)</f>
        <v>0.0541428571428571</v>
      </c>
    </row>
    <row r="23" spans="2:18">
      <c r="B23" s="95">
        <f t="shared" si="4"/>
        <v>6</v>
      </c>
      <c r="C23" s="95">
        <f t="shared" si="5"/>
        <v>2</v>
      </c>
      <c r="D23" s="98">
        <f ca="1" t="shared" si="2"/>
        <v>0.306</v>
      </c>
      <c r="E23" s="99">
        <f>IF($B23="","",SUMIFS(符文总览!O:O,符文总览!$D:$D,$B23,符文总览!$AL:$AL,$C23))</f>
        <v>0.306</v>
      </c>
      <c r="F23" s="99">
        <f>IF($B23="","",SUMIFS(符文总览!N:N,符文总览!$D:$D,$B23,符文总览!$AL:$AL,$C23))</f>
        <v>0.306</v>
      </c>
      <c r="G23" s="99">
        <f>IF($B23="","",SUMIFS(符文总览!O:O,符文总览!$D:$D,$B23,符文总览!$AL:$AL,$C23))</f>
        <v>0.306</v>
      </c>
      <c r="H23" s="99">
        <f>IF($B23="","",SUMIFS(符文总览!P:P,符文总览!$D:$D,$B23,符文总览!$AL:$AL,$C23))</f>
        <v>0.306</v>
      </c>
      <c r="I23" s="99">
        <f>IF($B23="","",SUMIFS(符文总览!Q:Q,符文总览!$D:$D,$B23,符文总览!$AL:$AL,$C23))</f>
        <v>0.306</v>
      </c>
      <c r="J23" s="99">
        <f>IF($B23="","",SUMIFS(符文总览!R:R,符文总览!$D:$D,$B23,符文总览!$AL:$AL,$C23))</f>
        <v>0.306</v>
      </c>
      <c r="K23" s="100">
        <f t="shared" ref="K22:K28" si="6">1/E23*_xlfn.XLOOKUP(B23,$N$5:$N$16,$O$5:$O$16)*K$4</f>
        <v>336.134453781513</v>
      </c>
      <c r="L23" s="101"/>
      <c r="O23" s="95">
        <v>5</v>
      </c>
    </row>
    <row r="24" spans="2:18">
      <c r="B24" s="95">
        <f t="shared" si="4"/>
        <v>6</v>
      </c>
      <c r="C24" s="95">
        <f t="shared" si="5"/>
        <v>3</v>
      </c>
      <c r="D24" s="98">
        <f ca="1" t="shared" si="2"/>
        <v>0.333857142857143</v>
      </c>
      <c r="E24" s="99">
        <f>IF($B24="","",SUMIFS(符文总览!O:O,符文总览!$D:$D,$B24,符文总览!$AL:$AL,$C24))</f>
        <v>0.333857142857143</v>
      </c>
      <c r="F24" s="99">
        <f>IF($B24="","",SUMIFS(符文总览!N:N,符文总览!$D:$D,$B24,符文总览!$AL:$AL,$C24))</f>
        <v>0.33025</v>
      </c>
      <c r="G24" s="99">
        <f>IF($B24="","",SUMIFS(符文总览!O:O,符文总览!$D:$D,$B24,符文总览!$AL:$AL,$C24))</f>
        <v>0.333857142857143</v>
      </c>
      <c r="H24" s="99">
        <f>IF($B24="","",SUMIFS(符文总览!P:P,符文总览!$D:$D,$B24,符文总览!$AL:$AL,$C24))</f>
        <v>0.33025</v>
      </c>
      <c r="I24" s="99">
        <f>IF($B24="","",SUMIFS(符文总览!Q:Q,符文总览!$D:$D,$B24,符文总览!$AL:$AL,$C24))</f>
        <v>0.326642857142857</v>
      </c>
      <c r="J24" s="99">
        <f>IF($B24="","",SUMIFS(符文总览!R:R,符文总览!$D:$D,$B24,符文总览!$AL:$AL,$C24))</f>
        <v>0.33025</v>
      </c>
      <c r="K24" s="100">
        <f t="shared" si="6"/>
        <v>308.08729139923</v>
      </c>
      <c r="L24" s="101"/>
      <c r="O24" s="95">
        <v>6</v>
      </c>
    </row>
    <row r="25" spans="2:18">
      <c r="B25" s="95">
        <f t="shared" si="4"/>
        <v>6</v>
      </c>
      <c r="C25" s="95">
        <f t="shared" si="5"/>
        <v>4</v>
      </c>
      <c r="D25" s="98">
        <f ca="1" t="shared" si="2"/>
        <v>0.00714214285714284</v>
      </c>
      <c r="E25" s="99">
        <f>IF($B25="","",SUMIFS(符文总览!O:O,符文总览!$D:$D,$B25,符文总览!$AL:$AL,$C25))</f>
        <v>0.0216428571428571</v>
      </c>
      <c r="F25" s="99">
        <f>IF($B25="","",SUMIFS(符文总览!N:N,符文总览!$D:$D,$B25,符文总览!$AL:$AL,$C25))</f>
        <v>0.02525</v>
      </c>
      <c r="G25" s="99">
        <f>IF($B25="","",SUMIFS(符文总览!O:O,符文总览!$D:$D,$B25,符文总览!$AL:$AL,$C25))</f>
        <v>0.0216428571428571</v>
      </c>
      <c r="H25" s="99">
        <f>IF($B25="","",SUMIFS(符文总览!P:P,符文总览!$D:$D,$B25,符文总览!$AL:$AL,$C25))</f>
        <v>0.02525</v>
      </c>
      <c r="I25" s="99">
        <f>IF($B25="","",SUMIFS(符文总览!Q:Q,符文总览!$D:$D,$B25,符文总览!$AL:$AL,$C25))</f>
        <v>0.0288571428571429</v>
      </c>
      <c r="J25" s="99">
        <f>IF($B25="","",SUMIFS(符文总览!R:R,符文总览!$D:$D,$B25,符文总览!$AL:$AL,$C25))</f>
        <v>0.02525</v>
      </c>
      <c r="K25" s="100">
        <f t="shared" si="6"/>
        <v>4752.47524752476</v>
      </c>
      <c r="L25" s="101"/>
      <c r="O25" s="95">
        <v>8</v>
      </c>
    </row>
    <row r="26" spans="2:18">
      <c r="B26" s="95">
        <f t="shared" si="4"/>
        <v>6</v>
      </c>
      <c r="C26" s="95">
        <f t="shared" si="5"/>
        <v>5</v>
      </c>
      <c r="D26" s="98">
        <f ca="1" t="shared" si="2"/>
        <v>0.0075</v>
      </c>
      <c r="E26" s="99">
        <f>F26</f>
        <v>0.015</v>
      </c>
      <c r="F26" s="99">
        <f>IF($B26="","",SUMIFS(符文总览!N:N,符文总览!$D:$D,$B26,符文总览!$AL:$AL,$C26))</f>
        <v>0.015</v>
      </c>
      <c r="G26" s="99">
        <f>IF($B26="","",SUMIFS(符文总览!O:O,符文总览!$D:$D,$B26,符文总览!$AL:$AL,$C26))</f>
        <v>0.015</v>
      </c>
      <c r="H26" s="99">
        <f>IF($B26="","",SUMIFS(符文总览!P:P,符文总览!$D:$D,$B26,符文总览!$AL:$AL,$C26))</f>
        <v>0.015</v>
      </c>
      <c r="I26" s="99">
        <f>IF($B26="","",SUMIFS(符文总览!Q:Q,符文总览!$D:$D,$B26,符文总览!$AL:$AL,$C26))</f>
        <v>0.015</v>
      </c>
      <c r="J26" s="99">
        <f>IF($B26="","",SUMIFS(符文总览!R:R,符文总览!$D:$D,$B26,符文总览!$AL:$AL,$C26))</f>
        <v>0.015</v>
      </c>
      <c r="K26" s="100">
        <f t="shared" si="6"/>
        <v>6857.14285714286</v>
      </c>
      <c r="L26" s="101"/>
      <c r="P26" s="103">
        <v>0.06</v>
      </c>
      <c r="Q26" s="104">
        <v>0.07</v>
      </c>
      <c r="R26" s="103">
        <v>0.08</v>
      </c>
    </row>
    <row r="27" spans="2:18">
      <c r="B27" s="95">
        <f t="shared" si="4"/>
        <v>6</v>
      </c>
      <c r="C27" s="95">
        <f t="shared" si="5"/>
        <v>6</v>
      </c>
      <c r="D27" s="98">
        <f ca="1" t="shared" si="2"/>
        <v>0.0028</v>
      </c>
      <c r="E27" s="99">
        <f>IF($B27="","",SUMIFS(符文总览!O:O,符文总览!$D:$D,$B27,符文总览!$AL:$AL,$C27))</f>
        <v>0.007</v>
      </c>
      <c r="F27" s="99">
        <f>IF($B27="","",SUMIFS(符文总览!N:N,符文总览!$D:$D,$B27,符文总览!$AL:$AL,$C27))</f>
        <v>0.007</v>
      </c>
      <c r="G27" s="99">
        <f>IF($B27="","",SUMIFS(符文总览!O:O,符文总览!$D:$D,$B27,符文总览!$AL:$AL,$C27))</f>
        <v>0.007</v>
      </c>
      <c r="H27" s="99">
        <f>IF($B27="","",SUMIFS(符文总览!P:P,符文总览!$D:$D,$B27,符文总览!$AL:$AL,$C27))</f>
        <v>0.007</v>
      </c>
      <c r="I27" s="99">
        <f>IF($B27="","",SUMIFS(符文总览!Q:Q,符文总览!$D:$D,$B27,符文总览!$AL:$AL,$C27))</f>
        <v>0.007</v>
      </c>
      <c r="J27" s="99">
        <f>IF($B27="","",SUMIFS(符文总览!R:R,符文总览!$D:$D,$B27,符文总览!$AL:$AL,$C27))</f>
        <v>0.007</v>
      </c>
      <c r="K27" s="100">
        <f t="shared" si="6"/>
        <v>14693.8775510204</v>
      </c>
      <c r="L27" s="101"/>
    </row>
    <row r="28" spans="2:18">
      <c r="B28" s="95">
        <v>6</v>
      </c>
      <c r="C28" s="95">
        <v>8</v>
      </c>
      <c r="D28" s="98">
        <f ca="1" t="shared" si="2"/>
        <v>0.00525</v>
      </c>
      <c r="E28" s="99">
        <f>IF($B28="","",SUMIFS(符文总览!O:O,符文总览!$D:$D,$B28,符文总览!$AL:$AL,$C28))</f>
        <v>0.0105</v>
      </c>
      <c r="F28" s="99">
        <f>IF($B28="","",SUMIFS(符文总览!N:N,符文总览!$D:$D,$B28,符文总览!$AL:$AL,$C28))</f>
        <v>0.0105</v>
      </c>
      <c r="G28" s="99">
        <f>IF($B28="","",SUMIFS(符文总览!O:O,符文总览!$D:$D,$B28,符文总览!$AL:$AL,$C28))</f>
        <v>0.0105</v>
      </c>
      <c r="H28" s="99">
        <f>IF($B28="","",SUMIFS(符文总览!P:P,符文总览!$D:$D,$B28,符文总览!$AL:$AL,$C28))</f>
        <v>0.0105</v>
      </c>
      <c r="I28" s="99">
        <f>IF($B28="","",SUMIFS(符文总览!Q:Q,符文总览!$D:$D,$B28,符文总览!$AL:$AL,$C28))</f>
        <v>0.0105</v>
      </c>
      <c r="J28" s="99">
        <f>IF($B28="","",SUMIFS(符文总览!R:R,符文总览!$D:$D,$B28,符文总览!$AL:$AL,$C28))</f>
        <v>0.0105</v>
      </c>
      <c r="K28" s="100">
        <f t="shared" si="6"/>
        <v>9795.91836734695</v>
      </c>
      <c r="L28" s="101"/>
    </row>
    <row r="29" spans="2:18">
      <c r="D29" s="98" t="str">
        <f ca="1" t="shared" si="2"/>
        <v/>
      </c>
      <c r="E29" s="99" t="str">
        <f>IF($B29="","",SUMIFS(符文总览!O:O,符文总览!$D:$D,$B29,符文总览!$AL:$AL,$C29))</f>
        <v/>
      </c>
      <c r="F29" s="99" t="str">
        <f>IF($B29="","",SUMIFS(符文总览!N:N,符文总览!$D:$D,$B29,符文总览!$AL:$AL,$C29))</f>
        <v/>
      </c>
      <c r="G29" s="99" t="str">
        <f>IF($B29="","",SUMIFS(符文总览!O:O,符文总览!$D:$D,$B29,符文总览!$AL:$AL,$C29))</f>
        <v/>
      </c>
      <c r="H29" s="99" t="str">
        <f>IF($B29="","",SUMIFS(符文总览!P:P,符文总览!$D:$D,$B29,符文总览!$AL:$AL,$C29))</f>
        <v/>
      </c>
      <c r="I29" s="99" t="str">
        <f>IF($B29="","",SUMIFS(符文总览!Q:Q,符文总览!$D:$D,$B29,符文总览!$AL:$AL,$C29))</f>
        <v/>
      </c>
      <c r="J29" s="99" t="str">
        <f>IF($B29="","",SUMIFS(符文总览!R:R,符文总览!$D:$D,$B29,符文总览!$AL:$AL,$C29))</f>
        <v/>
      </c>
    </row>
    <row r="30" spans="2:18">
      <c r="B30" s="95">
        <f t="shared" ref="B30:B35" si="7">B22+1</f>
        <v>7</v>
      </c>
      <c r="C30" s="95">
        <f t="shared" ref="C30:C35" si="8">C22</f>
        <v>1</v>
      </c>
      <c r="D30" s="98">
        <f ca="1" t="shared" si="2"/>
        <v>0.306</v>
      </c>
      <c r="E30" s="99">
        <f>IF($B30="","",SUMIFS(符文总览!O:O,符文总览!$D:$D,$B30,符文总览!$AL:$AL,$C30))</f>
        <v>0.306</v>
      </c>
      <c r="F30" s="99">
        <f>IF($B30="","",SUMIFS(符文总览!N:N,符文总览!$D:$D,$B30,符文总览!$AL:$AL,$C30))</f>
        <v>0.306</v>
      </c>
      <c r="G30" s="99">
        <f>IF($B30="","",SUMIFS(符文总览!O:O,符文总览!$D:$D,$B30,符文总览!$AL:$AL,$C30))</f>
        <v>0.306</v>
      </c>
      <c r="H30" s="99">
        <f>IF($B30="","",SUMIFS(符文总览!P:P,符文总览!$D:$D,$B30,符文总览!$AL:$AL,$C30))</f>
        <v>0.306</v>
      </c>
      <c r="I30" s="99">
        <f>IF($B30="","",SUMIFS(符文总览!Q:Q,符文总览!$D:$D,$B30,符文总览!$AL:$AL,$C30))</f>
        <v>0.306</v>
      </c>
      <c r="J30" s="99">
        <f>IF($B30="","",SUMIFS(符文总览!R:R,符文总览!$D:$D,$B30,符文总览!$AL:$AL,$C30))</f>
        <v>0.306</v>
      </c>
      <c r="K30" s="100">
        <f t="shared" ref="K30:K36" si="9">1/E30*_xlfn.XLOOKUP(B30,$N$5:$N$16,$O$5:$O$16)*K$4</f>
        <v>672.268907563026</v>
      </c>
      <c r="L30" s="95" cm="1">
        <f t="array" ref="L30">SUMPRODUCT(K30:K36,E30:E36)</f>
        <v>1440</v>
      </c>
    </row>
    <row r="31" spans="2:18">
      <c r="B31" s="95">
        <f t="shared" si="7"/>
        <v>7</v>
      </c>
      <c r="C31" s="95">
        <f t="shared" si="8"/>
        <v>2</v>
      </c>
      <c r="D31" s="98">
        <f ca="1" t="shared" si="2"/>
        <v>0.306</v>
      </c>
      <c r="E31" s="99">
        <f>IF($B31="","",SUMIFS(符文总览!O:O,符文总览!$D:$D,$B31,符文总览!$AL:$AL,$C31))</f>
        <v>0.306</v>
      </c>
      <c r="F31" s="99">
        <f>IF($B31="","",SUMIFS(符文总览!N:N,符文总览!$D:$D,$B31,符文总览!$AL:$AL,$C31))</f>
        <v>0.306</v>
      </c>
      <c r="G31" s="99">
        <f>IF($B31="","",SUMIFS(符文总览!O:O,符文总览!$D:$D,$B31,符文总览!$AL:$AL,$C31))</f>
        <v>0.306</v>
      </c>
      <c r="H31" s="99">
        <f>IF($B31="","",SUMIFS(符文总览!P:P,符文总览!$D:$D,$B31,符文总览!$AL:$AL,$C31))</f>
        <v>0.306</v>
      </c>
      <c r="I31" s="99">
        <f>IF($B31="","",SUMIFS(符文总览!Q:Q,符文总览!$D:$D,$B31,符文总览!$AL:$AL,$C31))</f>
        <v>0.306</v>
      </c>
      <c r="J31" s="99">
        <f>IF($B31="","",SUMIFS(符文总览!R:R,符文总览!$D:$D,$B31,符文总览!$AL:$AL,$C31))</f>
        <v>0.306</v>
      </c>
      <c r="K31" s="100">
        <f t="shared" si="9"/>
        <v>672.268907563026</v>
      </c>
      <c r="L31" s="101"/>
    </row>
    <row r="32" spans="2:18">
      <c r="B32" s="95">
        <f t="shared" si="7"/>
        <v>7</v>
      </c>
      <c r="C32" s="95">
        <f t="shared" si="8"/>
        <v>3</v>
      </c>
      <c r="D32" s="98">
        <f ca="1" t="shared" si="2"/>
        <v>0.333857142857143</v>
      </c>
      <c r="E32" s="99">
        <f>IF($B32="","",SUMIFS(符文总览!O:O,符文总览!$D:$D,$B32,符文总览!$AL:$AL,$C32))</f>
        <v>0.333857142857143</v>
      </c>
      <c r="F32" s="99">
        <f>IF($B32="","",SUMIFS(符文总览!N:N,符文总览!$D:$D,$B32,符文总览!$AL:$AL,$C32))</f>
        <v>0.33025</v>
      </c>
      <c r="G32" s="99">
        <f>IF($B32="","",SUMIFS(符文总览!O:O,符文总览!$D:$D,$B32,符文总览!$AL:$AL,$C32))</f>
        <v>0.333857142857143</v>
      </c>
      <c r="H32" s="99">
        <f>IF($B32="","",SUMIFS(符文总览!P:P,符文总览!$D:$D,$B32,符文总览!$AL:$AL,$C32))</f>
        <v>0.33025</v>
      </c>
      <c r="I32" s="99">
        <f>IF($B32="","",SUMIFS(符文总览!Q:Q,符文总览!$D:$D,$B32,符文总览!$AL:$AL,$C32))</f>
        <v>0.326642857142857</v>
      </c>
      <c r="J32" s="99">
        <f>IF($B32="","",SUMIFS(符文总览!R:R,符文总览!$D:$D,$B32,符文总览!$AL:$AL,$C32))</f>
        <v>0.33025</v>
      </c>
      <c r="K32" s="100">
        <f t="shared" si="9"/>
        <v>616.17458279846</v>
      </c>
      <c r="L32" s="101"/>
    </row>
    <row r="33" spans="1:18">
      <c r="B33" s="95">
        <f t="shared" si="7"/>
        <v>7</v>
      </c>
      <c r="C33" s="95">
        <f t="shared" si="8"/>
        <v>4</v>
      </c>
      <c r="D33" s="98">
        <f ca="1" t="shared" si="2"/>
        <v>0.00714214285714284</v>
      </c>
      <c r="E33" s="99">
        <f>IF($B33="","",SUMIFS(符文总览!O:O,符文总览!$D:$D,$B33,符文总览!$AL:$AL,$C33))</f>
        <v>0.0216428571428571</v>
      </c>
      <c r="F33" s="99">
        <f>IF($B33="","",SUMIFS(符文总览!N:N,符文总览!$D:$D,$B33,符文总览!$AL:$AL,$C33))</f>
        <v>0.02525</v>
      </c>
      <c r="G33" s="99">
        <f>IF($B33="","",SUMIFS(符文总览!O:O,符文总览!$D:$D,$B33,符文总览!$AL:$AL,$C33))</f>
        <v>0.0216428571428571</v>
      </c>
      <c r="H33" s="99">
        <f>IF($B33="","",SUMIFS(符文总览!P:P,符文总览!$D:$D,$B33,符文总览!$AL:$AL,$C33))</f>
        <v>0.02525</v>
      </c>
      <c r="I33" s="99">
        <f>IF($B33="","",SUMIFS(符文总览!Q:Q,符文总览!$D:$D,$B33,符文总览!$AL:$AL,$C33))</f>
        <v>0.0288571428571429</v>
      </c>
      <c r="J33" s="99">
        <f>IF($B33="","",SUMIFS(符文总览!R:R,符文总览!$D:$D,$B33,符文总览!$AL:$AL,$C33))</f>
        <v>0.02525</v>
      </c>
      <c r="K33" s="100">
        <f t="shared" si="9"/>
        <v>9504.95049504951</v>
      </c>
      <c r="L33" s="101"/>
    </row>
    <row r="34" spans="1:18">
      <c r="B34" s="95">
        <f t="shared" si="7"/>
        <v>7</v>
      </c>
      <c r="C34" s="95">
        <f t="shared" si="8"/>
        <v>5</v>
      </c>
      <c r="D34" s="98">
        <f ca="1" t="shared" si="2"/>
        <v>0.0075</v>
      </c>
      <c r="E34" s="99">
        <f>IF($B34="","",SUMIFS(符文总览!O:O,符文总览!$D:$D,$B34,符文总览!$AL:$AL,$C34))</f>
        <v>0.015</v>
      </c>
      <c r="F34" s="99">
        <f>IF($B34="","",SUMIFS(符文总览!N:N,符文总览!$D:$D,$B34,符文总览!$AL:$AL,$C34))</f>
        <v>0.015</v>
      </c>
      <c r="G34" s="99">
        <f>IF($B34="","",SUMIFS(符文总览!O:O,符文总览!$D:$D,$B34,符文总览!$AL:$AL,$C34))</f>
        <v>0.015</v>
      </c>
      <c r="H34" s="99">
        <f>IF($B34="","",SUMIFS(符文总览!P:P,符文总览!$D:$D,$B34,符文总览!$AL:$AL,$C34))</f>
        <v>0.015</v>
      </c>
      <c r="I34" s="99">
        <f>IF($B34="","",SUMIFS(符文总览!Q:Q,符文总览!$D:$D,$B34,符文总览!$AL:$AL,$C34))</f>
        <v>0.015</v>
      </c>
      <c r="J34" s="99">
        <f>IF($B34="","",SUMIFS(符文总览!R:R,符文总览!$D:$D,$B34,符文总览!$AL:$AL,$C34))</f>
        <v>0.015</v>
      </c>
      <c r="K34" s="100">
        <f t="shared" si="9"/>
        <v>13714.2857142857</v>
      </c>
      <c r="L34" s="101"/>
    </row>
    <row r="35" spans="1:18">
      <c r="B35" s="95">
        <f t="shared" si="7"/>
        <v>7</v>
      </c>
      <c r="C35" s="95">
        <f t="shared" si="8"/>
        <v>6</v>
      </c>
      <c r="D35" s="98">
        <f ca="1" t="shared" si="2"/>
        <v>0.0028</v>
      </c>
      <c r="E35" s="99">
        <f>IF($B35="","",SUMIFS(符文总览!O:O,符文总览!$D:$D,$B35,符文总览!$AL:$AL,$C35))</f>
        <v>0.007</v>
      </c>
      <c r="F35" s="99">
        <f>IF($B35="","",SUMIFS(符文总览!N:N,符文总览!$D:$D,$B35,符文总览!$AL:$AL,$C35))</f>
        <v>0.007</v>
      </c>
      <c r="G35" s="99">
        <f>IF($B35="","",SUMIFS(符文总览!O:O,符文总览!$D:$D,$B35,符文总览!$AL:$AL,$C35))</f>
        <v>0.007</v>
      </c>
      <c r="H35" s="99">
        <f>IF($B35="","",SUMIFS(符文总览!P:P,符文总览!$D:$D,$B35,符文总览!$AL:$AL,$C35))</f>
        <v>0.007</v>
      </c>
      <c r="I35" s="99">
        <f>IF($B35="","",SUMIFS(符文总览!Q:Q,符文总览!$D:$D,$B35,符文总览!$AL:$AL,$C35))</f>
        <v>0.007</v>
      </c>
      <c r="J35" s="99">
        <f>IF($B35="","",SUMIFS(符文总览!R:R,符文总览!$D:$D,$B35,符文总览!$AL:$AL,$C35))</f>
        <v>0.007</v>
      </c>
      <c r="K35" s="100">
        <f t="shared" si="9"/>
        <v>29387.7551020408</v>
      </c>
      <c r="L35" s="101"/>
      <c r="M35" s="95">
        <f ca="1">1/D35</f>
        <v>357.142857142857</v>
      </c>
      <c r="N35" s="95">
        <f>24*60</f>
        <v>1440</v>
      </c>
      <c r="O35" s="95">
        <f ca="1">N35*M35</f>
        <v>514285.714285714</v>
      </c>
    </row>
    <row r="36" spans="1:18">
      <c r="B36" s="95">
        <v>7</v>
      </c>
      <c r="C36" s="95">
        <v>8</v>
      </c>
      <c r="D36" s="98">
        <f ca="1" t="shared" si="2"/>
        <v>0.00525</v>
      </c>
      <c r="E36" s="99">
        <f>IF($B36="","",SUMIFS(符文总览!O:O,符文总览!$D:$D,$B36,符文总览!$AL:$AL,$C36))</f>
        <v>0.0105</v>
      </c>
      <c r="F36" s="99">
        <f>IF($B36="","",SUMIFS(符文总览!N:N,符文总览!$D:$D,$B36,符文总览!$AL:$AL,$C36))</f>
        <v>0.0105</v>
      </c>
      <c r="G36" s="99">
        <f>IF($B36="","",SUMIFS(符文总览!O:O,符文总览!$D:$D,$B36,符文总览!$AL:$AL,$C36))</f>
        <v>0.0105</v>
      </c>
      <c r="H36" s="99">
        <f>IF($B36="","",SUMIFS(符文总览!P:P,符文总览!$D:$D,$B36,符文总览!$AL:$AL,$C36))</f>
        <v>0.0105</v>
      </c>
      <c r="I36" s="99">
        <f>IF($B36="","",SUMIFS(符文总览!Q:Q,符文总览!$D:$D,$B36,符文总览!$AL:$AL,$C36))</f>
        <v>0.0105</v>
      </c>
      <c r="J36" s="99">
        <f>IF($B36="","",SUMIFS(符文总览!R:R,符文总览!$D:$D,$B36,符文总览!$AL:$AL,$C36))</f>
        <v>0.0105</v>
      </c>
      <c r="K36" s="100">
        <f t="shared" si="9"/>
        <v>19591.8367346939</v>
      </c>
      <c r="L36" s="101"/>
    </row>
    <row r="38" s="93" customFormat="1" ht="24.75" spans="1:18">
      <c r="A38" s="93" t="s">
        <v>102</v>
      </c>
    </row>
    <row r="39" spans="1:18">
      <c r="E39" s="105"/>
      <c r="G39" s="95" t="s">
        <v>103</v>
      </c>
    </row>
    <row r="40" spans="1:18">
      <c r="B40" s="95" t="s">
        <v>104</v>
      </c>
      <c r="C40" s="95" t="s">
        <v>99</v>
      </c>
      <c r="E40" s="95" t="s">
        <v>105</v>
      </c>
      <c r="F40" s="95" t="s">
        <v>106</v>
      </c>
      <c r="G40" s="95">
        <v>1</v>
      </c>
      <c r="H40" s="95">
        <v>2</v>
      </c>
      <c r="I40" s="95" t="s">
        <v>107</v>
      </c>
      <c r="J40" s="95">
        <v>4</v>
      </c>
      <c r="K40" s="95">
        <v>5</v>
      </c>
      <c r="L40" s="95">
        <v>6</v>
      </c>
      <c r="M40" s="95">
        <v>8</v>
      </c>
      <c r="N40" s="95" t="s">
        <v>108</v>
      </c>
      <c r="O40" s="95" t="s">
        <v>109</v>
      </c>
    </row>
    <row r="41" spans="1:18">
      <c r="B41" s="95" t="s">
        <v>15</v>
      </c>
      <c r="C41" s="95">
        <v>5</v>
      </c>
      <c r="E41" s="95" t="s">
        <v>110</v>
      </c>
      <c r="F41" s="95">
        <v>4</v>
      </c>
      <c r="G41" s="95">
        <v>0.02</v>
      </c>
      <c r="H41" s="95">
        <v>0.04</v>
      </c>
      <c r="I41" s="95">
        <v>0.08</v>
      </c>
      <c r="J41" s="95">
        <v>0.1</v>
      </c>
      <c r="K41" s="95">
        <v>0.06</v>
      </c>
      <c r="L41" s="95">
        <v>0.08</v>
      </c>
      <c r="N41" s="95">
        <v>0.03</v>
      </c>
      <c r="Q41" s="95">
        <v>1</v>
      </c>
    </row>
    <row r="42" spans="1:18">
      <c r="B42" s="95" t="s">
        <v>16</v>
      </c>
      <c r="C42" s="95">
        <v>5</v>
      </c>
      <c r="E42" s="95" t="s">
        <v>111</v>
      </c>
      <c r="F42" s="95">
        <v>8</v>
      </c>
      <c r="G42" s="95">
        <v>0.03</v>
      </c>
      <c r="H42" s="95">
        <v>0.06</v>
      </c>
      <c r="I42" s="95">
        <v>0.1</v>
      </c>
      <c r="J42" s="95">
        <v>0.13</v>
      </c>
      <c r="K42" s="95">
        <v>0.08</v>
      </c>
      <c r="L42" s="95">
        <v>0.1</v>
      </c>
      <c r="N42" s="95">
        <v>0.05</v>
      </c>
      <c r="Q42" s="95">
        <f t="shared" ref="Q42:Q47" si="10">Q41*4</f>
        <v>4</v>
      </c>
    </row>
    <row r="43" spans="1:18">
      <c r="B43" s="95" t="s">
        <v>17</v>
      </c>
      <c r="C43" s="95">
        <v>6</v>
      </c>
      <c r="E43" s="95" t="s">
        <v>83</v>
      </c>
      <c r="F43" s="95">
        <v>12</v>
      </c>
      <c r="G43" s="95">
        <v>0.04</v>
      </c>
      <c r="H43" s="95">
        <v>0.08</v>
      </c>
      <c r="I43" s="95">
        <v>0.12</v>
      </c>
      <c r="J43" s="95">
        <v>0.16</v>
      </c>
      <c r="K43" s="95">
        <v>0.1</v>
      </c>
      <c r="L43" s="95">
        <v>0.12</v>
      </c>
      <c r="M43" s="95">
        <v>0.2</v>
      </c>
      <c r="N43" s="95">
        <v>0.06</v>
      </c>
      <c r="O43" s="95">
        <v>0.19</v>
      </c>
      <c r="Q43" s="95">
        <f t="shared" si="10"/>
        <v>16</v>
      </c>
    </row>
    <row r="44" spans="1:18">
      <c r="B44" s="95" t="s">
        <v>18</v>
      </c>
      <c r="C44" s="95">
        <v>6</v>
      </c>
      <c r="E44" s="95" t="s">
        <v>84</v>
      </c>
      <c r="F44" s="95">
        <v>16</v>
      </c>
      <c r="G44" s="95">
        <v>0.05</v>
      </c>
      <c r="H44" s="95">
        <v>0.1</v>
      </c>
      <c r="I44" s="95">
        <f>I43+0.04</f>
        <v>0.16</v>
      </c>
      <c r="J44" s="95">
        <v>0.2</v>
      </c>
      <c r="K44" s="95">
        <v>0.13</v>
      </c>
      <c r="L44" s="95">
        <v>0.15</v>
      </c>
      <c r="M44" s="95">
        <v>0.25</v>
      </c>
      <c r="N44" s="95">
        <v>0.08</v>
      </c>
      <c r="O44" s="95">
        <v>0.25</v>
      </c>
      <c r="Q44" s="95">
        <f t="shared" si="10"/>
        <v>64</v>
      </c>
      <c r="R44" s="95">
        <v>30</v>
      </c>
    </row>
    <row r="45" spans="1:18">
      <c r="B45" s="95" t="s">
        <v>19</v>
      </c>
      <c r="C45" s="95">
        <v>7</v>
      </c>
      <c r="E45" s="95" t="s">
        <v>85</v>
      </c>
      <c r="F45" s="95">
        <v>20</v>
      </c>
      <c r="G45" s="95">
        <v>0.06</v>
      </c>
      <c r="H45" s="95">
        <v>0.12</v>
      </c>
      <c r="I45" s="95">
        <f>I44+0.04</f>
        <v>0.2</v>
      </c>
      <c r="J45" s="95">
        <v>0.25</v>
      </c>
      <c r="K45" s="95">
        <v>0.32</v>
      </c>
      <c r="L45" s="95">
        <v>0.2</v>
      </c>
      <c r="M45" s="95">
        <v>0.32</v>
      </c>
      <c r="N45" s="95">
        <v>0.1</v>
      </c>
      <c r="O45" s="95">
        <v>0.31</v>
      </c>
      <c r="Q45" s="95">
        <f t="shared" si="10"/>
        <v>256</v>
      </c>
      <c r="R45" s="95">
        <v>30</v>
      </c>
    </row>
    <row r="46" spans="1:18">
      <c r="E46" s="95" t="s">
        <v>86</v>
      </c>
      <c r="F46" s="95">
        <v>24</v>
      </c>
      <c r="G46" s="95">
        <v>0.08</v>
      </c>
      <c r="H46" s="95">
        <v>0.16</v>
      </c>
      <c r="I46" s="95">
        <f>I45+0.02</f>
        <v>0.22</v>
      </c>
      <c r="J46" s="95">
        <v>0.32</v>
      </c>
      <c r="K46" s="95">
        <v>0.4</v>
      </c>
      <c r="L46" s="95">
        <v>0.25</v>
      </c>
      <c r="M46" s="95">
        <v>0.4</v>
      </c>
      <c r="N46" s="95">
        <v>0.13</v>
      </c>
      <c r="O46" s="95">
        <v>0.4</v>
      </c>
      <c r="Q46" s="95">
        <f t="shared" si="10"/>
        <v>1024</v>
      </c>
      <c r="R46" s="95">
        <f>30+30*4</f>
        <v>150</v>
      </c>
    </row>
    <row r="47" spans="1:18">
      <c r="E47" s="95" t="s">
        <v>112</v>
      </c>
      <c r="F47" s="95">
        <v>28</v>
      </c>
      <c r="G47" s="95">
        <v>0.1</v>
      </c>
      <c r="H47" s="95">
        <v>0.2</v>
      </c>
      <c r="I47" s="95">
        <f>I46+0.02</f>
        <v>0.24</v>
      </c>
      <c r="J47" s="95">
        <v>0.4</v>
      </c>
      <c r="K47" s="95">
        <v>0.5</v>
      </c>
      <c r="L47" s="95">
        <v>0.32</v>
      </c>
      <c r="M47" s="95">
        <v>0.5</v>
      </c>
      <c r="N47" s="95">
        <v>0.16</v>
      </c>
      <c r="O47" s="95">
        <v>0.5</v>
      </c>
      <c r="Q47" s="95">
        <f t="shared" si="10"/>
        <v>4096</v>
      </c>
      <c r="R47" s="95">
        <f>30+30*4</f>
        <v>150</v>
      </c>
    </row>
    <row r="49" spans="2:19">
      <c r="L49" s="95">
        <f>1/1+2/1+3/1</f>
        <v>6</v>
      </c>
      <c r="N49" s="95">
        <v>1</v>
      </c>
      <c r="O49" s="95">
        <f>3/2</f>
        <v>1.5</v>
      </c>
      <c r="P49" s="95">
        <f>3</f>
        <v>3</v>
      </c>
    </row>
    <row r="50" spans="2:19">
      <c r="I50" s="95" t="s">
        <v>113</v>
      </c>
      <c r="J50" s="95" t="s">
        <v>114</v>
      </c>
      <c r="K50" s="95" t="s">
        <v>115</v>
      </c>
      <c r="L50" s="95" t="s">
        <v>116</v>
      </c>
    </row>
    <row r="51" spans="2:19">
      <c r="E51" s="95" t="s">
        <v>90</v>
      </c>
      <c r="F51" s="95">
        <f>G51</f>
        <v>1</v>
      </c>
      <c r="G51" s="103">
        <v>1</v>
      </c>
      <c r="H51" s="103">
        <v>1</v>
      </c>
      <c r="I51" s="103">
        <v>0.33</v>
      </c>
      <c r="J51" s="103">
        <v>0.5</v>
      </c>
      <c r="K51" s="103">
        <v>0.4</v>
      </c>
      <c r="L51" s="103">
        <v>0.5</v>
      </c>
    </row>
    <row r="52" spans="2:19">
      <c r="B52" s="95" t="s">
        <v>117</v>
      </c>
      <c r="C52" s="95" t="s">
        <v>118</v>
      </c>
      <c r="D52" s="95" t="s">
        <v>5</v>
      </c>
      <c r="E52" s="95" t="s">
        <v>119</v>
      </c>
      <c r="F52" s="95">
        <v>1</v>
      </c>
      <c r="G52" s="95">
        <v>2</v>
      </c>
      <c r="H52" s="95">
        <v>3</v>
      </c>
      <c r="I52" s="95">
        <v>4</v>
      </c>
      <c r="J52" s="95">
        <v>5</v>
      </c>
      <c r="K52" s="95">
        <v>6</v>
      </c>
      <c r="L52" s="95">
        <v>8</v>
      </c>
      <c r="M52" s="95" t="s">
        <v>120</v>
      </c>
      <c r="N52" s="95" t="s">
        <v>26</v>
      </c>
    </row>
    <row r="53" spans="2:19">
      <c r="B53" s="95">
        <v>1</v>
      </c>
      <c r="C53" s="95">
        <v>360</v>
      </c>
      <c r="D53" s="95">
        <f ca="1">_xlfn.XLOOKUP(总览!$B$44,$B$40:$B$45,$C$40:$C$45)</f>
        <v>5</v>
      </c>
      <c r="E53" s="95">
        <f ca="1">INT(C53/_xlfn.XLOOKUP(D53,$N$5:$N$16,$O$5:$O$16))+OFFSET($R$40,D53,0)</f>
        <v>31</v>
      </c>
      <c r="F53" s="95">
        <f ca="1">30-SUM(G53:L53)</f>
        <v>0</v>
      </c>
      <c r="G53" s="95">
        <f ca="1">30-SUM(H53:L53)</f>
        <v>18.9469721428571</v>
      </c>
      <c r="H53" s="95" cm="1">
        <f ca="1" t="array" ref="H53">MIN(30-SUM(I53:L53),_xlfn.XLOOKUP($D53&amp;"_"&amp;H$52,$B$14:$B$36&amp;"_"&amp;$C$14:$C$36,$D$14:$D$36)*$E53,18)</f>
        <v>10.3495714285714</v>
      </c>
      <c r="I53" s="95" cm="1">
        <f ca="1" t="array" ref="I53">MIN(30-SUM(J53:L53),6-L53,_xlfn.XLOOKUP($D53&amp;"_"&amp;I$52,$B$14:$B$36&amp;"_"&amp;$C$14:$C$36,$D$14:$D$36)*$E53)</f>
        <v>0.221406428571428</v>
      </c>
      <c r="J53" s="95" cm="1">
        <f ca="1" t="array" ref="J53">MIN(8,_xlfn.XLOOKUP($D53&amp;"_"&amp;J$52,$B$14:$B$36&amp;"_"&amp;$C$14:$C$36,$D$14:$D$36)*$E53)</f>
        <v>0.2325</v>
      </c>
      <c r="K53" s="95" cm="1">
        <f ca="1" t="array" ref="K53">MIN(18,_xlfn.XLOOKUP($D53&amp;"_"&amp;K$52,$B$14:$B$36&amp;"_"&amp;$C$14:$C$36,$D$14:$D$36)*$E53)</f>
        <v>0.0868</v>
      </c>
      <c r="L53" s="95" cm="1">
        <f ca="1" t="array" ref="L53">MIN(6,_xlfn.XLOOKUP($D53&amp;"_"&amp;L$52,$B$14:$B$36&amp;"_"&amp;$C$14:$C$36,$D$14:$D$36)*$E53)</f>
        <v>0.16275</v>
      </c>
      <c r="M53" s="95" cm="1">
        <f ca="1" t="array" ref="M53">(1+SUMPRODUCT(G53:H53,OFFSET($H$40:$I$40,D53,0)))*(1+I53*OFFSET($J$40,D53,0))*(1+J53*OFFSET($K$40,D53,0))*(1+K53*OFFSET($L$40,D53,0))*(1+L53*OFFSET($M$40,D53,0))</f>
        <v>6.48509813893707</v>
      </c>
      <c r="N53" s="95">
        <f ca="1">OFFSET($C$52,MATCH(M53*1.07,$M$53:$M$2052,1),0)-C53</f>
        <v>2880</v>
      </c>
      <c r="Q53" s="95">
        <v>30</v>
      </c>
      <c r="R53" s="95">
        <v>12</v>
      </c>
      <c r="S53" s="95">
        <f ca="1">E53/Q53*R53</f>
        <v>12.4</v>
      </c>
    </row>
    <row r="54" spans="2:19">
      <c r="B54" s="95">
        <v>2</v>
      </c>
      <c r="C54" s="95">
        <f t="shared" ref="C54:C64" si="11">C53+360</f>
        <v>720</v>
      </c>
      <c r="D54" s="95">
        <f ca="1">_xlfn.XLOOKUP(总览!$B$44,$B$40:$B$45,$C$40:$C$45)</f>
        <v>5</v>
      </c>
      <c r="E54" s="95">
        <f ca="1" t="shared" ref="E54:E117" si="12">INT(C54/_xlfn.XLOOKUP(D54,$N$5:$N$16,$O$5:$O$16))+OFFSET($R$40,D54,0)</f>
        <v>32</v>
      </c>
      <c r="F54" s="95">
        <f ca="1">30-SUM(G54:L54)</f>
        <v>0</v>
      </c>
      <c r="G54" s="95">
        <f ca="1">30-SUM(H54:L54)</f>
        <v>18.5904228571429</v>
      </c>
      <c r="H54" s="95" cm="1">
        <f ca="1" t="array" ref="H54">MIN(30-SUM(I54:L54),_xlfn.XLOOKUP($D54&amp;"_"&amp;H$52,$B$14:$B$36&amp;"_"&amp;$C$14:$C$36,$D$14:$D$36)*$E54,18)</f>
        <v>10.6834285714286</v>
      </c>
      <c r="I54" s="95" cm="1">
        <f ca="1" t="array" ref="I54">MIN(30-SUM(J54:L54),6-L54,_xlfn.XLOOKUP($D54&amp;"_"&amp;I$52,$B$14:$B$36&amp;"_"&amp;$C$14:$C$36,$D$14:$D$36)*$E54)</f>
        <v>0.228548571428571</v>
      </c>
      <c r="J54" s="95" cm="1">
        <f ca="1" t="array" ref="J54">MIN(8,_xlfn.XLOOKUP($D54&amp;"_"&amp;J$52,$B$14:$B$36&amp;"_"&amp;$C$14:$C$36,$D$14:$D$36)*$E54)</f>
        <v>0.24</v>
      </c>
      <c r="K54" s="95" cm="1">
        <f ca="1" t="array" ref="K54">MIN(18,_xlfn.XLOOKUP($D54&amp;"_"&amp;K$52,$B$14:$B$36&amp;"_"&amp;$C$14:$C$36,$D$14:$D$36)*$E54)</f>
        <v>0.0896</v>
      </c>
      <c r="L54" s="95" cm="1">
        <f ca="1" t="array" ref="L54">MIN(6,_xlfn.XLOOKUP($D54&amp;"_"&amp;L$52,$B$14:$B$36&amp;"_"&amp;$C$14:$C$36,$D$14:$D$36)*$E54)</f>
        <v>0.168</v>
      </c>
      <c r="M54" s="95" cm="1">
        <f ca="1" t="array" ref="M54">(1+SUMPRODUCT(G54:H54,OFFSET($H$40:$I$40,D54,0)))*(1+OFFSET($J$40,D54,0))^I54*(1+OFFSET($K$40,D54,0))^J54*(1+OFFSET($L$40,D54,0))^K54*(1+OFFSET($M$40,D54,0))^L54</f>
        <v>6.4300218915969</v>
      </c>
      <c r="N54" s="95">
        <f ca="1">MAX(MAX($N$53:N53),OFFSET($C$52,MATCH(M54*1.07,$M$53:$M$2052,1),0)-C54)</f>
        <v>2880</v>
      </c>
    </row>
    <row r="55" spans="2:19">
      <c r="B55" s="95">
        <v>3</v>
      </c>
      <c r="C55" s="95">
        <f t="shared" si="11"/>
        <v>1080</v>
      </c>
      <c r="D55" s="95">
        <f ca="1">_xlfn.XLOOKUP(总览!$B$44,$B$40:$B$45,$C$40:$C$45)</f>
        <v>5</v>
      </c>
      <c r="E55" s="95">
        <f ca="1" t="shared" si="12"/>
        <v>33</v>
      </c>
      <c r="F55" s="95">
        <f ca="1" t="shared" ref="F55:F118" si="13">30-SUM(G55:L55)</f>
        <v>0</v>
      </c>
      <c r="G55" s="95">
        <f ca="1" t="shared" ref="G55:G118" si="14">30-SUM(H55:L55)</f>
        <v>18.2338735714286</v>
      </c>
      <c r="H55" s="95" cm="1">
        <f ca="1" t="array" ref="H55">MIN(30-SUM(I55:L55),_xlfn.XLOOKUP($D55&amp;"_"&amp;H$52,$B$14:$B$36&amp;"_"&amp;$C$14:$C$36,$D$14:$D$36)*$E55,18)</f>
        <v>11.0172857142857</v>
      </c>
      <c r="I55" s="95" cm="1">
        <f ca="1" t="array" ref="I55">MIN(30-SUM(J55:L55),6-L55,_xlfn.XLOOKUP($D55&amp;"_"&amp;I$52,$B$14:$B$36&amp;"_"&amp;$C$14:$C$36,$D$14:$D$36)*$E55)</f>
        <v>0.235690714285714</v>
      </c>
      <c r="J55" s="95" cm="1">
        <f ca="1" t="array" ref="J55">MIN(8,_xlfn.XLOOKUP($D55&amp;"_"&amp;J$52,$B$14:$B$36&amp;"_"&amp;$C$14:$C$36,$D$14:$D$36)*$E55)</f>
        <v>0.2475</v>
      </c>
      <c r="K55" s="95" cm="1">
        <f ca="1" t="array" ref="K55">MIN(18,_xlfn.XLOOKUP($D55&amp;"_"&amp;K$52,$B$14:$B$36&amp;"_"&amp;$C$14:$C$36,$D$14:$D$36)*$E55)</f>
        <v>0.0924</v>
      </c>
      <c r="L55" s="95" cm="1">
        <f ca="1" t="array" ref="L55">MIN(6,_xlfn.XLOOKUP($D55&amp;"_"&amp;L$52,$B$14:$B$36&amp;"_"&amp;$C$14:$C$36,$D$14:$D$36)*$E55)</f>
        <v>0.17325</v>
      </c>
      <c r="M55" s="95" cm="1">
        <f ca="1" t="array" ref="M55">(1+SUMPRODUCT(G55:H55,OFFSET($H$40:$I$40,D55,0)))*(1+OFFSET($J$40,D55,0))^I55*(1+OFFSET($K$40,D55,0))^J55*(1+OFFSET($L$40,D55,0))^K55*(1+OFFSET($M$40,D55,0))^L55</f>
        <v>6.49531171828583</v>
      </c>
      <c r="N55" s="95">
        <f ca="1">MAX(MAX($N$53:N54),OFFSET($C$52,MATCH(M55*1.07,$M$53:$M$2052,1),0)-C55)</f>
        <v>2880</v>
      </c>
    </row>
    <row r="56" spans="2:19">
      <c r="B56" s="95">
        <v>4</v>
      </c>
      <c r="C56" s="95">
        <f t="shared" si="11"/>
        <v>1440</v>
      </c>
      <c r="D56" s="95">
        <f ca="1">_xlfn.XLOOKUP(总览!$B$44,$B$40:$B$45,$C$40:$C$45)</f>
        <v>5</v>
      </c>
      <c r="E56" s="95">
        <f ca="1" t="shared" si="12"/>
        <v>34</v>
      </c>
      <c r="F56" s="95">
        <f ca="1" t="shared" si="13"/>
        <v>0</v>
      </c>
      <c r="G56" s="95">
        <f ca="1" t="shared" si="14"/>
        <v>17.8773242857143</v>
      </c>
      <c r="H56" s="95" cm="1">
        <f ca="1" t="array" ref="H56">MIN(30-SUM(I56:L56),_xlfn.XLOOKUP($D56&amp;"_"&amp;H$52,$B$14:$B$36&amp;"_"&amp;$C$14:$C$36,$D$14:$D$36)*$E56,18)</f>
        <v>11.3511428571429</v>
      </c>
      <c r="I56" s="95" cm="1">
        <f ca="1" t="array" ref="I56">MIN(30-SUM(J56:L56),6-L56,_xlfn.XLOOKUP($D56&amp;"_"&amp;I$52,$B$14:$B$36&amp;"_"&amp;$C$14:$C$36,$D$14:$D$36)*$E56)</f>
        <v>0.242832857142857</v>
      </c>
      <c r="J56" s="95" cm="1">
        <f ca="1" t="array" ref="J56">MIN(8,_xlfn.XLOOKUP($D56&amp;"_"&amp;J$52,$B$14:$B$36&amp;"_"&amp;$C$14:$C$36,$D$14:$D$36)*$E56)</f>
        <v>0.255</v>
      </c>
      <c r="K56" s="95" cm="1">
        <f ca="1" t="array" ref="K56">MIN(18,_xlfn.XLOOKUP($D56&amp;"_"&amp;K$52,$B$14:$B$36&amp;"_"&amp;$C$14:$C$36,$D$14:$D$36)*$E56)</f>
        <v>0.0952</v>
      </c>
      <c r="L56" s="95" cm="1">
        <f ca="1" t="array" ref="L56">MIN(6,_xlfn.XLOOKUP($D56&amp;"_"&amp;L$52,$B$14:$B$36&amp;"_"&amp;$C$14:$C$36,$D$14:$D$36)*$E56)</f>
        <v>0.1785</v>
      </c>
      <c r="M56" s="95" cm="1">
        <f ca="1" t="array" ref="M56">(1+SUMPRODUCT(G56:H56,OFFSET($H$40:$I$40,D56,0)))*(1+OFFSET($J$40,D56,0))^I56*(1+OFFSET($K$40,D56,0))^J56*(1+OFFSET($L$40,D56,0))^K56*(1+OFFSET($M$40,D56,0))^L56</f>
        <v>6.56113463537459</v>
      </c>
      <c r="N56" s="95">
        <f ca="1">MAX(MAX($N$53:N55),OFFSET($C$52,MATCH(M56*1.07,$M$53:$M$2052,1),0)-C56)</f>
        <v>2880</v>
      </c>
    </row>
    <row r="57" spans="2:19">
      <c r="B57" s="95">
        <v>5</v>
      </c>
      <c r="C57" s="95">
        <f t="shared" si="11"/>
        <v>1800</v>
      </c>
      <c r="D57" s="95">
        <f ca="1">_xlfn.XLOOKUP(总览!$B$44,$B$40:$B$45,$C$40:$C$45)</f>
        <v>5</v>
      </c>
      <c r="E57" s="95">
        <f ca="1" t="shared" si="12"/>
        <v>35</v>
      </c>
      <c r="F57" s="95">
        <f ca="1" t="shared" si="13"/>
        <v>0</v>
      </c>
      <c r="G57" s="95">
        <f ca="1" t="shared" si="14"/>
        <v>17.520775</v>
      </c>
      <c r="H57" s="95" cm="1">
        <f ca="1" t="array" ref="H57">MIN(30-SUM(I57:L57),_xlfn.XLOOKUP($D57&amp;"_"&amp;H$52,$B$14:$B$36&amp;"_"&amp;$C$14:$C$36,$D$14:$D$36)*$E57,18)</f>
        <v>11.685</v>
      </c>
      <c r="I57" s="95" cm="1">
        <f ca="1" t="array" ref="I57">MIN(30-SUM(J57:L57),6-L57,_xlfn.XLOOKUP($D57&amp;"_"&amp;I$52,$B$14:$B$36&amp;"_"&amp;$C$14:$C$36,$D$14:$D$36)*$E57)</f>
        <v>0.249975</v>
      </c>
      <c r="J57" s="95" cm="1">
        <f ca="1" t="array" ref="J57">MIN(8,_xlfn.XLOOKUP($D57&amp;"_"&amp;J$52,$B$14:$B$36&amp;"_"&amp;$C$14:$C$36,$D$14:$D$36)*$E57)</f>
        <v>0.2625</v>
      </c>
      <c r="K57" s="95" cm="1">
        <f ca="1" t="array" ref="K57">MIN(18,_xlfn.XLOOKUP($D57&amp;"_"&amp;K$52,$B$14:$B$36&amp;"_"&amp;$C$14:$C$36,$D$14:$D$36)*$E57)</f>
        <v>0.098</v>
      </c>
      <c r="L57" s="95" cm="1">
        <f ca="1" t="array" ref="L57">MIN(6,_xlfn.XLOOKUP($D57&amp;"_"&amp;L$52,$B$14:$B$36&amp;"_"&amp;$C$14:$C$36,$D$14:$D$36)*$E57)</f>
        <v>0.18375</v>
      </c>
      <c r="M57" s="95" cm="1">
        <f ca="1" t="array" ref="M57">(1+SUMPRODUCT(G57:H57,OFFSET($H$40:$I$40,D57,0)))*(1+OFFSET($J$40,D57,0))^I57*(1+OFFSET($K$40,D57,0))^J57*(1+OFFSET($L$40,D57,0))^K57*(1+OFFSET($M$40,D57,0))^L57</f>
        <v>6.62749458584306</v>
      </c>
      <c r="N57" s="95">
        <f ca="1">MAX(MAX($N$53:N56),OFFSET($C$52,MATCH(M57*1.07,$M$53:$M$2052,1),0)-C57)</f>
        <v>2880</v>
      </c>
    </row>
    <row r="58" spans="2:19">
      <c r="B58" s="95">
        <v>6</v>
      </c>
      <c r="C58" s="95">
        <f t="shared" si="11"/>
        <v>2160</v>
      </c>
      <c r="D58" s="95">
        <f ca="1">_xlfn.XLOOKUP(总览!$B$44,$B$40:$B$45,$C$40:$C$45)</f>
        <v>5</v>
      </c>
      <c r="E58" s="95">
        <f ca="1" t="shared" si="12"/>
        <v>36</v>
      </c>
      <c r="F58" s="95">
        <f ca="1" t="shared" si="13"/>
        <v>0</v>
      </c>
      <c r="G58" s="95">
        <f ca="1" t="shared" si="14"/>
        <v>17.1642257142857</v>
      </c>
      <c r="H58" s="95" cm="1">
        <f ca="1" t="array" ref="H58">MIN(30-SUM(I58:L58),_xlfn.XLOOKUP($D58&amp;"_"&amp;H$52,$B$14:$B$36&amp;"_"&amp;$C$14:$C$36,$D$14:$D$36)*$E58,18)</f>
        <v>12.0188571428571</v>
      </c>
      <c r="I58" s="95" cm="1">
        <f ca="1" t="array" ref="I58">MIN(30-SUM(J58:L58),6-L58,_xlfn.XLOOKUP($D58&amp;"_"&amp;I$52,$B$14:$B$36&amp;"_"&amp;$C$14:$C$36,$D$14:$D$36)*$E58)</f>
        <v>0.257117142857142</v>
      </c>
      <c r="J58" s="95" cm="1">
        <f ca="1" t="array" ref="J58">MIN(8,_xlfn.XLOOKUP($D58&amp;"_"&amp;J$52,$B$14:$B$36&amp;"_"&amp;$C$14:$C$36,$D$14:$D$36)*$E58)</f>
        <v>0.27</v>
      </c>
      <c r="K58" s="95" cm="1">
        <f ca="1" t="array" ref="K58">MIN(18,_xlfn.XLOOKUP($D58&amp;"_"&amp;K$52,$B$14:$B$36&amp;"_"&amp;$C$14:$C$36,$D$14:$D$36)*$E58)</f>
        <v>0.1008</v>
      </c>
      <c r="L58" s="95" cm="1">
        <f ca="1" t="array" ref="L58">MIN(6,_xlfn.XLOOKUP($D58&amp;"_"&amp;L$52,$B$14:$B$36&amp;"_"&amp;$C$14:$C$36,$D$14:$D$36)*$E58)</f>
        <v>0.189</v>
      </c>
      <c r="M58" s="95" cm="1">
        <f ca="1" t="array" ref="M58">(1+SUMPRODUCT(G58:H58,OFFSET($H$40:$I$40,D58,0)))*(1+OFFSET($J$40,D58,0))^I58*(1+OFFSET($K$40,D58,0))^J58*(1+OFFSET($L$40,D58,0))^K58*(1+OFFSET($M$40,D58,0))^L58</f>
        <v>6.69439554022772</v>
      </c>
      <c r="N58" s="95">
        <f ca="1">MAX(MAX($N$53:N57),OFFSET($C$52,MATCH(M58*1.07,$M$53:$M$2052,1),0)-C58)</f>
        <v>2880</v>
      </c>
    </row>
    <row r="59" spans="2:19">
      <c r="B59" s="95">
        <v>7</v>
      </c>
      <c r="C59" s="95">
        <f t="shared" si="11"/>
        <v>2520</v>
      </c>
      <c r="D59" s="95">
        <f ca="1">_xlfn.XLOOKUP(总览!$B$44,$B$40:$B$45,$C$40:$C$45)</f>
        <v>5</v>
      </c>
      <c r="E59" s="95">
        <f ca="1" t="shared" si="12"/>
        <v>37</v>
      </c>
      <c r="F59" s="95">
        <f ca="1" t="shared" si="13"/>
        <v>0</v>
      </c>
      <c r="G59" s="95">
        <f ca="1" t="shared" si="14"/>
        <v>16.8076764285714</v>
      </c>
      <c r="H59" s="95" cm="1">
        <f ca="1" t="array" ref="H59">MIN(30-SUM(I59:L59),_xlfn.XLOOKUP($D59&amp;"_"&amp;H$52,$B$14:$B$36&amp;"_"&amp;$C$14:$C$36,$D$14:$D$36)*$E59,18)</f>
        <v>12.3527142857143</v>
      </c>
      <c r="I59" s="95" cm="1">
        <f ca="1" t="array" ref="I59">MIN(30-SUM(J59:L59),6-L59,_xlfn.XLOOKUP($D59&amp;"_"&amp;I$52,$B$14:$B$36&amp;"_"&amp;$C$14:$C$36,$D$14:$D$36)*$E59)</f>
        <v>0.264259285714285</v>
      </c>
      <c r="J59" s="95" cm="1">
        <f ca="1" t="array" ref="J59">MIN(8,_xlfn.XLOOKUP($D59&amp;"_"&amp;J$52,$B$14:$B$36&amp;"_"&amp;$C$14:$C$36,$D$14:$D$36)*$E59)</f>
        <v>0.2775</v>
      </c>
      <c r="K59" s="95" cm="1">
        <f ca="1" t="array" ref="K59">MIN(18,_xlfn.XLOOKUP($D59&amp;"_"&amp;K$52,$B$14:$B$36&amp;"_"&amp;$C$14:$C$36,$D$14:$D$36)*$E59)</f>
        <v>0.1036</v>
      </c>
      <c r="L59" s="95" cm="1">
        <f ca="1" t="array" ref="L59">MIN(6,_xlfn.XLOOKUP($D59&amp;"_"&amp;L$52,$B$14:$B$36&amp;"_"&amp;$C$14:$C$36,$D$14:$D$36)*$E59)</f>
        <v>0.19425</v>
      </c>
      <c r="M59" s="95" cm="1">
        <f ca="1" t="array" ref="M59">(1+SUMPRODUCT(G59:H59,OFFSET($H$40:$I$40,D59,0)))*(1+OFFSET($J$40,D59,0))^I59*(1+OFFSET($K$40,D59,0))^J59*(1+OFFSET($L$40,D59,0))^K59*(1+OFFSET($M$40,D59,0))^L59</f>
        <v>6.76184149680734</v>
      </c>
      <c r="N59" s="95">
        <f ca="1">MAX(MAX($N$53:N58),OFFSET($C$52,MATCH(M59*1.07,$M$53:$M$2052,1),0)-C59)</f>
        <v>2880</v>
      </c>
    </row>
    <row r="60" spans="2:19">
      <c r="B60" s="95">
        <v>8</v>
      </c>
      <c r="C60" s="95">
        <f t="shared" si="11"/>
        <v>2880</v>
      </c>
      <c r="D60" s="95">
        <f ca="1">_xlfn.XLOOKUP(总览!$B$44,$B$40:$B$45,$C$40:$C$45)</f>
        <v>5</v>
      </c>
      <c r="E60" s="95">
        <f ca="1" t="shared" si="12"/>
        <v>38</v>
      </c>
      <c r="F60" s="95">
        <f ca="1" t="shared" si="13"/>
        <v>0</v>
      </c>
      <c r="G60" s="95">
        <f ca="1" t="shared" si="14"/>
        <v>16.4511271428571</v>
      </c>
      <c r="H60" s="95" cm="1">
        <f ca="1" t="array" ref="H60">MIN(30-SUM(I60:L60),_xlfn.XLOOKUP($D60&amp;"_"&amp;H$52,$B$14:$B$36&amp;"_"&amp;$C$14:$C$36,$D$14:$D$36)*$E60,18)</f>
        <v>12.6865714285714</v>
      </c>
      <c r="I60" s="95" cm="1">
        <f ca="1" t="array" ref="I60">MIN(30-SUM(J60:L60),6-L60,_xlfn.XLOOKUP($D60&amp;"_"&amp;I$52,$B$14:$B$36&amp;"_"&amp;$C$14:$C$36,$D$14:$D$36)*$E60)</f>
        <v>0.271401428571428</v>
      </c>
      <c r="J60" s="95" cm="1">
        <f ca="1" t="array" ref="J60">MIN(8,_xlfn.XLOOKUP($D60&amp;"_"&amp;J$52,$B$14:$B$36&amp;"_"&amp;$C$14:$C$36,$D$14:$D$36)*$E60)</f>
        <v>0.285</v>
      </c>
      <c r="K60" s="95" cm="1">
        <f ca="1" t="array" ref="K60">MIN(18,_xlfn.XLOOKUP($D60&amp;"_"&amp;K$52,$B$14:$B$36&amp;"_"&amp;$C$14:$C$36,$D$14:$D$36)*$E60)</f>
        <v>0.1064</v>
      </c>
      <c r="L60" s="95" cm="1">
        <f ca="1" t="array" ref="L60">MIN(6,_xlfn.XLOOKUP($D60&amp;"_"&amp;L$52,$B$14:$B$36&amp;"_"&amp;$C$14:$C$36,$D$14:$D$36)*$E60)</f>
        <v>0.1995</v>
      </c>
      <c r="M60" s="95" cm="1">
        <f ca="1" t="array" ref="M60">(1+SUMPRODUCT(G60:H60,OFFSET($H$40:$I$40,D60,0)))*(1+OFFSET($J$40,D60,0))^I60*(1+OFFSET($K$40,D60,0))^J60*(1+OFFSET($L$40,D60,0))^K60*(1+OFFSET($M$40,D60,0))^L60</f>
        <v>6.82983648178978</v>
      </c>
      <c r="N60" s="95">
        <f ca="1">MAX(MAX($N$53:N59),OFFSET($C$52,MATCH(M60*1.07,$M$53:$M$2052,1),0)-C60)</f>
        <v>2880</v>
      </c>
    </row>
    <row r="61" spans="2:19">
      <c r="B61" s="95">
        <v>9</v>
      </c>
      <c r="C61" s="95">
        <f t="shared" si="11"/>
        <v>3240</v>
      </c>
      <c r="D61" s="95">
        <f ca="1">_xlfn.XLOOKUP(总览!$B$44,$B$40:$B$45,$C$40:$C$45)</f>
        <v>5</v>
      </c>
      <c r="E61" s="95">
        <f ca="1" t="shared" si="12"/>
        <v>39</v>
      </c>
      <c r="F61" s="95">
        <f ca="1" t="shared" si="13"/>
        <v>0</v>
      </c>
      <c r="G61" s="95">
        <f ca="1" t="shared" si="14"/>
        <v>16.0945778571429</v>
      </c>
      <c r="H61" s="95" cm="1">
        <f ca="1" t="array" ref="H61">MIN(30-SUM(I61:L61),_xlfn.XLOOKUP($D61&amp;"_"&amp;H$52,$B$14:$B$36&amp;"_"&amp;$C$14:$C$36,$D$14:$D$36)*$E61,18)</f>
        <v>13.0204285714286</v>
      </c>
      <c r="I61" s="95" cm="1">
        <f ca="1" t="array" ref="I61">MIN(30-SUM(J61:L61),6-L61,_xlfn.XLOOKUP($D61&amp;"_"&amp;I$52,$B$14:$B$36&amp;"_"&amp;$C$14:$C$36,$D$14:$D$36)*$E61)</f>
        <v>0.278543571428571</v>
      </c>
      <c r="J61" s="95" cm="1">
        <f ca="1" t="array" ref="J61">MIN(8,_xlfn.XLOOKUP($D61&amp;"_"&amp;J$52,$B$14:$B$36&amp;"_"&amp;$C$14:$C$36,$D$14:$D$36)*$E61)</f>
        <v>0.2925</v>
      </c>
      <c r="K61" s="95" cm="1">
        <f ca="1" t="array" ref="K61">MIN(18,_xlfn.XLOOKUP($D61&amp;"_"&amp;K$52,$B$14:$B$36&amp;"_"&amp;$C$14:$C$36,$D$14:$D$36)*$E61)</f>
        <v>0.1092</v>
      </c>
      <c r="L61" s="95" cm="1">
        <f ca="1" t="array" ref="L61">MIN(6,_xlfn.XLOOKUP($D61&amp;"_"&amp;L$52,$B$14:$B$36&amp;"_"&amp;$C$14:$C$36,$D$14:$D$36)*$E61)</f>
        <v>0.20475</v>
      </c>
      <c r="M61" s="95" cm="1">
        <f ca="1" t="array" ref="M61">(1+SUMPRODUCT(G61:H61,OFFSET($H$40:$I$40,D61,0)))*(1+OFFSET($J$40,D61,0))^I61*(1+OFFSET($K$40,D61,0))^J61*(1+OFFSET($L$40,D61,0))^K61*(1+OFFSET($M$40,D61,0))^L61</f>
        <v>6.89838454950007</v>
      </c>
      <c r="N61" s="95">
        <f ca="1">MAX(MAX($N$53:N60),OFFSET($C$52,MATCH(M61*1.07,$M$53:$M$2052,1),0)-C61)</f>
        <v>2880</v>
      </c>
    </row>
    <row r="62" spans="2:19">
      <c r="B62" s="95">
        <v>10</v>
      </c>
      <c r="C62" s="95">
        <f t="shared" si="11"/>
        <v>3600</v>
      </c>
      <c r="D62" s="95">
        <f ca="1">_xlfn.XLOOKUP(总览!$B$44,$B$40:$B$45,$C$40:$C$45)</f>
        <v>5</v>
      </c>
      <c r="E62" s="95">
        <f ca="1" t="shared" si="12"/>
        <v>40</v>
      </c>
      <c r="F62" s="95">
        <f ca="1" t="shared" si="13"/>
        <v>0</v>
      </c>
      <c r="G62" s="95">
        <f ca="1" t="shared" si="14"/>
        <v>15.7380285714286</v>
      </c>
      <c r="H62" s="95" cm="1">
        <f ca="1" t="array" ref="H62">MIN(30-SUM(I62:L62),_xlfn.XLOOKUP($D62&amp;"_"&amp;H$52,$B$14:$B$36&amp;"_"&amp;$C$14:$C$36,$D$14:$D$36)*$E62,18)</f>
        <v>13.3542857142857</v>
      </c>
      <c r="I62" s="95" cm="1">
        <f ca="1" t="array" ref="I62">MIN(30-SUM(J62:L62),6-L62,_xlfn.XLOOKUP($D62&amp;"_"&amp;I$52,$B$14:$B$36&amp;"_"&amp;$C$14:$C$36,$D$14:$D$36)*$E62)</f>
        <v>0.285685714285714</v>
      </c>
      <c r="J62" s="95" cm="1">
        <f ca="1" t="array" ref="J62">MIN(8,_xlfn.XLOOKUP($D62&amp;"_"&amp;J$52,$B$14:$B$36&amp;"_"&amp;$C$14:$C$36,$D$14:$D$36)*$E62)</f>
        <v>0.3</v>
      </c>
      <c r="K62" s="95" cm="1">
        <f ca="1" t="array" ref="K62">MIN(18,_xlfn.XLOOKUP($D62&amp;"_"&amp;K$52,$B$14:$B$36&amp;"_"&amp;$C$14:$C$36,$D$14:$D$36)*$E62)</f>
        <v>0.112</v>
      </c>
      <c r="L62" s="95" cm="1">
        <f ca="1" t="array" ref="L62">MIN(6,_xlfn.XLOOKUP($D62&amp;"_"&amp;L$52,$B$14:$B$36&amp;"_"&amp;$C$14:$C$36,$D$14:$D$36)*$E62)</f>
        <v>0.21</v>
      </c>
      <c r="M62" s="95" cm="1">
        <f ca="1" t="array" ref="M62">(1+SUMPRODUCT(G62:H62,OFFSET($H$40:$I$40,D62,0)))*(1+OFFSET($J$40,D62,0))^I62*(1+OFFSET($K$40,D62,0))^J62*(1+OFFSET($L$40,D62,0))^K62*(1+OFFSET($M$40,D62,0))^L62</f>
        <v>6.96748978256971</v>
      </c>
      <c r="N62" s="95">
        <f ca="1">MAX(MAX($N$53:N61),OFFSET($C$52,MATCH(M62*1.07,$M$53:$M$2052,1),0)-C62)</f>
        <v>2880</v>
      </c>
    </row>
    <row r="63" spans="2:19">
      <c r="B63" s="95">
        <v>11</v>
      </c>
      <c r="C63" s="95">
        <f t="shared" si="11"/>
        <v>3960</v>
      </c>
      <c r="D63" s="95">
        <f ca="1">_xlfn.XLOOKUP(总览!$B$44,$B$40:$B$45,$C$40:$C$45)</f>
        <v>5</v>
      </c>
      <c r="E63" s="95">
        <f ca="1" t="shared" si="12"/>
        <v>41</v>
      </c>
      <c r="F63" s="95">
        <f ca="1" t="shared" si="13"/>
        <v>0</v>
      </c>
      <c r="G63" s="95">
        <f ca="1" t="shared" si="14"/>
        <v>15.3814792857143</v>
      </c>
      <c r="H63" s="95" cm="1">
        <f ca="1" t="array" ref="H63">MIN(30-SUM(I63:L63),_xlfn.XLOOKUP($D63&amp;"_"&amp;H$52,$B$14:$B$36&amp;"_"&amp;$C$14:$C$36,$D$14:$D$36)*$E63,18)</f>
        <v>13.6881428571429</v>
      </c>
      <c r="I63" s="95" cm="1">
        <f ca="1" t="array" ref="I63">MIN(30-SUM(J63:L63),6-L63,_xlfn.XLOOKUP($D63&amp;"_"&amp;I$52,$B$14:$B$36&amp;"_"&amp;$C$14:$C$36,$D$14:$D$36)*$E63)</f>
        <v>0.292827857142857</v>
      </c>
      <c r="J63" s="95" cm="1">
        <f ca="1" t="array" ref="J63">MIN(8,_xlfn.XLOOKUP($D63&amp;"_"&amp;J$52,$B$14:$B$36&amp;"_"&amp;$C$14:$C$36,$D$14:$D$36)*$E63)</f>
        <v>0.3075</v>
      </c>
      <c r="K63" s="95" cm="1">
        <f ca="1" t="array" ref="K63">MIN(18,_xlfn.XLOOKUP($D63&amp;"_"&amp;K$52,$B$14:$B$36&amp;"_"&amp;$C$14:$C$36,$D$14:$D$36)*$E63)</f>
        <v>0.1148</v>
      </c>
      <c r="L63" s="95" cm="1">
        <f ca="1" t="array" ref="L63">MIN(6,_xlfn.XLOOKUP($D63&amp;"_"&amp;L$52,$B$14:$B$36&amp;"_"&amp;$C$14:$C$36,$D$14:$D$36)*$E63)</f>
        <v>0.21525</v>
      </c>
      <c r="M63" s="95" cm="1">
        <f ca="1" t="array" ref="M63">(1+SUMPRODUCT(G63:H63,OFFSET($H$40:$I$40,D63,0)))*(1+OFFSET($J$40,D63,0))^I63*(1+OFFSET($K$40,D63,0))^J63*(1+OFFSET($L$40,D63,0))^K63*(1+OFFSET($M$40,D63,0))^L63</f>
        <v>7.03715629212726</v>
      </c>
      <c r="N63" s="95">
        <f ca="1">MAX(MAX($N$53:N62),OFFSET($C$52,MATCH(M63*1.07,$M$53:$M$2052,1),0)-C63)</f>
        <v>2880</v>
      </c>
    </row>
    <row r="64" spans="2:19">
      <c r="B64" s="95">
        <v>12</v>
      </c>
      <c r="C64" s="95">
        <f t="shared" si="11"/>
        <v>4320</v>
      </c>
      <c r="D64" s="95">
        <f ca="1">_xlfn.XLOOKUP(总览!$B$44,$B$40:$B$45,$C$40:$C$45)</f>
        <v>5</v>
      </c>
      <c r="E64" s="95">
        <f ca="1" t="shared" si="12"/>
        <v>42</v>
      </c>
      <c r="F64" s="95">
        <f ca="1" t="shared" si="13"/>
        <v>0</v>
      </c>
      <c r="G64" s="95">
        <f ca="1" t="shared" si="14"/>
        <v>15.02493</v>
      </c>
      <c r="H64" s="95" cm="1">
        <f ca="1" t="array" ref="H64">MIN(30-SUM(I64:L64),_xlfn.XLOOKUP($D64&amp;"_"&amp;H$52,$B$14:$B$36&amp;"_"&amp;$C$14:$C$36,$D$14:$D$36)*$E64,18)</f>
        <v>14.022</v>
      </c>
      <c r="I64" s="95" cm="1">
        <f ca="1" t="array" ref="I64">MIN(30-SUM(J64:L64),6-L64,_xlfn.XLOOKUP($D64&amp;"_"&amp;I$52,$B$14:$B$36&amp;"_"&amp;$C$14:$C$36,$D$14:$D$36)*$E64)</f>
        <v>0.299969999999999</v>
      </c>
      <c r="J64" s="95" cm="1">
        <f ca="1" t="array" ref="J64">MIN(8,_xlfn.XLOOKUP($D64&amp;"_"&amp;J$52,$B$14:$B$36&amp;"_"&amp;$C$14:$C$36,$D$14:$D$36)*$E64)</f>
        <v>0.315</v>
      </c>
      <c r="K64" s="95" cm="1">
        <f ca="1" t="array" ref="K64">MIN(18,_xlfn.XLOOKUP($D64&amp;"_"&amp;K$52,$B$14:$B$36&amp;"_"&amp;$C$14:$C$36,$D$14:$D$36)*$E64)</f>
        <v>0.1176</v>
      </c>
      <c r="L64" s="95" cm="1">
        <f ca="1" t="array" ref="L64">MIN(6,_xlfn.XLOOKUP($D64&amp;"_"&amp;L$52,$B$14:$B$36&amp;"_"&amp;$C$14:$C$36,$D$14:$D$36)*$E64)</f>
        <v>0.2205</v>
      </c>
      <c r="M64" s="95" cm="1">
        <f ca="1" t="array" ref="M64">(1+SUMPRODUCT(G64:H64,OFFSET($H$40:$I$40,D64,0)))*(1+OFFSET($J$40,D64,0))^I64*(1+OFFSET($K$40,D64,0))^J64*(1+OFFSET($L$40,D64,0))^K64*(1+OFFSET($M$40,D64,0))^L64</f>
        <v>7.10738821799007</v>
      </c>
      <c r="N64" s="95">
        <f ca="1">MAX(MAX($N$53:N63),OFFSET($C$52,MATCH(M64*1.07,$M$53:$M$2052,1),0)-C64)</f>
        <v>2880</v>
      </c>
    </row>
    <row r="65" spans="2:14">
      <c r="B65" s="95">
        <v>13</v>
      </c>
      <c r="C65" s="95">
        <f t="shared" ref="C65:C128" si="15">C64+360</f>
        <v>4680</v>
      </c>
      <c r="D65" s="95">
        <f ca="1">_xlfn.XLOOKUP(总览!$B$44,$B$40:$B$45,$C$40:$C$45)</f>
        <v>5</v>
      </c>
      <c r="E65" s="95">
        <f ca="1" t="shared" si="12"/>
        <v>43</v>
      </c>
      <c r="F65" s="95">
        <f ca="1" t="shared" si="13"/>
        <v>0</v>
      </c>
      <c r="G65" s="95">
        <f ca="1" t="shared" si="14"/>
        <v>14.6683807142857</v>
      </c>
      <c r="H65" s="95" cm="1">
        <f ca="1" t="array" ref="H65">MIN(30-SUM(I65:L65),_xlfn.XLOOKUP($D65&amp;"_"&amp;H$52,$B$14:$B$36&amp;"_"&amp;$C$14:$C$36,$D$14:$D$36)*$E65,18)</f>
        <v>14.3558571428572</v>
      </c>
      <c r="I65" s="95" cm="1">
        <f ca="1" t="array" ref="I65">MIN(30-SUM(J65:L65),6-L65,_xlfn.XLOOKUP($D65&amp;"_"&amp;I$52,$B$14:$B$36&amp;"_"&amp;$C$14:$C$36,$D$14:$D$36)*$E65)</f>
        <v>0.307112142857142</v>
      </c>
      <c r="J65" s="95" cm="1">
        <f ca="1" t="array" ref="J65">MIN(8,_xlfn.XLOOKUP($D65&amp;"_"&amp;J$52,$B$14:$B$36&amp;"_"&amp;$C$14:$C$36,$D$14:$D$36)*$E65)</f>
        <v>0.3225</v>
      </c>
      <c r="K65" s="95" cm="1">
        <f ca="1" t="array" ref="K65">MIN(18,_xlfn.XLOOKUP($D65&amp;"_"&amp;K$52,$B$14:$B$36&amp;"_"&amp;$C$14:$C$36,$D$14:$D$36)*$E65)</f>
        <v>0.1204</v>
      </c>
      <c r="L65" s="95" cm="1">
        <f ca="1" t="array" ref="L65">MIN(6,_xlfn.XLOOKUP($D65&amp;"_"&amp;L$52,$B$14:$B$36&amp;"_"&amp;$C$14:$C$36,$D$14:$D$36)*$E65)</f>
        <v>0.22575</v>
      </c>
      <c r="M65" s="95" cm="1">
        <f ca="1" t="array" ref="M65">(1+SUMPRODUCT(G65:H65,OFFSET($H$40:$I$40,D65,0)))*(1+OFFSET($J$40,D65,0))^I65*(1+OFFSET($K$40,D65,0))^J65*(1+OFFSET($L$40,D65,0))^K65*(1+OFFSET($M$40,D65,0))^L65</f>
        <v>7.17818972885737</v>
      </c>
      <c r="N65" s="95">
        <f ca="1">MAX(MAX($N$53:N64),OFFSET($C$52,MATCH(M65*1.07,$M$53:$M$2052,1),0)-C65)</f>
        <v>2880</v>
      </c>
    </row>
    <row r="66" spans="2:14">
      <c r="B66" s="95">
        <v>14</v>
      </c>
      <c r="C66" s="95">
        <f t="shared" si="15"/>
        <v>5040</v>
      </c>
      <c r="D66" s="95">
        <f ca="1">_xlfn.XLOOKUP(总览!$B$44,$B$40:$B$45,$C$40:$C$45)</f>
        <v>5</v>
      </c>
      <c r="E66" s="95">
        <f ca="1" t="shared" si="12"/>
        <v>44</v>
      </c>
      <c r="F66" s="95">
        <f ca="1" t="shared" si="13"/>
        <v>0</v>
      </c>
      <c r="G66" s="95">
        <f ca="1" t="shared" si="14"/>
        <v>14.3118314285714</v>
      </c>
      <c r="H66" s="95" cm="1">
        <f ca="1" t="array" ref="H66">MIN(30-SUM(I66:L66),_xlfn.XLOOKUP($D66&amp;"_"&amp;H$52,$B$14:$B$36&amp;"_"&amp;$C$14:$C$36,$D$14:$D$36)*$E66,18)</f>
        <v>14.6897142857143</v>
      </c>
      <c r="I66" s="95" cm="1">
        <f ca="1" t="array" ref="I66">MIN(30-SUM(J66:L66),6-L66,_xlfn.XLOOKUP($D66&amp;"_"&amp;I$52,$B$14:$B$36&amp;"_"&amp;$C$14:$C$36,$D$14:$D$36)*$E66)</f>
        <v>0.314254285714285</v>
      </c>
      <c r="J66" s="95" cm="1">
        <f ca="1" t="array" ref="J66">MIN(8,_xlfn.XLOOKUP($D66&amp;"_"&amp;J$52,$B$14:$B$36&amp;"_"&amp;$C$14:$C$36,$D$14:$D$36)*$E66)</f>
        <v>0.33</v>
      </c>
      <c r="K66" s="95" cm="1">
        <f ca="1" t="array" ref="K66">MIN(18,_xlfn.XLOOKUP($D66&amp;"_"&amp;K$52,$B$14:$B$36&amp;"_"&amp;$C$14:$C$36,$D$14:$D$36)*$E66)</f>
        <v>0.1232</v>
      </c>
      <c r="L66" s="95" cm="1">
        <f ca="1" t="array" ref="L66">MIN(6,_xlfn.XLOOKUP($D66&amp;"_"&amp;L$52,$B$14:$B$36&amp;"_"&amp;$C$14:$C$36,$D$14:$D$36)*$E66)</f>
        <v>0.231</v>
      </c>
      <c r="M66" s="95" cm="1">
        <f ca="1" t="array" ref="M66">(1+SUMPRODUCT(G66:H66,OFFSET($H$40:$I$40,D66,0)))*(1+OFFSET($J$40,D66,0))^I66*(1+OFFSET($K$40,D66,0))^J66*(1+OFFSET($L$40,D66,0))^K66*(1+OFFSET($M$40,D66,0))^L66</f>
        <v>7.24956502250459</v>
      </c>
      <c r="N66" s="95">
        <f ca="1">MAX(MAX($N$53:N65),OFFSET($C$52,MATCH(M66*1.07,$M$53:$M$2052,1),0)-C66)</f>
        <v>2880</v>
      </c>
    </row>
    <row r="67" spans="2:14">
      <c r="B67" s="95">
        <v>15</v>
      </c>
      <c r="C67" s="95">
        <f t="shared" si="15"/>
        <v>5400</v>
      </c>
      <c r="D67" s="95">
        <f ca="1">_xlfn.XLOOKUP(总览!$B$44,$B$40:$B$45,$C$40:$C$45)</f>
        <v>5</v>
      </c>
      <c r="E67" s="95">
        <f ca="1" t="shared" si="12"/>
        <v>45</v>
      </c>
      <c r="F67" s="95">
        <f ca="1" t="shared" si="13"/>
        <v>0</v>
      </c>
      <c r="G67" s="95">
        <f ca="1" t="shared" si="14"/>
        <v>13.9552821428571</v>
      </c>
      <c r="H67" s="95" cm="1">
        <f ca="1" t="array" ref="H67">MIN(30-SUM(I67:L67),_xlfn.XLOOKUP($D67&amp;"_"&amp;H$52,$B$14:$B$36&amp;"_"&amp;$C$14:$C$36,$D$14:$D$36)*$E67,18)</f>
        <v>15.0235714285714</v>
      </c>
      <c r="I67" s="95" cm="1">
        <f ca="1" t="array" ref="I67">MIN(30-SUM(J67:L67),6-L67,_xlfn.XLOOKUP($D67&amp;"_"&amp;I$52,$B$14:$B$36&amp;"_"&amp;$C$14:$C$36,$D$14:$D$36)*$E67)</f>
        <v>0.321396428571428</v>
      </c>
      <c r="J67" s="95" cm="1">
        <f ca="1" t="array" ref="J67">MIN(8,_xlfn.XLOOKUP($D67&amp;"_"&amp;J$52,$B$14:$B$36&amp;"_"&amp;$C$14:$C$36,$D$14:$D$36)*$E67)</f>
        <v>0.3375</v>
      </c>
      <c r="K67" s="95" cm="1">
        <f ca="1" t="array" ref="K67">MIN(18,_xlfn.XLOOKUP($D67&amp;"_"&amp;K$52,$B$14:$B$36&amp;"_"&amp;$C$14:$C$36,$D$14:$D$36)*$E67)</f>
        <v>0.126</v>
      </c>
      <c r="L67" s="95" cm="1">
        <f ca="1" t="array" ref="L67">MIN(6,_xlfn.XLOOKUP($D67&amp;"_"&amp;L$52,$B$14:$B$36&amp;"_"&amp;$C$14:$C$36,$D$14:$D$36)*$E67)</f>
        <v>0.23625</v>
      </c>
      <c r="M67" s="95" cm="1">
        <f ca="1" t="array" ref="M67">(1+SUMPRODUCT(G67:H67,OFFSET($H$40:$I$40,D67,0)))*(1+OFFSET($J$40,D67,0))^I67*(1+OFFSET($K$40,D67,0))^J67*(1+OFFSET($L$40,D67,0))^K67*(1+OFFSET($M$40,D67,0))^L67</f>
        <v>7.32151832597894</v>
      </c>
      <c r="N67" s="95">
        <f ca="1">MAX(MAX($N$53:N66),OFFSET($C$52,MATCH(M67*1.07,$M$53:$M$2052,1),0)-C67)</f>
        <v>2880</v>
      </c>
    </row>
    <row r="68" spans="2:14">
      <c r="B68" s="95">
        <v>16</v>
      </c>
      <c r="C68" s="95">
        <f t="shared" si="15"/>
        <v>5760</v>
      </c>
      <c r="D68" s="95">
        <f ca="1">_xlfn.XLOOKUP(总览!$B$44,$B$40:$B$45,$C$40:$C$45)</f>
        <v>5</v>
      </c>
      <c r="E68" s="95">
        <f ca="1" t="shared" si="12"/>
        <v>46</v>
      </c>
      <c r="F68" s="95">
        <f ca="1" t="shared" si="13"/>
        <v>0</v>
      </c>
      <c r="G68" s="95">
        <f ca="1" t="shared" si="14"/>
        <v>13.5987328571429</v>
      </c>
      <c r="H68" s="95" cm="1">
        <f ca="1" t="array" ref="H68">MIN(30-SUM(I68:L68),_xlfn.XLOOKUP($D68&amp;"_"&amp;H$52,$B$14:$B$36&amp;"_"&amp;$C$14:$C$36,$D$14:$D$36)*$E68,18)</f>
        <v>15.3574285714286</v>
      </c>
      <c r="I68" s="95" cm="1">
        <f ca="1" t="array" ref="I68">MIN(30-SUM(J68:L68),6-L68,_xlfn.XLOOKUP($D68&amp;"_"&amp;I$52,$B$14:$B$36&amp;"_"&amp;$C$14:$C$36,$D$14:$D$36)*$E68)</f>
        <v>0.328538571428571</v>
      </c>
      <c r="J68" s="95" cm="1">
        <f ca="1" t="array" ref="J68">MIN(8,_xlfn.XLOOKUP($D68&amp;"_"&amp;J$52,$B$14:$B$36&amp;"_"&amp;$C$14:$C$36,$D$14:$D$36)*$E68)</f>
        <v>0.345</v>
      </c>
      <c r="K68" s="95" cm="1">
        <f ca="1" t="array" ref="K68">MIN(18,_xlfn.XLOOKUP($D68&amp;"_"&amp;K$52,$B$14:$B$36&amp;"_"&amp;$C$14:$C$36,$D$14:$D$36)*$E68)</f>
        <v>0.1288</v>
      </c>
      <c r="L68" s="95" cm="1">
        <f ca="1" t="array" ref="L68">MIN(6,_xlfn.XLOOKUP($D68&amp;"_"&amp;L$52,$B$14:$B$36&amp;"_"&amp;$C$14:$C$36,$D$14:$D$36)*$E68)</f>
        <v>0.2415</v>
      </c>
      <c r="M68" s="95" cm="1">
        <f ca="1" t="array" ref="M68">(1+SUMPRODUCT(G68:H68,OFFSET($H$40:$I$40,D68,0)))*(1+OFFSET($J$40,D68,0))^I68*(1+OFFSET($K$40,D68,0))^J68*(1+OFFSET($L$40,D68,0))^K68*(1+OFFSET($M$40,D68,0))^L68</f>
        <v>7.39405389579634</v>
      </c>
      <c r="N68" s="95">
        <f ca="1">MAX(MAX($N$53:N67),OFFSET($C$52,MATCH(M68*1.07,$M$53:$M$2052,1),0)-C68)</f>
        <v>2880</v>
      </c>
    </row>
    <row r="69" spans="2:14">
      <c r="B69" s="95">
        <v>17</v>
      </c>
      <c r="C69" s="95">
        <f t="shared" si="15"/>
        <v>6120</v>
      </c>
      <c r="D69" s="95">
        <f ca="1">_xlfn.XLOOKUP(总览!$B$44,$B$40:$B$45,$C$40:$C$45)</f>
        <v>5</v>
      </c>
      <c r="E69" s="95">
        <f ca="1" t="shared" si="12"/>
        <v>47</v>
      </c>
      <c r="F69" s="95">
        <f ca="1" t="shared" si="13"/>
        <v>0</v>
      </c>
      <c r="G69" s="95">
        <f ca="1" t="shared" si="14"/>
        <v>13.2421835714286</v>
      </c>
      <c r="H69" s="95" cm="1">
        <f ca="1" t="array" ref="H69">MIN(30-SUM(I69:L69),_xlfn.XLOOKUP($D69&amp;"_"&amp;H$52,$B$14:$B$36&amp;"_"&amp;$C$14:$C$36,$D$14:$D$36)*$E69,18)</f>
        <v>15.6912857142857</v>
      </c>
      <c r="I69" s="95" cm="1">
        <f ca="1" t="array" ref="I69">MIN(30-SUM(J69:L69),6-L69,_xlfn.XLOOKUP($D69&amp;"_"&amp;I$52,$B$14:$B$36&amp;"_"&amp;$C$14:$C$36,$D$14:$D$36)*$E69)</f>
        <v>0.335680714285714</v>
      </c>
      <c r="J69" s="95" cm="1">
        <f ca="1" t="array" ref="J69">MIN(8,_xlfn.XLOOKUP($D69&amp;"_"&amp;J$52,$B$14:$B$36&amp;"_"&amp;$C$14:$C$36,$D$14:$D$36)*$E69)</f>
        <v>0.3525</v>
      </c>
      <c r="K69" s="95" cm="1">
        <f ca="1" t="array" ref="K69">MIN(18,_xlfn.XLOOKUP($D69&amp;"_"&amp;K$52,$B$14:$B$36&amp;"_"&amp;$C$14:$C$36,$D$14:$D$36)*$E69)</f>
        <v>0.1316</v>
      </c>
      <c r="L69" s="95" cm="1">
        <f ca="1" t="array" ref="L69">MIN(6,_xlfn.XLOOKUP($D69&amp;"_"&amp;L$52,$B$14:$B$36&amp;"_"&amp;$C$14:$C$36,$D$14:$D$36)*$E69)</f>
        <v>0.24675</v>
      </c>
      <c r="M69" s="95" cm="1">
        <f ca="1" t="array" ref="M69">(1+SUMPRODUCT(G69:H69,OFFSET($H$40:$I$40,D69,0)))*(1+OFFSET($J$40,D69,0))^I69*(1+OFFSET($K$40,D69,0))^J69*(1+OFFSET($L$40,D69,0))^K69*(1+OFFSET($M$40,D69,0))^L69</f>
        <v>7.4671760181395</v>
      </c>
      <c r="N69" s="95">
        <f ca="1">MAX(MAX($N$53:N68),OFFSET($C$52,MATCH(M69*1.07,$M$53:$M$2052,1),0)-C69)</f>
        <v>2880</v>
      </c>
    </row>
    <row r="70" spans="2:14">
      <c r="B70" s="95">
        <v>18</v>
      </c>
      <c r="C70" s="95">
        <f t="shared" si="15"/>
        <v>6480</v>
      </c>
      <c r="D70" s="95">
        <f ca="1">_xlfn.XLOOKUP(总览!$B$44,$B$40:$B$45,$C$40:$C$45)</f>
        <v>5</v>
      </c>
      <c r="E70" s="95">
        <f ca="1" t="shared" si="12"/>
        <v>48</v>
      </c>
      <c r="F70" s="95">
        <f ca="1" t="shared" si="13"/>
        <v>0</v>
      </c>
      <c r="G70" s="95">
        <f ca="1" t="shared" si="14"/>
        <v>12.8856342857143</v>
      </c>
      <c r="H70" s="95" cm="1">
        <f ca="1" t="array" ref="H70">MIN(30-SUM(I70:L70),_xlfn.XLOOKUP($D70&amp;"_"&amp;H$52,$B$14:$B$36&amp;"_"&amp;$C$14:$C$36,$D$14:$D$36)*$E70,18)</f>
        <v>16.0251428571429</v>
      </c>
      <c r="I70" s="95" cm="1">
        <f ca="1" t="array" ref="I70">MIN(30-SUM(J70:L70),6-L70,_xlfn.XLOOKUP($D70&amp;"_"&amp;I$52,$B$14:$B$36&amp;"_"&amp;$C$14:$C$36,$D$14:$D$36)*$E70)</f>
        <v>0.342822857142856</v>
      </c>
      <c r="J70" s="95" cm="1">
        <f ca="1" t="array" ref="J70">MIN(8,_xlfn.XLOOKUP($D70&amp;"_"&amp;J$52,$B$14:$B$36&amp;"_"&amp;$C$14:$C$36,$D$14:$D$36)*$E70)</f>
        <v>0.36</v>
      </c>
      <c r="K70" s="95" cm="1">
        <f ca="1" t="array" ref="K70">MIN(18,_xlfn.XLOOKUP($D70&amp;"_"&amp;K$52,$B$14:$B$36&amp;"_"&amp;$C$14:$C$36,$D$14:$D$36)*$E70)</f>
        <v>0.1344</v>
      </c>
      <c r="L70" s="95" cm="1">
        <f ca="1" t="array" ref="L70">MIN(6,_xlfn.XLOOKUP($D70&amp;"_"&amp;L$52,$B$14:$B$36&amp;"_"&amp;$C$14:$C$36,$D$14:$D$36)*$E70)</f>
        <v>0.252</v>
      </c>
      <c r="M70" s="95" cm="1">
        <f ca="1" t="array" ref="M70">(1+SUMPRODUCT(G70:H70,OFFSET($H$40:$I$40,D70,0)))*(1+OFFSET($J$40,D70,0))^I70*(1+OFFSET($K$40,D70,0))^J70*(1+OFFSET($L$40,D70,0))^K70*(1+OFFSET($M$40,D70,0))^L70</f>
        <v>7.54088900905748</v>
      </c>
      <c r="N70" s="95">
        <f ca="1">MAX(MAX($N$53:N69),OFFSET($C$52,MATCH(M70*1.07,$M$53:$M$2052,1),0)-C70)</f>
        <v>2880</v>
      </c>
    </row>
    <row r="71" spans="2:14">
      <c r="B71" s="95">
        <v>19</v>
      </c>
      <c r="C71" s="95">
        <f t="shared" si="15"/>
        <v>6840</v>
      </c>
      <c r="D71" s="95">
        <f ca="1">_xlfn.XLOOKUP(总览!$B$44,$B$40:$B$45,$C$40:$C$45)</f>
        <v>5</v>
      </c>
      <c r="E71" s="95">
        <f ca="1" t="shared" si="12"/>
        <v>49</v>
      </c>
      <c r="F71" s="95">
        <f ca="1" t="shared" si="13"/>
        <v>0</v>
      </c>
      <c r="G71" s="95">
        <f ca="1" t="shared" si="14"/>
        <v>12.529085</v>
      </c>
      <c r="H71" s="95" cm="1">
        <f ca="1" t="array" ref="H71">MIN(30-SUM(I71:L71),_xlfn.XLOOKUP($D71&amp;"_"&amp;H$52,$B$14:$B$36&amp;"_"&amp;$C$14:$C$36,$D$14:$D$36)*$E71,18)</f>
        <v>16.359</v>
      </c>
      <c r="I71" s="95" cm="1">
        <f ca="1" t="array" ref="I71">MIN(30-SUM(J71:L71),6-L71,_xlfn.XLOOKUP($D71&amp;"_"&amp;I$52,$B$14:$B$36&amp;"_"&amp;$C$14:$C$36,$D$14:$D$36)*$E71)</f>
        <v>0.349964999999999</v>
      </c>
      <c r="J71" s="95" cm="1">
        <f ca="1" t="array" ref="J71">MIN(8,_xlfn.XLOOKUP($D71&amp;"_"&amp;J$52,$B$14:$B$36&amp;"_"&amp;$C$14:$C$36,$D$14:$D$36)*$E71)</f>
        <v>0.3675</v>
      </c>
      <c r="K71" s="95" cm="1">
        <f ca="1" t="array" ref="K71">MIN(18,_xlfn.XLOOKUP($D71&amp;"_"&amp;K$52,$B$14:$B$36&amp;"_"&amp;$C$14:$C$36,$D$14:$D$36)*$E71)</f>
        <v>0.1372</v>
      </c>
      <c r="L71" s="95" cm="1">
        <f ca="1" t="array" ref="L71">MIN(6,_xlfn.XLOOKUP($D71&amp;"_"&amp;L$52,$B$14:$B$36&amp;"_"&amp;$C$14:$C$36,$D$14:$D$36)*$E71)</f>
        <v>0.25725</v>
      </c>
      <c r="M71" s="95" cm="1">
        <f ca="1" t="array" ref="M71">(1+SUMPRODUCT(G71:H71,OFFSET($H$40:$I$40,D71,0)))*(1+OFFSET($J$40,D71,0))^I71*(1+OFFSET($K$40,D71,0))^J71*(1+OFFSET($L$40,D71,0))^K71*(1+OFFSET($M$40,D71,0))^L71</f>
        <v>7.6151972146664</v>
      </c>
      <c r="N71" s="95">
        <f ca="1">MAX(MAX($N$53:N70),OFFSET($C$52,MATCH(M71*1.07,$M$53:$M$2052,1),0)-C71)</f>
        <v>2880</v>
      </c>
    </row>
    <row r="72" spans="2:14">
      <c r="B72" s="95">
        <v>20</v>
      </c>
      <c r="C72" s="95">
        <f t="shared" si="15"/>
        <v>7200</v>
      </c>
      <c r="D72" s="95">
        <f ca="1">_xlfn.XLOOKUP(总览!$B$44,$B$40:$B$45,$C$40:$C$45)</f>
        <v>5</v>
      </c>
      <c r="E72" s="95">
        <f ca="1" t="shared" si="12"/>
        <v>50</v>
      </c>
      <c r="F72" s="95">
        <f ca="1" t="shared" si="13"/>
        <v>0</v>
      </c>
      <c r="G72" s="95">
        <f ca="1" t="shared" si="14"/>
        <v>12.1725357142857</v>
      </c>
      <c r="H72" s="95" cm="1">
        <f ca="1" t="array" ref="H72">MIN(30-SUM(I72:L72),_xlfn.XLOOKUP($D72&amp;"_"&amp;H$52,$B$14:$B$36&amp;"_"&amp;$C$14:$C$36,$D$14:$D$36)*$E72,18)</f>
        <v>16.6928571428572</v>
      </c>
      <c r="I72" s="95" cm="1">
        <f ca="1" t="array" ref="I72">MIN(30-SUM(J72:L72),6-L72,_xlfn.XLOOKUP($D72&amp;"_"&amp;I$52,$B$14:$B$36&amp;"_"&amp;$C$14:$C$36,$D$14:$D$36)*$E72)</f>
        <v>0.357107142857142</v>
      </c>
      <c r="J72" s="95" cm="1">
        <f ca="1" t="array" ref="J72">MIN(8,_xlfn.XLOOKUP($D72&amp;"_"&amp;J$52,$B$14:$B$36&amp;"_"&amp;$C$14:$C$36,$D$14:$D$36)*$E72)</f>
        <v>0.375</v>
      </c>
      <c r="K72" s="95" cm="1">
        <f ca="1" t="array" ref="K72">MIN(18,_xlfn.XLOOKUP($D72&amp;"_"&amp;K$52,$B$14:$B$36&amp;"_"&amp;$C$14:$C$36,$D$14:$D$36)*$E72)</f>
        <v>0.14</v>
      </c>
      <c r="L72" s="95" cm="1">
        <f ca="1" t="array" ref="L72">MIN(6,_xlfn.XLOOKUP($D72&amp;"_"&amp;L$52,$B$14:$B$36&amp;"_"&amp;$C$14:$C$36,$D$14:$D$36)*$E72)</f>
        <v>0.2625</v>
      </c>
      <c r="M72" s="95" cm="1">
        <f ca="1" t="array" ref="M72">(1+SUMPRODUCT(G72:H72,OFFSET($H$40:$I$40,D72,0)))*(1+OFFSET($J$40,D72,0))^I72*(1+OFFSET($K$40,D72,0))^J72*(1+OFFSET($L$40,D72,0))^K72*(1+OFFSET($M$40,D72,0))^L72</f>
        <v>7.69010501135156</v>
      </c>
      <c r="N72" s="95">
        <f ca="1">MAX(MAX($N$53:N71),OFFSET($C$52,MATCH(M72*1.07,$M$53:$M$2052,1),0)-C72)</f>
        <v>3240</v>
      </c>
    </row>
    <row r="73" spans="2:14">
      <c r="B73" s="95">
        <v>21</v>
      </c>
      <c r="C73" s="95">
        <f t="shared" si="15"/>
        <v>7560</v>
      </c>
      <c r="D73" s="95">
        <f ca="1">_xlfn.XLOOKUP(总览!$B$44,$B$40:$B$45,$C$40:$C$45)</f>
        <v>5</v>
      </c>
      <c r="E73" s="95">
        <f ca="1" t="shared" si="12"/>
        <v>51</v>
      </c>
      <c r="F73" s="95">
        <f ca="1" t="shared" si="13"/>
        <v>0</v>
      </c>
      <c r="G73" s="95">
        <f ca="1" t="shared" si="14"/>
        <v>11.8159864285714</v>
      </c>
      <c r="H73" s="95" cm="1">
        <f ca="1" t="array" ref="H73">MIN(30-SUM(I73:L73),_xlfn.XLOOKUP($D73&amp;"_"&amp;H$52,$B$14:$B$36&amp;"_"&amp;$C$14:$C$36,$D$14:$D$36)*$E73,18)</f>
        <v>17.0267142857143</v>
      </c>
      <c r="I73" s="95" cm="1">
        <f ca="1" t="array" ref="I73">MIN(30-SUM(J73:L73),6-L73,_xlfn.XLOOKUP($D73&amp;"_"&amp;I$52,$B$14:$B$36&amp;"_"&amp;$C$14:$C$36,$D$14:$D$36)*$E73)</f>
        <v>0.364249285714285</v>
      </c>
      <c r="J73" s="95" cm="1">
        <f ca="1" t="array" ref="J73">MIN(8,_xlfn.XLOOKUP($D73&amp;"_"&amp;J$52,$B$14:$B$36&amp;"_"&amp;$C$14:$C$36,$D$14:$D$36)*$E73)</f>
        <v>0.3825</v>
      </c>
      <c r="K73" s="95" cm="1">
        <f ca="1" t="array" ref="K73">MIN(18,_xlfn.XLOOKUP($D73&amp;"_"&amp;K$52,$B$14:$B$36&amp;"_"&amp;$C$14:$C$36,$D$14:$D$36)*$E73)</f>
        <v>0.1428</v>
      </c>
      <c r="L73" s="95" cm="1">
        <f ca="1" t="array" ref="L73">MIN(6,_xlfn.XLOOKUP($D73&amp;"_"&amp;L$52,$B$14:$B$36&amp;"_"&amp;$C$14:$C$36,$D$14:$D$36)*$E73)</f>
        <v>0.26775</v>
      </c>
      <c r="M73" s="95" cm="1">
        <f ca="1" t="array" ref="M73">(1+SUMPRODUCT(G73:H73,OFFSET($H$40:$I$40,D73,0)))*(1+OFFSET($J$40,D73,0))^I73*(1+OFFSET($K$40,D73,0))^J73*(1+OFFSET($L$40,D73,0))^K73*(1+OFFSET($M$40,D73,0))^L73</f>
        <v>7.76561680597086</v>
      </c>
      <c r="N73" s="95">
        <f ca="1">MAX(MAX($N$53:N72),OFFSET($C$52,MATCH(M73*1.07,$M$53:$M$2052,1),0)-C73)</f>
        <v>3600</v>
      </c>
    </row>
    <row r="74" spans="2:14">
      <c r="B74" s="95">
        <v>22</v>
      </c>
      <c r="C74" s="95">
        <f t="shared" si="15"/>
        <v>7920</v>
      </c>
      <c r="D74" s="95">
        <f ca="1">_xlfn.XLOOKUP(总览!$B$44,$B$40:$B$45,$C$40:$C$45)</f>
        <v>5</v>
      </c>
      <c r="E74" s="95">
        <f ca="1" t="shared" si="12"/>
        <v>52</v>
      </c>
      <c r="F74" s="95">
        <f ca="1" t="shared" si="13"/>
        <v>0</v>
      </c>
      <c r="G74" s="95">
        <f ca="1" t="shared" si="14"/>
        <v>11.4594371428571</v>
      </c>
      <c r="H74" s="95" cm="1">
        <f ca="1" t="array" ref="H74">MIN(30-SUM(I74:L74),_xlfn.XLOOKUP($D74&amp;"_"&amp;H$52,$B$14:$B$36&amp;"_"&amp;$C$14:$C$36,$D$14:$D$36)*$E74,18)</f>
        <v>17.3605714285714</v>
      </c>
      <c r="I74" s="95" cm="1">
        <f ca="1" t="array" ref="I74">MIN(30-SUM(J74:L74),6-L74,_xlfn.XLOOKUP($D74&amp;"_"&amp;I$52,$B$14:$B$36&amp;"_"&amp;$C$14:$C$36,$D$14:$D$36)*$E74)</f>
        <v>0.371391428571428</v>
      </c>
      <c r="J74" s="95" cm="1">
        <f ca="1" t="array" ref="J74">MIN(8,_xlfn.XLOOKUP($D74&amp;"_"&amp;J$52,$B$14:$B$36&amp;"_"&amp;$C$14:$C$36,$D$14:$D$36)*$E74)</f>
        <v>0.39</v>
      </c>
      <c r="K74" s="95" cm="1">
        <f ca="1" t="array" ref="K74">MIN(18,_xlfn.XLOOKUP($D74&amp;"_"&amp;K$52,$B$14:$B$36&amp;"_"&amp;$C$14:$C$36,$D$14:$D$36)*$E74)</f>
        <v>0.1456</v>
      </c>
      <c r="L74" s="95" cm="1">
        <f ca="1" t="array" ref="L74">MIN(6,_xlfn.XLOOKUP($D74&amp;"_"&amp;L$52,$B$14:$B$36&amp;"_"&amp;$C$14:$C$36,$D$14:$D$36)*$E74)</f>
        <v>0.273</v>
      </c>
      <c r="M74" s="95" cm="1">
        <f ca="1" t="array" ref="M74">(1+SUMPRODUCT(G74:H74,OFFSET($H$40:$I$40,D74,0)))*(1+OFFSET($J$40,D74,0))^I74*(1+OFFSET($K$40,D74,0))^J74*(1+OFFSET($L$40,D74,0))^K74*(1+OFFSET($M$40,D74,0))^L74</f>
        <v>7.84173703605953</v>
      </c>
      <c r="N74" s="95">
        <f ca="1">MAX(MAX($N$53:N73),OFFSET($C$52,MATCH(M74*1.07,$M$53:$M$2052,1),0)-C74)</f>
        <v>3960</v>
      </c>
    </row>
    <row r="75" spans="2:14">
      <c r="B75" s="95">
        <v>23</v>
      </c>
      <c r="C75" s="95">
        <f t="shared" si="15"/>
        <v>8280</v>
      </c>
      <c r="D75" s="95">
        <f ca="1">_xlfn.XLOOKUP(总览!$B$44,$B$40:$B$45,$C$40:$C$45)</f>
        <v>5</v>
      </c>
      <c r="E75" s="95">
        <f ca="1" t="shared" si="12"/>
        <v>53</v>
      </c>
      <c r="F75" s="95">
        <f ca="1" t="shared" si="13"/>
        <v>0</v>
      </c>
      <c r="G75" s="95">
        <f ca="1" t="shared" si="14"/>
        <v>11.1028878571428</v>
      </c>
      <c r="H75" s="95" cm="1">
        <f ca="1" t="array" ref="H75">MIN(30-SUM(I75:L75),_xlfn.XLOOKUP($D75&amp;"_"&amp;H$52,$B$14:$B$36&amp;"_"&amp;$C$14:$C$36,$D$14:$D$36)*$E75,18)</f>
        <v>17.6944285714286</v>
      </c>
      <c r="I75" s="95" cm="1">
        <f ca="1" t="array" ref="I75">MIN(30-SUM(J75:L75),6-L75,_xlfn.XLOOKUP($D75&amp;"_"&amp;I$52,$B$14:$B$36&amp;"_"&amp;$C$14:$C$36,$D$14:$D$36)*$E75)</f>
        <v>0.378533571428571</v>
      </c>
      <c r="J75" s="95" cm="1">
        <f ca="1" t="array" ref="J75">MIN(8,_xlfn.XLOOKUP($D75&amp;"_"&amp;J$52,$B$14:$B$36&amp;"_"&amp;$C$14:$C$36,$D$14:$D$36)*$E75)</f>
        <v>0.3975</v>
      </c>
      <c r="K75" s="95" cm="1">
        <f ca="1" t="array" ref="K75">MIN(18,_xlfn.XLOOKUP($D75&amp;"_"&amp;K$52,$B$14:$B$36&amp;"_"&amp;$C$14:$C$36,$D$14:$D$36)*$E75)</f>
        <v>0.1484</v>
      </c>
      <c r="L75" s="95" cm="1">
        <f ca="1" t="array" ref="L75">MIN(6,_xlfn.XLOOKUP($D75&amp;"_"&amp;L$52,$B$14:$B$36&amp;"_"&amp;$C$14:$C$36,$D$14:$D$36)*$E75)</f>
        <v>0.27825</v>
      </c>
      <c r="M75" s="95" cm="1">
        <f ca="1" t="array" ref="M75">(1+SUMPRODUCT(G75:H75,OFFSET($H$40:$I$40,D75,0)))*(1+OFFSET($J$40,D75,0))^I75*(1+OFFSET($K$40,D75,0))^J75*(1+OFFSET($L$40,D75,0))^K75*(1+OFFSET($M$40,D75,0))^L75</f>
        <v>7.91847017003626</v>
      </c>
      <c r="N75" s="95">
        <f ca="1">MAX(MAX($N$53:N74),OFFSET($C$52,MATCH(M75*1.07,$M$53:$M$2052,1),0)-C75)</f>
        <v>4320</v>
      </c>
    </row>
    <row r="76" spans="2:14">
      <c r="B76" s="95">
        <v>24</v>
      </c>
      <c r="C76" s="95">
        <f t="shared" si="15"/>
        <v>8640</v>
      </c>
      <c r="D76" s="95">
        <f ca="1">_xlfn.XLOOKUP(总览!$B$44,$B$40:$B$45,$C$40:$C$45)</f>
        <v>5</v>
      </c>
      <c r="E76" s="95">
        <f ca="1" t="shared" si="12"/>
        <v>54</v>
      </c>
      <c r="F76" s="95">
        <f ca="1" t="shared" si="13"/>
        <v>0</v>
      </c>
      <c r="G76" s="95">
        <f ca="1" t="shared" si="14"/>
        <v>10.7746242857143</v>
      </c>
      <c r="H76" s="95" cm="1">
        <f ca="1" t="array" ref="H76">MIN(30-SUM(I76:L76),_xlfn.XLOOKUP($D76&amp;"_"&amp;H$52,$B$14:$B$36&amp;"_"&amp;$C$14:$C$36,$D$14:$D$36)*$E76,18)</f>
        <v>18</v>
      </c>
      <c r="I76" s="95" cm="1">
        <f ca="1" t="array" ref="I76">MIN(30-SUM(J76:L76),6-L76,_xlfn.XLOOKUP($D76&amp;"_"&amp;I$52,$B$14:$B$36&amp;"_"&amp;$C$14:$C$36,$D$14:$D$36)*$E76)</f>
        <v>0.385675714285714</v>
      </c>
      <c r="J76" s="95" cm="1">
        <f ca="1" t="array" ref="J76">MIN(8,_xlfn.XLOOKUP($D76&amp;"_"&amp;J$52,$B$14:$B$36&amp;"_"&amp;$C$14:$C$36,$D$14:$D$36)*$E76)</f>
        <v>0.405</v>
      </c>
      <c r="K76" s="95" cm="1">
        <f ca="1" t="array" ref="K76">MIN(18,_xlfn.XLOOKUP($D76&amp;"_"&amp;K$52,$B$14:$B$36&amp;"_"&amp;$C$14:$C$36,$D$14:$D$36)*$E76)</f>
        <v>0.1512</v>
      </c>
      <c r="L76" s="95" cm="1">
        <f ca="1" t="array" ref="L76">MIN(6,_xlfn.XLOOKUP($D76&amp;"_"&amp;L$52,$B$14:$B$36&amp;"_"&amp;$C$14:$C$36,$D$14:$D$36)*$E76)</f>
        <v>0.2835</v>
      </c>
      <c r="M76" s="95" cm="1">
        <f ca="1" t="array" ref="M76">(1+SUMPRODUCT(G76:H76,OFFSET($H$40:$I$40,D76,0)))*(1+OFFSET($J$40,D76,0))^I76*(1+OFFSET($K$40,D76,0))^J76*(1+OFFSET($L$40,D76,0))^K76*(1+OFFSET($M$40,D76,0))^L76</f>
        <v>7.99275154174066</v>
      </c>
      <c r="N76" s="95">
        <f ca="1">MAX(MAX($N$53:N75),OFFSET($C$52,MATCH(M76*1.07,$M$53:$M$2052,1),0)-C76)</f>
        <v>4680</v>
      </c>
    </row>
    <row r="77" spans="2:14">
      <c r="B77" s="95">
        <v>25</v>
      </c>
      <c r="C77" s="95">
        <f t="shared" si="15"/>
        <v>9000</v>
      </c>
      <c r="D77" s="95">
        <f ca="1">_xlfn.XLOOKUP(总览!$B$44,$B$40:$B$45,$C$40:$C$45)</f>
        <v>5</v>
      </c>
      <c r="E77" s="95">
        <f ca="1" t="shared" si="12"/>
        <v>55</v>
      </c>
      <c r="F77" s="95">
        <f ca="1" t="shared" si="13"/>
        <v>0</v>
      </c>
      <c r="G77" s="95">
        <f ca="1" t="shared" si="14"/>
        <v>10.7519321428571</v>
      </c>
      <c r="H77" s="95" cm="1">
        <f ca="1" t="array" ref="H77">MIN(30-SUM(I77:L77),_xlfn.XLOOKUP($D77&amp;"_"&amp;H$52,$B$14:$B$36&amp;"_"&amp;$C$14:$C$36,$D$14:$D$36)*$E77,18)</f>
        <v>18</v>
      </c>
      <c r="I77" s="95" cm="1">
        <f ca="1" t="array" ref="I77">MIN(30-SUM(J77:L77),6-L77,_xlfn.XLOOKUP($D77&amp;"_"&amp;I$52,$B$14:$B$36&amp;"_"&amp;$C$14:$C$36,$D$14:$D$36)*$E77)</f>
        <v>0.392817857142856</v>
      </c>
      <c r="J77" s="95" cm="1">
        <f ca="1" t="array" ref="J77">MIN(8,_xlfn.XLOOKUP($D77&amp;"_"&amp;J$52,$B$14:$B$36&amp;"_"&amp;$C$14:$C$36,$D$14:$D$36)*$E77)</f>
        <v>0.4125</v>
      </c>
      <c r="K77" s="95" cm="1">
        <f ca="1" t="array" ref="K77">MIN(18,_xlfn.XLOOKUP($D77&amp;"_"&amp;K$52,$B$14:$B$36&amp;"_"&amp;$C$14:$C$36,$D$14:$D$36)*$E77)</f>
        <v>0.154</v>
      </c>
      <c r="L77" s="95" cm="1">
        <f ca="1" t="array" ref="L77">MIN(6,_xlfn.XLOOKUP($D77&amp;"_"&amp;L$52,$B$14:$B$36&amp;"_"&amp;$C$14:$C$36,$D$14:$D$36)*$E77)</f>
        <v>0.28875</v>
      </c>
      <c r="M77" s="95" cm="1">
        <f ca="1" t="array" ref="M77">(1+SUMPRODUCT(G77:H77,OFFSET($H$40:$I$40,D77,0)))*(1+OFFSET($J$40,D77,0))^I77*(1+OFFSET($K$40,D77,0))^J77*(1+OFFSET($L$40,D77,0))^K77*(1+OFFSET($M$40,D77,0))^L77</f>
        <v>8.03427615092306</v>
      </c>
      <c r="N77" s="95">
        <f ca="1">MAX(MAX($N$53:N76),OFFSET($C$52,MATCH(M77*1.07,$M$53:$M$2052,1),0)-C77)</f>
        <v>4680</v>
      </c>
    </row>
    <row r="78" spans="2:14">
      <c r="B78" s="95">
        <v>26</v>
      </c>
      <c r="C78" s="95">
        <f t="shared" si="15"/>
        <v>9360</v>
      </c>
      <c r="D78" s="95">
        <f ca="1">_xlfn.XLOOKUP(总览!$B$44,$B$40:$B$45,$C$40:$C$45)</f>
        <v>5</v>
      </c>
      <c r="E78" s="95">
        <f ca="1" t="shared" si="12"/>
        <v>56</v>
      </c>
      <c r="F78" s="95">
        <f ca="1" t="shared" si="13"/>
        <v>0</v>
      </c>
      <c r="G78" s="95">
        <f ca="1" t="shared" si="14"/>
        <v>10.72924</v>
      </c>
      <c r="H78" s="95" cm="1">
        <f ca="1" t="array" ref="H78">MIN(30-SUM(I78:L78),_xlfn.XLOOKUP($D78&amp;"_"&amp;H$52,$B$14:$B$36&amp;"_"&amp;$C$14:$C$36,$D$14:$D$36)*$E78,18)</f>
        <v>18</v>
      </c>
      <c r="I78" s="95" cm="1">
        <f ca="1" t="array" ref="I78">MIN(30-SUM(J78:L78),6-L78,_xlfn.XLOOKUP($D78&amp;"_"&amp;I$52,$B$14:$B$36&amp;"_"&amp;$C$14:$C$36,$D$14:$D$36)*$E78)</f>
        <v>0.399959999999999</v>
      </c>
      <c r="J78" s="95" cm="1">
        <f ca="1" t="array" ref="J78">MIN(8,_xlfn.XLOOKUP($D78&amp;"_"&amp;J$52,$B$14:$B$36&amp;"_"&amp;$C$14:$C$36,$D$14:$D$36)*$E78)</f>
        <v>0.42</v>
      </c>
      <c r="K78" s="95" cm="1">
        <f ca="1" t="array" ref="K78">MIN(18,_xlfn.XLOOKUP($D78&amp;"_"&amp;K$52,$B$14:$B$36&amp;"_"&amp;$C$14:$C$36,$D$14:$D$36)*$E78)</f>
        <v>0.1568</v>
      </c>
      <c r="L78" s="95" cm="1">
        <f ca="1" t="array" ref="L78">MIN(6,_xlfn.XLOOKUP($D78&amp;"_"&amp;L$52,$B$14:$B$36&amp;"_"&amp;$C$14:$C$36,$D$14:$D$36)*$E78)</f>
        <v>0.294</v>
      </c>
      <c r="M78" s="95" cm="1">
        <f ca="1" t="array" ref="M78">(1+SUMPRODUCT(G78:H78,OFFSET($H$40:$I$40,D78,0)))*(1+OFFSET($J$40,D78,0))^I78*(1+OFFSET($K$40,D78,0))^J78*(1+OFFSET($L$40,D78,0))^K78*(1+OFFSET($M$40,D78,0))^L78</f>
        <v>8.07601476619667</v>
      </c>
      <c r="N78" s="95">
        <f ca="1">MAX(MAX($N$53:N77),OFFSET($C$52,MATCH(M78*1.07,$M$53:$M$2052,1),0)-C78)</f>
        <v>4680</v>
      </c>
    </row>
    <row r="79" spans="2:14">
      <c r="B79" s="95">
        <v>27</v>
      </c>
      <c r="C79" s="95">
        <f t="shared" si="15"/>
        <v>9720</v>
      </c>
      <c r="D79" s="95">
        <f ca="1">_xlfn.XLOOKUP(总览!$B$44,$B$40:$B$45,$C$40:$C$45)</f>
        <v>5</v>
      </c>
      <c r="E79" s="95">
        <f ca="1" t="shared" si="12"/>
        <v>57</v>
      </c>
      <c r="F79" s="95">
        <f ca="1" t="shared" si="13"/>
        <v>0</v>
      </c>
      <c r="G79" s="95">
        <f ca="1" t="shared" si="14"/>
        <v>10.7065478571429</v>
      </c>
      <c r="H79" s="95" cm="1">
        <f ca="1" t="array" ref="H79">MIN(30-SUM(I79:L79),_xlfn.XLOOKUP($D79&amp;"_"&amp;H$52,$B$14:$B$36&amp;"_"&amp;$C$14:$C$36,$D$14:$D$36)*$E79,18)</f>
        <v>18</v>
      </c>
      <c r="I79" s="95" cm="1">
        <f ca="1" t="array" ref="I79">MIN(30-SUM(J79:L79),6-L79,_xlfn.XLOOKUP($D79&amp;"_"&amp;I$52,$B$14:$B$36&amp;"_"&amp;$C$14:$C$36,$D$14:$D$36)*$E79)</f>
        <v>0.407102142857142</v>
      </c>
      <c r="J79" s="95" cm="1">
        <f ca="1" t="array" ref="J79">MIN(8,_xlfn.XLOOKUP($D79&amp;"_"&amp;J$52,$B$14:$B$36&amp;"_"&amp;$C$14:$C$36,$D$14:$D$36)*$E79)</f>
        <v>0.4275</v>
      </c>
      <c r="K79" s="95" cm="1">
        <f ca="1" t="array" ref="K79">MIN(18,_xlfn.XLOOKUP($D79&amp;"_"&amp;K$52,$B$14:$B$36&amp;"_"&amp;$C$14:$C$36,$D$14:$D$36)*$E79)</f>
        <v>0.1596</v>
      </c>
      <c r="L79" s="95" cm="1">
        <f ca="1" t="array" ref="L79">MIN(6,_xlfn.XLOOKUP($D79&amp;"_"&amp;L$52,$B$14:$B$36&amp;"_"&amp;$C$14:$C$36,$D$14:$D$36)*$E79)</f>
        <v>0.29925</v>
      </c>
      <c r="M79" s="95" cm="1">
        <f ca="1" t="array" ref="M79">(1+SUMPRODUCT(G79:H79,OFFSET($H$40:$I$40,D79,0)))*(1+OFFSET($J$40,D79,0))^I79*(1+OFFSET($K$40,D79,0))^J79*(1+OFFSET($L$40,D79,0))^K79*(1+OFFSET($M$40,D79,0))^L79</f>
        <v>8.11796847984528</v>
      </c>
      <c r="N79" s="95">
        <f ca="1">MAX(MAX($N$53:N78),OFFSET($C$52,MATCH(M79*1.07,$M$53:$M$2052,1),0)-C79)</f>
        <v>4680</v>
      </c>
    </row>
    <row r="80" spans="2:14">
      <c r="B80" s="95">
        <v>28</v>
      </c>
      <c r="C80" s="95">
        <f t="shared" si="15"/>
        <v>10080</v>
      </c>
      <c r="D80" s="95">
        <f ca="1">_xlfn.XLOOKUP(总览!$B$44,$B$40:$B$45,$C$40:$C$45)</f>
        <v>5</v>
      </c>
      <c r="E80" s="95">
        <f ca="1" t="shared" si="12"/>
        <v>58</v>
      </c>
      <c r="F80" s="95">
        <f ca="1" t="shared" si="13"/>
        <v>0</v>
      </c>
      <c r="G80" s="95">
        <f ca="1" t="shared" si="14"/>
        <v>10.6838557142857</v>
      </c>
      <c r="H80" s="95" cm="1">
        <f ca="1" t="array" ref="H80">MIN(30-SUM(I80:L80),_xlfn.XLOOKUP($D80&amp;"_"&amp;H$52,$B$14:$B$36&amp;"_"&amp;$C$14:$C$36,$D$14:$D$36)*$E80,18)</f>
        <v>18</v>
      </c>
      <c r="I80" s="95" cm="1">
        <f ca="1" t="array" ref="I80">MIN(30-SUM(J80:L80),6-L80,_xlfn.XLOOKUP($D80&amp;"_"&amp;I$52,$B$14:$B$36&amp;"_"&amp;$C$14:$C$36,$D$14:$D$36)*$E80)</f>
        <v>0.414244285714285</v>
      </c>
      <c r="J80" s="95" cm="1">
        <f ca="1" t="array" ref="J80">MIN(8,_xlfn.XLOOKUP($D80&amp;"_"&amp;J$52,$B$14:$B$36&amp;"_"&amp;$C$14:$C$36,$D$14:$D$36)*$E80)</f>
        <v>0.435</v>
      </c>
      <c r="K80" s="95" cm="1">
        <f ca="1" t="array" ref="K80">MIN(18,_xlfn.XLOOKUP($D80&amp;"_"&amp;K$52,$B$14:$B$36&amp;"_"&amp;$C$14:$C$36,$D$14:$D$36)*$E80)</f>
        <v>0.1624</v>
      </c>
      <c r="L80" s="95" cm="1">
        <f ca="1" t="array" ref="L80">MIN(6,_xlfn.XLOOKUP($D80&amp;"_"&amp;L$52,$B$14:$B$36&amp;"_"&amp;$C$14:$C$36,$D$14:$D$36)*$E80)</f>
        <v>0.3045</v>
      </c>
      <c r="M80" s="95" cm="1">
        <f ca="1" t="array" ref="M80">(1+SUMPRODUCT(G80:H80,OFFSET($H$40:$I$40,D80,0)))*(1+OFFSET($J$40,D80,0))^I80*(1+OFFSET($K$40,D80,0))^J80*(1+OFFSET($L$40,D80,0))^K80*(1+OFFSET($M$40,D80,0))^L80</f>
        <v>8.16013838966151</v>
      </c>
      <c r="N80" s="95">
        <f ca="1">MAX(MAX($N$53:N79),OFFSET($C$52,MATCH(M80*1.07,$M$53:$M$2052,1),0)-C80)</f>
        <v>4680</v>
      </c>
    </row>
    <row r="81" spans="2:14">
      <c r="B81" s="95">
        <v>29</v>
      </c>
      <c r="C81" s="95">
        <f t="shared" si="15"/>
        <v>10440</v>
      </c>
      <c r="D81" s="95">
        <f ca="1">_xlfn.XLOOKUP(总览!$B$44,$B$40:$B$45,$C$40:$C$45)</f>
        <v>5</v>
      </c>
      <c r="E81" s="95">
        <f ca="1" t="shared" si="12"/>
        <v>59</v>
      </c>
      <c r="F81" s="95">
        <f ca="1" t="shared" si="13"/>
        <v>0</v>
      </c>
      <c r="G81" s="95">
        <f ca="1" t="shared" si="14"/>
        <v>10.6611635714286</v>
      </c>
      <c r="H81" s="95" cm="1">
        <f ca="1" t="array" ref="H81">MIN(30-SUM(I81:L81),_xlfn.XLOOKUP($D81&amp;"_"&amp;H$52,$B$14:$B$36&amp;"_"&amp;$C$14:$C$36,$D$14:$D$36)*$E81,18)</f>
        <v>18</v>
      </c>
      <c r="I81" s="95" cm="1">
        <f ca="1" t="array" ref="I81">MIN(30-SUM(J81:L81),6-L81,_xlfn.XLOOKUP($D81&amp;"_"&amp;I$52,$B$14:$B$36&amp;"_"&amp;$C$14:$C$36,$D$14:$D$36)*$E81)</f>
        <v>0.421386428571428</v>
      </c>
      <c r="J81" s="95" cm="1">
        <f ca="1" t="array" ref="J81">MIN(8,_xlfn.XLOOKUP($D81&amp;"_"&amp;J$52,$B$14:$B$36&amp;"_"&amp;$C$14:$C$36,$D$14:$D$36)*$E81)</f>
        <v>0.4425</v>
      </c>
      <c r="K81" s="95" cm="1">
        <f ca="1" t="array" ref="K81">MIN(18,_xlfn.XLOOKUP($D81&amp;"_"&amp;K$52,$B$14:$B$36&amp;"_"&amp;$C$14:$C$36,$D$14:$D$36)*$E81)</f>
        <v>0.1652</v>
      </c>
      <c r="L81" s="95" cm="1">
        <f ca="1" t="array" ref="L81">MIN(6,_xlfn.XLOOKUP($D81&amp;"_"&amp;L$52,$B$14:$B$36&amp;"_"&amp;$C$14:$C$36,$D$14:$D$36)*$E81)</f>
        <v>0.30975</v>
      </c>
      <c r="M81" s="95" cm="1">
        <f ca="1" t="array" ref="M81">(1+SUMPRODUCT(G81:H81,OFFSET($H$40:$I$40,D81,0)))*(1+OFFSET($J$40,D81,0))^I81*(1+OFFSET($K$40,D81,0))^J81*(1+OFFSET($L$40,D81,0))^K81*(1+OFFSET($M$40,D81,0))^L81</f>
        <v>8.2025255989742</v>
      </c>
      <c r="N81" s="95">
        <f ca="1">MAX(MAX($N$53:N80),OFFSET($C$52,MATCH(M81*1.07,$M$53:$M$2052,1),0)-C81)</f>
        <v>4680</v>
      </c>
    </row>
    <row r="82" spans="2:14">
      <c r="B82" s="95">
        <v>30</v>
      </c>
      <c r="C82" s="95">
        <f t="shared" si="15"/>
        <v>10800</v>
      </c>
      <c r="D82" s="95">
        <f ca="1">_xlfn.XLOOKUP(总览!$B$44,$B$40:$B$45,$C$40:$C$45)</f>
        <v>5</v>
      </c>
      <c r="E82" s="95">
        <f ca="1" t="shared" si="12"/>
        <v>60</v>
      </c>
      <c r="F82" s="95">
        <f ca="1" t="shared" si="13"/>
        <v>0</v>
      </c>
      <c r="G82" s="95">
        <f ca="1" t="shared" si="14"/>
        <v>10.6384714285714</v>
      </c>
      <c r="H82" s="95" cm="1">
        <f ca="1" t="array" ref="H82">MIN(30-SUM(I82:L82),_xlfn.XLOOKUP($D82&amp;"_"&amp;H$52,$B$14:$B$36&amp;"_"&amp;$C$14:$C$36,$D$14:$D$36)*$E82,18)</f>
        <v>18</v>
      </c>
      <c r="I82" s="95" cm="1">
        <f ca="1" t="array" ref="I82">MIN(30-SUM(J82:L82),6-L82,_xlfn.XLOOKUP($D82&amp;"_"&amp;I$52,$B$14:$B$36&amp;"_"&amp;$C$14:$C$36,$D$14:$D$36)*$E82)</f>
        <v>0.428528571428571</v>
      </c>
      <c r="J82" s="95" cm="1">
        <f ca="1" t="array" ref="J82">MIN(8,_xlfn.XLOOKUP($D82&amp;"_"&amp;J$52,$B$14:$B$36&amp;"_"&amp;$C$14:$C$36,$D$14:$D$36)*$E82)</f>
        <v>0.45</v>
      </c>
      <c r="K82" s="95" cm="1">
        <f ca="1" t="array" ref="K82">MIN(18,_xlfn.XLOOKUP($D82&amp;"_"&amp;K$52,$B$14:$B$36&amp;"_"&amp;$C$14:$C$36,$D$14:$D$36)*$E82)</f>
        <v>0.168</v>
      </c>
      <c r="L82" s="95" cm="1">
        <f ca="1" t="array" ref="L82">MIN(6,_xlfn.XLOOKUP($D82&amp;"_"&amp;L$52,$B$14:$B$36&amp;"_"&amp;$C$14:$C$36,$D$14:$D$36)*$E82)</f>
        <v>0.315</v>
      </c>
      <c r="M82" s="95" cm="1">
        <f ca="1" t="array" ref="M82">(1+SUMPRODUCT(G82:H82,OFFSET($H$40:$I$40,D82,0)))*(1+OFFSET($J$40,D82,0))^I82*(1+OFFSET($K$40,D82,0))^J82*(1+OFFSET($L$40,D82,0))^K82*(1+OFFSET($M$40,D82,0))^L82</f>
        <v>8.24513121667591</v>
      </c>
      <c r="N82" s="95">
        <f ca="1">MAX(MAX($N$53:N81),OFFSET($C$52,MATCH(M82*1.07,$M$53:$M$2052,1),0)-C82)</f>
        <v>4680</v>
      </c>
    </row>
    <row r="83" spans="2:14">
      <c r="B83" s="95">
        <v>31</v>
      </c>
      <c r="C83" s="95">
        <f t="shared" si="15"/>
        <v>11160</v>
      </c>
      <c r="D83" s="95">
        <f ca="1">_xlfn.XLOOKUP(总览!$B$44,$B$40:$B$45,$C$40:$C$45)</f>
        <v>5</v>
      </c>
      <c r="E83" s="95">
        <f ca="1" t="shared" si="12"/>
        <v>61</v>
      </c>
      <c r="F83" s="95">
        <f ca="1" t="shared" si="13"/>
        <v>0</v>
      </c>
      <c r="G83" s="95">
        <f ca="1" t="shared" si="14"/>
        <v>10.6157792857143</v>
      </c>
      <c r="H83" s="95" cm="1">
        <f ca="1" t="array" ref="H83">MIN(30-SUM(I83:L83),_xlfn.XLOOKUP($D83&amp;"_"&amp;H$52,$B$14:$B$36&amp;"_"&amp;$C$14:$C$36,$D$14:$D$36)*$E83,18)</f>
        <v>18</v>
      </c>
      <c r="I83" s="95" cm="1">
        <f ca="1" t="array" ref="I83">MIN(30-SUM(J83:L83),6-L83,_xlfn.XLOOKUP($D83&amp;"_"&amp;I$52,$B$14:$B$36&amp;"_"&amp;$C$14:$C$36,$D$14:$D$36)*$E83)</f>
        <v>0.435670714285713</v>
      </c>
      <c r="J83" s="95" cm="1">
        <f ca="1" t="array" ref="J83">MIN(8,_xlfn.XLOOKUP($D83&amp;"_"&amp;J$52,$B$14:$B$36&amp;"_"&amp;$C$14:$C$36,$D$14:$D$36)*$E83)</f>
        <v>0.4575</v>
      </c>
      <c r="K83" s="95" cm="1">
        <f ca="1" t="array" ref="K83">MIN(18,_xlfn.XLOOKUP($D83&amp;"_"&amp;K$52,$B$14:$B$36&amp;"_"&amp;$C$14:$C$36,$D$14:$D$36)*$E83)</f>
        <v>0.1708</v>
      </c>
      <c r="L83" s="95" cm="1">
        <f ca="1" t="array" ref="L83">MIN(6,_xlfn.XLOOKUP($D83&amp;"_"&amp;L$52,$B$14:$B$36&amp;"_"&amp;$C$14:$C$36,$D$14:$D$36)*$E83)</f>
        <v>0.32025</v>
      </c>
      <c r="M83" s="95" cm="1">
        <f ca="1" t="array" ref="M83">(1+SUMPRODUCT(G83:H83,OFFSET($H$40:$I$40,D83,0)))*(1+OFFSET($J$40,D83,0))^I83*(1+OFFSET($K$40,D83,0))^J83*(1+OFFSET($L$40,D83,0))^K83*(1+OFFSET($M$40,D83,0))^L83</f>
        <v>8.28795635725053</v>
      </c>
      <c r="N83" s="95">
        <f ca="1">MAX(MAX($N$53:N82),OFFSET($C$52,MATCH(M83*1.07,$M$53:$M$2052,1),0)-C83)</f>
        <v>4680</v>
      </c>
    </row>
    <row r="84" spans="2:14">
      <c r="B84" s="95">
        <v>32</v>
      </c>
      <c r="C84" s="95">
        <f t="shared" si="15"/>
        <v>11520</v>
      </c>
      <c r="D84" s="95">
        <f ca="1">_xlfn.XLOOKUP(总览!$B$44,$B$40:$B$45,$C$40:$C$45)</f>
        <v>5</v>
      </c>
      <c r="E84" s="95">
        <f ca="1" t="shared" si="12"/>
        <v>62</v>
      </c>
      <c r="F84" s="95">
        <f ca="1" t="shared" si="13"/>
        <v>0</v>
      </c>
      <c r="G84" s="95">
        <f ca="1" t="shared" si="14"/>
        <v>10.5930871428571</v>
      </c>
      <c r="H84" s="95" cm="1">
        <f ca="1" t="array" ref="H84">MIN(30-SUM(I84:L84),_xlfn.XLOOKUP($D84&amp;"_"&amp;H$52,$B$14:$B$36&amp;"_"&amp;$C$14:$C$36,$D$14:$D$36)*$E84,18)</f>
        <v>18</v>
      </c>
      <c r="I84" s="95" cm="1">
        <f ca="1" t="array" ref="I84">MIN(30-SUM(J84:L84),6-L84,_xlfn.XLOOKUP($D84&amp;"_"&amp;I$52,$B$14:$B$36&amp;"_"&amp;$C$14:$C$36,$D$14:$D$36)*$E84)</f>
        <v>0.442812857142856</v>
      </c>
      <c r="J84" s="95" cm="1">
        <f ca="1" t="array" ref="J84">MIN(8,_xlfn.XLOOKUP($D84&amp;"_"&amp;J$52,$B$14:$B$36&amp;"_"&amp;$C$14:$C$36,$D$14:$D$36)*$E84)</f>
        <v>0.465</v>
      </c>
      <c r="K84" s="95" cm="1">
        <f ca="1" t="array" ref="K84">MIN(18,_xlfn.XLOOKUP($D84&amp;"_"&amp;K$52,$B$14:$B$36&amp;"_"&amp;$C$14:$C$36,$D$14:$D$36)*$E84)</f>
        <v>0.1736</v>
      </c>
      <c r="L84" s="95" cm="1">
        <f ca="1" t="array" ref="L84">MIN(6,_xlfn.XLOOKUP($D84&amp;"_"&amp;L$52,$B$14:$B$36&amp;"_"&amp;$C$14:$C$36,$D$14:$D$36)*$E84)</f>
        <v>0.3255</v>
      </c>
      <c r="M84" s="95" cm="1">
        <f ca="1" t="array" ref="M84">(1+SUMPRODUCT(G84:H84,OFFSET($H$40:$I$40,D84,0)))*(1+OFFSET($J$40,D84,0))^I84*(1+OFFSET($K$40,D84,0))^J84*(1+OFFSET($L$40,D84,0))^K84*(1+OFFSET($M$40,D84,0))^L84</f>
        <v>8.33100214080107</v>
      </c>
      <c r="N84" s="95">
        <f ca="1">MAX(MAX($N$53:N83),OFFSET($C$52,MATCH(M84*1.07,$M$53:$M$2052,1),0)-C84)</f>
        <v>4680</v>
      </c>
    </row>
    <row r="85" spans="2:14">
      <c r="B85" s="95">
        <v>33</v>
      </c>
      <c r="C85" s="95">
        <f t="shared" si="15"/>
        <v>11880</v>
      </c>
      <c r="D85" s="95">
        <f ca="1">_xlfn.XLOOKUP(总览!$B$44,$B$40:$B$45,$C$40:$C$45)</f>
        <v>5</v>
      </c>
      <c r="E85" s="95">
        <f ca="1" t="shared" si="12"/>
        <v>63</v>
      </c>
      <c r="F85" s="95">
        <f ca="1" t="shared" si="13"/>
        <v>0</v>
      </c>
      <c r="G85" s="95">
        <f ca="1" t="shared" si="14"/>
        <v>10.570395</v>
      </c>
      <c r="H85" s="95" cm="1">
        <f ca="1" t="array" ref="H85">MIN(30-SUM(I85:L85),_xlfn.XLOOKUP($D85&amp;"_"&amp;H$52,$B$14:$B$36&amp;"_"&amp;$C$14:$C$36,$D$14:$D$36)*$E85,18)</f>
        <v>18</v>
      </c>
      <c r="I85" s="95" cm="1">
        <f ca="1" t="array" ref="I85">MIN(30-SUM(J85:L85),6-L85,_xlfn.XLOOKUP($D85&amp;"_"&amp;I$52,$B$14:$B$36&amp;"_"&amp;$C$14:$C$36,$D$14:$D$36)*$E85)</f>
        <v>0.449954999999999</v>
      </c>
      <c r="J85" s="95" cm="1">
        <f ca="1" t="array" ref="J85">MIN(8,_xlfn.XLOOKUP($D85&amp;"_"&amp;J$52,$B$14:$B$36&amp;"_"&amp;$C$14:$C$36,$D$14:$D$36)*$E85)</f>
        <v>0.4725</v>
      </c>
      <c r="K85" s="95" cm="1">
        <f ca="1" t="array" ref="K85">MIN(18,_xlfn.XLOOKUP($D85&amp;"_"&amp;K$52,$B$14:$B$36&amp;"_"&amp;$C$14:$C$36,$D$14:$D$36)*$E85)</f>
        <v>0.1764</v>
      </c>
      <c r="L85" s="95" cm="1">
        <f ca="1" t="array" ref="L85">MIN(6,_xlfn.XLOOKUP($D85&amp;"_"&amp;L$52,$B$14:$B$36&amp;"_"&amp;$C$14:$C$36,$D$14:$D$36)*$E85)</f>
        <v>0.33075</v>
      </c>
      <c r="M85" s="95" cm="1">
        <f ca="1" t="array" ref="M85">(1+SUMPRODUCT(G85:H85,OFFSET($H$40:$I$40,D85,0)))*(1+OFFSET($J$40,D85,0))^I85*(1+OFFSET($K$40,D85,0))^J85*(1+OFFSET($L$40,D85,0))^K85*(1+OFFSET($M$40,D85,0))^L85</f>
        <v>8.37426969307758</v>
      </c>
      <c r="N85" s="95">
        <f ca="1">MAX(MAX($N$53:N84),OFFSET($C$52,MATCH(M85*1.07,$M$53:$M$2052,1),0)-C85)</f>
        <v>4680</v>
      </c>
    </row>
    <row r="86" spans="2:14">
      <c r="B86" s="95">
        <v>34</v>
      </c>
      <c r="C86" s="95">
        <f t="shared" si="15"/>
        <v>12240</v>
      </c>
      <c r="D86" s="95">
        <f ca="1">_xlfn.XLOOKUP(总览!$B$44,$B$40:$B$45,$C$40:$C$45)</f>
        <v>5</v>
      </c>
      <c r="E86" s="95">
        <f ca="1" t="shared" si="12"/>
        <v>64</v>
      </c>
      <c r="F86" s="95">
        <f ca="1" t="shared" si="13"/>
        <v>0</v>
      </c>
      <c r="G86" s="95">
        <f ca="1" t="shared" si="14"/>
        <v>10.5477028571429</v>
      </c>
      <c r="H86" s="95" cm="1">
        <f ca="1" t="array" ref="H86">MIN(30-SUM(I86:L86),_xlfn.XLOOKUP($D86&amp;"_"&amp;H$52,$B$14:$B$36&amp;"_"&amp;$C$14:$C$36,$D$14:$D$36)*$E86,18)</f>
        <v>18</v>
      </c>
      <c r="I86" s="95" cm="1">
        <f ca="1" t="array" ref="I86">MIN(30-SUM(J86:L86),6-L86,_xlfn.XLOOKUP($D86&amp;"_"&amp;I$52,$B$14:$B$36&amp;"_"&amp;$C$14:$C$36,$D$14:$D$36)*$E86)</f>
        <v>0.457097142857142</v>
      </c>
      <c r="J86" s="95" cm="1">
        <f ca="1" t="array" ref="J86">MIN(8,_xlfn.XLOOKUP($D86&amp;"_"&amp;J$52,$B$14:$B$36&amp;"_"&amp;$C$14:$C$36,$D$14:$D$36)*$E86)</f>
        <v>0.48</v>
      </c>
      <c r="K86" s="95" cm="1">
        <f ca="1" t="array" ref="K86">MIN(18,_xlfn.XLOOKUP($D86&amp;"_"&amp;K$52,$B$14:$B$36&amp;"_"&amp;$C$14:$C$36,$D$14:$D$36)*$E86)</f>
        <v>0.1792</v>
      </c>
      <c r="L86" s="95" cm="1">
        <f ca="1" t="array" ref="L86">MIN(6,_xlfn.XLOOKUP($D86&amp;"_"&amp;L$52,$B$14:$B$36&amp;"_"&amp;$C$14:$C$36,$D$14:$D$36)*$E86)</f>
        <v>0.336</v>
      </c>
      <c r="M86" s="95" cm="1">
        <f ca="1" t="array" ref="M86">(1+SUMPRODUCT(G86:H86,OFFSET($H$40:$I$40,D86,0)))*(1+OFFSET($J$40,D86,0))^I86*(1+OFFSET($K$40,D86,0))^J86*(1+OFFSET($L$40,D86,0))^K86*(1+OFFSET($M$40,D86,0))^L86</f>
        <v>8.41776014550516</v>
      </c>
      <c r="N86" s="95">
        <f ca="1">MAX(MAX($N$53:N85),OFFSET($C$52,MATCH(M86*1.07,$M$53:$M$2052,1),0)-C86)</f>
        <v>4680</v>
      </c>
    </row>
    <row r="87" spans="2:14">
      <c r="B87" s="95">
        <v>35</v>
      </c>
      <c r="C87" s="95">
        <f t="shared" si="15"/>
        <v>12600</v>
      </c>
      <c r="D87" s="95">
        <f ca="1">_xlfn.XLOOKUP(总览!$B$44,$B$40:$B$45,$C$40:$C$45)</f>
        <v>5</v>
      </c>
      <c r="E87" s="95">
        <f ca="1" t="shared" si="12"/>
        <v>65</v>
      </c>
      <c r="F87" s="95">
        <f ca="1" t="shared" si="13"/>
        <v>0</v>
      </c>
      <c r="G87" s="95">
        <f ca="1" t="shared" si="14"/>
        <v>10.5250107142857</v>
      </c>
      <c r="H87" s="95" cm="1">
        <f ca="1" t="array" ref="H87">MIN(30-SUM(I87:L87),_xlfn.XLOOKUP($D87&amp;"_"&amp;H$52,$B$14:$B$36&amp;"_"&amp;$C$14:$C$36,$D$14:$D$36)*$E87,18)</f>
        <v>18</v>
      </c>
      <c r="I87" s="95" cm="1">
        <f ca="1" t="array" ref="I87">MIN(30-SUM(J87:L87),6-L87,_xlfn.XLOOKUP($D87&amp;"_"&amp;I$52,$B$14:$B$36&amp;"_"&amp;$C$14:$C$36,$D$14:$D$36)*$E87)</f>
        <v>0.464239285714285</v>
      </c>
      <c r="J87" s="95" cm="1">
        <f ca="1" t="array" ref="J87">MIN(8,_xlfn.XLOOKUP($D87&amp;"_"&amp;J$52,$B$14:$B$36&amp;"_"&amp;$C$14:$C$36,$D$14:$D$36)*$E87)</f>
        <v>0.4875</v>
      </c>
      <c r="K87" s="95" cm="1">
        <f ca="1" t="array" ref="K87">MIN(18,_xlfn.XLOOKUP($D87&amp;"_"&amp;K$52,$B$14:$B$36&amp;"_"&amp;$C$14:$C$36,$D$14:$D$36)*$E87)</f>
        <v>0.182</v>
      </c>
      <c r="L87" s="95" cm="1">
        <f ca="1" t="array" ref="L87">MIN(6,_xlfn.XLOOKUP($D87&amp;"_"&amp;L$52,$B$14:$B$36&amp;"_"&amp;$C$14:$C$36,$D$14:$D$36)*$E87)</f>
        <v>0.34125</v>
      </c>
      <c r="M87" s="95" cm="1">
        <f ca="1" t="array" ref="M87">(1+SUMPRODUCT(G87:H87,OFFSET($H$40:$I$40,D87,0)))*(1+OFFSET($J$40,D87,0))^I87*(1+OFFSET($K$40,D87,0))^J87*(1+OFFSET($L$40,D87,0))^K87*(1+OFFSET($M$40,D87,0))^L87</f>
        <v>8.46147463521214</v>
      </c>
      <c r="N87" s="95">
        <f ca="1">MAX(MAX($N$53:N86),OFFSET($C$52,MATCH(M87*1.07,$M$53:$M$2052,1),0)-C87)</f>
        <v>4680</v>
      </c>
    </row>
    <row r="88" spans="2:14">
      <c r="B88" s="95">
        <v>36</v>
      </c>
      <c r="C88" s="95">
        <f t="shared" si="15"/>
        <v>12960</v>
      </c>
      <c r="D88" s="95">
        <f ca="1">_xlfn.XLOOKUP(总览!$B$44,$B$40:$B$45,$C$40:$C$45)</f>
        <v>5</v>
      </c>
      <c r="E88" s="95">
        <f ca="1" t="shared" si="12"/>
        <v>66</v>
      </c>
      <c r="F88" s="95">
        <f ca="1" t="shared" si="13"/>
        <v>0</v>
      </c>
      <c r="G88" s="95">
        <f ca="1" t="shared" si="14"/>
        <v>10.5023185714286</v>
      </c>
      <c r="H88" s="95" cm="1">
        <f ca="1" t="array" ref="H88">MIN(30-SUM(I88:L88),_xlfn.XLOOKUP($D88&amp;"_"&amp;H$52,$B$14:$B$36&amp;"_"&amp;$C$14:$C$36,$D$14:$D$36)*$E88,18)</f>
        <v>18</v>
      </c>
      <c r="I88" s="95" cm="1">
        <f ca="1" t="array" ref="I88">MIN(30-SUM(J88:L88),6-L88,_xlfn.XLOOKUP($D88&amp;"_"&amp;I$52,$B$14:$B$36&amp;"_"&amp;$C$14:$C$36,$D$14:$D$36)*$E88)</f>
        <v>0.471381428571428</v>
      </c>
      <c r="J88" s="95" cm="1">
        <f ca="1" t="array" ref="J88">MIN(8,_xlfn.XLOOKUP($D88&amp;"_"&amp;J$52,$B$14:$B$36&amp;"_"&amp;$C$14:$C$36,$D$14:$D$36)*$E88)</f>
        <v>0.495</v>
      </c>
      <c r="K88" s="95" cm="1">
        <f ca="1" t="array" ref="K88">MIN(18,_xlfn.XLOOKUP($D88&amp;"_"&amp;K$52,$B$14:$B$36&amp;"_"&amp;$C$14:$C$36,$D$14:$D$36)*$E88)</f>
        <v>0.1848</v>
      </c>
      <c r="L88" s="95" cm="1">
        <f ca="1" t="array" ref="L88">MIN(6,_xlfn.XLOOKUP($D88&amp;"_"&amp;L$52,$B$14:$B$36&amp;"_"&amp;$C$14:$C$36,$D$14:$D$36)*$E88)</f>
        <v>0.3465</v>
      </c>
      <c r="M88" s="95" cm="1">
        <f ca="1" t="array" ref="M88">(1+SUMPRODUCT(G88:H88,OFFSET($H$40:$I$40,D88,0)))*(1+OFFSET($J$40,D88,0))^I88*(1+OFFSET($K$40,D88,0))^J88*(1+OFFSET($L$40,D88,0))^K88*(1+OFFSET($M$40,D88,0))^L88</f>
        <v>8.50541430505844</v>
      </c>
      <c r="N88" s="95">
        <f ca="1">MAX(MAX($N$53:N87),OFFSET($C$52,MATCH(M88*1.07,$M$53:$M$2052,1),0)-C88)</f>
        <v>4680</v>
      </c>
    </row>
    <row r="89" spans="2:14">
      <c r="B89" s="95">
        <v>37</v>
      </c>
      <c r="C89" s="95">
        <f t="shared" si="15"/>
        <v>13320</v>
      </c>
      <c r="D89" s="95">
        <f ca="1">_xlfn.XLOOKUP(总览!$B$44,$B$40:$B$45,$C$40:$C$45)</f>
        <v>5</v>
      </c>
      <c r="E89" s="95">
        <f ca="1" t="shared" si="12"/>
        <v>67</v>
      </c>
      <c r="F89" s="95">
        <f ca="1" t="shared" si="13"/>
        <v>0</v>
      </c>
      <c r="G89" s="95">
        <f ca="1" t="shared" si="14"/>
        <v>10.4796264285714</v>
      </c>
      <c r="H89" s="95" cm="1">
        <f ca="1" t="array" ref="H89">MIN(30-SUM(I89:L89),_xlfn.XLOOKUP($D89&amp;"_"&amp;H$52,$B$14:$B$36&amp;"_"&amp;$C$14:$C$36,$D$14:$D$36)*$E89,18)</f>
        <v>18</v>
      </c>
      <c r="I89" s="95" cm="1">
        <f ca="1" t="array" ref="I89">MIN(30-SUM(J89:L89),6-L89,_xlfn.XLOOKUP($D89&amp;"_"&amp;I$52,$B$14:$B$36&amp;"_"&amp;$C$14:$C$36,$D$14:$D$36)*$E89)</f>
        <v>0.47852357142857</v>
      </c>
      <c r="J89" s="95" cm="1">
        <f ca="1" t="array" ref="J89">MIN(8,_xlfn.XLOOKUP($D89&amp;"_"&amp;J$52,$B$14:$B$36&amp;"_"&amp;$C$14:$C$36,$D$14:$D$36)*$E89)</f>
        <v>0.5025</v>
      </c>
      <c r="K89" s="95" cm="1">
        <f ca="1" t="array" ref="K89">MIN(18,_xlfn.XLOOKUP($D89&amp;"_"&amp;K$52,$B$14:$B$36&amp;"_"&amp;$C$14:$C$36,$D$14:$D$36)*$E89)</f>
        <v>0.1876</v>
      </c>
      <c r="L89" s="95" cm="1">
        <f ca="1" t="array" ref="L89">MIN(6,_xlfn.XLOOKUP($D89&amp;"_"&amp;L$52,$B$14:$B$36&amp;"_"&amp;$C$14:$C$36,$D$14:$D$36)*$E89)</f>
        <v>0.35175</v>
      </c>
      <c r="M89" s="95" cm="1">
        <f ca="1" t="array" ref="M89">(1+SUMPRODUCT(G89:H89,OFFSET($H$40:$I$40,D89,0)))*(1+OFFSET($J$40,D89,0))^I89*(1+OFFSET($K$40,D89,0))^J89*(1+OFFSET($L$40,D89,0))^K89*(1+OFFSET($M$40,D89,0))^L89</f>
        <v>8.54958030366395</v>
      </c>
      <c r="N89" s="95">
        <f ca="1">MAX(MAX($N$53:N88),OFFSET($C$52,MATCH(M89*1.07,$M$53:$M$2052,1),0)-C89)</f>
        <v>4680</v>
      </c>
    </row>
    <row r="90" spans="2:14">
      <c r="B90" s="95">
        <v>38</v>
      </c>
      <c r="C90" s="95">
        <f t="shared" si="15"/>
        <v>13680</v>
      </c>
      <c r="D90" s="95">
        <f ca="1">_xlfn.XLOOKUP(总览!$B$44,$B$40:$B$45,$C$40:$C$45)</f>
        <v>5</v>
      </c>
      <c r="E90" s="95">
        <f ca="1" t="shared" si="12"/>
        <v>68</v>
      </c>
      <c r="F90" s="95">
        <f ca="1" t="shared" si="13"/>
        <v>0</v>
      </c>
      <c r="G90" s="95">
        <f ca="1" t="shared" si="14"/>
        <v>10.4569342857143</v>
      </c>
      <c r="H90" s="95" cm="1">
        <f ca="1" t="array" ref="H90">MIN(30-SUM(I90:L90),_xlfn.XLOOKUP($D90&amp;"_"&amp;H$52,$B$14:$B$36&amp;"_"&amp;$C$14:$C$36,$D$14:$D$36)*$E90,18)</f>
        <v>18</v>
      </c>
      <c r="I90" s="95" cm="1">
        <f ca="1" t="array" ref="I90">MIN(30-SUM(J90:L90),6-L90,_xlfn.XLOOKUP($D90&amp;"_"&amp;I$52,$B$14:$B$36&amp;"_"&amp;$C$14:$C$36,$D$14:$D$36)*$E90)</f>
        <v>0.485665714285713</v>
      </c>
      <c r="J90" s="95" cm="1">
        <f ca="1" t="array" ref="J90">MIN(8,_xlfn.XLOOKUP($D90&amp;"_"&amp;J$52,$B$14:$B$36&amp;"_"&amp;$C$14:$C$36,$D$14:$D$36)*$E90)</f>
        <v>0.51</v>
      </c>
      <c r="K90" s="95" cm="1">
        <f ca="1" t="array" ref="K90">MIN(18,_xlfn.XLOOKUP($D90&amp;"_"&amp;K$52,$B$14:$B$36&amp;"_"&amp;$C$14:$C$36,$D$14:$D$36)*$E90)</f>
        <v>0.1904</v>
      </c>
      <c r="L90" s="95" cm="1">
        <f ca="1" t="array" ref="L90">MIN(6,_xlfn.XLOOKUP($D90&amp;"_"&amp;L$52,$B$14:$B$36&amp;"_"&amp;$C$14:$C$36,$D$14:$D$36)*$E90)</f>
        <v>0.357</v>
      </c>
      <c r="M90" s="95" cm="1">
        <f ca="1" t="array" ref="M90">(1+SUMPRODUCT(G90:H90,OFFSET($H$40:$I$40,D90,0)))*(1+OFFSET($J$40,D90,0))^I90*(1+OFFSET($K$40,D90,0))^J90*(1+OFFSET($L$40,D90,0))^K90*(1+OFFSET($M$40,D90,0))^L90</f>
        <v>8.59397378543718</v>
      </c>
      <c r="N90" s="95">
        <f ca="1">MAX(MAX($N$53:N89),OFFSET($C$52,MATCH(M90*1.07,$M$53:$M$2052,1),0)-C90)</f>
        <v>4680</v>
      </c>
    </row>
    <row r="91" spans="2:14">
      <c r="B91" s="95">
        <v>39</v>
      </c>
      <c r="C91" s="95">
        <f t="shared" si="15"/>
        <v>14040</v>
      </c>
      <c r="D91" s="95">
        <f ca="1">_xlfn.XLOOKUP(总览!$B$44,$B$40:$B$45,$C$40:$C$45)</f>
        <v>5</v>
      </c>
      <c r="E91" s="95">
        <f ca="1" t="shared" si="12"/>
        <v>69</v>
      </c>
      <c r="F91" s="95">
        <f ca="1" t="shared" si="13"/>
        <v>0</v>
      </c>
      <c r="G91" s="95">
        <f ca="1" t="shared" si="14"/>
        <v>10.4342421428571</v>
      </c>
      <c r="H91" s="95" cm="1">
        <f ca="1" t="array" ref="H91">MIN(30-SUM(I91:L91),_xlfn.XLOOKUP($D91&amp;"_"&amp;H$52,$B$14:$B$36&amp;"_"&amp;$C$14:$C$36,$D$14:$D$36)*$E91,18)</f>
        <v>18</v>
      </c>
      <c r="I91" s="95" cm="1">
        <f ca="1" t="array" ref="I91">MIN(30-SUM(J91:L91),6-L91,_xlfn.XLOOKUP($D91&amp;"_"&amp;I$52,$B$14:$B$36&amp;"_"&amp;$C$14:$C$36,$D$14:$D$36)*$E91)</f>
        <v>0.492807857142856</v>
      </c>
      <c r="J91" s="95" cm="1">
        <f ca="1" t="array" ref="J91">MIN(8,_xlfn.XLOOKUP($D91&amp;"_"&amp;J$52,$B$14:$B$36&amp;"_"&amp;$C$14:$C$36,$D$14:$D$36)*$E91)</f>
        <v>0.5175</v>
      </c>
      <c r="K91" s="95" cm="1">
        <f ca="1" t="array" ref="K91">MIN(18,_xlfn.XLOOKUP($D91&amp;"_"&amp;K$52,$B$14:$B$36&amp;"_"&amp;$C$14:$C$36,$D$14:$D$36)*$E91)</f>
        <v>0.1932</v>
      </c>
      <c r="L91" s="95" cm="1">
        <f ca="1" t="array" ref="L91">MIN(6,_xlfn.XLOOKUP($D91&amp;"_"&amp;L$52,$B$14:$B$36&amp;"_"&amp;$C$14:$C$36,$D$14:$D$36)*$E91)</f>
        <v>0.36225</v>
      </c>
      <c r="M91" s="95" cm="1">
        <f ca="1" t="array" ref="M91">(1+SUMPRODUCT(G91:H91,OFFSET($H$40:$I$40,D91,0)))*(1+OFFSET($J$40,D91,0))^I91*(1+OFFSET($K$40,D91,0))^J91*(1+OFFSET($L$40,D91,0))^K91*(1+OFFSET($M$40,D91,0))^L91</f>
        <v>8.63859591060399</v>
      </c>
      <c r="N91" s="95">
        <f ca="1">MAX(MAX($N$53:N90),OFFSET($C$52,MATCH(M91*1.07,$M$53:$M$2052,1),0)-C91)</f>
        <v>4680</v>
      </c>
    </row>
    <row r="92" spans="2:14">
      <c r="B92" s="95">
        <v>40</v>
      </c>
      <c r="C92" s="95">
        <f t="shared" si="15"/>
        <v>14400</v>
      </c>
      <c r="D92" s="95">
        <f ca="1">_xlfn.XLOOKUP(总览!$B$44,$B$40:$B$45,$C$40:$C$45)</f>
        <v>5</v>
      </c>
      <c r="E92" s="95">
        <f ca="1" t="shared" si="12"/>
        <v>70</v>
      </c>
      <c r="F92" s="95">
        <f ca="1" t="shared" si="13"/>
        <v>0</v>
      </c>
      <c r="G92" s="95">
        <f ca="1" t="shared" si="14"/>
        <v>10.41155</v>
      </c>
      <c r="H92" s="95" cm="1">
        <f ca="1" t="array" ref="H92">MIN(30-SUM(I92:L92),_xlfn.XLOOKUP($D92&amp;"_"&amp;H$52,$B$14:$B$36&amp;"_"&amp;$C$14:$C$36,$D$14:$D$36)*$E92,18)</f>
        <v>18</v>
      </c>
      <c r="I92" s="95" cm="1">
        <f ca="1" t="array" ref="I92">MIN(30-SUM(J92:L92),6-L92,_xlfn.XLOOKUP($D92&amp;"_"&amp;I$52,$B$14:$B$36&amp;"_"&amp;$C$14:$C$36,$D$14:$D$36)*$E92)</f>
        <v>0.499949999999999</v>
      </c>
      <c r="J92" s="95" cm="1">
        <f ca="1" t="array" ref="J92">MIN(8,_xlfn.XLOOKUP($D92&amp;"_"&amp;J$52,$B$14:$B$36&amp;"_"&amp;$C$14:$C$36,$D$14:$D$36)*$E92)</f>
        <v>0.525</v>
      </c>
      <c r="K92" s="95" cm="1">
        <f ca="1" t="array" ref="K92">MIN(18,_xlfn.XLOOKUP($D92&amp;"_"&amp;K$52,$B$14:$B$36&amp;"_"&amp;$C$14:$C$36,$D$14:$D$36)*$E92)</f>
        <v>0.196</v>
      </c>
      <c r="L92" s="95" cm="1">
        <f ca="1" t="array" ref="L92">MIN(6,_xlfn.XLOOKUP($D92&amp;"_"&amp;L$52,$B$14:$B$36&amp;"_"&amp;$C$14:$C$36,$D$14:$D$36)*$E92)</f>
        <v>0.3675</v>
      </c>
      <c r="M92" s="95" cm="1">
        <f ca="1" t="array" ref="M92">(1+SUMPRODUCT(G92:H92,OFFSET($H$40:$I$40,D92,0)))*(1+OFFSET($J$40,D92,0))^I92*(1+OFFSET($K$40,D92,0))^J92*(1+OFFSET($L$40,D92,0))^K92*(1+OFFSET($M$40,D92,0))^L92</f>
        <v>8.68344784523639</v>
      </c>
      <c r="N92" s="95">
        <f ca="1">MAX(MAX($N$53:N91),OFFSET($C$52,MATCH(M92*1.07,$M$53:$M$2052,1),0)-C92)</f>
        <v>4680</v>
      </c>
    </row>
    <row r="93" spans="2:14">
      <c r="B93" s="95">
        <v>41</v>
      </c>
      <c r="C93" s="95">
        <f t="shared" si="15"/>
        <v>14760</v>
      </c>
      <c r="D93" s="95">
        <f ca="1">_xlfn.XLOOKUP(总览!$B$44,$B$40:$B$45,$C$40:$C$45)</f>
        <v>5</v>
      </c>
      <c r="E93" s="95">
        <f ca="1" t="shared" si="12"/>
        <v>71</v>
      </c>
      <c r="F93" s="95">
        <f ca="1" t="shared" si="13"/>
        <v>0</v>
      </c>
      <c r="G93" s="95">
        <f ca="1" t="shared" si="14"/>
        <v>10.3888578571429</v>
      </c>
      <c r="H93" s="95" cm="1">
        <f ca="1" t="array" ref="H93">MIN(30-SUM(I93:L93),_xlfn.XLOOKUP($D93&amp;"_"&amp;H$52,$B$14:$B$36&amp;"_"&amp;$C$14:$C$36,$D$14:$D$36)*$E93,18)</f>
        <v>18</v>
      </c>
      <c r="I93" s="95" cm="1">
        <f ca="1" t="array" ref="I93">MIN(30-SUM(J93:L93),6-L93,_xlfn.XLOOKUP($D93&amp;"_"&amp;I$52,$B$14:$B$36&amp;"_"&amp;$C$14:$C$36,$D$14:$D$36)*$E93)</f>
        <v>0.507092142857142</v>
      </c>
      <c r="J93" s="95" cm="1">
        <f ca="1" t="array" ref="J93">MIN(8,_xlfn.XLOOKUP($D93&amp;"_"&amp;J$52,$B$14:$B$36&amp;"_"&amp;$C$14:$C$36,$D$14:$D$36)*$E93)</f>
        <v>0.5325</v>
      </c>
      <c r="K93" s="95" cm="1">
        <f ca="1" t="array" ref="K93">MIN(18,_xlfn.XLOOKUP($D93&amp;"_"&amp;K$52,$B$14:$B$36&amp;"_"&amp;$C$14:$C$36,$D$14:$D$36)*$E93)</f>
        <v>0.1988</v>
      </c>
      <c r="L93" s="95" cm="1">
        <f ca="1" t="array" ref="L93">MIN(6,_xlfn.XLOOKUP($D93&amp;"_"&amp;L$52,$B$14:$B$36&amp;"_"&amp;$C$14:$C$36,$D$14:$D$36)*$E93)</f>
        <v>0.37275</v>
      </c>
      <c r="M93" s="95" cm="1">
        <f ca="1" t="array" ref="M93">(1+SUMPRODUCT(G93:H93,OFFSET($H$40:$I$40,D93,0)))*(1+OFFSET($J$40,D93,0))^I93*(1+OFFSET($K$40,D93,0))^J93*(1+OFFSET($L$40,D93,0))^K93*(1+OFFSET($M$40,D93,0))^L93</f>
        <v>8.72853076128166</v>
      </c>
      <c r="N93" s="95">
        <f ca="1">MAX(MAX($N$53:N92),OFFSET($C$52,MATCH(M93*1.07,$M$53:$M$2052,1),0)-C93)</f>
        <v>4680</v>
      </c>
    </row>
    <row r="94" spans="2:14">
      <c r="B94" s="95">
        <v>42</v>
      </c>
      <c r="C94" s="95">
        <f t="shared" si="15"/>
        <v>15120</v>
      </c>
      <c r="D94" s="95">
        <f ca="1">_xlfn.XLOOKUP(总览!$B$44,$B$40:$B$45,$C$40:$C$45)</f>
        <v>5</v>
      </c>
      <c r="E94" s="95">
        <f ca="1" t="shared" si="12"/>
        <v>72</v>
      </c>
      <c r="F94" s="95">
        <f ca="1" t="shared" si="13"/>
        <v>0</v>
      </c>
      <c r="G94" s="95">
        <f ca="1" t="shared" si="14"/>
        <v>10.3661657142857</v>
      </c>
      <c r="H94" s="95" cm="1">
        <f ca="1" t="array" ref="H94">MIN(30-SUM(I94:L94),_xlfn.XLOOKUP($D94&amp;"_"&amp;H$52,$B$14:$B$36&amp;"_"&amp;$C$14:$C$36,$D$14:$D$36)*$E94,18)</f>
        <v>18</v>
      </c>
      <c r="I94" s="95" cm="1">
        <f ca="1" t="array" ref="I94">MIN(30-SUM(J94:L94),6-L94,_xlfn.XLOOKUP($D94&amp;"_"&amp;I$52,$B$14:$B$36&amp;"_"&amp;$C$14:$C$36,$D$14:$D$36)*$E94)</f>
        <v>0.514234285714285</v>
      </c>
      <c r="J94" s="95" cm="1">
        <f ca="1" t="array" ref="J94">MIN(8,_xlfn.XLOOKUP($D94&amp;"_"&amp;J$52,$B$14:$B$36&amp;"_"&amp;$C$14:$C$36,$D$14:$D$36)*$E94)</f>
        <v>0.54</v>
      </c>
      <c r="K94" s="95" cm="1">
        <f ca="1" t="array" ref="K94">MIN(18,_xlfn.XLOOKUP($D94&amp;"_"&amp;K$52,$B$14:$B$36&amp;"_"&amp;$C$14:$C$36,$D$14:$D$36)*$E94)</f>
        <v>0.2016</v>
      </c>
      <c r="L94" s="95" cm="1">
        <f ca="1" t="array" ref="L94">MIN(6,_xlfn.XLOOKUP($D94&amp;"_"&amp;L$52,$B$14:$B$36&amp;"_"&amp;$C$14:$C$36,$D$14:$D$36)*$E94)</f>
        <v>0.378</v>
      </c>
      <c r="M94" s="95" cm="1">
        <f ca="1" t="array" ref="M94">(1+SUMPRODUCT(G94:H94,OFFSET($H$40:$I$40,D94,0)))*(1+OFFSET($J$40,D94,0))^I94*(1+OFFSET($K$40,D94,0))^J94*(1+OFFSET($L$40,D94,0))^K94*(1+OFFSET($M$40,D94,0))^L94</f>
        <v>8.77384583659139</v>
      </c>
      <c r="N94" s="95">
        <f ca="1">MAX(MAX($N$53:N93),OFFSET($C$52,MATCH(M94*1.07,$M$53:$M$2052,1),0)-C94)</f>
        <v>4680</v>
      </c>
    </row>
    <row r="95" spans="2:14">
      <c r="B95" s="95">
        <v>43</v>
      </c>
      <c r="C95" s="95">
        <f t="shared" si="15"/>
        <v>15480</v>
      </c>
      <c r="D95" s="95">
        <f ca="1">_xlfn.XLOOKUP(总览!$B$44,$B$40:$B$45,$C$40:$C$45)</f>
        <v>5</v>
      </c>
      <c r="E95" s="95">
        <f ca="1" t="shared" si="12"/>
        <v>73</v>
      </c>
      <c r="F95" s="95">
        <f ca="1" t="shared" si="13"/>
        <v>0</v>
      </c>
      <c r="G95" s="95">
        <f ca="1" t="shared" si="14"/>
        <v>10.3434735714286</v>
      </c>
      <c r="H95" s="95" cm="1">
        <f ca="1" t="array" ref="H95">MIN(30-SUM(I95:L95),_xlfn.XLOOKUP($D95&amp;"_"&amp;H$52,$B$14:$B$36&amp;"_"&amp;$C$14:$C$36,$D$14:$D$36)*$E95,18)</f>
        <v>18</v>
      </c>
      <c r="I95" s="95" cm="1">
        <f ca="1" t="array" ref="I95">MIN(30-SUM(J95:L95),6-L95,_xlfn.XLOOKUP($D95&amp;"_"&amp;I$52,$B$14:$B$36&amp;"_"&amp;$C$14:$C$36,$D$14:$D$36)*$E95)</f>
        <v>0.521376428571428</v>
      </c>
      <c r="J95" s="95" cm="1">
        <f ca="1" t="array" ref="J95">MIN(8,_xlfn.XLOOKUP($D95&amp;"_"&amp;J$52,$B$14:$B$36&amp;"_"&amp;$C$14:$C$36,$D$14:$D$36)*$E95)</f>
        <v>0.5475</v>
      </c>
      <c r="K95" s="95" cm="1">
        <f ca="1" t="array" ref="K95">MIN(18,_xlfn.XLOOKUP($D95&amp;"_"&amp;K$52,$B$14:$B$36&amp;"_"&amp;$C$14:$C$36,$D$14:$D$36)*$E95)</f>
        <v>0.2044</v>
      </c>
      <c r="L95" s="95" cm="1">
        <f ca="1" t="array" ref="L95">MIN(6,_xlfn.XLOOKUP($D95&amp;"_"&amp;L$52,$B$14:$B$36&amp;"_"&amp;$C$14:$C$36,$D$14:$D$36)*$E95)</f>
        <v>0.38325</v>
      </c>
      <c r="M95" s="95" cm="1">
        <f ca="1" t="array" ref="M95">(1+SUMPRODUCT(G95:H95,OFFSET($H$40:$I$40,D95,0)))*(1+OFFSET($J$40,D95,0))^I95*(1+OFFSET($K$40,D95,0))^J95*(1+OFFSET($L$40,D95,0))^K95*(1+OFFSET($M$40,D95,0))^L95</f>
        <v>8.81939425495085</v>
      </c>
      <c r="N95" s="95">
        <f ca="1">MAX(MAX($N$53:N94),OFFSET($C$52,MATCH(M95*1.07,$M$53:$M$2052,1),0)-C95)</f>
        <v>4680</v>
      </c>
    </row>
    <row r="96" spans="2:14">
      <c r="B96" s="95">
        <v>44</v>
      </c>
      <c r="C96" s="95">
        <f t="shared" si="15"/>
        <v>15840</v>
      </c>
      <c r="D96" s="95">
        <f ca="1">_xlfn.XLOOKUP(总览!$B$44,$B$40:$B$45,$C$40:$C$45)</f>
        <v>5</v>
      </c>
      <c r="E96" s="95">
        <f ca="1" t="shared" si="12"/>
        <v>74</v>
      </c>
      <c r="F96" s="95">
        <f ca="1" t="shared" si="13"/>
        <v>0</v>
      </c>
      <c r="G96" s="95">
        <f ca="1" t="shared" si="14"/>
        <v>10.3207814285714</v>
      </c>
      <c r="H96" s="95" cm="1">
        <f ca="1" t="array" ref="H96">MIN(30-SUM(I96:L96),_xlfn.XLOOKUP($D96&amp;"_"&amp;H$52,$B$14:$B$36&amp;"_"&amp;$C$14:$C$36,$D$14:$D$36)*$E96,18)</f>
        <v>18</v>
      </c>
      <c r="I96" s="95" cm="1">
        <f ca="1" t="array" ref="I96">MIN(30-SUM(J96:L96),6-L96,_xlfn.XLOOKUP($D96&amp;"_"&amp;I$52,$B$14:$B$36&amp;"_"&amp;$C$14:$C$36,$D$14:$D$36)*$E96)</f>
        <v>0.52851857142857</v>
      </c>
      <c r="J96" s="95" cm="1">
        <f ca="1" t="array" ref="J96">MIN(8,_xlfn.XLOOKUP($D96&amp;"_"&amp;J$52,$B$14:$B$36&amp;"_"&amp;$C$14:$C$36,$D$14:$D$36)*$E96)</f>
        <v>0.555</v>
      </c>
      <c r="K96" s="95" cm="1">
        <f ca="1" t="array" ref="K96">MIN(18,_xlfn.XLOOKUP($D96&amp;"_"&amp;K$52,$B$14:$B$36&amp;"_"&amp;$C$14:$C$36,$D$14:$D$36)*$E96)</f>
        <v>0.2072</v>
      </c>
      <c r="L96" s="95" cm="1">
        <f ca="1" t="array" ref="L96">MIN(6,_xlfn.XLOOKUP($D96&amp;"_"&amp;L$52,$B$14:$B$36&amp;"_"&amp;$C$14:$C$36,$D$14:$D$36)*$E96)</f>
        <v>0.3885</v>
      </c>
      <c r="M96" s="95" cm="1">
        <f ca="1" t="array" ref="M96">(1+SUMPRODUCT(G96:H96,OFFSET($H$40:$I$40,D96,0)))*(1+OFFSET($J$40,D96,0))^I96*(1+OFFSET($K$40,D96,0))^J96*(1+OFFSET($L$40,D96,0))^K96*(1+OFFSET($M$40,D96,0))^L96</f>
        <v>8.86517720610842</v>
      </c>
      <c r="N96" s="95">
        <f ca="1">MAX(MAX($N$53:N95),OFFSET($C$52,MATCH(M96*1.07,$M$53:$M$2052,1),0)-C96)</f>
        <v>4680</v>
      </c>
    </row>
    <row r="97" spans="2:14">
      <c r="B97" s="95">
        <v>45</v>
      </c>
      <c r="C97" s="95">
        <f t="shared" si="15"/>
        <v>16200</v>
      </c>
      <c r="D97" s="95">
        <f ca="1">_xlfn.XLOOKUP(总览!$B$44,$B$40:$B$45,$C$40:$C$45)</f>
        <v>5</v>
      </c>
      <c r="E97" s="95">
        <f ca="1" t="shared" si="12"/>
        <v>75</v>
      </c>
      <c r="F97" s="95">
        <f ca="1" t="shared" si="13"/>
        <v>0</v>
      </c>
      <c r="G97" s="95">
        <f ca="1" t="shared" si="14"/>
        <v>10.2980892857143</v>
      </c>
      <c r="H97" s="95" cm="1">
        <f ca="1" t="array" ref="H97">MIN(30-SUM(I97:L97),_xlfn.XLOOKUP($D97&amp;"_"&amp;H$52,$B$14:$B$36&amp;"_"&amp;$C$14:$C$36,$D$14:$D$36)*$E97,18)</f>
        <v>18</v>
      </c>
      <c r="I97" s="95" cm="1">
        <f ca="1" t="array" ref="I97">MIN(30-SUM(J97:L97),6-L97,_xlfn.XLOOKUP($D97&amp;"_"&amp;I$52,$B$14:$B$36&amp;"_"&amp;$C$14:$C$36,$D$14:$D$36)*$E97)</f>
        <v>0.535660714285713</v>
      </c>
      <c r="J97" s="95" cm="1">
        <f ca="1" t="array" ref="J97">MIN(8,_xlfn.XLOOKUP($D97&amp;"_"&amp;J$52,$B$14:$B$36&amp;"_"&amp;$C$14:$C$36,$D$14:$D$36)*$E97)</f>
        <v>0.5625</v>
      </c>
      <c r="K97" s="95" cm="1">
        <f ca="1" t="array" ref="K97">MIN(18,_xlfn.XLOOKUP($D97&amp;"_"&amp;K$52,$B$14:$B$36&amp;"_"&amp;$C$14:$C$36,$D$14:$D$36)*$E97)</f>
        <v>0.21</v>
      </c>
      <c r="L97" s="95" cm="1">
        <f ca="1" t="array" ref="L97">MIN(6,_xlfn.XLOOKUP($D97&amp;"_"&amp;L$52,$B$14:$B$36&amp;"_"&amp;$C$14:$C$36,$D$14:$D$36)*$E97)</f>
        <v>0.39375</v>
      </c>
      <c r="M97" s="95" cm="1">
        <f ca="1" t="array" ref="M97">(1+SUMPRODUCT(G97:H97,OFFSET($H$40:$I$40,D97,0)))*(1+OFFSET($J$40,D97,0))^I97*(1+OFFSET($K$40,D97,0))^J97*(1+OFFSET($L$40,D97,0))^K97*(1+OFFSET($M$40,D97,0))^L97</f>
        <v>8.91119588580511</v>
      </c>
      <c r="N97" s="95">
        <f ca="1">MAX(MAX($N$53:N96),OFFSET($C$52,MATCH(M97*1.07,$M$53:$M$2052,1),0)-C97)</f>
        <v>4680</v>
      </c>
    </row>
    <row r="98" spans="2:14">
      <c r="B98" s="95">
        <v>46</v>
      </c>
      <c r="C98" s="95">
        <f t="shared" si="15"/>
        <v>16560</v>
      </c>
      <c r="D98" s="95">
        <f ca="1">_xlfn.XLOOKUP(总览!$B$44,$B$40:$B$45,$C$40:$C$45)</f>
        <v>5</v>
      </c>
      <c r="E98" s="95">
        <f ca="1" t="shared" si="12"/>
        <v>76</v>
      </c>
      <c r="F98" s="95">
        <f ca="1" t="shared" si="13"/>
        <v>0</v>
      </c>
      <c r="G98" s="95">
        <f ca="1" t="shared" si="14"/>
        <v>10.2753971428571</v>
      </c>
      <c r="H98" s="95" cm="1">
        <f ca="1" t="array" ref="H98">MIN(30-SUM(I98:L98),_xlfn.XLOOKUP($D98&amp;"_"&amp;H$52,$B$14:$B$36&amp;"_"&amp;$C$14:$C$36,$D$14:$D$36)*$E98,18)</f>
        <v>18</v>
      </c>
      <c r="I98" s="95" cm="1">
        <f ca="1" t="array" ref="I98">MIN(30-SUM(J98:L98),6-L98,_xlfn.XLOOKUP($D98&amp;"_"&amp;I$52,$B$14:$B$36&amp;"_"&amp;$C$14:$C$36,$D$14:$D$36)*$E98)</f>
        <v>0.542802857142856</v>
      </c>
      <c r="J98" s="95" cm="1">
        <f ca="1" t="array" ref="J98">MIN(8,_xlfn.XLOOKUP($D98&amp;"_"&amp;J$52,$B$14:$B$36&amp;"_"&amp;$C$14:$C$36,$D$14:$D$36)*$E98)</f>
        <v>0.57</v>
      </c>
      <c r="K98" s="95" cm="1">
        <f ca="1" t="array" ref="K98">MIN(18,_xlfn.XLOOKUP($D98&amp;"_"&amp;K$52,$B$14:$B$36&amp;"_"&amp;$C$14:$C$36,$D$14:$D$36)*$E98)</f>
        <v>0.2128</v>
      </c>
      <c r="L98" s="95" cm="1">
        <f ca="1" t="array" ref="L98">MIN(6,_xlfn.XLOOKUP($D98&amp;"_"&amp;L$52,$B$14:$B$36&amp;"_"&amp;$C$14:$C$36,$D$14:$D$36)*$E98)</f>
        <v>0.399</v>
      </c>
      <c r="M98" s="95" cm="1">
        <f ca="1" t="array" ref="M98">(1+SUMPRODUCT(G98:H98,OFFSET($H$40:$I$40,D98,0)))*(1+OFFSET($J$40,D98,0))^I98*(1+OFFSET($K$40,D98,0))^J98*(1+OFFSET($L$40,D98,0))^K98*(1+OFFSET($M$40,D98,0))^L98</f>
        <v>8.95745149580435</v>
      </c>
      <c r="N98" s="95">
        <f ca="1">MAX(MAX($N$53:N97),OFFSET($C$52,MATCH(M98*1.07,$M$53:$M$2052,1),0)-C98)</f>
        <v>4680</v>
      </c>
    </row>
    <row r="99" spans="2:14">
      <c r="B99" s="95">
        <v>47</v>
      </c>
      <c r="C99" s="95">
        <f t="shared" si="15"/>
        <v>16920</v>
      </c>
      <c r="D99" s="95">
        <f ca="1">_xlfn.XLOOKUP(总览!$B$44,$B$40:$B$45,$C$40:$C$45)</f>
        <v>5</v>
      </c>
      <c r="E99" s="95">
        <f ca="1" t="shared" si="12"/>
        <v>77</v>
      </c>
      <c r="F99" s="95">
        <f ca="1" t="shared" si="13"/>
        <v>0</v>
      </c>
      <c r="G99" s="95">
        <f ca="1" t="shared" si="14"/>
        <v>10.252705</v>
      </c>
      <c r="H99" s="95" cm="1">
        <f ca="1" t="array" ref="H99">MIN(30-SUM(I99:L99),_xlfn.XLOOKUP($D99&amp;"_"&amp;H$52,$B$14:$B$36&amp;"_"&amp;$C$14:$C$36,$D$14:$D$36)*$E99,18)</f>
        <v>18</v>
      </c>
      <c r="I99" s="95" cm="1">
        <f ca="1" t="array" ref="I99">MIN(30-SUM(J99:L99),6-L99,_xlfn.XLOOKUP($D99&amp;"_"&amp;I$52,$B$14:$B$36&amp;"_"&amp;$C$14:$C$36,$D$14:$D$36)*$E99)</f>
        <v>0.549944999999999</v>
      </c>
      <c r="J99" s="95" cm="1">
        <f ca="1" t="array" ref="J99">MIN(8,_xlfn.XLOOKUP($D99&amp;"_"&amp;J$52,$B$14:$B$36&amp;"_"&amp;$C$14:$C$36,$D$14:$D$36)*$E99)</f>
        <v>0.5775</v>
      </c>
      <c r="K99" s="95" cm="1">
        <f ca="1" t="array" ref="K99">MIN(18,_xlfn.XLOOKUP($D99&amp;"_"&amp;K$52,$B$14:$B$36&amp;"_"&amp;$C$14:$C$36,$D$14:$D$36)*$E99)</f>
        <v>0.2156</v>
      </c>
      <c r="L99" s="95" cm="1">
        <f ca="1" t="array" ref="L99">MIN(6,_xlfn.XLOOKUP($D99&amp;"_"&amp;L$52,$B$14:$B$36&amp;"_"&amp;$C$14:$C$36,$D$14:$D$36)*$E99)</f>
        <v>0.40425</v>
      </c>
      <c r="M99" s="95" cm="1">
        <f ca="1" t="array" ref="M99">(1+SUMPRODUCT(G99:H99,OFFSET($H$40:$I$40,D99,0)))*(1+OFFSET($J$40,D99,0))^I99*(1+OFFSET($K$40,D99,0))^J99*(1+OFFSET($L$40,D99,0))^K99*(1+OFFSET($M$40,D99,0))^L99</f>
        <v>9.00394524392184</v>
      </c>
      <c r="N99" s="95">
        <f ca="1">MAX(MAX($N$53:N98),OFFSET($C$52,MATCH(M99*1.07,$M$53:$M$2052,1),0)-C99)</f>
        <v>4680</v>
      </c>
    </row>
    <row r="100" spans="2:14">
      <c r="B100" s="95">
        <v>48</v>
      </c>
      <c r="C100" s="95">
        <f t="shared" si="15"/>
        <v>17280</v>
      </c>
      <c r="D100" s="95">
        <f ca="1">_xlfn.XLOOKUP(总览!$B$44,$B$40:$B$45,$C$40:$C$45)</f>
        <v>5</v>
      </c>
      <c r="E100" s="95">
        <f ca="1" t="shared" si="12"/>
        <v>78</v>
      </c>
      <c r="F100" s="95">
        <f ca="1" t="shared" si="13"/>
        <v>0</v>
      </c>
      <c r="G100" s="95">
        <f ca="1" t="shared" si="14"/>
        <v>10.2300128571429</v>
      </c>
      <c r="H100" s="95" cm="1">
        <f ca="1" t="array" ref="H100">MIN(30-SUM(I100:L100),_xlfn.XLOOKUP($D100&amp;"_"&amp;H$52,$B$14:$B$36&amp;"_"&amp;$C$14:$C$36,$D$14:$D$36)*$E100,18)</f>
        <v>18</v>
      </c>
      <c r="I100" s="95" cm="1">
        <f ca="1" t="array" ref="I100">MIN(30-SUM(J100:L100),6-L100,_xlfn.XLOOKUP($D100&amp;"_"&amp;I$52,$B$14:$B$36&amp;"_"&amp;$C$14:$C$36,$D$14:$D$36)*$E100)</f>
        <v>0.557087142857142</v>
      </c>
      <c r="J100" s="95" cm="1">
        <f ca="1" t="array" ref="J100">MIN(8,_xlfn.XLOOKUP($D100&amp;"_"&amp;J$52,$B$14:$B$36&amp;"_"&amp;$C$14:$C$36,$D$14:$D$36)*$E100)</f>
        <v>0.585</v>
      </c>
      <c r="K100" s="95" cm="1">
        <f ca="1" t="array" ref="K100">MIN(18,_xlfn.XLOOKUP($D100&amp;"_"&amp;K$52,$B$14:$B$36&amp;"_"&amp;$C$14:$C$36,$D$14:$D$36)*$E100)</f>
        <v>0.2184</v>
      </c>
      <c r="L100" s="95" cm="1">
        <f ca="1" t="array" ref="L100">MIN(6,_xlfn.XLOOKUP($D100&amp;"_"&amp;L$52,$B$14:$B$36&amp;"_"&amp;$C$14:$C$36,$D$14:$D$36)*$E100)</f>
        <v>0.4095</v>
      </c>
      <c r="M100" s="95" cm="1">
        <f ca="1" t="array" ref="M100">(1+SUMPRODUCT(G100:H100,OFFSET($H$40:$I$40,D100,0)))*(1+OFFSET($J$40,D100,0))^I100*(1+OFFSET($K$40,D100,0))^J100*(1+OFFSET($L$40,D100,0))^K100*(1+OFFSET($M$40,D100,0))^L100</f>
        <v>9.05067834405551</v>
      </c>
      <c r="N100" s="95">
        <f ca="1">MAX(MAX($N$53:N99),OFFSET($C$52,MATCH(M100*1.07,$M$53:$M$2052,1),0)-C100)</f>
        <v>4680</v>
      </c>
    </row>
    <row r="101" spans="2:14">
      <c r="B101" s="95">
        <v>49</v>
      </c>
      <c r="C101" s="95">
        <f t="shared" si="15"/>
        <v>17640</v>
      </c>
      <c r="D101" s="95">
        <f ca="1">_xlfn.XLOOKUP(总览!$B$44,$B$40:$B$45,$C$40:$C$45)</f>
        <v>5</v>
      </c>
      <c r="E101" s="95">
        <f ca="1" t="shared" si="12"/>
        <v>79</v>
      </c>
      <c r="F101" s="95">
        <f ca="1" t="shared" si="13"/>
        <v>0</v>
      </c>
      <c r="G101" s="95">
        <f ca="1" t="shared" si="14"/>
        <v>10.2073207142857</v>
      </c>
      <c r="H101" s="95" cm="1">
        <f ca="1" t="array" ref="H101">MIN(30-SUM(I101:L101),_xlfn.XLOOKUP($D101&amp;"_"&amp;H$52,$B$14:$B$36&amp;"_"&amp;$C$14:$C$36,$D$14:$D$36)*$E101,18)</f>
        <v>18</v>
      </c>
      <c r="I101" s="95" cm="1">
        <f ca="1" t="array" ref="I101">MIN(30-SUM(J101:L101),6-L101,_xlfn.XLOOKUP($D101&amp;"_"&amp;I$52,$B$14:$B$36&amp;"_"&amp;$C$14:$C$36,$D$14:$D$36)*$E101)</f>
        <v>0.564229285714285</v>
      </c>
      <c r="J101" s="95" cm="1">
        <f ca="1" t="array" ref="J101">MIN(8,_xlfn.XLOOKUP($D101&amp;"_"&amp;J$52,$B$14:$B$36&amp;"_"&amp;$C$14:$C$36,$D$14:$D$36)*$E101)</f>
        <v>0.5925</v>
      </c>
      <c r="K101" s="95" cm="1">
        <f ca="1" t="array" ref="K101">MIN(18,_xlfn.XLOOKUP($D101&amp;"_"&amp;K$52,$B$14:$B$36&amp;"_"&amp;$C$14:$C$36,$D$14:$D$36)*$E101)</f>
        <v>0.2212</v>
      </c>
      <c r="L101" s="95" cm="1">
        <f ca="1" t="array" ref="L101">MIN(6,_xlfn.XLOOKUP($D101&amp;"_"&amp;L$52,$B$14:$B$36&amp;"_"&amp;$C$14:$C$36,$D$14:$D$36)*$E101)</f>
        <v>0.41475</v>
      </c>
      <c r="M101" s="95" cm="1">
        <f ca="1" t="array" ref="M101">(1+SUMPRODUCT(G101:H101,OFFSET($H$40:$I$40,D101,0)))*(1+OFFSET($J$40,D101,0))^I101*(1+OFFSET($K$40,D101,0))^J101*(1+OFFSET($L$40,D101,0))^K101*(1+OFFSET($M$40,D101,0))^L101</f>
        <v>9.09765201621577</v>
      </c>
      <c r="N101" s="95">
        <f ca="1">MAX(MAX($N$53:N100),OFFSET($C$52,MATCH(M101*1.07,$M$53:$M$2052,1),0)-C101)</f>
        <v>4680</v>
      </c>
    </row>
    <row r="102" spans="2:14">
      <c r="B102" s="95">
        <v>50</v>
      </c>
      <c r="C102" s="95">
        <f t="shared" si="15"/>
        <v>18000</v>
      </c>
      <c r="D102" s="95">
        <f ca="1">_xlfn.XLOOKUP(总览!$B$44,$B$40:$B$45,$C$40:$C$45)</f>
        <v>5</v>
      </c>
      <c r="E102" s="95">
        <f ca="1" t="shared" si="12"/>
        <v>80</v>
      </c>
      <c r="F102" s="95">
        <f ca="1" t="shared" si="13"/>
        <v>0</v>
      </c>
      <c r="G102" s="95">
        <f ca="1" t="shared" si="14"/>
        <v>10.1846285714286</v>
      </c>
      <c r="H102" s="95" cm="1">
        <f ca="1" t="array" ref="H102">MIN(30-SUM(I102:L102),_xlfn.XLOOKUP($D102&amp;"_"&amp;H$52,$B$14:$B$36&amp;"_"&amp;$C$14:$C$36,$D$14:$D$36)*$E102,18)</f>
        <v>18</v>
      </c>
      <c r="I102" s="95" cm="1">
        <f ca="1" t="array" ref="I102">MIN(30-SUM(J102:L102),6-L102,_xlfn.XLOOKUP($D102&amp;"_"&amp;I$52,$B$14:$B$36&amp;"_"&amp;$C$14:$C$36,$D$14:$D$36)*$E102)</f>
        <v>0.571371428571428</v>
      </c>
      <c r="J102" s="95" cm="1">
        <f ca="1" t="array" ref="J102">MIN(8,_xlfn.XLOOKUP($D102&amp;"_"&amp;J$52,$B$14:$B$36&amp;"_"&amp;$C$14:$C$36,$D$14:$D$36)*$E102)</f>
        <v>0.6</v>
      </c>
      <c r="K102" s="95" cm="1">
        <f ca="1" t="array" ref="K102">MIN(18,_xlfn.XLOOKUP($D102&amp;"_"&amp;K$52,$B$14:$B$36&amp;"_"&amp;$C$14:$C$36,$D$14:$D$36)*$E102)</f>
        <v>0.224</v>
      </c>
      <c r="L102" s="95" cm="1">
        <f ca="1" t="array" ref="L102">MIN(6,_xlfn.XLOOKUP($D102&amp;"_"&amp;L$52,$B$14:$B$36&amp;"_"&amp;$C$14:$C$36,$D$14:$D$36)*$E102)</f>
        <v>0.42</v>
      </c>
      <c r="M102" s="95" cm="1">
        <f ca="1" t="array" ref="M102">(1+SUMPRODUCT(G102:H102,OFFSET($H$40:$I$40,D102,0)))*(1+OFFSET($J$40,D102,0))^I102*(1+OFFSET($K$40,D102,0))^J102*(1+OFFSET($L$40,D102,0))^K102*(1+OFFSET($M$40,D102,0))^L102</f>
        <v>9.14486748655574</v>
      </c>
      <c r="N102" s="95">
        <f ca="1">MAX(MAX($N$53:N101),OFFSET($C$52,MATCH(M102*1.07,$M$53:$M$2052,1),0)-C102)</f>
        <v>4680</v>
      </c>
    </row>
    <row r="103" spans="2:14">
      <c r="B103" s="95">
        <v>51</v>
      </c>
      <c r="C103" s="95">
        <f t="shared" si="15"/>
        <v>18360</v>
      </c>
      <c r="D103" s="95">
        <f ca="1">_xlfn.XLOOKUP(总览!$B$44,$B$40:$B$45,$C$40:$C$45)</f>
        <v>5</v>
      </c>
      <c r="E103" s="95">
        <f ca="1" t="shared" si="12"/>
        <v>81</v>
      </c>
      <c r="F103" s="95">
        <f ca="1" t="shared" si="13"/>
        <v>0</v>
      </c>
      <c r="G103" s="95">
        <f ca="1" t="shared" si="14"/>
        <v>10.1619364285714</v>
      </c>
      <c r="H103" s="95" cm="1">
        <f ca="1" t="array" ref="H103">MIN(30-SUM(I103:L103),_xlfn.XLOOKUP($D103&amp;"_"&amp;H$52,$B$14:$B$36&amp;"_"&amp;$C$14:$C$36,$D$14:$D$36)*$E103,18)</f>
        <v>18</v>
      </c>
      <c r="I103" s="95" cm="1">
        <f ca="1" t="array" ref="I103">MIN(30-SUM(J103:L103),6-L103,_xlfn.XLOOKUP($D103&amp;"_"&amp;I$52,$B$14:$B$36&amp;"_"&amp;$C$14:$C$36,$D$14:$D$36)*$E103)</f>
        <v>0.57851357142857</v>
      </c>
      <c r="J103" s="95" cm="1">
        <f ca="1" t="array" ref="J103">MIN(8,_xlfn.XLOOKUP($D103&amp;"_"&amp;J$52,$B$14:$B$36&amp;"_"&amp;$C$14:$C$36,$D$14:$D$36)*$E103)</f>
        <v>0.6075</v>
      </c>
      <c r="K103" s="95" cm="1">
        <f ca="1" t="array" ref="K103">MIN(18,_xlfn.XLOOKUP($D103&amp;"_"&amp;K$52,$B$14:$B$36&amp;"_"&amp;$C$14:$C$36,$D$14:$D$36)*$E103)</f>
        <v>0.2268</v>
      </c>
      <c r="L103" s="95" cm="1">
        <f ca="1" t="array" ref="L103">MIN(6,_xlfn.XLOOKUP($D103&amp;"_"&amp;L$52,$B$14:$B$36&amp;"_"&amp;$C$14:$C$36,$D$14:$D$36)*$E103)</f>
        <v>0.42525</v>
      </c>
      <c r="M103" s="95" cm="1">
        <f ca="1" t="array" ref="M103">(1+SUMPRODUCT(G103:H103,OFFSET($H$40:$I$40,D103,0)))*(1+OFFSET($J$40,D103,0))^I103*(1+OFFSET($K$40,D103,0))^J103*(1+OFFSET($L$40,D103,0))^K103*(1+OFFSET($M$40,D103,0))^L103</f>
        <v>9.19232598740173</v>
      </c>
      <c r="N103" s="95">
        <f ca="1">MAX(MAX($N$53:N102),OFFSET($C$52,MATCH(M103*1.07,$M$53:$M$2052,1),0)-C103)</f>
        <v>4680</v>
      </c>
    </row>
    <row r="104" spans="2:14">
      <c r="B104" s="95">
        <v>52</v>
      </c>
      <c r="C104" s="95">
        <f t="shared" si="15"/>
        <v>18720</v>
      </c>
      <c r="D104" s="95">
        <f ca="1">_xlfn.XLOOKUP(总览!$B$44,$B$40:$B$45,$C$40:$C$45)</f>
        <v>5</v>
      </c>
      <c r="E104" s="95">
        <f ca="1" t="shared" si="12"/>
        <v>82</v>
      </c>
      <c r="F104" s="95">
        <f ca="1" t="shared" si="13"/>
        <v>0</v>
      </c>
      <c r="G104" s="95">
        <f ca="1" t="shared" si="14"/>
        <v>10.1392442857143</v>
      </c>
      <c r="H104" s="95" cm="1">
        <f ca="1" t="array" ref="H104">MIN(30-SUM(I104:L104),_xlfn.XLOOKUP($D104&amp;"_"&amp;H$52,$B$14:$B$36&amp;"_"&amp;$C$14:$C$36,$D$14:$D$36)*$E104,18)</f>
        <v>18</v>
      </c>
      <c r="I104" s="95" cm="1">
        <f ca="1" t="array" ref="I104">MIN(30-SUM(J104:L104),6-L104,_xlfn.XLOOKUP($D104&amp;"_"&amp;I$52,$B$14:$B$36&amp;"_"&amp;$C$14:$C$36,$D$14:$D$36)*$E104)</f>
        <v>0.585655714285713</v>
      </c>
      <c r="J104" s="95" cm="1">
        <f ca="1" t="array" ref="J104">MIN(8,_xlfn.XLOOKUP($D104&amp;"_"&amp;J$52,$B$14:$B$36&amp;"_"&amp;$C$14:$C$36,$D$14:$D$36)*$E104)</f>
        <v>0.615</v>
      </c>
      <c r="K104" s="95" cm="1">
        <f ca="1" t="array" ref="K104">MIN(18,_xlfn.XLOOKUP($D104&amp;"_"&amp;K$52,$B$14:$B$36&amp;"_"&amp;$C$14:$C$36,$D$14:$D$36)*$E104)</f>
        <v>0.2296</v>
      </c>
      <c r="L104" s="95" cm="1">
        <f ca="1" t="array" ref="L104">MIN(6,_xlfn.XLOOKUP($D104&amp;"_"&amp;L$52,$B$14:$B$36&amp;"_"&amp;$C$14:$C$36,$D$14:$D$36)*$E104)</f>
        <v>0.4305</v>
      </c>
      <c r="M104" s="95" cm="1">
        <f ca="1" t="array" ref="M104">(1+SUMPRODUCT(G104:H104,OFFSET($H$40:$I$40,D104,0)))*(1+OFFSET($J$40,D104,0))^I104*(1+OFFSET($K$40,D104,0))^J104*(1+OFFSET($L$40,D104,0))^K104*(1+OFFSET($M$40,D104,0))^L104</f>
        <v>9.24002875728385</v>
      </c>
      <c r="N104" s="95">
        <f ca="1">MAX(MAX($N$53:N103),OFFSET($C$52,MATCH(M104*1.07,$M$53:$M$2052,1),0)-C104)</f>
        <v>4680</v>
      </c>
    </row>
    <row r="105" spans="2:14">
      <c r="B105" s="95">
        <v>53</v>
      </c>
      <c r="C105" s="95">
        <f t="shared" si="15"/>
        <v>19080</v>
      </c>
      <c r="D105" s="95">
        <f ca="1">_xlfn.XLOOKUP(总览!$B$44,$B$40:$B$45,$C$40:$C$45)</f>
        <v>5</v>
      </c>
      <c r="E105" s="95">
        <f ca="1" t="shared" si="12"/>
        <v>83</v>
      </c>
      <c r="F105" s="95">
        <f ca="1" t="shared" si="13"/>
        <v>0</v>
      </c>
      <c r="G105" s="95">
        <f ca="1" t="shared" si="14"/>
        <v>10.1165521428571</v>
      </c>
      <c r="H105" s="95" cm="1">
        <f ca="1" t="array" ref="H105">MIN(30-SUM(I105:L105),_xlfn.XLOOKUP($D105&amp;"_"&amp;H$52,$B$14:$B$36&amp;"_"&amp;$C$14:$C$36,$D$14:$D$36)*$E105,18)</f>
        <v>18</v>
      </c>
      <c r="I105" s="95" cm="1">
        <f ca="1" t="array" ref="I105">MIN(30-SUM(J105:L105),6-L105,_xlfn.XLOOKUP($D105&amp;"_"&amp;I$52,$B$14:$B$36&amp;"_"&amp;$C$14:$C$36,$D$14:$D$36)*$E105)</f>
        <v>0.592797857142856</v>
      </c>
      <c r="J105" s="95" cm="1">
        <f ca="1" t="array" ref="J105">MIN(8,_xlfn.XLOOKUP($D105&amp;"_"&amp;J$52,$B$14:$B$36&amp;"_"&amp;$C$14:$C$36,$D$14:$D$36)*$E105)</f>
        <v>0.6225</v>
      </c>
      <c r="K105" s="95" cm="1">
        <f ca="1" t="array" ref="K105">MIN(18,_xlfn.XLOOKUP($D105&amp;"_"&amp;K$52,$B$14:$B$36&amp;"_"&amp;$C$14:$C$36,$D$14:$D$36)*$E105)</f>
        <v>0.2324</v>
      </c>
      <c r="L105" s="95" cm="1">
        <f ca="1" t="array" ref="L105">MIN(6,_xlfn.XLOOKUP($D105&amp;"_"&amp;L$52,$B$14:$B$36&amp;"_"&amp;$C$14:$C$36,$D$14:$D$36)*$E105)</f>
        <v>0.43575</v>
      </c>
      <c r="M105" s="95" cm="1">
        <f ca="1" t="array" ref="M105">(1+SUMPRODUCT(G105:H105,OFFSET($H$40:$I$40,D105,0)))*(1+OFFSET($J$40,D105,0))^I105*(1+OFFSET($K$40,D105,0))^J105*(1+OFFSET($L$40,D105,0))^K105*(1+OFFSET($M$40,D105,0))^L105</f>
        <v>9.28797704096672</v>
      </c>
      <c r="N105" s="95">
        <f ca="1">MAX(MAX($N$53:N104),OFFSET($C$52,MATCH(M105*1.07,$M$53:$M$2052,1),0)-C105)</f>
        <v>4680</v>
      </c>
    </row>
    <row r="106" spans="2:14">
      <c r="B106" s="95">
        <v>54</v>
      </c>
      <c r="C106" s="95">
        <f t="shared" si="15"/>
        <v>19440</v>
      </c>
      <c r="D106" s="95">
        <f ca="1">_xlfn.XLOOKUP(总览!$B$44,$B$40:$B$45,$C$40:$C$45)</f>
        <v>5</v>
      </c>
      <c r="E106" s="95">
        <f ca="1" t="shared" si="12"/>
        <v>84</v>
      </c>
      <c r="F106" s="95">
        <f ca="1" t="shared" si="13"/>
        <v>0</v>
      </c>
      <c r="G106" s="95">
        <f ca="1" t="shared" si="14"/>
        <v>10.09386</v>
      </c>
      <c r="H106" s="95" cm="1">
        <f ca="1" t="array" ref="H106">MIN(30-SUM(I106:L106),_xlfn.XLOOKUP($D106&amp;"_"&amp;H$52,$B$14:$B$36&amp;"_"&amp;$C$14:$C$36,$D$14:$D$36)*$E106,18)</f>
        <v>18</v>
      </c>
      <c r="I106" s="95" cm="1">
        <f ca="1" t="array" ref="I106">MIN(30-SUM(J106:L106),6-L106,_xlfn.XLOOKUP($D106&amp;"_"&amp;I$52,$B$14:$B$36&amp;"_"&amp;$C$14:$C$36,$D$14:$D$36)*$E106)</f>
        <v>0.599939999999999</v>
      </c>
      <c r="J106" s="95" cm="1">
        <f ca="1" t="array" ref="J106">MIN(8,_xlfn.XLOOKUP($D106&amp;"_"&amp;J$52,$B$14:$B$36&amp;"_"&amp;$C$14:$C$36,$D$14:$D$36)*$E106)</f>
        <v>0.63</v>
      </c>
      <c r="K106" s="95" cm="1">
        <f ca="1" t="array" ref="K106">MIN(18,_xlfn.XLOOKUP($D106&amp;"_"&amp;K$52,$B$14:$B$36&amp;"_"&amp;$C$14:$C$36,$D$14:$D$36)*$E106)</f>
        <v>0.2352</v>
      </c>
      <c r="L106" s="95" cm="1">
        <f ca="1" t="array" ref="L106">MIN(6,_xlfn.XLOOKUP($D106&amp;"_"&amp;L$52,$B$14:$B$36&amp;"_"&amp;$C$14:$C$36,$D$14:$D$36)*$E106)</f>
        <v>0.441</v>
      </c>
      <c r="M106" s="95" cm="1">
        <f ca="1" t="array" ref="M106">(1+SUMPRODUCT(G106:H106,OFFSET($H$40:$I$40,D106,0)))*(1+OFFSET($J$40,D106,0))^I106*(1+OFFSET($K$40,D106,0))^J106*(1+OFFSET($L$40,D106,0))^K106*(1+OFFSET($M$40,D106,0))^L106</f>
        <v>9.33617208948042</v>
      </c>
      <c r="N106" s="95">
        <f ca="1">MAX(MAX($N$53:N105),OFFSET($C$52,MATCH(M106*1.07,$M$53:$M$2052,1),0)-C106)</f>
        <v>4680</v>
      </c>
    </row>
    <row r="107" spans="2:14">
      <c r="B107" s="95">
        <v>55</v>
      </c>
      <c r="C107" s="95">
        <f t="shared" si="15"/>
        <v>19800</v>
      </c>
      <c r="D107" s="95">
        <f ca="1">_xlfn.XLOOKUP(总览!$B$44,$B$40:$B$45,$C$40:$C$45)</f>
        <v>5</v>
      </c>
      <c r="E107" s="95">
        <f ca="1" t="shared" si="12"/>
        <v>85</v>
      </c>
      <c r="F107" s="95">
        <f ca="1" t="shared" si="13"/>
        <v>0</v>
      </c>
      <c r="G107" s="95">
        <f ca="1" t="shared" si="14"/>
        <v>10.0711678571429</v>
      </c>
      <c r="H107" s="95" cm="1">
        <f ca="1" t="array" ref="H107">MIN(30-SUM(I107:L107),_xlfn.XLOOKUP($D107&amp;"_"&amp;H$52,$B$14:$B$36&amp;"_"&amp;$C$14:$C$36,$D$14:$D$36)*$E107,18)</f>
        <v>18</v>
      </c>
      <c r="I107" s="95" cm="1">
        <f ca="1" t="array" ref="I107">MIN(30-SUM(J107:L107),6-L107,_xlfn.XLOOKUP($D107&amp;"_"&amp;I$52,$B$14:$B$36&amp;"_"&amp;$C$14:$C$36,$D$14:$D$36)*$E107)</f>
        <v>0.607082142857142</v>
      </c>
      <c r="J107" s="95" cm="1">
        <f ca="1" t="array" ref="J107">MIN(8,_xlfn.XLOOKUP($D107&amp;"_"&amp;J$52,$B$14:$B$36&amp;"_"&amp;$C$14:$C$36,$D$14:$D$36)*$E107)</f>
        <v>0.6375</v>
      </c>
      <c r="K107" s="95" cm="1">
        <f ca="1" t="array" ref="K107">MIN(18,_xlfn.XLOOKUP($D107&amp;"_"&amp;K$52,$B$14:$B$36&amp;"_"&amp;$C$14:$C$36,$D$14:$D$36)*$E107)</f>
        <v>0.238</v>
      </c>
      <c r="L107" s="95" cm="1">
        <f ca="1" t="array" ref="L107">MIN(6,_xlfn.XLOOKUP($D107&amp;"_"&amp;L$52,$B$14:$B$36&amp;"_"&amp;$C$14:$C$36,$D$14:$D$36)*$E107)</f>
        <v>0.44625</v>
      </c>
      <c r="M107" s="95" cm="1">
        <f ca="1" t="array" ref="M107">(1+SUMPRODUCT(G107:H107,OFFSET($H$40:$I$40,D107,0)))*(1+OFFSET($J$40,D107,0))^I107*(1+OFFSET($K$40,D107,0))^J107*(1+OFFSET($L$40,D107,0))^K107*(1+OFFSET($M$40,D107,0))^L107</f>
        <v>9.38461516015152</v>
      </c>
      <c r="N107" s="95">
        <f ca="1">MAX(MAX($N$53:N106),OFFSET($C$52,MATCH(M107*1.07,$M$53:$M$2052,1),0)-C107)</f>
        <v>4680</v>
      </c>
    </row>
    <row r="108" spans="2:14">
      <c r="B108" s="95">
        <v>56</v>
      </c>
      <c r="C108" s="95">
        <f t="shared" si="15"/>
        <v>20160</v>
      </c>
      <c r="D108" s="95">
        <f ca="1">_xlfn.XLOOKUP(总览!$B$44,$B$40:$B$45,$C$40:$C$45)</f>
        <v>5</v>
      </c>
      <c r="E108" s="95">
        <f ca="1" t="shared" si="12"/>
        <v>86</v>
      </c>
      <c r="F108" s="95">
        <f ca="1" t="shared" si="13"/>
        <v>0</v>
      </c>
      <c r="G108" s="95">
        <f ca="1" t="shared" si="14"/>
        <v>10.0484757142857</v>
      </c>
      <c r="H108" s="95" cm="1">
        <f ca="1" t="array" ref="H108">MIN(30-SUM(I108:L108),_xlfn.XLOOKUP($D108&amp;"_"&amp;H$52,$B$14:$B$36&amp;"_"&amp;$C$14:$C$36,$D$14:$D$36)*$E108,18)</f>
        <v>18</v>
      </c>
      <c r="I108" s="95" cm="1">
        <f ca="1" t="array" ref="I108">MIN(30-SUM(J108:L108),6-L108,_xlfn.XLOOKUP($D108&amp;"_"&amp;I$52,$B$14:$B$36&amp;"_"&amp;$C$14:$C$36,$D$14:$D$36)*$E108)</f>
        <v>0.614224285714285</v>
      </c>
      <c r="J108" s="95" cm="1">
        <f ca="1" t="array" ref="J108">MIN(8,_xlfn.XLOOKUP($D108&amp;"_"&amp;J$52,$B$14:$B$36&amp;"_"&amp;$C$14:$C$36,$D$14:$D$36)*$E108)</f>
        <v>0.645</v>
      </c>
      <c r="K108" s="95" cm="1">
        <f ca="1" t="array" ref="K108">MIN(18,_xlfn.XLOOKUP($D108&amp;"_"&amp;K$52,$B$14:$B$36&amp;"_"&amp;$C$14:$C$36,$D$14:$D$36)*$E108)</f>
        <v>0.2408</v>
      </c>
      <c r="L108" s="95" cm="1">
        <f ca="1" t="array" ref="L108">MIN(6,_xlfn.XLOOKUP($D108&amp;"_"&amp;L$52,$B$14:$B$36&amp;"_"&amp;$C$14:$C$36,$D$14:$D$36)*$E108)</f>
        <v>0.4515</v>
      </c>
      <c r="M108" s="95" cm="1">
        <f ca="1" t="array" ref="M108">(1+SUMPRODUCT(G108:H108,OFFSET($H$40:$I$40,D108,0)))*(1+OFFSET($J$40,D108,0))^I108*(1+OFFSET($K$40,D108,0))^J108*(1+OFFSET($L$40,D108,0))^K108*(1+OFFSET($M$40,D108,0))^L108</f>
        <v>9.43330751663423</v>
      </c>
      <c r="N108" s="95">
        <f ca="1">MAX(MAX($N$53:N107),OFFSET($C$52,MATCH(M108*1.07,$M$53:$M$2052,1),0)-C108)</f>
        <v>4680</v>
      </c>
    </row>
    <row r="109" spans="2:14">
      <c r="B109" s="95">
        <v>57</v>
      </c>
      <c r="C109" s="95">
        <f t="shared" si="15"/>
        <v>20520</v>
      </c>
      <c r="D109" s="95">
        <f ca="1">_xlfn.XLOOKUP(总览!$B$44,$B$40:$B$45,$C$40:$C$45)</f>
        <v>5</v>
      </c>
      <c r="E109" s="95">
        <f ca="1" t="shared" si="12"/>
        <v>87</v>
      </c>
      <c r="F109" s="95">
        <f ca="1" t="shared" si="13"/>
        <v>0</v>
      </c>
      <c r="G109" s="95">
        <f ca="1" t="shared" si="14"/>
        <v>10.0257835714286</v>
      </c>
      <c r="H109" s="95" cm="1">
        <f ca="1" t="array" ref="H109">MIN(30-SUM(I109:L109),_xlfn.XLOOKUP($D109&amp;"_"&amp;H$52,$B$14:$B$36&amp;"_"&amp;$C$14:$C$36,$D$14:$D$36)*$E109,18)</f>
        <v>18</v>
      </c>
      <c r="I109" s="95" cm="1">
        <f ca="1" t="array" ref="I109">MIN(30-SUM(J109:L109),6-L109,_xlfn.XLOOKUP($D109&amp;"_"&amp;I$52,$B$14:$B$36&amp;"_"&amp;$C$14:$C$36,$D$14:$D$36)*$E109)</f>
        <v>0.621366428571427</v>
      </c>
      <c r="J109" s="95" cm="1">
        <f ca="1" t="array" ref="J109">MIN(8,_xlfn.XLOOKUP($D109&amp;"_"&amp;J$52,$B$14:$B$36&amp;"_"&amp;$C$14:$C$36,$D$14:$D$36)*$E109)</f>
        <v>0.6525</v>
      </c>
      <c r="K109" s="95" cm="1">
        <f ca="1" t="array" ref="K109">MIN(18,_xlfn.XLOOKUP($D109&amp;"_"&amp;K$52,$B$14:$B$36&amp;"_"&amp;$C$14:$C$36,$D$14:$D$36)*$E109)</f>
        <v>0.2436</v>
      </c>
      <c r="L109" s="95" cm="1">
        <f ca="1" t="array" ref="L109">MIN(6,_xlfn.XLOOKUP($D109&amp;"_"&amp;L$52,$B$14:$B$36&amp;"_"&amp;$C$14:$C$36,$D$14:$D$36)*$E109)</f>
        <v>0.45675</v>
      </c>
      <c r="M109" s="95" cm="1">
        <f ca="1" t="array" ref="M109">(1+SUMPRODUCT(G109:H109,OFFSET($H$40:$I$40,D109,0)))*(1+OFFSET($J$40,D109,0))^I109*(1+OFFSET($K$40,D109,0))^J109*(1+OFFSET($L$40,D109,0))^K109*(1+OFFSET($M$40,D109,0))^L109</f>
        <v>9.48225042894183</v>
      </c>
      <c r="N109" s="95">
        <f ca="1">MAX(MAX($N$53:N108),OFFSET($C$52,MATCH(M109*1.07,$M$53:$M$2052,1),0)-C109)</f>
        <v>4680</v>
      </c>
    </row>
    <row r="110" spans="2:14">
      <c r="B110" s="95">
        <v>58</v>
      </c>
      <c r="C110" s="95">
        <f t="shared" si="15"/>
        <v>20880</v>
      </c>
      <c r="D110" s="95">
        <f ca="1">_xlfn.XLOOKUP(总览!$B$44,$B$40:$B$45,$C$40:$C$45)</f>
        <v>5</v>
      </c>
      <c r="E110" s="95">
        <f ca="1" t="shared" si="12"/>
        <v>88</v>
      </c>
      <c r="F110" s="95">
        <f ca="1" t="shared" si="13"/>
        <v>0</v>
      </c>
      <c r="G110" s="95">
        <f ca="1" t="shared" si="14"/>
        <v>10.0030914285714</v>
      </c>
      <c r="H110" s="95" cm="1">
        <f ca="1" t="array" ref="H110">MIN(30-SUM(I110:L110),_xlfn.XLOOKUP($D110&amp;"_"&amp;H$52,$B$14:$B$36&amp;"_"&amp;$C$14:$C$36,$D$14:$D$36)*$E110,18)</f>
        <v>18</v>
      </c>
      <c r="I110" s="95" cm="1">
        <f ca="1" t="array" ref="I110">MIN(30-SUM(J110:L110),6-L110,_xlfn.XLOOKUP($D110&amp;"_"&amp;I$52,$B$14:$B$36&amp;"_"&amp;$C$14:$C$36,$D$14:$D$36)*$E110)</f>
        <v>0.62850857142857</v>
      </c>
      <c r="J110" s="95" cm="1">
        <f ca="1" t="array" ref="J110">MIN(8,_xlfn.XLOOKUP($D110&amp;"_"&amp;J$52,$B$14:$B$36&amp;"_"&amp;$C$14:$C$36,$D$14:$D$36)*$E110)</f>
        <v>0.66</v>
      </c>
      <c r="K110" s="95" cm="1">
        <f ca="1" t="array" ref="K110">MIN(18,_xlfn.XLOOKUP($D110&amp;"_"&amp;K$52,$B$14:$B$36&amp;"_"&amp;$C$14:$C$36,$D$14:$D$36)*$E110)</f>
        <v>0.2464</v>
      </c>
      <c r="L110" s="95" cm="1">
        <f ca="1" t="array" ref="L110">MIN(6,_xlfn.XLOOKUP($D110&amp;"_"&amp;L$52,$B$14:$B$36&amp;"_"&amp;$C$14:$C$36,$D$14:$D$36)*$E110)</f>
        <v>0.462</v>
      </c>
      <c r="M110" s="95" cm="1">
        <f ca="1" t="array" ref="M110">(1+SUMPRODUCT(G110:H110,OFFSET($H$40:$I$40,D110,0)))*(1+OFFSET($J$40,D110,0))^I110*(1+OFFSET($K$40,D110,0))^J110*(1+OFFSET($L$40,D110,0))^K110*(1+OFFSET($M$40,D110,0))^L110</f>
        <v>9.53144517347813</v>
      </c>
      <c r="N110" s="95">
        <f ca="1">MAX(MAX($N$53:N109),OFFSET($C$52,MATCH(M110*1.07,$M$53:$M$2052,1),0)-C110)</f>
        <v>4680</v>
      </c>
    </row>
    <row r="111" spans="2:14">
      <c r="B111" s="95">
        <v>59</v>
      </c>
      <c r="C111" s="95">
        <f t="shared" si="15"/>
        <v>21240</v>
      </c>
      <c r="D111" s="95">
        <f ca="1">_xlfn.XLOOKUP(总览!$B$44,$B$40:$B$45,$C$40:$C$45)</f>
        <v>5</v>
      </c>
      <c r="E111" s="95">
        <f ca="1" t="shared" si="12"/>
        <v>89</v>
      </c>
      <c r="F111" s="95">
        <f ca="1" t="shared" si="13"/>
        <v>0</v>
      </c>
      <c r="G111" s="95">
        <f ca="1" t="shared" si="14"/>
        <v>9.98039928571429</v>
      </c>
      <c r="H111" s="95" cm="1">
        <f ca="1" t="array" ref="H111">MIN(30-SUM(I111:L111),_xlfn.XLOOKUP($D111&amp;"_"&amp;H$52,$B$14:$B$36&amp;"_"&amp;$C$14:$C$36,$D$14:$D$36)*$E111,18)</f>
        <v>18</v>
      </c>
      <c r="I111" s="95" cm="1">
        <f ca="1" t="array" ref="I111">MIN(30-SUM(J111:L111),6-L111,_xlfn.XLOOKUP($D111&amp;"_"&amp;I$52,$B$14:$B$36&amp;"_"&amp;$C$14:$C$36,$D$14:$D$36)*$E111)</f>
        <v>0.635650714285713</v>
      </c>
      <c r="J111" s="95" cm="1">
        <f ca="1" t="array" ref="J111">MIN(8,_xlfn.XLOOKUP($D111&amp;"_"&amp;J$52,$B$14:$B$36&amp;"_"&amp;$C$14:$C$36,$D$14:$D$36)*$E111)</f>
        <v>0.6675</v>
      </c>
      <c r="K111" s="95" cm="1">
        <f ca="1" t="array" ref="K111">MIN(18,_xlfn.XLOOKUP($D111&amp;"_"&amp;K$52,$B$14:$B$36&amp;"_"&amp;$C$14:$C$36,$D$14:$D$36)*$E111)</f>
        <v>0.2492</v>
      </c>
      <c r="L111" s="95" cm="1">
        <f ca="1" t="array" ref="L111">MIN(6,_xlfn.XLOOKUP($D111&amp;"_"&amp;L$52,$B$14:$B$36&amp;"_"&amp;$C$14:$C$36,$D$14:$D$36)*$E111)</f>
        <v>0.46725</v>
      </c>
      <c r="M111" s="95" cm="1">
        <f ca="1" t="array" ref="M111">(1+SUMPRODUCT(G111:H111,OFFSET($H$40:$I$40,D111,0)))*(1+OFFSET($J$40,D111,0))^I111*(1+OFFSET($K$40,D111,0))^J111*(1+OFFSET($L$40,D111,0))^K111*(1+OFFSET($M$40,D111,0))^L111</f>
        <v>9.58089303306911</v>
      </c>
      <c r="N111" s="95">
        <f ca="1">MAX(MAX($N$53:N110),OFFSET($C$52,MATCH(M111*1.07,$M$53:$M$2052,1),0)-C111)</f>
        <v>4680</v>
      </c>
    </row>
    <row r="112" spans="2:14">
      <c r="B112" s="95">
        <v>60</v>
      </c>
      <c r="C112" s="95">
        <f t="shared" si="15"/>
        <v>21600</v>
      </c>
      <c r="D112" s="95">
        <f ca="1">_xlfn.XLOOKUP(总览!$B$44,$B$40:$B$45,$C$40:$C$45)</f>
        <v>5</v>
      </c>
      <c r="E112" s="95">
        <f ca="1" t="shared" si="12"/>
        <v>90</v>
      </c>
      <c r="F112" s="95">
        <f ca="1" t="shared" si="13"/>
        <v>0</v>
      </c>
      <c r="G112" s="95">
        <f ca="1" t="shared" si="14"/>
        <v>9.95770714285715</v>
      </c>
      <c r="H112" s="95" cm="1">
        <f ca="1" t="array" ref="H112">MIN(30-SUM(I112:L112),_xlfn.XLOOKUP($D112&amp;"_"&amp;H$52,$B$14:$B$36&amp;"_"&amp;$C$14:$C$36,$D$14:$D$36)*$E112,18)</f>
        <v>18</v>
      </c>
      <c r="I112" s="95" cm="1">
        <f ca="1" t="array" ref="I112">MIN(30-SUM(J112:L112),6-L112,_xlfn.XLOOKUP($D112&amp;"_"&amp;I$52,$B$14:$B$36&amp;"_"&amp;$C$14:$C$36,$D$14:$D$36)*$E112)</f>
        <v>0.642792857142856</v>
      </c>
      <c r="J112" s="95" cm="1">
        <f ca="1" t="array" ref="J112">MIN(8,_xlfn.XLOOKUP($D112&amp;"_"&amp;J$52,$B$14:$B$36&amp;"_"&amp;$C$14:$C$36,$D$14:$D$36)*$E112)</f>
        <v>0.675</v>
      </c>
      <c r="K112" s="95" cm="1">
        <f ca="1" t="array" ref="K112">MIN(18,_xlfn.XLOOKUP($D112&amp;"_"&amp;K$52,$B$14:$B$36&amp;"_"&amp;$C$14:$C$36,$D$14:$D$36)*$E112)</f>
        <v>0.252</v>
      </c>
      <c r="L112" s="95" cm="1">
        <f ca="1" t="array" ref="L112">MIN(6,_xlfn.XLOOKUP($D112&amp;"_"&amp;L$52,$B$14:$B$36&amp;"_"&amp;$C$14:$C$36,$D$14:$D$36)*$E112)</f>
        <v>0.4725</v>
      </c>
      <c r="M112" s="95" cm="1">
        <f ca="1" t="array" ref="M112">(1+SUMPRODUCT(G112:H112,OFFSET($H$40:$I$40,D112,0)))*(1+OFFSET($J$40,D112,0))^I112*(1+OFFSET($K$40,D112,0))^J112*(1+OFFSET($L$40,D112,0))^K112*(1+OFFSET($M$40,D112,0))^L112</f>
        <v>9.63059529699475</v>
      </c>
      <c r="N112" s="95">
        <f ca="1">MAX(MAX($N$53:N111),OFFSET($C$52,MATCH(M112*1.07,$M$53:$M$2052,1),0)-C112)</f>
        <v>4680</v>
      </c>
    </row>
    <row r="113" spans="2:14">
      <c r="B113" s="95">
        <v>61</v>
      </c>
      <c r="C113" s="95">
        <f t="shared" si="15"/>
        <v>21960</v>
      </c>
      <c r="D113" s="95">
        <f ca="1">_xlfn.XLOOKUP(总览!$B$44,$B$40:$B$45,$C$40:$C$45)</f>
        <v>5</v>
      </c>
      <c r="E113" s="95">
        <f ca="1" t="shared" si="12"/>
        <v>91</v>
      </c>
      <c r="F113" s="95">
        <f ca="1" t="shared" si="13"/>
        <v>0</v>
      </c>
      <c r="G113" s="95">
        <f ca="1" t="shared" si="14"/>
        <v>9.935015</v>
      </c>
      <c r="H113" s="95" cm="1">
        <f ca="1" t="array" ref="H113">MIN(30-SUM(I113:L113),_xlfn.XLOOKUP($D113&amp;"_"&amp;H$52,$B$14:$B$36&amp;"_"&amp;$C$14:$C$36,$D$14:$D$36)*$E113,18)</f>
        <v>18</v>
      </c>
      <c r="I113" s="95" cm="1">
        <f ca="1" t="array" ref="I113">MIN(30-SUM(J113:L113),6-L113,_xlfn.XLOOKUP($D113&amp;"_"&amp;I$52,$B$14:$B$36&amp;"_"&amp;$C$14:$C$36,$D$14:$D$36)*$E113)</f>
        <v>0.649934999999999</v>
      </c>
      <c r="J113" s="95" cm="1">
        <f ca="1" t="array" ref="J113">MIN(8,_xlfn.XLOOKUP($D113&amp;"_"&amp;J$52,$B$14:$B$36&amp;"_"&amp;$C$14:$C$36,$D$14:$D$36)*$E113)</f>
        <v>0.6825</v>
      </c>
      <c r="K113" s="95" cm="1">
        <f ca="1" t="array" ref="K113">MIN(18,_xlfn.XLOOKUP($D113&amp;"_"&amp;K$52,$B$14:$B$36&amp;"_"&amp;$C$14:$C$36,$D$14:$D$36)*$E113)</f>
        <v>0.2548</v>
      </c>
      <c r="L113" s="95" cm="1">
        <f ca="1" t="array" ref="L113">MIN(6,_xlfn.XLOOKUP($D113&amp;"_"&amp;L$52,$B$14:$B$36&amp;"_"&amp;$C$14:$C$36,$D$14:$D$36)*$E113)</f>
        <v>0.47775</v>
      </c>
      <c r="M113" s="95" cm="1">
        <f ca="1" t="array" ref="M113">(1+SUMPRODUCT(G113:H113,OFFSET($H$40:$I$40,D113,0)))*(1+OFFSET($J$40,D113,0))^I113*(1+OFFSET($K$40,D113,0))^J113*(1+OFFSET($L$40,D113,0))^K113*(1+OFFSET($M$40,D113,0))^L113</f>
        <v>9.68055326102101</v>
      </c>
      <c r="N113" s="95">
        <f ca="1">MAX(MAX($N$53:N112),OFFSET($C$52,MATCH(M113*1.07,$M$53:$M$2052,1),0)-C113)</f>
        <v>4680</v>
      </c>
    </row>
    <row r="114" spans="2:14">
      <c r="B114" s="95">
        <v>62</v>
      </c>
      <c r="C114" s="95">
        <f t="shared" si="15"/>
        <v>22320</v>
      </c>
      <c r="D114" s="95">
        <f ca="1">_xlfn.XLOOKUP(总览!$B$44,$B$40:$B$45,$C$40:$C$45)</f>
        <v>5</v>
      </c>
      <c r="E114" s="95">
        <f ca="1" t="shared" si="12"/>
        <v>92</v>
      </c>
      <c r="F114" s="95">
        <f ca="1" t="shared" si="13"/>
        <v>0</v>
      </c>
      <c r="G114" s="95">
        <f ca="1" t="shared" si="14"/>
        <v>9.91232285714286</v>
      </c>
      <c r="H114" s="95" cm="1">
        <f ca="1" t="array" ref="H114">MIN(30-SUM(I114:L114),_xlfn.XLOOKUP($D114&amp;"_"&amp;H$52,$B$14:$B$36&amp;"_"&amp;$C$14:$C$36,$D$14:$D$36)*$E114,18)</f>
        <v>18</v>
      </c>
      <c r="I114" s="95" cm="1">
        <f ca="1" t="array" ref="I114">MIN(30-SUM(J114:L114),6-L114,_xlfn.XLOOKUP($D114&amp;"_"&amp;I$52,$B$14:$B$36&amp;"_"&amp;$C$14:$C$36,$D$14:$D$36)*$E114)</f>
        <v>0.657077142857142</v>
      </c>
      <c r="J114" s="95" cm="1">
        <f ca="1" t="array" ref="J114">MIN(8,_xlfn.XLOOKUP($D114&amp;"_"&amp;J$52,$B$14:$B$36&amp;"_"&amp;$C$14:$C$36,$D$14:$D$36)*$E114)</f>
        <v>0.69</v>
      </c>
      <c r="K114" s="95" cm="1">
        <f ca="1" t="array" ref="K114">MIN(18,_xlfn.XLOOKUP($D114&amp;"_"&amp;K$52,$B$14:$B$36&amp;"_"&amp;$C$14:$C$36,$D$14:$D$36)*$E114)</f>
        <v>0.2576</v>
      </c>
      <c r="L114" s="95" cm="1">
        <f ca="1" t="array" ref="L114">MIN(6,_xlfn.XLOOKUP($D114&amp;"_"&amp;L$52,$B$14:$B$36&amp;"_"&amp;$C$14:$C$36,$D$14:$D$36)*$E114)</f>
        <v>0.483</v>
      </c>
      <c r="M114" s="95" cm="1">
        <f ca="1" t="array" ref="M114">(1+SUMPRODUCT(G114:H114,OFFSET($H$40:$I$40,D114,0)))*(1+OFFSET($J$40,D114,0))^I114*(1+OFFSET($K$40,D114,0))^J114*(1+OFFSET($L$40,D114,0))^K114*(1+OFFSET($M$40,D114,0))^L114</f>
        <v>9.73076822743192</v>
      </c>
      <c r="N114" s="95">
        <f ca="1">MAX(MAX($N$53:N113),OFFSET($C$52,MATCH(M114*1.07,$M$53:$M$2052,1),0)-C114)</f>
        <v>4680</v>
      </c>
    </row>
    <row r="115" spans="2:14">
      <c r="B115" s="95">
        <v>63</v>
      </c>
      <c r="C115" s="95">
        <f t="shared" si="15"/>
        <v>22680</v>
      </c>
      <c r="D115" s="95">
        <f ca="1">_xlfn.XLOOKUP(总览!$B$44,$B$40:$B$45,$C$40:$C$45)</f>
        <v>5</v>
      </c>
      <c r="E115" s="95">
        <f ca="1" t="shared" si="12"/>
        <v>93</v>
      </c>
      <c r="F115" s="95">
        <f ca="1" t="shared" si="13"/>
        <v>0</v>
      </c>
      <c r="G115" s="95">
        <f ca="1" t="shared" si="14"/>
        <v>9.88963071428571</v>
      </c>
      <c r="H115" s="95" cm="1">
        <f ca="1" t="array" ref="H115">MIN(30-SUM(I115:L115),_xlfn.XLOOKUP($D115&amp;"_"&amp;H$52,$B$14:$B$36&amp;"_"&amp;$C$14:$C$36,$D$14:$D$36)*$E115,18)</f>
        <v>18</v>
      </c>
      <c r="I115" s="95" cm="1">
        <f ca="1" t="array" ref="I115">MIN(30-SUM(J115:L115),6-L115,_xlfn.XLOOKUP($D115&amp;"_"&amp;I$52,$B$14:$B$36&amp;"_"&amp;$C$14:$C$36,$D$14:$D$36)*$E115)</f>
        <v>0.664219285714284</v>
      </c>
      <c r="J115" s="95" cm="1">
        <f ca="1" t="array" ref="J115">MIN(8,_xlfn.XLOOKUP($D115&amp;"_"&amp;J$52,$B$14:$B$36&amp;"_"&amp;$C$14:$C$36,$D$14:$D$36)*$E115)</f>
        <v>0.6975</v>
      </c>
      <c r="K115" s="95" cm="1">
        <f ca="1" t="array" ref="K115">MIN(18,_xlfn.XLOOKUP($D115&amp;"_"&amp;K$52,$B$14:$B$36&amp;"_"&amp;$C$14:$C$36,$D$14:$D$36)*$E115)</f>
        <v>0.2604</v>
      </c>
      <c r="L115" s="95" cm="1">
        <f ca="1" t="array" ref="L115">MIN(6,_xlfn.XLOOKUP($D115&amp;"_"&amp;L$52,$B$14:$B$36&amp;"_"&amp;$C$14:$C$36,$D$14:$D$36)*$E115)</f>
        <v>0.48825</v>
      </c>
      <c r="M115" s="95" cm="1">
        <f ca="1" t="array" ref="M115">(1+SUMPRODUCT(G115:H115,OFFSET($H$40:$I$40,D115,0)))*(1+OFFSET($J$40,D115,0))^I115*(1+OFFSET($K$40,D115,0))^J115*(1+OFFSET($L$40,D115,0))^K115*(1+OFFSET($M$40,D115,0))^L115</f>
        <v>9.78124150506185</v>
      </c>
      <c r="N115" s="95">
        <f ca="1">MAX(MAX($N$53:N114),OFFSET($C$52,MATCH(M115*1.07,$M$53:$M$2052,1),0)-C115)</f>
        <v>4680</v>
      </c>
    </row>
    <row r="116" spans="2:14">
      <c r="B116" s="95">
        <v>64</v>
      </c>
      <c r="C116" s="95">
        <f t="shared" si="15"/>
        <v>23040</v>
      </c>
      <c r="D116" s="95">
        <f ca="1">_xlfn.XLOOKUP(总览!$B$44,$B$40:$B$45,$C$40:$C$45)</f>
        <v>5</v>
      </c>
      <c r="E116" s="95">
        <f ca="1" t="shared" si="12"/>
        <v>94</v>
      </c>
      <c r="F116" s="95">
        <f ca="1" t="shared" si="13"/>
        <v>0</v>
      </c>
      <c r="G116" s="95">
        <f ca="1" t="shared" si="14"/>
        <v>9.86693857142857</v>
      </c>
      <c r="H116" s="95" cm="1">
        <f ca="1" t="array" ref="H116">MIN(30-SUM(I116:L116),_xlfn.XLOOKUP($D116&amp;"_"&amp;H$52,$B$14:$B$36&amp;"_"&amp;$C$14:$C$36,$D$14:$D$36)*$E116,18)</f>
        <v>18</v>
      </c>
      <c r="I116" s="95" cm="1">
        <f ca="1" t="array" ref="I116">MIN(30-SUM(J116:L116),6-L116,_xlfn.XLOOKUP($D116&amp;"_"&amp;I$52,$B$14:$B$36&amp;"_"&amp;$C$14:$C$36,$D$14:$D$36)*$E116)</f>
        <v>0.671361428571427</v>
      </c>
      <c r="J116" s="95" cm="1">
        <f ca="1" t="array" ref="J116">MIN(8,_xlfn.XLOOKUP($D116&amp;"_"&amp;J$52,$B$14:$B$36&amp;"_"&amp;$C$14:$C$36,$D$14:$D$36)*$E116)</f>
        <v>0.705</v>
      </c>
      <c r="K116" s="95" cm="1">
        <f ca="1" t="array" ref="K116">MIN(18,_xlfn.XLOOKUP($D116&amp;"_"&amp;K$52,$B$14:$B$36&amp;"_"&amp;$C$14:$C$36,$D$14:$D$36)*$E116)</f>
        <v>0.2632</v>
      </c>
      <c r="L116" s="95" cm="1">
        <f ca="1" t="array" ref="L116">MIN(6,_xlfn.XLOOKUP($D116&amp;"_"&amp;L$52,$B$14:$B$36&amp;"_"&amp;$C$14:$C$36,$D$14:$D$36)*$E116)</f>
        <v>0.4935</v>
      </c>
      <c r="M116" s="95" cm="1">
        <f ca="1" t="array" ref="M116">(1+SUMPRODUCT(G116:H116,OFFSET($H$40:$I$40,D116,0)))*(1+OFFSET($J$40,D116,0))^I116*(1+OFFSET($K$40,D116,0))^J116*(1+OFFSET($L$40,D116,0))^K116*(1+OFFSET($M$40,D116,0))^L116</f>
        <v>9.83197440932797</v>
      </c>
      <c r="N116" s="95">
        <f ca="1">MAX(MAX($N$53:N115),OFFSET($C$52,MATCH(M116*1.07,$M$53:$M$2052,1),0)-C116)</f>
        <v>4680</v>
      </c>
    </row>
    <row r="117" spans="2:14">
      <c r="B117" s="95">
        <v>65</v>
      </c>
      <c r="C117" s="95">
        <f t="shared" si="15"/>
        <v>23400</v>
      </c>
      <c r="D117" s="95">
        <f ca="1">_xlfn.XLOOKUP(总览!$B$44,$B$40:$B$45,$C$40:$C$45)</f>
        <v>5</v>
      </c>
      <c r="E117" s="95">
        <f ca="1" t="shared" si="12"/>
        <v>95</v>
      </c>
      <c r="F117" s="95">
        <f ca="1" t="shared" si="13"/>
        <v>0</v>
      </c>
      <c r="G117" s="95">
        <f ca="1" t="shared" si="14"/>
        <v>9.84424642857143</v>
      </c>
      <c r="H117" s="95" cm="1">
        <f ca="1" t="array" ref="H117">MIN(30-SUM(I117:L117),_xlfn.XLOOKUP($D117&amp;"_"&amp;H$52,$B$14:$B$36&amp;"_"&amp;$C$14:$C$36,$D$14:$D$36)*$E117,18)</f>
        <v>18</v>
      </c>
      <c r="I117" s="95" cm="1">
        <f ca="1" t="array" ref="I117">MIN(30-SUM(J117:L117),6-L117,_xlfn.XLOOKUP($D117&amp;"_"&amp;I$52,$B$14:$B$36&amp;"_"&amp;$C$14:$C$36,$D$14:$D$36)*$E117)</f>
        <v>0.67850357142857</v>
      </c>
      <c r="J117" s="95" cm="1">
        <f ca="1" t="array" ref="J117">MIN(8,_xlfn.XLOOKUP($D117&amp;"_"&amp;J$52,$B$14:$B$36&amp;"_"&amp;$C$14:$C$36,$D$14:$D$36)*$E117)</f>
        <v>0.7125</v>
      </c>
      <c r="K117" s="95" cm="1">
        <f ca="1" t="array" ref="K117">MIN(18,_xlfn.XLOOKUP($D117&amp;"_"&amp;K$52,$B$14:$B$36&amp;"_"&amp;$C$14:$C$36,$D$14:$D$36)*$E117)</f>
        <v>0.266</v>
      </c>
      <c r="L117" s="95" cm="1">
        <f ca="1" t="array" ref="L117">MIN(6,_xlfn.XLOOKUP($D117&amp;"_"&amp;L$52,$B$14:$B$36&amp;"_"&amp;$C$14:$C$36,$D$14:$D$36)*$E117)</f>
        <v>0.49875</v>
      </c>
      <c r="M117" s="95" cm="1">
        <f ca="1" t="array" ref="M117">(1+SUMPRODUCT(G117:H117,OFFSET($H$40:$I$40,D117,0)))*(1+OFFSET($J$40,D117,0))^I117*(1+OFFSET($K$40,D117,0))^J117*(1+OFFSET($L$40,D117,0))^K117*(1+OFFSET($M$40,D117,0))^L117</f>
        <v>9.88296826226281</v>
      </c>
      <c r="N117" s="95">
        <f ca="1">MAX(MAX($N$53:N116),OFFSET($C$52,MATCH(M117*1.07,$M$53:$M$2052,1),0)-C117)</f>
        <v>4680</v>
      </c>
    </row>
    <row r="118" spans="2:14">
      <c r="B118" s="95">
        <v>66</v>
      </c>
      <c r="C118" s="95">
        <f t="shared" si="15"/>
        <v>23760</v>
      </c>
      <c r="D118" s="95">
        <f ca="1">_xlfn.XLOOKUP(总览!$B$44,$B$40:$B$45,$C$40:$C$45)</f>
        <v>5</v>
      </c>
      <c r="E118" s="95">
        <f ca="1" t="shared" ref="E118:E181" si="16">INT(C118/_xlfn.XLOOKUP(D118,$N$5:$N$16,$O$5:$O$16))+OFFSET($R$40,D118,0)</f>
        <v>96</v>
      </c>
      <c r="F118" s="95">
        <f ca="1" t="shared" si="13"/>
        <v>0</v>
      </c>
      <c r="G118" s="95">
        <f ca="1" t="shared" si="14"/>
        <v>9.82155428571429</v>
      </c>
      <c r="H118" s="95" cm="1">
        <f ca="1" t="array" ref="H118">MIN(30-SUM(I118:L118),_xlfn.XLOOKUP($D118&amp;"_"&amp;H$52,$B$14:$B$36&amp;"_"&amp;$C$14:$C$36,$D$14:$D$36)*$E118,18)</f>
        <v>18</v>
      </c>
      <c r="I118" s="95" cm="1">
        <f ca="1" t="array" ref="I118">MIN(30-SUM(J118:L118),6-L118,_xlfn.XLOOKUP($D118&amp;"_"&amp;I$52,$B$14:$B$36&amp;"_"&amp;$C$14:$C$36,$D$14:$D$36)*$E118)</f>
        <v>0.685645714285713</v>
      </c>
      <c r="J118" s="95" cm="1">
        <f ca="1" t="array" ref="J118">MIN(8,_xlfn.XLOOKUP($D118&amp;"_"&amp;J$52,$B$14:$B$36&amp;"_"&amp;$C$14:$C$36,$D$14:$D$36)*$E118)</f>
        <v>0.72</v>
      </c>
      <c r="K118" s="95" cm="1">
        <f ca="1" t="array" ref="K118">MIN(18,_xlfn.XLOOKUP($D118&amp;"_"&amp;K$52,$B$14:$B$36&amp;"_"&amp;$C$14:$C$36,$D$14:$D$36)*$E118)</f>
        <v>0.2688</v>
      </c>
      <c r="L118" s="95" cm="1">
        <f ca="1" t="array" ref="L118">MIN(6,_xlfn.XLOOKUP($D118&amp;"_"&amp;L$52,$B$14:$B$36&amp;"_"&amp;$C$14:$C$36,$D$14:$D$36)*$E118)</f>
        <v>0.504</v>
      </c>
      <c r="M118" s="95" cm="1">
        <f ca="1" t="array" ref="M118">(1+SUMPRODUCT(G118:H118,OFFSET($H$40:$I$40,D118,0)))*(1+OFFSET($J$40,D118,0))^I118*(1+OFFSET($K$40,D118,0))^J118*(1+OFFSET($L$40,D118,0))^K118*(1+OFFSET($M$40,D118,0))^L118</f>
        <v>9.93422439254704</v>
      </c>
      <c r="N118" s="95">
        <f ca="1">MAX(MAX($N$53:N117),OFFSET($C$52,MATCH(M118*1.07,$M$53:$M$2052,1),0)-C118)</f>
        <v>4680</v>
      </c>
    </row>
    <row r="119" spans="2:14">
      <c r="B119" s="95">
        <v>67</v>
      </c>
      <c r="C119" s="95">
        <f t="shared" si="15"/>
        <v>24120</v>
      </c>
      <c r="D119" s="95">
        <f ca="1">_xlfn.XLOOKUP(总览!$B$44,$B$40:$B$45,$C$40:$C$45)</f>
        <v>5</v>
      </c>
      <c r="E119" s="95">
        <f ca="1" t="shared" si="16"/>
        <v>97</v>
      </c>
      <c r="F119" s="95">
        <f ca="1" t="shared" ref="F119:F182" si="17">30-SUM(G119:L119)</f>
        <v>0</v>
      </c>
      <c r="G119" s="95">
        <f ca="1" t="shared" ref="G119:G182" si="18">30-SUM(H119:L119)</f>
        <v>9.79886214285714</v>
      </c>
      <c r="H119" s="95" cm="1">
        <f ca="1" t="array" ref="H119">MIN(30-SUM(I119:L119),_xlfn.XLOOKUP($D119&amp;"_"&amp;H$52,$B$14:$B$36&amp;"_"&amp;$C$14:$C$36,$D$14:$D$36)*$E119,18)</f>
        <v>18</v>
      </c>
      <c r="I119" s="95" cm="1">
        <f ca="1" t="array" ref="I119">MIN(30-SUM(J119:L119),6-L119,_xlfn.XLOOKUP($D119&amp;"_"&amp;I$52,$B$14:$B$36&amp;"_"&amp;$C$14:$C$36,$D$14:$D$36)*$E119)</f>
        <v>0.692787857142856</v>
      </c>
      <c r="J119" s="95" cm="1">
        <f ca="1" t="array" ref="J119">MIN(8,_xlfn.XLOOKUP($D119&amp;"_"&amp;J$52,$B$14:$B$36&amp;"_"&amp;$C$14:$C$36,$D$14:$D$36)*$E119)</f>
        <v>0.7275</v>
      </c>
      <c r="K119" s="95" cm="1">
        <f ca="1" t="array" ref="K119">MIN(18,_xlfn.XLOOKUP($D119&amp;"_"&amp;K$52,$B$14:$B$36&amp;"_"&amp;$C$14:$C$36,$D$14:$D$36)*$E119)</f>
        <v>0.2716</v>
      </c>
      <c r="L119" s="95" cm="1">
        <f ca="1" t="array" ref="L119">MIN(6,_xlfn.XLOOKUP($D119&amp;"_"&amp;L$52,$B$14:$B$36&amp;"_"&amp;$C$14:$C$36,$D$14:$D$36)*$E119)</f>
        <v>0.50925</v>
      </c>
      <c r="M119" s="95" cm="1">
        <f ca="1" t="array" ref="M119">(1+SUMPRODUCT(G119:H119,OFFSET($H$40:$I$40,D119,0)))*(1+OFFSET($J$40,D119,0))^I119*(1+OFFSET($K$40,D119,0))^J119*(1+OFFSET($L$40,D119,0))^K119*(1+OFFSET($M$40,D119,0))^L119</f>
        <v>9.98574413554232</v>
      </c>
      <c r="N119" s="95">
        <f ca="1">MAX(MAX($N$53:N118),OFFSET($C$52,MATCH(M119*1.07,$M$53:$M$2052,1),0)-C119)</f>
        <v>4680</v>
      </c>
    </row>
    <row r="120" spans="2:14">
      <c r="B120" s="95">
        <v>68</v>
      </c>
      <c r="C120" s="95">
        <f t="shared" si="15"/>
        <v>24480</v>
      </c>
      <c r="D120" s="95">
        <f ca="1">_xlfn.XLOOKUP(总览!$B$44,$B$40:$B$45,$C$40:$C$45)</f>
        <v>5</v>
      </c>
      <c r="E120" s="95">
        <f ca="1" t="shared" si="16"/>
        <v>98</v>
      </c>
      <c r="F120" s="95">
        <f ca="1" t="shared" si="17"/>
        <v>0</v>
      </c>
      <c r="G120" s="95">
        <f ca="1" t="shared" si="18"/>
        <v>9.77617</v>
      </c>
      <c r="H120" s="95" cm="1">
        <f ca="1" t="array" ref="H120">MIN(30-SUM(I120:L120),_xlfn.XLOOKUP($D120&amp;"_"&amp;H$52,$B$14:$B$36&amp;"_"&amp;$C$14:$C$36,$D$14:$D$36)*$E120,18)</f>
        <v>18</v>
      </c>
      <c r="I120" s="95" cm="1">
        <f ca="1" t="array" ref="I120">MIN(30-SUM(J120:L120),6-L120,_xlfn.XLOOKUP($D120&amp;"_"&amp;I$52,$B$14:$B$36&amp;"_"&amp;$C$14:$C$36,$D$14:$D$36)*$E120)</f>
        <v>0.699929999999999</v>
      </c>
      <c r="J120" s="95" cm="1">
        <f ca="1" t="array" ref="J120">MIN(8,_xlfn.XLOOKUP($D120&amp;"_"&amp;J$52,$B$14:$B$36&amp;"_"&amp;$C$14:$C$36,$D$14:$D$36)*$E120)</f>
        <v>0.735</v>
      </c>
      <c r="K120" s="95" cm="1">
        <f ca="1" t="array" ref="K120">MIN(18,_xlfn.XLOOKUP($D120&amp;"_"&amp;K$52,$B$14:$B$36&amp;"_"&amp;$C$14:$C$36,$D$14:$D$36)*$E120)</f>
        <v>0.2744</v>
      </c>
      <c r="L120" s="95" cm="1">
        <f ca="1" t="array" ref="L120">MIN(6,_xlfn.XLOOKUP($D120&amp;"_"&amp;L$52,$B$14:$B$36&amp;"_"&amp;$C$14:$C$36,$D$14:$D$36)*$E120)</f>
        <v>0.5145</v>
      </c>
      <c r="M120" s="95" cm="1">
        <f ca="1" t="array" ref="M120">(1+SUMPRODUCT(G120:H120,OFFSET($H$40:$I$40,D120,0)))*(1+OFFSET($J$40,D120,0))^I120*(1+OFFSET($K$40,D120,0))^J120*(1+OFFSET($L$40,D120,0))^K120*(1+OFFSET($M$40,D120,0))^L120</f>
        <v>10.0375288333244</v>
      </c>
      <c r="N120" s="95">
        <f ca="1">MAX(MAX($N$53:N119),OFFSET($C$52,MATCH(M120*1.07,$M$53:$M$2052,1),0)-C120)</f>
        <v>4680</v>
      </c>
    </row>
    <row r="121" spans="2:14">
      <c r="B121" s="95">
        <v>69</v>
      </c>
      <c r="C121" s="95">
        <f t="shared" si="15"/>
        <v>24840</v>
      </c>
      <c r="D121" s="95">
        <f ca="1">_xlfn.XLOOKUP(总览!$B$44,$B$40:$B$45,$C$40:$C$45)</f>
        <v>5</v>
      </c>
      <c r="E121" s="95">
        <f ca="1" t="shared" si="16"/>
        <v>99</v>
      </c>
      <c r="F121" s="95">
        <f ca="1" t="shared" si="17"/>
        <v>0</v>
      </c>
      <c r="G121" s="95">
        <f ca="1" t="shared" si="18"/>
        <v>9.75347785714286</v>
      </c>
      <c r="H121" s="95" cm="1">
        <f ca="1" t="array" ref="H121">MIN(30-SUM(I121:L121),_xlfn.XLOOKUP($D121&amp;"_"&amp;H$52,$B$14:$B$36&amp;"_"&amp;$C$14:$C$36,$D$14:$D$36)*$E121,18)</f>
        <v>18</v>
      </c>
      <c r="I121" s="95" cm="1">
        <f ca="1" t="array" ref="I121">MIN(30-SUM(J121:L121),6-L121,_xlfn.XLOOKUP($D121&amp;"_"&amp;I$52,$B$14:$B$36&amp;"_"&amp;$C$14:$C$36,$D$14:$D$36)*$E121)</f>
        <v>0.707072142857141</v>
      </c>
      <c r="J121" s="95" cm="1">
        <f ca="1" t="array" ref="J121">MIN(8,_xlfn.XLOOKUP($D121&amp;"_"&amp;J$52,$B$14:$B$36&amp;"_"&amp;$C$14:$C$36,$D$14:$D$36)*$E121)</f>
        <v>0.7425</v>
      </c>
      <c r="K121" s="95" cm="1">
        <f ca="1" t="array" ref="K121">MIN(18,_xlfn.XLOOKUP($D121&amp;"_"&amp;K$52,$B$14:$B$36&amp;"_"&amp;$C$14:$C$36,$D$14:$D$36)*$E121)</f>
        <v>0.2772</v>
      </c>
      <c r="L121" s="95" cm="1">
        <f ca="1" t="array" ref="L121">MIN(6,_xlfn.XLOOKUP($D121&amp;"_"&amp;L$52,$B$14:$B$36&amp;"_"&amp;$C$14:$C$36,$D$14:$D$36)*$E121)</f>
        <v>0.51975</v>
      </c>
      <c r="M121" s="95" cm="1">
        <f ca="1" t="array" ref="M121">(1+SUMPRODUCT(G121:H121,OFFSET($H$40:$I$40,D121,0)))*(1+OFFSET($J$40,D121,0))^I121*(1+OFFSET($K$40,D121,0))^J121*(1+OFFSET($L$40,D121,0))^K121*(1+OFFSET($M$40,D121,0))^L121</f>
        <v>10.0895798347164</v>
      </c>
      <c r="N121" s="95">
        <f ca="1">MAX(MAX($N$53:N120),OFFSET($C$52,MATCH(M121*1.07,$M$53:$M$2052,1),0)-C121)</f>
        <v>4680</v>
      </c>
    </row>
    <row r="122" spans="2:14">
      <c r="B122" s="95">
        <v>70</v>
      </c>
      <c r="C122" s="95">
        <f t="shared" si="15"/>
        <v>25200</v>
      </c>
      <c r="D122" s="95">
        <f ca="1">_xlfn.XLOOKUP(总览!$B$44,$B$40:$B$45,$C$40:$C$45)</f>
        <v>5</v>
      </c>
      <c r="E122" s="95">
        <f ca="1" t="shared" si="16"/>
        <v>100</v>
      </c>
      <c r="F122" s="95">
        <f ca="1" t="shared" si="17"/>
        <v>0</v>
      </c>
      <c r="G122" s="95">
        <f ca="1" t="shared" si="18"/>
        <v>9.73078571428572</v>
      </c>
      <c r="H122" s="95" cm="1">
        <f ca="1" t="array" ref="H122">MIN(30-SUM(I122:L122),_xlfn.XLOOKUP($D122&amp;"_"&amp;H$52,$B$14:$B$36&amp;"_"&amp;$C$14:$C$36,$D$14:$D$36)*$E122,18)</f>
        <v>18</v>
      </c>
      <c r="I122" s="95" cm="1">
        <f ca="1" t="array" ref="I122">MIN(30-SUM(J122:L122),6-L122,_xlfn.XLOOKUP($D122&amp;"_"&amp;I$52,$B$14:$B$36&amp;"_"&amp;$C$14:$C$36,$D$14:$D$36)*$E122)</f>
        <v>0.714214285714284</v>
      </c>
      <c r="J122" s="95" cm="1">
        <f ca="1" t="array" ref="J122">MIN(8,_xlfn.XLOOKUP($D122&amp;"_"&amp;J$52,$B$14:$B$36&amp;"_"&amp;$C$14:$C$36,$D$14:$D$36)*$E122)</f>
        <v>0.75</v>
      </c>
      <c r="K122" s="95" cm="1">
        <f ca="1" t="array" ref="K122">MIN(18,_xlfn.XLOOKUP($D122&amp;"_"&amp;K$52,$B$14:$B$36&amp;"_"&amp;$C$14:$C$36,$D$14:$D$36)*$E122)</f>
        <v>0.28</v>
      </c>
      <c r="L122" s="95" cm="1">
        <f ca="1" t="array" ref="L122">MIN(6,_xlfn.XLOOKUP($D122&amp;"_"&amp;L$52,$B$14:$B$36&amp;"_"&amp;$C$14:$C$36,$D$14:$D$36)*$E122)</f>
        <v>0.525</v>
      </c>
      <c r="M122" s="95" cm="1">
        <f ca="1" t="array" ref="M122">(1+SUMPRODUCT(G122:H122,OFFSET($H$40:$I$40,D122,0)))*(1+OFFSET($J$40,D122,0))^I122*(1+OFFSET($K$40,D122,0))^J122*(1+OFFSET($L$40,D122,0))^K122*(1+OFFSET($M$40,D122,0))^L122</f>
        <v>10.141898495322</v>
      </c>
      <c r="N122" s="95">
        <f ca="1">MAX(MAX($N$53:N121),OFFSET($C$52,MATCH(M122*1.07,$M$53:$M$2052,1),0)-C122)</f>
        <v>4680</v>
      </c>
    </row>
    <row r="123" spans="2:14">
      <c r="B123" s="95">
        <v>71</v>
      </c>
      <c r="C123" s="95">
        <f t="shared" si="15"/>
        <v>25560</v>
      </c>
      <c r="D123" s="95">
        <f ca="1">_xlfn.XLOOKUP(总览!$B$44,$B$40:$B$45,$C$40:$C$45)</f>
        <v>5</v>
      </c>
      <c r="E123" s="95">
        <f ca="1" t="shared" si="16"/>
        <v>101</v>
      </c>
      <c r="F123" s="95">
        <f ca="1" t="shared" si="17"/>
        <v>0</v>
      </c>
      <c r="G123" s="95">
        <f ca="1" t="shared" si="18"/>
        <v>9.70809357142857</v>
      </c>
      <c r="H123" s="95" cm="1">
        <f ca="1" t="array" ref="H123">MIN(30-SUM(I123:L123),_xlfn.XLOOKUP($D123&amp;"_"&amp;H$52,$B$14:$B$36&amp;"_"&amp;$C$14:$C$36,$D$14:$D$36)*$E123,18)</f>
        <v>18</v>
      </c>
      <c r="I123" s="95" cm="1">
        <f ca="1" t="array" ref="I123">MIN(30-SUM(J123:L123),6-L123,_xlfn.XLOOKUP($D123&amp;"_"&amp;I$52,$B$14:$B$36&amp;"_"&amp;$C$14:$C$36,$D$14:$D$36)*$E123)</f>
        <v>0.721356428571427</v>
      </c>
      <c r="J123" s="95" cm="1">
        <f ca="1" t="array" ref="J123">MIN(8,_xlfn.XLOOKUP($D123&amp;"_"&amp;J$52,$B$14:$B$36&amp;"_"&amp;$C$14:$C$36,$D$14:$D$36)*$E123)</f>
        <v>0.7575</v>
      </c>
      <c r="K123" s="95" cm="1">
        <f ca="1" t="array" ref="K123">MIN(18,_xlfn.XLOOKUP($D123&amp;"_"&amp;K$52,$B$14:$B$36&amp;"_"&amp;$C$14:$C$36,$D$14:$D$36)*$E123)</f>
        <v>0.2828</v>
      </c>
      <c r="L123" s="95" cm="1">
        <f ca="1" t="array" ref="L123">MIN(6,_xlfn.XLOOKUP($D123&amp;"_"&amp;L$52,$B$14:$B$36&amp;"_"&amp;$C$14:$C$36,$D$14:$D$36)*$E123)</f>
        <v>0.53025</v>
      </c>
      <c r="M123" s="95" cm="1">
        <f ca="1" t="array" ref="M123">(1+SUMPRODUCT(G123:H123,OFFSET($H$40:$I$40,D123,0)))*(1+OFFSET($J$40,D123,0))^I123*(1+OFFSET($K$40,D123,0))^J123*(1+OFFSET($L$40,D123,0))^K123*(1+OFFSET($M$40,D123,0))^L123</f>
        <v>10.1944861775594</v>
      </c>
      <c r="N123" s="95">
        <f ca="1">MAX(MAX($N$53:N122),OFFSET($C$52,MATCH(M123*1.07,$M$53:$M$2052,1),0)-C123)</f>
        <v>4680</v>
      </c>
    </row>
    <row r="124" spans="2:14">
      <c r="B124" s="95">
        <v>72</v>
      </c>
      <c r="C124" s="95">
        <f t="shared" si="15"/>
        <v>25920</v>
      </c>
      <c r="D124" s="95">
        <f ca="1">_xlfn.XLOOKUP(总览!$B$44,$B$40:$B$45,$C$40:$C$45)</f>
        <v>5</v>
      </c>
      <c r="E124" s="95">
        <f ca="1" t="shared" si="16"/>
        <v>102</v>
      </c>
      <c r="F124" s="95">
        <f ca="1" t="shared" si="17"/>
        <v>0</v>
      </c>
      <c r="G124" s="95">
        <f ca="1" t="shared" si="18"/>
        <v>9.68540142857143</v>
      </c>
      <c r="H124" s="95" cm="1">
        <f ca="1" t="array" ref="H124">MIN(30-SUM(I124:L124),_xlfn.XLOOKUP($D124&amp;"_"&amp;H$52,$B$14:$B$36&amp;"_"&amp;$C$14:$C$36,$D$14:$D$36)*$E124,18)</f>
        <v>18</v>
      </c>
      <c r="I124" s="95" cm="1">
        <f ca="1" t="array" ref="I124">MIN(30-SUM(J124:L124),6-L124,_xlfn.XLOOKUP($D124&amp;"_"&amp;I$52,$B$14:$B$36&amp;"_"&amp;$C$14:$C$36,$D$14:$D$36)*$E124)</f>
        <v>0.72849857142857</v>
      </c>
      <c r="J124" s="95" cm="1">
        <f ca="1" t="array" ref="J124">MIN(8,_xlfn.XLOOKUP($D124&amp;"_"&amp;J$52,$B$14:$B$36&amp;"_"&amp;$C$14:$C$36,$D$14:$D$36)*$E124)</f>
        <v>0.765</v>
      </c>
      <c r="K124" s="95" cm="1">
        <f ca="1" t="array" ref="K124">MIN(18,_xlfn.XLOOKUP($D124&amp;"_"&amp;K$52,$B$14:$B$36&amp;"_"&amp;$C$14:$C$36,$D$14:$D$36)*$E124)</f>
        <v>0.2856</v>
      </c>
      <c r="L124" s="95" cm="1">
        <f ca="1" t="array" ref="L124">MIN(6,_xlfn.XLOOKUP($D124&amp;"_"&amp;L$52,$B$14:$B$36&amp;"_"&amp;$C$14:$C$36,$D$14:$D$36)*$E124)</f>
        <v>0.5355</v>
      </c>
      <c r="M124" s="95" cm="1">
        <f ca="1" t="array" ref="M124">(1+SUMPRODUCT(G124:H124,OFFSET($H$40:$I$40,D124,0)))*(1+OFFSET($J$40,D124,0))^I124*(1+OFFSET($K$40,D124,0))^J124*(1+OFFSET($L$40,D124,0))^K124*(1+OFFSET($M$40,D124,0))^L124</f>
        <v>10.2473442506943</v>
      </c>
      <c r="N124" s="95">
        <f ca="1">MAX(MAX($N$53:N123),OFFSET($C$52,MATCH(M124*1.07,$M$53:$M$2052,1),0)-C124)</f>
        <v>4680</v>
      </c>
    </row>
    <row r="125" spans="2:14">
      <c r="B125" s="95">
        <v>73</v>
      </c>
      <c r="C125" s="95">
        <f t="shared" si="15"/>
        <v>26280</v>
      </c>
      <c r="D125" s="95">
        <f ca="1">_xlfn.XLOOKUP(总览!$B$44,$B$40:$B$45,$C$40:$C$45)</f>
        <v>5</v>
      </c>
      <c r="E125" s="95">
        <f ca="1" t="shared" si="16"/>
        <v>103</v>
      </c>
      <c r="F125" s="95">
        <f ca="1" t="shared" si="17"/>
        <v>0</v>
      </c>
      <c r="G125" s="95">
        <f ca="1" t="shared" si="18"/>
        <v>9.66270928571429</v>
      </c>
      <c r="H125" s="95" cm="1">
        <f ca="1" t="array" ref="H125">MIN(30-SUM(I125:L125),_xlfn.XLOOKUP($D125&amp;"_"&amp;H$52,$B$14:$B$36&amp;"_"&amp;$C$14:$C$36,$D$14:$D$36)*$E125,18)</f>
        <v>18</v>
      </c>
      <c r="I125" s="95" cm="1">
        <f ca="1" t="array" ref="I125">MIN(30-SUM(J125:L125),6-L125,_xlfn.XLOOKUP($D125&amp;"_"&amp;I$52,$B$14:$B$36&amp;"_"&amp;$C$14:$C$36,$D$14:$D$36)*$E125)</f>
        <v>0.735640714285713</v>
      </c>
      <c r="J125" s="95" cm="1">
        <f ca="1" t="array" ref="J125">MIN(8,_xlfn.XLOOKUP($D125&amp;"_"&amp;J$52,$B$14:$B$36&amp;"_"&amp;$C$14:$C$36,$D$14:$D$36)*$E125)</f>
        <v>0.7725</v>
      </c>
      <c r="K125" s="95" cm="1">
        <f ca="1" t="array" ref="K125">MIN(18,_xlfn.XLOOKUP($D125&amp;"_"&amp;K$52,$B$14:$B$36&amp;"_"&amp;$C$14:$C$36,$D$14:$D$36)*$E125)</f>
        <v>0.2884</v>
      </c>
      <c r="L125" s="95" cm="1">
        <f ca="1" t="array" ref="L125">MIN(6,_xlfn.XLOOKUP($D125&amp;"_"&amp;L$52,$B$14:$B$36&amp;"_"&amp;$C$14:$C$36,$D$14:$D$36)*$E125)</f>
        <v>0.54075</v>
      </c>
      <c r="M125" s="95" cm="1">
        <f ca="1" t="array" ref="M125">(1+SUMPRODUCT(G125:H125,OFFSET($H$40:$I$40,D125,0)))*(1+OFFSET($J$40,D125,0))^I125*(1+OFFSET($K$40,D125,0))^J125*(1+OFFSET($L$40,D125,0))^K125*(1+OFFSET($M$40,D125,0))^L125</f>
        <v>10.3004740908747</v>
      </c>
      <c r="N125" s="95">
        <f ca="1">MAX(MAX($N$53:N124),OFFSET($C$52,MATCH(M125*1.07,$M$53:$M$2052,1),0)-C125)</f>
        <v>4680</v>
      </c>
    </row>
    <row r="126" spans="2:14">
      <c r="B126" s="95">
        <v>74</v>
      </c>
      <c r="C126" s="95">
        <f t="shared" si="15"/>
        <v>26640</v>
      </c>
      <c r="D126" s="95">
        <f ca="1">_xlfn.XLOOKUP(总览!$B$44,$B$40:$B$45,$C$40:$C$45)</f>
        <v>5</v>
      </c>
      <c r="E126" s="95">
        <f ca="1" t="shared" si="16"/>
        <v>104</v>
      </c>
      <c r="F126" s="95">
        <f ca="1" t="shared" si="17"/>
        <v>0</v>
      </c>
      <c r="G126" s="95">
        <f ca="1" t="shared" si="18"/>
        <v>9.64001714285714</v>
      </c>
      <c r="H126" s="95" cm="1">
        <f ca="1" t="array" ref="H126">MIN(30-SUM(I126:L126),_xlfn.XLOOKUP($D126&amp;"_"&amp;H$52,$B$14:$B$36&amp;"_"&amp;$C$14:$C$36,$D$14:$D$36)*$E126,18)</f>
        <v>18</v>
      </c>
      <c r="I126" s="95" cm="1">
        <f ca="1" t="array" ref="I126">MIN(30-SUM(J126:L126),6-L126,_xlfn.XLOOKUP($D126&amp;"_"&amp;I$52,$B$14:$B$36&amp;"_"&amp;$C$14:$C$36,$D$14:$D$36)*$E126)</f>
        <v>0.742782857142856</v>
      </c>
      <c r="J126" s="95" cm="1">
        <f ca="1" t="array" ref="J126">MIN(8,_xlfn.XLOOKUP($D126&amp;"_"&amp;J$52,$B$14:$B$36&amp;"_"&amp;$C$14:$C$36,$D$14:$D$36)*$E126)</f>
        <v>0.78</v>
      </c>
      <c r="K126" s="95" cm="1">
        <f ca="1" t="array" ref="K126">MIN(18,_xlfn.XLOOKUP($D126&amp;"_"&amp;K$52,$B$14:$B$36&amp;"_"&amp;$C$14:$C$36,$D$14:$D$36)*$E126)</f>
        <v>0.2912</v>
      </c>
      <c r="L126" s="95" cm="1">
        <f ca="1" t="array" ref="L126">MIN(6,_xlfn.XLOOKUP($D126&amp;"_"&amp;L$52,$B$14:$B$36&amp;"_"&amp;$C$14:$C$36,$D$14:$D$36)*$E126)</f>
        <v>0.546</v>
      </c>
      <c r="M126" s="95" cm="1">
        <f ca="1" t="array" ref="M126">(1+SUMPRODUCT(G126:H126,OFFSET($H$40:$I$40,D126,0)))*(1+OFFSET($J$40,D126,0))^I126*(1+OFFSET($K$40,D126,0))^J126*(1+OFFSET($L$40,D126,0))^K126*(1+OFFSET($M$40,D126,0))^L126</f>
        <v>10.3538770811641</v>
      </c>
      <c r="N126" s="95">
        <f ca="1">MAX(MAX($N$53:N125),OFFSET($C$52,MATCH(M126*1.07,$M$53:$M$2052,1),0)-C126)</f>
        <v>4680</v>
      </c>
    </row>
    <row r="127" spans="2:14">
      <c r="B127" s="95">
        <v>75</v>
      </c>
      <c r="C127" s="95">
        <f t="shared" si="15"/>
        <v>27000</v>
      </c>
      <c r="D127" s="95">
        <f ca="1">_xlfn.XLOOKUP(总览!$B$44,$B$40:$B$45,$C$40:$C$45)</f>
        <v>5</v>
      </c>
      <c r="E127" s="95">
        <f ca="1" t="shared" si="16"/>
        <v>105</v>
      </c>
      <c r="F127" s="95">
        <f ca="1" t="shared" si="17"/>
        <v>0</v>
      </c>
      <c r="G127" s="95">
        <f ca="1" t="shared" si="18"/>
        <v>9.617325</v>
      </c>
      <c r="H127" s="95" cm="1">
        <f ca="1" t="array" ref="H127">MIN(30-SUM(I127:L127),_xlfn.XLOOKUP($D127&amp;"_"&amp;H$52,$B$14:$B$36&amp;"_"&amp;$C$14:$C$36,$D$14:$D$36)*$E127,18)</f>
        <v>18</v>
      </c>
      <c r="I127" s="95" cm="1">
        <f ca="1" t="array" ref="I127">MIN(30-SUM(J127:L127),6-L127,_xlfn.XLOOKUP($D127&amp;"_"&amp;I$52,$B$14:$B$36&amp;"_"&amp;$C$14:$C$36,$D$14:$D$36)*$E127)</f>
        <v>0.749924999999999</v>
      </c>
      <c r="J127" s="95" cm="1">
        <f ca="1" t="array" ref="J127">MIN(8,_xlfn.XLOOKUP($D127&amp;"_"&amp;J$52,$B$14:$B$36&amp;"_"&amp;$C$14:$C$36,$D$14:$D$36)*$E127)</f>
        <v>0.7875</v>
      </c>
      <c r="K127" s="95" cm="1">
        <f ca="1" t="array" ref="K127">MIN(18,_xlfn.XLOOKUP($D127&amp;"_"&amp;K$52,$B$14:$B$36&amp;"_"&amp;$C$14:$C$36,$D$14:$D$36)*$E127)</f>
        <v>0.294</v>
      </c>
      <c r="L127" s="95" cm="1">
        <f ca="1" t="array" ref="L127">MIN(6,_xlfn.XLOOKUP($D127&amp;"_"&amp;L$52,$B$14:$B$36&amp;"_"&amp;$C$14:$C$36,$D$14:$D$36)*$E127)</f>
        <v>0.55125</v>
      </c>
      <c r="M127" s="95" cm="1">
        <f ca="1" t="array" ref="M127">(1+SUMPRODUCT(G127:H127,OFFSET($H$40:$I$40,D127,0)))*(1+OFFSET($J$40,D127,0))^I127*(1+OFFSET($K$40,D127,0))^J127*(1+OFFSET($L$40,D127,0))^K127*(1+OFFSET($M$40,D127,0))^L127</f>
        <v>10.4075546115764</v>
      </c>
      <c r="N127" s="95">
        <f ca="1">MAX(MAX($N$53:N126),OFFSET($C$52,MATCH(M127*1.07,$M$53:$M$2052,1),0)-C127)</f>
        <v>4680</v>
      </c>
    </row>
    <row r="128" spans="2:14">
      <c r="B128" s="95">
        <v>76</v>
      </c>
      <c r="C128" s="95">
        <f t="shared" si="15"/>
        <v>27360</v>
      </c>
      <c r="D128" s="95">
        <f ca="1">_xlfn.XLOOKUP(总览!$B$44,$B$40:$B$45,$C$40:$C$45)</f>
        <v>5</v>
      </c>
      <c r="E128" s="95">
        <f ca="1" t="shared" si="16"/>
        <v>106</v>
      </c>
      <c r="F128" s="95">
        <f ca="1" t="shared" si="17"/>
        <v>0</v>
      </c>
      <c r="G128" s="95">
        <f ca="1" t="shared" si="18"/>
        <v>9.59463285714286</v>
      </c>
      <c r="H128" s="95" cm="1">
        <f ca="1" t="array" ref="H128">MIN(30-SUM(I128:L128),_xlfn.XLOOKUP($D128&amp;"_"&amp;H$52,$B$14:$B$36&amp;"_"&amp;$C$14:$C$36,$D$14:$D$36)*$E128,18)</f>
        <v>18</v>
      </c>
      <c r="I128" s="95" cm="1">
        <f ca="1" t="array" ref="I128">MIN(30-SUM(J128:L128),6-L128,_xlfn.XLOOKUP($D128&amp;"_"&amp;I$52,$B$14:$B$36&amp;"_"&amp;$C$14:$C$36,$D$14:$D$36)*$E128)</f>
        <v>0.757067142857141</v>
      </c>
      <c r="J128" s="95" cm="1">
        <f ca="1" t="array" ref="J128">MIN(8,_xlfn.XLOOKUP($D128&amp;"_"&amp;J$52,$B$14:$B$36&amp;"_"&amp;$C$14:$C$36,$D$14:$D$36)*$E128)</f>
        <v>0.795</v>
      </c>
      <c r="K128" s="95" cm="1">
        <f ca="1" t="array" ref="K128">MIN(18,_xlfn.XLOOKUP($D128&amp;"_"&amp;K$52,$B$14:$B$36&amp;"_"&amp;$C$14:$C$36,$D$14:$D$36)*$E128)</f>
        <v>0.2968</v>
      </c>
      <c r="L128" s="95" cm="1">
        <f ca="1" t="array" ref="L128">MIN(6,_xlfn.XLOOKUP($D128&amp;"_"&amp;L$52,$B$14:$B$36&amp;"_"&amp;$C$14:$C$36,$D$14:$D$36)*$E128)</f>
        <v>0.5565</v>
      </c>
      <c r="M128" s="95" cm="1">
        <f ca="1" t="array" ref="M128">(1+SUMPRODUCT(G128:H128,OFFSET($H$40:$I$40,D128,0)))*(1+OFFSET($J$40,D128,0))^I128*(1+OFFSET($K$40,D128,0))^J128*(1+OFFSET($L$40,D128,0))^K128*(1+OFFSET($M$40,D128,0))^L128</f>
        <v>10.4615080791096</v>
      </c>
      <c r="N128" s="95">
        <f ca="1">MAX(MAX($N$53:N127),OFFSET($C$52,MATCH(M128*1.07,$M$53:$M$2052,1),0)-C128)</f>
        <v>4680</v>
      </c>
    </row>
    <row r="129" spans="2:14">
      <c r="B129" s="95">
        <v>77</v>
      </c>
      <c r="C129" s="95">
        <f t="shared" ref="C129:C192" si="19">C128+360</f>
        <v>27720</v>
      </c>
      <c r="D129" s="95">
        <f ca="1">_xlfn.XLOOKUP(总览!$B$44,$B$40:$B$45,$C$40:$C$45)</f>
        <v>5</v>
      </c>
      <c r="E129" s="95">
        <f ca="1" t="shared" si="16"/>
        <v>107</v>
      </c>
      <c r="F129" s="95">
        <f ca="1" t="shared" si="17"/>
        <v>0</v>
      </c>
      <c r="G129" s="95">
        <f ca="1" t="shared" si="18"/>
        <v>9.57194071428572</v>
      </c>
      <c r="H129" s="95" cm="1">
        <f ca="1" t="array" ref="H129">MIN(30-SUM(I129:L129),_xlfn.XLOOKUP($D129&amp;"_"&amp;H$52,$B$14:$B$36&amp;"_"&amp;$C$14:$C$36,$D$14:$D$36)*$E129,18)</f>
        <v>18</v>
      </c>
      <c r="I129" s="95" cm="1">
        <f ca="1" t="array" ref="I129">MIN(30-SUM(J129:L129),6-L129,_xlfn.XLOOKUP($D129&amp;"_"&amp;I$52,$B$14:$B$36&amp;"_"&amp;$C$14:$C$36,$D$14:$D$36)*$E129)</f>
        <v>0.764209285714284</v>
      </c>
      <c r="J129" s="95" cm="1">
        <f ca="1" t="array" ref="J129">MIN(8,_xlfn.XLOOKUP($D129&amp;"_"&amp;J$52,$B$14:$B$36&amp;"_"&amp;$C$14:$C$36,$D$14:$D$36)*$E129)</f>
        <v>0.8025</v>
      </c>
      <c r="K129" s="95" cm="1">
        <f ca="1" t="array" ref="K129">MIN(18,_xlfn.XLOOKUP($D129&amp;"_"&amp;K$52,$B$14:$B$36&amp;"_"&amp;$C$14:$C$36,$D$14:$D$36)*$E129)</f>
        <v>0.2996</v>
      </c>
      <c r="L129" s="95" cm="1">
        <f ca="1" t="array" ref="L129">MIN(6,_xlfn.XLOOKUP($D129&amp;"_"&amp;L$52,$B$14:$B$36&amp;"_"&amp;$C$14:$C$36,$D$14:$D$36)*$E129)</f>
        <v>0.56175</v>
      </c>
      <c r="M129" s="95" cm="1">
        <f ca="1" t="array" ref="M129">(1+SUMPRODUCT(G129:H129,OFFSET($H$40:$I$40,D129,0)))*(1+OFFSET($J$40,D129,0))^I129*(1+OFFSET($K$40,D129,0))^J129*(1+OFFSET($L$40,D129,0))^K129*(1+OFFSET($M$40,D129,0))^L129</f>
        <v>10.5157388877808</v>
      </c>
      <c r="N129" s="95">
        <f ca="1">MAX(MAX($N$53:N128),OFFSET($C$52,MATCH(M129*1.07,$M$53:$M$2052,1),0)-C129)</f>
        <v>4680</v>
      </c>
    </row>
    <row r="130" spans="2:14">
      <c r="B130" s="95">
        <v>78</v>
      </c>
      <c r="C130" s="95">
        <f t="shared" si="19"/>
        <v>28080</v>
      </c>
      <c r="D130" s="95">
        <f ca="1">_xlfn.XLOOKUP(总览!$B$44,$B$40:$B$45,$C$40:$C$45)</f>
        <v>5</v>
      </c>
      <c r="E130" s="95">
        <f ca="1" t="shared" si="16"/>
        <v>108</v>
      </c>
      <c r="F130" s="95">
        <f ca="1" t="shared" si="17"/>
        <v>0</v>
      </c>
      <c r="G130" s="95">
        <f ca="1" t="shared" si="18"/>
        <v>9.54924857142857</v>
      </c>
      <c r="H130" s="95" cm="1">
        <f ca="1" t="array" ref="H130">MIN(30-SUM(I130:L130),_xlfn.XLOOKUP($D130&amp;"_"&amp;H$52,$B$14:$B$36&amp;"_"&amp;$C$14:$C$36,$D$14:$D$36)*$E130,18)</f>
        <v>18</v>
      </c>
      <c r="I130" s="95" cm="1">
        <f ca="1" t="array" ref="I130">MIN(30-SUM(J130:L130),6-L130,_xlfn.XLOOKUP($D130&amp;"_"&amp;I$52,$B$14:$B$36&amp;"_"&amp;$C$14:$C$36,$D$14:$D$36)*$E130)</f>
        <v>0.771351428571427</v>
      </c>
      <c r="J130" s="95" cm="1">
        <f ca="1" t="array" ref="J130">MIN(8,_xlfn.XLOOKUP($D130&amp;"_"&amp;J$52,$B$14:$B$36&amp;"_"&amp;$C$14:$C$36,$D$14:$D$36)*$E130)</f>
        <v>0.81</v>
      </c>
      <c r="K130" s="95" cm="1">
        <f ca="1" t="array" ref="K130">MIN(18,_xlfn.XLOOKUP($D130&amp;"_"&amp;K$52,$B$14:$B$36&amp;"_"&amp;$C$14:$C$36,$D$14:$D$36)*$E130)</f>
        <v>0.3024</v>
      </c>
      <c r="L130" s="95" cm="1">
        <f ca="1" t="array" ref="L130">MIN(6,_xlfn.XLOOKUP($D130&amp;"_"&amp;L$52,$B$14:$B$36&amp;"_"&amp;$C$14:$C$36,$D$14:$D$36)*$E130)</f>
        <v>0.567</v>
      </c>
      <c r="M130" s="95" cm="1">
        <f ca="1" t="array" ref="M130">(1+SUMPRODUCT(G130:H130,OFFSET($H$40:$I$40,D130,0)))*(1+OFFSET($J$40,D130,0))^I130*(1+OFFSET($K$40,D130,0))^J130*(1+OFFSET($L$40,D130,0))^K130*(1+OFFSET($M$40,D130,0))^L130</f>
        <v>10.5702484486609</v>
      </c>
      <c r="N130" s="95">
        <f ca="1">MAX(MAX($N$53:N129),OFFSET($C$52,MATCH(M130*1.07,$M$53:$M$2052,1),0)-C130)</f>
        <v>4680</v>
      </c>
    </row>
    <row r="131" spans="2:14">
      <c r="B131" s="95">
        <v>79</v>
      </c>
      <c r="C131" s="95">
        <f t="shared" si="19"/>
        <v>28440</v>
      </c>
      <c r="D131" s="95">
        <f ca="1">_xlfn.XLOOKUP(总览!$B$44,$B$40:$B$45,$C$40:$C$45)</f>
        <v>5</v>
      </c>
      <c r="E131" s="95">
        <f ca="1" t="shared" si="16"/>
        <v>109</v>
      </c>
      <c r="F131" s="95">
        <f ca="1" t="shared" si="17"/>
        <v>0</v>
      </c>
      <c r="G131" s="95">
        <f ca="1" t="shared" si="18"/>
        <v>9.52655642857143</v>
      </c>
      <c r="H131" s="95" cm="1">
        <f ca="1" t="array" ref="H131">MIN(30-SUM(I131:L131),_xlfn.XLOOKUP($D131&amp;"_"&amp;H$52,$B$14:$B$36&amp;"_"&amp;$C$14:$C$36,$D$14:$D$36)*$E131,18)</f>
        <v>18</v>
      </c>
      <c r="I131" s="95" cm="1">
        <f ca="1" t="array" ref="I131">MIN(30-SUM(J131:L131),6-L131,_xlfn.XLOOKUP($D131&amp;"_"&amp;I$52,$B$14:$B$36&amp;"_"&amp;$C$14:$C$36,$D$14:$D$36)*$E131)</f>
        <v>0.77849357142857</v>
      </c>
      <c r="J131" s="95" cm="1">
        <f ca="1" t="array" ref="J131">MIN(8,_xlfn.XLOOKUP($D131&amp;"_"&amp;J$52,$B$14:$B$36&amp;"_"&amp;$C$14:$C$36,$D$14:$D$36)*$E131)</f>
        <v>0.8175</v>
      </c>
      <c r="K131" s="95" cm="1">
        <f ca="1" t="array" ref="K131">MIN(18,_xlfn.XLOOKUP($D131&amp;"_"&amp;K$52,$B$14:$B$36&amp;"_"&amp;$C$14:$C$36,$D$14:$D$36)*$E131)</f>
        <v>0.3052</v>
      </c>
      <c r="L131" s="95" cm="1">
        <f ca="1" t="array" ref="L131">MIN(6,_xlfn.XLOOKUP($D131&amp;"_"&amp;L$52,$B$14:$B$36&amp;"_"&amp;$C$14:$C$36,$D$14:$D$36)*$E131)</f>
        <v>0.57225</v>
      </c>
      <c r="M131" s="95" cm="1">
        <f ca="1" t="array" ref="M131">(1+SUMPRODUCT(G131:H131,OFFSET($H$40:$I$40,D131,0)))*(1+OFFSET($J$40,D131,0))^I131*(1+OFFSET($K$40,D131,0))^J131*(1+OFFSET($L$40,D131,0))^K131*(1+OFFSET($M$40,D131,0))^L131</f>
        <v>10.6250381799091</v>
      </c>
      <c r="N131" s="95">
        <f ca="1">MAX(MAX($N$53:N130),OFFSET($C$52,MATCH(M131*1.07,$M$53:$M$2052,1),0)-C131)</f>
        <v>4680</v>
      </c>
    </row>
    <row r="132" spans="2:14">
      <c r="B132" s="95">
        <v>80</v>
      </c>
      <c r="C132" s="95">
        <f t="shared" si="19"/>
        <v>28800</v>
      </c>
      <c r="D132" s="95">
        <f ca="1">_xlfn.XLOOKUP(总览!$B$44,$B$40:$B$45,$C$40:$C$45)</f>
        <v>5</v>
      </c>
      <c r="E132" s="95">
        <f ca="1" t="shared" si="16"/>
        <v>110</v>
      </c>
      <c r="F132" s="95">
        <f ca="1" t="shared" si="17"/>
        <v>0</v>
      </c>
      <c r="G132" s="95">
        <f ca="1" t="shared" si="18"/>
        <v>9.50386428571429</v>
      </c>
      <c r="H132" s="95" cm="1">
        <f ca="1" t="array" ref="H132">MIN(30-SUM(I132:L132),_xlfn.XLOOKUP($D132&amp;"_"&amp;H$52,$B$14:$B$36&amp;"_"&amp;$C$14:$C$36,$D$14:$D$36)*$E132,18)</f>
        <v>18</v>
      </c>
      <c r="I132" s="95" cm="1">
        <f ca="1" t="array" ref="I132">MIN(30-SUM(J132:L132),6-L132,_xlfn.XLOOKUP($D132&amp;"_"&amp;I$52,$B$14:$B$36&amp;"_"&amp;$C$14:$C$36,$D$14:$D$36)*$E132)</f>
        <v>0.785635714285713</v>
      </c>
      <c r="J132" s="95" cm="1">
        <f ca="1" t="array" ref="J132">MIN(8,_xlfn.XLOOKUP($D132&amp;"_"&amp;J$52,$B$14:$B$36&amp;"_"&amp;$C$14:$C$36,$D$14:$D$36)*$E132)</f>
        <v>0.825</v>
      </c>
      <c r="K132" s="95" cm="1">
        <f ca="1" t="array" ref="K132">MIN(18,_xlfn.XLOOKUP($D132&amp;"_"&amp;K$52,$B$14:$B$36&amp;"_"&amp;$C$14:$C$36,$D$14:$D$36)*$E132)</f>
        <v>0.308</v>
      </c>
      <c r="L132" s="95" cm="1">
        <f ca="1" t="array" ref="L132">MIN(6,_xlfn.XLOOKUP($D132&amp;"_"&amp;L$52,$B$14:$B$36&amp;"_"&amp;$C$14:$C$36,$D$14:$D$36)*$E132)</f>
        <v>0.5775</v>
      </c>
      <c r="M132" s="95" cm="1">
        <f ca="1" t="array" ref="M132">(1+SUMPRODUCT(G132:H132,OFFSET($H$40:$I$40,D132,0)))*(1+OFFSET($J$40,D132,0))^I132*(1+OFFSET($K$40,D132,0))^J132*(1+OFFSET($L$40,D132,0))^K132*(1+OFFSET($M$40,D132,0))^L132</f>
        <v>10.6801095068084</v>
      </c>
      <c r="N132" s="95">
        <f ca="1">MAX(MAX($N$53:N131),OFFSET($C$52,MATCH(M132*1.07,$M$53:$M$2052,1),0)-C132)</f>
        <v>4680</v>
      </c>
    </row>
    <row r="133" spans="2:14">
      <c r="B133" s="95">
        <v>81</v>
      </c>
      <c r="C133" s="95">
        <f t="shared" si="19"/>
        <v>29160</v>
      </c>
      <c r="D133" s="95">
        <f ca="1">_xlfn.XLOOKUP(总览!$B$44,$B$40:$B$45,$C$40:$C$45)</f>
        <v>5</v>
      </c>
      <c r="E133" s="95">
        <f ca="1" t="shared" si="16"/>
        <v>111</v>
      </c>
      <c r="F133" s="95">
        <f ca="1" t="shared" si="17"/>
        <v>0</v>
      </c>
      <c r="G133" s="95">
        <f ca="1" t="shared" si="18"/>
        <v>9.48117214285714</v>
      </c>
      <c r="H133" s="95" cm="1">
        <f ca="1" t="array" ref="H133">MIN(30-SUM(I133:L133),_xlfn.XLOOKUP($D133&amp;"_"&amp;H$52,$B$14:$B$36&amp;"_"&amp;$C$14:$C$36,$D$14:$D$36)*$E133,18)</f>
        <v>18</v>
      </c>
      <c r="I133" s="95" cm="1">
        <f ca="1" t="array" ref="I133">MIN(30-SUM(J133:L133),6-L133,_xlfn.XLOOKUP($D133&amp;"_"&amp;I$52,$B$14:$B$36&amp;"_"&amp;$C$14:$C$36,$D$14:$D$36)*$E133)</f>
        <v>0.792777857142856</v>
      </c>
      <c r="J133" s="95" cm="1">
        <f ca="1" t="array" ref="J133">MIN(8,_xlfn.XLOOKUP($D133&amp;"_"&amp;J$52,$B$14:$B$36&amp;"_"&amp;$C$14:$C$36,$D$14:$D$36)*$E133)</f>
        <v>0.8325</v>
      </c>
      <c r="K133" s="95" cm="1">
        <f ca="1" t="array" ref="K133">MIN(18,_xlfn.XLOOKUP($D133&amp;"_"&amp;K$52,$B$14:$B$36&amp;"_"&amp;$C$14:$C$36,$D$14:$D$36)*$E133)</f>
        <v>0.3108</v>
      </c>
      <c r="L133" s="95" cm="1">
        <f ca="1" t="array" ref="L133">MIN(6,_xlfn.XLOOKUP($D133&amp;"_"&amp;L$52,$B$14:$B$36&amp;"_"&amp;$C$14:$C$36,$D$14:$D$36)*$E133)</f>
        <v>0.58275</v>
      </c>
      <c r="M133" s="95" cm="1">
        <f ca="1" t="array" ref="M133">(1+SUMPRODUCT(G133:H133,OFFSET($H$40:$I$40,D133,0)))*(1+OFFSET($J$40,D133,0))^I133*(1+OFFSET($K$40,D133,0))^J133*(1+OFFSET($L$40,D133,0))^K133*(1+OFFSET($M$40,D133,0))^L133</f>
        <v>10.7354638618005</v>
      </c>
      <c r="N133" s="95">
        <f ca="1">MAX(MAX($N$53:N132),OFFSET($C$52,MATCH(M133*1.07,$M$53:$M$2052,1),0)-C133)</f>
        <v>4680</v>
      </c>
    </row>
    <row r="134" spans="2:14">
      <c r="B134" s="95">
        <v>82</v>
      </c>
      <c r="C134" s="95">
        <f t="shared" si="19"/>
        <v>29520</v>
      </c>
      <c r="D134" s="95">
        <f ca="1">_xlfn.XLOOKUP(总览!$B$44,$B$40:$B$45,$C$40:$C$45)</f>
        <v>5</v>
      </c>
      <c r="E134" s="95">
        <f ca="1" t="shared" si="16"/>
        <v>112</v>
      </c>
      <c r="F134" s="95">
        <f ca="1" t="shared" si="17"/>
        <v>0</v>
      </c>
      <c r="G134" s="95">
        <f ca="1" t="shared" si="18"/>
        <v>9.45848</v>
      </c>
      <c r="H134" s="95" cm="1">
        <f ca="1" t="array" ref="H134">MIN(30-SUM(I134:L134),_xlfn.XLOOKUP($D134&amp;"_"&amp;H$52,$B$14:$B$36&amp;"_"&amp;$C$14:$C$36,$D$14:$D$36)*$E134,18)</f>
        <v>18</v>
      </c>
      <c r="I134" s="95" cm="1">
        <f ca="1" t="array" ref="I134">MIN(30-SUM(J134:L134),6-L134,_xlfn.XLOOKUP($D134&amp;"_"&amp;I$52,$B$14:$B$36&amp;"_"&amp;$C$14:$C$36,$D$14:$D$36)*$E134)</f>
        <v>0.799919999999998</v>
      </c>
      <c r="J134" s="95" cm="1">
        <f ca="1" t="array" ref="J134">MIN(8,_xlfn.XLOOKUP($D134&amp;"_"&amp;J$52,$B$14:$B$36&amp;"_"&amp;$C$14:$C$36,$D$14:$D$36)*$E134)</f>
        <v>0.84</v>
      </c>
      <c r="K134" s="95" cm="1">
        <f ca="1" t="array" ref="K134">MIN(18,_xlfn.XLOOKUP($D134&amp;"_"&amp;K$52,$B$14:$B$36&amp;"_"&amp;$C$14:$C$36,$D$14:$D$36)*$E134)</f>
        <v>0.3136</v>
      </c>
      <c r="L134" s="95" cm="1">
        <f ca="1" t="array" ref="L134">MIN(6,_xlfn.XLOOKUP($D134&amp;"_"&amp;L$52,$B$14:$B$36&amp;"_"&amp;$C$14:$C$36,$D$14:$D$36)*$E134)</f>
        <v>0.588</v>
      </c>
      <c r="M134" s="95" cm="1">
        <f ca="1" t="array" ref="M134">(1+SUMPRODUCT(G134:H134,OFFSET($H$40:$I$40,D134,0)))*(1+OFFSET($J$40,D134,0))^I134*(1+OFFSET($K$40,D134,0))^J134*(1+OFFSET($L$40,D134,0))^K134*(1+OFFSET($M$40,D134,0))^L134</f>
        <v>10.7911026845211</v>
      </c>
      <c r="N134" s="95">
        <f ca="1">MAX(MAX($N$53:N133),OFFSET($C$52,MATCH(M134*1.07,$M$53:$M$2052,1),0)-C134)</f>
        <v>4680</v>
      </c>
    </row>
    <row r="135" spans="2:14">
      <c r="B135" s="95">
        <v>83</v>
      </c>
      <c r="C135" s="95">
        <f t="shared" si="19"/>
        <v>29880</v>
      </c>
      <c r="D135" s="95">
        <f ca="1">_xlfn.XLOOKUP(总览!$B$44,$B$40:$B$45,$C$40:$C$45)</f>
        <v>5</v>
      </c>
      <c r="E135" s="95">
        <f ca="1" t="shared" si="16"/>
        <v>113</v>
      </c>
      <c r="F135" s="95">
        <f ca="1" t="shared" si="17"/>
        <v>0</v>
      </c>
      <c r="G135" s="95">
        <f ca="1" t="shared" si="18"/>
        <v>9.43578785714286</v>
      </c>
      <c r="H135" s="95" cm="1">
        <f ca="1" t="array" ref="H135">MIN(30-SUM(I135:L135),_xlfn.XLOOKUP($D135&amp;"_"&amp;H$52,$B$14:$B$36&amp;"_"&amp;$C$14:$C$36,$D$14:$D$36)*$E135,18)</f>
        <v>18</v>
      </c>
      <c r="I135" s="95" cm="1">
        <f ca="1" t="array" ref="I135">MIN(30-SUM(J135:L135),6-L135,_xlfn.XLOOKUP($D135&amp;"_"&amp;I$52,$B$14:$B$36&amp;"_"&amp;$C$14:$C$36,$D$14:$D$36)*$E135)</f>
        <v>0.807062142857141</v>
      </c>
      <c r="J135" s="95" cm="1">
        <f ca="1" t="array" ref="J135">MIN(8,_xlfn.XLOOKUP($D135&amp;"_"&amp;J$52,$B$14:$B$36&amp;"_"&amp;$C$14:$C$36,$D$14:$D$36)*$E135)</f>
        <v>0.8475</v>
      </c>
      <c r="K135" s="95" cm="1">
        <f ca="1" t="array" ref="K135">MIN(18,_xlfn.XLOOKUP($D135&amp;"_"&amp;K$52,$B$14:$B$36&amp;"_"&amp;$C$14:$C$36,$D$14:$D$36)*$E135)</f>
        <v>0.3164</v>
      </c>
      <c r="L135" s="95" cm="1">
        <f ca="1" t="array" ref="L135">MIN(6,_xlfn.XLOOKUP($D135&amp;"_"&amp;L$52,$B$14:$B$36&amp;"_"&amp;$C$14:$C$36,$D$14:$D$36)*$E135)</f>
        <v>0.59325</v>
      </c>
      <c r="M135" s="95" cm="1">
        <f ca="1" t="array" ref="M135">(1+SUMPRODUCT(G135:H135,OFFSET($H$40:$I$40,D135,0)))*(1+OFFSET($J$40,D135,0))^I135*(1+OFFSET($K$40,D135,0))^J135*(1+OFFSET($L$40,D135,0))^K135*(1+OFFSET($M$40,D135,0))^L135</f>
        <v>10.8470274218357</v>
      </c>
      <c r="N135" s="95">
        <f ca="1">MAX(MAX($N$53:N134),OFFSET($C$52,MATCH(M135*1.07,$M$53:$M$2052,1),0)-C135)</f>
        <v>4680</v>
      </c>
    </row>
    <row r="136" spans="2:14">
      <c r="B136" s="95">
        <v>84</v>
      </c>
      <c r="C136" s="95">
        <f t="shared" si="19"/>
        <v>30240</v>
      </c>
      <c r="D136" s="95">
        <f ca="1">_xlfn.XLOOKUP(总览!$B$44,$B$40:$B$45,$C$40:$C$45)</f>
        <v>5</v>
      </c>
      <c r="E136" s="95">
        <f ca="1" t="shared" si="16"/>
        <v>114</v>
      </c>
      <c r="F136" s="95">
        <f ca="1" t="shared" si="17"/>
        <v>0</v>
      </c>
      <c r="G136" s="95">
        <f ca="1" t="shared" si="18"/>
        <v>9.41309571428572</v>
      </c>
      <c r="H136" s="95" cm="1">
        <f ca="1" t="array" ref="H136">MIN(30-SUM(I136:L136),_xlfn.XLOOKUP($D136&amp;"_"&amp;H$52,$B$14:$B$36&amp;"_"&amp;$C$14:$C$36,$D$14:$D$36)*$E136,18)</f>
        <v>18</v>
      </c>
      <c r="I136" s="95" cm="1">
        <f ca="1" t="array" ref="I136">MIN(30-SUM(J136:L136),6-L136,_xlfn.XLOOKUP($D136&amp;"_"&amp;I$52,$B$14:$B$36&amp;"_"&amp;$C$14:$C$36,$D$14:$D$36)*$E136)</f>
        <v>0.814204285714284</v>
      </c>
      <c r="J136" s="95" cm="1">
        <f ca="1" t="array" ref="J136">MIN(8,_xlfn.XLOOKUP($D136&amp;"_"&amp;J$52,$B$14:$B$36&amp;"_"&amp;$C$14:$C$36,$D$14:$D$36)*$E136)</f>
        <v>0.855</v>
      </c>
      <c r="K136" s="95" cm="1">
        <f ca="1" t="array" ref="K136">MIN(18,_xlfn.XLOOKUP($D136&amp;"_"&amp;K$52,$B$14:$B$36&amp;"_"&amp;$C$14:$C$36,$D$14:$D$36)*$E136)</f>
        <v>0.3192</v>
      </c>
      <c r="L136" s="95" cm="1">
        <f ca="1" t="array" ref="L136">MIN(6,_xlfn.XLOOKUP($D136&amp;"_"&amp;L$52,$B$14:$B$36&amp;"_"&amp;$C$14:$C$36,$D$14:$D$36)*$E136)</f>
        <v>0.5985</v>
      </c>
      <c r="M136" s="95" cm="1">
        <f ca="1" t="array" ref="M136">(1+SUMPRODUCT(G136:H136,OFFSET($H$40:$I$40,D136,0)))*(1+OFFSET($J$40,D136,0))^I136*(1+OFFSET($K$40,D136,0))^J136*(1+OFFSET($L$40,D136,0))^K136*(1+OFFSET($M$40,D136,0))^L136</f>
        <v>10.9032395278755</v>
      </c>
      <c r="N136" s="95">
        <f ca="1">MAX(MAX($N$53:N135),OFFSET($C$52,MATCH(M136*1.07,$M$53:$M$2052,1),0)-C136)</f>
        <v>4680</v>
      </c>
    </row>
    <row r="137" spans="2:14">
      <c r="B137" s="95">
        <v>85</v>
      </c>
      <c r="C137" s="95">
        <f t="shared" si="19"/>
        <v>30600</v>
      </c>
      <c r="D137" s="95">
        <f ca="1">_xlfn.XLOOKUP(总览!$B$44,$B$40:$B$45,$C$40:$C$45)</f>
        <v>5</v>
      </c>
      <c r="E137" s="95">
        <f ca="1" t="shared" si="16"/>
        <v>115</v>
      </c>
      <c r="F137" s="95">
        <f ca="1" t="shared" si="17"/>
        <v>0</v>
      </c>
      <c r="G137" s="95">
        <f ca="1" t="shared" si="18"/>
        <v>9.39040357142857</v>
      </c>
      <c r="H137" s="95" cm="1">
        <f ca="1" t="array" ref="H137">MIN(30-SUM(I137:L137),_xlfn.XLOOKUP($D137&amp;"_"&amp;H$52,$B$14:$B$36&amp;"_"&amp;$C$14:$C$36,$D$14:$D$36)*$E137,18)</f>
        <v>18</v>
      </c>
      <c r="I137" s="95" cm="1">
        <f ca="1" t="array" ref="I137">MIN(30-SUM(J137:L137),6-L137,_xlfn.XLOOKUP($D137&amp;"_"&amp;I$52,$B$14:$B$36&amp;"_"&amp;$C$14:$C$36,$D$14:$D$36)*$E137)</f>
        <v>0.821346428571427</v>
      </c>
      <c r="J137" s="95" cm="1">
        <f ca="1" t="array" ref="J137">MIN(8,_xlfn.XLOOKUP($D137&amp;"_"&amp;J$52,$B$14:$B$36&amp;"_"&amp;$C$14:$C$36,$D$14:$D$36)*$E137)</f>
        <v>0.8625</v>
      </c>
      <c r="K137" s="95" cm="1">
        <f ca="1" t="array" ref="K137">MIN(18,_xlfn.XLOOKUP($D137&amp;"_"&amp;K$52,$B$14:$B$36&amp;"_"&amp;$C$14:$C$36,$D$14:$D$36)*$E137)</f>
        <v>0.322</v>
      </c>
      <c r="L137" s="95" cm="1">
        <f ca="1" t="array" ref="L137">MIN(6,_xlfn.XLOOKUP($D137&amp;"_"&amp;L$52,$B$14:$B$36&amp;"_"&amp;$C$14:$C$36,$D$14:$D$36)*$E137)</f>
        <v>0.60375</v>
      </c>
      <c r="M137" s="95" cm="1">
        <f ca="1" t="array" ref="M137">(1+SUMPRODUCT(G137:H137,OFFSET($H$40:$I$40,D137,0)))*(1+OFFSET($J$40,D137,0))^I137*(1+OFFSET($K$40,D137,0))^J137*(1+OFFSET($L$40,D137,0))^K137*(1+OFFSET($M$40,D137,0))^L137</f>
        <v>10.9597404640726</v>
      </c>
      <c r="N137" s="95">
        <f ca="1">MAX(MAX($N$53:N136),OFFSET($C$52,MATCH(M137*1.07,$M$53:$M$2052,1),0)-C137)</f>
        <v>4680</v>
      </c>
    </row>
    <row r="138" spans="2:14">
      <c r="B138" s="95">
        <v>86</v>
      </c>
      <c r="C138" s="95">
        <f t="shared" si="19"/>
        <v>30960</v>
      </c>
      <c r="D138" s="95">
        <f ca="1">_xlfn.XLOOKUP(总览!$B$44,$B$40:$B$45,$C$40:$C$45)</f>
        <v>5</v>
      </c>
      <c r="E138" s="95">
        <f ca="1" t="shared" si="16"/>
        <v>116</v>
      </c>
      <c r="F138" s="95">
        <f ca="1" t="shared" si="17"/>
        <v>0</v>
      </c>
      <c r="G138" s="95">
        <f ca="1" t="shared" si="18"/>
        <v>9.36771142857143</v>
      </c>
      <c r="H138" s="95" cm="1">
        <f ca="1" t="array" ref="H138">MIN(30-SUM(I138:L138),_xlfn.XLOOKUP($D138&amp;"_"&amp;H$52,$B$14:$B$36&amp;"_"&amp;$C$14:$C$36,$D$14:$D$36)*$E138,18)</f>
        <v>18</v>
      </c>
      <c r="I138" s="95" cm="1">
        <f ca="1" t="array" ref="I138">MIN(30-SUM(J138:L138),6-L138,_xlfn.XLOOKUP($D138&amp;"_"&amp;I$52,$B$14:$B$36&amp;"_"&amp;$C$14:$C$36,$D$14:$D$36)*$E138)</f>
        <v>0.82848857142857</v>
      </c>
      <c r="J138" s="95" cm="1">
        <f ca="1" t="array" ref="J138">MIN(8,_xlfn.XLOOKUP($D138&amp;"_"&amp;J$52,$B$14:$B$36&amp;"_"&amp;$C$14:$C$36,$D$14:$D$36)*$E138)</f>
        <v>0.87</v>
      </c>
      <c r="K138" s="95" cm="1">
        <f ca="1" t="array" ref="K138">MIN(18,_xlfn.XLOOKUP($D138&amp;"_"&amp;K$52,$B$14:$B$36&amp;"_"&amp;$C$14:$C$36,$D$14:$D$36)*$E138)</f>
        <v>0.3248</v>
      </c>
      <c r="L138" s="95" cm="1">
        <f ca="1" t="array" ref="L138">MIN(6,_xlfn.XLOOKUP($D138&amp;"_"&amp;L$52,$B$14:$B$36&amp;"_"&amp;$C$14:$C$36,$D$14:$D$36)*$E138)</f>
        <v>0.609</v>
      </c>
      <c r="M138" s="95" cm="1">
        <f ca="1" t="array" ref="M138">(1+SUMPRODUCT(G138:H138,OFFSET($H$40:$I$40,D138,0)))*(1+OFFSET($J$40,D138,0))^I138*(1+OFFSET($K$40,D138,0))^J138*(1+OFFSET($L$40,D138,0))^K138*(1+OFFSET($M$40,D138,0))^L138</f>
        <v>11.0165316991967</v>
      </c>
      <c r="N138" s="95">
        <f ca="1">MAX(MAX($N$53:N137),OFFSET($C$52,MATCH(M138*1.07,$M$53:$M$2052,1),0)-C138)</f>
        <v>4680</v>
      </c>
    </row>
    <row r="139" spans="2:14">
      <c r="B139" s="95">
        <v>87</v>
      </c>
      <c r="C139" s="95">
        <f t="shared" si="19"/>
        <v>31320</v>
      </c>
      <c r="D139" s="95">
        <f ca="1">_xlfn.XLOOKUP(总览!$B$44,$B$40:$B$45,$C$40:$C$45)</f>
        <v>5</v>
      </c>
      <c r="E139" s="95">
        <f ca="1" t="shared" si="16"/>
        <v>117</v>
      </c>
      <c r="F139" s="95">
        <f ca="1" t="shared" si="17"/>
        <v>0</v>
      </c>
      <c r="G139" s="95">
        <f ca="1" t="shared" si="18"/>
        <v>9.34501928571429</v>
      </c>
      <c r="H139" s="95" cm="1">
        <f ca="1" t="array" ref="H139">MIN(30-SUM(I139:L139),_xlfn.XLOOKUP($D139&amp;"_"&amp;H$52,$B$14:$B$36&amp;"_"&amp;$C$14:$C$36,$D$14:$D$36)*$E139,18)</f>
        <v>18</v>
      </c>
      <c r="I139" s="95" cm="1">
        <f ca="1" t="array" ref="I139">MIN(30-SUM(J139:L139),6-L139,_xlfn.XLOOKUP($D139&amp;"_"&amp;I$52,$B$14:$B$36&amp;"_"&amp;$C$14:$C$36,$D$14:$D$36)*$E139)</f>
        <v>0.835630714285713</v>
      </c>
      <c r="J139" s="95" cm="1">
        <f ca="1" t="array" ref="J139">MIN(8,_xlfn.XLOOKUP($D139&amp;"_"&amp;J$52,$B$14:$B$36&amp;"_"&amp;$C$14:$C$36,$D$14:$D$36)*$E139)</f>
        <v>0.8775</v>
      </c>
      <c r="K139" s="95" cm="1">
        <f ca="1" t="array" ref="K139">MIN(18,_xlfn.XLOOKUP($D139&amp;"_"&amp;K$52,$B$14:$B$36&amp;"_"&amp;$C$14:$C$36,$D$14:$D$36)*$E139)</f>
        <v>0.3276</v>
      </c>
      <c r="L139" s="95" cm="1">
        <f ca="1" t="array" ref="L139">MIN(6,_xlfn.XLOOKUP($D139&amp;"_"&amp;L$52,$B$14:$B$36&amp;"_"&amp;$C$14:$C$36,$D$14:$D$36)*$E139)</f>
        <v>0.61425</v>
      </c>
      <c r="M139" s="95" cm="1">
        <f ca="1" t="array" ref="M139">(1+SUMPRODUCT(G139:H139,OFFSET($H$40:$I$40,D139,0)))*(1+OFFSET($J$40,D139,0))^I139*(1+OFFSET($K$40,D139,0))^J139*(1+OFFSET($L$40,D139,0))^K139*(1+OFFSET($M$40,D139,0))^L139</f>
        <v>11.0736147093912</v>
      </c>
      <c r="N139" s="95">
        <f ca="1">MAX(MAX($N$53:N138),OFFSET($C$52,MATCH(M139*1.07,$M$53:$M$2052,1),0)-C139)</f>
        <v>4680</v>
      </c>
    </row>
    <row r="140" spans="2:14">
      <c r="B140" s="95">
        <v>88</v>
      </c>
      <c r="C140" s="95">
        <f t="shared" si="19"/>
        <v>31680</v>
      </c>
      <c r="D140" s="95">
        <f ca="1">_xlfn.XLOOKUP(总览!$B$44,$B$40:$B$45,$C$40:$C$45)</f>
        <v>5</v>
      </c>
      <c r="E140" s="95">
        <f ca="1" t="shared" si="16"/>
        <v>118</v>
      </c>
      <c r="F140" s="95">
        <f ca="1" t="shared" si="17"/>
        <v>0</v>
      </c>
      <c r="G140" s="95">
        <f ca="1" t="shared" si="18"/>
        <v>9.32232714285714</v>
      </c>
      <c r="H140" s="95" cm="1">
        <f ca="1" t="array" ref="H140">MIN(30-SUM(I140:L140),_xlfn.XLOOKUP($D140&amp;"_"&amp;H$52,$B$14:$B$36&amp;"_"&amp;$C$14:$C$36,$D$14:$D$36)*$E140,18)</f>
        <v>18</v>
      </c>
      <c r="I140" s="95" cm="1">
        <f ca="1" t="array" ref="I140">MIN(30-SUM(J140:L140),6-L140,_xlfn.XLOOKUP($D140&amp;"_"&amp;I$52,$B$14:$B$36&amp;"_"&amp;$C$14:$C$36,$D$14:$D$36)*$E140)</f>
        <v>0.842772857142856</v>
      </c>
      <c r="J140" s="95" cm="1">
        <f ca="1" t="array" ref="J140">MIN(8,_xlfn.XLOOKUP($D140&amp;"_"&amp;J$52,$B$14:$B$36&amp;"_"&amp;$C$14:$C$36,$D$14:$D$36)*$E140)</f>
        <v>0.885</v>
      </c>
      <c r="K140" s="95" cm="1">
        <f ca="1" t="array" ref="K140">MIN(18,_xlfn.XLOOKUP($D140&amp;"_"&amp;K$52,$B$14:$B$36&amp;"_"&amp;$C$14:$C$36,$D$14:$D$36)*$E140)</f>
        <v>0.3304</v>
      </c>
      <c r="L140" s="95" cm="1">
        <f ca="1" t="array" ref="L140">MIN(6,_xlfn.XLOOKUP($D140&amp;"_"&amp;L$52,$B$14:$B$36&amp;"_"&amp;$C$14:$C$36,$D$14:$D$36)*$E140)</f>
        <v>0.6195</v>
      </c>
      <c r="M140" s="95" cm="1">
        <f ca="1" t="array" ref="M140">(1+SUMPRODUCT(G140:H140,OFFSET($H$40:$I$40,D140,0)))*(1+OFFSET($J$40,D140,0))^I140*(1+OFFSET($K$40,D140,0))^J140*(1+OFFSET($L$40,D140,0))^K140*(1+OFFSET($M$40,D140,0))^L140</f>
        <v>11.1309909782094</v>
      </c>
      <c r="N140" s="95">
        <f ca="1">MAX(MAX($N$53:N139),OFFSET($C$52,MATCH(M140*1.07,$M$53:$M$2052,1),0)-C140)</f>
        <v>4680</v>
      </c>
    </row>
    <row r="141" spans="2:14">
      <c r="B141" s="95">
        <v>89</v>
      </c>
      <c r="C141" s="95">
        <f t="shared" si="19"/>
        <v>32040</v>
      </c>
      <c r="D141" s="95">
        <f ca="1">_xlfn.XLOOKUP(总览!$B$44,$B$40:$B$45,$C$40:$C$45)</f>
        <v>5</v>
      </c>
      <c r="E141" s="95">
        <f ca="1" t="shared" si="16"/>
        <v>119</v>
      </c>
      <c r="F141" s="95">
        <f ca="1" t="shared" si="17"/>
        <v>0</v>
      </c>
      <c r="G141" s="95">
        <f ca="1" t="shared" si="18"/>
        <v>9.299635</v>
      </c>
      <c r="H141" s="95" cm="1">
        <f ca="1" t="array" ref="H141">MIN(30-SUM(I141:L141),_xlfn.XLOOKUP($D141&amp;"_"&amp;H$52,$B$14:$B$36&amp;"_"&amp;$C$14:$C$36,$D$14:$D$36)*$E141,18)</f>
        <v>18</v>
      </c>
      <c r="I141" s="95" cm="1">
        <f ca="1" t="array" ref="I141">MIN(30-SUM(J141:L141),6-L141,_xlfn.XLOOKUP($D141&amp;"_"&amp;I$52,$B$14:$B$36&amp;"_"&amp;$C$14:$C$36,$D$14:$D$36)*$E141)</f>
        <v>0.849914999999998</v>
      </c>
      <c r="J141" s="95" cm="1">
        <f ca="1" t="array" ref="J141">MIN(8,_xlfn.XLOOKUP($D141&amp;"_"&amp;J$52,$B$14:$B$36&amp;"_"&amp;$C$14:$C$36,$D$14:$D$36)*$E141)</f>
        <v>0.8925</v>
      </c>
      <c r="K141" s="95" cm="1">
        <f ca="1" t="array" ref="K141">MIN(18,_xlfn.XLOOKUP($D141&amp;"_"&amp;K$52,$B$14:$B$36&amp;"_"&amp;$C$14:$C$36,$D$14:$D$36)*$E141)</f>
        <v>0.3332</v>
      </c>
      <c r="L141" s="95" cm="1">
        <f ca="1" t="array" ref="L141">MIN(6,_xlfn.XLOOKUP($D141&amp;"_"&amp;L$52,$B$14:$B$36&amp;"_"&amp;$C$14:$C$36,$D$14:$D$36)*$E141)</f>
        <v>0.62475</v>
      </c>
      <c r="M141" s="95" cm="1">
        <f ca="1" t="array" ref="M141">(1+SUMPRODUCT(G141:H141,OFFSET($H$40:$I$40,D141,0)))*(1+OFFSET($J$40,D141,0))^I141*(1+OFFSET($K$40,D141,0))^J141*(1+OFFSET($L$40,D141,0))^K141*(1+OFFSET($M$40,D141,0))^L141</f>
        <v>11.1886619966513</v>
      </c>
      <c r="N141" s="95">
        <f ca="1">MAX(MAX($N$53:N140),OFFSET($C$52,MATCH(M141*1.07,$M$53:$M$2052,1),0)-C141)</f>
        <v>4680</v>
      </c>
    </row>
    <row r="142" spans="2:14">
      <c r="B142" s="95">
        <v>90</v>
      </c>
      <c r="C142" s="95">
        <f t="shared" si="19"/>
        <v>32400</v>
      </c>
      <c r="D142" s="95">
        <f ca="1">_xlfn.XLOOKUP(总览!$B$44,$B$40:$B$45,$C$40:$C$45)</f>
        <v>5</v>
      </c>
      <c r="E142" s="95">
        <f ca="1" t="shared" si="16"/>
        <v>120</v>
      </c>
      <c r="F142" s="95">
        <f ca="1" t="shared" si="17"/>
        <v>0</v>
      </c>
      <c r="G142" s="95">
        <f ca="1" t="shared" si="18"/>
        <v>9.27694285714286</v>
      </c>
      <c r="H142" s="95" cm="1">
        <f ca="1" t="array" ref="H142">MIN(30-SUM(I142:L142),_xlfn.XLOOKUP($D142&amp;"_"&amp;H$52,$B$14:$B$36&amp;"_"&amp;$C$14:$C$36,$D$14:$D$36)*$E142,18)</f>
        <v>18</v>
      </c>
      <c r="I142" s="95" cm="1">
        <f ca="1" t="array" ref="I142">MIN(30-SUM(J142:L142),6-L142,_xlfn.XLOOKUP($D142&amp;"_"&amp;I$52,$B$14:$B$36&amp;"_"&amp;$C$14:$C$36,$D$14:$D$36)*$E142)</f>
        <v>0.857057142857141</v>
      </c>
      <c r="J142" s="95" cm="1">
        <f ca="1" t="array" ref="J142">MIN(8,_xlfn.XLOOKUP($D142&amp;"_"&amp;J$52,$B$14:$B$36&amp;"_"&amp;$C$14:$C$36,$D$14:$D$36)*$E142)</f>
        <v>0.9</v>
      </c>
      <c r="K142" s="95" cm="1">
        <f ca="1" t="array" ref="K142">MIN(18,_xlfn.XLOOKUP($D142&amp;"_"&amp;K$52,$B$14:$B$36&amp;"_"&amp;$C$14:$C$36,$D$14:$D$36)*$E142)</f>
        <v>0.336</v>
      </c>
      <c r="L142" s="95" cm="1">
        <f ca="1" t="array" ref="L142">MIN(6,_xlfn.XLOOKUP($D142&amp;"_"&amp;L$52,$B$14:$B$36&amp;"_"&amp;$C$14:$C$36,$D$14:$D$36)*$E142)</f>
        <v>0.63</v>
      </c>
      <c r="M142" s="95" cm="1">
        <f ca="1" t="array" ref="M142">(1+SUMPRODUCT(G142:H142,OFFSET($H$40:$I$40,D142,0)))*(1+OFFSET($J$40,D142,0))^I142*(1+OFFSET($K$40,D142,0))^J142*(1+OFFSET($L$40,D142,0))^K142*(1+OFFSET($M$40,D142,0))^L142</f>
        <v>11.2466292632003</v>
      </c>
      <c r="N142" s="95">
        <f ca="1">MAX(MAX($N$53:N141),OFFSET($C$52,MATCH(M142*1.07,$M$53:$M$2052,1),0)-C142)</f>
        <v>4680</v>
      </c>
    </row>
    <row r="143" spans="2:14">
      <c r="B143" s="95">
        <v>91</v>
      </c>
      <c r="C143" s="95">
        <f t="shared" si="19"/>
        <v>32760</v>
      </c>
      <c r="D143" s="95">
        <f ca="1">_xlfn.XLOOKUP(总览!$B$44,$B$40:$B$45,$C$40:$C$45)</f>
        <v>5</v>
      </c>
      <c r="E143" s="95">
        <f ca="1" t="shared" si="16"/>
        <v>121</v>
      </c>
      <c r="F143" s="95">
        <f ca="1" t="shared" si="17"/>
        <v>0</v>
      </c>
      <c r="G143" s="95">
        <f ca="1" t="shared" si="18"/>
        <v>9.25425071428572</v>
      </c>
      <c r="H143" s="95" cm="1">
        <f ca="1" t="array" ref="H143">MIN(30-SUM(I143:L143),_xlfn.XLOOKUP($D143&amp;"_"&amp;H$52,$B$14:$B$36&amp;"_"&amp;$C$14:$C$36,$D$14:$D$36)*$E143,18)</f>
        <v>18</v>
      </c>
      <c r="I143" s="95" cm="1">
        <f ca="1" t="array" ref="I143">MIN(30-SUM(J143:L143),6-L143,_xlfn.XLOOKUP($D143&amp;"_"&amp;I$52,$B$14:$B$36&amp;"_"&amp;$C$14:$C$36,$D$14:$D$36)*$E143)</f>
        <v>0.864199285714284</v>
      </c>
      <c r="J143" s="95" cm="1">
        <f ca="1" t="array" ref="J143">MIN(8,_xlfn.XLOOKUP($D143&amp;"_"&amp;J$52,$B$14:$B$36&amp;"_"&amp;$C$14:$C$36,$D$14:$D$36)*$E143)</f>
        <v>0.9075</v>
      </c>
      <c r="K143" s="95" cm="1">
        <f ca="1" t="array" ref="K143">MIN(18,_xlfn.XLOOKUP($D143&amp;"_"&amp;K$52,$B$14:$B$36&amp;"_"&amp;$C$14:$C$36,$D$14:$D$36)*$E143)</f>
        <v>0.3388</v>
      </c>
      <c r="L143" s="95" cm="1">
        <f ca="1" t="array" ref="L143">MIN(6,_xlfn.XLOOKUP($D143&amp;"_"&amp;L$52,$B$14:$B$36&amp;"_"&amp;$C$14:$C$36,$D$14:$D$36)*$E143)</f>
        <v>0.63525</v>
      </c>
      <c r="M143" s="95" cm="1">
        <f ca="1" t="array" ref="M143">(1+SUMPRODUCT(G143:H143,OFFSET($H$40:$I$40,D143,0)))*(1+OFFSET($J$40,D143,0))^I143*(1+OFFSET($K$40,D143,0))^J143*(1+OFFSET($L$40,D143,0))^K143*(1+OFFSET($M$40,D143,0))^L143</f>
        <v>11.3048942838601</v>
      </c>
      <c r="N143" s="95">
        <f ca="1">MAX(MAX($N$53:N142),OFFSET($C$52,MATCH(M143*1.07,$M$53:$M$2052,1),0)-C143)</f>
        <v>4680</v>
      </c>
    </row>
    <row r="144" spans="2:14">
      <c r="B144" s="95">
        <v>92</v>
      </c>
      <c r="C144" s="95">
        <f t="shared" si="19"/>
        <v>33120</v>
      </c>
      <c r="D144" s="95">
        <f ca="1">_xlfn.XLOOKUP(总览!$B$44,$B$40:$B$45,$C$40:$C$45)</f>
        <v>5</v>
      </c>
      <c r="E144" s="95">
        <f ca="1" t="shared" si="16"/>
        <v>122</v>
      </c>
      <c r="F144" s="95">
        <f ca="1" t="shared" si="17"/>
        <v>0</v>
      </c>
      <c r="G144" s="95">
        <f ca="1" t="shared" si="18"/>
        <v>9.23155857142858</v>
      </c>
      <c r="H144" s="95" cm="1">
        <f ca="1" t="array" ref="H144">MIN(30-SUM(I144:L144),_xlfn.XLOOKUP($D144&amp;"_"&amp;H$52,$B$14:$B$36&amp;"_"&amp;$C$14:$C$36,$D$14:$D$36)*$E144,18)</f>
        <v>18</v>
      </c>
      <c r="I144" s="95" cm="1">
        <f ca="1" t="array" ref="I144">MIN(30-SUM(J144:L144),6-L144,_xlfn.XLOOKUP($D144&amp;"_"&amp;I$52,$B$14:$B$36&amp;"_"&amp;$C$14:$C$36,$D$14:$D$36)*$E144)</f>
        <v>0.871341428571427</v>
      </c>
      <c r="J144" s="95" cm="1">
        <f ca="1" t="array" ref="J144">MIN(8,_xlfn.XLOOKUP($D144&amp;"_"&amp;J$52,$B$14:$B$36&amp;"_"&amp;$C$14:$C$36,$D$14:$D$36)*$E144)</f>
        <v>0.915</v>
      </c>
      <c r="K144" s="95" cm="1">
        <f ca="1" t="array" ref="K144">MIN(18,_xlfn.XLOOKUP($D144&amp;"_"&amp;K$52,$B$14:$B$36&amp;"_"&amp;$C$14:$C$36,$D$14:$D$36)*$E144)</f>
        <v>0.3416</v>
      </c>
      <c r="L144" s="95" cm="1">
        <f ca="1" t="array" ref="L144">MIN(6,_xlfn.XLOOKUP($D144&amp;"_"&amp;L$52,$B$14:$B$36&amp;"_"&amp;$C$14:$C$36,$D$14:$D$36)*$E144)</f>
        <v>0.6405</v>
      </c>
      <c r="M144" s="95" cm="1">
        <f ca="1" t="array" ref="M144">(1+SUMPRODUCT(G144:H144,OFFSET($H$40:$I$40,D144,0)))*(1+OFFSET($J$40,D144,0))^I144*(1+OFFSET($K$40,D144,0))^J144*(1+OFFSET($L$40,D144,0))^K144*(1+OFFSET($M$40,D144,0))^L144</f>
        <v>11.363458572192</v>
      </c>
      <c r="N144" s="95">
        <f ca="1">MAX(MAX($N$53:N143),OFFSET($C$52,MATCH(M144*1.07,$M$53:$M$2052,1),0)-C144)</f>
        <v>4680</v>
      </c>
    </row>
    <row r="145" spans="2:14">
      <c r="B145" s="95">
        <v>93</v>
      </c>
      <c r="C145" s="95">
        <f t="shared" si="19"/>
        <v>33480</v>
      </c>
      <c r="D145" s="95">
        <f ca="1">_xlfn.XLOOKUP(总览!$B$44,$B$40:$B$45,$C$40:$C$45)</f>
        <v>5</v>
      </c>
      <c r="E145" s="95">
        <f ca="1" t="shared" si="16"/>
        <v>123</v>
      </c>
      <c r="F145" s="95">
        <f ca="1" t="shared" si="17"/>
        <v>0</v>
      </c>
      <c r="G145" s="95">
        <f ca="1" t="shared" si="18"/>
        <v>9.20886642857143</v>
      </c>
      <c r="H145" s="95" cm="1">
        <f ca="1" t="array" ref="H145">MIN(30-SUM(I145:L145),_xlfn.XLOOKUP($D145&amp;"_"&amp;H$52,$B$14:$B$36&amp;"_"&amp;$C$14:$C$36,$D$14:$D$36)*$E145,18)</f>
        <v>18</v>
      </c>
      <c r="I145" s="95" cm="1">
        <f ca="1" t="array" ref="I145">MIN(30-SUM(J145:L145),6-L145,_xlfn.XLOOKUP($D145&amp;"_"&amp;I$52,$B$14:$B$36&amp;"_"&amp;$C$14:$C$36,$D$14:$D$36)*$E145)</f>
        <v>0.87848357142857</v>
      </c>
      <c r="J145" s="95" cm="1">
        <f ca="1" t="array" ref="J145">MIN(8,_xlfn.XLOOKUP($D145&amp;"_"&amp;J$52,$B$14:$B$36&amp;"_"&amp;$C$14:$C$36,$D$14:$D$36)*$E145)</f>
        <v>0.9225</v>
      </c>
      <c r="K145" s="95" cm="1">
        <f ca="1" t="array" ref="K145">MIN(18,_xlfn.XLOOKUP($D145&amp;"_"&amp;K$52,$B$14:$B$36&amp;"_"&amp;$C$14:$C$36,$D$14:$D$36)*$E145)</f>
        <v>0.3444</v>
      </c>
      <c r="L145" s="95" cm="1">
        <f ca="1" t="array" ref="L145">MIN(6,_xlfn.XLOOKUP($D145&amp;"_"&amp;L$52,$B$14:$B$36&amp;"_"&amp;$C$14:$C$36,$D$14:$D$36)*$E145)</f>
        <v>0.64575</v>
      </c>
      <c r="M145" s="95" cm="1">
        <f ca="1" t="array" ref="M145">(1+SUMPRODUCT(G145:H145,OFFSET($H$40:$I$40,D145,0)))*(1+OFFSET($J$40,D145,0))^I145*(1+OFFSET($K$40,D145,0))^J145*(1+OFFSET($L$40,D145,0))^K145*(1+OFFSET($M$40,D145,0))^L145</f>
        <v>11.4223236493521</v>
      </c>
      <c r="N145" s="95">
        <f ca="1">MAX(MAX($N$53:N144),OFFSET($C$52,MATCH(M145*1.07,$M$53:$M$2052,1),0)-C145)</f>
        <v>4680</v>
      </c>
    </row>
    <row r="146" spans="2:14">
      <c r="B146" s="95">
        <v>94</v>
      </c>
      <c r="C146" s="95">
        <f t="shared" si="19"/>
        <v>33840</v>
      </c>
      <c r="D146" s="95">
        <f ca="1">_xlfn.XLOOKUP(总览!$B$44,$B$40:$B$45,$C$40:$C$45)</f>
        <v>5</v>
      </c>
      <c r="E146" s="95">
        <f ca="1" t="shared" si="16"/>
        <v>124</v>
      </c>
      <c r="F146" s="95">
        <f ca="1" t="shared" si="17"/>
        <v>0</v>
      </c>
      <c r="G146" s="95">
        <f ca="1" t="shared" si="18"/>
        <v>9.18617428571429</v>
      </c>
      <c r="H146" s="95" cm="1">
        <f ca="1" t="array" ref="H146">MIN(30-SUM(I146:L146),_xlfn.XLOOKUP($D146&amp;"_"&amp;H$52,$B$14:$B$36&amp;"_"&amp;$C$14:$C$36,$D$14:$D$36)*$E146,18)</f>
        <v>18</v>
      </c>
      <c r="I146" s="95" cm="1">
        <f ca="1" t="array" ref="I146">MIN(30-SUM(J146:L146),6-L146,_xlfn.XLOOKUP($D146&amp;"_"&amp;I$52,$B$14:$B$36&amp;"_"&amp;$C$14:$C$36,$D$14:$D$36)*$E146)</f>
        <v>0.885625714285713</v>
      </c>
      <c r="J146" s="95" cm="1">
        <f ca="1" t="array" ref="J146">MIN(8,_xlfn.XLOOKUP($D146&amp;"_"&amp;J$52,$B$14:$B$36&amp;"_"&amp;$C$14:$C$36,$D$14:$D$36)*$E146)</f>
        <v>0.93</v>
      </c>
      <c r="K146" s="95" cm="1">
        <f ca="1" t="array" ref="K146">MIN(18,_xlfn.XLOOKUP($D146&amp;"_"&amp;K$52,$B$14:$B$36&amp;"_"&amp;$C$14:$C$36,$D$14:$D$36)*$E146)</f>
        <v>0.3472</v>
      </c>
      <c r="L146" s="95" cm="1">
        <f ca="1" t="array" ref="L146">MIN(6,_xlfn.XLOOKUP($D146&amp;"_"&amp;L$52,$B$14:$B$36&amp;"_"&amp;$C$14:$C$36,$D$14:$D$36)*$E146)</f>
        <v>0.651</v>
      </c>
      <c r="M146" s="95" cm="1">
        <f ca="1" t="array" ref="M146">(1+SUMPRODUCT(G146:H146,OFFSET($H$40:$I$40,D146,0)))*(1+OFFSET($J$40,D146,0))^I146*(1+OFFSET($K$40,D146,0))^J146*(1+OFFSET($L$40,D146,0))^K146*(1+OFFSET($M$40,D146,0))^L146</f>
        <v>11.4814910441285</v>
      </c>
      <c r="N146" s="95">
        <f ca="1">MAX(MAX($N$53:N145),OFFSET($C$52,MATCH(M146*1.07,$M$53:$M$2052,1),0)-C146)</f>
        <v>4680</v>
      </c>
    </row>
    <row r="147" spans="2:14">
      <c r="B147" s="95">
        <v>95</v>
      </c>
      <c r="C147" s="95">
        <f t="shared" si="19"/>
        <v>34200</v>
      </c>
      <c r="D147" s="95">
        <f ca="1">_xlfn.XLOOKUP(总览!$B$44,$B$40:$B$45,$C$40:$C$45)</f>
        <v>5</v>
      </c>
      <c r="E147" s="95">
        <f ca="1" t="shared" si="16"/>
        <v>125</v>
      </c>
      <c r="F147" s="95">
        <f ca="1" t="shared" si="17"/>
        <v>0</v>
      </c>
      <c r="G147" s="95">
        <f ca="1" t="shared" si="18"/>
        <v>9.16348214285714</v>
      </c>
      <c r="H147" s="95" cm="1">
        <f ca="1" t="array" ref="H147">MIN(30-SUM(I147:L147),_xlfn.XLOOKUP($D147&amp;"_"&amp;H$52,$B$14:$B$36&amp;"_"&amp;$C$14:$C$36,$D$14:$D$36)*$E147,18)</f>
        <v>18</v>
      </c>
      <c r="I147" s="95" cm="1">
        <f ca="1" t="array" ref="I147">MIN(30-SUM(J147:L147),6-L147,_xlfn.XLOOKUP($D147&amp;"_"&amp;I$52,$B$14:$B$36&amp;"_"&amp;$C$14:$C$36,$D$14:$D$36)*$E147)</f>
        <v>0.892767857142855</v>
      </c>
      <c r="J147" s="95" cm="1">
        <f ca="1" t="array" ref="J147">MIN(8,_xlfn.XLOOKUP($D147&amp;"_"&amp;J$52,$B$14:$B$36&amp;"_"&amp;$C$14:$C$36,$D$14:$D$36)*$E147)</f>
        <v>0.9375</v>
      </c>
      <c r="K147" s="95" cm="1">
        <f ca="1" t="array" ref="K147">MIN(18,_xlfn.XLOOKUP($D147&amp;"_"&amp;K$52,$B$14:$B$36&amp;"_"&amp;$C$14:$C$36,$D$14:$D$36)*$E147)</f>
        <v>0.35</v>
      </c>
      <c r="L147" s="95" cm="1">
        <f ca="1" t="array" ref="L147">MIN(6,_xlfn.XLOOKUP($D147&amp;"_"&amp;L$52,$B$14:$B$36&amp;"_"&amp;$C$14:$C$36,$D$14:$D$36)*$E147)</f>
        <v>0.65625</v>
      </c>
      <c r="M147" s="95" cm="1">
        <f ca="1" t="array" ref="M147">(1+SUMPRODUCT(G147:H147,OFFSET($H$40:$I$40,D147,0)))*(1+OFFSET($J$40,D147,0))^I147*(1+OFFSET($K$40,D147,0))^J147*(1+OFFSET($L$40,D147,0))^K147*(1+OFFSET($M$40,D147,0))^L147</f>
        <v>11.5409622929797</v>
      </c>
      <c r="N147" s="95">
        <f ca="1">MAX(MAX($N$53:N146),OFFSET($C$52,MATCH(M147*1.07,$M$53:$M$2052,1),0)-C147)</f>
        <v>4680</v>
      </c>
    </row>
    <row r="148" spans="2:14">
      <c r="B148" s="95">
        <v>96</v>
      </c>
      <c r="C148" s="95">
        <f t="shared" si="19"/>
        <v>34560</v>
      </c>
      <c r="D148" s="95">
        <f ca="1">_xlfn.XLOOKUP(总览!$B$44,$B$40:$B$45,$C$40:$C$45)</f>
        <v>5</v>
      </c>
      <c r="E148" s="95">
        <f ca="1" t="shared" si="16"/>
        <v>126</v>
      </c>
      <c r="F148" s="95">
        <f ca="1" t="shared" si="17"/>
        <v>0</v>
      </c>
      <c r="G148" s="95">
        <f ca="1" t="shared" si="18"/>
        <v>9.14079</v>
      </c>
      <c r="H148" s="95" cm="1">
        <f ca="1" t="array" ref="H148">MIN(30-SUM(I148:L148),_xlfn.XLOOKUP($D148&amp;"_"&amp;H$52,$B$14:$B$36&amp;"_"&amp;$C$14:$C$36,$D$14:$D$36)*$E148,18)</f>
        <v>18</v>
      </c>
      <c r="I148" s="95" cm="1">
        <f ca="1" t="array" ref="I148">MIN(30-SUM(J148:L148),6-L148,_xlfn.XLOOKUP($D148&amp;"_"&amp;I$52,$B$14:$B$36&amp;"_"&amp;$C$14:$C$36,$D$14:$D$36)*$E148)</f>
        <v>0.899909999999998</v>
      </c>
      <c r="J148" s="95" cm="1">
        <f ca="1" t="array" ref="J148">MIN(8,_xlfn.XLOOKUP($D148&amp;"_"&amp;J$52,$B$14:$B$36&amp;"_"&amp;$C$14:$C$36,$D$14:$D$36)*$E148)</f>
        <v>0.945</v>
      </c>
      <c r="K148" s="95" cm="1">
        <f ca="1" t="array" ref="K148">MIN(18,_xlfn.XLOOKUP($D148&amp;"_"&amp;K$52,$B$14:$B$36&amp;"_"&amp;$C$14:$C$36,$D$14:$D$36)*$E148)</f>
        <v>0.3528</v>
      </c>
      <c r="L148" s="95" cm="1">
        <f ca="1" t="array" ref="L148">MIN(6,_xlfn.XLOOKUP($D148&amp;"_"&amp;L$52,$B$14:$B$36&amp;"_"&amp;$C$14:$C$36,$D$14:$D$36)*$E148)</f>
        <v>0.6615</v>
      </c>
      <c r="M148" s="95" cm="1">
        <f ca="1" t="array" ref="M148">(1+SUMPRODUCT(G148:H148,OFFSET($H$40:$I$40,D148,0)))*(1+OFFSET($J$40,D148,0))^I148*(1+OFFSET($K$40,D148,0))^J148*(1+OFFSET($L$40,D148,0))^K148*(1+OFFSET($M$40,D148,0))^L148</f>
        <v>11.6007389400715</v>
      </c>
      <c r="N148" s="95">
        <f ca="1">MAX(MAX($N$53:N147),OFFSET($C$52,MATCH(M148*1.07,$M$53:$M$2052,1),0)-C148)</f>
        <v>4680</v>
      </c>
    </row>
    <row r="149" spans="2:14">
      <c r="B149" s="95">
        <v>97</v>
      </c>
      <c r="C149" s="95">
        <f t="shared" si="19"/>
        <v>34920</v>
      </c>
      <c r="D149" s="95">
        <f ca="1">_xlfn.XLOOKUP(总览!$B$44,$B$40:$B$45,$C$40:$C$45)</f>
        <v>5</v>
      </c>
      <c r="E149" s="95">
        <f ca="1" t="shared" si="16"/>
        <v>127</v>
      </c>
      <c r="F149" s="95">
        <f ca="1" t="shared" si="17"/>
        <v>0</v>
      </c>
      <c r="G149" s="95">
        <f ca="1" t="shared" si="18"/>
        <v>9.11809785714286</v>
      </c>
      <c r="H149" s="95" cm="1">
        <f ca="1" t="array" ref="H149">MIN(30-SUM(I149:L149),_xlfn.XLOOKUP($D149&amp;"_"&amp;H$52,$B$14:$B$36&amp;"_"&amp;$C$14:$C$36,$D$14:$D$36)*$E149,18)</f>
        <v>18</v>
      </c>
      <c r="I149" s="95" cm="1">
        <f ca="1" t="array" ref="I149">MIN(30-SUM(J149:L149),6-L149,_xlfn.XLOOKUP($D149&amp;"_"&amp;I$52,$B$14:$B$36&amp;"_"&amp;$C$14:$C$36,$D$14:$D$36)*$E149)</f>
        <v>0.907052142857141</v>
      </c>
      <c r="J149" s="95" cm="1">
        <f ca="1" t="array" ref="J149">MIN(8,_xlfn.XLOOKUP($D149&amp;"_"&amp;J$52,$B$14:$B$36&amp;"_"&amp;$C$14:$C$36,$D$14:$D$36)*$E149)</f>
        <v>0.9525</v>
      </c>
      <c r="K149" s="95" cm="1">
        <f ca="1" t="array" ref="K149">MIN(18,_xlfn.XLOOKUP($D149&amp;"_"&amp;K$52,$B$14:$B$36&amp;"_"&amp;$C$14:$C$36,$D$14:$D$36)*$E149)</f>
        <v>0.3556</v>
      </c>
      <c r="L149" s="95" cm="1">
        <f ca="1" t="array" ref="L149">MIN(6,_xlfn.XLOOKUP($D149&amp;"_"&amp;L$52,$B$14:$B$36&amp;"_"&amp;$C$14:$C$36,$D$14:$D$36)*$E149)</f>
        <v>0.66675</v>
      </c>
      <c r="M149" s="95" cm="1">
        <f ca="1" t="array" ref="M149">(1+SUMPRODUCT(G149:H149,OFFSET($H$40:$I$40,D149,0)))*(1+OFFSET($J$40,D149,0))^I149*(1+OFFSET($K$40,D149,0))^J149*(1+OFFSET($L$40,D149,0))^K149*(1+OFFSET($M$40,D149,0))^L149</f>
        <v>11.6608225373159</v>
      </c>
      <c r="N149" s="95">
        <f ca="1">MAX(MAX($N$53:N148),OFFSET($C$52,MATCH(M149*1.07,$M$53:$M$2052,1),0)-C149)</f>
        <v>4680</v>
      </c>
    </row>
    <row r="150" spans="2:14">
      <c r="B150" s="95">
        <v>98</v>
      </c>
      <c r="C150" s="95">
        <f t="shared" si="19"/>
        <v>35280</v>
      </c>
      <c r="D150" s="95">
        <f ca="1">_xlfn.XLOOKUP(总览!$B$44,$B$40:$B$45,$C$40:$C$45)</f>
        <v>5</v>
      </c>
      <c r="E150" s="95">
        <f ca="1" t="shared" si="16"/>
        <v>128</v>
      </c>
      <c r="F150" s="95">
        <f ca="1" t="shared" si="17"/>
        <v>0</v>
      </c>
      <c r="G150" s="95">
        <f ca="1" t="shared" si="18"/>
        <v>9.09540571428571</v>
      </c>
      <c r="H150" s="95" cm="1">
        <f ca="1" t="array" ref="H150">MIN(30-SUM(I150:L150),_xlfn.XLOOKUP($D150&amp;"_"&amp;H$52,$B$14:$B$36&amp;"_"&amp;$C$14:$C$36,$D$14:$D$36)*$E150,18)</f>
        <v>18</v>
      </c>
      <c r="I150" s="95" cm="1">
        <f ca="1" t="array" ref="I150">MIN(30-SUM(J150:L150),6-L150,_xlfn.XLOOKUP($D150&amp;"_"&amp;I$52,$B$14:$B$36&amp;"_"&amp;$C$14:$C$36,$D$14:$D$36)*$E150)</f>
        <v>0.914194285714284</v>
      </c>
      <c r="J150" s="95" cm="1">
        <f ca="1" t="array" ref="J150">MIN(8,_xlfn.XLOOKUP($D150&amp;"_"&amp;J$52,$B$14:$B$36&amp;"_"&amp;$C$14:$C$36,$D$14:$D$36)*$E150)</f>
        <v>0.96</v>
      </c>
      <c r="K150" s="95" cm="1">
        <f ca="1" t="array" ref="K150">MIN(18,_xlfn.XLOOKUP($D150&amp;"_"&amp;K$52,$B$14:$B$36&amp;"_"&amp;$C$14:$C$36,$D$14:$D$36)*$E150)</f>
        <v>0.3584</v>
      </c>
      <c r="L150" s="95" cm="1">
        <f ca="1" t="array" ref="L150">MIN(6,_xlfn.XLOOKUP($D150&amp;"_"&amp;L$52,$B$14:$B$36&amp;"_"&amp;$C$14:$C$36,$D$14:$D$36)*$E150)</f>
        <v>0.672</v>
      </c>
      <c r="M150" s="95" cm="1">
        <f ca="1" t="array" ref="M150">(1+SUMPRODUCT(G150:H150,OFFSET($H$40:$I$40,D150,0)))*(1+OFFSET($J$40,D150,0))^I150*(1+OFFSET($K$40,D150,0))^J150*(1+OFFSET($L$40,D150,0))^K150*(1+OFFSET($M$40,D150,0))^L150</f>
        <v>11.7212146444086</v>
      </c>
      <c r="N150" s="95">
        <f ca="1">MAX(MAX($N$53:N149),OFFSET($C$52,MATCH(M150*1.07,$M$53:$M$2052,1),0)-C150)</f>
        <v>4680</v>
      </c>
    </row>
    <row r="151" spans="2:14">
      <c r="B151" s="95">
        <v>99</v>
      </c>
      <c r="C151" s="95">
        <f t="shared" si="19"/>
        <v>35640</v>
      </c>
      <c r="D151" s="95">
        <f ca="1">_xlfn.XLOOKUP(总览!$B$44,$B$40:$B$45,$C$40:$C$45)</f>
        <v>5</v>
      </c>
      <c r="E151" s="95">
        <f ca="1" t="shared" si="16"/>
        <v>129</v>
      </c>
      <c r="F151" s="95">
        <f ca="1" t="shared" si="17"/>
        <v>0</v>
      </c>
      <c r="G151" s="95">
        <f ca="1" t="shared" si="18"/>
        <v>9.07271357142857</v>
      </c>
      <c r="H151" s="95" cm="1">
        <f ca="1" t="array" ref="H151">MIN(30-SUM(I151:L151),_xlfn.XLOOKUP($D151&amp;"_"&amp;H$52,$B$14:$B$36&amp;"_"&amp;$C$14:$C$36,$D$14:$D$36)*$E151,18)</f>
        <v>18</v>
      </c>
      <c r="I151" s="95" cm="1">
        <f ca="1" t="array" ref="I151">MIN(30-SUM(J151:L151),6-L151,_xlfn.XLOOKUP($D151&amp;"_"&amp;I$52,$B$14:$B$36&amp;"_"&amp;$C$14:$C$36,$D$14:$D$36)*$E151)</f>
        <v>0.921336428571427</v>
      </c>
      <c r="J151" s="95" cm="1">
        <f ca="1" t="array" ref="J151">MIN(8,_xlfn.XLOOKUP($D151&amp;"_"&amp;J$52,$B$14:$B$36&amp;"_"&amp;$C$14:$C$36,$D$14:$D$36)*$E151)</f>
        <v>0.9675</v>
      </c>
      <c r="K151" s="95" cm="1">
        <f ca="1" t="array" ref="K151">MIN(18,_xlfn.XLOOKUP($D151&amp;"_"&amp;K$52,$B$14:$B$36&amp;"_"&amp;$C$14:$C$36,$D$14:$D$36)*$E151)</f>
        <v>0.3612</v>
      </c>
      <c r="L151" s="95" cm="1">
        <f ca="1" t="array" ref="L151">MIN(6,_xlfn.XLOOKUP($D151&amp;"_"&amp;L$52,$B$14:$B$36&amp;"_"&amp;$C$14:$C$36,$D$14:$D$36)*$E151)</f>
        <v>0.67725</v>
      </c>
      <c r="M151" s="95" cm="1">
        <f ca="1" t="array" ref="M151">(1+SUMPRODUCT(G151:H151,OFFSET($H$40:$I$40,D151,0)))*(1+OFFSET($J$40,D151,0))^I151*(1+OFFSET($K$40,D151,0))^J151*(1+OFFSET($L$40,D151,0))^K151*(1+OFFSET($M$40,D151,0))^L151</f>
        <v>11.781916828868</v>
      </c>
      <c r="N151" s="95">
        <f ca="1">MAX(MAX($N$53:N150),OFFSET($C$52,MATCH(M151*1.07,$M$53:$M$2052,1),0)-C151)</f>
        <v>4680</v>
      </c>
    </row>
    <row r="152" spans="2:14">
      <c r="B152" s="95">
        <v>100</v>
      </c>
      <c r="C152" s="95">
        <f t="shared" si="19"/>
        <v>36000</v>
      </c>
      <c r="D152" s="95">
        <f ca="1">_xlfn.XLOOKUP(总览!$B$44,$B$40:$B$45,$C$40:$C$45)</f>
        <v>5</v>
      </c>
      <c r="E152" s="95">
        <f ca="1" t="shared" si="16"/>
        <v>130</v>
      </c>
      <c r="F152" s="95">
        <f ca="1" t="shared" si="17"/>
        <v>0</v>
      </c>
      <c r="G152" s="95">
        <f ca="1" t="shared" si="18"/>
        <v>9.05002142857143</v>
      </c>
      <c r="H152" s="95" cm="1">
        <f ca="1" t="array" ref="H152">MIN(30-SUM(I152:L152),_xlfn.XLOOKUP($D152&amp;"_"&amp;H$52,$B$14:$B$36&amp;"_"&amp;$C$14:$C$36,$D$14:$D$36)*$E152,18)</f>
        <v>18</v>
      </c>
      <c r="I152" s="95" cm="1">
        <f ca="1" t="array" ref="I152">MIN(30-SUM(J152:L152),6-L152,_xlfn.XLOOKUP($D152&amp;"_"&amp;I$52,$B$14:$B$36&amp;"_"&amp;$C$14:$C$36,$D$14:$D$36)*$E152)</f>
        <v>0.92847857142857</v>
      </c>
      <c r="J152" s="95" cm="1">
        <f ca="1" t="array" ref="J152">MIN(8,_xlfn.XLOOKUP($D152&amp;"_"&amp;J$52,$B$14:$B$36&amp;"_"&amp;$C$14:$C$36,$D$14:$D$36)*$E152)</f>
        <v>0.975</v>
      </c>
      <c r="K152" s="95" cm="1">
        <f ca="1" t="array" ref="K152">MIN(18,_xlfn.XLOOKUP($D152&amp;"_"&amp;K$52,$B$14:$B$36&amp;"_"&amp;$C$14:$C$36,$D$14:$D$36)*$E152)</f>
        <v>0.364</v>
      </c>
      <c r="L152" s="95" cm="1">
        <f ca="1" t="array" ref="L152">MIN(6,_xlfn.XLOOKUP($D152&amp;"_"&amp;L$52,$B$14:$B$36&amp;"_"&amp;$C$14:$C$36,$D$14:$D$36)*$E152)</f>
        <v>0.6825</v>
      </c>
      <c r="M152" s="95" cm="1">
        <f ca="1" t="array" ref="M152">(1+SUMPRODUCT(G152:H152,OFFSET($H$40:$I$40,D152,0)))*(1+OFFSET($J$40,D152,0))^I152*(1+OFFSET($K$40,D152,0))^J152*(1+OFFSET($L$40,D152,0))^K152*(1+OFFSET($M$40,D152,0))^L152</f>
        <v>11.8429306660735</v>
      </c>
      <c r="N152" s="95">
        <f ca="1">MAX(MAX($N$53:N151),OFFSET($C$52,MATCH(M152*1.07,$M$53:$M$2052,1),0)-C152)</f>
        <v>4680</v>
      </c>
    </row>
    <row r="153" spans="2:14">
      <c r="B153" s="95">
        <v>101</v>
      </c>
      <c r="C153" s="95">
        <f t="shared" si="19"/>
        <v>36360</v>
      </c>
      <c r="D153" s="95">
        <f ca="1">_xlfn.XLOOKUP(总览!$B$44,$B$40:$B$45,$C$40:$C$45)</f>
        <v>5</v>
      </c>
      <c r="E153" s="95">
        <f ca="1" t="shared" si="16"/>
        <v>131</v>
      </c>
      <c r="F153" s="95">
        <f ca="1" t="shared" si="17"/>
        <v>0</v>
      </c>
      <c r="G153" s="95">
        <f ca="1" t="shared" si="18"/>
        <v>9.02732928571428</v>
      </c>
      <c r="H153" s="95" cm="1">
        <f ca="1" t="array" ref="H153">MIN(30-SUM(I153:L153),_xlfn.XLOOKUP($D153&amp;"_"&amp;H$52,$B$14:$B$36&amp;"_"&amp;$C$14:$C$36,$D$14:$D$36)*$E153,18)</f>
        <v>18</v>
      </c>
      <c r="I153" s="95" cm="1">
        <f ca="1" t="array" ref="I153">MIN(30-SUM(J153:L153),6-L153,_xlfn.XLOOKUP($D153&amp;"_"&amp;I$52,$B$14:$B$36&amp;"_"&amp;$C$14:$C$36,$D$14:$D$36)*$E153)</f>
        <v>0.935620714285712</v>
      </c>
      <c r="J153" s="95" cm="1">
        <f ca="1" t="array" ref="J153">MIN(8,_xlfn.XLOOKUP($D153&amp;"_"&amp;J$52,$B$14:$B$36&amp;"_"&amp;$C$14:$C$36,$D$14:$D$36)*$E153)</f>
        <v>0.9825</v>
      </c>
      <c r="K153" s="95" cm="1">
        <f ca="1" t="array" ref="K153">MIN(18,_xlfn.XLOOKUP($D153&amp;"_"&amp;K$52,$B$14:$B$36&amp;"_"&amp;$C$14:$C$36,$D$14:$D$36)*$E153)</f>
        <v>0.3668</v>
      </c>
      <c r="L153" s="95" cm="1">
        <f ca="1" t="array" ref="L153">MIN(6,_xlfn.XLOOKUP($D153&amp;"_"&amp;L$52,$B$14:$B$36&amp;"_"&amp;$C$14:$C$36,$D$14:$D$36)*$E153)</f>
        <v>0.68775</v>
      </c>
      <c r="M153" s="95" cm="1">
        <f ca="1" t="array" ref="M153">(1+SUMPRODUCT(G153:H153,OFFSET($H$40:$I$40,D153,0)))*(1+OFFSET($J$40,D153,0))^I153*(1+OFFSET($K$40,D153,0))^J153*(1+OFFSET($L$40,D153,0))^K153*(1+OFFSET($M$40,D153,0))^L153</f>
        <v>11.9042577393041</v>
      </c>
      <c r="N153" s="95">
        <f ca="1">MAX(MAX($N$53:N152),OFFSET($C$52,MATCH(M153*1.07,$M$53:$M$2052,1),0)-C153)</f>
        <v>4680</v>
      </c>
    </row>
    <row r="154" spans="2:14">
      <c r="B154" s="95">
        <v>102</v>
      </c>
      <c r="C154" s="95">
        <f t="shared" si="19"/>
        <v>36720</v>
      </c>
      <c r="D154" s="95">
        <f ca="1">_xlfn.XLOOKUP(总览!$B$44,$B$40:$B$45,$C$40:$C$45)</f>
        <v>5</v>
      </c>
      <c r="E154" s="95">
        <f ca="1" t="shared" si="16"/>
        <v>132</v>
      </c>
      <c r="F154" s="95">
        <f ca="1" t="shared" si="17"/>
        <v>0</v>
      </c>
      <c r="G154" s="95">
        <f ca="1" t="shared" si="18"/>
        <v>9.00463714285715</v>
      </c>
      <c r="H154" s="95" cm="1">
        <f ca="1" t="array" ref="H154">MIN(30-SUM(I154:L154),_xlfn.XLOOKUP($D154&amp;"_"&amp;H$52,$B$14:$B$36&amp;"_"&amp;$C$14:$C$36,$D$14:$D$36)*$E154,18)</f>
        <v>18</v>
      </c>
      <c r="I154" s="95" cm="1">
        <f ca="1" t="array" ref="I154">MIN(30-SUM(J154:L154),6-L154,_xlfn.XLOOKUP($D154&amp;"_"&amp;I$52,$B$14:$B$36&amp;"_"&amp;$C$14:$C$36,$D$14:$D$36)*$E154)</f>
        <v>0.942762857142855</v>
      </c>
      <c r="J154" s="95" cm="1">
        <f ca="1" t="array" ref="J154">MIN(8,_xlfn.XLOOKUP($D154&amp;"_"&amp;J$52,$B$14:$B$36&amp;"_"&amp;$C$14:$C$36,$D$14:$D$36)*$E154)</f>
        <v>0.99</v>
      </c>
      <c r="K154" s="95" cm="1">
        <f ca="1" t="array" ref="K154">MIN(18,_xlfn.XLOOKUP($D154&amp;"_"&amp;K$52,$B$14:$B$36&amp;"_"&amp;$C$14:$C$36,$D$14:$D$36)*$E154)</f>
        <v>0.3696</v>
      </c>
      <c r="L154" s="95" cm="1">
        <f ca="1" t="array" ref="L154">MIN(6,_xlfn.XLOOKUP($D154&amp;"_"&amp;L$52,$B$14:$B$36&amp;"_"&amp;$C$14:$C$36,$D$14:$D$36)*$E154)</f>
        <v>0.693</v>
      </c>
      <c r="M154" s="95" cm="1">
        <f ca="1" t="array" ref="M154">(1+SUMPRODUCT(G154:H154,OFFSET($H$40:$I$40,D154,0)))*(1+OFFSET($J$40,D154,0))^I154*(1+OFFSET($K$40,D154,0))^J154*(1+OFFSET($L$40,D154,0))^K154*(1+OFFSET($M$40,D154,0))^L154</f>
        <v>11.9658996397776</v>
      </c>
      <c r="N154" s="95">
        <f ca="1">MAX(MAX($N$53:N153),OFFSET($C$52,MATCH(M154*1.07,$M$53:$M$2052,1),0)-C154)</f>
        <v>4680</v>
      </c>
    </row>
    <row r="155" spans="2:14">
      <c r="B155" s="95">
        <v>103</v>
      </c>
      <c r="C155" s="95">
        <f t="shared" si="19"/>
        <v>37080</v>
      </c>
      <c r="D155" s="95">
        <f ca="1">_xlfn.XLOOKUP(总览!$B$44,$B$40:$B$45,$C$40:$C$45)</f>
        <v>5</v>
      </c>
      <c r="E155" s="95">
        <f ca="1" t="shared" si="16"/>
        <v>133</v>
      </c>
      <c r="F155" s="95">
        <f ca="1" t="shared" si="17"/>
        <v>0</v>
      </c>
      <c r="G155" s="95">
        <f ca="1" t="shared" si="18"/>
        <v>8.981945</v>
      </c>
      <c r="H155" s="95" cm="1">
        <f ca="1" t="array" ref="H155">MIN(30-SUM(I155:L155),_xlfn.XLOOKUP($D155&amp;"_"&amp;H$52,$B$14:$B$36&amp;"_"&amp;$C$14:$C$36,$D$14:$D$36)*$E155,18)</f>
        <v>18</v>
      </c>
      <c r="I155" s="95" cm="1">
        <f ca="1" t="array" ref="I155">MIN(30-SUM(J155:L155),6-L155,_xlfn.XLOOKUP($D155&amp;"_"&amp;I$52,$B$14:$B$36&amp;"_"&amp;$C$14:$C$36,$D$14:$D$36)*$E155)</f>
        <v>0.949904999999998</v>
      </c>
      <c r="J155" s="95" cm="1">
        <f ca="1" t="array" ref="J155">MIN(8,_xlfn.XLOOKUP($D155&amp;"_"&amp;J$52,$B$14:$B$36&amp;"_"&amp;$C$14:$C$36,$D$14:$D$36)*$E155)</f>
        <v>0.9975</v>
      </c>
      <c r="K155" s="95" cm="1">
        <f ca="1" t="array" ref="K155">MIN(18,_xlfn.XLOOKUP($D155&amp;"_"&amp;K$52,$B$14:$B$36&amp;"_"&amp;$C$14:$C$36,$D$14:$D$36)*$E155)</f>
        <v>0.3724</v>
      </c>
      <c r="L155" s="95" cm="1">
        <f ca="1" t="array" ref="L155">MIN(6,_xlfn.XLOOKUP($D155&amp;"_"&amp;L$52,$B$14:$B$36&amp;"_"&amp;$C$14:$C$36,$D$14:$D$36)*$E155)</f>
        <v>0.69825</v>
      </c>
      <c r="M155" s="95" cm="1">
        <f ca="1" t="array" ref="M155">(1+SUMPRODUCT(G155:H155,OFFSET($H$40:$I$40,D155,0)))*(1+OFFSET($J$40,D155,0))^I155*(1+OFFSET($K$40,D155,0))^J155*(1+OFFSET($L$40,D155,0))^K155*(1+OFFSET($M$40,D155,0))^L155</f>
        <v>12.0278579666898</v>
      </c>
      <c r="N155" s="95">
        <f ca="1">MAX(MAX($N$53:N154),OFFSET($C$52,MATCH(M155*1.07,$M$53:$M$2052,1),0)-C155)</f>
        <v>4680</v>
      </c>
    </row>
    <row r="156" spans="2:14">
      <c r="B156" s="95">
        <v>104</v>
      </c>
      <c r="C156" s="95">
        <f t="shared" si="19"/>
        <v>37440</v>
      </c>
      <c r="D156" s="95">
        <f ca="1">_xlfn.XLOOKUP(总览!$B$44,$B$40:$B$45,$C$40:$C$45)</f>
        <v>5</v>
      </c>
      <c r="E156" s="95">
        <f ca="1" t="shared" si="16"/>
        <v>134</v>
      </c>
      <c r="F156" s="95">
        <f ca="1" t="shared" si="17"/>
        <v>0</v>
      </c>
      <c r="G156" s="95">
        <f ca="1" t="shared" si="18"/>
        <v>8.95925285714286</v>
      </c>
      <c r="H156" s="95" cm="1">
        <f ca="1" t="array" ref="H156">MIN(30-SUM(I156:L156),_xlfn.XLOOKUP($D156&amp;"_"&amp;H$52,$B$14:$B$36&amp;"_"&amp;$C$14:$C$36,$D$14:$D$36)*$E156,18)</f>
        <v>18</v>
      </c>
      <c r="I156" s="95" cm="1">
        <f ca="1" t="array" ref="I156">MIN(30-SUM(J156:L156),6-L156,_xlfn.XLOOKUP($D156&amp;"_"&amp;I$52,$B$14:$B$36&amp;"_"&amp;$C$14:$C$36,$D$14:$D$36)*$E156)</f>
        <v>0.957047142857141</v>
      </c>
      <c r="J156" s="95" cm="1">
        <f ca="1" t="array" ref="J156">MIN(8,_xlfn.XLOOKUP($D156&amp;"_"&amp;J$52,$B$14:$B$36&amp;"_"&amp;$C$14:$C$36,$D$14:$D$36)*$E156)</f>
        <v>1.005</v>
      </c>
      <c r="K156" s="95" cm="1">
        <f ca="1" t="array" ref="K156">MIN(18,_xlfn.XLOOKUP($D156&amp;"_"&amp;K$52,$B$14:$B$36&amp;"_"&amp;$C$14:$C$36,$D$14:$D$36)*$E156)</f>
        <v>0.3752</v>
      </c>
      <c r="L156" s="95" cm="1">
        <f ca="1" t="array" ref="L156">MIN(6,_xlfn.XLOOKUP($D156&amp;"_"&amp;L$52,$B$14:$B$36&amp;"_"&amp;$C$14:$C$36,$D$14:$D$36)*$E156)</f>
        <v>0.7035</v>
      </c>
      <c r="M156" s="95" cm="1">
        <f ca="1" t="array" ref="M156">(1+SUMPRODUCT(G156:H156,OFFSET($H$40:$I$40,D156,0)))*(1+OFFSET($J$40,D156,0))^I156*(1+OFFSET($K$40,D156,0))^J156*(1+OFFSET($L$40,D156,0))^K156*(1+OFFSET($M$40,D156,0))^L156</f>
        <v>12.0901343272536</v>
      </c>
      <c r="N156" s="95">
        <f ca="1">MAX(MAX($N$53:N155),OFFSET($C$52,MATCH(M156*1.07,$M$53:$M$2052,1),0)-C156)</f>
        <v>4680</v>
      </c>
    </row>
    <row r="157" spans="2:14">
      <c r="B157" s="95">
        <v>105</v>
      </c>
      <c r="C157" s="95">
        <f t="shared" si="19"/>
        <v>37800</v>
      </c>
      <c r="D157" s="95">
        <f ca="1">_xlfn.XLOOKUP(总览!$B$44,$B$40:$B$45,$C$40:$C$45)</f>
        <v>5</v>
      </c>
      <c r="E157" s="95">
        <f ca="1" t="shared" si="16"/>
        <v>135</v>
      </c>
      <c r="F157" s="95">
        <f ca="1" t="shared" si="17"/>
        <v>0</v>
      </c>
      <c r="G157" s="95">
        <f ca="1" t="shared" si="18"/>
        <v>8.93656071428572</v>
      </c>
      <c r="H157" s="95" cm="1">
        <f ca="1" t="array" ref="H157">MIN(30-SUM(I157:L157),_xlfn.XLOOKUP($D157&amp;"_"&amp;H$52,$B$14:$B$36&amp;"_"&amp;$C$14:$C$36,$D$14:$D$36)*$E157,18)</f>
        <v>18</v>
      </c>
      <c r="I157" s="95" cm="1">
        <f ca="1" t="array" ref="I157">MIN(30-SUM(J157:L157),6-L157,_xlfn.XLOOKUP($D157&amp;"_"&amp;I$52,$B$14:$B$36&amp;"_"&amp;$C$14:$C$36,$D$14:$D$36)*$E157)</f>
        <v>0.964189285714284</v>
      </c>
      <c r="J157" s="95" cm="1">
        <f ca="1" t="array" ref="J157">MIN(8,_xlfn.XLOOKUP($D157&amp;"_"&amp;J$52,$B$14:$B$36&amp;"_"&amp;$C$14:$C$36,$D$14:$D$36)*$E157)</f>
        <v>1.0125</v>
      </c>
      <c r="K157" s="95" cm="1">
        <f ca="1" t="array" ref="K157">MIN(18,_xlfn.XLOOKUP($D157&amp;"_"&amp;K$52,$B$14:$B$36&amp;"_"&amp;$C$14:$C$36,$D$14:$D$36)*$E157)</f>
        <v>0.378</v>
      </c>
      <c r="L157" s="95" cm="1">
        <f ca="1" t="array" ref="L157">MIN(6,_xlfn.XLOOKUP($D157&amp;"_"&amp;L$52,$B$14:$B$36&amp;"_"&amp;$C$14:$C$36,$D$14:$D$36)*$E157)</f>
        <v>0.70875</v>
      </c>
      <c r="M157" s="95" cm="1">
        <f ca="1" t="array" ref="M157">(1+SUMPRODUCT(G157:H157,OFFSET($H$40:$I$40,D157,0)))*(1+OFFSET($J$40,D157,0))^I157*(1+OFFSET($K$40,D157,0))^J157*(1+OFFSET($L$40,D157,0))^K157*(1+OFFSET($M$40,D157,0))^L157</f>
        <v>12.1527303367388</v>
      </c>
      <c r="N157" s="95">
        <f ca="1">MAX(MAX($N$53:N156),OFFSET($C$52,MATCH(M157*1.07,$M$53:$M$2052,1),0)-C157)</f>
        <v>4680</v>
      </c>
    </row>
    <row r="158" spans="2:14">
      <c r="B158" s="95">
        <v>106</v>
      </c>
      <c r="C158" s="95">
        <f t="shared" si="19"/>
        <v>38160</v>
      </c>
      <c r="D158" s="95">
        <f ca="1">_xlfn.XLOOKUP(总览!$B$44,$B$40:$B$45,$C$40:$C$45)</f>
        <v>5</v>
      </c>
      <c r="E158" s="95">
        <f ca="1" t="shared" si="16"/>
        <v>136</v>
      </c>
      <c r="F158" s="95">
        <f ca="1" t="shared" si="17"/>
        <v>0</v>
      </c>
      <c r="G158" s="95">
        <f ca="1" t="shared" si="18"/>
        <v>8.91386857142857</v>
      </c>
      <c r="H158" s="95" cm="1">
        <f ca="1" t="array" ref="H158">MIN(30-SUM(I158:L158),_xlfn.XLOOKUP($D158&amp;"_"&amp;H$52,$B$14:$B$36&amp;"_"&amp;$C$14:$C$36,$D$14:$D$36)*$E158,18)</f>
        <v>18</v>
      </c>
      <c r="I158" s="95" cm="1">
        <f ca="1" t="array" ref="I158">MIN(30-SUM(J158:L158),6-L158,_xlfn.XLOOKUP($D158&amp;"_"&amp;I$52,$B$14:$B$36&amp;"_"&amp;$C$14:$C$36,$D$14:$D$36)*$E158)</f>
        <v>0.971331428571427</v>
      </c>
      <c r="J158" s="95" cm="1">
        <f ca="1" t="array" ref="J158">MIN(8,_xlfn.XLOOKUP($D158&amp;"_"&amp;J$52,$B$14:$B$36&amp;"_"&amp;$C$14:$C$36,$D$14:$D$36)*$E158)</f>
        <v>1.02</v>
      </c>
      <c r="K158" s="95" cm="1">
        <f ca="1" t="array" ref="K158">MIN(18,_xlfn.XLOOKUP($D158&amp;"_"&amp;K$52,$B$14:$B$36&amp;"_"&amp;$C$14:$C$36,$D$14:$D$36)*$E158)</f>
        <v>0.3808</v>
      </c>
      <c r="L158" s="95" cm="1">
        <f ca="1" t="array" ref="L158">MIN(6,_xlfn.XLOOKUP($D158&amp;"_"&amp;L$52,$B$14:$B$36&amp;"_"&amp;$C$14:$C$36,$D$14:$D$36)*$E158)</f>
        <v>0.714</v>
      </c>
      <c r="M158" s="95" cm="1">
        <f ca="1" t="array" ref="M158">(1+SUMPRODUCT(G158:H158,OFFSET($H$40:$I$40,D158,0)))*(1+OFFSET($J$40,D158,0))^I158*(1+OFFSET($K$40,D158,0))^J158*(1+OFFSET($L$40,D158,0))^K158*(1+OFFSET($M$40,D158,0))^L158</f>
        <v>12.2156476185115</v>
      </c>
      <c r="N158" s="95">
        <f ca="1">MAX(MAX($N$53:N157),OFFSET($C$52,MATCH(M158*1.07,$M$53:$M$2052,1),0)-C158)</f>
        <v>4680</v>
      </c>
    </row>
    <row r="159" spans="2:14">
      <c r="B159" s="95">
        <v>107</v>
      </c>
      <c r="C159" s="95">
        <f t="shared" si="19"/>
        <v>38520</v>
      </c>
      <c r="D159" s="95">
        <f ca="1">_xlfn.XLOOKUP(总览!$B$44,$B$40:$B$45,$C$40:$C$45)</f>
        <v>5</v>
      </c>
      <c r="E159" s="95">
        <f ca="1" t="shared" si="16"/>
        <v>137</v>
      </c>
      <c r="F159" s="95">
        <f ca="1" t="shared" si="17"/>
        <v>0</v>
      </c>
      <c r="G159" s="95">
        <f ca="1" t="shared" si="18"/>
        <v>8.89117642857143</v>
      </c>
      <c r="H159" s="95" cm="1">
        <f ca="1" t="array" ref="H159">MIN(30-SUM(I159:L159),_xlfn.XLOOKUP($D159&amp;"_"&amp;H$52,$B$14:$B$36&amp;"_"&amp;$C$14:$C$36,$D$14:$D$36)*$E159,18)</f>
        <v>18</v>
      </c>
      <c r="I159" s="95" cm="1">
        <f ca="1" t="array" ref="I159">MIN(30-SUM(J159:L159),6-L159,_xlfn.XLOOKUP($D159&amp;"_"&amp;I$52,$B$14:$B$36&amp;"_"&amp;$C$14:$C$36,$D$14:$D$36)*$E159)</f>
        <v>0.978473571428569</v>
      </c>
      <c r="J159" s="95" cm="1">
        <f ca="1" t="array" ref="J159">MIN(8,_xlfn.XLOOKUP($D159&amp;"_"&amp;J$52,$B$14:$B$36&amp;"_"&amp;$C$14:$C$36,$D$14:$D$36)*$E159)</f>
        <v>1.0275</v>
      </c>
      <c r="K159" s="95" cm="1">
        <f ca="1" t="array" ref="K159">MIN(18,_xlfn.XLOOKUP($D159&amp;"_"&amp;K$52,$B$14:$B$36&amp;"_"&amp;$C$14:$C$36,$D$14:$D$36)*$E159)</f>
        <v>0.3836</v>
      </c>
      <c r="L159" s="95" cm="1">
        <f ca="1" t="array" ref="L159">MIN(6,_xlfn.XLOOKUP($D159&amp;"_"&amp;L$52,$B$14:$B$36&amp;"_"&amp;$C$14:$C$36,$D$14:$D$36)*$E159)</f>
        <v>0.71925</v>
      </c>
      <c r="M159" s="95" cm="1">
        <f ca="1" t="array" ref="M159">(1+SUMPRODUCT(G159:H159,OFFSET($H$40:$I$40,D159,0)))*(1+OFFSET($J$40,D159,0))^I159*(1+OFFSET($K$40,D159,0))^J159*(1+OFFSET($L$40,D159,0))^K159*(1+OFFSET($M$40,D159,0))^L159</f>
        <v>12.2788878040742</v>
      </c>
      <c r="N159" s="95">
        <f ca="1">MAX(MAX($N$53:N158),OFFSET($C$52,MATCH(M159*1.07,$M$53:$M$2052,1),0)-C159)</f>
        <v>4680</v>
      </c>
    </row>
    <row r="160" spans="2:14">
      <c r="B160" s="95">
        <v>108</v>
      </c>
      <c r="C160" s="95">
        <f t="shared" si="19"/>
        <v>38880</v>
      </c>
      <c r="D160" s="95">
        <f ca="1">_xlfn.XLOOKUP(总览!$B$44,$B$40:$B$45,$C$40:$C$45)</f>
        <v>5</v>
      </c>
      <c r="E160" s="95">
        <f ca="1" t="shared" si="16"/>
        <v>138</v>
      </c>
      <c r="F160" s="95">
        <f ca="1" t="shared" si="17"/>
        <v>0</v>
      </c>
      <c r="G160" s="95">
        <f ca="1" t="shared" si="18"/>
        <v>8.86848428571429</v>
      </c>
      <c r="H160" s="95" cm="1">
        <f ca="1" t="array" ref="H160">MIN(30-SUM(I160:L160),_xlfn.XLOOKUP($D160&amp;"_"&amp;H$52,$B$14:$B$36&amp;"_"&amp;$C$14:$C$36,$D$14:$D$36)*$E160,18)</f>
        <v>18</v>
      </c>
      <c r="I160" s="95" cm="1">
        <f ca="1" t="array" ref="I160">MIN(30-SUM(J160:L160),6-L160,_xlfn.XLOOKUP($D160&amp;"_"&amp;I$52,$B$14:$B$36&amp;"_"&amp;$C$14:$C$36,$D$14:$D$36)*$E160)</f>
        <v>0.985615714285712</v>
      </c>
      <c r="J160" s="95" cm="1">
        <f ca="1" t="array" ref="J160">MIN(8,_xlfn.XLOOKUP($D160&amp;"_"&amp;J$52,$B$14:$B$36&amp;"_"&amp;$C$14:$C$36,$D$14:$D$36)*$E160)</f>
        <v>1.035</v>
      </c>
      <c r="K160" s="95" cm="1">
        <f ca="1" t="array" ref="K160">MIN(18,_xlfn.XLOOKUP($D160&amp;"_"&amp;K$52,$B$14:$B$36&amp;"_"&amp;$C$14:$C$36,$D$14:$D$36)*$E160)</f>
        <v>0.3864</v>
      </c>
      <c r="L160" s="95" cm="1">
        <f ca="1" t="array" ref="L160">MIN(6,_xlfn.XLOOKUP($D160&amp;"_"&amp;L$52,$B$14:$B$36&amp;"_"&amp;$C$14:$C$36,$D$14:$D$36)*$E160)</f>
        <v>0.7245</v>
      </c>
      <c r="M160" s="95" cm="1">
        <f ca="1" t="array" ref="M160">(1+SUMPRODUCT(G160:H160,OFFSET($H$40:$I$40,D160,0)))*(1+OFFSET($J$40,D160,0))^I160*(1+OFFSET($K$40,D160,0))^J160*(1+OFFSET($L$40,D160,0))^K160*(1+OFFSET($M$40,D160,0))^L160</f>
        <v>12.3424525331058</v>
      </c>
      <c r="N160" s="95">
        <f ca="1">MAX(MAX($N$53:N159),OFFSET($C$52,MATCH(M160*1.07,$M$53:$M$2052,1),0)-C160)</f>
        <v>4680</v>
      </c>
    </row>
    <row r="161" spans="2:14">
      <c r="B161" s="95">
        <v>109</v>
      </c>
      <c r="C161" s="95">
        <f t="shared" si="19"/>
        <v>39240</v>
      </c>
      <c r="D161" s="95">
        <f ca="1">_xlfn.XLOOKUP(总览!$B$44,$B$40:$B$45,$C$40:$C$45)</f>
        <v>5</v>
      </c>
      <c r="E161" s="95">
        <f ca="1" t="shared" si="16"/>
        <v>139</v>
      </c>
      <c r="F161" s="95">
        <f ca="1" t="shared" si="17"/>
        <v>0</v>
      </c>
      <c r="G161" s="95">
        <f ca="1" t="shared" si="18"/>
        <v>8.84579214285715</v>
      </c>
      <c r="H161" s="95" cm="1">
        <f ca="1" t="array" ref="H161">MIN(30-SUM(I161:L161),_xlfn.XLOOKUP($D161&amp;"_"&amp;H$52,$B$14:$B$36&amp;"_"&amp;$C$14:$C$36,$D$14:$D$36)*$E161,18)</f>
        <v>18</v>
      </c>
      <c r="I161" s="95" cm="1">
        <f ca="1" t="array" ref="I161">MIN(30-SUM(J161:L161),6-L161,_xlfn.XLOOKUP($D161&amp;"_"&amp;I$52,$B$14:$B$36&amp;"_"&amp;$C$14:$C$36,$D$14:$D$36)*$E161)</f>
        <v>0.992757857142855</v>
      </c>
      <c r="J161" s="95" cm="1">
        <f ca="1" t="array" ref="J161">MIN(8,_xlfn.XLOOKUP($D161&amp;"_"&amp;J$52,$B$14:$B$36&amp;"_"&amp;$C$14:$C$36,$D$14:$D$36)*$E161)</f>
        <v>1.0425</v>
      </c>
      <c r="K161" s="95" cm="1">
        <f ca="1" t="array" ref="K161">MIN(18,_xlfn.XLOOKUP($D161&amp;"_"&amp;K$52,$B$14:$B$36&amp;"_"&amp;$C$14:$C$36,$D$14:$D$36)*$E161)</f>
        <v>0.3892</v>
      </c>
      <c r="L161" s="95" cm="1">
        <f ca="1" t="array" ref="L161">MIN(6,_xlfn.XLOOKUP($D161&amp;"_"&amp;L$52,$B$14:$B$36&amp;"_"&amp;$C$14:$C$36,$D$14:$D$36)*$E161)</f>
        <v>0.72975</v>
      </c>
      <c r="M161" s="95" cm="1">
        <f ca="1" t="array" ref="M161">(1+SUMPRODUCT(G161:H161,OFFSET($H$40:$I$40,D161,0)))*(1+OFFSET($J$40,D161,0))^I161*(1+OFFSET($K$40,D161,0))^J161*(1+OFFSET($L$40,D161,0))^K161*(1+OFFSET($M$40,D161,0))^L161</f>
        <v>12.4063434535022</v>
      </c>
      <c r="N161" s="95">
        <f ca="1">MAX(MAX($N$53:N160),OFFSET($C$52,MATCH(M161*1.07,$M$53:$M$2052,1),0)-C161)</f>
        <v>4680</v>
      </c>
    </row>
    <row r="162" spans="2:14">
      <c r="B162" s="95">
        <v>110</v>
      </c>
      <c r="C162" s="95">
        <f t="shared" si="19"/>
        <v>39600</v>
      </c>
      <c r="D162" s="95">
        <f ca="1">_xlfn.XLOOKUP(总览!$B$44,$B$40:$B$45,$C$40:$C$45)</f>
        <v>5</v>
      </c>
      <c r="E162" s="95">
        <f ca="1" t="shared" si="16"/>
        <v>140</v>
      </c>
      <c r="F162" s="95">
        <f ca="1" t="shared" si="17"/>
        <v>0</v>
      </c>
      <c r="G162" s="95">
        <f ca="1" t="shared" si="18"/>
        <v>8.8231</v>
      </c>
      <c r="H162" s="95" cm="1">
        <f ca="1" t="array" ref="H162">MIN(30-SUM(I162:L162),_xlfn.XLOOKUP($D162&amp;"_"&amp;H$52,$B$14:$B$36&amp;"_"&amp;$C$14:$C$36,$D$14:$D$36)*$E162,18)</f>
        <v>18</v>
      </c>
      <c r="I162" s="95" cm="1">
        <f ca="1" t="array" ref="I162">MIN(30-SUM(J162:L162),6-L162,_xlfn.XLOOKUP($D162&amp;"_"&amp;I$52,$B$14:$B$36&amp;"_"&amp;$C$14:$C$36,$D$14:$D$36)*$E162)</f>
        <v>0.999899999999998</v>
      </c>
      <c r="J162" s="95" cm="1">
        <f ca="1" t="array" ref="J162">MIN(8,_xlfn.XLOOKUP($D162&amp;"_"&amp;J$52,$B$14:$B$36&amp;"_"&amp;$C$14:$C$36,$D$14:$D$36)*$E162)</f>
        <v>1.05</v>
      </c>
      <c r="K162" s="95" cm="1">
        <f ca="1" t="array" ref="K162">MIN(18,_xlfn.XLOOKUP($D162&amp;"_"&amp;K$52,$B$14:$B$36&amp;"_"&amp;$C$14:$C$36,$D$14:$D$36)*$E162)</f>
        <v>0.392</v>
      </c>
      <c r="L162" s="95" cm="1">
        <f ca="1" t="array" ref="L162">MIN(6,_xlfn.XLOOKUP($D162&amp;"_"&amp;L$52,$B$14:$B$36&amp;"_"&amp;$C$14:$C$36,$D$14:$D$36)*$E162)</f>
        <v>0.735</v>
      </c>
      <c r="M162" s="95" cm="1">
        <f ca="1" t="array" ref="M162">(1+SUMPRODUCT(G162:H162,OFFSET($H$40:$I$40,D162,0)))*(1+OFFSET($J$40,D162,0))^I162*(1+OFFSET($K$40,D162,0))^J162*(1+OFFSET($L$40,D162,0))^K162*(1+OFFSET($M$40,D162,0))^L162</f>
        <v>12.4705622214163</v>
      </c>
      <c r="N162" s="95">
        <f ca="1">MAX(MAX($N$53:N161),OFFSET($C$52,MATCH(M162*1.07,$M$53:$M$2052,1),0)-C162)</f>
        <v>4680</v>
      </c>
    </row>
    <row r="163" spans="2:14">
      <c r="B163" s="95">
        <v>111</v>
      </c>
      <c r="C163" s="95">
        <f t="shared" si="19"/>
        <v>39960</v>
      </c>
      <c r="D163" s="95">
        <f ca="1">_xlfn.XLOOKUP(总览!$B$44,$B$40:$B$45,$C$40:$C$45)</f>
        <v>5</v>
      </c>
      <c r="E163" s="95">
        <f ca="1" t="shared" si="16"/>
        <v>141</v>
      </c>
      <c r="F163" s="95">
        <f ca="1" t="shared" si="17"/>
        <v>0</v>
      </c>
      <c r="G163" s="95">
        <f ca="1" t="shared" si="18"/>
        <v>8.80040785714286</v>
      </c>
      <c r="H163" s="95" cm="1">
        <f ca="1" t="array" ref="H163">MIN(30-SUM(I163:L163),_xlfn.XLOOKUP($D163&amp;"_"&amp;H$52,$B$14:$B$36&amp;"_"&amp;$C$14:$C$36,$D$14:$D$36)*$E163,18)</f>
        <v>18</v>
      </c>
      <c r="I163" s="95" cm="1">
        <f ca="1" t="array" ref="I163">MIN(30-SUM(J163:L163),6-L163,_xlfn.XLOOKUP($D163&amp;"_"&amp;I$52,$B$14:$B$36&amp;"_"&amp;$C$14:$C$36,$D$14:$D$36)*$E163)</f>
        <v>1.00704214285714</v>
      </c>
      <c r="J163" s="95" cm="1">
        <f ca="1" t="array" ref="J163">MIN(8,_xlfn.XLOOKUP($D163&amp;"_"&amp;J$52,$B$14:$B$36&amp;"_"&amp;$C$14:$C$36,$D$14:$D$36)*$E163)</f>
        <v>1.0575</v>
      </c>
      <c r="K163" s="95" cm="1">
        <f ca="1" t="array" ref="K163">MIN(18,_xlfn.XLOOKUP($D163&amp;"_"&amp;K$52,$B$14:$B$36&amp;"_"&amp;$C$14:$C$36,$D$14:$D$36)*$E163)</f>
        <v>0.3948</v>
      </c>
      <c r="L163" s="95" cm="1">
        <f ca="1" t="array" ref="L163">MIN(6,_xlfn.XLOOKUP($D163&amp;"_"&amp;L$52,$B$14:$B$36&amp;"_"&amp;$C$14:$C$36,$D$14:$D$36)*$E163)</f>
        <v>0.74025</v>
      </c>
      <c r="M163" s="95" cm="1">
        <f ca="1" t="array" ref="M163">(1+SUMPRODUCT(G163:H163,OFFSET($H$40:$I$40,D163,0)))*(1+OFFSET($J$40,D163,0))^I163*(1+OFFSET($K$40,D163,0))^J163*(1+OFFSET($L$40,D163,0))^K163*(1+OFFSET($M$40,D163,0))^L163</f>
        <v>12.535110501299</v>
      </c>
      <c r="N163" s="95">
        <f ca="1">MAX(MAX($N$53:N162),OFFSET($C$52,MATCH(M163*1.07,$M$53:$M$2052,1),0)-C163)</f>
        <v>4680</v>
      </c>
    </row>
    <row r="164" spans="2:14">
      <c r="B164" s="95">
        <v>112</v>
      </c>
      <c r="C164" s="95">
        <f t="shared" si="19"/>
        <v>40320</v>
      </c>
      <c r="D164" s="95">
        <f ca="1">_xlfn.XLOOKUP(总览!$B$44,$B$40:$B$45,$C$40:$C$45)</f>
        <v>5</v>
      </c>
      <c r="E164" s="95">
        <f ca="1" t="shared" si="16"/>
        <v>142</v>
      </c>
      <c r="F164" s="95">
        <f ca="1" t="shared" si="17"/>
        <v>0</v>
      </c>
      <c r="G164" s="95">
        <f ca="1" t="shared" si="18"/>
        <v>8.77771571428572</v>
      </c>
      <c r="H164" s="95" cm="1">
        <f ca="1" t="array" ref="H164">MIN(30-SUM(I164:L164),_xlfn.XLOOKUP($D164&amp;"_"&amp;H$52,$B$14:$B$36&amp;"_"&amp;$C$14:$C$36,$D$14:$D$36)*$E164,18)</f>
        <v>18</v>
      </c>
      <c r="I164" s="95" cm="1">
        <f ca="1" t="array" ref="I164">MIN(30-SUM(J164:L164),6-L164,_xlfn.XLOOKUP($D164&amp;"_"&amp;I$52,$B$14:$B$36&amp;"_"&amp;$C$14:$C$36,$D$14:$D$36)*$E164)</f>
        <v>1.01418428571428</v>
      </c>
      <c r="J164" s="95" cm="1">
        <f ca="1" t="array" ref="J164">MIN(8,_xlfn.XLOOKUP($D164&amp;"_"&amp;J$52,$B$14:$B$36&amp;"_"&amp;$C$14:$C$36,$D$14:$D$36)*$E164)</f>
        <v>1.065</v>
      </c>
      <c r="K164" s="95" cm="1">
        <f ca="1" t="array" ref="K164">MIN(18,_xlfn.XLOOKUP($D164&amp;"_"&amp;K$52,$B$14:$B$36&amp;"_"&amp;$C$14:$C$36,$D$14:$D$36)*$E164)</f>
        <v>0.3976</v>
      </c>
      <c r="L164" s="95" cm="1">
        <f ca="1" t="array" ref="L164">MIN(6,_xlfn.XLOOKUP($D164&amp;"_"&amp;L$52,$B$14:$B$36&amp;"_"&amp;$C$14:$C$36,$D$14:$D$36)*$E164)</f>
        <v>0.7455</v>
      </c>
      <c r="M164" s="95" cm="1">
        <f ca="1" t="array" ref="M164">(1+SUMPRODUCT(G164:H164,OFFSET($H$40:$I$40,D164,0)))*(1+OFFSET($J$40,D164,0))^I164*(1+OFFSET($K$40,D164,0))^J164*(1+OFFSET($L$40,D164,0))^K164*(1+OFFSET($M$40,D164,0))^L164</f>
        <v>12.59998996594</v>
      </c>
      <c r="N164" s="95">
        <f ca="1">MAX(MAX($N$53:N163),OFFSET($C$52,MATCH(M164*1.07,$M$53:$M$2052,1),0)-C164)</f>
        <v>4680</v>
      </c>
    </row>
    <row r="165" spans="2:14">
      <c r="B165" s="95">
        <v>113</v>
      </c>
      <c r="C165" s="95">
        <f t="shared" si="19"/>
        <v>40680</v>
      </c>
      <c r="D165" s="95">
        <f ca="1">_xlfn.XLOOKUP(总览!$B$44,$B$40:$B$45,$C$40:$C$45)</f>
        <v>5</v>
      </c>
      <c r="E165" s="95">
        <f ca="1" t="shared" si="16"/>
        <v>143</v>
      </c>
      <c r="F165" s="95">
        <f ca="1" t="shared" si="17"/>
        <v>0</v>
      </c>
      <c r="G165" s="95">
        <f ca="1" t="shared" si="18"/>
        <v>8.75502357142857</v>
      </c>
      <c r="H165" s="95" cm="1">
        <f ca="1" t="array" ref="H165">MIN(30-SUM(I165:L165),_xlfn.XLOOKUP($D165&amp;"_"&amp;H$52,$B$14:$B$36&amp;"_"&amp;$C$14:$C$36,$D$14:$D$36)*$E165,18)</f>
        <v>18</v>
      </c>
      <c r="I165" s="95" cm="1">
        <f ca="1" t="array" ref="I165">MIN(30-SUM(J165:L165),6-L165,_xlfn.XLOOKUP($D165&amp;"_"&amp;I$52,$B$14:$B$36&amp;"_"&amp;$C$14:$C$36,$D$14:$D$36)*$E165)</f>
        <v>1.02132642857143</v>
      </c>
      <c r="J165" s="95" cm="1">
        <f ca="1" t="array" ref="J165">MIN(8,_xlfn.XLOOKUP($D165&amp;"_"&amp;J$52,$B$14:$B$36&amp;"_"&amp;$C$14:$C$36,$D$14:$D$36)*$E165)</f>
        <v>1.0725</v>
      </c>
      <c r="K165" s="95" cm="1">
        <f ca="1" t="array" ref="K165">MIN(18,_xlfn.XLOOKUP($D165&amp;"_"&amp;K$52,$B$14:$B$36&amp;"_"&amp;$C$14:$C$36,$D$14:$D$36)*$E165)</f>
        <v>0.4004</v>
      </c>
      <c r="L165" s="95" cm="1">
        <f ca="1" t="array" ref="L165">MIN(6,_xlfn.XLOOKUP($D165&amp;"_"&amp;L$52,$B$14:$B$36&amp;"_"&amp;$C$14:$C$36,$D$14:$D$36)*$E165)</f>
        <v>0.75075</v>
      </c>
      <c r="M165" s="95" cm="1">
        <f ca="1" t="array" ref="M165">(1+SUMPRODUCT(G165:H165,OFFSET($H$40:$I$40,D165,0)))*(1+OFFSET($J$40,D165,0))^I165*(1+OFFSET($K$40,D165,0))^J165*(1+OFFSET($L$40,D165,0))^K165*(1+OFFSET($M$40,D165,0))^L165</f>
        <v>12.6652022965089</v>
      </c>
      <c r="N165" s="95">
        <f ca="1">MAX(MAX($N$53:N164),OFFSET($C$52,MATCH(M165*1.07,$M$53:$M$2052,1),0)-C165)</f>
        <v>4680</v>
      </c>
    </row>
    <row r="166" spans="2:14">
      <c r="B166" s="95">
        <v>114</v>
      </c>
      <c r="C166" s="95">
        <f t="shared" si="19"/>
        <v>41040</v>
      </c>
      <c r="D166" s="95">
        <f ca="1">_xlfn.XLOOKUP(总览!$B$44,$B$40:$B$45,$C$40:$C$45)</f>
        <v>5</v>
      </c>
      <c r="E166" s="95">
        <f ca="1" t="shared" si="16"/>
        <v>144</v>
      </c>
      <c r="F166" s="95">
        <f ca="1" t="shared" si="17"/>
        <v>0</v>
      </c>
      <c r="G166" s="95">
        <f ca="1" t="shared" si="18"/>
        <v>8.73233142857143</v>
      </c>
      <c r="H166" s="95" cm="1">
        <f ca="1" t="array" ref="H166">MIN(30-SUM(I166:L166),_xlfn.XLOOKUP($D166&amp;"_"&amp;H$52,$B$14:$B$36&amp;"_"&amp;$C$14:$C$36,$D$14:$D$36)*$E166,18)</f>
        <v>18</v>
      </c>
      <c r="I166" s="95" cm="1">
        <f ca="1" t="array" ref="I166">MIN(30-SUM(J166:L166),6-L166,_xlfn.XLOOKUP($D166&amp;"_"&amp;I$52,$B$14:$B$36&amp;"_"&amp;$C$14:$C$36,$D$14:$D$36)*$E166)</f>
        <v>1.02846857142857</v>
      </c>
      <c r="J166" s="95" cm="1">
        <f ca="1" t="array" ref="J166">MIN(8,_xlfn.XLOOKUP($D166&amp;"_"&amp;J$52,$B$14:$B$36&amp;"_"&amp;$C$14:$C$36,$D$14:$D$36)*$E166)</f>
        <v>1.08</v>
      </c>
      <c r="K166" s="95" cm="1">
        <f ca="1" t="array" ref="K166">MIN(18,_xlfn.XLOOKUP($D166&amp;"_"&amp;K$52,$B$14:$B$36&amp;"_"&amp;$C$14:$C$36,$D$14:$D$36)*$E166)</f>
        <v>0.4032</v>
      </c>
      <c r="L166" s="95" cm="1">
        <f ca="1" t="array" ref="L166">MIN(6,_xlfn.XLOOKUP($D166&amp;"_"&amp;L$52,$B$14:$B$36&amp;"_"&amp;$C$14:$C$36,$D$14:$D$36)*$E166)</f>
        <v>0.756</v>
      </c>
      <c r="M166" s="95" cm="1">
        <f ca="1" t="array" ref="M166">(1+SUMPRODUCT(G166:H166,OFFSET($H$40:$I$40,D166,0)))*(1+OFFSET($J$40,D166,0))^I166*(1+OFFSET($K$40,D166,0))^J166*(1+OFFSET($L$40,D166,0))^K166*(1+OFFSET($M$40,D166,0))^L166</f>
        <v>12.7307491825963</v>
      </c>
      <c r="N166" s="95">
        <f ca="1">MAX(MAX($N$53:N165),OFFSET($C$52,MATCH(M166*1.07,$M$53:$M$2052,1),0)-C166)</f>
        <v>4680</v>
      </c>
    </row>
    <row r="167" spans="2:14">
      <c r="B167" s="95">
        <v>115</v>
      </c>
      <c r="C167" s="95">
        <f t="shared" si="19"/>
        <v>41400</v>
      </c>
      <c r="D167" s="95">
        <f ca="1">_xlfn.XLOOKUP(总览!$B$44,$B$40:$B$45,$C$40:$C$45)</f>
        <v>5</v>
      </c>
      <c r="E167" s="95">
        <f ca="1" t="shared" si="16"/>
        <v>145</v>
      </c>
      <c r="F167" s="95">
        <f ca="1" t="shared" si="17"/>
        <v>0</v>
      </c>
      <c r="G167" s="95">
        <f ca="1" t="shared" si="18"/>
        <v>8.70963928571429</v>
      </c>
      <c r="H167" s="95" cm="1">
        <f ca="1" t="array" ref="H167">MIN(30-SUM(I167:L167),_xlfn.XLOOKUP($D167&amp;"_"&amp;H$52,$B$14:$B$36&amp;"_"&amp;$C$14:$C$36,$D$14:$D$36)*$E167,18)</f>
        <v>18</v>
      </c>
      <c r="I167" s="95" cm="1">
        <f ca="1" t="array" ref="I167">MIN(30-SUM(J167:L167),6-L167,_xlfn.XLOOKUP($D167&amp;"_"&amp;I$52,$B$14:$B$36&amp;"_"&amp;$C$14:$C$36,$D$14:$D$36)*$E167)</f>
        <v>1.03561071428571</v>
      </c>
      <c r="J167" s="95" cm="1">
        <f ca="1" t="array" ref="J167">MIN(8,_xlfn.XLOOKUP($D167&amp;"_"&amp;J$52,$B$14:$B$36&amp;"_"&amp;$C$14:$C$36,$D$14:$D$36)*$E167)</f>
        <v>1.0875</v>
      </c>
      <c r="K167" s="95" cm="1">
        <f ca="1" t="array" ref="K167">MIN(18,_xlfn.XLOOKUP($D167&amp;"_"&amp;K$52,$B$14:$B$36&amp;"_"&amp;$C$14:$C$36,$D$14:$D$36)*$E167)</f>
        <v>0.406</v>
      </c>
      <c r="L167" s="95" cm="1">
        <f ca="1" t="array" ref="L167">MIN(6,_xlfn.XLOOKUP($D167&amp;"_"&amp;L$52,$B$14:$B$36&amp;"_"&amp;$C$14:$C$36,$D$14:$D$36)*$E167)</f>
        <v>0.76125</v>
      </c>
      <c r="M167" s="95" cm="1">
        <f ca="1" t="array" ref="M167">(1+SUMPRODUCT(G167:H167,OFFSET($H$40:$I$40,D167,0)))*(1+OFFSET($J$40,D167,0))^I167*(1+OFFSET($K$40,D167,0))^J167*(1+OFFSET($L$40,D167,0))^K167*(1+OFFSET($M$40,D167,0))^L167</f>
        <v>12.7966323222557</v>
      </c>
      <c r="N167" s="95">
        <f ca="1">MAX(MAX($N$53:N166),OFFSET($C$52,MATCH(M167*1.07,$M$53:$M$2052,1),0)-C167)</f>
        <v>4680</v>
      </c>
    </row>
    <row r="168" spans="2:14">
      <c r="B168" s="95">
        <v>116</v>
      </c>
      <c r="C168" s="95">
        <f t="shared" si="19"/>
        <v>41760</v>
      </c>
      <c r="D168" s="95">
        <f ca="1">_xlfn.XLOOKUP(总览!$B$44,$B$40:$B$45,$C$40:$C$45)</f>
        <v>5</v>
      </c>
      <c r="E168" s="95">
        <f ca="1" t="shared" si="16"/>
        <v>146</v>
      </c>
      <c r="F168" s="95">
        <f ca="1" t="shared" si="17"/>
        <v>0</v>
      </c>
      <c r="G168" s="95">
        <f ca="1" t="shared" si="18"/>
        <v>8.68694714285715</v>
      </c>
      <c r="H168" s="95" cm="1">
        <f ca="1" t="array" ref="H168">MIN(30-SUM(I168:L168),_xlfn.XLOOKUP($D168&amp;"_"&amp;H$52,$B$14:$B$36&amp;"_"&amp;$C$14:$C$36,$D$14:$D$36)*$E168,18)</f>
        <v>18</v>
      </c>
      <c r="I168" s="95" cm="1">
        <f ca="1" t="array" ref="I168">MIN(30-SUM(J168:L168),6-L168,_xlfn.XLOOKUP($D168&amp;"_"&amp;I$52,$B$14:$B$36&amp;"_"&amp;$C$14:$C$36,$D$14:$D$36)*$E168)</f>
        <v>1.04275285714286</v>
      </c>
      <c r="J168" s="95" cm="1">
        <f ca="1" t="array" ref="J168">MIN(8,_xlfn.XLOOKUP($D168&amp;"_"&amp;J$52,$B$14:$B$36&amp;"_"&amp;$C$14:$C$36,$D$14:$D$36)*$E168)</f>
        <v>1.095</v>
      </c>
      <c r="K168" s="95" cm="1">
        <f ca="1" t="array" ref="K168">MIN(18,_xlfn.XLOOKUP($D168&amp;"_"&amp;K$52,$B$14:$B$36&amp;"_"&amp;$C$14:$C$36,$D$14:$D$36)*$E168)</f>
        <v>0.4088</v>
      </c>
      <c r="L168" s="95" cm="1">
        <f ca="1" t="array" ref="L168">MIN(6,_xlfn.XLOOKUP($D168&amp;"_"&amp;L$52,$B$14:$B$36&amp;"_"&amp;$C$14:$C$36,$D$14:$D$36)*$E168)</f>
        <v>0.7665</v>
      </c>
      <c r="M168" s="95" cm="1">
        <f ca="1" t="array" ref="M168">(1+SUMPRODUCT(G168:H168,OFFSET($H$40:$I$40,D168,0)))*(1+OFFSET($J$40,D168,0))^I168*(1+OFFSET($K$40,D168,0))^J168*(1+OFFSET($L$40,D168,0))^K168*(1+OFFSET($M$40,D168,0))^L168</f>
        <v>12.8628534220446</v>
      </c>
      <c r="N168" s="95">
        <f ca="1">MAX(MAX($N$53:N167),OFFSET($C$52,MATCH(M168*1.07,$M$53:$M$2052,1),0)-C168)</f>
        <v>4680</v>
      </c>
    </row>
    <row r="169" spans="2:14">
      <c r="B169" s="95">
        <v>117</v>
      </c>
      <c r="C169" s="95">
        <f t="shared" si="19"/>
        <v>42120</v>
      </c>
      <c r="D169" s="95">
        <f ca="1">_xlfn.XLOOKUP(总览!$B$44,$B$40:$B$45,$C$40:$C$45)</f>
        <v>5</v>
      </c>
      <c r="E169" s="95">
        <f ca="1" t="shared" si="16"/>
        <v>147</v>
      </c>
      <c r="F169" s="95">
        <f ca="1" t="shared" si="17"/>
        <v>0</v>
      </c>
      <c r="G169" s="95">
        <f ca="1" t="shared" si="18"/>
        <v>8.664255</v>
      </c>
      <c r="H169" s="95" cm="1">
        <f ca="1" t="array" ref="H169">MIN(30-SUM(I169:L169),_xlfn.XLOOKUP($D169&amp;"_"&amp;H$52,$B$14:$B$36&amp;"_"&amp;$C$14:$C$36,$D$14:$D$36)*$E169,18)</f>
        <v>18</v>
      </c>
      <c r="I169" s="95" cm="1">
        <f ca="1" t="array" ref="I169">MIN(30-SUM(J169:L169),6-L169,_xlfn.XLOOKUP($D169&amp;"_"&amp;I$52,$B$14:$B$36&amp;"_"&amp;$C$14:$C$36,$D$14:$D$36)*$E169)</f>
        <v>1.049895</v>
      </c>
      <c r="J169" s="95" cm="1">
        <f ca="1" t="array" ref="J169">MIN(8,_xlfn.XLOOKUP($D169&amp;"_"&amp;J$52,$B$14:$B$36&amp;"_"&amp;$C$14:$C$36,$D$14:$D$36)*$E169)</f>
        <v>1.1025</v>
      </c>
      <c r="K169" s="95" cm="1">
        <f ca="1" t="array" ref="K169">MIN(18,_xlfn.XLOOKUP($D169&amp;"_"&amp;K$52,$B$14:$B$36&amp;"_"&amp;$C$14:$C$36,$D$14:$D$36)*$E169)</f>
        <v>0.4116</v>
      </c>
      <c r="L169" s="95" cm="1">
        <f ca="1" t="array" ref="L169">MIN(6,_xlfn.XLOOKUP($D169&amp;"_"&amp;L$52,$B$14:$B$36&amp;"_"&amp;$C$14:$C$36,$D$14:$D$36)*$E169)</f>
        <v>0.77175</v>
      </c>
      <c r="M169" s="95" cm="1">
        <f ca="1" t="array" ref="M169">(1+SUMPRODUCT(G169:H169,OFFSET($H$40:$I$40,D169,0)))*(1+OFFSET($J$40,D169,0))^I169*(1+OFFSET($K$40,D169,0))^J169*(1+OFFSET($L$40,D169,0))^K169*(1+OFFSET($M$40,D169,0))^L169</f>
        <v>12.9294141970668</v>
      </c>
      <c r="N169" s="95">
        <f ca="1">MAX(MAX($N$53:N168),OFFSET($C$52,MATCH(M169*1.07,$M$53:$M$2052,1),0)-C169)</f>
        <v>4680</v>
      </c>
    </row>
    <row r="170" spans="2:14">
      <c r="B170" s="95">
        <v>118</v>
      </c>
      <c r="C170" s="95">
        <f t="shared" si="19"/>
        <v>42480</v>
      </c>
      <c r="D170" s="95">
        <f ca="1">_xlfn.XLOOKUP(总览!$B$44,$B$40:$B$45,$C$40:$C$45)</f>
        <v>5</v>
      </c>
      <c r="E170" s="95">
        <f ca="1" t="shared" si="16"/>
        <v>148</v>
      </c>
      <c r="F170" s="95">
        <f ca="1" t="shared" si="17"/>
        <v>0</v>
      </c>
      <c r="G170" s="95">
        <f ca="1" t="shared" si="18"/>
        <v>8.64156285714286</v>
      </c>
      <c r="H170" s="95" cm="1">
        <f ca="1" t="array" ref="H170">MIN(30-SUM(I170:L170),_xlfn.XLOOKUP($D170&amp;"_"&amp;H$52,$B$14:$B$36&amp;"_"&amp;$C$14:$C$36,$D$14:$D$36)*$E170,18)</f>
        <v>18</v>
      </c>
      <c r="I170" s="95" cm="1">
        <f ca="1" t="array" ref="I170">MIN(30-SUM(J170:L170),6-L170,_xlfn.XLOOKUP($D170&amp;"_"&amp;I$52,$B$14:$B$36&amp;"_"&amp;$C$14:$C$36,$D$14:$D$36)*$E170)</f>
        <v>1.05703714285714</v>
      </c>
      <c r="J170" s="95" cm="1">
        <f ca="1" t="array" ref="J170">MIN(8,_xlfn.XLOOKUP($D170&amp;"_"&amp;J$52,$B$14:$B$36&amp;"_"&amp;$C$14:$C$36,$D$14:$D$36)*$E170)</f>
        <v>1.11</v>
      </c>
      <c r="K170" s="95" cm="1">
        <f ca="1" t="array" ref="K170">MIN(18,_xlfn.XLOOKUP($D170&amp;"_"&amp;K$52,$B$14:$B$36&amp;"_"&amp;$C$14:$C$36,$D$14:$D$36)*$E170)</f>
        <v>0.4144</v>
      </c>
      <c r="L170" s="95" cm="1">
        <f ca="1" t="array" ref="L170">MIN(6,_xlfn.XLOOKUP($D170&amp;"_"&amp;L$52,$B$14:$B$36&amp;"_"&amp;$C$14:$C$36,$D$14:$D$36)*$E170)</f>
        <v>0.777</v>
      </c>
      <c r="M170" s="95" cm="1">
        <f ca="1" t="array" ref="M170">(1+SUMPRODUCT(G170:H170,OFFSET($H$40:$I$40,D170,0)))*(1+OFFSET($J$40,D170,0))^I170*(1+OFFSET($K$40,D170,0))^J170*(1+OFFSET($L$40,D170,0))^K170*(1+OFFSET($M$40,D170,0))^L170</f>
        <v>12.9963163710142</v>
      </c>
      <c r="N170" s="95">
        <f ca="1">MAX(MAX($N$53:N169),OFFSET($C$52,MATCH(M170*1.07,$M$53:$M$2052,1),0)-C170)</f>
        <v>4680</v>
      </c>
    </row>
    <row r="171" spans="2:14">
      <c r="B171" s="95">
        <v>119</v>
      </c>
      <c r="C171" s="95">
        <f t="shared" si="19"/>
        <v>42840</v>
      </c>
      <c r="D171" s="95">
        <f ca="1">_xlfn.XLOOKUP(总览!$B$44,$B$40:$B$45,$C$40:$C$45)</f>
        <v>5</v>
      </c>
      <c r="E171" s="95">
        <f ca="1" t="shared" si="16"/>
        <v>149</v>
      </c>
      <c r="F171" s="95">
        <f ca="1" t="shared" si="17"/>
        <v>0</v>
      </c>
      <c r="G171" s="95">
        <f ca="1" t="shared" si="18"/>
        <v>8.61887071428571</v>
      </c>
      <c r="H171" s="95" cm="1">
        <f ca="1" t="array" ref="H171">MIN(30-SUM(I171:L171),_xlfn.XLOOKUP($D171&amp;"_"&amp;H$52,$B$14:$B$36&amp;"_"&amp;$C$14:$C$36,$D$14:$D$36)*$E171,18)</f>
        <v>18</v>
      </c>
      <c r="I171" s="95" cm="1">
        <f ca="1" t="array" ref="I171">MIN(30-SUM(J171:L171),6-L171,_xlfn.XLOOKUP($D171&amp;"_"&amp;I$52,$B$14:$B$36&amp;"_"&amp;$C$14:$C$36,$D$14:$D$36)*$E171)</f>
        <v>1.06417928571428</v>
      </c>
      <c r="J171" s="95" cm="1">
        <f ca="1" t="array" ref="J171">MIN(8,_xlfn.XLOOKUP($D171&amp;"_"&amp;J$52,$B$14:$B$36&amp;"_"&amp;$C$14:$C$36,$D$14:$D$36)*$E171)</f>
        <v>1.1175</v>
      </c>
      <c r="K171" s="95" cm="1">
        <f ca="1" t="array" ref="K171">MIN(18,_xlfn.XLOOKUP($D171&amp;"_"&amp;K$52,$B$14:$B$36&amp;"_"&amp;$C$14:$C$36,$D$14:$D$36)*$E171)</f>
        <v>0.4172</v>
      </c>
      <c r="L171" s="95" cm="1">
        <f ca="1" t="array" ref="L171">MIN(6,_xlfn.XLOOKUP($D171&amp;"_"&amp;L$52,$B$14:$B$36&amp;"_"&amp;$C$14:$C$36,$D$14:$D$36)*$E171)</f>
        <v>0.78225</v>
      </c>
      <c r="M171" s="95" cm="1">
        <f ca="1" t="array" ref="M171">(1+SUMPRODUCT(G171:H171,OFFSET($H$40:$I$40,D171,0)))*(1+OFFSET($J$40,D171,0))^I171*(1+OFFSET($K$40,D171,0))^J171*(1+OFFSET($L$40,D171,0))^K171*(1+OFFSET($M$40,D171,0))^L171</f>
        <v>13.0635616762094</v>
      </c>
      <c r="N171" s="95">
        <f ca="1">MAX(MAX($N$53:N170),OFFSET($C$52,MATCH(M171*1.07,$M$53:$M$2052,1),0)-C171)</f>
        <v>4680</v>
      </c>
    </row>
    <row r="172" spans="2:14">
      <c r="B172" s="95">
        <v>120</v>
      </c>
      <c r="C172" s="95">
        <f t="shared" si="19"/>
        <v>43200</v>
      </c>
      <c r="D172" s="95">
        <f ca="1">_xlfn.XLOOKUP(总览!$B$44,$B$40:$B$45,$C$40:$C$45)</f>
        <v>5</v>
      </c>
      <c r="E172" s="95">
        <f ca="1" t="shared" si="16"/>
        <v>150</v>
      </c>
      <c r="F172" s="95">
        <f ca="1" t="shared" si="17"/>
        <v>0</v>
      </c>
      <c r="G172" s="95">
        <f ca="1" t="shared" si="18"/>
        <v>8.59617857142857</v>
      </c>
      <c r="H172" s="95" cm="1">
        <f ca="1" t="array" ref="H172">MIN(30-SUM(I172:L172),_xlfn.XLOOKUP($D172&amp;"_"&amp;H$52,$B$14:$B$36&amp;"_"&amp;$C$14:$C$36,$D$14:$D$36)*$E172,18)</f>
        <v>18</v>
      </c>
      <c r="I172" s="95" cm="1">
        <f ca="1" t="array" ref="I172">MIN(30-SUM(J172:L172),6-L172,_xlfn.XLOOKUP($D172&amp;"_"&amp;I$52,$B$14:$B$36&amp;"_"&amp;$C$14:$C$36,$D$14:$D$36)*$E172)</f>
        <v>1.07132142857143</v>
      </c>
      <c r="J172" s="95" cm="1">
        <f ca="1" t="array" ref="J172">MIN(8,_xlfn.XLOOKUP($D172&amp;"_"&amp;J$52,$B$14:$B$36&amp;"_"&amp;$C$14:$C$36,$D$14:$D$36)*$E172)</f>
        <v>1.125</v>
      </c>
      <c r="K172" s="95" cm="1">
        <f ca="1" t="array" ref="K172">MIN(18,_xlfn.XLOOKUP($D172&amp;"_"&amp;K$52,$B$14:$B$36&amp;"_"&amp;$C$14:$C$36,$D$14:$D$36)*$E172)</f>
        <v>0.42</v>
      </c>
      <c r="L172" s="95" cm="1">
        <f ca="1" t="array" ref="L172">MIN(6,_xlfn.XLOOKUP($D172&amp;"_"&amp;L$52,$B$14:$B$36&amp;"_"&amp;$C$14:$C$36,$D$14:$D$36)*$E172)</f>
        <v>0.7875</v>
      </c>
      <c r="M172" s="95" cm="1">
        <f ca="1" t="array" ref="M172">(1+SUMPRODUCT(G172:H172,OFFSET($H$40:$I$40,D172,0)))*(1+OFFSET($J$40,D172,0))^I172*(1+OFFSET($K$40,D172,0))^J172*(1+OFFSET($L$40,D172,0))^K172*(1+OFFSET($M$40,D172,0))^L172</f>
        <v>13.1311518536477</v>
      </c>
      <c r="N172" s="95">
        <f ca="1">MAX(MAX($N$53:N171),OFFSET($C$52,MATCH(M172*1.07,$M$53:$M$2052,1),0)-C172)</f>
        <v>4680</v>
      </c>
    </row>
    <row r="173" spans="2:14">
      <c r="B173" s="95">
        <v>121</v>
      </c>
      <c r="C173" s="95">
        <f t="shared" si="19"/>
        <v>43560</v>
      </c>
      <c r="D173" s="95">
        <f ca="1">_xlfn.XLOOKUP(总览!$B$44,$B$40:$B$45,$C$40:$C$45)</f>
        <v>5</v>
      </c>
      <c r="E173" s="95">
        <f ca="1" t="shared" si="16"/>
        <v>151</v>
      </c>
      <c r="F173" s="95">
        <f ca="1" t="shared" si="17"/>
        <v>0</v>
      </c>
      <c r="G173" s="95">
        <f ca="1" t="shared" si="18"/>
        <v>8.57348642857143</v>
      </c>
      <c r="H173" s="95" cm="1">
        <f ca="1" t="array" ref="H173">MIN(30-SUM(I173:L173),_xlfn.XLOOKUP($D173&amp;"_"&amp;H$52,$B$14:$B$36&amp;"_"&amp;$C$14:$C$36,$D$14:$D$36)*$E173,18)</f>
        <v>18</v>
      </c>
      <c r="I173" s="95" cm="1">
        <f ca="1" t="array" ref="I173">MIN(30-SUM(J173:L173),6-L173,_xlfn.XLOOKUP($D173&amp;"_"&amp;I$52,$B$14:$B$36&amp;"_"&amp;$C$14:$C$36,$D$14:$D$36)*$E173)</f>
        <v>1.07846357142857</v>
      </c>
      <c r="J173" s="95" cm="1">
        <f ca="1" t="array" ref="J173">MIN(8,_xlfn.XLOOKUP($D173&amp;"_"&amp;J$52,$B$14:$B$36&amp;"_"&amp;$C$14:$C$36,$D$14:$D$36)*$E173)</f>
        <v>1.1325</v>
      </c>
      <c r="K173" s="95" cm="1">
        <f ca="1" t="array" ref="K173">MIN(18,_xlfn.XLOOKUP($D173&amp;"_"&amp;K$52,$B$14:$B$36&amp;"_"&amp;$C$14:$C$36,$D$14:$D$36)*$E173)</f>
        <v>0.4228</v>
      </c>
      <c r="L173" s="95" cm="1">
        <f ca="1" t="array" ref="L173">MIN(6,_xlfn.XLOOKUP($D173&amp;"_"&amp;L$52,$B$14:$B$36&amp;"_"&amp;$C$14:$C$36,$D$14:$D$36)*$E173)</f>
        <v>0.79275</v>
      </c>
      <c r="M173" s="95" cm="1">
        <f ca="1" t="array" ref="M173">(1+SUMPRODUCT(G173:H173,OFFSET($H$40:$I$40,D173,0)))*(1+OFFSET($J$40,D173,0))^I173*(1+OFFSET($K$40,D173,0))^J173*(1+OFFSET($L$40,D173,0))^K173*(1+OFFSET($M$40,D173,0))^L173</f>
        <v>13.1990886530404</v>
      </c>
      <c r="N173" s="95">
        <f ca="1">MAX(MAX($N$53:N172),OFFSET($C$52,MATCH(M173*1.07,$M$53:$M$2052,1),0)-C173)</f>
        <v>4680</v>
      </c>
    </row>
    <row r="174" spans="2:14">
      <c r="B174" s="95">
        <v>122</v>
      </c>
      <c r="C174" s="95">
        <f t="shared" si="19"/>
        <v>43920</v>
      </c>
      <c r="D174" s="95">
        <f ca="1">_xlfn.XLOOKUP(总览!$B$44,$B$40:$B$45,$C$40:$C$45)</f>
        <v>5</v>
      </c>
      <c r="E174" s="95">
        <f ca="1" t="shared" si="16"/>
        <v>152</v>
      </c>
      <c r="F174" s="95">
        <f ca="1" t="shared" si="17"/>
        <v>0</v>
      </c>
      <c r="G174" s="95">
        <f ca="1" t="shared" si="18"/>
        <v>8.55079428571429</v>
      </c>
      <c r="H174" s="95" cm="1">
        <f ca="1" t="array" ref="H174">MIN(30-SUM(I174:L174),_xlfn.XLOOKUP($D174&amp;"_"&amp;H$52,$B$14:$B$36&amp;"_"&amp;$C$14:$C$36,$D$14:$D$36)*$E174,18)</f>
        <v>18</v>
      </c>
      <c r="I174" s="95" cm="1">
        <f ca="1" t="array" ref="I174">MIN(30-SUM(J174:L174),6-L174,_xlfn.XLOOKUP($D174&amp;"_"&amp;I$52,$B$14:$B$36&amp;"_"&amp;$C$14:$C$36,$D$14:$D$36)*$E174)</f>
        <v>1.08560571428571</v>
      </c>
      <c r="J174" s="95" cm="1">
        <f ca="1" t="array" ref="J174">MIN(8,_xlfn.XLOOKUP($D174&amp;"_"&amp;J$52,$B$14:$B$36&amp;"_"&amp;$C$14:$C$36,$D$14:$D$36)*$E174)</f>
        <v>1.14</v>
      </c>
      <c r="K174" s="95" cm="1">
        <f ca="1" t="array" ref="K174">MIN(18,_xlfn.XLOOKUP($D174&amp;"_"&amp;K$52,$B$14:$B$36&amp;"_"&amp;$C$14:$C$36,$D$14:$D$36)*$E174)</f>
        <v>0.4256</v>
      </c>
      <c r="L174" s="95" cm="1">
        <f ca="1" t="array" ref="L174">MIN(6,_xlfn.XLOOKUP($D174&amp;"_"&amp;L$52,$B$14:$B$36&amp;"_"&amp;$C$14:$C$36,$D$14:$D$36)*$E174)</f>
        <v>0.798</v>
      </c>
      <c r="M174" s="95" cm="1">
        <f ca="1" t="array" ref="M174">(1+SUMPRODUCT(G174:H174,OFFSET($H$40:$I$40,D174,0)))*(1+OFFSET($J$40,D174,0))^I174*(1+OFFSET($K$40,D174,0))^J174*(1+OFFSET($L$40,D174,0))^K174*(1+OFFSET($M$40,D174,0))^L174</f>
        <v>13.2673738328571</v>
      </c>
      <c r="N174" s="95">
        <f ca="1">MAX(MAX($N$53:N173),OFFSET($C$52,MATCH(M174*1.07,$M$53:$M$2052,1),0)-C174)</f>
        <v>4680</v>
      </c>
    </row>
    <row r="175" spans="2:14">
      <c r="B175" s="95">
        <v>123</v>
      </c>
      <c r="C175" s="95">
        <f t="shared" si="19"/>
        <v>44280</v>
      </c>
      <c r="D175" s="95">
        <f ca="1">_xlfn.XLOOKUP(总览!$B$44,$B$40:$B$45,$C$40:$C$45)</f>
        <v>5</v>
      </c>
      <c r="E175" s="95">
        <f ca="1" t="shared" si="16"/>
        <v>153</v>
      </c>
      <c r="F175" s="95">
        <f ca="1" t="shared" si="17"/>
        <v>0</v>
      </c>
      <c r="G175" s="95">
        <f ca="1" t="shared" si="18"/>
        <v>8.52810214285715</v>
      </c>
      <c r="H175" s="95" cm="1">
        <f ca="1" t="array" ref="H175">MIN(30-SUM(I175:L175),_xlfn.XLOOKUP($D175&amp;"_"&amp;H$52,$B$14:$B$36&amp;"_"&amp;$C$14:$C$36,$D$14:$D$36)*$E175,18)</f>
        <v>18</v>
      </c>
      <c r="I175" s="95" cm="1">
        <f ca="1" t="array" ref="I175">MIN(30-SUM(J175:L175),6-L175,_xlfn.XLOOKUP($D175&amp;"_"&amp;I$52,$B$14:$B$36&amp;"_"&amp;$C$14:$C$36,$D$14:$D$36)*$E175)</f>
        <v>1.09274785714286</v>
      </c>
      <c r="J175" s="95" cm="1">
        <f ca="1" t="array" ref="J175">MIN(8,_xlfn.XLOOKUP($D175&amp;"_"&amp;J$52,$B$14:$B$36&amp;"_"&amp;$C$14:$C$36,$D$14:$D$36)*$E175)</f>
        <v>1.1475</v>
      </c>
      <c r="K175" s="95" cm="1">
        <f ca="1" t="array" ref="K175">MIN(18,_xlfn.XLOOKUP($D175&amp;"_"&amp;K$52,$B$14:$B$36&amp;"_"&amp;$C$14:$C$36,$D$14:$D$36)*$E175)</f>
        <v>0.4284</v>
      </c>
      <c r="L175" s="95" cm="1">
        <f ca="1" t="array" ref="L175">MIN(6,_xlfn.XLOOKUP($D175&amp;"_"&amp;L$52,$B$14:$B$36&amp;"_"&amp;$C$14:$C$36,$D$14:$D$36)*$E175)</f>
        <v>0.80325</v>
      </c>
      <c r="M175" s="95" cm="1">
        <f ca="1" t="array" ref="M175">(1+SUMPRODUCT(G175:H175,OFFSET($H$40:$I$40,D175,0)))*(1+OFFSET($J$40,D175,0))^I175*(1+OFFSET($K$40,D175,0))^J175*(1+OFFSET($L$40,D175,0))^K175*(1+OFFSET($M$40,D175,0))^L175</f>
        <v>13.3360091603691</v>
      </c>
      <c r="N175" s="95">
        <f ca="1">MAX(MAX($N$53:N174),OFFSET($C$52,MATCH(M175*1.07,$M$53:$M$2052,1),0)-C175)</f>
        <v>4680</v>
      </c>
    </row>
    <row r="176" spans="2:14">
      <c r="B176" s="95">
        <v>124</v>
      </c>
      <c r="C176" s="95">
        <f t="shared" si="19"/>
        <v>44640</v>
      </c>
      <c r="D176" s="95">
        <f ca="1">_xlfn.XLOOKUP(总览!$B$44,$B$40:$B$45,$C$40:$C$45)</f>
        <v>5</v>
      </c>
      <c r="E176" s="95">
        <f ca="1" t="shared" si="16"/>
        <v>154</v>
      </c>
      <c r="F176" s="95">
        <f ca="1" t="shared" si="17"/>
        <v>0</v>
      </c>
      <c r="G176" s="95">
        <f ca="1" t="shared" si="18"/>
        <v>8.50541</v>
      </c>
      <c r="H176" s="95" cm="1">
        <f ca="1" t="array" ref="H176">MIN(30-SUM(I176:L176),_xlfn.XLOOKUP($D176&amp;"_"&amp;H$52,$B$14:$B$36&amp;"_"&amp;$C$14:$C$36,$D$14:$D$36)*$E176,18)</f>
        <v>18</v>
      </c>
      <c r="I176" s="95" cm="1">
        <f ca="1" t="array" ref="I176">MIN(30-SUM(J176:L176),6-L176,_xlfn.XLOOKUP($D176&amp;"_"&amp;I$52,$B$14:$B$36&amp;"_"&amp;$C$14:$C$36,$D$14:$D$36)*$E176)</f>
        <v>1.09989</v>
      </c>
      <c r="J176" s="95" cm="1">
        <f ca="1" t="array" ref="J176">MIN(8,_xlfn.XLOOKUP($D176&amp;"_"&amp;J$52,$B$14:$B$36&amp;"_"&amp;$C$14:$C$36,$D$14:$D$36)*$E176)</f>
        <v>1.155</v>
      </c>
      <c r="K176" s="95" cm="1">
        <f ca="1" t="array" ref="K176">MIN(18,_xlfn.XLOOKUP($D176&amp;"_"&amp;K$52,$B$14:$B$36&amp;"_"&amp;$C$14:$C$36,$D$14:$D$36)*$E176)</f>
        <v>0.4312</v>
      </c>
      <c r="L176" s="95" cm="1">
        <f ca="1" t="array" ref="L176">MIN(6,_xlfn.XLOOKUP($D176&amp;"_"&amp;L$52,$B$14:$B$36&amp;"_"&amp;$C$14:$C$36,$D$14:$D$36)*$E176)</f>
        <v>0.8085</v>
      </c>
      <c r="M176" s="95" cm="1">
        <f ca="1" t="array" ref="M176">(1+SUMPRODUCT(G176:H176,OFFSET($H$40:$I$40,D176,0)))*(1+OFFSET($J$40,D176,0))^I176*(1+OFFSET($K$40,D176,0))^J176*(1+OFFSET($L$40,D176,0))^K176*(1+OFFSET($M$40,D176,0))^L176</f>
        <v>13.4049964116926</v>
      </c>
      <c r="N176" s="95">
        <f ca="1">MAX(MAX($N$53:N175),OFFSET($C$52,MATCH(M176*1.07,$M$53:$M$2052,1),0)-C176)</f>
        <v>4680</v>
      </c>
    </row>
    <row r="177" spans="2:14">
      <c r="B177" s="95">
        <v>125</v>
      </c>
      <c r="C177" s="95">
        <f t="shared" si="19"/>
        <v>45000</v>
      </c>
      <c r="D177" s="95">
        <f ca="1">_xlfn.XLOOKUP(总览!$B$44,$B$40:$B$45,$C$40:$C$45)</f>
        <v>5</v>
      </c>
      <c r="E177" s="95">
        <f ca="1" t="shared" si="16"/>
        <v>155</v>
      </c>
      <c r="F177" s="95">
        <f ca="1" t="shared" si="17"/>
        <v>0</v>
      </c>
      <c r="G177" s="95">
        <f ca="1" t="shared" si="18"/>
        <v>8.48271785714286</v>
      </c>
      <c r="H177" s="95" cm="1">
        <f ca="1" t="array" ref="H177">MIN(30-SUM(I177:L177),_xlfn.XLOOKUP($D177&amp;"_"&amp;H$52,$B$14:$B$36&amp;"_"&amp;$C$14:$C$36,$D$14:$D$36)*$E177,18)</f>
        <v>18</v>
      </c>
      <c r="I177" s="95" cm="1">
        <f ca="1" t="array" ref="I177">MIN(30-SUM(J177:L177),6-L177,_xlfn.XLOOKUP($D177&amp;"_"&amp;I$52,$B$14:$B$36&amp;"_"&amp;$C$14:$C$36,$D$14:$D$36)*$E177)</f>
        <v>1.10703214285714</v>
      </c>
      <c r="J177" s="95" cm="1">
        <f ca="1" t="array" ref="J177">MIN(8,_xlfn.XLOOKUP($D177&amp;"_"&amp;J$52,$B$14:$B$36&amp;"_"&amp;$C$14:$C$36,$D$14:$D$36)*$E177)</f>
        <v>1.1625</v>
      </c>
      <c r="K177" s="95" cm="1">
        <f ca="1" t="array" ref="K177">MIN(18,_xlfn.XLOOKUP($D177&amp;"_"&amp;K$52,$B$14:$B$36&amp;"_"&amp;$C$14:$C$36,$D$14:$D$36)*$E177)</f>
        <v>0.434</v>
      </c>
      <c r="L177" s="95" cm="1">
        <f ca="1" t="array" ref="L177">MIN(6,_xlfn.XLOOKUP($D177&amp;"_"&amp;L$52,$B$14:$B$36&amp;"_"&amp;$C$14:$C$36,$D$14:$D$36)*$E177)</f>
        <v>0.81375</v>
      </c>
      <c r="M177" s="95" cm="1">
        <f ca="1" t="array" ref="M177">(1+SUMPRODUCT(G177:H177,OFFSET($H$40:$I$40,D177,0)))*(1+OFFSET($J$40,D177,0))^I177*(1+OFFSET($K$40,D177,0))^J177*(1+OFFSET($L$40,D177,0))^K177*(1+OFFSET($M$40,D177,0))^L177</f>
        <v>13.4743373718324</v>
      </c>
      <c r="N177" s="95">
        <f ca="1">MAX(MAX($N$53:N176),OFFSET($C$52,MATCH(M177*1.07,$M$53:$M$2052,1),0)-C177)</f>
        <v>4680</v>
      </c>
    </row>
    <row r="178" spans="2:14">
      <c r="B178" s="95">
        <v>126</v>
      </c>
      <c r="C178" s="95">
        <f t="shared" si="19"/>
        <v>45360</v>
      </c>
      <c r="D178" s="95">
        <f ca="1">_xlfn.XLOOKUP(总览!$B$44,$B$40:$B$45,$C$40:$C$45)</f>
        <v>5</v>
      </c>
      <c r="E178" s="95">
        <f ca="1" t="shared" si="16"/>
        <v>156</v>
      </c>
      <c r="F178" s="95">
        <f ca="1" t="shared" si="17"/>
        <v>0</v>
      </c>
      <c r="G178" s="95">
        <f ca="1" t="shared" si="18"/>
        <v>8.46002571428571</v>
      </c>
      <c r="H178" s="95" cm="1">
        <f ca="1" t="array" ref="H178">MIN(30-SUM(I178:L178),_xlfn.XLOOKUP($D178&amp;"_"&amp;H$52,$B$14:$B$36&amp;"_"&amp;$C$14:$C$36,$D$14:$D$36)*$E178,18)</f>
        <v>18</v>
      </c>
      <c r="I178" s="95" cm="1">
        <f ca="1" t="array" ref="I178">MIN(30-SUM(J178:L178),6-L178,_xlfn.XLOOKUP($D178&amp;"_"&amp;I$52,$B$14:$B$36&amp;"_"&amp;$C$14:$C$36,$D$14:$D$36)*$E178)</f>
        <v>1.11417428571428</v>
      </c>
      <c r="J178" s="95" cm="1">
        <f ca="1" t="array" ref="J178">MIN(8,_xlfn.XLOOKUP($D178&amp;"_"&amp;J$52,$B$14:$B$36&amp;"_"&amp;$C$14:$C$36,$D$14:$D$36)*$E178)</f>
        <v>1.17</v>
      </c>
      <c r="K178" s="95" cm="1">
        <f ca="1" t="array" ref="K178">MIN(18,_xlfn.XLOOKUP($D178&amp;"_"&amp;K$52,$B$14:$B$36&amp;"_"&amp;$C$14:$C$36,$D$14:$D$36)*$E178)</f>
        <v>0.4368</v>
      </c>
      <c r="L178" s="95" cm="1">
        <f ca="1" t="array" ref="L178">MIN(6,_xlfn.XLOOKUP($D178&amp;"_"&amp;L$52,$B$14:$B$36&amp;"_"&amp;$C$14:$C$36,$D$14:$D$36)*$E178)</f>
        <v>0.819</v>
      </c>
      <c r="M178" s="95" cm="1">
        <f ca="1" t="array" ref="M178">(1+SUMPRODUCT(G178:H178,OFFSET($H$40:$I$40,D178,0)))*(1+OFFSET($J$40,D178,0))^I178*(1+OFFSET($K$40,D178,0))^J178*(1+OFFSET($L$40,D178,0))^K178*(1+OFFSET($M$40,D178,0))^L178</f>
        <v>13.5440338347252</v>
      </c>
      <c r="N178" s="95">
        <f ca="1">MAX(MAX($N$53:N177),OFFSET($C$52,MATCH(M178*1.07,$M$53:$M$2052,1),0)-C178)</f>
        <v>4680</v>
      </c>
    </row>
    <row r="179" spans="2:14">
      <c r="B179" s="95">
        <v>127</v>
      </c>
      <c r="C179" s="95">
        <f t="shared" si="19"/>
        <v>45720</v>
      </c>
      <c r="D179" s="95">
        <f ca="1">_xlfn.XLOOKUP(总览!$B$44,$B$40:$B$45,$C$40:$C$45)</f>
        <v>5</v>
      </c>
      <c r="E179" s="95">
        <f ca="1" t="shared" si="16"/>
        <v>157</v>
      </c>
      <c r="F179" s="95">
        <f ca="1" t="shared" si="17"/>
        <v>0</v>
      </c>
      <c r="G179" s="95">
        <f ca="1" t="shared" si="18"/>
        <v>8.43733357142858</v>
      </c>
      <c r="H179" s="95" cm="1">
        <f ca="1" t="array" ref="H179">MIN(30-SUM(I179:L179),_xlfn.XLOOKUP($D179&amp;"_"&amp;H$52,$B$14:$B$36&amp;"_"&amp;$C$14:$C$36,$D$14:$D$36)*$E179,18)</f>
        <v>18</v>
      </c>
      <c r="I179" s="95" cm="1">
        <f ca="1" t="array" ref="I179">MIN(30-SUM(J179:L179),6-L179,_xlfn.XLOOKUP($D179&amp;"_"&amp;I$52,$B$14:$B$36&amp;"_"&amp;$C$14:$C$36,$D$14:$D$36)*$E179)</f>
        <v>1.12131642857143</v>
      </c>
      <c r="J179" s="95" cm="1">
        <f ca="1" t="array" ref="J179">MIN(8,_xlfn.XLOOKUP($D179&amp;"_"&amp;J$52,$B$14:$B$36&amp;"_"&amp;$C$14:$C$36,$D$14:$D$36)*$E179)</f>
        <v>1.1775</v>
      </c>
      <c r="K179" s="95" cm="1">
        <f ca="1" t="array" ref="K179">MIN(18,_xlfn.XLOOKUP($D179&amp;"_"&amp;K$52,$B$14:$B$36&amp;"_"&amp;$C$14:$C$36,$D$14:$D$36)*$E179)</f>
        <v>0.4396</v>
      </c>
      <c r="L179" s="95" cm="1">
        <f ca="1" t="array" ref="L179">MIN(6,_xlfn.XLOOKUP($D179&amp;"_"&amp;L$52,$B$14:$B$36&amp;"_"&amp;$C$14:$C$36,$D$14:$D$36)*$E179)</f>
        <v>0.82425</v>
      </c>
      <c r="M179" s="95" cm="1">
        <f ca="1" t="array" ref="M179">(1+SUMPRODUCT(G179:H179,OFFSET($H$40:$I$40,D179,0)))*(1+OFFSET($J$40,D179,0))^I179*(1+OFFSET($K$40,D179,0))^J179*(1+OFFSET($L$40,D179,0))^K179*(1+OFFSET($M$40,D179,0))^L179</f>
        <v>13.6140876032841</v>
      </c>
      <c r="N179" s="95">
        <f ca="1">MAX(MAX($N$53:N178),OFFSET($C$52,MATCH(M179*1.07,$M$53:$M$2052,1),0)-C179)</f>
        <v>4680</v>
      </c>
    </row>
    <row r="180" spans="2:14">
      <c r="B180" s="95">
        <v>128</v>
      </c>
      <c r="C180" s="95">
        <f t="shared" si="19"/>
        <v>46080</v>
      </c>
      <c r="D180" s="95">
        <f ca="1">_xlfn.XLOOKUP(总览!$B$44,$B$40:$B$45,$C$40:$C$45)</f>
        <v>5</v>
      </c>
      <c r="E180" s="95">
        <f ca="1" t="shared" si="16"/>
        <v>158</v>
      </c>
      <c r="F180" s="95">
        <f ca="1" t="shared" si="17"/>
        <v>0</v>
      </c>
      <c r="G180" s="95">
        <f ca="1" t="shared" si="18"/>
        <v>8.41464142857143</v>
      </c>
      <c r="H180" s="95" cm="1">
        <f ca="1" t="array" ref="H180">MIN(30-SUM(I180:L180),_xlfn.XLOOKUP($D180&amp;"_"&amp;H$52,$B$14:$B$36&amp;"_"&amp;$C$14:$C$36,$D$14:$D$36)*$E180,18)</f>
        <v>18</v>
      </c>
      <c r="I180" s="95" cm="1">
        <f ca="1" t="array" ref="I180">MIN(30-SUM(J180:L180),6-L180,_xlfn.XLOOKUP($D180&amp;"_"&amp;I$52,$B$14:$B$36&amp;"_"&amp;$C$14:$C$36,$D$14:$D$36)*$E180)</f>
        <v>1.12845857142857</v>
      </c>
      <c r="J180" s="95" cm="1">
        <f ca="1" t="array" ref="J180">MIN(8,_xlfn.XLOOKUP($D180&amp;"_"&amp;J$52,$B$14:$B$36&amp;"_"&amp;$C$14:$C$36,$D$14:$D$36)*$E180)</f>
        <v>1.185</v>
      </c>
      <c r="K180" s="95" cm="1">
        <f ca="1" t="array" ref="K180">MIN(18,_xlfn.XLOOKUP($D180&amp;"_"&amp;K$52,$B$14:$B$36&amp;"_"&amp;$C$14:$C$36,$D$14:$D$36)*$E180)</f>
        <v>0.4424</v>
      </c>
      <c r="L180" s="95" cm="1">
        <f ca="1" t="array" ref="L180">MIN(6,_xlfn.XLOOKUP($D180&amp;"_"&amp;L$52,$B$14:$B$36&amp;"_"&amp;$C$14:$C$36,$D$14:$D$36)*$E180)</f>
        <v>0.8295</v>
      </c>
      <c r="M180" s="95" cm="1">
        <f ca="1" t="array" ref="M180">(1+SUMPRODUCT(G180:H180,OFFSET($H$40:$I$40,D180,0)))*(1+OFFSET($J$40,D180,0))^I180*(1+OFFSET($K$40,D180,0))^J180*(1+OFFSET($L$40,D180,0))^K180*(1+OFFSET($M$40,D180,0))^L180</f>
        <v>13.6845004894423</v>
      </c>
      <c r="N180" s="95">
        <f ca="1">MAX(MAX($N$53:N179),OFFSET($C$52,MATCH(M180*1.07,$M$53:$M$2052,1),0)-C180)</f>
        <v>4680</v>
      </c>
    </row>
    <row r="181" spans="2:14">
      <c r="B181" s="95">
        <v>129</v>
      </c>
      <c r="C181" s="95">
        <f t="shared" si="19"/>
        <v>46440</v>
      </c>
      <c r="D181" s="95">
        <f ca="1">_xlfn.XLOOKUP(总览!$B$44,$B$40:$B$45,$C$40:$C$45)</f>
        <v>5</v>
      </c>
      <c r="E181" s="95">
        <f ca="1" t="shared" si="16"/>
        <v>159</v>
      </c>
      <c r="F181" s="95">
        <f ca="1" t="shared" si="17"/>
        <v>0</v>
      </c>
      <c r="G181" s="95">
        <f ca="1" t="shared" si="18"/>
        <v>8.39194928571429</v>
      </c>
      <c r="H181" s="95" cm="1">
        <f ca="1" t="array" ref="H181">MIN(30-SUM(I181:L181),_xlfn.XLOOKUP($D181&amp;"_"&amp;H$52,$B$14:$B$36&amp;"_"&amp;$C$14:$C$36,$D$14:$D$36)*$E181,18)</f>
        <v>18</v>
      </c>
      <c r="I181" s="95" cm="1">
        <f ca="1" t="array" ref="I181">MIN(30-SUM(J181:L181),6-L181,_xlfn.XLOOKUP($D181&amp;"_"&amp;I$52,$B$14:$B$36&amp;"_"&amp;$C$14:$C$36,$D$14:$D$36)*$E181)</f>
        <v>1.13560071428571</v>
      </c>
      <c r="J181" s="95" cm="1">
        <f ca="1" t="array" ref="J181">MIN(8,_xlfn.XLOOKUP($D181&amp;"_"&amp;J$52,$B$14:$B$36&amp;"_"&amp;$C$14:$C$36,$D$14:$D$36)*$E181)</f>
        <v>1.1925</v>
      </c>
      <c r="K181" s="95" cm="1">
        <f ca="1" t="array" ref="K181">MIN(18,_xlfn.XLOOKUP($D181&amp;"_"&amp;K$52,$B$14:$B$36&amp;"_"&amp;$C$14:$C$36,$D$14:$D$36)*$E181)</f>
        <v>0.4452</v>
      </c>
      <c r="L181" s="95" cm="1">
        <f ca="1" t="array" ref="L181">MIN(6,_xlfn.XLOOKUP($D181&amp;"_"&amp;L$52,$B$14:$B$36&amp;"_"&amp;$C$14:$C$36,$D$14:$D$36)*$E181)</f>
        <v>0.83475</v>
      </c>
      <c r="M181" s="95" cm="1">
        <f ca="1" t="array" ref="M181">(1+SUMPRODUCT(G181:H181,OFFSET($H$40:$I$40,D181,0)))*(1+OFFSET($J$40,D181,0))^I181*(1+OFFSET($K$40,D181,0))^J181*(1+OFFSET($L$40,D181,0))^K181*(1+OFFSET($M$40,D181,0))^L181</f>
        <v>13.7552743141976</v>
      </c>
      <c r="N181" s="95">
        <f ca="1">MAX(MAX($N$53:N180),OFFSET($C$52,MATCH(M181*1.07,$M$53:$M$2052,1),0)-C181)</f>
        <v>4680</v>
      </c>
    </row>
    <row r="182" spans="2:14">
      <c r="B182" s="95">
        <v>130</v>
      </c>
      <c r="C182" s="95">
        <f t="shared" si="19"/>
        <v>46800</v>
      </c>
      <c r="D182" s="95">
        <f ca="1">_xlfn.XLOOKUP(总览!$B$44,$B$40:$B$45,$C$40:$C$45)</f>
        <v>5</v>
      </c>
      <c r="E182" s="95">
        <f ca="1" t="shared" ref="E182:E245" si="20">INT(C182/_xlfn.XLOOKUP(D182,$N$5:$N$16,$O$5:$O$16))+OFFSET($R$40,D182,0)</f>
        <v>160</v>
      </c>
      <c r="F182" s="95">
        <f ca="1" t="shared" si="17"/>
        <v>0</v>
      </c>
      <c r="G182" s="95">
        <f ca="1" t="shared" si="18"/>
        <v>8.36925714285714</v>
      </c>
      <c r="H182" s="95" cm="1">
        <f ca="1" t="array" ref="H182">MIN(30-SUM(I182:L182),_xlfn.XLOOKUP($D182&amp;"_"&amp;H$52,$B$14:$B$36&amp;"_"&amp;$C$14:$C$36,$D$14:$D$36)*$E182,18)</f>
        <v>18</v>
      </c>
      <c r="I182" s="95" cm="1">
        <f ca="1" t="array" ref="I182">MIN(30-SUM(J182:L182),6-L182,_xlfn.XLOOKUP($D182&amp;"_"&amp;I$52,$B$14:$B$36&amp;"_"&amp;$C$14:$C$36,$D$14:$D$36)*$E182)</f>
        <v>1.14274285714286</v>
      </c>
      <c r="J182" s="95" cm="1">
        <f ca="1" t="array" ref="J182">MIN(8,_xlfn.XLOOKUP($D182&amp;"_"&amp;J$52,$B$14:$B$36&amp;"_"&amp;$C$14:$C$36,$D$14:$D$36)*$E182)</f>
        <v>1.2</v>
      </c>
      <c r="K182" s="95" cm="1">
        <f ca="1" t="array" ref="K182">MIN(18,_xlfn.XLOOKUP($D182&amp;"_"&amp;K$52,$B$14:$B$36&amp;"_"&amp;$C$14:$C$36,$D$14:$D$36)*$E182)</f>
        <v>0.448</v>
      </c>
      <c r="L182" s="95" cm="1">
        <f ca="1" t="array" ref="L182">MIN(6,_xlfn.XLOOKUP($D182&amp;"_"&amp;L$52,$B$14:$B$36&amp;"_"&amp;$C$14:$C$36,$D$14:$D$36)*$E182)</f>
        <v>0.84</v>
      </c>
      <c r="M182" s="95" cm="1">
        <f ca="1" t="array" ref="M182">(1+SUMPRODUCT(G182:H182,OFFSET($H$40:$I$40,D182,0)))*(1+OFFSET($J$40,D182,0))^I182*(1+OFFSET($K$40,D182,0))^J182*(1+OFFSET($L$40,D182,0))^K182*(1+OFFSET($M$40,D182,0))^L182</f>
        <v>13.8264109076568</v>
      </c>
      <c r="N182" s="95">
        <f ca="1">MAX(MAX($N$53:N181),OFFSET($C$52,MATCH(M182*1.07,$M$53:$M$2052,1),0)-C182)</f>
        <v>4680</v>
      </c>
    </row>
    <row r="183" spans="2:14">
      <c r="B183" s="95">
        <v>131</v>
      </c>
      <c r="C183" s="95">
        <f t="shared" si="19"/>
        <v>47160</v>
      </c>
      <c r="D183" s="95">
        <f ca="1">_xlfn.XLOOKUP(总览!$B$44,$B$40:$B$45,$C$40:$C$45)</f>
        <v>5</v>
      </c>
      <c r="E183" s="95">
        <f ca="1" t="shared" si="20"/>
        <v>161</v>
      </c>
      <c r="F183" s="95">
        <f ca="1" t="shared" ref="F183:F246" si="21">30-SUM(G183:L183)</f>
        <v>0</v>
      </c>
      <c r="G183" s="95">
        <f ca="1" t="shared" ref="G183:G246" si="22">30-SUM(H183:L183)</f>
        <v>8.346565</v>
      </c>
      <c r="H183" s="95" cm="1">
        <f ca="1" t="array" ref="H183">MIN(30-SUM(I183:L183),_xlfn.XLOOKUP($D183&amp;"_"&amp;H$52,$B$14:$B$36&amp;"_"&amp;$C$14:$C$36,$D$14:$D$36)*$E183,18)</f>
        <v>18</v>
      </c>
      <c r="I183" s="95" cm="1">
        <f ca="1" t="array" ref="I183">MIN(30-SUM(J183:L183),6-L183,_xlfn.XLOOKUP($D183&amp;"_"&amp;I$52,$B$14:$B$36&amp;"_"&amp;$C$14:$C$36,$D$14:$D$36)*$E183)</f>
        <v>1.149885</v>
      </c>
      <c r="J183" s="95" cm="1">
        <f ca="1" t="array" ref="J183">MIN(8,_xlfn.XLOOKUP($D183&amp;"_"&amp;J$52,$B$14:$B$36&amp;"_"&amp;$C$14:$C$36,$D$14:$D$36)*$E183)</f>
        <v>1.2075</v>
      </c>
      <c r="K183" s="95" cm="1">
        <f ca="1" t="array" ref="K183">MIN(18,_xlfn.XLOOKUP($D183&amp;"_"&amp;K$52,$B$14:$B$36&amp;"_"&amp;$C$14:$C$36,$D$14:$D$36)*$E183)</f>
        <v>0.4508</v>
      </c>
      <c r="L183" s="95" cm="1">
        <f ca="1" t="array" ref="L183">MIN(6,_xlfn.XLOOKUP($D183&amp;"_"&amp;L$52,$B$14:$B$36&amp;"_"&amp;$C$14:$C$36,$D$14:$D$36)*$E183)</f>
        <v>0.84525</v>
      </c>
      <c r="M183" s="95" cm="1">
        <f ca="1" t="array" ref="M183">(1+SUMPRODUCT(G183:H183,OFFSET($H$40:$I$40,D183,0)))*(1+OFFSET($J$40,D183,0))^I183*(1+OFFSET($K$40,D183,0))^J183*(1+OFFSET($L$40,D183,0))^K183*(1+OFFSET($M$40,D183,0))^L183</f>
        <v>13.8979121090809</v>
      </c>
      <c r="N183" s="95">
        <f ca="1">MAX(MAX($N$53:N182),OFFSET($C$52,MATCH(M183*1.07,$M$53:$M$2052,1),0)-C183)</f>
        <v>4680</v>
      </c>
    </row>
    <row r="184" spans="2:14">
      <c r="B184" s="95">
        <v>132</v>
      </c>
      <c r="C184" s="95">
        <f t="shared" si="19"/>
        <v>47520</v>
      </c>
      <c r="D184" s="95">
        <f ca="1">_xlfn.XLOOKUP(总览!$B$44,$B$40:$B$45,$C$40:$C$45)</f>
        <v>5</v>
      </c>
      <c r="E184" s="95">
        <f ca="1" t="shared" si="20"/>
        <v>162</v>
      </c>
      <c r="F184" s="95">
        <f ca="1" t="shared" si="21"/>
        <v>0</v>
      </c>
      <c r="G184" s="95">
        <f ca="1" t="shared" si="22"/>
        <v>8.32387285714286</v>
      </c>
      <c r="H184" s="95" cm="1">
        <f ca="1" t="array" ref="H184">MIN(30-SUM(I184:L184),_xlfn.XLOOKUP($D184&amp;"_"&amp;H$52,$B$14:$B$36&amp;"_"&amp;$C$14:$C$36,$D$14:$D$36)*$E184,18)</f>
        <v>18</v>
      </c>
      <c r="I184" s="95" cm="1">
        <f ca="1" t="array" ref="I184">MIN(30-SUM(J184:L184),6-L184,_xlfn.XLOOKUP($D184&amp;"_"&amp;I$52,$B$14:$B$36&amp;"_"&amp;$C$14:$C$36,$D$14:$D$36)*$E184)</f>
        <v>1.15702714285714</v>
      </c>
      <c r="J184" s="95" cm="1">
        <f ca="1" t="array" ref="J184">MIN(8,_xlfn.XLOOKUP($D184&amp;"_"&amp;J$52,$B$14:$B$36&amp;"_"&amp;$C$14:$C$36,$D$14:$D$36)*$E184)</f>
        <v>1.215</v>
      </c>
      <c r="K184" s="95" cm="1">
        <f ca="1" t="array" ref="K184">MIN(18,_xlfn.XLOOKUP($D184&amp;"_"&amp;K$52,$B$14:$B$36&amp;"_"&amp;$C$14:$C$36,$D$14:$D$36)*$E184)</f>
        <v>0.4536</v>
      </c>
      <c r="L184" s="95" cm="1">
        <f ca="1" t="array" ref="L184">MIN(6,_xlfn.XLOOKUP($D184&amp;"_"&amp;L$52,$B$14:$B$36&amp;"_"&amp;$C$14:$C$36,$D$14:$D$36)*$E184)</f>
        <v>0.8505</v>
      </c>
      <c r="M184" s="95" cm="1">
        <f ca="1" t="array" ref="M184">(1+SUMPRODUCT(G184:H184,OFFSET($H$40:$I$40,D184,0)))*(1+OFFSET($J$40,D184,0))^I184*(1+OFFSET($K$40,D184,0))^J184*(1+OFFSET($L$40,D184,0))^K184*(1+OFFSET($M$40,D184,0))^L184</f>
        <v>13.9697797669297</v>
      </c>
      <c r="N184" s="95">
        <f ca="1">MAX(MAX($N$53:N183),OFFSET($C$52,MATCH(M184*1.07,$M$53:$M$2052,1),0)-C184)</f>
        <v>4680</v>
      </c>
    </row>
    <row r="185" spans="2:14">
      <c r="B185" s="95">
        <v>133</v>
      </c>
      <c r="C185" s="95">
        <f t="shared" si="19"/>
        <v>47880</v>
      </c>
      <c r="D185" s="95">
        <f ca="1">_xlfn.XLOOKUP(总览!$B$44,$B$40:$B$45,$C$40:$C$45)</f>
        <v>5</v>
      </c>
      <c r="E185" s="95">
        <f ca="1" t="shared" si="20"/>
        <v>163</v>
      </c>
      <c r="F185" s="95">
        <f ca="1" t="shared" si="21"/>
        <v>0</v>
      </c>
      <c r="G185" s="95">
        <f ca="1" t="shared" si="22"/>
        <v>8.30118071428572</v>
      </c>
      <c r="H185" s="95" cm="1">
        <f ca="1" t="array" ref="H185">MIN(30-SUM(I185:L185),_xlfn.XLOOKUP($D185&amp;"_"&amp;H$52,$B$14:$B$36&amp;"_"&amp;$C$14:$C$36,$D$14:$D$36)*$E185,18)</f>
        <v>18</v>
      </c>
      <c r="I185" s="95" cm="1">
        <f ca="1" t="array" ref="I185">MIN(30-SUM(J185:L185),6-L185,_xlfn.XLOOKUP($D185&amp;"_"&amp;I$52,$B$14:$B$36&amp;"_"&amp;$C$14:$C$36,$D$14:$D$36)*$E185)</f>
        <v>1.16416928571428</v>
      </c>
      <c r="J185" s="95" cm="1">
        <f ca="1" t="array" ref="J185">MIN(8,_xlfn.XLOOKUP($D185&amp;"_"&amp;J$52,$B$14:$B$36&amp;"_"&amp;$C$14:$C$36,$D$14:$D$36)*$E185)</f>
        <v>1.2225</v>
      </c>
      <c r="K185" s="95" cm="1">
        <f ca="1" t="array" ref="K185">MIN(18,_xlfn.XLOOKUP($D185&amp;"_"&amp;K$52,$B$14:$B$36&amp;"_"&amp;$C$14:$C$36,$D$14:$D$36)*$E185)</f>
        <v>0.4564</v>
      </c>
      <c r="L185" s="95" cm="1">
        <f ca="1" t="array" ref="L185">MIN(6,_xlfn.XLOOKUP($D185&amp;"_"&amp;L$52,$B$14:$B$36&amp;"_"&amp;$C$14:$C$36,$D$14:$D$36)*$E185)</f>
        <v>0.85575</v>
      </c>
      <c r="M185" s="95" cm="1">
        <f ca="1" t="array" ref="M185">(1+SUMPRODUCT(G185:H185,OFFSET($H$40:$I$40,D185,0)))*(1+OFFSET($J$40,D185,0))^I185*(1+OFFSET($K$40,D185,0))^J185*(1+OFFSET($L$40,D185,0))^K185*(1+OFFSET($M$40,D185,0))^L185</f>
        <v>14.0420157389071</v>
      </c>
      <c r="N185" s="95">
        <f ca="1">MAX(MAX($N$53:N184),OFFSET($C$52,MATCH(M185*1.07,$M$53:$M$2052,1),0)-C185)</f>
        <v>4680</v>
      </c>
    </row>
    <row r="186" spans="2:14">
      <c r="B186" s="95">
        <v>134</v>
      </c>
      <c r="C186" s="95">
        <f t="shared" si="19"/>
        <v>48240</v>
      </c>
      <c r="D186" s="95">
        <f ca="1">_xlfn.XLOOKUP(总览!$B$44,$B$40:$B$45,$C$40:$C$45)</f>
        <v>5</v>
      </c>
      <c r="E186" s="95">
        <f ca="1" t="shared" si="20"/>
        <v>164</v>
      </c>
      <c r="F186" s="95">
        <f ca="1" t="shared" si="21"/>
        <v>0</v>
      </c>
      <c r="G186" s="95">
        <f ca="1" t="shared" si="22"/>
        <v>8.27848857142857</v>
      </c>
      <c r="H186" s="95" cm="1">
        <f ca="1" t="array" ref="H186">MIN(30-SUM(I186:L186),_xlfn.XLOOKUP($D186&amp;"_"&amp;H$52,$B$14:$B$36&amp;"_"&amp;$C$14:$C$36,$D$14:$D$36)*$E186,18)</f>
        <v>18</v>
      </c>
      <c r="I186" s="95" cm="1">
        <f ca="1" t="array" ref="I186">MIN(30-SUM(J186:L186),6-L186,_xlfn.XLOOKUP($D186&amp;"_"&amp;I$52,$B$14:$B$36&amp;"_"&amp;$C$14:$C$36,$D$14:$D$36)*$E186)</f>
        <v>1.17131142857143</v>
      </c>
      <c r="J186" s="95" cm="1">
        <f ca="1" t="array" ref="J186">MIN(8,_xlfn.XLOOKUP($D186&amp;"_"&amp;J$52,$B$14:$B$36&amp;"_"&amp;$C$14:$C$36,$D$14:$D$36)*$E186)</f>
        <v>1.23</v>
      </c>
      <c r="K186" s="95" cm="1">
        <f ca="1" t="array" ref="K186">MIN(18,_xlfn.XLOOKUP($D186&amp;"_"&amp;K$52,$B$14:$B$36&amp;"_"&amp;$C$14:$C$36,$D$14:$D$36)*$E186)</f>
        <v>0.4592</v>
      </c>
      <c r="L186" s="95" cm="1">
        <f ca="1" t="array" ref="L186">MIN(6,_xlfn.XLOOKUP($D186&amp;"_"&amp;L$52,$B$14:$B$36&amp;"_"&amp;$C$14:$C$36,$D$14:$D$36)*$E186)</f>
        <v>0.861</v>
      </c>
      <c r="M186" s="95" cm="1">
        <f ca="1" t="array" ref="M186">(1+SUMPRODUCT(G186:H186,OFFSET($H$40:$I$40,D186,0)))*(1+OFFSET($J$40,D186,0))^I186*(1+OFFSET($K$40,D186,0))^J186*(1+OFFSET($L$40,D186,0))^K186*(1+OFFSET($M$40,D186,0))^L186</f>
        <v>14.1146218920066</v>
      </c>
      <c r="N186" s="95">
        <f ca="1">MAX(MAX($N$53:N185),OFFSET($C$52,MATCH(M186*1.07,$M$53:$M$2052,1),0)-C186)</f>
        <v>4680</v>
      </c>
    </row>
    <row r="187" spans="2:14">
      <c r="B187" s="95">
        <v>135</v>
      </c>
      <c r="C187" s="95">
        <f t="shared" si="19"/>
        <v>48600</v>
      </c>
      <c r="D187" s="95">
        <f ca="1">_xlfn.XLOOKUP(总览!$B$44,$B$40:$B$45,$C$40:$C$45)</f>
        <v>5</v>
      </c>
      <c r="E187" s="95">
        <f ca="1" t="shared" si="20"/>
        <v>165</v>
      </c>
      <c r="F187" s="95">
        <f ca="1" t="shared" si="21"/>
        <v>0</v>
      </c>
      <c r="G187" s="95">
        <f ca="1" t="shared" si="22"/>
        <v>8.25579642857143</v>
      </c>
      <c r="H187" s="95" cm="1">
        <f ca="1" t="array" ref="H187">MIN(30-SUM(I187:L187),_xlfn.XLOOKUP($D187&amp;"_"&amp;H$52,$B$14:$B$36&amp;"_"&amp;$C$14:$C$36,$D$14:$D$36)*$E187,18)</f>
        <v>18</v>
      </c>
      <c r="I187" s="95" cm="1">
        <f ca="1" t="array" ref="I187">MIN(30-SUM(J187:L187),6-L187,_xlfn.XLOOKUP($D187&amp;"_"&amp;I$52,$B$14:$B$36&amp;"_"&amp;$C$14:$C$36,$D$14:$D$36)*$E187)</f>
        <v>1.17845357142857</v>
      </c>
      <c r="J187" s="95" cm="1">
        <f ca="1" t="array" ref="J187">MIN(8,_xlfn.XLOOKUP($D187&amp;"_"&amp;J$52,$B$14:$B$36&amp;"_"&amp;$C$14:$C$36,$D$14:$D$36)*$E187)</f>
        <v>1.2375</v>
      </c>
      <c r="K187" s="95" cm="1">
        <f ca="1" t="array" ref="K187">MIN(18,_xlfn.XLOOKUP($D187&amp;"_"&amp;K$52,$B$14:$B$36&amp;"_"&amp;$C$14:$C$36,$D$14:$D$36)*$E187)</f>
        <v>0.462</v>
      </c>
      <c r="L187" s="95" cm="1">
        <f ca="1" t="array" ref="L187">MIN(6,_xlfn.XLOOKUP($D187&amp;"_"&amp;L$52,$B$14:$B$36&amp;"_"&amp;$C$14:$C$36,$D$14:$D$36)*$E187)</f>
        <v>0.86625</v>
      </c>
      <c r="M187" s="95" cm="1">
        <f ca="1" t="array" ref="M187">(1+SUMPRODUCT(G187:H187,OFFSET($H$40:$I$40,D187,0)))*(1+OFFSET($J$40,D187,0))^I187*(1+OFFSET($K$40,D187,0))^J187*(1+OFFSET($L$40,D187,0))^K187*(1+OFFSET($M$40,D187,0))^L187</f>
        <v>14.1876001025569</v>
      </c>
      <c r="N187" s="95">
        <f ca="1">MAX(MAX($N$53:N186),OFFSET($C$52,MATCH(M187*1.07,$M$53:$M$2052,1),0)-C187)</f>
        <v>4680</v>
      </c>
    </row>
    <row r="188" spans="2:14">
      <c r="B188" s="95">
        <v>136</v>
      </c>
      <c r="C188" s="95">
        <f t="shared" si="19"/>
        <v>48960</v>
      </c>
      <c r="D188" s="95">
        <f ca="1">_xlfn.XLOOKUP(总览!$B$44,$B$40:$B$45,$C$40:$C$45)</f>
        <v>5</v>
      </c>
      <c r="E188" s="95">
        <f ca="1" t="shared" si="20"/>
        <v>166</v>
      </c>
      <c r="F188" s="95">
        <f ca="1" t="shared" si="21"/>
        <v>0</v>
      </c>
      <c r="G188" s="95">
        <f ca="1" t="shared" si="22"/>
        <v>8.23310428571429</v>
      </c>
      <c r="H188" s="95" cm="1">
        <f ca="1" t="array" ref="H188">MIN(30-SUM(I188:L188),_xlfn.XLOOKUP($D188&amp;"_"&amp;H$52,$B$14:$B$36&amp;"_"&amp;$C$14:$C$36,$D$14:$D$36)*$E188,18)</f>
        <v>18</v>
      </c>
      <c r="I188" s="95" cm="1">
        <f ca="1" t="array" ref="I188">MIN(30-SUM(J188:L188),6-L188,_xlfn.XLOOKUP($D188&amp;"_"&amp;I$52,$B$14:$B$36&amp;"_"&amp;$C$14:$C$36,$D$14:$D$36)*$E188)</f>
        <v>1.18559571428571</v>
      </c>
      <c r="J188" s="95" cm="1">
        <f ca="1" t="array" ref="J188">MIN(8,_xlfn.XLOOKUP($D188&amp;"_"&amp;J$52,$B$14:$B$36&amp;"_"&amp;$C$14:$C$36,$D$14:$D$36)*$E188)</f>
        <v>1.245</v>
      </c>
      <c r="K188" s="95" cm="1">
        <f ca="1" t="array" ref="K188">MIN(18,_xlfn.XLOOKUP($D188&amp;"_"&amp;K$52,$B$14:$B$36&amp;"_"&amp;$C$14:$C$36,$D$14:$D$36)*$E188)</f>
        <v>0.4648</v>
      </c>
      <c r="L188" s="95" cm="1">
        <f ca="1" t="array" ref="L188">MIN(6,_xlfn.XLOOKUP($D188&amp;"_"&amp;L$52,$B$14:$B$36&amp;"_"&amp;$C$14:$C$36,$D$14:$D$36)*$E188)</f>
        <v>0.8715</v>
      </c>
      <c r="M188" s="95" cm="1">
        <f ca="1" t="array" ref="M188">(1+SUMPRODUCT(G188:H188,OFFSET($H$40:$I$40,D188,0)))*(1+OFFSET($J$40,D188,0))^I188*(1+OFFSET($K$40,D188,0))^J188*(1+OFFSET($L$40,D188,0))^K188*(1+OFFSET($M$40,D188,0))^L188</f>
        <v>14.2609522562678</v>
      </c>
      <c r="N188" s="95">
        <f ca="1">MAX(MAX($N$53:N187),OFFSET($C$52,MATCH(M188*1.07,$M$53:$M$2052,1),0)-C188)</f>
        <v>4680</v>
      </c>
    </row>
    <row r="189" spans="2:14">
      <c r="B189" s="95">
        <v>137</v>
      </c>
      <c r="C189" s="95">
        <f t="shared" si="19"/>
        <v>49320</v>
      </c>
      <c r="D189" s="95">
        <f ca="1">_xlfn.XLOOKUP(总览!$B$44,$B$40:$B$45,$C$40:$C$45)</f>
        <v>5</v>
      </c>
      <c r="E189" s="95">
        <f ca="1" t="shared" si="20"/>
        <v>167</v>
      </c>
      <c r="F189" s="95">
        <f ca="1" t="shared" si="21"/>
        <v>0</v>
      </c>
      <c r="G189" s="95">
        <f ca="1" t="shared" si="22"/>
        <v>8.21041214285714</v>
      </c>
      <c r="H189" s="95" cm="1">
        <f ca="1" t="array" ref="H189">MIN(30-SUM(I189:L189),_xlfn.XLOOKUP($D189&amp;"_"&amp;H$52,$B$14:$B$36&amp;"_"&amp;$C$14:$C$36,$D$14:$D$36)*$E189,18)</f>
        <v>18</v>
      </c>
      <c r="I189" s="95" cm="1">
        <f ca="1" t="array" ref="I189">MIN(30-SUM(J189:L189),6-L189,_xlfn.XLOOKUP($D189&amp;"_"&amp;I$52,$B$14:$B$36&amp;"_"&amp;$C$14:$C$36,$D$14:$D$36)*$E189)</f>
        <v>1.19273785714285</v>
      </c>
      <c r="J189" s="95" cm="1">
        <f ca="1" t="array" ref="J189">MIN(8,_xlfn.XLOOKUP($D189&amp;"_"&amp;J$52,$B$14:$B$36&amp;"_"&amp;$C$14:$C$36,$D$14:$D$36)*$E189)</f>
        <v>1.2525</v>
      </c>
      <c r="K189" s="95" cm="1">
        <f ca="1" t="array" ref="K189">MIN(18,_xlfn.XLOOKUP($D189&amp;"_"&amp;K$52,$B$14:$B$36&amp;"_"&amp;$C$14:$C$36,$D$14:$D$36)*$E189)</f>
        <v>0.4676</v>
      </c>
      <c r="L189" s="95" cm="1">
        <f ca="1" t="array" ref="L189">MIN(6,_xlfn.XLOOKUP($D189&amp;"_"&amp;L$52,$B$14:$B$36&amp;"_"&amp;$C$14:$C$36,$D$14:$D$36)*$E189)</f>
        <v>0.87675</v>
      </c>
      <c r="M189" s="95" cm="1">
        <f ca="1" t="array" ref="M189">(1+SUMPRODUCT(G189:H189,OFFSET($H$40:$I$40,D189,0)))*(1+OFFSET($J$40,D189,0))^I189*(1+OFFSET($K$40,D189,0))^J189*(1+OFFSET($L$40,D189,0))^K189*(1+OFFSET($M$40,D189,0))^L189</f>
        <v>14.3346802482762</v>
      </c>
      <c r="N189" s="95">
        <f ca="1">MAX(MAX($N$53:N188),OFFSET($C$52,MATCH(M189*1.07,$M$53:$M$2052,1),0)-C189)</f>
        <v>4680</v>
      </c>
    </row>
    <row r="190" spans="2:14">
      <c r="B190" s="95">
        <v>138</v>
      </c>
      <c r="C190" s="95">
        <f t="shared" si="19"/>
        <v>49680</v>
      </c>
      <c r="D190" s="95">
        <f ca="1">_xlfn.XLOOKUP(总览!$B$44,$B$40:$B$45,$C$40:$C$45)</f>
        <v>5</v>
      </c>
      <c r="E190" s="95">
        <f ca="1" t="shared" si="20"/>
        <v>168</v>
      </c>
      <c r="F190" s="95">
        <f ca="1" t="shared" si="21"/>
        <v>0</v>
      </c>
      <c r="G190" s="95">
        <f ca="1" t="shared" si="22"/>
        <v>8.18772</v>
      </c>
      <c r="H190" s="95" cm="1">
        <f ca="1" t="array" ref="H190">MIN(30-SUM(I190:L190),_xlfn.XLOOKUP($D190&amp;"_"&amp;H$52,$B$14:$B$36&amp;"_"&amp;$C$14:$C$36,$D$14:$D$36)*$E190,18)</f>
        <v>18</v>
      </c>
      <c r="I190" s="95" cm="1">
        <f ca="1" t="array" ref="I190">MIN(30-SUM(J190:L190),6-L190,_xlfn.XLOOKUP($D190&amp;"_"&amp;I$52,$B$14:$B$36&amp;"_"&amp;$C$14:$C$36,$D$14:$D$36)*$E190)</f>
        <v>1.19988</v>
      </c>
      <c r="J190" s="95" cm="1">
        <f ca="1" t="array" ref="J190">MIN(8,_xlfn.XLOOKUP($D190&amp;"_"&amp;J$52,$B$14:$B$36&amp;"_"&amp;$C$14:$C$36,$D$14:$D$36)*$E190)</f>
        <v>1.26</v>
      </c>
      <c r="K190" s="95" cm="1">
        <f ca="1" t="array" ref="K190">MIN(18,_xlfn.XLOOKUP($D190&amp;"_"&amp;K$52,$B$14:$B$36&amp;"_"&amp;$C$14:$C$36,$D$14:$D$36)*$E190)</f>
        <v>0.4704</v>
      </c>
      <c r="L190" s="95" cm="1">
        <f ca="1" t="array" ref="L190">MIN(6,_xlfn.XLOOKUP($D190&amp;"_"&amp;L$52,$B$14:$B$36&amp;"_"&amp;$C$14:$C$36,$D$14:$D$36)*$E190)</f>
        <v>0.882</v>
      </c>
      <c r="M190" s="95" cm="1">
        <f ca="1" t="array" ref="M190">(1+SUMPRODUCT(G190:H190,OFFSET($H$40:$I$40,D190,0)))*(1+OFFSET($J$40,D190,0))^I190*(1+OFFSET($K$40,D190,0))^J190*(1+OFFSET($L$40,D190,0))^K190*(1+OFFSET($M$40,D190,0))^L190</f>
        <v>14.4087859831926</v>
      </c>
      <c r="N190" s="95">
        <f ca="1">MAX(MAX($N$53:N189),OFFSET($C$52,MATCH(M190*1.07,$M$53:$M$2052,1),0)-C190)</f>
        <v>4680</v>
      </c>
    </row>
    <row r="191" spans="2:14">
      <c r="B191" s="95">
        <v>139</v>
      </c>
      <c r="C191" s="95">
        <f t="shared" si="19"/>
        <v>50040</v>
      </c>
      <c r="D191" s="95">
        <f ca="1">_xlfn.XLOOKUP(总览!$B$44,$B$40:$B$45,$C$40:$C$45)</f>
        <v>5</v>
      </c>
      <c r="E191" s="95">
        <f ca="1" t="shared" si="20"/>
        <v>169</v>
      </c>
      <c r="F191" s="95">
        <f ca="1" t="shared" si="21"/>
        <v>0</v>
      </c>
      <c r="G191" s="95">
        <f ca="1" t="shared" si="22"/>
        <v>8.16502785714286</v>
      </c>
      <c r="H191" s="95" cm="1">
        <f ca="1" t="array" ref="H191">MIN(30-SUM(I191:L191),_xlfn.XLOOKUP($D191&amp;"_"&amp;H$52,$B$14:$B$36&amp;"_"&amp;$C$14:$C$36,$D$14:$D$36)*$E191,18)</f>
        <v>18</v>
      </c>
      <c r="I191" s="95" cm="1">
        <f ca="1" t="array" ref="I191">MIN(30-SUM(J191:L191),6-L191,_xlfn.XLOOKUP($D191&amp;"_"&amp;I$52,$B$14:$B$36&amp;"_"&amp;$C$14:$C$36,$D$14:$D$36)*$E191)</f>
        <v>1.20702214285714</v>
      </c>
      <c r="J191" s="95" cm="1">
        <f ca="1" t="array" ref="J191">MIN(8,_xlfn.XLOOKUP($D191&amp;"_"&amp;J$52,$B$14:$B$36&amp;"_"&amp;$C$14:$C$36,$D$14:$D$36)*$E191)</f>
        <v>1.2675</v>
      </c>
      <c r="K191" s="95" cm="1">
        <f ca="1" t="array" ref="K191">MIN(18,_xlfn.XLOOKUP($D191&amp;"_"&amp;K$52,$B$14:$B$36&amp;"_"&amp;$C$14:$C$36,$D$14:$D$36)*$E191)</f>
        <v>0.4732</v>
      </c>
      <c r="L191" s="95" cm="1">
        <f ca="1" t="array" ref="L191">MIN(6,_xlfn.XLOOKUP($D191&amp;"_"&amp;L$52,$B$14:$B$36&amp;"_"&amp;$C$14:$C$36,$D$14:$D$36)*$E191)</f>
        <v>0.88725</v>
      </c>
      <c r="M191" s="95" cm="1">
        <f ca="1" t="array" ref="M191">(1+SUMPRODUCT(G191:H191,OFFSET($H$40:$I$40,D191,0)))*(1+OFFSET($J$40,D191,0))^I191*(1+OFFSET($K$40,D191,0))^J191*(1+OFFSET($L$40,D191,0))^K191*(1+OFFSET($M$40,D191,0))^L191</f>
        <v>14.4832713751472</v>
      </c>
      <c r="N191" s="95">
        <f ca="1">MAX(MAX($N$53:N190),OFFSET($C$52,MATCH(M191*1.07,$M$53:$M$2052,1),0)-C191)</f>
        <v>4680</v>
      </c>
    </row>
    <row r="192" spans="2:14">
      <c r="B192" s="95">
        <v>140</v>
      </c>
      <c r="C192" s="95">
        <f t="shared" si="19"/>
        <v>50400</v>
      </c>
      <c r="D192" s="95">
        <f ca="1">_xlfn.XLOOKUP(总览!$B$44,$B$40:$B$45,$C$40:$C$45)</f>
        <v>5</v>
      </c>
      <c r="E192" s="95">
        <f ca="1" t="shared" si="20"/>
        <v>170</v>
      </c>
      <c r="F192" s="95">
        <f ca="1" t="shared" si="21"/>
        <v>0</v>
      </c>
      <c r="G192" s="95">
        <f ca="1" t="shared" si="22"/>
        <v>8.14233571428572</v>
      </c>
      <c r="H192" s="95" cm="1">
        <f ca="1" t="array" ref="H192">MIN(30-SUM(I192:L192),_xlfn.XLOOKUP($D192&amp;"_"&amp;H$52,$B$14:$B$36&amp;"_"&amp;$C$14:$C$36,$D$14:$D$36)*$E192,18)</f>
        <v>18</v>
      </c>
      <c r="I192" s="95" cm="1">
        <f ca="1" t="array" ref="I192">MIN(30-SUM(J192:L192),6-L192,_xlfn.XLOOKUP($D192&amp;"_"&amp;I$52,$B$14:$B$36&amp;"_"&amp;$C$14:$C$36,$D$14:$D$36)*$E192)</f>
        <v>1.21416428571428</v>
      </c>
      <c r="J192" s="95" cm="1">
        <f ca="1" t="array" ref="J192">MIN(8,_xlfn.XLOOKUP($D192&amp;"_"&amp;J$52,$B$14:$B$36&amp;"_"&amp;$C$14:$C$36,$D$14:$D$36)*$E192)</f>
        <v>1.275</v>
      </c>
      <c r="K192" s="95" cm="1">
        <f ca="1" t="array" ref="K192">MIN(18,_xlfn.XLOOKUP($D192&amp;"_"&amp;K$52,$B$14:$B$36&amp;"_"&amp;$C$14:$C$36,$D$14:$D$36)*$E192)</f>
        <v>0.476</v>
      </c>
      <c r="L192" s="95" cm="1">
        <f ca="1" t="array" ref="L192">MIN(6,_xlfn.XLOOKUP($D192&amp;"_"&amp;L$52,$B$14:$B$36&amp;"_"&amp;$C$14:$C$36,$D$14:$D$36)*$E192)</f>
        <v>0.8925</v>
      </c>
      <c r="M192" s="95" cm="1">
        <f ca="1" t="array" ref="M192">(1+SUMPRODUCT(G192:H192,OFFSET($H$40:$I$40,D192,0)))*(1+OFFSET($J$40,D192,0))^I192*(1+OFFSET($K$40,D192,0))^J192*(1+OFFSET($L$40,D192,0))^K192*(1+OFFSET($M$40,D192,0))^L192</f>
        <v>14.5581383478374</v>
      </c>
      <c r="N192" s="95">
        <f ca="1">MAX(MAX($N$53:N191),OFFSET($C$52,MATCH(M192*1.07,$M$53:$M$2052,1),0)-C192)</f>
        <v>4680</v>
      </c>
    </row>
    <row r="193" spans="2:14">
      <c r="B193" s="95">
        <v>141</v>
      </c>
      <c r="C193" s="95">
        <f t="shared" ref="C193:C256" si="23">C192+360</f>
        <v>50760</v>
      </c>
      <c r="D193" s="95">
        <f ca="1">_xlfn.XLOOKUP(总览!$B$44,$B$40:$B$45,$C$40:$C$45)</f>
        <v>5</v>
      </c>
      <c r="E193" s="95">
        <f ca="1" t="shared" si="20"/>
        <v>171</v>
      </c>
      <c r="F193" s="95">
        <f ca="1" t="shared" si="21"/>
        <v>0</v>
      </c>
      <c r="G193" s="95">
        <f ca="1" t="shared" si="22"/>
        <v>8.11964357142858</v>
      </c>
      <c r="H193" s="95" cm="1">
        <f ca="1" t="array" ref="H193">MIN(30-SUM(I193:L193),_xlfn.XLOOKUP($D193&amp;"_"&amp;H$52,$B$14:$B$36&amp;"_"&amp;$C$14:$C$36,$D$14:$D$36)*$E193,18)</f>
        <v>18</v>
      </c>
      <c r="I193" s="95" cm="1">
        <f ca="1" t="array" ref="I193">MIN(30-SUM(J193:L193),6-L193,_xlfn.XLOOKUP($D193&amp;"_"&amp;I$52,$B$14:$B$36&amp;"_"&amp;$C$14:$C$36,$D$14:$D$36)*$E193)</f>
        <v>1.22130642857143</v>
      </c>
      <c r="J193" s="95" cm="1">
        <f ca="1" t="array" ref="J193">MIN(8,_xlfn.XLOOKUP($D193&amp;"_"&amp;J$52,$B$14:$B$36&amp;"_"&amp;$C$14:$C$36,$D$14:$D$36)*$E193)</f>
        <v>1.2825</v>
      </c>
      <c r="K193" s="95" cm="1">
        <f ca="1" t="array" ref="K193">MIN(18,_xlfn.XLOOKUP($D193&amp;"_"&amp;K$52,$B$14:$B$36&amp;"_"&amp;$C$14:$C$36,$D$14:$D$36)*$E193)</f>
        <v>0.4788</v>
      </c>
      <c r="L193" s="95" cm="1">
        <f ca="1" t="array" ref="L193">MIN(6,_xlfn.XLOOKUP($D193&amp;"_"&amp;L$52,$B$14:$B$36&amp;"_"&amp;$C$14:$C$36,$D$14:$D$36)*$E193)</f>
        <v>0.89775</v>
      </c>
      <c r="M193" s="95" cm="1">
        <f ca="1" t="array" ref="M193">(1+SUMPRODUCT(G193:H193,OFFSET($H$40:$I$40,D193,0)))*(1+OFFSET($J$40,D193,0))^I193*(1+OFFSET($K$40,D193,0))^J193*(1+OFFSET($L$40,D193,0))^K193*(1+OFFSET($M$40,D193,0))^L193</f>
        <v>14.6333888345738</v>
      </c>
      <c r="N193" s="95">
        <f ca="1">MAX(MAX($N$53:N192),OFFSET($C$52,MATCH(M193*1.07,$M$53:$M$2052,1),0)-C193)</f>
        <v>4680</v>
      </c>
    </row>
    <row r="194" spans="2:14">
      <c r="B194" s="95">
        <v>142</v>
      </c>
      <c r="C194" s="95">
        <f t="shared" si="23"/>
        <v>51120</v>
      </c>
      <c r="D194" s="95">
        <f ca="1">_xlfn.XLOOKUP(总览!$B$44,$B$40:$B$45,$C$40:$C$45)</f>
        <v>5</v>
      </c>
      <c r="E194" s="95">
        <f ca="1" t="shared" si="20"/>
        <v>172</v>
      </c>
      <c r="F194" s="95">
        <f ca="1" t="shared" si="21"/>
        <v>0</v>
      </c>
      <c r="G194" s="95">
        <f ca="1" t="shared" si="22"/>
        <v>8.09695142857143</v>
      </c>
      <c r="H194" s="95" cm="1">
        <f ca="1" t="array" ref="H194">MIN(30-SUM(I194:L194),_xlfn.XLOOKUP($D194&amp;"_"&amp;H$52,$B$14:$B$36&amp;"_"&amp;$C$14:$C$36,$D$14:$D$36)*$E194,18)</f>
        <v>18</v>
      </c>
      <c r="I194" s="95" cm="1">
        <f ca="1" t="array" ref="I194">MIN(30-SUM(J194:L194),6-L194,_xlfn.XLOOKUP($D194&amp;"_"&amp;I$52,$B$14:$B$36&amp;"_"&amp;$C$14:$C$36,$D$14:$D$36)*$E194)</f>
        <v>1.22844857142857</v>
      </c>
      <c r="J194" s="95" cm="1">
        <f ca="1" t="array" ref="J194">MIN(8,_xlfn.XLOOKUP($D194&amp;"_"&amp;J$52,$B$14:$B$36&amp;"_"&amp;$C$14:$C$36,$D$14:$D$36)*$E194)</f>
        <v>1.29</v>
      </c>
      <c r="K194" s="95" cm="1">
        <f ca="1" t="array" ref="K194">MIN(18,_xlfn.XLOOKUP($D194&amp;"_"&amp;K$52,$B$14:$B$36&amp;"_"&amp;$C$14:$C$36,$D$14:$D$36)*$E194)</f>
        <v>0.4816</v>
      </c>
      <c r="L194" s="95" cm="1">
        <f ca="1" t="array" ref="L194">MIN(6,_xlfn.XLOOKUP($D194&amp;"_"&amp;L$52,$B$14:$B$36&amp;"_"&amp;$C$14:$C$36,$D$14:$D$36)*$E194)</f>
        <v>0.903</v>
      </c>
      <c r="M194" s="95" cm="1">
        <f ca="1" t="array" ref="M194">(1+SUMPRODUCT(G194:H194,OFFSET($H$40:$I$40,D194,0)))*(1+OFFSET($J$40,D194,0))^I194*(1+OFFSET($K$40,D194,0))^J194*(1+OFFSET($L$40,D194,0))^K194*(1+OFFSET($M$40,D194,0))^L194</f>
        <v>14.7090247783284</v>
      </c>
      <c r="N194" s="95">
        <f ca="1">MAX(MAX($N$53:N193),OFFSET($C$52,MATCH(M194*1.07,$M$53:$M$2052,1),0)-C194)</f>
        <v>4680</v>
      </c>
    </row>
    <row r="195" spans="2:14">
      <c r="B195" s="95">
        <v>143</v>
      </c>
      <c r="C195" s="95">
        <f t="shared" si="23"/>
        <v>51480</v>
      </c>
      <c r="D195" s="95">
        <f ca="1">_xlfn.XLOOKUP(总览!$B$44,$B$40:$B$45,$C$40:$C$45)</f>
        <v>5</v>
      </c>
      <c r="E195" s="95">
        <f ca="1" t="shared" si="20"/>
        <v>173</v>
      </c>
      <c r="F195" s="95">
        <f ca="1" t="shared" si="21"/>
        <v>0</v>
      </c>
      <c r="G195" s="95">
        <f ca="1" t="shared" si="22"/>
        <v>8.07425928571429</v>
      </c>
      <c r="H195" s="95" cm="1">
        <f ca="1" t="array" ref="H195">MIN(30-SUM(I195:L195),_xlfn.XLOOKUP($D195&amp;"_"&amp;H$52,$B$14:$B$36&amp;"_"&amp;$C$14:$C$36,$D$14:$D$36)*$E195,18)</f>
        <v>18</v>
      </c>
      <c r="I195" s="95" cm="1">
        <f ca="1" t="array" ref="I195">MIN(30-SUM(J195:L195),6-L195,_xlfn.XLOOKUP($D195&amp;"_"&amp;I$52,$B$14:$B$36&amp;"_"&amp;$C$14:$C$36,$D$14:$D$36)*$E195)</f>
        <v>1.23559071428571</v>
      </c>
      <c r="J195" s="95" cm="1">
        <f ca="1" t="array" ref="J195">MIN(8,_xlfn.XLOOKUP($D195&amp;"_"&amp;J$52,$B$14:$B$36&amp;"_"&amp;$C$14:$C$36,$D$14:$D$36)*$E195)</f>
        <v>1.2975</v>
      </c>
      <c r="K195" s="95" cm="1">
        <f ca="1" t="array" ref="K195">MIN(18,_xlfn.XLOOKUP($D195&amp;"_"&amp;K$52,$B$14:$B$36&amp;"_"&amp;$C$14:$C$36,$D$14:$D$36)*$E195)</f>
        <v>0.4844</v>
      </c>
      <c r="L195" s="95" cm="1">
        <f ca="1" t="array" ref="L195">MIN(6,_xlfn.XLOOKUP($D195&amp;"_"&amp;L$52,$B$14:$B$36&amp;"_"&amp;$C$14:$C$36,$D$14:$D$36)*$E195)</f>
        <v>0.90825</v>
      </c>
      <c r="M195" s="95" cm="1">
        <f ca="1" t="array" ref="M195">(1+SUMPRODUCT(G195:H195,OFFSET($H$40:$I$40,D195,0)))*(1+OFFSET($J$40,D195,0))^I195*(1+OFFSET($K$40,D195,0))^J195*(1+OFFSET($L$40,D195,0))^K195*(1+OFFSET($M$40,D195,0))^L195</f>
        <v>14.7850481317811</v>
      </c>
      <c r="N195" s="95">
        <f ca="1">MAX(MAX($N$53:N194),OFFSET($C$52,MATCH(M195*1.07,$M$53:$M$2052,1),0)-C195)</f>
        <v>4680</v>
      </c>
    </row>
    <row r="196" spans="2:14">
      <c r="B196" s="95">
        <v>144</v>
      </c>
      <c r="C196" s="95">
        <f t="shared" si="23"/>
        <v>51840</v>
      </c>
      <c r="D196" s="95">
        <f ca="1">_xlfn.XLOOKUP(总览!$B$44,$B$40:$B$45,$C$40:$C$45)</f>
        <v>5</v>
      </c>
      <c r="E196" s="95">
        <f ca="1" t="shared" si="20"/>
        <v>174</v>
      </c>
      <c r="F196" s="95">
        <f ca="1" t="shared" si="21"/>
        <v>0</v>
      </c>
      <c r="G196" s="95">
        <f ca="1" t="shared" si="22"/>
        <v>8.05156714285715</v>
      </c>
      <c r="H196" s="95" cm="1">
        <f ca="1" t="array" ref="H196">MIN(30-SUM(I196:L196),_xlfn.XLOOKUP($D196&amp;"_"&amp;H$52,$B$14:$B$36&amp;"_"&amp;$C$14:$C$36,$D$14:$D$36)*$E196,18)</f>
        <v>18</v>
      </c>
      <c r="I196" s="95" cm="1">
        <f ca="1" t="array" ref="I196">MIN(30-SUM(J196:L196),6-L196,_xlfn.XLOOKUP($D196&amp;"_"&amp;I$52,$B$14:$B$36&amp;"_"&amp;$C$14:$C$36,$D$14:$D$36)*$E196)</f>
        <v>1.24273285714285</v>
      </c>
      <c r="J196" s="95" cm="1">
        <f ca="1" t="array" ref="J196">MIN(8,_xlfn.XLOOKUP($D196&amp;"_"&amp;J$52,$B$14:$B$36&amp;"_"&amp;$C$14:$C$36,$D$14:$D$36)*$E196)</f>
        <v>1.305</v>
      </c>
      <c r="K196" s="95" cm="1">
        <f ca="1" t="array" ref="K196">MIN(18,_xlfn.XLOOKUP($D196&amp;"_"&amp;K$52,$B$14:$B$36&amp;"_"&amp;$C$14:$C$36,$D$14:$D$36)*$E196)</f>
        <v>0.4872</v>
      </c>
      <c r="L196" s="95" cm="1">
        <f ca="1" t="array" ref="L196">MIN(6,_xlfn.XLOOKUP($D196&amp;"_"&amp;L$52,$B$14:$B$36&amp;"_"&amp;$C$14:$C$36,$D$14:$D$36)*$E196)</f>
        <v>0.9135</v>
      </c>
      <c r="M196" s="95" cm="1">
        <f ca="1" t="array" ref="M196">(1+SUMPRODUCT(G196:H196,OFFSET($H$40:$I$40,D196,0)))*(1+OFFSET($J$40,D196,0))^I196*(1+OFFSET($K$40,D196,0))^J196*(1+OFFSET($L$40,D196,0))^K196*(1+OFFSET($M$40,D196,0))^L196</f>
        <v>14.8614608573681</v>
      </c>
      <c r="N196" s="95">
        <f ca="1">MAX(MAX($N$53:N195),OFFSET($C$52,MATCH(M196*1.07,$M$53:$M$2052,1),0)-C196)</f>
        <v>4680</v>
      </c>
    </row>
    <row r="197" spans="2:14">
      <c r="B197" s="95">
        <v>145</v>
      </c>
      <c r="C197" s="95">
        <f t="shared" si="23"/>
        <v>52200</v>
      </c>
      <c r="D197" s="95">
        <f ca="1">_xlfn.XLOOKUP(总览!$B$44,$B$40:$B$45,$C$40:$C$45)</f>
        <v>5</v>
      </c>
      <c r="E197" s="95">
        <f ca="1" t="shared" si="20"/>
        <v>175</v>
      </c>
      <c r="F197" s="95">
        <f ca="1" t="shared" si="21"/>
        <v>0</v>
      </c>
      <c r="G197" s="95">
        <f ca="1" t="shared" si="22"/>
        <v>8.02887500000001</v>
      </c>
      <c r="H197" s="95" cm="1">
        <f ca="1" t="array" ref="H197">MIN(30-SUM(I197:L197),_xlfn.XLOOKUP($D197&amp;"_"&amp;H$52,$B$14:$B$36&amp;"_"&amp;$C$14:$C$36,$D$14:$D$36)*$E197,18)</f>
        <v>18</v>
      </c>
      <c r="I197" s="95" cm="1">
        <f ca="1" t="array" ref="I197">MIN(30-SUM(J197:L197),6-L197,_xlfn.XLOOKUP($D197&amp;"_"&amp;I$52,$B$14:$B$36&amp;"_"&amp;$C$14:$C$36,$D$14:$D$36)*$E197)</f>
        <v>1.249875</v>
      </c>
      <c r="J197" s="95" cm="1">
        <f ca="1" t="array" ref="J197">MIN(8,_xlfn.XLOOKUP($D197&amp;"_"&amp;J$52,$B$14:$B$36&amp;"_"&amp;$C$14:$C$36,$D$14:$D$36)*$E197)</f>
        <v>1.3125</v>
      </c>
      <c r="K197" s="95" cm="1">
        <f ca="1" t="array" ref="K197">MIN(18,_xlfn.XLOOKUP($D197&amp;"_"&amp;K$52,$B$14:$B$36&amp;"_"&amp;$C$14:$C$36,$D$14:$D$36)*$E197)</f>
        <v>0.49</v>
      </c>
      <c r="L197" s="95" cm="1">
        <f ca="1" t="array" ref="L197">MIN(6,_xlfn.XLOOKUP($D197&amp;"_"&amp;L$52,$B$14:$B$36&amp;"_"&amp;$C$14:$C$36,$D$14:$D$36)*$E197)</f>
        <v>0.91875</v>
      </c>
      <c r="M197" s="95" cm="1">
        <f ca="1" t="array" ref="M197">(1+SUMPRODUCT(G197:H197,OFFSET($H$40:$I$40,D197,0)))*(1+OFFSET($J$40,D197,0))^I197*(1+OFFSET($K$40,D197,0))^J197*(1+OFFSET($L$40,D197,0))^K197*(1+OFFSET($M$40,D197,0))^L197</f>
        <v>14.9382649273294</v>
      </c>
      <c r="N197" s="95">
        <f ca="1">MAX(MAX($N$53:N196),OFFSET($C$52,MATCH(M197*1.07,$M$53:$M$2052,1),0)-C197)</f>
        <v>4680</v>
      </c>
    </row>
    <row r="198" spans="2:14">
      <c r="B198" s="95">
        <v>146</v>
      </c>
      <c r="C198" s="95">
        <f t="shared" si="23"/>
        <v>52560</v>
      </c>
      <c r="D198" s="95">
        <f ca="1">_xlfn.XLOOKUP(总览!$B$44,$B$40:$B$45,$C$40:$C$45)</f>
        <v>5</v>
      </c>
      <c r="E198" s="95">
        <f ca="1" t="shared" si="20"/>
        <v>176</v>
      </c>
      <c r="F198" s="95">
        <f ca="1" t="shared" si="21"/>
        <v>0</v>
      </c>
      <c r="G198" s="95">
        <f ca="1" t="shared" si="22"/>
        <v>8.00618285714286</v>
      </c>
      <c r="H198" s="95" cm="1">
        <f ca="1" t="array" ref="H198">MIN(30-SUM(I198:L198),_xlfn.XLOOKUP($D198&amp;"_"&amp;H$52,$B$14:$B$36&amp;"_"&amp;$C$14:$C$36,$D$14:$D$36)*$E198,18)</f>
        <v>18</v>
      </c>
      <c r="I198" s="95" cm="1">
        <f ca="1" t="array" ref="I198">MIN(30-SUM(J198:L198),6-L198,_xlfn.XLOOKUP($D198&amp;"_"&amp;I$52,$B$14:$B$36&amp;"_"&amp;$C$14:$C$36,$D$14:$D$36)*$E198)</f>
        <v>1.25701714285714</v>
      </c>
      <c r="J198" s="95" cm="1">
        <f ca="1" t="array" ref="J198">MIN(8,_xlfn.XLOOKUP($D198&amp;"_"&amp;J$52,$B$14:$B$36&amp;"_"&amp;$C$14:$C$36,$D$14:$D$36)*$E198)</f>
        <v>1.32</v>
      </c>
      <c r="K198" s="95" cm="1">
        <f ca="1" t="array" ref="K198">MIN(18,_xlfn.XLOOKUP($D198&amp;"_"&amp;K$52,$B$14:$B$36&amp;"_"&amp;$C$14:$C$36,$D$14:$D$36)*$E198)</f>
        <v>0.4928</v>
      </c>
      <c r="L198" s="95" cm="1">
        <f ca="1" t="array" ref="L198">MIN(6,_xlfn.XLOOKUP($D198&amp;"_"&amp;L$52,$B$14:$B$36&amp;"_"&amp;$C$14:$C$36,$D$14:$D$36)*$E198)</f>
        <v>0.924</v>
      </c>
      <c r="M198" s="95" cm="1">
        <f ca="1" t="array" ref="M198">(1+SUMPRODUCT(G198:H198,OFFSET($H$40:$I$40,D198,0)))*(1+OFFSET($J$40,D198,0))^I198*(1+OFFSET($K$40,D198,0))^J198*(1+OFFSET($L$40,D198,0))^K198*(1+OFFSET($M$40,D198,0))^L198</f>
        <v>15.015462323757</v>
      </c>
      <c r="N198" s="95">
        <f ca="1">MAX(MAX($N$53:N197),OFFSET($C$52,MATCH(M198*1.07,$M$53:$M$2052,1),0)-C198)</f>
        <v>4680</v>
      </c>
    </row>
    <row r="199" spans="2:14">
      <c r="B199" s="95">
        <v>147</v>
      </c>
      <c r="C199" s="95">
        <f t="shared" si="23"/>
        <v>52920</v>
      </c>
      <c r="D199" s="95">
        <f ca="1">_xlfn.XLOOKUP(总览!$B$44,$B$40:$B$45,$C$40:$C$45)</f>
        <v>5</v>
      </c>
      <c r="E199" s="95">
        <f ca="1" t="shared" si="20"/>
        <v>177</v>
      </c>
      <c r="F199" s="95">
        <f ca="1" t="shared" si="21"/>
        <v>0</v>
      </c>
      <c r="G199" s="95">
        <f ca="1" t="shared" si="22"/>
        <v>7.98349071428572</v>
      </c>
      <c r="H199" s="95" cm="1">
        <f ca="1" t="array" ref="H199">MIN(30-SUM(I199:L199),_xlfn.XLOOKUP($D199&amp;"_"&amp;H$52,$B$14:$B$36&amp;"_"&amp;$C$14:$C$36,$D$14:$D$36)*$E199,18)</f>
        <v>18</v>
      </c>
      <c r="I199" s="95" cm="1">
        <f ca="1" t="array" ref="I199">MIN(30-SUM(J199:L199),6-L199,_xlfn.XLOOKUP($D199&amp;"_"&amp;I$52,$B$14:$B$36&amp;"_"&amp;$C$14:$C$36,$D$14:$D$36)*$E199)</f>
        <v>1.26415928571428</v>
      </c>
      <c r="J199" s="95" cm="1">
        <f ca="1" t="array" ref="J199">MIN(8,_xlfn.XLOOKUP($D199&amp;"_"&amp;J$52,$B$14:$B$36&amp;"_"&amp;$C$14:$C$36,$D$14:$D$36)*$E199)</f>
        <v>1.3275</v>
      </c>
      <c r="K199" s="95" cm="1">
        <f ca="1" t="array" ref="K199">MIN(18,_xlfn.XLOOKUP($D199&amp;"_"&amp;K$52,$B$14:$B$36&amp;"_"&amp;$C$14:$C$36,$D$14:$D$36)*$E199)</f>
        <v>0.4956</v>
      </c>
      <c r="L199" s="95" cm="1">
        <f ca="1" t="array" ref="L199">MIN(6,_xlfn.XLOOKUP($D199&amp;"_"&amp;L$52,$B$14:$B$36&amp;"_"&amp;$C$14:$C$36,$D$14:$D$36)*$E199)</f>
        <v>0.92925</v>
      </c>
      <c r="M199" s="95" cm="1">
        <f ca="1" t="array" ref="M199">(1+SUMPRODUCT(G199:H199,OFFSET($H$40:$I$40,D199,0)))*(1+OFFSET($J$40,D199,0))^I199*(1+OFFSET($K$40,D199,0))^J199*(1+OFFSET($L$40,D199,0))^K199*(1+OFFSET($M$40,D199,0))^L199</f>
        <v>15.0930550386432</v>
      </c>
      <c r="N199" s="95">
        <f ca="1">MAX(MAX($N$53:N198),OFFSET($C$52,MATCH(M199*1.07,$M$53:$M$2052,1),0)-C199)</f>
        <v>4680</v>
      </c>
    </row>
    <row r="200" spans="2:14">
      <c r="B200" s="95">
        <v>148</v>
      </c>
      <c r="C200" s="95">
        <f t="shared" si="23"/>
        <v>53280</v>
      </c>
      <c r="D200" s="95">
        <f ca="1">_xlfn.XLOOKUP(总览!$B$44,$B$40:$B$45,$C$40:$C$45)</f>
        <v>5</v>
      </c>
      <c r="E200" s="95">
        <f ca="1" t="shared" si="20"/>
        <v>178</v>
      </c>
      <c r="F200" s="95">
        <f ca="1" t="shared" si="21"/>
        <v>0</v>
      </c>
      <c r="G200" s="95">
        <f ca="1" t="shared" si="22"/>
        <v>7.96079857142857</v>
      </c>
      <c r="H200" s="95" cm="1">
        <f ca="1" t="array" ref="H200">MIN(30-SUM(I200:L200),_xlfn.XLOOKUP($D200&amp;"_"&amp;H$52,$B$14:$B$36&amp;"_"&amp;$C$14:$C$36,$D$14:$D$36)*$E200,18)</f>
        <v>18</v>
      </c>
      <c r="I200" s="95" cm="1">
        <f ca="1" t="array" ref="I200">MIN(30-SUM(J200:L200),6-L200,_xlfn.XLOOKUP($D200&amp;"_"&amp;I$52,$B$14:$B$36&amp;"_"&amp;$C$14:$C$36,$D$14:$D$36)*$E200)</f>
        <v>1.27130142857143</v>
      </c>
      <c r="J200" s="95" cm="1">
        <f ca="1" t="array" ref="J200">MIN(8,_xlfn.XLOOKUP($D200&amp;"_"&amp;J$52,$B$14:$B$36&amp;"_"&amp;$C$14:$C$36,$D$14:$D$36)*$E200)</f>
        <v>1.335</v>
      </c>
      <c r="K200" s="95" cm="1">
        <f ca="1" t="array" ref="K200">MIN(18,_xlfn.XLOOKUP($D200&amp;"_"&amp;K$52,$B$14:$B$36&amp;"_"&amp;$C$14:$C$36,$D$14:$D$36)*$E200)</f>
        <v>0.4984</v>
      </c>
      <c r="L200" s="95" cm="1">
        <f ca="1" t="array" ref="L200">MIN(6,_xlfn.XLOOKUP($D200&amp;"_"&amp;L$52,$B$14:$B$36&amp;"_"&amp;$C$14:$C$36,$D$14:$D$36)*$E200)</f>
        <v>0.9345</v>
      </c>
      <c r="M200" s="95" cm="1">
        <f ca="1" t="array" ref="M200">(1+SUMPRODUCT(G200:H200,OFFSET($H$40:$I$40,D200,0)))*(1+OFFSET($J$40,D200,0))^I200*(1+OFFSET($K$40,D200,0))^J200*(1+OFFSET($L$40,D200,0))^K200*(1+OFFSET($M$40,D200,0))^L200</f>
        <v>15.1710450739292</v>
      </c>
      <c r="N200" s="95">
        <f ca="1">MAX(MAX($N$53:N199),OFFSET($C$52,MATCH(M200*1.07,$M$53:$M$2052,1),0)-C200)</f>
        <v>4680</v>
      </c>
    </row>
    <row r="201" spans="2:14">
      <c r="B201" s="95">
        <v>149</v>
      </c>
      <c r="C201" s="95">
        <f t="shared" si="23"/>
        <v>53640</v>
      </c>
      <c r="D201" s="95">
        <f ca="1">_xlfn.XLOOKUP(总览!$B$44,$B$40:$B$45,$C$40:$C$45)</f>
        <v>5</v>
      </c>
      <c r="E201" s="95">
        <f ca="1" t="shared" si="20"/>
        <v>179</v>
      </c>
      <c r="F201" s="95">
        <f ca="1" t="shared" si="21"/>
        <v>0</v>
      </c>
      <c r="G201" s="95">
        <f ca="1" t="shared" si="22"/>
        <v>7.93810642857143</v>
      </c>
      <c r="H201" s="95" cm="1">
        <f ca="1" t="array" ref="H201">MIN(30-SUM(I201:L201),_xlfn.XLOOKUP($D201&amp;"_"&amp;H$52,$B$14:$B$36&amp;"_"&amp;$C$14:$C$36,$D$14:$D$36)*$E201,18)</f>
        <v>18</v>
      </c>
      <c r="I201" s="95" cm="1">
        <f ca="1" t="array" ref="I201">MIN(30-SUM(J201:L201),6-L201,_xlfn.XLOOKUP($D201&amp;"_"&amp;I$52,$B$14:$B$36&amp;"_"&amp;$C$14:$C$36,$D$14:$D$36)*$E201)</f>
        <v>1.27844357142857</v>
      </c>
      <c r="J201" s="95" cm="1">
        <f ca="1" t="array" ref="J201">MIN(8,_xlfn.XLOOKUP($D201&amp;"_"&amp;J$52,$B$14:$B$36&amp;"_"&amp;$C$14:$C$36,$D$14:$D$36)*$E201)</f>
        <v>1.3425</v>
      </c>
      <c r="K201" s="95" cm="1">
        <f ca="1" t="array" ref="K201">MIN(18,_xlfn.XLOOKUP($D201&amp;"_"&amp;K$52,$B$14:$B$36&amp;"_"&amp;$C$14:$C$36,$D$14:$D$36)*$E201)</f>
        <v>0.5012</v>
      </c>
      <c r="L201" s="95" cm="1">
        <f ca="1" t="array" ref="L201">MIN(6,_xlfn.XLOOKUP($D201&amp;"_"&amp;L$52,$B$14:$B$36&amp;"_"&amp;$C$14:$C$36,$D$14:$D$36)*$E201)</f>
        <v>0.93975</v>
      </c>
      <c r="M201" s="95" cm="1">
        <f ca="1" t="array" ref="M201">(1+SUMPRODUCT(G201:H201,OFFSET($H$40:$I$40,D201,0)))*(1+OFFSET($J$40,D201,0))^I201*(1+OFFSET($K$40,D201,0))^J201*(1+OFFSET($L$40,D201,0))^K201*(1+OFFSET($M$40,D201,0))^L201</f>
        <v>15.249434441554</v>
      </c>
      <c r="N201" s="95">
        <f ca="1">MAX(MAX($N$53:N200),OFFSET($C$52,MATCH(M201*1.07,$M$53:$M$2052,1),0)-C201)</f>
        <v>4680</v>
      </c>
    </row>
    <row r="202" spans="2:14">
      <c r="B202" s="95">
        <v>150</v>
      </c>
      <c r="C202" s="95">
        <f t="shared" si="23"/>
        <v>54000</v>
      </c>
      <c r="D202" s="95">
        <f ca="1">_xlfn.XLOOKUP(总览!$B$44,$B$40:$B$45,$C$40:$C$45)</f>
        <v>5</v>
      </c>
      <c r="E202" s="95">
        <f ca="1" t="shared" si="20"/>
        <v>180</v>
      </c>
      <c r="F202" s="95">
        <f ca="1" t="shared" si="21"/>
        <v>0</v>
      </c>
      <c r="G202" s="95">
        <f ca="1" t="shared" si="22"/>
        <v>7.91541428571428</v>
      </c>
      <c r="H202" s="95" cm="1">
        <f ca="1" t="array" ref="H202">MIN(30-SUM(I202:L202),_xlfn.XLOOKUP($D202&amp;"_"&amp;H$52,$B$14:$B$36&amp;"_"&amp;$C$14:$C$36,$D$14:$D$36)*$E202,18)</f>
        <v>18</v>
      </c>
      <c r="I202" s="95" cm="1">
        <f ca="1" t="array" ref="I202">MIN(30-SUM(J202:L202),6-L202,_xlfn.XLOOKUP($D202&amp;"_"&amp;I$52,$B$14:$B$36&amp;"_"&amp;$C$14:$C$36,$D$14:$D$36)*$E202)</f>
        <v>1.28558571428571</v>
      </c>
      <c r="J202" s="95" cm="1">
        <f ca="1" t="array" ref="J202">MIN(8,_xlfn.XLOOKUP($D202&amp;"_"&amp;J$52,$B$14:$B$36&amp;"_"&amp;$C$14:$C$36,$D$14:$D$36)*$E202)</f>
        <v>1.35</v>
      </c>
      <c r="K202" s="95" cm="1">
        <f ca="1" t="array" ref="K202">MIN(18,_xlfn.XLOOKUP($D202&amp;"_"&amp;K$52,$B$14:$B$36&amp;"_"&amp;$C$14:$C$36,$D$14:$D$36)*$E202)</f>
        <v>0.504</v>
      </c>
      <c r="L202" s="95" cm="1">
        <f ca="1" t="array" ref="L202">MIN(6,_xlfn.XLOOKUP($D202&amp;"_"&amp;L$52,$B$14:$B$36&amp;"_"&amp;$C$14:$C$36,$D$14:$D$36)*$E202)</f>
        <v>0.945</v>
      </c>
      <c r="M202" s="95" cm="1">
        <f ca="1" t="array" ref="M202">(1+SUMPRODUCT(G202:H202,OFFSET($H$40:$I$40,D202,0)))*(1+OFFSET($J$40,D202,0))^I202*(1+OFFSET($K$40,D202,0))^J202*(1+OFFSET($L$40,D202,0))^K202*(1+OFFSET($M$40,D202,0))^L202</f>
        <v>15.3282251635033</v>
      </c>
      <c r="N202" s="95">
        <f ca="1">MAX(MAX($N$53:N201),OFFSET($C$52,MATCH(M202*1.07,$M$53:$M$2052,1),0)-C202)</f>
        <v>4680</v>
      </c>
    </row>
    <row r="203" spans="2:14">
      <c r="B203" s="95">
        <v>151</v>
      </c>
      <c r="C203" s="95">
        <f t="shared" si="23"/>
        <v>54360</v>
      </c>
      <c r="D203" s="95">
        <f ca="1">_xlfn.XLOOKUP(总览!$B$44,$B$40:$B$45,$C$40:$C$45)</f>
        <v>5</v>
      </c>
      <c r="E203" s="95">
        <f ca="1" t="shared" si="20"/>
        <v>181</v>
      </c>
      <c r="F203" s="95">
        <f ca="1" t="shared" si="21"/>
        <v>0</v>
      </c>
      <c r="G203" s="95">
        <f ca="1" t="shared" si="22"/>
        <v>7.89272214285715</v>
      </c>
      <c r="H203" s="95" cm="1">
        <f ca="1" t="array" ref="H203">MIN(30-SUM(I203:L203),_xlfn.XLOOKUP($D203&amp;"_"&amp;H$52,$B$14:$B$36&amp;"_"&amp;$C$14:$C$36,$D$14:$D$36)*$E203,18)</f>
        <v>18</v>
      </c>
      <c r="I203" s="95" cm="1">
        <f ca="1" t="array" ref="I203">MIN(30-SUM(J203:L203),6-L203,_xlfn.XLOOKUP($D203&amp;"_"&amp;I$52,$B$14:$B$36&amp;"_"&amp;$C$14:$C$36,$D$14:$D$36)*$E203)</f>
        <v>1.29272785714285</v>
      </c>
      <c r="J203" s="95" cm="1">
        <f ca="1" t="array" ref="J203">MIN(8,_xlfn.XLOOKUP($D203&amp;"_"&amp;J$52,$B$14:$B$36&amp;"_"&amp;$C$14:$C$36,$D$14:$D$36)*$E203)</f>
        <v>1.3575</v>
      </c>
      <c r="K203" s="95" cm="1">
        <f ca="1" t="array" ref="K203">MIN(18,_xlfn.XLOOKUP($D203&amp;"_"&amp;K$52,$B$14:$B$36&amp;"_"&amp;$C$14:$C$36,$D$14:$D$36)*$E203)</f>
        <v>0.5068</v>
      </c>
      <c r="L203" s="95" cm="1">
        <f ca="1" t="array" ref="L203">MIN(6,_xlfn.XLOOKUP($D203&amp;"_"&amp;L$52,$B$14:$B$36&amp;"_"&amp;$C$14:$C$36,$D$14:$D$36)*$E203)</f>
        <v>0.95025</v>
      </c>
      <c r="M203" s="95" cm="1">
        <f ca="1" t="array" ref="M203">(1+SUMPRODUCT(G203:H203,OFFSET($H$40:$I$40,D203,0)))*(1+OFFSET($J$40,D203,0))^I203*(1+OFFSET($K$40,D203,0))^J203*(1+OFFSET($L$40,D203,0))^K203*(1+OFFSET($M$40,D203,0))^L203</f>
        <v>15.4074192718588</v>
      </c>
      <c r="N203" s="95">
        <f ca="1">MAX(MAX($N$53:N202),OFFSET($C$52,MATCH(M203*1.07,$M$53:$M$2052,1),0)-C203)</f>
        <v>4680</v>
      </c>
    </row>
    <row r="204" spans="2:14">
      <c r="B204" s="95">
        <v>152</v>
      </c>
      <c r="C204" s="95">
        <f t="shared" si="23"/>
        <v>54720</v>
      </c>
      <c r="D204" s="95">
        <f ca="1">_xlfn.XLOOKUP(总览!$B$44,$B$40:$B$45,$C$40:$C$45)</f>
        <v>5</v>
      </c>
      <c r="E204" s="95">
        <f ca="1" t="shared" si="20"/>
        <v>182</v>
      </c>
      <c r="F204" s="95">
        <f ca="1" t="shared" si="21"/>
        <v>0</v>
      </c>
      <c r="G204" s="95">
        <f ca="1" t="shared" si="22"/>
        <v>7.87003</v>
      </c>
      <c r="H204" s="95" cm="1">
        <f ca="1" t="array" ref="H204">MIN(30-SUM(I204:L204),_xlfn.XLOOKUP($D204&amp;"_"&amp;H$52,$B$14:$B$36&amp;"_"&amp;$C$14:$C$36,$D$14:$D$36)*$E204,18)</f>
        <v>18</v>
      </c>
      <c r="I204" s="95" cm="1">
        <f ca="1" t="array" ref="I204">MIN(30-SUM(J204:L204),6-L204,_xlfn.XLOOKUP($D204&amp;"_"&amp;I$52,$B$14:$B$36&amp;"_"&amp;$C$14:$C$36,$D$14:$D$36)*$E204)</f>
        <v>1.29987</v>
      </c>
      <c r="J204" s="95" cm="1">
        <f ca="1" t="array" ref="J204">MIN(8,_xlfn.XLOOKUP($D204&amp;"_"&amp;J$52,$B$14:$B$36&amp;"_"&amp;$C$14:$C$36,$D$14:$D$36)*$E204)</f>
        <v>1.365</v>
      </c>
      <c r="K204" s="95" cm="1">
        <f ca="1" t="array" ref="K204">MIN(18,_xlfn.XLOOKUP($D204&amp;"_"&amp;K$52,$B$14:$B$36&amp;"_"&amp;$C$14:$C$36,$D$14:$D$36)*$E204)</f>
        <v>0.5096</v>
      </c>
      <c r="L204" s="95" cm="1">
        <f ca="1" t="array" ref="L204">MIN(6,_xlfn.XLOOKUP($D204&amp;"_"&amp;L$52,$B$14:$B$36&amp;"_"&amp;$C$14:$C$36,$D$14:$D$36)*$E204)</f>
        <v>0.9555</v>
      </c>
      <c r="M204" s="95" cm="1">
        <f ca="1" t="array" ref="M204">(1+SUMPRODUCT(G204:H204,OFFSET($H$40:$I$40,D204,0)))*(1+OFFSET($J$40,D204,0))^I204*(1+OFFSET($K$40,D204,0))^J204*(1+OFFSET($L$40,D204,0))^K204*(1+OFFSET($M$40,D204,0))^L204</f>
        <v>15.4870188088478</v>
      </c>
      <c r="N204" s="95">
        <f ca="1">MAX(MAX($N$53:N203),OFFSET($C$52,MATCH(M204*1.07,$M$53:$M$2052,1),0)-C204)</f>
        <v>4680</v>
      </c>
    </row>
    <row r="205" spans="2:14">
      <c r="B205" s="95">
        <v>153</v>
      </c>
      <c r="C205" s="95">
        <f t="shared" si="23"/>
        <v>55080</v>
      </c>
      <c r="D205" s="95">
        <f ca="1">_xlfn.XLOOKUP(总览!$B$44,$B$40:$B$45,$C$40:$C$45)</f>
        <v>5</v>
      </c>
      <c r="E205" s="95">
        <f ca="1" t="shared" si="20"/>
        <v>183</v>
      </c>
      <c r="F205" s="95">
        <f ca="1" t="shared" si="21"/>
        <v>0</v>
      </c>
      <c r="G205" s="95">
        <f ca="1" t="shared" si="22"/>
        <v>7.84733785714286</v>
      </c>
      <c r="H205" s="95" cm="1">
        <f ca="1" t="array" ref="H205">MIN(30-SUM(I205:L205),_xlfn.XLOOKUP($D205&amp;"_"&amp;H$52,$B$14:$B$36&amp;"_"&amp;$C$14:$C$36,$D$14:$D$36)*$E205,18)</f>
        <v>18</v>
      </c>
      <c r="I205" s="95" cm="1">
        <f ca="1" t="array" ref="I205">MIN(30-SUM(J205:L205),6-L205,_xlfn.XLOOKUP($D205&amp;"_"&amp;I$52,$B$14:$B$36&amp;"_"&amp;$C$14:$C$36,$D$14:$D$36)*$E205)</f>
        <v>1.30701214285714</v>
      </c>
      <c r="J205" s="95" cm="1">
        <f ca="1" t="array" ref="J205">MIN(8,_xlfn.XLOOKUP($D205&amp;"_"&amp;J$52,$B$14:$B$36&amp;"_"&amp;$C$14:$C$36,$D$14:$D$36)*$E205)</f>
        <v>1.3725</v>
      </c>
      <c r="K205" s="95" cm="1">
        <f ca="1" t="array" ref="K205">MIN(18,_xlfn.XLOOKUP($D205&amp;"_"&amp;K$52,$B$14:$B$36&amp;"_"&amp;$C$14:$C$36,$D$14:$D$36)*$E205)</f>
        <v>0.5124</v>
      </c>
      <c r="L205" s="95" cm="1">
        <f ca="1" t="array" ref="L205">MIN(6,_xlfn.XLOOKUP($D205&amp;"_"&amp;L$52,$B$14:$B$36&amp;"_"&amp;$C$14:$C$36,$D$14:$D$36)*$E205)</f>
        <v>0.96075</v>
      </c>
      <c r="M205" s="95" cm="1">
        <f ca="1" t="array" ref="M205">(1+SUMPRODUCT(G205:H205,OFFSET($H$40:$I$40,D205,0)))*(1+OFFSET($J$40,D205,0))^I205*(1+OFFSET($K$40,D205,0))^J205*(1+OFFSET($L$40,D205,0))^K205*(1+OFFSET($M$40,D205,0))^L205</f>
        <v>15.567025826893</v>
      </c>
      <c r="N205" s="95">
        <f ca="1">MAX(MAX($N$53:N204),OFFSET($C$52,MATCH(M205*1.07,$M$53:$M$2052,1),0)-C205)</f>
        <v>4680</v>
      </c>
    </row>
    <row r="206" spans="2:14">
      <c r="B206" s="95">
        <v>154</v>
      </c>
      <c r="C206" s="95">
        <f t="shared" si="23"/>
        <v>55440</v>
      </c>
      <c r="D206" s="95">
        <f ca="1">_xlfn.XLOOKUP(总览!$B$44,$B$40:$B$45,$C$40:$C$45)</f>
        <v>5</v>
      </c>
      <c r="E206" s="95">
        <f ca="1" t="shared" si="20"/>
        <v>184</v>
      </c>
      <c r="F206" s="95">
        <f ca="1" t="shared" si="21"/>
        <v>0</v>
      </c>
      <c r="G206" s="95">
        <f ca="1" t="shared" si="22"/>
        <v>7.82464571428572</v>
      </c>
      <c r="H206" s="95" cm="1">
        <f ca="1" t="array" ref="H206">MIN(30-SUM(I206:L206),_xlfn.XLOOKUP($D206&amp;"_"&amp;H$52,$B$14:$B$36&amp;"_"&amp;$C$14:$C$36,$D$14:$D$36)*$E206,18)</f>
        <v>18</v>
      </c>
      <c r="I206" s="95" cm="1">
        <f ca="1" t="array" ref="I206">MIN(30-SUM(J206:L206),6-L206,_xlfn.XLOOKUP($D206&amp;"_"&amp;I$52,$B$14:$B$36&amp;"_"&amp;$C$14:$C$36,$D$14:$D$36)*$E206)</f>
        <v>1.31415428571428</v>
      </c>
      <c r="J206" s="95" cm="1">
        <f ca="1" t="array" ref="J206">MIN(8,_xlfn.XLOOKUP($D206&amp;"_"&amp;J$52,$B$14:$B$36&amp;"_"&amp;$C$14:$C$36,$D$14:$D$36)*$E206)</f>
        <v>1.38</v>
      </c>
      <c r="K206" s="95" cm="1">
        <f ca="1" t="array" ref="K206">MIN(18,_xlfn.XLOOKUP($D206&amp;"_"&amp;K$52,$B$14:$B$36&amp;"_"&amp;$C$14:$C$36,$D$14:$D$36)*$E206)</f>
        <v>0.5152</v>
      </c>
      <c r="L206" s="95" cm="1">
        <f ca="1" t="array" ref="L206">MIN(6,_xlfn.XLOOKUP($D206&amp;"_"&amp;L$52,$B$14:$B$36&amp;"_"&amp;$C$14:$C$36,$D$14:$D$36)*$E206)</f>
        <v>0.966</v>
      </c>
      <c r="M206" s="95" cm="1">
        <f ca="1" t="array" ref="M206">(1+SUMPRODUCT(G206:H206,OFFSET($H$40:$I$40,D206,0)))*(1+OFFSET($J$40,D206,0))^I206*(1+OFFSET($K$40,D206,0))^J206*(1+OFFSET($L$40,D206,0))^K206*(1+OFFSET($M$40,D206,0))^L206</f>
        <v>15.6474423886621</v>
      </c>
      <c r="N206" s="95">
        <f ca="1">MAX(MAX($N$53:N205),OFFSET($C$52,MATCH(M206*1.07,$M$53:$M$2052,1),0)-C206)</f>
        <v>4680</v>
      </c>
    </row>
    <row r="207" spans="2:14">
      <c r="B207" s="95">
        <v>155</v>
      </c>
      <c r="C207" s="95">
        <f t="shared" si="23"/>
        <v>55800</v>
      </c>
      <c r="D207" s="95">
        <f ca="1">_xlfn.XLOOKUP(总览!$B$44,$B$40:$B$45,$C$40:$C$45)</f>
        <v>5</v>
      </c>
      <c r="E207" s="95">
        <f ca="1" t="shared" si="20"/>
        <v>185</v>
      </c>
      <c r="F207" s="95">
        <f ca="1" t="shared" si="21"/>
        <v>0</v>
      </c>
      <c r="G207" s="95">
        <f ca="1" t="shared" si="22"/>
        <v>7.80195357142857</v>
      </c>
      <c r="H207" s="95" cm="1">
        <f ca="1" t="array" ref="H207">MIN(30-SUM(I207:L207),_xlfn.XLOOKUP($D207&amp;"_"&amp;H$52,$B$14:$B$36&amp;"_"&amp;$C$14:$C$36,$D$14:$D$36)*$E207,18)</f>
        <v>18</v>
      </c>
      <c r="I207" s="95" cm="1">
        <f ca="1" t="array" ref="I207">MIN(30-SUM(J207:L207),6-L207,_xlfn.XLOOKUP($D207&amp;"_"&amp;I$52,$B$14:$B$36&amp;"_"&amp;$C$14:$C$36,$D$14:$D$36)*$E207)</f>
        <v>1.32129642857143</v>
      </c>
      <c r="J207" s="95" cm="1">
        <f ca="1" t="array" ref="J207">MIN(8,_xlfn.XLOOKUP($D207&amp;"_"&amp;J$52,$B$14:$B$36&amp;"_"&amp;$C$14:$C$36,$D$14:$D$36)*$E207)</f>
        <v>1.3875</v>
      </c>
      <c r="K207" s="95" cm="1">
        <f ca="1" t="array" ref="K207">MIN(18,_xlfn.XLOOKUP($D207&amp;"_"&amp;K$52,$B$14:$B$36&amp;"_"&amp;$C$14:$C$36,$D$14:$D$36)*$E207)</f>
        <v>0.518</v>
      </c>
      <c r="L207" s="95" cm="1">
        <f ca="1" t="array" ref="L207">MIN(6,_xlfn.XLOOKUP($D207&amp;"_"&amp;L$52,$B$14:$B$36&amp;"_"&amp;$C$14:$C$36,$D$14:$D$36)*$E207)</f>
        <v>0.97125</v>
      </c>
      <c r="M207" s="95" cm="1">
        <f ca="1" t="array" ref="M207">(1+SUMPRODUCT(G207:H207,OFFSET($H$40:$I$40,D207,0)))*(1+OFFSET($J$40,D207,0))^I207*(1+OFFSET($K$40,D207,0))^J207*(1+OFFSET($L$40,D207,0))^K207*(1+OFFSET($M$40,D207,0))^L207</f>
        <v>15.7282705671185</v>
      </c>
      <c r="N207" s="95">
        <f ca="1">MAX(MAX($N$53:N206),OFFSET($C$52,MATCH(M207*1.07,$M$53:$M$2052,1),0)-C207)</f>
        <v>4680</v>
      </c>
    </row>
    <row r="208" spans="2:14">
      <c r="B208" s="95">
        <v>156</v>
      </c>
      <c r="C208" s="95">
        <f t="shared" si="23"/>
        <v>56160</v>
      </c>
      <c r="D208" s="95">
        <f ca="1">_xlfn.XLOOKUP(总览!$B$44,$B$40:$B$45,$C$40:$C$45)</f>
        <v>5</v>
      </c>
      <c r="E208" s="95">
        <f ca="1" t="shared" si="20"/>
        <v>186</v>
      </c>
      <c r="F208" s="95">
        <f ca="1" t="shared" si="21"/>
        <v>0</v>
      </c>
      <c r="G208" s="95">
        <f ca="1" t="shared" si="22"/>
        <v>7.77926142857143</v>
      </c>
      <c r="H208" s="95" cm="1">
        <f ca="1" t="array" ref="H208">MIN(30-SUM(I208:L208),_xlfn.XLOOKUP($D208&amp;"_"&amp;H$52,$B$14:$B$36&amp;"_"&amp;$C$14:$C$36,$D$14:$D$36)*$E208,18)</f>
        <v>18</v>
      </c>
      <c r="I208" s="95" cm="1">
        <f ca="1" t="array" ref="I208">MIN(30-SUM(J208:L208),6-L208,_xlfn.XLOOKUP($D208&amp;"_"&amp;I$52,$B$14:$B$36&amp;"_"&amp;$C$14:$C$36,$D$14:$D$36)*$E208)</f>
        <v>1.32843857142857</v>
      </c>
      <c r="J208" s="95" cm="1">
        <f ca="1" t="array" ref="J208">MIN(8,_xlfn.XLOOKUP($D208&amp;"_"&amp;J$52,$B$14:$B$36&amp;"_"&amp;$C$14:$C$36,$D$14:$D$36)*$E208)</f>
        <v>1.395</v>
      </c>
      <c r="K208" s="95" cm="1">
        <f ca="1" t="array" ref="K208">MIN(18,_xlfn.XLOOKUP($D208&amp;"_"&amp;K$52,$B$14:$B$36&amp;"_"&amp;$C$14:$C$36,$D$14:$D$36)*$E208)</f>
        <v>0.5208</v>
      </c>
      <c r="L208" s="95" cm="1">
        <f ca="1" t="array" ref="L208">MIN(6,_xlfn.XLOOKUP($D208&amp;"_"&amp;L$52,$B$14:$B$36&amp;"_"&amp;$C$14:$C$36,$D$14:$D$36)*$E208)</f>
        <v>0.9765</v>
      </c>
      <c r="M208" s="95" cm="1">
        <f ca="1" t="array" ref="M208">(1+SUMPRODUCT(G208:H208,OFFSET($H$40:$I$40,D208,0)))*(1+OFFSET($J$40,D208,0))^I208*(1+OFFSET($K$40,D208,0))^J208*(1+OFFSET($L$40,D208,0))^K208*(1+OFFSET($M$40,D208,0))^L208</f>
        <v>15.8095124455716</v>
      </c>
      <c r="N208" s="95">
        <f ca="1">MAX(MAX($N$53:N207),OFFSET($C$52,MATCH(M208*1.07,$M$53:$M$2052,1),0)-C208)</f>
        <v>4680</v>
      </c>
    </row>
    <row r="209" spans="2:14">
      <c r="B209" s="95">
        <v>157</v>
      </c>
      <c r="C209" s="95">
        <f t="shared" si="23"/>
        <v>56520</v>
      </c>
      <c r="D209" s="95">
        <f ca="1">_xlfn.XLOOKUP(总览!$B$44,$B$40:$B$45,$C$40:$C$45)</f>
        <v>5</v>
      </c>
      <c r="E209" s="95">
        <f ca="1" t="shared" si="20"/>
        <v>187</v>
      </c>
      <c r="F209" s="95">
        <f ca="1" t="shared" si="21"/>
        <v>0</v>
      </c>
      <c r="G209" s="95">
        <f ca="1" t="shared" si="22"/>
        <v>7.75656928571429</v>
      </c>
      <c r="H209" s="95" cm="1">
        <f ca="1" t="array" ref="H209">MIN(30-SUM(I209:L209),_xlfn.XLOOKUP($D209&amp;"_"&amp;H$52,$B$14:$B$36&amp;"_"&amp;$C$14:$C$36,$D$14:$D$36)*$E209,18)</f>
        <v>18</v>
      </c>
      <c r="I209" s="95" cm="1">
        <f ca="1" t="array" ref="I209">MIN(30-SUM(J209:L209),6-L209,_xlfn.XLOOKUP($D209&amp;"_"&amp;I$52,$B$14:$B$36&amp;"_"&amp;$C$14:$C$36,$D$14:$D$36)*$E209)</f>
        <v>1.33558071428571</v>
      </c>
      <c r="J209" s="95" cm="1">
        <f ca="1" t="array" ref="J209">MIN(8,_xlfn.XLOOKUP($D209&amp;"_"&amp;J$52,$B$14:$B$36&amp;"_"&amp;$C$14:$C$36,$D$14:$D$36)*$E209)</f>
        <v>1.4025</v>
      </c>
      <c r="K209" s="95" cm="1">
        <f ca="1" t="array" ref="K209">MIN(18,_xlfn.XLOOKUP($D209&amp;"_"&amp;K$52,$B$14:$B$36&amp;"_"&amp;$C$14:$C$36,$D$14:$D$36)*$E209)</f>
        <v>0.5236</v>
      </c>
      <c r="L209" s="95" cm="1">
        <f ca="1" t="array" ref="L209">MIN(6,_xlfn.XLOOKUP($D209&amp;"_"&amp;L$52,$B$14:$B$36&amp;"_"&amp;$C$14:$C$36,$D$14:$D$36)*$E209)</f>
        <v>0.98175</v>
      </c>
      <c r="M209" s="95" cm="1">
        <f ca="1" t="array" ref="M209">(1+SUMPRODUCT(G209:H209,OFFSET($H$40:$I$40,D209,0)))*(1+OFFSET($J$40,D209,0))^I209*(1+OFFSET($K$40,D209,0))^J209*(1+OFFSET($L$40,D209,0))^K209*(1+OFFSET($M$40,D209,0))^L209</f>
        <v>15.8911701177275</v>
      </c>
      <c r="N209" s="95">
        <f ca="1">MAX(MAX($N$53:N208),OFFSET($C$52,MATCH(M209*1.07,$M$53:$M$2052,1),0)-C209)</f>
        <v>4680</v>
      </c>
    </row>
    <row r="210" spans="2:14">
      <c r="B210" s="95">
        <v>158</v>
      </c>
      <c r="C210" s="95">
        <f t="shared" si="23"/>
        <v>56880</v>
      </c>
      <c r="D210" s="95">
        <f ca="1">_xlfn.XLOOKUP(总览!$B$44,$B$40:$B$45,$C$40:$C$45)</f>
        <v>5</v>
      </c>
      <c r="E210" s="95">
        <f ca="1" t="shared" si="20"/>
        <v>188</v>
      </c>
      <c r="F210" s="95">
        <f ca="1" t="shared" si="21"/>
        <v>0</v>
      </c>
      <c r="G210" s="95">
        <f ca="1" t="shared" si="22"/>
        <v>7.73387714285715</v>
      </c>
      <c r="H210" s="95" cm="1">
        <f ca="1" t="array" ref="H210">MIN(30-SUM(I210:L210),_xlfn.XLOOKUP($D210&amp;"_"&amp;H$52,$B$14:$B$36&amp;"_"&amp;$C$14:$C$36,$D$14:$D$36)*$E210,18)</f>
        <v>18</v>
      </c>
      <c r="I210" s="95" cm="1">
        <f ca="1" t="array" ref="I210">MIN(30-SUM(J210:L210),6-L210,_xlfn.XLOOKUP($D210&amp;"_"&amp;I$52,$B$14:$B$36&amp;"_"&amp;$C$14:$C$36,$D$14:$D$36)*$E210)</f>
        <v>1.34272285714285</v>
      </c>
      <c r="J210" s="95" cm="1">
        <f ca="1" t="array" ref="J210">MIN(8,_xlfn.XLOOKUP($D210&amp;"_"&amp;J$52,$B$14:$B$36&amp;"_"&amp;$C$14:$C$36,$D$14:$D$36)*$E210)</f>
        <v>1.41</v>
      </c>
      <c r="K210" s="95" cm="1">
        <f ca="1" t="array" ref="K210">MIN(18,_xlfn.XLOOKUP($D210&amp;"_"&amp;K$52,$B$14:$B$36&amp;"_"&amp;$C$14:$C$36,$D$14:$D$36)*$E210)</f>
        <v>0.5264</v>
      </c>
      <c r="L210" s="95" cm="1">
        <f ca="1" t="array" ref="L210">MIN(6,_xlfn.XLOOKUP($D210&amp;"_"&amp;L$52,$B$14:$B$36&amp;"_"&amp;$C$14:$C$36,$D$14:$D$36)*$E210)</f>
        <v>0.987</v>
      </c>
      <c r="M210" s="95" cm="1">
        <f ca="1" t="array" ref="M210">(1+SUMPRODUCT(G210:H210,OFFSET($H$40:$I$40,D210,0)))*(1+OFFSET($J$40,D210,0))^I210*(1+OFFSET($K$40,D210,0))^J210*(1+OFFSET($L$40,D210,0))^K210*(1+OFFSET($M$40,D210,0))^L210</f>
        <v>15.9732456877396</v>
      </c>
      <c r="N210" s="95">
        <f ca="1">MAX(MAX($N$53:N209),OFFSET($C$52,MATCH(M210*1.07,$M$53:$M$2052,1),0)-C210)</f>
        <v>4680</v>
      </c>
    </row>
    <row r="211" spans="2:14">
      <c r="B211" s="95">
        <v>159</v>
      </c>
      <c r="C211" s="95">
        <f t="shared" si="23"/>
        <v>57240</v>
      </c>
      <c r="D211" s="95">
        <f ca="1">_xlfn.XLOOKUP(总览!$B$44,$B$40:$B$45,$C$40:$C$45)</f>
        <v>5</v>
      </c>
      <c r="E211" s="95">
        <f ca="1" t="shared" si="20"/>
        <v>189</v>
      </c>
      <c r="F211" s="95">
        <f ca="1" t="shared" si="21"/>
        <v>0</v>
      </c>
      <c r="G211" s="95">
        <f ca="1" t="shared" si="22"/>
        <v>7.711185</v>
      </c>
      <c r="H211" s="95" cm="1">
        <f ca="1" t="array" ref="H211">MIN(30-SUM(I211:L211),_xlfn.XLOOKUP($D211&amp;"_"&amp;H$52,$B$14:$B$36&amp;"_"&amp;$C$14:$C$36,$D$14:$D$36)*$E211,18)</f>
        <v>18</v>
      </c>
      <c r="I211" s="95" cm="1">
        <f ca="1" t="array" ref="I211">MIN(30-SUM(J211:L211),6-L211,_xlfn.XLOOKUP($D211&amp;"_"&amp;I$52,$B$14:$B$36&amp;"_"&amp;$C$14:$C$36,$D$14:$D$36)*$E211)</f>
        <v>1.349865</v>
      </c>
      <c r="J211" s="95" cm="1">
        <f ca="1" t="array" ref="J211">MIN(8,_xlfn.XLOOKUP($D211&amp;"_"&amp;J$52,$B$14:$B$36&amp;"_"&amp;$C$14:$C$36,$D$14:$D$36)*$E211)</f>
        <v>1.4175</v>
      </c>
      <c r="K211" s="95" cm="1">
        <f ca="1" t="array" ref="K211">MIN(18,_xlfn.XLOOKUP($D211&amp;"_"&amp;K$52,$B$14:$B$36&amp;"_"&amp;$C$14:$C$36,$D$14:$D$36)*$E211)</f>
        <v>0.5292</v>
      </c>
      <c r="L211" s="95" cm="1">
        <f ca="1" t="array" ref="L211">MIN(6,_xlfn.XLOOKUP($D211&amp;"_"&amp;L$52,$B$14:$B$36&amp;"_"&amp;$C$14:$C$36,$D$14:$D$36)*$E211)</f>
        <v>0.99225</v>
      </c>
      <c r="M211" s="95" cm="1">
        <f ca="1" t="array" ref="M211">(1+SUMPRODUCT(G211:H211,OFFSET($H$40:$I$40,D211,0)))*(1+OFFSET($J$40,D211,0))^I211*(1+OFFSET($K$40,D211,0))^J211*(1+OFFSET($L$40,D211,0))^K211*(1+OFFSET($M$40,D211,0))^L211</f>
        <v>16.0557412702607</v>
      </c>
      <c r="N211" s="95">
        <f ca="1">MAX(MAX($N$53:N210),OFFSET($C$52,MATCH(M211*1.07,$M$53:$M$2052,1),0)-C211)</f>
        <v>4680</v>
      </c>
    </row>
    <row r="212" spans="2:14">
      <c r="B212" s="95">
        <v>160</v>
      </c>
      <c r="C212" s="95">
        <f t="shared" si="23"/>
        <v>57600</v>
      </c>
      <c r="D212" s="95">
        <f ca="1">_xlfn.XLOOKUP(总览!$B$44,$B$40:$B$45,$C$40:$C$45)</f>
        <v>5</v>
      </c>
      <c r="E212" s="95">
        <f ca="1" t="shared" si="20"/>
        <v>190</v>
      </c>
      <c r="F212" s="95">
        <f ca="1" t="shared" si="21"/>
        <v>0</v>
      </c>
      <c r="G212" s="95">
        <f ca="1" t="shared" si="22"/>
        <v>7.68849285714286</v>
      </c>
      <c r="H212" s="95" cm="1">
        <f ca="1" t="array" ref="H212">MIN(30-SUM(I212:L212),_xlfn.XLOOKUP($D212&amp;"_"&amp;H$52,$B$14:$B$36&amp;"_"&amp;$C$14:$C$36,$D$14:$D$36)*$E212,18)</f>
        <v>18</v>
      </c>
      <c r="I212" s="95" cm="1">
        <f ca="1" t="array" ref="I212">MIN(30-SUM(J212:L212),6-L212,_xlfn.XLOOKUP($D212&amp;"_"&amp;I$52,$B$14:$B$36&amp;"_"&amp;$C$14:$C$36,$D$14:$D$36)*$E212)</f>
        <v>1.35700714285714</v>
      </c>
      <c r="J212" s="95" cm="1">
        <f ca="1" t="array" ref="J212">MIN(8,_xlfn.XLOOKUP($D212&amp;"_"&amp;J$52,$B$14:$B$36&amp;"_"&amp;$C$14:$C$36,$D$14:$D$36)*$E212)</f>
        <v>1.425</v>
      </c>
      <c r="K212" s="95" cm="1">
        <f ca="1" t="array" ref="K212">MIN(18,_xlfn.XLOOKUP($D212&amp;"_"&amp;K$52,$B$14:$B$36&amp;"_"&amp;$C$14:$C$36,$D$14:$D$36)*$E212)</f>
        <v>0.532</v>
      </c>
      <c r="L212" s="95" cm="1">
        <f ca="1" t="array" ref="L212">MIN(6,_xlfn.XLOOKUP($D212&amp;"_"&amp;L$52,$B$14:$B$36&amp;"_"&amp;$C$14:$C$36,$D$14:$D$36)*$E212)</f>
        <v>0.9975</v>
      </c>
      <c r="M212" s="95" cm="1">
        <f ca="1" t="array" ref="M212">(1+SUMPRODUCT(G212:H212,OFFSET($H$40:$I$40,D212,0)))*(1+OFFSET($J$40,D212,0))^I212*(1+OFFSET($K$40,D212,0))^J212*(1+OFFSET($L$40,D212,0))^K212*(1+OFFSET($M$40,D212,0))^L212</f>
        <v>16.1386589904933</v>
      </c>
      <c r="N212" s="95">
        <f ca="1">MAX(MAX($N$53:N211),OFFSET($C$52,MATCH(M212*1.07,$M$53:$M$2052,1),0)-C212)</f>
        <v>4680</v>
      </c>
    </row>
    <row r="213" spans="2:14">
      <c r="B213" s="95">
        <v>161</v>
      </c>
      <c r="C213" s="95">
        <f t="shared" si="23"/>
        <v>57960</v>
      </c>
      <c r="D213" s="95">
        <f ca="1">_xlfn.XLOOKUP(总览!$B$44,$B$40:$B$45,$C$40:$C$45)</f>
        <v>5</v>
      </c>
      <c r="E213" s="95">
        <f ca="1" t="shared" si="20"/>
        <v>191</v>
      </c>
      <c r="F213" s="95">
        <f ca="1" t="shared" si="21"/>
        <v>0</v>
      </c>
      <c r="G213" s="95">
        <f ca="1" t="shared" si="22"/>
        <v>7.66580071428572</v>
      </c>
      <c r="H213" s="95" cm="1">
        <f ca="1" t="array" ref="H213">MIN(30-SUM(I213:L213),_xlfn.XLOOKUP($D213&amp;"_"&amp;H$52,$B$14:$B$36&amp;"_"&amp;$C$14:$C$36,$D$14:$D$36)*$E213,18)</f>
        <v>18</v>
      </c>
      <c r="I213" s="95" cm="1">
        <f ca="1" t="array" ref="I213">MIN(30-SUM(J213:L213),6-L213,_xlfn.XLOOKUP($D213&amp;"_"&amp;I$52,$B$14:$B$36&amp;"_"&amp;$C$14:$C$36,$D$14:$D$36)*$E213)</f>
        <v>1.36414928571428</v>
      </c>
      <c r="J213" s="95" cm="1">
        <f ca="1" t="array" ref="J213">MIN(8,_xlfn.XLOOKUP($D213&amp;"_"&amp;J$52,$B$14:$B$36&amp;"_"&amp;$C$14:$C$36,$D$14:$D$36)*$E213)</f>
        <v>1.4325</v>
      </c>
      <c r="K213" s="95" cm="1">
        <f ca="1" t="array" ref="K213">MIN(18,_xlfn.XLOOKUP($D213&amp;"_"&amp;K$52,$B$14:$B$36&amp;"_"&amp;$C$14:$C$36,$D$14:$D$36)*$E213)</f>
        <v>0.5348</v>
      </c>
      <c r="L213" s="95" cm="1">
        <f ca="1" t="array" ref="L213">MIN(6,_xlfn.XLOOKUP($D213&amp;"_"&amp;L$52,$B$14:$B$36&amp;"_"&amp;$C$14:$C$36,$D$14:$D$36)*$E213)</f>
        <v>1.00275</v>
      </c>
      <c r="M213" s="95" cm="1">
        <f ca="1" t="array" ref="M213">(1+SUMPRODUCT(G213:H213,OFFSET($H$40:$I$40,D213,0)))*(1+OFFSET($J$40,D213,0))^I213*(1+OFFSET($K$40,D213,0))^J213*(1+OFFSET($L$40,D213,0))^K213*(1+OFFSET($M$40,D213,0))^L213</f>
        <v>16.2220009842422</v>
      </c>
      <c r="N213" s="95">
        <f ca="1">MAX(MAX($N$53:N212),OFFSET($C$52,MATCH(M213*1.07,$M$53:$M$2052,1),0)-C213)</f>
        <v>4680</v>
      </c>
    </row>
    <row r="214" spans="2:14">
      <c r="B214" s="95">
        <v>162</v>
      </c>
      <c r="C214" s="95">
        <f t="shared" si="23"/>
        <v>58320</v>
      </c>
      <c r="D214" s="95">
        <f ca="1">_xlfn.XLOOKUP(总览!$B$44,$B$40:$B$45,$C$40:$C$45)</f>
        <v>5</v>
      </c>
      <c r="E214" s="95">
        <f ca="1" t="shared" si="20"/>
        <v>192</v>
      </c>
      <c r="F214" s="95">
        <f ca="1" t="shared" si="21"/>
        <v>0</v>
      </c>
      <c r="G214" s="95">
        <f ca="1" t="shared" si="22"/>
        <v>7.64310857142857</v>
      </c>
      <c r="H214" s="95" cm="1">
        <f ca="1" t="array" ref="H214">MIN(30-SUM(I214:L214),_xlfn.XLOOKUP($D214&amp;"_"&amp;H$52,$B$14:$B$36&amp;"_"&amp;$C$14:$C$36,$D$14:$D$36)*$E214,18)</f>
        <v>18</v>
      </c>
      <c r="I214" s="95" cm="1">
        <f ca="1" t="array" ref="I214">MIN(30-SUM(J214:L214),6-L214,_xlfn.XLOOKUP($D214&amp;"_"&amp;I$52,$B$14:$B$36&amp;"_"&amp;$C$14:$C$36,$D$14:$D$36)*$E214)</f>
        <v>1.37129142857143</v>
      </c>
      <c r="J214" s="95" cm="1">
        <f ca="1" t="array" ref="J214">MIN(8,_xlfn.XLOOKUP($D214&amp;"_"&amp;J$52,$B$14:$B$36&amp;"_"&amp;$C$14:$C$36,$D$14:$D$36)*$E214)</f>
        <v>1.44</v>
      </c>
      <c r="K214" s="95" cm="1">
        <f ca="1" t="array" ref="K214">MIN(18,_xlfn.XLOOKUP($D214&amp;"_"&amp;K$52,$B$14:$B$36&amp;"_"&amp;$C$14:$C$36,$D$14:$D$36)*$E214)</f>
        <v>0.5376</v>
      </c>
      <c r="L214" s="95" cm="1">
        <f ca="1" t="array" ref="L214">MIN(6,_xlfn.XLOOKUP($D214&amp;"_"&amp;L$52,$B$14:$B$36&amp;"_"&amp;$C$14:$C$36,$D$14:$D$36)*$E214)</f>
        <v>1.008</v>
      </c>
      <c r="M214" s="95" cm="1">
        <f ca="1" t="array" ref="M214">(1+SUMPRODUCT(G214:H214,OFFSET($H$40:$I$40,D214,0)))*(1+OFFSET($J$40,D214,0))^I214*(1+OFFSET($K$40,D214,0))^J214*(1+OFFSET($L$40,D214,0))^K214*(1+OFFSET($M$40,D214,0))^L214</f>
        <v>16.3057693979659</v>
      </c>
      <c r="N214" s="95">
        <f ca="1">MAX(MAX($N$53:N213),OFFSET($C$52,MATCH(M214*1.07,$M$53:$M$2052,1),0)-C214)</f>
        <v>4680</v>
      </c>
    </row>
    <row r="215" spans="2:14">
      <c r="B215" s="95">
        <v>163</v>
      </c>
      <c r="C215" s="95">
        <f t="shared" si="23"/>
        <v>58680</v>
      </c>
      <c r="D215" s="95">
        <f ca="1">_xlfn.XLOOKUP(总览!$B$44,$B$40:$B$45,$C$40:$C$45)</f>
        <v>5</v>
      </c>
      <c r="E215" s="95">
        <f ca="1" t="shared" si="20"/>
        <v>193</v>
      </c>
      <c r="F215" s="95">
        <f ca="1" t="shared" si="21"/>
        <v>0</v>
      </c>
      <c r="G215" s="95">
        <f ca="1" t="shared" si="22"/>
        <v>7.62041642857143</v>
      </c>
      <c r="H215" s="95" cm="1">
        <f ca="1" t="array" ref="H215">MIN(30-SUM(I215:L215),_xlfn.XLOOKUP($D215&amp;"_"&amp;H$52,$B$14:$B$36&amp;"_"&amp;$C$14:$C$36,$D$14:$D$36)*$E215,18)</f>
        <v>18</v>
      </c>
      <c r="I215" s="95" cm="1">
        <f ca="1" t="array" ref="I215">MIN(30-SUM(J215:L215),6-L215,_xlfn.XLOOKUP($D215&amp;"_"&amp;I$52,$B$14:$B$36&amp;"_"&amp;$C$14:$C$36,$D$14:$D$36)*$E215)</f>
        <v>1.37843357142857</v>
      </c>
      <c r="J215" s="95" cm="1">
        <f ca="1" t="array" ref="J215">MIN(8,_xlfn.XLOOKUP($D215&amp;"_"&amp;J$52,$B$14:$B$36&amp;"_"&amp;$C$14:$C$36,$D$14:$D$36)*$E215)</f>
        <v>1.4475</v>
      </c>
      <c r="K215" s="95" cm="1">
        <f ca="1" t="array" ref="K215">MIN(18,_xlfn.XLOOKUP($D215&amp;"_"&amp;K$52,$B$14:$B$36&amp;"_"&amp;$C$14:$C$36,$D$14:$D$36)*$E215)</f>
        <v>0.5404</v>
      </c>
      <c r="L215" s="95" cm="1">
        <f ca="1" t="array" ref="L215">MIN(6,_xlfn.XLOOKUP($D215&amp;"_"&amp;L$52,$B$14:$B$36&amp;"_"&amp;$C$14:$C$36,$D$14:$D$36)*$E215)</f>
        <v>1.01325</v>
      </c>
      <c r="M215" s="95" cm="1">
        <f ca="1" t="array" ref="M215">(1+SUMPRODUCT(G215:H215,OFFSET($H$40:$I$40,D215,0)))*(1+OFFSET($J$40,D215,0))^I215*(1+OFFSET($K$40,D215,0))^J215*(1+OFFSET($L$40,D215,0))^K215*(1+OFFSET($M$40,D215,0))^L215</f>
        <v>16.3899663888292</v>
      </c>
      <c r="N215" s="95">
        <f ca="1">MAX(MAX($N$53:N214),OFFSET($C$52,MATCH(M215*1.07,$M$53:$M$2052,1),0)-C215)</f>
        <v>4680</v>
      </c>
    </row>
    <row r="216" spans="2:14">
      <c r="B216" s="95">
        <v>164</v>
      </c>
      <c r="C216" s="95">
        <f t="shared" si="23"/>
        <v>59040</v>
      </c>
      <c r="D216" s="95">
        <f ca="1">_xlfn.XLOOKUP(总览!$B$44,$B$40:$B$45,$C$40:$C$45)</f>
        <v>5</v>
      </c>
      <c r="E216" s="95">
        <f ca="1" t="shared" si="20"/>
        <v>194</v>
      </c>
      <c r="F216" s="95">
        <f ca="1" t="shared" si="21"/>
        <v>0</v>
      </c>
      <c r="G216" s="95">
        <f ca="1" t="shared" si="22"/>
        <v>7.59772428571429</v>
      </c>
      <c r="H216" s="95" cm="1">
        <f ca="1" t="array" ref="H216">MIN(30-SUM(I216:L216),_xlfn.XLOOKUP($D216&amp;"_"&amp;H$52,$B$14:$B$36&amp;"_"&amp;$C$14:$C$36,$D$14:$D$36)*$E216,18)</f>
        <v>18</v>
      </c>
      <c r="I216" s="95" cm="1">
        <f ca="1" t="array" ref="I216">MIN(30-SUM(J216:L216),6-L216,_xlfn.XLOOKUP($D216&amp;"_"&amp;I$52,$B$14:$B$36&amp;"_"&amp;$C$14:$C$36,$D$14:$D$36)*$E216)</f>
        <v>1.38557571428571</v>
      </c>
      <c r="J216" s="95" cm="1">
        <f ca="1" t="array" ref="J216">MIN(8,_xlfn.XLOOKUP($D216&amp;"_"&amp;J$52,$B$14:$B$36&amp;"_"&amp;$C$14:$C$36,$D$14:$D$36)*$E216)</f>
        <v>1.455</v>
      </c>
      <c r="K216" s="95" cm="1">
        <f ca="1" t="array" ref="K216">MIN(18,_xlfn.XLOOKUP($D216&amp;"_"&amp;K$52,$B$14:$B$36&amp;"_"&amp;$C$14:$C$36,$D$14:$D$36)*$E216)</f>
        <v>0.5432</v>
      </c>
      <c r="L216" s="95" cm="1">
        <f ca="1" t="array" ref="L216">MIN(6,_xlfn.XLOOKUP($D216&amp;"_"&amp;L$52,$B$14:$B$36&amp;"_"&amp;$C$14:$C$36,$D$14:$D$36)*$E216)</f>
        <v>1.0185</v>
      </c>
      <c r="M216" s="95" cm="1">
        <f ca="1" t="array" ref="M216">(1+SUMPRODUCT(G216:H216,OFFSET($H$40:$I$40,D216,0)))*(1+OFFSET($J$40,D216,0))^I216*(1+OFFSET($K$40,D216,0))^J216*(1+OFFSET($L$40,D216,0))^K216*(1+OFFSET($M$40,D216,0))^L216</f>
        <v>16.4745941247551</v>
      </c>
      <c r="N216" s="95">
        <f ca="1">MAX(MAX($N$53:N215),OFFSET($C$52,MATCH(M216*1.07,$M$53:$M$2052,1),0)-C216)</f>
        <v>4680</v>
      </c>
    </row>
    <row r="217" spans="2:14">
      <c r="B217" s="95">
        <v>165</v>
      </c>
      <c r="C217" s="95">
        <f t="shared" si="23"/>
        <v>59400</v>
      </c>
      <c r="D217" s="95">
        <f ca="1">_xlfn.XLOOKUP(总览!$B$44,$B$40:$B$45,$C$40:$C$45)</f>
        <v>5</v>
      </c>
      <c r="E217" s="95">
        <f ca="1" t="shared" si="20"/>
        <v>195</v>
      </c>
      <c r="F217" s="95">
        <f ca="1" t="shared" si="21"/>
        <v>0</v>
      </c>
      <c r="G217" s="95">
        <f ca="1" t="shared" si="22"/>
        <v>7.57503214285715</v>
      </c>
      <c r="H217" s="95" cm="1">
        <f ca="1" t="array" ref="H217">MIN(30-SUM(I217:L217),_xlfn.XLOOKUP($D217&amp;"_"&amp;H$52,$B$14:$B$36&amp;"_"&amp;$C$14:$C$36,$D$14:$D$36)*$E217,18)</f>
        <v>18</v>
      </c>
      <c r="I217" s="95" cm="1">
        <f ca="1" t="array" ref="I217">MIN(30-SUM(J217:L217),6-L217,_xlfn.XLOOKUP($D217&amp;"_"&amp;I$52,$B$14:$B$36&amp;"_"&amp;$C$14:$C$36,$D$14:$D$36)*$E217)</f>
        <v>1.39271785714285</v>
      </c>
      <c r="J217" s="95" cm="1">
        <f ca="1" t="array" ref="J217">MIN(8,_xlfn.XLOOKUP($D217&amp;"_"&amp;J$52,$B$14:$B$36&amp;"_"&amp;$C$14:$C$36,$D$14:$D$36)*$E217)</f>
        <v>1.4625</v>
      </c>
      <c r="K217" s="95" cm="1">
        <f ca="1" t="array" ref="K217">MIN(18,_xlfn.XLOOKUP($D217&amp;"_"&amp;K$52,$B$14:$B$36&amp;"_"&amp;$C$14:$C$36,$D$14:$D$36)*$E217)</f>
        <v>0.546</v>
      </c>
      <c r="L217" s="95" cm="1">
        <f ca="1" t="array" ref="L217">MIN(6,_xlfn.XLOOKUP($D217&amp;"_"&amp;L$52,$B$14:$B$36&amp;"_"&amp;$C$14:$C$36,$D$14:$D$36)*$E217)</f>
        <v>1.02375</v>
      </c>
      <c r="M217" s="95" cm="1">
        <f ca="1" t="array" ref="M217">(1+SUMPRODUCT(G217:H217,OFFSET($H$40:$I$40,D217,0)))*(1+OFFSET($J$40,D217,0))^I217*(1+OFFSET($K$40,D217,0))^J217*(1+OFFSET($L$40,D217,0))^K217*(1+OFFSET($M$40,D217,0))^L217</f>
        <v>16.5596547844779</v>
      </c>
      <c r="N217" s="95">
        <f ca="1">MAX(MAX($N$53:N216),OFFSET($C$52,MATCH(M217*1.07,$M$53:$M$2052,1),0)-C217)</f>
        <v>4680</v>
      </c>
    </row>
    <row r="218" spans="2:14">
      <c r="B218" s="95">
        <v>166</v>
      </c>
      <c r="C218" s="95">
        <f t="shared" si="23"/>
        <v>59760</v>
      </c>
      <c r="D218" s="95">
        <f ca="1">_xlfn.XLOOKUP(总览!$B$44,$B$40:$B$45,$C$40:$C$45)</f>
        <v>5</v>
      </c>
      <c r="E218" s="95">
        <f ca="1" t="shared" si="20"/>
        <v>196</v>
      </c>
      <c r="F218" s="95">
        <f ca="1" t="shared" si="21"/>
        <v>0</v>
      </c>
      <c r="G218" s="95">
        <f ca="1" t="shared" si="22"/>
        <v>7.55234</v>
      </c>
      <c r="H218" s="95" cm="1">
        <f ca="1" t="array" ref="H218">MIN(30-SUM(I218:L218),_xlfn.XLOOKUP($D218&amp;"_"&amp;H$52,$B$14:$B$36&amp;"_"&amp;$C$14:$C$36,$D$14:$D$36)*$E218,18)</f>
        <v>18</v>
      </c>
      <c r="I218" s="95" cm="1">
        <f ca="1" t="array" ref="I218">MIN(30-SUM(J218:L218),6-L218,_xlfn.XLOOKUP($D218&amp;"_"&amp;I$52,$B$14:$B$36&amp;"_"&amp;$C$14:$C$36,$D$14:$D$36)*$E218)</f>
        <v>1.39986</v>
      </c>
      <c r="J218" s="95" cm="1">
        <f ca="1" t="array" ref="J218">MIN(8,_xlfn.XLOOKUP($D218&amp;"_"&amp;J$52,$B$14:$B$36&amp;"_"&amp;$C$14:$C$36,$D$14:$D$36)*$E218)</f>
        <v>1.47</v>
      </c>
      <c r="K218" s="95" cm="1">
        <f ca="1" t="array" ref="K218">MIN(18,_xlfn.XLOOKUP($D218&amp;"_"&amp;K$52,$B$14:$B$36&amp;"_"&amp;$C$14:$C$36,$D$14:$D$36)*$E218)</f>
        <v>0.5488</v>
      </c>
      <c r="L218" s="95" cm="1">
        <f ca="1" t="array" ref="L218">MIN(6,_xlfn.XLOOKUP($D218&amp;"_"&amp;L$52,$B$14:$B$36&amp;"_"&amp;$C$14:$C$36,$D$14:$D$36)*$E218)</f>
        <v>1.029</v>
      </c>
      <c r="M218" s="95" cm="1">
        <f ca="1" t="array" ref="M218">(1+SUMPRODUCT(G218:H218,OFFSET($H$40:$I$40,D218,0)))*(1+OFFSET($J$40,D218,0))^I218*(1+OFFSET($K$40,D218,0))^J218*(1+OFFSET($L$40,D218,0))^K218*(1+OFFSET($M$40,D218,0))^L218</f>
        <v>16.6451505575961</v>
      </c>
      <c r="N218" s="95">
        <f ca="1">MAX(MAX($N$53:N217),OFFSET($C$52,MATCH(M218*1.07,$M$53:$M$2052,1),0)-C218)</f>
        <v>4680</v>
      </c>
    </row>
    <row r="219" spans="2:14">
      <c r="B219" s="95">
        <v>167</v>
      </c>
      <c r="C219" s="95">
        <f t="shared" si="23"/>
        <v>60120</v>
      </c>
      <c r="D219" s="95">
        <f ca="1">_xlfn.XLOOKUP(总览!$B$44,$B$40:$B$45,$C$40:$C$45)</f>
        <v>5</v>
      </c>
      <c r="E219" s="95">
        <f ca="1" t="shared" si="20"/>
        <v>197</v>
      </c>
      <c r="F219" s="95">
        <f ca="1" t="shared" si="21"/>
        <v>0</v>
      </c>
      <c r="G219" s="95">
        <f ca="1" t="shared" si="22"/>
        <v>7.52964785714286</v>
      </c>
      <c r="H219" s="95" cm="1">
        <f ca="1" t="array" ref="H219">MIN(30-SUM(I219:L219),_xlfn.XLOOKUP($D219&amp;"_"&amp;H$52,$B$14:$B$36&amp;"_"&amp;$C$14:$C$36,$D$14:$D$36)*$E219,18)</f>
        <v>18</v>
      </c>
      <c r="I219" s="95" cm="1">
        <f ca="1" t="array" ref="I219">MIN(30-SUM(J219:L219),6-L219,_xlfn.XLOOKUP($D219&amp;"_"&amp;I$52,$B$14:$B$36&amp;"_"&amp;$C$14:$C$36,$D$14:$D$36)*$E219)</f>
        <v>1.40700214285714</v>
      </c>
      <c r="J219" s="95" cm="1">
        <f ca="1" t="array" ref="J219">MIN(8,_xlfn.XLOOKUP($D219&amp;"_"&amp;J$52,$B$14:$B$36&amp;"_"&amp;$C$14:$C$36,$D$14:$D$36)*$E219)</f>
        <v>1.4775</v>
      </c>
      <c r="K219" s="95" cm="1">
        <f ca="1" t="array" ref="K219">MIN(18,_xlfn.XLOOKUP($D219&amp;"_"&amp;K$52,$B$14:$B$36&amp;"_"&amp;$C$14:$C$36,$D$14:$D$36)*$E219)</f>
        <v>0.5516</v>
      </c>
      <c r="L219" s="95" cm="1">
        <f ca="1" t="array" ref="L219">MIN(6,_xlfn.XLOOKUP($D219&amp;"_"&amp;L$52,$B$14:$B$36&amp;"_"&amp;$C$14:$C$36,$D$14:$D$36)*$E219)</f>
        <v>1.03425</v>
      </c>
      <c r="M219" s="95" cm="1">
        <f ca="1" t="array" ref="M219">(1+SUMPRODUCT(G219:H219,OFFSET($H$40:$I$40,D219,0)))*(1+OFFSET($J$40,D219,0))^I219*(1+OFFSET($K$40,D219,0))^J219*(1+OFFSET($L$40,D219,0))^K219*(1+OFFSET($M$40,D219,0))^L219</f>
        <v>16.7310836446253</v>
      </c>
      <c r="N219" s="95">
        <f ca="1">MAX(MAX($N$53:N218),OFFSET($C$52,MATCH(M219*1.07,$M$53:$M$2052,1),0)-C219)</f>
        <v>4680</v>
      </c>
    </row>
    <row r="220" spans="2:14">
      <c r="B220" s="95">
        <v>168</v>
      </c>
      <c r="C220" s="95">
        <f t="shared" si="23"/>
        <v>60480</v>
      </c>
      <c r="D220" s="95">
        <f ca="1">_xlfn.XLOOKUP(总览!$B$44,$B$40:$B$45,$C$40:$C$45)</f>
        <v>5</v>
      </c>
      <c r="E220" s="95">
        <f ca="1" t="shared" si="20"/>
        <v>198</v>
      </c>
      <c r="F220" s="95">
        <f ca="1" t="shared" si="21"/>
        <v>0</v>
      </c>
      <c r="G220" s="95">
        <f ca="1" t="shared" si="22"/>
        <v>7.50695571428572</v>
      </c>
      <c r="H220" s="95" cm="1">
        <f ca="1" t="array" ref="H220">MIN(30-SUM(I220:L220),_xlfn.XLOOKUP($D220&amp;"_"&amp;H$52,$B$14:$B$36&amp;"_"&amp;$C$14:$C$36,$D$14:$D$36)*$E220,18)</f>
        <v>18</v>
      </c>
      <c r="I220" s="95" cm="1">
        <f ca="1" t="array" ref="I220">MIN(30-SUM(J220:L220),6-L220,_xlfn.XLOOKUP($D220&amp;"_"&amp;I$52,$B$14:$B$36&amp;"_"&amp;$C$14:$C$36,$D$14:$D$36)*$E220)</f>
        <v>1.41414428571428</v>
      </c>
      <c r="J220" s="95" cm="1">
        <f ca="1" t="array" ref="J220">MIN(8,_xlfn.XLOOKUP($D220&amp;"_"&amp;J$52,$B$14:$B$36&amp;"_"&amp;$C$14:$C$36,$D$14:$D$36)*$E220)</f>
        <v>1.485</v>
      </c>
      <c r="K220" s="95" cm="1">
        <f ca="1" t="array" ref="K220">MIN(18,_xlfn.XLOOKUP($D220&amp;"_"&amp;K$52,$B$14:$B$36&amp;"_"&amp;$C$14:$C$36,$D$14:$D$36)*$E220)</f>
        <v>0.5544</v>
      </c>
      <c r="L220" s="95" cm="1">
        <f ca="1" t="array" ref="L220">MIN(6,_xlfn.XLOOKUP($D220&amp;"_"&amp;L$52,$B$14:$B$36&amp;"_"&amp;$C$14:$C$36,$D$14:$D$36)*$E220)</f>
        <v>1.0395</v>
      </c>
      <c r="M220" s="95" cm="1">
        <f ca="1" t="array" ref="M220">(1+SUMPRODUCT(G220:H220,OFFSET($H$40:$I$40,D220,0)))*(1+OFFSET($J$40,D220,0))^I220*(1+OFFSET($K$40,D220,0))^J220*(1+OFFSET($L$40,D220,0))^K220*(1+OFFSET($M$40,D220,0))^L220</f>
        <v>16.817456257052</v>
      </c>
      <c r="N220" s="95">
        <f ca="1">MAX(MAX($N$53:N219),OFFSET($C$52,MATCH(M220*1.07,$M$53:$M$2052,1),0)-C220)</f>
        <v>4680</v>
      </c>
    </row>
    <row r="221" spans="2:14">
      <c r="B221" s="95">
        <v>169</v>
      </c>
      <c r="C221" s="95">
        <f t="shared" si="23"/>
        <v>60840</v>
      </c>
      <c r="D221" s="95">
        <f ca="1">_xlfn.XLOOKUP(总览!$B$44,$B$40:$B$45,$C$40:$C$45)</f>
        <v>5</v>
      </c>
      <c r="E221" s="95">
        <f ca="1" t="shared" si="20"/>
        <v>199</v>
      </c>
      <c r="F221" s="95">
        <f ca="1" t="shared" si="21"/>
        <v>0</v>
      </c>
      <c r="G221" s="95">
        <f ca="1" t="shared" si="22"/>
        <v>7.48426357142857</v>
      </c>
      <c r="H221" s="95" cm="1">
        <f ca="1" t="array" ref="H221">MIN(30-SUM(I221:L221),_xlfn.XLOOKUP($D221&amp;"_"&amp;H$52,$B$14:$B$36&amp;"_"&amp;$C$14:$C$36,$D$14:$D$36)*$E221,18)</f>
        <v>18</v>
      </c>
      <c r="I221" s="95" cm="1">
        <f ca="1" t="array" ref="I221">MIN(30-SUM(J221:L221),6-L221,_xlfn.XLOOKUP($D221&amp;"_"&amp;I$52,$B$14:$B$36&amp;"_"&amp;$C$14:$C$36,$D$14:$D$36)*$E221)</f>
        <v>1.42128642857143</v>
      </c>
      <c r="J221" s="95" cm="1">
        <f ca="1" t="array" ref="J221">MIN(8,_xlfn.XLOOKUP($D221&amp;"_"&amp;J$52,$B$14:$B$36&amp;"_"&amp;$C$14:$C$36,$D$14:$D$36)*$E221)</f>
        <v>1.4925</v>
      </c>
      <c r="K221" s="95" cm="1">
        <f ca="1" t="array" ref="K221">MIN(18,_xlfn.XLOOKUP($D221&amp;"_"&amp;K$52,$B$14:$B$36&amp;"_"&amp;$C$14:$C$36,$D$14:$D$36)*$E221)</f>
        <v>0.5572</v>
      </c>
      <c r="L221" s="95" cm="1">
        <f ca="1" t="array" ref="L221">MIN(6,_xlfn.XLOOKUP($D221&amp;"_"&amp;L$52,$B$14:$B$36&amp;"_"&amp;$C$14:$C$36,$D$14:$D$36)*$E221)</f>
        <v>1.04475</v>
      </c>
      <c r="M221" s="95" cm="1">
        <f ca="1" t="array" ref="M221">(1+SUMPRODUCT(G221:H221,OFFSET($H$40:$I$40,D221,0)))*(1+OFFSET($J$40,D221,0))^I221*(1+OFFSET($K$40,D221,0))^J221*(1+OFFSET($L$40,D221,0))^K221*(1+OFFSET($M$40,D221,0))^L221</f>
        <v>16.904270617387</v>
      </c>
      <c r="N221" s="95">
        <f ca="1">MAX(MAX($N$53:N220),OFFSET($C$52,MATCH(M221*1.07,$M$53:$M$2052,1),0)-C221)</f>
        <v>4680</v>
      </c>
    </row>
    <row r="222" spans="2:14">
      <c r="B222" s="95">
        <v>170</v>
      </c>
      <c r="C222" s="95">
        <f t="shared" si="23"/>
        <v>61200</v>
      </c>
      <c r="D222" s="95">
        <f ca="1">_xlfn.XLOOKUP(总览!$B$44,$B$40:$B$45,$C$40:$C$45)</f>
        <v>5</v>
      </c>
      <c r="E222" s="95">
        <f ca="1" t="shared" si="20"/>
        <v>200</v>
      </c>
      <c r="F222" s="95">
        <f ca="1" t="shared" si="21"/>
        <v>0</v>
      </c>
      <c r="G222" s="95">
        <f ca="1" t="shared" si="22"/>
        <v>7.46157142857143</v>
      </c>
      <c r="H222" s="95" cm="1">
        <f ca="1" t="array" ref="H222">MIN(30-SUM(I222:L222),_xlfn.XLOOKUP($D222&amp;"_"&amp;H$52,$B$14:$B$36&amp;"_"&amp;$C$14:$C$36,$D$14:$D$36)*$E222,18)</f>
        <v>18</v>
      </c>
      <c r="I222" s="95" cm="1">
        <f ca="1" t="array" ref="I222">MIN(30-SUM(J222:L222),6-L222,_xlfn.XLOOKUP($D222&amp;"_"&amp;I$52,$B$14:$B$36&amp;"_"&amp;$C$14:$C$36,$D$14:$D$36)*$E222)</f>
        <v>1.42842857142857</v>
      </c>
      <c r="J222" s="95" cm="1">
        <f ca="1" t="array" ref="J222">MIN(8,_xlfn.XLOOKUP($D222&amp;"_"&amp;J$52,$B$14:$B$36&amp;"_"&amp;$C$14:$C$36,$D$14:$D$36)*$E222)</f>
        <v>1.5</v>
      </c>
      <c r="K222" s="95" cm="1">
        <f ca="1" t="array" ref="K222">MIN(18,_xlfn.XLOOKUP($D222&amp;"_"&amp;K$52,$B$14:$B$36&amp;"_"&amp;$C$14:$C$36,$D$14:$D$36)*$E222)</f>
        <v>0.56</v>
      </c>
      <c r="L222" s="95" cm="1">
        <f ca="1" t="array" ref="L222">MIN(6,_xlfn.XLOOKUP($D222&amp;"_"&amp;L$52,$B$14:$B$36&amp;"_"&amp;$C$14:$C$36,$D$14:$D$36)*$E222)</f>
        <v>1.05</v>
      </c>
      <c r="M222" s="95" cm="1">
        <f ca="1" t="array" ref="M222">(1+SUMPRODUCT(G222:H222,OFFSET($H$40:$I$40,D222,0)))*(1+OFFSET($J$40,D222,0))^I222*(1+OFFSET($K$40,D222,0))^J222*(1+OFFSET($L$40,D222,0))^K222*(1+OFFSET($M$40,D222,0))^L222</f>
        <v>16.9915289592195</v>
      </c>
      <c r="N222" s="95">
        <f ca="1">MAX(MAX($N$53:N221),OFFSET($C$52,MATCH(M222*1.07,$M$53:$M$2052,1),0)-C222)</f>
        <v>4680</v>
      </c>
    </row>
    <row r="223" spans="2:14">
      <c r="B223" s="95">
        <v>171</v>
      </c>
      <c r="C223" s="95">
        <f t="shared" si="23"/>
        <v>61560</v>
      </c>
      <c r="D223" s="95">
        <f ca="1">_xlfn.XLOOKUP(总览!$B$44,$B$40:$B$45,$C$40:$C$45)</f>
        <v>5</v>
      </c>
      <c r="E223" s="95">
        <f ca="1" t="shared" si="20"/>
        <v>201</v>
      </c>
      <c r="F223" s="95">
        <f ca="1" t="shared" si="21"/>
        <v>0</v>
      </c>
      <c r="G223" s="95">
        <f ca="1" t="shared" si="22"/>
        <v>7.43887928571429</v>
      </c>
      <c r="H223" s="95" cm="1">
        <f ca="1" t="array" ref="H223">MIN(30-SUM(I223:L223),_xlfn.XLOOKUP($D223&amp;"_"&amp;H$52,$B$14:$B$36&amp;"_"&amp;$C$14:$C$36,$D$14:$D$36)*$E223,18)</f>
        <v>18</v>
      </c>
      <c r="I223" s="95" cm="1">
        <f ca="1" t="array" ref="I223">MIN(30-SUM(J223:L223),6-L223,_xlfn.XLOOKUP($D223&amp;"_"&amp;I$52,$B$14:$B$36&amp;"_"&amp;$C$14:$C$36,$D$14:$D$36)*$E223)</f>
        <v>1.43557071428571</v>
      </c>
      <c r="J223" s="95" cm="1">
        <f ca="1" t="array" ref="J223">MIN(8,_xlfn.XLOOKUP($D223&amp;"_"&amp;J$52,$B$14:$B$36&amp;"_"&amp;$C$14:$C$36,$D$14:$D$36)*$E223)</f>
        <v>1.5075</v>
      </c>
      <c r="K223" s="95" cm="1">
        <f ca="1" t="array" ref="K223">MIN(18,_xlfn.XLOOKUP($D223&amp;"_"&amp;K$52,$B$14:$B$36&amp;"_"&amp;$C$14:$C$36,$D$14:$D$36)*$E223)</f>
        <v>0.5628</v>
      </c>
      <c r="L223" s="95" cm="1">
        <f ca="1" t="array" ref="L223">MIN(6,_xlfn.XLOOKUP($D223&amp;"_"&amp;L$52,$B$14:$B$36&amp;"_"&amp;$C$14:$C$36,$D$14:$D$36)*$E223)</f>
        <v>1.05525</v>
      </c>
      <c r="M223" s="95" cm="1">
        <f ca="1" t="array" ref="M223">(1+SUMPRODUCT(G223:H223,OFFSET($H$40:$I$40,D223,0)))*(1+OFFSET($J$40,D223,0))^I223*(1+OFFSET($K$40,D223,0))^J223*(1+OFFSET($L$40,D223,0))^K223*(1+OFFSET($M$40,D223,0))^L223</f>
        <v>17.0792335272713</v>
      </c>
      <c r="N223" s="95">
        <f ca="1">MAX(MAX($N$53:N222),OFFSET($C$52,MATCH(M223*1.07,$M$53:$M$2052,1),0)-C223)</f>
        <v>4680</v>
      </c>
    </row>
    <row r="224" spans="2:14">
      <c r="B224" s="95">
        <v>172</v>
      </c>
      <c r="C224" s="95">
        <f t="shared" si="23"/>
        <v>61920</v>
      </c>
      <c r="D224" s="95">
        <f ca="1">_xlfn.XLOOKUP(总览!$B$44,$B$40:$B$45,$C$40:$C$45)</f>
        <v>5</v>
      </c>
      <c r="E224" s="95">
        <f ca="1" t="shared" si="20"/>
        <v>202</v>
      </c>
      <c r="F224" s="95">
        <f ca="1" t="shared" si="21"/>
        <v>0</v>
      </c>
      <c r="G224" s="95">
        <f ca="1" t="shared" si="22"/>
        <v>7.41618714285714</v>
      </c>
      <c r="H224" s="95" cm="1">
        <f ca="1" t="array" ref="H224">MIN(30-SUM(I224:L224),_xlfn.XLOOKUP($D224&amp;"_"&amp;H$52,$B$14:$B$36&amp;"_"&amp;$C$14:$C$36,$D$14:$D$36)*$E224,18)</f>
        <v>18</v>
      </c>
      <c r="I224" s="95" cm="1">
        <f ca="1" t="array" ref="I224">MIN(30-SUM(J224:L224),6-L224,_xlfn.XLOOKUP($D224&amp;"_"&amp;I$52,$B$14:$B$36&amp;"_"&amp;$C$14:$C$36,$D$14:$D$36)*$E224)</f>
        <v>1.44271285714285</v>
      </c>
      <c r="J224" s="95" cm="1">
        <f ca="1" t="array" ref="J224">MIN(8,_xlfn.XLOOKUP($D224&amp;"_"&amp;J$52,$B$14:$B$36&amp;"_"&amp;$C$14:$C$36,$D$14:$D$36)*$E224)</f>
        <v>1.515</v>
      </c>
      <c r="K224" s="95" cm="1">
        <f ca="1" t="array" ref="K224">MIN(18,_xlfn.XLOOKUP($D224&amp;"_"&amp;K$52,$B$14:$B$36&amp;"_"&amp;$C$14:$C$36,$D$14:$D$36)*$E224)</f>
        <v>0.5656</v>
      </c>
      <c r="L224" s="95" cm="1">
        <f ca="1" t="array" ref="L224">MIN(6,_xlfn.XLOOKUP($D224&amp;"_"&amp;L$52,$B$14:$B$36&amp;"_"&amp;$C$14:$C$36,$D$14:$D$36)*$E224)</f>
        <v>1.0605</v>
      </c>
      <c r="M224" s="95" cm="1">
        <f ca="1" t="array" ref="M224">(1+SUMPRODUCT(G224:H224,OFFSET($H$40:$I$40,D224,0)))*(1+OFFSET($J$40,D224,0))^I224*(1+OFFSET($K$40,D224,0))^J224*(1+OFFSET($L$40,D224,0))^K224*(1+OFFSET($M$40,D224,0))^L224</f>
        <v>17.1673865774512</v>
      </c>
      <c r="N224" s="95">
        <f ca="1">MAX(MAX($N$53:N223),OFFSET($C$52,MATCH(M224*1.07,$M$53:$M$2052,1),0)-C224)</f>
        <v>4680</v>
      </c>
    </row>
    <row r="225" spans="2:14">
      <c r="B225" s="95">
        <v>173</v>
      </c>
      <c r="C225" s="95">
        <f t="shared" si="23"/>
        <v>62280</v>
      </c>
      <c r="D225" s="95">
        <f ca="1">_xlfn.XLOOKUP(总览!$B$44,$B$40:$B$45,$C$40:$C$45)</f>
        <v>5</v>
      </c>
      <c r="E225" s="95">
        <f ca="1" t="shared" si="20"/>
        <v>203</v>
      </c>
      <c r="F225" s="95">
        <f ca="1" t="shared" si="21"/>
        <v>0</v>
      </c>
      <c r="G225" s="95">
        <f ca="1" t="shared" si="22"/>
        <v>7.393495</v>
      </c>
      <c r="H225" s="95" cm="1">
        <f ca="1" t="array" ref="H225">MIN(30-SUM(I225:L225),_xlfn.XLOOKUP($D225&amp;"_"&amp;H$52,$B$14:$B$36&amp;"_"&amp;$C$14:$C$36,$D$14:$D$36)*$E225,18)</f>
        <v>18</v>
      </c>
      <c r="I225" s="95" cm="1">
        <f ca="1" t="array" ref="I225">MIN(30-SUM(J225:L225),6-L225,_xlfn.XLOOKUP($D225&amp;"_"&amp;I$52,$B$14:$B$36&amp;"_"&amp;$C$14:$C$36,$D$14:$D$36)*$E225)</f>
        <v>1.449855</v>
      </c>
      <c r="J225" s="95" cm="1">
        <f ca="1" t="array" ref="J225">MIN(8,_xlfn.XLOOKUP($D225&amp;"_"&amp;J$52,$B$14:$B$36&amp;"_"&amp;$C$14:$C$36,$D$14:$D$36)*$E225)</f>
        <v>1.5225</v>
      </c>
      <c r="K225" s="95" cm="1">
        <f ca="1" t="array" ref="K225">MIN(18,_xlfn.XLOOKUP($D225&amp;"_"&amp;K$52,$B$14:$B$36&amp;"_"&amp;$C$14:$C$36,$D$14:$D$36)*$E225)</f>
        <v>0.5684</v>
      </c>
      <c r="L225" s="95" cm="1">
        <f ca="1" t="array" ref="L225">MIN(6,_xlfn.XLOOKUP($D225&amp;"_"&amp;L$52,$B$14:$B$36&amp;"_"&amp;$C$14:$C$36,$D$14:$D$36)*$E225)</f>
        <v>1.06575</v>
      </c>
      <c r="M225" s="95" cm="1">
        <f ca="1" t="array" ref="M225">(1+SUMPRODUCT(G225:H225,OFFSET($H$40:$I$40,D225,0)))*(1+OFFSET($J$40,D225,0))^I225*(1+OFFSET($K$40,D225,0))^J225*(1+OFFSET($L$40,D225,0))^K225*(1+OFFSET($M$40,D225,0))^L225</f>
        <v>17.2559903769098</v>
      </c>
      <c r="N225" s="95">
        <f ca="1">MAX(MAX($N$53:N224),OFFSET($C$52,MATCH(M225*1.07,$M$53:$M$2052,1),0)-C225)</f>
        <v>4680</v>
      </c>
    </row>
    <row r="226" spans="2:14">
      <c r="B226" s="95">
        <v>174</v>
      </c>
      <c r="C226" s="95">
        <f t="shared" si="23"/>
        <v>62640</v>
      </c>
      <c r="D226" s="95">
        <f ca="1">_xlfn.XLOOKUP(总览!$B$44,$B$40:$B$45,$C$40:$C$45)</f>
        <v>5</v>
      </c>
      <c r="E226" s="95">
        <f ca="1" t="shared" si="20"/>
        <v>204</v>
      </c>
      <c r="F226" s="95">
        <f ca="1" t="shared" si="21"/>
        <v>0</v>
      </c>
      <c r="G226" s="95">
        <f ca="1" t="shared" si="22"/>
        <v>7.37080285714286</v>
      </c>
      <c r="H226" s="95" cm="1">
        <f ca="1" t="array" ref="H226">MIN(30-SUM(I226:L226),_xlfn.XLOOKUP($D226&amp;"_"&amp;H$52,$B$14:$B$36&amp;"_"&amp;$C$14:$C$36,$D$14:$D$36)*$E226,18)</f>
        <v>18</v>
      </c>
      <c r="I226" s="95" cm="1">
        <f ca="1" t="array" ref="I226">MIN(30-SUM(J226:L226),6-L226,_xlfn.XLOOKUP($D226&amp;"_"&amp;I$52,$B$14:$B$36&amp;"_"&amp;$C$14:$C$36,$D$14:$D$36)*$E226)</f>
        <v>1.45699714285714</v>
      </c>
      <c r="J226" s="95" cm="1">
        <f ca="1" t="array" ref="J226">MIN(8,_xlfn.XLOOKUP($D226&amp;"_"&amp;J$52,$B$14:$B$36&amp;"_"&amp;$C$14:$C$36,$D$14:$D$36)*$E226)</f>
        <v>1.53</v>
      </c>
      <c r="K226" s="95" cm="1">
        <f ca="1" t="array" ref="K226">MIN(18,_xlfn.XLOOKUP($D226&amp;"_"&amp;K$52,$B$14:$B$36&amp;"_"&amp;$C$14:$C$36,$D$14:$D$36)*$E226)</f>
        <v>0.5712</v>
      </c>
      <c r="L226" s="95" cm="1">
        <f ca="1" t="array" ref="L226">MIN(6,_xlfn.XLOOKUP($D226&amp;"_"&amp;L$52,$B$14:$B$36&amp;"_"&amp;$C$14:$C$36,$D$14:$D$36)*$E226)</f>
        <v>1.071</v>
      </c>
      <c r="M226" s="95" cm="1">
        <f ca="1" t="array" ref="M226">(1+SUMPRODUCT(G226:H226,OFFSET($H$40:$I$40,D226,0)))*(1+OFFSET($J$40,D226,0))^I226*(1+OFFSET($K$40,D226,0))^J226*(1+OFFSET($L$40,D226,0))^K226*(1+OFFSET($M$40,D226,0))^L226</f>
        <v>17.3450472040946</v>
      </c>
      <c r="N226" s="95">
        <f ca="1">MAX(MAX($N$53:N225),OFFSET($C$52,MATCH(M226*1.07,$M$53:$M$2052,1),0)-C226)</f>
        <v>4680</v>
      </c>
    </row>
    <row r="227" spans="2:14">
      <c r="B227" s="95">
        <v>175</v>
      </c>
      <c r="C227" s="95">
        <f t="shared" si="23"/>
        <v>63000</v>
      </c>
      <c r="D227" s="95">
        <f ca="1">_xlfn.XLOOKUP(总览!$B$44,$B$40:$B$45,$C$40:$C$45)</f>
        <v>5</v>
      </c>
      <c r="E227" s="95">
        <f ca="1" t="shared" si="20"/>
        <v>205</v>
      </c>
      <c r="F227" s="95">
        <f ca="1" t="shared" si="21"/>
        <v>0</v>
      </c>
      <c r="G227" s="95">
        <f ca="1" t="shared" si="22"/>
        <v>7.34811071428571</v>
      </c>
      <c r="H227" s="95" cm="1">
        <f ca="1" t="array" ref="H227">MIN(30-SUM(I227:L227),_xlfn.XLOOKUP($D227&amp;"_"&amp;H$52,$B$14:$B$36&amp;"_"&amp;$C$14:$C$36,$D$14:$D$36)*$E227,18)</f>
        <v>18</v>
      </c>
      <c r="I227" s="95" cm="1">
        <f ca="1" t="array" ref="I227">MIN(30-SUM(J227:L227),6-L227,_xlfn.XLOOKUP($D227&amp;"_"&amp;I$52,$B$14:$B$36&amp;"_"&amp;$C$14:$C$36,$D$14:$D$36)*$E227)</f>
        <v>1.46413928571428</v>
      </c>
      <c r="J227" s="95" cm="1">
        <f ca="1" t="array" ref="J227">MIN(8,_xlfn.XLOOKUP($D227&amp;"_"&amp;J$52,$B$14:$B$36&amp;"_"&amp;$C$14:$C$36,$D$14:$D$36)*$E227)</f>
        <v>1.5375</v>
      </c>
      <c r="K227" s="95" cm="1">
        <f ca="1" t="array" ref="K227">MIN(18,_xlfn.XLOOKUP($D227&amp;"_"&amp;K$52,$B$14:$B$36&amp;"_"&amp;$C$14:$C$36,$D$14:$D$36)*$E227)</f>
        <v>0.574</v>
      </c>
      <c r="L227" s="95" cm="1">
        <f ca="1" t="array" ref="L227">MIN(6,_xlfn.XLOOKUP($D227&amp;"_"&amp;L$52,$B$14:$B$36&amp;"_"&amp;$C$14:$C$36,$D$14:$D$36)*$E227)</f>
        <v>1.07625</v>
      </c>
      <c r="M227" s="95" cm="1">
        <f ca="1" t="array" ref="M227">(1+SUMPRODUCT(G227:H227,OFFSET($H$40:$I$40,D227,0)))*(1+OFFSET($J$40,D227,0))^I227*(1+OFFSET($K$40,D227,0))^J227*(1+OFFSET($L$40,D227,0))^K227*(1+OFFSET($M$40,D227,0))^L227</f>
        <v>17.4345593488048</v>
      </c>
      <c r="N227" s="95">
        <f ca="1">MAX(MAX($N$53:N226),OFFSET($C$52,MATCH(M227*1.07,$M$53:$M$2052,1),0)-C227)</f>
        <v>4680</v>
      </c>
    </row>
    <row r="228" spans="2:14">
      <c r="B228" s="95">
        <v>176</v>
      </c>
      <c r="C228" s="95">
        <f t="shared" si="23"/>
        <v>63360</v>
      </c>
      <c r="D228" s="95">
        <f ca="1">_xlfn.XLOOKUP(总览!$B$44,$B$40:$B$45,$C$40:$C$45)</f>
        <v>5</v>
      </c>
      <c r="E228" s="95">
        <f ca="1" t="shared" si="20"/>
        <v>206</v>
      </c>
      <c r="F228" s="95">
        <f ca="1" t="shared" si="21"/>
        <v>0</v>
      </c>
      <c r="G228" s="95">
        <f ca="1" t="shared" si="22"/>
        <v>7.32541857142858</v>
      </c>
      <c r="H228" s="95" cm="1">
        <f ca="1" t="array" ref="H228">MIN(30-SUM(I228:L228),_xlfn.XLOOKUP($D228&amp;"_"&amp;H$52,$B$14:$B$36&amp;"_"&amp;$C$14:$C$36,$D$14:$D$36)*$E228,18)</f>
        <v>18</v>
      </c>
      <c r="I228" s="95" cm="1">
        <f ca="1" t="array" ref="I228">MIN(30-SUM(J228:L228),6-L228,_xlfn.XLOOKUP($D228&amp;"_"&amp;I$52,$B$14:$B$36&amp;"_"&amp;$C$14:$C$36,$D$14:$D$36)*$E228)</f>
        <v>1.47128142857143</v>
      </c>
      <c r="J228" s="95" cm="1">
        <f ca="1" t="array" ref="J228">MIN(8,_xlfn.XLOOKUP($D228&amp;"_"&amp;J$52,$B$14:$B$36&amp;"_"&amp;$C$14:$C$36,$D$14:$D$36)*$E228)</f>
        <v>1.545</v>
      </c>
      <c r="K228" s="95" cm="1">
        <f ca="1" t="array" ref="K228">MIN(18,_xlfn.XLOOKUP($D228&amp;"_"&amp;K$52,$B$14:$B$36&amp;"_"&amp;$C$14:$C$36,$D$14:$D$36)*$E228)</f>
        <v>0.5768</v>
      </c>
      <c r="L228" s="95" cm="1">
        <f ca="1" t="array" ref="L228">MIN(6,_xlfn.XLOOKUP($D228&amp;"_"&amp;L$52,$B$14:$B$36&amp;"_"&amp;$C$14:$C$36,$D$14:$D$36)*$E228)</f>
        <v>1.0815</v>
      </c>
      <c r="M228" s="95" cm="1">
        <f ca="1" t="array" ref="M228">(1+SUMPRODUCT(G228:H228,OFFSET($H$40:$I$40,D228,0)))*(1+OFFSET($J$40,D228,0))^I228*(1+OFFSET($K$40,D228,0))^J228*(1+OFFSET($L$40,D228,0))^K228*(1+OFFSET($M$40,D228,0))^L228</f>
        <v>17.5245291122474</v>
      </c>
      <c r="N228" s="95">
        <f ca="1">MAX(MAX($N$53:N227),OFFSET($C$52,MATCH(M228*1.07,$M$53:$M$2052,1),0)-C228)</f>
        <v>4680</v>
      </c>
    </row>
    <row r="229" spans="2:14">
      <c r="B229" s="95">
        <v>177</v>
      </c>
      <c r="C229" s="95">
        <f t="shared" si="23"/>
        <v>63720</v>
      </c>
      <c r="D229" s="95">
        <f ca="1">_xlfn.XLOOKUP(总览!$B$44,$B$40:$B$45,$C$40:$C$45)</f>
        <v>5</v>
      </c>
      <c r="E229" s="95">
        <f ca="1" t="shared" si="20"/>
        <v>207</v>
      </c>
      <c r="F229" s="95">
        <f ca="1" t="shared" si="21"/>
        <v>0</v>
      </c>
      <c r="G229" s="95">
        <f ca="1" t="shared" si="22"/>
        <v>7.30272642857144</v>
      </c>
      <c r="H229" s="95" cm="1">
        <f ca="1" t="array" ref="H229">MIN(30-SUM(I229:L229),_xlfn.XLOOKUP($D229&amp;"_"&amp;H$52,$B$14:$B$36&amp;"_"&amp;$C$14:$C$36,$D$14:$D$36)*$E229,18)</f>
        <v>18</v>
      </c>
      <c r="I229" s="95" cm="1">
        <f ca="1" t="array" ref="I229">MIN(30-SUM(J229:L229),6-L229,_xlfn.XLOOKUP($D229&amp;"_"&amp;I$52,$B$14:$B$36&amp;"_"&amp;$C$14:$C$36,$D$14:$D$36)*$E229)</f>
        <v>1.47842357142857</v>
      </c>
      <c r="J229" s="95" cm="1">
        <f ca="1" t="array" ref="J229">MIN(8,_xlfn.XLOOKUP($D229&amp;"_"&amp;J$52,$B$14:$B$36&amp;"_"&amp;$C$14:$C$36,$D$14:$D$36)*$E229)</f>
        <v>1.5525</v>
      </c>
      <c r="K229" s="95" cm="1">
        <f ca="1" t="array" ref="K229">MIN(18,_xlfn.XLOOKUP($D229&amp;"_"&amp;K$52,$B$14:$B$36&amp;"_"&amp;$C$14:$C$36,$D$14:$D$36)*$E229)</f>
        <v>0.5796</v>
      </c>
      <c r="L229" s="95" cm="1">
        <f ca="1" t="array" ref="L229">MIN(6,_xlfn.XLOOKUP($D229&amp;"_"&amp;L$52,$B$14:$B$36&amp;"_"&amp;$C$14:$C$36,$D$14:$D$36)*$E229)</f>
        <v>1.08675</v>
      </c>
      <c r="M229" s="95" cm="1">
        <f ca="1" t="array" ref="M229">(1+SUMPRODUCT(G229:H229,OFFSET($H$40:$I$40,D229,0)))*(1+OFFSET($J$40,D229,0))^I229*(1+OFFSET($K$40,D229,0))^J229*(1+OFFSET($L$40,D229,0))^K229*(1+OFFSET($M$40,D229,0))^L229</f>
        <v>17.6149588070925</v>
      </c>
      <c r="N229" s="95">
        <f ca="1">MAX(MAX($N$53:N228),OFFSET($C$52,MATCH(M229*1.07,$M$53:$M$2052,1),0)-C229)</f>
        <v>4680</v>
      </c>
    </row>
    <row r="230" spans="2:14">
      <c r="B230" s="95">
        <v>178</v>
      </c>
      <c r="C230" s="95">
        <f t="shared" si="23"/>
        <v>64080</v>
      </c>
      <c r="D230" s="95">
        <f ca="1">_xlfn.XLOOKUP(总览!$B$44,$B$40:$B$45,$C$40:$C$45)</f>
        <v>5</v>
      </c>
      <c r="E230" s="95">
        <f ca="1" t="shared" si="20"/>
        <v>208</v>
      </c>
      <c r="F230" s="95">
        <f ca="1" t="shared" si="21"/>
        <v>0</v>
      </c>
      <c r="G230" s="95">
        <f ca="1" t="shared" si="22"/>
        <v>7.28003428571429</v>
      </c>
      <c r="H230" s="95" cm="1">
        <f ca="1" t="array" ref="H230">MIN(30-SUM(I230:L230),_xlfn.XLOOKUP($D230&amp;"_"&amp;H$52,$B$14:$B$36&amp;"_"&amp;$C$14:$C$36,$D$14:$D$36)*$E230,18)</f>
        <v>18</v>
      </c>
      <c r="I230" s="95" cm="1">
        <f ca="1" t="array" ref="I230">MIN(30-SUM(J230:L230),6-L230,_xlfn.XLOOKUP($D230&amp;"_"&amp;I$52,$B$14:$B$36&amp;"_"&amp;$C$14:$C$36,$D$14:$D$36)*$E230)</f>
        <v>1.48556571428571</v>
      </c>
      <c r="J230" s="95" cm="1">
        <f ca="1" t="array" ref="J230">MIN(8,_xlfn.XLOOKUP($D230&amp;"_"&amp;J$52,$B$14:$B$36&amp;"_"&amp;$C$14:$C$36,$D$14:$D$36)*$E230)</f>
        <v>1.56</v>
      </c>
      <c r="K230" s="95" cm="1">
        <f ca="1" t="array" ref="K230">MIN(18,_xlfn.XLOOKUP($D230&amp;"_"&amp;K$52,$B$14:$B$36&amp;"_"&amp;$C$14:$C$36,$D$14:$D$36)*$E230)</f>
        <v>0.5824</v>
      </c>
      <c r="L230" s="95" cm="1">
        <f ca="1" t="array" ref="L230">MIN(6,_xlfn.XLOOKUP($D230&amp;"_"&amp;L$52,$B$14:$B$36&amp;"_"&amp;$C$14:$C$36,$D$14:$D$36)*$E230)</f>
        <v>1.092</v>
      </c>
      <c r="M230" s="95" cm="1">
        <f ca="1" t="array" ref="M230">(1+SUMPRODUCT(G230:H230,OFFSET($H$40:$I$40,D230,0)))*(1+OFFSET($J$40,D230,0))^I230*(1+OFFSET($K$40,D230,0))^J230*(1+OFFSET($L$40,D230,0))^K230*(1+OFFSET($M$40,D230,0))^L230</f>
        <v>17.7058507575298</v>
      </c>
      <c r="N230" s="95">
        <f ca="1">MAX(MAX($N$53:N229),OFFSET($C$52,MATCH(M230*1.07,$M$53:$M$2052,1),0)-C230)</f>
        <v>4680</v>
      </c>
    </row>
    <row r="231" spans="2:14">
      <c r="B231" s="95">
        <v>179</v>
      </c>
      <c r="C231" s="95">
        <f t="shared" si="23"/>
        <v>64440</v>
      </c>
      <c r="D231" s="95">
        <f ca="1">_xlfn.XLOOKUP(总览!$B$44,$B$40:$B$45,$C$40:$C$45)</f>
        <v>5</v>
      </c>
      <c r="E231" s="95">
        <f ca="1" t="shared" si="20"/>
        <v>209</v>
      </c>
      <c r="F231" s="95">
        <f ca="1" t="shared" si="21"/>
        <v>0</v>
      </c>
      <c r="G231" s="95">
        <f ca="1" t="shared" si="22"/>
        <v>7.25734214285715</v>
      </c>
      <c r="H231" s="95" cm="1">
        <f ca="1" t="array" ref="H231">MIN(30-SUM(I231:L231),_xlfn.XLOOKUP($D231&amp;"_"&amp;H$52,$B$14:$B$36&amp;"_"&amp;$C$14:$C$36,$D$14:$D$36)*$E231,18)</f>
        <v>18</v>
      </c>
      <c r="I231" s="95" cm="1">
        <f ca="1" t="array" ref="I231">MIN(30-SUM(J231:L231),6-L231,_xlfn.XLOOKUP($D231&amp;"_"&amp;I$52,$B$14:$B$36&amp;"_"&amp;$C$14:$C$36,$D$14:$D$36)*$E231)</f>
        <v>1.49270785714285</v>
      </c>
      <c r="J231" s="95" cm="1">
        <f ca="1" t="array" ref="J231">MIN(8,_xlfn.XLOOKUP($D231&amp;"_"&amp;J$52,$B$14:$B$36&amp;"_"&amp;$C$14:$C$36,$D$14:$D$36)*$E231)</f>
        <v>1.5675</v>
      </c>
      <c r="K231" s="95" cm="1">
        <f ca="1" t="array" ref="K231">MIN(18,_xlfn.XLOOKUP($D231&amp;"_"&amp;K$52,$B$14:$B$36&amp;"_"&amp;$C$14:$C$36,$D$14:$D$36)*$E231)</f>
        <v>0.5852</v>
      </c>
      <c r="L231" s="95" cm="1">
        <f ca="1" t="array" ref="L231">MIN(6,_xlfn.XLOOKUP($D231&amp;"_"&amp;L$52,$B$14:$B$36&amp;"_"&amp;$C$14:$C$36,$D$14:$D$36)*$E231)</f>
        <v>1.09725</v>
      </c>
      <c r="M231" s="95" cm="1">
        <f ca="1" t="array" ref="M231">(1+SUMPRODUCT(G231:H231,OFFSET($H$40:$I$40,D231,0)))*(1+OFFSET($J$40,D231,0))^I231*(1+OFFSET($K$40,D231,0))^J231*(1+OFFSET($L$40,D231,0))^K231*(1+OFFSET($M$40,D231,0))^L231</f>
        <v>17.7972072993243</v>
      </c>
      <c r="N231" s="95">
        <f ca="1">MAX(MAX($N$53:N230),OFFSET($C$52,MATCH(M231*1.07,$M$53:$M$2052,1),0)-C231)</f>
        <v>4680</v>
      </c>
    </row>
    <row r="232" spans="2:14">
      <c r="B232" s="95">
        <v>180</v>
      </c>
      <c r="C232" s="95">
        <f t="shared" si="23"/>
        <v>64800</v>
      </c>
      <c r="D232" s="95">
        <f ca="1">_xlfn.XLOOKUP(总览!$B$44,$B$40:$B$45,$C$40:$C$45)</f>
        <v>5</v>
      </c>
      <c r="E232" s="95">
        <f ca="1" t="shared" si="20"/>
        <v>210</v>
      </c>
      <c r="F232" s="95">
        <f ca="1" t="shared" si="21"/>
        <v>0</v>
      </c>
      <c r="G232" s="95">
        <f ca="1" t="shared" si="22"/>
        <v>7.23465</v>
      </c>
      <c r="H232" s="95" cm="1">
        <f ca="1" t="array" ref="H232">MIN(30-SUM(I232:L232),_xlfn.XLOOKUP($D232&amp;"_"&amp;H$52,$B$14:$B$36&amp;"_"&amp;$C$14:$C$36,$D$14:$D$36)*$E232,18)</f>
        <v>18</v>
      </c>
      <c r="I232" s="95" cm="1">
        <f ca="1" t="array" ref="I232">MIN(30-SUM(J232:L232),6-L232,_xlfn.XLOOKUP($D232&amp;"_"&amp;I$52,$B$14:$B$36&amp;"_"&amp;$C$14:$C$36,$D$14:$D$36)*$E232)</f>
        <v>1.49985</v>
      </c>
      <c r="J232" s="95" cm="1">
        <f ca="1" t="array" ref="J232">MIN(8,_xlfn.XLOOKUP($D232&amp;"_"&amp;J$52,$B$14:$B$36&amp;"_"&amp;$C$14:$C$36,$D$14:$D$36)*$E232)</f>
        <v>1.575</v>
      </c>
      <c r="K232" s="95" cm="1">
        <f ca="1" t="array" ref="K232">MIN(18,_xlfn.XLOOKUP($D232&amp;"_"&amp;K$52,$B$14:$B$36&amp;"_"&amp;$C$14:$C$36,$D$14:$D$36)*$E232)</f>
        <v>0.588</v>
      </c>
      <c r="L232" s="95" cm="1">
        <f ca="1" t="array" ref="L232">MIN(6,_xlfn.XLOOKUP($D232&amp;"_"&amp;L$52,$B$14:$B$36&amp;"_"&amp;$C$14:$C$36,$D$14:$D$36)*$E232)</f>
        <v>1.1025</v>
      </c>
      <c r="M232" s="95" cm="1">
        <f ca="1" t="array" ref="M232">(1+SUMPRODUCT(G232:H232,OFFSET($H$40:$I$40,D232,0)))*(1+OFFSET($J$40,D232,0))^I232*(1+OFFSET($K$40,D232,0))^J232*(1+OFFSET($L$40,D232,0))^K232*(1+OFFSET($M$40,D232,0))^L232</f>
        <v>17.8890307798736</v>
      </c>
      <c r="N232" s="95">
        <f ca="1">MAX(MAX($N$53:N231),OFFSET($C$52,MATCH(M232*1.07,$M$53:$M$2052,1),0)-C232)</f>
        <v>4680</v>
      </c>
    </row>
    <row r="233" spans="2:14">
      <c r="B233" s="95">
        <v>181</v>
      </c>
      <c r="C233" s="95">
        <f t="shared" si="23"/>
        <v>65160</v>
      </c>
      <c r="D233" s="95">
        <f ca="1">_xlfn.XLOOKUP(总览!$B$44,$B$40:$B$45,$C$40:$C$45)</f>
        <v>5</v>
      </c>
      <c r="E233" s="95">
        <f ca="1" t="shared" si="20"/>
        <v>211</v>
      </c>
      <c r="F233" s="95">
        <f ca="1" t="shared" si="21"/>
        <v>0</v>
      </c>
      <c r="G233" s="95">
        <f ca="1" t="shared" si="22"/>
        <v>7.21195785714286</v>
      </c>
      <c r="H233" s="95" cm="1">
        <f ca="1" t="array" ref="H233">MIN(30-SUM(I233:L233),_xlfn.XLOOKUP($D233&amp;"_"&amp;H$52,$B$14:$B$36&amp;"_"&amp;$C$14:$C$36,$D$14:$D$36)*$E233,18)</f>
        <v>18</v>
      </c>
      <c r="I233" s="95" cm="1">
        <f ca="1" t="array" ref="I233">MIN(30-SUM(J233:L233),6-L233,_xlfn.XLOOKUP($D233&amp;"_"&amp;I$52,$B$14:$B$36&amp;"_"&amp;$C$14:$C$36,$D$14:$D$36)*$E233)</f>
        <v>1.50699214285714</v>
      </c>
      <c r="J233" s="95" cm="1">
        <f ca="1" t="array" ref="J233">MIN(8,_xlfn.XLOOKUP($D233&amp;"_"&amp;J$52,$B$14:$B$36&amp;"_"&amp;$C$14:$C$36,$D$14:$D$36)*$E233)</f>
        <v>1.5825</v>
      </c>
      <c r="K233" s="95" cm="1">
        <f ca="1" t="array" ref="K233">MIN(18,_xlfn.XLOOKUP($D233&amp;"_"&amp;K$52,$B$14:$B$36&amp;"_"&amp;$C$14:$C$36,$D$14:$D$36)*$E233)</f>
        <v>0.5908</v>
      </c>
      <c r="L233" s="95" cm="1">
        <f ca="1" t="array" ref="L233">MIN(6,_xlfn.XLOOKUP($D233&amp;"_"&amp;L$52,$B$14:$B$36&amp;"_"&amp;$C$14:$C$36,$D$14:$D$36)*$E233)</f>
        <v>1.10775</v>
      </c>
      <c r="M233" s="95" cm="1">
        <f ca="1" t="array" ref="M233">(1+SUMPRODUCT(G233:H233,OFFSET($H$40:$I$40,D233,0)))*(1+OFFSET($J$40,D233,0))^I233*(1+OFFSET($K$40,D233,0))^J233*(1+OFFSET($L$40,D233,0))^K233*(1+OFFSET($M$40,D233,0))^L233</f>
        <v>17.9813235582641</v>
      </c>
      <c r="N233" s="95">
        <f ca="1">MAX(MAX($N$53:N232),OFFSET($C$52,MATCH(M233*1.07,$M$53:$M$2052,1),0)-C233)</f>
        <v>4680</v>
      </c>
    </row>
    <row r="234" spans="2:14">
      <c r="B234" s="95">
        <v>182</v>
      </c>
      <c r="C234" s="95">
        <f t="shared" si="23"/>
        <v>65520</v>
      </c>
      <c r="D234" s="95">
        <f ca="1">_xlfn.XLOOKUP(总览!$B$44,$B$40:$B$45,$C$40:$C$45)</f>
        <v>5</v>
      </c>
      <c r="E234" s="95">
        <f ca="1" t="shared" si="20"/>
        <v>212</v>
      </c>
      <c r="F234" s="95">
        <f ca="1" t="shared" si="21"/>
        <v>0</v>
      </c>
      <c r="G234" s="95">
        <f ca="1" t="shared" si="22"/>
        <v>7.18926571428572</v>
      </c>
      <c r="H234" s="95" cm="1">
        <f ca="1" t="array" ref="H234">MIN(30-SUM(I234:L234),_xlfn.XLOOKUP($D234&amp;"_"&amp;H$52,$B$14:$B$36&amp;"_"&amp;$C$14:$C$36,$D$14:$D$36)*$E234,18)</f>
        <v>18</v>
      </c>
      <c r="I234" s="95" cm="1">
        <f ca="1" t="array" ref="I234">MIN(30-SUM(J234:L234),6-L234,_xlfn.XLOOKUP($D234&amp;"_"&amp;I$52,$B$14:$B$36&amp;"_"&amp;$C$14:$C$36,$D$14:$D$36)*$E234)</f>
        <v>1.51413428571428</v>
      </c>
      <c r="J234" s="95" cm="1">
        <f ca="1" t="array" ref="J234">MIN(8,_xlfn.XLOOKUP($D234&amp;"_"&amp;J$52,$B$14:$B$36&amp;"_"&amp;$C$14:$C$36,$D$14:$D$36)*$E234)</f>
        <v>1.59</v>
      </c>
      <c r="K234" s="95" cm="1">
        <f ca="1" t="array" ref="K234">MIN(18,_xlfn.XLOOKUP($D234&amp;"_"&amp;K$52,$B$14:$B$36&amp;"_"&amp;$C$14:$C$36,$D$14:$D$36)*$E234)</f>
        <v>0.5936</v>
      </c>
      <c r="L234" s="95" cm="1">
        <f ca="1" t="array" ref="L234">MIN(6,_xlfn.XLOOKUP($D234&amp;"_"&amp;L$52,$B$14:$B$36&amp;"_"&amp;$C$14:$C$36,$D$14:$D$36)*$E234)</f>
        <v>1.113</v>
      </c>
      <c r="M234" s="95" cm="1">
        <f ca="1" t="array" ref="M234">(1+SUMPRODUCT(G234:H234,OFFSET($H$40:$I$40,D234,0)))*(1+OFFSET($J$40,D234,0))^I234*(1+OFFSET($K$40,D234,0))^J234*(1+OFFSET($L$40,D234,0))^K234*(1+OFFSET($M$40,D234,0))^L234</f>
        <v>18.0740880053285</v>
      </c>
      <c r="N234" s="95">
        <f ca="1">MAX(MAX($N$53:N233),OFFSET($C$52,MATCH(M234*1.07,$M$53:$M$2052,1),0)-C234)</f>
        <v>4680</v>
      </c>
    </row>
    <row r="235" spans="2:14">
      <c r="B235" s="95">
        <v>183</v>
      </c>
      <c r="C235" s="95">
        <f t="shared" si="23"/>
        <v>65880</v>
      </c>
      <c r="D235" s="95">
        <f ca="1">_xlfn.XLOOKUP(总览!$B$44,$B$40:$B$45,$C$40:$C$45)</f>
        <v>5</v>
      </c>
      <c r="E235" s="95">
        <f ca="1" t="shared" si="20"/>
        <v>213</v>
      </c>
      <c r="F235" s="95">
        <f ca="1" t="shared" si="21"/>
        <v>0</v>
      </c>
      <c r="G235" s="95">
        <f ca="1" t="shared" si="22"/>
        <v>7.16657357142858</v>
      </c>
      <c r="H235" s="95" cm="1">
        <f ca="1" t="array" ref="H235">MIN(30-SUM(I235:L235),_xlfn.XLOOKUP($D235&amp;"_"&amp;H$52,$B$14:$B$36&amp;"_"&amp;$C$14:$C$36,$D$14:$D$36)*$E235,18)</f>
        <v>18</v>
      </c>
      <c r="I235" s="95" cm="1">
        <f ca="1" t="array" ref="I235">MIN(30-SUM(J235:L235),6-L235,_xlfn.XLOOKUP($D235&amp;"_"&amp;I$52,$B$14:$B$36&amp;"_"&amp;$C$14:$C$36,$D$14:$D$36)*$E235)</f>
        <v>1.52127642857143</v>
      </c>
      <c r="J235" s="95" cm="1">
        <f ca="1" t="array" ref="J235">MIN(8,_xlfn.XLOOKUP($D235&amp;"_"&amp;J$52,$B$14:$B$36&amp;"_"&amp;$C$14:$C$36,$D$14:$D$36)*$E235)</f>
        <v>1.5975</v>
      </c>
      <c r="K235" s="95" cm="1">
        <f ca="1" t="array" ref="K235">MIN(18,_xlfn.XLOOKUP($D235&amp;"_"&amp;K$52,$B$14:$B$36&amp;"_"&amp;$C$14:$C$36,$D$14:$D$36)*$E235)</f>
        <v>0.5964</v>
      </c>
      <c r="L235" s="95" cm="1">
        <f ca="1" t="array" ref="L235">MIN(6,_xlfn.XLOOKUP($D235&amp;"_"&amp;L$52,$B$14:$B$36&amp;"_"&amp;$C$14:$C$36,$D$14:$D$36)*$E235)</f>
        <v>1.11825</v>
      </c>
      <c r="M235" s="95" cm="1">
        <f ca="1" t="array" ref="M235">(1+SUMPRODUCT(G235:H235,OFFSET($H$40:$I$40,D235,0)))*(1+OFFSET($J$40,D235,0))^I235*(1+OFFSET($K$40,D235,0))^J235*(1+OFFSET($L$40,D235,0))^K235*(1+OFFSET($M$40,D235,0))^L235</f>
        <v>18.1673265037032</v>
      </c>
      <c r="N235" s="95">
        <f ca="1">MAX(MAX($N$53:N234),OFFSET($C$52,MATCH(M235*1.07,$M$53:$M$2052,1),0)-C235)</f>
        <v>4680</v>
      </c>
    </row>
    <row r="236" spans="2:14">
      <c r="B236" s="95">
        <v>184</v>
      </c>
      <c r="C236" s="95">
        <f t="shared" si="23"/>
        <v>66240</v>
      </c>
      <c r="D236" s="95">
        <f ca="1">_xlfn.XLOOKUP(总览!$B$44,$B$40:$B$45,$C$40:$C$45)</f>
        <v>5</v>
      </c>
      <c r="E236" s="95">
        <f ca="1" t="shared" si="20"/>
        <v>214</v>
      </c>
      <c r="F236" s="95">
        <f ca="1" t="shared" si="21"/>
        <v>0</v>
      </c>
      <c r="G236" s="95">
        <f ca="1" t="shared" si="22"/>
        <v>7.14388142857143</v>
      </c>
      <c r="H236" s="95" cm="1">
        <f ca="1" t="array" ref="H236">MIN(30-SUM(I236:L236),_xlfn.XLOOKUP($D236&amp;"_"&amp;H$52,$B$14:$B$36&amp;"_"&amp;$C$14:$C$36,$D$14:$D$36)*$E236,18)</f>
        <v>18</v>
      </c>
      <c r="I236" s="95" cm="1">
        <f ca="1" t="array" ref="I236">MIN(30-SUM(J236:L236),6-L236,_xlfn.XLOOKUP($D236&amp;"_"&amp;I$52,$B$14:$B$36&amp;"_"&amp;$C$14:$C$36,$D$14:$D$36)*$E236)</f>
        <v>1.52841857142857</v>
      </c>
      <c r="J236" s="95" cm="1">
        <f ca="1" t="array" ref="J236">MIN(8,_xlfn.XLOOKUP($D236&amp;"_"&amp;J$52,$B$14:$B$36&amp;"_"&amp;$C$14:$C$36,$D$14:$D$36)*$E236)</f>
        <v>1.605</v>
      </c>
      <c r="K236" s="95" cm="1">
        <f ca="1" t="array" ref="K236">MIN(18,_xlfn.XLOOKUP($D236&amp;"_"&amp;K$52,$B$14:$B$36&amp;"_"&amp;$C$14:$C$36,$D$14:$D$36)*$E236)</f>
        <v>0.5992</v>
      </c>
      <c r="L236" s="95" cm="1">
        <f ca="1" t="array" ref="L236">MIN(6,_xlfn.XLOOKUP($D236&amp;"_"&amp;L$52,$B$14:$B$36&amp;"_"&amp;$C$14:$C$36,$D$14:$D$36)*$E236)</f>
        <v>1.1235</v>
      </c>
      <c r="M236" s="95" cm="1">
        <f ca="1" t="array" ref="M236">(1+SUMPRODUCT(G236:H236,OFFSET($H$40:$I$40,D236,0)))*(1+OFFSET($J$40,D236,0))^I236*(1+OFFSET($K$40,D236,0))^J236*(1+OFFSET($L$40,D236,0))^K236*(1+OFFSET($M$40,D236,0))^L236</f>
        <v>18.2610414478857</v>
      </c>
      <c r="N236" s="95">
        <f ca="1">MAX(MAX($N$53:N235),OFFSET($C$52,MATCH(M236*1.07,$M$53:$M$2052,1),0)-C236)</f>
        <v>4680</v>
      </c>
    </row>
    <row r="237" spans="2:14">
      <c r="B237" s="95">
        <v>185</v>
      </c>
      <c r="C237" s="95">
        <f t="shared" si="23"/>
        <v>66600</v>
      </c>
      <c r="D237" s="95">
        <f ca="1">_xlfn.XLOOKUP(总览!$B$44,$B$40:$B$45,$C$40:$C$45)</f>
        <v>5</v>
      </c>
      <c r="E237" s="95">
        <f ca="1" t="shared" si="20"/>
        <v>215</v>
      </c>
      <c r="F237" s="95">
        <f ca="1" t="shared" si="21"/>
        <v>0</v>
      </c>
      <c r="G237" s="95">
        <f ca="1" t="shared" si="22"/>
        <v>7.12118928571429</v>
      </c>
      <c r="H237" s="95" cm="1">
        <f ca="1" t="array" ref="H237">MIN(30-SUM(I237:L237),_xlfn.XLOOKUP($D237&amp;"_"&amp;H$52,$B$14:$B$36&amp;"_"&amp;$C$14:$C$36,$D$14:$D$36)*$E237,18)</f>
        <v>18</v>
      </c>
      <c r="I237" s="95" cm="1">
        <f ca="1" t="array" ref="I237">MIN(30-SUM(J237:L237),6-L237,_xlfn.XLOOKUP($D237&amp;"_"&amp;I$52,$B$14:$B$36&amp;"_"&amp;$C$14:$C$36,$D$14:$D$36)*$E237)</f>
        <v>1.53556071428571</v>
      </c>
      <c r="J237" s="95" cm="1">
        <f ca="1" t="array" ref="J237">MIN(8,_xlfn.XLOOKUP($D237&amp;"_"&amp;J$52,$B$14:$B$36&amp;"_"&amp;$C$14:$C$36,$D$14:$D$36)*$E237)</f>
        <v>1.6125</v>
      </c>
      <c r="K237" s="95" cm="1">
        <f ca="1" t="array" ref="K237">MIN(18,_xlfn.XLOOKUP($D237&amp;"_"&amp;K$52,$B$14:$B$36&amp;"_"&amp;$C$14:$C$36,$D$14:$D$36)*$E237)</f>
        <v>0.602</v>
      </c>
      <c r="L237" s="95" cm="1">
        <f ca="1" t="array" ref="L237">MIN(6,_xlfn.XLOOKUP($D237&amp;"_"&amp;L$52,$B$14:$B$36&amp;"_"&amp;$C$14:$C$36,$D$14:$D$36)*$E237)</f>
        <v>1.12875</v>
      </c>
      <c r="M237" s="95" cm="1">
        <f ca="1" t="array" ref="M237">(1+SUMPRODUCT(G237:H237,OFFSET($H$40:$I$40,D237,0)))*(1+OFFSET($J$40,D237,0))^I237*(1+OFFSET($K$40,D237,0))^J237*(1+OFFSET($L$40,D237,0))^K237*(1+OFFSET($M$40,D237,0))^L237</f>
        <v>18.3552352442929</v>
      </c>
      <c r="N237" s="95">
        <f ca="1">MAX(MAX($N$53:N236),OFFSET($C$52,MATCH(M237*1.07,$M$53:$M$2052,1),0)-C237)</f>
        <v>4680</v>
      </c>
    </row>
    <row r="238" spans="2:14">
      <c r="B238" s="95">
        <v>186</v>
      </c>
      <c r="C238" s="95">
        <f t="shared" si="23"/>
        <v>66960</v>
      </c>
      <c r="D238" s="95">
        <f ca="1">_xlfn.XLOOKUP(总览!$B$44,$B$40:$B$45,$C$40:$C$45)</f>
        <v>5</v>
      </c>
      <c r="E238" s="95">
        <f ca="1" t="shared" si="20"/>
        <v>216</v>
      </c>
      <c r="F238" s="95">
        <f ca="1" t="shared" si="21"/>
        <v>0</v>
      </c>
      <c r="G238" s="95">
        <f ca="1" t="shared" si="22"/>
        <v>7.09849714285714</v>
      </c>
      <c r="H238" s="95" cm="1">
        <f ca="1" t="array" ref="H238">MIN(30-SUM(I238:L238),_xlfn.XLOOKUP($D238&amp;"_"&amp;H$52,$B$14:$B$36&amp;"_"&amp;$C$14:$C$36,$D$14:$D$36)*$E238,18)</f>
        <v>18</v>
      </c>
      <c r="I238" s="95" cm="1">
        <f ca="1" t="array" ref="I238">MIN(30-SUM(J238:L238),6-L238,_xlfn.XLOOKUP($D238&amp;"_"&amp;I$52,$B$14:$B$36&amp;"_"&amp;$C$14:$C$36,$D$14:$D$36)*$E238)</f>
        <v>1.54270285714285</v>
      </c>
      <c r="J238" s="95" cm="1">
        <f ca="1" t="array" ref="J238">MIN(8,_xlfn.XLOOKUP($D238&amp;"_"&amp;J$52,$B$14:$B$36&amp;"_"&amp;$C$14:$C$36,$D$14:$D$36)*$E238)</f>
        <v>1.62</v>
      </c>
      <c r="K238" s="95" cm="1">
        <f ca="1" t="array" ref="K238">MIN(18,_xlfn.XLOOKUP($D238&amp;"_"&amp;K$52,$B$14:$B$36&amp;"_"&amp;$C$14:$C$36,$D$14:$D$36)*$E238)</f>
        <v>0.6048</v>
      </c>
      <c r="L238" s="95" cm="1">
        <f ca="1" t="array" ref="L238">MIN(6,_xlfn.XLOOKUP($D238&amp;"_"&amp;L$52,$B$14:$B$36&amp;"_"&amp;$C$14:$C$36,$D$14:$D$36)*$E238)</f>
        <v>1.134</v>
      </c>
      <c r="M238" s="95" cm="1">
        <f ca="1" t="array" ref="M238">(1+SUMPRODUCT(G238:H238,OFFSET($H$40:$I$40,D238,0)))*(1+OFFSET($J$40,D238,0))^I238*(1+OFFSET($K$40,D238,0))^J238*(1+OFFSET($L$40,D238,0))^K238*(1+OFFSET($M$40,D238,0))^L238</f>
        <v>18.4499103113188</v>
      </c>
      <c r="N238" s="95">
        <f ca="1">MAX(MAX($N$53:N237),OFFSET($C$52,MATCH(M238*1.07,$M$53:$M$2052,1),0)-C238)</f>
        <v>4680</v>
      </c>
    </row>
    <row r="239" spans="2:14">
      <c r="B239" s="95">
        <v>187</v>
      </c>
      <c r="C239" s="95">
        <f t="shared" si="23"/>
        <v>67320</v>
      </c>
      <c r="D239" s="95">
        <f ca="1">_xlfn.XLOOKUP(总览!$B$44,$B$40:$B$45,$C$40:$C$45)</f>
        <v>5</v>
      </c>
      <c r="E239" s="95">
        <f ca="1" t="shared" si="20"/>
        <v>217</v>
      </c>
      <c r="F239" s="95">
        <f ca="1" t="shared" si="21"/>
        <v>0</v>
      </c>
      <c r="G239" s="95">
        <f ca="1" t="shared" si="22"/>
        <v>7.075805</v>
      </c>
      <c r="H239" s="95" cm="1">
        <f ca="1" t="array" ref="H239">MIN(30-SUM(I239:L239),_xlfn.XLOOKUP($D239&amp;"_"&amp;H$52,$B$14:$B$36&amp;"_"&amp;$C$14:$C$36,$D$14:$D$36)*$E239,18)</f>
        <v>18</v>
      </c>
      <c r="I239" s="95" cm="1">
        <f ca="1" t="array" ref="I239">MIN(30-SUM(J239:L239),6-L239,_xlfn.XLOOKUP($D239&amp;"_"&amp;I$52,$B$14:$B$36&amp;"_"&amp;$C$14:$C$36,$D$14:$D$36)*$E239)</f>
        <v>1.549845</v>
      </c>
      <c r="J239" s="95" cm="1">
        <f ca="1" t="array" ref="J239">MIN(8,_xlfn.XLOOKUP($D239&amp;"_"&amp;J$52,$B$14:$B$36&amp;"_"&amp;$C$14:$C$36,$D$14:$D$36)*$E239)</f>
        <v>1.6275</v>
      </c>
      <c r="K239" s="95" cm="1">
        <f ca="1" t="array" ref="K239">MIN(18,_xlfn.XLOOKUP($D239&amp;"_"&amp;K$52,$B$14:$B$36&amp;"_"&amp;$C$14:$C$36,$D$14:$D$36)*$E239)</f>
        <v>0.6076</v>
      </c>
      <c r="L239" s="95" cm="1">
        <f ca="1" t="array" ref="L239">MIN(6,_xlfn.XLOOKUP($D239&amp;"_"&amp;L$52,$B$14:$B$36&amp;"_"&amp;$C$14:$C$36,$D$14:$D$36)*$E239)</f>
        <v>1.13925</v>
      </c>
      <c r="M239" s="95" cm="1">
        <f ca="1" t="array" ref="M239">(1+SUMPRODUCT(G239:H239,OFFSET($H$40:$I$40,D239,0)))*(1+OFFSET($J$40,D239,0))^I239*(1+OFFSET($K$40,D239,0))^J239*(1+OFFSET($L$40,D239,0))^K239*(1+OFFSET($M$40,D239,0))^L239</f>
        <v>18.5450690793936</v>
      </c>
      <c r="N239" s="95">
        <f ca="1">MAX(MAX($N$53:N238),OFFSET($C$52,MATCH(M239*1.07,$M$53:$M$2052,1),0)-C239)</f>
        <v>4680</v>
      </c>
    </row>
    <row r="240" spans="2:14">
      <c r="B240" s="95">
        <v>188</v>
      </c>
      <c r="C240" s="95">
        <f t="shared" si="23"/>
        <v>67680</v>
      </c>
      <c r="D240" s="95">
        <f ca="1">_xlfn.XLOOKUP(总览!$B$44,$B$40:$B$45,$C$40:$C$45)</f>
        <v>5</v>
      </c>
      <c r="E240" s="95">
        <f ca="1" t="shared" si="20"/>
        <v>218</v>
      </c>
      <c r="F240" s="95">
        <f ca="1" t="shared" si="21"/>
        <v>0</v>
      </c>
      <c r="G240" s="95">
        <f ca="1" t="shared" si="22"/>
        <v>7.05311285714286</v>
      </c>
      <c r="H240" s="95" cm="1">
        <f ca="1" t="array" ref="H240">MIN(30-SUM(I240:L240),_xlfn.XLOOKUP($D240&amp;"_"&amp;H$52,$B$14:$B$36&amp;"_"&amp;$C$14:$C$36,$D$14:$D$36)*$E240,18)</f>
        <v>18</v>
      </c>
      <c r="I240" s="95" cm="1">
        <f ca="1" t="array" ref="I240">MIN(30-SUM(J240:L240),6-L240,_xlfn.XLOOKUP($D240&amp;"_"&amp;I$52,$B$14:$B$36&amp;"_"&amp;$C$14:$C$36,$D$14:$D$36)*$E240)</f>
        <v>1.55698714285714</v>
      </c>
      <c r="J240" s="95" cm="1">
        <f ca="1" t="array" ref="J240">MIN(8,_xlfn.XLOOKUP($D240&amp;"_"&amp;J$52,$B$14:$B$36&amp;"_"&amp;$C$14:$C$36,$D$14:$D$36)*$E240)</f>
        <v>1.635</v>
      </c>
      <c r="K240" s="95" cm="1">
        <f ca="1" t="array" ref="K240">MIN(18,_xlfn.XLOOKUP($D240&amp;"_"&amp;K$52,$B$14:$B$36&amp;"_"&amp;$C$14:$C$36,$D$14:$D$36)*$E240)</f>
        <v>0.6104</v>
      </c>
      <c r="L240" s="95" cm="1">
        <f ca="1" t="array" ref="L240">MIN(6,_xlfn.XLOOKUP($D240&amp;"_"&amp;L$52,$B$14:$B$36&amp;"_"&amp;$C$14:$C$36,$D$14:$D$36)*$E240)</f>
        <v>1.1445</v>
      </c>
      <c r="M240" s="95" cm="1">
        <f ca="1" t="array" ref="M240">(1+SUMPRODUCT(G240:H240,OFFSET($H$40:$I$40,D240,0)))*(1+OFFSET($J$40,D240,0))^I240*(1+OFFSET($K$40,D240,0))^J240*(1+OFFSET($L$40,D240,0))^K240*(1+OFFSET($M$40,D240,0))^L240</f>
        <v>18.6407139910422</v>
      </c>
      <c r="N240" s="95">
        <f ca="1">MAX(MAX($N$53:N239),OFFSET($C$52,MATCH(M240*1.07,$M$53:$M$2052,1),0)-C240)</f>
        <v>4680</v>
      </c>
    </row>
    <row r="241" spans="2:14">
      <c r="B241" s="95">
        <v>189</v>
      </c>
      <c r="C241" s="95">
        <f t="shared" si="23"/>
        <v>68040</v>
      </c>
      <c r="D241" s="95">
        <f ca="1">_xlfn.XLOOKUP(总览!$B$44,$B$40:$B$45,$C$40:$C$45)</f>
        <v>5</v>
      </c>
      <c r="E241" s="95">
        <f ca="1" t="shared" si="20"/>
        <v>219</v>
      </c>
      <c r="F241" s="95">
        <f ca="1" t="shared" si="21"/>
        <v>0</v>
      </c>
      <c r="G241" s="95">
        <f ca="1" t="shared" si="22"/>
        <v>7.03042071428572</v>
      </c>
      <c r="H241" s="95" cm="1">
        <f ca="1" t="array" ref="H241">MIN(30-SUM(I241:L241),_xlfn.XLOOKUP($D241&amp;"_"&amp;H$52,$B$14:$B$36&amp;"_"&amp;$C$14:$C$36,$D$14:$D$36)*$E241,18)</f>
        <v>18</v>
      </c>
      <c r="I241" s="95" cm="1">
        <f ca="1" t="array" ref="I241">MIN(30-SUM(J241:L241),6-L241,_xlfn.XLOOKUP($D241&amp;"_"&amp;I$52,$B$14:$B$36&amp;"_"&amp;$C$14:$C$36,$D$14:$D$36)*$E241)</f>
        <v>1.56412928571428</v>
      </c>
      <c r="J241" s="95" cm="1">
        <f ca="1" t="array" ref="J241">MIN(8,_xlfn.XLOOKUP($D241&amp;"_"&amp;J$52,$B$14:$B$36&amp;"_"&amp;$C$14:$C$36,$D$14:$D$36)*$E241)</f>
        <v>1.6425</v>
      </c>
      <c r="K241" s="95" cm="1">
        <f ca="1" t="array" ref="K241">MIN(18,_xlfn.XLOOKUP($D241&amp;"_"&amp;K$52,$B$14:$B$36&amp;"_"&amp;$C$14:$C$36,$D$14:$D$36)*$E241)</f>
        <v>0.6132</v>
      </c>
      <c r="L241" s="95" cm="1">
        <f ca="1" t="array" ref="L241">MIN(6,_xlfn.XLOOKUP($D241&amp;"_"&amp;L$52,$B$14:$B$36&amp;"_"&amp;$C$14:$C$36,$D$14:$D$36)*$E241)</f>
        <v>1.14975</v>
      </c>
      <c r="M241" s="95" cm="1">
        <f ca="1" t="array" ref="M241">(1+SUMPRODUCT(G241:H241,OFFSET($H$40:$I$40,D241,0)))*(1+OFFSET($J$40,D241,0))^I241*(1+OFFSET($K$40,D241,0))^J241*(1+OFFSET($L$40,D241,0))^K241*(1+OFFSET($M$40,D241,0))^L241</f>
        <v>18.736847500943</v>
      </c>
      <c r="N241" s="95">
        <f ca="1">MAX(MAX($N$53:N240),OFFSET($C$52,MATCH(M241*1.07,$M$53:$M$2052,1),0)-C241)</f>
        <v>4680</v>
      </c>
    </row>
    <row r="242" spans="2:14">
      <c r="B242" s="95">
        <v>190</v>
      </c>
      <c r="C242" s="95">
        <f t="shared" si="23"/>
        <v>68400</v>
      </c>
      <c r="D242" s="95">
        <f ca="1">_xlfn.XLOOKUP(总览!$B$44,$B$40:$B$45,$C$40:$C$45)</f>
        <v>5</v>
      </c>
      <c r="E242" s="95">
        <f ca="1" t="shared" si="20"/>
        <v>220</v>
      </c>
      <c r="F242" s="95">
        <f ca="1" t="shared" si="21"/>
        <v>0</v>
      </c>
      <c r="G242" s="95">
        <f ca="1" t="shared" si="22"/>
        <v>7.00772857142858</v>
      </c>
      <c r="H242" s="95" cm="1">
        <f ca="1" t="array" ref="H242">MIN(30-SUM(I242:L242),_xlfn.XLOOKUP($D242&amp;"_"&amp;H$52,$B$14:$B$36&amp;"_"&amp;$C$14:$C$36,$D$14:$D$36)*$E242,18)</f>
        <v>18</v>
      </c>
      <c r="I242" s="95" cm="1">
        <f ca="1" t="array" ref="I242">MIN(30-SUM(J242:L242),6-L242,_xlfn.XLOOKUP($D242&amp;"_"&amp;I$52,$B$14:$B$36&amp;"_"&amp;$C$14:$C$36,$D$14:$D$36)*$E242)</f>
        <v>1.57127142857143</v>
      </c>
      <c r="J242" s="95" cm="1">
        <f ca="1" t="array" ref="J242">MIN(8,_xlfn.XLOOKUP($D242&amp;"_"&amp;J$52,$B$14:$B$36&amp;"_"&amp;$C$14:$C$36,$D$14:$D$36)*$E242)</f>
        <v>1.65</v>
      </c>
      <c r="K242" s="95" cm="1">
        <f ca="1" t="array" ref="K242">MIN(18,_xlfn.XLOOKUP($D242&amp;"_"&amp;K$52,$B$14:$B$36&amp;"_"&amp;$C$14:$C$36,$D$14:$D$36)*$E242)</f>
        <v>0.616</v>
      </c>
      <c r="L242" s="95" cm="1">
        <f ca="1" t="array" ref="L242">MIN(6,_xlfn.XLOOKUP($D242&amp;"_"&amp;L$52,$B$14:$B$36&amp;"_"&amp;$C$14:$C$36,$D$14:$D$36)*$E242)</f>
        <v>1.155</v>
      </c>
      <c r="M242" s="95" cm="1">
        <f ca="1" t="array" ref="M242">(1+SUMPRODUCT(G242:H242,OFFSET($H$40:$I$40,D242,0)))*(1+OFFSET($J$40,D242,0))^I242*(1+OFFSET($K$40,D242,0))^J242*(1+OFFSET($L$40,D242,0))^K242*(1+OFFSET($M$40,D242,0))^L242</f>
        <v>18.8334720759876</v>
      </c>
      <c r="N242" s="95">
        <f ca="1">MAX(MAX($N$53:N241),OFFSET($C$52,MATCH(M242*1.07,$M$53:$M$2052,1),0)-C242)</f>
        <v>4680</v>
      </c>
    </row>
    <row r="243" spans="2:14">
      <c r="B243" s="95">
        <v>191</v>
      </c>
      <c r="C243" s="95">
        <f t="shared" si="23"/>
        <v>68760</v>
      </c>
      <c r="D243" s="95">
        <f ca="1">_xlfn.XLOOKUP(总览!$B$44,$B$40:$B$45,$C$40:$C$45)</f>
        <v>5</v>
      </c>
      <c r="E243" s="95">
        <f ca="1" t="shared" si="20"/>
        <v>221</v>
      </c>
      <c r="F243" s="95">
        <f ca="1" t="shared" si="21"/>
        <v>0</v>
      </c>
      <c r="G243" s="95">
        <f ca="1" t="shared" si="22"/>
        <v>6.98503642857143</v>
      </c>
      <c r="H243" s="95" cm="1">
        <f ca="1" t="array" ref="H243">MIN(30-SUM(I243:L243),_xlfn.XLOOKUP($D243&amp;"_"&amp;H$52,$B$14:$B$36&amp;"_"&amp;$C$14:$C$36,$D$14:$D$36)*$E243,18)</f>
        <v>18</v>
      </c>
      <c r="I243" s="95" cm="1">
        <f ca="1" t="array" ref="I243">MIN(30-SUM(J243:L243),6-L243,_xlfn.XLOOKUP($D243&amp;"_"&amp;I$52,$B$14:$B$36&amp;"_"&amp;$C$14:$C$36,$D$14:$D$36)*$E243)</f>
        <v>1.57841357142857</v>
      </c>
      <c r="J243" s="95" cm="1">
        <f ca="1" t="array" ref="J243">MIN(8,_xlfn.XLOOKUP($D243&amp;"_"&amp;J$52,$B$14:$B$36&amp;"_"&amp;$C$14:$C$36,$D$14:$D$36)*$E243)</f>
        <v>1.6575</v>
      </c>
      <c r="K243" s="95" cm="1">
        <f ca="1" t="array" ref="K243">MIN(18,_xlfn.XLOOKUP($D243&amp;"_"&amp;K$52,$B$14:$B$36&amp;"_"&amp;$C$14:$C$36,$D$14:$D$36)*$E243)</f>
        <v>0.6188</v>
      </c>
      <c r="L243" s="95" cm="1">
        <f ca="1" t="array" ref="L243">MIN(6,_xlfn.XLOOKUP($D243&amp;"_"&amp;L$52,$B$14:$B$36&amp;"_"&amp;$C$14:$C$36,$D$14:$D$36)*$E243)</f>
        <v>1.16025</v>
      </c>
      <c r="M243" s="95" cm="1">
        <f ca="1" t="array" ref="M243">(1+SUMPRODUCT(G243:H243,OFFSET($H$40:$I$40,D243,0)))*(1+OFFSET($J$40,D243,0))^I243*(1+OFFSET($K$40,D243,0))^J243*(1+OFFSET($L$40,D243,0))^K243*(1+OFFSET($M$40,D243,0))^L243</f>
        <v>18.9305901953404</v>
      </c>
      <c r="N243" s="95">
        <f ca="1">MAX(MAX($N$53:N242),OFFSET($C$52,MATCH(M243*1.07,$M$53:$M$2052,1),0)-C243)</f>
        <v>4680</v>
      </c>
    </row>
    <row r="244" spans="2:14">
      <c r="B244" s="95">
        <v>192</v>
      </c>
      <c r="C244" s="95">
        <f t="shared" si="23"/>
        <v>69120</v>
      </c>
      <c r="D244" s="95">
        <f ca="1">_xlfn.XLOOKUP(总览!$B$44,$B$40:$B$45,$C$40:$C$45)</f>
        <v>5</v>
      </c>
      <c r="E244" s="95">
        <f ca="1" t="shared" si="20"/>
        <v>222</v>
      </c>
      <c r="F244" s="95">
        <f ca="1" t="shared" si="21"/>
        <v>0</v>
      </c>
      <c r="G244" s="95">
        <f ca="1" t="shared" si="22"/>
        <v>6.96234428571429</v>
      </c>
      <c r="H244" s="95" cm="1">
        <f ca="1" t="array" ref="H244">MIN(30-SUM(I244:L244),_xlfn.XLOOKUP($D244&amp;"_"&amp;H$52,$B$14:$B$36&amp;"_"&amp;$C$14:$C$36,$D$14:$D$36)*$E244,18)</f>
        <v>18</v>
      </c>
      <c r="I244" s="95" cm="1">
        <f ca="1" t="array" ref="I244">MIN(30-SUM(J244:L244),6-L244,_xlfn.XLOOKUP($D244&amp;"_"&amp;I$52,$B$14:$B$36&amp;"_"&amp;$C$14:$C$36,$D$14:$D$36)*$E244)</f>
        <v>1.58555571428571</v>
      </c>
      <c r="J244" s="95" cm="1">
        <f ca="1" t="array" ref="J244">MIN(8,_xlfn.XLOOKUP($D244&amp;"_"&amp;J$52,$B$14:$B$36&amp;"_"&amp;$C$14:$C$36,$D$14:$D$36)*$E244)</f>
        <v>1.665</v>
      </c>
      <c r="K244" s="95" cm="1">
        <f ca="1" t="array" ref="K244">MIN(18,_xlfn.XLOOKUP($D244&amp;"_"&amp;K$52,$B$14:$B$36&amp;"_"&amp;$C$14:$C$36,$D$14:$D$36)*$E244)</f>
        <v>0.6216</v>
      </c>
      <c r="L244" s="95" cm="1">
        <f ca="1" t="array" ref="L244">MIN(6,_xlfn.XLOOKUP($D244&amp;"_"&amp;L$52,$B$14:$B$36&amp;"_"&amp;$C$14:$C$36,$D$14:$D$36)*$E244)</f>
        <v>1.1655</v>
      </c>
      <c r="M244" s="95" cm="1">
        <f ca="1" t="array" ref="M244">(1+SUMPRODUCT(G244:H244,OFFSET($H$40:$I$40,D244,0)))*(1+OFFSET($J$40,D244,0))^I244*(1+OFFSET($K$40,D244,0))^J244*(1+OFFSET($L$40,D244,0))^K244*(1+OFFSET($M$40,D244,0))^L244</f>
        <v>19.0282043504981</v>
      </c>
      <c r="N244" s="95">
        <f ca="1">MAX(MAX($N$53:N243),OFFSET($C$52,MATCH(M244*1.07,$M$53:$M$2052,1),0)-C244)</f>
        <v>4680</v>
      </c>
    </row>
    <row r="245" spans="2:14">
      <c r="B245" s="95">
        <v>193</v>
      </c>
      <c r="C245" s="95">
        <f t="shared" si="23"/>
        <v>69480</v>
      </c>
      <c r="D245" s="95">
        <f ca="1">_xlfn.XLOOKUP(总览!$B$44,$B$40:$B$45,$C$40:$C$45)</f>
        <v>5</v>
      </c>
      <c r="E245" s="95">
        <f ca="1" t="shared" si="20"/>
        <v>223</v>
      </c>
      <c r="F245" s="95">
        <f ca="1" t="shared" si="21"/>
        <v>0</v>
      </c>
      <c r="G245" s="95">
        <f ca="1" t="shared" si="22"/>
        <v>6.93965214285714</v>
      </c>
      <c r="H245" s="95" cm="1">
        <f ca="1" t="array" ref="H245">MIN(30-SUM(I245:L245),_xlfn.XLOOKUP($D245&amp;"_"&amp;H$52,$B$14:$B$36&amp;"_"&amp;$C$14:$C$36,$D$14:$D$36)*$E245,18)</f>
        <v>18</v>
      </c>
      <c r="I245" s="95" cm="1">
        <f ca="1" t="array" ref="I245">MIN(30-SUM(J245:L245),6-L245,_xlfn.XLOOKUP($D245&amp;"_"&amp;I$52,$B$14:$B$36&amp;"_"&amp;$C$14:$C$36,$D$14:$D$36)*$E245)</f>
        <v>1.59269785714285</v>
      </c>
      <c r="J245" s="95" cm="1">
        <f ca="1" t="array" ref="J245">MIN(8,_xlfn.XLOOKUP($D245&amp;"_"&amp;J$52,$B$14:$B$36&amp;"_"&amp;$C$14:$C$36,$D$14:$D$36)*$E245)</f>
        <v>1.6725</v>
      </c>
      <c r="K245" s="95" cm="1">
        <f ca="1" t="array" ref="K245">MIN(18,_xlfn.XLOOKUP($D245&amp;"_"&amp;K$52,$B$14:$B$36&amp;"_"&amp;$C$14:$C$36,$D$14:$D$36)*$E245)</f>
        <v>0.6244</v>
      </c>
      <c r="L245" s="95" cm="1">
        <f ca="1" t="array" ref="L245">MIN(6,_xlfn.XLOOKUP($D245&amp;"_"&amp;L$52,$B$14:$B$36&amp;"_"&amp;$C$14:$C$36,$D$14:$D$36)*$E245)</f>
        <v>1.17075</v>
      </c>
      <c r="M245" s="95" cm="1">
        <f ca="1" t="array" ref="M245">(1+SUMPRODUCT(G245:H245,OFFSET($H$40:$I$40,D245,0)))*(1+OFFSET($J$40,D245,0))^I245*(1+OFFSET($K$40,D245,0))^J245*(1+OFFSET($L$40,D245,0))^K245*(1+OFFSET($M$40,D245,0))^L245</f>
        <v>19.1263170453504</v>
      </c>
      <c r="N245" s="95">
        <f ca="1">MAX(MAX($N$53:N244),OFFSET($C$52,MATCH(M245*1.07,$M$53:$M$2052,1),0)-C245)</f>
        <v>4680</v>
      </c>
    </row>
    <row r="246" spans="2:14">
      <c r="B246" s="95">
        <v>194</v>
      </c>
      <c r="C246" s="95">
        <f t="shared" si="23"/>
        <v>69840</v>
      </c>
      <c r="D246" s="95">
        <f ca="1">_xlfn.XLOOKUP(总览!$B$44,$B$40:$B$45,$C$40:$C$45)</f>
        <v>5</v>
      </c>
      <c r="E246" s="95">
        <f ca="1" t="shared" ref="E246:E309" si="24">INT(C246/_xlfn.XLOOKUP(D246,$N$5:$N$16,$O$5:$O$16))+OFFSET($R$40,D246,0)</f>
        <v>224</v>
      </c>
      <c r="F246" s="95">
        <f ca="1" t="shared" si="21"/>
        <v>0</v>
      </c>
      <c r="G246" s="95">
        <f ca="1" t="shared" si="22"/>
        <v>6.91696</v>
      </c>
      <c r="H246" s="95" cm="1">
        <f ca="1" t="array" ref="H246">MIN(30-SUM(I246:L246),_xlfn.XLOOKUP($D246&amp;"_"&amp;H$52,$B$14:$B$36&amp;"_"&amp;$C$14:$C$36,$D$14:$D$36)*$E246,18)</f>
        <v>18</v>
      </c>
      <c r="I246" s="95" cm="1">
        <f ca="1" t="array" ref="I246">MIN(30-SUM(J246:L246),6-L246,_xlfn.XLOOKUP($D246&amp;"_"&amp;I$52,$B$14:$B$36&amp;"_"&amp;$C$14:$C$36,$D$14:$D$36)*$E246)</f>
        <v>1.59984</v>
      </c>
      <c r="J246" s="95" cm="1">
        <f ca="1" t="array" ref="J246">MIN(8,_xlfn.XLOOKUP($D246&amp;"_"&amp;J$52,$B$14:$B$36&amp;"_"&amp;$C$14:$C$36,$D$14:$D$36)*$E246)</f>
        <v>1.68</v>
      </c>
      <c r="K246" s="95" cm="1">
        <f ca="1" t="array" ref="K246">MIN(18,_xlfn.XLOOKUP($D246&amp;"_"&amp;K$52,$B$14:$B$36&amp;"_"&amp;$C$14:$C$36,$D$14:$D$36)*$E246)</f>
        <v>0.6272</v>
      </c>
      <c r="L246" s="95" cm="1">
        <f ca="1" t="array" ref="L246">MIN(6,_xlfn.XLOOKUP($D246&amp;"_"&amp;L$52,$B$14:$B$36&amp;"_"&amp;$C$14:$C$36,$D$14:$D$36)*$E246)</f>
        <v>1.176</v>
      </c>
      <c r="M246" s="95" cm="1">
        <f ca="1" t="array" ref="M246">(1+SUMPRODUCT(G246:H246,OFFSET($H$40:$I$40,D246,0)))*(1+OFFSET($J$40,D246,0))^I246*(1+OFFSET($K$40,D246,0))^J246*(1+OFFSET($L$40,D246,0))^K246*(1+OFFSET($M$40,D246,0))^L246</f>
        <v>19.2249307962402</v>
      </c>
      <c r="N246" s="95">
        <f ca="1">MAX(MAX($N$53:N245),OFFSET($C$52,MATCH(M246*1.07,$M$53:$M$2052,1),0)-C246)</f>
        <v>4680</v>
      </c>
    </row>
    <row r="247" spans="2:14">
      <c r="B247" s="95">
        <v>195</v>
      </c>
      <c r="C247" s="95">
        <f t="shared" si="23"/>
        <v>70200</v>
      </c>
      <c r="D247" s="95">
        <f ca="1">_xlfn.XLOOKUP(总览!$B$44,$B$40:$B$45,$C$40:$C$45)</f>
        <v>5</v>
      </c>
      <c r="E247" s="95">
        <f ca="1" t="shared" si="24"/>
        <v>225</v>
      </c>
      <c r="F247" s="95">
        <f ca="1" t="shared" ref="F247:F310" si="25">30-SUM(G247:L247)</f>
        <v>0</v>
      </c>
      <c r="G247" s="95">
        <f ca="1" t="shared" ref="G247:G310" si="26">30-SUM(H247:L247)</f>
        <v>6.89426785714286</v>
      </c>
      <c r="H247" s="95" cm="1">
        <f ca="1" t="array" ref="H247">MIN(30-SUM(I247:L247),_xlfn.XLOOKUP($D247&amp;"_"&amp;H$52,$B$14:$B$36&amp;"_"&amp;$C$14:$C$36,$D$14:$D$36)*$E247,18)</f>
        <v>18</v>
      </c>
      <c r="I247" s="95" cm="1">
        <f ca="1" t="array" ref="I247">MIN(30-SUM(J247:L247),6-L247,_xlfn.XLOOKUP($D247&amp;"_"&amp;I$52,$B$14:$B$36&amp;"_"&amp;$C$14:$C$36,$D$14:$D$36)*$E247)</f>
        <v>1.60698214285714</v>
      </c>
      <c r="J247" s="95" cm="1">
        <f ca="1" t="array" ref="J247">MIN(8,_xlfn.XLOOKUP($D247&amp;"_"&amp;J$52,$B$14:$B$36&amp;"_"&amp;$C$14:$C$36,$D$14:$D$36)*$E247)</f>
        <v>1.6875</v>
      </c>
      <c r="K247" s="95" cm="1">
        <f ca="1" t="array" ref="K247">MIN(18,_xlfn.XLOOKUP($D247&amp;"_"&amp;K$52,$B$14:$B$36&amp;"_"&amp;$C$14:$C$36,$D$14:$D$36)*$E247)</f>
        <v>0.63</v>
      </c>
      <c r="L247" s="95" cm="1">
        <f ca="1" t="array" ref="L247">MIN(6,_xlfn.XLOOKUP($D247&amp;"_"&amp;L$52,$B$14:$B$36&amp;"_"&amp;$C$14:$C$36,$D$14:$D$36)*$E247)</f>
        <v>1.18125</v>
      </c>
      <c r="M247" s="95" cm="1">
        <f ca="1" t="array" ref="M247">(1+SUMPRODUCT(G247:H247,OFFSET($H$40:$I$40,D247,0)))*(1+OFFSET($J$40,D247,0))^I247*(1+OFFSET($K$40,D247,0))^J247*(1+OFFSET($L$40,D247,0))^K247*(1+OFFSET($M$40,D247,0))^L247</f>
        <v>19.3240481320243</v>
      </c>
      <c r="N247" s="95">
        <f ca="1">MAX(MAX($N$53:N246),OFFSET($C$52,MATCH(M247*1.07,$M$53:$M$2052,1),0)-C247)</f>
        <v>4680</v>
      </c>
    </row>
    <row r="248" spans="2:14">
      <c r="B248" s="95">
        <v>196</v>
      </c>
      <c r="C248" s="95">
        <f t="shared" si="23"/>
        <v>70560</v>
      </c>
      <c r="D248" s="95">
        <f ca="1">_xlfn.XLOOKUP(总览!$B$44,$B$40:$B$45,$C$40:$C$45)</f>
        <v>5</v>
      </c>
      <c r="E248" s="95">
        <f ca="1" t="shared" si="24"/>
        <v>226</v>
      </c>
      <c r="F248" s="95">
        <f ca="1" t="shared" si="25"/>
        <v>0</v>
      </c>
      <c r="G248" s="95">
        <f ca="1" t="shared" si="26"/>
        <v>6.87157571428572</v>
      </c>
      <c r="H248" s="95" cm="1">
        <f ca="1" t="array" ref="H248">MIN(30-SUM(I248:L248),_xlfn.XLOOKUP($D248&amp;"_"&amp;H$52,$B$14:$B$36&amp;"_"&amp;$C$14:$C$36,$D$14:$D$36)*$E248,18)</f>
        <v>18</v>
      </c>
      <c r="I248" s="95" cm="1">
        <f ca="1" t="array" ref="I248">MIN(30-SUM(J248:L248),6-L248,_xlfn.XLOOKUP($D248&amp;"_"&amp;I$52,$B$14:$B$36&amp;"_"&amp;$C$14:$C$36,$D$14:$D$36)*$E248)</f>
        <v>1.61412428571428</v>
      </c>
      <c r="J248" s="95" cm="1">
        <f ca="1" t="array" ref="J248">MIN(8,_xlfn.XLOOKUP($D248&amp;"_"&amp;J$52,$B$14:$B$36&amp;"_"&amp;$C$14:$C$36,$D$14:$D$36)*$E248)</f>
        <v>1.695</v>
      </c>
      <c r="K248" s="95" cm="1">
        <f ca="1" t="array" ref="K248">MIN(18,_xlfn.XLOOKUP($D248&amp;"_"&amp;K$52,$B$14:$B$36&amp;"_"&amp;$C$14:$C$36,$D$14:$D$36)*$E248)</f>
        <v>0.6328</v>
      </c>
      <c r="L248" s="95" cm="1">
        <f ca="1" t="array" ref="L248">MIN(6,_xlfn.XLOOKUP($D248&amp;"_"&amp;L$52,$B$14:$B$36&amp;"_"&amp;$C$14:$C$36,$D$14:$D$36)*$E248)</f>
        <v>1.1865</v>
      </c>
      <c r="M248" s="95" cm="1">
        <f ca="1" t="array" ref="M248">(1+SUMPRODUCT(G248:H248,OFFSET($H$40:$I$40,D248,0)))*(1+OFFSET($J$40,D248,0))^I248*(1+OFFSET($K$40,D248,0))^J248*(1+OFFSET($L$40,D248,0))^K248*(1+OFFSET($M$40,D248,0))^L248</f>
        <v>19.4236715941346</v>
      </c>
      <c r="N248" s="95">
        <f ca="1">MAX(MAX($N$53:N247),OFFSET($C$52,MATCH(M248*1.07,$M$53:$M$2052,1),0)-C248)</f>
        <v>4680</v>
      </c>
    </row>
    <row r="249" spans="2:14">
      <c r="B249" s="95">
        <v>197</v>
      </c>
      <c r="C249" s="95">
        <f t="shared" si="23"/>
        <v>70920</v>
      </c>
      <c r="D249" s="95">
        <f ca="1">_xlfn.XLOOKUP(总览!$B$44,$B$40:$B$45,$C$40:$C$45)</f>
        <v>5</v>
      </c>
      <c r="E249" s="95">
        <f ca="1" t="shared" si="24"/>
        <v>227</v>
      </c>
      <c r="F249" s="95">
        <f ca="1" t="shared" si="25"/>
        <v>0</v>
      </c>
      <c r="G249" s="95">
        <f ca="1" t="shared" si="26"/>
        <v>6.84888357142858</v>
      </c>
      <c r="H249" s="95" cm="1">
        <f ca="1" t="array" ref="H249">MIN(30-SUM(I249:L249),_xlfn.XLOOKUP($D249&amp;"_"&amp;H$52,$B$14:$B$36&amp;"_"&amp;$C$14:$C$36,$D$14:$D$36)*$E249,18)</f>
        <v>18</v>
      </c>
      <c r="I249" s="95" cm="1">
        <f ca="1" t="array" ref="I249">MIN(30-SUM(J249:L249),6-L249,_xlfn.XLOOKUP($D249&amp;"_"&amp;I$52,$B$14:$B$36&amp;"_"&amp;$C$14:$C$36,$D$14:$D$36)*$E249)</f>
        <v>1.62126642857143</v>
      </c>
      <c r="J249" s="95" cm="1">
        <f ca="1" t="array" ref="J249">MIN(8,_xlfn.XLOOKUP($D249&amp;"_"&amp;J$52,$B$14:$B$36&amp;"_"&amp;$C$14:$C$36,$D$14:$D$36)*$E249)</f>
        <v>1.7025</v>
      </c>
      <c r="K249" s="95" cm="1">
        <f ca="1" t="array" ref="K249">MIN(18,_xlfn.XLOOKUP($D249&amp;"_"&amp;K$52,$B$14:$B$36&amp;"_"&amp;$C$14:$C$36,$D$14:$D$36)*$E249)</f>
        <v>0.6356</v>
      </c>
      <c r="L249" s="95" cm="1">
        <f ca="1" t="array" ref="L249">MIN(6,_xlfn.XLOOKUP($D249&amp;"_"&amp;L$52,$B$14:$B$36&amp;"_"&amp;$C$14:$C$36,$D$14:$D$36)*$E249)</f>
        <v>1.19175</v>
      </c>
      <c r="M249" s="95" cm="1">
        <f ca="1" t="array" ref="M249">(1+SUMPRODUCT(G249:H249,OFFSET($H$40:$I$40,D249,0)))*(1+OFFSET($J$40,D249,0))^I249*(1+OFFSET($K$40,D249,0))^J249*(1+OFFSET($L$40,D249,0))^K249*(1+OFFSET($M$40,D249,0))^L249</f>
        <v>19.5238037366394</v>
      </c>
      <c r="N249" s="95">
        <f ca="1">MAX(MAX($N$53:N248),OFFSET($C$52,MATCH(M249*1.07,$M$53:$M$2052,1),0)-C249)</f>
        <v>4680</v>
      </c>
    </row>
    <row r="250" spans="2:14">
      <c r="B250" s="95">
        <v>198</v>
      </c>
      <c r="C250" s="95">
        <f t="shared" si="23"/>
        <v>71280</v>
      </c>
      <c r="D250" s="95">
        <f ca="1">_xlfn.XLOOKUP(总览!$B$44,$B$40:$B$45,$C$40:$C$45)</f>
        <v>5</v>
      </c>
      <c r="E250" s="95">
        <f ca="1" t="shared" si="24"/>
        <v>228</v>
      </c>
      <c r="F250" s="95">
        <f ca="1" t="shared" si="25"/>
        <v>0</v>
      </c>
      <c r="G250" s="95">
        <f ca="1" t="shared" si="26"/>
        <v>6.82619142857143</v>
      </c>
      <c r="H250" s="95" cm="1">
        <f ca="1" t="array" ref="H250">MIN(30-SUM(I250:L250),_xlfn.XLOOKUP($D250&amp;"_"&amp;H$52,$B$14:$B$36&amp;"_"&amp;$C$14:$C$36,$D$14:$D$36)*$E250,18)</f>
        <v>18</v>
      </c>
      <c r="I250" s="95" cm="1">
        <f ca="1" t="array" ref="I250">MIN(30-SUM(J250:L250),6-L250,_xlfn.XLOOKUP($D250&amp;"_"&amp;I$52,$B$14:$B$36&amp;"_"&amp;$C$14:$C$36,$D$14:$D$36)*$E250)</f>
        <v>1.62840857142857</v>
      </c>
      <c r="J250" s="95" cm="1">
        <f ca="1" t="array" ref="J250">MIN(8,_xlfn.XLOOKUP($D250&amp;"_"&amp;J$52,$B$14:$B$36&amp;"_"&amp;$C$14:$C$36,$D$14:$D$36)*$E250)</f>
        <v>1.71</v>
      </c>
      <c r="K250" s="95" cm="1">
        <f ca="1" t="array" ref="K250">MIN(18,_xlfn.XLOOKUP($D250&amp;"_"&amp;K$52,$B$14:$B$36&amp;"_"&amp;$C$14:$C$36,$D$14:$D$36)*$E250)</f>
        <v>0.6384</v>
      </c>
      <c r="L250" s="95" cm="1">
        <f ca="1" t="array" ref="L250">MIN(6,_xlfn.XLOOKUP($D250&amp;"_"&amp;L$52,$B$14:$B$36&amp;"_"&amp;$C$14:$C$36,$D$14:$D$36)*$E250)</f>
        <v>1.197</v>
      </c>
      <c r="M250" s="95" cm="1">
        <f ca="1" t="array" ref="M250">(1+SUMPRODUCT(G250:H250,OFFSET($H$40:$I$40,D250,0)))*(1+OFFSET($J$40,D250,0))^I250*(1+OFFSET($K$40,D250,0))^J250*(1+OFFSET($L$40,D250,0))^K250*(1+OFFSET($M$40,D250,0))^L250</f>
        <v>19.6244471263049</v>
      </c>
      <c r="N250" s="95">
        <f ca="1">MAX(MAX($N$53:N249),OFFSET($C$52,MATCH(M250*1.07,$M$53:$M$2052,1),0)-C250)</f>
        <v>4680</v>
      </c>
    </row>
    <row r="251" spans="2:14">
      <c r="B251" s="95">
        <v>199</v>
      </c>
      <c r="C251" s="95">
        <f t="shared" si="23"/>
        <v>71640</v>
      </c>
      <c r="D251" s="95">
        <f ca="1">_xlfn.XLOOKUP(总览!$B$44,$B$40:$B$45,$C$40:$C$45)</f>
        <v>5</v>
      </c>
      <c r="E251" s="95">
        <f ca="1" t="shared" si="24"/>
        <v>229</v>
      </c>
      <c r="F251" s="95">
        <f ca="1" t="shared" si="25"/>
        <v>0</v>
      </c>
      <c r="G251" s="95">
        <f ca="1" t="shared" si="26"/>
        <v>6.80349928571429</v>
      </c>
      <c r="H251" s="95" cm="1">
        <f ca="1" t="array" ref="H251">MIN(30-SUM(I251:L251),_xlfn.XLOOKUP($D251&amp;"_"&amp;H$52,$B$14:$B$36&amp;"_"&amp;$C$14:$C$36,$D$14:$D$36)*$E251,18)</f>
        <v>18</v>
      </c>
      <c r="I251" s="95" cm="1">
        <f ca="1" t="array" ref="I251">MIN(30-SUM(J251:L251),6-L251,_xlfn.XLOOKUP($D251&amp;"_"&amp;I$52,$B$14:$B$36&amp;"_"&amp;$C$14:$C$36,$D$14:$D$36)*$E251)</f>
        <v>1.63555071428571</v>
      </c>
      <c r="J251" s="95" cm="1">
        <f ca="1" t="array" ref="J251">MIN(8,_xlfn.XLOOKUP($D251&amp;"_"&amp;J$52,$B$14:$B$36&amp;"_"&amp;$C$14:$C$36,$D$14:$D$36)*$E251)</f>
        <v>1.7175</v>
      </c>
      <c r="K251" s="95" cm="1">
        <f ca="1" t="array" ref="K251">MIN(18,_xlfn.XLOOKUP($D251&amp;"_"&amp;K$52,$B$14:$B$36&amp;"_"&amp;$C$14:$C$36,$D$14:$D$36)*$E251)</f>
        <v>0.6412</v>
      </c>
      <c r="L251" s="95" cm="1">
        <f ca="1" t="array" ref="L251">MIN(6,_xlfn.XLOOKUP($D251&amp;"_"&amp;L$52,$B$14:$B$36&amp;"_"&amp;$C$14:$C$36,$D$14:$D$36)*$E251)</f>
        <v>1.20225</v>
      </c>
      <c r="M251" s="95" cm="1">
        <f ca="1" t="array" ref="M251">(1+SUMPRODUCT(G251:H251,OFFSET($H$40:$I$40,D251,0)))*(1+OFFSET($J$40,D251,0))^I251*(1+OFFSET($K$40,D251,0))^J251*(1+OFFSET($L$40,D251,0))^K251*(1+OFFSET($M$40,D251,0))^L251</f>
        <v>19.7256043426574</v>
      </c>
      <c r="N251" s="95">
        <f ca="1">MAX(MAX($N$53:N250),OFFSET($C$52,MATCH(M251*1.07,$M$53:$M$2052,1),0)-C251)</f>
        <v>4680</v>
      </c>
    </row>
    <row r="252" spans="2:14">
      <c r="B252" s="95">
        <v>200</v>
      </c>
      <c r="C252" s="95">
        <f t="shared" si="23"/>
        <v>72000</v>
      </c>
      <c r="D252" s="95">
        <f ca="1">_xlfn.XLOOKUP(总览!$B$44,$B$40:$B$45,$C$40:$C$45)</f>
        <v>5</v>
      </c>
      <c r="E252" s="95">
        <f ca="1" t="shared" si="24"/>
        <v>230</v>
      </c>
      <c r="F252" s="95">
        <f ca="1" t="shared" si="25"/>
        <v>0</v>
      </c>
      <c r="G252" s="95">
        <f ca="1" t="shared" si="26"/>
        <v>6.78080714285715</v>
      </c>
      <c r="H252" s="95" cm="1">
        <f ca="1" t="array" ref="H252">MIN(30-SUM(I252:L252),_xlfn.XLOOKUP($D252&amp;"_"&amp;H$52,$B$14:$B$36&amp;"_"&amp;$C$14:$C$36,$D$14:$D$36)*$E252,18)</f>
        <v>18</v>
      </c>
      <c r="I252" s="95" cm="1">
        <f ca="1" t="array" ref="I252">MIN(30-SUM(J252:L252),6-L252,_xlfn.XLOOKUP($D252&amp;"_"&amp;I$52,$B$14:$B$36&amp;"_"&amp;$C$14:$C$36,$D$14:$D$36)*$E252)</f>
        <v>1.64269285714285</v>
      </c>
      <c r="J252" s="95" cm="1">
        <f ca="1" t="array" ref="J252">MIN(8,_xlfn.XLOOKUP($D252&amp;"_"&amp;J$52,$B$14:$B$36&amp;"_"&amp;$C$14:$C$36,$D$14:$D$36)*$E252)</f>
        <v>1.725</v>
      </c>
      <c r="K252" s="95" cm="1">
        <f ca="1" t="array" ref="K252">MIN(18,_xlfn.XLOOKUP($D252&amp;"_"&amp;K$52,$B$14:$B$36&amp;"_"&amp;$C$14:$C$36,$D$14:$D$36)*$E252)</f>
        <v>0.644</v>
      </c>
      <c r="L252" s="95" cm="1">
        <f ca="1" t="array" ref="L252">MIN(6,_xlfn.XLOOKUP($D252&amp;"_"&amp;L$52,$B$14:$B$36&amp;"_"&amp;$C$14:$C$36,$D$14:$D$36)*$E252)</f>
        <v>1.2075</v>
      </c>
      <c r="M252" s="95" cm="1">
        <f ca="1" t="array" ref="M252">(1+SUMPRODUCT(G252:H252,OFFSET($H$40:$I$40,D252,0)))*(1+OFFSET($J$40,D252,0))^I252*(1+OFFSET($K$40,D252,0))^J252*(1+OFFSET($L$40,D252,0))^K252*(1+OFFSET($M$40,D252,0))^L252</f>
        <v>19.8272779780451</v>
      </c>
      <c r="N252" s="95">
        <f ca="1">MAX(MAX($N$53:N251),OFFSET($C$52,MATCH(M252*1.07,$M$53:$M$2052,1),0)-C252)</f>
        <v>4680</v>
      </c>
    </row>
    <row r="253" spans="2:14">
      <c r="B253" s="95">
        <v>201</v>
      </c>
      <c r="C253" s="95">
        <f t="shared" si="23"/>
        <v>72360</v>
      </c>
      <c r="D253" s="95">
        <f ca="1">_xlfn.XLOOKUP(总览!$B$44,$B$40:$B$45,$C$40:$C$45)</f>
        <v>5</v>
      </c>
      <c r="E253" s="95">
        <f ca="1" t="shared" si="24"/>
        <v>231</v>
      </c>
      <c r="F253" s="95">
        <f ca="1" t="shared" si="25"/>
        <v>0</v>
      </c>
      <c r="G253" s="95">
        <f ca="1" t="shared" si="26"/>
        <v>6.758115</v>
      </c>
      <c r="H253" s="95" cm="1">
        <f ca="1" t="array" ref="H253">MIN(30-SUM(I253:L253),_xlfn.XLOOKUP($D253&amp;"_"&amp;H$52,$B$14:$B$36&amp;"_"&amp;$C$14:$C$36,$D$14:$D$36)*$E253,18)</f>
        <v>18</v>
      </c>
      <c r="I253" s="95" cm="1">
        <f ca="1" t="array" ref="I253">MIN(30-SUM(J253:L253),6-L253,_xlfn.XLOOKUP($D253&amp;"_"&amp;I$52,$B$14:$B$36&amp;"_"&amp;$C$14:$C$36,$D$14:$D$36)*$E253)</f>
        <v>1.649835</v>
      </c>
      <c r="J253" s="95" cm="1">
        <f ca="1" t="array" ref="J253">MIN(8,_xlfn.XLOOKUP($D253&amp;"_"&amp;J$52,$B$14:$B$36&amp;"_"&amp;$C$14:$C$36,$D$14:$D$36)*$E253)</f>
        <v>1.7325</v>
      </c>
      <c r="K253" s="95" cm="1">
        <f ca="1" t="array" ref="K253">MIN(18,_xlfn.XLOOKUP($D253&amp;"_"&amp;K$52,$B$14:$B$36&amp;"_"&amp;$C$14:$C$36,$D$14:$D$36)*$E253)</f>
        <v>0.6468</v>
      </c>
      <c r="L253" s="95" cm="1">
        <f ca="1" t="array" ref="L253">MIN(6,_xlfn.XLOOKUP($D253&amp;"_"&amp;L$52,$B$14:$B$36&amp;"_"&amp;$C$14:$C$36,$D$14:$D$36)*$E253)</f>
        <v>1.21275</v>
      </c>
      <c r="M253" s="95" cm="1">
        <f ca="1" t="array" ref="M253">(1+SUMPRODUCT(G253:H253,OFFSET($H$40:$I$40,D253,0)))*(1+OFFSET($J$40,D253,0))^I253*(1+OFFSET($K$40,D253,0))^J253*(1+OFFSET($L$40,D253,0))^K253*(1+OFFSET($M$40,D253,0))^L253</f>
        <v>19.929470637701</v>
      </c>
      <c r="N253" s="95">
        <f ca="1">MAX(MAX($N$53:N252),OFFSET($C$52,MATCH(M253*1.07,$M$53:$M$2052,1),0)-C253)</f>
        <v>4680</v>
      </c>
    </row>
    <row r="254" spans="2:14">
      <c r="B254" s="95">
        <v>202</v>
      </c>
      <c r="C254" s="95">
        <f t="shared" si="23"/>
        <v>72720</v>
      </c>
      <c r="D254" s="95">
        <f ca="1">_xlfn.XLOOKUP(总览!$B$44,$B$40:$B$45,$C$40:$C$45)</f>
        <v>5</v>
      </c>
      <c r="E254" s="95">
        <f ca="1" t="shared" si="24"/>
        <v>232</v>
      </c>
      <c r="F254" s="95">
        <f ca="1" t="shared" si="25"/>
        <v>0</v>
      </c>
      <c r="G254" s="95">
        <f ca="1" t="shared" si="26"/>
        <v>6.73542285714286</v>
      </c>
      <c r="H254" s="95" cm="1">
        <f ca="1" t="array" ref="H254">MIN(30-SUM(I254:L254),_xlfn.XLOOKUP($D254&amp;"_"&amp;H$52,$B$14:$B$36&amp;"_"&amp;$C$14:$C$36,$D$14:$D$36)*$E254,18)</f>
        <v>18</v>
      </c>
      <c r="I254" s="95" cm="1">
        <f ca="1" t="array" ref="I254">MIN(30-SUM(J254:L254),6-L254,_xlfn.XLOOKUP($D254&amp;"_"&amp;I$52,$B$14:$B$36&amp;"_"&amp;$C$14:$C$36,$D$14:$D$36)*$E254)</f>
        <v>1.65697714285714</v>
      </c>
      <c r="J254" s="95" cm="1">
        <f ca="1" t="array" ref="J254">MIN(8,_xlfn.XLOOKUP($D254&amp;"_"&amp;J$52,$B$14:$B$36&amp;"_"&amp;$C$14:$C$36,$D$14:$D$36)*$E254)</f>
        <v>1.74</v>
      </c>
      <c r="K254" s="95" cm="1">
        <f ca="1" t="array" ref="K254">MIN(18,_xlfn.XLOOKUP($D254&amp;"_"&amp;K$52,$B$14:$B$36&amp;"_"&amp;$C$14:$C$36,$D$14:$D$36)*$E254)</f>
        <v>0.6496</v>
      </c>
      <c r="L254" s="95" cm="1">
        <f ca="1" t="array" ref="L254">MIN(6,_xlfn.XLOOKUP($D254&amp;"_"&amp;L$52,$B$14:$B$36&amp;"_"&amp;$C$14:$C$36,$D$14:$D$36)*$E254)</f>
        <v>1.218</v>
      </c>
      <c r="M254" s="95" cm="1">
        <f ca="1" t="array" ref="M254">(1+SUMPRODUCT(G254:H254,OFFSET($H$40:$I$40,D254,0)))*(1+OFFSET($J$40,D254,0))^I254*(1+OFFSET($K$40,D254,0))^J254*(1+OFFSET($L$40,D254,0))^K254*(1+OFFSET($M$40,D254,0))^L254</f>
        <v>20.0321849398055</v>
      </c>
      <c r="N254" s="95">
        <f ca="1">MAX(MAX($N$53:N253),OFFSET($C$52,MATCH(M254*1.07,$M$53:$M$2052,1),0)-C254)</f>
        <v>4680</v>
      </c>
    </row>
    <row r="255" spans="2:14">
      <c r="B255" s="95">
        <v>203</v>
      </c>
      <c r="C255" s="95">
        <f t="shared" si="23"/>
        <v>73080</v>
      </c>
      <c r="D255" s="95">
        <f ca="1">_xlfn.XLOOKUP(总览!$B$44,$B$40:$B$45,$C$40:$C$45)</f>
        <v>5</v>
      </c>
      <c r="E255" s="95">
        <f ca="1" t="shared" si="24"/>
        <v>233</v>
      </c>
      <c r="F255" s="95">
        <f ca="1" t="shared" si="25"/>
        <v>0</v>
      </c>
      <c r="G255" s="95">
        <f ca="1" t="shared" si="26"/>
        <v>6.71273071428572</v>
      </c>
      <c r="H255" s="95" cm="1">
        <f ca="1" t="array" ref="H255">MIN(30-SUM(I255:L255),_xlfn.XLOOKUP($D255&amp;"_"&amp;H$52,$B$14:$B$36&amp;"_"&amp;$C$14:$C$36,$D$14:$D$36)*$E255,18)</f>
        <v>18</v>
      </c>
      <c r="I255" s="95" cm="1">
        <f ca="1" t="array" ref="I255">MIN(30-SUM(J255:L255),6-L255,_xlfn.XLOOKUP($D255&amp;"_"&amp;I$52,$B$14:$B$36&amp;"_"&amp;$C$14:$C$36,$D$14:$D$36)*$E255)</f>
        <v>1.66411928571428</v>
      </c>
      <c r="J255" s="95" cm="1">
        <f ca="1" t="array" ref="J255">MIN(8,_xlfn.XLOOKUP($D255&amp;"_"&amp;J$52,$B$14:$B$36&amp;"_"&amp;$C$14:$C$36,$D$14:$D$36)*$E255)</f>
        <v>1.7475</v>
      </c>
      <c r="K255" s="95" cm="1">
        <f ca="1" t="array" ref="K255">MIN(18,_xlfn.XLOOKUP($D255&amp;"_"&amp;K$52,$B$14:$B$36&amp;"_"&amp;$C$14:$C$36,$D$14:$D$36)*$E255)</f>
        <v>0.6524</v>
      </c>
      <c r="L255" s="95" cm="1">
        <f ca="1" t="array" ref="L255">MIN(6,_xlfn.XLOOKUP($D255&amp;"_"&amp;L$52,$B$14:$B$36&amp;"_"&amp;$C$14:$C$36,$D$14:$D$36)*$E255)</f>
        <v>1.22325</v>
      </c>
      <c r="M255" s="95" cm="1">
        <f ca="1" t="array" ref="M255">(1+SUMPRODUCT(G255:H255,OFFSET($H$40:$I$40,D255,0)))*(1+OFFSET($J$40,D255,0))^I255*(1+OFFSET($K$40,D255,0))^J255*(1+OFFSET($L$40,D255,0))^K255*(1+OFFSET($M$40,D255,0))^L255</f>
        <v>20.1354235155497</v>
      </c>
      <c r="N255" s="95">
        <f ca="1">MAX(MAX($N$53:N254),OFFSET($C$52,MATCH(M255*1.07,$M$53:$M$2052,1),0)-C255)</f>
        <v>4680</v>
      </c>
    </row>
    <row r="256" spans="2:14">
      <c r="B256" s="95">
        <v>204</v>
      </c>
      <c r="C256" s="95">
        <f t="shared" si="23"/>
        <v>73440</v>
      </c>
      <c r="D256" s="95">
        <f ca="1">_xlfn.XLOOKUP(总览!$B$44,$B$40:$B$45,$C$40:$C$45)</f>
        <v>5</v>
      </c>
      <c r="E256" s="95">
        <f ca="1" t="shared" si="24"/>
        <v>234</v>
      </c>
      <c r="F256" s="95">
        <f ca="1" t="shared" si="25"/>
        <v>0</v>
      </c>
      <c r="G256" s="95">
        <f ca="1" t="shared" si="26"/>
        <v>6.69003857142857</v>
      </c>
      <c r="H256" s="95" cm="1">
        <f ca="1" t="array" ref="H256">MIN(30-SUM(I256:L256),_xlfn.XLOOKUP($D256&amp;"_"&amp;H$52,$B$14:$B$36&amp;"_"&amp;$C$14:$C$36,$D$14:$D$36)*$E256,18)</f>
        <v>18</v>
      </c>
      <c r="I256" s="95" cm="1">
        <f ca="1" t="array" ref="I256">MIN(30-SUM(J256:L256),6-L256,_xlfn.XLOOKUP($D256&amp;"_"&amp;I$52,$B$14:$B$36&amp;"_"&amp;$C$14:$C$36,$D$14:$D$36)*$E256)</f>
        <v>1.67126142857143</v>
      </c>
      <c r="J256" s="95" cm="1">
        <f ca="1" t="array" ref="J256">MIN(8,_xlfn.XLOOKUP($D256&amp;"_"&amp;J$52,$B$14:$B$36&amp;"_"&amp;$C$14:$C$36,$D$14:$D$36)*$E256)</f>
        <v>1.755</v>
      </c>
      <c r="K256" s="95" cm="1">
        <f ca="1" t="array" ref="K256">MIN(18,_xlfn.XLOOKUP($D256&amp;"_"&amp;K$52,$B$14:$B$36&amp;"_"&amp;$C$14:$C$36,$D$14:$D$36)*$E256)</f>
        <v>0.6552</v>
      </c>
      <c r="L256" s="95" cm="1">
        <f ca="1" t="array" ref="L256">MIN(6,_xlfn.XLOOKUP($D256&amp;"_"&amp;L$52,$B$14:$B$36&amp;"_"&amp;$C$14:$C$36,$D$14:$D$36)*$E256)</f>
        <v>1.2285</v>
      </c>
      <c r="M256" s="95" cm="1">
        <f ca="1" t="array" ref="M256">(1+SUMPRODUCT(G256:H256,OFFSET($H$40:$I$40,D256,0)))*(1+OFFSET($J$40,D256,0))^I256*(1+OFFSET($K$40,D256,0))^J256*(1+OFFSET($L$40,D256,0))^K256*(1+OFFSET($M$40,D256,0))^L256</f>
        <v>20.2391890091985</v>
      </c>
      <c r="N256" s="95">
        <f ca="1">MAX(MAX($N$53:N255),OFFSET($C$52,MATCH(M256*1.07,$M$53:$M$2052,1),0)-C256)</f>
        <v>4680</v>
      </c>
    </row>
    <row r="257" spans="2:14">
      <c r="B257" s="95">
        <v>205</v>
      </c>
      <c r="C257" s="95">
        <f t="shared" ref="C257:C320" si="27">C256+360</f>
        <v>73800</v>
      </c>
      <c r="D257" s="95">
        <f ca="1">_xlfn.XLOOKUP(总览!$B$44,$B$40:$B$45,$C$40:$C$45)</f>
        <v>5</v>
      </c>
      <c r="E257" s="95">
        <f ca="1" t="shared" si="24"/>
        <v>235</v>
      </c>
      <c r="F257" s="95">
        <f ca="1" t="shared" si="25"/>
        <v>0</v>
      </c>
      <c r="G257" s="95">
        <f ca="1" t="shared" si="26"/>
        <v>6.66734642857143</v>
      </c>
      <c r="H257" s="95" cm="1">
        <f ca="1" t="array" ref="H257">MIN(30-SUM(I257:L257),_xlfn.XLOOKUP($D257&amp;"_"&amp;H$52,$B$14:$B$36&amp;"_"&amp;$C$14:$C$36,$D$14:$D$36)*$E257,18)</f>
        <v>18</v>
      </c>
      <c r="I257" s="95" cm="1">
        <f ca="1" t="array" ref="I257">MIN(30-SUM(J257:L257),6-L257,_xlfn.XLOOKUP($D257&amp;"_"&amp;I$52,$B$14:$B$36&amp;"_"&amp;$C$14:$C$36,$D$14:$D$36)*$E257)</f>
        <v>1.67840357142857</v>
      </c>
      <c r="J257" s="95" cm="1">
        <f ca="1" t="array" ref="J257">MIN(8,_xlfn.XLOOKUP($D257&amp;"_"&amp;J$52,$B$14:$B$36&amp;"_"&amp;$C$14:$C$36,$D$14:$D$36)*$E257)</f>
        <v>1.7625</v>
      </c>
      <c r="K257" s="95" cm="1">
        <f ca="1" t="array" ref="K257">MIN(18,_xlfn.XLOOKUP($D257&amp;"_"&amp;K$52,$B$14:$B$36&amp;"_"&amp;$C$14:$C$36,$D$14:$D$36)*$E257)</f>
        <v>0.658</v>
      </c>
      <c r="L257" s="95" cm="1">
        <f ca="1" t="array" ref="L257">MIN(6,_xlfn.XLOOKUP($D257&amp;"_"&amp;L$52,$B$14:$B$36&amp;"_"&amp;$C$14:$C$36,$D$14:$D$36)*$E257)</f>
        <v>1.23375</v>
      </c>
      <c r="M257" s="95" cm="1">
        <f ca="1" t="array" ref="M257">(1+SUMPRODUCT(G257:H257,OFFSET($H$40:$I$40,D257,0)))*(1+OFFSET($J$40,D257,0))^I257*(1+OFFSET($K$40,D257,0))^J257*(1+OFFSET($L$40,D257,0))^K257*(1+OFFSET($M$40,D257,0))^L257</f>
        <v>20.3434840781544</v>
      </c>
      <c r="N257" s="95">
        <f ca="1">MAX(MAX($N$53:N256),OFFSET($C$52,MATCH(M257*1.07,$M$53:$M$2052,1),0)-C257)</f>
        <v>4680</v>
      </c>
    </row>
    <row r="258" spans="2:14">
      <c r="B258" s="95">
        <v>206</v>
      </c>
      <c r="C258" s="95">
        <f t="shared" si="27"/>
        <v>74160</v>
      </c>
      <c r="D258" s="95">
        <f ca="1">_xlfn.XLOOKUP(总览!$B$44,$B$40:$B$45,$C$40:$C$45)</f>
        <v>5</v>
      </c>
      <c r="E258" s="95">
        <f ca="1" t="shared" si="24"/>
        <v>236</v>
      </c>
      <c r="F258" s="95">
        <f ca="1" t="shared" si="25"/>
        <v>0</v>
      </c>
      <c r="G258" s="95">
        <f ca="1" t="shared" si="26"/>
        <v>6.64465428571429</v>
      </c>
      <c r="H258" s="95" cm="1">
        <f ca="1" t="array" ref="H258">MIN(30-SUM(I258:L258),_xlfn.XLOOKUP($D258&amp;"_"&amp;H$52,$B$14:$B$36&amp;"_"&amp;$C$14:$C$36,$D$14:$D$36)*$E258,18)</f>
        <v>18</v>
      </c>
      <c r="I258" s="95" cm="1">
        <f ca="1" t="array" ref="I258">MIN(30-SUM(J258:L258),6-L258,_xlfn.XLOOKUP($D258&amp;"_"&amp;I$52,$B$14:$B$36&amp;"_"&amp;$C$14:$C$36,$D$14:$D$36)*$E258)</f>
        <v>1.68554571428571</v>
      </c>
      <c r="J258" s="95" cm="1">
        <f ca="1" t="array" ref="J258">MIN(8,_xlfn.XLOOKUP($D258&amp;"_"&amp;J$52,$B$14:$B$36&amp;"_"&amp;$C$14:$C$36,$D$14:$D$36)*$E258)</f>
        <v>1.77</v>
      </c>
      <c r="K258" s="95" cm="1">
        <f ca="1" t="array" ref="K258">MIN(18,_xlfn.XLOOKUP($D258&amp;"_"&amp;K$52,$B$14:$B$36&amp;"_"&amp;$C$14:$C$36,$D$14:$D$36)*$E258)</f>
        <v>0.6608</v>
      </c>
      <c r="L258" s="95" cm="1">
        <f ca="1" t="array" ref="L258">MIN(6,_xlfn.XLOOKUP($D258&amp;"_"&amp;L$52,$B$14:$B$36&amp;"_"&amp;$C$14:$C$36,$D$14:$D$36)*$E258)</f>
        <v>1.239</v>
      </c>
      <c r="M258" s="95" cm="1">
        <f ca="1" t="array" ref="M258">(1+SUMPRODUCT(G258:H258,OFFSET($H$40:$I$40,D258,0)))*(1+OFFSET($J$40,D258,0))^I258*(1+OFFSET($K$40,D258,0))^J258*(1+OFFSET($L$40,D258,0))^K258*(1+OFFSET($M$40,D258,0))^L258</f>
        <v>20.4483113930218</v>
      </c>
      <c r="N258" s="95">
        <f ca="1">MAX(MAX($N$53:N257),OFFSET($C$52,MATCH(M258*1.07,$M$53:$M$2052,1),0)-C258)</f>
        <v>4680</v>
      </c>
    </row>
    <row r="259" spans="2:14">
      <c r="B259" s="95">
        <v>207</v>
      </c>
      <c r="C259" s="95">
        <f t="shared" si="27"/>
        <v>74520</v>
      </c>
      <c r="D259" s="95">
        <f ca="1">_xlfn.XLOOKUP(总览!$B$44,$B$40:$B$45,$C$40:$C$45)</f>
        <v>5</v>
      </c>
      <c r="E259" s="95">
        <f ca="1" t="shared" si="24"/>
        <v>237</v>
      </c>
      <c r="F259" s="95">
        <f ca="1" t="shared" si="25"/>
        <v>0</v>
      </c>
      <c r="G259" s="95">
        <f ca="1" t="shared" si="26"/>
        <v>6.62196214285715</v>
      </c>
      <c r="H259" s="95" cm="1">
        <f ca="1" t="array" ref="H259">MIN(30-SUM(I259:L259),_xlfn.XLOOKUP($D259&amp;"_"&amp;H$52,$B$14:$B$36&amp;"_"&amp;$C$14:$C$36,$D$14:$D$36)*$E259,18)</f>
        <v>18</v>
      </c>
      <c r="I259" s="95" cm="1">
        <f ca="1" t="array" ref="I259">MIN(30-SUM(J259:L259),6-L259,_xlfn.XLOOKUP($D259&amp;"_"&amp;I$52,$B$14:$B$36&amp;"_"&amp;$C$14:$C$36,$D$14:$D$36)*$E259)</f>
        <v>1.69268785714285</v>
      </c>
      <c r="J259" s="95" cm="1">
        <f ca="1" t="array" ref="J259">MIN(8,_xlfn.XLOOKUP($D259&amp;"_"&amp;J$52,$B$14:$B$36&amp;"_"&amp;$C$14:$C$36,$D$14:$D$36)*$E259)</f>
        <v>1.7775</v>
      </c>
      <c r="K259" s="95" cm="1">
        <f ca="1" t="array" ref="K259">MIN(18,_xlfn.XLOOKUP($D259&amp;"_"&amp;K$52,$B$14:$B$36&amp;"_"&amp;$C$14:$C$36,$D$14:$D$36)*$E259)</f>
        <v>0.6636</v>
      </c>
      <c r="L259" s="95" cm="1">
        <f ca="1" t="array" ref="L259">MIN(6,_xlfn.XLOOKUP($D259&amp;"_"&amp;L$52,$B$14:$B$36&amp;"_"&amp;$C$14:$C$36,$D$14:$D$36)*$E259)</f>
        <v>1.24425</v>
      </c>
      <c r="M259" s="95" cm="1">
        <f ca="1" t="array" ref="M259">(1+SUMPRODUCT(G259:H259,OFFSET($H$40:$I$40,D259,0)))*(1+OFFSET($J$40,D259,0))^I259*(1+OFFSET($K$40,D259,0))^J259*(1+OFFSET($L$40,D259,0))^K259*(1+OFFSET($M$40,D259,0))^L259</f>
        <v>20.5536736376709</v>
      </c>
      <c r="N259" s="95">
        <f ca="1">MAX(MAX($N$53:N258),OFFSET($C$52,MATCH(M259*1.07,$M$53:$M$2052,1),0)-C259)</f>
        <v>4680</v>
      </c>
    </row>
    <row r="260" spans="2:14">
      <c r="B260" s="95">
        <v>208</v>
      </c>
      <c r="C260" s="95">
        <f t="shared" si="27"/>
        <v>74880</v>
      </c>
      <c r="D260" s="95">
        <f ca="1">_xlfn.XLOOKUP(总览!$B$44,$B$40:$B$45,$C$40:$C$45)</f>
        <v>5</v>
      </c>
      <c r="E260" s="95">
        <f ca="1" t="shared" si="24"/>
        <v>238</v>
      </c>
      <c r="F260" s="95">
        <f ca="1" t="shared" si="25"/>
        <v>0</v>
      </c>
      <c r="G260" s="95">
        <f ca="1" t="shared" si="26"/>
        <v>6.59927</v>
      </c>
      <c r="H260" s="95" cm="1">
        <f ca="1" t="array" ref="H260">MIN(30-SUM(I260:L260),_xlfn.XLOOKUP($D260&amp;"_"&amp;H$52,$B$14:$B$36&amp;"_"&amp;$C$14:$C$36,$D$14:$D$36)*$E260,18)</f>
        <v>18</v>
      </c>
      <c r="I260" s="95" cm="1">
        <f ca="1" t="array" ref="I260">MIN(30-SUM(J260:L260),6-L260,_xlfn.XLOOKUP($D260&amp;"_"&amp;I$52,$B$14:$B$36&amp;"_"&amp;$C$14:$C$36,$D$14:$D$36)*$E260)</f>
        <v>1.69983</v>
      </c>
      <c r="J260" s="95" cm="1">
        <f ca="1" t="array" ref="J260">MIN(8,_xlfn.XLOOKUP($D260&amp;"_"&amp;J$52,$B$14:$B$36&amp;"_"&amp;$C$14:$C$36,$D$14:$D$36)*$E260)</f>
        <v>1.785</v>
      </c>
      <c r="K260" s="95" cm="1">
        <f ca="1" t="array" ref="K260">MIN(18,_xlfn.XLOOKUP($D260&amp;"_"&amp;K$52,$B$14:$B$36&amp;"_"&amp;$C$14:$C$36,$D$14:$D$36)*$E260)</f>
        <v>0.6664</v>
      </c>
      <c r="L260" s="95" cm="1">
        <f ca="1" t="array" ref="L260">MIN(6,_xlfn.XLOOKUP($D260&amp;"_"&amp;L$52,$B$14:$B$36&amp;"_"&amp;$C$14:$C$36,$D$14:$D$36)*$E260)</f>
        <v>1.2495</v>
      </c>
      <c r="M260" s="95" cm="1">
        <f ca="1" t="array" ref="M260">(1+SUMPRODUCT(G260:H260,OFFSET($H$40:$I$40,D260,0)))*(1+OFFSET($J$40,D260,0))^I260*(1+OFFSET($K$40,D260,0))^J260*(1+OFFSET($L$40,D260,0))^K260*(1+OFFSET($M$40,D260,0))^L260</f>
        <v>20.6595735093026</v>
      </c>
      <c r="N260" s="95">
        <f ca="1">MAX(MAX($N$53:N259),OFFSET($C$52,MATCH(M260*1.07,$M$53:$M$2052,1),0)-C260)</f>
        <v>4680</v>
      </c>
    </row>
    <row r="261" spans="2:14">
      <c r="B261" s="95">
        <v>209</v>
      </c>
      <c r="C261" s="95">
        <f t="shared" si="27"/>
        <v>75240</v>
      </c>
      <c r="D261" s="95">
        <f ca="1">_xlfn.XLOOKUP(总览!$B$44,$B$40:$B$45,$C$40:$C$45)</f>
        <v>5</v>
      </c>
      <c r="E261" s="95">
        <f ca="1" t="shared" si="24"/>
        <v>239</v>
      </c>
      <c r="F261" s="95">
        <f ca="1" t="shared" si="25"/>
        <v>0</v>
      </c>
      <c r="G261" s="95">
        <f ca="1" t="shared" si="26"/>
        <v>6.57657785714286</v>
      </c>
      <c r="H261" s="95" cm="1">
        <f ca="1" t="array" ref="H261">MIN(30-SUM(I261:L261),_xlfn.XLOOKUP($D261&amp;"_"&amp;H$52,$B$14:$B$36&amp;"_"&amp;$C$14:$C$36,$D$14:$D$36)*$E261,18)</f>
        <v>18</v>
      </c>
      <c r="I261" s="95" cm="1">
        <f ca="1" t="array" ref="I261">MIN(30-SUM(J261:L261),6-L261,_xlfn.XLOOKUP($D261&amp;"_"&amp;I$52,$B$14:$B$36&amp;"_"&amp;$C$14:$C$36,$D$14:$D$36)*$E261)</f>
        <v>1.70697214285714</v>
      </c>
      <c r="J261" s="95" cm="1">
        <f ca="1" t="array" ref="J261">MIN(8,_xlfn.XLOOKUP($D261&amp;"_"&amp;J$52,$B$14:$B$36&amp;"_"&amp;$C$14:$C$36,$D$14:$D$36)*$E261)</f>
        <v>1.7925</v>
      </c>
      <c r="K261" s="95" cm="1">
        <f ca="1" t="array" ref="K261">MIN(18,_xlfn.XLOOKUP($D261&amp;"_"&amp;K$52,$B$14:$B$36&amp;"_"&amp;$C$14:$C$36,$D$14:$D$36)*$E261)</f>
        <v>0.6692</v>
      </c>
      <c r="L261" s="95" cm="1">
        <f ca="1" t="array" ref="L261">MIN(6,_xlfn.XLOOKUP($D261&amp;"_"&amp;L$52,$B$14:$B$36&amp;"_"&amp;$C$14:$C$36,$D$14:$D$36)*$E261)</f>
        <v>1.25475</v>
      </c>
      <c r="M261" s="95" cm="1">
        <f ca="1" t="array" ref="M261">(1+SUMPRODUCT(G261:H261,OFFSET($H$40:$I$40,D261,0)))*(1+OFFSET($J$40,D261,0))^I261*(1+OFFSET($K$40,D261,0))^J261*(1+OFFSET($L$40,D261,0))^K261*(1+OFFSET($M$40,D261,0))^L261</f>
        <v>20.7660137185133</v>
      </c>
      <c r="N261" s="95">
        <f ca="1">MAX(MAX($N$53:N260),OFFSET($C$52,MATCH(M261*1.07,$M$53:$M$2052,1),0)-C261)</f>
        <v>4680</v>
      </c>
    </row>
    <row r="262" spans="2:14">
      <c r="B262" s="95">
        <v>210</v>
      </c>
      <c r="C262" s="95">
        <f t="shared" si="27"/>
        <v>75600</v>
      </c>
      <c r="D262" s="95">
        <f ca="1">_xlfn.XLOOKUP(总览!$B$44,$B$40:$B$45,$C$40:$C$45)</f>
        <v>5</v>
      </c>
      <c r="E262" s="95">
        <f ca="1" t="shared" si="24"/>
        <v>240</v>
      </c>
      <c r="F262" s="95">
        <f ca="1" t="shared" si="25"/>
        <v>0</v>
      </c>
      <c r="G262" s="95">
        <f ca="1" t="shared" si="26"/>
        <v>6.55388571428572</v>
      </c>
      <c r="H262" s="95" cm="1">
        <f ca="1" t="array" ref="H262">MIN(30-SUM(I262:L262),_xlfn.XLOOKUP($D262&amp;"_"&amp;H$52,$B$14:$B$36&amp;"_"&amp;$C$14:$C$36,$D$14:$D$36)*$E262,18)</f>
        <v>18</v>
      </c>
      <c r="I262" s="95" cm="1">
        <f ca="1" t="array" ref="I262">MIN(30-SUM(J262:L262),6-L262,_xlfn.XLOOKUP($D262&amp;"_"&amp;I$52,$B$14:$B$36&amp;"_"&amp;$C$14:$C$36,$D$14:$D$36)*$E262)</f>
        <v>1.71411428571428</v>
      </c>
      <c r="J262" s="95" cm="1">
        <f ca="1" t="array" ref="J262">MIN(8,_xlfn.XLOOKUP($D262&amp;"_"&amp;J$52,$B$14:$B$36&amp;"_"&amp;$C$14:$C$36,$D$14:$D$36)*$E262)</f>
        <v>1.8</v>
      </c>
      <c r="K262" s="95" cm="1">
        <f ca="1" t="array" ref="K262">MIN(18,_xlfn.XLOOKUP($D262&amp;"_"&amp;K$52,$B$14:$B$36&amp;"_"&amp;$C$14:$C$36,$D$14:$D$36)*$E262)</f>
        <v>0.672</v>
      </c>
      <c r="L262" s="95" cm="1">
        <f ca="1" t="array" ref="L262">MIN(6,_xlfn.XLOOKUP($D262&amp;"_"&amp;L$52,$B$14:$B$36&amp;"_"&amp;$C$14:$C$36,$D$14:$D$36)*$E262)</f>
        <v>1.26</v>
      </c>
      <c r="M262" s="95" cm="1">
        <f ca="1" t="array" ref="M262">(1+SUMPRODUCT(G262:H262,OFFSET($H$40:$I$40,D262,0)))*(1+OFFSET($J$40,D262,0))^I262*(1+OFFSET($K$40,D262,0))^J262*(1+OFFSET($L$40,D262,0))^K262*(1+OFFSET($M$40,D262,0))^L262</f>
        <v>20.8729969893602</v>
      </c>
      <c r="N262" s="95">
        <f ca="1">MAX(MAX($N$53:N261),OFFSET($C$52,MATCH(M262*1.07,$M$53:$M$2052,1),0)-C262)</f>
        <v>4680</v>
      </c>
    </row>
    <row r="263" spans="2:14">
      <c r="B263" s="95">
        <v>211</v>
      </c>
      <c r="C263" s="95">
        <f t="shared" si="27"/>
        <v>75960</v>
      </c>
      <c r="D263" s="95">
        <f ca="1">_xlfn.XLOOKUP(总览!$B$44,$B$40:$B$45,$C$40:$C$45)</f>
        <v>5</v>
      </c>
      <c r="E263" s="95">
        <f ca="1" t="shared" si="24"/>
        <v>241</v>
      </c>
      <c r="F263" s="95">
        <f ca="1" t="shared" si="25"/>
        <v>0</v>
      </c>
      <c r="G263" s="95">
        <f ca="1" t="shared" si="26"/>
        <v>6.53119357142857</v>
      </c>
      <c r="H263" s="95" cm="1">
        <f ca="1" t="array" ref="H263">MIN(30-SUM(I263:L263),_xlfn.XLOOKUP($D263&amp;"_"&amp;H$52,$B$14:$B$36&amp;"_"&amp;$C$14:$C$36,$D$14:$D$36)*$E263,18)</f>
        <v>18</v>
      </c>
      <c r="I263" s="95" cm="1">
        <f ca="1" t="array" ref="I263">MIN(30-SUM(J263:L263),6-L263,_xlfn.XLOOKUP($D263&amp;"_"&amp;I$52,$B$14:$B$36&amp;"_"&amp;$C$14:$C$36,$D$14:$D$36)*$E263)</f>
        <v>1.72125642857143</v>
      </c>
      <c r="J263" s="95" cm="1">
        <f ca="1" t="array" ref="J263">MIN(8,_xlfn.XLOOKUP($D263&amp;"_"&amp;J$52,$B$14:$B$36&amp;"_"&amp;$C$14:$C$36,$D$14:$D$36)*$E263)</f>
        <v>1.8075</v>
      </c>
      <c r="K263" s="95" cm="1">
        <f ca="1" t="array" ref="K263">MIN(18,_xlfn.XLOOKUP($D263&amp;"_"&amp;K$52,$B$14:$B$36&amp;"_"&amp;$C$14:$C$36,$D$14:$D$36)*$E263)</f>
        <v>0.6748</v>
      </c>
      <c r="L263" s="95" cm="1">
        <f ca="1" t="array" ref="L263">MIN(6,_xlfn.XLOOKUP($D263&amp;"_"&amp;L$52,$B$14:$B$36&amp;"_"&amp;$C$14:$C$36,$D$14:$D$36)*$E263)</f>
        <v>1.26525</v>
      </c>
      <c r="M263" s="95" cm="1">
        <f ca="1" t="array" ref="M263">(1+SUMPRODUCT(G263:H263,OFFSET($H$40:$I$40,D263,0)))*(1+OFFSET($J$40,D263,0))^I263*(1+OFFSET($K$40,D263,0))^J263*(1+OFFSET($L$40,D263,0))^K263*(1+OFFSET($M$40,D263,0))^L263</f>
        <v>20.9805260594267</v>
      </c>
      <c r="N263" s="95">
        <f ca="1">MAX(MAX($N$53:N262),OFFSET($C$52,MATCH(M263*1.07,$M$53:$M$2052,1),0)-C263)</f>
        <v>4680</v>
      </c>
    </row>
    <row r="264" spans="2:14">
      <c r="B264" s="95">
        <v>212</v>
      </c>
      <c r="C264" s="95">
        <f t="shared" si="27"/>
        <v>76320</v>
      </c>
      <c r="D264" s="95">
        <f ca="1">_xlfn.XLOOKUP(总览!$B$44,$B$40:$B$45,$C$40:$C$45)</f>
        <v>5</v>
      </c>
      <c r="E264" s="95">
        <f ca="1" t="shared" si="24"/>
        <v>242</v>
      </c>
      <c r="F264" s="95">
        <f ca="1" t="shared" si="25"/>
        <v>0</v>
      </c>
      <c r="G264" s="95">
        <f ca="1" t="shared" si="26"/>
        <v>6.50850142857143</v>
      </c>
      <c r="H264" s="95" cm="1">
        <f ca="1" t="array" ref="H264">MIN(30-SUM(I264:L264),_xlfn.XLOOKUP($D264&amp;"_"&amp;H$52,$B$14:$B$36&amp;"_"&amp;$C$14:$C$36,$D$14:$D$36)*$E264,18)</f>
        <v>18</v>
      </c>
      <c r="I264" s="95" cm="1">
        <f ca="1" t="array" ref="I264">MIN(30-SUM(J264:L264),6-L264,_xlfn.XLOOKUP($D264&amp;"_"&amp;I$52,$B$14:$B$36&amp;"_"&amp;$C$14:$C$36,$D$14:$D$36)*$E264)</f>
        <v>1.72839857142857</v>
      </c>
      <c r="J264" s="95" cm="1">
        <f ca="1" t="array" ref="J264">MIN(8,_xlfn.XLOOKUP($D264&amp;"_"&amp;J$52,$B$14:$B$36&amp;"_"&amp;$C$14:$C$36,$D$14:$D$36)*$E264)</f>
        <v>1.815</v>
      </c>
      <c r="K264" s="95" cm="1">
        <f ca="1" t="array" ref="K264">MIN(18,_xlfn.XLOOKUP($D264&amp;"_"&amp;K$52,$B$14:$B$36&amp;"_"&amp;$C$14:$C$36,$D$14:$D$36)*$E264)</f>
        <v>0.6776</v>
      </c>
      <c r="L264" s="95" cm="1">
        <f ca="1" t="array" ref="L264">MIN(6,_xlfn.XLOOKUP($D264&amp;"_"&amp;L$52,$B$14:$B$36&amp;"_"&amp;$C$14:$C$36,$D$14:$D$36)*$E264)</f>
        <v>1.2705</v>
      </c>
      <c r="M264" s="95" cm="1">
        <f ca="1" t="array" ref="M264">(1+SUMPRODUCT(G264:H264,OFFSET($H$40:$I$40,D264,0)))*(1+OFFSET($J$40,D264,0))^I264*(1+OFFSET($K$40,D264,0))^J264*(1+OFFSET($L$40,D264,0))^K264*(1+OFFSET($M$40,D264,0))^L264</f>
        <v>21.0886036798884</v>
      </c>
      <c r="N264" s="95">
        <f ca="1">MAX(MAX($N$53:N263),OFFSET($C$52,MATCH(M264*1.07,$M$53:$M$2052,1),0)-C264)</f>
        <v>4680</v>
      </c>
    </row>
    <row r="265" spans="2:14">
      <c r="B265" s="95">
        <v>213</v>
      </c>
      <c r="C265" s="95">
        <f t="shared" si="27"/>
        <v>76680</v>
      </c>
      <c r="D265" s="95">
        <f ca="1">_xlfn.XLOOKUP(总览!$B$44,$B$40:$B$45,$C$40:$C$45)</f>
        <v>5</v>
      </c>
      <c r="E265" s="95">
        <f ca="1" t="shared" si="24"/>
        <v>243</v>
      </c>
      <c r="F265" s="95">
        <f ca="1" t="shared" si="25"/>
        <v>0</v>
      </c>
      <c r="G265" s="95">
        <f ca="1" t="shared" si="26"/>
        <v>6.48580928571429</v>
      </c>
      <c r="H265" s="95" cm="1">
        <f ca="1" t="array" ref="H265">MIN(30-SUM(I265:L265),_xlfn.XLOOKUP($D265&amp;"_"&amp;H$52,$B$14:$B$36&amp;"_"&amp;$C$14:$C$36,$D$14:$D$36)*$E265,18)</f>
        <v>18</v>
      </c>
      <c r="I265" s="95" cm="1">
        <f ca="1" t="array" ref="I265">MIN(30-SUM(J265:L265),6-L265,_xlfn.XLOOKUP($D265&amp;"_"&amp;I$52,$B$14:$B$36&amp;"_"&amp;$C$14:$C$36,$D$14:$D$36)*$E265)</f>
        <v>1.73554071428571</v>
      </c>
      <c r="J265" s="95" cm="1">
        <f ca="1" t="array" ref="J265">MIN(8,_xlfn.XLOOKUP($D265&amp;"_"&amp;J$52,$B$14:$B$36&amp;"_"&amp;$C$14:$C$36,$D$14:$D$36)*$E265)</f>
        <v>1.8225</v>
      </c>
      <c r="K265" s="95" cm="1">
        <f ca="1" t="array" ref="K265">MIN(18,_xlfn.XLOOKUP($D265&amp;"_"&amp;K$52,$B$14:$B$36&amp;"_"&amp;$C$14:$C$36,$D$14:$D$36)*$E265)</f>
        <v>0.6804</v>
      </c>
      <c r="L265" s="95" cm="1">
        <f ca="1" t="array" ref="L265">MIN(6,_xlfn.XLOOKUP($D265&amp;"_"&amp;L$52,$B$14:$B$36&amp;"_"&amp;$C$14:$C$36,$D$14:$D$36)*$E265)</f>
        <v>1.27575</v>
      </c>
      <c r="M265" s="95" cm="1">
        <f ca="1" t="array" ref="M265">(1+SUMPRODUCT(G265:H265,OFFSET($H$40:$I$40,D265,0)))*(1+OFFSET($J$40,D265,0))^I265*(1+OFFSET($K$40,D265,0))^J265*(1+OFFSET($L$40,D265,0))^K265*(1+OFFSET($M$40,D265,0))^L265</f>
        <v>21.1972326155793</v>
      </c>
      <c r="N265" s="95">
        <f ca="1">MAX(MAX($N$53:N264),OFFSET($C$52,MATCH(M265*1.07,$M$53:$M$2052,1),0)-C265)</f>
        <v>4680</v>
      </c>
    </row>
    <row r="266" spans="2:14">
      <c r="B266" s="95">
        <v>214</v>
      </c>
      <c r="C266" s="95">
        <f t="shared" si="27"/>
        <v>77040</v>
      </c>
      <c r="D266" s="95">
        <f ca="1">_xlfn.XLOOKUP(总览!$B$44,$B$40:$B$45,$C$40:$C$45)</f>
        <v>5</v>
      </c>
      <c r="E266" s="95">
        <f ca="1" t="shared" si="24"/>
        <v>244</v>
      </c>
      <c r="F266" s="95">
        <f ca="1" t="shared" si="25"/>
        <v>0</v>
      </c>
      <c r="G266" s="95">
        <f ca="1" t="shared" si="26"/>
        <v>6.46311714285715</v>
      </c>
      <c r="H266" s="95" cm="1">
        <f ca="1" t="array" ref="H266">MIN(30-SUM(I266:L266),_xlfn.XLOOKUP($D266&amp;"_"&amp;H$52,$B$14:$B$36&amp;"_"&amp;$C$14:$C$36,$D$14:$D$36)*$E266,18)</f>
        <v>18</v>
      </c>
      <c r="I266" s="95" cm="1">
        <f ca="1" t="array" ref="I266">MIN(30-SUM(J266:L266),6-L266,_xlfn.XLOOKUP($D266&amp;"_"&amp;I$52,$B$14:$B$36&amp;"_"&amp;$C$14:$C$36,$D$14:$D$36)*$E266)</f>
        <v>1.74268285714285</v>
      </c>
      <c r="J266" s="95" cm="1">
        <f ca="1" t="array" ref="J266">MIN(8,_xlfn.XLOOKUP($D266&amp;"_"&amp;J$52,$B$14:$B$36&amp;"_"&amp;$C$14:$C$36,$D$14:$D$36)*$E266)</f>
        <v>1.83</v>
      </c>
      <c r="K266" s="95" cm="1">
        <f ca="1" t="array" ref="K266">MIN(18,_xlfn.XLOOKUP($D266&amp;"_"&amp;K$52,$B$14:$B$36&amp;"_"&amp;$C$14:$C$36,$D$14:$D$36)*$E266)</f>
        <v>0.6832</v>
      </c>
      <c r="L266" s="95" cm="1">
        <f ca="1" t="array" ref="L266">MIN(6,_xlfn.XLOOKUP($D266&amp;"_"&amp;L$52,$B$14:$B$36&amp;"_"&amp;$C$14:$C$36,$D$14:$D$36)*$E266)</f>
        <v>1.281</v>
      </c>
      <c r="M266" s="95" cm="1">
        <f ca="1" t="array" ref="M266">(1+SUMPRODUCT(G266:H266,OFFSET($H$40:$I$40,D266,0)))*(1+OFFSET($J$40,D266,0))^I266*(1+OFFSET($K$40,D266,0))^J266*(1+OFFSET($L$40,D266,0))^K266*(1+OFFSET($M$40,D266,0))^L266</f>
        <v>21.3064156450581</v>
      </c>
      <c r="N266" s="95">
        <f ca="1">MAX(MAX($N$53:N265),OFFSET($C$52,MATCH(M266*1.07,$M$53:$M$2052,1),0)-C266)</f>
        <v>4680</v>
      </c>
    </row>
    <row r="267" spans="2:14">
      <c r="B267" s="95">
        <v>215</v>
      </c>
      <c r="C267" s="95">
        <f t="shared" si="27"/>
        <v>77400</v>
      </c>
      <c r="D267" s="95">
        <f ca="1">_xlfn.XLOOKUP(总览!$B$44,$B$40:$B$45,$C$40:$C$45)</f>
        <v>5</v>
      </c>
      <c r="E267" s="95">
        <f ca="1" t="shared" si="24"/>
        <v>245</v>
      </c>
      <c r="F267" s="95">
        <f ca="1" t="shared" si="25"/>
        <v>0</v>
      </c>
      <c r="G267" s="95">
        <f ca="1" t="shared" si="26"/>
        <v>6.440425</v>
      </c>
      <c r="H267" s="95" cm="1">
        <f ca="1" t="array" ref="H267">MIN(30-SUM(I267:L267),_xlfn.XLOOKUP($D267&amp;"_"&amp;H$52,$B$14:$B$36&amp;"_"&amp;$C$14:$C$36,$D$14:$D$36)*$E267,18)</f>
        <v>18</v>
      </c>
      <c r="I267" s="95" cm="1">
        <f ca="1" t="array" ref="I267">MIN(30-SUM(J267:L267),6-L267,_xlfn.XLOOKUP($D267&amp;"_"&amp;I$52,$B$14:$B$36&amp;"_"&amp;$C$14:$C$36,$D$14:$D$36)*$E267)</f>
        <v>1.749825</v>
      </c>
      <c r="J267" s="95" cm="1">
        <f ca="1" t="array" ref="J267">MIN(8,_xlfn.XLOOKUP($D267&amp;"_"&amp;J$52,$B$14:$B$36&amp;"_"&amp;$C$14:$C$36,$D$14:$D$36)*$E267)</f>
        <v>1.8375</v>
      </c>
      <c r="K267" s="95" cm="1">
        <f ca="1" t="array" ref="K267">MIN(18,_xlfn.XLOOKUP($D267&amp;"_"&amp;K$52,$B$14:$B$36&amp;"_"&amp;$C$14:$C$36,$D$14:$D$36)*$E267)</f>
        <v>0.686</v>
      </c>
      <c r="L267" s="95" cm="1">
        <f ca="1" t="array" ref="L267">MIN(6,_xlfn.XLOOKUP($D267&amp;"_"&amp;L$52,$B$14:$B$36&amp;"_"&amp;$C$14:$C$36,$D$14:$D$36)*$E267)</f>
        <v>1.28625</v>
      </c>
      <c r="M267" s="95" cm="1">
        <f ca="1" t="array" ref="M267">(1+SUMPRODUCT(G267:H267,OFFSET($H$40:$I$40,D267,0)))*(1+OFFSET($J$40,D267,0))^I267*(1+OFFSET($K$40,D267,0))^J267*(1+OFFSET($L$40,D267,0))^K267*(1+OFFSET($M$40,D267,0))^L267</f>
        <v>21.416155560675</v>
      </c>
      <c r="N267" s="95">
        <f ca="1">MAX(MAX($N$53:N266),OFFSET($C$52,MATCH(M267*1.07,$M$53:$M$2052,1),0)-C267)</f>
        <v>4680</v>
      </c>
    </row>
    <row r="268" spans="2:14">
      <c r="B268" s="95">
        <v>216</v>
      </c>
      <c r="C268" s="95">
        <f t="shared" si="27"/>
        <v>77760</v>
      </c>
      <c r="D268" s="95">
        <f ca="1">_xlfn.XLOOKUP(总览!$B$44,$B$40:$B$45,$C$40:$C$45)</f>
        <v>5</v>
      </c>
      <c r="E268" s="95">
        <f ca="1" t="shared" si="24"/>
        <v>246</v>
      </c>
      <c r="F268" s="95">
        <f ca="1" t="shared" si="25"/>
        <v>0</v>
      </c>
      <c r="G268" s="95">
        <f ca="1" t="shared" si="26"/>
        <v>6.41773285714286</v>
      </c>
      <c r="H268" s="95" cm="1">
        <f ca="1" t="array" ref="H268">MIN(30-SUM(I268:L268),_xlfn.XLOOKUP($D268&amp;"_"&amp;H$52,$B$14:$B$36&amp;"_"&amp;$C$14:$C$36,$D$14:$D$36)*$E268,18)</f>
        <v>18</v>
      </c>
      <c r="I268" s="95" cm="1">
        <f ca="1" t="array" ref="I268">MIN(30-SUM(J268:L268),6-L268,_xlfn.XLOOKUP($D268&amp;"_"&amp;I$52,$B$14:$B$36&amp;"_"&amp;$C$14:$C$36,$D$14:$D$36)*$E268)</f>
        <v>1.75696714285714</v>
      </c>
      <c r="J268" s="95" cm="1">
        <f ca="1" t="array" ref="J268">MIN(8,_xlfn.XLOOKUP($D268&amp;"_"&amp;J$52,$B$14:$B$36&amp;"_"&amp;$C$14:$C$36,$D$14:$D$36)*$E268)</f>
        <v>1.845</v>
      </c>
      <c r="K268" s="95" cm="1">
        <f ca="1" t="array" ref="K268">MIN(18,_xlfn.XLOOKUP($D268&amp;"_"&amp;K$52,$B$14:$B$36&amp;"_"&amp;$C$14:$C$36,$D$14:$D$36)*$E268)</f>
        <v>0.6888</v>
      </c>
      <c r="L268" s="95" cm="1">
        <f ca="1" t="array" ref="L268">MIN(6,_xlfn.XLOOKUP($D268&amp;"_"&amp;L$52,$B$14:$B$36&amp;"_"&amp;$C$14:$C$36,$D$14:$D$36)*$E268)</f>
        <v>1.2915</v>
      </c>
      <c r="M268" s="95" cm="1">
        <f ca="1" t="array" ref="M268">(1+SUMPRODUCT(G268:H268,OFFSET($H$40:$I$40,D268,0)))*(1+OFFSET($J$40,D268,0))^I268*(1+OFFSET($K$40,D268,0))^J268*(1+OFFSET($L$40,D268,0))^K268*(1+OFFSET($M$40,D268,0))^L268</f>
        <v>21.5264551686391</v>
      </c>
      <c r="N268" s="95">
        <f ca="1">MAX(MAX($N$53:N267),OFFSET($C$52,MATCH(M268*1.07,$M$53:$M$2052,1),0)-C268)</f>
        <v>4680</v>
      </c>
    </row>
    <row r="269" spans="2:14">
      <c r="B269" s="95">
        <v>217</v>
      </c>
      <c r="C269" s="95">
        <f t="shared" si="27"/>
        <v>78120</v>
      </c>
      <c r="D269" s="95">
        <f ca="1">_xlfn.XLOOKUP(总览!$B$44,$B$40:$B$45,$C$40:$C$45)</f>
        <v>5</v>
      </c>
      <c r="E269" s="95">
        <f ca="1" t="shared" si="24"/>
        <v>247</v>
      </c>
      <c r="F269" s="95">
        <f ca="1" t="shared" si="25"/>
        <v>0</v>
      </c>
      <c r="G269" s="95">
        <f ca="1" t="shared" si="26"/>
        <v>6.39504071428572</v>
      </c>
      <c r="H269" s="95" cm="1">
        <f ca="1" t="array" ref="H269">MIN(30-SUM(I269:L269),_xlfn.XLOOKUP($D269&amp;"_"&amp;H$52,$B$14:$B$36&amp;"_"&amp;$C$14:$C$36,$D$14:$D$36)*$E269,18)</f>
        <v>18</v>
      </c>
      <c r="I269" s="95" cm="1">
        <f ca="1" t="array" ref="I269">MIN(30-SUM(J269:L269),6-L269,_xlfn.XLOOKUP($D269&amp;"_"&amp;I$52,$B$14:$B$36&amp;"_"&amp;$C$14:$C$36,$D$14:$D$36)*$E269)</f>
        <v>1.76410928571428</v>
      </c>
      <c r="J269" s="95" cm="1">
        <f ca="1" t="array" ref="J269">MIN(8,_xlfn.XLOOKUP($D269&amp;"_"&amp;J$52,$B$14:$B$36&amp;"_"&amp;$C$14:$C$36,$D$14:$D$36)*$E269)</f>
        <v>1.8525</v>
      </c>
      <c r="K269" s="95" cm="1">
        <f ca="1" t="array" ref="K269">MIN(18,_xlfn.XLOOKUP($D269&amp;"_"&amp;K$52,$B$14:$B$36&amp;"_"&amp;$C$14:$C$36,$D$14:$D$36)*$E269)</f>
        <v>0.6916</v>
      </c>
      <c r="L269" s="95" cm="1">
        <f ca="1" t="array" ref="L269">MIN(6,_xlfn.XLOOKUP($D269&amp;"_"&amp;L$52,$B$14:$B$36&amp;"_"&amp;$C$14:$C$36,$D$14:$D$36)*$E269)</f>
        <v>1.29675</v>
      </c>
      <c r="M269" s="95" cm="1">
        <f ca="1" t="array" ref="M269">(1+SUMPRODUCT(G269:H269,OFFSET($H$40:$I$40,D269,0)))*(1+OFFSET($J$40,D269,0))^I269*(1+OFFSET($K$40,D269,0))^J269*(1+OFFSET($L$40,D269,0))^K269*(1+OFFSET($M$40,D269,0))^L269</f>
        <v>21.6373172890854</v>
      </c>
      <c r="N269" s="95">
        <f ca="1">MAX(MAX($N$53:N268),OFFSET($C$52,MATCH(M269*1.07,$M$53:$M$2052,1),0)-C269)</f>
        <v>4680</v>
      </c>
    </row>
    <row r="270" spans="2:14">
      <c r="B270" s="95">
        <v>218</v>
      </c>
      <c r="C270" s="95">
        <f t="shared" si="27"/>
        <v>78480</v>
      </c>
      <c r="D270" s="95">
        <f ca="1">_xlfn.XLOOKUP(总览!$B$44,$B$40:$B$45,$C$40:$C$45)</f>
        <v>5</v>
      </c>
      <c r="E270" s="95">
        <f ca="1" t="shared" si="24"/>
        <v>248</v>
      </c>
      <c r="F270" s="95">
        <f ca="1" t="shared" si="25"/>
        <v>0</v>
      </c>
      <c r="G270" s="95">
        <f ca="1" t="shared" si="26"/>
        <v>6.37234857142857</v>
      </c>
      <c r="H270" s="95" cm="1">
        <f ca="1" t="array" ref="H270">MIN(30-SUM(I270:L270),_xlfn.XLOOKUP($D270&amp;"_"&amp;H$52,$B$14:$B$36&amp;"_"&amp;$C$14:$C$36,$D$14:$D$36)*$E270,18)</f>
        <v>18</v>
      </c>
      <c r="I270" s="95" cm="1">
        <f ca="1" t="array" ref="I270">MIN(30-SUM(J270:L270),6-L270,_xlfn.XLOOKUP($D270&amp;"_"&amp;I$52,$B$14:$B$36&amp;"_"&amp;$C$14:$C$36,$D$14:$D$36)*$E270)</f>
        <v>1.77125142857143</v>
      </c>
      <c r="J270" s="95" cm="1">
        <f ca="1" t="array" ref="J270">MIN(8,_xlfn.XLOOKUP($D270&amp;"_"&amp;J$52,$B$14:$B$36&amp;"_"&amp;$C$14:$C$36,$D$14:$D$36)*$E270)</f>
        <v>1.86</v>
      </c>
      <c r="K270" s="95" cm="1">
        <f ca="1" t="array" ref="K270">MIN(18,_xlfn.XLOOKUP($D270&amp;"_"&amp;K$52,$B$14:$B$36&amp;"_"&amp;$C$14:$C$36,$D$14:$D$36)*$E270)</f>
        <v>0.6944</v>
      </c>
      <c r="L270" s="95" cm="1">
        <f ca="1" t="array" ref="L270">MIN(6,_xlfn.XLOOKUP($D270&amp;"_"&amp;L$52,$B$14:$B$36&amp;"_"&amp;$C$14:$C$36,$D$14:$D$36)*$E270)</f>
        <v>1.302</v>
      </c>
      <c r="M270" s="95" cm="1">
        <f ca="1" t="array" ref="M270">(1+SUMPRODUCT(G270:H270,OFFSET($H$40:$I$40,D270,0)))*(1+OFFSET($J$40,D270,0))^I270*(1+OFFSET($K$40,D270,0))^J270*(1+OFFSET($L$40,D270,0))^K270*(1+OFFSET($M$40,D270,0))^L270</f>
        <v>21.7487447561428</v>
      </c>
      <c r="N270" s="95">
        <f ca="1">MAX(MAX($N$53:N269),OFFSET($C$52,MATCH(M270*1.07,$M$53:$M$2052,1),0)-C270)</f>
        <v>4680</v>
      </c>
    </row>
    <row r="271" spans="2:14">
      <c r="B271" s="95">
        <v>219</v>
      </c>
      <c r="C271" s="95">
        <f t="shared" si="27"/>
        <v>78840</v>
      </c>
      <c r="D271" s="95">
        <f ca="1">_xlfn.XLOOKUP(总览!$B$44,$B$40:$B$45,$C$40:$C$45)</f>
        <v>5</v>
      </c>
      <c r="E271" s="95">
        <f ca="1" t="shared" si="24"/>
        <v>249</v>
      </c>
      <c r="F271" s="95">
        <f ca="1" t="shared" si="25"/>
        <v>0</v>
      </c>
      <c r="G271" s="95">
        <f ca="1" t="shared" si="26"/>
        <v>6.34965642857144</v>
      </c>
      <c r="H271" s="95" cm="1">
        <f ca="1" t="array" ref="H271">MIN(30-SUM(I271:L271),_xlfn.XLOOKUP($D271&amp;"_"&amp;H$52,$B$14:$B$36&amp;"_"&amp;$C$14:$C$36,$D$14:$D$36)*$E271,18)</f>
        <v>18</v>
      </c>
      <c r="I271" s="95" cm="1">
        <f ca="1" t="array" ref="I271">MIN(30-SUM(J271:L271),6-L271,_xlfn.XLOOKUP($D271&amp;"_"&amp;I$52,$B$14:$B$36&amp;"_"&amp;$C$14:$C$36,$D$14:$D$36)*$E271)</f>
        <v>1.77839357142857</v>
      </c>
      <c r="J271" s="95" cm="1">
        <f ca="1" t="array" ref="J271">MIN(8,_xlfn.XLOOKUP($D271&amp;"_"&amp;J$52,$B$14:$B$36&amp;"_"&amp;$C$14:$C$36,$D$14:$D$36)*$E271)</f>
        <v>1.8675</v>
      </c>
      <c r="K271" s="95" cm="1">
        <f ca="1" t="array" ref="K271">MIN(18,_xlfn.XLOOKUP($D271&amp;"_"&amp;K$52,$B$14:$B$36&amp;"_"&amp;$C$14:$C$36,$D$14:$D$36)*$E271)</f>
        <v>0.6972</v>
      </c>
      <c r="L271" s="95" cm="1">
        <f ca="1" t="array" ref="L271">MIN(6,_xlfn.XLOOKUP($D271&amp;"_"&amp;L$52,$B$14:$B$36&amp;"_"&amp;$C$14:$C$36,$D$14:$D$36)*$E271)</f>
        <v>1.30725</v>
      </c>
      <c r="M271" s="95" cm="1">
        <f ca="1" t="array" ref="M271">(1+SUMPRODUCT(G271:H271,OFFSET($H$40:$I$40,D271,0)))*(1+OFFSET($J$40,D271,0))^I271*(1+OFFSET($K$40,D271,0))^J271*(1+OFFSET($L$40,D271,0))^K271*(1+OFFSET($M$40,D271,0))^L271</f>
        <v>21.8607404180023</v>
      </c>
      <c r="N271" s="95">
        <f ca="1">MAX(MAX($N$53:N270),OFFSET($C$52,MATCH(M271*1.07,$M$53:$M$2052,1),0)-C271)</f>
        <v>4680</v>
      </c>
    </row>
    <row r="272" spans="2:14">
      <c r="B272" s="95">
        <v>220</v>
      </c>
      <c r="C272" s="95">
        <f t="shared" si="27"/>
        <v>79200</v>
      </c>
      <c r="D272" s="95">
        <f ca="1">_xlfn.XLOOKUP(总览!$B$44,$B$40:$B$45,$C$40:$C$45)</f>
        <v>5</v>
      </c>
      <c r="E272" s="95">
        <f ca="1" t="shared" si="24"/>
        <v>250</v>
      </c>
      <c r="F272" s="95">
        <f ca="1" t="shared" si="25"/>
        <v>0</v>
      </c>
      <c r="G272" s="95">
        <f ca="1" t="shared" si="26"/>
        <v>6.32696428571429</v>
      </c>
      <c r="H272" s="95" cm="1">
        <f ca="1" t="array" ref="H272">MIN(30-SUM(I272:L272),_xlfn.XLOOKUP($D272&amp;"_"&amp;H$52,$B$14:$B$36&amp;"_"&amp;$C$14:$C$36,$D$14:$D$36)*$E272,18)</f>
        <v>18</v>
      </c>
      <c r="I272" s="95" cm="1">
        <f ca="1" t="array" ref="I272">MIN(30-SUM(J272:L272),6-L272,_xlfn.XLOOKUP($D272&amp;"_"&amp;I$52,$B$14:$B$36&amp;"_"&amp;$C$14:$C$36,$D$14:$D$36)*$E272)</f>
        <v>1.78553571428571</v>
      </c>
      <c r="J272" s="95" cm="1">
        <f ca="1" t="array" ref="J272">MIN(8,_xlfn.XLOOKUP($D272&amp;"_"&amp;J$52,$B$14:$B$36&amp;"_"&amp;$C$14:$C$36,$D$14:$D$36)*$E272)</f>
        <v>1.875</v>
      </c>
      <c r="K272" s="95" cm="1">
        <f ca="1" t="array" ref="K272">MIN(18,_xlfn.XLOOKUP($D272&amp;"_"&amp;K$52,$B$14:$B$36&amp;"_"&amp;$C$14:$C$36,$D$14:$D$36)*$E272)</f>
        <v>0.7</v>
      </c>
      <c r="L272" s="95" cm="1">
        <f ca="1" t="array" ref="L272">MIN(6,_xlfn.XLOOKUP($D272&amp;"_"&amp;L$52,$B$14:$B$36&amp;"_"&amp;$C$14:$C$36,$D$14:$D$36)*$E272)</f>
        <v>1.3125</v>
      </c>
      <c r="M272" s="95" cm="1">
        <f ca="1" t="array" ref="M272">(1+SUMPRODUCT(G272:H272,OFFSET($H$40:$I$40,D272,0)))*(1+OFFSET($J$40,D272,0))^I272*(1+OFFSET($K$40,D272,0))^J272*(1+OFFSET($L$40,D272,0))^K272*(1+OFFSET($M$40,D272,0))^L272</f>
        <v>21.9733071369851</v>
      </c>
      <c r="N272" s="95">
        <f ca="1">MAX(MAX($N$53:N271),OFFSET($C$52,MATCH(M272*1.07,$M$53:$M$2052,1),0)-C272)</f>
        <v>4680</v>
      </c>
    </row>
    <row r="273" spans="2:14">
      <c r="B273" s="95">
        <v>221</v>
      </c>
      <c r="C273" s="95">
        <f t="shared" si="27"/>
        <v>79560</v>
      </c>
      <c r="D273" s="95">
        <f ca="1">_xlfn.XLOOKUP(总览!$B$44,$B$40:$B$45,$C$40:$C$45)</f>
        <v>5</v>
      </c>
      <c r="E273" s="95">
        <f ca="1" t="shared" si="24"/>
        <v>251</v>
      </c>
      <c r="F273" s="95">
        <f ca="1" t="shared" si="25"/>
        <v>0</v>
      </c>
      <c r="G273" s="95">
        <f ca="1" t="shared" si="26"/>
        <v>6.30427214285715</v>
      </c>
      <c r="H273" s="95" cm="1">
        <f ca="1" t="array" ref="H273">MIN(30-SUM(I273:L273),_xlfn.XLOOKUP($D273&amp;"_"&amp;H$52,$B$14:$B$36&amp;"_"&amp;$C$14:$C$36,$D$14:$D$36)*$E273,18)</f>
        <v>18</v>
      </c>
      <c r="I273" s="95" cm="1">
        <f ca="1" t="array" ref="I273">MIN(30-SUM(J273:L273),6-L273,_xlfn.XLOOKUP($D273&amp;"_"&amp;I$52,$B$14:$B$36&amp;"_"&amp;$C$14:$C$36,$D$14:$D$36)*$E273)</f>
        <v>1.79267785714285</v>
      </c>
      <c r="J273" s="95" cm="1">
        <f ca="1" t="array" ref="J273">MIN(8,_xlfn.XLOOKUP($D273&amp;"_"&amp;J$52,$B$14:$B$36&amp;"_"&amp;$C$14:$C$36,$D$14:$D$36)*$E273)</f>
        <v>1.8825</v>
      </c>
      <c r="K273" s="95" cm="1">
        <f ca="1" t="array" ref="K273">MIN(18,_xlfn.XLOOKUP($D273&amp;"_"&amp;K$52,$B$14:$B$36&amp;"_"&amp;$C$14:$C$36,$D$14:$D$36)*$E273)</f>
        <v>0.7028</v>
      </c>
      <c r="L273" s="95" cm="1">
        <f ca="1" t="array" ref="L273">MIN(6,_xlfn.XLOOKUP($D273&amp;"_"&amp;L$52,$B$14:$B$36&amp;"_"&amp;$C$14:$C$36,$D$14:$D$36)*$E273)</f>
        <v>1.31775</v>
      </c>
      <c r="M273" s="95" cm="1">
        <f ca="1" t="array" ref="M273">(1+SUMPRODUCT(G273:H273,OFFSET($H$40:$I$40,D273,0)))*(1+OFFSET($J$40,D273,0))^I273*(1+OFFSET($K$40,D273,0))^J273*(1+OFFSET($L$40,D273,0))^K273*(1+OFFSET($M$40,D273,0))^L273</f>
        <v>22.0864477896113</v>
      </c>
      <c r="N273" s="95">
        <f ca="1">MAX(MAX($N$53:N272),OFFSET($C$52,MATCH(M273*1.07,$M$53:$M$2052,1),0)-C273)</f>
        <v>4680</v>
      </c>
    </row>
    <row r="274" spans="2:14">
      <c r="B274" s="95">
        <v>222</v>
      </c>
      <c r="C274" s="95">
        <f t="shared" si="27"/>
        <v>79920</v>
      </c>
      <c r="D274" s="95">
        <f ca="1">_xlfn.XLOOKUP(总览!$B$44,$B$40:$B$45,$C$40:$C$45)</f>
        <v>5</v>
      </c>
      <c r="E274" s="95">
        <f ca="1" t="shared" si="24"/>
        <v>252</v>
      </c>
      <c r="F274" s="95">
        <f ca="1" t="shared" si="25"/>
        <v>0</v>
      </c>
      <c r="G274" s="95">
        <f ca="1" t="shared" si="26"/>
        <v>6.28158</v>
      </c>
      <c r="H274" s="95" cm="1">
        <f ca="1" t="array" ref="H274">MIN(30-SUM(I274:L274),_xlfn.XLOOKUP($D274&amp;"_"&amp;H$52,$B$14:$B$36&amp;"_"&amp;$C$14:$C$36,$D$14:$D$36)*$E274,18)</f>
        <v>18</v>
      </c>
      <c r="I274" s="95" cm="1">
        <f ca="1" t="array" ref="I274">MIN(30-SUM(J274:L274),6-L274,_xlfn.XLOOKUP($D274&amp;"_"&amp;I$52,$B$14:$B$36&amp;"_"&amp;$C$14:$C$36,$D$14:$D$36)*$E274)</f>
        <v>1.79982</v>
      </c>
      <c r="J274" s="95" cm="1">
        <f ca="1" t="array" ref="J274">MIN(8,_xlfn.XLOOKUP($D274&amp;"_"&amp;J$52,$B$14:$B$36&amp;"_"&amp;$C$14:$C$36,$D$14:$D$36)*$E274)</f>
        <v>1.89</v>
      </c>
      <c r="K274" s="95" cm="1">
        <f ca="1" t="array" ref="K274">MIN(18,_xlfn.XLOOKUP($D274&amp;"_"&amp;K$52,$B$14:$B$36&amp;"_"&amp;$C$14:$C$36,$D$14:$D$36)*$E274)</f>
        <v>0.7056</v>
      </c>
      <c r="L274" s="95" cm="1">
        <f ca="1" t="array" ref="L274">MIN(6,_xlfn.XLOOKUP($D274&amp;"_"&amp;L$52,$B$14:$B$36&amp;"_"&amp;$C$14:$C$36,$D$14:$D$36)*$E274)</f>
        <v>1.323</v>
      </c>
      <c r="M274" s="95" cm="1">
        <f ca="1" t="array" ref="M274">(1+SUMPRODUCT(G274:H274,OFFSET($H$40:$I$40,D274,0)))*(1+OFFSET($J$40,D274,0))^I274*(1+OFFSET($K$40,D274,0))^J274*(1+OFFSET($L$40,D274,0))^K274*(1+OFFSET($M$40,D274,0))^L274</f>
        <v>22.2001652666692</v>
      </c>
      <c r="N274" s="95">
        <f ca="1">MAX(MAX($N$53:N273),OFFSET($C$52,MATCH(M274*1.07,$M$53:$M$2052,1),0)-C274)</f>
        <v>4680</v>
      </c>
    </row>
    <row r="275" spans="2:14">
      <c r="B275" s="95">
        <v>223</v>
      </c>
      <c r="C275" s="95">
        <f t="shared" si="27"/>
        <v>80280</v>
      </c>
      <c r="D275" s="95">
        <f ca="1">_xlfn.XLOOKUP(总览!$B$44,$B$40:$B$45,$C$40:$C$45)</f>
        <v>5</v>
      </c>
      <c r="E275" s="95">
        <f ca="1" t="shared" si="24"/>
        <v>253</v>
      </c>
      <c r="F275" s="95">
        <f ca="1" t="shared" si="25"/>
        <v>0</v>
      </c>
      <c r="G275" s="95">
        <f ca="1" t="shared" si="26"/>
        <v>6.25888785714286</v>
      </c>
      <c r="H275" s="95" cm="1">
        <f ca="1" t="array" ref="H275">MIN(30-SUM(I275:L275),_xlfn.XLOOKUP($D275&amp;"_"&amp;H$52,$B$14:$B$36&amp;"_"&amp;$C$14:$C$36,$D$14:$D$36)*$E275,18)</f>
        <v>18</v>
      </c>
      <c r="I275" s="95" cm="1">
        <f ca="1" t="array" ref="I275">MIN(30-SUM(J275:L275),6-L275,_xlfn.XLOOKUP($D275&amp;"_"&amp;I$52,$B$14:$B$36&amp;"_"&amp;$C$14:$C$36,$D$14:$D$36)*$E275)</f>
        <v>1.80696214285714</v>
      </c>
      <c r="J275" s="95" cm="1">
        <f ca="1" t="array" ref="J275">MIN(8,_xlfn.XLOOKUP($D275&amp;"_"&amp;J$52,$B$14:$B$36&amp;"_"&amp;$C$14:$C$36,$D$14:$D$36)*$E275)</f>
        <v>1.8975</v>
      </c>
      <c r="K275" s="95" cm="1">
        <f ca="1" t="array" ref="K275">MIN(18,_xlfn.XLOOKUP($D275&amp;"_"&amp;K$52,$B$14:$B$36&amp;"_"&amp;$C$14:$C$36,$D$14:$D$36)*$E275)</f>
        <v>0.7084</v>
      </c>
      <c r="L275" s="95" cm="1">
        <f ca="1" t="array" ref="L275">MIN(6,_xlfn.XLOOKUP($D275&amp;"_"&amp;L$52,$B$14:$B$36&amp;"_"&amp;$C$14:$C$36,$D$14:$D$36)*$E275)</f>
        <v>1.32825</v>
      </c>
      <c r="M275" s="95" cm="1">
        <f ca="1" t="array" ref="M275">(1+SUMPRODUCT(G275:H275,OFFSET($H$40:$I$40,D275,0)))*(1+OFFSET($J$40,D275,0))^I275*(1+OFFSET($K$40,D275,0))^J275*(1+OFFSET($L$40,D275,0))^K275*(1+OFFSET($M$40,D275,0))^L275</f>
        <v>22.3144624732845</v>
      </c>
      <c r="N275" s="95">
        <f ca="1">MAX(MAX($N$53:N274),OFFSET($C$52,MATCH(M275*1.07,$M$53:$M$2052,1),0)-C275)</f>
        <v>4680</v>
      </c>
    </row>
    <row r="276" spans="2:14">
      <c r="B276" s="95">
        <v>224</v>
      </c>
      <c r="C276" s="95">
        <f t="shared" si="27"/>
        <v>80640</v>
      </c>
      <c r="D276" s="95">
        <f ca="1">_xlfn.XLOOKUP(总览!$B$44,$B$40:$B$45,$C$40:$C$45)</f>
        <v>5</v>
      </c>
      <c r="E276" s="95">
        <f ca="1" t="shared" si="24"/>
        <v>254</v>
      </c>
      <c r="F276" s="95">
        <f ca="1" t="shared" si="25"/>
        <v>0</v>
      </c>
      <c r="G276" s="95">
        <f ca="1" t="shared" si="26"/>
        <v>6.23619571428571</v>
      </c>
      <c r="H276" s="95" cm="1">
        <f ca="1" t="array" ref="H276">MIN(30-SUM(I276:L276),_xlfn.XLOOKUP($D276&amp;"_"&amp;H$52,$B$14:$B$36&amp;"_"&amp;$C$14:$C$36,$D$14:$D$36)*$E276,18)</f>
        <v>18</v>
      </c>
      <c r="I276" s="95" cm="1">
        <f ca="1" t="array" ref="I276">MIN(30-SUM(J276:L276),6-L276,_xlfn.XLOOKUP($D276&amp;"_"&amp;I$52,$B$14:$B$36&amp;"_"&amp;$C$14:$C$36,$D$14:$D$36)*$E276)</f>
        <v>1.81410428571428</v>
      </c>
      <c r="J276" s="95" cm="1">
        <f ca="1" t="array" ref="J276">MIN(8,_xlfn.XLOOKUP($D276&amp;"_"&amp;J$52,$B$14:$B$36&amp;"_"&amp;$C$14:$C$36,$D$14:$D$36)*$E276)</f>
        <v>1.905</v>
      </c>
      <c r="K276" s="95" cm="1">
        <f ca="1" t="array" ref="K276">MIN(18,_xlfn.XLOOKUP($D276&amp;"_"&amp;K$52,$B$14:$B$36&amp;"_"&amp;$C$14:$C$36,$D$14:$D$36)*$E276)</f>
        <v>0.7112</v>
      </c>
      <c r="L276" s="95" cm="1">
        <f ca="1" t="array" ref="L276">MIN(6,_xlfn.XLOOKUP($D276&amp;"_"&amp;L$52,$B$14:$B$36&amp;"_"&amp;$C$14:$C$36,$D$14:$D$36)*$E276)</f>
        <v>1.3335</v>
      </c>
      <c r="M276" s="95" cm="1">
        <f ca="1" t="array" ref="M276">(1+SUMPRODUCT(G276:H276,OFFSET($H$40:$I$40,D276,0)))*(1+OFFSET($J$40,D276,0))^I276*(1+OFFSET($K$40,D276,0))^J276*(1+OFFSET($L$40,D276,0))^K276*(1+OFFSET($M$40,D276,0))^L276</f>
        <v>22.4293423289901</v>
      </c>
      <c r="N276" s="95">
        <f ca="1">MAX(MAX($N$53:N275),OFFSET($C$52,MATCH(M276*1.07,$M$53:$M$2052,1),0)-C276)</f>
        <v>4680</v>
      </c>
    </row>
    <row r="277" spans="2:14">
      <c r="B277" s="95">
        <v>225</v>
      </c>
      <c r="C277" s="95">
        <f t="shared" si="27"/>
        <v>81000</v>
      </c>
      <c r="D277" s="95">
        <f ca="1">_xlfn.XLOOKUP(总览!$B$44,$B$40:$B$45,$C$40:$C$45)</f>
        <v>5</v>
      </c>
      <c r="E277" s="95">
        <f ca="1" t="shared" si="24"/>
        <v>255</v>
      </c>
      <c r="F277" s="95">
        <f ca="1" t="shared" si="25"/>
        <v>0</v>
      </c>
      <c r="G277" s="95">
        <f ca="1" t="shared" si="26"/>
        <v>6.21350357142857</v>
      </c>
      <c r="H277" s="95" cm="1">
        <f ca="1" t="array" ref="H277">MIN(30-SUM(I277:L277),_xlfn.XLOOKUP($D277&amp;"_"&amp;H$52,$B$14:$B$36&amp;"_"&amp;$C$14:$C$36,$D$14:$D$36)*$E277,18)</f>
        <v>18</v>
      </c>
      <c r="I277" s="95" cm="1">
        <f ca="1" t="array" ref="I277">MIN(30-SUM(J277:L277),6-L277,_xlfn.XLOOKUP($D277&amp;"_"&amp;I$52,$B$14:$B$36&amp;"_"&amp;$C$14:$C$36,$D$14:$D$36)*$E277)</f>
        <v>1.82124642857143</v>
      </c>
      <c r="J277" s="95" cm="1">
        <f ca="1" t="array" ref="J277">MIN(8,_xlfn.XLOOKUP($D277&amp;"_"&amp;J$52,$B$14:$B$36&amp;"_"&amp;$C$14:$C$36,$D$14:$D$36)*$E277)</f>
        <v>1.9125</v>
      </c>
      <c r="K277" s="95" cm="1">
        <f ca="1" t="array" ref="K277">MIN(18,_xlfn.XLOOKUP($D277&amp;"_"&amp;K$52,$B$14:$B$36&amp;"_"&amp;$C$14:$C$36,$D$14:$D$36)*$E277)</f>
        <v>0.714</v>
      </c>
      <c r="L277" s="95" cm="1">
        <f ca="1" t="array" ref="L277">MIN(6,_xlfn.XLOOKUP($D277&amp;"_"&amp;L$52,$B$14:$B$36&amp;"_"&amp;$C$14:$C$36,$D$14:$D$36)*$E277)</f>
        <v>1.33875</v>
      </c>
      <c r="M277" s="95" cm="1">
        <f ca="1" t="array" ref="M277">(1+SUMPRODUCT(G277:H277,OFFSET($H$40:$I$40,D277,0)))*(1+OFFSET($J$40,D277,0))^I277*(1+OFFSET($K$40,D277,0))^J277*(1+OFFSET($L$40,D277,0))^K277*(1+OFFSET($M$40,D277,0))^L277</f>
        <v>22.5448077677959</v>
      </c>
      <c r="N277" s="95">
        <f ca="1">MAX(MAX($N$53:N276),OFFSET($C$52,MATCH(M277*1.07,$M$53:$M$2052,1),0)-C277)</f>
        <v>4680</v>
      </c>
    </row>
    <row r="278" spans="2:14">
      <c r="B278" s="95">
        <v>226</v>
      </c>
      <c r="C278" s="95">
        <f t="shared" si="27"/>
        <v>81360</v>
      </c>
      <c r="D278" s="95">
        <f ca="1">_xlfn.XLOOKUP(总览!$B$44,$B$40:$B$45,$C$40:$C$45)</f>
        <v>5</v>
      </c>
      <c r="E278" s="95">
        <f ca="1" t="shared" si="24"/>
        <v>256</v>
      </c>
      <c r="F278" s="95">
        <f ca="1" t="shared" si="25"/>
        <v>0</v>
      </c>
      <c r="G278" s="95">
        <f ca="1" t="shared" si="26"/>
        <v>6.19081142857143</v>
      </c>
      <c r="H278" s="95" cm="1">
        <f ca="1" t="array" ref="H278">MIN(30-SUM(I278:L278),_xlfn.XLOOKUP($D278&amp;"_"&amp;H$52,$B$14:$B$36&amp;"_"&amp;$C$14:$C$36,$D$14:$D$36)*$E278,18)</f>
        <v>18</v>
      </c>
      <c r="I278" s="95" cm="1">
        <f ca="1" t="array" ref="I278">MIN(30-SUM(J278:L278),6-L278,_xlfn.XLOOKUP($D278&amp;"_"&amp;I$52,$B$14:$B$36&amp;"_"&amp;$C$14:$C$36,$D$14:$D$36)*$E278)</f>
        <v>1.82838857142857</v>
      </c>
      <c r="J278" s="95" cm="1">
        <f ca="1" t="array" ref="J278">MIN(8,_xlfn.XLOOKUP($D278&amp;"_"&amp;J$52,$B$14:$B$36&amp;"_"&amp;$C$14:$C$36,$D$14:$D$36)*$E278)</f>
        <v>1.92</v>
      </c>
      <c r="K278" s="95" cm="1">
        <f ca="1" t="array" ref="K278">MIN(18,_xlfn.XLOOKUP($D278&amp;"_"&amp;K$52,$B$14:$B$36&amp;"_"&amp;$C$14:$C$36,$D$14:$D$36)*$E278)</f>
        <v>0.7168</v>
      </c>
      <c r="L278" s="95" cm="1">
        <f ca="1" t="array" ref="L278">MIN(6,_xlfn.XLOOKUP($D278&amp;"_"&amp;L$52,$B$14:$B$36&amp;"_"&amp;$C$14:$C$36,$D$14:$D$36)*$E278)</f>
        <v>1.344</v>
      </c>
      <c r="M278" s="95" cm="1">
        <f ca="1" t="array" ref="M278">(1+SUMPRODUCT(G278:H278,OFFSET($H$40:$I$40,D278,0)))*(1+OFFSET($J$40,D278,0))^I278*(1+OFFSET($K$40,D278,0))^J278*(1+OFFSET($L$40,D278,0))^K278*(1+OFFSET($M$40,D278,0))^L278</f>
        <v>22.6608617382593</v>
      </c>
      <c r="N278" s="95">
        <f ca="1">MAX(MAX($N$53:N277),OFFSET($C$52,MATCH(M278*1.07,$M$53:$M$2052,1),0)-C278)</f>
        <v>4680</v>
      </c>
    </row>
    <row r="279" spans="2:14">
      <c r="B279" s="95">
        <v>227</v>
      </c>
      <c r="C279" s="95">
        <f t="shared" si="27"/>
        <v>81720</v>
      </c>
      <c r="D279" s="95">
        <f ca="1">_xlfn.XLOOKUP(总览!$B$44,$B$40:$B$45,$C$40:$C$45)</f>
        <v>5</v>
      </c>
      <c r="E279" s="95">
        <f ca="1" t="shared" si="24"/>
        <v>257</v>
      </c>
      <c r="F279" s="95">
        <f ca="1" t="shared" si="25"/>
        <v>0</v>
      </c>
      <c r="G279" s="95">
        <f ca="1" t="shared" si="26"/>
        <v>6.16811928571429</v>
      </c>
      <c r="H279" s="95" cm="1">
        <f ca="1" t="array" ref="H279">MIN(30-SUM(I279:L279),_xlfn.XLOOKUP($D279&amp;"_"&amp;H$52,$B$14:$B$36&amp;"_"&amp;$C$14:$C$36,$D$14:$D$36)*$E279,18)</f>
        <v>18</v>
      </c>
      <c r="I279" s="95" cm="1">
        <f ca="1" t="array" ref="I279">MIN(30-SUM(J279:L279),6-L279,_xlfn.XLOOKUP($D279&amp;"_"&amp;I$52,$B$14:$B$36&amp;"_"&amp;$C$14:$C$36,$D$14:$D$36)*$E279)</f>
        <v>1.83553071428571</v>
      </c>
      <c r="J279" s="95" cm="1">
        <f ca="1" t="array" ref="J279">MIN(8,_xlfn.XLOOKUP($D279&amp;"_"&amp;J$52,$B$14:$B$36&amp;"_"&amp;$C$14:$C$36,$D$14:$D$36)*$E279)</f>
        <v>1.9275</v>
      </c>
      <c r="K279" s="95" cm="1">
        <f ca="1" t="array" ref="K279">MIN(18,_xlfn.XLOOKUP($D279&amp;"_"&amp;K$52,$B$14:$B$36&amp;"_"&amp;$C$14:$C$36,$D$14:$D$36)*$E279)</f>
        <v>0.7196</v>
      </c>
      <c r="L279" s="95" cm="1">
        <f ca="1" t="array" ref="L279">MIN(6,_xlfn.XLOOKUP($D279&amp;"_"&amp;L$52,$B$14:$B$36&amp;"_"&amp;$C$14:$C$36,$D$14:$D$36)*$E279)</f>
        <v>1.34925</v>
      </c>
      <c r="M279" s="95" cm="1">
        <f ca="1" t="array" ref="M279">(1+SUMPRODUCT(G279:H279,OFFSET($H$40:$I$40,D279,0)))*(1+OFFSET($J$40,D279,0))^I279*(1+OFFSET($K$40,D279,0))^J279*(1+OFFSET($L$40,D279,0))^K279*(1+OFFSET($M$40,D279,0))^L279</f>
        <v>22.7775072035559</v>
      </c>
      <c r="N279" s="95">
        <f ca="1">MAX(MAX($N$53:N278),OFFSET($C$52,MATCH(M279*1.07,$M$53:$M$2052,1),0)-C279)</f>
        <v>4680</v>
      </c>
    </row>
    <row r="280" spans="2:14">
      <c r="B280" s="95">
        <v>228</v>
      </c>
      <c r="C280" s="95">
        <f t="shared" si="27"/>
        <v>82080</v>
      </c>
      <c r="D280" s="95">
        <f ca="1">_xlfn.XLOOKUP(总览!$B$44,$B$40:$B$45,$C$40:$C$45)</f>
        <v>5</v>
      </c>
      <c r="E280" s="95">
        <f ca="1" t="shared" si="24"/>
        <v>258</v>
      </c>
      <c r="F280" s="95">
        <f ca="1" t="shared" si="25"/>
        <v>0</v>
      </c>
      <c r="G280" s="95">
        <f ca="1" t="shared" si="26"/>
        <v>6.14542714285714</v>
      </c>
      <c r="H280" s="95" cm="1">
        <f ca="1" t="array" ref="H280">MIN(30-SUM(I280:L280),_xlfn.XLOOKUP($D280&amp;"_"&amp;H$52,$B$14:$B$36&amp;"_"&amp;$C$14:$C$36,$D$14:$D$36)*$E280,18)</f>
        <v>18</v>
      </c>
      <c r="I280" s="95" cm="1">
        <f ca="1" t="array" ref="I280">MIN(30-SUM(J280:L280),6-L280,_xlfn.XLOOKUP($D280&amp;"_"&amp;I$52,$B$14:$B$36&amp;"_"&amp;$C$14:$C$36,$D$14:$D$36)*$E280)</f>
        <v>1.84267285714285</v>
      </c>
      <c r="J280" s="95" cm="1">
        <f ca="1" t="array" ref="J280">MIN(8,_xlfn.XLOOKUP($D280&amp;"_"&amp;J$52,$B$14:$B$36&amp;"_"&amp;$C$14:$C$36,$D$14:$D$36)*$E280)</f>
        <v>1.935</v>
      </c>
      <c r="K280" s="95" cm="1">
        <f ca="1" t="array" ref="K280">MIN(18,_xlfn.XLOOKUP($D280&amp;"_"&amp;K$52,$B$14:$B$36&amp;"_"&amp;$C$14:$C$36,$D$14:$D$36)*$E280)</f>
        <v>0.7224</v>
      </c>
      <c r="L280" s="95" cm="1">
        <f ca="1" t="array" ref="L280">MIN(6,_xlfn.XLOOKUP($D280&amp;"_"&amp;L$52,$B$14:$B$36&amp;"_"&amp;$C$14:$C$36,$D$14:$D$36)*$E280)</f>
        <v>1.3545</v>
      </c>
      <c r="M280" s="95" cm="1">
        <f ca="1" t="array" ref="M280">(1+SUMPRODUCT(G280:H280,OFFSET($H$40:$I$40,D280,0)))*(1+OFFSET($J$40,D280,0))^I280*(1+OFFSET($K$40,D280,0))^J280*(1+OFFSET($L$40,D280,0))^K280*(1+OFFSET($M$40,D280,0))^L280</f>
        <v>22.8947471415506</v>
      </c>
      <c r="N280" s="95">
        <f ca="1">MAX(MAX($N$53:N279),OFFSET($C$52,MATCH(M280*1.07,$M$53:$M$2052,1),0)-C280)</f>
        <v>4680</v>
      </c>
    </row>
    <row r="281" spans="2:14">
      <c r="B281" s="95">
        <v>229</v>
      </c>
      <c r="C281" s="95">
        <f t="shared" si="27"/>
        <v>82440</v>
      </c>
      <c r="D281" s="95">
        <f ca="1">_xlfn.XLOOKUP(总览!$B$44,$B$40:$B$45,$C$40:$C$45)</f>
        <v>5</v>
      </c>
      <c r="E281" s="95">
        <f ca="1" t="shared" si="24"/>
        <v>259</v>
      </c>
      <c r="F281" s="95">
        <f ca="1" t="shared" si="25"/>
        <v>0</v>
      </c>
      <c r="G281" s="95">
        <f ca="1" t="shared" si="26"/>
        <v>6.12273500000001</v>
      </c>
      <c r="H281" s="95" cm="1">
        <f ca="1" t="array" ref="H281">MIN(30-SUM(I281:L281),_xlfn.XLOOKUP($D281&amp;"_"&amp;H$52,$B$14:$B$36&amp;"_"&amp;$C$14:$C$36,$D$14:$D$36)*$E281,18)</f>
        <v>18</v>
      </c>
      <c r="I281" s="95" cm="1">
        <f ca="1" t="array" ref="I281">MIN(30-SUM(J281:L281),6-L281,_xlfn.XLOOKUP($D281&amp;"_"&amp;I$52,$B$14:$B$36&amp;"_"&amp;$C$14:$C$36,$D$14:$D$36)*$E281)</f>
        <v>1.849815</v>
      </c>
      <c r="J281" s="95" cm="1">
        <f ca="1" t="array" ref="J281">MIN(8,_xlfn.XLOOKUP($D281&amp;"_"&amp;J$52,$B$14:$B$36&amp;"_"&amp;$C$14:$C$36,$D$14:$D$36)*$E281)</f>
        <v>1.9425</v>
      </c>
      <c r="K281" s="95" cm="1">
        <f ca="1" t="array" ref="K281">MIN(18,_xlfn.XLOOKUP($D281&amp;"_"&amp;K$52,$B$14:$B$36&amp;"_"&amp;$C$14:$C$36,$D$14:$D$36)*$E281)</f>
        <v>0.7252</v>
      </c>
      <c r="L281" s="95" cm="1">
        <f ca="1" t="array" ref="L281">MIN(6,_xlfn.XLOOKUP($D281&amp;"_"&amp;L$52,$B$14:$B$36&amp;"_"&amp;$C$14:$C$36,$D$14:$D$36)*$E281)</f>
        <v>1.35975</v>
      </c>
      <c r="M281" s="95" cm="1">
        <f ca="1" t="array" ref="M281">(1+SUMPRODUCT(G281:H281,OFFSET($H$40:$I$40,D281,0)))*(1+OFFSET($J$40,D281,0))^I281*(1+OFFSET($K$40,D281,0))^J281*(1+OFFSET($L$40,D281,0))^K281*(1+OFFSET($M$40,D281,0))^L281</f>
        <v>23.0125845448688</v>
      </c>
      <c r="N281" s="95">
        <f ca="1">MAX(MAX($N$53:N280),OFFSET($C$52,MATCH(M281*1.07,$M$53:$M$2052,1),0)-C281)</f>
        <v>4680</v>
      </c>
    </row>
    <row r="282" spans="2:14">
      <c r="B282" s="95">
        <v>230</v>
      </c>
      <c r="C282" s="95">
        <f t="shared" si="27"/>
        <v>82800</v>
      </c>
      <c r="D282" s="95">
        <f ca="1">_xlfn.XLOOKUP(总览!$B$44,$B$40:$B$45,$C$40:$C$45)</f>
        <v>5</v>
      </c>
      <c r="E282" s="95">
        <f ca="1" t="shared" si="24"/>
        <v>260</v>
      </c>
      <c r="F282" s="95">
        <f ca="1" t="shared" si="25"/>
        <v>0</v>
      </c>
      <c r="G282" s="95">
        <f ca="1" t="shared" si="26"/>
        <v>6.10004285714286</v>
      </c>
      <c r="H282" s="95" cm="1">
        <f ca="1" t="array" ref="H282">MIN(30-SUM(I282:L282),_xlfn.XLOOKUP($D282&amp;"_"&amp;H$52,$B$14:$B$36&amp;"_"&amp;$C$14:$C$36,$D$14:$D$36)*$E282,18)</f>
        <v>18</v>
      </c>
      <c r="I282" s="95" cm="1">
        <f ca="1" t="array" ref="I282">MIN(30-SUM(J282:L282),6-L282,_xlfn.XLOOKUP($D282&amp;"_"&amp;I$52,$B$14:$B$36&amp;"_"&amp;$C$14:$C$36,$D$14:$D$36)*$E282)</f>
        <v>1.85695714285714</v>
      </c>
      <c r="J282" s="95" cm="1">
        <f ca="1" t="array" ref="J282">MIN(8,_xlfn.XLOOKUP($D282&amp;"_"&amp;J$52,$B$14:$B$36&amp;"_"&amp;$C$14:$C$36,$D$14:$D$36)*$E282)</f>
        <v>1.95</v>
      </c>
      <c r="K282" s="95" cm="1">
        <f ca="1" t="array" ref="K282">MIN(18,_xlfn.XLOOKUP($D282&amp;"_"&amp;K$52,$B$14:$B$36&amp;"_"&amp;$C$14:$C$36,$D$14:$D$36)*$E282)</f>
        <v>0.728</v>
      </c>
      <c r="L282" s="95" cm="1">
        <f ca="1" t="array" ref="L282">MIN(6,_xlfn.XLOOKUP($D282&amp;"_"&amp;L$52,$B$14:$B$36&amp;"_"&amp;$C$14:$C$36,$D$14:$D$36)*$E282)</f>
        <v>1.365</v>
      </c>
      <c r="M282" s="95" cm="1">
        <f ca="1" t="array" ref="M282">(1+SUMPRODUCT(G282:H282,OFFSET($H$40:$I$40,D282,0)))*(1+OFFSET($J$40,D282,0))^I282*(1+OFFSET($K$40,D282,0))^J282*(1+OFFSET($L$40,D282,0))^K282*(1+OFFSET($M$40,D282,0))^L282</f>
        <v>23.1310224209679</v>
      </c>
      <c r="N282" s="95">
        <f ca="1">MAX(MAX($N$53:N281),OFFSET($C$52,MATCH(M282*1.07,$M$53:$M$2052,1),0)-C282)</f>
        <v>4680</v>
      </c>
    </row>
    <row r="283" spans="2:14">
      <c r="B283" s="95">
        <v>231</v>
      </c>
      <c r="C283" s="95">
        <f t="shared" si="27"/>
        <v>83160</v>
      </c>
      <c r="D283" s="95">
        <f ca="1">_xlfn.XLOOKUP(总览!$B$44,$B$40:$B$45,$C$40:$C$45)</f>
        <v>5</v>
      </c>
      <c r="E283" s="95">
        <f ca="1" t="shared" si="24"/>
        <v>261</v>
      </c>
      <c r="F283" s="95">
        <f ca="1" t="shared" si="25"/>
        <v>0</v>
      </c>
      <c r="G283" s="95">
        <f ca="1" t="shared" si="26"/>
        <v>6.07735071428572</v>
      </c>
      <c r="H283" s="95" cm="1">
        <f ca="1" t="array" ref="H283">MIN(30-SUM(I283:L283),_xlfn.XLOOKUP($D283&amp;"_"&amp;H$52,$B$14:$B$36&amp;"_"&amp;$C$14:$C$36,$D$14:$D$36)*$E283,18)</f>
        <v>18</v>
      </c>
      <c r="I283" s="95" cm="1">
        <f ca="1" t="array" ref="I283">MIN(30-SUM(J283:L283),6-L283,_xlfn.XLOOKUP($D283&amp;"_"&amp;I$52,$B$14:$B$36&amp;"_"&amp;$C$14:$C$36,$D$14:$D$36)*$E283)</f>
        <v>1.86409928571428</v>
      </c>
      <c r="J283" s="95" cm="1">
        <f ca="1" t="array" ref="J283">MIN(8,_xlfn.XLOOKUP($D283&amp;"_"&amp;J$52,$B$14:$B$36&amp;"_"&amp;$C$14:$C$36,$D$14:$D$36)*$E283)</f>
        <v>1.9575</v>
      </c>
      <c r="K283" s="95" cm="1">
        <f ca="1" t="array" ref="K283">MIN(18,_xlfn.XLOOKUP($D283&amp;"_"&amp;K$52,$B$14:$B$36&amp;"_"&amp;$C$14:$C$36,$D$14:$D$36)*$E283)</f>
        <v>0.7308</v>
      </c>
      <c r="L283" s="95" cm="1">
        <f ca="1" t="array" ref="L283">MIN(6,_xlfn.XLOOKUP($D283&amp;"_"&amp;L$52,$B$14:$B$36&amp;"_"&amp;$C$14:$C$36,$D$14:$D$36)*$E283)</f>
        <v>1.37025</v>
      </c>
      <c r="M283" s="95" cm="1">
        <f ca="1" t="array" ref="M283">(1+SUMPRODUCT(G283:H283,OFFSET($H$40:$I$40,D283,0)))*(1+OFFSET($J$40,D283,0))^I283*(1+OFFSET($K$40,D283,0))^J283*(1+OFFSET($L$40,D283,0))^K283*(1+OFFSET($M$40,D283,0))^L283</f>
        <v>23.25006379221</v>
      </c>
      <c r="N283" s="95">
        <f ca="1">MAX(MAX($N$53:N282),OFFSET($C$52,MATCH(M283*1.07,$M$53:$M$2052,1),0)-C283)</f>
        <v>4680</v>
      </c>
    </row>
    <row r="284" spans="2:14">
      <c r="B284" s="95">
        <v>232</v>
      </c>
      <c r="C284" s="95">
        <f t="shared" si="27"/>
        <v>83520</v>
      </c>
      <c r="D284" s="95">
        <f ca="1">_xlfn.XLOOKUP(总览!$B$44,$B$40:$B$45,$C$40:$C$45)</f>
        <v>5</v>
      </c>
      <c r="E284" s="95">
        <f ca="1" t="shared" si="24"/>
        <v>262</v>
      </c>
      <c r="F284" s="95">
        <f ca="1" t="shared" si="25"/>
        <v>0</v>
      </c>
      <c r="G284" s="95">
        <f ca="1" t="shared" si="26"/>
        <v>6.05465857142858</v>
      </c>
      <c r="H284" s="95" cm="1">
        <f ca="1" t="array" ref="H284">MIN(30-SUM(I284:L284),_xlfn.XLOOKUP($D284&amp;"_"&amp;H$52,$B$14:$B$36&amp;"_"&amp;$C$14:$C$36,$D$14:$D$36)*$E284,18)</f>
        <v>18</v>
      </c>
      <c r="I284" s="95" cm="1">
        <f ca="1" t="array" ref="I284">MIN(30-SUM(J284:L284),6-L284,_xlfn.XLOOKUP($D284&amp;"_"&amp;I$52,$B$14:$B$36&amp;"_"&amp;$C$14:$C$36,$D$14:$D$36)*$E284)</f>
        <v>1.87124142857142</v>
      </c>
      <c r="J284" s="95" cm="1">
        <f ca="1" t="array" ref="J284">MIN(8,_xlfn.XLOOKUP($D284&amp;"_"&amp;J$52,$B$14:$B$36&amp;"_"&amp;$C$14:$C$36,$D$14:$D$36)*$E284)</f>
        <v>1.965</v>
      </c>
      <c r="K284" s="95" cm="1">
        <f ca="1" t="array" ref="K284">MIN(18,_xlfn.XLOOKUP($D284&amp;"_"&amp;K$52,$B$14:$B$36&amp;"_"&amp;$C$14:$C$36,$D$14:$D$36)*$E284)</f>
        <v>0.7336</v>
      </c>
      <c r="L284" s="95" cm="1">
        <f ca="1" t="array" ref="L284">MIN(6,_xlfn.XLOOKUP($D284&amp;"_"&amp;L$52,$B$14:$B$36&amp;"_"&amp;$C$14:$C$36,$D$14:$D$36)*$E284)</f>
        <v>1.3755</v>
      </c>
      <c r="M284" s="95" cm="1">
        <f ca="1" t="array" ref="M284">(1+SUMPRODUCT(G284:H284,OFFSET($H$40:$I$40,D284,0)))*(1+OFFSET($J$40,D284,0))^I284*(1+OFFSET($K$40,D284,0))^J284*(1+OFFSET($L$40,D284,0))^K284*(1+OFFSET($M$40,D284,0))^L284</f>
        <v>23.3697116959335</v>
      </c>
      <c r="N284" s="95">
        <f ca="1">MAX(MAX($N$53:N283),OFFSET($C$52,MATCH(M284*1.07,$M$53:$M$2052,1),0)-C284)</f>
        <v>4680</v>
      </c>
    </row>
    <row r="285" spans="2:14">
      <c r="B285" s="95">
        <v>233</v>
      </c>
      <c r="C285" s="95">
        <f t="shared" si="27"/>
        <v>83880</v>
      </c>
      <c r="D285" s="95">
        <f ca="1">_xlfn.XLOOKUP(总览!$B$44,$B$40:$B$45,$C$40:$C$45)</f>
        <v>5</v>
      </c>
      <c r="E285" s="95">
        <f ca="1" t="shared" si="24"/>
        <v>263</v>
      </c>
      <c r="F285" s="95">
        <f ca="1" t="shared" si="25"/>
        <v>0</v>
      </c>
      <c r="G285" s="95">
        <f ca="1" t="shared" si="26"/>
        <v>6.03196642857143</v>
      </c>
      <c r="H285" s="95" cm="1">
        <f ca="1" t="array" ref="H285">MIN(30-SUM(I285:L285),_xlfn.XLOOKUP($D285&amp;"_"&amp;H$52,$B$14:$B$36&amp;"_"&amp;$C$14:$C$36,$D$14:$D$36)*$E285,18)</f>
        <v>18</v>
      </c>
      <c r="I285" s="95" cm="1">
        <f ca="1" t="array" ref="I285">MIN(30-SUM(J285:L285),6-L285,_xlfn.XLOOKUP($D285&amp;"_"&amp;I$52,$B$14:$B$36&amp;"_"&amp;$C$14:$C$36,$D$14:$D$36)*$E285)</f>
        <v>1.87838357142857</v>
      </c>
      <c r="J285" s="95" cm="1">
        <f ca="1" t="array" ref="J285">MIN(8,_xlfn.XLOOKUP($D285&amp;"_"&amp;J$52,$B$14:$B$36&amp;"_"&amp;$C$14:$C$36,$D$14:$D$36)*$E285)</f>
        <v>1.9725</v>
      </c>
      <c r="K285" s="95" cm="1">
        <f ca="1" t="array" ref="K285">MIN(18,_xlfn.XLOOKUP($D285&amp;"_"&amp;K$52,$B$14:$B$36&amp;"_"&amp;$C$14:$C$36,$D$14:$D$36)*$E285)</f>
        <v>0.7364</v>
      </c>
      <c r="L285" s="95" cm="1">
        <f ca="1" t="array" ref="L285">MIN(6,_xlfn.XLOOKUP($D285&amp;"_"&amp;L$52,$B$14:$B$36&amp;"_"&amp;$C$14:$C$36,$D$14:$D$36)*$E285)</f>
        <v>1.38075</v>
      </c>
      <c r="M285" s="95" cm="1">
        <f ca="1" t="array" ref="M285">(1+SUMPRODUCT(G285:H285,OFFSET($H$40:$I$40,D285,0)))*(1+OFFSET($J$40,D285,0))^I285*(1+OFFSET($K$40,D285,0))^J285*(1+OFFSET($L$40,D285,0))^K285*(1+OFFSET($M$40,D285,0))^L285</f>
        <v>23.4899691845262</v>
      </c>
      <c r="N285" s="95">
        <f ca="1">MAX(MAX($N$53:N284),OFFSET($C$52,MATCH(M285*1.07,$M$53:$M$2052,1),0)-C285)</f>
        <v>4680</v>
      </c>
    </row>
    <row r="286" spans="2:14">
      <c r="B286" s="95">
        <v>234</v>
      </c>
      <c r="C286" s="95">
        <f t="shared" si="27"/>
        <v>84240</v>
      </c>
      <c r="D286" s="95">
        <f ca="1">_xlfn.XLOOKUP(总览!$B$44,$B$40:$B$45,$C$40:$C$45)</f>
        <v>5</v>
      </c>
      <c r="E286" s="95">
        <f ca="1" t="shared" si="24"/>
        <v>264</v>
      </c>
      <c r="F286" s="95">
        <f ca="1" t="shared" si="25"/>
        <v>0</v>
      </c>
      <c r="G286" s="95">
        <f ca="1" t="shared" si="26"/>
        <v>6.00927428571429</v>
      </c>
      <c r="H286" s="95" cm="1">
        <f ca="1" t="array" ref="H286">MIN(30-SUM(I286:L286),_xlfn.XLOOKUP($D286&amp;"_"&amp;H$52,$B$14:$B$36&amp;"_"&amp;$C$14:$C$36,$D$14:$D$36)*$E286,18)</f>
        <v>18</v>
      </c>
      <c r="I286" s="95" cm="1">
        <f ca="1" t="array" ref="I286">MIN(30-SUM(J286:L286),6-L286,_xlfn.XLOOKUP($D286&amp;"_"&amp;I$52,$B$14:$B$36&amp;"_"&amp;$C$14:$C$36,$D$14:$D$36)*$E286)</f>
        <v>1.88552571428571</v>
      </c>
      <c r="J286" s="95" cm="1">
        <f ca="1" t="array" ref="J286">MIN(8,_xlfn.XLOOKUP($D286&amp;"_"&amp;J$52,$B$14:$B$36&amp;"_"&amp;$C$14:$C$36,$D$14:$D$36)*$E286)</f>
        <v>1.98</v>
      </c>
      <c r="K286" s="95" cm="1">
        <f ca="1" t="array" ref="K286">MIN(18,_xlfn.XLOOKUP($D286&amp;"_"&amp;K$52,$B$14:$B$36&amp;"_"&amp;$C$14:$C$36,$D$14:$D$36)*$E286)</f>
        <v>0.7392</v>
      </c>
      <c r="L286" s="95" cm="1">
        <f ca="1" t="array" ref="L286">MIN(6,_xlfn.XLOOKUP($D286&amp;"_"&amp;L$52,$B$14:$B$36&amp;"_"&amp;$C$14:$C$36,$D$14:$D$36)*$E286)</f>
        <v>1.386</v>
      </c>
      <c r="M286" s="95" cm="1">
        <f ca="1" t="array" ref="M286">(1+SUMPRODUCT(G286:H286,OFFSET($H$40:$I$40,D286,0)))*(1+OFFSET($J$40,D286,0))^I286*(1+OFFSET($K$40,D286,0))^J286*(1+OFFSET($L$40,D286,0))^K286*(1+OFFSET($M$40,D286,0))^L286</f>
        <v>23.6108393254985</v>
      </c>
      <c r="N286" s="95">
        <f ca="1">MAX(MAX($N$53:N285),OFFSET($C$52,MATCH(M286*1.07,$M$53:$M$2052,1),0)-C286)</f>
        <v>4680</v>
      </c>
    </row>
    <row r="287" spans="2:14">
      <c r="B287" s="95">
        <v>235</v>
      </c>
      <c r="C287" s="95">
        <f t="shared" si="27"/>
        <v>84600</v>
      </c>
      <c r="D287" s="95">
        <f ca="1">_xlfn.XLOOKUP(总览!$B$44,$B$40:$B$45,$C$40:$C$45)</f>
        <v>5</v>
      </c>
      <c r="E287" s="95">
        <f ca="1" t="shared" si="24"/>
        <v>265</v>
      </c>
      <c r="F287" s="95">
        <f ca="1" t="shared" si="25"/>
        <v>0</v>
      </c>
      <c r="G287" s="95">
        <f ca="1" t="shared" si="26"/>
        <v>5.98658214285715</v>
      </c>
      <c r="H287" s="95" cm="1">
        <f ca="1" t="array" ref="H287">MIN(30-SUM(I287:L287),_xlfn.XLOOKUP($D287&amp;"_"&amp;H$52,$B$14:$B$36&amp;"_"&amp;$C$14:$C$36,$D$14:$D$36)*$E287,18)</f>
        <v>18</v>
      </c>
      <c r="I287" s="95" cm="1">
        <f ca="1" t="array" ref="I287">MIN(30-SUM(J287:L287),6-L287,_xlfn.XLOOKUP($D287&amp;"_"&amp;I$52,$B$14:$B$36&amp;"_"&amp;$C$14:$C$36,$D$14:$D$36)*$E287)</f>
        <v>1.89266785714285</v>
      </c>
      <c r="J287" s="95" cm="1">
        <f ca="1" t="array" ref="J287">MIN(8,_xlfn.XLOOKUP($D287&amp;"_"&amp;J$52,$B$14:$B$36&amp;"_"&amp;$C$14:$C$36,$D$14:$D$36)*$E287)</f>
        <v>1.9875</v>
      </c>
      <c r="K287" s="95" cm="1">
        <f ca="1" t="array" ref="K287">MIN(18,_xlfn.XLOOKUP($D287&amp;"_"&amp;K$52,$B$14:$B$36&amp;"_"&amp;$C$14:$C$36,$D$14:$D$36)*$E287)</f>
        <v>0.742</v>
      </c>
      <c r="L287" s="95" cm="1">
        <f ca="1" t="array" ref="L287">MIN(6,_xlfn.XLOOKUP($D287&amp;"_"&amp;L$52,$B$14:$B$36&amp;"_"&amp;$C$14:$C$36,$D$14:$D$36)*$E287)</f>
        <v>1.39125</v>
      </c>
      <c r="M287" s="95" cm="1">
        <f ca="1" t="array" ref="M287">(1+SUMPRODUCT(G287:H287,OFFSET($H$40:$I$40,D287,0)))*(1+OFFSET($J$40,D287,0))^I287*(1+OFFSET($K$40,D287,0))^J287*(1+OFFSET($L$40,D287,0))^K287*(1+OFFSET($M$40,D287,0))^L287</f>
        <v>23.7323252015564</v>
      </c>
      <c r="N287" s="95">
        <f ca="1">MAX(MAX($N$53:N286),OFFSET($C$52,MATCH(M287*1.07,$M$53:$M$2052,1),0)-C287)</f>
        <v>4680</v>
      </c>
    </row>
    <row r="288" spans="2:14">
      <c r="B288" s="95">
        <v>236</v>
      </c>
      <c r="C288" s="95">
        <f t="shared" si="27"/>
        <v>84960</v>
      </c>
      <c r="D288" s="95">
        <f ca="1">_xlfn.XLOOKUP(总览!$B$44,$B$40:$B$45,$C$40:$C$45)</f>
        <v>5</v>
      </c>
      <c r="E288" s="95">
        <f ca="1" t="shared" si="24"/>
        <v>266</v>
      </c>
      <c r="F288" s="95">
        <f ca="1" t="shared" si="25"/>
        <v>0</v>
      </c>
      <c r="G288" s="95">
        <f ca="1" t="shared" si="26"/>
        <v>5.96389</v>
      </c>
      <c r="H288" s="95" cm="1">
        <f ca="1" t="array" ref="H288">MIN(30-SUM(I288:L288),_xlfn.XLOOKUP($D288&amp;"_"&amp;H$52,$B$14:$B$36&amp;"_"&amp;$C$14:$C$36,$D$14:$D$36)*$E288,18)</f>
        <v>18</v>
      </c>
      <c r="I288" s="95" cm="1">
        <f ca="1" t="array" ref="I288">MIN(30-SUM(J288:L288),6-L288,_xlfn.XLOOKUP($D288&amp;"_"&amp;I$52,$B$14:$B$36&amp;"_"&amp;$C$14:$C$36,$D$14:$D$36)*$E288)</f>
        <v>1.89981</v>
      </c>
      <c r="J288" s="95" cm="1">
        <f ca="1" t="array" ref="J288">MIN(8,_xlfn.XLOOKUP($D288&amp;"_"&amp;J$52,$B$14:$B$36&amp;"_"&amp;$C$14:$C$36,$D$14:$D$36)*$E288)</f>
        <v>1.995</v>
      </c>
      <c r="K288" s="95" cm="1">
        <f ca="1" t="array" ref="K288">MIN(18,_xlfn.XLOOKUP($D288&amp;"_"&amp;K$52,$B$14:$B$36&amp;"_"&amp;$C$14:$C$36,$D$14:$D$36)*$E288)</f>
        <v>0.7448</v>
      </c>
      <c r="L288" s="95" cm="1">
        <f ca="1" t="array" ref="L288">MIN(6,_xlfn.XLOOKUP($D288&amp;"_"&amp;L$52,$B$14:$B$36&amp;"_"&amp;$C$14:$C$36,$D$14:$D$36)*$E288)</f>
        <v>1.3965</v>
      </c>
      <c r="M288" s="95" cm="1">
        <f ca="1" t="array" ref="M288">(1+SUMPRODUCT(G288:H288,OFFSET($H$40:$I$40,D288,0)))*(1+OFFSET($J$40,D288,0))^I288*(1+OFFSET($K$40,D288,0))^J288*(1+OFFSET($L$40,D288,0))^K288*(1+OFFSET($M$40,D288,0))^L288</f>
        <v>23.8544299106756</v>
      </c>
      <c r="N288" s="95">
        <f ca="1">MAX(MAX($N$53:N287),OFFSET($C$52,MATCH(M288*1.07,$M$53:$M$2052,1),0)-C288)</f>
        <v>4680</v>
      </c>
    </row>
    <row r="289" spans="2:14">
      <c r="B289" s="95">
        <v>237</v>
      </c>
      <c r="C289" s="95">
        <f t="shared" si="27"/>
        <v>85320</v>
      </c>
      <c r="D289" s="95">
        <f ca="1">_xlfn.XLOOKUP(总览!$B$44,$B$40:$B$45,$C$40:$C$45)</f>
        <v>5</v>
      </c>
      <c r="E289" s="95">
        <f ca="1" t="shared" si="24"/>
        <v>267</v>
      </c>
      <c r="F289" s="95">
        <f ca="1" t="shared" si="25"/>
        <v>0</v>
      </c>
      <c r="G289" s="95">
        <f ca="1" t="shared" si="26"/>
        <v>5.94119785714286</v>
      </c>
      <c r="H289" s="95" cm="1">
        <f ca="1" t="array" ref="H289">MIN(30-SUM(I289:L289),_xlfn.XLOOKUP($D289&amp;"_"&amp;H$52,$B$14:$B$36&amp;"_"&amp;$C$14:$C$36,$D$14:$D$36)*$E289,18)</f>
        <v>18</v>
      </c>
      <c r="I289" s="95" cm="1">
        <f ca="1" t="array" ref="I289">MIN(30-SUM(J289:L289),6-L289,_xlfn.XLOOKUP($D289&amp;"_"&amp;I$52,$B$14:$B$36&amp;"_"&amp;$C$14:$C$36,$D$14:$D$36)*$E289)</f>
        <v>1.90695214285714</v>
      </c>
      <c r="J289" s="95" cm="1">
        <f ca="1" t="array" ref="J289">MIN(8,_xlfn.XLOOKUP($D289&amp;"_"&amp;J$52,$B$14:$B$36&amp;"_"&amp;$C$14:$C$36,$D$14:$D$36)*$E289)</f>
        <v>2.0025</v>
      </c>
      <c r="K289" s="95" cm="1">
        <f ca="1" t="array" ref="K289">MIN(18,_xlfn.XLOOKUP($D289&amp;"_"&amp;K$52,$B$14:$B$36&amp;"_"&amp;$C$14:$C$36,$D$14:$D$36)*$E289)</f>
        <v>0.7476</v>
      </c>
      <c r="L289" s="95" cm="1">
        <f ca="1" t="array" ref="L289">MIN(6,_xlfn.XLOOKUP($D289&amp;"_"&amp;L$52,$B$14:$B$36&amp;"_"&amp;$C$14:$C$36,$D$14:$D$36)*$E289)</f>
        <v>1.40175</v>
      </c>
      <c r="M289" s="95" cm="1">
        <f ca="1" t="array" ref="M289">(1+SUMPRODUCT(G289:H289,OFFSET($H$40:$I$40,D289,0)))*(1+OFFSET($J$40,D289,0))^I289*(1+OFFSET($K$40,D289,0))^J289*(1+OFFSET($L$40,D289,0))^K289*(1+OFFSET($M$40,D289,0))^L289</f>
        <v>23.9771565661754</v>
      </c>
      <c r="N289" s="95">
        <f ca="1">MAX(MAX($N$53:N288),OFFSET($C$52,MATCH(M289*1.07,$M$53:$M$2052,1),0)-C289)</f>
        <v>4680</v>
      </c>
    </row>
    <row r="290" spans="2:14">
      <c r="B290" s="95">
        <v>238</v>
      </c>
      <c r="C290" s="95">
        <f t="shared" si="27"/>
        <v>85680</v>
      </c>
      <c r="D290" s="95">
        <f ca="1">_xlfn.XLOOKUP(总览!$B$44,$B$40:$B$45,$C$40:$C$45)</f>
        <v>5</v>
      </c>
      <c r="E290" s="95">
        <f ca="1" t="shared" si="24"/>
        <v>268</v>
      </c>
      <c r="F290" s="95">
        <f ca="1" t="shared" si="25"/>
        <v>0</v>
      </c>
      <c r="G290" s="95">
        <f ca="1" t="shared" si="26"/>
        <v>5.91850571428572</v>
      </c>
      <c r="H290" s="95" cm="1">
        <f ca="1" t="array" ref="H290">MIN(30-SUM(I290:L290),_xlfn.XLOOKUP($D290&amp;"_"&amp;H$52,$B$14:$B$36&amp;"_"&amp;$C$14:$C$36,$D$14:$D$36)*$E290,18)</f>
        <v>18</v>
      </c>
      <c r="I290" s="95" cm="1">
        <f ca="1" t="array" ref="I290">MIN(30-SUM(J290:L290),6-L290,_xlfn.XLOOKUP($D290&amp;"_"&amp;I$52,$B$14:$B$36&amp;"_"&amp;$C$14:$C$36,$D$14:$D$36)*$E290)</f>
        <v>1.91409428571428</v>
      </c>
      <c r="J290" s="95" cm="1">
        <f ca="1" t="array" ref="J290">MIN(8,_xlfn.XLOOKUP($D290&amp;"_"&amp;J$52,$B$14:$B$36&amp;"_"&amp;$C$14:$C$36,$D$14:$D$36)*$E290)</f>
        <v>2.01</v>
      </c>
      <c r="K290" s="95" cm="1">
        <f ca="1" t="array" ref="K290">MIN(18,_xlfn.XLOOKUP($D290&amp;"_"&amp;K$52,$B$14:$B$36&amp;"_"&amp;$C$14:$C$36,$D$14:$D$36)*$E290)</f>
        <v>0.7504</v>
      </c>
      <c r="L290" s="95" cm="1">
        <f ca="1" t="array" ref="L290">MIN(6,_xlfn.XLOOKUP($D290&amp;"_"&amp;L$52,$B$14:$B$36&amp;"_"&amp;$C$14:$C$36,$D$14:$D$36)*$E290)</f>
        <v>1.407</v>
      </c>
      <c r="M290" s="95" cm="1">
        <f ca="1" t="array" ref="M290">(1+SUMPRODUCT(G290:H290,OFFSET($H$40:$I$40,D290,0)))*(1+OFFSET($J$40,D290,0))^I290*(1+OFFSET($K$40,D290,0))^J290*(1+OFFSET($L$40,D290,0))^K290*(1+OFFSET($M$40,D290,0))^L290</f>
        <v>24.1005082967931</v>
      </c>
      <c r="N290" s="95">
        <f ca="1">MAX(MAX($N$53:N289),OFFSET($C$52,MATCH(M290*1.07,$M$53:$M$2052,1),0)-C290)</f>
        <v>4680</v>
      </c>
    </row>
    <row r="291" spans="2:14">
      <c r="B291" s="95">
        <v>239</v>
      </c>
      <c r="C291" s="95">
        <f t="shared" si="27"/>
        <v>86040</v>
      </c>
      <c r="D291" s="95">
        <f ca="1">_xlfn.XLOOKUP(总览!$B$44,$B$40:$B$45,$C$40:$C$45)</f>
        <v>5</v>
      </c>
      <c r="E291" s="95">
        <f ca="1" t="shared" si="24"/>
        <v>269</v>
      </c>
      <c r="F291" s="95">
        <f ca="1" t="shared" si="25"/>
        <v>0</v>
      </c>
      <c r="G291" s="95">
        <f ca="1" t="shared" si="26"/>
        <v>5.89581357142858</v>
      </c>
      <c r="H291" s="95" cm="1">
        <f ca="1" t="array" ref="H291">MIN(30-SUM(I291:L291),_xlfn.XLOOKUP($D291&amp;"_"&amp;H$52,$B$14:$B$36&amp;"_"&amp;$C$14:$C$36,$D$14:$D$36)*$E291,18)</f>
        <v>18</v>
      </c>
      <c r="I291" s="95" cm="1">
        <f ca="1" t="array" ref="I291">MIN(30-SUM(J291:L291),6-L291,_xlfn.XLOOKUP($D291&amp;"_"&amp;I$52,$B$14:$B$36&amp;"_"&amp;$C$14:$C$36,$D$14:$D$36)*$E291)</f>
        <v>1.92123642857142</v>
      </c>
      <c r="J291" s="95" cm="1">
        <f ca="1" t="array" ref="J291">MIN(8,_xlfn.XLOOKUP($D291&amp;"_"&amp;J$52,$B$14:$B$36&amp;"_"&amp;$C$14:$C$36,$D$14:$D$36)*$E291)</f>
        <v>2.0175</v>
      </c>
      <c r="K291" s="95" cm="1">
        <f ca="1" t="array" ref="K291">MIN(18,_xlfn.XLOOKUP($D291&amp;"_"&amp;K$52,$B$14:$B$36&amp;"_"&amp;$C$14:$C$36,$D$14:$D$36)*$E291)</f>
        <v>0.7532</v>
      </c>
      <c r="L291" s="95" cm="1">
        <f ca="1" t="array" ref="L291">MIN(6,_xlfn.XLOOKUP($D291&amp;"_"&amp;L$52,$B$14:$B$36&amp;"_"&amp;$C$14:$C$36,$D$14:$D$36)*$E291)</f>
        <v>1.41225</v>
      </c>
      <c r="M291" s="95" cm="1">
        <f ca="1" t="array" ref="M291">(1+SUMPRODUCT(G291:H291,OFFSET($H$40:$I$40,D291,0)))*(1+OFFSET($J$40,D291,0))^I291*(1+OFFSET($K$40,D291,0))^J291*(1+OFFSET($L$40,D291,0))^K291*(1+OFFSET($M$40,D291,0))^L291</f>
        <v>24.2244882467591</v>
      </c>
      <c r="N291" s="95">
        <f ca="1">MAX(MAX($N$53:N290),OFFSET($C$52,MATCH(M291*1.07,$M$53:$M$2052,1),0)-C291)</f>
        <v>4680</v>
      </c>
    </row>
    <row r="292" spans="2:14">
      <c r="B292" s="95">
        <v>240</v>
      </c>
      <c r="C292" s="95">
        <f t="shared" si="27"/>
        <v>86400</v>
      </c>
      <c r="D292" s="95">
        <f ca="1">_xlfn.XLOOKUP(总览!$B$44,$B$40:$B$45,$C$40:$C$45)</f>
        <v>5</v>
      </c>
      <c r="E292" s="95">
        <f ca="1" t="shared" si="24"/>
        <v>270</v>
      </c>
      <c r="F292" s="95">
        <f ca="1" t="shared" si="25"/>
        <v>0</v>
      </c>
      <c r="G292" s="95">
        <f ca="1" t="shared" si="26"/>
        <v>5.87312142857143</v>
      </c>
      <c r="H292" s="95" cm="1">
        <f ca="1" t="array" ref="H292">MIN(30-SUM(I292:L292),_xlfn.XLOOKUP($D292&amp;"_"&amp;H$52,$B$14:$B$36&amp;"_"&amp;$C$14:$C$36,$D$14:$D$36)*$E292,18)</f>
        <v>18</v>
      </c>
      <c r="I292" s="95" cm="1">
        <f ca="1" t="array" ref="I292">MIN(30-SUM(J292:L292),6-L292,_xlfn.XLOOKUP($D292&amp;"_"&amp;I$52,$B$14:$B$36&amp;"_"&amp;$C$14:$C$36,$D$14:$D$36)*$E292)</f>
        <v>1.92837857142857</v>
      </c>
      <c r="J292" s="95" cm="1">
        <f ca="1" t="array" ref="J292">MIN(8,_xlfn.XLOOKUP($D292&amp;"_"&amp;J$52,$B$14:$B$36&amp;"_"&amp;$C$14:$C$36,$D$14:$D$36)*$E292)</f>
        <v>2.025</v>
      </c>
      <c r="K292" s="95" cm="1">
        <f ca="1" t="array" ref="K292">MIN(18,_xlfn.XLOOKUP($D292&amp;"_"&amp;K$52,$B$14:$B$36&amp;"_"&amp;$C$14:$C$36,$D$14:$D$36)*$E292)</f>
        <v>0.756</v>
      </c>
      <c r="L292" s="95" cm="1">
        <f ca="1" t="array" ref="L292">MIN(6,_xlfn.XLOOKUP($D292&amp;"_"&amp;L$52,$B$14:$B$36&amp;"_"&amp;$C$14:$C$36,$D$14:$D$36)*$E292)</f>
        <v>1.4175</v>
      </c>
      <c r="M292" s="95" cm="1">
        <f ca="1" t="array" ref="M292">(1+SUMPRODUCT(G292:H292,OFFSET($H$40:$I$40,D292,0)))*(1+OFFSET($J$40,D292,0))^I292*(1+OFFSET($K$40,D292,0))^J292*(1+OFFSET($L$40,D292,0))^K292*(1+OFFSET($M$40,D292,0))^L292</f>
        <v>24.3490995758716</v>
      </c>
      <c r="N292" s="95">
        <f ca="1">MAX(MAX($N$53:N291),OFFSET($C$52,MATCH(M292*1.07,$M$53:$M$2052,1),0)-C292)</f>
        <v>4680</v>
      </c>
    </row>
    <row r="293" spans="2:14">
      <c r="B293" s="95">
        <v>241</v>
      </c>
      <c r="C293" s="95">
        <f t="shared" si="27"/>
        <v>86760</v>
      </c>
      <c r="D293" s="95">
        <f ca="1">_xlfn.XLOOKUP(总览!$B$44,$B$40:$B$45,$C$40:$C$45)</f>
        <v>5</v>
      </c>
      <c r="E293" s="95">
        <f ca="1" t="shared" si="24"/>
        <v>271</v>
      </c>
      <c r="F293" s="95">
        <f ca="1" t="shared" si="25"/>
        <v>0</v>
      </c>
      <c r="G293" s="95">
        <f ca="1" t="shared" si="26"/>
        <v>5.85042928571429</v>
      </c>
      <c r="H293" s="95" cm="1">
        <f ca="1" t="array" ref="H293">MIN(30-SUM(I293:L293),_xlfn.XLOOKUP($D293&amp;"_"&amp;H$52,$B$14:$B$36&amp;"_"&amp;$C$14:$C$36,$D$14:$D$36)*$E293,18)</f>
        <v>18</v>
      </c>
      <c r="I293" s="95" cm="1">
        <f ca="1" t="array" ref="I293">MIN(30-SUM(J293:L293),6-L293,_xlfn.XLOOKUP($D293&amp;"_"&amp;I$52,$B$14:$B$36&amp;"_"&amp;$C$14:$C$36,$D$14:$D$36)*$E293)</f>
        <v>1.93552071428571</v>
      </c>
      <c r="J293" s="95" cm="1">
        <f ca="1" t="array" ref="J293">MIN(8,_xlfn.XLOOKUP($D293&amp;"_"&amp;J$52,$B$14:$B$36&amp;"_"&amp;$C$14:$C$36,$D$14:$D$36)*$E293)</f>
        <v>2.0325</v>
      </c>
      <c r="K293" s="95" cm="1">
        <f ca="1" t="array" ref="K293">MIN(18,_xlfn.XLOOKUP($D293&amp;"_"&amp;K$52,$B$14:$B$36&amp;"_"&amp;$C$14:$C$36,$D$14:$D$36)*$E293)</f>
        <v>0.7588</v>
      </c>
      <c r="L293" s="95" cm="1">
        <f ca="1" t="array" ref="L293">MIN(6,_xlfn.XLOOKUP($D293&amp;"_"&amp;L$52,$B$14:$B$36&amp;"_"&amp;$C$14:$C$36,$D$14:$D$36)*$E293)</f>
        <v>1.42275</v>
      </c>
      <c r="M293" s="95" cm="1">
        <f ca="1" t="array" ref="M293">(1+SUMPRODUCT(G293:H293,OFFSET($H$40:$I$40,D293,0)))*(1+OFFSET($J$40,D293,0))^I293*(1+OFFSET($K$40,D293,0))^J293*(1+OFFSET($L$40,D293,0))^K293*(1+OFFSET($M$40,D293,0))^L293</f>
        <v>24.4743454595726</v>
      </c>
      <c r="N293" s="95">
        <f ca="1">MAX(MAX($N$53:N292),OFFSET($C$52,MATCH(M293*1.07,$M$53:$M$2052,1),0)-C293)</f>
        <v>4680</v>
      </c>
    </row>
    <row r="294" spans="2:14">
      <c r="B294" s="95">
        <v>242</v>
      </c>
      <c r="C294" s="95">
        <f t="shared" si="27"/>
        <v>87120</v>
      </c>
      <c r="D294" s="95">
        <f ca="1">_xlfn.XLOOKUP(总览!$B$44,$B$40:$B$45,$C$40:$C$45)</f>
        <v>5</v>
      </c>
      <c r="E294" s="95">
        <f ca="1" t="shared" si="24"/>
        <v>272</v>
      </c>
      <c r="F294" s="95">
        <f ca="1" t="shared" si="25"/>
        <v>0</v>
      </c>
      <c r="G294" s="95">
        <f ca="1" t="shared" si="26"/>
        <v>5.82773714285715</v>
      </c>
      <c r="H294" s="95" cm="1">
        <f ca="1" t="array" ref="H294">MIN(30-SUM(I294:L294),_xlfn.XLOOKUP($D294&amp;"_"&amp;H$52,$B$14:$B$36&amp;"_"&amp;$C$14:$C$36,$D$14:$D$36)*$E294,18)</f>
        <v>18</v>
      </c>
      <c r="I294" s="95" cm="1">
        <f ca="1" t="array" ref="I294">MIN(30-SUM(J294:L294),6-L294,_xlfn.XLOOKUP($D294&amp;"_"&amp;I$52,$B$14:$B$36&amp;"_"&amp;$C$14:$C$36,$D$14:$D$36)*$E294)</f>
        <v>1.94266285714285</v>
      </c>
      <c r="J294" s="95" cm="1">
        <f ca="1" t="array" ref="J294">MIN(8,_xlfn.XLOOKUP($D294&amp;"_"&amp;J$52,$B$14:$B$36&amp;"_"&amp;$C$14:$C$36,$D$14:$D$36)*$E294)</f>
        <v>2.04</v>
      </c>
      <c r="K294" s="95" cm="1">
        <f ca="1" t="array" ref="K294">MIN(18,_xlfn.XLOOKUP($D294&amp;"_"&amp;K$52,$B$14:$B$36&amp;"_"&amp;$C$14:$C$36,$D$14:$D$36)*$E294)</f>
        <v>0.7616</v>
      </c>
      <c r="L294" s="95" cm="1">
        <f ca="1" t="array" ref="L294">MIN(6,_xlfn.XLOOKUP($D294&amp;"_"&amp;L$52,$B$14:$B$36&amp;"_"&amp;$C$14:$C$36,$D$14:$D$36)*$E294)</f>
        <v>1.428</v>
      </c>
      <c r="M294" s="95" cm="1">
        <f ca="1" t="array" ref="M294">(1+SUMPRODUCT(G294:H294,OFFSET($H$40:$I$40,D294,0)))*(1+OFFSET($J$40,D294,0))^I294*(1+OFFSET($K$40,D294,0))^J294*(1+OFFSET($L$40,D294,0))^K294*(1+OFFSET($M$40,D294,0))^L294</f>
        <v>24.6002290890234</v>
      </c>
      <c r="N294" s="95">
        <f ca="1">MAX(MAX($N$53:N293),OFFSET($C$52,MATCH(M294*1.07,$M$53:$M$2052,1),0)-C294)</f>
        <v>4680</v>
      </c>
    </row>
    <row r="295" spans="2:14">
      <c r="B295" s="95">
        <v>243</v>
      </c>
      <c r="C295" s="95">
        <f t="shared" si="27"/>
        <v>87480</v>
      </c>
      <c r="D295" s="95">
        <f ca="1">_xlfn.XLOOKUP(总览!$B$44,$B$40:$B$45,$C$40:$C$45)</f>
        <v>5</v>
      </c>
      <c r="E295" s="95">
        <f ca="1" t="shared" si="24"/>
        <v>273</v>
      </c>
      <c r="F295" s="95">
        <f ca="1" t="shared" si="25"/>
        <v>0</v>
      </c>
      <c r="G295" s="95">
        <f ca="1" t="shared" si="26"/>
        <v>5.805045</v>
      </c>
      <c r="H295" s="95" cm="1">
        <f ca="1" t="array" ref="H295">MIN(30-SUM(I295:L295),_xlfn.XLOOKUP($D295&amp;"_"&amp;H$52,$B$14:$B$36&amp;"_"&amp;$C$14:$C$36,$D$14:$D$36)*$E295,18)</f>
        <v>18</v>
      </c>
      <c r="I295" s="95" cm="1">
        <f ca="1" t="array" ref="I295">MIN(30-SUM(J295:L295),6-L295,_xlfn.XLOOKUP($D295&amp;"_"&amp;I$52,$B$14:$B$36&amp;"_"&amp;$C$14:$C$36,$D$14:$D$36)*$E295)</f>
        <v>1.949805</v>
      </c>
      <c r="J295" s="95" cm="1">
        <f ca="1" t="array" ref="J295">MIN(8,_xlfn.XLOOKUP($D295&amp;"_"&amp;J$52,$B$14:$B$36&amp;"_"&amp;$C$14:$C$36,$D$14:$D$36)*$E295)</f>
        <v>2.0475</v>
      </c>
      <c r="K295" s="95" cm="1">
        <f ca="1" t="array" ref="K295">MIN(18,_xlfn.XLOOKUP($D295&amp;"_"&amp;K$52,$B$14:$B$36&amp;"_"&amp;$C$14:$C$36,$D$14:$D$36)*$E295)</f>
        <v>0.7644</v>
      </c>
      <c r="L295" s="95" cm="1">
        <f ca="1" t="array" ref="L295">MIN(6,_xlfn.XLOOKUP($D295&amp;"_"&amp;L$52,$B$14:$B$36&amp;"_"&amp;$C$14:$C$36,$D$14:$D$36)*$E295)</f>
        <v>1.43325</v>
      </c>
      <c r="M295" s="95" cm="1">
        <f ca="1" t="array" ref="M295">(1+SUMPRODUCT(G295:H295,OFFSET($H$40:$I$40,D295,0)))*(1+OFFSET($J$40,D295,0))^I295*(1+OFFSET($K$40,D295,0))^J295*(1+OFFSET($L$40,D295,0))^K295*(1+OFFSET($M$40,D295,0))^L295</f>
        <v>24.7267536711807</v>
      </c>
      <c r="N295" s="95">
        <f ca="1">MAX(MAX($N$53:N294),OFFSET($C$52,MATCH(M295*1.07,$M$53:$M$2052,1),0)-C295)</f>
        <v>4680</v>
      </c>
    </row>
    <row r="296" spans="2:14">
      <c r="B296" s="95">
        <v>244</v>
      </c>
      <c r="C296" s="95">
        <f t="shared" si="27"/>
        <v>87840</v>
      </c>
      <c r="D296" s="95">
        <f ca="1">_xlfn.XLOOKUP(总览!$B$44,$B$40:$B$45,$C$40:$C$45)</f>
        <v>5</v>
      </c>
      <c r="E296" s="95">
        <f ca="1" t="shared" si="24"/>
        <v>274</v>
      </c>
      <c r="F296" s="95">
        <f ca="1" t="shared" si="25"/>
        <v>0</v>
      </c>
      <c r="G296" s="95">
        <f ca="1" t="shared" si="26"/>
        <v>5.78235285714286</v>
      </c>
      <c r="H296" s="95" cm="1">
        <f ca="1" t="array" ref="H296">MIN(30-SUM(I296:L296),_xlfn.XLOOKUP($D296&amp;"_"&amp;H$52,$B$14:$B$36&amp;"_"&amp;$C$14:$C$36,$D$14:$D$36)*$E296,18)</f>
        <v>18</v>
      </c>
      <c r="I296" s="95" cm="1">
        <f ca="1" t="array" ref="I296">MIN(30-SUM(J296:L296),6-L296,_xlfn.XLOOKUP($D296&amp;"_"&amp;I$52,$B$14:$B$36&amp;"_"&amp;$C$14:$C$36,$D$14:$D$36)*$E296)</f>
        <v>1.95694714285714</v>
      </c>
      <c r="J296" s="95" cm="1">
        <f ca="1" t="array" ref="J296">MIN(8,_xlfn.XLOOKUP($D296&amp;"_"&amp;J$52,$B$14:$B$36&amp;"_"&amp;$C$14:$C$36,$D$14:$D$36)*$E296)</f>
        <v>2.055</v>
      </c>
      <c r="K296" s="95" cm="1">
        <f ca="1" t="array" ref="K296">MIN(18,_xlfn.XLOOKUP($D296&amp;"_"&amp;K$52,$B$14:$B$36&amp;"_"&amp;$C$14:$C$36,$D$14:$D$36)*$E296)</f>
        <v>0.7672</v>
      </c>
      <c r="L296" s="95" cm="1">
        <f ca="1" t="array" ref="L296">MIN(6,_xlfn.XLOOKUP($D296&amp;"_"&amp;L$52,$B$14:$B$36&amp;"_"&amp;$C$14:$C$36,$D$14:$D$36)*$E296)</f>
        <v>1.4385</v>
      </c>
      <c r="M296" s="95" cm="1">
        <f ca="1" t="array" ref="M296">(1+SUMPRODUCT(G296:H296,OFFSET($H$40:$I$40,D296,0)))*(1+OFFSET($J$40,D296,0))^I296*(1+OFFSET($K$40,D296,0))^J296*(1+OFFSET($L$40,D296,0))^K296*(1+OFFSET($M$40,D296,0))^L296</f>
        <v>24.8539224288738</v>
      </c>
      <c r="N296" s="95">
        <f ca="1">MAX(MAX($N$53:N295),OFFSET($C$52,MATCH(M296*1.07,$M$53:$M$2052,1),0)-C296)</f>
        <v>4680</v>
      </c>
    </row>
    <row r="297" spans="2:14">
      <c r="B297" s="95">
        <v>245</v>
      </c>
      <c r="C297" s="95">
        <f t="shared" si="27"/>
        <v>88200</v>
      </c>
      <c r="D297" s="95">
        <f ca="1">_xlfn.XLOOKUP(总览!$B$44,$B$40:$B$45,$C$40:$C$45)</f>
        <v>5</v>
      </c>
      <c r="E297" s="95">
        <f ca="1" t="shared" si="24"/>
        <v>275</v>
      </c>
      <c r="F297" s="95">
        <f ca="1" t="shared" si="25"/>
        <v>0</v>
      </c>
      <c r="G297" s="95">
        <f ca="1" t="shared" si="26"/>
        <v>5.75966071428572</v>
      </c>
      <c r="H297" s="95" cm="1">
        <f ca="1" t="array" ref="H297">MIN(30-SUM(I297:L297),_xlfn.XLOOKUP($D297&amp;"_"&amp;H$52,$B$14:$B$36&amp;"_"&amp;$C$14:$C$36,$D$14:$D$36)*$E297,18)</f>
        <v>18</v>
      </c>
      <c r="I297" s="95" cm="1">
        <f ca="1" t="array" ref="I297">MIN(30-SUM(J297:L297),6-L297,_xlfn.XLOOKUP($D297&amp;"_"&amp;I$52,$B$14:$B$36&amp;"_"&amp;$C$14:$C$36,$D$14:$D$36)*$E297)</f>
        <v>1.96408928571428</v>
      </c>
      <c r="J297" s="95" cm="1">
        <f ca="1" t="array" ref="J297">MIN(8,_xlfn.XLOOKUP($D297&amp;"_"&amp;J$52,$B$14:$B$36&amp;"_"&amp;$C$14:$C$36,$D$14:$D$36)*$E297)</f>
        <v>2.0625</v>
      </c>
      <c r="K297" s="95" cm="1">
        <f ca="1" t="array" ref="K297">MIN(18,_xlfn.XLOOKUP($D297&amp;"_"&amp;K$52,$B$14:$B$36&amp;"_"&amp;$C$14:$C$36,$D$14:$D$36)*$E297)</f>
        <v>0.77</v>
      </c>
      <c r="L297" s="95" cm="1">
        <f ca="1" t="array" ref="L297">MIN(6,_xlfn.XLOOKUP($D297&amp;"_"&amp;L$52,$B$14:$B$36&amp;"_"&amp;$C$14:$C$36,$D$14:$D$36)*$E297)</f>
        <v>1.44375</v>
      </c>
      <c r="M297" s="95" cm="1">
        <f ca="1" t="array" ref="M297">(1+SUMPRODUCT(G297:H297,OFFSET($H$40:$I$40,D297,0)))*(1+OFFSET($J$40,D297,0))^I297*(1+OFFSET($K$40,D297,0))^J297*(1+OFFSET($L$40,D297,0))^K297*(1+OFFSET($M$40,D297,0))^L297</f>
        <v>24.9817386008808</v>
      </c>
      <c r="N297" s="95">
        <f ca="1">MAX(MAX($N$53:N296),OFFSET($C$52,MATCH(M297*1.07,$M$53:$M$2052,1),0)-C297)</f>
        <v>4680</v>
      </c>
    </row>
    <row r="298" spans="2:14">
      <c r="B298" s="95">
        <v>246</v>
      </c>
      <c r="C298" s="95">
        <f t="shared" si="27"/>
        <v>88560</v>
      </c>
      <c r="D298" s="95">
        <f ca="1">_xlfn.XLOOKUP(总览!$B$44,$B$40:$B$45,$C$40:$C$45)</f>
        <v>5</v>
      </c>
      <c r="E298" s="95">
        <f ca="1" t="shared" si="24"/>
        <v>276</v>
      </c>
      <c r="F298" s="95">
        <f ca="1" t="shared" si="25"/>
        <v>0</v>
      </c>
      <c r="G298" s="95">
        <f ca="1" t="shared" si="26"/>
        <v>5.73696857142857</v>
      </c>
      <c r="H298" s="95" cm="1">
        <f ca="1" t="array" ref="H298">MIN(30-SUM(I298:L298),_xlfn.XLOOKUP($D298&amp;"_"&amp;H$52,$B$14:$B$36&amp;"_"&amp;$C$14:$C$36,$D$14:$D$36)*$E298,18)</f>
        <v>18</v>
      </c>
      <c r="I298" s="95" cm="1">
        <f ca="1" t="array" ref="I298">MIN(30-SUM(J298:L298),6-L298,_xlfn.XLOOKUP($D298&amp;"_"&amp;I$52,$B$14:$B$36&amp;"_"&amp;$C$14:$C$36,$D$14:$D$36)*$E298)</f>
        <v>1.97123142857142</v>
      </c>
      <c r="J298" s="95" cm="1">
        <f ca="1" t="array" ref="J298">MIN(8,_xlfn.XLOOKUP($D298&amp;"_"&amp;J$52,$B$14:$B$36&amp;"_"&amp;$C$14:$C$36,$D$14:$D$36)*$E298)</f>
        <v>2.07</v>
      </c>
      <c r="K298" s="95" cm="1">
        <f ca="1" t="array" ref="K298">MIN(18,_xlfn.XLOOKUP($D298&amp;"_"&amp;K$52,$B$14:$B$36&amp;"_"&amp;$C$14:$C$36,$D$14:$D$36)*$E298)</f>
        <v>0.7728</v>
      </c>
      <c r="L298" s="95" cm="1">
        <f ca="1" t="array" ref="L298">MIN(6,_xlfn.XLOOKUP($D298&amp;"_"&amp;L$52,$B$14:$B$36&amp;"_"&amp;$C$14:$C$36,$D$14:$D$36)*$E298)</f>
        <v>1.449</v>
      </c>
      <c r="M298" s="95" cm="1">
        <f ca="1" t="array" ref="M298">(1+SUMPRODUCT(G298:H298,OFFSET($H$40:$I$40,D298,0)))*(1+OFFSET($J$40,D298,0))^I298*(1+OFFSET($K$40,D298,0))^J298*(1+OFFSET($L$40,D298,0))^K298*(1+OFFSET($M$40,D298,0))^L298</f>
        <v>25.1102054420065</v>
      </c>
      <c r="N298" s="95">
        <f ca="1">MAX(MAX($N$53:N297),OFFSET($C$52,MATCH(M298*1.07,$M$53:$M$2052,1),0)-C298)</f>
        <v>4680</v>
      </c>
    </row>
    <row r="299" spans="2:14">
      <c r="B299" s="95">
        <v>247</v>
      </c>
      <c r="C299" s="95">
        <f t="shared" si="27"/>
        <v>88920</v>
      </c>
      <c r="D299" s="95">
        <f ca="1">_xlfn.XLOOKUP(总览!$B$44,$B$40:$B$45,$C$40:$C$45)</f>
        <v>5</v>
      </c>
      <c r="E299" s="95">
        <f ca="1" t="shared" si="24"/>
        <v>277</v>
      </c>
      <c r="F299" s="95">
        <f ca="1" t="shared" si="25"/>
        <v>0</v>
      </c>
      <c r="G299" s="95">
        <f ca="1" t="shared" si="26"/>
        <v>5.71427642857143</v>
      </c>
      <c r="H299" s="95" cm="1">
        <f ca="1" t="array" ref="H299">MIN(30-SUM(I299:L299),_xlfn.XLOOKUP($D299&amp;"_"&amp;H$52,$B$14:$B$36&amp;"_"&amp;$C$14:$C$36,$D$14:$D$36)*$E299,18)</f>
        <v>18</v>
      </c>
      <c r="I299" s="95" cm="1">
        <f ca="1" t="array" ref="I299">MIN(30-SUM(J299:L299),6-L299,_xlfn.XLOOKUP($D299&amp;"_"&amp;I$52,$B$14:$B$36&amp;"_"&amp;$C$14:$C$36,$D$14:$D$36)*$E299)</f>
        <v>1.97837357142857</v>
      </c>
      <c r="J299" s="95" cm="1">
        <f ca="1" t="array" ref="J299">MIN(8,_xlfn.XLOOKUP($D299&amp;"_"&amp;J$52,$B$14:$B$36&amp;"_"&amp;$C$14:$C$36,$D$14:$D$36)*$E299)</f>
        <v>2.0775</v>
      </c>
      <c r="K299" s="95" cm="1">
        <f ca="1" t="array" ref="K299">MIN(18,_xlfn.XLOOKUP($D299&amp;"_"&amp;K$52,$B$14:$B$36&amp;"_"&amp;$C$14:$C$36,$D$14:$D$36)*$E299)</f>
        <v>0.7756</v>
      </c>
      <c r="L299" s="95" cm="1">
        <f ca="1" t="array" ref="L299">MIN(6,_xlfn.XLOOKUP($D299&amp;"_"&amp;L$52,$B$14:$B$36&amp;"_"&amp;$C$14:$C$36,$D$14:$D$36)*$E299)</f>
        <v>1.45425</v>
      </c>
      <c r="M299" s="95" cm="1">
        <f ca="1" t="array" ref="M299">(1+SUMPRODUCT(G299:H299,OFFSET($H$40:$I$40,D299,0)))*(1+OFFSET($J$40,D299,0))^I299*(1+OFFSET($K$40,D299,0))^J299*(1+OFFSET($L$40,D299,0))^K299*(1+OFFSET($M$40,D299,0))^L299</f>
        <v>25.2393262231594</v>
      </c>
      <c r="N299" s="95">
        <f ca="1">MAX(MAX($N$53:N298),OFFSET($C$52,MATCH(M299*1.07,$M$53:$M$2052,1),0)-C299)</f>
        <v>4680</v>
      </c>
    </row>
    <row r="300" spans="2:14">
      <c r="B300" s="95">
        <v>248</v>
      </c>
      <c r="C300" s="95">
        <f t="shared" si="27"/>
        <v>89280</v>
      </c>
      <c r="D300" s="95">
        <f ca="1">_xlfn.XLOOKUP(总览!$B$44,$B$40:$B$45,$C$40:$C$45)</f>
        <v>5</v>
      </c>
      <c r="E300" s="95">
        <f ca="1" t="shared" si="24"/>
        <v>278</v>
      </c>
      <c r="F300" s="95">
        <f ca="1" t="shared" si="25"/>
        <v>0</v>
      </c>
      <c r="G300" s="95">
        <f ca="1" t="shared" si="26"/>
        <v>5.69158428571429</v>
      </c>
      <c r="H300" s="95" cm="1">
        <f ca="1" t="array" ref="H300">MIN(30-SUM(I300:L300),_xlfn.XLOOKUP($D300&amp;"_"&amp;H$52,$B$14:$B$36&amp;"_"&amp;$C$14:$C$36,$D$14:$D$36)*$E300,18)</f>
        <v>18</v>
      </c>
      <c r="I300" s="95" cm="1">
        <f ca="1" t="array" ref="I300">MIN(30-SUM(J300:L300),6-L300,_xlfn.XLOOKUP($D300&amp;"_"&amp;I$52,$B$14:$B$36&amp;"_"&amp;$C$14:$C$36,$D$14:$D$36)*$E300)</f>
        <v>1.98551571428571</v>
      </c>
      <c r="J300" s="95" cm="1">
        <f ca="1" t="array" ref="J300">MIN(8,_xlfn.XLOOKUP($D300&amp;"_"&amp;J$52,$B$14:$B$36&amp;"_"&amp;$C$14:$C$36,$D$14:$D$36)*$E300)</f>
        <v>2.085</v>
      </c>
      <c r="K300" s="95" cm="1">
        <f ca="1" t="array" ref="K300">MIN(18,_xlfn.XLOOKUP($D300&amp;"_"&amp;K$52,$B$14:$B$36&amp;"_"&amp;$C$14:$C$36,$D$14:$D$36)*$E300)</f>
        <v>0.7784</v>
      </c>
      <c r="L300" s="95" cm="1">
        <f ca="1" t="array" ref="L300">MIN(6,_xlfn.XLOOKUP($D300&amp;"_"&amp;L$52,$B$14:$B$36&amp;"_"&amp;$C$14:$C$36,$D$14:$D$36)*$E300)</f>
        <v>1.4595</v>
      </c>
      <c r="M300" s="95" cm="1">
        <f ca="1" t="array" ref="M300">(1+SUMPRODUCT(G300:H300,OFFSET($H$40:$I$40,D300,0)))*(1+OFFSET($J$40,D300,0))^I300*(1+OFFSET($K$40,D300,0))^J300*(1+OFFSET($L$40,D300,0))^K300*(1+OFFSET($M$40,D300,0))^L300</f>
        <v>25.3691042314306</v>
      </c>
      <c r="N300" s="95">
        <f ca="1">MAX(MAX($N$53:N299),OFFSET($C$52,MATCH(M300*1.07,$M$53:$M$2052,1),0)-C300)</f>
        <v>4680</v>
      </c>
    </row>
    <row r="301" spans="2:14">
      <c r="B301" s="95">
        <v>249</v>
      </c>
      <c r="C301" s="95">
        <f t="shared" si="27"/>
        <v>89640</v>
      </c>
      <c r="D301" s="95">
        <f ca="1">_xlfn.XLOOKUP(总览!$B$44,$B$40:$B$45,$C$40:$C$45)</f>
        <v>5</v>
      </c>
      <c r="E301" s="95">
        <f ca="1" t="shared" si="24"/>
        <v>279</v>
      </c>
      <c r="F301" s="95">
        <f ca="1" t="shared" si="25"/>
        <v>0</v>
      </c>
      <c r="G301" s="95">
        <f ca="1" t="shared" si="26"/>
        <v>5.66889214285715</v>
      </c>
      <c r="H301" s="95" cm="1">
        <f ca="1" t="array" ref="H301">MIN(30-SUM(I301:L301),_xlfn.XLOOKUP($D301&amp;"_"&amp;H$52,$B$14:$B$36&amp;"_"&amp;$C$14:$C$36,$D$14:$D$36)*$E301,18)</f>
        <v>18</v>
      </c>
      <c r="I301" s="95" cm="1">
        <f ca="1" t="array" ref="I301">MIN(30-SUM(J301:L301),6-L301,_xlfn.XLOOKUP($D301&amp;"_"&amp;I$52,$B$14:$B$36&amp;"_"&amp;$C$14:$C$36,$D$14:$D$36)*$E301)</f>
        <v>1.99265785714285</v>
      </c>
      <c r="J301" s="95" cm="1">
        <f ca="1" t="array" ref="J301">MIN(8,_xlfn.XLOOKUP($D301&amp;"_"&amp;J$52,$B$14:$B$36&amp;"_"&amp;$C$14:$C$36,$D$14:$D$36)*$E301)</f>
        <v>2.0925</v>
      </c>
      <c r="K301" s="95" cm="1">
        <f ca="1" t="array" ref="K301">MIN(18,_xlfn.XLOOKUP($D301&amp;"_"&amp;K$52,$B$14:$B$36&amp;"_"&amp;$C$14:$C$36,$D$14:$D$36)*$E301)</f>
        <v>0.7812</v>
      </c>
      <c r="L301" s="95" cm="1">
        <f ca="1" t="array" ref="L301">MIN(6,_xlfn.XLOOKUP($D301&amp;"_"&amp;L$52,$B$14:$B$36&amp;"_"&amp;$C$14:$C$36,$D$14:$D$36)*$E301)</f>
        <v>1.46475</v>
      </c>
      <c r="M301" s="95" cm="1">
        <f ca="1" t="array" ref="M301">(1+SUMPRODUCT(G301:H301,OFFSET($H$40:$I$40,D301,0)))*(1+OFFSET($J$40,D301,0))^I301*(1+OFFSET($K$40,D301,0))^J301*(1+OFFSET($L$40,D301,0))^K301*(1+OFFSET($M$40,D301,0))^L301</f>
        <v>25.4995427701714</v>
      </c>
      <c r="N301" s="95">
        <f ca="1">MAX(MAX($N$53:N300),OFFSET($C$52,MATCH(M301*1.07,$M$53:$M$2052,1),0)-C301)</f>
        <v>4680</v>
      </c>
    </row>
    <row r="302" spans="2:14">
      <c r="B302" s="95">
        <v>250</v>
      </c>
      <c r="C302" s="95">
        <f t="shared" si="27"/>
        <v>90000</v>
      </c>
      <c r="D302" s="95">
        <f ca="1">_xlfn.XLOOKUP(总览!$B$44,$B$40:$B$45,$C$40:$C$45)</f>
        <v>5</v>
      </c>
      <c r="E302" s="95">
        <f ca="1" t="shared" si="24"/>
        <v>280</v>
      </c>
      <c r="F302" s="95">
        <f ca="1" t="shared" si="25"/>
        <v>0</v>
      </c>
      <c r="G302" s="95">
        <f ca="1" t="shared" si="26"/>
        <v>5.6462</v>
      </c>
      <c r="H302" s="95" cm="1">
        <f ca="1" t="array" ref="H302">MIN(30-SUM(I302:L302),_xlfn.XLOOKUP($D302&amp;"_"&amp;H$52,$B$14:$B$36&amp;"_"&amp;$C$14:$C$36,$D$14:$D$36)*$E302,18)</f>
        <v>18</v>
      </c>
      <c r="I302" s="95" cm="1">
        <f ca="1" t="array" ref="I302">MIN(30-SUM(J302:L302),6-L302,_xlfn.XLOOKUP($D302&amp;"_"&amp;I$52,$B$14:$B$36&amp;"_"&amp;$C$14:$C$36,$D$14:$D$36)*$E302)</f>
        <v>1.9998</v>
      </c>
      <c r="J302" s="95" cm="1">
        <f ca="1" t="array" ref="J302">MIN(8,_xlfn.XLOOKUP($D302&amp;"_"&amp;J$52,$B$14:$B$36&amp;"_"&amp;$C$14:$C$36,$D$14:$D$36)*$E302)</f>
        <v>2.1</v>
      </c>
      <c r="K302" s="95" cm="1">
        <f ca="1" t="array" ref="K302">MIN(18,_xlfn.XLOOKUP($D302&amp;"_"&amp;K$52,$B$14:$B$36&amp;"_"&amp;$C$14:$C$36,$D$14:$D$36)*$E302)</f>
        <v>0.784</v>
      </c>
      <c r="L302" s="95" cm="1">
        <f ca="1" t="array" ref="L302">MIN(6,_xlfn.XLOOKUP($D302&amp;"_"&amp;L$52,$B$14:$B$36&amp;"_"&amp;$C$14:$C$36,$D$14:$D$36)*$E302)</f>
        <v>1.47</v>
      </c>
      <c r="M302" s="95" cm="1">
        <f ca="1" t="array" ref="M302">(1+SUMPRODUCT(G302:H302,OFFSET($H$40:$I$40,D302,0)))*(1+OFFSET($J$40,D302,0))^I302*(1+OFFSET($K$40,D302,0))^J302*(1+OFFSET($L$40,D302,0))^K302*(1+OFFSET($M$40,D302,0))^L302</f>
        <v>25.6306451590725</v>
      </c>
      <c r="N302" s="95">
        <f ca="1">MAX(MAX($N$53:N301),OFFSET($C$52,MATCH(M302*1.07,$M$53:$M$2052,1),0)-C302)</f>
        <v>4680</v>
      </c>
    </row>
    <row r="303" spans="2:14">
      <c r="B303" s="95">
        <v>251</v>
      </c>
      <c r="C303" s="95">
        <f t="shared" si="27"/>
        <v>90360</v>
      </c>
      <c r="D303" s="95">
        <f ca="1">_xlfn.XLOOKUP(总览!$B$44,$B$40:$B$45,$C$40:$C$45)</f>
        <v>5</v>
      </c>
      <c r="E303" s="95">
        <f ca="1" t="shared" si="24"/>
        <v>281</v>
      </c>
      <c r="F303" s="95">
        <f ca="1" t="shared" si="25"/>
        <v>0</v>
      </c>
      <c r="G303" s="95">
        <f ca="1" t="shared" si="26"/>
        <v>5.62350785714287</v>
      </c>
      <c r="H303" s="95" cm="1">
        <f ca="1" t="array" ref="H303">MIN(30-SUM(I303:L303),_xlfn.XLOOKUP($D303&amp;"_"&amp;H$52,$B$14:$B$36&amp;"_"&amp;$C$14:$C$36,$D$14:$D$36)*$E303,18)</f>
        <v>18</v>
      </c>
      <c r="I303" s="95" cm="1">
        <f ca="1" t="array" ref="I303">MIN(30-SUM(J303:L303),6-L303,_xlfn.XLOOKUP($D303&amp;"_"&amp;I$52,$B$14:$B$36&amp;"_"&amp;$C$14:$C$36,$D$14:$D$36)*$E303)</f>
        <v>2.00694214285714</v>
      </c>
      <c r="J303" s="95" cm="1">
        <f ca="1" t="array" ref="J303">MIN(8,_xlfn.XLOOKUP($D303&amp;"_"&amp;J$52,$B$14:$B$36&amp;"_"&amp;$C$14:$C$36,$D$14:$D$36)*$E303)</f>
        <v>2.1075</v>
      </c>
      <c r="K303" s="95" cm="1">
        <f ca="1" t="array" ref="K303">MIN(18,_xlfn.XLOOKUP($D303&amp;"_"&amp;K$52,$B$14:$B$36&amp;"_"&amp;$C$14:$C$36,$D$14:$D$36)*$E303)</f>
        <v>0.7868</v>
      </c>
      <c r="L303" s="95" cm="1">
        <f ca="1" t="array" ref="L303">MIN(6,_xlfn.XLOOKUP($D303&amp;"_"&amp;L$52,$B$14:$B$36&amp;"_"&amp;$C$14:$C$36,$D$14:$D$36)*$E303)</f>
        <v>1.47525</v>
      </c>
      <c r="M303" s="95" cm="1">
        <f ca="1" t="array" ref="M303">(1+SUMPRODUCT(G303:H303,OFFSET($H$40:$I$40,D303,0)))*(1+OFFSET($J$40,D303,0))^I303*(1+OFFSET($K$40,D303,0))^J303*(1+OFFSET($L$40,D303,0))^K303*(1+OFFSET($M$40,D303,0))^L303</f>
        <v>25.7624147342429</v>
      </c>
      <c r="N303" s="95">
        <f ca="1">MAX(MAX($N$53:N302),OFFSET($C$52,MATCH(M303*1.07,$M$53:$M$2052,1),0)-C303)</f>
        <v>4680</v>
      </c>
    </row>
    <row r="304" spans="2:14">
      <c r="B304" s="95">
        <v>252</v>
      </c>
      <c r="C304" s="95">
        <f t="shared" si="27"/>
        <v>90720</v>
      </c>
      <c r="D304" s="95">
        <f ca="1">_xlfn.XLOOKUP(总览!$B$44,$B$40:$B$45,$C$40:$C$45)</f>
        <v>5</v>
      </c>
      <c r="E304" s="95">
        <f ca="1" t="shared" si="24"/>
        <v>282</v>
      </c>
      <c r="F304" s="95">
        <f ca="1" t="shared" si="25"/>
        <v>0</v>
      </c>
      <c r="G304" s="95">
        <f ca="1" t="shared" si="26"/>
        <v>5.60081571428572</v>
      </c>
      <c r="H304" s="95" cm="1">
        <f ca="1" t="array" ref="H304">MIN(30-SUM(I304:L304),_xlfn.XLOOKUP($D304&amp;"_"&amp;H$52,$B$14:$B$36&amp;"_"&amp;$C$14:$C$36,$D$14:$D$36)*$E304,18)</f>
        <v>18</v>
      </c>
      <c r="I304" s="95" cm="1">
        <f ca="1" t="array" ref="I304">MIN(30-SUM(J304:L304),6-L304,_xlfn.XLOOKUP($D304&amp;"_"&amp;I$52,$B$14:$B$36&amp;"_"&amp;$C$14:$C$36,$D$14:$D$36)*$E304)</f>
        <v>2.01408428571428</v>
      </c>
      <c r="J304" s="95" cm="1">
        <f ca="1" t="array" ref="J304">MIN(8,_xlfn.XLOOKUP($D304&amp;"_"&amp;J$52,$B$14:$B$36&amp;"_"&amp;$C$14:$C$36,$D$14:$D$36)*$E304)</f>
        <v>2.115</v>
      </c>
      <c r="K304" s="95" cm="1">
        <f ca="1" t="array" ref="K304">MIN(18,_xlfn.XLOOKUP($D304&amp;"_"&amp;K$52,$B$14:$B$36&amp;"_"&amp;$C$14:$C$36,$D$14:$D$36)*$E304)</f>
        <v>0.7896</v>
      </c>
      <c r="L304" s="95" cm="1">
        <f ca="1" t="array" ref="L304">MIN(6,_xlfn.XLOOKUP($D304&amp;"_"&amp;L$52,$B$14:$B$36&amp;"_"&amp;$C$14:$C$36,$D$14:$D$36)*$E304)</f>
        <v>1.4805</v>
      </c>
      <c r="M304" s="95" cm="1">
        <f ca="1" t="array" ref="M304">(1+SUMPRODUCT(G304:H304,OFFSET($H$40:$I$40,D304,0)))*(1+OFFSET($J$40,D304,0))^I304*(1+OFFSET($K$40,D304,0))^J304*(1+OFFSET($L$40,D304,0))^K304*(1+OFFSET($M$40,D304,0))^L304</f>
        <v>25.8948548482898</v>
      </c>
      <c r="N304" s="95">
        <f ca="1">MAX(MAX($N$53:N303),OFFSET($C$52,MATCH(M304*1.07,$M$53:$M$2052,1),0)-C304)</f>
        <v>4680</v>
      </c>
    </row>
    <row r="305" spans="2:14">
      <c r="B305" s="95">
        <v>253</v>
      </c>
      <c r="C305" s="95">
        <f t="shared" si="27"/>
        <v>91080</v>
      </c>
      <c r="D305" s="95">
        <f ca="1">_xlfn.XLOOKUP(总览!$B$44,$B$40:$B$45,$C$40:$C$45)</f>
        <v>5</v>
      </c>
      <c r="E305" s="95">
        <f ca="1" t="shared" si="24"/>
        <v>283</v>
      </c>
      <c r="F305" s="95">
        <f ca="1" t="shared" si="25"/>
        <v>0</v>
      </c>
      <c r="G305" s="95">
        <f ca="1" t="shared" si="26"/>
        <v>5.57812357142858</v>
      </c>
      <c r="H305" s="95" cm="1">
        <f ca="1" t="array" ref="H305">MIN(30-SUM(I305:L305),_xlfn.XLOOKUP($D305&amp;"_"&amp;H$52,$B$14:$B$36&amp;"_"&amp;$C$14:$C$36,$D$14:$D$36)*$E305,18)</f>
        <v>18</v>
      </c>
      <c r="I305" s="95" cm="1">
        <f ca="1" t="array" ref="I305">MIN(30-SUM(J305:L305),6-L305,_xlfn.XLOOKUP($D305&amp;"_"&amp;I$52,$B$14:$B$36&amp;"_"&amp;$C$14:$C$36,$D$14:$D$36)*$E305)</f>
        <v>2.02122642857142</v>
      </c>
      <c r="J305" s="95" cm="1">
        <f ca="1" t="array" ref="J305">MIN(8,_xlfn.XLOOKUP($D305&amp;"_"&amp;J$52,$B$14:$B$36&amp;"_"&amp;$C$14:$C$36,$D$14:$D$36)*$E305)</f>
        <v>2.1225</v>
      </c>
      <c r="K305" s="95" cm="1">
        <f ca="1" t="array" ref="K305">MIN(18,_xlfn.XLOOKUP($D305&amp;"_"&amp;K$52,$B$14:$B$36&amp;"_"&amp;$C$14:$C$36,$D$14:$D$36)*$E305)</f>
        <v>0.7924</v>
      </c>
      <c r="L305" s="95" cm="1">
        <f ca="1" t="array" ref="L305">MIN(6,_xlfn.XLOOKUP($D305&amp;"_"&amp;L$52,$B$14:$B$36&amp;"_"&amp;$C$14:$C$36,$D$14:$D$36)*$E305)</f>
        <v>1.48575</v>
      </c>
      <c r="M305" s="95" cm="1">
        <f ca="1" t="array" ref="M305">(1+SUMPRODUCT(G305:H305,OFFSET($H$40:$I$40,D305,0)))*(1+OFFSET($J$40,D305,0))^I305*(1+OFFSET($K$40,D305,0))^J305*(1+OFFSET($L$40,D305,0))^K305*(1+OFFSET($M$40,D305,0))^L305</f>
        <v>26.0279688703979</v>
      </c>
      <c r="N305" s="95">
        <f ca="1">MAX(MAX($N$53:N304),OFFSET($C$52,MATCH(M305*1.07,$M$53:$M$2052,1),0)-C305)</f>
        <v>4680</v>
      </c>
    </row>
    <row r="306" spans="2:14">
      <c r="B306" s="95">
        <v>254</v>
      </c>
      <c r="C306" s="95">
        <f t="shared" si="27"/>
        <v>91440</v>
      </c>
      <c r="D306" s="95">
        <f ca="1">_xlfn.XLOOKUP(总览!$B$44,$B$40:$B$45,$C$40:$C$45)</f>
        <v>5</v>
      </c>
      <c r="E306" s="95">
        <f ca="1" t="shared" si="24"/>
        <v>284</v>
      </c>
      <c r="F306" s="95">
        <f ca="1" t="shared" si="25"/>
        <v>0</v>
      </c>
      <c r="G306" s="95">
        <f ca="1" t="shared" si="26"/>
        <v>5.55543142857143</v>
      </c>
      <c r="H306" s="95" cm="1">
        <f ca="1" t="array" ref="H306">MIN(30-SUM(I306:L306),_xlfn.XLOOKUP($D306&amp;"_"&amp;H$52,$B$14:$B$36&amp;"_"&amp;$C$14:$C$36,$D$14:$D$36)*$E306,18)</f>
        <v>18</v>
      </c>
      <c r="I306" s="95" cm="1">
        <f ca="1" t="array" ref="I306">MIN(30-SUM(J306:L306),6-L306,_xlfn.XLOOKUP($D306&amp;"_"&amp;I$52,$B$14:$B$36&amp;"_"&amp;$C$14:$C$36,$D$14:$D$36)*$E306)</f>
        <v>2.02836857142857</v>
      </c>
      <c r="J306" s="95" cm="1">
        <f ca="1" t="array" ref="J306">MIN(8,_xlfn.XLOOKUP($D306&amp;"_"&amp;J$52,$B$14:$B$36&amp;"_"&amp;$C$14:$C$36,$D$14:$D$36)*$E306)</f>
        <v>2.13</v>
      </c>
      <c r="K306" s="95" cm="1">
        <f ca="1" t="array" ref="K306">MIN(18,_xlfn.XLOOKUP($D306&amp;"_"&amp;K$52,$B$14:$B$36&amp;"_"&amp;$C$14:$C$36,$D$14:$D$36)*$E306)</f>
        <v>0.7952</v>
      </c>
      <c r="L306" s="95" cm="1">
        <f ca="1" t="array" ref="L306">MIN(6,_xlfn.XLOOKUP($D306&amp;"_"&amp;L$52,$B$14:$B$36&amp;"_"&amp;$C$14:$C$36,$D$14:$D$36)*$E306)</f>
        <v>1.491</v>
      </c>
      <c r="M306" s="95" cm="1">
        <f ca="1" t="array" ref="M306">(1+SUMPRODUCT(G306:H306,OFFSET($H$40:$I$40,D306,0)))*(1+OFFSET($J$40,D306,0))^I306*(1+OFFSET($K$40,D306,0))^J306*(1+OFFSET($L$40,D306,0))^K306*(1+OFFSET($M$40,D306,0))^L306</f>
        <v>26.1617601864102</v>
      </c>
      <c r="N306" s="95">
        <f ca="1">MAX(MAX($N$53:N305),OFFSET($C$52,MATCH(M306*1.07,$M$53:$M$2052,1),0)-C306)</f>
        <v>4680</v>
      </c>
    </row>
    <row r="307" spans="2:14">
      <c r="B307" s="95">
        <v>255</v>
      </c>
      <c r="C307" s="95">
        <f t="shared" si="27"/>
        <v>91800</v>
      </c>
      <c r="D307" s="95">
        <f ca="1">_xlfn.XLOOKUP(总览!$B$44,$B$40:$B$45,$C$40:$C$45)</f>
        <v>5</v>
      </c>
      <c r="E307" s="95">
        <f ca="1" t="shared" si="24"/>
        <v>285</v>
      </c>
      <c r="F307" s="95">
        <f ca="1" t="shared" si="25"/>
        <v>0</v>
      </c>
      <c r="G307" s="95">
        <f ca="1" t="shared" si="26"/>
        <v>5.53273928571429</v>
      </c>
      <c r="H307" s="95" cm="1">
        <f ca="1" t="array" ref="H307">MIN(30-SUM(I307:L307),_xlfn.XLOOKUP($D307&amp;"_"&amp;H$52,$B$14:$B$36&amp;"_"&amp;$C$14:$C$36,$D$14:$D$36)*$E307,18)</f>
        <v>18</v>
      </c>
      <c r="I307" s="95" cm="1">
        <f ca="1" t="array" ref="I307">MIN(30-SUM(J307:L307),6-L307,_xlfn.XLOOKUP($D307&amp;"_"&amp;I$52,$B$14:$B$36&amp;"_"&amp;$C$14:$C$36,$D$14:$D$36)*$E307)</f>
        <v>2.03551071428571</v>
      </c>
      <c r="J307" s="95" cm="1">
        <f ca="1" t="array" ref="J307">MIN(8,_xlfn.XLOOKUP($D307&amp;"_"&amp;J$52,$B$14:$B$36&amp;"_"&amp;$C$14:$C$36,$D$14:$D$36)*$E307)</f>
        <v>2.1375</v>
      </c>
      <c r="K307" s="95" cm="1">
        <f ca="1" t="array" ref="K307">MIN(18,_xlfn.XLOOKUP($D307&amp;"_"&amp;K$52,$B$14:$B$36&amp;"_"&amp;$C$14:$C$36,$D$14:$D$36)*$E307)</f>
        <v>0.798</v>
      </c>
      <c r="L307" s="95" cm="1">
        <f ca="1" t="array" ref="L307">MIN(6,_xlfn.XLOOKUP($D307&amp;"_"&amp;L$52,$B$14:$B$36&amp;"_"&amp;$C$14:$C$36,$D$14:$D$36)*$E307)</f>
        <v>1.49625</v>
      </c>
      <c r="M307" s="95" cm="1">
        <f ca="1" t="array" ref="M307">(1+SUMPRODUCT(G307:H307,OFFSET($H$40:$I$40,D307,0)))*(1+OFFSET($J$40,D307,0))^I307*(1+OFFSET($K$40,D307,0))^J307*(1+OFFSET($L$40,D307,0))^K307*(1+OFFSET($M$40,D307,0))^L307</f>
        <v>26.2962321989083</v>
      </c>
      <c r="N307" s="95">
        <f ca="1">MAX(MAX($N$53:N306),OFFSET($C$52,MATCH(M307*1.07,$M$53:$M$2052,1),0)-C307)</f>
        <v>4680</v>
      </c>
    </row>
    <row r="308" spans="2:14">
      <c r="B308" s="95">
        <v>256</v>
      </c>
      <c r="C308" s="95">
        <f t="shared" si="27"/>
        <v>92160</v>
      </c>
      <c r="D308" s="95">
        <f ca="1">_xlfn.XLOOKUP(总览!$B$44,$B$40:$B$45,$C$40:$C$45)</f>
        <v>5</v>
      </c>
      <c r="E308" s="95">
        <f ca="1" t="shared" si="24"/>
        <v>286</v>
      </c>
      <c r="F308" s="95">
        <f ca="1" t="shared" si="25"/>
        <v>0</v>
      </c>
      <c r="G308" s="95">
        <f ca="1" t="shared" si="26"/>
        <v>5.51004714285715</v>
      </c>
      <c r="H308" s="95" cm="1">
        <f ca="1" t="array" ref="H308">MIN(30-SUM(I308:L308),_xlfn.XLOOKUP($D308&amp;"_"&amp;H$52,$B$14:$B$36&amp;"_"&amp;$C$14:$C$36,$D$14:$D$36)*$E308,18)</f>
        <v>18</v>
      </c>
      <c r="I308" s="95" cm="1">
        <f ca="1" t="array" ref="I308">MIN(30-SUM(J308:L308),6-L308,_xlfn.XLOOKUP($D308&amp;"_"&amp;I$52,$B$14:$B$36&amp;"_"&amp;$C$14:$C$36,$D$14:$D$36)*$E308)</f>
        <v>2.04265285714285</v>
      </c>
      <c r="J308" s="95" cm="1">
        <f ca="1" t="array" ref="J308">MIN(8,_xlfn.XLOOKUP($D308&amp;"_"&amp;J$52,$B$14:$B$36&amp;"_"&amp;$C$14:$C$36,$D$14:$D$36)*$E308)</f>
        <v>2.145</v>
      </c>
      <c r="K308" s="95" cm="1">
        <f ca="1" t="array" ref="K308">MIN(18,_xlfn.XLOOKUP($D308&amp;"_"&amp;K$52,$B$14:$B$36&amp;"_"&amp;$C$14:$C$36,$D$14:$D$36)*$E308)</f>
        <v>0.8008</v>
      </c>
      <c r="L308" s="95" cm="1">
        <f ca="1" t="array" ref="L308">MIN(6,_xlfn.XLOOKUP($D308&amp;"_"&amp;L$52,$B$14:$B$36&amp;"_"&amp;$C$14:$C$36,$D$14:$D$36)*$E308)</f>
        <v>1.5015</v>
      </c>
      <c r="M308" s="95" cm="1">
        <f ca="1" t="array" ref="M308">(1+SUMPRODUCT(G308:H308,OFFSET($H$40:$I$40,D308,0)))*(1+OFFSET($J$40,D308,0))^I308*(1+OFFSET($K$40,D308,0))^J308*(1+OFFSET($L$40,D308,0))^K308*(1+OFFSET($M$40,D308,0))^L308</f>
        <v>26.4313883272935</v>
      </c>
      <c r="N308" s="95">
        <f ca="1">MAX(MAX($N$53:N307),OFFSET($C$52,MATCH(M308*1.07,$M$53:$M$2052,1),0)-C308)</f>
        <v>4680</v>
      </c>
    </row>
    <row r="309" spans="2:14">
      <c r="B309" s="95">
        <v>257</v>
      </c>
      <c r="C309" s="95">
        <f t="shared" si="27"/>
        <v>92520</v>
      </c>
      <c r="D309" s="95">
        <f ca="1">_xlfn.XLOOKUP(总览!$B$44,$B$40:$B$45,$C$40:$C$45)</f>
        <v>5</v>
      </c>
      <c r="E309" s="95">
        <f ca="1" t="shared" si="24"/>
        <v>287</v>
      </c>
      <c r="F309" s="95">
        <f ca="1" t="shared" si="25"/>
        <v>0</v>
      </c>
      <c r="G309" s="95">
        <f ca="1" t="shared" si="26"/>
        <v>5.487355</v>
      </c>
      <c r="H309" s="95" cm="1">
        <f ca="1" t="array" ref="H309">MIN(30-SUM(I309:L309),_xlfn.XLOOKUP($D309&amp;"_"&amp;H$52,$B$14:$B$36&amp;"_"&amp;$C$14:$C$36,$D$14:$D$36)*$E309,18)</f>
        <v>18</v>
      </c>
      <c r="I309" s="95" cm="1">
        <f ca="1" t="array" ref="I309">MIN(30-SUM(J309:L309),6-L309,_xlfn.XLOOKUP($D309&amp;"_"&amp;I$52,$B$14:$B$36&amp;"_"&amp;$C$14:$C$36,$D$14:$D$36)*$E309)</f>
        <v>2.049795</v>
      </c>
      <c r="J309" s="95" cm="1">
        <f ca="1" t="array" ref="J309">MIN(8,_xlfn.XLOOKUP($D309&amp;"_"&amp;J$52,$B$14:$B$36&amp;"_"&amp;$C$14:$C$36,$D$14:$D$36)*$E309)</f>
        <v>2.1525</v>
      </c>
      <c r="K309" s="95" cm="1">
        <f ca="1" t="array" ref="K309">MIN(18,_xlfn.XLOOKUP($D309&amp;"_"&amp;K$52,$B$14:$B$36&amp;"_"&amp;$C$14:$C$36,$D$14:$D$36)*$E309)</f>
        <v>0.8036</v>
      </c>
      <c r="L309" s="95" cm="1">
        <f ca="1" t="array" ref="L309">MIN(6,_xlfn.XLOOKUP($D309&amp;"_"&amp;L$52,$B$14:$B$36&amp;"_"&amp;$C$14:$C$36,$D$14:$D$36)*$E309)</f>
        <v>1.50675</v>
      </c>
      <c r="M309" s="95" cm="1">
        <f ca="1" t="array" ref="M309">(1+SUMPRODUCT(G309:H309,OFFSET($H$40:$I$40,D309,0)))*(1+OFFSET($J$40,D309,0))^I309*(1+OFFSET($K$40,D309,0))^J309*(1+OFFSET($L$40,D309,0))^K309*(1+OFFSET($M$40,D309,0))^L309</f>
        <v>26.5672320078682</v>
      </c>
      <c r="N309" s="95">
        <f ca="1">MAX(MAX($N$53:N308),OFFSET($C$52,MATCH(M309*1.07,$M$53:$M$2052,1),0)-C309)</f>
        <v>4680</v>
      </c>
    </row>
    <row r="310" spans="2:14">
      <c r="B310" s="95">
        <v>258</v>
      </c>
      <c r="C310" s="95">
        <f t="shared" si="27"/>
        <v>92880</v>
      </c>
      <c r="D310" s="95">
        <f ca="1">_xlfn.XLOOKUP(总览!$B$44,$B$40:$B$45,$C$40:$C$45)</f>
        <v>5</v>
      </c>
      <c r="E310" s="95">
        <f ca="1" t="shared" ref="E310:E373" si="28">INT(C310/_xlfn.XLOOKUP(D310,$N$5:$N$16,$O$5:$O$16))+OFFSET($R$40,D310,0)</f>
        <v>288</v>
      </c>
      <c r="F310" s="95">
        <f ca="1" t="shared" si="25"/>
        <v>0</v>
      </c>
      <c r="G310" s="95">
        <f ca="1" t="shared" si="26"/>
        <v>5.46466285714286</v>
      </c>
      <c r="H310" s="95" cm="1">
        <f ca="1" t="array" ref="H310">MIN(30-SUM(I310:L310),_xlfn.XLOOKUP($D310&amp;"_"&amp;H$52,$B$14:$B$36&amp;"_"&amp;$C$14:$C$36,$D$14:$D$36)*$E310,18)</f>
        <v>18</v>
      </c>
      <c r="I310" s="95" cm="1">
        <f ca="1" t="array" ref="I310">MIN(30-SUM(J310:L310),6-L310,_xlfn.XLOOKUP($D310&amp;"_"&amp;I$52,$B$14:$B$36&amp;"_"&amp;$C$14:$C$36,$D$14:$D$36)*$E310)</f>
        <v>2.05693714285714</v>
      </c>
      <c r="J310" s="95" cm="1">
        <f ca="1" t="array" ref="J310">MIN(8,_xlfn.XLOOKUP($D310&amp;"_"&amp;J$52,$B$14:$B$36&amp;"_"&amp;$C$14:$C$36,$D$14:$D$36)*$E310)</f>
        <v>2.16</v>
      </c>
      <c r="K310" s="95" cm="1">
        <f ca="1" t="array" ref="K310">MIN(18,_xlfn.XLOOKUP($D310&amp;"_"&amp;K$52,$B$14:$B$36&amp;"_"&amp;$C$14:$C$36,$D$14:$D$36)*$E310)</f>
        <v>0.8064</v>
      </c>
      <c r="L310" s="95" cm="1">
        <f ca="1" t="array" ref="L310">MIN(6,_xlfn.XLOOKUP($D310&amp;"_"&amp;L$52,$B$14:$B$36&amp;"_"&amp;$C$14:$C$36,$D$14:$D$36)*$E310)</f>
        <v>1.512</v>
      </c>
      <c r="M310" s="95" cm="1">
        <f ca="1" t="array" ref="M310">(1+SUMPRODUCT(G310:H310,OFFSET($H$40:$I$40,D310,0)))*(1+OFFSET($J$40,D310,0))^I310*(1+OFFSET($K$40,D310,0))^J310*(1+OFFSET($L$40,D310,0))^K310*(1+OFFSET($M$40,D310,0))^L310</f>
        <v>26.7037666939178</v>
      </c>
      <c r="N310" s="95">
        <f ca="1">MAX(MAX($N$53:N309),OFFSET($C$52,MATCH(M310*1.07,$M$53:$M$2052,1),0)-C310)</f>
        <v>4680</v>
      </c>
    </row>
    <row r="311" spans="2:14">
      <c r="B311" s="95">
        <v>259</v>
      </c>
      <c r="C311" s="95">
        <f t="shared" si="27"/>
        <v>93240</v>
      </c>
      <c r="D311" s="95">
        <f ca="1">_xlfn.XLOOKUP(总览!$B$44,$B$40:$B$45,$C$40:$C$45)</f>
        <v>5</v>
      </c>
      <c r="E311" s="95">
        <f ca="1" t="shared" si="28"/>
        <v>289</v>
      </c>
      <c r="F311" s="95">
        <f ca="1" t="shared" ref="F311:F374" si="29">30-SUM(G311:L311)</f>
        <v>0</v>
      </c>
      <c r="G311" s="95">
        <f ca="1" t="shared" ref="G311:G374" si="30">30-SUM(H311:L311)</f>
        <v>5.44197071428572</v>
      </c>
      <c r="H311" s="95" cm="1">
        <f ca="1" t="array" ref="H311">MIN(30-SUM(I311:L311),_xlfn.XLOOKUP($D311&amp;"_"&amp;H$52,$B$14:$B$36&amp;"_"&amp;$C$14:$C$36,$D$14:$D$36)*$E311,18)</f>
        <v>18</v>
      </c>
      <c r="I311" s="95" cm="1">
        <f ca="1" t="array" ref="I311">MIN(30-SUM(J311:L311),6-L311,_xlfn.XLOOKUP($D311&amp;"_"&amp;I$52,$B$14:$B$36&amp;"_"&amp;$C$14:$C$36,$D$14:$D$36)*$E311)</f>
        <v>2.06407928571428</v>
      </c>
      <c r="J311" s="95" cm="1">
        <f ca="1" t="array" ref="J311">MIN(8,_xlfn.XLOOKUP($D311&amp;"_"&amp;J$52,$B$14:$B$36&amp;"_"&amp;$C$14:$C$36,$D$14:$D$36)*$E311)</f>
        <v>2.1675</v>
      </c>
      <c r="K311" s="95" cm="1">
        <f ca="1" t="array" ref="K311">MIN(18,_xlfn.XLOOKUP($D311&amp;"_"&amp;K$52,$B$14:$B$36&amp;"_"&amp;$C$14:$C$36,$D$14:$D$36)*$E311)</f>
        <v>0.8092</v>
      </c>
      <c r="L311" s="95" cm="1">
        <f ca="1" t="array" ref="L311">MIN(6,_xlfn.XLOOKUP($D311&amp;"_"&amp;L$52,$B$14:$B$36&amp;"_"&amp;$C$14:$C$36,$D$14:$D$36)*$E311)</f>
        <v>1.51725</v>
      </c>
      <c r="M311" s="95" cm="1">
        <f ca="1" t="array" ref="M311">(1+SUMPRODUCT(G311:H311,OFFSET($H$40:$I$40,D311,0)))*(1+OFFSET($J$40,D311,0))^I311*(1+OFFSET($K$40,D311,0))^J311*(1+OFFSET($L$40,D311,0))^K311*(1+OFFSET($M$40,D311,0))^L311</f>
        <v>26.8409958557927</v>
      </c>
      <c r="N311" s="95">
        <f ca="1">MAX(MAX($N$53:N310),OFFSET($C$52,MATCH(M311*1.07,$M$53:$M$2052,1),0)-C311)</f>
        <v>4680</v>
      </c>
    </row>
    <row r="312" spans="2:14">
      <c r="B312" s="95">
        <v>260</v>
      </c>
      <c r="C312" s="95">
        <f t="shared" si="27"/>
        <v>93600</v>
      </c>
      <c r="D312" s="95">
        <f ca="1">_xlfn.XLOOKUP(总览!$B$44,$B$40:$B$45,$C$40:$C$45)</f>
        <v>5</v>
      </c>
      <c r="E312" s="95">
        <f ca="1" t="shared" si="28"/>
        <v>290</v>
      </c>
      <c r="F312" s="95">
        <f ca="1" t="shared" si="29"/>
        <v>0</v>
      </c>
      <c r="G312" s="95">
        <f ca="1" t="shared" si="30"/>
        <v>5.41927857142857</v>
      </c>
      <c r="H312" s="95" cm="1">
        <f ca="1" t="array" ref="H312">MIN(30-SUM(I312:L312),_xlfn.XLOOKUP($D312&amp;"_"&amp;H$52,$B$14:$B$36&amp;"_"&amp;$C$14:$C$36,$D$14:$D$36)*$E312,18)</f>
        <v>18</v>
      </c>
      <c r="I312" s="95" cm="1">
        <f ca="1" t="array" ref="I312">MIN(30-SUM(J312:L312),6-L312,_xlfn.XLOOKUP($D312&amp;"_"&amp;I$52,$B$14:$B$36&amp;"_"&amp;$C$14:$C$36,$D$14:$D$36)*$E312)</f>
        <v>2.07122142857142</v>
      </c>
      <c r="J312" s="95" cm="1">
        <f ca="1" t="array" ref="J312">MIN(8,_xlfn.XLOOKUP($D312&amp;"_"&amp;J$52,$B$14:$B$36&amp;"_"&amp;$C$14:$C$36,$D$14:$D$36)*$E312)</f>
        <v>2.175</v>
      </c>
      <c r="K312" s="95" cm="1">
        <f ca="1" t="array" ref="K312">MIN(18,_xlfn.XLOOKUP($D312&amp;"_"&amp;K$52,$B$14:$B$36&amp;"_"&amp;$C$14:$C$36,$D$14:$D$36)*$E312)</f>
        <v>0.812</v>
      </c>
      <c r="L312" s="95" cm="1">
        <f ca="1" t="array" ref="L312">MIN(6,_xlfn.XLOOKUP($D312&amp;"_"&amp;L$52,$B$14:$B$36&amp;"_"&amp;$C$14:$C$36,$D$14:$D$36)*$E312)</f>
        <v>1.5225</v>
      </c>
      <c r="M312" s="95" cm="1">
        <f ca="1" t="array" ref="M312">(1+SUMPRODUCT(G312:H312,OFFSET($H$40:$I$40,D312,0)))*(1+OFFSET($J$40,D312,0))^I312*(1+OFFSET($K$40,D312,0))^J312*(1+OFFSET($L$40,D312,0))^K312*(1+OFFSET($M$40,D312,0))^L312</f>
        <v>26.9789229809909</v>
      </c>
      <c r="N312" s="95">
        <f ca="1">MAX(MAX($N$53:N311),OFFSET($C$52,MATCH(M312*1.07,$M$53:$M$2052,1),0)-C312)</f>
        <v>4680</v>
      </c>
    </row>
    <row r="313" spans="2:14">
      <c r="B313" s="95">
        <v>261</v>
      </c>
      <c r="C313" s="95">
        <f t="shared" si="27"/>
        <v>93960</v>
      </c>
      <c r="D313" s="95">
        <f ca="1">_xlfn.XLOOKUP(总览!$B$44,$B$40:$B$45,$C$40:$C$45)</f>
        <v>5</v>
      </c>
      <c r="E313" s="95">
        <f ca="1" t="shared" si="28"/>
        <v>291</v>
      </c>
      <c r="F313" s="95">
        <f ca="1" t="shared" si="29"/>
        <v>0</v>
      </c>
      <c r="G313" s="95">
        <f ca="1" t="shared" si="30"/>
        <v>5.39658642857143</v>
      </c>
      <c r="H313" s="95" cm="1">
        <f ca="1" t="array" ref="H313">MIN(30-SUM(I313:L313),_xlfn.XLOOKUP($D313&amp;"_"&amp;H$52,$B$14:$B$36&amp;"_"&amp;$C$14:$C$36,$D$14:$D$36)*$E313,18)</f>
        <v>18</v>
      </c>
      <c r="I313" s="95" cm="1">
        <f ca="1" t="array" ref="I313">MIN(30-SUM(J313:L313),6-L313,_xlfn.XLOOKUP($D313&amp;"_"&amp;I$52,$B$14:$B$36&amp;"_"&amp;$C$14:$C$36,$D$14:$D$36)*$E313)</f>
        <v>2.07836357142857</v>
      </c>
      <c r="J313" s="95" cm="1">
        <f ca="1" t="array" ref="J313">MIN(8,_xlfn.XLOOKUP($D313&amp;"_"&amp;J$52,$B$14:$B$36&amp;"_"&amp;$C$14:$C$36,$D$14:$D$36)*$E313)</f>
        <v>2.1825</v>
      </c>
      <c r="K313" s="95" cm="1">
        <f ca="1" t="array" ref="K313">MIN(18,_xlfn.XLOOKUP($D313&amp;"_"&amp;K$52,$B$14:$B$36&amp;"_"&amp;$C$14:$C$36,$D$14:$D$36)*$E313)</f>
        <v>0.8148</v>
      </c>
      <c r="L313" s="95" cm="1">
        <f ca="1" t="array" ref="L313">MIN(6,_xlfn.XLOOKUP($D313&amp;"_"&amp;L$52,$B$14:$B$36&amp;"_"&amp;$C$14:$C$36,$D$14:$D$36)*$E313)</f>
        <v>1.52775</v>
      </c>
      <c r="M313" s="95" cm="1">
        <f ca="1" t="array" ref="M313">(1+SUMPRODUCT(G313:H313,OFFSET($H$40:$I$40,D313,0)))*(1+OFFSET($J$40,D313,0))^I313*(1+OFFSET($K$40,D313,0))^J313*(1+OFFSET($L$40,D313,0))^K313*(1+OFFSET($M$40,D313,0))^L313</f>
        <v>27.1175515742409</v>
      </c>
      <c r="N313" s="95">
        <f ca="1">MAX(MAX($N$53:N312),OFFSET($C$52,MATCH(M313*1.07,$M$53:$M$2052,1),0)-C313)</f>
        <v>4680</v>
      </c>
    </row>
    <row r="314" spans="2:14">
      <c r="B314" s="95">
        <v>262</v>
      </c>
      <c r="C314" s="95">
        <f t="shared" si="27"/>
        <v>94320</v>
      </c>
      <c r="D314" s="95">
        <f ca="1">_xlfn.XLOOKUP(总览!$B$44,$B$40:$B$45,$C$40:$C$45)</f>
        <v>5</v>
      </c>
      <c r="E314" s="95">
        <f ca="1" t="shared" si="28"/>
        <v>292</v>
      </c>
      <c r="F314" s="95">
        <f ca="1" t="shared" si="29"/>
        <v>0</v>
      </c>
      <c r="G314" s="95">
        <f ca="1" t="shared" si="30"/>
        <v>5.37389428571429</v>
      </c>
      <c r="H314" s="95" cm="1">
        <f ca="1" t="array" ref="H314">MIN(30-SUM(I314:L314),_xlfn.XLOOKUP($D314&amp;"_"&amp;H$52,$B$14:$B$36&amp;"_"&amp;$C$14:$C$36,$D$14:$D$36)*$E314,18)</f>
        <v>18</v>
      </c>
      <c r="I314" s="95" cm="1">
        <f ca="1" t="array" ref="I314">MIN(30-SUM(J314:L314),6-L314,_xlfn.XLOOKUP($D314&amp;"_"&amp;I$52,$B$14:$B$36&amp;"_"&amp;$C$14:$C$36,$D$14:$D$36)*$E314)</f>
        <v>2.08550571428571</v>
      </c>
      <c r="J314" s="95" cm="1">
        <f ca="1" t="array" ref="J314">MIN(8,_xlfn.XLOOKUP($D314&amp;"_"&amp;J$52,$B$14:$B$36&amp;"_"&amp;$C$14:$C$36,$D$14:$D$36)*$E314)</f>
        <v>2.19</v>
      </c>
      <c r="K314" s="95" cm="1">
        <f ca="1" t="array" ref="K314">MIN(18,_xlfn.XLOOKUP($D314&amp;"_"&amp;K$52,$B$14:$B$36&amp;"_"&amp;$C$14:$C$36,$D$14:$D$36)*$E314)</f>
        <v>0.8176</v>
      </c>
      <c r="L314" s="95" cm="1">
        <f ca="1" t="array" ref="L314">MIN(6,_xlfn.XLOOKUP($D314&amp;"_"&amp;L$52,$B$14:$B$36&amp;"_"&amp;$C$14:$C$36,$D$14:$D$36)*$E314)</f>
        <v>1.533</v>
      </c>
      <c r="M314" s="95" cm="1">
        <f ca="1" t="array" ref="M314">(1+SUMPRODUCT(G314:H314,OFFSET($H$40:$I$40,D314,0)))*(1+OFFSET($J$40,D314,0))^I314*(1+OFFSET($K$40,D314,0))^J314*(1+OFFSET($L$40,D314,0))^K314*(1+OFFSET($M$40,D314,0))^L314</f>
        <v>27.2568851575852</v>
      </c>
      <c r="N314" s="95">
        <f ca="1">MAX(MAX($N$53:N313),OFFSET($C$52,MATCH(M314*1.07,$M$53:$M$2052,1),0)-C314)</f>
        <v>4680</v>
      </c>
    </row>
    <row r="315" spans="2:14">
      <c r="B315" s="95">
        <v>263</v>
      </c>
      <c r="C315" s="95">
        <f t="shared" si="27"/>
        <v>94680</v>
      </c>
      <c r="D315" s="95">
        <f ca="1">_xlfn.XLOOKUP(总览!$B$44,$B$40:$B$45,$C$40:$C$45)</f>
        <v>5</v>
      </c>
      <c r="E315" s="95">
        <f ca="1" t="shared" si="28"/>
        <v>293</v>
      </c>
      <c r="F315" s="95">
        <f ca="1" t="shared" si="29"/>
        <v>0</v>
      </c>
      <c r="G315" s="95">
        <f ca="1" t="shared" si="30"/>
        <v>5.35120214285714</v>
      </c>
      <c r="H315" s="95" cm="1">
        <f ca="1" t="array" ref="H315">MIN(30-SUM(I315:L315),_xlfn.XLOOKUP($D315&amp;"_"&amp;H$52,$B$14:$B$36&amp;"_"&amp;$C$14:$C$36,$D$14:$D$36)*$E315,18)</f>
        <v>18</v>
      </c>
      <c r="I315" s="95" cm="1">
        <f ca="1" t="array" ref="I315">MIN(30-SUM(J315:L315),6-L315,_xlfn.XLOOKUP($D315&amp;"_"&amp;I$52,$B$14:$B$36&amp;"_"&amp;$C$14:$C$36,$D$14:$D$36)*$E315)</f>
        <v>2.09264785714285</v>
      </c>
      <c r="J315" s="95" cm="1">
        <f ca="1" t="array" ref="J315">MIN(8,_xlfn.XLOOKUP($D315&amp;"_"&amp;J$52,$B$14:$B$36&amp;"_"&amp;$C$14:$C$36,$D$14:$D$36)*$E315)</f>
        <v>2.1975</v>
      </c>
      <c r="K315" s="95" cm="1">
        <f ca="1" t="array" ref="K315">MIN(18,_xlfn.XLOOKUP($D315&amp;"_"&amp;K$52,$B$14:$B$36&amp;"_"&amp;$C$14:$C$36,$D$14:$D$36)*$E315)</f>
        <v>0.8204</v>
      </c>
      <c r="L315" s="95" cm="1">
        <f ca="1" t="array" ref="L315">MIN(6,_xlfn.XLOOKUP($D315&amp;"_"&amp;L$52,$B$14:$B$36&amp;"_"&amp;$C$14:$C$36,$D$14:$D$36)*$E315)</f>
        <v>1.53825</v>
      </c>
      <c r="M315" s="95" cm="1">
        <f ca="1" t="array" ref="M315">(1+SUMPRODUCT(G315:H315,OFFSET($H$40:$I$40,D315,0)))*(1+OFFSET($J$40,D315,0))^I315*(1+OFFSET($K$40,D315,0))^J315*(1+OFFSET($L$40,D315,0))^K315*(1+OFFSET($M$40,D315,0))^L315</f>
        <v>27.3969272704636</v>
      </c>
      <c r="N315" s="95">
        <f ca="1">MAX(MAX($N$53:N314),OFFSET($C$52,MATCH(M315*1.07,$M$53:$M$2052,1),0)-C315)</f>
        <v>4680</v>
      </c>
    </row>
    <row r="316" spans="2:14">
      <c r="B316" s="95">
        <v>264</v>
      </c>
      <c r="C316" s="95">
        <f t="shared" si="27"/>
        <v>95040</v>
      </c>
      <c r="D316" s="95">
        <f ca="1">_xlfn.XLOOKUP(总览!$B$44,$B$40:$B$45,$C$40:$C$45)</f>
        <v>5</v>
      </c>
      <c r="E316" s="95">
        <f ca="1" t="shared" si="28"/>
        <v>294</v>
      </c>
      <c r="F316" s="95">
        <f ca="1" t="shared" si="29"/>
        <v>0</v>
      </c>
      <c r="G316" s="95">
        <f ca="1" t="shared" si="30"/>
        <v>5.32851</v>
      </c>
      <c r="H316" s="95" cm="1">
        <f ca="1" t="array" ref="H316">MIN(30-SUM(I316:L316),_xlfn.XLOOKUP($D316&amp;"_"&amp;H$52,$B$14:$B$36&amp;"_"&amp;$C$14:$C$36,$D$14:$D$36)*$E316,18)</f>
        <v>18</v>
      </c>
      <c r="I316" s="95" cm="1">
        <f ca="1" t="array" ref="I316">MIN(30-SUM(J316:L316),6-L316,_xlfn.XLOOKUP($D316&amp;"_"&amp;I$52,$B$14:$B$36&amp;"_"&amp;$C$14:$C$36,$D$14:$D$36)*$E316)</f>
        <v>2.09979</v>
      </c>
      <c r="J316" s="95" cm="1">
        <f ca="1" t="array" ref="J316">MIN(8,_xlfn.XLOOKUP($D316&amp;"_"&amp;J$52,$B$14:$B$36&amp;"_"&amp;$C$14:$C$36,$D$14:$D$36)*$E316)</f>
        <v>2.205</v>
      </c>
      <c r="K316" s="95" cm="1">
        <f ca="1" t="array" ref="K316">MIN(18,_xlfn.XLOOKUP($D316&amp;"_"&amp;K$52,$B$14:$B$36&amp;"_"&amp;$C$14:$C$36,$D$14:$D$36)*$E316)</f>
        <v>0.8232</v>
      </c>
      <c r="L316" s="95" cm="1">
        <f ca="1" t="array" ref="L316">MIN(6,_xlfn.XLOOKUP($D316&amp;"_"&amp;L$52,$B$14:$B$36&amp;"_"&amp;$C$14:$C$36,$D$14:$D$36)*$E316)</f>
        <v>1.5435</v>
      </c>
      <c r="M316" s="95" cm="1">
        <f ca="1" t="array" ref="M316">(1+SUMPRODUCT(G316:H316,OFFSET($H$40:$I$40,D316,0)))*(1+OFFSET($J$40,D316,0))^I316*(1+OFFSET($K$40,D316,0))^J316*(1+OFFSET($L$40,D316,0))^K316*(1+OFFSET($M$40,D316,0))^L316</f>
        <v>27.537681469798</v>
      </c>
      <c r="N316" s="95">
        <f ca="1">MAX(MAX($N$53:N315),OFFSET($C$52,MATCH(M316*1.07,$M$53:$M$2052,1),0)-C316)</f>
        <v>4680</v>
      </c>
    </row>
    <row r="317" spans="2:14">
      <c r="B317" s="95">
        <v>265</v>
      </c>
      <c r="C317" s="95">
        <f t="shared" si="27"/>
        <v>95400</v>
      </c>
      <c r="D317" s="95">
        <f ca="1">_xlfn.XLOOKUP(总览!$B$44,$B$40:$B$45,$C$40:$C$45)</f>
        <v>5</v>
      </c>
      <c r="E317" s="95">
        <f ca="1" t="shared" si="28"/>
        <v>295</v>
      </c>
      <c r="F317" s="95">
        <f ca="1" t="shared" si="29"/>
        <v>0</v>
      </c>
      <c r="G317" s="95">
        <f ca="1" t="shared" si="30"/>
        <v>5.30581785714286</v>
      </c>
      <c r="H317" s="95" cm="1">
        <f ca="1" t="array" ref="H317">MIN(30-SUM(I317:L317),_xlfn.XLOOKUP($D317&amp;"_"&amp;H$52,$B$14:$B$36&amp;"_"&amp;$C$14:$C$36,$D$14:$D$36)*$E317,18)</f>
        <v>18</v>
      </c>
      <c r="I317" s="95" cm="1">
        <f ca="1" t="array" ref="I317">MIN(30-SUM(J317:L317),6-L317,_xlfn.XLOOKUP($D317&amp;"_"&amp;I$52,$B$14:$B$36&amp;"_"&amp;$C$14:$C$36,$D$14:$D$36)*$E317)</f>
        <v>2.10693214285714</v>
      </c>
      <c r="J317" s="95" cm="1">
        <f ca="1" t="array" ref="J317">MIN(8,_xlfn.XLOOKUP($D317&amp;"_"&amp;J$52,$B$14:$B$36&amp;"_"&amp;$C$14:$C$36,$D$14:$D$36)*$E317)</f>
        <v>2.2125</v>
      </c>
      <c r="K317" s="95" cm="1">
        <f ca="1" t="array" ref="K317">MIN(18,_xlfn.XLOOKUP($D317&amp;"_"&amp;K$52,$B$14:$B$36&amp;"_"&amp;$C$14:$C$36,$D$14:$D$36)*$E317)</f>
        <v>0.826</v>
      </c>
      <c r="L317" s="95" cm="1">
        <f ca="1" t="array" ref="L317">MIN(6,_xlfn.XLOOKUP($D317&amp;"_"&amp;L$52,$B$14:$B$36&amp;"_"&amp;$C$14:$C$36,$D$14:$D$36)*$E317)</f>
        <v>1.54875</v>
      </c>
      <c r="M317" s="95" cm="1">
        <f ca="1" t="array" ref="M317">(1+SUMPRODUCT(G317:H317,OFFSET($H$40:$I$40,D317,0)))*(1+OFFSET($J$40,D317,0))^I317*(1+OFFSET($K$40,D317,0))^J317*(1+OFFSET($L$40,D317,0))^K317*(1+OFFSET($M$40,D317,0))^L317</f>
        <v>27.6791513300762</v>
      </c>
      <c r="N317" s="95">
        <f ca="1">MAX(MAX($N$53:N316),OFFSET($C$52,MATCH(M317*1.07,$M$53:$M$2052,1),0)-C317)</f>
        <v>4680</v>
      </c>
    </row>
    <row r="318" spans="2:14">
      <c r="B318" s="95">
        <v>266</v>
      </c>
      <c r="C318" s="95">
        <f t="shared" si="27"/>
        <v>95760</v>
      </c>
      <c r="D318" s="95">
        <f ca="1">_xlfn.XLOOKUP(总览!$B$44,$B$40:$B$45,$C$40:$C$45)</f>
        <v>5</v>
      </c>
      <c r="E318" s="95">
        <f ca="1" t="shared" si="28"/>
        <v>296</v>
      </c>
      <c r="F318" s="95">
        <f ca="1" t="shared" si="29"/>
        <v>0</v>
      </c>
      <c r="G318" s="95">
        <f ca="1" t="shared" si="30"/>
        <v>5.28312571428572</v>
      </c>
      <c r="H318" s="95" cm="1">
        <f ca="1" t="array" ref="H318">MIN(30-SUM(I318:L318),_xlfn.XLOOKUP($D318&amp;"_"&amp;H$52,$B$14:$B$36&amp;"_"&amp;$C$14:$C$36,$D$14:$D$36)*$E318,18)</f>
        <v>18</v>
      </c>
      <c r="I318" s="95" cm="1">
        <f ca="1" t="array" ref="I318">MIN(30-SUM(J318:L318),6-L318,_xlfn.XLOOKUP($D318&amp;"_"&amp;I$52,$B$14:$B$36&amp;"_"&amp;$C$14:$C$36,$D$14:$D$36)*$E318)</f>
        <v>2.11407428571428</v>
      </c>
      <c r="J318" s="95" cm="1">
        <f ca="1" t="array" ref="J318">MIN(8,_xlfn.XLOOKUP($D318&amp;"_"&amp;J$52,$B$14:$B$36&amp;"_"&amp;$C$14:$C$36,$D$14:$D$36)*$E318)</f>
        <v>2.22</v>
      </c>
      <c r="K318" s="95" cm="1">
        <f ca="1" t="array" ref="K318">MIN(18,_xlfn.XLOOKUP($D318&amp;"_"&amp;K$52,$B$14:$B$36&amp;"_"&amp;$C$14:$C$36,$D$14:$D$36)*$E318)</f>
        <v>0.8288</v>
      </c>
      <c r="L318" s="95" cm="1">
        <f ca="1" t="array" ref="L318">MIN(6,_xlfn.XLOOKUP($D318&amp;"_"&amp;L$52,$B$14:$B$36&amp;"_"&amp;$C$14:$C$36,$D$14:$D$36)*$E318)</f>
        <v>1.554</v>
      </c>
      <c r="M318" s="95" cm="1">
        <f ca="1" t="array" ref="M318">(1+SUMPRODUCT(G318:H318,OFFSET($H$40:$I$40,D318,0)))*(1+OFFSET($J$40,D318,0))^I318*(1+OFFSET($K$40,D318,0))^J318*(1+OFFSET($L$40,D318,0))^K318*(1+OFFSET($M$40,D318,0))^L318</f>
        <v>27.8213404434371</v>
      </c>
      <c r="N318" s="95">
        <f ca="1">MAX(MAX($N$53:N317),OFFSET($C$52,MATCH(M318*1.07,$M$53:$M$2052,1),0)-C318)</f>
        <v>4680</v>
      </c>
    </row>
    <row r="319" spans="2:14">
      <c r="B319" s="95">
        <v>267</v>
      </c>
      <c r="C319" s="95">
        <f t="shared" si="27"/>
        <v>96120</v>
      </c>
      <c r="D319" s="95">
        <f ca="1">_xlfn.XLOOKUP(总览!$B$44,$B$40:$B$45,$C$40:$C$45)</f>
        <v>5</v>
      </c>
      <c r="E319" s="95">
        <f ca="1" t="shared" si="28"/>
        <v>297</v>
      </c>
      <c r="F319" s="95">
        <f ca="1" t="shared" si="29"/>
        <v>0</v>
      </c>
      <c r="G319" s="95">
        <f ca="1" t="shared" si="30"/>
        <v>5.26043357142857</v>
      </c>
      <c r="H319" s="95" cm="1">
        <f ca="1" t="array" ref="H319">MIN(30-SUM(I319:L319),_xlfn.XLOOKUP($D319&amp;"_"&amp;H$52,$B$14:$B$36&amp;"_"&amp;$C$14:$C$36,$D$14:$D$36)*$E319,18)</f>
        <v>18</v>
      </c>
      <c r="I319" s="95" cm="1">
        <f ca="1" t="array" ref="I319">MIN(30-SUM(J319:L319),6-L319,_xlfn.XLOOKUP($D319&amp;"_"&amp;I$52,$B$14:$B$36&amp;"_"&amp;$C$14:$C$36,$D$14:$D$36)*$E319)</f>
        <v>2.12121642857142</v>
      </c>
      <c r="J319" s="95" cm="1">
        <f ca="1" t="array" ref="J319">MIN(8,_xlfn.XLOOKUP($D319&amp;"_"&amp;J$52,$B$14:$B$36&amp;"_"&amp;$C$14:$C$36,$D$14:$D$36)*$E319)</f>
        <v>2.2275</v>
      </c>
      <c r="K319" s="95" cm="1">
        <f ca="1" t="array" ref="K319">MIN(18,_xlfn.XLOOKUP($D319&amp;"_"&amp;K$52,$B$14:$B$36&amp;"_"&amp;$C$14:$C$36,$D$14:$D$36)*$E319)</f>
        <v>0.8316</v>
      </c>
      <c r="L319" s="95" cm="1">
        <f ca="1" t="array" ref="L319">MIN(6,_xlfn.XLOOKUP($D319&amp;"_"&amp;L$52,$B$14:$B$36&amp;"_"&amp;$C$14:$C$36,$D$14:$D$36)*$E319)</f>
        <v>1.55925</v>
      </c>
      <c r="M319" s="95" cm="1">
        <f ca="1" t="array" ref="M319">(1+SUMPRODUCT(G319:H319,OFFSET($H$40:$I$40,D319,0)))*(1+OFFSET($J$40,D319,0))^I319*(1+OFFSET($K$40,D319,0))^J319*(1+OFFSET($L$40,D319,0))^K319*(1+OFFSET($M$40,D319,0))^L319</f>
        <v>27.9642524197562</v>
      </c>
      <c r="N319" s="95">
        <f ca="1">MAX(MAX($N$53:N318),OFFSET($C$52,MATCH(M319*1.07,$M$53:$M$2052,1),0)-C319)</f>
        <v>4680</v>
      </c>
    </row>
    <row r="320" spans="2:14">
      <c r="B320" s="95">
        <v>268</v>
      </c>
      <c r="C320" s="95">
        <f t="shared" si="27"/>
        <v>96480</v>
      </c>
      <c r="D320" s="95">
        <f ca="1">_xlfn.XLOOKUP(总览!$B$44,$B$40:$B$45,$C$40:$C$45)</f>
        <v>5</v>
      </c>
      <c r="E320" s="95">
        <f ca="1" t="shared" si="28"/>
        <v>298</v>
      </c>
      <c r="F320" s="95">
        <f ca="1" t="shared" si="29"/>
        <v>0</v>
      </c>
      <c r="G320" s="95">
        <f ca="1" t="shared" si="30"/>
        <v>5.23774142857144</v>
      </c>
      <c r="H320" s="95" cm="1">
        <f ca="1" t="array" ref="H320">MIN(30-SUM(I320:L320),_xlfn.XLOOKUP($D320&amp;"_"&amp;H$52,$B$14:$B$36&amp;"_"&amp;$C$14:$C$36,$D$14:$D$36)*$E320,18)</f>
        <v>18</v>
      </c>
      <c r="I320" s="95" cm="1">
        <f ca="1" t="array" ref="I320">MIN(30-SUM(J320:L320),6-L320,_xlfn.XLOOKUP($D320&amp;"_"&amp;I$52,$B$14:$B$36&amp;"_"&amp;$C$14:$C$36,$D$14:$D$36)*$E320)</f>
        <v>2.12835857142857</v>
      </c>
      <c r="J320" s="95" cm="1">
        <f ca="1" t="array" ref="J320">MIN(8,_xlfn.XLOOKUP($D320&amp;"_"&amp;J$52,$B$14:$B$36&amp;"_"&amp;$C$14:$C$36,$D$14:$D$36)*$E320)</f>
        <v>2.235</v>
      </c>
      <c r="K320" s="95" cm="1">
        <f ca="1" t="array" ref="K320">MIN(18,_xlfn.XLOOKUP($D320&amp;"_"&amp;K$52,$B$14:$B$36&amp;"_"&amp;$C$14:$C$36,$D$14:$D$36)*$E320)</f>
        <v>0.8344</v>
      </c>
      <c r="L320" s="95" cm="1">
        <f ca="1" t="array" ref="L320">MIN(6,_xlfn.XLOOKUP($D320&amp;"_"&amp;L$52,$B$14:$B$36&amp;"_"&amp;$C$14:$C$36,$D$14:$D$36)*$E320)</f>
        <v>1.5645</v>
      </c>
      <c r="M320" s="95" cm="1">
        <f ca="1" t="array" ref="M320">(1+SUMPRODUCT(G320:H320,OFFSET($H$40:$I$40,D320,0)))*(1+OFFSET($J$40,D320,0))^I320*(1+OFFSET($K$40,D320,0))^J320*(1+OFFSET($L$40,D320,0))^K320*(1+OFFSET($M$40,D320,0))^L320</f>
        <v>28.1078908867309</v>
      </c>
      <c r="N320" s="95">
        <f ca="1">MAX(MAX($N$53:N319),OFFSET($C$52,MATCH(M320*1.07,$M$53:$M$2052,1),0)-C320)</f>
        <v>4680</v>
      </c>
    </row>
    <row r="321" spans="2:14">
      <c r="B321" s="95">
        <v>269</v>
      </c>
      <c r="C321" s="95">
        <f t="shared" ref="C321:C384" si="31">C320+360</f>
        <v>96840</v>
      </c>
      <c r="D321" s="95">
        <f ca="1">_xlfn.XLOOKUP(总览!$B$44,$B$40:$B$45,$C$40:$C$45)</f>
        <v>5</v>
      </c>
      <c r="E321" s="95">
        <f ca="1" t="shared" si="28"/>
        <v>299</v>
      </c>
      <c r="F321" s="95">
        <f ca="1" t="shared" si="29"/>
        <v>0</v>
      </c>
      <c r="G321" s="95">
        <f ca="1" t="shared" si="30"/>
        <v>5.21504928571429</v>
      </c>
      <c r="H321" s="95" cm="1">
        <f ca="1" t="array" ref="H321">MIN(30-SUM(I321:L321),_xlfn.XLOOKUP($D321&amp;"_"&amp;H$52,$B$14:$B$36&amp;"_"&amp;$C$14:$C$36,$D$14:$D$36)*$E321,18)</f>
        <v>18</v>
      </c>
      <c r="I321" s="95" cm="1">
        <f ca="1" t="array" ref="I321">MIN(30-SUM(J321:L321),6-L321,_xlfn.XLOOKUP($D321&amp;"_"&amp;I$52,$B$14:$B$36&amp;"_"&amp;$C$14:$C$36,$D$14:$D$36)*$E321)</f>
        <v>2.13550071428571</v>
      </c>
      <c r="J321" s="95" cm="1">
        <f ca="1" t="array" ref="J321">MIN(8,_xlfn.XLOOKUP($D321&amp;"_"&amp;J$52,$B$14:$B$36&amp;"_"&amp;$C$14:$C$36,$D$14:$D$36)*$E321)</f>
        <v>2.2425</v>
      </c>
      <c r="K321" s="95" cm="1">
        <f ca="1" t="array" ref="K321">MIN(18,_xlfn.XLOOKUP($D321&amp;"_"&amp;K$52,$B$14:$B$36&amp;"_"&amp;$C$14:$C$36,$D$14:$D$36)*$E321)</f>
        <v>0.8372</v>
      </c>
      <c r="L321" s="95" cm="1">
        <f ca="1" t="array" ref="L321">MIN(6,_xlfn.XLOOKUP($D321&amp;"_"&amp;L$52,$B$14:$B$36&amp;"_"&amp;$C$14:$C$36,$D$14:$D$36)*$E321)</f>
        <v>1.56975</v>
      </c>
      <c r="M321" s="95" cm="1">
        <f ca="1" t="array" ref="M321">(1+SUMPRODUCT(G321:H321,OFFSET($H$40:$I$40,D321,0)))*(1+OFFSET($J$40,D321,0))^I321*(1+OFFSET($K$40,D321,0))^J321*(1+OFFSET($L$40,D321,0))^K321*(1+OFFSET($M$40,D321,0))^L321</f>
        <v>28.252259489967</v>
      </c>
      <c r="N321" s="95">
        <f ca="1">MAX(MAX($N$53:N320),OFFSET($C$52,MATCH(M321*1.07,$M$53:$M$2052,1),0)-C321)</f>
        <v>4680</v>
      </c>
    </row>
    <row r="322" spans="2:14">
      <c r="B322" s="95">
        <v>270</v>
      </c>
      <c r="C322" s="95">
        <f t="shared" si="31"/>
        <v>97200</v>
      </c>
      <c r="D322" s="95">
        <f ca="1">_xlfn.XLOOKUP(总览!$B$44,$B$40:$B$45,$C$40:$C$45)</f>
        <v>5</v>
      </c>
      <c r="E322" s="95">
        <f ca="1" t="shared" si="28"/>
        <v>300</v>
      </c>
      <c r="F322" s="95">
        <f ca="1" t="shared" si="29"/>
        <v>0</v>
      </c>
      <c r="G322" s="95">
        <f ca="1" t="shared" si="30"/>
        <v>5.19235714285715</v>
      </c>
      <c r="H322" s="95" cm="1">
        <f ca="1" t="array" ref="H322">MIN(30-SUM(I322:L322),_xlfn.XLOOKUP($D322&amp;"_"&amp;H$52,$B$14:$B$36&amp;"_"&amp;$C$14:$C$36,$D$14:$D$36)*$E322,18)</f>
        <v>18</v>
      </c>
      <c r="I322" s="95" cm="1">
        <f ca="1" t="array" ref="I322">MIN(30-SUM(J322:L322),6-L322,_xlfn.XLOOKUP($D322&amp;"_"&amp;I$52,$B$14:$B$36&amp;"_"&amp;$C$14:$C$36,$D$14:$D$36)*$E322)</f>
        <v>2.14264285714285</v>
      </c>
      <c r="J322" s="95" cm="1">
        <f ca="1" t="array" ref="J322">MIN(8,_xlfn.XLOOKUP($D322&amp;"_"&amp;J$52,$B$14:$B$36&amp;"_"&amp;$C$14:$C$36,$D$14:$D$36)*$E322)</f>
        <v>2.25</v>
      </c>
      <c r="K322" s="95" cm="1">
        <f ca="1" t="array" ref="K322">MIN(18,_xlfn.XLOOKUP($D322&amp;"_"&amp;K$52,$B$14:$B$36&amp;"_"&amp;$C$14:$C$36,$D$14:$D$36)*$E322)</f>
        <v>0.84</v>
      </c>
      <c r="L322" s="95" cm="1">
        <f ca="1" t="array" ref="L322">MIN(6,_xlfn.XLOOKUP($D322&amp;"_"&amp;L$52,$B$14:$B$36&amp;"_"&amp;$C$14:$C$36,$D$14:$D$36)*$E322)</f>
        <v>1.575</v>
      </c>
      <c r="M322" s="95" cm="1">
        <f ca="1" t="array" ref="M322">(1+SUMPRODUCT(G322:H322,OFFSET($H$40:$I$40,D322,0)))*(1+OFFSET($J$40,D322,0))^I322*(1+OFFSET($K$40,D322,0))^J322*(1+OFFSET($L$40,D322,0))^K322*(1+OFFSET($M$40,D322,0))^L322</f>
        <v>28.3973618930647</v>
      </c>
      <c r="N322" s="95">
        <f ca="1">MAX(MAX($N$53:N321),OFFSET($C$52,MATCH(M322*1.07,$M$53:$M$2052,1),0)-C322)</f>
        <v>4680</v>
      </c>
    </row>
    <row r="323" spans="2:14">
      <c r="B323" s="95">
        <v>271</v>
      </c>
      <c r="C323" s="95">
        <f t="shared" si="31"/>
        <v>97560</v>
      </c>
      <c r="D323" s="95">
        <f ca="1">_xlfn.XLOOKUP(总览!$B$44,$B$40:$B$45,$C$40:$C$45)</f>
        <v>5</v>
      </c>
      <c r="E323" s="95">
        <f ca="1" t="shared" si="28"/>
        <v>301</v>
      </c>
      <c r="F323" s="95">
        <f ca="1" t="shared" si="29"/>
        <v>0</v>
      </c>
      <c r="G323" s="95">
        <f ca="1" t="shared" si="30"/>
        <v>5.16966500000001</v>
      </c>
      <c r="H323" s="95" cm="1">
        <f ca="1" t="array" ref="H323">MIN(30-SUM(I323:L323),_xlfn.XLOOKUP($D323&amp;"_"&amp;H$52,$B$14:$B$36&amp;"_"&amp;$C$14:$C$36,$D$14:$D$36)*$E323,18)</f>
        <v>18</v>
      </c>
      <c r="I323" s="95" cm="1">
        <f ca="1" t="array" ref="I323">MIN(30-SUM(J323:L323),6-L323,_xlfn.XLOOKUP($D323&amp;"_"&amp;I$52,$B$14:$B$36&amp;"_"&amp;$C$14:$C$36,$D$14:$D$36)*$E323)</f>
        <v>2.149785</v>
      </c>
      <c r="J323" s="95" cm="1">
        <f ca="1" t="array" ref="J323">MIN(8,_xlfn.XLOOKUP($D323&amp;"_"&amp;J$52,$B$14:$B$36&amp;"_"&amp;$C$14:$C$36,$D$14:$D$36)*$E323)</f>
        <v>2.2575</v>
      </c>
      <c r="K323" s="95" cm="1">
        <f ca="1" t="array" ref="K323">MIN(18,_xlfn.XLOOKUP($D323&amp;"_"&amp;K$52,$B$14:$B$36&amp;"_"&amp;$C$14:$C$36,$D$14:$D$36)*$E323)</f>
        <v>0.8428</v>
      </c>
      <c r="L323" s="95" cm="1">
        <f ca="1" t="array" ref="L323">MIN(6,_xlfn.XLOOKUP($D323&amp;"_"&amp;L$52,$B$14:$B$36&amp;"_"&amp;$C$14:$C$36,$D$14:$D$36)*$E323)</f>
        <v>1.58025</v>
      </c>
      <c r="M323" s="95" cm="1">
        <f ca="1" t="array" ref="M323">(1+SUMPRODUCT(G323:H323,OFFSET($H$40:$I$40,D323,0)))*(1+OFFSET($J$40,D323,0))^I323*(1+OFFSET($K$40,D323,0))^J323*(1+OFFSET($L$40,D323,0))^K323*(1+OFFSET($M$40,D323,0))^L323</f>
        <v>28.5432017777061</v>
      </c>
      <c r="N323" s="95">
        <f ca="1">MAX(MAX($N$53:N322),OFFSET($C$52,MATCH(M323*1.07,$M$53:$M$2052,1),0)-C323)</f>
        <v>4680</v>
      </c>
    </row>
    <row r="324" spans="2:14">
      <c r="B324" s="95">
        <v>272</v>
      </c>
      <c r="C324" s="95">
        <f t="shared" si="31"/>
        <v>97920</v>
      </c>
      <c r="D324" s="95">
        <f ca="1">_xlfn.XLOOKUP(总览!$B$44,$B$40:$B$45,$C$40:$C$45)</f>
        <v>5</v>
      </c>
      <c r="E324" s="95">
        <f ca="1" t="shared" si="28"/>
        <v>302</v>
      </c>
      <c r="F324" s="95">
        <f ca="1" t="shared" si="29"/>
        <v>0</v>
      </c>
      <c r="G324" s="95">
        <f ca="1" t="shared" si="30"/>
        <v>5.14697285714286</v>
      </c>
      <c r="H324" s="95" cm="1">
        <f ca="1" t="array" ref="H324">MIN(30-SUM(I324:L324),_xlfn.XLOOKUP($D324&amp;"_"&amp;H$52,$B$14:$B$36&amp;"_"&amp;$C$14:$C$36,$D$14:$D$36)*$E324,18)</f>
        <v>18</v>
      </c>
      <c r="I324" s="95" cm="1">
        <f ca="1" t="array" ref="I324">MIN(30-SUM(J324:L324),6-L324,_xlfn.XLOOKUP($D324&amp;"_"&amp;I$52,$B$14:$B$36&amp;"_"&amp;$C$14:$C$36,$D$14:$D$36)*$E324)</f>
        <v>2.15692714285714</v>
      </c>
      <c r="J324" s="95" cm="1">
        <f ca="1" t="array" ref="J324">MIN(8,_xlfn.XLOOKUP($D324&amp;"_"&amp;J$52,$B$14:$B$36&amp;"_"&amp;$C$14:$C$36,$D$14:$D$36)*$E324)</f>
        <v>2.265</v>
      </c>
      <c r="K324" s="95" cm="1">
        <f ca="1" t="array" ref="K324">MIN(18,_xlfn.XLOOKUP($D324&amp;"_"&amp;K$52,$B$14:$B$36&amp;"_"&amp;$C$14:$C$36,$D$14:$D$36)*$E324)</f>
        <v>0.8456</v>
      </c>
      <c r="L324" s="95" cm="1">
        <f ca="1" t="array" ref="L324">MIN(6,_xlfn.XLOOKUP($D324&amp;"_"&amp;L$52,$B$14:$B$36&amp;"_"&amp;$C$14:$C$36,$D$14:$D$36)*$E324)</f>
        <v>1.5855</v>
      </c>
      <c r="M324" s="95" cm="1">
        <f ca="1" t="array" ref="M324">(1+SUMPRODUCT(G324:H324,OFFSET($H$40:$I$40,D324,0)))*(1+OFFSET($J$40,D324,0))^I324*(1+OFFSET($K$40,D324,0))^J324*(1+OFFSET($L$40,D324,0))^K324*(1+OFFSET($M$40,D324,0))^L324</f>
        <v>28.689782843742</v>
      </c>
      <c r="N324" s="95">
        <f ca="1">MAX(MAX($N$53:N323),OFFSET($C$52,MATCH(M324*1.07,$M$53:$M$2052,1),0)-C324)</f>
        <v>4680</v>
      </c>
    </row>
    <row r="325" spans="2:14">
      <c r="B325" s="95">
        <v>273</v>
      </c>
      <c r="C325" s="95">
        <f t="shared" si="31"/>
        <v>98280</v>
      </c>
      <c r="D325" s="95">
        <f ca="1">_xlfn.XLOOKUP(总览!$B$44,$B$40:$B$45,$C$40:$C$45)</f>
        <v>5</v>
      </c>
      <c r="E325" s="95">
        <f ca="1" t="shared" si="28"/>
        <v>303</v>
      </c>
      <c r="F325" s="95">
        <f ca="1" t="shared" si="29"/>
        <v>0</v>
      </c>
      <c r="G325" s="95">
        <f ca="1" t="shared" si="30"/>
        <v>5.12428071428572</v>
      </c>
      <c r="H325" s="95" cm="1">
        <f ca="1" t="array" ref="H325">MIN(30-SUM(I325:L325),_xlfn.XLOOKUP($D325&amp;"_"&amp;H$52,$B$14:$B$36&amp;"_"&amp;$C$14:$C$36,$D$14:$D$36)*$E325,18)</f>
        <v>18</v>
      </c>
      <c r="I325" s="95" cm="1">
        <f ca="1" t="array" ref="I325">MIN(30-SUM(J325:L325),6-L325,_xlfn.XLOOKUP($D325&amp;"_"&amp;I$52,$B$14:$B$36&amp;"_"&amp;$C$14:$C$36,$D$14:$D$36)*$E325)</f>
        <v>2.16406928571428</v>
      </c>
      <c r="J325" s="95" cm="1">
        <f ca="1" t="array" ref="J325">MIN(8,_xlfn.XLOOKUP($D325&amp;"_"&amp;J$52,$B$14:$B$36&amp;"_"&amp;$C$14:$C$36,$D$14:$D$36)*$E325)</f>
        <v>2.2725</v>
      </c>
      <c r="K325" s="95" cm="1">
        <f ca="1" t="array" ref="K325">MIN(18,_xlfn.XLOOKUP($D325&amp;"_"&amp;K$52,$B$14:$B$36&amp;"_"&amp;$C$14:$C$36,$D$14:$D$36)*$E325)</f>
        <v>0.8484</v>
      </c>
      <c r="L325" s="95" cm="1">
        <f ca="1" t="array" ref="L325">MIN(6,_xlfn.XLOOKUP($D325&amp;"_"&amp;L$52,$B$14:$B$36&amp;"_"&amp;$C$14:$C$36,$D$14:$D$36)*$E325)</f>
        <v>1.59075</v>
      </c>
      <c r="M325" s="95" cm="1">
        <f ca="1" t="array" ref="M325">(1+SUMPRODUCT(G325:H325,OFFSET($H$40:$I$40,D325,0)))*(1+OFFSET($J$40,D325,0))^I325*(1+OFFSET($K$40,D325,0))^J325*(1+OFFSET($L$40,D325,0))^K325*(1+OFFSET($M$40,D325,0))^L325</f>
        <v>28.8371088092803</v>
      </c>
      <c r="N325" s="95">
        <f ca="1">MAX(MAX($N$53:N324),OFFSET($C$52,MATCH(M325*1.07,$M$53:$M$2052,1),0)-C325)</f>
        <v>4680</v>
      </c>
    </row>
    <row r="326" spans="2:14">
      <c r="B326" s="95">
        <v>274</v>
      </c>
      <c r="C326" s="95">
        <f t="shared" si="31"/>
        <v>98640</v>
      </c>
      <c r="D326" s="95">
        <f ca="1">_xlfn.XLOOKUP(总览!$B$44,$B$40:$B$45,$C$40:$C$45)</f>
        <v>5</v>
      </c>
      <c r="E326" s="95">
        <f ca="1" t="shared" si="28"/>
        <v>304</v>
      </c>
      <c r="F326" s="95">
        <f ca="1" t="shared" si="29"/>
        <v>0</v>
      </c>
      <c r="G326" s="95">
        <f ca="1" t="shared" si="30"/>
        <v>5.10158857142858</v>
      </c>
      <c r="H326" s="95" cm="1">
        <f ca="1" t="array" ref="H326">MIN(30-SUM(I326:L326),_xlfn.XLOOKUP($D326&amp;"_"&amp;H$52,$B$14:$B$36&amp;"_"&amp;$C$14:$C$36,$D$14:$D$36)*$E326,18)</f>
        <v>18</v>
      </c>
      <c r="I326" s="95" cm="1">
        <f ca="1" t="array" ref="I326">MIN(30-SUM(J326:L326),6-L326,_xlfn.XLOOKUP($D326&amp;"_"&amp;I$52,$B$14:$B$36&amp;"_"&amp;$C$14:$C$36,$D$14:$D$36)*$E326)</f>
        <v>2.17121142857142</v>
      </c>
      <c r="J326" s="95" cm="1">
        <f ca="1" t="array" ref="J326">MIN(8,_xlfn.XLOOKUP($D326&amp;"_"&amp;J$52,$B$14:$B$36&amp;"_"&amp;$C$14:$C$36,$D$14:$D$36)*$E326)</f>
        <v>2.28</v>
      </c>
      <c r="K326" s="95" cm="1">
        <f ca="1" t="array" ref="K326">MIN(18,_xlfn.XLOOKUP($D326&amp;"_"&amp;K$52,$B$14:$B$36&amp;"_"&amp;$C$14:$C$36,$D$14:$D$36)*$E326)</f>
        <v>0.8512</v>
      </c>
      <c r="L326" s="95" cm="1">
        <f ca="1" t="array" ref="L326">MIN(6,_xlfn.XLOOKUP($D326&amp;"_"&amp;L$52,$B$14:$B$36&amp;"_"&amp;$C$14:$C$36,$D$14:$D$36)*$E326)</f>
        <v>1.596</v>
      </c>
      <c r="M326" s="95" cm="1">
        <f ca="1" t="array" ref="M326">(1+SUMPRODUCT(G326:H326,OFFSET($H$40:$I$40,D326,0)))*(1+OFFSET($J$40,D326,0))^I326*(1+OFFSET($K$40,D326,0))^J326*(1+OFFSET($L$40,D326,0))^K326*(1+OFFSET($M$40,D326,0))^L326</f>
        <v>28.9851834107731</v>
      </c>
      <c r="N326" s="95">
        <f ca="1">MAX(MAX($N$53:N325),OFFSET($C$52,MATCH(M326*1.07,$M$53:$M$2052,1),0)-C326)</f>
        <v>4680</v>
      </c>
    </row>
    <row r="327" spans="2:14">
      <c r="B327" s="95">
        <v>275</v>
      </c>
      <c r="C327" s="95">
        <f t="shared" si="31"/>
        <v>99000</v>
      </c>
      <c r="D327" s="95">
        <f ca="1">_xlfn.XLOOKUP(总览!$B$44,$B$40:$B$45,$C$40:$C$45)</f>
        <v>5</v>
      </c>
      <c r="E327" s="95">
        <f ca="1" t="shared" si="28"/>
        <v>305</v>
      </c>
      <c r="F327" s="95">
        <f ca="1" t="shared" si="29"/>
        <v>0</v>
      </c>
      <c r="G327" s="95">
        <f ca="1" t="shared" si="30"/>
        <v>5.07889642857143</v>
      </c>
      <c r="H327" s="95" cm="1">
        <f ca="1" t="array" ref="H327">MIN(30-SUM(I327:L327),_xlfn.XLOOKUP($D327&amp;"_"&amp;H$52,$B$14:$B$36&amp;"_"&amp;$C$14:$C$36,$D$14:$D$36)*$E327,18)</f>
        <v>18</v>
      </c>
      <c r="I327" s="95" cm="1">
        <f ca="1" t="array" ref="I327">MIN(30-SUM(J327:L327),6-L327,_xlfn.XLOOKUP($D327&amp;"_"&amp;I$52,$B$14:$B$36&amp;"_"&amp;$C$14:$C$36,$D$14:$D$36)*$E327)</f>
        <v>2.17835357142857</v>
      </c>
      <c r="J327" s="95" cm="1">
        <f ca="1" t="array" ref="J327">MIN(8,_xlfn.XLOOKUP($D327&amp;"_"&amp;J$52,$B$14:$B$36&amp;"_"&amp;$C$14:$C$36,$D$14:$D$36)*$E327)</f>
        <v>2.2875</v>
      </c>
      <c r="K327" s="95" cm="1">
        <f ca="1" t="array" ref="K327">MIN(18,_xlfn.XLOOKUP($D327&amp;"_"&amp;K$52,$B$14:$B$36&amp;"_"&amp;$C$14:$C$36,$D$14:$D$36)*$E327)</f>
        <v>0.854</v>
      </c>
      <c r="L327" s="95" cm="1">
        <f ca="1" t="array" ref="L327">MIN(6,_xlfn.XLOOKUP($D327&amp;"_"&amp;L$52,$B$14:$B$36&amp;"_"&amp;$C$14:$C$36,$D$14:$D$36)*$E327)</f>
        <v>1.60125</v>
      </c>
      <c r="M327" s="95" cm="1">
        <f ca="1" t="array" ref="M327">(1+SUMPRODUCT(G327:H327,OFFSET($H$40:$I$40,D327,0)))*(1+OFFSET($J$40,D327,0))^I327*(1+OFFSET($K$40,D327,0))^J327*(1+OFFSET($L$40,D327,0))^K327*(1+OFFSET($M$40,D327,0))^L327</f>
        <v>29.1340104031062</v>
      </c>
      <c r="N327" s="95">
        <f ca="1">MAX(MAX($N$53:N326),OFFSET($C$52,MATCH(M327*1.07,$M$53:$M$2052,1),0)-C327)</f>
        <v>4680</v>
      </c>
    </row>
    <row r="328" spans="2:14">
      <c r="B328" s="95">
        <v>276</v>
      </c>
      <c r="C328" s="95">
        <f t="shared" si="31"/>
        <v>99360</v>
      </c>
      <c r="D328" s="95">
        <f ca="1">_xlfn.XLOOKUP(总览!$B$44,$B$40:$B$45,$C$40:$C$45)</f>
        <v>5</v>
      </c>
      <c r="E328" s="95">
        <f ca="1" t="shared" si="28"/>
        <v>306</v>
      </c>
      <c r="F328" s="95">
        <f ca="1" t="shared" si="29"/>
        <v>0</v>
      </c>
      <c r="G328" s="95">
        <f ca="1" t="shared" si="30"/>
        <v>5.05620428571429</v>
      </c>
      <c r="H328" s="95" cm="1">
        <f ca="1" t="array" ref="H328">MIN(30-SUM(I328:L328),_xlfn.XLOOKUP($D328&amp;"_"&amp;H$52,$B$14:$B$36&amp;"_"&amp;$C$14:$C$36,$D$14:$D$36)*$E328,18)</f>
        <v>18</v>
      </c>
      <c r="I328" s="95" cm="1">
        <f ca="1" t="array" ref="I328">MIN(30-SUM(J328:L328),6-L328,_xlfn.XLOOKUP($D328&amp;"_"&amp;I$52,$B$14:$B$36&amp;"_"&amp;$C$14:$C$36,$D$14:$D$36)*$E328)</f>
        <v>2.18549571428571</v>
      </c>
      <c r="J328" s="95" cm="1">
        <f ca="1" t="array" ref="J328">MIN(8,_xlfn.XLOOKUP($D328&amp;"_"&amp;J$52,$B$14:$B$36&amp;"_"&amp;$C$14:$C$36,$D$14:$D$36)*$E328)</f>
        <v>2.295</v>
      </c>
      <c r="K328" s="95" cm="1">
        <f ca="1" t="array" ref="K328">MIN(18,_xlfn.XLOOKUP($D328&amp;"_"&amp;K$52,$B$14:$B$36&amp;"_"&amp;$C$14:$C$36,$D$14:$D$36)*$E328)</f>
        <v>0.8568</v>
      </c>
      <c r="L328" s="95" cm="1">
        <f ca="1" t="array" ref="L328">MIN(6,_xlfn.XLOOKUP($D328&amp;"_"&amp;L$52,$B$14:$B$36&amp;"_"&amp;$C$14:$C$36,$D$14:$D$36)*$E328)</f>
        <v>1.6065</v>
      </c>
      <c r="M328" s="95" cm="1">
        <f ca="1" t="array" ref="M328">(1+SUMPRODUCT(G328:H328,OFFSET($H$40:$I$40,D328,0)))*(1+OFFSET($J$40,D328,0))^I328*(1+OFFSET($K$40,D328,0))^J328*(1+OFFSET($L$40,D328,0))^K328*(1+OFFSET($M$40,D328,0))^L328</f>
        <v>29.2835935596878</v>
      </c>
      <c r="N328" s="95">
        <f ca="1">MAX(MAX($N$53:N327),OFFSET($C$52,MATCH(M328*1.07,$M$53:$M$2052,1),0)-C328)</f>
        <v>4680</v>
      </c>
    </row>
    <row r="329" spans="2:14">
      <c r="B329" s="95">
        <v>277</v>
      </c>
      <c r="C329" s="95">
        <f t="shared" si="31"/>
        <v>99720</v>
      </c>
      <c r="D329" s="95">
        <f ca="1">_xlfn.XLOOKUP(总览!$B$44,$B$40:$B$45,$C$40:$C$45)</f>
        <v>5</v>
      </c>
      <c r="E329" s="95">
        <f ca="1" t="shared" si="28"/>
        <v>307</v>
      </c>
      <c r="F329" s="95">
        <f ca="1" t="shared" si="29"/>
        <v>0</v>
      </c>
      <c r="G329" s="95">
        <f ca="1" t="shared" si="30"/>
        <v>5.03351214285715</v>
      </c>
      <c r="H329" s="95" cm="1">
        <f ca="1" t="array" ref="H329">MIN(30-SUM(I329:L329),_xlfn.XLOOKUP($D329&amp;"_"&amp;H$52,$B$14:$B$36&amp;"_"&amp;$C$14:$C$36,$D$14:$D$36)*$E329,18)</f>
        <v>18</v>
      </c>
      <c r="I329" s="95" cm="1">
        <f ca="1" t="array" ref="I329">MIN(30-SUM(J329:L329),6-L329,_xlfn.XLOOKUP($D329&amp;"_"&amp;I$52,$B$14:$B$36&amp;"_"&amp;$C$14:$C$36,$D$14:$D$36)*$E329)</f>
        <v>2.19263785714285</v>
      </c>
      <c r="J329" s="95" cm="1">
        <f ca="1" t="array" ref="J329">MIN(8,_xlfn.XLOOKUP($D329&amp;"_"&amp;J$52,$B$14:$B$36&amp;"_"&amp;$C$14:$C$36,$D$14:$D$36)*$E329)</f>
        <v>2.3025</v>
      </c>
      <c r="K329" s="95" cm="1">
        <f ca="1" t="array" ref="K329">MIN(18,_xlfn.XLOOKUP($D329&amp;"_"&amp;K$52,$B$14:$B$36&amp;"_"&amp;$C$14:$C$36,$D$14:$D$36)*$E329)</f>
        <v>0.8596</v>
      </c>
      <c r="L329" s="95" cm="1">
        <f ca="1" t="array" ref="L329">MIN(6,_xlfn.XLOOKUP($D329&amp;"_"&amp;L$52,$B$14:$B$36&amp;"_"&amp;$C$14:$C$36,$D$14:$D$36)*$E329)</f>
        <v>1.61175</v>
      </c>
      <c r="M329" s="95" cm="1">
        <f ca="1" t="array" ref="M329">(1+SUMPRODUCT(G329:H329,OFFSET($H$40:$I$40,D329,0)))*(1+OFFSET($J$40,D329,0))^I329*(1+OFFSET($K$40,D329,0))^J329*(1+OFFSET($L$40,D329,0))^K329*(1+OFFSET($M$40,D329,0))^L329</f>
        <v>29.4339366725376</v>
      </c>
      <c r="N329" s="95">
        <f ca="1">MAX(MAX($N$53:N328),OFFSET($C$52,MATCH(M329*1.07,$M$53:$M$2052,1),0)-C329)</f>
        <v>4680</v>
      </c>
    </row>
    <row r="330" spans="2:14">
      <c r="B330" s="95">
        <v>278</v>
      </c>
      <c r="C330" s="95">
        <f t="shared" si="31"/>
        <v>100080</v>
      </c>
      <c r="D330" s="95">
        <f ca="1">_xlfn.XLOOKUP(总览!$B$44,$B$40:$B$45,$C$40:$C$45)</f>
        <v>5</v>
      </c>
      <c r="E330" s="95">
        <f ca="1" t="shared" si="28"/>
        <v>308</v>
      </c>
      <c r="F330" s="95">
        <f ca="1" t="shared" si="29"/>
        <v>0</v>
      </c>
      <c r="G330" s="95">
        <f ca="1" t="shared" si="30"/>
        <v>5.01082</v>
      </c>
      <c r="H330" s="95" cm="1">
        <f ca="1" t="array" ref="H330">MIN(30-SUM(I330:L330),_xlfn.XLOOKUP($D330&amp;"_"&amp;H$52,$B$14:$B$36&amp;"_"&amp;$C$14:$C$36,$D$14:$D$36)*$E330,18)</f>
        <v>18</v>
      </c>
      <c r="I330" s="95" cm="1">
        <f ca="1" t="array" ref="I330">MIN(30-SUM(J330:L330),6-L330,_xlfn.XLOOKUP($D330&amp;"_"&amp;I$52,$B$14:$B$36&amp;"_"&amp;$C$14:$C$36,$D$14:$D$36)*$E330)</f>
        <v>2.19978</v>
      </c>
      <c r="J330" s="95" cm="1">
        <f ca="1" t="array" ref="J330">MIN(8,_xlfn.XLOOKUP($D330&amp;"_"&amp;J$52,$B$14:$B$36&amp;"_"&amp;$C$14:$C$36,$D$14:$D$36)*$E330)</f>
        <v>2.31</v>
      </c>
      <c r="K330" s="95" cm="1">
        <f ca="1" t="array" ref="K330">MIN(18,_xlfn.XLOOKUP($D330&amp;"_"&amp;K$52,$B$14:$B$36&amp;"_"&amp;$C$14:$C$36,$D$14:$D$36)*$E330)</f>
        <v>0.8624</v>
      </c>
      <c r="L330" s="95" cm="1">
        <f ca="1" t="array" ref="L330">MIN(6,_xlfn.XLOOKUP($D330&amp;"_"&amp;L$52,$B$14:$B$36&amp;"_"&amp;$C$14:$C$36,$D$14:$D$36)*$E330)</f>
        <v>1.617</v>
      </c>
      <c r="M330" s="95" cm="1">
        <f ca="1" t="array" ref="M330">(1+SUMPRODUCT(G330:H330,OFFSET($H$40:$I$40,D330,0)))*(1+OFFSET($J$40,D330,0))^I330*(1+OFFSET($K$40,D330,0))^J330*(1+OFFSET($L$40,D330,0))^K330*(1+OFFSET($M$40,D330,0))^L330</f>
        <v>29.5850435523769</v>
      </c>
      <c r="N330" s="95">
        <f ca="1">MAX(MAX($N$53:N329),OFFSET($C$52,MATCH(M330*1.07,$M$53:$M$2052,1),0)-C330)</f>
        <v>4680</v>
      </c>
    </row>
    <row r="331" spans="2:14">
      <c r="B331" s="95">
        <v>279</v>
      </c>
      <c r="C331" s="95">
        <f t="shared" si="31"/>
        <v>100440</v>
      </c>
      <c r="D331" s="95">
        <f ca="1">_xlfn.XLOOKUP(总览!$B$44,$B$40:$B$45,$C$40:$C$45)</f>
        <v>5</v>
      </c>
      <c r="E331" s="95">
        <f ca="1" t="shared" si="28"/>
        <v>309</v>
      </c>
      <c r="F331" s="95">
        <f ca="1" t="shared" si="29"/>
        <v>0</v>
      </c>
      <c r="G331" s="95">
        <f ca="1" t="shared" si="30"/>
        <v>4.98812785714286</v>
      </c>
      <c r="H331" s="95" cm="1">
        <f ca="1" t="array" ref="H331">MIN(30-SUM(I331:L331),_xlfn.XLOOKUP($D331&amp;"_"&amp;H$52,$B$14:$B$36&amp;"_"&amp;$C$14:$C$36,$D$14:$D$36)*$E331,18)</f>
        <v>18</v>
      </c>
      <c r="I331" s="95" cm="1">
        <f ca="1" t="array" ref="I331">MIN(30-SUM(J331:L331),6-L331,_xlfn.XLOOKUP($D331&amp;"_"&amp;I$52,$B$14:$B$36&amp;"_"&amp;$C$14:$C$36,$D$14:$D$36)*$E331)</f>
        <v>2.20692214285714</v>
      </c>
      <c r="J331" s="95" cm="1">
        <f ca="1" t="array" ref="J331">MIN(8,_xlfn.XLOOKUP($D331&amp;"_"&amp;J$52,$B$14:$B$36&amp;"_"&amp;$C$14:$C$36,$D$14:$D$36)*$E331)</f>
        <v>2.3175</v>
      </c>
      <c r="K331" s="95" cm="1">
        <f ca="1" t="array" ref="K331">MIN(18,_xlfn.XLOOKUP($D331&amp;"_"&amp;K$52,$B$14:$B$36&amp;"_"&amp;$C$14:$C$36,$D$14:$D$36)*$E331)</f>
        <v>0.8652</v>
      </c>
      <c r="L331" s="95" cm="1">
        <f ca="1" t="array" ref="L331">MIN(6,_xlfn.XLOOKUP($D331&amp;"_"&amp;L$52,$B$14:$B$36&amp;"_"&amp;$C$14:$C$36,$D$14:$D$36)*$E331)</f>
        <v>1.62225</v>
      </c>
      <c r="M331" s="95" cm="1">
        <f ca="1" t="array" ref="M331">(1+SUMPRODUCT(G331:H331,OFFSET($H$40:$I$40,D331,0)))*(1+OFFSET($J$40,D331,0))^I331*(1+OFFSET($K$40,D331,0))^J331*(1+OFFSET($L$40,D331,0))^K331*(1+OFFSET($M$40,D331,0))^L331</f>
        <v>29.7369180287186</v>
      </c>
      <c r="N331" s="95">
        <f ca="1">MAX(MAX($N$53:N330),OFFSET($C$52,MATCH(M331*1.07,$M$53:$M$2052,1),0)-C331)</f>
        <v>4680</v>
      </c>
    </row>
    <row r="332" spans="2:14">
      <c r="B332" s="95">
        <v>280</v>
      </c>
      <c r="C332" s="95">
        <f t="shared" si="31"/>
        <v>100800</v>
      </c>
      <c r="D332" s="95">
        <f ca="1">_xlfn.XLOOKUP(总览!$B$44,$B$40:$B$45,$C$40:$C$45)</f>
        <v>5</v>
      </c>
      <c r="E332" s="95">
        <f ca="1" t="shared" si="28"/>
        <v>310</v>
      </c>
      <c r="F332" s="95">
        <f ca="1" t="shared" si="29"/>
        <v>0</v>
      </c>
      <c r="G332" s="95">
        <f ca="1" t="shared" si="30"/>
        <v>4.96543571428572</v>
      </c>
      <c r="H332" s="95" cm="1">
        <f ca="1" t="array" ref="H332">MIN(30-SUM(I332:L332),_xlfn.XLOOKUP($D332&amp;"_"&amp;H$52,$B$14:$B$36&amp;"_"&amp;$C$14:$C$36,$D$14:$D$36)*$E332,18)</f>
        <v>18</v>
      </c>
      <c r="I332" s="95" cm="1">
        <f ca="1" t="array" ref="I332">MIN(30-SUM(J332:L332),6-L332,_xlfn.XLOOKUP($D332&amp;"_"&amp;I$52,$B$14:$B$36&amp;"_"&amp;$C$14:$C$36,$D$14:$D$36)*$E332)</f>
        <v>2.21406428571428</v>
      </c>
      <c r="J332" s="95" cm="1">
        <f ca="1" t="array" ref="J332">MIN(8,_xlfn.XLOOKUP($D332&amp;"_"&amp;J$52,$B$14:$B$36&amp;"_"&amp;$C$14:$C$36,$D$14:$D$36)*$E332)</f>
        <v>2.325</v>
      </c>
      <c r="K332" s="95" cm="1">
        <f ca="1" t="array" ref="K332">MIN(18,_xlfn.XLOOKUP($D332&amp;"_"&amp;K$52,$B$14:$B$36&amp;"_"&amp;$C$14:$C$36,$D$14:$D$36)*$E332)</f>
        <v>0.868</v>
      </c>
      <c r="L332" s="95" cm="1">
        <f ca="1" t="array" ref="L332">MIN(6,_xlfn.XLOOKUP($D332&amp;"_"&amp;L$52,$B$14:$B$36&amp;"_"&amp;$C$14:$C$36,$D$14:$D$36)*$E332)</f>
        <v>1.6275</v>
      </c>
      <c r="M332" s="95" cm="1">
        <f ca="1" t="array" ref="M332">(1+SUMPRODUCT(G332:H332,OFFSET($H$40:$I$40,D332,0)))*(1+OFFSET($J$40,D332,0))^I332*(1+OFFSET($K$40,D332,0))^J332*(1+OFFSET($L$40,D332,0))^K332*(1+OFFSET($M$40,D332,0))^L332</f>
        <v>29.8895639499582</v>
      </c>
      <c r="N332" s="95">
        <f ca="1">MAX(MAX($N$53:N331),OFFSET($C$52,MATCH(M332*1.07,$M$53:$M$2052,1),0)-C332)</f>
        <v>4680</v>
      </c>
    </row>
    <row r="333" spans="2:14">
      <c r="B333" s="95">
        <v>281</v>
      </c>
      <c r="C333" s="95">
        <f t="shared" si="31"/>
        <v>101160</v>
      </c>
      <c r="D333" s="95">
        <f ca="1">_xlfn.XLOOKUP(总览!$B$44,$B$40:$B$45,$C$40:$C$45)</f>
        <v>5</v>
      </c>
      <c r="E333" s="95">
        <f ca="1" t="shared" si="28"/>
        <v>311</v>
      </c>
      <c r="F333" s="95">
        <f ca="1" t="shared" si="29"/>
        <v>0</v>
      </c>
      <c r="G333" s="95">
        <f ca="1" t="shared" si="30"/>
        <v>4.94274357142858</v>
      </c>
      <c r="H333" s="95" cm="1">
        <f ca="1" t="array" ref="H333">MIN(30-SUM(I333:L333),_xlfn.XLOOKUP($D333&amp;"_"&amp;H$52,$B$14:$B$36&amp;"_"&amp;$C$14:$C$36,$D$14:$D$36)*$E333,18)</f>
        <v>18</v>
      </c>
      <c r="I333" s="95" cm="1">
        <f ca="1" t="array" ref="I333">MIN(30-SUM(J333:L333),6-L333,_xlfn.XLOOKUP($D333&amp;"_"&amp;I$52,$B$14:$B$36&amp;"_"&amp;$C$14:$C$36,$D$14:$D$36)*$E333)</f>
        <v>2.22120642857142</v>
      </c>
      <c r="J333" s="95" cm="1">
        <f ca="1" t="array" ref="J333">MIN(8,_xlfn.XLOOKUP($D333&amp;"_"&amp;J$52,$B$14:$B$36&amp;"_"&amp;$C$14:$C$36,$D$14:$D$36)*$E333)</f>
        <v>2.3325</v>
      </c>
      <c r="K333" s="95" cm="1">
        <f ca="1" t="array" ref="K333">MIN(18,_xlfn.XLOOKUP($D333&amp;"_"&amp;K$52,$B$14:$B$36&amp;"_"&amp;$C$14:$C$36,$D$14:$D$36)*$E333)</f>
        <v>0.8708</v>
      </c>
      <c r="L333" s="95" cm="1">
        <f ca="1" t="array" ref="L333">MIN(6,_xlfn.XLOOKUP($D333&amp;"_"&amp;L$52,$B$14:$B$36&amp;"_"&amp;$C$14:$C$36,$D$14:$D$36)*$E333)</f>
        <v>1.63275</v>
      </c>
      <c r="M333" s="95" cm="1">
        <f ca="1" t="array" ref="M333">(1+SUMPRODUCT(G333:H333,OFFSET($H$40:$I$40,D333,0)))*(1+OFFSET($J$40,D333,0))^I333*(1+OFFSET($K$40,D333,0))^J333*(1+OFFSET($L$40,D333,0))^K333*(1+OFFSET($M$40,D333,0))^L333</f>
        <v>30.0429851834643</v>
      </c>
      <c r="N333" s="95">
        <f ca="1">MAX(MAX($N$53:N332),OFFSET($C$52,MATCH(M333*1.07,$M$53:$M$2052,1),0)-C333)</f>
        <v>4680</v>
      </c>
    </row>
    <row r="334" spans="2:14">
      <c r="B334" s="95">
        <v>282</v>
      </c>
      <c r="C334" s="95">
        <f t="shared" si="31"/>
        <v>101520</v>
      </c>
      <c r="D334" s="95">
        <f ca="1">_xlfn.XLOOKUP(总览!$B$44,$B$40:$B$45,$C$40:$C$45)</f>
        <v>5</v>
      </c>
      <c r="E334" s="95">
        <f ca="1" t="shared" si="28"/>
        <v>312</v>
      </c>
      <c r="F334" s="95">
        <f ca="1" t="shared" si="29"/>
        <v>0</v>
      </c>
      <c r="G334" s="95">
        <f ca="1" t="shared" si="30"/>
        <v>4.92005142857143</v>
      </c>
      <c r="H334" s="95" cm="1">
        <f ca="1" t="array" ref="H334">MIN(30-SUM(I334:L334),_xlfn.XLOOKUP($D334&amp;"_"&amp;H$52,$B$14:$B$36&amp;"_"&amp;$C$14:$C$36,$D$14:$D$36)*$E334,18)</f>
        <v>18</v>
      </c>
      <c r="I334" s="95" cm="1">
        <f ca="1" t="array" ref="I334">MIN(30-SUM(J334:L334),6-L334,_xlfn.XLOOKUP($D334&amp;"_"&amp;I$52,$B$14:$B$36&amp;"_"&amp;$C$14:$C$36,$D$14:$D$36)*$E334)</f>
        <v>2.22834857142857</v>
      </c>
      <c r="J334" s="95" cm="1">
        <f ca="1" t="array" ref="J334">MIN(8,_xlfn.XLOOKUP($D334&amp;"_"&amp;J$52,$B$14:$B$36&amp;"_"&amp;$C$14:$C$36,$D$14:$D$36)*$E334)</f>
        <v>2.34</v>
      </c>
      <c r="K334" s="95" cm="1">
        <f ca="1" t="array" ref="K334">MIN(18,_xlfn.XLOOKUP($D334&amp;"_"&amp;K$52,$B$14:$B$36&amp;"_"&amp;$C$14:$C$36,$D$14:$D$36)*$E334)</f>
        <v>0.8736</v>
      </c>
      <c r="L334" s="95" cm="1">
        <f ca="1" t="array" ref="L334">MIN(6,_xlfn.XLOOKUP($D334&amp;"_"&amp;L$52,$B$14:$B$36&amp;"_"&amp;$C$14:$C$36,$D$14:$D$36)*$E334)</f>
        <v>1.638</v>
      </c>
      <c r="M334" s="95" cm="1">
        <f ca="1" t="array" ref="M334">(1+SUMPRODUCT(G334:H334,OFFSET($H$40:$I$40,D334,0)))*(1+OFFSET($J$40,D334,0))^I334*(1+OFFSET($K$40,D334,0))^J334*(1+OFFSET($L$40,D334,0))^K334*(1+OFFSET($M$40,D334,0))^L334</f>
        <v>30.1971856156709</v>
      </c>
      <c r="N334" s="95">
        <f ca="1">MAX(MAX($N$53:N333),OFFSET($C$52,MATCH(M334*1.07,$M$53:$M$2052,1),0)-C334)</f>
        <v>4680</v>
      </c>
    </row>
    <row r="335" spans="2:14">
      <c r="B335" s="95">
        <v>283</v>
      </c>
      <c r="C335" s="95">
        <f t="shared" si="31"/>
        <v>101880</v>
      </c>
      <c r="D335" s="95">
        <f ca="1">_xlfn.XLOOKUP(总览!$B$44,$B$40:$B$45,$C$40:$C$45)</f>
        <v>5</v>
      </c>
      <c r="E335" s="95">
        <f ca="1" t="shared" si="28"/>
        <v>313</v>
      </c>
      <c r="F335" s="95">
        <f ca="1" t="shared" si="29"/>
        <v>0</v>
      </c>
      <c r="G335" s="95">
        <f ca="1" t="shared" si="30"/>
        <v>4.89735928571429</v>
      </c>
      <c r="H335" s="95" cm="1">
        <f ca="1" t="array" ref="H335">MIN(30-SUM(I335:L335),_xlfn.XLOOKUP($D335&amp;"_"&amp;H$52,$B$14:$B$36&amp;"_"&amp;$C$14:$C$36,$D$14:$D$36)*$E335,18)</f>
        <v>18</v>
      </c>
      <c r="I335" s="95" cm="1">
        <f ca="1" t="array" ref="I335">MIN(30-SUM(J335:L335),6-L335,_xlfn.XLOOKUP($D335&amp;"_"&amp;I$52,$B$14:$B$36&amp;"_"&amp;$C$14:$C$36,$D$14:$D$36)*$E335)</f>
        <v>2.23549071428571</v>
      </c>
      <c r="J335" s="95" cm="1">
        <f ca="1" t="array" ref="J335">MIN(8,_xlfn.XLOOKUP($D335&amp;"_"&amp;J$52,$B$14:$B$36&amp;"_"&amp;$C$14:$C$36,$D$14:$D$36)*$E335)</f>
        <v>2.3475</v>
      </c>
      <c r="K335" s="95" cm="1">
        <f ca="1" t="array" ref="K335">MIN(18,_xlfn.XLOOKUP($D335&amp;"_"&amp;K$52,$B$14:$B$36&amp;"_"&amp;$C$14:$C$36,$D$14:$D$36)*$E335)</f>
        <v>0.8764</v>
      </c>
      <c r="L335" s="95" cm="1">
        <f ca="1" t="array" ref="L335">MIN(6,_xlfn.XLOOKUP($D335&amp;"_"&amp;L$52,$B$14:$B$36&amp;"_"&amp;$C$14:$C$36,$D$14:$D$36)*$E335)</f>
        <v>1.64325</v>
      </c>
      <c r="M335" s="95" cm="1">
        <f ca="1" t="array" ref="M335">(1+SUMPRODUCT(G335:H335,OFFSET($H$40:$I$40,D335,0)))*(1+OFFSET($J$40,D335,0))^I335*(1+OFFSET($K$40,D335,0))^J335*(1+OFFSET($L$40,D335,0))^K335*(1+OFFSET($M$40,D335,0))^L335</f>
        <v>30.3521691521683</v>
      </c>
      <c r="N335" s="95">
        <f ca="1">MAX(MAX($N$53:N334),OFFSET($C$52,MATCH(M335*1.07,$M$53:$M$2052,1),0)-C335)</f>
        <v>4680</v>
      </c>
    </row>
    <row r="336" spans="2:14">
      <c r="B336" s="95">
        <v>284</v>
      </c>
      <c r="C336" s="95">
        <f t="shared" si="31"/>
        <v>102240</v>
      </c>
      <c r="D336" s="95">
        <f ca="1">_xlfn.XLOOKUP(总览!$B$44,$B$40:$B$45,$C$40:$C$45)</f>
        <v>5</v>
      </c>
      <c r="E336" s="95">
        <f ca="1" t="shared" si="28"/>
        <v>314</v>
      </c>
      <c r="F336" s="95">
        <f ca="1" t="shared" si="29"/>
        <v>0</v>
      </c>
      <c r="G336" s="95">
        <f ca="1" t="shared" si="30"/>
        <v>4.87466714285715</v>
      </c>
      <c r="H336" s="95" cm="1">
        <f ca="1" t="array" ref="H336">MIN(30-SUM(I336:L336),_xlfn.XLOOKUP($D336&amp;"_"&amp;H$52,$B$14:$B$36&amp;"_"&amp;$C$14:$C$36,$D$14:$D$36)*$E336,18)</f>
        <v>18</v>
      </c>
      <c r="I336" s="95" cm="1">
        <f ca="1" t="array" ref="I336">MIN(30-SUM(J336:L336),6-L336,_xlfn.XLOOKUP($D336&amp;"_"&amp;I$52,$B$14:$B$36&amp;"_"&amp;$C$14:$C$36,$D$14:$D$36)*$E336)</f>
        <v>2.24263285714285</v>
      </c>
      <c r="J336" s="95" cm="1">
        <f ca="1" t="array" ref="J336">MIN(8,_xlfn.XLOOKUP($D336&amp;"_"&amp;J$52,$B$14:$B$36&amp;"_"&amp;$C$14:$C$36,$D$14:$D$36)*$E336)</f>
        <v>2.355</v>
      </c>
      <c r="K336" s="95" cm="1">
        <f ca="1" t="array" ref="K336">MIN(18,_xlfn.XLOOKUP($D336&amp;"_"&amp;K$52,$B$14:$B$36&amp;"_"&amp;$C$14:$C$36,$D$14:$D$36)*$E336)</f>
        <v>0.8792</v>
      </c>
      <c r="L336" s="95" cm="1">
        <f ca="1" t="array" ref="L336">MIN(6,_xlfn.XLOOKUP($D336&amp;"_"&amp;L$52,$B$14:$B$36&amp;"_"&amp;$C$14:$C$36,$D$14:$D$36)*$E336)</f>
        <v>1.6485</v>
      </c>
      <c r="M336" s="95" cm="1">
        <f ca="1" t="array" ref="M336">(1+SUMPRODUCT(G336:H336,OFFSET($H$40:$I$40,D336,0)))*(1+OFFSET($J$40,D336,0))^I336*(1+OFFSET($K$40,D336,0))^J336*(1+OFFSET($L$40,D336,0))^K336*(1+OFFSET($M$40,D336,0))^L336</f>
        <v>30.5079397177965</v>
      </c>
      <c r="N336" s="95">
        <f ca="1">MAX(MAX($N$53:N335),OFFSET($C$52,MATCH(M336*1.07,$M$53:$M$2052,1),0)-C336)</f>
        <v>4680</v>
      </c>
    </row>
    <row r="337" spans="2:14">
      <c r="B337" s="95">
        <v>285</v>
      </c>
      <c r="C337" s="95">
        <f t="shared" si="31"/>
        <v>102600</v>
      </c>
      <c r="D337" s="95">
        <f ca="1">_xlfn.XLOOKUP(总览!$B$44,$B$40:$B$45,$C$40:$C$45)</f>
        <v>5</v>
      </c>
      <c r="E337" s="95">
        <f ca="1" t="shared" si="28"/>
        <v>315</v>
      </c>
      <c r="F337" s="95">
        <f ca="1" t="shared" si="29"/>
        <v>0</v>
      </c>
      <c r="G337" s="95">
        <f ca="1" t="shared" si="30"/>
        <v>4.851975</v>
      </c>
      <c r="H337" s="95" cm="1">
        <f ca="1" t="array" ref="H337">MIN(30-SUM(I337:L337),_xlfn.XLOOKUP($D337&amp;"_"&amp;H$52,$B$14:$B$36&amp;"_"&amp;$C$14:$C$36,$D$14:$D$36)*$E337,18)</f>
        <v>18</v>
      </c>
      <c r="I337" s="95" cm="1">
        <f ca="1" t="array" ref="I337">MIN(30-SUM(J337:L337),6-L337,_xlfn.XLOOKUP($D337&amp;"_"&amp;I$52,$B$14:$B$36&amp;"_"&amp;$C$14:$C$36,$D$14:$D$36)*$E337)</f>
        <v>2.249775</v>
      </c>
      <c r="J337" s="95" cm="1">
        <f ca="1" t="array" ref="J337">MIN(8,_xlfn.XLOOKUP($D337&amp;"_"&amp;J$52,$B$14:$B$36&amp;"_"&amp;$C$14:$C$36,$D$14:$D$36)*$E337)</f>
        <v>2.3625</v>
      </c>
      <c r="K337" s="95" cm="1">
        <f ca="1" t="array" ref="K337">MIN(18,_xlfn.XLOOKUP($D337&amp;"_"&amp;K$52,$B$14:$B$36&amp;"_"&amp;$C$14:$C$36,$D$14:$D$36)*$E337)</f>
        <v>0.882</v>
      </c>
      <c r="L337" s="95" cm="1">
        <f ca="1" t="array" ref="L337">MIN(6,_xlfn.XLOOKUP($D337&amp;"_"&amp;L$52,$B$14:$B$36&amp;"_"&amp;$C$14:$C$36,$D$14:$D$36)*$E337)</f>
        <v>1.65375</v>
      </c>
      <c r="M337" s="95" cm="1">
        <f ca="1" t="array" ref="M337">(1+SUMPRODUCT(G337:H337,OFFSET($H$40:$I$40,D337,0)))*(1+OFFSET($J$40,D337,0))^I337*(1+OFFSET($K$40,D337,0))^J337*(1+OFFSET($L$40,D337,0))^K337*(1+OFFSET($M$40,D337,0))^L337</f>
        <v>30.6645012567371</v>
      </c>
      <c r="N337" s="95">
        <f ca="1">MAX(MAX($N$53:N336),OFFSET($C$52,MATCH(M337*1.07,$M$53:$M$2052,1),0)-C337)</f>
        <v>4680</v>
      </c>
    </row>
    <row r="338" spans="2:14">
      <c r="B338" s="95">
        <v>286</v>
      </c>
      <c r="C338" s="95">
        <f t="shared" si="31"/>
        <v>102960</v>
      </c>
      <c r="D338" s="95">
        <f ca="1">_xlfn.XLOOKUP(总览!$B$44,$B$40:$B$45,$C$40:$C$45)</f>
        <v>5</v>
      </c>
      <c r="E338" s="95">
        <f ca="1" t="shared" si="28"/>
        <v>316</v>
      </c>
      <c r="F338" s="95">
        <f ca="1" t="shared" si="29"/>
        <v>0</v>
      </c>
      <c r="G338" s="95">
        <f ca="1" t="shared" si="30"/>
        <v>4.82928285714286</v>
      </c>
      <c r="H338" s="95" cm="1">
        <f ca="1" t="array" ref="H338">MIN(30-SUM(I338:L338),_xlfn.XLOOKUP($D338&amp;"_"&amp;H$52,$B$14:$B$36&amp;"_"&amp;$C$14:$C$36,$D$14:$D$36)*$E338,18)</f>
        <v>18</v>
      </c>
      <c r="I338" s="95" cm="1">
        <f ca="1" t="array" ref="I338">MIN(30-SUM(J338:L338),6-L338,_xlfn.XLOOKUP($D338&amp;"_"&amp;I$52,$B$14:$B$36&amp;"_"&amp;$C$14:$C$36,$D$14:$D$36)*$E338)</f>
        <v>2.25691714285714</v>
      </c>
      <c r="J338" s="95" cm="1">
        <f ca="1" t="array" ref="J338">MIN(8,_xlfn.XLOOKUP($D338&amp;"_"&amp;J$52,$B$14:$B$36&amp;"_"&amp;$C$14:$C$36,$D$14:$D$36)*$E338)</f>
        <v>2.37</v>
      </c>
      <c r="K338" s="95" cm="1">
        <f ca="1" t="array" ref="K338">MIN(18,_xlfn.XLOOKUP($D338&amp;"_"&amp;K$52,$B$14:$B$36&amp;"_"&amp;$C$14:$C$36,$D$14:$D$36)*$E338)</f>
        <v>0.8848</v>
      </c>
      <c r="L338" s="95" cm="1">
        <f ca="1" t="array" ref="L338">MIN(6,_xlfn.XLOOKUP($D338&amp;"_"&amp;L$52,$B$14:$B$36&amp;"_"&amp;$C$14:$C$36,$D$14:$D$36)*$E338)</f>
        <v>1.659</v>
      </c>
      <c r="M338" s="95" cm="1">
        <f ca="1" t="array" ref="M338">(1+SUMPRODUCT(G338:H338,OFFSET($H$40:$I$40,D338,0)))*(1+OFFSET($J$40,D338,0))^I338*(1+OFFSET($K$40,D338,0))^J338*(1+OFFSET($L$40,D338,0))^K338*(1+OFFSET($M$40,D338,0))^L338</f>
        <v>30.8218577326072</v>
      </c>
      <c r="N338" s="95">
        <f ca="1">MAX(MAX($N$53:N337),OFFSET($C$52,MATCH(M338*1.07,$M$53:$M$2052,1),0)-C338)</f>
        <v>4680</v>
      </c>
    </row>
    <row r="339" spans="2:14">
      <c r="B339" s="95">
        <v>287</v>
      </c>
      <c r="C339" s="95">
        <f t="shared" si="31"/>
        <v>103320</v>
      </c>
      <c r="D339" s="95">
        <f ca="1">_xlfn.XLOOKUP(总览!$B$44,$B$40:$B$45,$C$40:$C$45)</f>
        <v>5</v>
      </c>
      <c r="E339" s="95">
        <f ca="1" t="shared" si="28"/>
        <v>317</v>
      </c>
      <c r="F339" s="95">
        <f ca="1" t="shared" si="29"/>
        <v>0</v>
      </c>
      <c r="G339" s="95">
        <f ca="1" t="shared" si="30"/>
        <v>4.80659071428572</v>
      </c>
      <c r="H339" s="95" cm="1">
        <f ca="1" t="array" ref="H339">MIN(30-SUM(I339:L339),_xlfn.XLOOKUP($D339&amp;"_"&amp;H$52,$B$14:$B$36&amp;"_"&amp;$C$14:$C$36,$D$14:$D$36)*$E339,18)</f>
        <v>18</v>
      </c>
      <c r="I339" s="95" cm="1">
        <f ca="1" t="array" ref="I339">MIN(30-SUM(J339:L339),6-L339,_xlfn.XLOOKUP($D339&amp;"_"&amp;I$52,$B$14:$B$36&amp;"_"&amp;$C$14:$C$36,$D$14:$D$36)*$E339)</f>
        <v>2.26405928571428</v>
      </c>
      <c r="J339" s="95" cm="1">
        <f ca="1" t="array" ref="J339">MIN(8,_xlfn.XLOOKUP($D339&amp;"_"&amp;J$52,$B$14:$B$36&amp;"_"&amp;$C$14:$C$36,$D$14:$D$36)*$E339)</f>
        <v>2.3775</v>
      </c>
      <c r="K339" s="95" cm="1">
        <f ca="1" t="array" ref="K339">MIN(18,_xlfn.XLOOKUP($D339&amp;"_"&amp;K$52,$B$14:$B$36&amp;"_"&amp;$C$14:$C$36,$D$14:$D$36)*$E339)</f>
        <v>0.8876</v>
      </c>
      <c r="L339" s="95" cm="1">
        <f ca="1" t="array" ref="L339">MIN(6,_xlfn.XLOOKUP($D339&amp;"_"&amp;L$52,$B$14:$B$36&amp;"_"&amp;$C$14:$C$36,$D$14:$D$36)*$E339)</f>
        <v>1.66425</v>
      </c>
      <c r="M339" s="95" cm="1">
        <f ca="1" t="array" ref="M339">(1+SUMPRODUCT(G339:H339,OFFSET($H$40:$I$40,D339,0)))*(1+OFFSET($J$40,D339,0))^I339*(1+OFFSET($K$40,D339,0))^J339*(1+OFFSET($L$40,D339,0))^K339*(1+OFFSET($M$40,D339,0))^L339</f>
        <v>30.9800131285525</v>
      </c>
      <c r="N339" s="95">
        <f ca="1">MAX(MAX($N$53:N338),OFFSET($C$52,MATCH(M339*1.07,$M$53:$M$2052,1),0)-C339)</f>
        <v>4680</v>
      </c>
    </row>
    <row r="340" spans="2:14">
      <c r="B340" s="95">
        <v>288</v>
      </c>
      <c r="C340" s="95">
        <f t="shared" si="31"/>
        <v>103680</v>
      </c>
      <c r="D340" s="95">
        <f ca="1">_xlfn.XLOOKUP(总览!$B$44,$B$40:$B$45,$C$40:$C$45)</f>
        <v>5</v>
      </c>
      <c r="E340" s="95">
        <f ca="1" t="shared" si="28"/>
        <v>318</v>
      </c>
      <c r="F340" s="95">
        <f ca="1" t="shared" si="29"/>
        <v>0</v>
      </c>
      <c r="G340" s="95">
        <f ca="1" t="shared" si="30"/>
        <v>4.78389857142858</v>
      </c>
      <c r="H340" s="95" cm="1">
        <f ca="1" t="array" ref="H340">MIN(30-SUM(I340:L340),_xlfn.XLOOKUP($D340&amp;"_"&amp;H$52,$B$14:$B$36&amp;"_"&amp;$C$14:$C$36,$D$14:$D$36)*$E340,18)</f>
        <v>18</v>
      </c>
      <c r="I340" s="95" cm="1">
        <f ca="1" t="array" ref="I340">MIN(30-SUM(J340:L340),6-L340,_xlfn.XLOOKUP($D340&amp;"_"&amp;I$52,$B$14:$B$36&amp;"_"&amp;$C$14:$C$36,$D$14:$D$36)*$E340)</f>
        <v>2.27120142857142</v>
      </c>
      <c r="J340" s="95" cm="1">
        <f ca="1" t="array" ref="J340">MIN(8,_xlfn.XLOOKUP($D340&amp;"_"&amp;J$52,$B$14:$B$36&amp;"_"&amp;$C$14:$C$36,$D$14:$D$36)*$E340)</f>
        <v>2.385</v>
      </c>
      <c r="K340" s="95" cm="1">
        <f ca="1" t="array" ref="K340">MIN(18,_xlfn.XLOOKUP($D340&amp;"_"&amp;K$52,$B$14:$B$36&amp;"_"&amp;$C$14:$C$36,$D$14:$D$36)*$E340)</f>
        <v>0.8904</v>
      </c>
      <c r="L340" s="95" cm="1">
        <f ca="1" t="array" ref="L340">MIN(6,_xlfn.XLOOKUP($D340&amp;"_"&amp;L$52,$B$14:$B$36&amp;"_"&amp;$C$14:$C$36,$D$14:$D$36)*$E340)</f>
        <v>1.6695</v>
      </c>
      <c r="M340" s="95" cm="1">
        <f ca="1" t="array" ref="M340">(1+SUMPRODUCT(G340:H340,OFFSET($H$40:$I$40,D340,0)))*(1+OFFSET($J$40,D340,0))^I340*(1+OFFSET($K$40,D340,0))^J340*(1+OFFSET($L$40,D340,0))^K340*(1+OFFSET($M$40,D340,0))^L340</f>
        <v>31.1389714473419</v>
      </c>
      <c r="N340" s="95">
        <f ca="1">MAX(MAX($N$53:N339),OFFSET($C$52,MATCH(M340*1.07,$M$53:$M$2052,1),0)-C340)</f>
        <v>4680</v>
      </c>
    </row>
    <row r="341" spans="2:14">
      <c r="B341" s="95">
        <v>289</v>
      </c>
      <c r="C341" s="95">
        <f t="shared" si="31"/>
        <v>104040</v>
      </c>
      <c r="D341" s="95">
        <f ca="1">_xlfn.XLOOKUP(总览!$B$44,$B$40:$B$45,$C$40:$C$45)</f>
        <v>5</v>
      </c>
      <c r="E341" s="95">
        <f ca="1" t="shared" si="28"/>
        <v>319</v>
      </c>
      <c r="F341" s="95">
        <f ca="1" t="shared" si="29"/>
        <v>0</v>
      </c>
      <c r="G341" s="95">
        <f ca="1" t="shared" si="30"/>
        <v>4.76120642857143</v>
      </c>
      <c r="H341" s="95" cm="1">
        <f ca="1" t="array" ref="H341">MIN(30-SUM(I341:L341),_xlfn.XLOOKUP($D341&amp;"_"&amp;H$52,$B$14:$B$36&amp;"_"&amp;$C$14:$C$36,$D$14:$D$36)*$E341,18)</f>
        <v>18</v>
      </c>
      <c r="I341" s="95" cm="1">
        <f ca="1" t="array" ref="I341">MIN(30-SUM(J341:L341),6-L341,_xlfn.XLOOKUP($D341&amp;"_"&amp;I$52,$B$14:$B$36&amp;"_"&amp;$C$14:$C$36,$D$14:$D$36)*$E341)</f>
        <v>2.27834357142857</v>
      </c>
      <c r="J341" s="95" cm="1">
        <f ca="1" t="array" ref="J341">MIN(8,_xlfn.XLOOKUP($D341&amp;"_"&amp;J$52,$B$14:$B$36&amp;"_"&amp;$C$14:$C$36,$D$14:$D$36)*$E341)</f>
        <v>2.3925</v>
      </c>
      <c r="K341" s="95" cm="1">
        <f ca="1" t="array" ref="K341">MIN(18,_xlfn.XLOOKUP($D341&amp;"_"&amp;K$52,$B$14:$B$36&amp;"_"&amp;$C$14:$C$36,$D$14:$D$36)*$E341)</f>
        <v>0.8932</v>
      </c>
      <c r="L341" s="95" cm="1">
        <f ca="1" t="array" ref="L341">MIN(6,_xlfn.XLOOKUP($D341&amp;"_"&amp;L$52,$B$14:$B$36&amp;"_"&amp;$C$14:$C$36,$D$14:$D$36)*$E341)</f>
        <v>1.67475</v>
      </c>
      <c r="M341" s="95" cm="1">
        <f ca="1" t="array" ref="M341">(1+SUMPRODUCT(G341:H341,OFFSET($H$40:$I$40,D341,0)))*(1+OFFSET($J$40,D341,0))^I341*(1+OFFSET($K$40,D341,0))^J341*(1+OFFSET($L$40,D341,0))^K341*(1+OFFSET($M$40,D341,0))^L341</f>
        <v>31.2987367114615</v>
      </c>
      <c r="N341" s="95">
        <f ca="1">MAX(MAX($N$53:N340),OFFSET($C$52,MATCH(M341*1.07,$M$53:$M$2052,1),0)-C341)</f>
        <v>4680</v>
      </c>
    </row>
    <row r="342" spans="2:14">
      <c r="B342" s="95">
        <v>290</v>
      </c>
      <c r="C342" s="95">
        <f t="shared" si="31"/>
        <v>104400</v>
      </c>
      <c r="D342" s="95">
        <f ca="1">_xlfn.XLOOKUP(总览!$B$44,$B$40:$B$45,$C$40:$C$45)</f>
        <v>5</v>
      </c>
      <c r="E342" s="95">
        <f ca="1" t="shared" si="28"/>
        <v>320</v>
      </c>
      <c r="F342" s="95">
        <f ca="1" t="shared" si="29"/>
        <v>0</v>
      </c>
      <c r="G342" s="95">
        <f ca="1" t="shared" si="30"/>
        <v>4.73851428571429</v>
      </c>
      <c r="H342" s="95" cm="1">
        <f ca="1" t="array" ref="H342">MIN(30-SUM(I342:L342),_xlfn.XLOOKUP($D342&amp;"_"&amp;H$52,$B$14:$B$36&amp;"_"&amp;$C$14:$C$36,$D$14:$D$36)*$E342,18)</f>
        <v>18</v>
      </c>
      <c r="I342" s="95" cm="1">
        <f ca="1" t="array" ref="I342">MIN(30-SUM(J342:L342),6-L342,_xlfn.XLOOKUP($D342&amp;"_"&amp;I$52,$B$14:$B$36&amp;"_"&amp;$C$14:$C$36,$D$14:$D$36)*$E342)</f>
        <v>2.28548571428571</v>
      </c>
      <c r="J342" s="95" cm="1">
        <f ca="1" t="array" ref="J342">MIN(8,_xlfn.XLOOKUP($D342&amp;"_"&amp;J$52,$B$14:$B$36&amp;"_"&amp;$C$14:$C$36,$D$14:$D$36)*$E342)</f>
        <v>2.4</v>
      </c>
      <c r="K342" s="95" cm="1">
        <f ca="1" t="array" ref="K342">MIN(18,_xlfn.XLOOKUP($D342&amp;"_"&amp;K$52,$B$14:$B$36&amp;"_"&amp;$C$14:$C$36,$D$14:$D$36)*$E342)</f>
        <v>0.896</v>
      </c>
      <c r="L342" s="95" cm="1">
        <f ca="1" t="array" ref="L342">MIN(6,_xlfn.XLOOKUP($D342&amp;"_"&amp;L$52,$B$14:$B$36&amp;"_"&amp;$C$14:$C$36,$D$14:$D$36)*$E342)</f>
        <v>1.68</v>
      </c>
      <c r="M342" s="95" cm="1">
        <f ca="1" t="array" ref="M342">(1+SUMPRODUCT(G342:H342,OFFSET($H$40:$I$40,D342,0)))*(1+OFFSET($J$40,D342,0))^I342*(1+OFFSET($K$40,D342,0))^J342*(1+OFFSET($L$40,D342,0))^K342*(1+OFFSET($M$40,D342,0))^L342</f>
        <v>31.4593129632101</v>
      </c>
      <c r="N342" s="95">
        <f ca="1">MAX(MAX($N$53:N341),OFFSET($C$52,MATCH(M342*1.07,$M$53:$M$2052,1),0)-C342)</f>
        <v>4680</v>
      </c>
    </row>
    <row r="343" spans="2:14">
      <c r="B343" s="95">
        <v>291</v>
      </c>
      <c r="C343" s="95">
        <f t="shared" si="31"/>
        <v>104760</v>
      </c>
      <c r="D343" s="95">
        <f ca="1">_xlfn.XLOOKUP(总览!$B$44,$B$40:$B$45,$C$40:$C$45)</f>
        <v>5</v>
      </c>
      <c r="E343" s="95">
        <f ca="1" t="shared" si="28"/>
        <v>321</v>
      </c>
      <c r="F343" s="95">
        <f ca="1" t="shared" si="29"/>
        <v>0</v>
      </c>
      <c r="G343" s="95">
        <f ca="1" t="shared" si="30"/>
        <v>4.71582214285715</v>
      </c>
      <c r="H343" s="95" cm="1">
        <f ca="1" t="array" ref="H343">MIN(30-SUM(I343:L343),_xlfn.XLOOKUP($D343&amp;"_"&amp;H$52,$B$14:$B$36&amp;"_"&amp;$C$14:$C$36,$D$14:$D$36)*$E343,18)</f>
        <v>18</v>
      </c>
      <c r="I343" s="95" cm="1">
        <f ca="1" t="array" ref="I343">MIN(30-SUM(J343:L343),6-L343,_xlfn.XLOOKUP($D343&amp;"_"&amp;I$52,$B$14:$B$36&amp;"_"&amp;$C$14:$C$36,$D$14:$D$36)*$E343)</f>
        <v>2.29262785714285</v>
      </c>
      <c r="J343" s="95" cm="1">
        <f ca="1" t="array" ref="J343">MIN(8,_xlfn.XLOOKUP($D343&amp;"_"&amp;J$52,$B$14:$B$36&amp;"_"&amp;$C$14:$C$36,$D$14:$D$36)*$E343)</f>
        <v>2.4075</v>
      </c>
      <c r="K343" s="95" cm="1">
        <f ca="1" t="array" ref="K343">MIN(18,_xlfn.XLOOKUP($D343&amp;"_"&amp;K$52,$B$14:$B$36&amp;"_"&amp;$C$14:$C$36,$D$14:$D$36)*$E343)</f>
        <v>0.8988</v>
      </c>
      <c r="L343" s="95" cm="1">
        <f ca="1" t="array" ref="L343">MIN(6,_xlfn.XLOOKUP($D343&amp;"_"&amp;L$52,$B$14:$B$36&amp;"_"&amp;$C$14:$C$36,$D$14:$D$36)*$E343)</f>
        <v>1.68525</v>
      </c>
      <c r="M343" s="95" cm="1">
        <f ca="1" t="array" ref="M343">(1+SUMPRODUCT(G343:H343,OFFSET($H$40:$I$40,D343,0)))*(1+OFFSET($J$40,D343,0))^I343*(1+OFFSET($K$40,D343,0))^J343*(1+OFFSET($L$40,D343,0))^K343*(1+OFFSET($M$40,D343,0))^L343</f>
        <v>31.6207042647941</v>
      </c>
      <c r="N343" s="95">
        <f ca="1">MAX(MAX($N$53:N342),OFFSET($C$52,MATCH(M343*1.07,$M$53:$M$2052,1),0)-C343)</f>
        <v>4680</v>
      </c>
    </row>
    <row r="344" spans="2:14">
      <c r="B344" s="95">
        <v>292</v>
      </c>
      <c r="C344" s="95">
        <f t="shared" si="31"/>
        <v>105120</v>
      </c>
      <c r="D344" s="95">
        <f ca="1">_xlfn.XLOOKUP(总览!$B$44,$B$40:$B$45,$C$40:$C$45)</f>
        <v>5</v>
      </c>
      <c r="E344" s="95">
        <f ca="1" t="shared" si="28"/>
        <v>322</v>
      </c>
      <c r="F344" s="95">
        <f ca="1" t="shared" si="29"/>
        <v>0</v>
      </c>
      <c r="G344" s="95">
        <f ca="1" t="shared" si="30"/>
        <v>4.69313</v>
      </c>
      <c r="H344" s="95" cm="1">
        <f ca="1" t="array" ref="H344">MIN(30-SUM(I344:L344),_xlfn.XLOOKUP($D344&amp;"_"&amp;H$52,$B$14:$B$36&amp;"_"&amp;$C$14:$C$36,$D$14:$D$36)*$E344,18)</f>
        <v>18</v>
      </c>
      <c r="I344" s="95" cm="1">
        <f ca="1" t="array" ref="I344">MIN(30-SUM(J344:L344),6-L344,_xlfn.XLOOKUP($D344&amp;"_"&amp;I$52,$B$14:$B$36&amp;"_"&amp;$C$14:$C$36,$D$14:$D$36)*$E344)</f>
        <v>2.29977</v>
      </c>
      <c r="J344" s="95" cm="1">
        <f ca="1" t="array" ref="J344">MIN(8,_xlfn.XLOOKUP($D344&amp;"_"&amp;J$52,$B$14:$B$36&amp;"_"&amp;$C$14:$C$36,$D$14:$D$36)*$E344)</f>
        <v>2.415</v>
      </c>
      <c r="K344" s="95" cm="1">
        <f ca="1" t="array" ref="K344">MIN(18,_xlfn.XLOOKUP($D344&amp;"_"&amp;K$52,$B$14:$B$36&amp;"_"&amp;$C$14:$C$36,$D$14:$D$36)*$E344)</f>
        <v>0.9016</v>
      </c>
      <c r="L344" s="95" cm="1">
        <f ca="1" t="array" ref="L344">MIN(6,_xlfn.XLOOKUP($D344&amp;"_"&amp;L$52,$B$14:$B$36&amp;"_"&amp;$C$14:$C$36,$D$14:$D$36)*$E344)</f>
        <v>1.6905</v>
      </c>
      <c r="M344" s="95" cm="1">
        <f ca="1" t="array" ref="M344">(1+SUMPRODUCT(G344:H344,OFFSET($H$40:$I$40,D344,0)))*(1+OFFSET($J$40,D344,0))^I344*(1+OFFSET($K$40,D344,0))^J344*(1+OFFSET($L$40,D344,0))^K344*(1+OFFSET($M$40,D344,0))^L344</f>
        <v>31.782914698424</v>
      </c>
      <c r="N344" s="95">
        <f ca="1">MAX(MAX($N$53:N343),OFFSET($C$52,MATCH(M344*1.07,$M$53:$M$2052,1),0)-C344)</f>
        <v>4680</v>
      </c>
    </row>
    <row r="345" spans="2:14">
      <c r="B345" s="95">
        <v>293</v>
      </c>
      <c r="C345" s="95">
        <f t="shared" si="31"/>
        <v>105480</v>
      </c>
      <c r="D345" s="95">
        <f ca="1">_xlfn.XLOOKUP(总览!$B$44,$B$40:$B$45,$C$40:$C$45)</f>
        <v>5</v>
      </c>
      <c r="E345" s="95">
        <f ca="1" t="shared" si="28"/>
        <v>323</v>
      </c>
      <c r="F345" s="95">
        <f ca="1" t="shared" si="29"/>
        <v>0</v>
      </c>
      <c r="G345" s="95">
        <f ca="1" t="shared" si="30"/>
        <v>4.67043785714286</v>
      </c>
      <c r="H345" s="95" cm="1">
        <f ca="1" t="array" ref="H345">MIN(30-SUM(I345:L345),_xlfn.XLOOKUP($D345&amp;"_"&amp;H$52,$B$14:$B$36&amp;"_"&amp;$C$14:$C$36,$D$14:$D$36)*$E345,18)</f>
        <v>18</v>
      </c>
      <c r="I345" s="95" cm="1">
        <f ca="1" t="array" ref="I345">MIN(30-SUM(J345:L345),6-L345,_xlfn.XLOOKUP($D345&amp;"_"&amp;I$52,$B$14:$B$36&amp;"_"&amp;$C$14:$C$36,$D$14:$D$36)*$E345)</f>
        <v>2.30691214285714</v>
      </c>
      <c r="J345" s="95" cm="1">
        <f ca="1" t="array" ref="J345">MIN(8,_xlfn.XLOOKUP($D345&amp;"_"&amp;J$52,$B$14:$B$36&amp;"_"&amp;$C$14:$C$36,$D$14:$D$36)*$E345)</f>
        <v>2.4225</v>
      </c>
      <c r="K345" s="95" cm="1">
        <f ca="1" t="array" ref="K345">MIN(18,_xlfn.XLOOKUP($D345&amp;"_"&amp;K$52,$B$14:$B$36&amp;"_"&amp;$C$14:$C$36,$D$14:$D$36)*$E345)</f>
        <v>0.9044</v>
      </c>
      <c r="L345" s="95" cm="1">
        <f ca="1" t="array" ref="L345">MIN(6,_xlfn.XLOOKUP($D345&amp;"_"&amp;L$52,$B$14:$B$36&amp;"_"&amp;$C$14:$C$36,$D$14:$D$36)*$E345)</f>
        <v>1.69575</v>
      </c>
      <c r="M345" s="95" cm="1">
        <f ca="1" t="array" ref="M345">(1+SUMPRODUCT(G345:H345,OFFSET($H$40:$I$40,D345,0)))*(1+OFFSET($J$40,D345,0))^I345*(1+OFFSET($K$40,D345,0))^J345*(1+OFFSET($L$40,D345,0))^K345*(1+OFFSET($M$40,D345,0))^L345</f>
        <v>31.9459483664098</v>
      </c>
      <c r="N345" s="95">
        <f ca="1">MAX(MAX($N$53:N344),OFFSET($C$52,MATCH(M345*1.07,$M$53:$M$2052,1),0)-C345)</f>
        <v>4680</v>
      </c>
    </row>
    <row r="346" spans="2:14">
      <c r="B346" s="95">
        <v>294</v>
      </c>
      <c r="C346" s="95">
        <f t="shared" si="31"/>
        <v>105840</v>
      </c>
      <c r="D346" s="95">
        <f ca="1">_xlfn.XLOOKUP(总览!$B$44,$B$40:$B$45,$C$40:$C$45)</f>
        <v>5</v>
      </c>
      <c r="E346" s="95">
        <f ca="1" t="shared" si="28"/>
        <v>324</v>
      </c>
      <c r="F346" s="95">
        <f ca="1" t="shared" si="29"/>
        <v>0</v>
      </c>
      <c r="G346" s="95">
        <f ca="1" t="shared" si="30"/>
        <v>4.64774571428572</v>
      </c>
      <c r="H346" s="95" cm="1">
        <f ca="1" t="array" ref="H346">MIN(30-SUM(I346:L346),_xlfn.XLOOKUP($D346&amp;"_"&amp;H$52,$B$14:$B$36&amp;"_"&amp;$C$14:$C$36,$D$14:$D$36)*$E346,18)</f>
        <v>18</v>
      </c>
      <c r="I346" s="95" cm="1">
        <f ca="1" t="array" ref="I346">MIN(30-SUM(J346:L346),6-L346,_xlfn.XLOOKUP($D346&amp;"_"&amp;I$52,$B$14:$B$36&amp;"_"&amp;$C$14:$C$36,$D$14:$D$36)*$E346)</f>
        <v>2.31405428571428</v>
      </c>
      <c r="J346" s="95" cm="1">
        <f ca="1" t="array" ref="J346">MIN(8,_xlfn.XLOOKUP($D346&amp;"_"&amp;J$52,$B$14:$B$36&amp;"_"&amp;$C$14:$C$36,$D$14:$D$36)*$E346)</f>
        <v>2.43</v>
      </c>
      <c r="K346" s="95" cm="1">
        <f ca="1" t="array" ref="K346">MIN(18,_xlfn.XLOOKUP($D346&amp;"_"&amp;K$52,$B$14:$B$36&amp;"_"&amp;$C$14:$C$36,$D$14:$D$36)*$E346)</f>
        <v>0.9072</v>
      </c>
      <c r="L346" s="95" cm="1">
        <f ca="1" t="array" ref="L346">MIN(6,_xlfn.XLOOKUP($D346&amp;"_"&amp;L$52,$B$14:$B$36&amp;"_"&amp;$C$14:$C$36,$D$14:$D$36)*$E346)</f>
        <v>1.701</v>
      </c>
      <c r="M346" s="95" cm="1">
        <f ca="1" t="array" ref="M346">(1+SUMPRODUCT(G346:H346,OFFSET($H$40:$I$40,D346,0)))*(1+OFFSET($J$40,D346,0))^I346*(1+OFFSET($K$40,D346,0))^J346*(1+OFFSET($L$40,D346,0))^K346*(1+OFFSET($M$40,D346,0))^L346</f>
        <v>32.1098093912587</v>
      </c>
      <c r="N346" s="95">
        <f ca="1">MAX(MAX($N$53:N345),OFFSET($C$52,MATCH(M346*1.07,$M$53:$M$2052,1),0)-C346)</f>
        <v>4680</v>
      </c>
    </row>
    <row r="347" spans="2:14">
      <c r="B347" s="95">
        <v>295</v>
      </c>
      <c r="C347" s="95">
        <f t="shared" si="31"/>
        <v>106200</v>
      </c>
      <c r="D347" s="95">
        <f ca="1">_xlfn.XLOOKUP(总览!$B$44,$B$40:$B$45,$C$40:$C$45)</f>
        <v>5</v>
      </c>
      <c r="E347" s="95">
        <f ca="1" t="shared" si="28"/>
        <v>325</v>
      </c>
      <c r="F347" s="95">
        <f ca="1" t="shared" si="29"/>
        <v>0</v>
      </c>
      <c r="G347" s="95">
        <f ca="1" t="shared" si="30"/>
        <v>4.62505357142857</v>
      </c>
      <c r="H347" s="95" cm="1">
        <f ca="1" t="array" ref="H347">MIN(30-SUM(I347:L347),_xlfn.XLOOKUP($D347&amp;"_"&amp;H$52,$B$14:$B$36&amp;"_"&amp;$C$14:$C$36,$D$14:$D$36)*$E347,18)</f>
        <v>18</v>
      </c>
      <c r="I347" s="95" cm="1">
        <f ca="1" t="array" ref="I347">MIN(30-SUM(J347:L347),6-L347,_xlfn.XLOOKUP($D347&amp;"_"&amp;I$52,$B$14:$B$36&amp;"_"&amp;$C$14:$C$36,$D$14:$D$36)*$E347)</f>
        <v>2.32119642857142</v>
      </c>
      <c r="J347" s="95" cm="1">
        <f ca="1" t="array" ref="J347">MIN(8,_xlfn.XLOOKUP($D347&amp;"_"&amp;J$52,$B$14:$B$36&amp;"_"&amp;$C$14:$C$36,$D$14:$D$36)*$E347)</f>
        <v>2.4375</v>
      </c>
      <c r="K347" s="95" cm="1">
        <f ca="1" t="array" ref="K347">MIN(18,_xlfn.XLOOKUP($D347&amp;"_"&amp;K$52,$B$14:$B$36&amp;"_"&amp;$C$14:$C$36,$D$14:$D$36)*$E347)</f>
        <v>0.91</v>
      </c>
      <c r="L347" s="95" cm="1">
        <f ca="1" t="array" ref="L347">MIN(6,_xlfn.XLOOKUP($D347&amp;"_"&amp;L$52,$B$14:$B$36&amp;"_"&amp;$C$14:$C$36,$D$14:$D$36)*$E347)</f>
        <v>1.70625</v>
      </c>
      <c r="M347" s="95" cm="1">
        <f ca="1" t="array" ref="M347">(1+SUMPRODUCT(G347:H347,OFFSET($H$40:$I$40,D347,0)))*(1+OFFSET($J$40,D347,0))^I347*(1+OFFSET($K$40,D347,0))^J347*(1+OFFSET($L$40,D347,0))^K347*(1+OFFSET($M$40,D347,0))^L347</f>
        <v>32.2745019157718</v>
      </c>
      <c r="N347" s="95">
        <f ca="1">MAX(MAX($N$53:N346),OFFSET($C$52,MATCH(M347*1.07,$M$53:$M$2052,1),0)-C347)</f>
        <v>4680</v>
      </c>
    </row>
    <row r="348" spans="2:14">
      <c r="B348" s="95">
        <v>296</v>
      </c>
      <c r="C348" s="95">
        <f t="shared" si="31"/>
        <v>106560</v>
      </c>
      <c r="D348" s="95">
        <f ca="1">_xlfn.XLOOKUP(总览!$B$44,$B$40:$B$45,$C$40:$C$45)</f>
        <v>5</v>
      </c>
      <c r="E348" s="95">
        <f ca="1" t="shared" si="28"/>
        <v>326</v>
      </c>
      <c r="F348" s="95">
        <f ca="1" t="shared" si="29"/>
        <v>0</v>
      </c>
      <c r="G348" s="95">
        <f ca="1" t="shared" si="30"/>
        <v>4.60236142857143</v>
      </c>
      <c r="H348" s="95" cm="1">
        <f ca="1" t="array" ref="H348">MIN(30-SUM(I348:L348),_xlfn.XLOOKUP($D348&amp;"_"&amp;H$52,$B$14:$B$36&amp;"_"&amp;$C$14:$C$36,$D$14:$D$36)*$E348,18)</f>
        <v>18</v>
      </c>
      <c r="I348" s="95" cm="1">
        <f ca="1" t="array" ref="I348">MIN(30-SUM(J348:L348),6-L348,_xlfn.XLOOKUP($D348&amp;"_"&amp;I$52,$B$14:$B$36&amp;"_"&amp;$C$14:$C$36,$D$14:$D$36)*$E348)</f>
        <v>2.32833857142857</v>
      </c>
      <c r="J348" s="95" cm="1">
        <f ca="1" t="array" ref="J348">MIN(8,_xlfn.XLOOKUP($D348&amp;"_"&amp;J$52,$B$14:$B$36&amp;"_"&amp;$C$14:$C$36,$D$14:$D$36)*$E348)</f>
        <v>2.445</v>
      </c>
      <c r="K348" s="95" cm="1">
        <f ca="1" t="array" ref="K348">MIN(18,_xlfn.XLOOKUP($D348&amp;"_"&amp;K$52,$B$14:$B$36&amp;"_"&amp;$C$14:$C$36,$D$14:$D$36)*$E348)</f>
        <v>0.9128</v>
      </c>
      <c r="L348" s="95" cm="1">
        <f ca="1" t="array" ref="L348">MIN(6,_xlfn.XLOOKUP($D348&amp;"_"&amp;L$52,$B$14:$B$36&amp;"_"&amp;$C$14:$C$36,$D$14:$D$36)*$E348)</f>
        <v>1.7115</v>
      </c>
      <c r="M348" s="95" cm="1">
        <f ca="1" t="array" ref="M348">(1+SUMPRODUCT(G348:H348,OFFSET($H$40:$I$40,D348,0)))*(1+OFFSET($J$40,D348,0))^I348*(1+OFFSET($K$40,D348,0))^J348*(1+OFFSET($L$40,D348,0))^K348*(1+OFFSET($M$40,D348,0))^L348</f>
        <v>32.4400301031417</v>
      </c>
      <c r="N348" s="95">
        <f ca="1">MAX(MAX($N$53:N347),OFFSET($C$52,MATCH(M348*1.07,$M$53:$M$2052,1),0)-C348)</f>
        <v>4680</v>
      </c>
    </row>
    <row r="349" spans="2:14">
      <c r="B349" s="95">
        <v>297</v>
      </c>
      <c r="C349" s="95">
        <f t="shared" si="31"/>
        <v>106920</v>
      </c>
      <c r="D349" s="95">
        <f ca="1">_xlfn.XLOOKUP(总览!$B$44,$B$40:$B$45,$C$40:$C$45)</f>
        <v>5</v>
      </c>
      <c r="E349" s="95">
        <f ca="1" t="shared" si="28"/>
        <v>327</v>
      </c>
      <c r="F349" s="95">
        <f ca="1" t="shared" si="29"/>
        <v>0</v>
      </c>
      <c r="G349" s="95">
        <f ca="1" t="shared" si="30"/>
        <v>4.57966928571429</v>
      </c>
      <c r="H349" s="95" cm="1">
        <f ca="1" t="array" ref="H349">MIN(30-SUM(I349:L349),_xlfn.XLOOKUP($D349&amp;"_"&amp;H$52,$B$14:$B$36&amp;"_"&amp;$C$14:$C$36,$D$14:$D$36)*$E349,18)</f>
        <v>18</v>
      </c>
      <c r="I349" s="95" cm="1">
        <f ca="1" t="array" ref="I349">MIN(30-SUM(J349:L349),6-L349,_xlfn.XLOOKUP($D349&amp;"_"&amp;I$52,$B$14:$B$36&amp;"_"&amp;$C$14:$C$36,$D$14:$D$36)*$E349)</f>
        <v>2.33548071428571</v>
      </c>
      <c r="J349" s="95" cm="1">
        <f ca="1" t="array" ref="J349">MIN(8,_xlfn.XLOOKUP($D349&amp;"_"&amp;J$52,$B$14:$B$36&amp;"_"&amp;$C$14:$C$36,$D$14:$D$36)*$E349)</f>
        <v>2.4525</v>
      </c>
      <c r="K349" s="95" cm="1">
        <f ca="1" t="array" ref="K349">MIN(18,_xlfn.XLOOKUP($D349&amp;"_"&amp;K$52,$B$14:$B$36&amp;"_"&amp;$C$14:$C$36,$D$14:$D$36)*$E349)</f>
        <v>0.9156</v>
      </c>
      <c r="L349" s="95" cm="1">
        <f ca="1" t="array" ref="L349">MIN(6,_xlfn.XLOOKUP($D349&amp;"_"&amp;L$52,$B$14:$B$36&amp;"_"&amp;$C$14:$C$36,$D$14:$D$36)*$E349)</f>
        <v>1.71675</v>
      </c>
      <c r="M349" s="95" cm="1">
        <f ca="1" t="array" ref="M349">(1+SUMPRODUCT(G349:H349,OFFSET($H$40:$I$40,D349,0)))*(1+OFFSET($J$40,D349,0))^I349*(1+OFFSET($K$40,D349,0))^J349*(1+OFFSET($L$40,D349,0))^K349*(1+OFFSET($M$40,D349,0))^L349</f>
        <v>32.606398137051</v>
      </c>
      <c r="N349" s="95">
        <f ca="1">MAX(MAX($N$53:N348),OFFSET($C$52,MATCH(M349*1.07,$M$53:$M$2052,1),0)-C349)</f>
        <v>4680</v>
      </c>
    </row>
    <row r="350" spans="2:14">
      <c r="B350" s="95">
        <v>298</v>
      </c>
      <c r="C350" s="95">
        <f t="shared" si="31"/>
        <v>107280</v>
      </c>
      <c r="D350" s="95">
        <f ca="1">_xlfn.XLOOKUP(总览!$B$44,$B$40:$B$45,$C$40:$C$45)</f>
        <v>5</v>
      </c>
      <c r="E350" s="95">
        <f ca="1" t="shared" si="28"/>
        <v>328</v>
      </c>
      <c r="F350" s="95">
        <f ca="1" t="shared" si="29"/>
        <v>0</v>
      </c>
      <c r="G350" s="95">
        <f ca="1" t="shared" si="30"/>
        <v>4.55697714285714</v>
      </c>
      <c r="H350" s="95" cm="1">
        <f ca="1" t="array" ref="H350">MIN(30-SUM(I350:L350),_xlfn.XLOOKUP($D350&amp;"_"&amp;H$52,$B$14:$B$36&amp;"_"&amp;$C$14:$C$36,$D$14:$D$36)*$E350,18)</f>
        <v>18</v>
      </c>
      <c r="I350" s="95" cm="1">
        <f ca="1" t="array" ref="I350">MIN(30-SUM(J350:L350),6-L350,_xlfn.XLOOKUP($D350&amp;"_"&amp;I$52,$B$14:$B$36&amp;"_"&amp;$C$14:$C$36,$D$14:$D$36)*$E350)</f>
        <v>2.34262285714285</v>
      </c>
      <c r="J350" s="95" cm="1">
        <f ca="1" t="array" ref="J350">MIN(8,_xlfn.XLOOKUP($D350&amp;"_"&amp;J$52,$B$14:$B$36&amp;"_"&amp;$C$14:$C$36,$D$14:$D$36)*$E350)</f>
        <v>2.46</v>
      </c>
      <c r="K350" s="95" cm="1">
        <f ca="1" t="array" ref="K350">MIN(18,_xlfn.XLOOKUP($D350&amp;"_"&amp;K$52,$B$14:$B$36&amp;"_"&amp;$C$14:$C$36,$D$14:$D$36)*$E350)</f>
        <v>0.9184</v>
      </c>
      <c r="L350" s="95" cm="1">
        <f ca="1" t="array" ref="L350">MIN(6,_xlfn.XLOOKUP($D350&amp;"_"&amp;L$52,$B$14:$B$36&amp;"_"&amp;$C$14:$C$36,$D$14:$D$36)*$E350)</f>
        <v>1.722</v>
      </c>
      <c r="M350" s="95" cm="1">
        <f ca="1" t="array" ref="M350">(1+SUMPRODUCT(G350:H350,OFFSET($H$40:$I$40,D350,0)))*(1+OFFSET($J$40,D350,0))^I350*(1+OFFSET($K$40,D350,0))^J350*(1+OFFSET($L$40,D350,0))^K350*(1+OFFSET($M$40,D350,0))^L350</f>
        <v>32.7736102217703</v>
      </c>
      <c r="N350" s="95">
        <f ca="1">MAX(MAX($N$53:N349),OFFSET($C$52,MATCH(M350*1.07,$M$53:$M$2052,1),0)-C350)</f>
        <v>4680</v>
      </c>
    </row>
    <row r="351" spans="2:14">
      <c r="B351" s="95">
        <v>299</v>
      </c>
      <c r="C351" s="95">
        <f t="shared" si="31"/>
        <v>107640</v>
      </c>
      <c r="D351" s="95">
        <f ca="1">_xlfn.XLOOKUP(总览!$B$44,$B$40:$B$45,$C$40:$C$45)</f>
        <v>5</v>
      </c>
      <c r="E351" s="95">
        <f ca="1" t="shared" si="28"/>
        <v>329</v>
      </c>
      <c r="F351" s="95">
        <f ca="1" t="shared" si="29"/>
        <v>0</v>
      </c>
      <c r="G351" s="95">
        <f ca="1" t="shared" si="30"/>
        <v>4.534285</v>
      </c>
      <c r="H351" s="95" cm="1">
        <f ca="1" t="array" ref="H351">MIN(30-SUM(I351:L351),_xlfn.XLOOKUP($D351&amp;"_"&amp;H$52,$B$14:$B$36&amp;"_"&amp;$C$14:$C$36,$D$14:$D$36)*$E351,18)</f>
        <v>18</v>
      </c>
      <c r="I351" s="95" cm="1">
        <f ca="1" t="array" ref="I351">MIN(30-SUM(J351:L351),6-L351,_xlfn.XLOOKUP($D351&amp;"_"&amp;I$52,$B$14:$B$36&amp;"_"&amp;$C$14:$C$36,$D$14:$D$36)*$E351)</f>
        <v>2.349765</v>
      </c>
      <c r="J351" s="95" cm="1">
        <f ca="1" t="array" ref="J351">MIN(8,_xlfn.XLOOKUP($D351&amp;"_"&amp;J$52,$B$14:$B$36&amp;"_"&amp;$C$14:$C$36,$D$14:$D$36)*$E351)</f>
        <v>2.4675</v>
      </c>
      <c r="K351" s="95" cm="1">
        <f ca="1" t="array" ref="K351">MIN(18,_xlfn.XLOOKUP($D351&amp;"_"&amp;K$52,$B$14:$B$36&amp;"_"&amp;$C$14:$C$36,$D$14:$D$36)*$E351)</f>
        <v>0.9212</v>
      </c>
      <c r="L351" s="95" cm="1">
        <f ca="1" t="array" ref="L351">MIN(6,_xlfn.XLOOKUP($D351&amp;"_"&amp;L$52,$B$14:$B$36&amp;"_"&amp;$C$14:$C$36,$D$14:$D$36)*$E351)</f>
        <v>1.72725</v>
      </c>
      <c r="M351" s="95" cm="1">
        <f ca="1" t="array" ref="M351">(1+SUMPRODUCT(G351:H351,OFFSET($H$40:$I$40,D351,0)))*(1+OFFSET($J$40,D351,0))^I351*(1+OFFSET($K$40,D351,0))^J351*(1+OFFSET($L$40,D351,0))^K351*(1+OFFSET($M$40,D351,0))^L351</f>
        <v>32.941670582258</v>
      </c>
      <c r="N351" s="95">
        <f ca="1">MAX(MAX($N$53:N350),OFFSET($C$52,MATCH(M351*1.07,$M$53:$M$2052,1),0)-C351)</f>
        <v>4680</v>
      </c>
    </row>
    <row r="352" spans="2:14">
      <c r="B352" s="95">
        <v>300</v>
      </c>
      <c r="C352" s="95">
        <f t="shared" si="31"/>
        <v>108000</v>
      </c>
      <c r="D352" s="95">
        <f ca="1">_xlfn.XLOOKUP(总览!$B$44,$B$40:$B$45,$C$40:$C$45)</f>
        <v>5</v>
      </c>
      <c r="E352" s="95">
        <f ca="1" t="shared" si="28"/>
        <v>330</v>
      </c>
      <c r="F352" s="95">
        <f ca="1" t="shared" si="29"/>
        <v>0</v>
      </c>
      <c r="G352" s="95">
        <f ca="1" t="shared" si="30"/>
        <v>4.51159285714286</v>
      </c>
      <c r="H352" s="95" cm="1">
        <f ca="1" t="array" ref="H352">MIN(30-SUM(I352:L352),_xlfn.XLOOKUP($D352&amp;"_"&amp;H$52,$B$14:$B$36&amp;"_"&amp;$C$14:$C$36,$D$14:$D$36)*$E352,18)</f>
        <v>18</v>
      </c>
      <c r="I352" s="95" cm="1">
        <f ca="1" t="array" ref="I352">MIN(30-SUM(J352:L352),6-L352,_xlfn.XLOOKUP($D352&amp;"_"&amp;I$52,$B$14:$B$36&amp;"_"&amp;$C$14:$C$36,$D$14:$D$36)*$E352)</f>
        <v>2.35690714285714</v>
      </c>
      <c r="J352" s="95" cm="1">
        <f ca="1" t="array" ref="J352">MIN(8,_xlfn.XLOOKUP($D352&amp;"_"&amp;J$52,$B$14:$B$36&amp;"_"&amp;$C$14:$C$36,$D$14:$D$36)*$E352)</f>
        <v>2.475</v>
      </c>
      <c r="K352" s="95" cm="1">
        <f ca="1" t="array" ref="K352">MIN(18,_xlfn.XLOOKUP($D352&amp;"_"&amp;K$52,$B$14:$B$36&amp;"_"&amp;$C$14:$C$36,$D$14:$D$36)*$E352)</f>
        <v>0.924</v>
      </c>
      <c r="L352" s="95" cm="1">
        <f ca="1" t="array" ref="L352">MIN(6,_xlfn.XLOOKUP($D352&amp;"_"&amp;L$52,$B$14:$B$36&amp;"_"&amp;$C$14:$C$36,$D$14:$D$36)*$E352)</f>
        <v>1.7325</v>
      </c>
      <c r="M352" s="95" cm="1">
        <f ca="1" t="array" ref="M352">(1+SUMPRODUCT(G352:H352,OFFSET($H$40:$I$40,D352,0)))*(1+OFFSET($J$40,D352,0))^I352*(1+OFFSET($K$40,D352,0))^J352*(1+OFFSET($L$40,D352,0))^K352*(1+OFFSET($M$40,D352,0))^L352</f>
        <v>33.1105834642591</v>
      </c>
      <c r="N352" s="95">
        <f ca="1">MAX(MAX($N$53:N351),OFFSET($C$52,MATCH(M352*1.07,$M$53:$M$2052,1),0)-C352)</f>
        <v>4680</v>
      </c>
    </row>
    <row r="353" spans="2:14">
      <c r="B353" s="95">
        <v>301</v>
      </c>
      <c r="C353" s="95">
        <f t="shared" si="31"/>
        <v>108360</v>
      </c>
      <c r="D353" s="95">
        <f ca="1">_xlfn.XLOOKUP(总览!$B$44,$B$40:$B$45,$C$40:$C$45)</f>
        <v>5</v>
      </c>
      <c r="E353" s="95">
        <f ca="1" t="shared" si="28"/>
        <v>331</v>
      </c>
      <c r="F353" s="95">
        <f ca="1" t="shared" si="29"/>
        <v>0</v>
      </c>
      <c r="G353" s="95">
        <f ca="1" t="shared" si="30"/>
        <v>4.48890071428572</v>
      </c>
      <c r="H353" s="95" cm="1">
        <f ca="1" t="array" ref="H353">MIN(30-SUM(I353:L353),_xlfn.XLOOKUP($D353&amp;"_"&amp;H$52,$B$14:$B$36&amp;"_"&amp;$C$14:$C$36,$D$14:$D$36)*$E353,18)</f>
        <v>18</v>
      </c>
      <c r="I353" s="95" cm="1">
        <f ca="1" t="array" ref="I353">MIN(30-SUM(J353:L353),6-L353,_xlfn.XLOOKUP($D353&amp;"_"&amp;I$52,$B$14:$B$36&amp;"_"&amp;$C$14:$C$36,$D$14:$D$36)*$E353)</f>
        <v>2.36404928571428</v>
      </c>
      <c r="J353" s="95" cm="1">
        <f ca="1" t="array" ref="J353">MIN(8,_xlfn.XLOOKUP($D353&amp;"_"&amp;J$52,$B$14:$B$36&amp;"_"&amp;$C$14:$C$36,$D$14:$D$36)*$E353)</f>
        <v>2.4825</v>
      </c>
      <c r="K353" s="95" cm="1">
        <f ca="1" t="array" ref="K353">MIN(18,_xlfn.XLOOKUP($D353&amp;"_"&amp;K$52,$B$14:$B$36&amp;"_"&amp;$C$14:$C$36,$D$14:$D$36)*$E353)</f>
        <v>0.9268</v>
      </c>
      <c r="L353" s="95" cm="1">
        <f ca="1" t="array" ref="L353">MIN(6,_xlfn.XLOOKUP($D353&amp;"_"&amp;L$52,$B$14:$B$36&amp;"_"&amp;$C$14:$C$36,$D$14:$D$36)*$E353)</f>
        <v>1.73775</v>
      </c>
      <c r="M353" s="95" cm="1">
        <f ca="1" t="array" ref="M353">(1+SUMPRODUCT(G353:H353,OFFSET($H$40:$I$40,D353,0)))*(1+OFFSET($J$40,D353,0))^I353*(1+OFFSET($K$40,D353,0))^J353*(1+OFFSET($L$40,D353,0))^K353*(1+OFFSET($M$40,D353,0))^L353</f>
        <v>33.2803531344053</v>
      </c>
      <c r="N353" s="95">
        <f ca="1">MAX(MAX($N$53:N352),OFFSET($C$52,MATCH(M353*1.07,$M$53:$M$2052,1),0)-C353)</f>
        <v>4680</v>
      </c>
    </row>
    <row r="354" spans="2:14">
      <c r="B354" s="95">
        <v>302</v>
      </c>
      <c r="C354" s="95">
        <f t="shared" si="31"/>
        <v>108720</v>
      </c>
      <c r="D354" s="95">
        <f ca="1">_xlfn.XLOOKUP(总览!$B$44,$B$40:$B$45,$C$40:$C$45)</f>
        <v>5</v>
      </c>
      <c r="E354" s="95">
        <f ca="1" t="shared" si="28"/>
        <v>332</v>
      </c>
      <c r="F354" s="95">
        <f ca="1" t="shared" si="29"/>
        <v>0</v>
      </c>
      <c r="G354" s="95">
        <f ca="1" t="shared" si="30"/>
        <v>4.46620857142858</v>
      </c>
      <c r="H354" s="95" cm="1">
        <f ca="1" t="array" ref="H354">MIN(30-SUM(I354:L354),_xlfn.XLOOKUP($D354&amp;"_"&amp;H$52,$B$14:$B$36&amp;"_"&amp;$C$14:$C$36,$D$14:$D$36)*$E354,18)</f>
        <v>18</v>
      </c>
      <c r="I354" s="95" cm="1">
        <f ca="1" t="array" ref="I354">MIN(30-SUM(J354:L354),6-L354,_xlfn.XLOOKUP($D354&amp;"_"&amp;I$52,$B$14:$B$36&amp;"_"&amp;$C$14:$C$36,$D$14:$D$36)*$E354)</f>
        <v>2.37119142857142</v>
      </c>
      <c r="J354" s="95" cm="1">
        <f ca="1" t="array" ref="J354">MIN(8,_xlfn.XLOOKUP($D354&amp;"_"&amp;J$52,$B$14:$B$36&amp;"_"&amp;$C$14:$C$36,$D$14:$D$36)*$E354)</f>
        <v>2.49</v>
      </c>
      <c r="K354" s="95" cm="1">
        <f ca="1" t="array" ref="K354">MIN(18,_xlfn.XLOOKUP($D354&amp;"_"&amp;K$52,$B$14:$B$36&amp;"_"&amp;$C$14:$C$36,$D$14:$D$36)*$E354)</f>
        <v>0.9296</v>
      </c>
      <c r="L354" s="95" cm="1">
        <f ca="1" t="array" ref="L354">MIN(6,_xlfn.XLOOKUP($D354&amp;"_"&amp;L$52,$B$14:$B$36&amp;"_"&amp;$C$14:$C$36,$D$14:$D$36)*$E354)</f>
        <v>1.743</v>
      </c>
      <c r="M354" s="95" cm="1">
        <f ca="1" t="array" ref="M354">(1+SUMPRODUCT(G354:H354,OFFSET($H$40:$I$40,D354,0)))*(1+OFFSET($J$40,D354,0))^I354*(1+OFFSET($K$40,D354,0))^J354*(1+OFFSET($L$40,D354,0))^K354*(1+OFFSET($M$40,D354,0))^L354</f>
        <v>33.450983880316</v>
      </c>
      <c r="N354" s="95">
        <f ca="1">MAX(MAX($N$53:N353),OFFSET($C$52,MATCH(M354*1.07,$M$53:$M$2052,1),0)-C354)</f>
        <v>4680</v>
      </c>
    </row>
    <row r="355" spans="2:14">
      <c r="B355" s="95">
        <v>303</v>
      </c>
      <c r="C355" s="95">
        <f t="shared" si="31"/>
        <v>109080</v>
      </c>
      <c r="D355" s="95">
        <f ca="1">_xlfn.XLOOKUP(总览!$B$44,$B$40:$B$45,$C$40:$C$45)</f>
        <v>5</v>
      </c>
      <c r="E355" s="95">
        <f ca="1" t="shared" si="28"/>
        <v>333</v>
      </c>
      <c r="F355" s="95">
        <f ca="1" t="shared" si="29"/>
        <v>0</v>
      </c>
      <c r="G355" s="95">
        <f ca="1" t="shared" si="30"/>
        <v>4.44351642857144</v>
      </c>
      <c r="H355" s="95" cm="1">
        <f ca="1" t="array" ref="H355">MIN(30-SUM(I355:L355),_xlfn.XLOOKUP($D355&amp;"_"&amp;H$52,$B$14:$B$36&amp;"_"&amp;$C$14:$C$36,$D$14:$D$36)*$E355,18)</f>
        <v>18</v>
      </c>
      <c r="I355" s="95" cm="1">
        <f ca="1" t="array" ref="I355">MIN(30-SUM(J355:L355),6-L355,_xlfn.XLOOKUP($D355&amp;"_"&amp;I$52,$B$14:$B$36&amp;"_"&amp;$C$14:$C$36,$D$14:$D$36)*$E355)</f>
        <v>2.37833357142857</v>
      </c>
      <c r="J355" s="95" cm="1">
        <f ca="1" t="array" ref="J355">MIN(8,_xlfn.XLOOKUP($D355&amp;"_"&amp;J$52,$B$14:$B$36&amp;"_"&amp;$C$14:$C$36,$D$14:$D$36)*$E355)</f>
        <v>2.4975</v>
      </c>
      <c r="K355" s="95" cm="1">
        <f ca="1" t="array" ref="K355">MIN(18,_xlfn.XLOOKUP($D355&amp;"_"&amp;K$52,$B$14:$B$36&amp;"_"&amp;$C$14:$C$36,$D$14:$D$36)*$E355)</f>
        <v>0.9324</v>
      </c>
      <c r="L355" s="95" cm="1">
        <f ca="1" t="array" ref="L355">MIN(6,_xlfn.XLOOKUP($D355&amp;"_"&amp;L$52,$B$14:$B$36&amp;"_"&amp;$C$14:$C$36,$D$14:$D$36)*$E355)</f>
        <v>1.74825</v>
      </c>
      <c r="M355" s="95" cm="1">
        <f ca="1" t="array" ref="M355">(1+SUMPRODUCT(G355:H355,OFFSET($H$40:$I$40,D355,0)))*(1+OFFSET($J$40,D355,0))^I355*(1+OFFSET($K$40,D355,0))^J355*(1+OFFSET($L$40,D355,0))^K355*(1+OFFSET($M$40,D355,0))^L355</f>
        <v>33.6224800106983</v>
      </c>
      <c r="N355" s="95">
        <f ca="1">MAX(MAX($N$53:N354),OFFSET($C$52,MATCH(M355*1.07,$M$53:$M$2052,1),0)-C355)</f>
        <v>4680</v>
      </c>
    </row>
    <row r="356" spans="2:14">
      <c r="B356" s="95">
        <v>304</v>
      </c>
      <c r="C356" s="95">
        <f t="shared" si="31"/>
        <v>109440</v>
      </c>
      <c r="D356" s="95">
        <f ca="1">_xlfn.XLOOKUP(总览!$B$44,$B$40:$B$45,$C$40:$C$45)</f>
        <v>5</v>
      </c>
      <c r="E356" s="95">
        <f ca="1" t="shared" si="28"/>
        <v>334</v>
      </c>
      <c r="F356" s="95">
        <f ca="1" t="shared" si="29"/>
        <v>0</v>
      </c>
      <c r="G356" s="95">
        <f ca="1" t="shared" si="30"/>
        <v>4.42082428571429</v>
      </c>
      <c r="H356" s="95" cm="1">
        <f ca="1" t="array" ref="H356">MIN(30-SUM(I356:L356),_xlfn.XLOOKUP($D356&amp;"_"&amp;H$52,$B$14:$B$36&amp;"_"&amp;$C$14:$C$36,$D$14:$D$36)*$E356,18)</f>
        <v>18</v>
      </c>
      <c r="I356" s="95" cm="1">
        <f ca="1" t="array" ref="I356">MIN(30-SUM(J356:L356),6-L356,_xlfn.XLOOKUP($D356&amp;"_"&amp;I$52,$B$14:$B$36&amp;"_"&amp;$C$14:$C$36,$D$14:$D$36)*$E356)</f>
        <v>2.38547571428571</v>
      </c>
      <c r="J356" s="95" cm="1">
        <f ca="1" t="array" ref="J356">MIN(8,_xlfn.XLOOKUP($D356&amp;"_"&amp;J$52,$B$14:$B$36&amp;"_"&amp;$C$14:$C$36,$D$14:$D$36)*$E356)</f>
        <v>2.505</v>
      </c>
      <c r="K356" s="95" cm="1">
        <f ca="1" t="array" ref="K356">MIN(18,_xlfn.XLOOKUP($D356&amp;"_"&amp;K$52,$B$14:$B$36&amp;"_"&amp;$C$14:$C$36,$D$14:$D$36)*$E356)</f>
        <v>0.9352</v>
      </c>
      <c r="L356" s="95" cm="1">
        <f ca="1" t="array" ref="L356">MIN(6,_xlfn.XLOOKUP($D356&amp;"_"&amp;L$52,$B$14:$B$36&amp;"_"&amp;$C$14:$C$36,$D$14:$D$36)*$E356)</f>
        <v>1.7535</v>
      </c>
      <c r="M356" s="95" cm="1">
        <f ca="1" t="array" ref="M356">(1+SUMPRODUCT(G356:H356,OFFSET($H$40:$I$40,D356,0)))*(1+OFFSET($J$40,D356,0))^I356*(1+OFFSET($K$40,D356,0))^J356*(1+OFFSET($L$40,D356,0))^K356*(1+OFFSET($M$40,D356,0))^L356</f>
        <v>33.794845855449</v>
      </c>
      <c r="N356" s="95">
        <f ca="1">MAX(MAX($N$53:N355),OFFSET($C$52,MATCH(M356*1.07,$M$53:$M$2052,1),0)-C356)</f>
        <v>4680</v>
      </c>
    </row>
    <row r="357" spans="2:14">
      <c r="B357" s="95">
        <v>305</v>
      </c>
      <c r="C357" s="95">
        <f t="shared" si="31"/>
        <v>109800</v>
      </c>
      <c r="D357" s="95">
        <f ca="1">_xlfn.XLOOKUP(总览!$B$44,$B$40:$B$45,$C$40:$C$45)</f>
        <v>5</v>
      </c>
      <c r="E357" s="95">
        <f ca="1" t="shared" si="28"/>
        <v>335</v>
      </c>
      <c r="F357" s="95">
        <f ca="1" t="shared" si="29"/>
        <v>0</v>
      </c>
      <c r="G357" s="95">
        <f ca="1" t="shared" si="30"/>
        <v>4.39813214285715</v>
      </c>
      <c r="H357" s="95" cm="1">
        <f ca="1" t="array" ref="H357">MIN(30-SUM(I357:L357),_xlfn.XLOOKUP($D357&amp;"_"&amp;H$52,$B$14:$B$36&amp;"_"&amp;$C$14:$C$36,$D$14:$D$36)*$E357,18)</f>
        <v>18</v>
      </c>
      <c r="I357" s="95" cm="1">
        <f ca="1" t="array" ref="I357">MIN(30-SUM(J357:L357),6-L357,_xlfn.XLOOKUP($D357&amp;"_"&amp;I$52,$B$14:$B$36&amp;"_"&amp;$C$14:$C$36,$D$14:$D$36)*$E357)</f>
        <v>2.39261785714285</v>
      </c>
      <c r="J357" s="95" cm="1">
        <f ca="1" t="array" ref="J357">MIN(8,_xlfn.XLOOKUP($D357&amp;"_"&amp;J$52,$B$14:$B$36&amp;"_"&amp;$C$14:$C$36,$D$14:$D$36)*$E357)</f>
        <v>2.5125</v>
      </c>
      <c r="K357" s="95" cm="1">
        <f ca="1" t="array" ref="K357">MIN(18,_xlfn.XLOOKUP($D357&amp;"_"&amp;K$52,$B$14:$B$36&amp;"_"&amp;$C$14:$C$36,$D$14:$D$36)*$E357)</f>
        <v>0.938</v>
      </c>
      <c r="L357" s="95" cm="1">
        <f ca="1" t="array" ref="L357">MIN(6,_xlfn.XLOOKUP($D357&amp;"_"&amp;L$52,$B$14:$B$36&amp;"_"&amp;$C$14:$C$36,$D$14:$D$36)*$E357)</f>
        <v>1.75875</v>
      </c>
      <c r="M357" s="95" cm="1">
        <f ca="1" t="array" ref="M357">(1+SUMPRODUCT(G357:H357,OFFSET($H$40:$I$40,D357,0)))*(1+OFFSET($J$40,D357,0))^I357*(1+OFFSET($K$40,D357,0))^J357*(1+OFFSET($L$40,D357,0))^K357*(1+OFFSET($M$40,D357,0))^L357</f>
        <v>33.9680857657562</v>
      </c>
      <c r="N357" s="95">
        <f ca="1">MAX(MAX($N$53:N356),OFFSET($C$52,MATCH(M357*1.07,$M$53:$M$2052,1),0)-C357)</f>
        <v>4680</v>
      </c>
    </row>
    <row r="358" spans="2:14">
      <c r="B358" s="95">
        <v>306</v>
      </c>
      <c r="C358" s="95">
        <f t="shared" si="31"/>
        <v>110160</v>
      </c>
      <c r="D358" s="95">
        <f ca="1">_xlfn.XLOOKUP(总览!$B$44,$B$40:$B$45,$C$40:$C$45)</f>
        <v>5</v>
      </c>
      <c r="E358" s="95">
        <f ca="1" t="shared" si="28"/>
        <v>336</v>
      </c>
      <c r="F358" s="95">
        <f ca="1" t="shared" si="29"/>
        <v>0</v>
      </c>
      <c r="G358" s="95">
        <f ca="1" t="shared" si="30"/>
        <v>4.37544000000001</v>
      </c>
      <c r="H358" s="95" cm="1">
        <f ca="1" t="array" ref="H358">MIN(30-SUM(I358:L358),_xlfn.XLOOKUP($D358&amp;"_"&amp;H$52,$B$14:$B$36&amp;"_"&amp;$C$14:$C$36,$D$14:$D$36)*$E358,18)</f>
        <v>18</v>
      </c>
      <c r="I358" s="95" cm="1">
        <f ca="1" t="array" ref="I358">MIN(30-SUM(J358:L358),6-L358,_xlfn.XLOOKUP($D358&amp;"_"&amp;I$52,$B$14:$B$36&amp;"_"&amp;$C$14:$C$36,$D$14:$D$36)*$E358)</f>
        <v>2.39976</v>
      </c>
      <c r="J358" s="95" cm="1">
        <f ca="1" t="array" ref="J358">MIN(8,_xlfn.XLOOKUP($D358&amp;"_"&amp;J$52,$B$14:$B$36&amp;"_"&amp;$C$14:$C$36,$D$14:$D$36)*$E358)</f>
        <v>2.52</v>
      </c>
      <c r="K358" s="95" cm="1">
        <f ca="1" t="array" ref="K358">MIN(18,_xlfn.XLOOKUP($D358&amp;"_"&amp;K$52,$B$14:$B$36&amp;"_"&amp;$C$14:$C$36,$D$14:$D$36)*$E358)</f>
        <v>0.9408</v>
      </c>
      <c r="L358" s="95" cm="1">
        <f ca="1" t="array" ref="L358">MIN(6,_xlfn.XLOOKUP($D358&amp;"_"&amp;L$52,$B$14:$B$36&amp;"_"&amp;$C$14:$C$36,$D$14:$D$36)*$E358)</f>
        <v>1.764</v>
      </c>
      <c r="M358" s="95" cm="1">
        <f ca="1" t="array" ref="M358">(1+SUMPRODUCT(G358:H358,OFFSET($H$40:$I$40,D358,0)))*(1+OFFSET($J$40,D358,0))^I358*(1+OFFSET($K$40,D358,0))^J358*(1+OFFSET($L$40,D358,0))^K358*(1+OFFSET($M$40,D358,0))^L358</f>
        <v>34.1422041142018</v>
      </c>
      <c r="N358" s="95">
        <f ca="1">MAX(MAX($N$53:N357),OFFSET($C$52,MATCH(M358*1.07,$M$53:$M$2052,1),0)-C358)</f>
        <v>4680</v>
      </c>
    </row>
    <row r="359" spans="2:14">
      <c r="B359" s="95">
        <v>307</v>
      </c>
      <c r="C359" s="95">
        <f t="shared" si="31"/>
        <v>110520</v>
      </c>
      <c r="D359" s="95">
        <f ca="1">_xlfn.XLOOKUP(总览!$B$44,$B$40:$B$45,$C$40:$C$45)</f>
        <v>5</v>
      </c>
      <c r="E359" s="95">
        <f ca="1" t="shared" si="28"/>
        <v>337</v>
      </c>
      <c r="F359" s="95">
        <f ca="1" t="shared" si="29"/>
        <v>0</v>
      </c>
      <c r="G359" s="95">
        <f ca="1" t="shared" si="30"/>
        <v>4.35274785714286</v>
      </c>
      <c r="H359" s="95" cm="1">
        <f ca="1" t="array" ref="H359">MIN(30-SUM(I359:L359),_xlfn.XLOOKUP($D359&amp;"_"&amp;H$52,$B$14:$B$36&amp;"_"&amp;$C$14:$C$36,$D$14:$D$36)*$E359,18)</f>
        <v>18</v>
      </c>
      <c r="I359" s="95" cm="1">
        <f ca="1" t="array" ref="I359">MIN(30-SUM(J359:L359),6-L359,_xlfn.XLOOKUP($D359&amp;"_"&amp;I$52,$B$14:$B$36&amp;"_"&amp;$C$14:$C$36,$D$14:$D$36)*$E359)</f>
        <v>2.40690214285714</v>
      </c>
      <c r="J359" s="95" cm="1">
        <f ca="1" t="array" ref="J359">MIN(8,_xlfn.XLOOKUP($D359&amp;"_"&amp;J$52,$B$14:$B$36&amp;"_"&amp;$C$14:$C$36,$D$14:$D$36)*$E359)</f>
        <v>2.5275</v>
      </c>
      <c r="K359" s="95" cm="1">
        <f ca="1" t="array" ref="K359">MIN(18,_xlfn.XLOOKUP($D359&amp;"_"&amp;K$52,$B$14:$B$36&amp;"_"&amp;$C$14:$C$36,$D$14:$D$36)*$E359)</f>
        <v>0.9436</v>
      </c>
      <c r="L359" s="95" cm="1">
        <f ca="1" t="array" ref="L359">MIN(6,_xlfn.XLOOKUP($D359&amp;"_"&amp;L$52,$B$14:$B$36&amp;"_"&amp;$C$14:$C$36,$D$14:$D$36)*$E359)</f>
        <v>1.76925</v>
      </c>
      <c r="M359" s="95" cm="1">
        <f ca="1" t="array" ref="M359">(1+SUMPRODUCT(G359:H359,OFFSET($H$40:$I$40,D359,0)))*(1+OFFSET($J$40,D359,0))^I359*(1+OFFSET($K$40,D359,0))^J359*(1+OFFSET($L$40,D359,0))^K359*(1+OFFSET($M$40,D359,0))^L359</f>
        <v>34.3172052948638</v>
      </c>
      <c r="N359" s="95">
        <f ca="1">MAX(MAX($N$53:N358),OFFSET($C$52,MATCH(M359*1.07,$M$53:$M$2052,1),0)-C359)</f>
        <v>4680</v>
      </c>
    </row>
    <row r="360" spans="2:14">
      <c r="B360" s="95">
        <v>308</v>
      </c>
      <c r="C360" s="95">
        <f t="shared" si="31"/>
        <v>110880</v>
      </c>
      <c r="D360" s="95">
        <f ca="1">_xlfn.XLOOKUP(总览!$B$44,$B$40:$B$45,$C$40:$C$45)</f>
        <v>5</v>
      </c>
      <c r="E360" s="95">
        <f ca="1" t="shared" si="28"/>
        <v>338</v>
      </c>
      <c r="F360" s="95">
        <f ca="1" t="shared" si="29"/>
        <v>0</v>
      </c>
      <c r="G360" s="95">
        <f ca="1" t="shared" si="30"/>
        <v>4.33005571428572</v>
      </c>
      <c r="H360" s="95" cm="1">
        <f ca="1" t="array" ref="H360">MIN(30-SUM(I360:L360),_xlfn.XLOOKUP($D360&amp;"_"&amp;H$52,$B$14:$B$36&amp;"_"&amp;$C$14:$C$36,$D$14:$D$36)*$E360,18)</f>
        <v>18</v>
      </c>
      <c r="I360" s="95" cm="1">
        <f ca="1" t="array" ref="I360">MIN(30-SUM(J360:L360),6-L360,_xlfn.XLOOKUP($D360&amp;"_"&amp;I$52,$B$14:$B$36&amp;"_"&amp;$C$14:$C$36,$D$14:$D$36)*$E360)</f>
        <v>2.41404428571428</v>
      </c>
      <c r="J360" s="95" cm="1">
        <f ca="1" t="array" ref="J360">MIN(8,_xlfn.XLOOKUP($D360&amp;"_"&amp;J$52,$B$14:$B$36&amp;"_"&amp;$C$14:$C$36,$D$14:$D$36)*$E360)</f>
        <v>2.535</v>
      </c>
      <c r="K360" s="95" cm="1">
        <f ca="1" t="array" ref="K360">MIN(18,_xlfn.XLOOKUP($D360&amp;"_"&amp;K$52,$B$14:$B$36&amp;"_"&amp;$C$14:$C$36,$D$14:$D$36)*$E360)</f>
        <v>0.9464</v>
      </c>
      <c r="L360" s="95" cm="1">
        <f ca="1" t="array" ref="L360">MIN(6,_xlfn.XLOOKUP($D360&amp;"_"&amp;L$52,$B$14:$B$36&amp;"_"&amp;$C$14:$C$36,$D$14:$D$36)*$E360)</f>
        <v>1.7745</v>
      </c>
      <c r="M360" s="95" cm="1">
        <f ca="1" t="array" ref="M360">(1+SUMPRODUCT(G360:H360,OFFSET($H$40:$I$40,D360,0)))*(1+OFFSET($J$40,D360,0))^I360*(1+OFFSET($K$40,D360,0))^J360*(1+OFFSET($L$40,D360,0))^K360*(1+OFFSET($M$40,D360,0))^L360</f>
        <v>34.4930937234201</v>
      </c>
      <c r="N360" s="95">
        <f ca="1">MAX(MAX($N$53:N359),OFFSET($C$52,MATCH(M360*1.07,$M$53:$M$2052,1),0)-C360)</f>
        <v>4680</v>
      </c>
    </row>
    <row r="361" spans="2:14">
      <c r="B361" s="95">
        <v>309</v>
      </c>
      <c r="C361" s="95">
        <f t="shared" si="31"/>
        <v>111240</v>
      </c>
      <c r="D361" s="95">
        <f ca="1">_xlfn.XLOOKUP(总览!$B$44,$B$40:$B$45,$C$40:$C$45)</f>
        <v>5</v>
      </c>
      <c r="E361" s="95">
        <f ca="1" t="shared" si="28"/>
        <v>339</v>
      </c>
      <c r="F361" s="95">
        <f ca="1" t="shared" si="29"/>
        <v>0</v>
      </c>
      <c r="G361" s="95">
        <f ca="1" t="shared" si="30"/>
        <v>4.30736357142857</v>
      </c>
      <c r="H361" s="95" cm="1">
        <f ca="1" t="array" ref="H361">MIN(30-SUM(I361:L361),_xlfn.XLOOKUP($D361&amp;"_"&amp;H$52,$B$14:$B$36&amp;"_"&amp;$C$14:$C$36,$D$14:$D$36)*$E361,18)</f>
        <v>18</v>
      </c>
      <c r="I361" s="95" cm="1">
        <f ca="1" t="array" ref="I361">MIN(30-SUM(J361:L361),6-L361,_xlfn.XLOOKUP($D361&amp;"_"&amp;I$52,$B$14:$B$36&amp;"_"&amp;$C$14:$C$36,$D$14:$D$36)*$E361)</f>
        <v>2.42118642857142</v>
      </c>
      <c r="J361" s="95" cm="1">
        <f ca="1" t="array" ref="J361">MIN(8,_xlfn.XLOOKUP($D361&amp;"_"&amp;J$52,$B$14:$B$36&amp;"_"&amp;$C$14:$C$36,$D$14:$D$36)*$E361)</f>
        <v>2.5425</v>
      </c>
      <c r="K361" s="95" cm="1">
        <f ca="1" t="array" ref="K361">MIN(18,_xlfn.XLOOKUP($D361&amp;"_"&amp;K$52,$B$14:$B$36&amp;"_"&amp;$C$14:$C$36,$D$14:$D$36)*$E361)</f>
        <v>0.9492</v>
      </c>
      <c r="L361" s="95" cm="1">
        <f ca="1" t="array" ref="L361">MIN(6,_xlfn.XLOOKUP($D361&amp;"_"&amp;L$52,$B$14:$B$36&amp;"_"&amp;$C$14:$C$36,$D$14:$D$36)*$E361)</f>
        <v>1.77975</v>
      </c>
      <c r="M361" s="95" cm="1">
        <f ca="1" t="array" ref="M361">(1+SUMPRODUCT(G361:H361,OFFSET($H$40:$I$40,D361,0)))*(1+OFFSET($J$40,D361,0))^I361*(1+OFFSET($K$40,D361,0))^J361*(1+OFFSET($L$40,D361,0))^K361*(1+OFFSET($M$40,D361,0))^L361</f>
        <v>34.6698738372521</v>
      </c>
      <c r="N361" s="95">
        <f ca="1">MAX(MAX($N$53:N360),OFFSET($C$52,MATCH(M361*1.07,$M$53:$M$2052,1),0)-C361)</f>
        <v>4680</v>
      </c>
    </row>
    <row r="362" spans="2:14">
      <c r="B362" s="95">
        <v>310</v>
      </c>
      <c r="C362" s="95">
        <f t="shared" si="31"/>
        <v>111600</v>
      </c>
      <c r="D362" s="95">
        <f ca="1">_xlfn.XLOOKUP(总览!$B$44,$B$40:$B$45,$C$40:$C$45)</f>
        <v>5</v>
      </c>
      <c r="E362" s="95">
        <f ca="1" t="shared" si="28"/>
        <v>340</v>
      </c>
      <c r="F362" s="95">
        <f ca="1" t="shared" si="29"/>
        <v>0</v>
      </c>
      <c r="G362" s="95">
        <f ca="1" t="shared" si="30"/>
        <v>4.28467142857143</v>
      </c>
      <c r="H362" s="95" cm="1">
        <f ca="1" t="array" ref="H362">MIN(30-SUM(I362:L362),_xlfn.XLOOKUP($D362&amp;"_"&amp;H$52,$B$14:$B$36&amp;"_"&amp;$C$14:$C$36,$D$14:$D$36)*$E362,18)</f>
        <v>18</v>
      </c>
      <c r="I362" s="95" cm="1">
        <f ca="1" t="array" ref="I362">MIN(30-SUM(J362:L362),6-L362,_xlfn.XLOOKUP($D362&amp;"_"&amp;I$52,$B$14:$B$36&amp;"_"&amp;$C$14:$C$36,$D$14:$D$36)*$E362)</f>
        <v>2.42832857142857</v>
      </c>
      <c r="J362" s="95" cm="1">
        <f ca="1" t="array" ref="J362">MIN(8,_xlfn.XLOOKUP($D362&amp;"_"&amp;J$52,$B$14:$B$36&amp;"_"&amp;$C$14:$C$36,$D$14:$D$36)*$E362)</f>
        <v>2.55</v>
      </c>
      <c r="K362" s="95" cm="1">
        <f ca="1" t="array" ref="K362">MIN(18,_xlfn.XLOOKUP($D362&amp;"_"&amp;K$52,$B$14:$B$36&amp;"_"&amp;$C$14:$C$36,$D$14:$D$36)*$E362)</f>
        <v>0.952</v>
      </c>
      <c r="L362" s="95" cm="1">
        <f ca="1" t="array" ref="L362">MIN(6,_xlfn.XLOOKUP($D362&amp;"_"&amp;L$52,$B$14:$B$36&amp;"_"&amp;$C$14:$C$36,$D$14:$D$36)*$E362)</f>
        <v>1.785</v>
      </c>
      <c r="M362" s="95" cm="1">
        <f ca="1" t="array" ref="M362">(1+SUMPRODUCT(G362:H362,OFFSET($H$40:$I$40,D362,0)))*(1+OFFSET($J$40,D362,0))^I362*(1+OFFSET($K$40,D362,0))^J362*(1+OFFSET($L$40,D362,0))^K362*(1+OFFSET($M$40,D362,0))^L362</f>
        <v>34.8475500955487</v>
      </c>
      <c r="N362" s="95">
        <f ca="1">MAX(MAX($N$53:N361),OFFSET($C$52,MATCH(M362*1.07,$M$53:$M$2052,1),0)-C362)</f>
        <v>4680</v>
      </c>
    </row>
    <row r="363" spans="2:14">
      <c r="B363" s="95">
        <v>311</v>
      </c>
      <c r="C363" s="95">
        <f t="shared" si="31"/>
        <v>111960</v>
      </c>
      <c r="D363" s="95">
        <f ca="1">_xlfn.XLOOKUP(总览!$B$44,$B$40:$B$45,$C$40:$C$45)</f>
        <v>5</v>
      </c>
      <c r="E363" s="95">
        <f ca="1" t="shared" si="28"/>
        <v>341</v>
      </c>
      <c r="F363" s="95">
        <f ca="1" t="shared" si="29"/>
        <v>0</v>
      </c>
      <c r="G363" s="95">
        <f ca="1" t="shared" si="30"/>
        <v>4.26197928571429</v>
      </c>
      <c r="H363" s="95" cm="1">
        <f ca="1" t="array" ref="H363">MIN(30-SUM(I363:L363),_xlfn.XLOOKUP($D363&amp;"_"&amp;H$52,$B$14:$B$36&amp;"_"&amp;$C$14:$C$36,$D$14:$D$36)*$E363,18)</f>
        <v>18</v>
      </c>
      <c r="I363" s="95" cm="1">
        <f ca="1" t="array" ref="I363">MIN(30-SUM(J363:L363),6-L363,_xlfn.XLOOKUP($D363&amp;"_"&amp;I$52,$B$14:$B$36&amp;"_"&amp;$C$14:$C$36,$D$14:$D$36)*$E363)</f>
        <v>2.43547071428571</v>
      </c>
      <c r="J363" s="95" cm="1">
        <f ca="1" t="array" ref="J363">MIN(8,_xlfn.XLOOKUP($D363&amp;"_"&amp;J$52,$B$14:$B$36&amp;"_"&amp;$C$14:$C$36,$D$14:$D$36)*$E363)</f>
        <v>2.5575</v>
      </c>
      <c r="K363" s="95" cm="1">
        <f ca="1" t="array" ref="K363">MIN(18,_xlfn.XLOOKUP($D363&amp;"_"&amp;K$52,$B$14:$B$36&amp;"_"&amp;$C$14:$C$36,$D$14:$D$36)*$E363)</f>
        <v>0.9548</v>
      </c>
      <c r="L363" s="95" cm="1">
        <f ca="1" t="array" ref="L363">MIN(6,_xlfn.XLOOKUP($D363&amp;"_"&amp;L$52,$B$14:$B$36&amp;"_"&amp;$C$14:$C$36,$D$14:$D$36)*$E363)</f>
        <v>1.79025</v>
      </c>
      <c r="M363" s="95" cm="1">
        <f ca="1" t="array" ref="M363">(1+SUMPRODUCT(G363:H363,OFFSET($H$40:$I$40,D363,0)))*(1+OFFSET($J$40,D363,0))^I363*(1+OFFSET($K$40,D363,0))^J363*(1+OFFSET($L$40,D363,0))^K363*(1+OFFSET($M$40,D363,0))^L363</f>
        <v>35.0261269794112</v>
      </c>
      <c r="N363" s="95">
        <f ca="1">MAX(MAX($N$53:N362),OFFSET($C$52,MATCH(M363*1.07,$M$53:$M$2052,1),0)-C363)</f>
        <v>4680</v>
      </c>
    </row>
    <row r="364" spans="2:14">
      <c r="B364" s="95">
        <v>312</v>
      </c>
      <c r="C364" s="95">
        <f t="shared" si="31"/>
        <v>112320</v>
      </c>
      <c r="D364" s="95">
        <f ca="1">_xlfn.XLOOKUP(总览!$B$44,$B$40:$B$45,$C$40:$C$45)</f>
        <v>5</v>
      </c>
      <c r="E364" s="95">
        <f ca="1" t="shared" si="28"/>
        <v>342</v>
      </c>
      <c r="F364" s="95">
        <f ca="1" t="shared" si="29"/>
        <v>0</v>
      </c>
      <c r="G364" s="95">
        <f ca="1" t="shared" si="30"/>
        <v>4.23928714285715</v>
      </c>
      <c r="H364" s="95" cm="1">
        <f ca="1" t="array" ref="H364">MIN(30-SUM(I364:L364),_xlfn.XLOOKUP($D364&amp;"_"&amp;H$52,$B$14:$B$36&amp;"_"&amp;$C$14:$C$36,$D$14:$D$36)*$E364,18)</f>
        <v>18</v>
      </c>
      <c r="I364" s="95" cm="1">
        <f ca="1" t="array" ref="I364">MIN(30-SUM(J364:L364),6-L364,_xlfn.XLOOKUP($D364&amp;"_"&amp;I$52,$B$14:$B$36&amp;"_"&amp;$C$14:$C$36,$D$14:$D$36)*$E364)</f>
        <v>2.44261285714285</v>
      </c>
      <c r="J364" s="95" cm="1">
        <f ca="1" t="array" ref="J364">MIN(8,_xlfn.XLOOKUP($D364&amp;"_"&amp;J$52,$B$14:$B$36&amp;"_"&amp;$C$14:$C$36,$D$14:$D$36)*$E364)</f>
        <v>2.565</v>
      </c>
      <c r="K364" s="95" cm="1">
        <f ca="1" t="array" ref="K364">MIN(18,_xlfn.XLOOKUP($D364&amp;"_"&amp;K$52,$B$14:$B$36&amp;"_"&amp;$C$14:$C$36,$D$14:$D$36)*$E364)</f>
        <v>0.9576</v>
      </c>
      <c r="L364" s="95" cm="1">
        <f ca="1" t="array" ref="L364">MIN(6,_xlfn.XLOOKUP($D364&amp;"_"&amp;L$52,$B$14:$B$36&amp;"_"&amp;$C$14:$C$36,$D$14:$D$36)*$E364)</f>
        <v>1.7955</v>
      </c>
      <c r="M364" s="95" cm="1">
        <f ca="1" t="array" ref="M364">(1+SUMPRODUCT(G364:H364,OFFSET($H$40:$I$40,D364,0)))*(1+OFFSET($J$40,D364,0))^I364*(1+OFFSET($K$40,D364,0))^J364*(1+OFFSET($L$40,D364,0))^K364*(1+OFFSET($M$40,D364,0))^L364</f>
        <v>35.2056089919585</v>
      </c>
      <c r="N364" s="95">
        <f ca="1">MAX(MAX($N$53:N363),OFFSET($C$52,MATCH(M364*1.07,$M$53:$M$2052,1),0)-C364)</f>
        <v>4680</v>
      </c>
    </row>
    <row r="365" spans="2:14">
      <c r="B365" s="95">
        <v>313</v>
      </c>
      <c r="C365" s="95">
        <f t="shared" si="31"/>
        <v>112680</v>
      </c>
      <c r="D365" s="95">
        <f ca="1">_xlfn.XLOOKUP(总览!$B$44,$B$40:$B$45,$C$40:$C$45)</f>
        <v>5</v>
      </c>
      <c r="E365" s="95">
        <f ca="1" t="shared" si="28"/>
        <v>343</v>
      </c>
      <c r="F365" s="95">
        <f ca="1" t="shared" si="29"/>
        <v>0</v>
      </c>
      <c r="G365" s="95">
        <f ca="1" t="shared" si="30"/>
        <v>4.21659500000001</v>
      </c>
      <c r="H365" s="95" cm="1">
        <f ca="1" t="array" ref="H365">MIN(30-SUM(I365:L365),_xlfn.XLOOKUP($D365&amp;"_"&amp;H$52,$B$14:$B$36&amp;"_"&amp;$C$14:$C$36,$D$14:$D$36)*$E365,18)</f>
        <v>18</v>
      </c>
      <c r="I365" s="95" cm="1">
        <f ca="1" t="array" ref="I365">MIN(30-SUM(J365:L365),6-L365,_xlfn.XLOOKUP($D365&amp;"_"&amp;I$52,$B$14:$B$36&amp;"_"&amp;$C$14:$C$36,$D$14:$D$36)*$E365)</f>
        <v>2.449755</v>
      </c>
      <c r="J365" s="95" cm="1">
        <f ca="1" t="array" ref="J365">MIN(8,_xlfn.XLOOKUP($D365&amp;"_"&amp;J$52,$B$14:$B$36&amp;"_"&amp;$C$14:$C$36,$D$14:$D$36)*$E365)</f>
        <v>2.5725</v>
      </c>
      <c r="K365" s="95" cm="1">
        <f ca="1" t="array" ref="K365">MIN(18,_xlfn.XLOOKUP($D365&amp;"_"&amp;K$52,$B$14:$B$36&amp;"_"&amp;$C$14:$C$36,$D$14:$D$36)*$E365)</f>
        <v>0.9604</v>
      </c>
      <c r="L365" s="95" cm="1">
        <f ca="1" t="array" ref="L365">MIN(6,_xlfn.XLOOKUP($D365&amp;"_"&amp;L$52,$B$14:$B$36&amp;"_"&amp;$C$14:$C$36,$D$14:$D$36)*$E365)</f>
        <v>1.80075</v>
      </c>
      <c r="M365" s="95" cm="1">
        <f ca="1" t="array" ref="M365">(1+SUMPRODUCT(G365:H365,OFFSET($H$40:$I$40,D365,0)))*(1+OFFSET($J$40,D365,0))^I365*(1+OFFSET($K$40,D365,0))^J365*(1+OFFSET($L$40,D365,0))^K365*(1+OFFSET($M$40,D365,0))^L365</f>
        <v>35.3860006584328</v>
      </c>
      <c r="N365" s="95">
        <f ca="1">MAX(MAX($N$53:N364),OFFSET($C$52,MATCH(M365*1.07,$M$53:$M$2052,1),0)-C365)</f>
        <v>4680</v>
      </c>
    </row>
    <row r="366" spans="2:14">
      <c r="B366" s="95">
        <v>314</v>
      </c>
      <c r="C366" s="95">
        <f t="shared" si="31"/>
        <v>113040</v>
      </c>
      <c r="D366" s="95">
        <f ca="1">_xlfn.XLOOKUP(总览!$B$44,$B$40:$B$45,$C$40:$C$45)</f>
        <v>5</v>
      </c>
      <c r="E366" s="95">
        <f ca="1" t="shared" si="28"/>
        <v>344</v>
      </c>
      <c r="F366" s="95">
        <f ca="1" t="shared" si="29"/>
        <v>0</v>
      </c>
      <c r="G366" s="95">
        <f ca="1" t="shared" si="30"/>
        <v>4.19390285714286</v>
      </c>
      <c r="H366" s="95" cm="1">
        <f ca="1" t="array" ref="H366">MIN(30-SUM(I366:L366),_xlfn.XLOOKUP($D366&amp;"_"&amp;H$52,$B$14:$B$36&amp;"_"&amp;$C$14:$C$36,$D$14:$D$36)*$E366,18)</f>
        <v>18</v>
      </c>
      <c r="I366" s="95" cm="1">
        <f ca="1" t="array" ref="I366">MIN(30-SUM(J366:L366),6-L366,_xlfn.XLOOKUP($D366&amp;"_"&amp;I$52,$B$14:$B$36&amp;"_"&amp;$C$14:$C$36,$D$14:$D$36)*$E366)</f>
        <v>2.45689714285714</v>
      </c>
      <c r="J366" s="95" cm="1">
        <f ca="1" t="array" ref="J366">MIN(8,_xlfn.XLOOKUP($D366&amp;"_"&amp;J$52,$B$14:$B$36&amp;"_"&amp;$C$14:$C$36,$D$14:$D$36)*$E366)</f>
        <v>2.58</v>
      </c>
      <c r="K366" s="95" cm="1">
        <f ca="1" t="array" ref="K366">MIN(18,_xlfn.XLOOKUP($D366&amp;"_"&amp;K$52,$B$14:$B$36&amp;"_"&amp;$C$14:$C$36,$D$14:$D$36)*$E366)</f>
        <v>0.9632</v>
      </c>
      <c r="L366" s="95" cm="1">
        <f ca="1" t="array" ref="L366">MIN(6,_xlfn.XLOOKUP($D366&amp;"_"&amp;L$52,$B$14:$B$36&amp;"_"&amp;$C$14:$C$36,$D$14:$D$36)*$E366)</f>
        <v>1.806</v>
      </c>
      <c r="M366" s="95" cm="1">
        <f ca="1" t="array" ref="M366">(1+SUMPRODUCT(G366:H366,OFFSET($H$40:$I$40,D366,0)))*(1+OFFSET($J$40,D366,0))^I366*(1+OFFSET($K$40,D366,0))^J366*(1+OFFSET($L$40,D366,0))^K366*(1+OFFSET($M$40,D366,0))^L366</f>
        <v>35.5673065263055</v>
      </c>
      <c r="N366" s="95">
        <f ca="1">MAX(MAX($N$53:N365),OFFSET($C$52,MATCH(M366*1.07,$M$53:$M$2052,1),0)-C366)</f>
        <v>4680</v>
      </c>
    </row>
    <row r="367" spans="2:14">
      <c r="B367" s="95">
        <v>315</v>
      </c>
      <c r="C367" s="95">
        <f t="shared" si="31"/>
        <v>113400</v>
      </c>
      <c r="D367" s="95">
        <f ca="1">_xlfn.XLOOKUP(总览!$B$44,$B$40:$B$45,$C$40:$C$45)</f>
        <v>5</v>
      </c>
      <c r="E367" s="95">
        <f ca="1" t="shared" si="28"/>
        <v>345</v>
      </c>
      <c r="F367" s="95">
        <f ca="1" t="shared" si="29"/>
        <v>0</v>
      </c>
      <c r="G367" s="95">
        <f ca="1" t="shared" si="30"/>
        <v>4.17121071428572</v>
      </c>
      <c r="H367" s="95" cm="1">
        <f ca="1" t="array" ref="H367">MIN(30-SUM(I367:L367),_xlfn.XLOOKUP($D367&amp;"_"&amp;H$52,$B$14:$B$36&amp;"_"&amp;$C$14:$C$36,$D$14:$D$36)*$E367,18)</f>
        <v>18</v>
      </c>
      <c r="I367" s="95" cm="1">
        <f ca="1" t="array" ref="I367">MIN(30-SUM(J367:L367),6-L367,_xlfn.XLOOKUP($D367&amp;"_"&amp;I$52,$B$14:$B$36&amp;"_"&amp;$C$14:$C$36,$D$14:$D$36)*$E367)</f>
        <v>2.46403928571428</v>
      </c>
      <c r="J367" s="95" cm="1">
        <f ca="1" t="array" ref="J367">MIN(8,_xlfn.XLOOKUP($D367&amp;"_"&amp;J$52,$B$14:$B$36&amp;"_"&amp;$C$14:$C$36,$D$14:$D$36)*$E367)</f>
        <v>2.5875</v>
      </c>
      <c r="K367" s="95" cm="1">
        <f ca="1" t="array" ref="K367">MIN(18,_xlfn.XLOOKUP($D367&amp;"_"&amp;K$52,$B$14:$B$36&amp;"_"&amp;$C$14:$C$36,$D$14:$D$36)*$E367)</f>
        <v>0.966</v>
      </c>
      <c r="L367" s="95" cm="1">
        <f ca="1" t="array" ref="L367">MIN(6,_xlfn.XLOOKUP($D367&amp;"_"&amp;L$52,$B$14:$B$36&amp;"_"&amp;$C$14:$C$36,$D$14:$D$36)*$E367)</f>
        <v>1.81125</v>
      </c>
      <c r="M367" s="95" cm="1">
        <f ca="1" t="array" ref="M367">(1+SUMPRODUCT(G367:H367,OFFSET($H$40:$I$40,D367,0)))*(1+OFFSET($J$40,D367,0))^I367*(1+OFFSET($K$40,D367,0))^J367*(1+OFFSET($L$40,D367,0))^K367*(1+OFFSET($M$40,D367,0))^L367</f>
        <v>35.7495311653843</v>
      </c>
      <c r="N367" s="95">
        <f ca="1">MAX(MAX($N$53:N366),OFFSET($C$52,MATCH(M367*1.07,$M$53:$M$2052,1),0)-C367)</f>
        <v>4680</v>
      </c>
    </row>
    <row r="368" spans="2:14">
      <c r="B368" s="95">
        <v>316</v>
      </c>
      <c r="C368" s="95">
        <f t="shared" si="31"/>
        <v>113760</v>
      </c>
      <c r="D368" s="95">
        <f ca="1">_xlfn.XLOOKUP(总览!$B$44,$B$40:$B$45,$C$40:$C$45)</f>
        <v>5</v>
      </c>
      <c r="E368" s="95">
        <f ca="1" t="shared" si="28"/>
        <v>346</v>
      </c>
      <c r="F368" s="95">
        <f ca="1" t="shared" si="29"/>
        <v>0</v>
      </c>
      <c r="G368" s="95">
        <f ca="1" t="shared" si="30"/>
        <v>4.14851857142857</v>
      </c>
      <c r="H368" s="95" cm="1">
        <f ca="1" t="array" ref="H368">MIN(30-SUM(I368:L368),_xlfn.XLOOKUP($D368&amp;"_"&amp;H$52,$B$14:$B$36&amp;"_"&amp;$C$14:$C$36,$D$14:$D$36)*$E368,18)</f>
        <v>18</v>
      </c>
      <c r="I368" s="95" cm="1">
        <f ca="1" t="array" ref="I368">MIN(30-SUM(J368:L368),6-L368,_xlfn.XLOOKUP($D368&amp;"_"&amp;I$52,$B$14:$B$36&amp;"_"&amp;$C$14:$C$36,$D$14:$D$36)*$E368)</f>
        <v>2.47118142857142</v>
      </c>
      <c r="J368" s="95" cm="1">
        <f ca="1" t="array" ref="J368">MIN(8,_xlfn.XLOOKUP($D368&amp;"_"&amp;J$52,$B$14:$B$36&amp;"_"&amp;$C$14:$C$36,$D$14:$D$36)*$E368)</f>
        <v>2.595</v>
      </c>
      <c r="K368" s="95" cm="1">
        <f ca="1" t="array" ref="K368">MIN(18,_xlfn.XLOOKUP($D368&amp;"_"&amp;K$52,$B$14:$B$36&amp;"_"&amp;$C$14:$C$36,$D$14:$D$36)*$E368)</f>
        <v>0.9688</v>
      </c>
      <c r="L368" s="95" cm="1">
        <f ca="1" t="array" ref="L368">MIN(6,_xlfn.XLOOKUP($D368&amp;"_"&amp;L$52,$B$14:$B$36&amp;"_"&amp;$C$14:$C$36,$D$14:$D$36)*$E368)</f>
        <v>1.8165</v>
      </c>
      <c r="M368" s="95" cm="1">
        <f ca="1" t="array" ref="M368">(1+SUMPRODUCT(G368:H368,OFFSET($H$40:$I$40,D368,0)))*(1+OFFSET($J$40,D368,0))^I368*(1+OFFSET($K$40,D368,0))^J368*(1+OFFSET($L$40,D368,0))^K368*(1+OFFSET($M$40,D368,0))^L368</f>
        <v>35.93267916792</v>
      </c>
      <c r="N368" s="95">
        <f ca="1">MAX(MAX($N$53:N367),OFFSET($C$52,MATCH(M368*1.07,$M$53:$M$2052,1),0)-C368)</f>
        <v>4680</v>
      </c>
    </row>
    <row r="369" spans="2:14">
      <c r="B369" s="95">
        <v>317</v>
      </c>
      <c r="C369" s="95">
        <f t="shared" si="31"/>
        <v>114120</v>
      </c>
      <c r="D369" s="95">
        <f ca="1">_xlfn.XLOOKUP(总览!$B$44,$B$40:$B$45,$C$40:$C$45)</f>
        <v>5</v>
      </c>
      <c r="E369" s="95">
        <f ca="1" t="shared" si="28"/>
        <v>347</v>
      </c>
      <c r="F369" s="95">
        <f ca="1" t="shared" si="29"/>
        <v>0</v>
      </c>
      <c r="G369" s="95">
        <f ca="1" t="shared" si="30"/>
        <v>4.12582642857143</v>
      </c>
      <c r="H369" s="95" cm="1">
        <f ca="1" t="array" ref="H369">MIN(30-SUM(I369:L369),_xlfn.XLOOKUP($D369&amp;"_"&amp;H$52,$B$14:$B$36&amp;"_"&amp;$C$14:$C$36,$D$14:$D$36)*$E369,18)</f>
        <v>18</v>
      </c>
      <c r="I369" s="95" cm="1">
        <f ca="1" t="array" ref="I369">MIN(30-SUM(J369:L369),6-L369,_xlfn.XLOOKUP($D369&amp;"_"&amp;I$52,$B$14:$B$36&amp;"_"&amp;$C$14:$C$36,$D$14:$D$36)*$E369)</f>
        <v>2.47832357142857</v>
      </c>
      <c r="J369" s="95" cm="1">
        <f ca="1" t="array" ref="J369">MIN(8,_xlfn.XLOOKUP($D369&amp;"_"&amp;J$52,$B$14:$B$36&amp;"_"&amp;$C$14:$C$36,$D$14:$D$36)*$E369)</f>
        <v>2.6025</v>
      </c>
      <c r="K369" s="95" cm="1">
        <f ca="1" t="array" ref="K369">MIN(18,_xlfn.XLOOKUP($D369&amp;"_"&amp;K$52,$B$14:$B$36&amp;"_"&amp;$C$14:$C$36,$D$14:$D$36)*$E369)</f>
        <v>0.9716</v>
      </c>
      <c r="L369" s="95" cm="1">
        <f ca="1" t="array" ref="L369">MIN(6,_xlfn.XLOOKUP($D369&amp;"_"&amp;L$52,$B$14:$B$36&amp;"_"&amp;$C$14:$C$36,$D$14:$D$36)*$E369)</f>
        <v>1.82175</v>
      </c>
      <c r="M369" s="95" cm="1">
        <f ca="1" t="array" ref="M369">(1+SUMPRODUCT(G369:H369,OFFSET($H$40:$I$40,D369,0)))*(1+OFFSET($J$40,D369,0))^I369*(1+OFFSET($K$40,D369,0))^J369*(1+OFFSET($L$40,D369,0))^K369*(1+OFFSET($M$40,D369,0))^L369</f>
        <v>36.1167551487145</v>
      </c>
      <c r="N369" s="95">
        <f ca="1">MAX(MAX($N$53:N368),OFFSET($C$52,MATCH(M369*1.07,$M$53:$M$2052,1),0)-C369)</f>
        <v>4680</v>
      </c>
    </row>
    <row r="370" spans="2:14">
      <c r="B370" s="95">
        <v>318</v>
      </c>
      <c r="C370" s="95">
        <f t="shared" si="31"/>
        <v>114480</v>
      </c>
      <c r="D370" s="95">
        <f ca="1">_xlfn.XLOOKUP(总览!$B$44,$B$40:$B$45,$C$40:$C$45)</f>
        <v>5</v>
      </c>
      <c r="E370" s="95">
        <f ca="1" t="shared" si="28"/>
        <v>348</v>
      </c>
      <c r="F370" s="95">
        <f ca="1" t="shared" si="29"/>
        <v>0</v>
      </c>
      <c r="G370" s="95">
        <f ca="1" t="shared" si="30"/>
        <v>4.10313428571429</v>
      </c>
      <c r="H370" s="95" cm="1">
        <f ca="1" t="array" ref="H370">MIN(30-SUM(I370:L370),_xlfn.XLOOKUP($D370&amp;"_"&amp;H$52,$B$14:$B$36&amp;"_"&amp;$C$14:$C$36,$D$14:$D$36)*$E370,18)</f>
        <v>18</v>
      </c>
      <c r="I370" s="95" cm="1">
        <f ca="1" t="array" ref="I370">MIN(30-SUM(J370:L370),6-L370,_xlfn.XLOOKUP($D370&amp;"_"&amp;I$52,$B$14:$B$36&amp;"_"&amp;$C$14:$C$36,$D$14:$D$36)*$E370)</f>
        <v>2.48546571428571</v>
      </c>
      <c r="J370" s="95" cm="1">
        <f ca="1" t="array" ref="J370">MIN(8,_xlfn.XLOOKUP($D370&amp;"_"&amp;J$52,$B$14:$B$36&amp;"_"&amp;$C$14:$C$36,$D$14:$D$36)*$E370)</f>
        <v>2.61</v>
      </c>
      <c r="K370" s="95" cm="1">
        <f ca="1" t="array" ref="K370">MIN(18,_xlfn.XLOOKUP($D370&amp;"_"&amp;K$52,$B$14:$B$36&amp;"_"&amp;$C$14:$C$36,$D$14:$D$36)*$E370)</f>
        <v>0.9744</v>
      </c>
      <c r="L370" s="95" cm="1">
        <f ca="1" t="array" ref="L370">MIN(6,_xlfn.XLOOKUP($D370&amp;"_"&amp;L$52,$B$14:$B$36&amp;"_"&amp;$C$14:$C$36,$D$14:$D$36)*$E370)</f>
        <v>1.827</v>
      </c>
      <c r="M370" s="95" cm="1">
        <f ca="1" t="array" ref="M370">(1+SUMPRODUCT(G370:H370,OFFSET($H$40:$I$40,D370,0)))*(1+OFFSET($J$40,D370,0))^I370*(1+OFFSET($K$40,D370,0))^J370*(1+OFFSET($L$40,D370,0))^K370*(1+OFFSET($M$40,D370,0))^L370</f>
        <v>36.3017637452286</v>
      </c>
      <c r="N370" s="95">
        <f ca="1">MAX(MAX($N$53:N369),OFFSET($C$52,MATCH(M370*1.07,$M$53:$M$2052,1),0)-C370)</f>
        <v>4680</v>
      </c>
    </row>
    <row r="371" spans="2:14">
      <c r="B371" s="95">
        <v>319</v>
      </c>
      <c r="C371" s="95">
        <f t="shared" si="31"/>
        <v>114840</v>
      </c>
      <c r="D371" s="95">
        <f ca="1">_xlfn.XLOOKUP(总览!$B$44,$B$40:$B$45,$C$40:$C$45)</f>
        <v>5</v>
      </c>
      <c r="E371" s="95">
        <f ca="1" t="shared" si="28"/>
        <v>349</v>
      </c>
      <c r="F371" s="95">
        <f ca="1" t="shared" si="29"/>
        <v>0</v>
      </c>
      <c r="G371" s="95">
        <f ca="1" t="shared" si="30"/>
        <v>4.08044214285715</v>
      </c>
      <c r="H371" s="95" cm="1">
        <f ca="1" t="array" ref="H371">MIN(30-SUM(I371:L371),_xlfn.XLOOKUP($D371&amp;"_"&amp;H$52,$B$14:$B$36&amp;"_"&amp;$C$14:$C$36,$D$14:$D$36)*$E371,18)</f>
        <v>18</v>
      </c>
      <c r="I371" s="95" cm="1">
        <f ca="1" t="array" ref="I371">MIN(30-SUM(J371:L371),6-L371,_xlfn.XLOOKUP($D371&amp;"_"&amp;I$52,$B$14:$B$36&amp;"_"&amp;$C$14:$C$36,$D$14:$D$36)*$E371)</f>
        <v>2.49260785714285</v>
      </c>
      <c r="J371" s="95" cm="1">
        <f ca="1" t="array" ref="J371">MIN(8,_xlfn.XLOOKUP($D371&amp;"_"&amp;J$52,$B$14:$B$36&amp;"_"&amp;$C$14:$C$36,$D$14:$D$36)*$E371)</f>
        <v>2.6175</v>
      </c>
      <c r="K371" s="95" cm="1">
        <f ca="1" t="array" ref="K371">MIN(18,_xlfn.XLOOKUP($D371&amp;"_"&amp;K$52,$B$14:$B$36&amp;"_"&amp;$C$14:$C$36,$D$14:$D$36)*$E371)</f>
        <v>0.9772</v>
      </c>
      <c r="L371" s="95" cm="1">
        <f ca="1" t="array" ref="L371">MIN(6,_xlfn.XLOOKUP($D371&amp;"_"&amp;L$52,$B$14:$B$36&amp;"_"&amp;$C$14:$C$36,$D$14:$D$36)*$E371)</f>
        <v>1.83225</v>
      </c>
      <c r="M371" s="95" cm="1">
        <f ca="1" t="array" ref="M371">(1+SUMPRODUCT(G371:H371,OFFSET($H$40:$I$40,D371,0)))*(1+OFFSET($J$40,D371,0))^I371*(1+OFFSET($K$40,D371,0))^J371*(1+OFFSET($L$40,D371,0))^K371*(1+OFFSET($M$40,D371,0))^L371</f>
        <v>36.4877096176909</v>
      </c>
      <c r="N371" s="95">
        <f ca="1">MAX(MAX($N$53:N370),OFFSET($C$52,MATCH(M371*1.07,$M$53:$M$2052,1),0)-C371)</f>
        <v>4680</v>
      </c>
    </row>
    <row r="372" spans="2:14">
      <c r="B372" s="95">
        <v>320</v>
      </c>
      <c r="C372" s="95">
        <f t="shared" si="31"/>
        <v>115200</v>
      </c>
      <c r="D372" s="95">
        <f ca="1">_xlfn.XLOOKUP(总览!$B$44,$B$40:$B$45,$C$40:$C$45)</f>
        <v>5</v>
      </c>
      <c r="E372" s="95">
        <f ca="1" t="shared" si="28"/>
        <v>350</v>
      </c>
      <c r="F372" s="95">
        <f ca="1" t="shared" si="29"/>
        <v>0</v>
      </c>
      <c r="G372" s="95">
        <f ca="1" t="shared" si="30"/>
        <v>4.05775000000001</v>
      </c>
      <c r="H372" s="95" cm="1">
        <f ca="1" t="array" ref="H372">MIN(30-SUM(I372:L372),_xlfn.XLOOKUP($D372&amp;"_"&amp;H$52,$B$14:$B$36&amp;"_"&amp;$C$14:$C$36,$D$14:$D$36)*$E372,18)</f>
        <v>18</v>
      </c>
      <c r="I372" s="95" cm="1">
        <f ca="1" t="array" ref="I372">MIN(30-SUM(J372:L372),6-L372,_xlfn.XLOOKUP($D372&amp;"_"&amp;I$52,$B$14:$B$36&amp;"_"&amp;$C$14:$C$36,$D$14:$D$36)*$E372)</f>
        <v>2.49975</v>
      </c>
      <c r="J372" s="95" cm="1">
        <f ca="1" t="array" ref="J372">MIN(8,_xlfn.XLOOKUP($D372&amp;"_"&amp;J$52,$B$14:$B$36&amp;"_"&amp;$C$14:$C$36,$D$14:$D$36)*$E372)</f>
        <v>2.625</v>
      </c>
      <c r="K372" s="95" cm="1">
        <f ca="1" t="array" ref="K372">MIN(18,_xlfn.XLOOKUP($D372&amp;"_"&amp;K$52,$B$14:$B$36&amp;"_"&amp;$C$14:$C$36,$D$14:$D$36)*$E372)</f>
        <v>0.98</v>
      </c>
      <c r="L372" s="95" cm="1">
        <f ca="1" t="array" ref="L372">MIN(6,_xlfn.XLOOKUP($D372&amp;"_"&amp;L$52,$B$14:$B$36&amp;"_"&amp;$C$14:$C$36,$D$14:$D$36)*$E372)</f>
        <v>1.8375</v>
      </c>
      <c r="M372" s="95" cm="1">
        <f ca="1" t="array" ref="M372">(1+SUMPRODUCT(G372:H372,OFFSET($H$40:$I$40,D372,0)))*(1+OFFSET($J$40,D372,0))^I372*(1+OFFSET($K$40,D372,0))^J372*(1+OFFSET($L$40,D372,0))^K372*(1+OFFSET($M$40,D372,0))^L372</f>
        <v>36.6745974492068</v>
      </c>
      <c r="N372" s="95">
        <f ca="1">MAX(MAX($N$53:N371),OFFSET($C$52,MATCH(M372*1.07,$M$53:$M$2052,1),0)-C372)</f>
        <v>4680</v>
      </c>
    </row>
    <row r="373" spans="2:14">
      <c r="B373" s="95">
        <v>321</v>
      </c>
      <c r="C373" s="95">
        <f t="shared" si="31"/>
        <v>115560</v>
      </c>
      <c r="D373" s="95">
        <f ca="1">_xlfn.XLOOKUP(总览!$B$44,$B$40:$B$45,$C$40:$C$45)</f>
        <v>5</v>
      </c>
      <c r="E373" s="95">
        <f ca="1" t="shared" si="28"/>
        <v>351</v>
      </c>
      <c r="F373" s="95">
        <f ca="1" t="shared" si="29"/>
        <v>0</v>
      </c>
      <c r="G373" s="95">
        <f ca="1" t="shared" si="30"/>
        <v>4.03505785714286</v>
      </c>
      <c r="H373" s="95" cm="1">
        <f ca="1" t="array" ref="H373">MIN(30-SUM(I373:L373),_xlfn.XLOOKUP($D373&amp;"_"&amp;H$52,$B$14:$B$36&amp;"_"&amp;$C$14:$C$36,$D$14:$D$36)*$E373,18)</f>
        <v>18</v>
      </c>
      <c r="I373" s="95" cm="1">
        <f ca="1" t="array" ref="I373">MIN(30-SUM(J373:L373),6-L373,_xlfn.XLOOKUP($D373&amp;"_"&amp;I$52,$B$14:$B$36&amp;"_"&amp;$C$14:$C$36,$D$14:$D$36)*$E373)</f>
        <v>2.50689214285714</v>
      </c>
      <c r="J373" s="95" cm="1">
        <f ca="1" t="array" ref="J373">MIN(8,_xlfn.XLOOKUP($D373&amp;"_"&amp;J$52,$B$14:$B$36&amp;"_"&amp;$C$14:$C$36,$D$14:$D$36)*$E373)</f>
        <v>2.6325</v>
      </c>
      <c r="K373" s="95" cm="1">
        <f ca="1" t="array" ref="K373">MIN(18,_xlfn.XLOOKUP($D373&amp;"_"&amp;K$52,$B$14:$B$36&amp;"_"&amp;$C$14:$C$36,$D$14:$D$36)*$E373)</f>
        <v>0.9828</v>
      </c>
      <c r="L373" s="95" cm="1">
        <f ca="1" t="array" ref="L373">MIN(6,_xlfn.XLOOKUP($D373&amp;"_"&amp;L$52,$B$14:$B$36&amp;"_"&amp;$C$14:$C$36,$D$14:$D$36)*$E373)</f>
        <v>1.84275</v>
      </c>
      <c r="M373" s="95" cm="1">
        <f ca="1" t="array" ref="M373">(1+SUMPRODUCT(G373:H373,OFFSET($H$40:$I$40,D373,0)))*(1+OFFSET($J$40,D373,0))^I373*(1+OFFSET($K$40,D373,0))^J373*(1+OFFSET($L$40,D373,0))^K373*(1+OFFSET($M$40,D373,0))^L373</f>
        <v>36.8624319458686</v>
      </c>
      <c r="N373" s="95">
        <f ca="1">MAX(MAX($N$53:N372),OFFSET($C$52,MATCH(M373*1.07,$M$53:$M$2052,1),0)-C373)</f>
        <v>4680</v>
      </c>
    </row>
    <row r="374" spans="2:14">
      <c r="B374" s="95">
        <v>322</v>
      </c>
      <c r="C374" s="95">
        <f t="shared" si="31"/>
        <v>115920</v>
      </c>
      <c r="D374" s="95">
        <f ca="1">_xlfn.XLOOKUP(总览!$B$44,$B$40:$B$45,$C$40:$C$45)</f>
        <v>5</v>
      </c>
      <c r="E374" s="95">
        <f ca="1" t="shared" ref="E374:E437" si="32">INT(C374/_xlfn.XLOOKUP(D374,$N$5:$N$16,$O$5:$O$16))+OFFSET($R$40,D374,0)</f>
        <v>352</v>
      </c>
      <c r="F374" s="95">
        <f ca="1" t="shared" si="29"/>
        <v>0</v>
      </c>
      <c r="G374" s="95">
        <f ca="1" t="shared" si="30"/>
        <v>4.01236571428572</v>
      </c>
      <c r="H374" s="95" cm="1">
        <f ca="1" t="array" ref="H374">MIN(30-SUM(I374:L374),_xlfn.XLOOKUP($D374&amp;"_"&amp;H$52,$B$14:$B$36&amp;"_"&amp;$C$14:$C$36,$D$14:$D$36)*$E374,18)</f>
        <v>18</v>
      </c>
      <c r="I374" s="95" cm="1">
        <f ca="1" t="array" ref="I374">MIN(30-SUM(J374:L374),6-L374,_xlfn.XLOOKUP($D374&amp;"_"&amp;I$52,$B$14:$B$36&amp;"_"&amp;$C$14:$C$36,$D$14:$D$36)*$E374)</f>
        <v>2.51403428571428</v>
      </c>
      <c r="J374" s="95" cm="1">
        <f ca="1" t="array" ref="J374">MIN(8,_xlfn.XLOOKUP($D374&amp;"_"&amp;J$52,$B$14:$B$36&amp;"_"&amp;$C$14:$C$36,$D$14:$D$36)*$E374)</f>
        <v>2.64</v>
      </c>
      <c r="K374" s="95" cm="1">
        <f ca="1" t="array" ref="K374">MIN(18,_xlfn.XLOOKUP($D374&amp;"_"&amp;K$52,$B$14:$B$36&amp;"_"&amp;$C$14:$C$36,$D$14:$D$36)*$E374)</f>
        <v>0.9856</v>
      </c>
      <c r="L374" s="95" cm="1">
        <f ca="1" t="array" ref="L374">MIN(6,_xlfn.XLOOKUP($D374&amp;"_"&amp;L$52,$B$14:$B$36&amp;"_"&amp;$C$14:$C$36,$D$14:$D$36)*$E374)</f>
        <v>1.848</v>
      </c>
      <c r="M374" s="95" cm="1">
        <f ca="1" t="array" ref="M374">(1+SUMPRODUCT(G374:H374,OFFSET($H$40:$I$40,D374,0)))*(1+OFFSET($J$40,D374,0))^I374*(1+OFFSET($K$40,D374,0))^J374*(1+OFFSET($L$40,D374,0))^K374*(1+OFFSET($M$40,D374,0))^L374</f>
        <v>37.0512178368648</v>
      </c>
      <c r="N374" s="95">
        <f ca="1">MAX(MAX($N$53:N373),OFFSET($C$52,MATCH(M374*1.07,$M$53:$M$2052,1),0)-C374)</f>
        <v>4680</v>
      </c>
    </row>
    <row r="375" spans="2:14">
      <c r="B375" s="95">
        <v>323</v>
      </c>
      <c r="C375" s="95">
        <f t="shared" si="31"/>
        <v>116280</v>
      </c>
      <c r="D375" s="95">
        <f ca="1">_xlfn.XLOOKUP(总览!$B$44,$B$40:$B$45,$C$40:$C$45)</f>
        <v>5</v>
      </c>
      <c r="E375" s="95">
        <f ca="1" t="shared" si="32"/>
        <v>353</v>
      </c>
      <c r="F375" s="95">
        <f ca="1" t="shared" ref="F375:F438" si="33">30-SUM(G375:L375)</f>
        <v>0</v>
      </c>
      <c r="G375" s="95">
        <f ca="1" t="shared" ref="G375:G438" si="34">30-SUM(H375:L375)</f>
        <v>3.98967357142858</v>
      </c>
      <c r="H375" s="95" cm="1">
        <f ca="1" t="array" ref="H375">MIN(30-SUM(I375:L375),_xlfn.XLOOKUP($D375&amp;"_"&amp;H$52,$B$14:$B$36&amp;"_"&amp;$C$14:$C$36,$D$14:$D$36)*$E375,18)</f>
        <v>18</v>
      </c>
      <c r="I375" s="95" cm="1">
        <f ca="1" t="array" ref="I375">MIN(30-SUM(J375:L375),6-L375,_xlfn.XLOOKUP($D375&amp;"_"&amp;I$52,$B$14:$B$36&amp;"_"&amp;$C$14:$C$36,$D$14:$D$36)*$E375)</f>
        <v>2.52117642857142</v>
      </c>
      <c r="J375" s="95" cm="1">
        <f ca="1" t="array" ref="J375">MIN(8,_xlfn.XLOOKUP($D375&amp;"_"&amp;J$52,$B$14:$B$36&amp;"_"&amp;$C$14:$C$36,$D$14:$D$36)*$E375)</f>
        <v>2.6475</v>
      </c>
      <c r="K375" s="95" cm="1">
        <f ca="1" t="array" ref="K375">MIN(18,_xlfn.XLOOKUP($D375&amp;"_"&amp;K$52,$B$14:$B$36&amp;"_"&amp;$C$14:$C$36,$D$14:$D$36)*$E375)</f>
        <v>0.9884</v>
      </c>
      <c r="L375" s="95" cm="1">
        <f ca="1" t="array" ref="L375">MIN(6,_xlfn.XLOOKUP($D375&amp;"_"&amp;L$52,$B$14:$B$36&amp;"_"&amp;$C$14:$C$36,$D$14:$D$36)*$E375)</f>
        <v>1.85325</v>
      </c>
      <c r="M375" s="95" cm="1">
        <f ca="1" t="array" ref="M375">(1+SUMPRODUCT(G375:H375,OFFSET($H$40:$I$40,D375,0)))*(1+OFFSET($J$40,D375,0))^I375*(1+OFFSET($K$40,D375,0))^J375*(1+OFFSET($L$40,D375,0))^K375*(1+OFFSET($M$40,D375,0))^L375</f>
        <v>37.2409598745919</v>
      </c>
      <c r="N375" s="95">
        <f ca="1">MAX(MAX($N$53:N374),OFFSET($C$52,MATCH(M375*1.07,$M$53:$M$2052,1),0)-C375)</f>
        <v>4680</v>
      </c>
    </row>
    <row r="376" spans="2:14">
      <c r="B376" s="95">
        <v>324</v>
      </c>
      <c r="C376" s="95">
        <f t="shared" si="31"/>
        <v>116640</v>
      </c>
      <c r="D376" s="95">
        <f ca="1">_xlfn.XLOOKUP(总览!$B$44,$B$40:$B$45,$C$40:$C$45)</f>
        <v>5</v>
      </c>
      <c r="E376" s="95">
        <f ca="1" t="shared" si="32"/>
        <v>354</v>
      </c>
      <c r="F376" s="95">
        <f ca="1" t="shared" si="33"/>
        <v>0</v>
      </c>
      <c r="G376" s="95">
        <f ca="1" t="shared" si="34"/>
        <v>3.96698142857143</v>
      </c>
      <c r="H376" s="95" cm="1">
        <f ca="1" t="array" ref="H376">MIN(30-SUM(I376:L376),_xlfn.XLOOKUP($D376&amp;"_"&amp;H$52,$B$14:$B$36&amp;"_"&amp;$C$14:$C$36,$D$14:$D$36)*$E376,18)</f>
        <v>18</v>
      </c>
      <c r="I376" s="95" cm="1">
        <f ca="1" t="array" ref="I376">MIN(30-SUM(J376:L376),6-L376,_xlfn.XLOOKUP($D376&amp;"_"&amp;I$52,$B$14:$B$36&amp;"_"&amp;$C$14:$C$36,$D$14:$D$36)*$E376)</f>
        <v>2.52831857142857</v>
      </c>
      <c r="J376" s="95" cm="1">
        <f ca="1" t="array" ref="J376">MIN(8,_xlfn.XLOOKUP($D376&amp;"_"&amp;J$52,$B$14:$B$36&amp;"_"&amp;$C$14:$C$36,$D$14:$D$36)*$E376)</f>
        <v>2.655</v>
      </c>
      <c r="K376" s="95" cm="1">
        <f ca="1" t="array" ref="K376">MIN(18,_xlfn.XLOOKUP($D376&amp;"_"&amp;K$52,$B$14:$B$36&amp;"_"&amp;$C$14:$C$36,$D$14:$D$36)*$E376)</f>
        <v>0.9912</v>
      </c>
      <c r="L376" s="95" cm="1">
        <f ca="1" t="array" ref="L376">MIN(6,_xlfn.XLOOKUP($D376&amp;"_"&amp;L$52,$B$14:$B$36&amp;"_"&amp;$C$14:$C$36,$D$14:$D$36)*$E376)</f>
        <v>1.8585</v>
      </c>
      <c r="M376" s="95" cm="1">
        <f ca="1" t="array" ref="M376">(1+SUMPRODUCT(G376:H376,OFFSET($H$40:$I$40,D376,0)))*(1+OFFSET($J$40,D376,0))^I376*(1+OFFSET($K$40,D376,0))^J376*(1+OFFSET($L$40,D376,0))^K376*(1+OFFSET($M$40,D376,0))^L376</f>
        <v>37.4316628347648</v>
      </c>
      <c r="N376" s="95">
        <f ca="1">MAX(MAX($N$53:N375),OFFSET($C$52,MATCH(M376*1.07,$M$53:$M$2052,1),0)-C376)</f>
        <v>4680</v>
      </c>
    </row>
    <row r="377" spans="2:14">
      <c r="B377" s="95">
        <v>325</v>
      </c>
      <c r="C377" s="95">
        <f t="shared" si="31"/>
        <v>117000</v>
      </c>
      <c r="D377" s="95">
        <f ca="1">_xlfn.XLOOKUP(总览!$B$44,$B$40:$B$45,$C$40:$C$45)</f>
        <v>5</v>
      </c>
      <c r="E377" s="95">
        <f ca="1" t="shared" si="32"/>
        <v>355</v>
      </c>
      <c r="F377" s="95">
        <f ca="1" t="shared" si="33"/>
        <v>0</v>
      </c>
      <c r="G377" s="95">
        <f ca="1" t="shared" si="34"/>
        <v>3.94428928571429</v>
      </c>
      <c r="H377" s="95" cm="1">
        <f ca="1" t="array" ref="H377">MIN(30-SUM(I377:L377),_xlfn.XLOOKUP($D377&amp;"_"&amp;H$52,$B$14:$B$36&amp;"_"&amp;$C$14:$C$36,$D$14:$D$36)*$E377,18)</f>
        <v>18</v>
      </c>
      <c r="I377" s="95" cm="1">
        <f ca="1" t="array" ref="I377">MIN(30-SUM(J377:L377),6-L377,_xlfn.XLOOKUP($D377&amp;"_"&amp;I$52,$B$14:$B$36&amp;"_"&amp;$C$14:$C$36,$D$14:$D$36)*$E377)</f>
        <v>2.53546071428571</v>
      </c>
      <c r="J377" s="95" cm="1">
        <f ca="1" t="array" ref="J377">MIN(8,_xlfn.XLOOKUP($D377&amp;"_"&amp;J$52,$B$14:$B$36&amp;"_"&amp;$C$14:$C$36,$D$14:$D$36)*$E377)</f>
        <v>2.6625</v>
      </c>
      <c r="K377" s="95" cm="1">
        <f ca="1" t="array" ref="K377">MIN(18,_xlfn.XLOOKUP($D377&amp;"_"&amp;K$52,$B$14:$B$36&amp;"_"&amp;$C$14:$C$36,$D$14:$D$36)*$E377)</f>
        <v>0.994</v>
      </c>
      <c r="L377" s="95" cm="1">
        <f ca="1" t="array" ref="L377">MIN(6,_xlfn.XLOOKUP($D377&amp;"_"&amp;L$52,$B$14:$B$36&amp;"_"&amp;$C$14:$C$36,$D$14:$D$36)*$E377)</f>
        <v>1.86375</v>
      </c>
      <c r="M377" s="95" cm="1">
        <f ca="1" t="array" ref="M377">(1+SUMPRODUCT(G377:H377,OFFSET($H$40:$I$40,D377,0)))*(1+OFFSET($J$40,D377,0))^I377*(1+OFFSET($K$40,D377,0))^J377*(1+OFFSET($L$40,D377,0))^K377*(1+OFFSET($M$40,D377,0))^L377</f>
        <v>37.6233315165288</v>
      </c>
      <c r="N377" s="95">
        <f ca="1">MAX(MAX($N$53:N376),OFFSET($C$52,MATCH(M377*1.07,$M$53:$M$2052,1),0)-C377)</f>
        <v>4680</v>
      </c>
    </row>
    <row r="378" spans="2:14">
      <c r="B378" s="95">
        <v>326</v>
      </c>
      <c r="C378" s="95">
        <f t="shared" si="31"/>
        <v>117360</v>
      </c>
      <c r="D378" s="95">
        <f ca="1">_xlfn.XLOOKUP(总览!$B$44,$B$40:$B$45,$C$40:$C$45)</f>
        <v>5</v>
      </c>
      <c r="E378" s="95">
        <f ca="1" t="shared" si="32"/>
        <v>356</v>
      </c>
      <c r="F378" s="95">
        <f ca="1" t="shared" si="33"/>
        <v>0</v>
      </c>
      <c r="G378" s="95">
        <f ca="1" t="shared" si="34"/>
        <v>3.92159714285714</v>
      </c>
      <c r="H378" s="95" cm="1">
        <f ca="1" t="array" ref="H378">MIN(30-SUM(I378:L378),_xlfn.XLOOKUP($D378&amp;"_"&amp;H$52,$B$14:$B$36&amp;"_"&amp;$C$14:$C$36,$D$14:$D$36)*$E378,18)</f>
        <v>18</v>
      </c>
      <c r="I378" s="95" cm="1">
        <f ca="1" t="array" ref="I378">MIN(30-SUM(J378:L378),6-L378,_xlfn.XLOOKUP($D378&amp;"_"&amp;I$52,$B$14:$B$36&amp;"_"&amp;$C$14:$C$36,$D$14:$D$36)*$E378)</f>
        <v>2.54260285714285</v>
      </c>
      <c r="J378" s="95" cm="1">
        <f ca="1" t="array" ref="J378">MIN(8,_xlfn.XLOOKUP($D378&amp;"_"&amp;J$52,$B$14:$B$36&amp;"_"&amp;$C$14:$C$36,$D$14:$D$36)*$E378)</f>
        <v>2.67</v>
      </c>
      <c r="K378" s="95" cm="1">
        <f ca="1" t="array" ref="K378">MIN(18,_xlfn.XLOOKUP($D378&amp;"_"&amp;K$52,$B$14:$B$36&amp;"_"&amp;$C$14:$C$36,$D$14:$D$36)*$E378)</f>
        <v>0.9968</v>
      </c>
      <c r="L378" s="95" cm="1">
        <f ca="1" t="array" ref="L378">MIN(6,_xlfn.XLOOKUP($D378&amp;"_"&amp;L$52,$B$14:$B$36&amp;"_"&amp;$C$14:$C$36,$D$14:$D$36)*$E378)</f>
        <v>1.869</v>
      </c>
      <c r="M378" s="95" cm="1">
        <f ca="1" t="array" ref="M378">(1+SUMPRODUCT(G378:H378,OFFSET($H$40:$I$40,D378,0)))*(1+OFFSET($J$40,D378,0))^I378*(1+OFFSET($K$40,D378,0))^J378*(1+OFFSET($L$40,D378,0))^K378*(1+OFFSET($M$40,D378,0))^L378</f>
        <v>37.8159707425717</v>
      </c>
      <c r="N378" s="95">
        <f ca="1">MAX(MAX($N$53:N377),OFFSET($C$52,MATCH(M378*1.07,$M$53:$M$2052,1),0)-C378)</f>
        <v>4680</v>
      </c>
    </row>
    <row r="379" spans="2:14">
      <c r="B379" s="95">
        <v>327</v>
      </c>
      <c r="C379" s="95">
        <f t="shared" si="31"/>
        <v>117720</v>
      </c>
      <c r="D379" s="95">
        <f ca="1">_xlfn.XLOOKUP(总览!$B$44,$B$40:$B$45,$C$40:$C$45)</f>
        <v>5</v>
      </c>
      <c r="E379" s="95">
        <f ca="1" t="shared" si="32"/>
        <v>357</v>
      </c>
      <c r="F379" s="95">
        <f ca="1" t="shared" si="33"/>
        <v>0</v>
      </c>
      <c r="G379" s="95">
        <f ca="1" t="shared" si="34"/>
        <v>3.89890500000001</v>
      </c>
      <c r="H379" s="95" cm="1">
        <f ca="1" t="array" ref="H379">MIN(30-SUM(I379:L379),_xlfn.XLOOKUP($D379&amp;"_"&amp;H$52,$B$14:$B$36&amp;"_"&amp;$C$14:$C$36,$D$14:$D$36)*$E379,18)</f>
        <v>18</v>
      </c>
      <c r="I379" s="95" cm="1">
        <f ca="1" t="array" ref="I379">MIN(30-SUM(J379:L379),6-L379,_xlfn.XLOOKUP($D379&amp;"_"&amp;I$52,$B$14:$B$36&amp;"_"&amp;$C$14:$C$36,$D$14:$D$36)*$E379)</f>
        <v>2.549745</v>
      </c>
      <c r="J379" s="95" cm="1">
        <f ca="1" t="array" ref="J379">MIN(8,_xlfn.XLOOKUP($D379&amp;"_"&amp;J$52,$B$14:$B$36&amp;"_"&amp;$C$14:$C$36,$D$14:$D$36)*$E379)</f>
        <v>2.6775</v>
      </c>
      <c r="K379" s="95" cm="1">
        <f ca="1" t="array" ref="K379">MIN(18,_xlfn.XLOOKUP($D379&amp;"_"&amp;K$52,$B$14:$B$36&amp;"_"&amp;$C$14:$C$36,$D$14:$D$36)*$E379)</f>
        <v>0.9996</v>
      </c>
      <c r="L379" s="95" cm="1">
        <f ca="1" t="array" ref="L379">MIN(6,_xlfn.XLOOKUP($D379&amp;"_"&amp;L$52,$B$14:$B$36&amp;"_"&amp;$C$14:$C$36,$D$14:$D$36)*$E379)</f>
        <v>1.87425</v>
      </c>
      <c r="M379" s="95" cm="1">
        <f ca="1" t="array" ref="M379">(1+SUMPRODUCT(G379:H379,OFFSET($H$40:$I$40,D379,0)))*(1+OFFSET($J$40,D379,0))^I379*(1+OFFSET($K$40,D379,0))^J379*(1+OFFSET($L$40,D379,0))^K379*(1+OFFSET($M$40,D379,0))^L379</f>
        <v>38.009585359237</v>
      </c>
      <c r="N379" s="95">
        <f ca="1">MAX(MAX($N$53:N378),OFFSET($C$52,MATCH(M379*1.07,$M$53:$M$2052,1),0)-C379)</f>
        <v>4680</v>
      </c>
    </row>
    <row r="380" spans="2:14">
      <c r="B380" s="95">
        <v>328</v>
      </c>
      <c r="C380" s="95">
        <f t="shared" si="31"/>
        <v>118080</v>
      </c>
      <c r="D380" s="95">
        <f ca="1">_xlfn.XLOOKUP(总览!$B$44,$B$40:$B$45,$C$40:$C$45)</f>
        <v>5</v>
      </c>
      <c r="E380" s="95">
        <f ca="1" t="shared" si="32"/>
        <v>358</v>
      </c>
      <c r="F380" s="95">
        <f ca="1" t="shared" si="33"/>
        <v>0</v>
      </c>
      <c r="G380" s="95">
        <f ca="1" t="shared" si="34"/>
        <v>3.87621285714286</v>
      </c>
      <c r="H380" s="95" cm="1">
        <f ca="1" t="array" ref="H380">MIN(30-SUM(I380:L380),_xlfn.XLOOKUP($D380&amp;"_"&amp;H$52,$B$14:$B$36&amp;"_"&amp;$C$14:$C$36,$D$14:$D$36)*$E380,18)</f>
        <v>18</v>
      </c>
      <c r="I380" s="95" cm="1">
        <f ca="1" t="array" ref="I380">MIN(30-SUM(J380:L380),6-L380,_xlfn.XLOOKUP($D380&amp;"_"&amp;I$52,$B$14:$B$36&amp;"_"&amp;$C$14:$C$36,$D$14:$D$36)*$E380)</f>
        <v>2.55688714285714</v>
      </c>
      <c r="J380" s="95" cm="1">
        <f ca="1" t="array" ref="J380">MIN(8,_xlfn.XLOOKUP($D380&amp;"_"&amp;J$52,$B$14:$B$36&amp;"_"&amp;$C$14:$C$36,$D$14:$D$36)*$E380)</f>
        <v>2.685</v>
      </c>
      <c r="K380" s="95" cm="1">
        <f ca="1" t="array" ref="K380">MIN(18,_xlfn.XLOOKUP($D380&amp;"_"&amp;K$52,$B$14:$B$36&amp;"_"&amp;$C$14:$C$36,$D$14:$D$36)*$E380)</f>
        <v>1.0024</v>
      </c>
      <c r="L380" s="95" cm="1">
        <f ca="1" t="array" ref="L380">MIN(6,_xlfn.XLOOKUP($D380&amp;"_"&amp;L$52,$B$14:$B$36&amp;"_"&amp;$C$14:$C$36,$D$14:$D$36)*$E380)</f>
        <v>1.8795</v>
      </c>
      <c r="M380" s="95" cm="1">
        <f ca="1" t="array" ref="M380">(1+SUMPRODUCT(G380:H380,OFFSET($H$40:$I$40,D380,0)))*(1+OFFSET($J$40,D380,0))^I380*(1+OFFSET($K$40,D380,0))^J380*(1+OFFSET($L$40,D380,0))^K380*(1+OFFSET($M$40,D380,0))^L380</f>
        <v>38.2041802366364</v>
      </c>
      <c r="N380" s="95">
        <f ca="1">MAX(MAX($N$53:N379),OFFSET($C$52,MATCH(M380*1.07,$M$53:$M$2052,1),0)-C380)</f>
        <v>4680</v>
      </c>
    </row>
    <row r="381" spans="2:14">
      <c r="B381" s="95">
        <v>329</v>
      </c>
      <c r="C381" s="95">
        <f t="shared" si="31"/>
        <v>118440</v>
      </c>
      <c r="D381" s="95">
        <f ca="1">_xlfn.XLOOKUP(总览!$B$44,$B$40:$B$45,$C$40:$C$45)</f>
        <v>5</v>
      </c>
      <c r="E381" s="95">
        <f ca="1" t="shared" si="32"/>
        <v>359</v>
      </c>
      <c r="F381" s="95">
        <f ca="1" t="shared" si="33"/>
        <v>0</v>
      </c>
      <c r="G381" s="95">
        <f ca="1" t="shared" si="34"/>
        <v>3.85352071428572</v>
      </c>
      <c r="H381" s="95" cm="1">
        <f ca="1" t="array" ref="H381">MIN(30-SUM(I381:L381),_xlfn.XLOOKUP($D381&amp;"_"&amp;H$52,$B$14:$B$36&amp;"_"&amp;$C$14:$C$36,$D$14:$D$36)*$E381,18)</f>
        <v>18</v>
      </c>
      <c r="I381" s="95" cm="1">
        <f ca="1" t="array" ref="I381">MIN(30-SUM(J381:L381),6-L381,_xlfn.XLOOKUP($D381&amp;"_"&amp;I$52,$B$14:$B$36&amp;"_"&amp;$C$14:$C$36,$D$14:$D$36)*$E381)</f>
        <v>2.56402928571428</v>
      </c>
      <c r="J381" s="95" cm="1">
        <f ca="1" t="array" ref="J381">MIN(8,_xlfn.XLOOKUP($D381&amp;"_"&amp;J$52,$B$14:$B$36&amp;"_"&amp;$C$14:$C$36,$D$14:$D$36)*$E381)</f>
        <v>2.6925</v>
      </c>
      <c r="K381" s="95" cm="1">
        <f ca="1" t="array" ref="K381">MIN(18,_xlfn.XLOOKUP($D381&amp;"_"&amp;K$52,$B$14:$B$36&amp;"_"&amp;$C$14:$C$36,$D$14:$D$36)*$E381)</f>
        <v>1.0052</v>
      </c>
      <c r="L381" s="95" cm="1">
        <f ca="1" t="array" ref="L381">MIN(6,_xlfn.XLOOKUP($D381&amp;"_"&amp;L$52,$B$14:$B$36&amp;"_"&amp;$C$14:$C$36,$D$14:$D$36)*$E381)</f>
        <v>1.88475</v>
      </c>
      <c r="M381" s="95" cm="1">
        <f ca="1" t="array" ref="M381">(1+SUMPRODUCT(G381:H381,OFFSET($H$40:$I$40,D381,0)))*(1+OFFSET($J$40,D381,0))^I381*(1+OFFSET($K$40,D381,0))^J381*(1+OFFSET($L$40,D381,0))^K381*(1+OFFSET($M$40,D381,0))^L381</f>
        <v>38.3997602687646</v>
      </c>
      <c r="N381" s="95">
        <f ca="1">MAX(MAX($N$53:N380),OFFSET($C$52,MATCH(M381*1.07,$M$53:$M$2052,1),0)-C381)</f>
        <v>4680</v>
      </c>
    </row>
    <row r="382" spans="2:14">
      <c r="B382" s="95">
        <v>330</v>
      </c>
      <c r="C382" s="95">
        <f t="shared" si="31"/>
        <v>118800</v>
      </c>
      <c r="D382" s="95">
        <f ca="1">_xlfn.XLOOKUP(总览!$B$44,$B$40:$B$45,$C$40:$C$45)</f>
        <v>5</v>
      </c>
      <c r="E382" s="95">
        <f ca="1" t="shared" si="32"/>
        <v>360</v>
      </c>
      <c r="F382" s="95">
        <f ca="1" t="shared" si="33"/>
        <v>0</v>
      </c>
      <c r="G382" s="95">
        <f ca="1" t="shared" si="34"/>
        <v>3.83082857142858</v>
      </c>
      <c r="H382" s="95" cm="1">
        <f ca="1" t="array" ref="H382">MIN(30-SUM(I382:L382),_xlfn.XLOOKUP($D382&amp;"_"&amp;H$52,$B$14:$B$36&amp;"_"&amp;$C$14:$C$36,$D$14:$D$36)*$E382,18)</f>
        <v>18</v>
      </c>
      <c r="I382" s="95" cm="1">
        <f ca="1" t="array" ref="I382">MIN(30-SUM(J382:L382),6-L382,_xlfn.XLOOKUP($D382&amp;"_"&amp;I$52,$B$14:$B$36&amp;"_"&amp;$C$14:$C$36,$D$14:$D$36)*$E382)</f>
        <v>2.57117142857142</v>
      </c>
      <c r="J382" s="95" cm="1">
        <f ca="1" t="array" ref="J382">MIN(8,_xlfn.XLOOKUP($D382&amp;"_"&amp;J$52,$B$14:$B$36&amp;"_"&amp;$C$14:$C$36,$D$14:$D$36)*$E382)</f>
        <v>2.7</v>
      </c>
      <c r="K382" s="95" cm="1">
        <f ca="1" t="array" ref="K382">MIN(18,_xlfn.XLOOKUP($D382&amp;"_"&amp;K$52,$B$14:$B$36&amp;"_"&amp;$C$14:$C$36,$D$14:$D$36)*$E382)</f>
        <v>1.008</v>
      </c>
      <c r="L382" s="95" cm="1">
        <f ca="1" t="array" ref="L382">MIN(6,_xlfn.XLOOKUP($D382&amp;"_"&amp;L$52,$B$14:$B$36&amp;"_"&amp;$C$14:$C$36,$D$14:$D$36)*$E382)</f>
        <v>1.89</v>
      </c>
      <c r="M382" s="95" cm="1">
        <f ca="1" t="array" ref="M382">(1+SUMPRODUCT(G382:H382,OFFSET($H$40:$I$40,D382,0)))*(1+OFFSET($J$40,D382,0))^I382*(1+OFFSET($K$40,D382,0))^J382*(1+OFFSET($L$40,D382,0))^K382*(1+OFFSET($M$40,D382,0))^L382</f>
        <v>38.5963303736125</v>
      </c>
      <c r="N382" s="95">
        <f ca="1">MAX(MAX($N$53:N381),OFFSET($C$52,MATCH(M382*1.07,$M$53:$M$2052,1),0)-C382)</f>
        <v>4680</v>
      </c>
    </row>
    <row r="383" spans="2:14">
      <c r="B383" s="95">
        <v>331</v>
      </c>
      <c r="C383" s="95">
        <f t="shared" si="31"/>
        <v>119160</v>
      </c>
      <c r="D383" s="95">
        <f ca="1">_xlfn.XLOOKUP(总览!$B$44,$B$40:$B$45,$C$40:$C$45)</f>
        <v>5</v>
      </c>
      <c r="E383" s="95">
        <f ca="1" t="shared" si="32"/>
        <v>361</v>
      </c>
      <c r="F383" s="95">
        <f ca="1" t="shared" si="33"/>
        <v>0</v>
      </c>
      <c r="G383" s="95">
        <f ca="1" t="shared" si="34"/>
        <v>3.80813642857143</v>
      </c>
      <c r="H383" s="95" cm="1">
        <f ca="1" t="array" ref="H383">MIN(30-SUM(I383:L383),_xlfn.XLOOKUP($D383&amp;"_"&amp;H$52,$B$14:$B$36&amp;"_"&amp;$C$14:$C$36,$D$14:$D$36)*$E383,18)</f>
        <v>18</v>
      </c>
      <c r="I383" s="95" cm="1">
        <f ca="1" t="array" ref="I383">MIN(30-SUM(J383:L383),6-L383,_xlfn.XLOOKUP($D383&amp;"_"&amp;I$52,$B$14:$B$36&amp;"_"&amp;$C$14:$C$36,$D$14:$D$36)*$E383)</f>
        <v>2.57831357142857</v>
      </c>
      <c r="J383" s="95" cm="1">
        <f ca="1" t="array" ref="J383">MIN(8,_xlfn.XLOOKUP($D383&amp;"_"&amp;J$52,$B$14:$B$36&amp;"_"&amp;$C$14:$C$36,$D$14:$D$36)*$E383)</f>
        <v>2.7075</v>
      </c>
      <c r="K383" s="95" cm="1">
        <f ca="1" t="array" ref="K383">MIN(18,_xlfn.XLOOKUP($D383&amp;"_"&amp;K$52,$B$14:$B$36&amp;"_"&amp;$C$14:$C$36,$D$14:$D$36)*$E383)</f>
        <v>1.0108</v>
      </c>
      <c r="L383" s="95" cm="1">
        <f ca="1" t="array" ref="L383">MIN(6,_xlfn.XLOOKUP($D383&amp;"_"&amp;L$52,$B$14:$B$36&amp;"_"&amp;$C$14:$C$36,$D$14:$D$36)*$E383)</f>
        <v>1.89525</v>
      </c>
      <c r="M383" s="95" cm="1">
        <f ca="1" t="array" ref="M383">(1+SUMPRODUCT(G383:H383,OFFSET($H$40:$I$40,D383,0)))*(1+OFFSET($J$40,D383,0))^I383*(1+OFFSET($K$40,D383,0))^J383*(1+OFFSET($L$40,D383,0))^K383*(1+OFFSET($M$40,D383,0))^L383</f>
        <v>38.7938954932833</v>
      </c>
      <c r="N383" s="95">
        <f ca="1">MAX(MAX($N$53:N382),OFFSET($C$52,MATCH(M383*1.07,$M$53:$M$2052,1),0)-C383)</f>
        <v>4680</v>
      </c>
    </row>
    <row r="384" spans="2:14">
      <c r="B384" s="95">
        <v>332</v>
      </c>
      <c r="C384" s="95">
        <f t="shared" si="31"/>
        <v>119520</v>
      </c>
      <c r="D384" s="95">
        <f ca="1">_xlfn.XLOOKUP(总览!$B$44,$B$40:$B$45,$C$40:$C$45)</f>
        <v>5</v>
      </c>
      <c r="E384" s="95">
        <f ca="1" t="shared" si="32"/>
        <v>362</v>
      </c>
      <c r="F384" s="95">
        <f ca="1" t="shared" si="33"/>
        <v>0</v>
      </c>
      <c r="G384" s="95">
        <f ca="1" t="shared" si="34"/>
        <v>3.78544428571429</v>
      </c>
      <c r="H384" s="95" cm="1">
        <f ca="1" t="array" ref="H384">MIN(30-SUM(I384:L384),_xlfn.XLOOKUP($D384&amp;"_"&amp;H$52,$B$14:$B$36&amp;"_"&amp;$C$14:$C$36,$D$14:$D$36)*$E384,18)</f>
        <v>18</v>
      </c>
      <c r="I384" s="95" cm="1">
        <f ca="1" t="array" ref="I384">MIN(30-SUM(J384:L384),6-L384,_xlfn.XLOOKUP($D384&amp;"_"&amp;I$52,$B$14:$B$36&amp;"_"&amp;$C$14:$C$36,$D$14:$D$36)*$E384)</f>
        <v>2.58545571428571</v>
      </c>
      <c r="J384" s="95" cm="1">
        <f ca="1" t="array" ref="J384">MIN(8,_xlfn.XLOOKUP($D384&amp;"_"&amp;J$52,$B$14:$B$36&amp;"_"&amp;$C$14:$C$36,$D$14:$D$36)*$E384)</f>
        <v>2.715</v>
      </c>
      <c r="K384" s="95" cm="1">
        <f ca="1" t="array" ref="K384">MIN(18,_xlfn.XLOOKUP($D384&amp;"_"&amp;K$52,$B$14:$B$36&amp;"_"&amp;$C$14:$C$36,$D$14:$D$36)*$E384)</f>
        <v>1.0136</v>
      </c>
      <c r="L384" s="95" cm="1">
        <f ca="1" t="array" ref="L384">MIN(6,_xlfn.XLOOKUP($D384&amp;"_"&amp;L$52,$B$14:$B$36&amp;"_"&amp;$C$14:$C$36,$D$14:$D$36)*$E384)</f>
        <v>1.9005</v>
      </c>
      <c r="M384" s="95" cm="1">
        <f ca="1" t="array" ref="M384">(1+SUMPRODUCT(G384:H384,OFFSET($H$40:$I$40,D384,0)))*(1+OFFSET($J$40,D384,0))^I384*(1+OFFSET($K$40,D384,0))^J384*(1+OFFSET($L$40,D384,0))^K384*(1+OFFSET($M$40,D384,0))^L384</f>
        <v>38.9924605941066</v>
      </c>
      <c r="N384" s="95">
        <f ca="1">MAX(MAX($N$53:N383),OFFSET($C$52,MATCH(M384*1.07,$M$53:$M$2052,1),0)-C384)</f>
        <v>4680</v>
      </c>
    </row>
    <row r="385" spans="2:14">
      <c r="B385" s="95">
        <v>333</v>
      </c>
      <c r="C385" s="95">
        <f t="shared" ref="C385:C448" si="35">C384+360</f>
        <v>119880</v>
      </c>
      <c r="D385" s="95">
        <f ca="1">_xlfn.XLOOKUP(总览!$B$44,$B$40:$B$45,$C$40:$C$45)</f>
        <v>5</v>
      </c>
      <c r="E385" s="95">
        <f ca="1" t="shared" si="32"/>
        <v>363</v>
      </c>
      <c r="F385" s="95">
        <f ca="1" t="shared" si="33"/>
        <v>0</v>
      </c>
      <c r="G385" s="95">
        <f ca="1" t="shared" si="34"/>
        <v>3.76275214285715</v>
      </c>
      <c r="H385" s="95" cm="1">
        <f ca="1" t="array" ref="H385">MIN(30-SUM(I385:L385),_xlfn.XLOOKUP($D385&amp;"_"&amp;H$52,$B$14:$B$36&amp;"_"&amp;$C$14:$C$36,$D$14:$D$36)*$E385,18)</f>
        <v>18</v>
      </c>
      <c r="I385" s="95" cm="1">
        <f ca="1" t="array" ref="I385">MIN(30-SUM(J385:L385),6-L385,_xlfn.XLOOKUP($D385&amp;"_"&amp;I$52,$B$14:$B$36&amp;"_"&amp;$C$14:$C$36,$D$14:$D$36)*$E385)</f>
        <v>2.59259785714285</v>
      </c>
      <c r="J385" s="95" cm="1">
        <f ca="1" t="array" ref="J385">MIN(8,_xlfn.XLOOKUP($D385&amp;"_"&amp;J$52,$B$14:$B$36&amp;"_"&amp;$C$14:$C$36,$D$14:$D$36)*$E385)</f>
        <v>2.7225</v>
      </c>
      <c r="K385" s="95" cm="1">
        <f ca="1" t="array" ref="K385">MIN(18,_xlfn.XLOOKUP($D385&amp;"_"&amp;K$52,$B$14:$B$36&amp;"_"&amp;$C$14:$C$36,$D$14:$D$36)*$E385)</f>
        <v>1.0164</v>
      </c>
      <c r="L385" s="95" cm="1">
        <f ca="1" t="array" ref="L385">MIN(6,_xlfn.XLOOKUP($D385&amp;"_"&amp;L$52,$B$14:$B$36&amp;"_"&amp;$C$14:$C$36,$D$14:$D$36)*$E385)</f>
        <v>1.90575</v>
      </c>
      <c r="M385" s="95" cm="1">
        <f ca="1" t="array" ref="M385">(1+SUMPRODUCT(G385:H385,OFFSET($H$40:$I$40,D385,0)))*(1+OFFSET($J$40,D385,0))^I385*(1+OFFSET($K$40,D385,0))^J385*(1+OFFSET($L$40,D385,0))^K385*(1+OFFSET($M$40,D385,0))^L385</f>
        <v>39.1920306667555</v>
      </c>
      <c r="N385" s="95">
        <f ca="1">MAX(MAX($N$53:N384),OFFSET($C$52,MATCH(M385*1.07,$M$53:$M$2052,1),0)-C385)</f>
        <v>4680</v>
      </c>
    </row>
    <row r="386" spans="2:14">
      <c r="B386" s="95">
        <v>334</v>
      </c>
      <c r="C386" s="95">
        <f t="shared" si="35"/>
        <v>120240</v>
      </c>
      <c r="D386" s="95">
        <f ca="1">_xlfn.XLOOKUP(总览!$B$44,$B$40:$B$45,$C$40:$C$45)</f>
        <v>5</v>
      </c>
      <c r="E386" s="95">
        <f ca="1" t="shared" si="32"/>
        <v>364</v>
      </c>
      <c r="F386" s="95">
        <f ca="1" t="shared" si="33"/>
        <v>0</v>
      </c>
      <c r="G386" s="95">
        <f ca="1" t="shared" si="34"/>
        <v>3.74006</v>
      </c>
      <c r="H386" s="95" cm="1">
        <f ca="1" t="array" ref="H386">MIN(30-SUM(I386:L386),_xlfn.XLOOKUP($D386&amp;"_"&amp;H$52,$B$14:$B$36&amp;"_"&amp;$C$14:$C$36,$D$14:$D$36)*$E386,18)</f>
        <v>18</v>
      </c>
      <c r="I386" s="95" cm="1">
        <f ca="1" t="array" ref="I386">MIN(30-SUM(J386:L386),6-L386,_xlfn.XLOOKUP($D386&amp;"_"&amp;I$52,$B$14:$B$36&amp;"_"&amp;$C$14:$C$36,$D$14:$D$36)*$E386)</f>
        <v>2.59973999999999</v>
      </c>
      <c r="J386" s="95" cm="1">
        <f ca="1" t="array" ref="J386">MIN(8,_xlfn.XLOOKUP($D386&amp;"_"&amp;J$52,$B$14:$B$36&amp;"_"&amp;$C$14:$C$36,$D$14:$D$36)*$E386)</f>
        <v>2.73</v>
      </c>
      <c r="K386" s="95" cm="1">
        <f ca="1" t="array" ref="K386">MIN(18,_xlfn.XLOOKUP($D386&amp;"_"&amp;K$52,$B$14:$B$36&amp;"_"&amp;$C$14:$C$36,$D$14:$D$36)*$E386)</f>
        <v>1.0192</v>
      </c>
      <c r="L386" s="95" cm="1">
        <f ca="1" t="array" ref="L386">MIN(6,_xlfn.XLOOKUP($D386&amp;"_"&amp;L$52,$B$14:$B$36&amp;"_"&amp;$C$14:$C$36,$D$14:$D$36)*$E386)</f>
        <v>1.911</v>
      </c>
      <c r="M386" s="95" cm="1">
        <f ca="1" t="array" ref="M386">(1+SUMPRODUCT(G386:H386,OFFSET($H$40:$I$40,D386,0)))*(1+OFFSET($J$40,D386,0))^I386*(1+OFFSET($K$40,D386,0))^J386*(1+OFFSET($L$40,D386,0))^K386*(1+OFFSET($M$40,D386,0))^L386</f>
        <v>39.3926107263623</v>
      </c>
      <c r="N386" s="95">
        <f ca="1">MAX(MAX($N$53:N385),OFFSET($C$52,MATCH(M386*1.07,$M$53:$M$2052,1),0)-C386)</f>
        <v>4680</v>
      </c>
    </row>
    <row r="387" spans="2:14">
      <c r="B387" s="95">
        <v>335</v>
      </c>
      <c r="C387" s="95">
        <f t="shared" si="35"/>
        <v>120600</v>
      </c>
      <c r="D387" s="95">
        <f ca="1">_xlfn.XLOOKUP(总览!$B$44,$B$40:$B$45,$C$40:$C$45)</f>
        <v>5</v>
      </c>
      <c r="E387" s="95">
        <f ca="1" t="shared" si="32"/>
        <v>365</v>
      </c>
      <c r="F387" s="95">
        <f ca="1" t="shared" si="33"/>
        <v>0</v>
      </c>
      <c r="G387" s="95">
        <f ca="1" t="shared" si="34"/>
        <v>3.71736785714286</v>
      </c>
      <c r="H387" s="95" cm="1">
        <f ca="1" t="array" ref="H387">MIN(30-SUM(I387:L387),_xlfn.XLOOKUP($D387&amp;"_"&amp;H$52,$B$14:$B$36&amp;"_"&amp;$C$14:$C$36,$D$14:$D$36)*$E387,18)</f>
        <v>18</v>
      </c>
      <c r="I387" s="95" cm="1">
        <f ca="1" t="array" ref="I387">MIN(30-SUM(J387:L387),6-L387,_xlfn.XLOOKUP($D387&amp;"_"&amp;I$52,$B$14:$B$36&amp;"_"&amp;$C$14:$C$36,$D$14:$D$36)*$E387)</f>
        <v>2.60688214285714</v>
      </c>
      <c r="J387" s="95" cm="1">
        <f ca="1" t="array" ref="J387">MIN(8,_xlfn.XLOOKUP($D387&amp;"_"&amp;J$52,$B$14:$B$36&amp;"_"&amp;$C$14:$C$36,$D$14:$D$36)*$E387)</f>
        <v>2.7375</v>
      </c>
      <c r="K387" s="95" cm="1">
        <f ca="1" t="array" ref="K387">MIN(18,_xlfn.XLOOKUP($D387&amp;"_"&amp;K$52,$B$14:$B$36&amp;"_"&amp;$C$14:$C$36,$D$14:$D$36)*$E387)</f>
        <v>1.022</v>
      </c>
      <c r="L387" s="95" cm="1">
        <f ca="1" t="array" ref="L387">MIN(6,_xlfn.XLOOKUP($D387&amp;"_"&amp;L$52,$B$14:$B$36&amp;"_"&amp;$C$14:$C$36,$D$14:$D$36)*$E387)</f>
        <v>1.91625</v>
      </c>
      <c r="M387" s="95" cm="1">
        <f ca="1" t="array" ref="M387">(1+SUMPRODUCT(G387:H387,OFFSET($H$40:$I$40,D387,0)))*(1+OFFSET($J$40,D387,0))^I387*(1+OFFSET($K$40,D387,0))^J387*(1+OFFSET($L$40,D387,0))^K387*(1+OFFSET($M$40,D387,0))^L387</f>
        <v>39.5942058126357</v>
      </c>
      <c r="N387" s="95">
        <f ca="1">MAX(MAX($N$53:N386),OFFSET($C$52,MATCH(M387*1.07,$M$53:$M$2052,1),0)-C387)</f>
        <v>4680</v>
      </c>
    </row>
    <row r="388" spans="2:14">
      <c r="B388" s="95">
        <v>336</v>
      </c>
      <c r="C388" s="95">
        <f t="shared" si="35"/>
        <v>120960</v>
      </c>
      <c r="D388" s="95">
        <f ca="1">_xlfn.XLOOKUP(总览!$B$44,$B$40:$B$45,$C$40:$C$45)</f>
        <v>5</v>
      </c>
      <c r="E388" s="95">
        <f ca="1" t="shared" si="32"/>
        <v>366</v>
      </c>
      <c r="F388" s="95">
        <f ca="1" t="shared" si="33"/>
        <v>0</v>
      </c>
      <c r="G388" s="95">
        <f ca="1" t="shared" si="34"/>
        <v>3.69467571428572</v>
      </c>
      <c r="H388" s="95" cm="1">
        <f ca="1" t="array" ref="H388">MIN(30-SUM(I388:L388),_xlfn.XLOOKUP($D388&amp;"_"&amp;H$52,$B$14:$B$36&amp;"_"&amp;$C$14:$C$36,$D$14:$D$36)*$E388,18)</f>
        <v>18</v>
      </c>
      <c r="I388" s="95" cm="1">
        <f ca="1" t="array" ref="I388">MIN(30-SUM(J388:L388),6-L388,_xlfn.XLOOKUP($D388&amp;"_"&amp;I$52,$B$14:$B$36&amp;"_"&amp;$C$14:$C$36,$D$14:$D$36)*$E388)</f>
        <v>2.61402428571428</v>
      </c>
      <c r="J388" s="95" cm="1">
        <f ca="1" t="array" ref="J388">MIN(8,_xlfn.XLOOKUP($D388&amp;"_"&amp;J$52,$B$14:$B$36&amp;"_"&amp;$C$14:$C$36,$D$14:$D$36)*$E388)</f>
        <v>2.745</v>
      </c>
      <c r="K388" s="95" cm="1">
        <f ca="1" t="array" ref="K388">MIN(18,_xlfn.XLOOKUP($D388&amp;"_"&amp;K$52,$B$14:$B$36&amp;"_"&amp;$C$14:$C$36,$D$14:$D$36)*$E388)</f>
        <v>1.0248</v>
      </c>
      <c r="L388" s="95" cm="1">
        <f ca="1" t="array" ref="L388">MIN(6,_xlfn.XLOOKUP($D388&amp;"_"&amp;L$52,$B$14:$B$36&amp;"_"&amp;$C$14:$C$36,$D$14:$D$36)*$E388)</f>
        <v>1.9215</v>
      </c>
      <c r="M388" s="95" cm="1">
        <f ca="1" t="array" ref="M388">(1+SUMPRODUCT(G388:H388,OFFSET($H$40:$I$40,D388,0)))*(1+OFFSET($J$40,D388,0))^I388*(1+OFFSET($K$40,D388,0))^J388*(1+OFFSET($L$40,D388,0))^K388*(1+OFFSET($M$40,D388,0))^L388</f>
        <v>39.7968209899785</v>
      </c>
      <c r="N388" s="95">
        <f ca="1">MAX(MAX($N$53:N387),OFFSET($C$52,MATCH(M388*1.07,$M$53:$M$2052,1),0)-C388)</f>
        <v>4680</v>
      </c>
    </row>
    <row r="389" spans="2:14">
      <c r="B389" s="95">
        <v>337</v>
      </c>
      <c r="C389" s="95">
        <f t="shared" si="35"/>
        <v>121320</v>
      </c>
      <c r="D389" s="95">
        <f ca="1">_xlfn.XLOOKUP(总览!$B$44,$B$40:$B$45,$C$40:$C$45)</f>
        <v>5</v>
      </c>
      <c r="E389" s="95">
        <f ca="1" t="shared" si="32"/>
        <v>367</v>
      </c>
      <c r="F389" s="95">
        <f ca="1" t="shared" si="33"/>
        <v>0</v>
      </c>
      <c r="G389" s="95">
        <f ca="1" t="shared" si="34"/>
        <v>3.67198357142858</v>
      </c>
      <c r="H389" s="95" cm="1">
        <f ca="1" t="array" ref="H389">MIN(30-SUM(I389:L389),_xlfn.XLOOKUP($D389&amp;"_"&amp;H$52,$B$14:$B$36&amp;"_"&amp;$C$14:$C$36,$D$14:$D$36)*$E389,18)</f>
        <v>18</v>
      </c>
      <c r="I389" s="95" cm="1">
        <f ca="1" t="array" ref="I389">MIN(30-SUM(J389:L389),6-L389,_xlfn.XLOOKUP($D389&amp;"_"&amp;I$52,$B$14:$B$36&amp;"_"&amp;$C$14:$C$36,$D$14:$D$36)*$E389)</f>
        <v>2.62116642857142</v>
      </c>
      <c r="J389" s="95" cm="1">
        <f ca="1" t="array" ref="J389">MIN(8,_xlfn.XLOOKUP($D389&amp;"_"&amp;J$52,$B$14:$B$36&amp;"_"&amp;$C$14:$C$36,$D$14:$D$36)*$E389)</f>
        <v>2.7525</v>
      </c>
      <c r="K389" s="95" cm="1">
        <f ca="1" t="array" ref="K389">MIN(18,_xlfn.XLOOKUP($D389&amp;"_"&amp;K$52,$B$14:$B$36&amp;"_"&amp;$C$14:$C$36,$D$14:$D$36)*$E389)</f>
        <v>1.0276</v>
      </c>
      <c r="L389" s="95" cm="1">
        <f ca="1" t="array" ref="L389">MIN(6,_xlfn.XLOOKUP($D389&amp;"_"&amp;L$52,$B$14:$B$36&amp;"_"&amp;$C$14:$C$36,$D$14:$D$36)*$E389)</f>
        <v>1.92675</v>
      </c>
      <c r="M389" s="95" cm="1">
        <f ca="1" t="array" ref="M389">(1+SUMPRODUCT(G389:H389,OFFSET($H$40:$I$40,D389,0)))*(1+OFFSET($J$40,D389,0))^I389*(1+OFFSET($K$40,D389,0))^J389*(1+OFFSET($L$40,D389,0))^K389*(1+OFFSET($M$40,D389,0))^L389</f>
        <v>40.0004613476056</v>
      </c>
      <c r="N389" s="95">
        <f ca="1">MAX(MAX($N$53:N388),OFFSET($C$52,MATCH(M389*1.07,$M$53:$M$2052,1),0)-C389)</f>
        <v>4680</v>
      </c>
    </row>
    <row r="390" spans="2:14">
      <c r="B390" s="95">
        <v>338</v>
      </c>
      <c r="C390" s="95">
        <f t="shared" si="35"/>
        <v>121680</v>
      </c>
      <c r="D390" s="95">
        <f ca="1">_xlfn.XLOOKUP(总览!$B$44,$B$40:$B$45,$C$40:$C$45)</f>
        <v>5</v>
      </c>
      <c r="E390" s="95">
        <f ca="1" t="shared" si="32"/>
        <v>368</v>
      </c>
      <c r="F390" s="95">
        <f ca="1" t="shared" si="33"/>
        <v>0</v>
      </c>
      <c r="G390" s="95">
        <f ca="1" t="shared" si="34"/>
        <v>3.64929142857143</v>
      </c>
      <c r="H390" s="95" cm="1">
        <f ca="1" t="array" ref="H390">MIN(30-SUM(I390:L390),_xlfn.XLOOKUP($D390&amp;"_"&amp;H$52,$B$14:$B$36&amp;"_"&amp;$C$14:$C$36,$D$14:$D$36)*$E390,18)</f>
        <v>18</v>
      </c>
      <c r="I390" s="95" cm="1">
        <f ca="1" t="array" ref="I390">MIN(30-SUM(J390:L390),6-L390,_xlfn.XLOOKUP($D390&amp;"_"&amp;I$52,$B$14:$B$36&amp;"_"&amp;$C$14:$C$36,$D$14:$D$36)*$E390)</f>
        <v>2.62830857142857</v>
      </c>
      <c r="J390" s="95" cm="1">
        <f ca="1" t="array" ref="J390">MIN(8,_xlfn.XLOOKUP($D390&amp;"_"&amp;J$52,$B$14:$B$36&amp;"_"&amp;$C$14:$C$36,$D$14:$D$36)*$E390)</f>
        <v>2.76</v>
      </c>
      <c r="K390" s="95" cm="1">
        <f ca="1" t="array" ref="K390">MIN(18,_xlfn.XLOOKUP($D390&amp;"_"&amp;K$52,$B$14:$B$36&amp;"_"&amp;$C$14:$C$36,$D$14:$D$36)*$E390)</f>
        <v>1.0304</v>
      </c>
      <c r="L390" s="95" cm="1">
        <f ca="1" t="array" ref="L390">MIN(6,_xlfn.XLOOKUP($D390&amp;"_"&amp;L$52,$B$14:$B$36&amp;"_"&amp;$C$14:$C$36,$D$14:$D$36)*$E390)</f>
        <v>1.932</v>
      </c>
      <c r="M390" s="95" cm="1">
        <f ca="1" t="array" ref="M390">(1+SUMPRODUCT(G390:H390,OFFSET($H$40:$I$40,D390,0)))*(1+OFFSET($J$40,D390,0))^I390*(1+OFFSET($K$40,D390,0))^J390*(1+OFFSET($L$40,D390,0))^K390*(1+OFFSET($M$40,D390,0))^L390</f>
        <v>40.2051319996624</v>
      </c>
      <c r="N390" s="95">
        <f ca="1">MAX(MAX($N$53:N389),OFFSET($C$52,MATCH(M390*1.07,$M$53:$M$2052,1),0)-C390)</f>
        <v>4680</v>
      </c>
    </row>
    <row r="391" spans="2:14">
      <c r="B391" s="95">
        <v>339</v>
      </c>
      <c r="C391" s="95">
        <f t="shared" si="35"/>
        <v>122040</v>
      </c>
      <c r="D391" s="95">
        <f ca="1">_xlfn.XLOOKUP(总览!$B$44,$B$40:$B$45,$C$40:$C$45)</f>
        <v>5</v>
      </c>
      <c r="E391" s="95">
        <f ca="1" t="shared" si="32"/>
        <v>369</v>
      </c>
      <c r="F391" s="95">
        <f ca="1" t="shared" si="33"/>
        <v>0</v>
      </c>
      <c r="G391" s="95">
        <f ca="1" t="shared" si="34"/>
        <v>3.62659928571429</v>
      </c>
      <c r="H391" s="95" cm="1">
        <f ca="1" t="array" ref="H391">MIN(30-SUM(I391:L391),_xlfn.XLOOKUP($D391&amp;"_"&amp;H$52,$B$14:$B$36&amp;"_"&amp;$C$14:$C$36,$D$14:$D$36)*$E391,18)</f>
        <v>18</v>
      </c>
      <c r="I391" s="95" cm="1">
        <f ca="1" t="array" ref="I391">MIN(30-SUM(J391:L391),6-L391,_xlfn.XLOOKUP($D391&amp;"_"&amp;I$52,$B$14:$B$36&amp;"_"&amp;$C$14:$C$36,$D$14:$D$36)*$E391)</f>
        <v>2.63545071428571</v>
      </c>
      <c r="J391" s="95" cm="1">
        <f ca="1" t="array" ref="J391">MIN(8,_xlfn.XLOOKUP($D391&amp;"_"&amp;J$52,$B$14:$B$36&amp;"_"&amp;$C$14:$C$36,$D$14:$D$36)*$E391)</f>
        <v>2.7675</v>
      </c>
      <c r="K391" s="95" cm="1">
        <f ca="1" t="array" ref="K391">MIN(18,_xlfn.XLOOKUP($D391&amp;"_"&amp;K$52,$B$14:$B$36&amp;"_"&amp;$C$14:$C$36,$D$14:$D$36)*$E391)</f>
        <v>1.0332</v>
      </c>
      <c r="L391" s="95" cm="1">
        <f ca="1" t="array" ref="L391">MIN(6,_xlfn.XLOOKUP($D391&amp;"_"&amp;L$52,$B$14:$B$36&amp;"_"&amp;$C$14:$C$36,$D$14:$D$36)*$E391)</f>
        <v>1.93725</v>
      </c>
      <c r="M391" s="95" cm="1">
        <f ca="1" t="array" ref="M391">(1+SUMPRODUCT(G391:H391,OFFSET($H$40:$I$40,D391,0)))*(1+OFFSET($J$40,D391,0))^I391*(1+OFFSET($K$40,D391,0))^J391*(1+OFFSET($L$40,D391,0))^K391*(1+OFFSET($M$40,D391,0))^L391</f>
        <v>40.4108380853444</v>
      </c>
      <c r="N391" s="95">
        <f ca="1">MAX(MAX($N$53:N390),OFFSET($C$52,MATCH(M391*1.07,$M$53:$M$2052,1),0)-C391)</f>
        <v>4680</v>
      </c>
    </row>
    <row r="392" spans="2:14">
      <c r="B392" s="95">
        <v>340</v>
      </c>
      <c r="C392" s="95">
        <f t="shared" si="35"/>
        <v>122400</v>
      </c>
      <c r="D392" s="95">
        <f ca="1">_xlfn.XLOOKUP(总览!$B$44,$B$40:$B$45,$C$40:$C$45)</f>
        <v>5</v>
      </c>
      <c r="E392" s="95">
        <f ca="1" t="shared" si="32"/>
        <v>370</v>
      </c>
      <c r="F392" s="95">
        <f ca="1" t="shared" si="33"/>
        <v>0</v>
      </c>
      <c r="G392" s="95">
        <f ca="1" t="shared" si="34"/>
        <v>3.60390714285715</v>
      </c>
      <c r="H392" s="95" cm="1">
        <f ca="1" t="array" ref="H392">MIN(30-SUM(I392:L392),_xlfn.XLOOKUP($D392&amp;"_"&amp;H$52,$B$14:$B$36&amp;"_"&amp;$C$14:$C$36,$D$14:$D$36)*$E392,18)</f>
        <v>18</v>
      </c>
      <c r="I392" s="95" cm="1">
        <f ca="1" t="array" ref="I392">MIN(30-SUM(J392:L392),6-L392,_xlfn.XLOOKUP($D392&amp;"_"&amp;I$52,$B$14:$B$36&amp;"_"&amp;$C$14:$C$36,$D$14:$D$36)*$E392)</f>
        <v>2.64259285714285</v>
      </c>
      <c r="J392" s="95" cm="1">
        <f ca="1" t="array" ref="J392">MIN(8,_xlfn.XLOOKUP($D392&amp;"_"&amp;J$52,$B$14:$B$36&amp;"_"&amp;$C$14:$C$36,$D$14:$D$36)*$E392)</f>
        <v>2.775</v>
      </c>
      <c r="K392" s="95" cm="1">
        <f ca="1" t="array" ref="K392">MIN(18,_xlfn.XLOOKUP($D392&amp;"_"&amp;K$52,$B$14:$B$36&amp;"_"&amp;$C$14:$C$36,$D$14:$D$36)*$E392)</f>
        <v>1.036</v>
      </c>
      <c r="L392" s="95" cm="1">
        <f ca="1" t="array" ref="L392">MIN(6,_xlfn.XLOOKUP($D392&amp;"_"&amp;L$52,$B$14:$B$36&amp;"_"&amp;$C$14:$C$36,$D$14:$D$36)*$E392)</f>
        <v>1.9425</v>
      </c>
      <c r="M392" s="95" cm="1">
        <f ca="1" t="array" ref="M392">(1+SUMPRODUCT(G392:H392,OFFSET($H$40:$I$40,D392,0)))*(1+OFFSET($J$40,D392,0))^I392*(1+OFFSET($K$40,D392,0))^J392*(1+OFFSET($L$40,D392,0))^K392*(1+OFFSET($M$40,D392,0))^L392</f>
        <v>40.6175847690166</v>
      </c>
      <c r="N392" s="95">
        <f ca="1">MAX(MAX($N$53:N391),OFFSET($C$52,MATCH(M392*1.07,$M$53:$M$2052,1),0)-C392)</f>
        <v>4680</v>
      </c>
    </row>
    <row r="393" spans="2:14">
      <c r="B393" s="95">
        <v>341</v>
      </c>
      <c r="C393" s="95">
        <f t="shared" si="35"/>
        <v>122760</v>
      </c>
      <c r="D393" s="95">
        <f ca="1">_xlfn.XLOOKUP(总览!$B$44,$B$40:$B$45,$C$40:$C$45)</f>
        <v>5</v>
      </c>
      <c r="E393" s="95">
        <f ca="1" t="shared" si="32"/>
        <v>371</v>
      </c>
      <c r="F393" s="95">
        <f ca="1" t="shared" si="33"/>
        <v>0</v>
      </c>
      <c r="G393" s="95">
        <f ca="1" t="shared" si="34"/>
        <v>3.58121500000001</v>
      </c>
      <c r="H393" s="95" cm="1">
        <f ca="1" t="array" ref="H393">MIN(30-SUM(I393:L393),_xlfn.XLOOKUP($D393&amp;"_"&amp;H$52,$B$14:$B$36&amp;"_"&amp;$C$14:$C$36,$D$14:$D$36)*$E393,18)</f>
        <v>18</v>
      </c>
      <c r="I393" s="95" cm="1">
        <f ca="1" t="array" ref="I393">MIN(30-SUM(J393:L393),6-L393,_xlfn.XLOOKUP($D393&amp;"_"&amp;I$52,$B$14:$B$36&amp;"_"&amp;$C$14:$C$36,$D$14:$D$36)*$E393)</f>
        <v>2.64973499999999</v>
      </c>
      <c r="J393" s="95" cm="1">
        <f ca="1" t="array" ref="J393">MIN(8,_xlfn.XLOOKUP($D393&amp;"_"&amp;J$52,$B$14:$B$36&amp;"_"&amp;$C$14:$C$36,$D$14:$D$36)*$E393)</f>
        <v>2.7825</v>
      </c>
      <c r="K393" s="95" cm="1">
        <f ca="1" t="array" ref="K393">MIN(18,_xlfn.XLOOKUP($D393&amp;"_"&amp;K$52,$B$14:$B$36&amp;"_"&amp;$C$14:$C$36,$D$14:$D$36)*$E393)</f>
        <v>1.0388</v>
      </c>
      <c r="L393" s="95" cm="1">
        <f ca="1" t="array" ref="L393">MIN(6,_xlfn.XLOOKUP($D393&amp;"_"&amp;L$52,$B$14:$B$36&amp;"_"&amp;$C$14:$C$36,$D$14:$D$36)*$E393)</f>
        <v>1.94775</v>
      </c>
      <c r="M393" s="95" cm="1">
        <f ca="1" t="array" ref="M393">(1+SUMPRODUCT(G393:H393,OFFSET($H$40:$I$40,D393,0)))*(1+OFFSET($J$40,D393,0))^I393*(1+OFFSET($K$40,D393,0))^J393*(1+OFFSET($L$40,D393,0))^K393*(1+OFFSET($M$40,D393,0))^L393</f>
        <v>40.8253772403339</v>
      </c>
      <c r="N393" s="95">
        <f ca="1">MAX(MAX($N$53:N392),OFFSET($C$52,MATCH(M393*1.07,$M$53:$M$2052,1),0)-C393)</f>
        <v>4680</v>
      </c>
    </row>
    <row r="394" spans="2:14">
      <c r="B394" s="95">
        <v>342</v>
      </c>
      <c r="C394" s="95">
        <f t="shared" si="35"/>
        <v>123120</v>
      </c>
      <c r="D394" s="95">
        <f ca="1">_xlfn.XLOOKUP(总览!$B$44,$B$40:$B$45,$C$40:$C$45)</f>
        <v>5</v>
      </c>
      <c r="E394" s="95">
        <f ca="1" t="shared" si="32"/>
        <v>372</v>
      </c>
      <c r="F394" s="95">
        <f ca="1" t="shared" si="33"/>
        <v>0</v>
      </c>
      <c r="G394" s="95">
        <f ca="1" t="shared" si="34"/>
        <v>3.55852285714286</v>
      </c>
      <c r="H394" s="95" cm="1">
        <f ca="1" t="array" ref="H394">MIN(30-SUM(I394:L394),_xlfn.XLOOKUP($D394&amp;"_"&amp;H$52,$B$14:$B$36&amp;"_"&amp;$C$14:$C$36,$D$14:$D$36)*$E394,18)</f>
        <v>18</v>
      </c>
      <c r="I394" s="95" cm="1">
        <f ca="1" t="array" ref="I394">MIN(30-SUM(J394:L394),6-L394,_xlfn.XLOOKUP($D394&amp;"_"&amp;I$52,$B$14:$B$36&amp;"_"&amp;$C$14:$C$36,$D$14:$D$36)*$E394)</f>
        <v>2.65687714285714</v>
      </c>
      <c r="J394" s="95" cm="1">
        <f ca="1" t="array" ref="J394">MIN(8,_xlfn.XLOOKUP($D394&amp;"_"&amp;J$52,$B$14:$B$36&amp;"_"&amp;$C$14:$C$36,$D$14:$D$36)*$E394)</f>
        <v>2.79</v>
      </c>
      <c r="K394" s="95" cm="1">
        <f ca="1" t="array" ref="K394">MIN(18,_xlfn.XLOOKUP($D394&amp;"_"&amp;K$52,$B$14:$B$36&amp;"_"&amp;$C$14:$C$36,$D$14:$D$36)*$E394)</f>
        <v>1.0416</v>
      </c>
      <c r="L394" s="95" cm="1">
        <f ca="1" t="array" ref="L394">MIN(6,_xlfn.XLOOKUP($D394&amp;"_"&amp;L$52,$B$14:$B$36&amp;"_"&amp;$C$14:$C$36,$D$14:$D$36)*$E394)</f>
        <v>1.953</v>
      </c>
      <c r="M394" s="95" cm="1">
        <f ca="1" t="array" ref="M394">(1+SUMPRODUCT(G394:H394,OFFSET($H$40:$I$40,D394,0)))*(1+OFFSET($J$40,D394,0))^I394*(1+OFFSET($K$40,D394,0))^J394*(1+OFFSET($L$40,D394,0))^K394*(1+OFFSET($M$40,D394,0))^L394</f>
        <v>41.034220714362</v>
      </c>
      <c r="N394" s="95">
        <f ca="1">MAX(MAX($N$53:N393),OFFSET($C$52,MATCH(M394*1.07,$M$53:$M$2052,1),0)-C394)</f>
        <v>4680</v>
      </c>
    </row>
    <row r="395" spans="2:14">
      <c r="B395" s="95">
        <v>343</v>
      </c>
      <c r="C395" s="95">
        <f t="shared" si="35"/>
        <v>123480</v>
      </c>
      <c r="D395" s="95">
        <f ca="1">_xlfn.XLOOKUP(总览!$B$44,$B$40:$B$45,$C$40:$C$45)</f>
        <v>5</v>
      </c>
      <c r="E395" s="95">
        <f ca="1" t="shared" si="32"/>
        <v>373</v>
      </c>
      <c r="F395" s="95">
        <f ca="1" t="shared" si="33"/>
        <v>0</v>
      </c>
      <c r="G395" s="95">
        <f ca="1" t="shared" si="34"/>
        <v>3.53583071428572</v>
      </c>
      <c r="H395" s="95" cm="1">
        <f ca="1" t="array" ref="H395">MIN(30-SUM(I395:L395),_xlfn.XLOOKUP($D395&amp;"_"&amp;H$52,$B$14:$B$36&amp;"_"&amp;$C$14:$C$36,$D$14:$D$36)*$E395,18)</f>
        <v>18</v>
      </c>
      <c r="I395" s="95" cm="1">
        <f ca="1" t="array" ref="I395">MIN(30-SUM(J395:L395),6-L395,_xlfn.XLOOKUP($D395&amp;"_"&amp;I$52,$B$14:$B$36&amp;"_"&amp;$C$14:$C$36,$D$14:$D$36)*$E395)</f>
        <v>2.66401928571428</v>
      </c>
      <c r="J395" s="95" cm="1">
        <f ca="1" t="array" ref="J395">MIN(8,_xlfn.XLOOKUP($D395&amp;"_"&amp;J$52,$B$14:$B$36&amp;"_"&amp;$C$14:$C$36,$D$14:$D$36)*$E395)</f>
        <v>2.7975</v>
      </c>
      <c r="K395" s="95" cm="1">
        <f ca="1" t="array" ref="K395">MIN(18,_xlfn.XLOOKUP($D395&amp;"_"&amp;K$52,$B$14:$B$36&amp;"_"&amp;$C$14:$C$36,$D$14:$D$36)*$E395)</f>
        <v>1.0444</v>
      </c>
      <c r="L395" s="95" cm="1">
        <f ca="1" t="array" ref="L395">MIN(6,_xlfn.XLOOKUP($D395&amp;"_"&amp;L$52,$B$14:$B$36&amp;"_"&amp;$C$14:$C$36,$D$14:$D$36)*$E395)</f>
        <v>1.95825</v>
      </c>
      <c r="M395" s="95" cm="1">
        <f ca="1" t="array" ref="M395">(1+SUMPRODUCT(G395:H395,OFFSET($H$40:$I$40,D395,0)))*(1+OFFSET($J$40,D395,0))^I395*(1+OFFSET($K$40,D395,0))^J395*(1+OFFSET($L$40,D395,0))^K395*(1+OFFSET($M$40,D395,0))^L395</f>
        <v>41.2441204316986</v>
      </c>
      <c r="N395" s="95">
        <f ca="1">MAX(MAX($N$53:N394),OFFSET($C$52,MATCH(M395*1.07,$M$53:$M$2052,1),0)-C395)</f>
        <v>4680</v>
      </c>
    </row>
    <row r="396" spans="2:14">
      <c r="B396" s="95">
        <v>344</v>
      </c>
      <c r="C396" s="95">
        <f t="shared" si="35"/>
        <v>123840</v>
      </c>
      <c r="D396" s="95">
        <f ca="1">_xlfn.XLOOKUP(总览!$B$44,$B$40:$B$45,$C$40:$C$45)</f>
        <v>5</v>
      </c>
      <c r="E396" s="95">
        <f ca="1" t="shared" si="32"/>
        <v>374</v>
      </c>
      <c r="F396" s="95">
        <f ca="1" t="shared" si="33"/>
        <v>0</v>
      </c>
      <c r="G396" s="95">
        <f ca="1" t="shared" si="34"/>
        <v>3.51313857142858</v>
      </c>
      <c r="H396" s="95" cm="1">
        <f ca="1" t="array" ref="H396">MIN(30-SUM(I396:L396),_xlfn.XLOOKUP($D396&amp;"_"&amp;H$52,$B$14:$B$36&amp;"_"&amp;$C$14:$C$36,$D$14:$D$36)*$E396,18)</f>
        <v>18</v>
      </c>
      <c r="I396" s="95" cm="1">
        <f ca="1" t="array" ref="I396">MIN(30-SUM(J396:L396),6-L396,_xlfn.XLOOKUP($D396&amp;"_"&amp;I$52,$B$14:$B$36&amp;"_"&amp;$C$14:$C$36,$D$14:$D$36)*$E396)</f>
        <v>2.67116142857142</v>
      </c>
      <c r="J396" s="95" cm="1">
        <f ca="1" t="array" ref="J396">MIN(8,_xlfn.XLOOKUP($D396&amp;"_"&amp;J$52,$B$14:$B$36&amp;"_"&amp;$C$14:$C$36,$D$14:$D$36)*$E396)</f>
        <v>2.805</v>
      </c>
      <c r="K396" s="95" cm="1">
        <f ca="1" t="array" ref="K396">MIN(18,_xlfn.XLOOKUP($D396&amp;"_"&amp;K$52,$B$14:$B$36&amp;"_"&amp;$C$14:$C$36,$D$14:$D$36)*$E396)</f>
        <v>1.0472</v>
      </c>
      <c r="L396" s="95" cm="1">
        <f ca="1" t="array" ref="L396">MIN(6,_xlfn.XLOOKUP($D396&amp;"_"&amp;L$52,$B$14:$B$36&amp;"_"&amp;$C$14:$C$36,$D$14:$D$36)*$E396)</f>
        <v>1.9635</v>
      </c>
      <c r="M396" s="95" cm="1">
        <f ca="1" t="array" ref="M396">(1+SUMPRODUCT(G396:H396,OFFSET($H$40:$I$40,D396,0)))*(1+OFFSET($J$40,D396,0))^I396*(1+OFFSET($K$40,D396,0))^J396*(1+OFFSET($L$40,D396,0))^K396*(1+OFFSET($M$40,D396,0))^L396</f>
        <v>41.4550816585956</v>
      </c>
      <c r="N396" s="95">
        <f ca="1">MAX(MAX($N$53:N395),OFFSET($C$52,MATCH(M396*1.07,$M$53:$M$2052,1),0)-C396)</f>
        <v>4680</v>
      </c>
    </row>
    <row r="397" spans="2:14">
      <c r="B397" s="95">
        <v>345</v>
      </c>
      <c r="C397" s="95">
        <f t="shared" si="35"/>
        <v>124200</v>
      </c>
      <c r="D397" s="95">
        <f ca="1">_xlfn.XLOOKUP(总览!$B$44,$B$40:$B$45,$C$40:$C$45)</f>
        <v>5</v>
      </c>
      <c r="E397" s="95">
        <f ca="1" t="shared" si="32"/>
        <v>375</v>
      </c>
      <c r="F397" s="95">
        <f ca="1" t="shared" si="33"/>
        <v>0</v>
      </c>
      <c r="G397" s="95">
        <f ca="1" t="shared" si="34"/>
        <v>3.49044642857143</v>
      </c>
      <c r="H397" s="95" cm="1">
        <f ca="1" t="array" ref="H397">MIN(30-SUM(I397:L397),_xlfn.XLOOKUP($D397&amp;"_"&amp;H$52,$B$14:$B$36&amp;"_"&amp;$C$14:$C$36,$D$14:$D$36)*$E397,18)</f>
        <v>18</v>
      </c>
      <c r="I397" s="95" cm="1">
        <f ca="1" t="array" ref="I397">MIN(30-SUM(J397:L397),6-L397,_xlfn.XLOOKUP($D397&amp;"_"&amp;I$52,$B$14:$B$36&amp;"_"&amp;$C$14:$C$36,$D$14:$D$36)*$E397)</f>
        <v>2.67830357142857</v>
      </c>
      <c r="J397" s="95" cm="1">
        <f ca="1" t="array" ref="J397">MIN(8,_xlfn.XLOOKUP($D397&amp;"_"&amp;J$52,$B$14:$B$36&amp;"_"&amp;$C$14:$C$36,$D$14:$D$36)*$E397)</f>
        <v>2.8125</v>
      </c>
      <c r="K397" s="95" cm="1">
        <f ca="1" t="array" ref="K397">MIN(18,_xlfn.XLOOKUP($D397&amp;"_"&amp;K$52,$B$14:$B$36&amp;"_"&amp;$C$14:$C$36,$D$14:$D$36)*$E397)</f>
        <v>1.05</v>
      </c>
      <c r="L397" s="95" cm="1">
        <f ca="1" t="array" ref="L397">MIN(6,_xlfn.XLOOKUP($D397&amp;"_"&amp;L$52,$B$14:$B$36&amp;"_"&amp;$C$14:$C$36,$D$14:$D$36)*$E397)</f>
        <v>1.96875</v>
      </c>
      <c r="M397" s="95" cm="1">
        <f ca="1" t="array" ref="M397">(1+SUMPRODUCT(G397:H397,OFFSET($H$40:$I$40,D397,0)))*(1+OFFSET($J$40,D397,0))^I397*(1+OFFSET($K$40,D397,0))^J397*(1+OFFSET($L$40,D397,0))^K397*(1+OFFSET($M$40,D397,0))^L397</f>
        <v>41.6671096870816</v>
      </c>
      <c r="N397" s="95">
        <f ca="1">MAX(MAX($N$53:N396),OFFSET($C$52,MATCH(M397*1.07,$M$53:$M$2052,1),0)-C397)</f>
        <v>4680</v>
      </c>
    </row>
    <row r="398" spans="2:14">
      <c r="B398" s="95">
        <v>346</v>
      </c>
      <c r="C398" s="95">
        <f t="shared" si="35"/>
        <v>124560</v>
      </c>
      <c r="D398" s="95">
        <f ca="1">_xlfn.XLOOKUP(总览!$B$44,$B$40:$B$45,$C$40:$C$45)</f>
        <v>5</v>
      </c>
      <c r="E398" s="95">
        <f ca="1" t="shared" si="32"/>
        <v>376</v>
      </c>
      <c r="F398" s="95">
        <f ca="1" t="shared" si="33"/>
        <v>0</v>
      </c>
      <c r="G398" s="95">
        <f ca="1" t="shared" si="34"/>
        <v>3.46775428571429</v>
      </c>
      <c r="H398" s="95" cm="1">
        <f ca="1" t="array" ref="H398">MIN(30-SUM(I398:L398),_xlfn.XLOOKUP($D398&amp;"_"&amp;H$52,$B$14:$B$36&amp;"_"&amp;$C$14:$C$36,$D$14:$D$36)*$E398,18)</f>
        <v>18</v>
      </c>
      <c r="I398" s="95" cm="1">
        <f ca="1" t="array" ref="I398">MIN(30-SUM(J398:L398),6-L398,_xlfn.XLOOKUP($D398&amp;"_"&amp;I$52,$B$14:$B$36&amp;"_"&amp;$C$14:$C$36,$D$14:$D$36)*$E398)</f>
        <v>2.68544571428571</v>
      </c>
      <c r="J398" s="95" cm="1">
        <f ca="1" t="array" ref="J398">MIN(8,_xlfn.XLOOKUP($D398&amp;"_"&amp;J$52,$B$14:$B$36&amp;"_"&amp;$C$14:$C$36,$D$14:$D$36)*$E398)</f>
        <v>2.82</v>
      </c>
      <c r="K398" s="95" cm="1">
        <f ca="1" t="array" ref="K398">MIN(18,_xlfn.XLOOKUP($D398&amp;"_"&amp;K$52,$B$14:$B$36&amp;"_"&amp;$C$14:$C$36,$D$14:$D$36)*$E398)</f>
        <v>1.0528</v>
      </c>
      <c r="L398" s="95" cm="1">
        <f ca="1" t="array" ref="L398">MIN(6,_xlfn.XLOOKUP($D398&amp;"_"&amp;L$52,$B$14:$B$36&amp;"_"&amp;$C$14:$C$36,$D$14:$D$36)*$E398)</f>
        <v>1.974</v>
      </c>
      <c r="M398" s="95" cm="1">
        <f ca="1" t="array" ref="M398">(1+SUMPRODUCT(G398:H398,OFFSET($H$40:$I$40,D398,0)))*(1+OFFSET($J$40,D398,0))^I398*(1+OFFSET($K$40,D398,0))^J398*(1+OFFSET($L$40,D398,0))^K398*(1+OFFSET($M$40,D398,0))^L398</f>
        <v>41.8802098350845</v>
      </c>
      <c r="N398" s="95">
        <f ca="1">MAX(MAX($N$53:N397),OFFSET($C$52,MATCH(M398*1.07,$M$53:$M$2052,1),0)-C398)</f>
        <v>4680</v>
      </c>
    </row>
    <row r="399" spans="2:14">
      <c r="B399" s="95">
        <v>347</v>
      </c>
      <c r="C399" s="95">
        <f t="shared" si="35"/>
        <v>124920</v>
      </c>
      <c r="D399" s="95">
        <f ca="1">_xlfn.XLOOKUP(总览!$B$44,$B$40:$B$45,$C$40:$C$45)</f>
        <v>5</v>
      </c>
      <c r="E399" s="95">
        <f ca="1" t="shared" si="32"/>
        <v>377</v>
      </c>
      <c r="F399" s="95">
        <f ca="1" t="shared" si="33"/>
        <v>0</v>
      </c>
      <c r="G399" s="95">
        <f ca="1" t="shared" si="34"/>
        <v>3.44506214285715</v>
      </c>
      <c r="H399" s="95" cm="1">
        <f ca="1" t="array" ref="H399">MIN(30-SUM(I399:L399),_xlfn.XLOOKUP($D399&amp;"_"&amp;H$52,$B$14:$B$36&amp;"_"&amp;$C$14:$C$36,$D$14:$D$36)*$E399,18)</f>
        <v>18</v>
      </c>
      <c r="I399" s="95" cm="1">
        <f ca="1" t="array" ref="I399">MIN(30-SUM(J399:L399),6-L399,_xlfn.XLOOKUP($D399&amp;"_"&amp;I$52,$B$14:$B$36&amp;"_"&amp;$C$14:$C$36,$D$14:$D$36)*$E399)</f>
        <v>2.69258785714285</v>
      </c>
      <c r="J399" s="95" cm="1">
        <f ca="1" t="array" ref="J399">MIN(8,_xlfn.XLOOKUP($D399&amp;"_"&amp;J$52,$B$14:$B$36&amp;"_"&amp;$C$14:$C$36,$D$14:$D$36)*$E399)</f>
        <v>2.8275</v>
      </c>
      <c r="K399" s="95" cm="1">
        <f ca="1" t="array" ref="K399">MIN(18,_xlfn.XLOOKUP($D399&amp;"_"&amp;K$52,$B$14:$B$36&amp;"_"&amp;$C$14:$C$36,$D$14:$D$36)*$E399)</f>
        <v>1.0556</v>
      </c>
      <c r="L399" s="95" cm="1">
        <f ca="1" t="array" ref="L399">MIN(6,_xlfn.XLOOKUP($D399&amp;"_"&amp;L$52,$B$14:$B$36&amp;"_"&amp;$C$14:$C$36,$D$14:$D$36)*$E399)</f>
        <v>1.97925</v>
      </c>
      <c r="M399" s="95" cm="1">
        <f ca="1" t="array" ref="M399">(1+SUMPRODUCT(G399:H399,OFFSET($H$40:$I$40,D399,0)))*(1+OFFSET($J$40,D399,0))^I399*(1+OFFSET($K$40,D399,0))^J399*(1+OFFSET($L$40,D399,0))^K399*(1+OFFSET($M$40,D399,0))^L399</f>
        <v>42.094387446556</v>
      </c>
      <c r="N399" s="95">
        <f ca="1">MAX(MAX($N$53:N398),OFFSET($C$52,MATCH(M399*1.07,$M$53:$M$2052,1),0)-C399)</f>
        <v>4680</v>
      </c>
    </row>
    <row r="400" spans="2:14">
      <c r="B400" s="95">
        <v>348</v>
      </c>
      <c r="C400" s="95">
        <f t="shared" si="35"/>
        <v>125280</v>
      </c>
      <c r="D400" s="95">
        <f ca="1">_xlfn.XLOOKUP(总览!$B$44,$B$40:$B$45,$C$40:$C$45)</f>
        <v>5</v>
      </c>
      <c r="E400" s="95">
        <f ca="1" t="shared" si="32"/>
        <v>378</v>
      </c>
      <c r="F400" s="95">
        <f ca="1" t="shared" si="33"/>
        <v>0</v>
      </c>
      <c r="G400" s="95">
        <f ca="1" t="shared" si="34"/>
        <v>3.42237</v>
      </c>
      <c r="H400" s="95" cm="1">
        <f ca="1" t="array" ref="H400">MIN(30-SUM(I400:L400),_xlfn.XLOOKUP($D400&amp;"_"&amp;H$52,$B$14:$B$36&amp;"_"&amp;$C$14:$C$36,$D$14:$D$36)*$E400,18)</f>
        <v>18</v>
      </c>
      <c r="I400" s="95" cm="1">
        <f ca="1" t="array" ref="I400">MIN(30-SUM(J400:L400),6-L400,_xlfn.XLOOKUP($D400&amp;"_"&amp;I$52,$B$14:$B$36&amp;"_"&amp;$C$14:$C$36,$D$14:$D$36)*$E400)</f>
        <v>2.69972999999999</v>
      </c>
      <c r="J400" s="95" cm="1">
        <f ca="1" t="array" ref="J400">MIN(8,_xlfn.XLOOKUP($D400&amp;"_"&amp;J$52,$B$14:$B$36&amp;"_"&amp;$C$14:$C$36,$D$14:$D$36)*$E400)</f>
        <v>2.835</v>
      </c>
      <c r="K400" s="95" cm="1">
        <f ca="1" t="array" ref="K400">MIN(18,_xlfn.XLOOKUP($D400&amp;"_"&amp;K$52,$B$14:$B$36&amp;"_"&amp;$C$14:$C$36,$D$14:$D$36)*$E400)</f>
        <v>1.0584</v>
      </c>
      <c r="L400" s="95" cm="1">
        <f ca="1" t="array" ref="L400">MIN(6,_xlfn.XLOOKUP($D400&amp;"_"&amp;L$52,$B$14:$B$36&amp;"_"&amp;$C$14:$C$36,$D$14:$D$36)*$E400)</f>
        <v>1.9845</v>
      </c>
      <c r="M400" s="95" cm="1">
        <f ca="1" t="array" ref="M400">(1+SUMPRODUCT(G400:H400,OFFSET($H$40:$I$40,D400,0)))*(1+OFFSET($J$40,D400,0))^I400*(1+OFFSET($K$40,D400,0))^J400*(1+OFFSET($L$40,D400,0))^K400*(1+OFFSET($M$40,D400,0))^L400</f>
        <v>42.3096478915951</v>
      </c>
      <c r="N400" s="95">
        <f ca="1">MAX(MAX($N$53:N399),OFFSET($C$52,MATCH(M400*1.07,$M$53:$M$2052,1),0)-C400)</f>
        <v>4680</v>
      </c>
    </row>
    <row r="401" spans="2:14">
      <c r="B401" s="95">
        <v>349</v>
      </c>
      <c r="C401" s="95">
        <f t="shared" si="35"/>
        <v>125640</v>
      </c>
      <c r="D401" s="95">
        <f ca="1">_xlfn.XLOOKUP(总览!$B$44,$B$40:$B$45,$C$40:$C$45)</f>
        <v>5</v>
      </c>
      <c r="E401" s="95">
        <f ca="1" t="shared" si="32"/>
        <v>379</v>
      </c>
      <c r="F401" s="95">
        <f ca="1" t="shared" si="33"/>
        <v>0</v>
      </c>
      <c r="G401" s="95">
        <f ca="1" t="shared" si="34"/>
        <v>3.39967785714286</v>
      </c>
      <c r="H401" s="95" cm="1">
        <f ca="1" t="array" ref="H401">MIN(30-SUM(I401:L401),_xlfn.XLOOKUP($D401&amp;"_"&amp;H$52,$B$14:$B$36&amp;"_"&amp;$C$14:$C$36,$D$14:$D$36)*$E401,18)</f>
        <v>18</v>
      </c>
      <c r="I401" s="95" cm="1">
        <f ca="1" t="array" ref="I401">MIN(30-SUM(J401:L401),6-L401,_xlfn.XLOOKUP($D401&amp;"_"&amp;I$52,$B$14:$B$36&amp;"_"&amp;$C$14:$C$36,$D$14:$D$36)*$E401)</f>
        <v>2.70687214285714</v>
      </c>
      <c r="J401" s="95" cm="1">
        <f ca="1" t="array" ref="J401">MIN(8,_xlfn.XLOOKUP($D401&amp;"_"&amp;J$52,$B$14:$B$36&amp;"_"&amp;$C$14:$C$36,$D$14:$D$36)*$E401)</f>
        <v>2.8425</v>
      </c>
      <c r="K401" s="95" cm="1">
        <f ca="1" t="array" ref="K401">MIN(18,_xlfn.XLOOKUP($D401&amp;"_"&amp;K$52,$B$14:$B$36&amp;"_"&amp;$C$14:$C$36,$D$14:$D$36)*$E401)</f>
        <v>1.0612</v>
      </c>
      <c r="L401" s="95" cm="1">
        <f ca="1" t="array" ref="L401">MIN(6,_xlfn.XLOOKUP($D401&amp;"_"&amp;L$52,$B$14:$B$36&amp;"_"&amp;$C$14:$C$36,$D$14:$D$36)*$E401)</f>
        <v>1.98975</v>
      </c>
      <c r="M401" s="95" cm="1">
        <f ca="1" t="array" ref="M401">(1+SUMPRODUCT(G401:H401,OFFSET($H$40:$I$40,D401,0)))*(1+OFFSET($J$40,D401,0))^I401*(1+OFFSET($K$40,D401,0))^J401*(1+OFFSET($L$40,D401,0))^K401*(1+OFFSET($M$40,D401,0))^L401</f>
        <v>42.5259965665732</v>
      </c>
      <c r="N401" s="95">
        <f ca="1">MAX(MAX($N$53:N400),OFFSET($C$52,MATCH(M401*1.07,$M$53:$M$2052,1),0)-C401)</f>
        <v>4680</v>
      </c>
    </row>
    <row r="402" spans="2:14">
      <c r="B402" s="95">
        <v>350</v>
      </c>
      <c r="C402" s="95">
        <f t="shared" si="35"/>
        <v>126000</v>
      </c>
      <c r="D402" s="95">
        <f ca="1">_xlfn.XLOOKUP(总览!$B$44,$B$40:$B$45,$C$40:$C$45)</f>
        <v>5</v>
      </c>
      <c r="E402" s="95">
        <f ca="1" t="shared" si="32"/>
        <v>380</v>
      </c>
      <c r="F402" s="95">
        <f ca="1" t="shared" si="33"/>
        <v>0</v>
      </c>
      <c r="G402" s="95">
        <f ca="1" t="shared" si="34"/>
        <v>3.37698571428572</v>
      </c>
      <c r="H402" s="95" cm="1">
        <f ca="1" t="array" ref="H402">MIN(30-SUM(I402:L402),_xlfn.XLOOKUP($D402&amp;"_"&amp;H$52,$B$14:$B$36&amp;"_"&amp;$C$14:$C$36,$D$14:$D$36)*$E402,18)</f>
        <v>18</v>
      </c>
      <c r="I402" s="95" cm="1">
        <f ca="1" t="array" ref="I402">MIN(30-SUM(J402:L402),6-L402,_xlfn.XLOOKUP($D402&amp;"_"&amp;I$52,$B$14:$B$36&amp;"_"&amp;$C$14:$C$36,$D$14:$D$36)*$E402)</f>
        <v>2.71401428571428</v>
      </c>
      <c r="J402" s="95" cm="1">
        <f ca="1" t="array" ref="J402">MIN(8,_xlfn.XLOOKUP($D402&amp;"_"&amp;J$52,$B$14:$B$36&amp;"_"&amp;$C$14:$C$36,$D$14:$D$36)*$E402)</f>
        <v>2.85</v>
      </c>
      <c r="K402" s="95" cm="1">
        <f ca="1" t="array" ref="K402">MIN(18,_xlfn.XLOOKUP($D402&amp;"_"&amp;K$52,$B$14:$B$36&amp;"_"&amp;$C$14:$C$36,$D$14:$D$36)*$E402)</f>
        <v>1.064</v>
      </c>
      <c r="L402" s="95" cm="1">
        <f ca="1" t="array" ref="L402">MIN(6,_xlfn.XLOOKUP($D402&amp;"_"&amp;L$52,$B$14:$B$36&amp;"_"&amp;$C$14:$C$36,$D$14:$D$36)*$E402)</f>
        <v>1.995</v>
      </c>
      <c r="M402" s="95" cm="1">
        <f ca="1" t="array" ref="M402">(1+SUMPRODUCT(G402:H402,OFFSET($H$40:$I$40,D402,0)))*(1+OFFSET($J$40,D402,0))^I402*(1+OFFSET($K$40,D402,0))^J402*(1+OFFSET($L$40,D402,0))^K402*(1+OFFSET($M$40,D402,0))^L402</f>
        <v>42.7434388942594</v>
      </c>
      <c r="N402" s="95">
        <f ca="1">MAX(MAX($N$53:N401),OFFSET($C$52,MATCH(M402*1.07,$M$53:$M$2052,1),0)-C402)</f>
        <v>4680</v>
      </c>
    </row>
    <row r="403" spans="2:14">
      <c r="B403" s="95">
        <v>351</v>
      </c>
      <c r="C403" s="95">
        <f t="shared" si="35"/>
        <v>126360</v>
      </c>
      <c r="D403" s="95">
        <f ca="1">_xlfn.XLOOKUP(总览!$B$44,$B$40:$B$45,$C$40:$C$45)</f>
        <v>5</v>
      </c>
      <c r="E403" s="95">
        <f ca="1" t="shared" si="32"/>
        <v>381</v>
      </c>
      <c r="F403" s="95">
        <f ca="1" t="shared" si="33"/>
        <v>0</v>
      </c>
      <c r="G403" s="95">
        <f ca="1" t="shared" si="34"/>
        <v>3.35429357142858</v>
      </c>
      <c r="H403" s="95" cm="1">
        <f ca="1" t="array" ref="H403">MIN(30-SUM(I403:L403),_xlfn.XLOOKUP($D403&amp;"_"&amp;H$52,$B$14:$B$36&amp;"_"&amp;$C$14:$C$36,$D$14:$D$36)*$E403,18)</f>
        <v>18</v>
      </c>
      <c r="I403" s="95" cm="1">
        <f ca="1" t="array" ref="I403">MIN(30-SUM(J403:L403),6-L403,_xlfn.XLOOKUP($D403&amp;"_"&amp;I$52,$B$14:$B$36&amp;"_"&amp;$C$14:$C$36,$D$14:$D$36)*$E403)</f>
        <v>2.72115642857142</v>
      </c>
      <c r="J403" s="95" cm="1">
        <f ca="1" t="array" ref="J403">MIN(8,_xlfn.XLOOKUP($D403&amp;"_"&amp;J$52,$B$14:$B$36&amp;"_"&amp;$C$14:$C$36,$D$14:$D$36)*$E403)</f>
        <v>2.8575</v>
      </c>
      <c r="K403" s="95" cm="1">
        <f ca="1" t="array" ref="K403">MIN(18,_xlfn.XLOOKUP($D403&amp;"_"&amp;K$52,$B$14:$B$36&amp;"_"&amp;$C$14:$C$36,$D$14:$D$36)*$E403)</f>
        <v>1.0668</v>
      </c>
      <c r="L403" s="95" cm="1">
        <f ca="1" t="array" ref="L403">MIN(6,_xlfn.XLOOKUP($D403&amp;"_"&amp;L$52,$B$14:$B$36&amp;"_"&amp;$C$14:$C$36,$D$14:$D$36)*$E403)</f>
        <v>2.00025</v>
      </c>
      <c r="M403" s="95" cm="1">
        <f ca="1" t="array" ref="M403">(1+SUMPRODUCT(G403:H403,OFFSET($H$40:$I$40,D403,0)))*(1+OFFSET($J$40,D403,0))^I403*(1+OFFSET($K$40,D403,0))^J403*(1+OFFSET($L$40,D403,0))^K403*(1+OFFSET($M$40,D403,0))^L403</f>
        <v>42.9619803239466</v>
      </c>
      <c r="N403" s="95">
        <f ca="1">MAX(MAX($N$53:N402),OFFSET($C$52,MATCH(M403*1.07,$M$53:$M$2052,1),0)-C403)</f>
        <v>4680</v>
      </c>
    </row>
    <row r="404" spans="2:14">
      <c r="B404" s="95">
        <v>352</v>
      </c>
      <c r="C404" s="95">
        <f t="shared" si="35"/>
        <v>126720</v>
      </c>
      <c r="D404" s="95">
        <f ca="1">_xlfn.XLOOKUP(总览!$B$44,$B$40:$B$45,$C$40:$C$45)</f>
        <v>5</v>
      </c>
      <c r="E404" s="95">
        <f ca="1" t="shared" si="32"/>
        <v>382</v>
      </c>
      <c r="F404" s="95">
        <f ca="1" t="shared" si="33"/>
        <v>0</v>
      </c>
      <c r="G404" s="95">
        <f ca="1" t="shared" si="34"/>
        <v>3.33160142857143</v>
      </c>
      <c r="H404" s="95" cm="1">
        <f ca="1" t="array" ref="H404">MIN(30-SUM(I404:L404),_xlfn.XLOOKUP($D404&amp;"_"&amp;H$52,$B$14:$B$36&amp;"_"&amp;$C$14:$C$36,$D$14:$D$36)*$E404,18)</f>
        <v>18</v>
      </c>
      <c r="I404" s="95" cm="1">
        <f ca="1" t="array" ref="I404">MIN(30-SUM(J404:L404),6-L404,_xlfn.XLOOKUP($D404&amp;"_"&amp;I$52,$B$14:$B$36&amp;"_"&amp;$C$14:$C$36,$D$14:$D$36)*$E404)</f>
        <v>2.72829857142857</v>
      </c>
      <c r="J404" s="95" cm="1">
        <f ca="1" t="array" ref="J404">MIN(8,_xlfn.XLOOKUP($D404&amp;"_"&amp;J$52,$B$14:$B$36&amp;"_"&amp;$C$14:$C$36,$D$14:$D$36)*$E404)</f>
        <v>2.865</v>
      </c>
      <c r="K404" s="95" cm="1">
        <f ca="1" t="array" ref="K404">MIN(18,_xlfn.XLOOKUP($D404&amp;"_"&amp;K$52,$B$14:$B$36&amp;"_"&amp;$C$14:$C$36,$D$14:$D$36)*$E404)</f>
        <v>1.0696</v>
      </c>
      <c r="L404" s="95" cm="1">
        <f ca="1" t="array" ref="L404">MIN(6,_xlfn.XLOOKUP($D404&amp;"_"&amp;L$52,$B$14:$B$36&amp;"_"&amp;$C$14:$C$36,$D$14:$D$36)*$E404)</f>
        <v>2.0055</v>
      </c>
      <c r="M404" s="95" cm="1">
        <f ca="1" t="array" ref="M404">(1+SUMPRODUCT(G404:H404,OFFSET($H$40:$I$40,D404,0)))*(1+OFFSET($J$40,D404,0))^I404*(1+OFFSET($K$40,D404,0))^J404*(1+OFFSET($L$40,D404,0))^K404*(1+OFFSET($M$40,D404,0))^L404</f>
        <v>43.1816263315777</v>
      </c>
      <c r="N404" s="95">
        <f ca="1">MAX(MAX($N$53:N403),OFFSET($C$52,MATCH(M404*1.07,$M$53:$M$2052,1),0)-C404)</f>
        <v>4680</v>
      </c>
    </row>
    <row r="405" spans="2:14">
      <c r="B405" s="95">
        <v>353</v>
      </c>
      <c r="C405" s="95">
        <f t="shared" si="35"/>
        <v>127080</v>
      </c>
      <c r="D405" s="95">
        <f ca="1">_xlfn.XLOOKUP(总览!$B$44,$B$40:$B$45,$C$40:$C$45)</f>
        <v>5</v>
      </c>
      <c r="E405" s="95">
        <f ca="1" t="shared" si="32"/>
        <v>383</v>
      </c>
      <c r="F405" s="95">
        <f ca="1" t="shared" si="33"/>
        <v>0</v>
      </c>
      <c r="G405" s="95">
        <f ca="1" t="shared" si="34"/>
        <v>3.30890928571429</v>
      </c>
      <c r="H405" s="95" cm="1">
        <f ca="1" t="array" ref="H405">MIN(30-SUM(I405:L405),_xlfn.XLOOKUP($D405&amp;"_"&amp;H$52,$B$14:$B$36&amp;"_"&amp;$C$14:$C$36,$D$14:$D$36)*$E405,18)</f>
        <v>18</v>
      </c>
      <c r="I405" s="95" cm="1">
        <f ca="1" t="array" ref="I405">MIN(30-SUM(J405:L405),6-L405,_xlfn.XLOOKUP($D405&amp;"_"&amp;I$52,$B$14:$B$36&amp;"_"&amp;$C$14:$C$36,$D$14:$D$36)*$E405)</f>
        <v>2.73544071428571</v>
      </c>
      <c r="J405" s="95" cm="1">
        <f ca="1" t="array" ref="J405">MIN(8,_xlfn.XLOOKUP($D405&amp;"_"&amp;J$52,$B$14:$B$36&amp;"_"&amp;$C$14:$C$36,$D$14:$D$36)*$E405)</f>
        <v>2.8725</v>
      </c>
      <c r="K405" s="95" cm="1">
        <f ca="1" t="array" ref="K405">MIN(18,_xlfn.XLOOKUP($D405&amp;"_"&amp;K$52,$B$14:$B$36&amp;"_"&amp;$C$14:$C$36,$D$14:$D$36)*$E405)</f>
        <v>1.0724</v>
      </c>
      <c r="L405" s="95" cm="1">
        <f ca="1" t="array" ref="L405">MIN(6,_xlfn.XLOOKUP($D405&amp;"_"&amp;L$52,$B$14:$B$36&amp;"_"&amp;$C$14:$C$36,$D$14:$D$36)*$E405)</f>
        <v>2.01075</v>
      </c>
      <c r="M405" s="95" cm="1">
        <f ca="1" t="array" ref="M405">(1+SUMPRODUCT(G405:H405,OFFSET($H$40:$I$40,D405,0)))*(1+OFFSET($J$40,D405,0))^I405*(1+OFFSET($K$40,D405,0))^J405*(1+OFFSET($L$40,D405,0))^K405*(1+OFFSET($M$40,D405,0))^L405</f>
        <v>43.402382419873</v>
      </c>
      <c r="N405" s="95">
        <f ca="1">MAX(MAX($N$53:N404),OFFSET($C$52,MATCH(M405*1.07,$M$53:$M$2052,1),0)-C405)</f>
        <v>4680</v>
      </c>
    </row>
    <row r="406" spans="2:14">
      <c r="B406" s="95">
        <v>354</v>
      </c>
      <c r="C406" s="95">
        <f t="shared" si="35"/>
        <v>127440</v>
      </c>
      <c r="D406" s="95">
        <f ca="1">_xlfn.XLOOKUP(总览!$B$44,$B$40:$B$45,$C$40:$C$45)</f>
        <v>5</v>
      </c>
      <c r="E406" s="95">
        <f ca="1" t="shared" si="32"/>
        <v>384</v>
      </c>
      <c r="F406" s="95">
        <f ca="1" t="shared" si="33"/>
        <v>0</v>
      </c>
      <c r="G406" s="95">
        <f ca="1" t="shared" si="34"/>
        <v>3.28621714285715</v>
      </c>
      <c r="H406" s="95" cm="1">
        <f ca="1" t="array" ref="H406">MIN(30-SUM(I406:L406),_xlfn.XLOOKUP($D406&amp;"_"&amp;H$52,$B$14:$B$36&amp;"_"&amp;$C$14:$C$36,$D$14:$D$36)*$E406,18)</f>
        <v>18</v>
      </c>
      <c r="I406" s="95" cm="1">
        <f ca="1" t="array" ref="I406">MIN(30-SUM(J406:L406),6-L406,_xlfn.XLOOKUP($D406&amp;"_"&amp;I$52,$B$14:$B$36&amp;"_"&amp;$C$14:$C$36,$D$14:$D$36)*$E406)</f>
        <v>2.74258285714285</v>
      </c>
      <c r="J406" s="95" cm="1">
        <f ca="1" t="array" ref="J406">MIN(8,_xlfn.XLOOKUP($D406&amp;"_"&amp;J$52,$B$14:$B$36&amp;"_"&amp;$C$14:$C$36,$D$14:$D$36)*$E406)</f>
        <v>2.88</v>
      </c>
      <c r="K406" s="95" cm="1">
        <f ca="1" t="array" ref="K406">MIN(18,_xlfn.XLOOKUP($D406&amp;"_"&amp;K$52,$B$14:$B$36&amp;"_"&amp;$C$14:$C$36,$D$14:$D$36)*$E406)</f>
        <v>1.0752</v>
      </c>
      <c r="L406" s="95" cm="1">
        <f ca="1" t="array" ref="L406">MIN(6,_xlfn.XLOOKUP($D406&amp;"_"&amp;L$52,$B$14:$B$36&amp;"_"&amp;$C$14:$C$36,$D$14:$D$36)*$E406)</f>
        <v>2.016</v>
      </c>
      <c r="M406" s="95" cm="1">
        <f ca="1" t="array" ref="M406">(1+SUMPRODUCT(G406:H406,OFFSET($H$40:$I$40,D406,0)))*(1+OFFSET($J$40,D406,0))^I406*(1+OFFSET($K$40,D406,0))^J406*(1+OFFSET($L$40,D406,0))^K406*(1+OFFSET($M$40,D406,0))^L406</f>
        <v>43.6242541184578</v>
      </c>
      <c r="N406" s="95">
        <f ca="1">MAX(MAX($N$53:N405),OFFSET($C$52,MATCH(M406*1.07,$M$53:$M$2052,1),0)-C406)</f>
        <v>4680</v>
      </c>
    </row>
    <row r="407" spans="2:14">
      <c r="B407" s="95">
        <v>355</v>
      </c>
      <c r="C407" s="95">
        <f t="shared" si="35"/>
        <v>127800</v>
      </c>
      <c r="D407" s="95">
        <f ca="1">_xlfn.XLOOKUP(总览!$B$44,$B$40:$B$45,$C$40:$C$45)</f>
        <v>5</v>
      </c>
      <c r="E407" s="95">
        <f ca="1" t="shared" si="32"/>
        <v>385</v>
      </c>
      <c r="F407" s="95">
        <f ca="1" t="shared" si="33"/>
        <v>0</v>
      </c>
      <c r="G407" s="95">
        <f ca="1" t="shared" si="34"/>
        <v>3.26352500000001</v>
      </c>
      <c r="H407" s="95" cm="1">
        <f ca="1" t="array" ref="H407">MIN(30-SUM(I407:L407),_xlfn.XLOOKUP($D407&amp;"_"&amp;H$52,$B$14:$B$36&amp;"_"&amp;$C$14:$C$36,$D$14:$D$36)*$E407,18)</f>
        <v>18</v>
      </c>
      <c r="I407" s="95" cm="1">
        <f ca="1" t="array" ref="I407">MIN(30-SUM(J407:L407),6-L407,_xlfn.XLOOKUP($D407&amp;"_"&amp;I$52,$B$14:$B$36&amp;"_"&amp;$C$14:$C$36,$D$14:$D$36)*$E407)</f>
        <v>2.74972499999999</v>
      </c>
      <c r="J407" s="95" cm="1">
        <f ca="1" t="array" ref="J407">MIN(8,_xlfn.XLOOKUP($D407&amp;"_"&amp;J$52,$B$14:$B$36&amp;"_"&amp;$C$14:$C$36,$D$14:$D$36)*$E407)</f>
        <v>2.8875</v>
      </c>
      <c r="K407" s="95" cm="1">
        <f ca="1" t="array" ref="K407">MIN(18,_xlfn.XLOOKUP($D407&amp;"_"&amp;K$52,$B$14:$B$36&amp;"_"&amp;$C$14:$C$36,$D$14:$D$36)*$E407)</f>
        <v>1.078</v>
      </c>
      <c r="L407" s="95" cm="1">
        <f ca="1" t="array" ref="L407">MIN(6,_xlfn.XLOOKUP($D407&amp;"_"&amp;L$52,$B$14:$B$36&amp;"_"&amp;$C$14:$C$36,$D$14:$D$36)*$E407)</f>
        <v>2.02125</v>
      </c>
      <c r="M407" s="95" cm="1">
        <f ca="1" t="array" ref="M407">(1+SUMPRODUCT(G407:H407,OFFSET($H$40:$I$40,D407,0)))*(1+OFFSET($J$40,D407,0))^I407*(1+OFFSET($K$40,D407,0))^J407*(1+OFFSET($L$40,D407,0))^K407*(1+OFFSET($M$40,D407,0))^L407</f>
        <v>43.8472469839907</v>
      </c>
      <c r="N407" s="95">
        <f ca="1">MAX(MAX($N$53:N406),OFFSET($C$52,MATCH(M407*1.07,$M$53:$M$2052,1),0)-C407)</f>
        <v>4680</v>
      </c>
    </row>
    <row r="408" spans="2:14">
      <c r="B408" s="95">
        <v>356</v>
      </c>
      <c r="C408" s="95">
        <f t="shared" si="35"/>
        <v>128160</v>
      </c>
      <c r="D408" s="95">
        <f ca="1">_xlfn.XLOOKUP(总览!$B$44,$B$40:$B$45,$C$40:$C$45)</f>
        <v>5</v>
      </c>
      <c r="E408" s="95">
        <f ca="1" t="shared" si="32"/>
        <v>386</v>
      </c>
      <c r="F408" s="95">
        <f ca="1" t="shared" si="33"/>
        <v>0</v>
      </c>
      <c r="G408" s="95">
        <f ca="1" t="shared" si="34"/>
        <v>3.24083285714286</v>
      </c>
      <c r="H408" s="95" cm="1">
        <f ca="1" t="array" ref="H408">MIN(30-SUM(I408:L408),_xlfn.XLOOKUP($D408&amp;"_"&amp;H$52,$B$14:$B$36&amp;"_"&amp;$C$14:$C$36,$D$14:$D$36)*$E408,18)</f>
        <v>18</v>
      </c>
      <c r="I408" s="95" cm="1">
        <f ca="1" t="array" ref="I408">MIN(30-SUM(J408:L408),6-L408,_xlfn.XLOOKUP($D408&amp;"_"&amp;I$52,$B$14:$B$36&amp;"_"&amp;$C$14:$C$36,$D$14:$D$36)*$E408)</f>
        <v>2.75686714285714</v>
      </c>
      <c r="J408" s="95" cm="1">
        <f ca="1" t="array" ref="J408">MIN(8,_xlfn.XLOOKUP($D408&amp;"_"&amp;J$52,$B$14:$B$36&amp;"_"&amp;$C$14:$C$36,$D$14:$D$36)*$E408)</f>
        <v>2.895</v>
      </c>
      <c r="K408" s="95" cm="1">
        <f ca="1" t="array" ref="K408">MIN(18,_xlfn.XLOOKUP($D408&amp;"_"&amp;K$52,$B$14:$B$36&amp;"_"&amp;$C$14:$C$36,$D$14:$D$36)*$E408)</f>
        <v>1.0808</v>
      </c>
      <c r="L408" s="95" cm="1">
        <f ca="1" t="array" ref="L408">MIN(6,_xlfn.XLOOKUP($D408&amp;"_"&amp;L$52,$B$14:$B$36&amp;"_"&amp;$C$14:$C$36,$D$14:$D$36)*$E408)</f>
        <v>2.0265</v>
      </c>
      <c r="M408" s="95" cm="1">
        <f ca="1" t="array" ref="M408">(1+SUMPRODUCT(G408:H408,OFFSET($H$40:$I$40,D408,0)))*(1+OFFSET($J$40,D408,0))^I408*(1+OFFSET($K$40,D408,0))^J408*(1+OFFSET($L$40,D408,0))^K408*(1+OFFSET($M$40,D408,0))^L408</f>
        <v>44.0713666002924</v>
      </c>
      <c r="N408" s="95">
        <f ca="1">MAX(MAX($N$53:N407),OFFSET($C$52,MATCH(M408*1.07,$M$53:$M$2052,1),0)-C408)</f>
        <v>4680</v>
      </c>
    </row>
    <row r="409" spans="2:14">
      <c r="B409" s="95">
        <v>357</v>
      </c>
      <c r="C409" s="95">
        <f t="shared" si="35"/>
        <v>128520</v>
      </c>
      <c r="D409" s="95">
        <f ca="1">_xlfn.XLOOKUP(总览!$B$44,$B$40:$B$45,$C$40:$C$45)</f>
        <v>5</v>
      </c>
      <c r="E409" s="95">
        <f ca="1" t="shared" si="32"/>
        <v>387</v>
      </c>
      <c r="F409" s="95">
        <f ca="1" t="shared" si="33"/>
        <v>0</v>
      </c>
      <c r="G409" s="95">
        <f ca="1" t="shared" si="34"/>
        <v>3.21814071428572</v>
      </c>
      <c r="H409" s="95" cm="1">
        <f ca="1" t="array" ref="H409">MIN(30-SUM(I409:L409),_xlfn.XLOOKUP($D409&amp;"_"&amp;H$52,$B$14:$B$36&amp;"_"&amp;$C$14:$C$36,$D$14:$D$36)*$E409,18)</f>
        <v>18</v>
      </c>
      <c r="I409" s="95" cm="1">
        <f ca="1" t="array" ref="I409">MIN(30-SUM(J409:L409),6-L409,_xlfn.XLOOKUP($D409&amp;"_"&amp;I$52,$B$14:$B$36&amp;"_"&amp;$C$14:$C$36,$D$14:$D$36)*$E409)</f>
        <v>2.76400928571428</v>
      </c>
      <c r="J409" s="95" cm="1">
        <f ca="1" t="array" ref="J409">MIN(8,_xlfn.XLOOKUP($D409&amp;"_"&amp;J$52,$B$14:$B$36&amp;"_"&amp;$C$14:$C$36,$D$14:$D$36)*$E409)</f>
        <v>2.9025</v>
      </c>
      <c r="K409" s="95" cm="1">
        <f ca="1" t="array" ref="K409">MIN(18,_xlfn.XLOOKUP($D409&amp;"_"&amp;K$52,$B$14:$B$36&amp;"_"&amp;$C$14:$C$36,$D$14:$D$36)*$E409)</f>
        <v>1.0836</v>
      </c>
      <c r="L409" s="95" cm="1">
        <f ca="1" t="array" ref="L409">MIN(6,_xlfn.XLOOKUP($D409&amp;"_"&amp;L$52,$B$14:$B$36&amp;"_"&amp;$C$14:$C$36,$D$14:$D$36)*$E409)</f>
        <v>2.03175</v>
      </c>
      <c r="M409" s="95" cm="1">
        <f ca="1" t="array" ref="M409">(1+SUMPRODUCT(G409:H409,OFFSET($H$40:$I$40,D409,0)))*(1+OFFSET($J$40,D409,0))^I409*(1+OFFSET($K$40,D409,0))^J409*(1+OFFSET($L$40,D409,0))^K409*(1+OFFSET($M$40,D409,0))^L409</f>
        <v>44.2966185784752</v>
      </c>
      <c r="N409" s="95">
        <f ca="1">MAX(MAX($N$53:N408),OFFSET($C$52,MATCH(M409*1.07,$M$53:$M$2052,1),0)-C409)</f>
        <v>4680</v>
      </c>
    </row>
    <row r="410" spans="2:14">
      <c r="B410" s="95">
        <v>358</v>
      </c>
      <c r="C410" s="95">
        <f t="shared" si="35"/>
        <v>128880</v>
      </c>
      <c r="D410" s="95">
        <f ca="1">_xlfn.XLOOKUP(总览!$B$44,$B$40:$B$45,$C$40:$C$45)</f>
        <v>5</v>
      </c>
      <c r="E410" s="95">
        <f ca="1" t="shared" si="32"/>
        <v>388</v>
      </c>
      <c r="F410" s="95">
        <f ca="1" t="shared" si="33"/>
        <v>0</v>
      </c>
      <c r="G410" s="95">
        <f ca="1" t="shared" si="34"/>
        <v>3.19544857142858</v>
      </c>
      <c r="H410" s="95" cm="1">
        <f ca="1" t="array" ref="H410">MIN(30-SUM(I410:L410),_xlfn.XLOOKUP($D410&amp;"_"&amp;H$52,$B$14:$B$36&amp;"_"&amp;$C$14:$C$36,$D$14:$D$36)*$E410,18)</f>
        <v>18</v>
      </c>
      <c r="I410" s="95" cm="1">
        <f ca="1" t="array" ref="I410">MIN(30-SUM(J410:L410),6-L410,_xlfn.XLOOKUP($D410&amp;"_"&amp;I$52,$B$14:$B$36&amp;"_"&amp;$C$14:$C$36,$D$14:$D$36)*$E410)</f>
        <v>2.77115142857142</v>
      </c>
      <c r="J410" s="95" cm="1">
        <f ca="1" t="array" ref="J410">MIN(8,_xlfn.XLOOKUP($D410&amp;"_"&amp;J$52,$B$14:$B$36&amp;"_"&amp;$C$14:$C$36,$D$14:$D$36)*$E410)</f>
        <v>2.91</v>
      </c>
      <c r="K410" s="95" cm="1">
        <f ca="1" t="array" ref="K410">MIN(18,_xlfn.XLOOKUP($D410&amp;"_"&amp;K$52,$B$14:$B$36&amp;"_"&amp;$C$14:$C$36,$D$14:$D$36)*$E410)</f>
        <v>1.0864</v>
      </c>
      <c r="L410" s="95" cm="1">
        <f ca="1" t="array" ref="L410">MIN(6,_xlfn.XLOOKUP($D410&amp;"_"&amp;L$52,$B$14:$B$36&amp;"_"&amp;$C$14:$C$36,$D$14:$D$36)*$E410)</f>
        <v>2.037</v>
      </c>
      <c r="M410" s="95" cm="1">
        <f ca="1" t="array" ref="M410">(1+SUMPRODUCT(G410:H410,OFFSET($H$40:$I$40,D410,0)))*(1+OFFSET($J$40,D410,0))^I410*(1+OFFSET($K$40,D410,0))^J410*(1+OFFSET($L$40,D410,0))^K410*(1+OFFSET($M$40,D410,0))^L410</f>
        <v>44.5230085570733</v>
      </c>
      <c r="N410" s="95">
        <f ca="1">MAX(MAX($N$53:N409),OFFSET($C$52,MATCH(M410*1.07,$M$53:$M$2052,1),0)-C410)</f>
        <v>4680</v>
      </c>
    </row>
    <row r="411" spans="2:14">
      <c r="B411" s="95">
        <v>359</v>
      </c>
      <c r="C411" s="95">
        <f t="shared" si="35"/>
        <v>129240</v>
      </c>
      <c r="D411" s="95">
        <f ca="1">_xlfn.XLOOKUP(总览!$B$44,$B$40:$B$45,$C$40:$C$45)</f>
        <v>5</v>
      </c>
      <c r="E411" s="95">
        <f ca="1" t="shared" si="32"/>
        <v>389</v>
      </c>
      <c r="F411" s="95">
        <f ca="1" t="shared" si="33"/>
        <v>0</v>
      </c>
      <c r="G411" s="95">
        <f ca="1" t="shared" si="34"/>
        <v>3.17275642857143</v>
      </c>
      <c r="H411" s="95" cm="1">
        <f ca="1" t="array" ref="H411">MIN(30-SUM(I411:L411),_xlfn.XLOOKUP($D411&amp;"_"&amp;H$52,$B$14:$B$36&amp;"_"&amp;$C$14:$C$36,$D$14:$D$36)*$E411,18)</f>
        <v>18</v>
      </c>
      <c r="I411" s="95" cm="1">
        <f ca="1" t="array" ref="I411">MIN(30-SUM(J411:L411),6-L411,_xlfn.XLOOKUP($D411&amp;"_"&amp;I$52,$B$14:$B$36&amp;"_"&amp;$C$14:$C$36,$D$14:$D$36)*$E411)</f>
        <v>2.77829357142857</v>
      </c>
      <c r="J411" s="95" cm="1">
        <f ca="1" t="array" ref="J411">MIN(8,_xlfn.XLOOKUP($D411&amp;"_"&amp;J$52,$B$14:$B$36&amp;"_"&amp;$C$14:$C$36,$D$14:$D$36)*$E411)</f>
        <v>2.9175</v>
      </c>
      <c r="K411" s="95" cm="1">
        <f ca="1" t="array" ref="K411">MIN(18,_xlfn.XLOOKUP($D411&amp;"_"&amp;K$52,$B$14:$B$36&amp;"_"&amp;$C$14:$C$36,$D$14:$D$36)*$E411)</f>
        <v>1.0892</v>
      </c>
      <c r="L411" s="95" cm="1">
        <f ca="1" t="array" ref="L411">MIN(6,_xlfn.XLOOKUP($D411&amp;"_"&amp;L$52,$B$14:$B$36&amp;"_"&amp;$C$14:$C$36,$D$14:$D$36)*$E411)</f>
        <v>2.04225</v>
      </c>
      <c r="M411" s="95" cm="1">
        <f ca="1" t="array" ref="M411">(1+SUMPRODUCT(G411:H411,OFFSET($H$40:$I$40,D411,0)))*(1+OFFSET($J$40,D411,0))^I411*(1+OFFSET($K$40,D411,0))^J411*(1+OFFSET($L$40,D411,0))^K411*(1+OFFSET($M$40,D411,0))^L411</f>
        <v>44.7505422021729</v>
      </c>
      <c r="N411" s="95">
        <f ca="1">MAX(MAX($N$53:N410),OFFSET($C$52,MATCH(M411*1.07,$M$53:$M$2052,1),0)-C411)</f>
        <v>4680</v>
      </c>
    </row>
    <row r="412" spans="2:14">
      <c r="B412" s="95">
        <v>360</v>
      </c>
      <c r="C412" s="95">
        <f t="shared" si="35"/>
        <v>129600</v>
      </c>
      <c r="D412" s="95">
        <f ca="1">_xlfn.XLOOKUP(总览!$B$44,$B$40:$B$45,$C$40:$C$45)</f>
        <v>5</v>
      </c>
      <c r="E412" s="95">
        <f ca="1" t="shared" si="32"/>
        <v>390</v>
      </c>
      <c r="F412" s="95">
        <f ca="1" t="shared" si="33"/>
        <v>0</v>
      </c>
      <c r="G412" s="95">
        <f ca="1" t="shared" si="34"/>
        <v>3.15006428571429</v>
      </c>
      <c r="H412" s="95" cm="1">
        <f ca="1" t="array" ref="H412">MIN(30-SUM(I412:L412),_xlfn.XLOOKUP($D412&amp;"_"&amp;H$52,$B$14:$B$36&amp;"_"&amp;$C$14:$C$36,$D$14:$D$36)*$E412,18)</f>
        <v>18</v>
      </c>
      <c r="I412" s="95" cm="1">
        <f ca="1" t="array" ref="I412">MIN(30-SUM(J412:L412),6-L412,_xlfn.XLOOKUP($D412&amp;"_"&amp;I$52,$B$14:$B$36&amp;"_"&amp;$C$14:$C$36,$D$14:$D$36)*$E412)</f>
        <v>2.78543571428571</v>
      </c>
      <c r="J412" s="95" cm="1">
        <f ca="1" t="array" ref="J412">MIN(8,_xlfn.XLOOKUP($D412&amp;"_"&amp;J$52,$B$14:$B$36&amp;"_"&amp;$C$14:$C$36,$D$14:$D$36)*$E412)</f>
        <v>2.925</v>
      </c>
      <c r="K412" s="95" cm="1">
        <f ca="1" t="array" ref="K412">MIN(18,_xlfn.XLOOKUP($D412&amp;"_"&amp;K$52,$B$14:$B$36&amp;"_"&amp;$C$14:$C$36,$D$14:$D$36)*$E412)</f>
        <v>1.092</v>
      </c>
      <c r="L412" s="95" cm="1">
        <f ca="1" t="array" ref="L412">MIN(6,_xlfn.XLOOKUP($D412&amp;"_"&amp;L$52,$B$14:$B$36&amp;"_"&amp;$C$14:$C$36,$D$14:$D$36)*$E412)</f>
        <v>2.0475</v>
      </c>
      <c r="M412" s="95" cm="1">
        <f ca="1" t="array" ref="M412">(1+SUMPRODUCT(G412:H412,OFFSET($H$40:$I$40,D412,0)))*(1+OFFSET($J$40,D412,0))^I412*(1+OFFSET($K$40,D412,0))^J412*(1+OFFSET($L$40,D412,0))^K412*(1+OFFSET($M$40,D412,0))^L412</f>
        <v>44.9792252075439</v>
      </c>
      <c r="N412" s="95">
        <f ca="1">MAX(MAX($N$53:N411),OFFSET($C$52,MATCH(M412*1.07,$M$53:$M$2052,1),0)-C412)</f>
        <v>4680</v>
      </c>
    </row>
    <row r="413" spans="2:14">
      <c r="B413" s="95">
        <v>361</v>
      </c>
      <c r="C413" s="95">
        <f t="shared" si="35"/>
        <v>129960</v>
      </c>
      <c r="D413" s="95">
        <f ca="1">_xlfn.XLOOKUP(总览!$B$44,$B$40:$B$45,$C$40:$C$45)</f>
        <v>5</v>
      </c>
      <c r="E413" s="95">
        <f ca="1" t="shared" si="32"/>
        <v>391</v>
      </c>
      <c r="F413" s="95">
        <f ca="1" t="shared" si="33"/>
        <v>0</v>
      </c>
      <c r="G413" s="95">
        <f ca="1" t="shared" si="34"/>
        <v>3.12737214285715</v>
      </c>
      <c r="H413" s="95" cm="1">
        <f ca="1" t="array" ref="H413">MIN(30-SUM(I413:L413),_xlfn.XLOOKUP($D413&amp;"_"&amp;H$52,$B$14:$B$36&amp;"_"&amp;$C$14:$C$36,$D$14:$D$36)*$E413,18)</f>
        <v>18</v>
      </c>
      <c r="I413" s="95" cm="1">
        <f ca="1" t="array" ref="I413">MIN(30-SUM(J413:L413),6-L413,_xlfn.XLOOKUP($D413&amp;"_"&amp;I$52,$B$14:$B$36&amp;"_"&amp;$C$14:$C$36,$D$14:$D$36)*$E413)</f>
        <v>2.79257785714285</v>
      </c>
      <c r="J413" s="95" cm="1">
        <f ca="1" t="array" ref="J413">MIN(8,_xlfn.XLOOKUP($D413&amp;"_"&amp;J$52,$B$14:$B$36&amp;"_"&amp;$C$14:$C$36,$D$14:$D$36)*$E413)</f>
        <v>2.9325</v>
      </c>
      <c r="K413" s="95" cm="1">
        <f ca="1" t="array" ref="K413">MIN(18,_xlfn.XLOOKUP($D413&amp;"_"&amp;K$52,$B$14:$B$36&amp;"_"&amp;$C$14:$C$36,$D$14:$D$36)*$E413)</f>
        <v>1.0948</v>
      </c>
      <c r="L413" s="95" cm="1">
        <f ca="1" t="array" ref="L413">MIN(6,_xlfn.XLOOKUP($D413&amp;"_"&amp;L$52,$B$14:$B$36&amp;"_"&amp;$C$14:$C$36,$D$14:$D$36)*$E413)</f>
        <v>2.05275</v>
      </c>
      <c r="M413" s="95" cm="1">
        <f ca="1" t="array" ref="M413">(1+SUMPRODUCT(G413:H413,OFFSET($H$40:$I$40,D413,0)))*(1+OFFSET($J$40,D413,0))^I413*(1+OFFSET($K$40,D413,0))^J413*(1+OFFSET($L$40,D413,0))^K413*(1+OFFSET($M$40,D413,0))^L413</f>
        <v>45.2090632947719</v>
      </c>
      <c r="N413" s="95">
        <f ca="1">MAX(MAX($N$53:N412),OFFSET($C$52,MATCH(M413*1.07,$M$53:$M$2052,1),0)-C413)</f>
        <v>4680</v>
      </c>
    </row>
    <row r="414" spans="2:14">
      <c r="B414" s="95">
        <v>362</v>
      </c>
      <c r="C414" s="95">
        <f t="shared" si="35"/>
        <v>130320</v>
      </c>
      <c r="D414" s="95">
        <f ca="1">_xlfn.XLOOKUP(总览!$B$44,$B$40:$B$45,$C$40:$C$45)</f>
        <v>5</v>
      </c>
      <c r="E414" s="95">
        <f ca="1" t="shared" si="32"/>
        <v>392</v>
      </c>
      <c r="F414" s="95">
        <f ca="1" t="shared" si="33"/>
        <v>0</v>
      </c>
      <c r="G414" s="95">
        <f ca="1" t="shared" si="34"/>
        <v>3.10468000000001</v>
      </c>
      <c r="H414" s="95" cm="1">
        <f ca="1" t="array" ref="H414">MIN(30-SUM(I414:L414),_xlfn.XLOOKUP($D414&amp;"_"&amp;H$52,$B$14:$B$36&amp;"_"&amp;$C$14:$C$36,$D$14:$D$36)*$E414,18)</f>
        <v>18</v>
      </c>
      <c r="I414" s="95" cm="1">
        <f ca="1" t="array" ref="I414">MIN(30-SUM(J414:L414),6-L414,_xlfn.XLOOKUP($D414&amp;"_"&amp;I$52,$B$14:$B$36&amp;"_"&amp;$C$14:$C$36,$D$14:$D$36)*$E414)</f>
        <v>2.79971999999999</v>
      </c>
      <c r="J414" s="95" cm="1">
        <f ca="1" t="array" ref="J414">MIN(8,_xlfn.XLOOKUP($D414&amp;"_"&amp;J$52,$B$14:$B$36&amp;"_"&amp;$C$14:$C$36,$D$14:$D$36)*$E414)</f>
        <v>2.94</v>
      </c>
      <c r="K414" s="95" cm="1">
        <f ca="1" t="array" ref="K414">MIN(18,_xlfn.XLOOKUP($D414&amp;"_"&amp;K$52,$B$14:$B$36&amp;"_"&amp;$C$14:$C$36,$D$14:$D$36)*$E414)</f>
        <v>1.0976</v>
      </c>
      <c r="L414" s="95" cm="1">
        <f ca="1" t="array" ref="L414">MIN(6,_xlfn.XLOOKUP($D414&amp;"_"&amp;L$52,$B$14:$B$36&amp;"_"&amp;$C$14:$C$36,$D$14:$D$36)*$E414)</f>
        <v>2.058</v>
      </c>
      <c r="M414" s="95" cm="1">
        <f ca="1" t="array" ref="M414">(1+SUMPRODUCT(G414:H414,OFFSET($H$40:$I$40,D414,0)))*(1+OFFSET($J$40,D414,0))^I414*(1+OFFSET($K$40,D414,0))^J414*(1+OFFSET($L$40,D414,0))^K414*(1+OFFSET($M$40,D414,0))^L414</f>
        <v>45.4400622133901</v>
      </c>
      <c r="N414" s="95">
        <f ca="1">MAX(MAX($N$53:N413),OFFSET($C$52,MATCH(M414*1.07,$M$53:$M$2052,1),0)-C414)</f>
        <v>4680</v>
      </c>
    </row>
    <row r="415" spans="2:14">
      <c r="B415" s="95">
        <v>363</v>
      </c>
      <c r="C415" s="95">
        <f t="shared" si="35"/>
        <v>130680</v>
      </c>
      <c r="D415" s="95">
        <f ca="1">_xlfn.XLOOKUP(总览!$B$44,$B$40:$B$45,$C$40:$C$45)</f>
        <v>5</v>
      </c>
      <c r="E415" s="95">
        <f ca="1" t="shared" si="32"/>
        <v>393</v>
      </c>
      <c r="F415" s="95">
        <f ca="1" t="shared" si="33"/>
        <v>0</v>
      </c>
      <c r="G415" s="95">
        <f ca="1" t="shared" si="34"/>
        <v>3.08198785714286</v>
      </c>
      <c r="H415" s="95" cm="1">
        <f ca="1" t="array" ref="H415">MIN(30-SUM(I415:L415),_xlfn.XLOOKUP($D415&amp;"_"&amp;H$52,$B$14:$B$36&amp;"_"&amp;$C$14:$C$36,$D$14:$D$36)*$E415,18)</f>
        <v>18</v>
      </c>
      <c r="I415" s="95" cm="1">
        <f ca="1" t="array" ref="I415">MIN(30-SUM(J415:L415),6-L415,_xlfn.XLOOKUP($D415&amp;"_"&amp;I$52,$B$14:$B$36&amp;"_"&amp;$C$14:$C$36,$D$14:$D$36)*$E415)</f>
        <v>2.80686214285714</v>
      </c>
      <c r="J415" s="95" cm="1">
        <f ca="1" t="array" ref="J415">MIN(8,_xlfn.XLOOKUP($D415&amp;"_"&amp;J$52,$B$14:$B$36&amp;"_"&amp;$C$14:$C$36,$D$14:$D$36)*$E415)</f>
        <v>2.9475</v>
      </c>
      <c r="K415" s="95" cm="1">
        <f ca="1" t="array" ref="K415">MIN(18,_xlfn.XLOOKUP($D415&amp;"_"&amp;K$52,$B$14:$B$36&amp;"_"&amp;$C$14:$C$36,$D$14:$D$36)*$E415)</f>
        <v>1.1004</v>
      </c>
      <c r="L415" s="95" cm="1">
        <f ca="1" t="array" ref="L415">MIN(6,_xlfn.XLOOKUP($D415&amp;"_"&amp;L$52,$B$14:$B$36&amp;"_"&amp;$C$14:$C$36,$D$14:$D$36)*$E415)</f>
        <v>2.06325</v>
      </c>
      <c r="M415" s="95" cm="1">
        <f ca="1" t="array" ref="M415">(1+SUMPRODUCT(G415:H415,OFFSET($H$40:$I$40,D415,0)))*(1+OFFSET($J$40,D415,0))^I415*(1+OFFSET($K$40,D415,0))^J415*(1+OFFSET($L$40,D415,0))^K415*(1+OFFSET($M$40,D415,0))^L415</f>
        <v>45.6722277410128</v>
      </c>
      <c r="N415" s="95">
        <f ca="1">MAX(MAX($N$53:N414),OFFSET($C$52,MATCH(M415*1.07,$M$53:$M$2052,1),0)-C415)</f>
        <v>4680</v>
      </c>
    </row>
    <row r="416" spans="2:14">
      <c r="B416" s="95">
        <v>364</v>
      </c>
      <c r="C416" s="95">
        <f t="shared" si="35"/>
        <v>131040</v>
      </c>
      <c r="D416" s="95">
        <f ca="1">_xlfn.XLOOKUP(总览!$B$44,$B$40:$B$45,$C$40:$C$45)</f>
        <v>5</v>
      </c>
      <c r="E416" s="95">
        <f ca="1" t="shared" si="32"/>
        <v>394</v>
      </c>
      <c r="F416" s="95">
        <f ca="1" t="shared" si="33"/>
        <v>0</v>
      </c>
      <c r="G416" s="95">
        <f ca="1" t="shared" si="34"/>
        <v>3.05929571428572</v>
      </c>
      <c r="H416" s="95" cm="1">
        <f ca="1" t="array" ref="H416">MIN(30-SUM(I416:L416),_xlfn.XLOOKUP($D416&amp;"_"&amp;H$52,$B$14:$B$36&amp;"_"&amp;$C$14:$C$36,$D$14:$D$36)*$E416,18)</f>
        <v>18</v>
      </c>
      <c r="I416" s="95" cm="1">
        <f ca="1" t="array" ref="I416">MIN(30-SUM(J416:L416),6-L416,_xlfn.XLOOKUP($D416&amp;"_"&amp;I$52,$B$14:$B$36&amp;"_"&amp;$C$14:$C$36,$D$14:$D$36)*$E416)</f>
        <v>2.81400428571428</v>
      </c>
      <c r="J416" s="95" cm="1">
        <f ca="1" t="array" ref="J416">MIN(8,_xlfn.XLOOKUP($D416&amp;"_"&amp;J$52,$B$14:$B$36&amp;"_"&amp;$C$14:$C$36,$D$14:$D$36)*$E416)</f>
        <v>2.955</v>
      </c>
      <c r="K416" s="95" cm="1">
        <f ca="1" t="array" ref="K416">MIN(18,_xlfn.XLOOKUP($D416&amp;"_"&amp;K$52,$B$14:$B$36&amp;"_"&amp;$C$14:$C$36,$D$14:$D$36)*$E416)</f>
        <v>1.1032</v>
      </c>
      <c r="L416" s="95" cm="1">
        <f ca="1" t="array" ref="L416">MIN(6,_xlfn.XLOOKUP($D416&amp;"_"&amp;L$52,$B$14:$B$36&amp;"_"&amp;$C$14:$C$36,$D$14:$D$36)*$E416)</f>
        <v>2.0685</v>
      </c>
      <c r="M416" s="95" cm="1">
        <f ca="1" t="array" ref="M416">(1+SUMPRODUCT(G416:H416,OFFSET($H$40:$I$40,D416,0)))*(1+OFFSET($J$40,D416,0))^I416*(1+OFFSET($K$40,D416,0))^J416*(1+OFFSET($L$40,D416,0))^K416*(1+OFFSET($M$40,D416,0))^L416</f>
        <v>45.9055656834691</v>
      </c>
      <c r="N416" s="95">
        <f ca="1">MAX(MAX($N$53:N415),OFFSET($C$52,MATCH(M416*1.07,$M$53:$M$2052,1),0)-C416)</f>
        <v>4680</v>
      </c>
    </row>
    <row r="417" spans="2:14">
      <c r="B417" s="95">
        <v>365</v>
      </c>
      <c r="C417" s="95">
        <f t="shared" si="35"/>
        <v>131400</v>
      </c>
      <c r="D417" s="95">
        <f ca="1">_xlfn.XLOOKUP(总览!$B$44,$B$40:$B$45,$C$40:$C$45)</f>
        <v>5</v>
      </c>
      <c r="E417" s="95">
        <f ca="1" t="shared" si="32"/>
        <v>395</v>
      </c>
      <c r="F417" s="95">
        <f ca="1" t="shared" si="33"/>
        <v>0</v>
      </c>
      <c r="G417" s="95">
        <f ca="1" t="shared" si="34"/>
        <v>3.03660357142857</v>
      </c>
      <c r="H417" s="95" cm="1">
        <f ca="1" t="array" ref="H417">MIN(30-SUM(I417:L417),_xlfn.XLOOKUP($D417&amp;"_"&amp;H$52,$B$14:$B$36&amp;"_"&amp;$C$14:$C$36,$D$14:$D$36)*$E417,18)</f>
        <v>18</v>
      </c>
      <c r="I417" s="95" cm="1">
        <f ca="1" t="array" ref="I417">MIN(30-SUM(J417:L417),6-L417,_xlfn.XLOOKUP($D417&amp;"_"&amp;I$52,$B$14:$B$36&amp;"_"&amp;$C$14:$C$36,$D$14:$D$36)*$E417)</f>
        <v>2.82114642857142</v>
      </c>
      <c r="J417" s="95" cm="1">
        <f ca="1" t="array" ref="J417">MIN(8,_xlfn.XLOOKUP($D417&amp;"_"&amp;J$52,$B$14:$B$36&amp;"_"&amp;$C$14:$C$36,$D$14:$D$36)*$E417)</f>
        <v>2.9625</v>
      </c>
      <c r="K417" s="95" cm="1">
        <f ca="1" t="array" ref="K417">MIN(18,_xlfn.XLOOKUP($D417&amp;"_"&amp;K$52,$B$14:$B$36&amp;"_"&amp;$C$14:$C$36,$D$14:$D$36)*$E417)</f>
        <v>1.106</v>
      </c>
      <c r="L417" s="95" cm="1">
        <f ca="1" t="array" ref="L417">MIN(6,_xlfn.XLOOKUP($D417&amp;"_"&amp;L$52,$B$14:$B$36&amp;"_"&amp;$C$14:$C$36,$D$14:$D$36)*$E417)</f>
        <v>2.07375</v>
      </c>
      <c r="M417" s="95" cm="1">
        <f ca="1" t="array" ref="M417">(1+SUMPRODUCT(G417:H417,OFFSET($H$40:$I$40,D417,0)))*(1+OFFSET($J$40,D417,0))^I417*(1+OFFSET($K$40,D417,0))^J417*(1+OFFSET($L$40,D417,0))^K417*(1+OFFSET($M$40,D417,0))^L417</f>
        <v>46.1400818749369</v>
      </c>
      <c r="N417" s="95">
        <f ca="1">MAX(MAX($N$53:N416),OFFSET($C$52,MATCH(M417*1.07,$M$53:$M$2052,1),0)-C417)</f>
        <v>4680</v>
      </c>
    </row>
    <row r="418" spans="2:14">
      <c r="B418" s="95">
        <v>366</v>
      </c>
      <c r="C418" s="95">
        <f t="shared" si="35"/>
        <v>131760</v>
      </c>
      <c r="D418" s="95">
        <f ca="1">_xlfn.XLOOKUP(总览!$B$44,$B$40:$B$45,$C$40:$C$45)</f>
        <v>5</v>
      </c>
      <c r="E418" s="95">
        <f ca="1" t="shared" si="32"/>
        <v>396</v>
      </c>
      <c r="F418" s="95">
        <f ca="1" t="shared" si="33"/>
        <v>0</v>
      </c>
      <c r="G418" s="95">
        <f ca="1" t="shared" si="34"/>
        <v>3.01391142857144</v>
      </c>
      <c r="H418" s="95" cm="1">
        <f ca="1" t="array" ref="H418">MIN(30-SUM(I418:L418),_xlfn.XLOOKUP($D418&amp;"_"&amp;H$52,$B$14:$B$36&amp;"_"&amp;$C$14:$C$36,$D$14:$D$36)*$E418,18)</f>
        <v>18</v>
      </c>
      <c r="I418" s="95" cm="1">
        <f ca="1" t="array" ref="I418">MIN(30-SUM(J418:L418),6-L418,_xlfn.XLOOKUP($D418&amp;"_"&amp;I$52,$B$14:$B$36&amp;"_"&amp;$C$14:$C$36,$D$14:$D$36)*$E418)</f>
        <v>2.82828857142857</v>
      </c>
      <c r="J418" s="95" cm="1">
        <f ca="1" t="array" ref="J418">MIN(8,_xlfn.XLOOKUP($D418&amp;"_"&amp;J$52,$B$14:$B$36&amp;"_"&amp;$C$14:$C$36,$D$14:$D$36)*$E418)</f>
        <v>2.97</v>
      </c>
      <c r="K418" s="95" cm="1">
        <f ca="1" t="array" ref="K418">MIN(18,_xlfn.XLOOKUP($D418&amp;"_"&amp;K$52,$B$14:$B$36&amp;"_"&amp;$C$14:$C$36,$D$14:$D$36)*$E418)</f>
        <v>1.1088</v>
      </c>
      <c r="L418" s="95" cm="1">
        <f ca="1" t="array" ref="L418">MIN(6,_xlfn.XLOOKUP($D418&amp;"_"&amp;L$52,$B$14:$B$36&amp;"_"&amp;$C$14:$C$36,$D$14:$D$36)*$E418)</f>
        <v>2.079</v>
      </c>
      <c r="M418" s="95" cm="1">
        <f ca="1" t="array" ref="M418">(1+SUMPRODUCT(G418:H418,OFFSET($H$40:$I$40,D418,0)))*(1+OFFSET($J$40,D418,0))^I418*(1+OFFSET($K$40,D418,0))^J418*(1+OFFSET($L$40,D418,0))^K418*(1+OFFSET($M$40,D418,0))^L418</f>
        <v>46.3757821780783</v>
      </c>
      <c r="N418" s="95">
        <f ca="1">MAX(MAX($N$53:N417),OFFSET($C$52,MATCH(M418*1.07,$M$53:$M$2052,1),0)-C418)</f>
        <v>4680</v>
      </c>
    </row>
    <row r="419" spans="2:14">
      <c r="B419" s="95">
        <v>367</v>
      </c>
      <c r="C419" s="95">
        <f t="shared" si="35"/>
        <v>132120</v>
      </c>
      <c r="D419" s="95">
        <f ca="1">_xlfn.XLOOKUP(总览!$B$44,$B$40:$B$45,$C$40:$C$45)</f>
        <v>5</v>
      </c>
      <c r="E419" s="95">
        <f ca="1" t="shared" si="32"/>
        <v>397</v>
      </c>
      <c r="F419" s="95">
        <f ca="1" t="shared" si="33"/>
        <v>0</v>
      </c>
      <c r="G419" s="95">
        <f ca="1" t="shared" si="34"/>
        <v>2.99121928571429</v>
      </c>
      <c r="H419" s="95" cm="1">
        <f ca="1" t="array" ref="H419">MIN(30-SUM(I419:L419),_xlfn.XLOOKUP($D419&amp;"_"&amp;H$52,$B$14:$B$36&amp;"_"&amp;$C$14:$C$36,$D$14:$D$36)*$E419,18)</f>
        <v>18</v>
      </c>
      <c r="I419" s="95" cm="1">
        <f ca="1" t="array" ref="I419">MIN(30-SUM(J419:L419),6-L419,_xlfn.XLOOKUP($D419&amp;"_"&amp;I$52,$B$14:$B$36&amp;"_"&amp;$C$14:$C$36,$D$14:$D$36)*$E419)</f>
        <v>2.83543071428571</v>
      </c>
      <c r="J419" s="95" cm="1">
        <f ca="1" t="array" ref="J419">MIN(8,_xlfn.XLOOKUP($D419&amp;"_"&amp;J$52,$B$14:$B$36&amp;"_"&amp;$C$14:$C$36,$D$14:$D$36)*$E419)</f>
        <v>2.9775</v>
      </c>
      <c r="K419" s="95" cm="1">
        <f ca="1" t="array" ref="K419">MIN(18,_xlfn.XLOOKUP($D419&amp;"_"&amp;K$52,$B$14:$B$36&amp;"_"&amp;$C$14:$C$36,$D$14:$D$36)*$E419)</f>
        <v>1.1116</v>
      </c>
      <c r="L419" s="95" cm="1">
        <f ca="1" t="array" ref="L419">MIN(6,_xlfn.XLOOKUP($D419&amp;"_"&amp;L$52,$B$14:$B$36&amp;"_"&amp;$C$14:$C$36,$D$14:$D$36)*$E419)</f>
        <v>2.08425</v>
      </c>
      <c r="M419" s="95" cm="1">
        <f ca="1" t="array" ref="M419">(1+SUMPRODUCT(G419:H419,OFFSET($H$40:$I$40,D419,0)))*(1+OFFSET($J$40,D419,0))^I419*(1+OFFSET($K$40,D419,0))^J419*(1+OFFSET($L$40,D419,0))^K419*(1+OFFSET($M$40,D419,0))^L419</f>
        <v>46.6126724841744</v>
      </c>
      <c r="N419" s="95">
        <f ca="1">MAX(MAX($N$53:N418),OFFSET($C$52,MATCH(M419*1.07,$M$53:$M$2052,1),0)-C419)</f>
        <v>4680</v>
      </c>
    </row>
    <row r="420" spans="2:14">
      <c r="B420" s="95">
        <v>368</v>
      </c>
      <c r="C420" s="95">
        <f t="shared" si="35"/>
        <v>132480</v>
      </c>
      <c r="D420" s="95">
        <f ca="1">_xlfn.XLOOKUP(总览!$B$44,$B$40:$B$45,$C$40:$C$45)</f>
        <v>5</v>
      </c>
      <c r="E420" s="95">
        <f ca="1" t="shared" si="32"/>
        <v>398</v>
      </c>
      <c r="F420" s="95">
        <f ca="1" t="shared" si="33"/>
        <v>0</v>
      </c>
      <c r="G420" s="95">
        <f ca="1" t="shared" si="34"/>
        <v>2.96852714285715</v>
      </c>
      <c r="H420" s="95" cm="1">
        <f ca="1" t="array" ref="H420">MIN(30-SUM(I420:L420),_xlfn.XLOOKUP($D420&amp;"_"&amp;H$52,$B$14:$B$36&amp;"_"&amp;$C$14:$C$36,$D$14:$D$36)*$E420,18)</f>
        <v>18</v>
      </c>
      <c r="I420" s="95" cm="1">
        <f ca="1" t="array" ref="I420">MIN(30-SUM(J420:L420),6-L420,_xlfn.XLOOKUP($D420&amp;"_"&amp;I$52,$B$14:$B$36&amp;"_"&amp;$C$14:$C$36,$D$14:$D$36)*$E420)</f>
        <v>2.84257285714285</v>
      </c>
      <c r="J420" s="95" cm="1">
        <f ca="1" t="array" ref="J420">MIN(8,_xlfn.XLOOKUP($D420&amp;"_"&amp;J$52,$B$14:$B$36&amp;"_"&amp;$C$14:$C$36,$D$14:$D$36)*$E420)</f>
        <v>2.985</v>
      </c>
      <c r="K420" s="95" cm="1">
        <f ca="1" t="array" ref="K420">MIN(18,_xlfn.XLOOKUP($D420&amp;"_"&amp;K$52,$B$14:$B$36&amp;"_"&amp;$C$14:$C$36,$D$14:$D$36)*$E420)</f>
        <v>1.1144</v>
      </c>
      <c r="L420" s="95" cm="1">
        <f ca="1" t="array" ref="L420">MIN(6,_xlfn.XLOOKUP($D420&amp;"_"&amp;L$52,$B$14:$B$36&amp;"_"&amp;$C$14:$C$36,$D$14:$D$36)*$E420)</f>
        <v>2.0895</v>
      </c>
      <c r="M420" s="95" cm="1">
        <f ca="1" t="array" ref="M420">(1+SUMPRODUCT(G420:H420,OFFSET($H$40:$I$40,D420,0)))*(1+OFFSET($J$40,D420,0))^I420*(1+OFFSET($K$40,D420,0))^J420*(1+OFFSET($L$40,D420,0))^K420*(1+OFFSET($M$40,D420,0))^L420</f>
        <v>46.8507587132624</v>
      </c>
      <c r="N420" s="95">
        <f ca="1">MAX(MAX($N$53:N419),OFFSET($C$52,MATCH(M420*1.07,$M$53:$M$2052,1),0)-C420)</f>
        <v>4680</v>
      </c>
    </row>
    <row r="421" spans="2:14">
      <c r="B421" s="95">
        <v>369</v>
      </c>
      <c r="C421" s="95">
        <f t="shared" si="35"/>
        <v>132840</v>
      </c>
      <c r="D421" s="95">
        <f ca="1">_xlfn.XLOOKUP(总览!$B$44,$B$40:$B$45,$C$40:$C$45)</f>
        <v>5</v>
      </c>
      <c r="E421" s="95">
        <f ca="1" t="shared" si="32"/>
        <v>399</v>
      </c>
      <c r="F421" s="95">
        <f ca="1" t="shared" si="33"/>
        <v>0</v>
      </c>
      <c r="G421" s="95">
        <f ca="1" t="shared" si="34"/>
        <v>2.945835</v>
      </c>
      <c r="H421" s="95" cm="1">
        <f ca="1" t="array" ref="H421">MIN(30-SUM(I421:L421),_xlfn.XLOOKUP($D421&amp;"_"&amp;H$52,$B$14:$B$36&amp;"_"&amp;$C$14:$C$36,$D$14:$D$36)*$E421,18)</f>
        <v>18</v>
      </c>
      <c r="I421" s="95" cm="1">
        <f ca="1" t="array" ref="I421">MIN(30-SUM(J421:L421),6-L421,_xlfn.XLOOKUP($D421&amp;"_"&amp;I$52,$B$14:$B$36&amp;"_"&amp;$C$14:$C$36,$D$14:$D$36)*$E421)</f>
        <v>2.84971499999999</v>
      </c>
      <c r="J421" s="95" cm="1">
        <f ca="1" t="array" ref="J421">MIN(8,_xlfn.XLOOKUP($D421&amp;"_"&amp;J$52,$B$14:$B$36&amp;"_"&amp;$C$14:$C$36,$D$14:$D$36)*$E421)</f>
        <v>2.9925</v>
      </c>
      <c r="K421" s="95" cm="1">
        <f ca="1" t="array" ref="K421">MIN(18,_xlfn.XLOOKUP($D421&amp;"_"&amp;K$52,$B$14:$B$36&amp;"_"&amp;$C$14:$C$36,$D$14:$D$36)*$E421)</f>
        <v>1.1172</v>
      </c>
      <c r="L421" s="95" cm="1">
        <f ca="1" t="array" ref="L421">MIN(6,_xlfn.XLOOKUP($D421&amp;"_"&amp;L$52,$B$14:$B$36&amp;"_"&amp;$C$14:$C$36,$D$14:$D$36)*$E421)</f>
        <v>2.09475</v>
      </c>
      <c r="M421" s="95" cm="1">
        <f ca="1" t="array" ref="M421">(1+SUMPRODUCT(G421:H421,OFFSET($H$40:$I$40,D421,0)))*(1+OFFSET($J$40,D421,0))^I421*(1+OFFSET($K$40,D421,0))^J421*(1+OFFSET($L$40,D421,0))^K421*(1+OFFSET($M$40,D421,0))^L421</f>
        <v>47.0900468142714</v>
      </c>
      <c r="N421" s="95">
        <f ca="1">MAX(MAX($N$53:N420),OFFSET($C$52,MATCH(M421*1.07,$M$53:$M$2052,1),0)-C421)</f>
        <v>4680</v>
      </c>
    </row>
    <row r="422" spans="2:14">
      <c r="B422" s="95">
        <v>370</v>
      </c>
      <c r="C422" s="95">
        <f t="shared" si="35"/>
        <v>133200</v>
      </c>
      <c r="D422" s="95">
        <f ca="1">_xlfn.XLOOKUP(总览!$B$44,$B$40:$B$45,$C$40:$C$45)</f>
        <v>5</v>
      </c>
      <c r="E422" s="95">
        <f ca="1" t="shared" si="32"/>
        <v>400</v>
      </c>
      <c r="F422" s="95">
        <f ca="1" t="shared" si="33"/>
        <v>0</v>
      </c>
      <c r="G422" s="95">
        <f ca="1" t="shared" si="34"/>
        <v>2.92314285714286</v>
      </c>
      <c r="H422" s="95" cm="1">
        <f ca="1" t="array" ref="H422">MIN(30-SUM(I422:L422),_xlfn.XLOOKUP($D422&amp;"_"&amp;H$52,$B$14:$B$36&amp;"_"&amp;$C$14:$C$36,$D$14:$D$36)*$E422,18)</f>
        <v>18</v>
      </c>
      <c r="I422" s="95" cm="1">
        <f ca="1" t="array" ref="I422">MIN(30-SUM(J422:L422),6-L422,_xlfn.XLOOKUP($D422&amp;"_"&amp;I$52,$B$14:$B$36&amp;"_"&amp;$C$14:$C$36,$D$14:$D$36)*$E422)</f>
        <v>2.85685714285714</v>
      </c>
      <c r="J422" s="95" cm="1">
        <f ca="1" t="array" ref="J422">MIN(8,_xlfn.XLOOKUP($D422&amp;"_"&amp;J$52,$B$14:$B$36&amp;"_"&amp;$C$14:$C$36,$D$14:$D$36)*$E422)</f>
        <v>3</v>
      </c>
      <c r="K422" s="95" cm="1">
        <f ca="1" t="array" ref="K422">MIN(18,_xlfn.XLOOKUP($D422&amp;"_"&amp;K$52,$B$14:$B$36&amp;"_"&amp;$C$14:$C$36,$D$14:$D$36)*$E422)</f>
        <v>1.12</v>
      </c>
      <c r="L422" s="95" cm="1">
        <f ca="1" t="array" ref="L422">MIN(6,_xlfn.XLOOKUP($D422&amp;"_"&amp;L$52,$B$14:$B$36&amp;"_"&amp;$C$14:$C$36,$D$14:$D$36)*$E422)</f>
        <v>2.1</v>
      </c>
      <c r="M422" s="95" cm="1">
        <f ca="1" t="array" ref="M422">(1+SUMPRODUCT(G422:H422,OFFSET($H$40:$I$40,D422,0)))*(1+OFFSET($J$40,D422,0))^I422*(1+OFFSET($K$40,D422,0))^J422*(1+OFFSET($L$40,D422,0))^K422*(1+OFFSET($M$40,D422,0))^L422</f>
        <v>47.3305427651606</v>
      </c>
      <c r="N422" s="95">
        <f ca="1">MAX(MAX($N$53:N421),OFFSET($C$52,MATCH(M422*1.07,$M$53:$M$2052,1),0)-C422)</f>
        <v>4680</v>
      </c>
    </row>
    <row r="423" spans="2:14">
      <c r="B423" s="95">
        <v>371</v>
      </c>
      <c r="C423" s="95">
        <f t="shared" si="35"/>
        <v>133560</v>
      </c>
      <c r="D423" s="95">
        <f ca="1">_xlfn.XLOOKUP(总览!$B$44,$B$40:$B$45,$C$40:$C$45)</f>
        <v>5</v>
      </c>
      <c r="E423" s="95">
        <f ca="1" t="shared" si="32"/>
        <v>401</v>
      </c>
      <c r="F423" s="95">
        <f ca="1" t="shared" si="33"/>
        <v>0</v>
      </c>
      <c r="G423" s="95">
        <f ca="1" t="shared" si="34"/>
        <v>2.90045071428572</v>
      </c>
      <c r="H423" s="95" cm="1">
        <f ca="1" t="array" ref="H423">MIN(30-SUM(I423:L423),_xlfn.XLOOKUP($D423&amp;"_"&amp;H$52,$B$14:$B$36&amp;"_"&amp;$C$14:$C$36,$D$14:$D$36)*$E423,18)</f>
        <v>18</v>
      </c>
      <c r="I423" s="95" cm="1">
        <f ca="1" t="array" ref="I423">MIN(30-SUM(J423:L423),6-L423,_xlfn.XLOOKUP($D423&amp;"_"&amp;I$52,$B$14:$B$36&amp;"_"&amp;$C$14:$C$36,$D$14:$D$36)*$E423)</f>
        <v>2.86399928571428</v>
      </c>
      <c r="J423" s="95" cm="1">
        <f ca="1" t="array" ref="J423">MIN(8,_xlfn.XLOOKUP($D423&amp;"_"&amp;J$52,$B$14:$B$36&amp;"_"&amp;$C$14:$C$36,$D$14:$D$36)*$E423)</f>
        <v>3.0075</v>
      </c>
      <c r="K423" s="95" cm="1">
        <f ca="1" t="array" ref="K423">MIN(18,_xlfn.XLOOKUP($D423&amp;"_"&amp;K$52,$B$14:$B$36&amp;"_"&amp;$C$14:$C$36,$D$14:$D$36)*$E423)</f>
        <v>1.1228</v>
      </c>
      <c r="L423" s="95" cm="1">
        <f ca="1" t="array" ref="L423">MIN(6,_xlfn.XLOOKUP($D423&amp;"_"&amp;L$52,$B$14:$B$36&amp;"_"&amp;$C$14:$C$36,$D$14:$D$36)*$E423)</f>
        <v>2.10525</v>
      </c>
      <c r="M423" s="95" cm="1">
        <f ca="1" t="array" ref="M423">(1+SUMPRODUCT(G423:H423,OFFSET($H$40:$I$40,D423,0)))*(1+OFFSET($J$40,D423,0))^I423*(1+OFFSET($K$40,D423,0))^J423*(1+OFFSET($L$40,D423,0))^K423*(1+OFFSET($M$40,D423,0))^L423</f>
        <v>47.5722525730571</v>
      </c>
      <c r="N423" s="95">
        <f ca="1">MAX(MAX($N$53:N422),OFFSET($C$52,MATCH(M423*1.07,$M$53:$M$2052,1),0)-C423)</f>
        <v>4680</v>
      </c>
    </row>
    <row r="424" spans="2:14">
      <c r="B424" s="95">
        <v>372</v>
      </c>
      <c r="C424" s="95">
        <f t="shared" si="35"/>
        <v>133920</v>
      </c>
      <c r="D424" s="95">
        <f ca="1">_xlfn.XLOOKUP(总览!$B$44,$B$40:$B$45,$C$40:$C$45)</f>
        <v>5</v>
      </c>
      <c r="E424" s="95">
        <f ca="1" t="shared" si="32"/>
        <v>402</v>
      </c>
      <c r="F424" s="95">
        <f ca="1" t="shared" si="33"/>
        <v>0</v>
      </c>
      <c r="G424" s="95">
        <f ca="1" t="shared" si="34"/>
        <v>2.87775857142858</v>
      </c>
      <c r="H424" s="95" cm="1">
        <f ca="1" t="array" ref="H424">MIN(30-SUM(I424:L424),_xlfn.XLOOKUP($D424&amp;"_"&amp;H$52,$B$14:$B$36&amp;"_"&amp;$C$14:$C$36,$D$14:$D$36)*$E424,18)</f>
        <v>18</v>
      </c>
      <c r="I424" s="95" cm="1">
        <f ca="1" t="array" ref="I424">MIN(30-SUM(J424:L424),6-L424,_xlfn.XLOOKUP($D424&amp;"_"&amp;I$52,$B$14:$B$36&amp;"_"&amp;$C$14:$C$36,$D$14:$D$36)*$E424)</f>
        <v>2.87114142857142</v>
      </c>
      <c r="J424" s="95" cm="1">
        <f ca="1" t="array" ref="J424">MIN(8,_xlfn.XLOOKUP($D424&amp;"_"&amp;J$52,$B$14:$B$36&amp;"_"&amp;$C$14:$C$36,$D$14:$D$36)*$E424)</f>
        <v>3.015</v>
      </c>
      <c r="K424" s="95" cm="1">
        <f ca="1" t="array" ref="K424">MIN(18,_xlfn.XLOOKUP($D424&amp;"_"&amp;K$52,$B$14:$B$36&amp;"_"&amp;$C$14:$C$36,$D$14:$D$36)*$E424)</f>
        <v>1.1256</v>
      </c>
      <c r="L424" s="95" cm="1">
        <f ca="1" t="array" ref="L424">MIN(6,_xlfn.XLOOKUP($D424&amp;"_"&amp;L$52,$B$14:$B$36&amp;"_"&amp;$C$14:$C$36,$D$14:$D$36)*$E424)</f>
        <v>2.1105</v>
      </c>
      <c r="M424" s="95" cm="1">
        <f ca="1" t="array" ref="M424">(1+SUMPRODUCT(G424:H424,OFFSET($H$40:$I$40,D424,0)))*(1+OFFSET($J$40,D424,0))^I424*(1+OFFSET($K$40,D424,0))^J424*(1+OFFSET($L$40,D424,0))^K424*(1+OFFSET($M$40,D424,0))^L424</f>
        <v>47.8151822743942</v>
      </c>
      <c r="N424" s="95">
        <f ca="1">MAX(MAX($N$53:N423),OFFSET($C$52,MATCH(M424*1.07,$M$53:$M$2052,1),0)-C424)</f>
        <v>4680</v>
      </c>
    </row>
    <row r="425" spans="2:14">
      <c r="B425" s="95">
        <v>373</v>
      </c>
      <c r="C425" s="95">
        <f t="shared" si="35"/>
        <v>134280</v>
      </c>
      <c r="D425" s="95">
        <f ca="1">_xlfn.XLOOKUP(总览!$B$44,$B$40:$B$45,$C$40:$C$45)</f>
        <v>5</v>
      </c>
      <c r="E425" s="95">
        <f ca="1" t="shared" si="32"/>
        <v>403</v>
      </c>
      <c r="F425" s="95">
        <f ca="1" t="shared" si="33"/>
        <v>0</v>
      </c>
      <c r="G425" s="95">
        <f ca="1" t="shared" si="34"/>
        <v>2.85506642857143</v>
      </c>
      <c r="H425" s="95" cm="1">
        <f ca="1" t="array" ref="H425">MIN(30-SUM(I425:L425),_xlfn.XLOOKUP($D425&amp;"_"&amp;H$52,$B$14:$B$36&amp;"_"&amp;$C$14:$C$36,$D$14:$D$36)*$E425,18)</f>
        <v>18</v>
      </c>
      <c r="I425" s="95" cm="1">
        <f ca="1" t="array" ref="I425">MIN(30-SUM(J425:L425),6-L425,_xlfn.XLOOKUP($D425&amp;"_"&amp;I$52,$B$14:$B$36&amp;"_"&amp;$C$14:$C$36,$D$14:$D$36)*$E425)</f>
        <v>2.87828357142857</v>
      </c>
      <c r="J425" s="95" cm="1">
        <f ca="1" t="array" ref="J425">MIN(8,_xlfn.XLOOKUP($D425&amp;"_"&amp;J$52,$B$14:$B$36&amp;"_"&amp;$C$14:$C$36,$D$14:$D$36)*$E425)</f>
        <v>3.0225</v>
      </c>
      <c r="K425" s="95" cm="1">
        <f ca="1" t="array" ref="K425">MIN(18,_xlfn.XLOOKUP($D425&amp;"_"&amp;K$52,$B$14:$B$36&amp;"_"&amp;$C$14:$C$36,$D$14:$D$36)*$E425)</f>
        <v>1.1284</v>
      </c>
      <c r="L425" s="95" cm="1">
        <f ca="1" t="array" ref="L425">MIN(6,_xlfn.XLOOKUP($D425&amp;"_"&amp;L$52,$B$14:$B$36&amp;"_"&amp;$C$14:$C$36,$D$14:$D$36)*$E425)</f>
        <v>2.11575</v>
      </c>
      <c r="M425" s="95" cm="1">
        <f ca="1" t="array" ref="M425">(1+SUMPRODUCT(G425:H425,OFFSET($H$40:$I$40,D425,0)))*(1+OFFSET($J$40,D425,0))^I425*(1+OFFSET($K$40,D425,0))^J425*(1+OFFSET($L$40,D425,0))^K425*(1+OFFSET($M$40,D425,0))^L425</f>
        <v>48.0593379350512</v>
      </c>
      <c r="N425" s="95">
        <f ca="1">MAX(MAX($N$53:N424),OFFSET($C$52,MATCH(M425*1.07,$M$53:$M$2052,1),0)-C425)</f>
        <v>4680</v>
      </c>
    </row>
    <row r="426" spans="2:14">
      <c r="B426" s="95">
        <v>374</v>
      </c>
      <c r="C426" s="95">
        <f t="shared" si="35"/>
        <v>134640</v>
      </c>
      <c r="D426" s="95">
        <f ca="1">_xlfn.XLOOKUP(总览!$B$44,$B$40:$B$45,$C$40:$C$45)</f>
        <v>5</v>
      </c>
      <c r="E426" s="95">
        <f ca="1" t="shared" si="32"/>
        <v>404</v>
      </c>
      <c r="F426" s="95">
        <f ca="1" t="shared" si="33"/>
        <v>0</v>
      </c>
      <c r="G426" s="95">
        <f ca="1" t="shared" si="34"/>
        <v>2.83237428571429</v>
      </c>
      <c r="H426" s="95" cm="1">
        <f ca="1" t="array" ref="H426">MIN(30-SUM(I426:L426),_xlfn.XLOOKUP($D426&amp;"_"&amp;H$52,$B$14:$B$36&amp;"_"&amp;$C$14:$C$36,$D$14:$D$36)*$E426,18)</f>
        <v>18</v>
      </c>
      <c r="I426" s="95" cm="1">
        <f ca="1" t="array" ref="I426">MIN(30-SUM(J426:L426),6-L426,_xlfn.XLOOKUP($D426&amp;"_"&amp;I$52,$B$14:$B$36&amp;"_"&amp;$C$14:$C$36,$D$14:$D$36)*$E426)</f>
        <v>2.88542571428571</v>
      </c>
      <c r="J426" s="95" cm="1">
        <f ca="1" t="array" ref="J426">MIN(8,_xlfn.XLOOKUP($D426&amp;"_"&amp;J$52,$B$14:$B$36&amp;"_"&amp;$C$14:$C$36,$D$14:$D$36)*$E426)</f>
        <v>3.03</v>
      </c>
      <c r="K426" s="95" cm="1">
        <f ca="1" t="array" ref="K426">MIN(18,_xlfn.XLOOKUP($D426&amp;"_"&amp;K$52,$B$14:$B$36&amp;"_"&amp;$C$14:$C$36,$D$14:$D$36)*$E426)</f>
        <v>1.1312</v>
      </c>
      <c r="L426" s="95" cm="1">
        <f ca="1" t="array" ref="L426">MIN(6,_xlfn.XLOOKUP($D426&amp;"_"&amp;L$52,$B$14:$B$36&amp;"_"&amp;$C$14:$C$36,$D$14:$D$36)*$E426)</f>
        <v>2.121</v>
      </c>
      <c r="M426" s="95" cm="1">
        <f ca="1" t="array" ref="M426">(1+SUMPRODUCT(G426:H426,OFFSET($H$40:$I$40,D426,0)))*(1+OFFSET($J$40,D426,0))^I426*(1+OFFSET($K$40,D426,0))^J426*(1+OFFSET($L$40,D426,0))^K426*(1+OFFSET($M$40,D426,0))^L426</f>
        <v>48.3047256504932</v>
      </c>
      <c r="N426" s="95">
        <f ca="1">MAX(MAX($N$53:N425),OFFSET($C$52,MATCH(M426*1.07,$M$53:$M$2052,1),0)-C426)</f>
        <v>4680</v>
      </c>
    </row>
    <row r="427" spans="2:14">
      <c r="B427" s="95">
        <v>375</v>
      </c>
      <c r="C427" s="95">
        <f t="shared" si="35"/>
        <v>135000</v>
      </c>
      <c r="D427" s="95">
        <f ca="1">_xlfn.XLOOKUP(总览!$B$44,$B$40:$B$45,$C$40:$C$45)</f>
        <v>5</v>
      </c>
      <c r="E427" s="95">
        <f ca="1" t="shared" si="32"/>
        <v>405</v>
      </c>
      <c r="F427" s="95">
        <f ca="1" t="shared" si="33"/>
        <v>0</v>
      </c>
      <c r="G427" s="95">
        <f ca="1" t="shared" si="34"/>
        <v>2.80968214285715</v>
      </c>
      <c r="H427" s="95" cm="1">
        <f ca="1" t="array" ref="H427">MIN(30-SUM(I427:L427),_xlfn.XLOOKUP($D427&amp;"_"&amp;H$52,$B$14:$B$36&amp;"_"&amp;$C$14:$C$36,$D$14:$D$36)*$E427,18)</f>
        <v>18</v>
      </c>
      <c r="I427" s="95" cm="1">
        <f ca="1" t="array" ref="I427">MIN(30-SUM(J427:L427),6-L427,_xlfn.XLOOKUP($D427&amp;"_"&amp;I$52,$B$14:$B$36&amp;"_"&amp;$C$14:$C$36,$D$14:$D$36)*$E427)</f>
        <v>2.89256785714285</v>
      </c>
      <c r="J427" s="95" cm="1">
        <f ca="1" t="array" ref="J427">MIN(8,_xlfn.XLOOKUP($D427&amp;"_"&amp;J$52,$B$14:$B$36&amp;"_"&amp;$C$14:$C$36,$D$14:$D$36)*$E427)</f>
        <v>3.0375</v>
      </c>
      <c r="K427" s="95" cm="1">
        <f ca="1" t="array" ref="K427">MIN(18,_xlfn.XLOOKUP($D427&amp;"_"&amp;K$52,$B$14:$B$36&amp;"_"&amp;$C$14:$C$36,$D$14:$D$36)*$E427)</f>
        <v>1.134</v>
      </c>
      <c r="L427" s="95" cm="1">
        <f ca="1" t="array" ref="L427">MIN(6,_xlfn.XLOOKUP($D427&amp;"_"&amp;L$52,$B$14:$B$36&amp;"_"&amp;$C$14:$C$36,$D$14:$D$36)*$E427)</f>
        <v>2.12625</v>
      </c>
      <c r="M427" s="95" cm="1">
        <f ca="1" t="array" ref="M427">(1+SUMPRODUCT(G427:H427,OFFSET($H$40:$I$40,D427,0)))*(1+OFFSET($J$40,D427,0))^I427*(1+OFFSET($K$40,D427,0))^J427*(1+OFFSET($L$40,D427,0))^K427*(1+OFFSET($M$40,D427,0))^L427</f>
        <v>48.5513515459116</v>
      </c>
      <c r="N427" s="95">
        <f ca="1">MAX(MAX($N$53:N426),OFFSET($C$52,MATCH(M427*1.07,$M$53:$M$2052,1),0)-C427)</f>
        <v>4680</v>
      </c>
    </row>
    <row r="428" spans="2:14">
      <c r="B428" s="95">
        <v>376</v>
      </c>
      <c r="C428" s="95">
        <f t="shared" si="35"/>
        <v>135360</v>
      </c>
      <c r="D428" s="95">
        <f ca="1">_xlfn.XLOOKUP(总览!$B$44,$B$40:$B$45,$C$40:$C$45)</f>
        <v>5</v>
      </c>
      <c r="E428" s="95">
        <f ca="1" t="shared" si="32"/>
        <v>406</v>
      </c>
      <c r="F428" s="95">
        <f ca="1" t="shared" si="33"/>
        <v>0</v>
      </c>
      <c r="G428" s="95">
        <f ca="1" t="shared" si="34"/>
        <v>2.78699000000001</v>
      </c>
      <c r="H428" s="95" cm="1">
        <f ca="1" t="array" ref="H428">MIN(30-SUM(I428:L428),_xlfn.XLOOKUP($D428&amp;"_"&amp;H$52,$B$14:$B$36&amp;"_"&amp;$C$14:$C$36,$D$14:$D$36)*$E428,18)</f>
        <v>18</v>
      </c>
      <c r="I428" s="95" cm="1">
        <f ca="1" t="array" ref="I428">MIN(30-SUM(J428:L428),6-L428,_xlfn.XLOOKUP($D428&amp;"_"&amp;I$52,$B$14:$B$36&amp;"_"&amp;$C$14:$C$36,$D$14:$D$36)*$E428)</f>
        <v>2.89970999999999</v>
      </c>
      <c r="J428" s="95" cm="1">
        <f ca="1" t="array" ref="J428">MIN(8,_xlfn.XLOOKUP($D428&amp;"_"&amp;J$52,$B$14:$B$36&amp;"_"&amp;$C$14:$C$36,$D$14:$D$36)*$E428)</f>
        <v>3.045</v>
      </c>
      <c r="K428" s="95" cm="1">
        <f ca="1" t="array" ref="K428">MIN(18,_xlfn.XLOOKUP($D428&amp;"_"&amp;K$52,$B$14:$B$36&amp;"_"&amp;$C$14:$C$36,$D$14:$D$36)*$E428)</f>
        <v>1.1368</v>
      </c>
      <c r="L428" s="95" cm="1">
        <f ca="1" t="array" ref="L428">MIN(6,_xlfn.XLOOKUP($D428&amp;"_"&amp;L$52,$B$14:$B$36&amp;"_"&amp;$C$14:$C$36,$D$14:$D$36)*$E428)</f>
        <v>2.1315</v>
      </c>
      <c r="M428" s="95" cm="1">
        <f ca="1" t="array" ref="M428">(1+SUMPRODUCT(G428:H428,OFFSET($H$40:$I$40,D428,0)))*(1+OFFSET($J$40,D428,0))^I428*(1+OFFSET($K$40,D428,0))^J428*(1+OFFSET($L$40,D428,0))^K428*(1+OFFSET($M$40,D428,0))^L428</f>
        <v>48.7992217763652</v>
      </c>
      <c r="N428" s="95">
        <f ca="1">MAX(MAX($N$53:N427),OFFSET($C$52,MATCH(M428*1.07,$M$53:$M$2052,1),0)-C428)</f>
        <v>4680</v>
      </c>
    </row>
    <row r="429" spans="2:14">
      <c r="B429" s="95">
        <v>377</v>
      </c>
      <c r="C429" s="95">
        <f t="shared" si="35"/>
        <v>135720</v>
      </c>
      <c r="D429" s="95">
        <f ca="1">_xlfn.XLOOKUP(总览!$B$44,$B$40:$B$45,$C$40:$C$45)</f>
        <v>5</v>
      </c>
      <c r="E429" s="95">
        <f ca="1" t="shared" si="32"/>
        <v>407</v>
      </c>
      <c r="F429" s="95">
        <f ca="1" t="shared" si="33"/>
        <v>0</v>
      </c>
      <c r="G429" s="95">
        <f ca="1" t="shared" si="34"/>
        <v>2.76429785714286</v>
      </c>
      <c r="H429" s="95" cm="1">
        <f ca="1" t="array" ref="H429">MIN(30-SUM(I429:L429),_xlfn.XLOOKUP($D429&amp;"_"&amp;H$52,$B$14:$B$36&amp;"_"&amp;$C$14:$C$36,$D$14:$D$36)*$E429,18)</f>
        <v>18</v>
      </c>
      <c r="I429" s="95" cm="1">
        <f ca="1" t="array" ref="I429">MIN(30-SUM(J429:L429),6-L429,_xlfn.XLOOKUP($D429&amp;"_"&amp;I$52,$B$14:$B$36&amp;"_"&amp;$C$14:$C$36,$D$14:$D$36)*$E429)</f>
        <v>2.90685214285714</v>
      </c>
      <c r="J429" s="95" cm="1">
        <f ca="1" t="array" ref="J429">MIN(8,_xlfn.XLOOKUP($D429&amp;"_"&amp;J$52,$B$14:$B$36&amp;"_"&amp;$C$14:$C$36,$D$14:$D$36)*$E429)</f>
        <v>3.0525</v>
      </c>
      <c r="K429" s="95" cm="1">
        <f ca="1" t="array" ref="K429">MIN(18,_xlfn.XLOOKUP($D429&amp;"_"&amp;K$52,$B$14:$B$36&amp;"_"&amp;$C$14:$C$36,$D$14:$D$36)*$E429)</f>
        <v>1.1396</v>
      </c>
      <c r="L429" s="95" cm="1">
        <f ca="1" t="array" ref="L429">MIN(6,_xlfn.XLOOKUP($D429&amp;"_"&amp;L$52,$B$14:$B$36&amp;"_"&amp;$C$14:$C$36,$D$14:$D$36)*$E429)</f>
        <v>2.13675</v>
      </c>
      <c r="M429" s="95" cm="1">
        <f ca="1" t="array" ref="M429">(1+SUMPRODUCT(G429:H429,OFFSET($H$40:$I$40,D429,0)))*(1+OFFSET($J$40,D429,0))^I429*(1+OFFSET($K$40,D429,0))^J429*(1+OFFSET($L$40,D429,0))^K429*(1+OFFSET($M$40,D429,0))^L429</f>
        <v>49.0483425269226</v>
      </c>
      <c r="N429" s="95">
        <f ca="1">MAX(MAX($N$53:N428),OFFSET($C$52,MATCH(M429*1.07,$M$53:$M$2052,1),0)-C429)</f>
        <v>4680</v>
      </c>
    </row>
    <row r="430" spans="2:14">
      <c r="B430" s="95">
        <v>378</v>
      </c>
      <c r="C430" s="95">
        <f t="shared" si="35"/>
        <v>136080</v>
      </c>
      <c r="D430" s="95">
        <f ca="1">_xlfn.XLOOKUP(总览!$B$44,$B$40:$B$45,$C$40:$C$45)</f>
        <v>5</v>
      </c>
      <c r="E430" s="95">
        <f ca="1" t="shared" si="32"/>
        <v>408</v>
      </c>
      <c r="F430" s="95">
        <f ca="1" t="shared" si="33"/>
        <v>0</v>
      </c>
      <c r="G430" s="95">
        <f ca="1" t="shared" si="34"/>
        <v>2.74160571428572</v>
      </c>
      <c r="H430" s="95" cm="1">
        <f ca="1" t="array" ref="H430">MIN(30-SUM(I430:L430),_xlfn.XLOOKUP($D430&amp;"_"&amp;H$52,$B$14:$B$36&amp;"_"&amp;$C$14:$C$36,$D$14:$D$36)*$E430,18)</f>
        <v>18</v>
      </c>
      <c r="I430" s="95" cm="1">
        <f ca="1" t="array" ref="I430">MIN(30-SUM(J430:L430),6-L430,_xlfn.XLOOKUP($D430&amp;"_"&amp;I$52,$B$14:$B$36&amp;"_"&amp;$C$14:$C$36,$D$14:$D$36)*$E430)</f>
        <v>2.91399428571428</v>
      </c>
      <c r="J430" s="95" cm="1">
        <f ca="1" t="array" ref="J430">MIN(8,_xlfn.XLOOKUP($D430&amp;"_"&amp;J$52,$B$14:$B$36&amp;"_"&amp;$C$14:$C$36,$D$14:$D$36)*$E430)</f>
        <v>3.06</v>
      </c>
      <c r="K430" s="95" cm="1">
        <f ca="1" t="array" ref="K430">MIN(18,_xlfn.XLOOKUP($D430&amp;"_"&amp;K$52,$B$14:$B$36&amp;"_"&amp;$C$14:$C$36,$D$14:$D$36)*$E430)</f>
        <v>1.1424</v>
      </c>
      <c r="L430" s="95" cm="1">
        <f ca="1" t="array" ref="L430">MIN(6,_xlfn.XLOOKUP($D430&amp;"_"&amp;L$52,$B$14:$B$36&amp;"_"&amp;$C$14:$C$36,$D$14:$D$36)*$E430)</f>
        <v>2.142</v>
      </c>
      <c r="M430" s="95" cm="1">
        <f ca="1" t="array" ref="M430">(1+SUMPRODUCT(G430:H430,OFFSET($H$40:$I$40,D430,0)))*(1+OFFSET($J$40,D430,0))^I430*(1+OFFSET($K$40,D430,0))^J430*(1+OFFSET($L$40,D430,0))^K430*(1+OFFSET($M$40,D430,0))^L430</f>
        <v>49.2987200128041</v>
      </c>
      <c r="N430" s="95">
        <f ca="1">MAX(MAX($N$53:N429),OFFSET($C$52,MATCH(M430*1.07,$M$53:$M$2052,1),0)-C430)</f>
        <v>4680</v>
      </c>
    </row>
    <row r="431" spans="2:14">
      <c r="B431" s="95">
        <v>379</v>
      </c>
      <c r="C431" s="95">
        <f t="shared" si="35"/>
        <v>136440</v>
      </c>
      <c r="D431" s="95">
        <f ca="1">_xlfn.XLOOKUP(总览!$B$44,$B$40:$B$45,$C$40:$C$45)</f>
        <v>5</v>
      </c>
      <c r="E431" s="95">
        <f ca="1" t="shared" si="32"/>
        <v>409</v>
      </c>
      <c r="F431" s="95">
        <f ca="1" t="shared" si="33"/>
        <v>0</v>
      </c>
      <c r="G431" s="95">
        <f ca="1" t="shared" si="34"/>
        <v>2.71891357142858</v>
      </c>
      <c r="H431" s="95" cm="1">
        <f ca="1" t="array" ref="H431">MIN(30-SUM(I431:L431),_xlfn.XLOOKUP($D431&amp;"_"&amp;H$52,$B$14:$B$36&amp;"_"&amp;$C$14:$C$36,$D$14:$D$36)*$E431,18)</f>
        <v>18</v>
      </c>
      <c r="I431" s="95" cm="1">
        <f ca="1" t="array" ref="I431">MIN(30-SUM(J431:L431),6-L431,_xlfn.XLOOKUP($D431&amp;"_"&amp;I$52,$B$14:$B$36&amp;"_"&amp;$C$14:$C$36,$D$14:$D$36)*$E431)</f>
        <v>2.92113642857142</v>
      </c>
      <c r="J431" s="95" cm="1">
        <f ca="1" t="array" ref="J431">MIN(8,_xlfn.XLOOKUP($D431&amp;"_"&amp;J$52,$B$14:$B$36&amp;"_"&amp;$C$14:$C$36,$D$14:$D$36)*$E431)</f>
        <v>3.0675</v>
      </c>
      <c r="K431" s="95" cm="1">
        <f ca="1" t="array" ref="K431">MIN(18,_xlfn.XLOOKUP($D431&amp;"_"&amp;K$52,$B$14:$B$36&amp;"_"&amp;$C$14:$C$36,$D$14:$D$36)*$E431)</f>
        <v>1.1452</v>
      </c>
      <c r="L431" s="95" cm="1">
        <f ca="1" t="array" ref="L431">MIN(6,_xlfn.XLOOKUP($D431&amp;"_"&amp;L$52,$B$14:$B$36&amp;"_"&amp;$C$14:$C$36,$D$14:$D$36)*$E431)</f>
        <v>2.14725</v>
      </c>
      <c r="M431" s="95" cm="1">
        <f ca="1" t="array" ref="M431">(1+SUMPRODUCT(G431:H431,OFFSET($H$40:$I$40,D431,0)))*(1+OFFSET($J$40,D431,0))^I431*(1+OFFSET($K$40,D431,0))^J431*(1+OFFSET($L$40,D431,0))^K431*(1+OFFSET($M$40,D431,0))^L431</f>
        <v>49.5503604795253</v>
      </c>
      <c r="N431" s="95">
        <f ca="1">MAX(MAX($N$53:N430),OFFSET($C$52,MATCH(M431*1.07,$M$53:$M$2052,1),0)-C431)</f>
        <v>4680</v>
      </c>
    </row>
    <row r="432" spans="2:14">
      <c r="B432" s="95">
        <v>380</v>
      </c>
      <c r="C432" s="95">
        <f t="shared" si="35"/>
        <v>136800</v>
      </c>
      <c r="D432" s="95">
        <f ca="1">_xlfn.XLOOKUP(总览!$B$44,$B$40:$B$45,$C$40:$C$45)</f>
        <v>5</v>
      </c>
      <c r="E432" s="95">
        <f ca="1" t="shared" si="32"/>
        <v>410</v>
      </c>
      <c r="F432" s="95">
        <f ca="1" t="shared" si="33"/>
        <v>0</v>
      </c>
      <c r="G432" s="95">
        <f ca="1" t="shared" si="34"/>
        <v>2.69622142857143</v>
      </c>
      <c r="H432" s="95" cm="1">
        <f ca="1" t="array" ref="H432">MIN(30-SUM(I432:L432),_xlfn.XLOOKUP($D432&amp;"_"&amp;H$52,$B$14:$B$36&amp;"_"&amp;$C$14:$C$36,$D$14:$D$36)*$E432,18)</f>
        <v>18</v>
      </c>
      <c r="I432" s="95" cm="1">
        <f ca="1" t="array" ref="I432">MIN(30-SUM(J432:L432),6-L432,_xlfn.XLOOKUP($D432&amp;"_"&amp;I$52,$B$14:$B$36&amp;"_"&amp;$C$14:$C$36,$D$14:$D$36)*$E432)</f>
        <v>2.92827857142857</v>
      </c>
      <c r="J432" s="95" cm="1">
        <f ca="1" t="array" ref="J432">MIN(8,_xlfn.XLOOKUP($D432&amp;"_"&amp;J$52,$B$14:$B$36&amp;"_"&amp;$C$14:$C$36,$D$14:$D$36)*$E432)</f>
        <v>3.075</v>
      </c>
      <c r="K432" s="95" cm="1">
        <f ca="1" t="array" ref="K432">MIN(18,_xlfn.XLOOKUP($D432&amp;"_"&amp;K$52,$B$14:$B$36&amp;"_"&amp;$C$14:$C$36,$D$14:$D$36)*$E432)</f>
        <v>1.148</v>
      </c>
      <c r="L432" s="95" cm="1">
        <f ca="1" t="array" ref="L432">MIN(6,_xlfn.XLOOKUP($D432&amp;"_"&amp;L$52,$B$14:$B$36&amp;"_"&amp;$C$14:$C$36,$D$14:$D$36)*$E432)</f>
        <v>2.1525</v>
      </c>
      <c r="M432" s="95" cm="1">
        <f ca="1" t="array" ref="M432">(1+SUMPRODUCT(G432:H432,OFFSET($H$40:$I$40,D432,0)))*(1+OFFSET($J$40,D432,0))^I432*(1+OFFSET($K$40,D432,0))^J432*(1+OFFSET($L$40,D432,0))^K432*(1+OFFSET($M$40,D432,0))^L432</f>
        <v>49.8032702030406</v>
      </c>
      <c r="N432" s="95">
        <f ca="1">MAX(MAX($N$53:N431),OFFSET($C$52,MATCH(M432*1.07,$M$53:$M$2052,1),0)-C432)</f>
        <v>4680</v>
      </c>
    </row>
    <row r="433" spans="2:14">
      <c r="B433" s="95">
        <v>381</v>
      </c>
      <c r="C433" s="95">
        <f t="shared" si="35"/>
        <v>137160</v>
      </c>
      <c r="D433" s="95">
        <f ca="1">_xlfn.XLOOKUP(总览!$B$44,$B$40:$B$45,$C$40:$C$45)</f>
        <v>5</v>
      </c>
      <c r="E433" s="95">
        <f ca="1" t="shared" si="32"/>
        <v>411</v>
      </c>
      <c r="F433" s="95">
        <f ca="1" t="shared" si="33"/>
        <v>0</v>
      </c>
      <c r="G433" s="95">
        <f ca="1" t="shared" si="34"/>
        <v>2.67352928571429</v>
      </c>
      <c r="H433" s="95" cm="1">
        <f ca="1" t="array" ref="H433">MIN(30-SUM(I433:L433),_xlfn.XLOOKUP($D433&amp;"_"&amp;H$52,$B$14:$B$36&amp;"_"&amp;$C$14:$C$36,$D$14:$D$36)*$E433,18)</f>
        <v>18</v>
      </c>
      <c r="I433" s="95" cm="1">
        <f ca="1" t="array" ref="I433">MIN(30-SUM(J433:L433),6-L433,_xlfn.XLOOKUP($D433&amp;"_"&amp;I$52,$B$14:$B$36&amp;"_"&amp;$C$14:$C$36,$D$14:$D$36)*$E433)</f>
        <v>2.93542071428571</v>
      </c>
      <c r="J433" s="95" cm="1">
        <f ca="1" t="array" ref="J433">MIN(8,_xlfn.XLOOKUP($D433&amp;"_"&amp;J$52,$B$14:$B$36&amp;"_"&amp;$C$14:$C$36,$D$14:$D$36)*$E433)</f>
        <v>3.0825</v>
      </c>
      <c r="K433" s="95" cm="1">
        <f ca="1" t="array" ref="K433">MIN(18,_xlfn.XLOOKUP($D433&amp;"_"&amp;K$52,$B$14:$B$36&amp;"_"&amp;$C$14:$C$36,$D$14:$D$36)*$E433)</f>
        <v>1.1508</v>
      </c>
      <c r="L433" s="95" cm="1">
        <f ca="1" t="array" ref="L433">MIN(6,_xlfn.XLOOKUP($D433&amp;"_"&amp;L$52,$B$14:$B$36&amp;"_"&amp;$C$14:$C$36,$D$14:$D$36)*$E433)</f>
        <v>2.15775</v>
      </c>
      <c r="M433" s="95" cm="1">
        <f ca="1" t="array" ref="M433">(1+SUMPRODUCT(G433:H433,OFFSET($H$40:$I$40,D433,0)))*(1+OFFSET($J$40,D433,0))^I433*(1+OFFSET($K$40,D433,0))^J433*(1+OFFSET($L$40,D433,0))^K433*(1+OFFSET($M$40,D433,0))^L433</f>
        <v>50.0574554898882</v>
      </c>
      <c r="N433" s="95">
        <f ca="1">MAX(MAX($N$53:N432),OFFSET($C$52,MATCH(M433*1.07,$M$53:$M$2052,1),0)-C433)</f>
        <v>4680</v>
      </c>
    </row>
    <row r="434" spans="2:14">
      <c r="B434" s="95">
        <v>382</v>
      </c>
      <c r="C434" s="95">
        <f t="shared" si="35"/>
        <v>137520</v>
      </c>
      <c r="D434" s="95">
        <f ca="1">_xlfn.XLOOKUP(总览!$B$44,$B$40:$B$45,$C$40:$C$45)</f>
        <v>5</v>
      </c>
      <c r="E434" s="95">
        <f ca="1" t="shared" si="32"/>
        <v>412</v>
      </c>
      <c r="F434" s="95">
        <f ca="1" t="shared" si="33"/>
        <v>0</v>
      </c>
      <c r="G434" s="95">
        <f ca="1" t="shared" si="34"/>
        <v>2.65083714285715</v>
      </c>
      <c r="H434" s="95" cm="1">
        <f ca="1" t="array" ref="H434">MIN(30-SUM(I434:L434),_xlfn.XLOOKUP($D434&amp;"_"&amp;H$52,$B$14:$B$36&amp;"_"&amp;$C$14:$C$36,$D$14:$D$36)*$E434,18)</f>
        <v>18</v>
      </c>
      <c r="I434" s="95" cm="1">
        <f ca="1" t="array" ref="I434">MIN(30-SUM(J434:L434),6-L434,_xlfn.XLOOKUP($D434&amp;"_"&amp;I$52,$B$14:$B$36&amp;"_"&amp;$C$14:$C$36,$D$14:$D$36)*$E434)</f>
        <v>2.94256285714285</v>
      </c>
      <c r="J434" s="95" cm="1">
        <f ca="1" t="array" ref="J434">MIN(8,_xlfn.XLOOKUP($D434&amp;"_"&amp;J$52,$B$14:$B$36&amp;"_"&amp;$C$14:$C$36,$D$14:$D$36)*$E434)</f>
        <v>3.09</v>
      </c>
      <c r="K434" s="95" cm="1">
        <f ca="1" t="array" ref="K434">MIN(18,_xlfn.XLOOKUP($D434&amp;"_"&amp;K$52,$B$14:$B$36&amp;"_"&amp;$C$14:$C$36,$D$14:$D$36)*$E434)</f>
        <v>1.1536</v>
      </c>
      <c r="L434" s="95" cm="1">
        <f ca="1" t="array" ref="L434">MIN(6,_xlfn.XLOOKUP($D434&amp;"_"&amp;L$52,$B$14:$B$36&amp;"_"&amp;$C$14:$C$36,$D$14:$D$36)*$E434)</f>
        <v>2.163</v>
      </c>
      <c r="M434" s="95" cm="1">
        <f ca="1" t="array" ref="M434">(1+SUMPRODUCT(G434:H434,OFFSET($H$40:$I$40,D434,0)))*(1+OFFSET($J$40,D434,0))^I434*(1+OFFSET($K$40,D434,0))^J434*(1+OFFSET($L$40,D434,0))^K434*(1+OFFSET($M$40,D434,0))^L434</f>
        <v>50.3129226773347</v>
      </c>
      <c r="N434" s="95">
        <f ca="1">MAX(MAX($N$53:N433),OFFSET($C$52,MATCH(M434*1.07,$M$53:$M$2052,1),0)-C434)</f>
        <v>4680</v>
      </c>
    </row>
    <row r="435" spans="2:14">
      <c r="B435" s="95">
        <v>383</v>
      </c>
      <c r="C435" s="95">
        <f t="shared" si="35"/>
        <v>137880</v>
      </c>
      <c r="D435" s="95">
        <f ca="1">_xlfn.XLOOKUP(总览!$B$44,$B$40:$B$45,$C$40:$C$45)</f>
        <v>5</v>
      </c>
      <c r="E435" s="95">
        <f ca="1" t="shared" si="32"/>
        <v>413</v>
      </c>
      <c r="F435" s="95">
        <f ca="1" t="shared" si="33"/>
        <v>0</v>
      </c>
      <c r="G435" s="95">
        <f ca="1" t="shared" si="34"/>
        <v>2.628145</v>
      </c>
      <c r="H435" s="95" cm="1">
        <f ca="1" t="array" ref="H435">MIN(30-SUM(I435:L435),_xlfn.XLOOKUP($D435&amp;"_"&amp;H$52,$B$14:$B$36&amp;"_"&amp;$C$14:$C$36,$D$14:$D$36)*$E435,18)</f>
        <v>18</v>
      </c>
      <c r="I435" s="95" cm="1">
        <f ca="1" t="array" ref="I435">MIN(30-SUM(J435:L435),6-L435,_xlfn.XLOOKUP($D435&amp;"_"&amp;I$52,$B$14:$B$36&amp;"_"&amp;$C$14:$C$36,$D$14:$D$36)*$E435)</f>
        <v>2.94970499999999</v>
      </c>
      <c r="J435" s="95" cm="1">
        <f ca="1" t="array" ref="J435">MIN(8,_xlfn.XLOOKUP($D435&amp;"_"&amp;J$52,$B$14:$B$36&amp;"_"&amp;$C$14:$C$36,$D$14:$D$36)*$E435)</f>
        <v>3.0975</v>
      </c>
      <c r="K435" s="95" cm="1">
        <f ca="1" t="array" ref="K435">MIN(18,_xlfn.XLOOKUP($D435&amp;"_"&amp;K$52,$B$14:$B$36&amp;"_"&amp;$C$14:$C$36,$D$14:$D$36)*$E435)</f>
        <v>1.1564</v>
      </c>
      <c r="L435" s="95" cm="1">
        <f ca="1" t="array" ref="L435">MIN(6,_xlfn.XLOOKUP($D435&amp;"_"&amp;L$52,$B$14:$B$36&amp;"_"&amp;$C$14:$C$36,$D$14:$D$36)*$E435)</f>
        <v>2.16825</v>
      </c>
      <c r="M435" s="95" cm="1">
        <f ca="1" t="array" ref="M435">(1+SUMPRODUCT(G435:H435,OFFSET($H$40:$I$40,D435,0)))*(1+OFFSET($J$40,D435,0))^I435*(1+OFFSET($K$40,D435,0))^J435*(1+OFFSET($L$40,D435,0))^K435*(1+OFFSET($M$40,D435,0))^L435</f>
        <v>50.5696781335212</v>
      </c>
      <c r="N435" s="95">
        <f ca="1">MAX(MAX($N$53:N434),OFFSET($C$52,MATCH(M435*1.07,$M$53:$M$2052,1),0)-C435)</f>
        <v>4680</v>
      </c>
    </row>
    <row r="436" spans="2:14">
      <c r="B436" s="95">
        <v>384</v>
      </c>
      <c r="C436" s="95">
        <f t="shared" si="35"/>
        <v>138240</v>
      </c>
      <c r="D436" s="95">
        <f ca="1">_xlfn.XLOOKUP(总览!$B$44,$B$40:$B$45,$C$40:$C$45)</f>
        <v>5</v>
      </c>
      <c r="E436" s="95">
        <f ca="1" t="shared" si="32"/>
        <v>414</v>
      </c>
      <c r="F436" s="95">
        <f ca="1" t="shared" si="33"/>
        <v>0</v>
      </c>
      <c r="G436" s="95">
        <f ca="1" t="shared" si="34"/>
        <v>2.60545285714286</v>
      </c>
      <c r="H436" s="95" cm="1">
        <f ca="1" t="array" ref="H436">MIN(30-SUM(I436:L436),_xlfn.XLOOKUP($D436&amp;"_"&amp;H$52,$B$14:$B$36&amp;"_"&amp;$C$14:$C$36,$D$14:$D$36)*$E436,18)</f>
        <v>18</v>
      </c>
      <c r="I436" s="95" cm="1">
        <f ca="1" t="array" ref="I436">MIN(30-SUM(J436:L436),6-L436,_xlfn.XLOOKUP($D436&amp;"_"&amp;I$52,$B$14:$B$36&amp;"_"&amp;$C$14:$C$36,$D$14:$D$36)*$E436)</f>
        <v>2.95684714285714</v>
      </c>
      <c r="J436" s="95" cm="1">
        <f ca="1" t="array" ref="J436">MIN(8,_xlfn.XLOOKUP($D436&amp;"_"&amp;J$52,$B$14:$B$36&amp;"_"&amp;$C$14:$C$36,$D$14:$D$36)*$E436)</f>
        <v>3.105</v>
      </c>
      <c r="K436" s="95" cm="1">
        <f ca="1" t="array" ref="K436">MIN(18,_xlfn.XLOOKUP($D436&amp;"_"&amp;K$52,$B$14:$B$36&amp;"_"&amp;$C$14:$C$36,$D$14:$D$36)*$E436)</f>
        <v>1.1592</v>
      </c>
      <c r="L436" s="95" cm="1">
        <f ca="1" t="array" ref="L436">MIN(6,_xlfn.XLOOKUP($D436&amp;"_"&amp;L$52,$B$14:$B$36&amp;"_"&amp;$C$14:$C$36,$D$14:$D$36)*$E436)</f>
        <v>2.1735</v>
      </c>
      <c r="M436" s="95" cm="1">
        <f ca="1" t="array" ref="M436">(1+SUMPRODUCT(G436:H436,OFFSET($H$40:$I$40,D436,0)))*(1+OFFSET($J$40,D436,0))^I436*(1+OFFSET($K$40,D436,0))^J436*(1+OFFSET($L$40,D436,0))^K436*(1+OFFSET($M$40,D436,0))^L436</f>
        <v>50.8277282576097</v>
      </c>
      <c r="N436" s="95">
        <f ca="1">MAX(MAX($N$53:N435),OFFSET($C$52,MATCH(M436*1.07,$M$53:$M$2052,1),0)-C436)</f>
        <v>4680</v>
      </c>
    </row>
    <row r="437" spans="2:14">
      <c r="B437" s="95">
        <v>385</v>
      </c>
      <c r="C437" s="95">
        <f t="shared" si="35"/>
        <v>138600</v>
      </c>
      <c r="D437" s="95">
        <f ca="1">_xlfn.XLOOKUP(总览!$B$44,$B$40:$B$45,$C$40:$C$45)</f>
        <v>5</v>
      </c>
      <c r="E437" s="95">
        <f ca="1" t="shared" si="32"/>
        <v>415</v>
      </c>
      <c r="F437" s="95">
        <f ca="1" t="shared" si="33"/>
        <v>0</v>
      </c>
      <c r="G437" s="95">
        <f ca="1" t="shared" si="34"/>
        <v>2.58276071428572</v>
      </c>
      <c r="H437" s="95" cm="1">
        <f ca="1" t="array" ref="H437">MIN(30-SUM(I437:L437),_xlfn.XLOOKUP($D437&amp;"_"&amp;H$52,$B$14:$B$36&amp;"_"&amp;$C$14:$C$36,$D$14:$D$36)*$E437,18)</f>
        <v>18</v>
      </c>
      <c r="I437" s="95" cm="1">
        <f ca="1" t="array" ref="I437">MIN(30-SUM(J437:L437),6-L437,_xlfn.XLOOKUP($D437&amp;"_"&amp;I$52,$B$14:$B$36&amp;"_"&amp;$C$14:$C$36,$D$14:$D$36)*$E437)</f>
        <v>2.96398928571428</v>
      </c>
      <c r="J437" s="95" cm="1">
        <f ca="1" t="array" ref="J437">MIN(8,_xlfn.XLOOKUP($D437&amp;"_"&amp;J$52,$B$14:$B$36&amp;"_"&amp;$C$14:$C$36,$D$14:$D$36)*$E437)</f>
        <v>3.1125</v>
      </c>
      <c r="K437" s="95" cm="1">
        <f ca="1" t="array" ref="K437">MIN(18,_xlfn.XLOOKUP($D437&amp;"_"&amp;K$52,$B$14:$B$36&amp;"_"&amp;$C$14:$C$36,$D$14:$D$36)*$E437)</f>
        <v>1.162</v>
      </c>
      <c r="L437" s="95" cm="1">
        <f ca="1" t="array" ref="L437">MIN(6,_xlfn.XLOOKUP($D437&amp;"_"&amp;L$52,$B$14:$B$36&amp;"_"&amp;$C$14:$C$36,$D$14:$D$36)*$E437)</f>
        <v>2.17875</v>
      </c>
      <c r="M437" s="95" cm="1">
        <f ca="1" t="array" ref="M437">(1+SUMPRODUCT(G437:H437,OFFSET($H$40:$I$40,D437,0)))*(1+OFFSET($J$40,D437,0))^I437*(1+OFFSET($K$40,D437,0))^J437*(1+OFFSET($L$40,D437,0))^K437*(1+OFFSET($M$40,D437,0))^L437</f>
        <v>51.0870794799303</v>
      </c>
      <c r="N437" s="95">
        <f ca="1">MAX(MAX($N$53:N436),OFFSET($C$52,MATCH(M437*1.07,$M$53:$M$2052,1),0)-C437)</f>
        <v>4680</v>
      </c>
    </row>
    <row r="438" spans="2:14">
      <c r="B438" s="95">
        <v>386</v>
      </c>
      <c r="C438" s="95">
        <f t="shared" si="35"/>
        <v>138960</v>
      </c>
      <c r="D438" s="95">
        <f ca="1">_xlfn.XLOOKUP(总览!$B$44,$B$40:$B$45,$C$40:$C$45)</f>
        <v>5</v>
      </c>
      <c r="E438" s="95">
        <f ca="1" t="shared" ref="E438:E501" si="36">INT(C438/_xlfn.XLOOKUP(D438,$N$5:$N$16,$O$5:$O$16))+OFFSET($R$40,D438,0)</f>
        <v>416</v>
      </c>
      <c r="F438" s="95">
        <f ca="1" t="shared" si="33"/>
        <v>0</v>
      </c>
      <c r="G438" s="95">
        <f ca="1" t="shared" si="34"/>
        <v>2.56006857142858</v>
      </c>
      <c r="H438" s="95" cm="1">
        <f ca="1" t="array" ref="H438">MIN(30-SUM(I438:L438),_xlfn.XLOOKUP($D438&amp;"_"&amp;H$52,$B$14:$B$36&amp;"_"&amp;$C$14:$C$36,$D$14:$D$36)*$E438,18)</f>
        <v>18</v>
      </c>
      <c r="I438" s="95" cm="1">
        <f ca="1" t="array" ref="I438">MIN(30-SUM(J438:L438),6-L438,_xlfn.XLOOKUP($D438&amp;"_"&amp;I$52,$B$14:$B$36&amp;"_"&amp;$C$14:$C$36,$D$14:$D$36)*$E438)</f>
        <v>2.97113142857142</v>
      </c>
      <c r="J438" s="95" cm="1">
        <f ca="1" t="array" ref="J438">MIN(8,_xlfn.XLOOKUP($D438&amp;"_"&amp;J$52,$B$14:$B$36&amp;"_"&amp;$C$14:$C$36,$D$14:$D$36)*$E438)</f>
        <v>3.12</v>
      </c>
      <c r="K438" s="95" cm="1">
        <f ca="1" t="array" ref="K438">MIN(18,_xlfn.XLOOKUP($D438&amp;"_"&amp;K$52,$B$14:$B$36&amp;"_"&amp;$C$14:$C$36,$D$14:$D$36)*$E438)</f>
        <v>1.1648</v>
      </c>
      <c r="L438" s="95" cm="1">
        <f ca="1" t="array" ref="L438">MIN(6,_xlfn.XLOOKUP($D438&amp;"_"&amp;L$52,$B$14:$B$36&amp;"_"&amp;$C$14:$C$36,$D$14:$D$36)*$E438)</f>
        <v>2.184</v>
      </c>
      <c r="M438" s="95" cm="1">
        <f ca="1" t="array" ref="M438">(1+SUMPRODUCT(G438:H438,OFFSET($H$40:$I$40,D438,0)))*(1+OFFSET($J$40,D438,0))^I438*(1+OFFSET($K$40,D438,0))^J438*(1+OFFSET($L$40,D438,0))^K438*(1+OFFSET($M$40,D438,0))^L438</f>
        <v>51.347738262129</v>
      </c>
      <c r="N438" s="95">
        <f ca="1">MAX(MAX($N$53:N437),OFFSET($C$52,MATCH(M438*1.07,$M$53:$M$2052,1),0)-C438)</f>
        <v>4680</v>
      </c>
    </row>
    <row r="439" spans="2:14">
      <c r="B439" s="95">
        <v>387</v>
      </c>
      <c r="C439" s="95">
        <f t="shared" si="35"/>
        <v>139320</v>
      </c>
      <c r="D439" s="95">
        <f ca="1">_xlfn.XLOOKUP(总览!$B$44,$B$40:$B$45,$C$40:$C$45)</f>
        <v>5</v>
      </c>
      <c r="E439" s="95">
        <f ca="1" t="shared" si="36"/>
        <v>417</v>
      </c>
      <c r="F439" s="95">
        <f ca="1" t="shared" ref="F439:F502" si="37">30-SUM(G439:L439)</f>
        <v>0</v>
      </c>
      <c r="G439" s="95">
        <f ca="1" t="shared" ref="G439:G502" si="38">30-SUM(H439:L439)</f>
        <v>2.53737642857143</v>
      </c>
      <c r="H439" s="95" cm="1">
        <f ca="1" t="array" ref="H439">MIN(30-SUM(I439:L439),_xlfn.XLOOKUP($D439&amp;"_"&amp;H$52,$B$14:$B$36&amp;"_"&amp;$C$14:$C$36,$D$14:$D$36)*$E439,18)</f>
        <v>18</v>
      </c>
      <c r="I439" s="95" cm="1">
        <f ca="1" t="array" ref="I439">MIN(30-SUM(J439:L439),6-L439,_xlfn.XLOOKUP($D439&amp;"_"&amp;I$52,$B$14:$B$36&amp;"_"&amp;$C$14:$C$36,$D$14:$D$36)*$E439)</f>
        <v>2.97827357142857</v>
      </c>
      <c r="J439" s="95" cm="1">
        <f ca="1" t="array" ref="J439">MIN(8,_xlfn.XLOOKUP($D439&amp;"_"&amp;J$52,$B$14:$B$36&amp;"_"&amp;$C$14:$C$36,$D$14:$D$36)*$E439)</f>
        <v>3.1275</v>
      </c>
      <c r="K439" s="95" cm="1">
        <f ca="1" t="array" ref="K439">MIN(18,_xlfn.XLOOKUP($D439&amp;"_"&amp;K$52,$B$14:$B$36&amp;"_"&amp;$C$14:$C$36,$D$14:$D$36)*$E439)</f>
        <v>1.1676</v>
      </c>
      <c r="L439" s="95" cm="1">
        <f ca="1" t="array" ref="L439">MIN(6,_xlfn.XLOOKUP($D439&amp;"_"&amp;L$52,$B$14:$B$36&amp;"_"&amp;$C$14:$C$36,$D$14:$D$36)*$E439)</f>
        <v>2.18925</v>
      </c>
      <c r="M439" s="95" cm="1">
        <f ca="1" t="array" ref="M439">(1+SUMPRODUCT(G439:H439,OFFSET($H$40:$I$40,D439,0)))*(1+OFFSET($J$40,D439,0))^I439*(1+OFFSET($K$40,D439,0))^J439*(1+OFFSET($L$40,D439,0))^K439*(1+OFFSET($M$40,D439,0))^L439</f>
        <v>51.6097110973162</v>
      </c>
      <c r="N439" s="95">
        <f ca="1">MAX(MAX($N$53:N438),OFFSET($C$52,MATCH(M439*1.07,$M$53:$M$2052,1),0)-C439)</f>
        <v>4680</v>
      </c>
    </row>
    <row r="440" spans="2:14">
      <c r="B440" s="95">
        <v>388</v>
      </c>
      <c r="C440" s="95">
        <f t="shared" si="35"/>
        <v>139680</v>
      </c>
      <c r="D440" s="95">
        <f ca="1">_xlfn.XLOOKUP(总览!$B$44,$B$40:$B$45,$C$40:$C$45)</f>
        <v>5</v>
      </c>
      <c r="E440" s="95">
        <f ca="1" t="shared" si="36"/>
        <v>418</v>
      </c>
      <c r="F440" s="95">
        <f ca="1" t="shared" si="37"/>
        <v>0</v>
      </c>
      <c r="G440" s="95">
        <f ca="1" t="shared" si="38"/>
        <v>2.51468428571429</v>
      </c>
      <c r="H440" s="95" cm="1">
        <f ca="1" t="array" ref="H440">MIN(30-SUM(I440:L440),_xlfn.XLOOKUP($D440&amp;"_"&amp;H$52,$B$14:$B$36&amp;"_"&amp;$C$14:$C$36,$D$14:$D$36)*$E440,18)</f>
        <v>18</v>
      </c>
      <c r="I440" s="95" cm="1">
        <f ca="1" t="array" ref="I440">MIN(30-SUM(J440:L440),6-L440,_xlfn.XLOOKUP($D440&amp;"_"&amp;I$52,$B$14:$B$36&amp;"_"&amp;$C$14:$C$36,$D$14:$D$36)*$E440)</f>
        <v>2.98541571428571</v>
      </c>
      <c r="J440" s="95" cm="1">
        <f ca="1" t="array" ref="J440">MIN(8,_xlfn.XLOOKUP($D440&amp;"_"&amp;J$52,$B$14:$B$36&amp;"_"&amp;$C$14:$C$36,$D$14:$D$36)*$E440)</f>
        <v>3.135</v>
      </c>
      <c r="K440" s="95" cm="1">
        <f ca="1" t="array" ref="K440">MIN(18,_xlfn.XLOOKUP($D440&amp;"_"&amp;K$52,$B$14:$B$36&amp;"_"&amp;$C$14:$C$36,$D$14:$D$36)*$E440)</f>
        <v>1.1704</v>
      </c>
      <c r="L440" s="95" cm="1">
        <f ca="1" t="array" ref="L440">MIN(6,_xlfn.XLOOKUP($D440&amp;"_"&amp;L$52,$B$14:$B$36&amp;"_"&amp;$C$14:$C$36,$D$14:$D$36)*$E440)</f>
        <v>2.1945</v>
      </c>
      <c r="M440" s="95" cm="1">
        <f ca="1" t="array" ref="M440">(1+SUMPRODUCT(G440:H440,OFFSET($H$40:$I$40,D440,0)))*(1+OFFSET($J$40,D440,0))^I440*(1+OFFSET($K$40,D440,0))^J440*(1+OFFSET($L$40,D440,0))^K440*(1+OFFSET($M$40,D440,0))^L440</f>
        <v>51.873004510216</v>
      </c>
      <c r="N440" s="95">
        <f ca="1">MAX(MAX($N$53:N439),OFFSET($C$52,MATCH(M440*1.07,$M$53:$M$2052,1),0)-C440)</f>
        <v>4680</v>
      </c>
    </row>
    <row r="441" spans="2:14">
      <c r="B441" s="95">
        <v>389</v>
      </c>
      <c r="C441" s="95">
        <f t="shared" si="35"/>
        <v>140040</v>
      </c>
      <c r="D441" s="95">
        <f ca="1">_xlfn.XLOOKUP(总览!$B$44,$B$40:$B$45,$C$40:$C$45)</f>
        <v>5</v>
      </c>
      <c r="E441" s="95">
        <f ca="1" t="shared" si="36"/>
        <v>419</v>
      </c>
      <c r="F441" s="95">
        <f ca="1" t="shared" si="37"/>
        <v>0</v>
      </c>
      <c r="G441" s="95">
        <f ca="1" t="shared" si="38"/>
        <v>2.49199214285714</v>
      </c>
      <c r="H441" s="95" cm="1">
        <f ca="1" t="array" ref="H441">MIN(30-SUM(I441:L441),_xlfn.XLOOKUP($D441&amp;"_"&amp;H$52,$B$14:$B$36&amp;"_"&amp;$C$14:$C$36,$D$14:$D$36)*$E441,18)</f>
        <v>18</v>
      </c>
      <c r="I441" s="95" cm="1">
        <f ca="1" t="array" ref="I441">MIN(30-SUM(J441:L441),6-L441,_xlfn.XLOOKUP($D441&amp;"_"&amp;I$52,$B$14:$B$36&amp;"_"&amp;$C$14:$C$36,$D$14:$D$36)*$E441)</f>
        <v>2.99255785714285</v>
      </c>
      <c r="J441" s="95" cm="1">
        <f ca="1" t="array" ref="J441">MIN(8,_xlfn.XLOOKUP($D441&amp;"_"&amp;J$52,$B$14:$B$36&amp;"_"&amp;$C$14:$C$36,$D$14:$D$36)*$E441)</f>
        <v>3.1425</v>
      </c>
      <c r="K441" s="95" cm="1">
        <f ca="1" t="array" ref="K441">MIN(18,_xlfn.XLOOKUP($D441&amp;"_"&amp;K$52,$B$14:$B$36&amp;"_"&amp;$C$14:$C$36,$D$14:$D$36)*$E441)</f>
        <v>1.1732</v>
      </c>
      <c r="L441" s="95" cm="1">
        <f ca="1" t="array" ref="L441">MIN(6,_xlfn.XLOOKUP($D441&amp;"_"&amp;L$52,$B$14:$B$36&amp;"_"&amp;$C$14:$C$36,$D$14:$D$36)*$E441)</f>
        <v>2.19975</v>
      </c>
      <c r="M441" s="95" cm="1">
        <f ca="1" t="array" ref="M441">(1+SUMPRODUCT(G441:H441,OFFSET($H$40:$I$40,D441,0)))*(1+OFFSET($J$40,D441,0))^I441*(1+OFFSET($K$40,D441,0))^J441*(1+OFFSET($L$40,D441,0))^K441*(1+OFFSET($M$40,D441,0))^L441</f>
        <v>52.1376250573157</v>
      </c>
      <c r="N441" s="95">
        <f ca="1">MAX(MAX($N$53:N440),OFFSET($C$52,MATCH(M441*1.07,$M$53:$M$2052,1),0)-C441)</f>
        <v>4680</v>
      </c>
    </row>
    <row r="442" spans="2:14">
      <c r="B442" s="95">
        <v>390</v>
      </c>
      <c r="C442" s="95">
        <f t="shared" si="35"/>
        <v>140400</v>
      </c>
      <c r="D442" s="95">
        <f ca="1">_xlfn.XLOOKUP(总览!$B$44,$B$40:$B$45,$C$40:$C$45)</f>
        <v>5</v>
      </c>
      <c r="E442" s="95">
        <f ca="1" t="shared" si="36"/>
        <v>420</v>
      </c>
      <c r="F442" s="95">
        <f ca="1" t="shared" si="37"/>
        <v>0</v>
      </c>
      <c r="G442" s="95">
        <f ca="1" t="shared" si="38"/>
        <v>2.46930000000001</v>
      </c>
      <c r="H442" s="95" cm="1">
        <f ca="1" t="array" ref="H442">MIN(30-SUM(I442:L442),_xlfn.XLOOKUP($D442&amp;"_"&amp;H$52,$B$14:$B$36&amp;"_"&amp;$C$14:$C$36,$D$14:$D$36)*$E442,18)</f>
        <v>18</v>
      </c>
      <c r="I442" s="95" cm="1">
        <f ca="1" t="array" ref="I442">MIN(30-SUM(J442:L442),6-L442,_xlfn.XLOOKUP($D442&amp;"_"&amp;I$52,$B$14:$B$36&amp;"_"&amp;$C$14:$C$36,$D$14:$D$36)*$E442)</f>
        <v>2.99969999999999</v>
      </c>
      <c r="J442" s="95" cm="1">
        <f ca="1" t="array" ref="J442">MIN(8,_xlfn.XLOOKUP($D442&amp;"_"&amp;J$52,$B$14:$B$36&amp;"_"&amp;$C$14:$C$36,$D$14:$D$36)*$E442)</f>
        <v>3.15</v>
      </c>
      <c r="K442" s="95" cm="1">
        <f ca="1" t="array" ref="K442">MIN(18,_xlfn.XLOOKUP($D442&amp;"_"&amp;K$52,$B$14:$B$36&amp;"_"&amp;$C$14:$C$36,$D$14:$D$36)*$E442)</f>
        <v>1.176</v>
      </c>
      <c r="L442" s="95" cm="1">
        <f ca="1" t="array" ref="L442">MIN(6,_xlfn.XLOOKUP($D442&amp;"_"&amp;L$52,$B$14:$B$36&amp;"_"&amp;$C$14:$C$36,$D$14:$D$36)*$E442)</f>
        <v>2.205</v>
      </c>
      <c r="M442" s="95" cm="1">
        <f ca="1" t="array" ref="M442">(1+SUMPRODUCT(G442:H442,OFFSET($H$40:$I$40,D442,0)))*(1+OFFSET($J$40,D442,0))^I442*(1+OFFSET($K$40,D442,0))^J442*(1+OFFSET($L$40,D442,0))^K442*(1+OFFSET($M$40,D442,0))^L442</f>
        <v>52.4035793270166</v>
      </c>
      <c r="N442" s="95">
        <f ca="1">MAX(MAX($N$53:N441),OFFSET($C$52,MATCH(M442*1.07,$M$53:$M$2052,1),0)-C442)</f>
        <v>4680</v>
      </c>
    </row>
    <row r="443" spans="2:14">
      <c r="B443" s="95">
        <v>391</v>
      </c>
      <c r="C443" s="95">
        <f t="shared" si="35"/>
        <v>140760</v>
      </c>
      <c r="D443" s="95">
        <f ca="1">_xlfn.XLOOKUP(总览!$B$44,$B$40:$B$45,$C$40:$C$45)</f>
        <v>5</v>
      </c>
      <c r="E443" s="95">
        <f ca="1" t="shared" si="36"/>
        <v>421</v>
      </c>
      <c r="F443" s="95">
        <f ca="1" t="shared" si="37"/>
        <v>0</v>
      </c>
      <c r="G443" s="95">
        <f ca="1" t="shared" si="38"/>
        <v>2.44660785714287</v>
      </c>
      <c r="H443" s="95" cm="1">
        <f ca="1" t="array" ref="H443">MIN(30-SUM(I443:L443),_xlfn.XLOOKUP($D443&amp;"_"&amp;H$52,$B$14:$B$36&amp;"_"&amp;$C$14:$C$36,$D$14:$D$36)*$E443,18)</f>
        <v>18</v>
      </c>
      <c r="I443" s="95" cm="1">
        <f ca="1" t="array" ref="I443">MIN(30-SUM(J443:L443),6-L443,_xlfn.XLOOKUP($D443&amp;"_"&amp;I$52,$B$14:$B$36&amp;"_"&amp;$C$14:$C$36,$D$14:$D$36)*$E443)</f>
        <v>3.00684214285714</v>
      </c>
      <c r="J443" s="95" cm="1">
        <f ca="1" t="array" ref="J443">MIN(8,_xlfn.XLOOKUP($D443&amp;"_"&amp;J$52,$B$14:$B$36&amp;"_"&amp;$C$14:$C$36,$D$14:$D$36)*$E443)</f>
        <v>3.1575</v>
      </c>
      <c r="K443" s="95" cm="1">
        <f ca="1" t="array" ref="K443">MIN(18,_xlfn.XLOOKUP($D443&amp;"_"&amp;K$52,$B$14:$B$36&amp;"_"&amp;$C$14:$C$36,$D$14:$D$36)*$E443)</f>
        <v>1.1788</v>
      </c>
      <c r="L443" s="95" cm="1">
        <f ca="1" t="array" ref="L443">MIN(6,_xlfn.XLOOKUP($D443&amp;"_"&amp;L$52,$B$14:$B$36&amp;"_"&amp;$C$14:$C$36,$D$14:$D$36)*$E443)</f>
        <v>2.21025</v>
      </c>
      <c r="M443" s="95" cm="1">
        <f ca="1" t="array" ref="M443">(1+SUMPRODUCT(G443:H443,OFFSET($H$40:$I$40,D443,0)))*(1+OFFSET($J$40,D443,0))^I443*(1+OFFSET($K$40,D443,0))^J443*(1+OFFSET($L$40,D443,0))^K443*(1+OFFSET($M$40,D443,0))^L443</f>
        <v>52.6708739397854</v>
      </c>
      <c r="N443" s="95">
        <f ca="1">MAX(MAX($N$53:N442),OFFSET($C$52,MATCH(M443*1.07,$M$53:$M$2052,1),0)-C443)</f>
        <v>4680</v>
      </c>
    </row>
    <row r="444" spans="2:14">
      <c r="B444" s="95">
        <v>392</v>
      </c>
      <c r="C444" s="95">
        <f t="shared" si="35"/>
        <v>141120</v>
      </c>
      <c r="D444" s="95">
        <f ca="1">_xlfn.XLOOKUP(总览!$B$44,$B$40:$B$45,$C$40:$C$45)</f>
        <v>5</v>
      </c>
      <c r="E444" s="95">
        <f ca="1" t="shared" si="36"/>
        <v>422</v>
      </c>
      <c r="F444" s="95">
        <f ca="1" t="shared" si="37"/>
        <v>0</v>
      </c>
      <c r="G444" s="95">
        <f ca="1" t="shared" si="38"/>
        <v>2.42391571428572</v>
      </c>
      <c r="H444" s="95" cm="1">
        <f ca="1" t="array" ref="H444">MIN(30-SUM(I444:L444),_xlfn.XLOOKUP($D444&amp;"_"&amp;H$52,$B$14:$B$36&amp;"_"&amp;$C$14:$C$36,$D$14:$D$36)*$E444,18)</f>
        <v>18</v>
      </c>
      <c r="I444" s="95" cm="1">
        <f ca="1" t="array" ref="I444">MIN(30-SUM(J444:L444),6-L444,_xlfn.XLOOKUP($D444&amp;"_"&amp;I$52,$B$14:$B$36&amp;"_"&amp;$C$14:$C$36,$D$14:$D$36)*$E444)</f>
        <v>3.01398428571428</v>
      </c>
      <c r="J444" s="95" cm="1">
        <f ca="1" t="array" ref="J444">MIN(8,_xlfn.XLOOKUP($D444&amp;"_"&amp;J$52,$B$14:$B$36&amp;"_"&amp;$C$14:$C$36,$D$14:$D$36)*$E444)</f>
        <v>3.165</v>
      </c>
      <c r="K444" s="95" cm="1">
        <f ca="1" t="array" ref="K444">MIN(18,_xlfn.XLOOKUP($D444&amp;"_"&amp;K$52,$B$14:$B$36&amp;"_"&amp;$C$14:$C$36,$D$14:$D$36)*$E444)</f>
        <v>1.1816</v>
      </c>
      <c r="L444" s="95" cm="1">
        <f ca="1" t="array" ref="L444">MIN(6,_xlfn.XLOOKUP($D444&amp;"_"&amp;L$52,$B$14:$B$36&amp;"_"&amp;$C$14:$C$36,$D$14:$D$36)*$E444)</f>
        <v>2.2155</v>
      </c>
      <c r="M444" s="95" cm="1">
        <f ca="1" t="array" ref="M444">(1+SUMPRODUCT(G444:H444,OFFSET($H$40:$I$40,D444,0)))*(1+OFFSET($J$40,D444,0))^I444*(1+OFFSET($K$40,D444,0))^J444*(1+OFFSET($L$40,D444,0))^K444*(1+OFFSET($M$40,D444,0))^L444</f>
        <v>52.9395155483056</v>
      </c>
      <c r="N444" s="95">
        <f ca="1">MAX(MAX($N$53:N443),OFFSET($C$52,MATCH(M444*1.07,$M$53:$M$2052,1),0)-C444)</f>
        <v>4680</v>
      </c>
    </row>
    <row r="445" spans="2:14">
      <c r="B445" s="95">
        <v>393</v>
      </c>
      <c r="C445" s="95">
        <f t="shared" si="35"/>
        <v>141480</v>
      </c>
      <c r="D445" s="95">
        <f ca="1">_xlfn.XLOOKUP(总览!$B$44,$B$40:$B$45,$C$40:$C$45)</f>
        <v>5</v>
      </c>
      <c r="E445" s="95">
        <f ca="1" t="shared" si="36"/>
        <v>423</v>
      </c>
      <c r="F445" s="95">
        <f ca="1" t="shared" si="37"/>
        <v>0</v>
      </c>
      <c r="G445" s="95">
        <f ca="1" t="shared" si="38"/>
        <v>2.40122357142858</v>
      </c>
      <c r="H445" s="95" cm="1">
        <f ca="1" t="array" ref="H445">MIN(30-SUM(I445:L445),_xlfn.XLOOKUP($D445&amp;"_"&amp;H$52,$B$14:$B$36&amp;"_"&amp;$C$14:$C$36,$D$14:$D$36)*$E445,18)</f>
        <v>18</v>
      </c>
      <c r="I445" s="95" cm="1">
        <f ca="1" t="array" ref="I445">MIN(30-SUM(J445:L445),6-L445,_xlfn.XLOOKUP($D445&amp;"_"&amp;I$52,$B$14:$B$36&amp;"_"&amp;$C$14:$C$36,$D$14:$D$36)*$E445)</f>
        <v>3.02112642857142</v>
      </c>
      <c r="J445" s="95" cm="1">
        <f ca="1" t="array" ref="J445">MIN(8,_xlfn.XLOOKUP($D445&amp;"_"&amp;J$52,$B$14:$B$36&amp;"_"&amp;$C$14:$C$36,$D$14:$D$36)*$E445)</f>
        <v>3.1725</v>
      </c>
      <c r="K445" s="95" cm="1">
        <f ca="1" t="array" ref="K445">MIN(18,_xlfn.XLOOKUP($D445&amp;"_"&amp;K$52,$B$14:$B$36&amp;"_"&amp;$C$14:$C$36,$D$14:$D$36)*$E445)</f>
        <v>1.1844</v>
      </c>
      <c r="L445" s="95" cm="1">
        <f ca="1" t="array" ref="L445">MIN(6,_xlfn.XLOOKUP($D445&amp;"_"&amp;L$52,$B$14:$B$36&amp;"_"&amp;$C$14:$C$36,$D$14:$D$36)*$E445)</f>
        <v>2.22075</v>
      </c>
      <c r="M445" s="95" cm="1">
        <f ca="1" t="array" ref="M445">(1+SUMPRODUCT(G445:H445,OFFSET($H$40:$I$40,D445,0)))*(1+OFFSET($J$40,D445,0))^I445*(1+OFFSET($K$40,D445,0))^J445*(1+OFFSET($L$40,D445,0))^K445*(1+OFFSET($M$40,D445,0))^L445</f>
        <v>53.2095108376307</v>
      </c>
      <c r="N445" s="95">
        <f ca="1">MAX(MAX($N$53:N444),OFFSET($C$52,MATCH(M445*1.07,$M$53:$M$2052,1),0)-C445)</f>
        <v>4680</v>
      </c>
    </row>
    <row r="446" spans="2:14">
      <c r="B446" s="95">
        <v>394</v>
      </c>
      <c r="C446" s="95">
        <f t="shared" si="35"/>
        <v>141840</v>
      </c>
      <c r="D446" s="95">
        <f ca="1">_xlfn.XLOOKUP(总览!$B$44,$B$40:$B$45,$C$40:$C$45)</f>
        <v>5</v>
      </c>
      <c r="E446" s="95">
        <f ca="1" t="shared" si="36"/>
        <v>424</v>
      </c>
      <c r="F446" s="95">
        <f ca="1" t="shared" si="37"/>
        <v>0</v>
      </c>
      <c r="G446" s="95">
        <f ca="1" t="shared" si="38"/>
        <v>2.37853142857143</v>
      </c>
      <c r="H446" s="95" cm="1">
        <f ca="1" t="array" ref="H446">MIN(30-SUM(I446:L446),_xlfn.XLOOKUP($D446&amp;"_"&amp;H$52,$B$14:$B$36&amp;"_"&amp;$C$14:$C$36,$D$14:$D$36)*$E446,18)</f>
        <v>18</v>
      </c>
      <c r="I446" s="95" cm="1">
        <f ca="1" t="array" ref="I446">MIN(30-SUM(J446:L446),6-L446,_xlfn.XLOOKUP($D446&amp;"_"&amp;I$52,$B$14:$B$36&amp;"_"&amp;$C$14:$C$36,$D$14:$D$36)*$E446)</f>
        <v>3.02826857142857</v>
      </c>
      <c r="J446" s="95" cm="1">
        <f ca="1" t="array" ref="J446">MIN(8,_xlfn.XLOOKUP($D446&amp;"_"&amp;J$52,$B$14:$B$36&amp;"_"&amp;$C$14:$C$36,$D$14:$D$36)*$E446)</f>
        <v>3.18</v>
      </c>
      <c r="K446" s="95" cm="1">
        <f ca="1" t="array" ref="K446">MIN(18,_xlfn.XLOOKUP($D446&amp;"_"&amp;K$52,$B$14:$B$36&amp;"_"&amp;$C$14:$C$36,$D$14:$D$36)*$E446)</f>
        <v>1.1872</v>
      </c>
      <c r="L446" s="95" cm="1">
        <f ca="1" t="array" ref="L446">MIN(6,_xlfn.XLOOKUP($D446&amp;"_"&amp;L$52,$B$14:$B$36&amp;"_"&amp;$C$14:$C$36,$D$14:$D$36)*$E446)</f>
        <v>2.226</v>
      </c>
      <c r="M446" s="95" cm="1">
        <f ca="1" t="array" ref="M446">(1+SUMPRODUCT(G446:H446,OFFSET($H$40:$I$40,D446,0)))*(1+OFFSET($J$40,D446,0))^I446*(1+OFFSET($K$40,D446,0))^J446*(1+OFFSET($L$40,D446,0))^K446*(1+OFFSET($M$40,D446,0))^L446</f>
        <v>53.480866525337</v>
      </c>
      <c r="N446" s="95">
        <f ca="1">MAX(MAX($N$53:N445),OFFSET($C$52,MATCH(M446*1.07,$M$53:$M$2052,1),0)-C446)</f>
        <v>4680</v>
      </c>
    </row>
    <row r="447" spans="2:14">
      <c r="B447" s="95">
        <v>395</v>
      </c>
      <c r="C447" s="95">
        <f t="shared" si="35"/>
        <v>142200</v>
      </c>
      <c r="D447" s="95">
        <f ca="1">_xlfn.XLOOKUP(总览!$B$44,$B$40:$B$45,$C$40:$C$45)</f>
        <v>5</v>
      </c>
      <c r="E447" s="95">
        <f ca="1" t="shared" si="36"/>
        <v>425</v>
      </c>
      <c r="F447" s="95">
        <f ca="1" t="shared" si="37"/>
        <v>0</v>
      </c>
      <c r="G447" s="95">
        <f ca="1" t="shared" si="38"/>
        <v>2.35583928571429</v>
      </c>
      <c r="H447" s="95" cm="1">
        <f ca="1" t="array" ref="H447">MIN(30-SUM(I447:L447),_xlfn.XLOOKUP($D447&amp;"_"&amp;H$52,$B$14:$B$36&amp;"_"&amp;$C$14:$C$36,$D$14:$D$36)*$E447,18)</f>
        <v>18</v>
      </c>
      <c r="I447" s="95" cm="1">
        <f ca="1" t="array" ref="I447">MIN(30-SUM(J447:L447),6-L447,_xlfn.XLOOKUP($D447&amp;"_"&amp;I$52,$B$14:$B$36&amp;"_"&amp;$C$14:$C$36,$D$14:$D$36)*$E447)</f>
        <v>3.03541071428571</v>
      </c>
      <c r="J447" s="95" cm="1">
        <f ca="1" t="array" ref="J447">MIN(8,_xlfn.XLOOKUP($D447&amp;"_"&amp;J$52,$B$14:$B$36&amp;"_"&amp;$C$14:$C$36,$D$14:$D$36)*$E447)</f>
        <v>3.1875</v>
      </c>
      <c r="K447" s="95" cm="1">
        <f ca="1" t="array" ref="K447">MIN(18,_xlfn.XLOOKUP($D447&amp;"_"&amp;K$52,$B$14:$B$36&amp;"_"&amp;$C$14:$C$36,$D$14:$D$36)*$E447)</f>
        <v>1.19</v>
      </c>
      <c r="L447" s="95" cm="1">
        <f ca="1" t="array" ref="L447">MIN(6,_xlfn.XLOOKUP($D447&amp;"_"&amp;L$52,$B$14:$B$36&amp;"_"&amp;$C$14:$C$36,$D$14:$D$36)*$E447)</f>
        <v>2.23125</v>
      </c>
      <c r="M447" s="95" cm="1">
        <f ca="1" t="array" ref="M447">(1+SUMPRODUCT(G447:H447,OFFSET($H$40:$I$40,D447,0)))*(1+OFFSET($J$40,D447,0))^I447*(1+OFFSET($K$40,D447,0))^J447*(1+OFFSET($L$40,D447,0))^K447*(1+OFFSET($M$40,D447,0))^L447</f>
        <v>53.753589361678</v>
      </c>
      <c r="N447" s="95">
        <f ca="1">MAX(MAX($N$53:N446),OFFSET($C$52,MATCH(M447*1.07,$M$53:$M$2052,1),0)-C447)</f>
        <v>4680</v>
      </c>
    </row>
    <row r="448" spans="2:14">
      <c r="B448" s="95">
        <v>396</v>
      </c>
      <c r="C448" s="95">
        <f t="shared" si="35"/>
        <v>142560</v>
      </c>
      <c r="D448" s="95">
        <f ca="1">_xlfn.XLOOKUP(总览!$B$44,$B$40:$B$45,$C$40:$C$45)</f>
        <v>5</v>
      </c>
      <c r="E448" s="95">
        <f ca="1" t="shared" si="36"/>
        <v>426</v>
      </c>
      <c r="F448" s="95">
        <f ca="1" t="shared" si="37"/>
        <v>0</v>
      </c>
      <c r="G448" s="95">
        <f ca="1" t="shared" si="38"/>
        <v>2.33314714285715</v>
      </c>
      <c r="H448" s="95" cm="1">
        <f ca="1" t="array" ref="H448">MIN(30-SUM(I448:L448),_xlfn.XLOOKUP($D448&amp;"_"&amp;H$52,$B$14:$B$36&amp;"_"&amp;$C$14:$C$36,$D$14:$D$36)*$E448,18)</f>
        <v>18</v>
      </c>
      <c r="I448" s="95" cm="1">
        <f ca="1" t="array" ref="I448">MIN(30-SUM(J448:L448),6-L448,_xlfn.XLOOKUP($D448&amp;"_"&amp;I$52,$B$14:$B$36&amp;"_"&amp;$C$14:$C$36,$D$14:$D$36)*$E448)</f>
        <v>3.04255285714285</v>
      </c>
      <c r="J448" s="95" cm="1">
        <f ca="1" t="array" ref="J448">MIN(8,_xlfn.XLOOKUP($D448&amp;"_"&amp;J$52,$B$14:$B$36&amp;"_"&amp;$C$14:$C$36,$D$14:$D$36)*$E448)</f>
        <v>3.195</v>
      </c>
      <c r="K448" s="95" cm="1">
        <f ca="1" t="array" ref="K448">MIN(18,_xlfn.XLOOKUP($D448&amp;"_"&amp;K$52,$B$14:$B$36&amp;"_"&amp;$C$14:$C$36,$D$14:$D$36)*$E448)</f>
        <v>1.1928</v>
      </c>
      <c r="L448" s="95" cm="1">
        <f ca="1" t="array" ref="L448">MIN(6,_xlfn.XLOOKUP($D448&amp;"_"&amp;L$52,$B$14:$B$36&amp;"_"&amp;$C$14:$C$36,$D$14:$D$36)*$E448)</f>
        <v>2.2365</v>
      </c>
      <c r="M448" s="95" cm="1">
        <f ca="1" t="array" ref="M448">(1+SUMPRODUCT(G448:H448,OFFSET($H$40:$I$40,D448,0)))*(1+OFFSET($J$40,D448,0))^I448*(1+OFFSET($K$40,D448,0))^J448*(1+OFFSET($L$40,D448,0))^K448*(1+OFFSET($M$40,D448,0))^L448</f>
        <v>54.0276861297387</v>
      </c>
      <c r="N448" s="95">
        <f ca="1">MAX(MAX($N$53:N447),OFFSET($C$52,MATCH(M448*1.07,$M$53:$M$2052,1),0)-C448)</f>
        <v>4680</v>
      </c>
    </row>
    <row r="449" spans="2:14">
      <c r="B449" s="95">
        <v>397</v>
      </c>
      <c r="C449" s="95">
        <f t="shared" ref="C449:C512" si="39">C448+360</f>
        <v>142920</v>
      </c>
      <c r="D449" s="95">
        <f ca="1">_xlfn.XLOOKUP(总览!$B$44,$B$40:$B$45,$C$40:$C$45)</f>
        <v>5</v>
      </c>
      <c r="E449" s="95">
        <f ca="1" t="shared" si="36"/>
        <v>427</v>
      </c>
      <c r="F449" s="95">
        <f ca="1" t="shared" si="37"/>
        <v>0</v>
      </c>
      <c r="G449" s="95">
        <f ca="1" t="shared" si="38"/>
        <v>2.31045500000001</v>
      </c>
      <c r="H449" s="95" cm="1">
        <f ca="1" t="array" ref="H449">MIN(30-SUM(I449:L449),_xlfn.XLOOKUP($D449&amp;"_"&amp;H$52,$B$14:$B$36&amp;"_"&amp;$C$14:$C$36,$D$14:$D$36)*$E449,18)</f>
        <v>18</v>
      </c>
      <c r="I449" s="95" cm="1">
        <f ca="1" t="array" ref="I449">MIN(30-SUM(J449:L449),6-L449,_xlfn.XLOOKUP($D449&amp;"_"&amp;I$52,$B$14:$B$36&amp;"_"&amp;$C$14:$C$36,$D$14:$D$36)*$E449)</f>
        <v>3.04969499999999</v>
      </c>
      <c r="J449" s="95" cm="1">
        <f ca="1" t="array" ref="J449">MIN(8,_xlfn.XLOOKUP($D449&amp;"_"&amp;J$52,$B$14:$B$36&amp;"_"&amp;$C$14:$C$36,$D$14:$D$36)*$E449)</f>
        <v>3.2025</v>
      </c>
      <c r="K449" s="95" cm="1">
        <f ca="1" t="array" ref="K449">MIN(18,_xlfn.XLOOKUP($D449&amp;"_"&amp;K$52,$B$14:$B$36&amp;"_"&amp;$C$14:$C$36,$D$14:$D$36)*$E449)</f>
        <v>1.1956</v>
      </c>
      <c r="L449" s="95" cm="1">
        <f ca="1" t="array" ref="L449">MIN(6,_xlfn.XLOOKUP($D449&amp;"_"&amp;L$52,$B$14:$B$36&amp;"_"&amp;$C$14:$C$36,$D$14:$D$36)*$E449)</f>
        <v>2.24175</v>
      </c>
      <c r="M449" s="95" cm="1">
        <f ca="1" t="array" ref="M449">(1+SUMPRODUCT(G449:H449,OFFSET($H$40:$I$40,D449,0)))*(1+OFFSET($J$40,D449,0))^I449*(1+OFFSET($K$40,D449,0))^J449*(1+OFFSET($L$40,D449,0))^K449*(1+OFFSET($M$40,D449,0))^L449</f>
        <v>54.3031636455914</v>
      </c>
      <c r="N449" s="95">
        <f ca="1">MAX(MAX($N$53:N448),OFFSET($C$52,MATCH(M449*1.07,$M$53:$M$2052,1),0)-C449)</f>
        <v>4680</v>
      </c>
    </row>
    <row r="450" spans="2:14">
      <c r="B450" s="95">
        <v>398</v>
      </c>
      <c r="C450" s="95">
        <f t="shared" si="39"/>
        <v>143280</v>
      </c>
      <c r="D450" s="95">
        <f ca="1">_xlfn.XLOOKUP(总览!$B$44,$B$40:$B$45,$C$40:$C$45)</f>
        <v>5</v>
      </c>
      <c r="E450" s="95">
        <f ca="1" t="shared" si="36"/>
        <v>428</v>
      </c>
      <c r="F450" s="95">
        <f ca="1" t="shared" si="37"/>
        <v>0</v>
      </c>
      <c r="G450" s="95">
        <f ca="1" t="shared" si="38"/>
        <v>2.28776285714286</v>
      </c>
      <c r="H450" s="95" cm="1">
        <f ca="1" t="array" ref="H450">MIN(30-SUM(I450:L450),_xlfn.XLOOKUP($D450&amp;"_"&amp;H$52,$B$14:$B$36&amp;"_"&amp;$C$14:$C$36,$D$14:$D$36)*$E450,18)</f>
        <v>18</v>
      </c>
      <c r="I450" s="95" cm="1">
        <f ca="1" t="array" ref="I450">MIN(30-SUM(J450:L450),6-L450,_xlfn.XLOOKUP($D450&amp;"_"&amp;I$52,$B$14:$B$36&amp;"_"&amp;$C$14:$C$36,$D$14:$D$36)*$E450)</f>
        <v>3.05683714285714</v>
      </c>
      <c r="J450" s="95" cm="1">
        <f ca="1" t="array" ref="J450">MIN(8,_xlfn.XLOOKUP($D450&amp;"_"&amp;J$52,$B$14:$B$36&amp;"_"&amp;$C$14:$C$36,$D$14:$D$36)*$E450)</f>
        <v>3.21</v>
      </c>
      <c r="K450" s="95" cm="1">
        <f ca="1" t="array" ref="K450">MIN(18,_xlfn.XLOOKUP($D450&amp;"_"&amp;K$52,$B$14:$B$36&amp;"_"&amp;$C$14:$C$36,$D$14:$D$36)*$E450)</f>
        <v>1.1984</v>
      </c>
      <c r="L450" s="95" cm="1">
        <f ca="1" t="array" ref="L450">MIN(6,_xlfn.XLOOKUP($D450&amp;"_"&amp;L$52,$B$14:$B$36&amp;"_"&amp;$C$14:$C$36,$D$14:$D$36)*$E450)</f>
        <v>2.247</v>
      </c>
      <c r="M450" s="95" cm="1">
        <f ca="1" t="array" ref="M450">(1+SUMPRODUCT(G450:H450,OFFSET($H$40:$I$40,D450,0)))*(1+OFFSET($J$40,D450,0))^I450*(1+OFFSET($K$40,D450,0))^J450*(1+OFFSET($L$40,D450,0))^K450*(1+OFFSET($M$40,D450,0))^L450</f>
        <v>54.5800287584515</v>
      </c>
      <c r="N450" s="95">
        <f ca="1">MAX(MAX($N$53:N449),OFFSET($C$52,MATCH(M450*1.07,$M$53:$M$2052,1),0)-C450)</f>
        <v>4680</v>
      </c>
    </row>
    <row r="451" spans="2:14">
      <c r="B451" s="95">
        <v>399</v>
      </c>
      <c r="C451" s="95">
        <f t="shared" si="39"/>
        <v>143640</v>
      </c>
      <c r="D451" s="95">
        <f ca="1">_xlfn.XLOOKUP(总览!$B$44,$B$40:$B$45,$C$40:$C$45)</f>
        <v>5</v>
      </c>
      <c r="E451" s="95">
        <f ca="1" t="shared" si="36"/>
        <v>429</v>
      </c>
      <c r="F451" s="95">
        <f ca="1" t="shared" si="37"/>
        <v>0</v>
      </c>
      <c r="G451" s="95">
        <f ca="1" t="shared" si="38"/>
        <v>2.26507071428572</v>
      </c>
      <c r="H451" s="95" cm="1">
        <f ca="1" t="array" ref="H451">MIN(30-SUM(I451:L451),_xlfn.XLOOKUP($D451&amp;"_"&amp;H$52,$B$14:$B$36&amp;"_"&amp;$C$14:$C$36,$D$14:$D$36)*$E451,18)</f>
        <v>18</v>
      </c>
      <c r="I451" s="95" cm="1">
        <f ca="1" t="array" ref="I451">MIN(30-SUM(J451:L451),6-L451,_xlfn.XLOOKUP($D451&amp;"_"&amp;I$52,$B$14:$B$36&amp;"_"&amp;$C$14:$C$36,$D$14:$D$36)*$E451)</f>
        <v>3.06397928571428</v>
      </c>
      <c r="J451" s="95" cm="1">
        <f ca="1" t="array" ref="J451">MIN(8,_xlfn.XLOOKUP($D451&amp;"_"&amp;J$52,$B$14:$B$36&amp;"_"&amp;$C$14:$C$36,$D$14:$D$36)*$E451)</f>
        <v>3.2175</v>
      </c>
      <c r="K451" s="95" cm="1">
        <f ca="1" t="array" ref="K451">MIN(18,_xlfn.XLOOKUP($D451&amp;"_"&amp;K$52,$B$14:$B$36&amp;"_"&amp;$C$14:$C$36,$D$14:$D$36)*$E451)</f>
        <v>1.2012</v>
      </c>
      <c r="L451" s="95" cm="1">
        <f ca="1" t="array" ref="L451">MIN(6,_xlfn.XLOOKUP($D451&amp;"_"&amp;L$52,$B$14:$B$36&amp;"_"&amp;$C$14:$C$36,$D$14:$D$36)*$E451)</f>
        <v>2.25225</v>
      </c>
      <c r="M451" s="95" cm="1">
        <f ca="1" t="array" ref="M451">(1+SUMPRODUCT(G451:H451,OFFSET($H$40:$I$40,D451,0)))*(1+OFFSET($J$40,D451,0))^I451*(1+OFFSET($K$40,D451,0))^J451*(1+OFFSET($L$40,D451,0))^K451*(1+OFFSET($M$40,D451,0))^L451</f>
        <v>54.8582883508347</v>
      </c>
      <c r="N451" s="95">
        <f ca="1">MAX(MAX($N$53:N450),OFFSET($C$52,MATCH(M451*1.07,$M$53:$M$2052,1),0)-C451)</f>
        <v>4680</v>
      </c>
    </row>
    <row r="452" spans="2:14">
      <c r="B452" s="95">
        <v>400</v>
      </c>
      <c r="C452" s="95">
        <f t="shared" si="39"/>
        <v>144000</v>
      </c>
      <c r="D452" s="95">
        <f ca="1">_xlfn.XLOOKUP(总览!$B$44,$B$40:$B$45,$C$40:$C$45)</f>
        <v>5</v>
      </c>
      <c r="E452" s="95">
        <f ca="1" t="shared" si="36"/>
        <v>430</v>
      </c>
      <c r="F452" s="95">
        <f ca="1" t="shared" si="37"/>
        <v>0</v>
      </c>
      <c r="G452" s="95">
        <f ca="1" t="shared" si="38"/>
        <v>2.24237857142857</v>
      </c>
      <c r="H452" s="95" cm="1">
        <f ca="1" t="array" ref="H452">MIN(30-SUM(I452:L452),_xlfn.XLOOKUP($D452&amp;"_"&amp;H$52,$B$14:$B$36&amp;"_"&amp;$C$14:$C$36,$D$14:$D$36)*$E452,18)</f>
        <v>18</v>
      </c>
      <c r="I452" s="95" cm="1">
        <f ca="1" t="array" ref="I452">MIN(30-SUM(J452:L452),6-L452,_xlfn.XLOOKUP($D452&amp;"_"&amp;I$52,$B$14:$B$36&amp;"_"&amp;$C$14:$C$36,$D$14:$D$36)*$E452)</f>
        <v>3.07112142857142</v>
      </c>
      <c r="J452" s="95" cm="1">
        <f ca="1" t="array" ref="J452">MIN(8,_xlfn.XLOOKUP($D452&amp;"_"&amp;J$52,$B$14:$B$36&amp;"_"&amp;$C$14:$C$36,$D$14:$D$36)*$E452)</f>
        <v>3.225</v>
      </c>
      <c r="K452" s="95" cm="1">
        <f ca="1" t="array" ref="K452">MIN(18,_xlfn.XLOOKUP($D452&amp;"_"&amp;K$52,$B$14:$B$36&amp;"_"&amp;$C$14:$C$36,$D$14:$D$36)*$E452)</f>
        <v>1.204</v>
      </c>
      <c r="L452" s="95" cm="1">
        <f ca="1" t="array" ref="L452">MIN(6,_xlfn.XLOOKUP($D452&amp;"_"&amp;L$52,$B$14:$B$36&amp;"_"&amp;$C$14:$C$36,$D$14:$D$36)*$E452)</f>
        <v>2.2575</v>
      </c>
      <c r="M452" s="95" cm="1">
        <f ca="1" t="array" ref="M452">(1+SUMPRODUCT(G452:H452,OFFSET($H$40:$I$40,D452,0)))*(1+OFFSET($J$40,D452,0))^I452*(1+OFFSET($K$40,D452,0))^J452*(1+OFFSET($L$40,D452,0))^K452*(1+OFFSET($M$40,D452,0))^L452</f>
        <v>55.137949338714</v>
      </c>
      <c r="N452" s="95">
        <f ca="1">MAX(MAX($N$53:N451),OFFSET($C$52,MATCH(M452*1.07,$M$53:$M$2052,1),0)-C452)</f>
        <v>4680</v>
      </c>
    </row>
    <row r="453" spans="2:14">
      <c r="B453" s="95">
        <v>401</v>
      </c>
      <c r="C453" s="95">
        <f t="shared" si="39"/>
        <v>144360</v>
      </c>
      <c r="D453" s="95">
        <f ca="1">_xlfn.XLOOKUP(总览!$B$44,$B$40:$B$45,$C$40:$C$45)</f>
        <v>5</v>
      </c>
      <c r="E453" s="95">
        <f ca="1" t="shared" si="36"/>
        <v>431</v>
      </c>
      <c r="F453" s="95">
        <f ca="1" t="shared" si="37"/>
        <v>0</v>
      </c>
      <c r="G453" s="95">
        <f ca="1" t="shared" si="38"/>
        <v>2.21968642857143</v>
      </c>
      <c r="H453" s="95" cm="1">
        <f ca="1" t="array" ref="H453">MIN(30-SUM(I453:L453),_xlfn.XLOOKUP($D453&amp;"_"&amp;H$52,$B$14:$B$36&amp;"_"&amp;$C$14:$C$36,$D$14:$D$36)*$E453,18)</f>
        <v>18</v>
      </c>
      <c r="I453" s="95" cm="1">
        <f ca="1" t="array" ref="I453">MIN(30-SUM(J453:L453),6-L453,_xlfn.XLOOKUP($D453&amp;"_"&amp;I$52,$B$14:$B$36&amp;"_"&amp;$C$14:$C$36,$D$14:$D$36)*$E453)</f>
        <v>3.07826357142857</v>
      </c>
      <c r="J453" s="95" cm="1">
        <f ca="1" t="array" ref="J453">MIN(8,_xlfn.XLOOKUP($D453&amp;"_"&amp;J$52,$B$14:$B$36&amp;"_"&amp;$C$14:$C$36,$D$14:$D$36)*$E453)</f>
        <v>3.2325</v>
      </c>
      <c r="K453" s="95" cm="1">
        <f ca="1" t="array" ref="K453">MIN(18,_xlfn.XLOOKUP($D453&amp;"_"&amp;K$52,$B$14:$B$36&amp;"_"&amp;$C$14:$C$36,$D$14:$D$36)*$E453)</f>
        <v>1.2068</v>
      </c>
      <c r="L453" s="95" cm="1">
        <f ca="1" t="array" ref="L453">MIN(6,_xlfn.XLOOKUP($D453&amp;"_"&amp;L$52,$B$14:$B$36&amp;"_"&amp;$C$14:$C$36,$D$14:$D$36)*$E453)</f>
        <v>2.26275</v>
      </c>
      <c r="M453" s="95" cm="1">
        <f ca="1" t="array" ref="M453">(1+SUMPRODUCT(G453:H453,OFFSET($H$40:$I$40,D453,0)))*(1+OFFSET($J$40,D453,0))^I453*(1+OFFSET($K$40,D453,0))^J453*(1+OFFSET($L$40,D453,0))^K453*(1+OFFSET($M$40,D453,0))^L453</f>
        <v>55.4190186716784</v>
      </c>
      <c r="N453" s="95">
        <f ca="1">MAX(MAX($N$53:N452),OFFSET($C$52,MATCH(M453*1.07,$M$53:$M$2052,1),0)-C453)</f>
        <v>4680</v>
      </c>
    </row>
    <row r="454" spans="2:14">
      <c r="B454" s="95">
        <v>402</v>
      </c>
      <c r="C454" s="95">
        <f t="shared" si="39"/>
        <v>144720</v>
      </c>
      <c r="D454" s="95">
        <f ca="1">_xlfn.XLOOKUP(总览!$B$44,$B$40:$B$45,$C$40:$C$45)</f>
        <v>5</v>
      </c>
      <c r="E454" s="95">
        <f ca="1" t="shared" si="36"/>
        <v>432</v>
      </c>
      <c r="F454" s="95">
        <f ca="1" t="shared" si="37"/>
        <v>0</v>
      </c>
      <c r="G454" s="95">
        <f ca="1" t="shared" si="38"/>
        <v>2.19699428571429</v>
      </c>
      <c r="H454" s="95" cm="1">
        <f ca="1" t="array" ref="H454">MIN(30-SUM(I454:L454),_xlfn.XLOOKUP($D454&amp;"_"&amp;H$52,$B$14:$B$36&amp;"_"&amp;$C$14:$C$36,$D$14:$D$36)*$E454,18)</f>
        <v>18</v>
      </c>
      <c r="I454" s="95" cm="1">
        <f ca="1" t="array" ref="I454">MIN(30-SUM(J454:L454),6-L454,_xlfn.XLOOKUP($D454&amp;"_"&amp;I$52,$B$14:$B$36&amp;"_"&amp;$C$14:$C$36,$D$14:$D$36)*$E454)</f>
        <v>3.08540571428571</v>
      </c>
      <c r="J454" s="95" cm="1">
        <f ca="1" t="array" ref="J454">MIN(8,_xlfn.XLOOKUP($D454&amp;"_"&amp;J$52,$B$14:$B$36&amp;"_"&amp;$C$14:$C$36,$D$14:$D$36)*$E454)</f>
        <v>3.24</v>
      </c>
      <c r="K454" s="95" cm="1">
        <f ca="1" t="array" ref="K454">MIN(18,_xlfn.XLOOKUP($D454&amp;"_"&amp;K$52,$B$14:$B$36&amp;"_"&amp;$C$14:$C$36,$D$14:$D$36)*$E454)</f>
        <v>1.2096</v>
      </c>
      <c r="L454" s="95" cm="1">
        <f ca="1" t="array" ref="L454">MIN(6,_xlfn.XLOOKUP($D454&amp;"_"&amp;L$52,$B$14:$B$36&amp;"_"&amp;$C$14:$C$36,$D$14:$D$36)*$E454)</f>
        <v>2.268</v>
      </c>
      <c r="M454" s="95" cm="1">
        <f ca="1" t="array" ref="M454">(1+SUMPRODUCT(G454:H454,OFFSET($H$40:$I$40,D454,0)))*(1+OFFSET($J$40,D454,0))^I454*(1+OFFSET($K$40,D454,0))^J454*(1+OFFSET($L$40,D454,0))^K454*(1+OFFSET($M$40,D454,0))^L454</f>
        <v>55.7015033330918</v>
      </c>
      <c r="N454" s="95">
        <f ca="1">MAX(MAX($N$53:N453),OFFSET($C$52,MATCH(M454*1.07,$M$53:$M$2052,1),0)-C454)</f>
        <v>4680</v>
      </c>
    </row>
    <row r="455" spans="2:14">
      <c r="B455" s="95">
        <v>403</v>
      </c>
      <c r="C455" s="95">
        <f t="shared" si="39"/>
        <v>145080</v>
      </c>
      <c r="D455" s="95">
        <f ca="1">_xlfn.XLOOKUP(总览!$B$44,$B$40:$B$45,$C$40:$C$45)</f>
        <v>5</v>
      </c>
      <c r="E455" s="95">
        <f ca="1" t="shared" si="36"/>
        <v>433</v>
      </c>
      <c r="F455" s="95">
        <f ca="1" t="shared" si="37"/>
        <v>0</v>
      </c>
      <c r="G455" s="95">
        <f ca="1" t="shared" si="38"/>
        <v>2.17430214285715</v>
      </c>
      <c r="H455" s="95" cm="1">
        <f ca="1" t="array" ref="H455">MIN(30-SUM(I455:L455),_xlfn.XLOOKUP($D455&amp;"_"&amp;H$52,$B$14:$B$36&amp;"_"&amp;$C$14:$C$36,$D$14:$D$36)*$E455,18)</f>
        <v>18</v>
      </c>
      <c r="I455" s="95" cm="1">
        <f ca="1" t="array" ref="I455">MIN(30-SUM(J455:L455),6-L455,_xlfn.XLOOKUP($D455&amp;"_"&amp;I$52,$B$14:$B$36&amp;"_"&amp;$C$14:$C$36,$D$14:$D$36)*$E455)</f>
        <v>3.09254785714285</v>
      </c>
      <c r="J455" s="95" cm="1">
        <f ca="1" t="array" ref="J455">MIN(8,_xlfn.XLOOKUP($D455&amp;"_"&amp;J$52,$B$14:$B$36&amp;"_"&amp;$C$14:$C$36,$D$14:$D$36)*$E455)</f>
        <v>3.2475</v>
      </c>
      <c r="K455" s="95" cm="1">
        <f ca="1" t="array" ref="K455">MIN(18,_xlfn.XLOOKUP($D455&amp;"_"&amp;K$52,$B$14:$B$36&amp;"_"&amp;$C$14:$C$36,$D$14:$D$36)*$E455)</f>
        <v>1.2124</v>
      </c>
      <c r="L455" s="95" cm="1">
        <f ca="1" t="array" ref="L455">MIN(6,_xlfn.XLOOKUP($D455&amp;"_"&amp;L$52,$B$14:$B$36&amp;"_"&amp;$C$14:$C$36,$D$14:$D$36)*$E455)</f>
        <v>2.27325</v>
      </c>
      <c r="M455" s="95" cm="1">
        <f ca="1" t="array" ref="M455">(1+SUMPRODUCT(G455:H455,OFFSET($H$40:$I$40,D455,0)))*(1+OFFSET($J$40,D455,0))^I455*(1+OFFSET($K$40,D455,0))^J455*(1+OFFSET($L$40,D455,0))^K455*(1+OFFSET($M$40,D455,0))^L455</f>
        <v>55.9854103402525</v>
      </c>
      <c r="N455" s="95">
        <f ca="1">MAX(MAX($N$53:N454),OFFSET($C$52,MATCH(M455*1.07,$M$53:$M$2052,1),0)-C455)</f>
        <v>4680</v>
      </c>
    </row>
    <row r="456" spans="2:14">
      <c r="B456" s="95">
        <v>404</v>
      </c>
      <c r="C456" s="95">
        <f t="shared" si="39"/>
        <v>145440</v>
      </c>
      <c r="D456" s="95">
        <f ca="1">_xlfn.XLOOKUP(总览!$B$44,$B$40:$B$45,$C$40:$C$45)</f>
        <v>5</v>
      </c>
      <c r="E456" s="95">
        <f ca="1" t="shared" si="36"/>
        <v>434</v>
      </c>
      <c r="F456" s="95">
        <f ca="1" t="shared" si="37"/>
        <v>0</v>
      </c>
      <c r="G456" s="95">
        <f ca="1" t="shared" si="38"/>
        <v>2.15161000000001</v>
      </c>
      <c r="H456" s="95" cm="1">
        <f ca="1" t="array" ref="H456">MIN(30-SUM(I456:L456),_xlfn.XLOOKUP($D456&amp;"_"&amp;H$52,$B$14:$B$36&amp;"_"&amp;$C$14:$C$36,$D$14:$D$36)*$E456,18)</f>
        <v>18</v>
      </c>
      <c r="I456" s="95" cm="1">
        <f ca="1" t="array" ref="I456">MIN(30-SUM(J456:L456),6-L456,_xlfn.XLOOKUP($D456&amp;"_"&amp;I$52,$B$14:$B$36&amp;"_"&amp;$C$14:$C$36,$D$14:$D$36)*$E456)</f>
        <v>3.09968999999999</v>
      </c>
      <c r="J456" s="95" cm="1">
        <f ca="1" t="array" ref="J456">MIN(8,_xlfn.XLOOKUP($D456&amp;"_"&amp;J$52,$B$14:$B$36&amp;"_"&amp;$C$14:$C$36,$D$14:$D$36)*$E456)</f>
        <v>3.255</v>
      </c>
      <c r="K456" s="95" cm="1">
        <f ca="1" t="array" ref="K456">MIN(18,_xlfn.XLOOKUP($D456&amp;"_"&amp;K$52,$B$14:$B$36&amp;"_"&amp;$C$14:$C$36,$D$14:$D$36)*$E456)</f>
        <v>1.2152</v>
      </c>
      <c r="L456" s="95" cm="1">
        <f ca="1" t="array" ref="L456">MIN(6,_xlfn.XLOOKUP($D456&amp;"_"&amp;L$52,$B$14:$B$36&amp;"_"&amp;$C$14:$C$36,$D$14:$D$36)*$E456)</f>
        <v>2.2785</v>
      </c>
      <c r="M456" s="95" cm="1">
        <f ca="1" t="array" ref="M456">(1+SUMPRODUCT(G456:H456,OFFSET($H$40:$I$40,D456,0)))*(1+OFFSET($J$40,D456,0))^I456*(1+OFFSET($K$40,D456,0))^J456*(1+OFFSET($L$40,D456,0))^K456*(1+OFFSET($M$40,D456,0))^L456</f>
        <v>56.2707467445538</v>
      </c>
      <c r="N456" s="95">
        <f ca="1">MAX(MAX($N$53:N455),OFFSET($C$52,MATCH(M456*1.07,$M$53:$M$2052,1),0)-C456)</f>
        <v>4680</v>
      </c>
    </row>
    <row r="457" spans="2:14">
      <c r="B457" s="95">
        <v>405</v>
      </c>
      <c r="C457" s="95">
        <f t="shared" si="39"/>
        <v>145800</v>
      </c>
      <c r="D457" s="95">
        <f ca="1">_xlfn.XLOOKUP(总览!$B$44,$B$40:$B$45,$C$40:$C$45)</f>
        <v>5</v>
      </c>
      <c r="E457" s="95">
        <f ca="1" t="shared" si="36"/>
        <v>435</v>
      </c>
      <c r="F457" s="95">
        <f ca="1" t="shared" si="37"/>
        <v>0</v>
      </c>
      <c r="G457" s="95">
        <f ca="1" t="shared" si="38"/>
        <v>2.12891785714286</v>
      </c>
      <c r="H457" s="95" cm="1">
        <f ca="1" t="array" ref="H457">MIN(30-SUM(I457:L457),_xlfn.XLOOKUP($D457&amp;"_"&amp;H$52,$B$14:$B$36&amp;"_"&amp;$C$14:$C$36,$D$14:$D$36)*$E457,18)</f>
        <v>18</v>
      </c>
      <c r="I457" s="95" cm="1">
        <f ca="1" t="array" ref="I457">MIN(30-SUM(J457:L457),6-L457,_xlfn.XLOOKUP($D457&amp;"_"&amp;I$52,$B$14:$B$36&amp;"_"&amp;$C$14:$C$36,$D$14:$D$36)*$E457)</f>
        <v>3.10683214285714</v>
      </c>
      <c r="J457" s="95" cm="1">
        <f ca="1" t="array" ref="J457">MIN(8,_xlfn.XLOOKUP($D457&amp;"_"&amp;J$52,$B$14:$B$36&amp;"_"&amp;$C$14:$C$36,$D$14:$D$36)*$E457)</f>
        <v>3.2625</v>
      </c>
      <c r="K457" s="95" cm="1">
        <f ca="1" t="array" ref="K457">MIN(18,_xlfn.XLOOKUP($D457&amp;"_"&amp;K$52,$B$14:$B$36&amp;"_"&amp;$C$14:$C$36,$D$14:$D$36)*$E457)</f>
        <v>1.218</v>
      </c>
      <c r="L457" s="95" cm="1">
        <f ca="1" t="array" ref="L457">MIN(6,_xlfn.XLOOKUP($D457&amp;"_"&amp;L$52,$B$14:$B$36&amp;"_"&amp;$C$14:$C$36,$D$14:$D$36)*$E457)</f>
        <v>2.28375</v>
      </c>
      <c r="M457" s="95" cm="1">
        <f ca="1" t="array" ref="M457">(1+SUMPRODUCT(G457:H457,OFFSET($H$40:$I$40,D457,0)))*(1+OFFSET($J$40,D457,0))^I457*(1+OFFSET($K$40,D457,0))^J457*(1+OFFSET($L$40,D457,0))^K457*(1+OFFSET($M$40,D457,0))^L457</f>
        <v>56.5575196316452</v>
      </c>
      <c r="N457" s="95">
        <f ca="1">MAX(MAX($N$53:N456),OFFSET($C$52,MATCH(M457*1.07,$M$53:$M$2052,1),0)-C457)</f>
        <v>4680</v>
      </c>
    </row>
    <row r="458" spans="2:14">
      <c r="B458" s="95">
        <v>406</v>
      </c>
      <c r="C458" s="95">
        <f t="shared" si="39"/>
        <v>146160</v>
      </c>
      <c r="D458" s="95">
        <f ca="1">_xlfn.XLOOKUP(总览!$B$44,$B$40:$B$45,$C$40:$C$45)</f>
        <v>5</v>
      </c>
      <c r="E458" s="95">
        <f ca="1" t="shared" si="36"/>
        <v>436</v>
      </c>
      <c r="F458" s="95">
        <f ca="1" t="shared" si="37"/>
        <v>0</v>
      </c>
      <c r="G458" s="95">
        <f ca="1" t="shared" si="38"/>
        <v>2.10622571428572</v>
      </c>
      <c r="H458" s="95" cm="1">
        <f ca="1" t="array" ref="H458">MIN(30-SUM(I458:L458),_xlfn.XLOOKUP($D458&amp;"_"&amp;H$52,$B$14:$B$36&amp;"_"&amp;$C$14:$C$36,$D$14:$D$36)*$E458,18)</f>
        <v>18</v>
      </c>
      <c r="I458" s="95" cm="1">
        <f ca="1" t="array" ref="I458">MIN(30-SUM(J458:L458),6-L458,_xlfn.XLOOKUP($D458&amp;"_"&amp;I$52,$B$14:$B$36&amp;"_"&amp;$C$14:$C$36,$D$14:$D$36)*$E458)</f>
        <v>3.11397428571428</v>
      </c>
      <c r="J458" s="95" cm="1">
        <f ca="1" t="array" ref="J458">MIN(8,_xlfn.XLOOKUP($D458&amp;"_"&amp;J$52,$B$14:$B$36&amp;"_"&amp;$C$14:$C$36,$D$14:$D$36)*$E458)</f>
        <v>3.27</v>
      </c>
      <c r="K458" s="95" cm="1">
        <f ca="1" t="array" ref="K458">MIN(18,_xlfn.XLOOKUP($D458&amp;"_"&amp;K$52,$B$14:$B$36&amp;"_"&amp;$C$14:$C$36,$D$14:$D$36)*$E458)</f>
        <v>1.2208</v>
      </c>
      <c r="L458" s="95" cm="1">
        <f ca="1" t="array" ref="L458">MIN(6,_xlfn.XLOOKUP($D458&amp;"_"&amp;L$52,$B$14:$B$36&amp;"_"&amp;$C$14:$C$36,$D$14:$D$36)*$E458)</f>
        <v>2.289</v>
      </c>
      <c r="M458" s="95" cm="1">
        <f ca="1" t="array" ref="M458">(1+SUMPRODUCT(G458:H458,OFFSET($H$40:$I$40,D458,0)))*(1+OFFSET($J$40,D458,0))^I458*(1+OFFSET($K$40,D458,0))^J458*(1+OFFSET($L$40,D458,0))^K458*(1+OFFSET($M$40,D458,0))^L458</f>
        <v>56.845736121594</v>
      </c>
      <c r="N458" s="95">
        <f ca="1">MAX(MAX($N$53:N457),OFFSET($C$52,MATCH(M458*1.07,$M$53:$M$2052,1),0)-C458)</f>
        <v>4680</v>
      </c>
    </row>
    <row r="459" spans="2:14">
      <c r="B459" s="95">
        <v>407</v>
      </c>
      <c r="C459" s="95">
        <f t="shared" si="39"/>
        <v>146520</v>
      </c>
      <c r="D459" s="95">
        <f ca="1">_xlfn.XLOOKUP(总览!$B$44,$B$40:$B$45,$C$40:$C$45)</f>
        <v>5</v>
      </c>
      <c r="E459" s="95">
        <f ca="1" t="shared" si="36"/>
        <v>437</v>
      </c>
      <c r="F459" s="95">
        <f ca="1" t="shared" si="37"/>
        <v>0</v>
      </c>
      <c r="G459" s="95">
        <f ca="1" t="shared" si="38"/>
        <v>2.08353357142857</v>
      </c>
      <c r="H459" s="95" cm="1">
        <f ca="1" t="array" ref="H459">MIN(30-SUM(I459:L459),_xlfn.XLOOKUP($D459&amp;"_"&amp;H$52,$B$14:$B$36&amp;"_"&amp;$C$14:$C$36,$D$14:$D$36)*$E459,18)</f>
        <v>18</v>
      </c>
      <c r="I459" s="95" cm="1">
        <f ca="1" t="array" ref="I459">MIN(30-SUM(J459:L459),6-L459,_xlfn.XLOOKUP($D459&amp;"_"&amp;I$52,$B$14:$B$36&amp;"_"&amp;$C$14:$C$36,$D$14:$D$36)*$E459)</f>
        <v>3.12111642857142</v>
      </c>
      <c r="J459" s="95" cm="1">
        <f ca="1" t="array" ref="J459">MIN(8,_xlfn.XLOOKUP($D459&amp;"_"&amp;J$52,$B$14:$B$36&amp;"_"&amp;$C$14:$C$36,$D$14:$D$36)*$E459)</f>
        <v>3.2775</v>
      </c>
      <c r="K459" s="95" cm="1">
        <f ca="1" t="array" ref="K459">MIN(18,_xlfn.XLOOKUP($D459&amp;"_"&amp;K$52,$B$14:$B$36&amp;"_"&amp;$C$14:$C$36,$D$14:$D$36)*$E459)</f>
        <v>1.2236</v>
      </c>
      <c r="L459" s="95" cm="1">
        <f ca="1" t="array" ref="L459">MIN(6,_xlfn.XLOOKUP($D459&amp;"_"&amp;L$52,$B$14:$B$36&amp;"_"&amp;$C$14:$C$36,$D$14:$D$36)*$E459)</f>
        <v>2.29425</v>
      </c>
      <c r="M459" s="95" cm="1">
        <f ca="1" t="array" ref="M459">(1+SUMPRODUCT(G459:H459,OFFSET($H$40:$I$40,D459,0)))*(1+OFFSET($J$40,D459,0))^I459*(1+OFFSET($K$40,D459,0))^J459*(1+OFFSET($L$40,D459,0))^K459*(1+OFFSET($M$40,D459,0))^L459</f>
        <v>57.1354033690483</v>
      </c>
      <c r="N459" s="95">
        <f ca="1">MAX(MAX($N$53:N458),OFFSET($C$52,MATCH(M459*1.07,$M$53:$M$2052,1),0)-C459)</f>
        <v>4680</v>
      </c>
    </row>
    <row r="460" spans="2:14">
      <c r="B460" s="95">
        <v>408</v>
      </c>
      <c r="C460" s="95">
        <f t="shared" si="39"/>
        <v>146880</v>
      </c>
      <c r="D460" s="95">
        <f ca="1">_xlfn.XLOOKUP(总览!$B$44,$B$40:$B$45,$C$40:$C$45)</f>
        <v>5</v>
      </c>
      <c r="E460" s="95">
        <f ca="1" t="shared" si="36"/>
        <v>438</v>
      </c>
      <c r="F460" s="95">
        <f ca="1" t="shared" si="37"/>
        <v>0</v>
      </c>
      <c r="G460" s="95">
        <f ca="1" t="shared" si="38"/>
        <v>2.06084142857143</v>
      </c>
      <c r="H460" s="95" cm="1">
        <f ca="1" t="array" ref="H460">MIN(30-SUM(I460:L460),_xlfn.XLOOKUP($D460&amp;"_"&amp;H$52,$B$14:$B$36&amp;"_"&amp;$C$14:$C$36,$D$14:$D$36)*$E460,18)</f>
        <v>18</v>
      </c>
      <c r="I460" s="95" cm="1">
        <f ca="1" t="array" ref="I460">MIN(30-SUM(J460:L460),6-L460,_xlfn.XLOOKUP($D460&amp;"_"&amp;I$52,$B$14:$B$36&amp;"_"&amp;$C$14:$C$36,$D$14:$D$36)*$E460)</f>
        <v>3.12825857142857</v>
      </c>
      <c r="J460" s="95" cm="1">
        <f ca="1" t="array" ref="J460">MIN(8,_xlfn.XLOOKUP($D460&amp;"_"&amp;J$52,$B$14:$B$36&amp;"_"&amp;$C$14:$C$36,$D$14:$D$36)*$E460)</f>
        <v>3.285</v>
      </c>
      <c r="K460" s="95" cm="1">
        <f ca="1" t="array" ref="K460">MIN(18,_xlfn.XLOOKUP($D460&amp;"_"&amp;K$52,$B$14:$B$36&amp;"_"&amp;$C$14:$C$36,$D$14:$D$36)*$E460)</f>
        <v>1.2264</v>
      </c>
      <c r="L460" s="95" cm="1">
        <f ca="1" t="array" ref="L460">MIN(6,_xlfn.XLOOKUP($D460&amp;"_"&amp;L$52,$B$14:$B$36&amp;"_"&amp;$C$14:$C$36,$D$14:$D$36)*$E460)</f>
        <v>2.2995</v>
      </c>
      <c r="M460" s="95" cm="1">
        <f ca="1" t="array" ref="M460">(1+SUMPRODUCT(G460:H460,OFFSET($H$40:$I$40,D460,0)))*(1+OFFSET($J$40,D460,0))^I460*(1+OFFSET($K$40,D460,0))^J460*(1+OFFSET($L$40,D460,0))^K460*(1+OFFSET($M$40,D460,0))^L460</f>
        <v>57.4265285633999</v>
      </c>
      <c r="N460" s="95">
        <f ca="1">MAX(MAX($N$53:N459),OFFSET($C$52,MATCH(M460*1.07,$M$53:$M$2052,1),0)-C460)</f>
        <v>4680</v>
      </c>
    </row>
    <row r="461" spans="2:14">
      <c r="B461" s="95">
        <v>409</v>
      </c>
      <c r="C461" s="95">
        <f t="shared" si="39"/>
        <v>147240</v>
      </c>
      <c r="D461" s="95">
        <f ca="1">_xlfn.XLOOKUP(总览!$B$44,$B$40:$B$45,$C$40:$C$45)</f>
        <v>5</v>
      </c>
      <c r="E461" s="95">
        <f ca="1" t="shared" si="36"/>
        <v>439</v>
      </c>
      <c r="F461" s="95">
        <f ca="1" t="shared" si="37"/>
        <v>0</v>
      </c>
      <c r="G461" s="95">
        <f ca="1" t="shared" si="38"/>
        <v>2.03814928571429</v>
      </c>
      <c r="H461" s="95" cm="1">
        <f ca="1" t="array" ref="H461">MIN(30-SUM(I461:L461),_xlfn.XLOOKUP($D461&amp;"_"&amp;H$52,$B$14:$B$36&amp;"_"&amp;$C$14:$C$36,$D$14:$D$36)*$E461,18)</f>
        <v>18</v>
      </c>
      <c r="I461" s="95" cm="1">
        <f ca="1" t="array" ref="I461">MIN(30-SUM(J461:L461),6-L461,_xlfn.XLOOKUP($D461&amp;"_"&amp;I$52,$B$14:$B$36&amp;"_"&amp;$C$14:$C$36,$D$14:$D$36)*$E461)</f>
        <v>3.13540071428571</v>
      </c>
      <c r="J461" s="95" cm="1">
        <f ca="1" t="array" ref="J461">MIN(8,_xlfn.XLOOKUP($D461&amp;"_"&amp;J$52,$B$14:$B$36&amp;"_"&amp;$C$14:$C$36,$D$14:$D$36)*$E461)</f>
        <v>3.2925</v>
      </c>
      <c r="K461" s="95" cm="1">
        <f ca="1" t="array" ref="K461">MIN(18,_xlfn.XLOOKUP($D461&amp;"_"&amp;K$52,$B$14:$B$36&amp;"_"&amp;$C$14:$C$36,$D$14:$D$36)*$E461)</f>
        <v>1.2292</v>
      </c>
      <c r="L461" s="95" cm="1">
        <f ca="1" t="array" ref="L461">MIN(6,_xlfn.XLOOKUP($D461&amp;"_"&amp;L$52,$B$14:$B$36&amp;"_"&amp;$C$14:$C$36,$D$14:$D$36)*$E461)</f>
        <v>2.30475</v>
      </c>
      <c r="M461" s="95" cm="1">
        <f ca="1" t="array" ref="M461">(1+SUMPRODUCT(G461:H461,OFFSET($H$40:$I$40,D461,0)))*(1+OFFSET($J$40,D461,0))^I461*(1+OFFSET($K$40,D461,0))^J461*(1+OFFSET($L$40,D461,0))^K461*(1+OFFSET($M$40,D461,0))^L461</f>
        <v>57.7191189289489</v>
      </c>
      <c r="N461" s="95">
        <f ca="1">MAX(MAX($N$53:N460),OFFSET($C$52,MATCH(M461*1.07,$M$53:$M$2052,1),0)-C461)</f>
        <v>4680</v>
      </c>
    </row>
    <row r="462" spans="2:14">
      <c r="B462" s="95">
        <v>410</v>
      </c>
      <c r="C462" s="95">
        <f t="shared" si="39"/>
        <v>147600</v>
      </c>
      <c r="D462" s="95">
        <f ca="1">_xlfn.XLOOKUP(总览!$B$44,$B$40:$B$45,$C$40:$C$45)</f>
        <v>5</v>
      </c>
      <c r="E462" s="95">
        <f ca="1" t="shared" si="36"/>
        <v>440</v>
      </c>
      <c r="F462" s="95">
        <f ca="1" t="shared" si="37"/>
        <v>0</v>
      </c>
      <c r="G462" s="95">
        <f ca="1" t="shared" si="38"/>
        <v>2.01545714285715</v>
      </c>
      <c r="H462" s="95" cm="1">
        <f ca="1" t="array" ref="H462">MIN(30-SUM(I462:L462),_xlfn.XLOOKUP($D462&amp;"_"&amp;H$52,$B$14:$B$36&amp;"_"&amp;$C$14:$C$36,$D$14:$D$36)*$E462,18)</f>
        <v>18</v>
      </c>
      <c r="I462" s="95" cm="1">
        <f ca="1" t="array" ref="I462">MIN(30-SUM(J462:L462),6-L462,_xlfn.XLOOKUP($D462&amp;"_"&amp;I$52,$B$14:$B$36&amp;"_"&amp;$C$14:$C$36,$D$14:$D$36)*$E462)</f>
        <v>3.14254285714285</v>
      </c>
      <c r="J462" s="95" cm="1">
        <f ca="1" t="array" ref="J462">MIN(8,_xlfn.XLOOKUP($D462&amp;"_"&amp;J$52,$B$14:$B$36&amp;"_"&amp;$C$14:$C$36,$D$14:$D$36)*$E462)</f>
        <v>3.3</v>
      </c>
      <c r="K462" s="95" cm="1">
        <f ca="1" t="array" ref="K462">MIN(18,_xlfn.XLOOKUP($D462&amp;"_"&amp;K$52,$B$14:$B$36&amp;"_"&amp;$C$14:$C$36,$D$14:$D$36)*$E462)</f>
        <v>1.232</v>
      </c>
      <c r="L462" s="95" cm="1">
        <f ca="1" t="array" ref="L462">MIN(6,_xlfn.XLOOKUP($D462&amp;"_"&amp;L$52,$B$14:$B$36&amp;"_"&amp;$C$14:$C$36,$D$14:$D$36)*$E462)</f>
        <v>2.31</v>
      </c>
      <c r="M462" s="95" cm="1">
        <f ca="1" t="array" ref="M462">(1+SUMPRODUCT(G462:H462,OFFSET($H$40:$I$40,D462,0)))*(1+OFFSET($J$40,D462,0))^I462*(1+OFFSET($K$40,D462,0))^J462*(1+OFFSET($L$40,D462,0))^K462*(1+OFFSET($M$40,D462,0))^L462</f>
        <v>58.0131817250682</v>
      </c>
      <c r="N462" s="95">
        <f ca="1">MAX(MAX($N$53:N461),OFFSET($C$52,MATCH(M462*1.07,$M$53:$M$2052,1),0)-C462)</f>
        <v>4680</v>
      </c>
    </row>
    <row r="463" spans="2:14">
      <c r="B463" s="95">
        <v>411</v>
      </c>
      <c r="C463" s="95">
        <f t="shared" si="39"/>
        <v>147960</v>
      </c>
      <c r="D463" s="95">
        <f ca="1">_xlfn.XLOOKUP(总览!$B$44,$B$40:$B$45,$C$40:$C$45)</f>
        <v>5</v>
      </c>
      <c r="E463" s="95">
        <f ca="1" t="shared" si="36"/>
        <v>441</v>
      </c>
      <c r="F463" s="95">
        <f ca="1" t="shared" si="37"/>
        <v>0</v>
      </c>
      <c r="G463" s="95">
        <f ca="1" t="shared" si="38"/>
        <v>1.99276500000001</v>
      </c>
      <c r="H463" s="95" cm="1">
        <f ca="1" t="array" ref="H463">MIN(30-SUM(I463:L463),_xlfn.XLOOKUP($D463&amp;"_"&amp;H$52,$B$14:$B$36&amp;"_"&amp;$C$14:$C$36,$D$14:$D$36)*$E463,18)</f>
        <v>18</v>
      </c>
      <c r="I463" s="95" cm="1">
        <f ca="1" t="array" ref="I463">MIN(30-SUM(J463:L463),6-L463,_xlfn.XLOOKUP($D463&amp;"_"&amp;I$52,$B$14:$B$36&amp;"_"&amp;$C$14:$C$36,$D$14:$D$36)*$E463)</f>
        <v>3.14968499999999</v>
      </c>
      <c r="J463" s="95" cm="1">
        <f ca="1" t="array" ref="J463">MIN(8,_xlfn.XLOOKUP($D463&amp;"_"&amp;J$52,$B$14:$B$36&amp;"_"&amp;$C$14:$C$36,$D$14:$D$36)*$E463)</f>
        <v>3.3075</v>
      </c>
      <c r="K463" s="95" cm="1">
        <f ca="1" t="array" ref="K463">MIN(18,_xlfn.XLOOKUP($D463&amp;"_"&amp;K$52,$B$14:$B$36&amp;"_"&amp;$C$14:$C$36,$D$14:$D$36)*$E463)</f>
        <v>1.2348</v>
      </c>
      <c r="L463" s="95" cm="1">
        <f ca="1" t="array" ref="L463">MIN(6,_xlfn.XLOOKUP($D463&amp;"_"&amp;L$52,$B$14:$B$36&amp;"_"&amp;$C$14:$C$36,$D$14:$D$36)*$E463)</f>
        <v>2.31525</v>
      </c>
      <c r="M463" s="95" cm="1">
        <f ca="1" t="array" ref="M463">(1+SUMPRODUCT(G463:H463,OFFSET($H$40:$I$40,D463,0)))*(1+OFFSET($J$40,D463,0))^I463*(1+OFFSET($K$40,D463,0))^J463*(1+OFFSET($L$40,D463,0))^K463*(1+OFFSET($M$40,D463,0))^L463</f>
        <v>58.3087242463692</v>
      </c>
      <c r="N463" s="95">
        <f ca="1">MAX(MAX($N$53:N462),OFFSET($C$52,MATCH(M463*1.07,$M$53:$M$2052,1),0)-C463)</f>
        <v>4680</v>
      </c>
    </row>
    <row r="464" spans="2:14">
      <c r="B464" s="95">
        <v>412</v>
      </c>
      <c r="C464" s="95">
        <f t="shared" si="39"/>
        <v>148320</v>
      </c>
      <c r="D464" s="95">
        <f ca="1">_xlfn.XLOOKUP(总览!$B$44,$B$40:$B$45,$C$40:$C$45)</f>
        <v>5</v>
      </c>
      <c r="E464" s="95">
        <f ca="1" t="shared" si="36"/>
        <v>442</v>
      </c>
      <c r="F464" s="95">
        <f ca="1" t="shared" si="37"/>
        <v>0</v>
      </c>
      <c r="G464" s="95">
        <f ca="1" t="shared" si="38"/>
        <v>1.97007285714286</v>
      </c>
      <c r="H464" s="95" cm="1">
        <f ca="1" t="array" ref="H464">MIN(30-SUM(I464:L464),_xlfn.XLOOKUP($D464&amp;"_"&amp;H$52,$B$14:$B$36&amp;"_"&amp;$C$14:$C$36,$D$14:$D$36)*$E464,18)</f>
        <v>18</v>
      </c>
      <c r="I464" s="95" cm="1">
        <f ca="1" t="array" ref="I464">MIN(30-SUM(J464:L464),6-L464,_xlfn.XLOOKUP($D464&amp;"_"&amp;I$52,$B$14:$B$36&amp;"_"&amp;$C$14:$C$36,$D$14:$D$36)*$E464)</f>
        <v>3.15682714285714</v>
      </c>
      <c r="J464" s="95" cm="1">
        <f ca="1" t="array" ref="J464">MIN(8,_xlfn.XLOOKUP($D464&amp;"_"&amp;J$52,$B$14:$B$36&amp;"_"&amp;$C$14:$C$36,$D$14:$D$36)*$E464)</f>
        <v>3.315</v>
      </c>
      <c r="K464" s="95" cm="1">
        <f ca="1" t="array" ref="K464">MIN(18,_xlfn.XLOOKUP($D464&amp;"_"&amp;K$52,$B$14:$B$36&amp;"_"&amp;$C$14:$C$36,$D$14:$D$36)*$E464)</f>
        <v>1.2376</v>
      </c>
      <c r="L464" s="95" cm="1">
        <f ca="1" t="array" ref="L464">MIN(6,_xlfn.XLOOKUP($D464&amp;"_"&amp;L$52,$B$14:$B$36&amp;"_"&amp;$C$14:$C$36,$D$14:$D$36)*$E464)</f>
        <v>2.3205</v>
      </c>
      <c r="M464" s="95" cm="1">
        <f ca="1" t="array" ref="M464">(1+SUMPRODUCT(G464:H464,OFFSET($H$40:$I$40,D464,0)))*(1+OFFSET($J$40,D464,0))^I464*(1+OFFSET($K$40,D464,0))^J464*(1+OFFSET($L$40,D464,0))^K464*(1+OFFSET($M$40,D464,0))^L464</f>
        <v>58.6057538228682</v>
      </c>
      <c r="N464" s="95">
        <f ca="1">MAX(MAX($N$53:N463),OFFSET($C$52,MATCH(M464*1.07,$M$53:$M$2052,1),0)-C464)</f>
        <v>4680</v>
      </c>
    </row>
    <row r="465" spans="2:14">
      <c r="B465" s="95">
        <v>413</v>
      </c>
      <c r="C465" s="95">
        <f t="shared" si="39"/>
        <v>148680</v>
      </c>
      <c r="D465" s="95">
        <f ca="1">_xlfn.XLOOKUP(总览!$B$44,$B$40:$B$45,$C$40:$C$45)</f>
        <v>5</v>
      </c>
      <c r="E465" s="95">
        <f ca="1" t="shared" si="36"/>
        <v>443</v>
      </c>
      <c r="F465" s="95">
        <f ca="1" t="shared" si="37"/>
        <v>0</v>
      </c>
      <c r="G465" s="95">
        <f ca="1" t="shared" si="38"/>
        <v>1.94738071428572</v>
      </c>
      <c r="H465" s="95" cm="1">
        <f ca="1" t="array" ref="H465">MIN(30-SUM(I465:L465),_xlfn.XLOOKUP($D465&amp;"_"&amp;H$52,$B$14:$B$36&amp;"_"&amp;$C$14:$C$36,$D$14:$D$36)*$E465,18)</f>
        <v>18</v>
      </c>
      <c r="I465" s="95" cm="1">
        <f ca="1" t="array" ref="I465">MIN(30-SUM(J465:L465),6-L465,_xlfn.XLOOKUP($D465&amp;"_"&amp;I$52,$B$14:$B$36&amp;"_"&amp;$C$14:$C$36,$D$14:$D$36)*$E465)</f>
        <v>3.16396928571428</v>
      </c>
      <c r="J465" s="95" cm="1">
        <f ca="1" t="array" ref="J465">MIN(8,_xlfn.XLOOKUP($D465&amp;"_"&amp;J$52,$B$14:$B$36&amp;"_"&amp;$C$14:$C$36,$D$14:$D$36)*$E465)</f>
        <v>3.3225</v>
      </c>
      <c r="K465" s="95" cm="1">
        <f ca="1" t="array" ref="K465">MIN(18,_xlfn.XLOOKUP($D465&amp;"_"&amp;K$52,$B$14:$B$36&amp;"_"&amp;$C$14:$C$36,$D$14:$D$36)*$E465)</f>
        <v>1.2404</v>
      </c>
      <c r="L465" s="95" cm="1">
        <f ca="1" t="array" ref="L465">MIN(6,_xlfn.XLOOKUP($D465&amp;"_"&amp;L$52,$B$14:$B$36&amp;"_"&amp;$C$14:$C$36,$D$14:$D$36)*$E465)</f>
        <v>2.32575</v>
      </c>
      <c r="M465" s="95" cm="1">
        <f ca="1" t="array" ref="M465">(1+SUMPRODUCT(G465:H465,OFFSET($H$40:$I$40,D465,0)))*(1+OFFSET($J$40,D465,0))^I465*(1+OFFSET($K$40,D465,0))^J465*(1+OFFSET($L$40,D465,0))^K465*(1+OFFSET($M$40,D465,0))^L465</f>
        <v>58.9042778201533</v>
      </c>
      <c r="N465" s="95">
        <f ca="1">MAX(MAX($N$53:N464),OFFSET($C$52,MATCH(M465*1.07,$M$53:$M$2052,1),0)-C465)</f>
        <v>4680</v>
      </c>
    </row>
    <row r="466" spans="2:14">
      <c r="B466" s="95">
        <v>414</v>
      </c>
      <c r="C466" s="95">
        <f t="shared" si="39"/>
        <v>149040</v>
      </c>
      <c r="D466" s="95">
        <f ca="1">_xlfn.XLOOKUP(总览!$B$44,$B$40:$B$45,$C$40:$C$45)</f>
        <v>5</v>
      </c>
      <c r="E466" s="95">
        <f ca="1" t="shared" si="36"/>
        <v>444</v>
      </c>
      <c r="F466" s="95">
        <f ca="1" t="shared" si="37"/>
        <v>0</v>
      </c>
      <c r="G466" s="95">
        <f ca="1" t="shared" si="38"/>
        <v>1.92468857142858</v>
      </c>
      <c r="H466" s="95" cm="1">
        <f ca="1" t="array" ref="H466">MIN(30-SUM(I466:L466),_xlfn.XLOOKUP($D466&amp;"_"&amp;H$52,$B$14:$B$36&amp;"_"&amp;$C$14:$C$36,$D$14:$D$36)*$E466,18)</f>
        <v>18</v>
      </c>
      <c r="I466" s="95" cm="1">
        <f ca="1" t="array" ref="I466">MIN(30-SUM(J466:L466),6-L466,_xlfn.XLOOKUP($D466&amp;"_"&amp;I$52,$B$14:$B$36&amp;"_"&amp;$C$14:$C$36,$D$14:$D$36)*$E466)</f>
        <v>3.17111142857142</v>
      </c>
      <c r="J466" s="95" cm="1">
        <f ca="1" t="array" ref="J466">MIN(8,_xlfn.XLOOKUP($D466&amp;"_"&amp;J$52,$B$14:$B$36&amp;"_"&amp;$C$14:$C$36,$D$14:$D$36)*$E466)</f>
        <v>3.33</v>
      </c>
      <c r="K466" s="95" cm="1">
        <f ca="1" t="array" ref="K466">MIN(18,_xlfn.XLOOKUP($D466&amp;"_"&amp;K$52,$B$14:$B$36&amp;"_"&amp;$C$14:$C$36,$D$14:$D$36)*$E466)</f>
        <v>1.2432</v>
      </c>
      <c r="L466" s="95" cm="1">
        <f ca="1" t="array" ref="L466">MIN(6,_xlfn.XLOOKUP($D466&amp;"_"&amp;L$52,$B$14:$B$36&amp;"_"&amp;$C$14:$C$36,$D$14:$D$36)*$E466)</f>
        <v>2.331</v>
      </c>
      <c r="M466" s="95" cm="1">
        <f ca="1" t="array" ref="M466">(1+SUMPRODUCT(G466:H466,OFFSET($H$40:$I$40,D466,0)))*(1+OFFSET($J$40,D466,0))^I466*(1+OFFSET($K$40,D466,0))^J466*(1+OFFSET($L$40,D466,0))^K466*(1+OFFSET($M$40,D466,0))^L466</f>
        <v>59.2043036395525</v>
      </c>
      <c r="N466" s="95">
        <f ca="1">MAX(MAX($N$53:N465),OFFSET($C$52,MATCH(M466*1.07,$M$53:$M$2052,1),0)-C466)</f>
        <v>4680</v>
      </c>
    </row>
    <row r="467" spans="2:14">
      <c r="B467" s="95">
        <v>415</v>
      </c>
      <c r="C467" s="95">
        <f t="shared" si="39"/>
        <v>149400</v>
      </c>
      <c r="D467" s="95">
        <f ca="1">_xlfn.XLOOKUP(总览!$B$44,$B$40:$B$45,$C$40:$C$45)</f>
        <v>5</v>
      </c>
      <c r="E467" s="95">
        <f ca="1" t="shared" si="36"/>
        <v>445</v>
      </c>
      <c r="F467" s="95">
        <f ca="1" t="shared" si="37"/>
        <v>0</v>
      </c>
      <c r="G467" s="95">
        <f ca="1" t="shared" si="38"/>
        <v>1.90199642857144</v>
      </c>
      <c r="H467" s="95" cm="1">
        <f ca="1" t="array" ref="H467">MIN(30-SUM(I467:L467),_xlfn.XLOOKUP($D467&amp;"_"&amp;H$52,$B$14:$B$36&amp;"_"&amp;$C$14:$C$36,$D$14:$D$36)*$E467,18)</f>
        <v>18</v>
      </c>
      <c r="I467" s="95" cm="1">
        <f ca="1" t="array" ref="I467">MIN(30-SUM(J467:L467),6-L467,_xlfn.XLOOKUP($D467&amp;"_"&amp;I$52,$B$14:$B$36&amp;"_"&amp;$C$14:$C$36,$D$14:$D$36)*$E467)</f>
        <v>3.17825357142856</v>
      </c>
      <c r="J467" s="95" cm="1">
        <f ca="1" t="array" ref="J467">MIN(8,_xlfn.XLOOKUP($D467&amp;"_"&amp;J$52,$B$14:$B$36&amp;"_"&amp;$C$14:$C$36,$D$14:$D$36)*$E467)</f>
        <v>3.3375</v>
      </c>
      <c r="K467" s="95" cm="1">
        <f ca="1" t="array" ref="K467">MIN(18,_xlfn.XLOOKUP($D467&amp;"_"&amp;K$52,$B$14:$B$36&amp;"_"&amp;$C$14:$C$36,$D$14:$D$36)*$E467)</f>
        <v>1.246</v>
      </c>
      <c r="L467" s="95" cm="1">
        <f ca="1" t="array" ref="L467">MIN(6,_xlfn.XLOOKUP($D467&amp;"_"&amp;L$52,$B$14:$B$36&amp;"_"&amp;$C$14:$C$36,$D$14:$D$36)*$E467)</f>
        <v>2.33625</v>
      </c>
      <c r="M467" s="95" cm="1">
        <f ca="1" t="array" ref="M467">(1+SUMPRODUCT(G467:H467,OFFSET($H$40:$I$40,D467,0)))*(1+OFFSET($J$40,D467,0))^I467*(1+OFFSET($K$40,D467,0))^J467*(1+OFFSET($L$40,D467,0))^K467*(1+OFFSET($M$40,D467,0))^L467</f>
        <v>59.5058387183021</v>
      </c>
      <c r="N467" s="95">
        <f ca="1">MAX(MAX($N$53:N466),OFFSET($C$52,MATCH(M467*1.07,$M$53:$M$2052,1),0)-C467)</f>
        <v>4680</v>
      </c>
    </row>
    <row r="468" spans="2:14">
      <c r="B468" s="95">
        <v>416</v>
      </c>
      <c r="C468" s="95">
        <f t="shared" si="39"/>
        <v>149760</v>
      </c>
      <c r="D468" s="95">
        <f ca="1">_xlfn.XLOOKUP(总览!$B$44,$B$40:$B$45,$C$40:$C$45)</f>
        <v>5</v>
      </c>
      <c r="E468" s="95">
        <f ca="1" t="shared" si="36"/>
        <v>446</v>
      </c>
      <c r="F468" s="95">
        <f ca="1" t="shared" si="37"/>
        <v>0</v>
      </c>
      <c r="G468" s="95">
        <f ca="1" t="shared" si="38"/>
        <v>1.87930428571429</v>
      </c>
      <c r="H468" s="95" cm="1">
        <f ca="1" t="array" ref="H468">MIN(30-SUM(I468:L468),_xlfn.XLOOKUP($D468&amp;"_"&amp;H$52,$B$14:$B$36&amp;"_"&amp;$C$14:$C$36,$D$14:$D$36)*$E468,18)</f>
        <v>18</v>
      </c>
      <c r="I468" s="95" cm="1">
        <f ca="1" t="array" ref="I468">MIN(30-SUM(J468:L468),6-L468,_xlfn.XLOOKUP($D468&amp;"_"&amp;I$52,$B$14:$B$36&amp;"_"&amp;$C$14:$C$36,$D$14:$D$36)*$E468)</f>
        <v>3.18539571428571</v>
      </c>
      <c r="J468" s="95" cm="1">
        <f ca="1" t="array" ref="J468">MIN(8,_xlfn.XLOOKUP($D468&amp;"_"&amp;J$52,$B$14:$B$36&amp;"_"&amp;$C$14:$C$36,$D$14:$D$36)*$E468)</f>
        <v>3.345</v>
      </c>
      <c r="K468" s="95" cm="1">
        <f ca="1" t="array" ref="K468">MIN(18,_xlfn.XLOOKUP($D468&amp;"_"&amp;K$52,$B$14:$B$36&amp;"_"&amp;$C$14:$C$36,$D$14:$D$36)*$E468)</f>
        <v>1.2488</v>
      </c>
      <c r="L468" s="95" cm="1">
        <f ca="1" t="array" ref="L468">MIN(6,_xlfn.XLOOKUP($D468&amp;"_"&amp;L$52,$B$14:$B$36&amp;"_"&amp;$C$14:$C$36,$D$14:$D$36)*$E468)</f>
        <v>2.3415</v>
      </c>
      <c r="M468" s="95" cm="1">
        <f ca="1" t="array" ref="M468">(1+SUMPRODUCT(G468:H468,OFFSET($H$40:$I$40,D468,0)))*(1+OFFSET($J$40,D468,0))^I468*(1+OFFSET($K$40,D468,0))^J468*(1+OFFSET($L$40,D468,0))^K468*(1+OFFSET($M$40,D468,0))^L468</f>
        <v>59.8088905297163</v>
      </c>
      <c r="N468" s="95">
        <f ca="1">MAX(MAX($N$53:N467),OFFSET($C$52,MATCH(M468*1.07,$M$53:$M$2052,1),0)-C468)</f>
        <v>4680</v>
      </c>
    </row>
    <row r="469" spans="2:14">
      <c r="B469" s="95">
        <v>417</v>
      </c>
      <c r="C469" s="95">
        <f t="shared" si="39"/>
        <v>150120</v>
      </c>
      <c r="D469" s="95">
        <f ca="1">_xlfn.XLOOKUP(总览!$B$44,$B$40:$B$45,$C$40:$C$45)</f>
        <v>5</v>
      </c>
      <c r="E469" s="95">
        <f ca="1" t="shared" si="36"/>
        <v>447</v>
      </c>
      <c r="F469" s="95">
        <f ca="1" t="shared" si="37"/>
        <v>0</v>
      </c>
      <c r="G469" s="95">
        <f ca="1" t="shared" si="38"/>
        <v>1.85661214285715</v>
      </c>
      <c r="H469" s="95" cm="1">
        <f ca="1" t="array" ref="H469">MIN(30-SUM(I469:L469),_xlfn.XLOOKUP($D469&amp;"_"&amp;H$52,$B$14:$B$36&amp;"_"&amp;$C$14:$C$36,$D$14:$D$36)*$E469,18)</f>
        <v>18</v>
      </c>
      <c r="I469" s="95" cm="1">
        <f ca="1" t="array" ref="I469">MIN(30-SUM(J469:L469),6-L469,_xlfn.XLOOKUP($D469&amp;"_"&amp;I$52,$B$14:$B$36&amp;"_"&amp;$C$14:$C$36,$D$14:$D$36)*$E469)</f>
        <v>3.19253785714285</v>
      </c>
      <c r="J469" s="95" cm="1">
        <f ca="1" t="array" ref="J469">MIN(8,_xlfn.XLOOKUP($D469&amp;"_"&amp;J$52,$B$14:$B$36&amp;"_"&amp;$C$14:$C$36,$D$14:$D$36)*$E469)</f>
        <v>3.3525</v>
      </c>
      <c r="K469" s="95" cm="1">
        <f ca="1" t="array" ref="K469">MIN(18,_xlfn.XLOOKUP($D469&amp;"_"&amp;K$52,$B$14:$B$36&amp;"_"&amp;$C$14:$C$36,$D$14:$D$36)*$E469)</f>
        <v>1.2516</v>
      </c>
      <c r="L469" s="95" cm="1">
        <f ca="1" t="array" ref="L469">MIN(6,_xlfn.XLOOKUP($D469&amp;"_"&amp;L$52,$B$14:$B$36&amp;"_"&amp;$C$14:$C$36,$D$14:$D$36)*$E469)</f>
        <v>2.34675</v>
      </c>
      <c r="M469" s="95" cm="1">
        <f ca="1" t="array" ref="M469">(1+SUMPRODUCT(G469:H469,OFFSET($H$40:$I$40,D469,0)))*(1+OFFSET($J$40,D469,0))^I469*(1+OFFSET($K$40,D469,0))^J469*(1+OFFSET($L$40,D469,0))^K469*(1+OFFSET($M$40,D469,0))^L469</f>
        <v>60.1134665833571</v>
      </c>
      <c r="N469" s="95">
        <f ca="1">MAX(MAX($N$53:N468),OFFSET($C$52,MATCH(M469*1.07,$M$53:$M$2052,1),0)-C469)</f>
        <v>4680</v>
      </c>
    </row>
    <row r="470" spans="2:14">
      <c r="B470" s="95">
        <v>418</v>
      </c>
      <c r="C470" s="95">
        <f t="shared" si="39"/>
        <v>150480</v>
      </c>
      <c r="D470" s="95">
        <f ca="1">_xlfn.XLOOKUP(总览!$B$44,$B$40:$B$45,$C$40:$C$45)</f>
        <v>5</v>
      </c>
      <c r="E470" s="95">
        <f ca="1" t="shared" si="36"/>
        <v>448</v>
      </c>
      <c r="F470" s="95">
        <f ca="1" t="shared" si="37"/>
        <v>0</v>
      </c>
      <c r="G470" s="95">
        <f ca="1" t="shared" si="38"/>
        <v>1.83392000000001</v>
      </c>
      <c r="H470" s="95" cm="1">
        <f ca="1" t="array" ref="H470">MIN(30-SUM(I470:L470),_xlfn.XLOOKUP($D470&amp;"_"&amp;H$52,$B$14:$B$36&amp;"_"&amp;$C$14:$C$36,$D$14:$D$36)*$E470,18)</f>
        <v>18</v>
      </c>
      <c r="I470" s="95" cm="1">
        <f ca="1" t="array" ref="I470">MIN(30-SUM(J470:L470),6-L470,_xlfn.XLOOKUP($D470&amp;"_"&amp;I$52,$B$14:$B$36&amp;"_"&amp;$C$14:$C$36,$D$14:$D$36)*$E470)</f>
        <v>3.19967999999999</v>
      </c>
      <c r="J470" s="95" cm="1">
        <f ca="1" t="array" ref="J470">MIN(8,_xlfn.XLOOKUP($D470&amp;"_"&amp;J$52,$B$14:$B$36&amp;"_"&amp;$C$14:$C$36,$D$14:$D$36)*$E470)</f>
        <v>3.36</v>
      </c>
      <c r="K470" s="95" cm="1">
        <f ca="1" t="array" ref="K470">MIN(18,_xlfn.XLOOKUP($D470&amp;"_"&amp;K$52,$B$14:$B$36&amp;"_"&amp;$C$14:$C$36,$D$14:$D$36)*$E470)</f>
        <v>1.2544</v>
      </c>
      <c r="L470" s="95" cm="1">
        <f ca="1" t="array" ref="L470">MIN(6,_xlfn.XLOOKUP($D470&amp;"_"&amp;L$52,$B$14:$B$36&amp;"_"&amp;$C$14:$C$36,$D$14:$D$36)*$E470)</f>
        <v>2.352</v>
      </c>
      <c r="M470" s="95" cm="1">
        <f ca="1" t="array" ref="M470">(1+SUMPRODUCT(G470:H470,OFFSET($H$40:$I$40,D470,0)))*(1+OFFSET($J$40,D470,0))^I470*(1+OFFSET($K$40,D470,0))^J470*(1+OFFSET($L$40,D470,0))^K470*(1+OFFSET($M$40,D470,0))^L470</f>
        <v>60.4195744252054</v>
      </c>
      <c r="N470" s="95">
        <f ca="1">MAX(MAX($N$53:N469),OFFSET($C$52,MATCH(M470*1.07,$M$53:$M$2052,1),0)-C470)</f>
        <v>4680</v>
      </c>
    </row>
    <row r="471" spans="2:14">
      <c r="B471" s="95">
        <v>419</v>
      </c>
      <c r="C471" s="95">
        <f t="shared" si="39"/>
        <v>150840</v>
      </c>
      <c r="D471" s="95">
        <f ca="1">_xlfn.XLOOKUP(总览!$B$44,$B$40:$B$45,$C$40:$C$45)</f>
        <v>5</v>
      </c>
      <c r="E471" s="95">
        <f ca="1" t="shared" si="36"/>
        <v>449</v>
      </c>
      <c r="F471" s="95">
        <f ca="1" t="shared" si="37"/>
        <v>0</v>
      </c>
      <c r="G471" s="95">
        <f ca="1" t="shared" si="38"/>
        <v>1.81122785714286</v>
      </c>
      <c r="H471" s="95" cm="1">
        <f ca="1" t="array" ref="H471">MIN(30-SUM(I471:L471),_xlfn.XLOOKUP($D471&amp;"_"&amp;H$52,$B$14:$B$36&amp;"_"&amp;$C$14:$C$36,$D$14:$D$36)*$E471,18)</f>
        <v>18</v>
      </c>
      <c r="I471" s="95" cm="1">
        <f ca="1" t="array" ref="I471">MIN(30-SUM(J471:L471),6-L471,_xlfn.XLOOKUP($D471&amp;"_"&amp;I$52,$B$14:$B$36&amp;"_"&amp;$C$14:$C$36,$D$14:$D$36)*$E471)</f>
        <v>3.20682214285714</v>
      </c>
      <c r="J471" s="95" cm="1">
        <f ca="1" t="array" ref="J471">MIN(8,_xlfn.XLOOKUP($D471&amp;"_"&amp;J$52,$B$14:$B$36&amp;"_"&amp;$C$14:$C$36,$D$14:$D$36)*$E471)</f>
        <v>3.3675</v>
      </c>
      <c r="K471" s="95" cm="1">
        <f ca="1" t="array" ref="K471">MIN(18,_xlfn.XLOOKUP($D471&amp;"_"&amp;K$52,$B$14:$B$36&amp;"_"&amp;$C$14:$C$36,$D$14:$D$36)*$E471)</f>
        <v>1.2572</v>
      </c>
      <c r="L471" s="95" cm="1">
        <f ca="1" t="array" ref="L471">MIN(6,_xlfn.XLOOKUP($D471&amp;"_"&amp;L$52,$B$14:$B$36&amp;"_"&amp;$C$14:$C$36,$D$14:$D$36)*$E471)</f>
        <v>2.35725</v>
      </c>
      <c r="M471" s="95" cm="1">
        <f ca="1" t="array" ref="M471">(1+SUMPRODUCT(G471:H471,OFFSET($H$40:$I$40,D471,0)))*(1+OFFSET($J$40,D471,0))^I471*(1+OFFSET($K$40,D471,0))^J471*(1+OFFSET($L$40,D471,0))^K471*(1+OFFSET($M$40,D471,0))^L471</f>
        <v>60.7272216378326</v>
      </c>
      <c r="N471" s="95">
        <f ca="1">MAX(MAX($N$53:N470),OFFSET($C$52,MATCH(M471*1.07,$M$53:$M$2052,1),0)-C471)</f>
        <v>4680</v>
      </c>
    </row>
    <row r="472" spans="2:14">
      <c r="B472" s="95">
        <v>420</v>
      </c>
      <c r="C472" s="95">
        <f t="shared" si="39"/>
        <v>151200</v>
      </c>
      <c r="D472" s="95">
        <f ca="1">_xlfn.XLOOKUP(总览!$B$44,$B$40:$B$45,$C$40:$C$45)</f>
        <v>5</v>
      </c>
      <c r="E472" s="95">
        <f ca="1" t="shared" si="36"/>
        <v>450</v>
      </c>
      <c r="F472" s="95">
        <f ca="1" t="shared" si="37"/>
        <v>0</v>
      </c>
      <c r="G472" s="95">
        <f ca="1" t="shared" si="38"/>
        <v>1.78853571428572</v>
      </c>
      <c r="H472" s="95" cm="1">
        <f ca="1" t="array" ref="H472">MIN(30-SUM(I472:L472),_xlfn.XLOOKUP($D472&amp;"_"&amp;H$52,$B$14:$B$36&amp;"_"&amp;$C$14:$C$36,$D$14:$D$36)*$E472,18)</f>
        <v>18</v>
      </c>
      <c r="I472" s="95" cm="1">
        <f ca="1" t="array" ref="I472">MIN(30-SUM(J472:L472),6-L472,_xlfn.XLOOKUP($D472&amp;"_"&amp;I$52,$B$14:$B$36&amp;"_"&amp;$C$14:$C$36,$D$14:$D$36)*$E472)</f>
        <v>3.21396428571428</v>
      </c>
      <c r="J472" s="95" cm="1">
        <f ca="1" t="array" ref="J472">MIN(8,_xlfn.XLOOKUP($D472&amp;"_"&amp;J$52,$B$14:$B$36&amp;"_"&amp;$C$14:$C$36,$D$14:$D$36)*$E472)</f>
        <v>3.375</v>
      </c>
      <c r="K472" s="95" cm="1">
        <f ca="1" t="array" ref="K472">MIN(18,_xlfn.XLOOKUP($D472&amp;"_"&amp;K$52,$B$14:$B$36&amp;"_"&amp;$C$14:$C$36,$D$14:$D$36)*$E472)</f>
        <v>1.26</v>
      </c>
      <c r="L472" s="95" cm="1">
        <f ca="1" t="array" ref="L472">MIN(6,_xlfn.XLOOKUP($D472&amp;"_"&amp;L$52,$B$14:$B$36&amp;"_"&amp;$C$14:$C$36,$D$14:$D$36)*$E472)</f>
        <v>2.3625</v>
      </c>
      <c r="M472" s="95" cm="1">
        <f ca="1" t="array" ref="M472">(1+SUMPRODUCT(G472:H472,OFFSET($H$40:$I$40,D472,0)))*(1+OFFSET($J$40,D472,0))^I472*(1+OFFSET($K$40,D472,0))^J472*(1+OFFSET($L$40,D472,0))^K472*(1+OFFSET($M$40,D472,0))^L472</f>
        <v>61.0364158405731</v>
      </c>
      <c r="N472" s="95">
        <f ca="1">MAX(MAX($N$53:N471),OFFSET($C$52,MATCH(M472*1.07,$M$53:$M$2052,1),0)-C472)</f>
        <v>4680</v>
      </c>
    </row>
    <row r="473" spans="2:14">
      <c r="B473" s="95">
        <v>421</v>
      </c>
      <c r="C473" s="95">
        <f t="shared" si="39"/>
        <v>151560</v>
      </c>
      <c r="D473" s="95">
        <f ca="1">_xlfn.XLOOKUP(总览!$B$44,$B$40:$B$45,$C$40:$C$45)</f>
        <v>5</v>
      </c>
      <c r="E473" s="95">
        <f ca="1" t="shared" si="36"/>
        <v>451</v>
      </c>
      <c r="F473" s="95">
        <f ca="1" t="shared" si="37"/>
        <v>0</v>
      </c>
      <c r="G473" s="95">
        <f ca="1" t="shared" si="38"/>
        <v>1.76584357142858</v>
      </c>
      <c r="H473" s="95" cm="1">
        <f ca="1" t="array" ref="H473">MIN(30-SUM(I473:L473),_xlfn.XLOOKUP($D473&amp;"_"&amp;H$52,$B$14:$B$36&amp;"_"&amp;$C$14:$C$36,$D$14:$D$36)*$E473,18)</f>
        <v>18</v>
      </c>
      <c r="I473" s="95" cm="1">
        <f ca="1" t="array" ref="I473">MIN(30-SUM(J473:L473),6-L473,_xlfn.XLOOKUP($D473&amp;"_"&amp;I$52,$B$14:$B$36&amp;"_"&amp;$C$14:$C$36,$D$14:$D$36)*$E473)</f>
        <v>3.22110642857142</v>
      </c>
      <c r="J473" s="95" cm="1">
        <f ca="1" t="array" ref="J473">MIN(8,_xlfn.XLOOKUP($D473&amp;"_"&amp;J$52,$B$14:$B$36&amp;"_"&amp;$C$14:$C$36,$D$14:$D$36)*$E473)</f>
        <v>3.3825</v>
      </c>
      <c r="K473" s="95" cm="1">
        <f ca="1" t="array" ref="K473">MIN(18,_xlfn.XLOOKUP($D473&amp;"_"&amp;K$52,$B$14:$B$36&amp;"_"&amp;$C$14:$C$36,$D$14:$D$36)*$E473)</f>
        <v>1.2628</v>
      </c>
      <c r="L473" s="95" cm="1">
        <f ca="1" t="array" ref="L473">MIN(6,_xlfn.XLOOKUP($D473&amp;"_"&amp;L$52,$B$14:$B$36&amp;"_"&amp;$C$14:$C$36,$D$14:$D$36)*$E473)</f>
        <v>2.36775</v>
      </c>
      <c r="M473" s="95" cm="1">
        <f ca="1" t="array" ref="M473">(1+SUMPRODUCT(G473:H473,OFFSET($H$40:$I$40,D473,0)))*(1+OFFSET($J$40,D473,0))^I473*(1+OFFSET($K$40,D473,0))^J473*(1+OFFSET($L$40,D473,0))^K473*(1+OFFSET($M$40,D473,0))^L473</f>
        <v>61.3471646896974</v>
      </c>
      <c r="N473" s="95">
        <f ca="1">MAX(MAX($N$53:N472),OFFSET($C$52,MATCH(M473*1.07,$M$53:$M$2052,1),0)-C473)</f>
        <v>4680</v>
      </c>
    </row>
    <row r="474" spans="2:14">
      <c r="B474" s="95">
        <v>422</v>
      </c>
      <c r="C474" s="95">
        <f t="shared" si="39"/>
        <v>151920</v>
      </c>
      <c r="D474" s="95">
        <f ca="1">_xlfn.XLOOKUP(总览!$B$44,$B$40:$B$45,$C$40:$C$45)</f>
        <v>5</v>
      </c>
      <c r="E474" s="95">
        <f ca="1" t="shared" si="36"/>
        <v>452</v>
      </c>
      <c r="F474" s="95">
        <f ca="1" t="shared" si="37"/>
        <v>0</v>
      </c>
      <c r="G474" s="95">
        <f ca="1" t="shared" si="38"/>
        <v>1.74315142857143</v>
      </c>
      <c r="H474" s="95" cm="1">
        <f ca="1" t="array" ref="H474">MIN(30-SUM(I474:L474),_xlfn.XLOOKUP($D474&amp;"_"&amp;H$52,$B$14:$B$36&amp;"_"&amp;$C$14:$C$36,$D$14:$D$36)*$E474,18)</f>
        <v>18</v>
      </c>
      <c r="I474" s="95" cm="1">
        <f ca="1" t="array" ref="I474">MIN(30-SUM(J474:L474),6-L474,_xlfn.XLOOKUP($D474&amp;"_"&amp;I$52,$B$14:$B$36&amp;"_"&amp;$C$14:$C$36,$D$14:$D$36)*$E474)</f>
        <v>3.22824857142856</v>
      </c>
      <c r="J474" s="95" cm="1">
        <f ca="1" t="array" ref="J474">MIN(8,_xlfn.XLOOKUP($D474&amp;"_"&amp;J$52,$B$14:$B$36&amp;"_"&amp;$C$14:$C$36,$D$14:$D$36)*$E474)</f>
        <v>3.39</v>
      </c>
      <c r="K474" s="95" cm="1">
        <f ca="1" t="array" ref="K474">MIN(18,_xlfn.XLOOKUP($D474&amp;"_"&amp;K$52,$B$14:$B$36&amp;"_"&amp;$C$14:$C$36,$D$14:$D$36)*$E474)</f>
        <v>1.2656</v>
      </c>
      <c r="L474" s="95" cm="1">
        <f ca="1" t="array" ref="L474">MIN(6,_xlfn.XLOOKUP($D474&amp;"_"&amp;L$52,$B$14:$B$36&amp;"_"&amp;$C$14:$C$36,$D$14:$D$36)*$E474)</f>
        <v>2.373</v>
      </c>
      <c r="M474" s="95" cm="1">
        <f ca="1" t="array" ref="M474">(1+SUMPRODUCT(G474:H474,OFFSET($H$40:$I$40,D474,0)))*(1+OFFSET($J$40,D474,0))^I474*(1+OFFSET($K$40,D474,0))^J474*(1+OFFSET($L$40,D474,0))^K474*(1+OFFSET($M$40,D474,0))^L474</f>
        <v>61.6594758785864</v>
      </c>
      <c r="N474" s="95">
        <f ca="1">MAX(MAX($N$53:N473),OFFSET($C$52,MATCH(M474*1.07,$M$53:$M$2052,1),0)-C474)</f>
        <v>4680</v>
      </c>
    </row>
    <row r="475" spans="2:14">
      <c r="B475" s="95">
        <v>423</v>
      </c>
      <c r="C475" s="95">
        <f t="shared" si="39"/>
        <v>152280</v>
      </c>
      <c r="D475" s="95">
        <f ca="1">_xlfn.XLOOKUP(总览!$B$44,$B$40:$B$45,$C$40:$C$45)</f>
        <v>5</v>
      </c>
      <c r="E475" s="95">
        <f ca="1" t="shared" si="36"/>
        <v>453</v>
      </c>
      <c r="F475" s="95">
        <f ca="1" t="shared" si="37"/>
        <v>0</v>
      </c>
      <c r="G475" s="95">
        <f ca="1" t="shared" si="38"/>
        <v>1.72045928571429</v>
      </c>
      <c r="H475" s="95" cm="1">
        <f ca="1" t="array" ref="H475">MIN(30-SUM(I475:L475),_xlfn.XLOOKUP($D475&amp;"_"&amp;H$52,$B$14:$B$36&amp;"_"&amp;$C$14:$C$36,$D$14:$D$36)*$E475,18)</f>
        <v>18</v>
      </c>
      <c r="I475" s="95" cm="1">
        <f ca="1" t="array" ref="I475">MIN(30-SUM(J475:L475),6-L475,_xlfn.XLOOKUP($D475&amp;"_"&amp;I$52,$B$14:$B$36&amp;"_"&amp;$C$14:$C$36,$D$14:$D$36)*$E475)</f>
        <v>3.23539071428571</v>
      </c>
      <c r="J475" s="95" cm="1">
        <f ca="1" t="array" ref="J475">MIN(8,_xlfn.XLOOKUP($D475&amp;"_"&amp;J$52,$B$14:$B$36&amp;"_"&amp;$C$14:$C$36,$D$14:$D$36)*$E475)</f>
        <v>3.3975</v>
      </c>
      <c r="K475" s="95" cm="1">
        <f ca="1" t="array" ref="K475">MIN(18,_xlfn.XLOOKUP($D475&amp;"_"&amp;K$52,$B$14:$B$36&amp;"_"&amp;$C$14:$C$36,$D$14:$D$36)*$E475)</f>
        <v>1.2684</v>
      </c>
      <c r="L475" s="95" cm="1">
        <f ca="1" t="array" ref="L475">MIN(6,_xlfn.XLOOKUP($D475&amp;"_"&amp;L$52,$B$14:$B$36&amp;"_"&amp;$C$14:$C$36,$D$14:$D$36)*$E475)</f>
        <v>2.37825</v>
      </c>
      <c r="M475" s="95" cm="1">
        <f ca="1" t="array" ref="M475">(1+SUMPRODUCT(G475:H475,OFFSET($H$40:$I$40,D475,0)))*(1+OFFSET($J$40,D475,0))^I475*(1+OFFSET($K$40,D475,0))^J475*(1+OFFSET($L$40,D475,0))^K475*(1+OFFSET($M$40,D475,0))^L475</f>
        <v>61.9733571379061</v>
      </c>
      <c r="N475" s="95">
        <f ca="1">MAX(MAX($N$53:N474),OFFSET($C$52,MATCH(M475*1.07,$M$53:$M$2052,1),0)-C475)</f>
        <v>4680</v>
      </c>
    </row>
    <row r="476" spans="2:14">
      <c r="B476" s="95">
        <v>424</v>
      </c>
      <c r="C476" s="95">
        <f t="shared" si="39"/>
        <v>152640</v>
      </c>
      <c r="D476" s="95">
        <f ca="1">_xlfn.XLOOKUP(总览!$B$44,$B$40:$B$45,$C$40:$C$45)</f>
        <v>5</v>
      </c>
      <c r="E476" s="95">
        <f ca="1" t="shared" si="36"/>
        <v>454</v>
      </c>
      <c r="F476" s="95">
        <f ca="1" t="shared" si="37"/>
        <v>0</v>
      </c>
      <c r="G476" s="95">
        <f ca="1" t="shared" si="38"/>
        <v>1.69776714285715</v>
      </c>
      <c r="H476" s="95" cm="1">
        <f ca="1" t="array" ref="H476">MIN(30-SUM(I476:L476),_xlfn.XLOOKUP($D476&amp;"_"&amp;H$52,$B$14:$B$36&amp;"_"&amp;$C$14:$C$36,$D$14:$D$36)*$E476,18)</f>
        <v>18</v>
      </c>
      <c r="I476" s="95" cm="1">
        <f ca="1" t="array" ref="I476">MIN(30-SUM(J476:L476),6-L476,_xlfn.XLOOKUP($D476&amp;"_"&amp;I$52,$B$14:$B$36&amp;"_"&amp;$C$14:$C$36,$D$14:$D$36)*$E476)</f>
        <v>3.24253285714285</v>
      </c>
      <c r="J476" s="95" cm="1">
        <f ca="1" t="array" ref="J476">MIN(8,_xlfn.XLOOKUP($D476&amp;"_"&amp;J$52,$B$14:$B$36&amp;"_"&amp;$C$14:$C$36,$D$14:$D$36)*$E476)</f>
        <v>3.405</v>
      </c>
      <c r="K476" s="95" cm="1">
        <f ca="1" t="array" ref="K476">MIN(18,_xlfn.XLOOKUP($D476&amp;"_"&amp;K$52,$B$14:$B$36&amp;"_"&amp;$C$14:$C$36,$D$14:$D$36)*$E476)</f>
        <v>1.2712</v>
      </c>
      <c r="L476" s="95" cm="1">
        <f ca="1" t="array" ref="L476">MIN(6,_xlfn.XLOOKUP($D476&amp;"_"&amp;L$52,$B$14:$B$36&amp;"_"&amp;$C$14:$C$36,$D$14:$D$36)*$E476)</f>
        <v>2.3835</v>
      </c>
      <c r="M476" s="95" cm="1">
        <f ca="1" t="array" ref="M476">(1+SUMPRODUCT(G476:H476,OFFSET($H$40:$I$40,D476,0)))*(1+OFFSET($J$40,D476,0))^I476*(1+OFFSET($K$40,D476,0))^J476*(1+OFFSET($L$40,D476,0))^K476*(1+OFFSET($M$40,D476,0))^L476</f>
        <v>62.2888162357832</v>
      </c>
      <c r="N476" s="95">
        <f ca="1">MAX(MAX($N$53:N475),OFFSET($C$52,MATCH(M476*1.07,$M$53:$M$2052,1),0)-C476)</f>
        <v>4680</v>
      </c>
    </row>
    <row r="477" spans="2:14">
      <c r="B477" s="95">
        <v>425</v>
      </c>
      <c r="C477" s="95">
        <f t="shared" si="39"/>
        <v>153000</v>
      </c>
      <c r="D477" s="95">
        <f ca="1">_xlfn.XLOOKUP(总览!$B$44,$B$40:$B$45,$C$40:$C$45)</f>
        <v>5</v>
      </c>
      <c r="E477" s="95">
        <f ca="1" t="shared" si="36"/>
        <v>455</v>
      </c>
      <c r="F477" s="95">
        <f ca="1" t="shared" si="37"/>
        <v>0</v>
      </c>
      <c r="G477" s="95">
        <f ca="1" t="shared" si="38"/>
        <v>1.67507500000001</v>
      </c>
      <c r="H477" s="95" cm="1">
        <f ca="1" t="array" ref="H477">MIN(30-SUM(I477:L477),_xlfn.XLOOKUP($D477&amp;"_"&amp;H$52,$B$14:$B$36&amp;"_"&amp;$C$14:$C$36,$D$14:$D$36)*$E477,18)</f>
        <v>18</v>
      </c>
      <c r="I477" s="95" cm="1">
        <f ca="1" t="array" ref="I477">MIN(30-SUM(J477:L477),6-L477,_xlfn.XLOOKUP($D477&amp;"_"&amp;I$52,$B$14:$B$36&amp;"_"&amp;$C$14:$C$36,$D$14:$D$36)*$E477)</f>
        <v>3.24967499999999</v>
      </c>
      <c r="J477" s="95" cm="1">
        <f ca="1" t="array" ref="J477">MIN(8,_xlfn.XLOOKUP($D477&amp;"_"&amp;J$52,$B$14:$B$36&amp;"_"&amp;$C$14:$C$36,$D$14:$D$36)*$E477)</f>
        <v>3.4125</v>
      </c>
      <c r="K477" s="95" cm="1">
        <f ca="1" t="array" ref="K477">MIN(18,_xlfn.XLOOKUP($D477&amp;"_"&amp;K$52,$B$14:$B$36&amp;"_"&amp;$C$14:$C$36,$D$14:$D$36)*$E477)</f>
        <v>1.274</v>
      </c>
      <c r="L477" s="95" cm="1">
        <f ca="1" t="array" ref="L477">MIN(6,_xlfn.XLOOKUP($D477&amp;"_"&amp;L$52,$B$14:$B$36&amp;"_"&amp;$C$14:$C$36,$D$14:$D$36)*$E477)</f>
        <v>2.38875</v>
      </c>
      <c r="M477" s="95" cm="1">
        <f ca="1" t="array" ref="M477">(1+SUMPRODUCT(G477:H477,OFFSET($H$40:$I$40,D477,0)))*(1+OFFSET($J$40,D477,0))^I477*(1+OFFSET($K$40,D477,0))^J477*(1+OFFSET($L$40,D477,0))^K477*(1+OFFSET($M$40,D477,0))^L477</f>
        <v>62.6058609779813</v>
      </c>
      <c r="N477" s="95">
        <f ca="1">MAX(MAX($N$53:N476),OFFSET($C$52,MATCH(M477*1.07,$M$53:$M$2052,1),0)-C477)</f>
        <v>4680</v>
      </c>
    </row>
    <row r="478" spans="2:14">
      <c r="B478" s="95">
        <v>426</v>
      </c>
      <c r="C478" s="95">
        <f t="shared" si="39"/>
        <v>153360</v>
      </c>
      <c r="D478" s="95">
        <f ca="1">_xlfn.XLOOKUP(总览!$B$44,$B$40:$B$45,$C$40:$C$45)</f>
        <v>5</v>
      </c>
      <c r="E478" s="95">
        <f ca="1" t="shared" si="36"/>
        <v>456</v>
      </c>
      <c r="F478" s="95">
        <f ca="1" t="shared" si="37"/>
        <v>0</v>
      </c>
      <c r="G478" s="95">
        <f ca="1" t="shared" si="38"/>
        <v>1.65238285714286</v>
      </c>
      <c r="H478" s="95" cm="1">
        <f ca="1" t="array" ref="H478">MIN(30-SUM(I478:L478),_xlfn.XLOOKUP($D478&amp;"_"&amp;H$52,$B$14:$B$36&amp;"_"&amp;$C$14:$C$36,$D$14:$D$36)*$E478,18)</f>
        <v>18</v>
      </c>
      <c r="I478" s="95" cm="1">
        <f ca="1" t="array" ref="I478">MIN(30-SUM(J478:L478),6-L478,_xlfn.XLOOKUP($D478&amp;"_"&amp;I$52,$B$14:$B$36&amp;"_"&amp;$C$14:$C$36,$D$14:$D$36)*$E478)</f>
        <v>3.25681714285714</v>
      </c>
      <c r="J478" s="95" cm="1">
        <f ca="1" t="array" ref="J478">MIN(8,_xlfn.XLOOKUP($D478&amp;"_"&amp;J$52,$B$14:$B$36&amp;"_"&amp;$C$14:$C$36,$D$14:$D$36)*$E478)</f>
        <v>3.42</v>
      </c>
      <c r="K478" s="95" cm="1">
        <f ca="1" t="array" ref="K478">MIN(18,_xlfn.XLOOKUP($D478&amp;"_"&amp;K$52,$B$14:$B$36&amp;"_"&amp;$C$14:$C$36,$D$14:$D$36)*$E478)</f>
        <v>1.2768</v>
      </c>
      <c r="L478" s="95" cm="1">
        <f ca="1" t="array" ref="L478">MIN(6,_xlfn.XLOOKUP($D478&amp;"_"&amp;L$52,$B$14:$B$36&amp;"_"&amp;$C$14:$C$36,$D$14:$D$36)*$E478)</f>
        <v>2.394</v>
      </c>
      <c r="M478" s="95" cm="1">
        <f ca="1" t="array" ref="M478">(1+SUMPRODUCT(G478:H478,OFFSET($H$40:$I$40,D478,0)))*(1+OFFSET($J$40,D478,0))^I478*(1+OFFSET($K$40,D478,0))^J478*(1+OFFSET($L$40,D478,0))^K478*(1+OFFSET($M$40,D478,0))^L478</f>
        <v>62.9244992080783</v>
      </c>
      <c r="N478" s="95">
        <f ca="1">MAX(MAX($N$53:N477),OFFSET($C$52,MATCH(M478*1.07,$M$53:$M$2052,1),0)-C478)</f>
        <v>4680</v>
      </c>
    </row>
    <row r="479" spans="2:14">
      <c r="B479" s="95">
        <v>427</v>
      </c>
      <c r="C479" s="95">
        <f t="shared" si="39"/>
        <v>153720</v>
      </c>
      <c r="D479" s="95">
        <f ca="1">_xlfn.XLOOKUP(总览!$B$44,$B$40:$B$45,$C$40:$C$45)</f>
        <v>5</v>
      </c>
      <c r="E479" s="95">
        <f ca="1" t="shared" si="36"/>
        <v>457</v>
      </c>
      <c r="F479" s="95">
        <f ca="1" t="shared" si="37"/>
        <v>0</v>
      </c>
      <c r="G479" s="95">
        <f ca="1" t="shared" si="38"/>
        <v>1.62969071428572</v>
      </c>
      <c r="H479" s="95" cm="1">
        <f ca="1" t="array" ref="H479">MIN(30-SUM(I479:L479),_xlfn.XLOOKUP($D479&amp;"_"&amp;H$52,$B$14:$B$36&amp;"_"&amp;$C$14:$C$36,$D$14:$D$36)*$E479,18)</f>
        <v>18</v>
      </c>
      <c r="I479" s="95" cm="1">
        <f ca="1" t="array" ref="I479">MIN(30-SUM(J479:L479),6-L479,_xlfn.XLOOKUP($D479&amp;"_"&amp;I$52,$B$14:$B$36&amp;"_"&amp;$C$14:$C$36,$D$14:$D$36)*$E479)</f>
        <v>3.26395928571428</v>
      </c>
      <c r="J479" s="95" cm="1">
        <f ca="1" t="array" ref="J479">MIN(8,_xlfn.XLOOKUP($D479&amp;"_"&amp;J$52,$B$14:$B$36&amp;"_"&amp;$C$14:$C$36,$D$14:$D$36)*$E479)</f>
        <v>3.4275</v>
      </c>
      <c r="K479" s="95" cm="1">
        <f ca="1" t="array" ref="K479">MIN(18,_xlfn.XLOOKUP($D479&amp;"_"&amp;K$52,$B$14:$B$36&amp;"_"&amp;$C$14:$C$36,$D$14:$D$36)*$E479)</f>
        <v>1.2796</v>
      </c>
      <c r="L479" s="95" cm="1">
        <f ca="1" t="array" ref="L479">MIN(6,_xlfn.XLOOKUP($D479&amp;"_"&amp;L$52,$B$14:$B$36&amp;"_"&amp;$C$14:$C$36,$D$14:$D$36)*$E479)</f>
        <v>2.39925</v>
      </c>
      <c r="M479" s="95" cm="1">
        <f ca="1" t="array" ref="M479">(1+SUMPRODUCT(G479:H479,OFFSET($H$40:$I$40,D479,0)))*(1+OFFSET($J$40,D479,0))^I479*(1+OFFSET($K$40,D479,0))^J479*(1+OFFSET($L$40,D479,0))^K479*(1+OFFSET($M$40,D479,0))^L479</f>
        <v>63.2447388076446</v>
      </c>
      <c r="N479" s="95">
        <f ca="1">MAX(MAX($N$53:N478),OFFSET($C$52,MATCH(M479*1.07,$M$53:$M$2052,1),0)-C479)</f>
        <v>4680</v>
      </c>
    </row>
    <row r="480" spans="2:14">
      <c r="B480" s="95">
        <v>428</v>
      </c>
      <c r="C480" s="95">
        <f t="shared" si="39"/>
        <v>154080</v>
      </c>
      <c r="D480" s="95">
        <f ca="1">_xlfn.XLOOKUP(总览!$B$44,$B$40:$B$45,$C$40:$C$45)</f>
        <v>5</v>
      </c>
      <c r="E480" s="95">
        <f ca="1" t="shared" si="36"/>
        <v>458</v>
      </c>
      <c r="F480" s="95">
        <f ca="1" t="shared" si="37"/>
        <v>0</v>
      </c>
      <c r="G480" s="95">
        <f ca="1" t="shared" si="38"/>
        <v>1.60699857142858</v>
      </c>
      <c r="H480" s="95" cm="1">
        <f ca="1" t="array" ref="H480">MIN(30-SUM(I480:L480),_xlfn.XLOOKUP($D480&amp;"_"&amp;H$52,$B$14:$B$36&amp;"_"&amp;$C$14:$C$36,$D$14:$D$36)*$E480,18)</f>
        <v>18</v>
      </c>
      <c r="I480" s="95" cm="1">
        <f ca="1" t="array" ref="I480">MIN(30-SUM(J480:L480),6-L480,_xlfn.XLOOKUP($D480&amp;"_"&amp;I$52,$B$14:$B$36&amp;"_"&amp;$C$14:$C$36,$D$14:$D$36)*$E480)</f>
        <v>3.27110142857142</v>
      </c>
      <c r="J480" s="95" cm="1">
        <f ca="1" t="array" ref="J480">MIN(8,_xlfn.XLOOKUP($D480&amp;"_"&amp;J$52,$B$14:$B$36&amp;"_"&amp;$C$14:$C$36,$D$14:$D$36)*$E480)</f>
        <v>3.435</v>
      </c>
      <c r="K480" s="95" cm="1">
        <f ca="1" t="array" ref="K480">MIN(18,_xlfn.XLOOKUP($D480&amp;"_"&amp;K$52,$B$14:$B$36&amp;"_"&amp;$C$14:$C$36,$D$14:$D$36)*$E480)</f>
        <v>1.2824</v>
      </c>
      <c r="L480" s="95" cm="1">
        <f ca="1" t="array" ref="L480">MIN(6,_xlfn.XLOOKUP($D480&amp;"_"&amp;L$52,$B$14:$B$36&amp;"_"&amp;$C$14:$C$36,$D$14:$D$36)*$E480)</f>
        <v>2.4045</v>
      </c>
      <c r="M480" s="95" cm="1">
        <f ca="1" t="array" ref="M480">(1+SUMPRODUCT(G480:H480,OFFSET($H$40:$I$40,D480,0)))*(1+OFFSET($J$40,D480,0))^I480*(1+OFFSET($K$40,D480,0))^J480*(1+OFFSET($L$40,D480,0))^K480*(1+OFFSET($M$40,D480,0))^L480</f>
        <v>63.5665876964214</v>
      </c>
      <c r="N480" s="95">
        <f ca="1">MAX(MAX($N$53:N479),OFFSET($C$52,MATCH(M480*1.07,$M$53:$M$2052,1),0)-C480)</f>
        <v>4680</v>
      </c>
    </row>
    <row r="481" spans="2:14">
      <c r="B481" s="95">
        <v>429</v>
      </c>
      <c r="C481" s="95">
        <f t="shared" si="39"/>
        <v>154440</v>
      </c>
      <c r="D481" s="95">
        <f ca="1">_xlfn.XLOOKUP(总览!$B$44,$B$40:$B$45,$C$40:$C$45)</f>
        <v>5</v>
      </c>
      <c r="E481" s="95">
        <f ca="1" t="shared" si="36"/>
        <v>459</v>
      </c>
      <c r="F481" s="95">
        <f ca="1" t="shared" si="37"/>
        <v>0</v>
      </c>
      <c r="G481" s="95">
        <f ca="1" t="shared" si="38"/>
        <v>1.58430642857144</v>
      </c>
      <c r="H481" s="95" cm="1">
        <f ca="1" t="array" ref="H481">MIN(30-SUM(I481:L481),_xlfn.XLOOKUP($D481&amp;"_"&amp;H$52,$B$14:$B$36&amp;"_"&amp;$C$14:$C$36,$D$14:$D$36)*$E481,18)</f>
        <v>18</v>
      </c>
      <c r="I481" s="95" cm="1">
        <f ca="1" t="array" ref="I481">MIN(30-SUM(J481:L481),6-L481,_xlfn.XLOOKUP($D481&amp;"_"&amp;I$52,$B$14:$B$36&amp;"_"&amp;$C$14:$C$36,$D$14:$D$36)*$E481)</f>
        <v>3.27824357142856</v>
      </c>
      <c r="J481" s="95" cm="1">
        <f ca="1" t="array" ref="J481">MIN(8,_xlfn.XLOOKUP($D481&amp;"_"&amp;J$52,$B$14:$B$36&amp;"_"&amp;$C$14:$C$36,$D$14:$D$36)*$E481)</f>
        <v>3.4425</v>
      </c>
      <c r="K481" s="95" cm="1">
        <f ca="1" t="array" ref="K481">MIN(18,_xlfn.XLOOKUP($D481&amp;"_"&amp;K$52,$B$14:$B$36&amp;"_"&amp;$C$14:$C$36,$D$14:$D$36)*$E481)</f>
        <v>1.2852</v>
      </c>
      <c r="L481" s="95" cm="1">
        <f ca="1" t="array" ref="L481">MIN(6,_xlfn.XLOOKUP($D481&amp;"_"&amp;L$52,$B$14:$B$36&amp;"_"&amp;$C$14:$C$36,$D$14:$D$36)*$E481)</f>
        <v>2.40975</v>
      </c>
      <c r="M481" s="95" cm="1">
        <f ca="1" t="array" ref="M481">(1+SUMPRODUCT(G481:H481,OFFSET($H$40:$I$40,D481,0)))*(1+OFFSET($J$40,D481,0))^I481*(1+OFFSET($K$40,D481,0))^J481*(1+OFFSET($L$40,D481,0))^K481*(1+OFFSET($M$40,D481,0))^L481</f>
        <v>63.8900538325007</v>
      </c>
      <c r="N481" s="95">
        <f ca="1">MAX(MAX($N$53:N480),OFFSET($C$52,MATCH(M481*1.07,$M$53:$M$2052,1),0)-C481)</f>
        <v>4680</v>
      </c>
    </row>
    <row r="482" spans="2:14">
      <c r="B482" s="95">
        <v>430</v>
      </c>
      <c r="C482" s="95">
        <f t="shared" si="39"/>
        <v>154800</v>
      </c>
      <c r="D482" s="95">
        <f ca="1">_xlfn.XLOOKUP(总览!$B$44,$B$40:$B$45,$C$40:$C$45)</f>
        <v>5</v>
      </c>
      <c r="E482" s="95">
        <f ca="1" t="shared" si="36"/>
        <v>460</v>
      </c>
      <c r="F482" s="95">
        <f ca="1" t="shared" si="37"/>
        <v>0</v>
      </c>
      <c r="G482" s="95">
        <f ca="1" t="shared" si="38"/>
        <v>1.56161428571429</v>
      </c>
      <c r="H482" s="95" cm="1">
        <f ca="1" t="array" ref="H482">MIN(30-SUM(I482:L482),_xlfn.XLOOKUP($D482&amp;"_"&amp;H$52,$B$14:$B$36&amp;"_"&amp;$C$14:$C$36,$D$14:$D$36)*$E482,18)</f>
        <v>18</v>
      </c>
      <c r="I482" s="95" cm="1">
        <f ca="1" t="array" ref="I482">MIN(30-SUM(J482:L482),6-L482,_xlfn.XLOOKUP($D482&amp;"_"&amp;I$52,$B$14:$B$36&amp;"_"&amp;$C$14:$C$36,$D$14:$D$36)*$E482)</f>
        <v>3.28538571428571</v>
      </c>
      <c r="J482" s="95" cm="1">
        <f ca="1" t="array" ref="J482">MIN(8,_xlfn.XLOOKUP($D482&amp;"_"&amp;J$52,$B$14:$B$36&amp;"_"&amp;$C$14:$C$36,$D$14:$D$36)*$E482)</f>
        <v>3.45</v>
      </c>
      <c r="K482" s="95" cm="1">
        <f ca="1" t="array" ref="K482">MIN(18,_xlfn.XLOOKUP($D482&amp;"_"&amp;K$52,$B$14:$B$36&amp;"_"&amp;$C$14:$C$36,$D$14:$D$36)*$E482)</f>
        <v>1.288</v>
      </c>
      <c r="L482" s="95" cm="1">
        <f ca="1" t="array" ref="L482">MIN(6,_xlfn.XLOOKUP($D482&amp;"_"&amp;L$52,$B$14:$B$36&amp;"_"&amp;$C$14:$C$36,$D$14:$D$36)*$E482)</f>
        <v>2.415</v>
      </c>
      <c r="M482" s="95" cm="1">
        <f ca="1" t="array" ref="M482">(1+SUMPRODUCT(G482:H482,OFFSET($H$40:$I$40,D482,0)))*(1+OFFSET($J$40,D482,0))^I482*(1+OFFSET($K$40,D482,0))^J482*(1+OFFSET($L$40,D482,0))^K482*(1+OFFSET($M$40,D482,0))^L482</f>
        <v>64.2151452125055</v>
      </c>
      <c r="N482" s="95">
        <f ca="1">MAX(MAX($N$53:N481),OFFSET($C$52,MATCH(M482*1.07,$M$53:$M$2052,1),0)-C482)</f>
        <v>4680</v>
      </c>
    </row>
    <row r="483" spans="2:14">
      <c r="B483" s="95">
        <v>431</v>
      </c>
      <c r="C483" s="95">
        <f t="shared" si="39"/>
        <v>155160</v>
      </c>
      <c r="D483" s="95">
        <f ca="1">_xlfn.XLOOKUP(总览!$B$44,$B$40:$B$45,$C$40:$C$45)</f>
        <v>5</v>
      </c>
      <c r="E483" s="95">
        <f ca="1" t="shared" si="36"/>
        <v>461</v>
      </c>
      <c r="F483" s="95">
        <f ca="1" t="shared" si="37"/>
        <v>0</v>
      </c>
      <c r="G483" s="95">
        <f ca="1" t="shared" si="38"/>
        <v>1.53892214285715</v>
      </c>
      <c r="H483" s="95" cm="1">
        <f ca="1" t="array" ref="H483">MIN(30-SUM(I483:L483),_xlfn.XLOOKUP($D483&amp;"_"&amp;H$52,$B$14:$B$36&amp;"_"&amp;$C$14:$C$36,$D$14:$D$36)*$E483,18)</f>
        <v>18</v>
      </c>
      <c r="I483" s="95" cm="1">
        <f ca="1" t="array" ref="I483">MIN(30-SUM(J483:L483),6-L483,_xlfn.XLOOKUP($D483&amp;"_"&amp;I$52,$B$14:$B$36&amp;"_"&amp;$C$14:$C$36,$D$14:$D$36)*$E483)</f>
        <v>3.29252785714285</v>
      </c>
      <c r="J483" s="95" cm="1">
        <f ca="1" t="array" ref="J483">MIN(8,_xlfn.XLOOKUP($D483&amp;"_"&amp;J$52,$B$14:$B$36&amp;"_"&amp;$C$14:$C$36,$D$14:$D$36)*$E483)</f>
        <v>3.4575</v>
      </c>
      <c r="K483" s="95" cm="1">
        <f ca="1" t="array" ref="K483">MIN(18,_xlfn.XLOOKUP($D483&amp;"_"&amp;K$52,$B$14:$B$36&amp;"_"&amp;$C$14:$C$36,$D$14:$D$36)*$E483)</f>
        <v>1.2908</v>
      </c>
      <c r="L483" s="95" cm="1">
        <f ca="1" t="array" ref="L483">MIN(6,_xlfn.XLOOKUP($D483&amp;"_"&amp;L$52,$B$14:$B$36&amp;"_"&amp;$C$14:$C$36,$D$14:$D$36)*$E483)</f>
        <v>2.42025</v>
      </c>
      <c r="M483" s="95" cm="1">
        <f ca="1" t="array" ref="M483">(1+SUMPRODUCT(G483:H483,OFFSET($H$40:$I$40,D483,0)))*(1+OFFSET($J$40,D483,0))^I483*(1+OFFSET($K$40,D483,0))^J483*(1+OFFSET($L$40,D483,0))^K483*(1+OFFSET($M$40,D483,0))^L483</f>
        <v>64.5418698717713</v>
      </c>
      <c r="N483" s="95">
        <f ca="1">MAX(MAX($N$53:N482),OFFSET($C$52,MATCH(M483*1.07,$M$53:$M$2052,1),0)-C483)</f>
        <v>4680</v>
      </c>
    </row>
    <row r="484" spans="2:14">
      <c r="B484" s="95">
        <v>432</v>
      </c>
      <c r="C484" s="95">
        <f t="shared" si="39"/>
        <v>155520</v>
      </c>
      <c r="D484" s="95">
        <f ca="1">_xlfn.XLOOKUP(总览!$B$44,$B$40:$B$45,$C$40:$C$45)</f>
        <v>5</v>
      </c>
      <c r="E484" s="95">
        <f ca="1" t="shared" si="36"/>
        <v>462</v>
      </c>
      <c r="F484" s="95">
        <f ca="1" t="shared" si="37"/>
        <v>0</v>
      </c>
      <c r="G484" s="95">
        <f ca="1" t="shared" si="38"/>
        <v>1.51623000000001</v>
      </c>
      <c r="H484" s="95" cm="1">
        <f ca="1" t="array" ref="H484">MIN(30-SUM(I484:L484),_xlfn.XLOOKUP($D484&amp;"_"&amp;H$52,$B$14:$B$36&amp;"_"&amp;$C$14:$C$36,$D$14:$D$36)*$E484,18)</f>
        <v>18</v>
      </c>
      <c r="I484" s="95" cm="1">
        <f ca="1" t="array" ref="I484">MIN(30-SUM(J484:L484),6-L484,_xlfn.XLOOKUP($D484&amp;"_"&amp;I$52,$B$14:$B$36&amp;"_"&amp;$C$14:$C$36,$D$14:$D$36)*$E484)</f>
        <v>3.29966999999999</v>
      </c>
      <c r="J484" s="95" cm="1">
        <f ca="1" t="array" ref="J484">MIN(8,_xlfn.XLOOKUP($D484&amp;"_"&amp;J$52,$B$14:$B$36&amp;"_"&amp;$C$14:$C$36,$D$14:$D$36)*$E484)</f>
        <v>3.465</v>
      </c>
      <c r="K484" s="95" cm="1">
        <f ca="1" t="array" ref="K484">MIN(18,_xlfn.XLOOKUP($D484&amp;"_"&amp;K$52,$B$14:$B$36&amp;"_"&amp;$C$14:$C$36,$D$14:$D$36)*$E484)</f>
        <v>1.2936</v>
      </c>
      <c r="L484" s="95" cm="1">
        <f ca="1" t="array" ref="L484">MIN(6,_xlfn.XLOOKUP($D484&amp;"_"&amp;L$52,$B$14:$B$36&amp;"_"&amp;$C$14:$C$36,$D$14:$D$36)*$E484)</f>
        <v>2.4255</v>
      </c>
      <c r="M484" s="95" cm="1">
        <f ca="1" t="array" ref="M484">(1+SUMPRODUCT(G484:H484,OFFSET($H$40:$I$40,D484,0)))*(1+OFFSET($J$40,D484,0))^I484*(1+OFFSET($K$40,D484,0))^J484*(1+OFFSET($L$40,D484,0))^K484*(1+OFFSET($M$40,D484,0))^L484</f>
        <v>64.8702358845278</v>
      </c>
      <c r="N484" s="95">
        <f ca="1">MAX(MAX($N$53:N483),OFFSET($C$52,MATCH(M484*1.07,$M$53:$M$2052,1),0)-C484)</f>
        <v>4680</v>
      </c>
    </row>
    <row r="485" spans="2:14">
      <c r="B485" s="95">
        <v>433</v>
      </c>
      <c r="C485" s="95">
        <f t="shared" si="39"/>
        <v>155880</v>
      </c>
      <c r="D485" s="95">
        <f ca="1">_xlfn.XLOOKUP(总览!$B$44,$B$40:$B$45,$C$40:$C$45)</f>
        <v>5</v>
      </c>
      <c r="E485" s="95">
        <f ca="1" t="shared" si="36"/>
        <v>463</v>
      </c>
      <c r="F485" s="95">
        <f ca="1" t="shared" si="37"/>
        <v>0</v>
      </c>
      <c r="G485" s="95">
        <f ca="1" t="shared" si="38"/>
        <v>1.49353785714287</v>
      </c>
      <c r="H485" s="95" cm="1">
        <f ca="1" t="array" ref="H485">MIN(30-SUM(I485:L485),_xlfn.XLOOKUP($D485&amp;"_"&amp;H$52,$B$14:$B$36&amp;"_"&amp;$C$14:$C$36,$D$14:$D$36)*$E485,18)</f>
        <v>18</v>
      </c>
      <c r="I485" s="95" cm="1">
        <f ca="1" t="array" ref="I485">MIN(30-SUM(J485:L485),6-L485,_xlfn.XLOOKUP($D485&amp;"_"&amp;I$52,$B$14:$B$36&amp;"_"&amp;$C$14:$C$36,$D$14:$D$36)*$E485)</f>
        <v>3.30681214285714</v>
      </c>
      <c r="J485" s="95" cm="1">
        <f ca="1" t="array" ref="J485">MIN(8,_xlfn.XLOOKUP($D485&amp;"_"&amp;J$52,$B$14:$B$36&amp;"_"&amp;$C$14:$C$36,$D$14:$D$36)*$E485)</f>
        <v>3.4725</v>
      </c>
      <c r="K485" s="95" cm="1">
        <f ca="1" t="array" ref="K485">MIN(18,_xlfn.XLOOKUP($D485&amp;"_"&amp;K$52,$B$14:$B$36&amp;"_"&amp;$C$14:$C$36,$D$14:$D$36)*$E485)</f>
        <v>1.2964</v>
      </c>
      <c r="L485" s="95" cm="1">
        <f ca="1" t="array" ref="L485">MIN(6,_xlfn.XLOOKUP($D485&amp;"_"&amp;L$52,$B$14:$B$36&amp;"_"&amp;$C$14:$C$36,$D$14:$D$36)*$E485)</f>
        <v>2.43075</v>
      </c>
      <c r="M485" s="95" cm="1">
        <f ca="1" t="array" ref="M485">(1+SUMPRODUCT(G485:H485,OFFSET($H$40:$I$40,D485,0)))*(1+OFFSET($J$40,D485,0))^I485*(1+OFFSET($K$40,D485,0))^J485*(1+OFFSET($L$40,D485,0))^K485*(1+OFFSET($M$40,D485,0))^L485</f>
        <v>65.200251364082</v>
      </c>
      <c r="N485" s="95">
        <f ca="1">MAX(MAX($N$53:N484),OFFSET($C$52,MATCH(M485*1.07,$M$53:$M$2052,1),0)-C485)</f>
        <v>4680</v>
      </c>
    </row>
    <row r="486" spans="2:14">
      <c r="B486" s="95">
        <v>434</v>
      </c>
      <c r="C486" s="95">
        <f t="shared" si="39"/>
        <v>156240</v>
      </c>
      <c r="D486" s="95">
        <f ca="1">_xlfn.XLOOKUP(总览!$B$44,$B$40:$B$45,$C$40:$C$45)</f>
        <v>5</v>
      </c>
      <c r="E486" s="95">
        <f ca="1" t="shared" si="36"/>
        <v>464</v>
      </c>
      <c r="F486" s="95">
        <f ca="1" t="shared" si="37"/>
        <v>0</v>
      </c>
      <c r="G486" s="95">
        <f ca="1" t="shared" si="38"/>
        <v>1.47084571428572</v>
      </c>
      <c r="H486" s="95" cm="1">
        <f ca="1" t="array" ref="H486">MIN(30-SUM(I486:L486),_xlfn.XLOOKUP($D486&amp;"_"&amp;H$52,$B$14:$B$36&amp;"_"&amp;$C$14:$C$36,$D$14:$D$36)*$E486,18)</f>
        <v>18</v>
      </c>
      <c r="I486" s="95" cm="1">
        <f ca="1" t="array" ref="I486">MIN(30-SUM(J486:L486),6-L486,_xlfn.XLOOKUP($D486&amp;"_"&amp;I$52,$B$14:$B$36&amp;"_"&amp;$C$14:$C$36,$D$14:$D$36)*$E486)</f>
        <v>3.31395428571428</v>
      </c>
      <c r="J486" s="95" cm="1">
        <f ca="1" t="array" ref="J486">MIN(8,_xlfn.XLOOKUP($D486&amp;"_"&amp;J$52,$B$14:$B$36&amp;"_"&amp;$C$14:$C$36,$D$14:$D$36)*$E486)</f>
        <v>3.48</v>
      </c>
      <c r="K486" s="95" cm="1">
        <f ca="1" t="array" ref="K486">MIN(18,_xlfn.XLOOKUP($D486&amp;"_"&amp;K$52,$B$14:$B$36&amp;"_"&amp;$C$14:$C$36,$D$14:$D$36)*$E486)</f>
        <v>1.2992</v>
      </c>
      <c r="L486" s="95" cm="1">
        <f ca="1" t="array" ref="L486">MIN(6,_xlfn.XLOOKUP($D486&amp;"_"&amp;L$52,$B$14:$B$36&amp;"_"&amp;$C$14:$C$36,$D$14:$D$36)*$E486)</f>
        <v>2.436</v>
      </c>
      <c r="M486" s="95" cm="1">
        <f ca="1" t="array" ref="M486">(1+SUMPRODUCT(G486:H486,OFFSET($H$40:$I$40,D486,0)))*(1+OFFSET($J$40,D486,0))^I486*(1+OFFSET($K$40,D486,0))^J486*(1+OFFSET($L$40,D486,0))^K486*(1+OFFSET($M$40,D486,0))^L486</f>
        <v>65.5319244630018</v>
      </c>
      <c r="N486" s="95">
        <f ca="1">MAX(MAX($N$53:N485),OFFSET($C$52,MATCH(M486*1.07,$M$53:$M$2052,1),0)-C486)</f>
        <v>4680</v>
      </c>
    </row>
    <row r="487" spans="2:14">
      <c r="B487" s="95">
        <v>435</v>
      </c>
      <c r="C487" s="95">
        <f t="shared" si="39"/>
        <v>156600</v>
      </c>
      <c r="D487" s="95">
        <f ca="1">_xlfn.XLOOKUP(总览!$B$44,$B$40:$B$45,$C$40:$C$45)</f>
        <v>5</v>
      </c>
      <c r="E487" s="95">
        <f ca="1" t="shared" si="36"/>
        <v>465</v>
      </c>
      <c r="F487" s="95">
        <f ca="1" t="shared" si="37"/>
        <v>0</v>
      </c>
      <c r="G487" s="95">
        <f ca="1" t="shared" si="38"/>
        <v>1.44815357142858</v>
      </c>
      <c r="H487" s="95" cm="1">
        <f ca="1" t="array" ref="H487">MIN(30-SUM(I487:L487),_xlfn.XLOOKUP($D487&amp;"_"&amp;H$52,$B$14:$B$36&amp;"_"&amp;$C$14:$C$36,$D$14:$D$36)*$E487,18)</f>
        <v>18</v>
      </c>
      <c r="I487" s="95" cm="1">
        <f ca="1" t="array" ref="I487">MIN(30-SUM(J487:L487),6-L487,_xlfn.XLOOKUP($D487&amp;"_"&amp;I$52,$B$14:$B$36&amp;"_"&amp;$C$14:$C$36,$D$14:$D$36)*$E487)</f>
        <v>3.32109642857142</v>
      </c>
      <c r="J487" s="95" cm="1">
        <f ca="1" t="array" ref="J487">MIN(8,_xlfn.XLOOKUP($D487&amp;"_"&amp;J$52,$B$14:$B$36&amp;"_"&amp;$C$14:$C$36,$D$14:$D$36)*$E487)</f>
        <v>3.4875</v>
      </c>
      <c r="K487" s="95" cm="1">
        <f ca="1" t="array" ref="K487">MIN(18,_xlfn.XLOOKUP($D487&amp;"_"&amp;K$52,$B$14:$B$36&amp;"_"&amp;$C$14:$C$36,$D$14:$D$36)*$E487)</f>
        <v>1.302</v>
      </c>
      <c r="L487" s="95" cm="1">
        <f ca="1" t="array" ref="L487">MIN(6,_xlfn.XLOOKUP($D487&amp;"_"&amp;L$52,$B$14:$B$36&amp;"_"&amp;$C$14:$C$36,$D$14:$D$36)*$E487)</f>
        <v>2.44125</v>
      </c>
      <c r="M487" s="95" cm="1">
        <f ca="1" t="array" ref="M487">(1+SUMPRODUCT(G487:H487,OFFSET($H$40:$I$40,D487,0)))*(1+OFFSET($J$40,D487,0))^I487*(1+OFFSET($K$40,D487,0))^J487*(1+OFFSET($L$40,D487,0))^K487*(1+OFFSET($M$40,D487,0))^L487</f>
        <v>65.8652633733005</v>
      </c>
      <c r="N487" s="95">
        <f ca="1">MAX(MAX($N$53:N486),OFFSET($C$52,MATCH(M487*1.07,$M$53:$M$2052,1),0)-C487)</f>
        <v>4680</v>
      </c>
    </row>
    <row r="488" spans="2:14">
      <c r="B488" s="95">
        <v>436</v>
      </c>
      <c r="C488" s="95">
        <f t="shared" si="39"/>
        <v>156960</v>
      </c>
      <c r="D488" s="95">
        <f ca="1">_xlfn.XLOOKUP(总览!$B$44,$B$40:$B$45,$C$40:$C$45)</f>
        <v>5</v>
      </c>
      <c r="E488" s="95">
        <f ca="1" t="shared" si="36"/>
        <v>466</v>
      </c>
      <c r="F488" s="95">
        <f ca="1" t="shared" si="37"/>
        <v>0</v>
      </c>
      <c r="G488" s="95">
        <f ca="1" t="shared" si="38"/>
        <v>1.42546142857143</v>
      </c>
      <c r="H488" s="95" cm="1">
        <f ca="1" t="array" ref="H488">MIN(30-SUM(I488:L488),_xlfn.XLOOKUP($D488&amp;"_"&amp;H$52,$B$14:$B$36&amp;"_"&amp;$C$14:$C$36,$D$14:$D$36)*$E488,18)</f>
        <v>18</v>
      </c>
      <c r="I488" s="95" cm="1">
        <f ca="1" t="array" ref="I488">MIN(30-SUM(J488:L488),6-L488,_xlfn.XLOOKUP($D488&amp;"_"&amp;I$52,$B$14:$B$36&amp;"_"&amp;$C$14:$C$36,$D$14:$D$36)*$E488)</f>
        <v>3.32823857142856</v>
      </c>
      <c r="J488" s="95" cm="1">
        <f ca="1" t="array" ref="J488">MIN(8,_xlfn.XLOOKUP($D488&amp;"_"&amp;J$52,$B$14:$B$36&amp;"_"&amp;$C$14:$C$36,$D$14:$D$36)*$E488)</f>
        <v>3.495</v>
      </c>
      <c r="K488" s="95" cm="1">
        <f ca="1" t="array" ref="K488">MIN(18,_xlfn.XLOOKUP($D488&amp;"_"&amp;K$52,$B$14:$B$36&amp;"_"&amp;$C$14:$C$36,$D$14:$D$36)*$E488)</f>
        <v>1.3048</v>
      </c>
      <c r="L488" s="95" cm="1">
        <f ca="1" t="array" ref="L488">MIN(6,_xlfn.XLOOKUP($D488&amp;"_"&amp;L$52,$B$14:$B$36&amp;"_"&amp;$C$14:$C$36,$D$14:$D$36)*$E488)</f>
        <v>2.4465</v>
      </c>
      <c r="M488" s="95" cm="1">
        <f ca="1" t="array" ref="M488">(1+SUMPRODUCT(G488:H488,OFFSET($H$40:$I$40,D488,0)))*(1+OFFSET($J$40,D488,0))^I488*(1+OFFSET($K$40,D488,0))^J488*(1+OFFSET($L$40,D488,0))^K488*(1+OFFSET($M$40,D488,0))^L488</f>
        <v>66.2002763266224</v>
      </c>
      <c r="N488" s="95">
        <f ca="1">MAX(MAX($N$53:N487),OFFSET($C$52,MATCH(M488*1.07,$M$53:$M$2052,1),0)-C488)</f>
        <v>4680</v>
      </c>
    </row>
    <row r="489" spans="2:14">
      <c r="B489" s="95">
        <v>437</v>
      </c>
      <c r="C489" s="95">
        <f t="shared" si="39"/>
        <v>157320</v>
      </c>
      <c r="D489" s="95">
        <f ca="1">_xlfn.XLOOKUP(总览!$B$44,$B$40:$B$45,$C$40:$C$45)</f>
        <v>5</v>
      </c>
      <c r="E489" s="95">
        <f ca="1" t="shared" si="36"/>
        <v>467</v>
      </c>
      <c r="F489" s="95">
        <f ca="1" t="shared" si="37"/>
        <v>0</v>
      </c>
      <c r="G489" s="95">
        <f ca="1" t="shared" si="38"/>
        <v>1.40276928571429</v>
      </c>
      <c r="H489" s="95" cm="1">
        <f ca="1" t="array" ref="H489">MIN(30-SUM(I489:L489),_xlfn.XLOOKUP($D489&amp;"_"&amp;H$52,$B$14:$B$36&amp;"_"&amp;$C$14:$C$36,$D$14:$D$36)*$E489,18)</f>
        <v>18</v>
      </c>
      <c r="I489" s="95" cm="1">
        <f ca="1" t="array" ref="I489">MIN(30-SUM(J489:L489),6-L489,_xlfn.XLOOKUP($D489&amp;"_"&amp;I$52,$B$14:$B$36&amp;"_"&amp;$C$14:$C$36,$D$14:$D$36)*$E489)</f>
        <v>3.33538071428571</v>
      </c>
      <c r="J489" s="95" cm="1">
        <f ca="1" t="array" ref="J489">MIN(8,_xlfn.XLOOKUP($D489&amp;"_"&amp;J$52,$B$14:$B$36&amp;"_"&amp;$C$14:$C$36,$D$14:$D$36)*$E489)</f>
        <v>3.5025</v>
      </c>
      <c r="K489" s="95" cm="1">
        <f ca="1" t="array" ref="K489">MIN(18,_xlfn.XLOOKUP($D489&amp;"_"&amp;K$52,$B$14:$B$36&amp;"_"&amp;$C$14:$C$36,$D$14:$D$36)*$E489)</f>
        <v>1.3076</v>
      </c>
      <c r="L489" s="95" cm="1">
        <f ca="1" t="array" ref="L489">MIN(6,_xlfn.XLOOKUP($D489&amp;"_"&amp;L$52,$B$14:$B$36&amp;"_"&amp;$C$14:$C$36,$D$14:$D$36)*$E489)</f>
        <v>2.45175</v>
      </c>
      <c r="M489" s="95" cm="1">
        <f ca="1" t="array" ref="M489">(1+SUMPRODUCT(G489:H489,OFFSET($H$40:$I$40,D489,0)))*(1+OFFSET($J$40,D489,0))^I489*(1+OFFSET($K$40,D489,0))^J489*(1+OFFSET($L$40,D489,0))^K489*(1+OFFSET($M$40,D489,0))^L489</f>
        <v>66.5369715944285</v>
      </c>
      <c r="N489" s="95">
        <f ca="1">MAX(MAX($N$53:N488),OFFSET($C$52,MATCH(M489*1.07,$M$53:$M$2052,1),0)-C489)</f>
        <v>4680</v>
      </c>
    </row>
    <row r="490" spans="2:14">
      <c r="B490" s="95">
        <v>438</v>
      </c>
      <c r="C490" s="95">
        <f t="shared" si="39"/>
        <v>157680</v>
      </c>
      <c r="D490" s="95">
        <f ca="1">_xlfn.XLOOKUP(总览!$B$44,$B$40:$B$45,$C$40:$C$45)</f>
        <v>5</v>
      </c>
      <c r="E490" s="95">
        <f ca="1" t="shared" si="36"/>
        <v>468</v>
      </c>
      <c r="F490" s="95">
        <f ca="1" t="shared" si="37"/>
        <v>0</v>
      </c>
      <c r="G490" s="95">
        <f ca="1" t="shared" si="38"/>
        <v>1.38007714285715</v>
      </c>
      <c r="H490" s="95" cm="1">
        <f ca="1" t="array" ref="H490">MIN(30-SUM(I490:L490),_xlfn.XLOOKUP($D490&amp;"_"&amp;H$52,$B$14:$B$36&amp;"_"&amp;$C$14:$C$36,$D$14:$D$36)*$E490,18)</f>
        <v>18</v>
      </c>
      <c r="I490" s="95" cm="1">
        <f ca="1" t="array" ref="I490">MIN(30-SUM(J490:L490),6-L490,_xlfn.XLOOKUP($D490&amp;"_"&amp;I$52,$B$14:$B$36&amp;"_"&amp;$C$14:$C$36,$D$14:$D$36)*$E490)</f>
        <v>3.34252285714285</v>
      </c>
      <c r="J490" s="95" cm="1">
        <f ca="1" t="array" ref="J490">MIN(8,_xlfn.XLOOKUP($D490&amp;"_"&amp;J$52,$B$14:$B$36&amp;"_"&amp;$C$14:$C$36,$D$14:$D$36)*$E490)</f>
        <v>3.51</v>
      </c>
      <c r="K490" s="95" cm="1">
        <f ca="1" t="array" ref="K490">MIN(18,_xlfn.XLOOKUP($D490&amp;"_"&amp;K$52,$B$14:$B$36&amp;"_"&amp;$C$14:$C$36,$D$14:$D$36)*$E490)</f>
        <v>1.3104</v>
      </c>
      <c r="L490" s="95" cm="1">
        <f ca="1" t="array" ref="L490">MIN(6,_xlfn.XLOOKUP($D490&amp;"_"&amp;L$52,$B$14:$B$36&amp;"_"&amp;$C$14:$C$36,$D$14:$D$36)*$E490)</f>
        <v>2.457</v>
      </c>
      <c r="M490" s="95" cm="1">
        <f ca="1" t="array" ref="M490">(1+SUMPRODUCT(G490:H490,OFFSET($H$40:$I$40,D490,0)))*(1+OFFSET($J$40,D490,0))^I490*(1+OFFSET($K$40,D490,0))^J490*(1+OFFSET($L$40,D490,0))^K490*(1+OFFSET($M$40,D490,0))^L490</f>
        <v>66.875357488184</v>
      </c>
      <c r="N490" s="95">
        <f ca="1">MAX(MAX($N$53:N489),OFFSET($C$52,MATCH(M490*1.07,$M$53:$M$2052,1),0)-C490)</f>
        <v>4680</v>
      </c>
    </row>
    <row r="491" spans="2:14">
      <c r="B491" s="95">
        <v>439</v>
      </c>
      <c r="C491" s="95">
        <f t="shared" si="39"/>
        <v>158040</v>
      </c>
      <c r="D491" s="95">
        <f ca="1">_xlfn.XLOOKUP(总览!$B$44,$B$40:$B$45,$C$40:$C$45)</f>
        <v>5</v>
      </c>
      <c r="E491" s="95">
        <f ca="1" t="shared" si="36"/>
        <v>469</v>
      </c>
      <c r="F491" s="95">
        <f ca="1" t="shared" si="37"/>
        <v>0</v>
      </c>
      <c r="G491" s="95">
        <f ca="1" t="shared" si="38"/>
        <v>1.357385</v>
      </c>
      <c r="H491" s="95" cm="1">
        <f ca="1" t="array" ref="H491">MIN(30-SUM(I491:L491),_xlfn.XLOOKUP($D491&amp;"_"&amp;H$52,$B$14:$B$36&amp;"_"&amp;$C$14:$C$36,$D$14:$D$36)*$E491,18)</f>
        <v>18</v>
      </c>
      <c r="I491" s="95" cm="1">
        <f ca="1" t="array" ref="I491">MIN(30-SUM(J491:L491),6-L491,_xlfn.XLOOKUP($D491&amp;"_"&amp;I$52,$B$14:$B$36&amp;"_"&amp;$C$14:$C$36,$D$14:$D$36)*$E491)</f>
        <v>3.34966499999999</v>
      </c>
      <c r="J491" s="95" cm="1">
        <f ca="1" t="array" ref="J491">MIN(8,_xlfn.XLOOKUP($D491&amp;"_"&amp;J$52,$B$14:$B$36&amp;"_"&amp;$C$14:$C$36,$D$14:$D$36)*$E491)</f>
        <v>3.5175</v>
      </c>
      <c r="K491" s="95" cm="1">
        <f ca="1" t="array" ref="K491">MIN(18,_xlfn.XLOOKUP($D491&amp;"_"&amp;K$52,$B$14:$B$36&amp;"_"&amp;$C$14:$C$36,$D$14:$D$36)*$E491)</f>
        <v>1.3132</v>
      </c>
      <c r="L491" s="95" cm="1">
        <f ca="1" t="array" ref="L491">MIN(6,_xlfn.XLOOKUP($D491&amp;"_"&amp;L$52,$B$14:$B$36&amp;"_"&amp;$C$14:$C$36,$D$14:$D$36)*$E491)</f>
        <v>2.46225</v>
      </c>
      <c r="M491" s="95" cm="1">
        <f ca="1" t="array" ref="M491">(1+SUMPRODUCT(G491:H491,OFFSET($H$40:$I$40,D491,0)))*(1+OFFSET($J$40,D491,0))^I491*(1+OFFSET($K$40,D491,0))^J491*(1+OFFSET($L$40,D491,0))^K491*(1+OFFSET($M$40,D491,0))^L491</f>
        <v>67.2154423595457</v>
      </c>
      <c r="N491" s="95">
        <f ca="1">MAX(MAX($N$53:N490),OFFSET($C$52,MATCH(M491*1.07,$M$53:$M$2052,1),0)-C491)</f>
        <v>4680</v>
      </c>
    </row>
    <row r="492" spans="2:14">
      <c r="B492" s="95">
        <v>440</v>
      </c>
      <c r="C492" s="95">
        <f t="shared" si="39"/>
        <v>158400</v>
      </c>
      <c r="D492" s="95">
        <f ca="1">_xlfn.XLOOKUP(总览!$B$44,$B$40:$B$45,$C$40:$C$45)</f>
        <v>5</v>
      </c>
      <c r="E492" s="95">
        <f ca="1" t="shared" si="36"/>
        <v>470</v>
      </c>
      <c r="F492" s="95">
        <f ca="1" t="shared" si="37"/>
        <v>0</v>
      </c>
      <c r="G492" s="95">
        <f ca="1" t="shared" si="38"/>
        <v>1.33469285714287</v>
      </c>
      <c r="H492" s="95" cm="1">
        <f ca="1" t="array" ref="H492">MIN(30-SUM(I492:L492),_xlfn.XLOOKUP($D492&amp;"_"&amp;H$52,$B$14:$B$36&amp;"_"&amp;$C$14:$C$36,$D$14:$D$36)*$E492,18)</f>
        <v>18</v>
      </c>
      <c r="I492" s="95" cm="1">
        <f ca="1" t="array" ref="I492">MIN(30-SUM(J492:L492),6-L492,_xlfn.XLOOKUP($D492&amp;"_"&amp;I$52,$B$14:$B$36&amp;"_"&amp;$C$14:$C$36,$D$14:$D$36)*$E492)</f>
        <v>3.35680714285714</v>
      </c>
      <c r="J492" s="95" cm="1">
        <f ca="1" t="array" ref="J492">MIN(8,_xlfn.XLOOKUP($D492&amp;"_"&amp;J$52,$B$14:$B$36&amp;"_"&amp;$C$14:$C$36,$D$14:$D$36)*$E492)</f>
        <v>3.525</v>
      </c>
      <c r="K492" s="95" cm="1">
        <f ca="1" t="array" ref="K492">MIN(18,_xlfn.XLOOKUP($D492&amp;"_"&amp;K$52,$B$14:$B$36&amp;"_"&amp;$C$14:$C$36,$D$14:$D$36)*$E492)</f>
        <v>1.316</v>
      </c>
      <c r="L492" s="95" cm="1">
        <f ca="1" t="array" ref="L492">MIN(6,_xlfn.XLOOKUP($D492&amp;"_"&amp;L$52,$B$14:$B$36&amp;"_"&amp;$C$14:$C$36,$D$14:$D$36)*$E492)</f>
        <v>2.4675</v>
      </c>
      <c r="M492" s="95" cm="1">
        <f ca="1" t="array" ref="M492">(1+SUMPRODUCT(G492:H492,OFFSET($H$40:$I$40,D492,0)))*(1+OFFSET($J$40,D492,0))^I492*(1+OFFSET($K$40,D492,0))^J492*(1+OFFSET($L$40,D492,0))^K492*(1+OFFSET($M$40,D492,0))^L492</f>
        <v>67.5572346005515</v>
      </c>
      <c r="N492" s="95">
        <f ca="1">MAX(MAX($N$53:N491),OFFSET($C$52,MATCH(M492*1.07,$M$53:$M$2052,1),0)-C492)</f>
        <v>4680</v>
      </c>
    </row>
    <row r="493" spans="2:14">
      <c r="B493" s="95">
        <v>441</v>
      </c>
      <c r="C493" s="95">
        <f t="shared" si="39"/>
        <v>158760</v>
      </c>
      <c r="D493" s="95">
        <f ca="1">_xlfn.XLOOKUP(总览!$B$44,$B$40:$B$45,$C$40:$C$45)</f>
        <v>5</v>
      </c>
      <c r="E493" s="95">
        <f ca="1" t="shared" si="36"/>
        <v>471</v>
      </c>
      <c r="F493" s="95">
        <f ca="1" t="shared" si="37"/>
        <v>0</v>
      </c>
      <c r="G493" s="95">
        <f ca="1" t="shared" si="38"/>
        <v>1.31200071428572</v>
      </c>
      <c r="H493" s="95" cm="1">
        <f ca="1" t="array" ref="H493">MIN(30-SUM(I493:L493),_xlfn.XLOOKUP($D493&amp;"_"&amp;H$52,$B$14:$B$36&amp;"_"&amp;$C$14:$C$36,$D$14:$D$36)*$E493,18)</f>
        <v>18</v>
      </c>
      <c r="I493" s="95" cm="1">
        <f ca="1" t="array" ref="I493">MIN(30-SUM(J493:L493),6-L493,_xlfn.XLOOKUP($D493&amp;"_"&amp;I$52,$B$14:$B$36&amp;"_"&amp;$C$14:$C$36,$D$14:$D$36)*$E493)</f>
        <v>3.36394928571428</v>
      </c>
      <c r="J493" s="95" cm="1">
        <f ca="1" t="array" ref="J493">MIN(8,_xlfn.XLOOKUP($D493&amp;"_"&amp;J$52,$B$14:$B$36&amp;"_"&amp;$C$14:$C$36,$D$14:$D$36)*$E493)</f>
        <v>3.5325</v>
      </c>
      <c r="K493" s="95" cm="1">
        <f ca="1" t="array" ref="K493">MIN(18,_xlfn.XLOOKUP($D493&amp;"_"&amp;K$52,$B$14:$B$36&amp;"_"&amp;$C$14:$C$36,$D$14:$D$36)*$E493)</f>
        <v>1.3188</v>
      </c>
      <c r="L493" s="95" cm="1">
        <f ca="1" t="array" ref="L493">MIN(6,_xlfn.XLOOKUP($D493&amp;"_"&amp;L$52,$B$14:$B$36&amp;"_"&amp;$C$14:$C$36,$D$14:$D$36)*$E493)</f>
        <v>2.47275</v>
      </c>
      <c r="M493" s="95" cm="1">
        <f ca="1" t="array" ref="M493">(1+SUMPRODUCT(G493:H493,OFFSET($H$40:$I$40,D493,0)))*(1+OFFSET($J$40,D493,0))^I493*(1+OFFSET($K$40,D493,0))^J493*(1+OFFSET($L$40,D493,0))^K493*(1+OFFSET($M$40,D493,0))^L493</f>
        <v>67.9007426438088</v>
      </c>
      <c r="N493" s="95">
        <f ca="1">MAX(MAX($N$53:N492),OFFSET($C$52,MATCH(M493*1.07,$M$53:$M$2052,1),0)-C493)</f>
        <v>4680</v>
      </c>
    </row>
    <row r="494" spans="2:14">
      <c r="B494" s="95">
        <v>442</v>
      </c>
      <c r="C494" s="95">
        <f t="shared" si="39"/>
        <v>159120</v>
      </c>
      <c r="D494" s="95">
        <f ca="1">_xlfn.XLOOKUP(总览!$B$44,$B$40:$B$45,$C$40:$C$45)</f>
        <v>5</v>
      </c>
      <c r="E494" s="95">
        <f ca="1" t="shared" si="36"/>
        <v>472</v>
      </c>
      <c r="F494" s="95">
        <f ca="1" t="shared" si="37"/>
        <v>0</v>
      </c>
      <c r="G494" s="95">
        <f ca="1" t="shared" si="38"/>
        <v>1.28930857142858</v>
      </c>
      <c r="H494" s="95" cm="1">
        <f ca="1" t="array" ref="H494">MIN(30-SUM(I494:L494),_xlfn.XLOOKUP($D494&amp;"_"&amp;H$52,$B$14:$B$36&amp;"_"&amp;$C$14:$C$36,$D$14:$D$36)*$E494,18)</f>
        <v>18</v>
      </c>
      <c r="I494" s="95" cm="1">
        <f ca="1" t="array" ref="I494">MIN(30-SUM(J494:L494),6-L494,_xlfn.XLOOKUP($D494&amp;"_"&amp;I$52,$B$14:$B$36&amp;"_"&amp;$C$14:$C$36,$D$14:$D$36)*$E494)</f>
        <v>3.37109142857142</v>
      </c>
      <c r="J494" s="95" cm="1">
        <f ca="1" t="array" ref="J494">MIN(8,_xlfn.XLOOKUP($D494&amp;"_"&amp;J$52,$B$14:$B$36&amp;"_"&amp;$C$14:$C$36,$D$14:$D$36)*$E494)</f>
        <v>3.54</v>
      </c>
      <c r="K494" s="95" cm="1">
        <f ca="1" t="array" ref="K494">MIN(18,_xlfn.XLOOKUP($D494&amp;"_"&amp;K$52,$B$14:$B$36&amp;"_"&amp;$C$14:$C$36,$D$14:$D$36)*$E494)</f>
        <v>1.3216</v>
      </c>
      <c r="L494" s="95" cm="1">
        <f ca="1" t="array" ref="L494">MIN(6,_xlfn.XLOOKUP($D494&amp;"_"&amp;L$52,$B$14:$B$36&amp;"_"&amp;$C$14:$C$36,$D$14:$D$36)*$E494)</f>
        <v>2.478</v>
      </c>
      <c r="M494" s="95" cm="1">
        <f ca="1" t="array" ref="M494">(1+SUMPRODUCT(G494:H494,OFFSET($H$40:$I$40,D494,0)))*(1+OFFSET($J$40,D494,0))^I494*(1+OFFSET($K$40,D494,0))^J494*(1+OFFSET($L$40,D494,0))^K494*(1+OFFSET($M$40,D494,0))^L494</f>
        <v>68.245974962686</v>
      </c>
      <c r="N494" s="95">
        <f ca="1">MAX(MAX($N$53:N493),OFFSET($C$52,MATCH(M494*1.07,$M$53:$M$2052,1),0)-C494)</f>
        <v>5040</v>
      </c>
    </row>
    <row r="495" spans="2:14">
      <c r="B495" s="95">
        <v>443</v>
      </c>
      <c r="C495" s="95">
        <f t="shared" si="39"/>
        <v>159480</v>
      </c>
      <c r="D495" s="95">
        <f ca="1">_xlfn.XLOOKUP(总览!$B$44,$B$40:$B$45,$C$40:$C$45)</f>
        <v>5</v>
      </c>
      <c r="E495" s="95">
        <f ca="1" t="shared" si="36"/>
        <v>473</v>
      </c>
      <c r="F495" s="95">
        <f ca="1" t="shared" si="37"/>
        <v>0</v>
      </c>
      <c r="G495" s="95">
        <f ca="1" t="shared" si="38"/>
        <v>1.26661642857143</v>
      </c>
      <c r="H495" s="95" cm="1">
        <f ca="1" t="array" ref="H495">MIN(30-SUM(I495:L495),_xlfn.XLOOKUP($D495&amp;"_"&amp;H$52,$B$14:$B$36&amp;"_"&amp;$C$14:$C$36,$D$14:$D$36)*$E495,18)</f>
        <v>18</v>
      </c>
      <c r="I495" s="95" cm="1">
        <f ca="1" t="array" ref="I495">MIN(30-SUM(J495:L495),6-L495,_xlfn.XLOOKUP($D495&amp;"_"&amp;I$52,$B$14:$B$36&amp;"_"&amp;$C$14:$C$36,$D$14:$D$36)*$E495)</f>
        <v>3.37823357142856</v>
      </c>
      <c r="J495" s="95" cm="1">
        <f ca="1" t="array" ref="J495">MIN(8,_xlfn.XLOOKUP($D495&amp;"_"&amp;J$52,$B$14:$B$36&amp;"_"&amp;$C$14:$C$36,$D$14:$D$36)*$E495)</f>
        <v>3.5475</v>
      </c>
      <c r="K495" s="95" cm="1">
        <f ca="1" t="array" ref="K495">MIN(18,_xlfn.XLOOKUP($D495&amp;"_"&amp;K$52,$B$14:$B$36&amp;"_"&amp;$C$14:$C$36,$D$14:$D$36)*$E495)</f>
        <v>1.3244</v>
      </c>
      <c r="L495" s="95" cm="1">
        <f ca="1" t="array" ref="L495">MIN(6,_xlfn.XLOOKUP($D495&amp;"_"&amp;L$52,$B$14:$B$36&amp;"_"&amp;$C$14:$C$36,$D$14:$D$36)*$E495)</f>
        <v>2.48325</v>
      </c>
      <c r="M495" s="95" cm="1">
        <f ca="1" t="array" ref="M495">(1+SUMPRODUCT(G495:H495,OFFSET($H$40:$I$40,D495,0)))*(1+OFFSET($J$40,D495,0))^I495*(1+OFFSET($K$40,D495,0))^J495*(1+OFFSET($L$40,D495,0))^K495*(1+OFFSET($M$40,D495,0))^L495</f>
        <v>68.5929400715032</v>
      </c>
      <c r="N495" s="95">
        <f ca="1">MAX(MAX($N$53:N494),OFFSET($C$52,MATCH(M495*1.07,$M$53:$M$2052,1),0)-C495)</f>
        <v>5400</v>
      </c>
    </row>
    <row r="496" spans="2:14">
      <c r="B496" s="95">
        <v>444</v>
      </c>
      <c r="C496" s="95">
        <f t="shared" si="39"/>
        <v>159840</v>
      </c>
      <c r="D496" s="95">
        <f ca="1">_xlfn.XLOOKUP(总览!$B$44,$B$40:$B$45,$C$40:$C$45)</f>
        <v>5</v>
      </c>
      <c r="E496" s="95">
        <f ca="1" t="shared" si="36"/>
        <v>474</v>
      </c>
      <c r="F496" s="95">
        <f ca="1" t="shared" si="37"/>
        <v>0</v>
      </c>
      <c r="G496" s="95">
        <f ca="1" t="shared" si="38"/>
        <v>1.24392428571429</v>
      </c>
      <c r="H496" s="95" cm="1">
        <f ca="1" t="array" ref="H496">MIN(30-SUM(I496:L496),_xlfn.XLOOKUP($D496&amp;"_"&amp;H$52,$B$14:$B$36&amp;"_"&amp;$C$14:$C$36,$D$14:$D$36)*$E496,18)</f>
        <v>18</v>
      </c>
      <c r="I496" s="95" cm="1">
        <f ca="1" t="array" ref="I496">MIN(30-SUM(J496:L496),6-L496,_xlfn.XLOOKUP($D496&amp;"_"&amp;I$52,$B$14:$B$36&amp;"_"&amp;$C$14:$C$36,$D$14:$D$36)*$E496)</f>
        <v>3.38537571428571</v>
      </c>
      <c r="J496" s="95" cm="1">
        <f ca="1" t="array" ref="J496">MIN(8,_xlfn.XLOOKUP($D496&amp;"_"&amp;J$52,$B$14:$B$36&amp;"_"&amp;$C$14:$C$36,$D$14:$D$36)*$E496)</f>
        <v>3.555</v>
      </c>
      <c r="K496" s="95" cm="1">
        <f ca="1" t="array" ref="K496">MIN(18,_xlfn.XLOOKUP($D496&amp;"_"&amp;K$52,$B$14:$B$36&amp;"_"&amp;$C$14:$C$36,$D$14:$D$36)*$E496)</f>
        <v>1.3272</v>
      </c>
      <c r="L496" s="95" cm="1">
        <f ca="1" t="array" ref="L496">MIN(6,_xlfn.XLOOKUP($D496&amp;"_"&amp;L$52,$B$14:$B$36&amp;"_"&amp;$C$14:$C$36,$D$14:$D$36)*$E496)</f>
        <v>2.4885</v>
      </c>
      <c r="M496" s="95" cm="1">
        <f ca="1" t="array" ref="M496">(1+SUMPRODUCT(G496:H496,OFFSET($H$40:$I$40,D496,0)))*(1+OFFSET($J$40,D496,0))^I496*(1+OFFSET($K$40,D496,0))^J496*(1+OFFSET($L$40,D496,0))^K496*(1+OFFSET($M$40,D496,0))^L496</f>
        <v>68.9416465257243</v>
      </c>
      <c r="N496" s="95">
        <f ca="1">MAX(MAX($N$53:N495),OFFSET($C$52,MATCH(M496*1.07,$M$53:$M$2052,1),0)-C496)</f>
        <v>5760</v>
      </c>
    </row>
    <row r="497" spans="2:14">
      <c r="B497" s="95">
        <v>445</v>
      </c>
      <c r="C497" s="95">
        <f t="shared" si="39"/>
        <v>160200</v>
      </c>
      <c r="D497" s="95">
        <f ca="1">_xlfn.XLOOKUP(总览!$B$44,$B$40:$B$45,$C$40:$C$45)</f>
        <v>5</v>
      </c>
      <c r="E497" s="95">
        <f ca="1" t="shared" si="36"/>
        <v>475</v>
      </c>
      <c r="F497" s="95">
        <f ca="1" t="shared" si="37"/>
        <v>0</v>
      </c>
      <c r="G497" s="95">
        <f ca="1" t="shared" si="38"/>
        <v>1.22123214285715</v>
      </c>
      <c r="H497" s="95" cm="1">
        <f ca="1" t="array" ref="H497">MIN(30-SUM(I497:L497),_xlfn.XLOOKUP($D497&amp;"_"&amp;H$52,$B$14:$B$36&amp;"_"&amp;$C$14:$C$36,$D$14:$D$36)*$E497,18)</f>
        <v>18</v>
      </c>
      <c r="I497" s="95" cm="1">
        <f ca="1" t="array" ref="I497">MIN(30-SUM(J497:L497),6-L497,_xlfn.XLOOKUP($D497&amp;"_"&amp;I$52,$B$14:$B$36&amp;"_"&amp;$C$14:$C$36,$D$14:$D$36)*$E497)</f>
        <v>3.39251785714285</v>
      </c>
      <c r="J497" s="95" cm="1">
        <f ca="1" t="array" ref="J497">MIN(8,_xlfn.XLOOKUP($D497&amp;"_"&amp;J$52,$B$14:$B$36&amp;"_"&amp;$C$14:$C$36,$D$14:$D$36)*$E497)</f>
        <v>3.5625</v>
      </c>
      <c r="K497" s="95" cm="1">
        <f ca="1" t="array" ref="K497">MIN(18,_xlfn.XLOOKUP($D497&amp;"_"&amp;K$52,$B$14:$B$36&amp;"_"&amp;$C$14:$C$36,$D$14:$D$36)*$E497)</f>
        <v>1.33</v>
      </c>
      <c r="L497" s="95" cm="1">
        <f ca="1" t="array" ref="L497">MIN(6,_xlfn.XLOOKUP($D497&amp;"_"&amp;L$52,$B$14:$B$36&amp;"_"&amp;$C$14:$C$36,$D$14:$D$36)*$E497)</f>
        <v>2.49375</v>
      </c>
      <c r="M497" s="95" cm="1">
        <f ca="1" t="array" ref="M497">(1+SUMPRODUCT(G497:H497,OFFSET($H$40:$I$40,D497,0)))*(1+OFFSET($J$40,D497,0))^I497*(1+OFFSET($K$40,D497,0))^J497*(1+OFFSET($L$40,D497,0))^K497*(1+OFFSET($M$40,D497,0))^L497</f>
        <v>69.2921029221503</v>
      </c>
      <c r="N497" s="95">
        <f ca="1">MAX(MAX($N$53:N496),OFFSET($C$52,MATCH(M497*1.07,$M$53:$M$2052,1),0)-C497)</f>
        <v>6120</v>
      </c>
    </row>
    <row r="498" spans="2:14">
      <c r="B498" s="95">
        <v>446</v>
      </c>
      <c r="C498" s="95">
        <f t="shared" si="39"/>
        <v>160560</v>
      </c>
      <c r="D498" s="95">
        <f ca="1">_xlfn.XLOOKUP(总览!$B$44,$B$40:$B$45,$C$40:$C$45)</f>
        <v>5</v>
      </c>
      <c r="E498" s="95">
        <f ca="1" t="shared" si="36"/>
        <v>476</v>
      </c>
      <c r="F498" s="95">
        <f ca="1" t="shared" si="37"/>
        <v>0</v>
      </c>
      <c r="G498" s="95">
        <f ca="1" t="shared" si="38"/>
        <v>1.19854000000001</v>
      </c>
      <c r="H498" s="95" cm="1">
        <f ca="1" t="array" ref="H498">MIN(30-SUM(I498:L498),_xlfn.XLOOKUP($D498&amp;"_"&amp;H$52,$B$14:$B$36&amp;"_"&amp;$C$14:$C$36,$D$14:$D$36)*$E498,18)</f>
        <v>18</v>
      </c>
      <c r="I498" s="95" cm="1">
        <f ca="1" t="array" ref="I498">MIN(30-SUM(J498:L498),6-L498,_xlfn.XLOOKUP($D498&amp;"_"&amp;I$52,$B$14:$B$36&amp;"_"&amp;$C$14:$C$36,$D$14:$D$36)*$E498)</f>
        <v>3.39965999999999</v>
      </c>
      <c r="J498" s="95" cm="1">
        <f ca="1" t="array" ref="J498">MIN(8,_xlfn.XLOOKUP($D498&amp;"_"&amp;J$52,$B$14:$B$36&amp;"_"&amp;$C$14:$C$36,$D$14:$D$36)*$E498)</f>
        <v>3.57</v>
      </c>
      <c r="K498" s="95" cm="1">
        <f ca="1" t="array" ref="K498">MIN(18,_xlfn.XLOOKUP($D498&amp;"_"&amp;K$52,$B$14:$B$36&amp;"_"&amp;$C$14:$C$36,$D$14:$D$36)*$E498)</f>
        <v>1.3328</v>
      </c>
      <c r="L498" s="95" cm="1">
        <f ca="1" t="array" ref="L498">MIN(6,_xlfn.XLOOKUP($D498&amp;"_"&amp;L$52,$B$14:$B$36&amp;"_"&amp;$C$14:$C$36,$D$14:$D$36)*$E498)</f>
        <v>2.499</v>
      </c>
      <c r="M498" s="95" cm="1">
        <f ca="1" t="array" ref="M498">(1+SUMPRODUCT(G498:H498,OFFSET($H$40:$I$40,D498,0)))*(1+OFFSET($J$40,D498,0))^I498*(1+OFFSET($K$40,D498,0))^J498*(1+OFFSET($L$40,D498,0))^K498*(1+OFFSET($M$40,D498,0))^L498</f>
        <v>69.6443178991127</v>
      </c>
      <c r="N498" s="95">
        <f ca="1">MAX(MAX($N$53:N497),OFFSET($C$52,MATCH(M498*1.07,$M$53:$M$2052,1),0)-C498)</f>
        <v>6480</v>
      </c>
    </row>
    <row r="499" spans="2:14">
      <c r="B499" s="95">
        <v>447</v>
      </c>
      <c r="C499" s="95">
        <f t="shared" si="39"/>
        <v>160920</v>
      </c>
      <c r="D499" s="95">
        <f ca="1">_xlfn.XLOOKUP(总览!$B$44,$B$40:$B$45,$C$40:$C$45)</f>
        <v>5</v>
      </c>
      <c r="E499" s="95">
        <f ca="1" t="shared" si="36"/>
        <v>477</v>
      </c>
      <c r="F499" s="95">
        <f ca="1" t="shared" si="37"/>
        <v>0</v>
      </c>
      <c r="G499" s="95">
        <f ca="1" t="shared" si="38"/>
        <v>1.17584785714287</v>
      </c>
      <c r="H499" s="95" cm="1">
        <f ca="1" t="array" ref="H499">MIN(30-SUM(I499:L499),_xlfn.XLOOKUP($D499&amp;"_"&amp;H$52,$B$14:$B$36&amp;"_"&amp;$C$14:$C$36,$D$14:$D$36)*$E499,18)</f>
        <v>18</v>
      </c>
      <c r="I499" s="95" cm="1">
        <f ca="1" t="array" ref="I499">MIN(30-SUM(J499:L499),6-L499,_xlfn.XLOOKUP($D499&amp;"_"&amp;I$52,$B$14:$B$36&amp;"_"&amp;$C$14:$C$36,$D$14:$D$36)*$E499)</f>
        <v>3.40680214285714</v>
      </c>
      <c r="J499" s="95" cm="1">
        <f ca="1" t="array" ref="J499">MIN(8,_xlfn.XLOOKUP($D499&amp;"_"&amp;J$52,$B$14:$B$36&amp;"_"&amp;$C$14:$C$36,$D$14:$D$36)*$E499)</f>
        <v>3.5775</v>
      </c>
      <c r="K499" s="95" cm="1">
        <f ca="1" t="array" ref="K499">MIN(18,_xlfn.XLOOKUP($D499&amp;"_"&amp;K$52,$B$14:$B$36&amp;"_"&amp;$C$14:$C$36,$D$14:$D$36)*$E499)</f>
        <v>1.3356</v>
      </c>
      <c r="L499" s="95" cm="1">
        <f ca="1" t="array" ref="L499">MIN(6,_xlfn.XLOOKUP($D499&amp;"_"&amp;L$52,$B$14:$B$36&amp;"_"&amp;$C$14:$C$36,$D$14:$D$36)*$E499)</f>
        <v>2.50425</v>
      </c>
      <c r="M499" s="95" cm="1">
        <f ca="1" t="array" ref="M499">(1+SUMPRODUCT(G499:H499,OFFSET($H$40:$I$40,D499,0)))*(1+OFFSET($J$40,D499,0))^I499*(1+OFFSET($K$40,D499,0))^J499*(1+OFFSET($L$40,D499,0))^K499*(1+OFFSET($M$40,D499,0))^L499</f>
        <v>69.9983001366689</v>
      </c>
      <c r="N499" s="95">
        <f ca="1">MAX(MAX($N$53:N498),OFFSET($C$52,MATCH(M499*1.07,$M$53:$M$2052,1),0)-C499)</f>
        <v>6840</v>
      </c>
    </row>
    <row r="500" spans="2:14">
      <c r="B500" s="95">
        <v>448</v>
      </c>
      <c r="C500" s="95">
        <f t="shared" si="39"/>
        <v>161280</v>
      </c>
      <c r="D500" s="95">
        <f ca="1">_xlfn.XLOOKUP(总览!$B$44,$B$40:$B$45,$C$40:$C$45)</f>
        <v>5</v>
      </c>
      <c r="E500" s="95">
        <f ca="1" t="shared" si="36"/>
        <v>478</v>
      </c>
      <c r="F500" s="95">
        <f ca="1" t="shared" si="37"/>
        <v>0</v>
      </c>
      <c r="G500" s="95">
        <f ca="1" t="shared" si="38"/>
        <v>1.15315571428572</v>
      </c>
      <c r="H500" s="95" cm="1">
        <f ca="1" t="array" ref="H500">MIN(30-SUM(I500:L500),_xlfn.XLOOKUP($D500&amp;"_"&amp;H$52,$B$14:$B$36&amp;"_"&amp;$C$14:$C$36,$D$14:$D$36)*$E500,18)</f>
        <v>18</v>
      </c>
      <c r="I500" s="95" cm="1">
        <f ca="1" t="array" ref="I500">MIN(30-SUM(J500:L500),6-L500,_xlfn.XLOOKUP($D500&amp;"_"&amp;I$52,$B$14:$B$36&amp;"_"&amp;$C$14:$C$36,$D$14:$D$36)*$E500)</f>
        <v>3.41394428571428</v>
      </c>
      <c r="J500" s="95" cm="1">
        <f ca="1" t="array" ref="J500">MIN(8,_xlfn.XLOOKUP($D500&amp;"_"&amp;J$52,$B$14:$B$36&amp;"_"&amp;$C$14:$C$36,$D$14:$D$36)*$E500)</f>
        <v>3.585</v>
      </c>
      <c r="K500" s="95" cm="1">
        <f ca="1" t="array" ref="K500">MIN(18,_xlfn.XLOOKUP($D500&amp;"_"&amp;K$52,$B$14:$B$36&amp;"_"&amp;$C$14:$C$36,$D$14:$D$36)*$E500)</f>
        <v>1.3384</v>
      </c>
      <c r="L500" s="95" cm="1">
        <f ca="1" t="array" ref="L500">MIN(6,_xlfn.XLOOKUP($D500&amp;"_"&amp;L$52,$B$14:$B$36&amp;"_"&amp;$C$14:$C$36,$D$14:$D$36)*$E500)</f>
        <v>2.5095</v>
      </c>
      <c r="M500" s="95" cm="1">
        <f ca="1" t="array" ref="M500">(1+SUMPRODUCT(G500:H500,OFFSET($H$40:$I$40,D500,0)))*(1+OFFSET($J$40,D500,0))^I500*(1+OFFSET($K$40,D500,0))^J500*(1+OFFSET($L$40,D500,0))^K500*(1+OFFSET($M$40,D500,0))^L500</f>
        <v>70.3540583567972</v>
      </c>
      <c r="N500" s="95">
        <f ca="1">MAX(MAX($N$53:N499),OFFSET($C$52,MATCH(M500*1.07,$M$53:$M$2052,1),0)-C500)</f>
        <v>7200</v>
      </c>
    </row>
    <row r="501" spans="2:14">
      <c r="B501" s="95">
        <v>449</v>
      </c>
      <c r="C501" s="95">
        <f t="shared" si="39"/>
        <v>161640</v>
      </c>
      <c r="D501" s="95">
        <f ca="1">_xlfn.XLOOKUP(总览!$B$44,$B$40:$B$45,$C$40:$C$45)</f>
        <v>5</v>
      </c>
      <c r="E501" s="95">
        <f ca="1" t="shared" si="36"/>
        <v>479</v>
      </c>
      <c r="F501" s="95">
        <f ca="1" t="shared" si="37"/>
        <v>0</v>
      </c>
      <c r="G501" s="95">
        <f ca="1" t="shared" si="38"/>
        <v>1.13046357142858</v>
      </c>
      <c r="H501" s="95" cm="1">
        <f ca="1" t="array" ref="H501">MIN(30-SUM(I501:L501),_xlfn.XLOOKUP($D501&amp;"_"&amp;H$52,$B$14:$B$36&amp;"_"&amp;$C$14:$C$36,$D$14:$D$36)*$E501,18)</f>
        <v>18</v>
      </c>
      <c r="I501" s="95" cm="1">
        <f ca="1" t="array" ref="I501">MIN(30-SUM(J501:L501),6-L501,_xlfn.XLOOKUP($D501&amp;"_"&amp;I$52,$B$14:$B$36&amp;"_"&amp;$C$14:$C$36,$D$14:$D$36)*$E501)</f>
        <v>3.42108642857142</v>
      </c>
      <c r="J501" s="95" cm="1">
        <f ca="1" t="array" ref="J501">MIN(8,_xlfn.XLOOKUP($D501&amp;"_"&amp;J$52,$B$14:$B$36&amp;"_"&amp;$C$14:$C$36,$D$14:$D$36)*$E501)</f>
        <v>3.5925</v>
      </c>
      <c r="K501" s="95" cm="1">
        <f ca="1" t="array" ref="K501">MIN(18,_xlfn.XLOOKUP($D501&amp;"_"&amp;K$52,$B$14:$B$36&amp;"_"&amp;$C$14:$C$36,$D$14:$D$36)*$E501)</f>
        <v>1.3412</v>
      </c>
      <c r="L501" s="95" cm="1">
        <f ca="1" t="array" ref="L501">MIN(6,_xlfn.XLOOKUP($D501&amp;"_"&amp;L$52,$B$14:$B$36&amp;"_"&amp;$C$14:$C$36,$D$14:$D$36)*$E501)</f>
        <v>2.51475</v>
      </c>
      <c r="M501" s="95" cm="1">
        <f ca="1" t="array" ref="M501">(1+SUMPRODUCT(G501:H501,OFFSET($H$40:$I$40,D501,0)))*(1+OFFSET($J$40,D501,0))^I501*(1+OFFSET($K$40,D501,0))^J501*(1+OFFSET($L$40,D501,0))^K501*(1+OFFSET($M$40,D501,0))^L501</f>
        <v>70.7116013235933</v>
      </c>
      <c r="N501" s="95">
        <f ca="1">MAX(MAX($N$53:N500),OFFSET($C$52,MATCH(M501*1.07,$M$53:$M$2052,1),0)-C501)</f>
        <v>7560</v>
      </c>
    </row>
    <row r="502" spans="2:14">
      <c r="B502" s="95">
        <v>450</v>
      </c>
      <c r="C502" s="95">
        <f t="shared" si="39"/>
        <v>162000</v>
      </c>
      <c r="D502" s="95">
        <f ca="1">_xlfn.XLOOKUP(总览!$B$44,$B$40:$B$45,$C$40:$C$45)</f>
        <v>5</v>
      </c>
      <c r="E502" s="95">
        <f ca="1" t="shared" ref="E502:E565" si="40">INT(C502/_xlfn.XLOOKUP(D502,$N$5:$N$16,$O$5:$O$16))+OFFSET($R$40,D502,0)</f>
        <v>480</v>
      </c>
      <c r="F502" s="95">
        <f ca="1" t="shared" si="37"/>
        <v>0</v>
      </c>
      <c r="G502" s="95">
        <f ca="1" t="shared" si="38"/>
        <v>1.10777142857144</v>
      </c>
      <c r="H502" s="95" cm="1">
        <f ca="1" t="array" ref="H502">MIN(30-SUM(I502:L502),_xlfn.XLOOKUP($D502&amp;"_"&amp;H$52,$B$14:$B$36&amp;"_"&amp;$C$14:$C$36,$D$14:$D$36)*$E502,18)</f>
        <v>18</v>
      </c>
      <c r="I502" s="95" cm="1">
        <f ca="1" t="array" ref="I502">MIN(30-SUM(J502:L502),6-L502,_xlfn.XLOOKUP($D502&amp;"_"&amp;I$52,$B$14:$B$36&amp;"_"&amp;$C$14:$C$36,$D$14:$D$36)*$E502)</f>
        <v>3.42822857142856</v>
      </c>
      <c r="J502" s="95" cm="1">
        <f ca="1" t="array" ref="J502">MIN(8,_xlfn.XLOOKUP($D502&amp;"_"&amp;J$52,$B$14:$B$36&amp;"_"&amp;$C$14:$C$36,$D$14:$D$36)*$E502)</f>
        <v>3.6</v>
      </c>
      <c r="K502" s="95" cm="1">
        <f ca="1" t="array" ref="K502">MIN(18,_xlfn.XLOOKUP($D502&amp;"_"&amp;K$52,$B$14:$B$36&amp;"_"&amp;$C$14:$C$36,$D$14:$D$36)*$E502)</f>
        <v>1.344</v>
      </c>
      <c r="L502" s="95" cm="1">
        <f ca="1" t="array" ref="L502">MIN(6,_xlfn.XLOOKUP($D502&amp;"_"&amp;L$52,$B$14:$B$36&amp;"_"&amp;$C$14:$C$36,$D$14:$D$36)*$E502)</f>
        <v>2.52</v>
      </c>
      <c r="M502" s="95" cm="1">
        <f ca="1" t="array" ref="M502">(1+SUMPRODUCT(G502:H502,OFFSET($H$40:$I$40,D502,0)))*(1+OFFSET($J$40,D502,0))^I502*(1+OFFSET($K$40,D502,0))^J502*(1+OFFSET($L$40,D502,0))^K502*(1+OFFSET($M$40,D502,0))^L502</f>
        <v>71.0709378434681</v>
      </c>
      <c r="N502" s="95">
        <f ca="1">MAX(MAX($N$53:N501),OFFSET($C$52,MATCH(M502*1.07,$M$53:$M$2052,1),0)-C502)</f>
        <v>7560</v>
      </c>
    </row>
    <row r="503" spans="2:14">
      <c r="B503" s="95">
        <v>451</v>
      </c>
      <c r="C503" s="95">
        <f t="shared" si="39"/>
        <v>162360</v>
      </c>
      <c r="D503" s="95">
        <f ca="1">_xlfn.XLOOKUP(总览!$B$44,$B$40:$B$45,$C$40:$C$45)</f>
        <v>5</v>
      </c>
      <c r="E503" s="95">
        <f ca="1" t="shared" si="40"/>
        <v>481</v>
      </c>
      <c r="F503" s="95">
        <f ca="1" t="shared" ref="F503:F566" si="41">30-SUM(G503:L503)</f>
        <v>0</v>
      </c>
      <c r="G503" s="95">
        <f ca="1" t="shared" ref="G503:G566" si="42">30-SUM(H503:L503)</f>
        <v>1.08507928571429</v>
      </c>
      <c r="H503" s="95" cm="1">
        <f ca="1" t="array" ref="H503">MIN(30-SUM(I503:L503),_xlfn.XLOOKUP($D503&amp;"_"&amp;H$52,$B$14:$B$36&amp;"_"&amp;$C$14:$C$36,$D$14:$D$36)*$E503,18)</f>
        <v>18</v>
      </c>
      <c r="I503" s="95" cm="1">
        <f ca="1" t="array" ref="I503">MIN(30-SUM(J503:L503),6-L503,_xlfn.XLOOKUP($D503&amp;"_"&amp;I$52,$B$14:$B$36&amp;"_"&amp;$C$14:$C$36,$D$14:$D$36)*$E503)</f>
        <v>3.43537071428571</v>
      </c>
      <c r="J503" s="95" cm="1">
        <f ca="1" t="array" ref="J503">MIN(8,_xlfn.XLOOKUP($D503&amp;"_"&amp;J$52,$B$14:$B$36&amp;"_"&amp;$C$14:$C$36,$D$14:$D$36)*$E503)</f>
        <v>3.6075</v>
      </c>
      <c r="K503" s="95" cm="1">
        <f ca="1" t="array" ref="K503">MIN(18,_xlfn.XLOOKUP($D503&amp;"_"&amp;K$52,$B$14:$B$36&amp;"_"&amp;$C$14:$C$36,$D$14:$D$36)*$E503)</f>
        <v>1.3468</v>
      </c>
      <c r="L503" s="95" cm="1">
        <f ca="1" t="array" ref="L503">MIN(6,_xlfn.XLOOKUP($D503&amp;"_"&amp;L$52,$B$14:$B$36&amp;"_"&amp;$C$14:$C$36,$D$14:$D$36)*$E503)</f>
        <v>2.52525</v>
      </c>
      <c r="M503" s="95" cm="1">
        <f ca="1" t="array" ref="M503">(1+SUMPRODUCT(G503:H503,OFFSET($H$40:$I$40,D503,0)))*(1+OFFSET($J$40,D503,0))^I503*(1+OFFSET($K$40,D503,0))^J503*(1+OFFSET($L$40,D503,0))^K503*(1+OFFSET($M$40,D503,0))^L503</f>
        <v>71.4320767653456</v>
      </c>
      <c r="N503" s="95">
        <f ca="1">MAX(MAX($N$53:N502),OFFSET($C$52,MATCH(M503*1.07,$M$53:$M$2052,1),0)-C503)</f>
        <v>7920</v>
      </c>
    </row>
    <row r="504" spans="2:14">
      <c r="B504" s="95">
        <v>452</v>
      </c>
      <c r="C504" s="95">
        <f t="shared" si="39"/>
        <v>162720</v>
      </c>
      <c r="D504" s="95">
        <f ca="1">_xlfn.XLOOKUP(总览!$B$44,$B$40:$B$45,$C$40:$C$45)</f>
        <v>5</v>
      </c>
      <c r="E504" s="95">
        <f ca="1" t="shared" si="40"/>
        <v>482</v>
      </c>
      <c r="F504" s="95">
        <f ca="1" t="shared" si="41"/>
        <v>0</v>
      </c>
      <c r="G504" s="95">
        <f ca="1" t="shared" si="42"/>
        <v>1.06238714285715</v>
      </c>
      <c r="H504" s="95" cm="1">
        <f ca="1" t="array" ref="H504">MIN(30-SUM(I504:L504),_xlfn.XLOOKUP($D504&amp;"_"&amp;H$52,$B$14:$B$36&amp;"_"&amp;$C$14:$C$36,$D$14:$D$36)*$E504,18)</f>
        <v>18</v>
      </c>
      <c r="I504" s="95" cm="1">
        <f ca="1" t="array" ref="I504">MIN(30-SUM(J504:L504),6-L504,_xlfn.XLOOKUP($D504&amp;"_"&amp;I$52,$B$14:$B$36&amp;"_"&amp;$C$14:$C$36,$D$14:$D$36)*$E504)</f>
        <v>3.44251285714285</v>
      </c>
      <c r="J504" s="95" cm="1">
        <f ca="1" t="array" ref="J504">MIN(8,_xlfn.XLOOKUP($D504&amp;"_"&amp;J$52,$B$14:$B$36&amp;"_"&amp;$C$14:$C$36,$D$14:$D$36)*$E504)</f>
        <v>3.615</v>
      </c>
      <c r="K504" s="95" cm="1">
        <f ca="1" t="array" ref="K504">MIN(18,_xlfn.XLOOKUP($D504&amp;"_"&amp;K$52,$B$14:$B$36&amp;"_"&amp;$C$14:$C$36,$D$14:$D$36)*$E504)</f>
        <v>1.3496</v>
      </c>
      <c r="L504" s="95" cm="1">
        <f ca="1" t="array" ref="L504">MIN(6,_xlfn.XLOOKUP($D504&amp;"_"&amp;L$52,$B$14:$B$36&amp;"_"&amp;$C$14:$C$36,$D$14:$D$36)*$E504)</f>
        <v>2.5305</v>
      </c>
      <c r="M504" s="95" cm="1">
        <f ca="1" t="array" ref="M504">(1+SUMPRODUCT(G504:H504,OFFSET($H$40:$I$40,D504,0)))*(1+OFFSET($J$40,D504,0))^I504*(1+OFFSET($K$40,D504,0))^J504*(1+OFFSET($L$40,D504,0))^K504*(1+OFFSET($M$40,D504,0))^L504</f>
        <v>71.7950269808621</v>
      </c>
      <c r="N504" s="95">
        <f ca="1">MAX(MAX($N$53:N503),OFFSET($C$52,MATCH(M504*1.07,$M$53:$M$2052,1),0)-C504)</f>
        <v>8280</v>
      </c>
    </row>
    <row r="505" spans="2:14">
      <c r="B505" s="95">
        <v>453</v>
      </c>
      <c r="C505" s="95">
        <f t="shared" si="39"/>
        <v>163080</v>
      </c>
      <c r="D505" s="95">
        <f ca="1">_xlfn.XLOOKUP(总览!$B$44,$B$40:$B$45,$C$40:$C$45)</f>
        <v>5</v>
      </c>
      <c r="E505" s="95">
        <f ca="1" t="shared" si="40"/>
        <v>483</v>
      </c>
      <c r="F505" s="95">
        <f ca="1" t="shared" si="41"/>
        <v>0</v>
      </c>
      <c r="G505" s="95">
        <f ca="1" t="shared" si="42"/>
        <v>1.03969500000001</v>
      </c>
      <c r="H505" s="95" cm="1">
        <f ca="1" t="array" ref="H505">MIN(30-SUM(I505:L505),_xlfn.XLOOKUP($D505&amp;"_"&amp;H$52,$B$14:$B$36&amp;"_"&amp;$C$14:$C$36,$D$14:$D$36)*$E505,18)</f>
        <v>18</v>
      </c>
      <c r="I505" s="95" cm="1">
        <f ca="1" t="array" ref="I505">MIN(30-SUM(J505:L505),6-L505,_xlfn.XLOOKUP($D505&amp;"_"&amp;I$52,$B$14:$B$36&amp;"_"&amp;$C$14:$C$36,$D$14:$D$36)*$E505)</f>
        <v>3.44965499999999</v>
      </c>
      <c r="J505" s="95" cm="1">
        <f ca="1" t="array" ref="J505">MIN(8,_xlfn.XLOOKUP($D505&amp;"_"&amp;J$52,$B$14:$B$36&amp;"_"&amp;$C$14:$C$36,$D$14:$D$36)*$E505)</f>
        <v>3.6225</v>
      </c>
      <c r="K505" s="95" cm="1">
        <f ca="1" t="array" ref="K505">MIN(18,_xlfn.XLOOKUP($D505&amp;"_"&amp;K$52,$B$14:$B$36&amp;"_"&amp;$C$14:$C$36,$D$14:$D$36)*$E505)</f>
        <v>1.3524</v>
      </c>
      <c r="L505" s="95" cm="1">
        <f ca="1" t="array" ref="L505">MIN(6,_xlfn.XLOOKUP($D505&amp;"_"&amp;L$52,$B$14:$B$36&amp;"_"&amp;$C$14:$C$36,$D$14:$D$36)*$E505)</f>
        <v>2.53575</v>
      </c>
      <c r="M505" s="95" cm="1">
        <f ca="1" t="array" ref="M505">(1+SUMPRODUCT(G505:H505,OFFSET($H$40:$I$40,D505,0)))*(1+OFFSET($J$40,D505,0))^I505*(1+OFFSET($K$40,D505,0))^J505*(1+OFFSET($L$40,D505,0))^K505*(1+OFFSET($M$40,D505,0))^L505</f>
        <v>72.1597974245663</v>
      </c>
      <c r="N505" s="95">
        <f ca="1">MAX(MAX($N$53:N504),OFFSET($C$52,MATCH(M505*1.07,$M$53:$M$2052,1),0)-C505)</f>
        <v>8640</v>
      </c>
    </row>
    <row r="506" spans="2:14">
      <c r="B506" s="95">
        <v>454</v>
      </c>
      <c r="C506" s="95">
        <f t="shared" si="39"/>
        <v>163440</v>
      </c>
      <c r="D506" s="95">
        <f ca="1">_xlfn.XLOOKUP(总览!$B$44,$B$40:$B$45,$C$40:$C$45)</f>
        <v>5</v>
      </c>
      <c r="E506" s="95">
        <f ca="1" t="shared" si="40"/>
        <v>484</v>
      </c>
      <c r="F506" s="95">
        <f ca="1" t="shared" si="41"/>
        <v>0</v>
      </c>
      <c r="G506" s="95">
        <f ca="1" t="shared" si="42"/>
        <v>1.01700285714286</v>
      </c>
      <c r="H506" s="95" cm="1">
        <f ca="1" t="array" ref="H506">MIN(30-SUM(I506:L506),_xlfn.XLOOKUP($D506&amp;"_"&amp;H$52,$B$14:$B$36&amp;"_"&amp;$C$14:$C$36,$D$14:$D$36)*$E506,18)</f>
        <v>18</v>
      </c>
      <c r="I506" s="95" cm="1">
        <f ca="1" t="array" ref="I506">MIN(30-SUM(J506:L506),6-L506,_xlfn.XLOOKUP($D506&amp;"_"&amp;I$52,$B$14:$B$36&amp;"_"&amp;$C$14:$C$36,$D$14:$D$36)*$E506)</f>
        <v>3.45679714285714</v>
      </c>
      <c r="J506" s="95" cm="1">
        <f ca="1" t="array" ref="J506">MIN(8,_xlfn.XLOOKUP($D506&amp;"_"&amp;J$52,$B$14:$B$36&amp;"_"&amp;$C$14:$C$36,$D$14:$D$36)*$E506)</f>
        <v>3.63</v>
      </c>
      <c r="K506" s="95" cm="1">
        <f ca="1" t="array" ref="K506">MIN(18,_xlfn.XLOOKUP($D506&amp;"_"&amp;K$52,$B$14:$B$36&amp;"_"&amp;$C$14:$C$36,$D$14:$D$36)*$E506)</f>
        <v>1.3552</v>
      </c>
      <c r="L506" s="95" cm="1">
        <f ca="1" t="array" ref="L506">MIN(6,_xlfn.XLOOKUP($D506&amp;"_"&amp;L$52,$B$14:$B$36&amp;"_"&amp;$C$14:$C$36,$D$14:$D$36)*$E506)</f>
        <v>2.541</v>
      </c>
      <c r="M506" s="95" cm="1">
        <f ca="1" t="array" ref="M506">(1+SUMPRODUCT(G506:H506,OFFSET($H$40:$I$40,D506,0)))*(1+OFFSET($J$40,D506,0))^I506*(1+OFFSET($K$40,D506,0))^J506*(1+OFFSET($L$40,D506,0))^K506*(1+OFFSET($M$40,D506,0))^L506</f>
        <v>72.5263970741199</v>
      </c>
      <c r="N506" s="95">
        <f ca="1">MAX(MAX($N$53:N505),OFFSET($C$52,MATCH(M506*1.07,$M$53:$M$2052,1),0)-C506)</f>
        <v>9000</v>
      </c>
    </row>
    <row r="507" spans="2:14">
      <c r="B507" s="95">
        <v>455</v>
      </c>
      <c r="C507" s="95">
        <f t="shared" si="39"/>
        <v>163800</v>
      </c>
      <c r="D507" s="95">
        <f ca="1">_xlfn.XLOOKUP(总览!$B$44,$B$40:$B$45,$C$40:$C$45)</f>
        <v>5</v>
      </c>
      <c r="E507" s="95">
        <f ca="1" t="shared" si="40"/>
        <v>485</v>
      </c>
      <c r="F507" s="95">
        <f ca="1" t="shared" si="41"/>
        <v>0</v>
      </c>
      <c r="G507" s="95">
        <f ca="1" t="shared" si="42"/>
        <v>1.0045</v>
      </c>
      <c r="H507" s="95" cm="1">
        <f ca="1" t="array" ref="H507">MIN(30-SUM(I507:L507),_xlfn.XLOOKUP($D507&amp;"_"&amp;H$52,$B$14:$B$36&amp;"_"&amp;$C$14:$C$36,$D$14:$D$36)*$E507,18)</f>
        <v>18</v>
      </c>
      <c r="I507" s="95" cm="1">
        <f ca="1" t="array" ref="I507">MIN(30-SUM(J507:L507),6-L507,_xlfn.XLOOKUP($D507&amp;"_"&amp;I$52,$B$14:$B$36&amp;"_"&amp;$C$14:$C$36,$D$14:$D$36)*$E507)</f>
        <v>3.45375</v>
      </c>
      <c r="J507" s="95" cm="1">
        <f ca="1" t="array" ref="J507">MIN(8,_xlfn.XLOOKUP($D507&amp;"_"&amp;J$52,$B$14:$B$36&amp;"_"&amp;$C$14:$C$36,$D$14:$D$36)*$E507)</f>
        <v>3.6375</v>
      </c>
      <c r="K507" s="95" cm="1">
        <f ca="1" t="array" ref="K507">MIN(18,_xlfn.XLOOKUP($D507&amp;"_"&amp;K$52,$B$14:$B$36&amp;"_"&amp;$C$14:$C$36,$D$14:$D$36)*$E507)</f>
        <v>1.358</v>
      </c>
      <c r="L507" s="95" cm="1">
        <f ca="1" t="array" ref="L507">MIN(6,_xlfn.XLOOKUP($D507&amp;"_"&amp;L$52,$B$14:$B$36&amp;"_"&amp;$C$14:$C$36,$D$14:$D$36)*$E507)</f>
        <v>2.54625</v>
      </c>
      <c r="M507" s="95" cm="1">
        <f ca="1" t="array" ref="M507">(1+SUMPRODUCT(G507:H507,OFFSET($H$40:$I$40,D507,0)))*(1+OFFSET($J$40,D507,0))^I507*(1+OFFSET($K$40,D507,0))^J507*(1+OFFSET($L$40,D507,0))^K507*(1+OFFSET($M$40,D507,0))^L507</f>
        <v>72.7481273990026</v>
      </c>
      <c r="N507" s="95">
        <f ca="1">MAX(MAX($N$53:N506),OFFSET($C$52,MATCH(M507*1.07,$M$53:$M$2052,1),0)-C507)</f>
        <v>9000</v>
      </c>
    </row>
    <row r="508" spans="2:14">
      <c r="B508" s="95">
        <v>456</v>
      </c>
      <c r="C508" s="95">
        <f t="shared" si="39"/>
        <v>164160</v>
      </c>
      <c r="D508" s="95">
        <f ca="1">_xlfn.XLOOKUP(总览!$B$44,$B$40:$B$45,$C$40:$C$45)</f>
        <v>5</v>
      </c>
      <c r="E508" s="95">
        <f ca="1" t="shared" si="40"/>
        <v>486</v>
      </c>
      <c r="F508" s="95">
        <f ca="1" t="shared" si="41"/>
        <v>0</v>
      </c>
      <c r="G508" s="95">
        <f ca="1" t="shared" si="42"/>
        <v>0.994199999999999</v>
      </c>
      <c r="H508" s="95" cm="1">
        <f ca="1" t="array" ref="H508">MIN(30-SUM(I508:L508),_xlfn.XLOOKUP($D508&amp;"_"&amp;H$52,$B$14:$B$36&amp;"_"&amp;$C$14:$C$36,$D$14:$D$36)*$E508,18)</f>
        <v>18</v>
      </c>
      <c r="I508" s="95" cm="1">
        <f ca="1" t="array" ref="I508">MIN(30-SUM(J508:L508),6-L508,_xlfn.XLOOKUP($D508&amp;"_"&amp;I$52,$B$14:$B$36&amp;"_"&amp;$C$14:$C$36,$D$14:$D$36)*$E508)</f>
        <v>3.4485</v>
      </c>
      <c r="J508" s="95" cm="1">
        <f ca="1" t="array" ref="J508">MIN(8,_xlfn.XLOOKUP($D508&amp;"_"&amp;J$52,$B$14:$B$36&amp;"_"&amp;$C$14:$C$36,$D$14:$D$36)*$E508)</f>
        <v>3.645</v>
      </c>
      <c r="K508" s="95" cm="1">
        <f ca="1" t="array" ref="K508">MIN(18,_xlfn.XLOOKUP($D508&amp;"_"&amp;K$52,$B$14:$B$36&amp;"_"&amp;$C$14:$C$36,$D$14:$D$36)*$E508)</f>
        <v>1.3608</v>
      </c>
      <c r="L508" s="95" cm="1">
        <f ca="1" t="array" ref="L508">MIN(6,_xlfn.XLOOKUP($D508&amp;"_"&amp;L$52,$B$14:$B$36&amp;"_"&amp;$C$14:$C$36,$D$14:$D$36)*$E508)</f>
        <v>2.5515</v>
      </c>
      <c r="M508" s="95" cm="1">
        <f ca="1" t="array" ref="M508">(1+SUMPRODUCT(G508:H508,OFFSET($H$40:$I$40,D508,0)))*(1+OFFSET($J$40,D508,0))^I508*(1+OFFSET($K$40,D508,0))^J508*(1+OFFSET($L$40,D508,0))^K508*(1+OFFSET($M$40,D508,0))^L508</f>
        <v>72.9387536659309</v>
      </c>
      <c r="N508" s="95">
        <f ca="1">MAX(MAX($N$53:N507),OFFSET($C$52,MATCH(M508*1.07,$M$53:$M$2052,1),0)-C508)</f>
        <v>9000</v>
      </c>
    </row>
    <row r="509" spans="2:14">
      <c r="B509" s="95">
        <v>457</v>
      </c>
      <c r="C509" s="95">
        <f t="shared" si="39"/>
        <v>164520</v>
      </c>
      <c r="D509" s="95">
        <f ca="1">_xlfn.XLOOKUP(总览!$B$44,$B$40:$B$45,$C$40:$C$45)</f>
        <v>5</v>
      </c>
      <c r="E509" s="95">
        <f ca="1" t="shared" si="40"/>
        <v>487</v>
      </c>
      <c r="F509" s="95">
        <f ca="1" t="shared" si="41"/>
        <v>0</v>
      </c>
      <c r="G509" s="95">
        <f ca="1" t="shared" si="42"/>
        <v>0.983899999999998</v>
      </c>
      <c r="H509" s="95" cm="1">
        <f ca="1" t="array" ref="H509">MIN(30-SUM(I509:L509),_xlfn.XLOOKUP($D509&amp;"_"&amp;H$52,$B$14:$B$36&amp;"_"&amp;$C$14:$C$36,$D$14:$D$36)*$E509,18)</f>
        <v>18</v>
      </c>
      <c r="I509" s="95" cm="1">
        <f ca="1" t="array" ref="I509">MIN(30-SUM(J509:L509),6-L509,_xlfn.XLOOKUP($D509&amp;"_"&amp;I$52,$B$14:$B$36&amp;"_"&amp;$C$14:$C$36,$D$14:$D$36)*$E509)</f>
        <v>3.44325</v>
      </c>
      <c r="J509" s="95" cm="1">
        <f ca="1" t="array" ref="J509">MIN(8,_xlfn.XLOOKUP($D509&amp;"_"&amp;J$52,$B$14:$B$36&amp;"_"&amp;$C$14:$C$36,$D$14:$D$36)*$E509)</f>
        <v>3.6525</v>
      </c>
      <c r="K509" s="95" cm="1">
        <f ca="1" t="array" ref="K509">MIN(18,_xlfn.XLOOKUP($D509&amp;"_"&amp;K$52,$B$14:$B$36&amp;"_"&amp;$C$14:$C$36,$D$14:$D$36)*$E509)</f>
        <v>1.3636</v>
      </c>
      <c r="L509" s="95" cm="1">
        <f ca="1" t="array" ref="L509">MIN(6,_xlfn.XLOOKUP($D509&amp;"_"&amp;L$52,$B$14:$B$36&amp;"_"&amp;$C$14:$C$36,$D$14:$D$36)*$E509)</f>
        <v>2.55675</v>
      </c>
      <c r="M509" s="95" cm="1">
        <f ca="1" t="array" ref="M509">(1+SUMPRODUCT(G509:H509,OFFSET($H$40:$I$40,D509,0)))*(1+OFFSET($J$40,D509,0))^I509*(1+OFFSET($K$40,D509,0))^J509*(1+OFFSET($L$40,D509,0))^K509*(1+OFFSET($M$40,D509,0))^L509</f>
        <v>73.1298744260495</v>
      </c>
      <c r="N509" s="95">
        <f ca="1">MAX(MAX($N$53:N508),OFFSET($C$52,MATCH(M509*1.07,$M$53:$M$2052,1),0)-C509)</f>
        <v>9000</v>
      </c>
    </row>
    <row r="510" spans="2:14">
      <c r="B510" s="95">
        <v>458</v>
      </c>
      <c r="C510" s="95">
        <f t="shared" si="39"/>
        <v>164880</v>
      </c>
      <c r="D510" s="95">
        <f ca="1">_xlfn.XLOOKUP(总览!$B$44,$B$40:$B$45,$C$40:$C$45)</f>
        <v>5</v>
      </c>
      <c r="E510" s="95">
        <f ca="1" t="shared" si="40"/>
        <v>488</v>
      </c>
      <c r="F510" s="95">
        <f ca="1" t="shared" si="41"/>
        <v>0</v>
      </c>
      <c r="G510" s="95">
        <f ca="1" t="shared" si="42"/>
        <v>0.973600000000001</v>
      </c>
      <c r="H510" s="95" cm="1">
        <f ca="1" t="array" ref="H510">MIN(30-SUM(I510:L510),_xlfn.XLOOKUP($D510&amp;"_"&amp;H$52,$B$14:$B$36&amp;"_"&amp;$C$14:$C$36,$D$14:$D$36)*$E510,18)</f>
        <v>18</v>
      </c>
      <c r="I510" s="95" cm="1">
        <f ca="1" t="array" ref="I510">MIN(30-SUM(J510:L510),6-L510,_xlfn.XLOOKUP($D510&amp;"_"&amp;I$52,$B$14:$B$36&amp;"_"&amp;$C$14:$C$36,$D$14:$D$36)*$E510)</f>
        <v>3.438</v>
      </c>
      <c r="J510" s="95" cm="1">
        <f ca="1" t="array" ref="J510">MIN(8,_xlfn.XLOOKUP($D510&amp;"_"&amp;J$52,$B$14:$B$36&amp;"_"&amp;$C$14:$C$36,$D$14:$D$36)*$E510)</f>
        <v>3.66</v>
      </c>
      <c r="K510" s="95" cm="1">
        <f ca="1" t="array" ref="K510">MIN(18,_xlfn.XLOOKUP($D510&amp;"_"&amp;K$52,$B$14:$B$36&amp;"_"&amp;$C$14:$C$36,$D$14:$D$36)*$E510)</f>
        <v>1.3664</v>
      </c>
      <c r="L510" s="95" cm="1">
        <f ca="1" t="array" ref="L510">MIN(6,_xlfn.XLOOKUP($D510&amp;"_"&amp;L$52,$B$14:$B$36&amp;"_"&amp;$C$14:$C$36,$D$14:$D$36)*$E510)</f>
        <v>2.562</v>
      </c>
      <c r="M510" s="95" cm="1">
        <f ca="1" t="array" ref="M510">(1+SUMPRODUCT(G510:H510,OFFSET($H$40:$I$40,D510,0)))*(1+OFFSET($J$40,D510,0))^I510*(1+OFFSET($K$40,D510,0))^J510*(1+OFFSET($L$40,D510,0))^K510*(1+OFFSET($M$40,D510,0))^L510</f>
        <v>73.3214909461855</v>
      </c>
      <c r="N510" s="95">
        <f ca="1">MAX(MAX($N$53:N509),OFFSET($C$52,MATCH(M510*1.07,$M$53:$M$2052,1),0)-C510)</f>
        <v>9000</v>
      </c>
    </row>
    <row r="511" spans="2:14">
      <c r="B511" s="95">
        <v>459</v>
      </c>
      <c r="C511" s="95">
        <f t="shared" si="39"/>
        <v>165240</v>
      </c>
      <c r="D511" s="95">
        <f ca="1">_xlfn.XLOOKUP(总览!$B$44,$B$40:$B$45,$C$40:$C$45)</f>
        <v>5</v>
      </c>
      <c r="E511" s="95">
        <f ca="1" t="shared" si="40"/>
        <v>489</v>
      </c>
      <c r="F511" s="95">
        <f ca="1" t="shared" si="41"/>
        <v>0</v>
      </c>
      <c r="G511" s="95">
        <f ca="1" t="shared" si="42"/>
        <v>0.9633</v>
      </c>
      <c r="H511" s="95" cm="1">
        <f ca="1" t="array" ref="H511">MIN(30-SUM(I511:L511),_xlfn.XLOOKUP($D511&amp;"_"&amp;H$52,$B$14:$B$36&amp;"_"&amp;$C$14:$C$36,$D$14:$D$36)*$E511,18)</f>
        <v>18</v>
      </c>
      <c r="I511" s="95" cm="1">
        <f ca="1" t="array" ref="I511">MIN(30-SUM(J511:L511),6-L511,_xlfn.XLOOKUP($D511&amp;"_"&amp;I$52,$B$14:$B$36&amp;"_"&amp;$C$14:$C$36,$D$14:$D$36)*$E511)</f>
        <v>3.43275</v>
      </c>
      <c r="J511" s="95" cm="1">
        <f ca="1" t="array" ref="J511">MIN(8,_xlfn.XLOOKUP($D511&amp;"_"&amp;J$52,$B$14:$B$36&amp;"_"&amp;$C$14:$C$36,$D$14:$D$36)*$E511)</f>
        <v>3.6675</v>
      </c>
      <c r="K511" s="95" cm="1">
        <f ca="1" t="array" ref="K511">MIN(18,_xlfn.XLOOKUP($D511&amp;"_"&amp;K$52,$B$14:$B$36&amp;"_"&amp;$C$14:$C$36,$D$14:$D$36)*$E511)</f>
        <v>1.3692</v>
      </c>
      <c r="L511" s="95" cm="1">
        <f ca="1" t="array" ref="L511">MIN(6,_xlfn.XLOOKUP($D511&amp;"_"&amp;L$52,$B$14:$B$36&amp;"_"&amp;$C$14:$C$36,$D$14:$D$36)*$E511)</f>
        <v>2.56725</v>
      </c>
      <c r="M511" s="95" cm="1">
        <f ca="1" t="array" ref="M511">(1+SUMPRODUCT(G511:H511,OFFSET($H$40:$I$40,D511,0)))*(1+OFFSET($J$40,D511,0))^I511*(1+OFFSET($K$40,D511,0))^J511*(1+OFFSET($L$40,D511,0))^K511*(1+OFFSET($M$40,D511,0))^L511</f>
        <v>73.5136044963605</v>
      </c>
      <c r="N511" s="95">
        <f ca="1">MAX(MAX($N$53:N510),OFFSET($C$52,MATCH(M511*1.07,$M$53:$M$2052,1),0)-C511)</f>
        <v>9000</v>
      </c>
    </row>
    <row r="512" spans="2:14">
      <c r="B512" s="95">
        <v>460</v>
      </c>
      <c r="C512" s="95">
        <f t="shared" si="39"/>
        <v>165600</v>
      </c>
      <c r="D512" s="95">
        <f ca="1">_xlfn.XLOOKUP(总览!$B$44,$B$40:$B$45,$C$40:$C$45)</f>
        <v>5</v>
      </c>
      <c r="E512" s="95">
        <f ca="1" t="shared" si="40"/>
        <v>490</v>
      </c>
      <c r="F512" s="95">
        <f ca="1" t="shared" si="41"/>
        <v>0</v>
      </c>
      <c r="G512" s="95">
        <f ca="1" t="shared" si="42"/>
        <v>0.952999999999999</v>
      </c>
      <c r="H512" s="95" cm="1">
        <f ca="1" t="array" ref="H512">MIN(30-SUM(I512:L512),_xlfn.XLOOKUP($D512&amp;"_"&amp;H$52,$B$14:$B$36&amp;"_"&amp;$C$14:$C$36,$D$14:$D$36)*$E512,18)</f>
        <v>18</v>
      </c>
      <c r="I512" s="95" cm="1">
        <f ca="1" t="array" ref="I512">MIN(30-SUM(J512:L512),6-L512,_xlfn.XLOOKUP($D512&amp;"_"&amp;I$52,$B$14:$B$36&amp;"_"&amp;$C$14:$C$36,$D$14:$D$36)*$E512)</f>
        <v>3.4275</v>
      </c>
      <c r="J512" s="95" cm="1">
        <f ca="1" t="array" ref="J512">MIN(8,_xlfn.XLOOKUP($D512&amp;"_"&amp;J$52,$B$14:$B$36&amp;"_"&amp;$C$14:$C$36,$D$14:$D$36)*$E512)</f>
        <v>3.675</v>
      </c>
      <c r="K512" s="95" cm="1">
        <f ca="1" t="array" ref="K512">MIN(18,_xlfn.XLOOKUP($D512&amp;"_"&amp;K$52,$B$14:$B$36&amp;"_"&amp;$C$14:$C$36,$D$14:$D$36)*$E512)</f>
        <v>1.372</v>
      </c>
      <c r="L512" s="95" cm="1">
        <f ca="1" t="array" ref="L512">MIN(6,_xlfn.XLOOKUP($D512&amp;"_"&amp;L$52,$B$14:$B$36&amp;"_"&amp;$C$14:$C$36,$D$14:$D$36)*$E512)</f>
        <v>2.5725</v>
      </c>
      <c r="M512" s="95" cm="1">
        <f ca="1" t="array" ref="M512">(1+SUMPRODUCT(G512:H512,OFFSET($H$40:$I$40,D512,0)))*(1+OFFSET($J$40,D512,0))^I512*(1+OFFSET($K$40,D512,0))^J512*(1+OFFSET($L$40,D512,0))^K512*(1+OFFSET($M$40,D512,0))^L512</f>
        <v>73.7062163497983</v>
      </c>
      <c r="N512" s="95">
        <f ca="1">MAX(MAX($N$53:N511),OFFSET($C$52,MATCH(M512*1.07,$M$53:$M$2052,1),0)-C512)</f>
        <v>9000</v>
      </c>
    </row>
    <row r="513" spans="2:14">
      <c r="B513" s="95">
        <v>461</v>
      </c>
      <c r="C513" s="95">
        <f t="shared" ref="C513:C520" si="43">C512+360</f>
        <v>165960</v>
      </c>
      <c r="D513" s="95">
        <f ca="1">_xlfn.XLOOKUP(总览!$B$44,$B$40:$B$45,$C$40:$C$45)</f>
        <v>5</v>
      </c>
      <c r="E513" s="95">
        <f ca="1" t="shared" si="40"/>
        <v>491</v>
      </c>
      <c r="F513" s="95">
        <f ca="1" t="shared" si="41"/>
        <v>0</v>
      </c>
      <c r="G513" s="95">
        <f ca="1" t="shared" si="42"/>
        <v>0.942700000000002</v>
      </c>
      <c r="H513" s="95" cm="1">
        <f ca="1" t="array" ref="H513">MIN(30-SUM(I513:L513),_xlfn.XLOOKUP($D513&amp;"_"&amp;H$52,$B$14:$B$36&amp;"_"&amp;$C$14:$C$36,$D$14:$D$36)*$E513,18)</f>
        <v>18</v>
      </c>
      <c r="I513" s="95" cm="1">
        <f ca="1" t="array" ref="I513">MIN(30-SUM(J513:L513),6-L513,_xlfn.XLOOKUP($D513&amp;"_"&amp;I$52,$B$14:$B$36&amp;"_"&amp;$C$14:$C$36,$D$14:$D$36)*$E513)</f>
        <v>3.42225</v>
      </c>
      <c r="J513" s="95" cm="1">
        <f ca="1" t="array" ref="J513">MIN(8,_xlfn.XLOOKUP($D513&amp;"_"&amp;J$52,$B$14:$B$36&amp;"_"&amp;$C$14:$C$36,$D$14:$D$36)*$E513)</f>
        <v>3.6825</v>
      </c>
      <c r="K513" s="95" cm="1">
        <f ca="1" t="array" ref="K513">MIN(18,_xlfn.XLOOKUP($D513&amp;"_"&amp;K$52,$B$14:$B$36&amp;"_"&amp;$C$14:$C$36,$D$14:$D$36)*$E513)</f>
        <v>1.3748</v>
      </c>
      <c r="L513" s="95" cm="1">
        <f ca="1" t="array" ref="L513">MIN(6,_xlfn.XLOOKUP($D513&amp;"_"&amp;L$52,$B$14:$B$36&amp;"_"&amp;$C$14:$C$36,$D$14:$D$36)*$E513)</f>
        <v>2.57775</v>
      </c>
      <c r="M513" s="95" cm="1">
        <f ca="1" t="array" ref="M513">(1+SUMPRODUCT(G513:H513,OFFSET($H$40:$I$40,D513,0)))*(1+OFFSET($J$40,D513,0))^I513*(1+OFFSET($K$40,D513,0))^J513*(1+OFFSET($L$40,D513,0))^K513*(1+OFFSET($M$40,D513,0))^L513</f>
        <v>73.8993277829333</v>
      </c>
      <c r="N513" s="95">
        <f ca="1">MAX(MAX($N$53:N512),OFFSET($C$52,MATCH(M513*1.07,$M$53:$M$2052,1),0)-C513)</f>
        <v>9000</v>
      </c>
    </row>
    <row r="514" spans="2:14">
      <c r="B514" s="95">
        <v>462</v>
      </c>
      <c r="C514" s="95">
        <f t="shared" si="43"/>
        <v>166320</v>
      </c>
      <c r="D514" s="95">
        <f ca="1">_xlfn.XLOOKUP(总览!$B$44,$B$40:$B$45,$C$40:$C$45)</f>
        <v>5</v>
      </c>
      <c r="E514" s="95">
        <f ca="1" t="shared" si="40"/>
        <v>492</v>
      </c>
      <c r="F514" s="95">
        <f ca="1" t="shared" si="41"/>
        <v>0</v>
      </c>
      <c r="G514" s="95">
        <f ca="1" t="shared" si="42"/>
        <v>0.932399999999994</v>
      </c>
      <c r="H514" s="95" cm="1">
        <f ca="1" t="array" ref="H514">MIN(30-SUM(I514:L514),_xlfn.XLOOKUP($D514&amp;"_"&amp;H$52,$B$14:$B$36&amp;"_"&amp;$C$14:$C$36,$D$14:$D$36)*$E514,18)</f>
        <v>18</v>
      </c>
      <c r="I514" s="95" cm="1">
        <f ca="1" t="array" ref="I514">MIN(30-SUM(J514:L514),6-L514,_xlfn.XLOOKUP($D514&amp;"_"&amp;I$52,$B$14:$B$36&amp;"_"&amp;$C$14:$C$36,$D$14:$D$36)*$E514)</f>
        <v>3.417</v>
      </c>
      <c r="J514" s="95" cm="1">
        <f ca="1" t="array" ref="J514">MIN(8,_xlfn.XLOOKUP($D514&amp;"_"&amp;J$52,$B$14:$B$36&amp;"_"&amp;$C$14:$C$36,$D$14:$D$36)*$E514)</f>
        <v>3.69</v>
      </c>
      <c r="K514" s="95" cm="1">
        <f ca="1" t="array" ref="K514">MIN(18,_xlfn.XLOOKUP($D514&amp;"_"&amp;K$52,$B$14:$B$36&amp;"_"&amp;$C$14:$C$36,$D$14:$D$36)*$E514)</f>
        <v>1.3776</v>
      </c>
      <c r="L514" s="95" cm="1">
        <f ca="1" t="array" ref="L514">MIN(6,_xlfn.XLOOKUP($D514&amp;"_"&amp;L$52,$B$14:$B$36&amp;"_"&amp;$C$14:$C$36,$D$14:$D$36)*$E514)</f>
        <v>2.583</v>
      </c>
      <c r="M514" s="95" cm="1">
        <f ca="1" t="array" ref="M514">(1+SUMPRODUCT(G514:H514,OFFSET($H$40:$I$40,D514,0)))*(1+OFFSET($J$40,D514,0))^I514*(1+OFFSET($K$40,D514,0))^J514*(1+OFFSET($L$40,D514,0))^K514*(1+OFFSET($M$40,D514,0))^L514</f>
        <v>74.0929400754176</v>
      </c>
      <c r="N514" s="95">
        <f ca="1">MAX(MAX($N$53:N513),OFFSET($C$52,MATCH(M514*1.07,$M$53:$M$2052,1),0)-C514)</f>
        <v>9000</v>
      </c>
    </row>
    <row r="515" spans="2:14">
      <c r="B515" s="95">
        <v>463</v>
      </c>
      <c r="C515" s="95">
        <f t="shared" si="43"/>
        <v>166680</v>
      </c>
      <c r="D515" s="95">
        <f ca="1">_xlfn.XLOOKUP(总览!$B$44,$B$40:$B$45,$C$40:$C$45)</f>
        <v>5</v>
      </c>
      <c r="E515" s="95">
        <f ca="1" t="shared" si="40"/>
        <v>493</v>
      </c>
      <c r="F515" s="95">
        <f ca="1" t="shared" si="41"/>
        <v>0</v>
      </c>
      <c r="G515" s="95">
        <f ca="1" t="shared" si="42"/>
        <v>0.922099999999997</v>
      </c>
      <c r="H515" s="95" cm="1">
        <f ca="1" t="array" ref="H515">MIN(30-SUM(I515:L515),_xlfn.XLOOKUP($D515&amp;"_"&amp;H$52,$B$14:$B$36&amp;"_"&amp;$C$14:$C$36,$D$14:$D$36)*$E515,18)</f>
        <v>18</v>
      </c>
      <c r="I515" s="95" cm="1">
        <f ca="1" t="array" ref="I515">MIN(30-SUM(J515:L515),6-L515,_xlfn.XLOOKUP($D515&amp;"_"&amp;I$52,$B$14:$B$36&amp;"_"&amp;$C$14:$C$36,$D$14:$D$36)*$E515)</f>
        <v>3.41175</v>
      </c>
      <c r="J515" s="95" cm="1">
        <f ca="1" t="array" ref="J515">MIN(8,_xlfn.XLOOKUP($D515&amp;"_"&amp;J$52,$B$14:$B$36&amp;"_"&amp;$C$14:$C$36,$D$14:$D$36)*$E515)</f>
        <v>3.6975</v>
      </c>
      <c r="K515" s="95" cm="1">
        <f ca="1" t="array" ref="K515">MIN(18,_xlfn.XLOOKUP($D515&amp;"_"&amp;K$52,$B$14:$B$36&amp;"_"&amp;$C$14:$C$36,$D$14:$D$36)*$E515)</f>
        <v>1.3804</v>
      </c>
      <c r="L515" s="95" cm="1">
        <f ca="1" t="array" ref="L515">MIN(6,_xlfn.XLOOKUP($D515&amp;"_"&amp;L$52,$B$14:$B$36&amp;"_"&amp;$C$14:$C$36,$D$14:$D$36)*$E515)</f>
        <v>2.58825</v>
      </c>
      <c r="M515" s="95" cm="1">
        <f ca="1" t="array" ref="M515">(1+SUMPRODUCT(G515:H515,OFFSET($H$40:$I$40,D515,0)))*(1+OFFSET($J$40,D515,0))^I515*(1+OFFSET($K$40,D515,0))^J515*(1+OFFSET($L$40,D515,0))^K515*(1+OFFSET($M$40,D515,0))^L515</f>
        <v>74.28705451013</v>
      </c>
      <c r="N515" s="95">
        <f ca="1">MAX(MAX($N$53:N514),OFFSET($C$52,MATCH(M515*1.07,$M$53:$M$2052,1),0)-C515)</f>
        <v>9000</v>
      </c>
    </row>
    <row r="516" spans="2:14">
      <c r="B516" s="95">
        <v>464</v>
      </c>
      <c r="C516" s="95">
        <f t="shared" si="43"/>
        <v>167040</v>
      </c>
      <c r="D516" s="95">
        <f ca="1">_xlfn.XLOOKUP(总览!$B$44,$B$40:$B$45,$C$40:$C$45)</f>
        <v>5</v>
      </c>
      <c r="E516" s="95">
        <f ca="1" t="shared" si="40"/>
        <v>494</v>
      </c>
      <c r="F516" s="95">
        <f ca="1" t="shared" si="41"/>
        <v>0</v>
      </c>
      <c r="G516" s="95">
        <f ca="1" t="shared" si="42"/>
        <v>0.911800000000003</v>
      </c>
      <c r="H516" s="95" cm="1">
        <f ca="1" t="array" ref="H516">MIN(30-SUM(I516:L516),_xlfn.XLOOKUP($D516&amp;"_"&amp;H$52,$B$14:$B$36&amp;"_"&amp;$C$14:$C$36,$D$14:$D$36)*$E516,18)</f>
        <v>18</v>
      </c>
      <c r="I516" s="95" cm="1">
        <f ca="1" t="array" ref="I516">MIN(30-SUM(J516:L516),6-L516,_xlfn.XLOOKUP($D516&amp;"_"&amp;I$52,$B$14:$B$36&amp;"_"&amp;$C$14:$C$36,$D$14:$D$36)*$E516)</f>
        <v>3.4065</v>
      </c>
      <c r="J516" s="95" cm="1">
        <f ca="1" t="array" ref="J516">MIN(8,_xlfn.XLOOKUP($D516&amp;"_"&amp;J$52,$B$14:$B$36&amp;"_"&amp;$C$14:$C$36,$D$14:$D$36)*$E516)</f>
        <v>3.705</v>
      </c>
      <c r="K516" s="95" cm="1">
        <f ca="1" t="array" ref="K516">MIN(18,_xlfn.XLOOKUP($D516&amp;"_"&amp;K$52,$B$14:$B$36&amp;"_"&amp;$C$14:$C$36,$D$14:$D$36)*$E516)</f>
        <v>1.3832</v>
      </c>
      <c r="L516" s="95" cm="1">
        <f ca="1" t="array" ref="L516">MIN(6,_xlfn.XLOOKUP($D516&amp;"_"&amp;L$52,$B$14:$B$36&amp;"_"&amp;$C$14:$C$36,$D$14:$D$36)*$E516)</f>
        <v>2.5935</v>
      </c>
      <c r="M516" s="95" cm="1">
        <f ca="1" t="array" ref="M516">(1+SUMPRODUCT(G516:H516,OFFSET($H$40:$I$40,D516,0)))*(1+OFFSET($J$40,D516,0))^I516*(1+OFFSET($K$40,D516,0))^J516*(1+OFFSET($L$40,D516,0))^K516*(1+OFFSET($M$40,D516,0))^L516</f>
        <v>74.4816723731831</v>
      </c>
      <c r="N516" s="95">
        <f ca="1">MAX(MAX($N$53:N515),OFFSET($C$52,MATCH(M516*1.07,$M$53:$M$2052,1),0)-C516)</f>
        <v>9000</v>
      </c>
    </row>
    <row r="517" spans="2:14">
      <c r="B517" s="95">
        <v>465</v>
      </c>
      <c r="C517" s="95">
        <f t="shared" si="43"/>
        <v>167400</v>
      </c>
      <c r="D517" s="95">
        <f ca="1">_xlfn.XLOOKUP(总览!$B$44,$B$40:$B$45,$C$40:$C$45)</f>
        <v>5</v>
      </c>
      <c r="E517" s="95">
        <f ca="1" t="shared" si="40"/>
        <v>495</v>
      </c>
      <c r="F517" s="95">
        <f ca="1" t="shared" si="41"/>
        <v>0</v>
      </c>
      <c r="G517" s="95">
        <f ca="1" t="shared" si="42"/>
        <v>0.901500000000002</v>
      </c>
      <c r="H517" s="95" cm="1">
        <f ca="1" t="array" ref="H517">MIN(30-SUM(I517:L517),_xlfn.XLOOKUP($D517&amp;"_"&amp;H$52,$B$14:$B$36&amp;"_"&amp;$C$14:$C$36,$D$14:$D$36)*$E517,18)</f>
        <v>18</v>
      </c>
      <c r="I517" s="95" cm="1">
        <f ca="1" t="array" ref="I517">MIN(30-SUM(J517:L517),6-L517,_xlfn.XLOOKUP($D517&amp;"_"&amp;I$52,$B$14:$B$36&amp;"_"&amp;$C$14:$C$36,$D$14:$D$36)*$E517)</f>
        <v>3.40125</v>
      </c>
      <c r="J517" s="95" cm="1">
        <f ca="1" t="array" ref="J517">MIN(8,_xlfn.XLOOKUP($D517&amp;"_"&amp;J$52,$B$14:$B$36&amp;"_"&amp;$C$14:$C$36,$D$14:$D$36)*$E517)</f>
        <v>3.7125</v>
      </c>
      <c r="K517" s="95" cm="1">
        <f ca="1" t="array" ref="K517">MIN(18,_xlfn.XLOOKUP($D517&amp;"_"&amp;K$52,$B$14:$B$36&amp;"_"&amp;$C$14:$C$36,$D$14:$D$36)*$E517)</f>
        <v>1.386</v>
      </c>
      <c r="L517" s="95" cm="1">
        <f ca="1" t="array" ref="L517">MIN(6,_xlfn.XLOOKUP($D517&amp;"_"&amp;L$52,$B$14:$B$36&amp;"_"&amp;$C$14:$C$36,$D$14:$D$36)*$E517)</f>
        <v>2.59875</v>
      </c>
      <c r="M517" s="95" cm="1">
        <f ca="1" t="array" ref="M517">(1+SUMPRODUCT(G517:H517,OFFSET($H$40:$I$40,D517,0)))*(1+OFFSET($J$40,D517,0))^I517*(1+OFFSET($K$40,D517,0))^J517*(1+OFFSET($L$40,D517,0))^K517*(1+OFFSET($M$40,D517,0))^L517</f>
        <v>74.6767949539314</v>
      </c>
      <c r="N517" s="95">
        <f ca="1">MAX(MAX($N$53:N516),OFFSET($C$52,MATCH(M517*1.07,$M$53:$M$2052,1),0)-C517)</f>
        <v>9000</v>
      </c>
    </row>
    <row r="518" spans="2:14">
      <c r="B518" s="95">
        <v>466</v>
      </c>
      <c r="C518" s="95">
        <f t="shared" si="43"/>
        <v>167760</v>
      </c>
      <c r="D518" s="95">
        <f ca="1">_xlfn.XLOOKUP(总览!$B$44,$B$40:$B$45,$C$40:$C$45)</f>
        <v>5</v>
      </c>
      <c r="E518" s="95">
        <f ca="1" t="shared" si="40"/>
        <v>496</v>
      </c>
      <c r="F518" s="95">
        <f ca="1" t="shared" si="41"/>
        <v>0</v>
      </c>
      <c r="G518" s="95">
        <f ca="1" t="shared" si="42"/>
        <v>0.891200000000001</v>
      </c>
      <c r="H518" s="95" cm="1">
        <f ca="1" t="array" ref="H518">MIN(30-SUM(I518:L518),_xlfn.XLOOKUP($D518&amp;"_"&amp;H$52,$B$14:$B$36&amp;"_"&amp;$C$14:$C$36,$D$14:$D$36)*$E518,18)</f>
        <v>18</v>
      </c>
      <c r="I518" s="95" cm="1">
        <f ca="1" t="array" ref="I518">MIN(30-SUM(J518:L518),6-L518,_xlfn.XLOOKUP($D518&amp;"_"&amp;I$52,$B$14:$B$36&amp;"_"&amp;$C$14:$C$36,$D$14:$D$36)*$E518)</f>
        <v>3.396</v>
      </c>
      <c r="J518" s="95" cm="1">
        <f ca="1" t="array" ref="J518">MIN(8,_xlfn.XLOOKUP($D518&amp;"_"&amp;J$52,$B$14:$B$36&amp;"_"&amp;$C$14:$C$36,$D$14:$D$36)*$E518)</f>
        <v>3.72</v>
      </c>
      <c r="K518" s="95" cm="1">
        <f ca="1" t="array" ref="K518">MIN(18,_xlfn.XLOOKUP($D518&amp;"_"&amp;K$52,$B$14:$B$36&amp;"_"&amp;$C$14:$C$36,$D$14:$D$36)*$E518)</f>
        <v>1.3888</v>
      </c>
      <c r="L518" s="95" cm="1">
        <f ca="1" t="array" ref="L518">MIN(6,_xlfn.XLOOKUP($D518&amp;"_"&amp;L$52,$B$14:$B$36&amp;"_"&amp;$C$14:$C$36,$D$14:$D$36)*$E518)</f>
        <v>2.604</v>
      </c>
      <c r="M518" s="95" cm="1">
        <f ca="1" t="array" ref="M518">(1+SUMPRODUCT(G518:H518,OFFSET($H$40:$I$40,D518,0)))*(1+OFFSET($J$40,D518,0))^I518*(1+OFFSET($K$40,D518,0))^J518*(1+OFFSET($L$40,D518,0))^K518*(1+OFFSET($M$40,D518,0))^L518</f>
        <v>74.8724235449799</v>
      </c>
      <c r="N518" s="95">
        <f ca="1">MAX(MAX($N$53:N517),OFFSET($C$52,MATCH(M518*1.07,$M$53:$M$2052,1),0)-C518)</f>
        <v>9000</v>
      </c>
    </row>
    <row r="519" spans="2:14">
      <c r="B519" s="95">
        <v>467</v>
      </c>
      <c r="C519" s="95">
        <f t="shared" si="43"/>
        <v>168120</v>
      </c>
      <c r="D519" s="95">
        <f ca="1">_xlfn.XLOOKUP(总览!$B$44,$B$40:$B$45,$C$40:$C$45)</f>
        <v>5</v>
      </c>
      <c r="E519" s="95">
        <f ca="1" t="shared" si="40"/>
        <v>497</v>
      </c>
      <c r="F519" s="95">
        <f ca="1" t="shared" si="41"/>
        <v>0</v>
      </c>
      <c r="G519" s="95">
        <f ca="1" t="shared" si="42"/>
        <v>0.8809</v>
      </c>
      <c r="H519" s="95" cm="1">
        <f ca="1" t="array" ref="H519">MIN(30-SUM(I519:L519),_xlfn.XLOOKUP($D519&amp;"_"&amp;H$52,$B$14:$B$36&amp;"_"&amp;$C$14:$C$36,$D$14:$D$36)*$E519,18)</f>
        <v>18</v>
      </c>
      <c r="I519" s="95" cm="1">
        <f ca="1" t="array" ref="I519">MIN(30-SUM(J519:L519),6-L519,_xlfn.XLOOKUP($D519&amp;"_"&amp;I$52,$B$14:$B$36&amp;"_"&amp;$C$14:$C$36,$D$14:$D$36)*$E519)</f>
        <v>3.39075</v>
      </c>
      <c r="J519" s="95" cm="1">
        <f ca="1" t="array" ref="J519">MIN(8,_xlfn.XLOOKUP($D519&amp;"_"&amp;J$52,$B$14:$B$36&amp;"_"&amp;$C$14:$C$36,$D$14:$D$36)*$E519)</f>
        <v>3.7275</v>
      </c>
      <c r="K519" s="95" cm="1">
        <f ca="1" t="array" ref="K519">MIN(18,_xlfn.XLOOKUP($D519&amp;"_"&amp;K$52,$B$14:$B$36&amp;"_"&amp;$C$14:$C$36,$D$14:$D$36)*$E519)</f>
        <v>1.3916</v>
      </c>
      <c r="L519" s="95" cm="1">
        <f ca="1" t="array" ref="L519">MIN(6,_xlfn.XLOOKUP($D519&amp;"_"&amp;L$52,$B$14:$B$36&amp;"_"&amp;$C$14:$C$36,$D$14:$D$36)*$E519)</f>
        <v>2.60925</v>
      </c>
      <c r="M519" s="95" cm="1">
        <f ca="1" t="array" ref="M519">(1+SUMPRODUCT(G519:H519,OFFSET($H$40:$I$40,D519,0)))*(1+OFFSET($J$40,D519,0))^I519*(1+OFFSET($K$40,D519,0))^J519*(1+OFFSET($L$40,D519,0))^K519*(1+OFFSET($M$40,D519,0))^L519</f>
        <v>75.0685594421916</v>
      </c>
      <c r="N519" s="95">
        <f ca="1">MAX(MAX($N$53:N518),OFFSET($C$52,MATCH(M519*1.07,$M$53:$M$2052,1),0)-C519)</f>
        <v>9000</v>
      </c>
    </row>
    <row r="520" spans="2:14">
      <c r="B520" s="95">
        <v>468</v>
      </c>
      <c r="C520" s="95">
        <f t="shared" si="43"/>
        <v>168480</v>
      </c>
      <c r="D520" s="95">
        <f ca="1">_xlfn.XLOOKUP(总览!$B$44,$B$40:$B$45,$C$40:$C$45)</f>
        <v>5</v>
      </c>
      <c r="E520" s="95">
        <f ca="1" t="shared" si="40"/>
        <v>498</v>
      </c>
      <c r="F520" s="95">
        <f ca="1" t="shared" si="41"/>
        <v>0</v>
      </c>
      <c r="G520" s="95">
        <f ca="1" t="shared" si="42"/>
        <v>0.8706</v>
      </c>
      <c r="H520" s="95" cm="1">
        <f ca="1" t="array" ref="H520">MIN(30-SUM(I520:L520),_xlfn.XLOOKUP($D520&amp;"_"&amp;H$52,$B$14:$B$36&amp;"_"&amp;$C$14:$C$36,$D$14:$D$36)*$E520,18)</f>
        <v>18</v>
      </c>
      <c r="I520" s="95" cm="1">
        <f ca="1" t="array" ref="I520">MIN(30-SUM(J520:L520),6-L520,_xlfn.XLOOKUP($D520&amp;"_"&amp;I$52,$B$14:$B$36&amp;"_"&amp;$C$14:$C$36,$D$14:$D$36)*$E520)</f>
        <v>3.3855</v>
      </c>
      <c r="J520" s="95" cm="1">
        <f ca="1" t="array" ref="J520">MIN(8,_xlfn.XLOOKUP($D520&amp;"_"&amp;J$52,$B$14:$B$36&amp;"_"&amp;$C$14:$C$36,$D$14:$D$36)*$E520)</f>
        <v>3.735</v>
      </c>
      <c r="K520" s="95" cm="1">
        <f ca="1" t="array" ref="K520">MIN(18,_xlfn.XLOOKUP($D520&amp;"_"&amp;K$52,$B$14:$B$36&amp;"_"&amp;$C$14:$C$36,$D$14:$D$36)*$E520)</f>
        <v>1.3944</v>
      </c>
      <c r="L520" s="95" cm="1">
        <f ca="1" t="array" ref="L520">MIN(6,_xlfn.XLOOKUP($D520&amp;"_"&amp;L$52,$B$14:$B$36&amp;"_"&amp;$C$14:$C$36,$D$14:$D$36)*$E520)</f>
        <v>2.6145</v>
      </c>
      <c r="M520" s="95" cm="1">
        <f ca="1" t="array" ref="M520">(1+SUMPRODUCT(G520:H520,OFFSET($H$40:$I$40,D520,0)))*(1+OFFSET($J$40,D520,0))^I520*(1+OFFSET($K$40,D520,0))^J520*(1+OFFSET($L$40,D520,0))^K520*(1+OFFSET($M$40,D520,0))^L520</f>
        <v>75.2652039446954</v>
      </c>
      <c r="N520" s="95">
        <f ca="1">MAX(MAX($N$53:N519),OFFSET($C$52,MATCH(M520*1.07,$M$53:$M$2052,1),0)-C520)</f>
        <v>9000</v>
      </c>
    </row>
    <row r="521" spans="2:14">
      <c r="B521" s="95">
        <v>469</v>
      </c>
      <c r="C521" s="95">
        <f t="shared" ref="C521:C552" si="44">C520+360</f>
        <v>168840</v>
      </c>
      <c r="D521" s="95">
        <f ca="1">_xlfn.XLOOKUP(总览!$B$44,$B$40:$B$45,$C$40:$C$45)</f>
        <v>5</v>
      </c>
      <c r="E521" s="95">
        <f ca="1" t="shared" si="40"/>
        <v>499</v>
      </c>
      <c r="F521" s="95">
        <f ca="1" t="shared" si="41"/>
        <v>0</v>
      </c>
      <c r="G521" s="95">
        <f ca="1" t="shared" si="42"/>
        <v>0.860299999999999</v>
      </c>
      <c r="H521" s="95" cm="1">
        <f ca="1" t="array" ref="H521">MIN(30-SUM(I521:L521),_xlfn.XLOOKUP($D521&amp;"_"&amp;H$52,$B$14:$B$36&amp;"_"&amp;$C$14:$C$36,$D$14:$D$36)*$E521,18)</f>
        <v>18</v>
      </c>
      <c r="I521" s="95" cm="1">
        <f ca="1" t="array" ref="I521">MIN(30-SUM(J521:L521),6-L521,_xlfn.XLOOKUP($D521&amp;"_"&amp;I$52,$B$14:$B$36&amp;"_"&amp;$C$14:$C$36,$D$14:$D$36)*$E521)</f>
        <v>3.38025</v>
      </c>
      <c r="J521" s="95" cm="1">
        <f ca="1" t="array" ref="J521">MIN(8,_xlfn.XLOOKUP($D521&amp;"_"&amp;J$52,$B$14:$B$36&amp;"_"&amp;$C$14:$C$36,$D$14:$D$36)*$E521)</f>
        <v>3.7425</v>
      </c>
      <c r="K521" s="95" cm="1">
        <f ca="1" t="array" ref="K521">MIN(18,_xlfn.XLOOKUP($D521&amp;"_"&amp;K$52,$B$14:$B$36&amp;"_"&amp;$C$14:$C$36,$D$14:$D$36)*$E521)</f>
        <v>1.3972</v>
      </c>
      <c r="L521" s="95" cm="1">
        <f ca="1" t="array" ref="L521">MIN(6,_xlfn.XLOOKUP($D521&amp;"_"&amp;L$52,$B$14:$B$36&amp;"_"&amp;$C$14:$C$36,$D$14:$D$36)*$E521)</f>
        <v>2.61975</v>
      </c>
      <c r="M521" s="95" cm="1">
        <f ca="1" t="array" ref="M521">(1+SUMPRODUCT(G521:H521,OFFSET($H$40:$I$40,D521,0)))*(1+OFFSET($J$40,D521,0))^I521*(1+OFFSET($K$40,D521,0))^J521*(1+OFFSET($L$40,D521,0))^K521*(1+OFFSET($M$40,D521,0))^L521</f>
        <v>75.4623583548947</v>
      </c>
      <c r="N521" s="95">
        <f ca="1">MAX(MAX($N$53:N520),OFFSET($C$52,MATCH(M521*1.07,$M$53:$M$2052,1),0)-C521)</f>
        <v>9000</v>
      </c>
    </row>
    <row r="522" spans="2:14">
      <c r="B522" s="95">
        <v>470</v>
      </c>
      <c r="C522" s="95">
        <f t="shared" si="44"/>
        <v>169200</v>
      </c>
      <c r="D522" s="95">
        <f ca="1">_xlfn.XLOOKUP(总览!$B$44,$B$40:$B$45,$C$40:$C$45)</f>
        <v>5</v>
      </c>
      <c r="E522" s="95">
        <f ca="1" t="shared" si="40"/>
        <v>500</v>
      </c>
      <c r="F522" s="95">
        <f ca="1" t="shared" si="41"/>
        <v>0</v>
      </c>
      <c r="G522" s="95">
        <f ca="1" t="shared" si="42"/>
        <v>0.850000000000001</v>
      </c>
      <c r="H522" s="95" cm="1">
        <f ca="1" t="array" ref="H522">MIN(30-SUM(I522:L522),_xlfn.XLOOKUP($D522&amp;"_"&amp;H$52,$B$14:$B$36&amp;"_"&amp;$C$14:$C$36,$D$14:$D$36)*$E522,18)</f>
        <v>18</v>
      </c>
      <c r="I522" s="95" cm="1">
        <f ca="1" t="array" ref="I522">MIN(30-SUM(J522:L522),6-L522,_xlfn.XLOOKUP($D522&amp;"_"&amp;I$52,$B$14:$B$36&amp;"_"&amp;$C$14:$C$36,$D$14:$D$36)*$E522)</f>
        <v>3.375</v>
      </c>
      <c r="J522" s="95" cm="1">
        <f ca="1" t="array" ref="J522">MIN(8,_xlfn.XLOOKUP($D522&amp;"_"&amp;J$52,$B$14:$B$36&amp;"_"&amp;$C$14:$C$36,$D$14:$D$36)*$E522)</f>
        <v>3.75</v>
      </c>
      <c r="K522" s="95" cm="1">
        <f ca="1" t="array" ref="K522">MIN(18,_xlfn.XLOOKUP($D522&amp;"_"&amp;K$52,$B$14:$B$36&amp;"_"&amp;$C$14:$C$36,$D$14:$D$36)*$E522)</f>
        <v>1.4</v>
      </c>
      <c r="L522" s="95" cm="1">
        <f ca="1" t="array" ref="L522">MIN(6,_xlfn.XLOOKUP($D522&amp;"_"&amp;L$52,$B$14:$B$36&amp;"_"&amp;$C$14:$C$36,$D$14:$D$36)*$E522)</f>
        <v>2.625</v>
      </c>
      <c r="M522" s="95" cm="1">
        <f ca="1" t="array" ref="M522">(1+SUMPRODUCT(G522:H522,OFFSET($H$40:$I$40,D522,0)))*(1+OFFSET($J$40,D522,0))^I522*(1+OFFSET($K$40,D522,0))^J522*(1+OFFSET($L$40,D522,0))^K522*(1+OFFSET($M$40,D522,0))^L522</f>
        <v>75.6600239784752</v>
      </c>
      <c r="N522" s="95">
        <f ca="1">MAX(MAX($N$53:N521),OFFSET($C$52,MATCH(M522*1.07,$M$53:$M$2052,1),0)-C522)</f>
        <v>9000</v>
      </c>
    </row>
    <row r="523" spans="2:14">
      <c r="B523" s="95">
        <v>471</v>
      </c>
      <c r="C523" s="95">
        <f t="shared" si="44"/>
        <v>169560</v>
      </c>
      <c r="D523" s="95">
        <f ca="1">_xlfn.XLOOKUP(总览!$B$44,$B$40:$B$45,$C$40:$C$45)</f>
        <v>5</v>
      </c>
      <c r="E523" s="95">
        <f ca="1" t="shared" si="40"/>
        <v>501</v>
      </c>
      <c r="F523" s="95">
        <f ca="1" t="shared" si="41"/>
        <v>0</v>
      </c>
      <c r="G523" s="95">
        <f ca="1" t="shared" si="42"/>
        <v>0.839700000000001</v>
      </c>
      <c r="H523" s="95" cm="1">
        <f ca="1" t="array" ref="H523">MIN(30-SUM(I523:L523),_xlfn.XLOOKUP($D523&amp;"_"&amp;H$52,$B$14:$B$36&amp;"_"&amp;$C$14:$C$36,$D$14:$D$36)*$E523,18)</f>
        <v>18</v>
      </c>
      <c r="I523" s="95" cm="1">
        <f ca="1" t="array" ref="I523">MIN(30-SUM(J523:L523),6-L523,_xlfn.XLOOKUP($D523&amp;"_"&amp;I$52,$B$14:$B$36&amp;"_"&amp;$C$14:$C$36,$D$14:$D$36)*$E523)</f>
        <v>3.36975</v>
      </c>
      <c r="J523" s="95" cm="1">
        <f ca="1" t="array" ref="J523">MIN(8,_xlfn.XLOOKUP($D523&amp;"_"&amp;J$52,$B$14:$B$36&amp;"_"&amp;$C$14:$C$36,$D$14:$D$36)*$E523)</f>
        <v>3.7575</v>
      </c>
      <c r="K523" s="95" cm="1">
        <f ca="1" t="array" ref="K523">MIN(18,_xlfn.XLOOKUP($D523&amp;"_"&amp;K$52,$B$14:$B$36&amp;"_"&amp;$C$14:$C$36,$D$14:$D$36)*$E523)</f>
        <v>1.4028</v>
      </c>
      <c r="L523" s="95" cm="1">
        <f ca="1" t="array" ref="L523">MIN(6,_xlfn.XLOOKUP($D523&amp;"_"&amp;L$52,$B$14:$B$36&amp;"_"&amp;$C$14:$C$36,$D$14:$D$36)*$E523)</f>
        <v>2.63025</v>
      </c>
      <c r="M523" s="95" cm="1">
        <f ca="1" t="array" ref="M523">(1+SUMPRODUCT(G523:H523,OFFSET($H$40:$I$40,D523,0)))*(1+OFFSET($J$40,D523,0))^I523*(1+OFFSET($K$40,D523,0))^J523*(1+OFFSET($L$40,D523,0))^K523*(1+OFFSET($M$40,D523,0))^L523</f>
        <v>75.8582021244129</v>
      </c>
      <c r="N523" s="95">
        <f ca="1">MAX(MAX($N$53:N522),OFFSET($C$52,MATCH(M523*1.07,$M$53:$M$2052,1),0)-C523)</f>
        <v>9000</v>
      </c>
    </row>
    <row r="524" spans="2:14">
      <c r="B524" s="95">
        <v>472</v>
      </c>
      <c r="C524" s="95">
        <f t="shared" si="44"/>
        <v>169920</v>
      </c>
      <c r="D524" s="95">
        <f ca="1">_xlfn.XLOOKUP(总览!$B$44,$B$40:$B$45,$C$40:$C$45)</f>
        <v>5</v>
      </c>
      <c r="E524" s="95">
        <f ca="1" t="shared" si="40"/>
        <v>502</v>
      </c>
      <c r="F524" s="95">
        <f ca="1" t="shared" si="41"/>
        <v>0</v>
      </c>
      <c r="G524" s="95">
        <f ca="1" t="shared" si="42"/>
        <v>0.8294</v>
      </c>
      <c r="H524" s="95" cm="1">
        <f ca="1" t="array" ref="H524">MIN(30-SUM(I524:L524),_xlfn.XLOOKUP($D524&amp;"_"&amp;H$52,$B$14:$B$36&amp;"_"&amp;$C$14:$C$36,$D$14:$D$36)*$E524,18)</f>
        <v>18</v>
      </c>
      <c r="I524" s="95" cm="1">
        <f ca="1" t="array" ref="I524">MIN(30-SUM(J524:L524),6-L524,_xlfn.XLOOKUP($D524&amp;"_"&amp;I$52,$B$14:$B$36&amp;"_"&amp;$C$14:$C$36,$D$14:$D$36)*$E524)</f>
        <v>3.3645</v>
      </c>
      <c r="J524" s="95" cm="1">
        <f ca="1" t="array" ref="J524">MIN(8,_xlfn.XLOOKUP($D524&amp;"_"&amp;J$52,$B$14:$B$36&amp;"_"&amp;$C$14:$C$36,$D$14:$D$36)*$E524)</f>
        <v>3.765</v>
      </c>
      <c r="K524" s="95" cm="1">
        <f ca="1" t="array" ref="K524">MIN(18,_xlfn.XLOOKUP($D524&amp;"_"&amp;K$52,$B$14:$B$36&amp;"_"&amp;$C$14:$C$36,$D$14:$D$36)*$E524)</f>
        <v>1.4056</v>
      </c>
      <c r="L524" s="95" cm="1">
        <f ca="1" t="array" ref="L524">MIN(6,_xlfn.XLOOKUP($D524&amp;"_"&amp;L$52,$B$14:$B$36&amp;"_"&amp;$C$14:$C$36,$D$14:$D$36)*$E524)</f>
        <v>2.6355</v>
      </c>
      <c r="M524" s="95" cm="1">
        <f ca="1" t="array" ref="M524">(1+SUMPRODUCT(G524:H524,OFFSET($H$40:$I$40,D524,0)))*(1+OFFSET($J$40,D524,0))^I524*(1+OFFSET($K$40,D524,0))^J524*(1+OFFSET($L$40,D524,0))^K524*(1+OFFSET($M$40,D524,0))^L524</f>
        <v>76.0568941049824</v>
      </c>
      <c r="N524" s="95">
        <f ca="1">MAX(MAX($N$53:N523),OFFSET($C$52,MATCH(M524*1.07,$M$53:$M$2052,1),0)-C524)</f>
        <v>9000</v>
      </c>
    </row>
    <row r="525" spans="2:14">
      <c r="B525" s="95">
        <v>473</v>
      </c>
      <c r="C525" s="95">
        <f t="shared" si="44"/>
        <v>170280</v>
      </c>
      <c r="D525" s="95">
        <f ca="1">_xlfn.XLOOKUP(总览!$B$44,$B$40:$B$45,$C$40:$C$45)</f>
        <v>5</v>
      </c>
      <c r="E525" s="95">
        <f ca="1" t="shared" si="40"/>
        <v>503</v>
      </c>
      <c r="F525" s="95">
        <f ca="1" t="shared" si="41"/>
        <v>0</v>
      </c>
      <c r="G525" s="95">
        <f ca="1" t="shared" si="42"/>
        <v>0.819099999999999</v>
      </c>
      <c r="H525" s="95" cm="1">
        <f ca="1" t="array" ref="H525">MIN(30-SUM(I525:L525),_xlfn.XLOOKUP($D525&amp;"_"&amp;H$52,$B$14:$B$36&amp;"_"&amp;$C$14:$C$36,$D$14:$D$36)*$E525,18)</f>
        <v>18</v>
      </c>
      <c r="I525" s="95" cm="1">
        <f ca="1" t="array" ref="I525">MIN(30-SUM(J525:L525),6-L525,_xlfn.XLOOKUP($D525&amp;"_"&amp;I$52,$B$14:$B$36&amp;"_"&amp;$C$14:$C$36,$D$14:$D$36)*$E525)</f>
        <v>3.35925</v>
      </c>
      <c r="J525" s="95" cm="1">
        <f ca="1" t="array" ref="J525">MIN(8,_xlfn.XLOOKUP($D525&amp;"_"&amp;J$52,$B$14:$B$36&amp;"_"&amp;$C$14:$C$36,$D$14:$D$36)*$E525)</f>
        <v>3.7725</v>
      </c>
      <c r="K525" s="95" cm="1">
        <f ca="1" t="array" ref="K525">MIN(18,_xlfn.XLOOKUP($D525&amp;"_"&amp;K$52,$B$14:$B$36&amp;"_"&amp;$C$14:$C$36,$D$14:$D$36)*$E525)</f>
        <v>1.4084</v>
      </c>
      <c r="L525" s="95" cm="1">
        <f ca="1" t="array" ref="L525">MIN(6,_xlfn.XLOOKUP($D525&amp;"_"&amp;L$52,$B$14:$B$36&amp;"_"&amp;$C$14:$C$36,$D$14:$D$36)*$E525)</f>
        <v>2.64075</v>
      </c>
      <c r="M525" s="95" cm="1">
        <f ca="1" t="array" ref="M525">(1+SUMPRODUCT(G525:H525,OFFSET($H$40:$I$40,D525,0)))*(1+OFFSET($J$40,D525,0))^I525*(1+OFFSET($K$40,D525,0))^J525*(1+OFFSET($L$40,D525,0))^K525*(1+OFFSET($M$40,D525,0))^L525</f>
        <v>76.2561012357648</v>
      </c>
      <c r="N525" s="95">
        <f ca="1">MAX(MAX($N$53:N524),OFFSET($C$52,MATCH(M525*1.07,$M$53:$M$2052,1),0)-C525)</f>
        <v>9000</v>
      </c>
    </row>
    <row r="526" spans="2:14">
      <c r="B526" s="95">
        <v>474</v>
      </c>
      <c r="C526" s="95">
        <f t="shared" si="44"/>
        <v>170640</v>
      </c>
      <c r="D526" s="95">
        <f ca="1">_xlfn.XLOOKUP(总览!$B$44,$B$40:$B$45,$C$40:$C$45)</f>
        <v>5</v>
      </c>
      <c r="E526" s="95">
        <f ca="1" t="shared" si="40"/>
        <v>504</v>
      </c>
      <c r="F526" s="95">
        <f ca="1" t="shared" si="41"/>
        <v>0</v>
      </c>
      <c r="G526" s="95">
        <f ca="1" t="shared" si="42"/>
        <v>0.808799999999998</v>
      </c>
      <c r="H526" s="95" cm="1">
        <f ca="1" t="array" ref="H526">MIN(30-SUM(I526:L526),_xlfn.XLOOKUP($D526&amp;"_"&amp;H$52,$B$14:$B$36&amp;"_"&amp;$C$14:$C$36,$D$14:$D$36)*$E526,18)</f>
        <v>18</v>
      </c>
      <c r="I526" s="95" cm="1">
        <f ca="1" t="array" ref="I526">MIN(30-SUM(J526:L526),6-L526,_xlfn.XLOOKUP($D526&amp;"_"&amp;I$52,$B$14:$B$36&amp;"_"&amp;$C$14:$C$36,$D$14:$D$36)*$E526)</f>
        <v>3.354</v>
      </c>
      <c r="J526" s="95" cm="1">
        <f ca="1" t="array" ref="J526">MIN(8,_xlfn.XLOOKUP($D526&amp;"_"&amp;J$52,$B$14:$B$36&amp;"_"&amp;$C$14:$C$36,$D$14:$D$36)*$E526)</f>
        <v>3.78</v>
      </c>
      <c r="K526" s="95" cm="1">
        <f ca="1" t="array" ref="K526">MIN(18,_xlfn.XLOOKUP($D526&amp;"_"&amp;K$52,$B$14:$B$36&amp;"_"&amp;$C$14:$C$36,$D$14:$D$36)*$E526)</f>
        <v>1.4112</v>
      </c>
      <c r="L526" s="95" cm="1">
        <f ca="1" t="array" ref="L526">MIN(6,_xlfn.XLOOKUP($D526&amp;"_"&amp;L$52,$B$14:$B$36&amp;"_"&amp;$C$14:$C$36,$D$14:$D$36)*$E526)</f>
        <v>2.646</v>
      </c>
      <c r="M526" s="95" cm="1">
        <f ca="1" t="array" ref="M526">(1+SUMPRODUCT(G526:H526,OFFSET($H$40:$I$40,D526,0)))*(1+OFFSET($J$40,D526,0))^I526*(1+OFFSET($K$40,D526,0))^J526*(1+OFFSET($L$40,D526,0))^K526*(1+OFFSET($M$40,D526,0))^L526</f>
        <v>76.4558248356563</v>
      </c>
      <c r="N526" s="95">
        <f ca="1">MAX(MAX($N$53:N525),OFFSET($C$52,MATCH(M526*1.07,$M$53:$M$2052,1),0)-C526)</f>
        <v>9000</v>
      </c>
    </row>
    <row r="527" spans="2:14">
      <c r="B527" s="95">
        <v>475</v>
      </c>
      <c r="C527" s="95">
        <f t="shared" si="44"/>
        <v>171000</v>
      </c>
      <c r="D527" s="95">
        <f ca="1">_xlfn.XLOOKUP(总览!$B$44,$B$40:$B$45,$C$40:$C$45)</f>
        <v>5</v>
      </c>
      <c r="E527" s="95">
        <f ca="1" t="shared" si="40"/>
        <v>505</v>
      </c>
      <c r="F527" s="95">
        <f ca="1" t="shared" si="41"/>
        <v>0</v>
      </c>
      <c r="G527" s="95">
        <f ca="1" t="shared" si="42"/>
        <v>0.798500000000001</v>
      </c>
      <c r="H527" s="95" cm="1">
        <f ca="1" t="array" ref="H527">MIN(30-SUM(I527:L527),_xlfn.XLOOKUP($D527&amp;"_"&amp;H$52,$B$14:$B$36&amp;"_"&amp;$C$14:$C$36,$D$14:$D$36)*$E527,18)</f>
        <v>18</v>
      </c>
      <c r="I527" s="95" cm="1">
        <f ca="1" t="array" ref="I527">MIN(30-SUM(J527:L527),6-L527,_xlfn.XLOOKUP($D527&amp;"_"&amp;I$52,$B$14:$B$36&amp;"_"&amp;$C$14:$C$36,$D$14:$D$36)*$E527)</f>
        <v>3.34875</v>
      </c>
      <c r="J527" s="95" cm="1">
        <f ca="1" t="array" ref="J527">MIN(8,_xlfn.XLOOKUP($D527&amp;"_"&amp;J$52,$B$14:$B$36&amp;"_"&amp;$C$14:$C$36,$D$14:$D$36)*$E527)</f>
        <v>3.7875</v>
      </c>
      <c r="K527" s="95" cm="1">
        <f ca="1" t="array" ref="K527">MIN(18,_xlfn.XLOOKUP($D527&amp;"_"&amp;K$52,$B$14:$B$36&amp;"_"&amp;$C$14:$C$36,$D$14:$D$36)*$E527)</f>
        <v>1.414</v>
      </c>
      <c r="L527" s="95" cm="1">
        <f ca="1" t="array" ref="L527">MIN(6,_xlfn.XLOOKUP($D527&amp;"_"&amp;L$52,$B$14:$B$36&amp;"_"&amp;$C$14:$C$36,$D$14:$D$36)*$E527)</f>
        <v>2.65125</v>
      </c>
      <c r="M527" s="95" cm="1">
        <f ca="1" t="array" ref="M527">(1+SUMPRODUCT(G527:H527,OFFSET($H$40:$I$40,D527,0)))*(1+OFFSET($J$40,D527,0))^I527*(1+OFFSET($K$40,D527,0))^J527*(1+OFFSET($L$40,D527,0))^K527*(1+OFFSET($M$40,D527,0))^L527</f>
        <v>76.6560662268758</v>
      </c>
      <c r="N527" s="95">
        <f ca="1">MAX(MAX($N$53:N526),OFFSET($C$52,MATCH(M527*1.07,$M$53:$M$2052,1),0)-C527)</f>
        <v>9000</v>
      </c>
    </row>
    <row r="528" spans="2:14">
      <c r="B528" s="95">
        <v>476</v>
      </c>
      <c r="C528" s="95">
        <f t="shared" si="44"/>
        <v>171360</v>
      </c>
      <c r="D528" s="95">
        <f ca="1">_xlfn.XLOOKUP(总览!$B$44,$B$40:$B$45,$C$40:$C$45)</f>
        <v>5</v>
      </c>
      <c r="E528" s="95">
        <f ca="1" t="shared" si="40"/>
        <v>506</v>
      </c>
      <c r="F528" s="95">
        <f ca="1" t="shared" si="41"/>
        <v>0</v>
      </c>
      <c r="G528" s="95">
        <f ca="1" t="shared" si="42"/>
        <v>0.788199999999996</v>
      </c>
      <c r="H528" s="95" cm="1">
        <f ca="1" t="array" ref="H528">MIN(30-SUM(I528:L528),_xlfn.XLOOKUP($D528&amp;"_"&amp;H$52,$B$14:$B$36&amp;"_"&amp;$C$14:$C$36,$D$14:$D$36)*$E528,18)</f>
        <v>18</v>
      </c>
      <c r="I528" s="95" cm="1">
        <f ca="1" t="array" ref="I528">MIN(30-SUM(J528:L528),6-L528,_xlfn.XLOOKUP($D528&amp;"_"&amp;I$52,$B$14:$B$36&amp;"_"&amp;$C$14:$C$36,$D$14:$D$36)*$E528)</f>
        <v>3.3435</v>
      </c>
      <c r="J528" s="95" cm="1">
        <f ca="1" t="array" ref="J528">MIN(8,_xlfn.XLOOKUP($D528&amp;"_"&amp;J$52,$B$14:$B$36&amp;"_"&amp;$C$14:$C$36,$D$14:$D$36)*$E528)</f>
        <v>3.795</v>
      </c>
      <c r="K528" s="95" cm="1">
        <f ca="1" t="array" ref="K528">MIN(18,_xlfn.XLOOKUP($D528&amp;"_"&amp;K$52,$B$14:$B$36&amp;"_"&amp;$C$14:$C$36,$D$14:$D$36)*$E528)</f>
        <v>1.4168</v>
      </c>
      <c r="L528" s="95" cm="1">
        <f ca="1" t="array" ref="L528">MIN(6,_xlfn.XLOOKUP($D528&amp;"_"&amp;L$52,$B$14:$B$36&amp;"_"&amp;$C$14:$C$36,$D$14:$D$36)*$E528)</f>
        <v>2.6565</v>
      </c>
      <c r="M528" s="95" cm="1">
        <f ca="1" t="array" ref="M528">(1+SUMPRODUCT(G528:H528,OFFSET($H$40:$I$40,D528,0)))*(1+OFFSET($J$40,D528,0))^I528*(1+OFFSET($K$40,D528,0))^J528*(1+OFFSET($L$40,D528,0))^K528*(1+OFFSET($M$40,D528,0))^L528</f>
        <v>76.8568267349737</v>
      </c>
      <c r="N528" s="95">
        <f ca="1">MAX(MAX($N$53:N527),OFFSET($C$52,MATCH(M528*1.07,$M$53:$M$2052,1),0)-C528)</f>
        <v>9000</v>
      </c>
    </row>
    <row r="529" spans="2:14">
      <c r="B529" s="95">
        <v>477</v>
      </c>
      <c r="C529" s="95">
        <f t="shared" si="44"/>
        <v>171720</v>
      </c>
      <c r="D529" s="95">
        <f ca="1">_xlfn.XLOOKUP(总览!$B$44,$B$40:$B$45,$C$40:$C$45)</f>
        <v>5</v>
      </c>
      <c r="E529" s="95">
        <f ca="1" t="shared" si="40"/>
        <v>507</v>
      </c>
      <c r="F529" s="95">
        <f ca="1" t="shared" si="41"/>
        <v>0</v>
      </c>
      <c r="G529" s="95">
        <f ca="1" t="shared" si="42"/>
        <v>0.777900000000002</v>
      </c>
      <c r="H529" s="95" cm="1">
        <f ca="1" t="array" ref="H529">MIN(30-SUM(I529:L529),_xlfn.XLOOKUP($D529&amp;"_"&amp;H$52,$B$14:$B$36&amp;"_"&amp;$C$14:$C$36,$D$14:$D$36)*$E529,18)</f>
        <v>18</v>
      </c>
      <c r="I529" s="95" cm="1">
        <f ca="1" t="array" ref="I529">MIN(30-SUM(J529:L529),6-L529,_xlfn.XLOOKUP($D529&amp;"_"&amp;I$52,$B$14:$B$36&amp;"_"&amp;$C$14:$C$36,$D$14:$D$36)*$E529)</f>
        <v>3.33825</v>
      </c>
      <c r="J529" s="95" cm="1">
        <f ca="1" t="array" ref="J529">MIN(8,_xlfn.XLOOKUP($D529&amp;"_"&amp;J$52,$B$14:$B$36&amp;"_"&amp;$C$14:$C$36,$D$14:$D$36)*$E529)</f>
        <v>3.8025</v>
      </c>
      <c r="K529" s="95" cm="1">
        <f ca="1" t="array" ref="K529">MIN(18,_xlfn.XLOOKUP($D529&amp;"_"&amp;K$52,$B$14:$B$36&amp;"_"&amp;$C$14:$C$36,$D$14:$D$36)*$E529)</f>
        <v>1.4196</v>
      </c>
      <c r="L529" s="95" cm="1">
        <f ca="1" t="array" ref="L529">MIN(6,_xlfn.XLOOKUP($D529&amp;"_"&amp;L$52,$B$14:$B$36&amp;"_"&amp;$C$14:$C$36,$D$14:$D$36)*$E529)</f>
        <v>2.66175</v>
      </c>
      <c r="M529" s="95" cm="1">
        <f ca="1" t="array" ref="M529">(1+SUMPRODUCT(G529:H529,OFFSET($H$40:$I$40,D529,0)))*(1+OFFSET($J$40,D529,0))^I529*(1+OFFSET($K$40,D529,0))^J529*(1+OFFSET($L$40,D529,0))^K529*(1+OFFSET($M$40,D529,0))^L529</f>
        <v>77.0581076888397</v>
      </c>
      <c r="N529" s="95">
        <f ca="1">MAX(MAX($N$53:N528),OFFSET($C$52,MATCH(M529*1.07,$M$53:$M$2052,1),0)-C529)</f>
        <v>9000</v>
      </c>
    </row>
    <row r="530" spans="2:14">
      <c r="B530" s="95">
        <v>478</v>
      </c>
      <c r="C530" s="95">
        <f t="shared" si="44"/>
        <v>172080</v>
      </c>
      <c r="D530" s="95">
        <f ca="1">_xlfn.XLOOKUP(总览!$B$44,$B$40:$B$45,$C$40:$C$45)</f>
        <v>5</v>
      </c>
      <c r="E530" s="95">
        <f ca="1" t="shared" si="40"/>
        <v>508</v>
      </c>
      <c r="F530" s="95">
        <f ca="1" t="shared" si="41"/>
        <v>0</v>
      </c>
      <c r="G530" s="95">
        <f ca="1" t="shared" si="42"/>
        <v>0.767600000000002</v>
      </c>
      <c r="H530" s="95" cm="1">
        <f ca="1" t="array" ref="H530">MIN(30-SUM(I530:L530),_xlfn.XLOOKUP($D530&amp;"_"&amp;H$52,$B$14:$B$36&amp;"_"&amp;$C$14:$C$36,$D$14:$D$36)*$E530,18)</f>
        <v>18</v>
      </c>
      <c r="I530" s="95" cm="1">
        <f ca="1" t="array" ref="I530">MIN(30-SUM(J530:L530),6-L530,_xlfn.XLOOKUP($D530&amp;"_"&amp;I$52,$B$14:$B$36&amp;"_"&amp;$C$14:$C$36,$D$14:$D$36)*$E530)</f>
        <v>3.333</v>
      </c>
      <c r="J530" s="95" cm="1">
        <f ca="1" t="array" ref="J530">MIN(8,_xlfn.XLOOKUP($D530&amp;"_"&amp;J$52,$B$14:$B$36&amp;"_"&amp;$C$14:$C$36,$D$14:$D$36)*$E530)</f>
        <v>3.81</v>
      </c>
      <c r="K530" s="95" cm="1">
        <f ca="1" t="array" ref="K530">MIN(18,_xlfn.XLOOKUP($D530&amp;"_"&amp;K$52,$B$14:$B$36&amp;"_"&amp;$C$14:$C$36,$D$14:$D$36)*$E530)</f>
        <v>1.4224</v>
      </c>
      <c r="L530" s="95" cm="1">
        <f ca="1" t="array" ref="L530">MIN(6,_xlfn.XLOOKUP($D530&amp;"_"&amp;L$52,$B$14:$B$36&amp;"_"&amp;$C$14:$C$36,$D$14:$D$36)*$E530)</f>
        <v>2.667</v>
      </c>
      <c r="M530" s="95" cm="1">
        <f ca="1" t="array" ref="M530">(1+SUMPRODUCT(G530:H530,OFFSET($H$40:$I$40,D530,0)))*(1+OFFSET($J$40,D530,0))^I530*(1+OFFSET($K$40,D530,0))^J530*(1+OFFSET($L$40,D530,0))^K530*(1+OFFSET($M$40,D530,0))^L530</f>
        <v>77.2599104207109</v>
      </c>
      <c r="N530" s="95">
        <f ca="1">MAX(MAX($N$53:N529),OFFSET($C$52,MATCH(M530*1.07,$M$53:$M$2052,1),0)-C530)</f>
        <v>9000</v>
      </c>
    </row>
    <row r="531" spans="2:14">
      <c r="B531" s="95">
        <v>479</v>
      </c>
      <c r="C531" s="95">
        <f t="shared" si="44"/>
        <v>172440</v>
      </c>
      <c r="D531" s="95">
        <f ca="1">_xlfn.XLOOKUP(总览!$B$44,$B$40:$B$45,$C$40:$C$45)</f>
        <v>5</v>
      </c>
      <c r="E531" s="95">
        <f ca="1" t="shared" si="40"/>
        <v>509</v>
      </c>
      <c r="F531" s="95">
        <f ca="1" t="shared" si="41"/>
        <v>0</v>
      </c>
      <c r="G531" s="95">
        <f ca="1" t="shared" si="42"/>
        <v>0.757300000000001</v>
      </c>
      <c r="H531" s="95" cm="1">
        <f ca="1" t="array" ref="H531">MIN(30-SUM(I531:L531),_xlfn.XLOOKUP($D531&amp;"_"&amp;H$52,$B$14:$B$36&amp;"_"&amp;$C$14:$C$36,$D$14:$D$36)*$E531,18)</f>
        <v>18</v>
      </c>
      <c r="I531" s="95" cm="1">
        <f ca="1" t="array" ref="I531">MIN(30-SUM(J531:L531),6-L531,_xlfn.XLOOKUP($D531&amp;"_"&amp;I$52,$B$14:$B$36&amp;"_"&amp;$C$14:$C$36,$D$14:$D$36)*$E531)</f>
        <v>3.32775</v>
      </c>
      <c r="J531" s="95" cm="1">
        <f ca="1" t="array" ref="J531">MIN(8,_xlfn.XLOOKUP($D531&amp;"_"&amp;J$52,$B$14:$B$36&amp;"_"&amp;$C$14:$C$36,$D$14:$D$36)*$E531)</f>
        <v>3.8175</v>
      </c>
      <c r="K531" s="95" cm="1">
        <f ca="1" t="array" ref="K531">MIN(18,_xlfn.XLOOKUP($D531&amp;"_"&amp;K$52,$B$14:$B$36&amp;"_"&amp;$C$14:$C$36,$D$14:$D$36)*$E531)</f>
        <v>1.4252</v>
      </c>
      <c r="L531" s="95" cm="1">
        <f ca="1" t="array" ref="L531">MIN(6,_xlfn.XLOOKUP($D531&amp;"_"&amp;L$52,$B$14:$B$36&amp;"_"&amp;$C$14:$C$36,$D$14:$D$36)*$E531)</f>
        <v>2.67225</v>
      </c>
      <c r="M531" s="95" cm="1">
        <f ca="1" t="array" ref="M531">(1+SUMPRODUCT(G531:H531,OFFSET($H$40:$I$40,D531,0)))*(1+OFFSET($J$40,D531,0))^I531*(1+OFFSET($K$40,D531,0))^J531*(1+OFFSET($L$40,D531,0))^K531*(1+OFFSET($M$40,D531,0))^L531</f>
        <v>77.4622362661808</v>
      </c>
      <c r="N531" s="95">
        <f ca="1">MAX(MAX($N$53:N530),OFFSET($C$52,MATCH(M531*1.07,$M$53:$M$2052,1),0)-C531)</f>
        <v>9000</v>
      </c>
    </row>
    <row r="532" spans="2:14">
      <c r="B532" s="95">
        <v>480</v>
      </c>
      <c r="C532" s="95">
        <f t="shared" si="44"/>
        <v>172800</v>
      </c>
      <c r="D532" s="95">
        <f ca="1">_xlfn.XLOOKUP(总览!$B$44,$B$40:$B$45,$C$40:$C$45)</f>
        <v>5</v>
      </c>
      <c r="E532" s="95">
        <f ca="1" t="shared" si="40"/>
        <v>510</v>
      </c>
      <c r="F532" s="95">
        <f ca="1" t="shared" si="41"/>
        <v>0</v>
      </c>
      <c r="G532" s="95">
        <f ca="1" t="shared" si="42"/>
        <v>0.747</v>
      </c>
      <c r="H532" s="95" cm="1">
        <f ca="1" t="array" ref="H532">MIN(30-SUM(I532:L532),_xlfn.XLOOKUP($D532&amp;"_"&amp;H$52,$B$14:$B$36&amp;"_"&amp;$C$14:$C$36,$D$14:$D$36)*$E532,18)</f>
        <v>18</v>
      </c>
      <c r="I532" s="95" cm="1">
        <f ca="1" t="array" ref="I532">MIN(30-SUM(J532:L532),6-L532,_xlfn.XLOOKUP($D532&amp;"_"&amp;I$52,$B$14:$B$36&amp;"_"&amp;$C$14:$C$36,$D$14:$D$36)*$E532)</f>
        <v>3.3225</v>
      </c>
      <c r="J532" s="95" cm="1">
        <f ca="1" t="array" ref="J532">MIN(8,_xlfn.XLOOKUP($D532&amp;"_"&amp;J$52,$B$14:$B$36&amp;"_"&amp;$C$14:$C$36,$D$14:$D$36)*$E532)</f>
        <v>3.825</v>
      </c>
      <c r="K532" s="95" cm="1">
        <f ca="1" t="array" ref="K532">MIN(18,_xlfn.XLOOKUP($D532&amp;"_"&amp;K$52,$B$14:$B$36&amp;"_"&amp;$C$14:$C$36,$D$14:$D$36)*$E532)</f>
        <v>1.428</v>
      </c>
      <c r="L532" s="95" cm="1">
        <f ca="1" t="array" ref="L532">MIN(6,_xlfn.XLOOKUP($D532&amp;"_"&amp;L$52,$B$14:$B$36&amp;"_"&amp;$C$14:$C$36,$D$14:$D$36)*$E532)</f>
        <v>2.6775</v>
      </c>
      <c r="M532" s="95" cm="1">
        <f ca="1" t="array" ref="M532">(1+SUMPRODUCT(G532:H532,OFFSET($H$40:$I$40,D532,0)))*(1+OFFSET($J$40,D532,0))^I532*(1+OFFSET($K$40,D532,0))^J532*(1+OFFSET($L$40,D532,0))^K532*(1+OFFSET($M$40,D532,0))^L532</f>
        <v>77.6650865642067</v>
      </c>
      <c r="N532" s="95">
        <f ca="1">MAX(MAX($N$53:N531),OFFSET($C$52,MATCH(M532*1.07,$M$53:$M$2052,1),0)-C532)</f>
        <v>9000</v>
      </c>
    </row>
    <row r="533" spans="2:14">
      <c r="B533" s="95">
        <v>481</v>
      </c>
      <c r="C533" s="95">
        <f t="shared" si="44"/>
        <v>173160</v>
      </c>
      <c r="D533" s="95">
        <f ca="1">_xlfn.XLOOKUP(总览!$B$44,$B$40:$B$45,$C$40:$C$45)</f>
        <v>5</v>
      </c>
      <c r="E533" s="95">
        <f ca="1" t="shared" si="40"/>
        <v>511</v>
      </c>
      <c r="F533" s="95">
        <f ca="1" t="shared" si="41"/>
        <v>0</v>
      </c>
      <c r="G533" s="95">
        <f ca="1" t="shared" si="42"/>
        <v>0.736699999999999</v>
      </c>
      <c r="H533" s="95" cm="1">
        <f ca="1" t="array" ref="H533">MIN(30-SUM(I533:L533),_xlfn.XLOOKUP($D533&amp;"_"&amp;H$52,$B$14:$B$36&amp;"_"&amp;$C$14:$C$36,$D$14:$D$36)*$E533,18)</f>
        <v>18</v>
      </c>
      <c r="I533" s="95" cm="1">
        <f ca="1" t="array" ref="I533">MIN(30-SUM(J533:L533),6-L533,_xlfn.XLOOKUP($D533&amp;"_"&amp;I$52,$B$14:$B$36&amp;"_"&amp;$C$14:$C$36,$D$14:$D$36)*$E533)</f>
        <v>3.31725</v>
      </c>
      <c r="J533" s="95" cm="1">
        <f ca="1" t="array" ref="J533">MIN(8,_xlfn.XLOOKUP($D533&amp;"_"&amp;J$52,$B$14:$B$36&amp;"_"&amp;$C$14:$C$36,$D$14:$D$36)*$E533)</f>
        <v>3.8325</v>
      </c>
      <c r="K533" s="95" cm="1">
        <f ca="1" t="array" ref="K533">MIN(18,_xlfn.XLOOKUP($D533&amp;"_"&amp;K$52,$B$14:$B$36&amp;"_"&amp;$C$14:$C$36,$D$14:$D$36)*$E533)</f>
        <v>1.4308</v>
      </c>
      <c r="L533" s="95" cm="1">
        <f ca="1" t="array" ref="L533">MIN(6,_xlfn.XLOOKUP($D533&amp;"_"&amp;L$52,$B$14:$B$36&amp;"_"&amp;$C$14:$C$36,$D$14:$D$36)*$E533)</f>
        <v>2.68275</v>
      </c>
      <c r="M533" s="95" cm="1">
        <f ca="1" t="array" ref="M533">(1+SUMPRODUCT(G533:H533,OFFSET($H$40:$I$40,D533,0)))*(1+OFFSET($J$40,D533,0))^I533*(1+OFFSET($K$40,D533,0))^J533*(1+OFFSET($L$40,D533,0))^K533*(1+OFFSET($M$40,D533,0))^L533</f>
        <v>77.8684626571186</v>
      </c>
      <c r="N533" s="95">
        <f ca="1">MAX(MAX($N$53:N532),OFFSET($C$52,MATCH(M533*1.07,$M$53:$M$2052,1),0)-C533)</f>
        <v>9000</v>
      </c>
    </row>
    <row r="534" spans="2:14">
      <c r="B534" s="95">
        <v>482</v>
      </c>
      <c r="C534" s="95">
        <f t="shared" si="44"/>
        <v>173520</v>
      </c>
      <c r="D534" s="95">
        <f ca="1">_xlfn.XLOOKUP(总览!$B$44,$B$40:$B$45,$C$40:$C$45)</f>
        <v>5</v>
      </c>
      <c r="E534" s="95">
        <f ca="1" t="shared" si="40"/>
        <v>512</v>
      </c>
      <c r="F534" s="95">
        <f ca="1" t="shared" si="41"/>
        <v>0</v>
      </c>
      <c r="G534" s="95">
        <f ca="1" t="shared" si="42"/>
        <v>0.726400000000002</v>
      </c>
      <c r="H534" s="95" cm="1">
        <f ca="1" t="array" ref="H534">MIN(30-SUM(I534:L534),_xlfn.XLOOKUP($D534&amp;"_"&amp;H$52,$B$14:$B$36&amp;"_"&amp;$C$14:$C$36,$D$14:$D$36)*$E534,18)</f>
        <v>18</v>
      </c>
      <c r="I534" s="95" cm="1">
        <f ca="1" t="array" ref="I534">MIN(30-SUM(J534:L534),6-L534,_xlfn.XLOOKUP($D534&amp;"_"&amp;I$52,$B$14:$B$36&amp;"_"&amp;$C$14:$C$36,$D$14:$D$36)*$E534)</f>
        <v>3.312</v>
      </c>
      <c r="J534" s="95" cm="1">
        <f ca="1" t="array" ref="J534">MIN(8,_xlfn.XLOOKUP($D534&amp;"_"&amp;J$52,$B$14:$B$36&amp;"_"&amp;$C$14:$C$36,$D$14:$D$36)*$E534)</f>
        <v>3.84</v>
      </c>
      <c r="K534" s="95" cm="1">
        <f ca="1" t="array" ref="K534">MIN(18,_xlfn.XLOOKUP($D534&amp;"_"&amp;K$52,$B$14:$B$36&amp;"_"&amp;$C$14:$C$36,$D$14:$D$36)*$E534)</f>
        <v>1.4336</v>
      </c>
      <c r="L534" s="95" cm="1">
        <f ca="1" t="array" ref="L534">MIN(6,_xlfn.XLOOKUP($D534&amp;"_"&amp;L$52,$B$14:$B$36&amp;"_"&amp;$C$14:$C$36,$D$14:$D$36)*$E534)</f>
        <v>2.688</v>
      </c>
      <c r="M534" s="95" cm="1">
        <f ca="1" t="array" ref="M534">(1+SUMPRODUCT(G534:H534,OFFSET($H$40:$I$40,D534,0)))*(1+OFFSET($J$40,D534,0))^I534*(1+OFFSET($K$40,D534,0))^J534*(1+OFFSET($L$40,D534,0))^K534*(1+OFFSET($M$40,D534,0))^L534</f>
        <v>78.0723658906271</v>
      </c>
      <c r="N534" s="95">
        <f ca="1">MAX(MAX($N$53:N533),OFFSET($C$52,MATCH(M534*1.07,$M$53:$M$2052,1),0)-C534)</f>
        <v>9000</v>
      </c>
    </row>
    <row r="535" spans="2:14">
      <c r="B535" s="95">
        <v>483</v>
      </c>
      <c r="C535" s="95">
        <f t="shared" si="44"/>
        <v>173880</v>
      </c>
      <c r="D535" s="95">
        <f ca="1">_xlfn.XLOOKUP(总览!$B$44,$B$40:$B$45,$C$40:$C$45)</f>
        <v>5</v>
      </c>
      <c r="E535" s="95">
        <f ca="1" t="shared" si="40"/>
        <v>513</v>
      </c>
      <c r="F535" s="95">
        <f ca="1" t="shared" si="41"/>
        <v>0</v>
      </c>
      <c r="G535" s="95">
        <f ca="1" t="shared" si="42"/>
        <v>0.716100000000001</v>
      </c>
      <c r="H535" s="95" cm="1">
        <f ca="1" t="array" ref="H535">MIN(30-SUM(I535:L535),_xlfn.XLOOKUP($D535&amp;"_"&amp;H$52,$B$14:$B$36&amp;"_"&amp;$C$14:$C$36,$D$14:$D$36)*$E535,18)</f>
        <v>18</v>
      </c>
      <c r="I535" s="95" cm="1">
        <f ca="1" t="array" ref="I535">MIN(30-SUM(J535:L535),6-L535,_xlfn.XLOOKUP($D535&amp;"_"&amp;I$52,$B$14:$B$36&amp;"_"&amp;$C$14:$C$36,$D$14:$D$36)*$E535)</f>
        <v>3.30675</v>
      </c>
      <c r="J535" s="95" cm="1">
        <f ca="1" t="array" ref="J535">MIN(8,_xlfn.XLOOKUP($D535&amp;"_"&amp;J$52,$B$14:$B$36&amp;"_"&amp;$C$14:$C$36,$D$14:$D$36)*$E535)</f>
        <v>3.8475</v>
      </c>
      <c r="K535" s="95" cm="1">
        <f ca="1" t="array" ref="K535">MIN(18,_xlfn.XLOOKUP($D535&amp;"_"&amp;K$52,$B$14:$B$36&amp;"_"&amp;$C$14:$C$36,$D$14:$D$36)*$E535)</f>
        <v>1.4364</v>
      </c>
      <c r="L535" s="95" cm="1">
        <f ca="1" t="array" ref="L535">MIN(6,_xlfn.XLOOKUP($D535&amp;"_"&amp;L$52,$B$14:$B$36&amp;"_"&amp;$C$14:$C$36,$D$14:$D$36)*$E535)</f>
        <v>2.69325</v>
      </c>
      <c r="M535" s="95" cm="1">
        <f ca="1" t="array" ref="M535">(1+SUMPRODUCT(G535:H535,OFFSET($H$40:$I$40,D535,0)))*(1+OFFSET($J$40,D535,0))^I535*(1+OFFSET($K$40,D535,0))^J535*(1+OFFSET($L$40,D535,0))^K535*(1+OFFSET($M$40,D535,0))^L535</f>
        <v>78.2767976138322</v>
      </c>
      <c r="N535" s="95">
        <f ca="1">MAX(MAX($N$53:N534),OFFSET($C$52,MATCH(M535*1.07,$M$53:$M$2052,1),0)-C535)</f>
        <v>9000</v>
      </c>
    </row>
    <row r="536" spans="2:14">
      <c r="B536" s="95">
        <v>484</v>
      </c>
      <c r="C536" s="95">
        <f t="shared" si="44"/>
        <v>174240</v>
      </c>
      <c r="D536" s="95">
        <f ca="1">_xlfn.XLOOKUP(总览!$B$44,$B$40:$B$45,$C$40:$C$45)</f>
        <v>5</v>
      </c>
      <c r="E536" s="95">
        <f ca="1" t="shared" si="40"/>
        <v>514</v>
      </c>
      <c r="F536" s="95">
        <f ca="1" t="shared" si="41"/>
        <v>0</v>
      </c>
      <c r="G536" s="95">
        <f ca="1" t="shared" si="42"/>
        <v>0.7058</v>
      </c>
      <c r="H536" s="95" cm="1">
        <f ca="1" t="array" ref="H536">MIN(30-SUM(I536:L536),_xlfn.XLOOKUP($D536&amp;"_"&amp;H$52,$B$14:$B$36&amp;"_"&amp;$C$14:$C$36,$D$14:$D$36)*$E536,18)</f>
        <v>18</v>
      </c>
      <c r="I536" s="95" cm="1">
        <f ca="1" t="array" ref="I536">MIN(30-SUM(J536:L536),6-L536,_xlfn.XLOOKUP($D536&amp;"_"&amp;I$52,$B$14:$B$36&amp;"_"&amp;$C$14:$C$36,$D$14:$D$36)*$E536)</f>
        <v>3.3015</v>
      </c>
      <c r="J536" s="95" cm="1">
        <f ca="1" t="array" ref="J536">MIN(8,_xlfn.XLOOKUP($D536&amp;"_"&amp;J$52,$B$14:$B$36&amp;"_"&amp;$C$14:$C$36,$D$14:$D$36)*$E536)</f>
        <v>3.855</v>
      </c>
      <c r="K536" s="95" cm="1">
        <f ca="1" t="array" ref="K536">MIN(18,_xlfn.XLOOKUP($D536&amp;"_"&amp;K$52,$B$14:$B$36&amp;"_"&amp;$C$14:$C$36,$D$14:$D$36)*$E536)</f>
        <v>1.4392</v>
      </c>
      <c r="L536" s="95" cm="1">
        <f ca="1" t="array" ref="L536">MIN(6,_xlfn.XLOOKUP($D536&amp;"_"&amp;L$52,$B$14:$B$36&amp;"_"&amp;$C$14:$C$36,$D$14:$D$36)*$E536)</f>
        <v>2.6985</v>
      </c>
      <c r="M536" s="95" cm="1">
        <f ca="1" t="array" ref="M536">(1+SUMPRODUCT(G536:H536,OFFSET($H$40:$I$40,D536,0)))*(1+OFFSET($J$40,D536,0))^I536*(1+OFFSET($K$40,D536,0))^J536*(1+OFFSET($L$40,D536,0))^K536*(1+OFFSET($M$40,D536,0))^L536</f>
        <v>78.4817591792313</v>
      </c>
      <c r="N536" s="95">
        <f ca="1">MAX(MAX($N$53:N535),OFFSET($C$52,MATCH(M536*1.07,$M$53:$M$2052,1),0)-C536)</f>
        <v>9000</v>
      </c>
    </row>
    <row r="537" spans="2:14">
      <c r="B537" s="95">
        <v>485</v>
      </c>
      <c r="C537" s="95">
        <f t="shared" si="44"/>
        <v>174600</v>
      </c>
      <c r="D537" s="95">
        <f ca="1">_xlfn.XLOOKUP(总览!$B$44,$B$40:$B$45,$C$40:$C$45)</f>
        <v>5</v>
      </c>
      <c r="E537" s="95">
        <f ca="1" t="shared" si="40"/>
        <v>515</v>
      </c>
      <c r="F537" s="95">
        <f ca="1" t="shared" si="41"/>
        <v>0</v>
      </c>
      <c r="G537" s="95">
        <f ca="1" t="shared" si="42"/>
        <v>0.695499999999999</v>
      </c>
      <c r="H537" s="95" cm="1">
        <f ca="1" t="array" ref="H537">MIN(30-SUM(I537:L537),_xlfn.XLOOKUP($D537&amp;"_"&amp;H$52,$B$14:$B$36&amp;"_"&amp;$C$14:$C$36,$D$14:$D$36)*$E537,18)</f>
        <v>18</v>
      </c>
      <c r="I537" s="95" cm="1">
        <f ca="1" t="array" ref="I537">MIN(30-SUM(J537:L537),6-L537,_xlfn.XLOOKUP($D537&amp;"_"&amp;I$52,$B$14:$B$36&amp;"_"&amp;$C$14:$C$36,$D$14:$D$36)*$E537)</f>
        <v>3.29625</v>
      </c>
      <c r="J537" s="95" cm="1">
        <f ca="1" t="array" ref="J537">MIN(8,_xlfn.XLOOKUP($D537&amp;"_"&amp;J$52,$B$14:$B$36&amp;"_"&amp;$C$14:$C$36,$D$14:$D$36)*$E537)</f>
        <v>3.8625</v>
      </c>
      <c r="K537" s="95" cm="1">
        <f ca="1" t="array" ref="K537">MIN(18,_xlfn.XLOOKUP($D537&amp;"_"&amp;K$52,$B$14:$B$36&amp;"_"&amp;$C$14:$C$36,$D$14:$D$36)*$E537)</f>
        <v>1.442</v>
      </c>
      <c r="L537" s="95" cm="1">
        <f ca="1" t="array" ref="L537">MIN(6,_xlfn.XLOOKUP($D537&amp;"_"&amp;L$52,$B$14:$B$36&amp;"_"&amp;$C$14:$C$36,$D$14:$D$36)*$E537)</f>
        <v>2.70375</v>
      </c>
      <c r="M537" s="95" cm="1">
        <f ca="1" t="array" ref="M537">(1+SUMPRODUCT(G537:H537,OFFSET($H$40:$I$40,D537,0)))*(1+OFFSET($J$40,D537,0))^I537*(1+OFFSET($K$40,D537,0))^J537*(1+OFFSET($L$40,D537,0))^K537*(1+OFFSET($M$40,D537,0))^L537</f>
        <v>78.6872519427276</v>
      </c>
      <c r="N537" s="95">
        <f ca="1">MAX(MAX($N$53:N536),OFFSET($C$52,MATCH(M537*1.07,$M$53:$M$2052,1),0)-C537)</f>
        <v>9000</v>
      </c>
    </row>
    <row r="538" spans="2:14">
      <c r="B538" s="95">
        <v>486</v>
      </c>
      <c r="C538" s="95">
        <f t="shared" si="44"/>
        <v>174960</v>
      </c>
      <c r="D538" s="95">
        <f ca="1">_xlfn.XLOOKUP(总览!$B$44,$B$40:$B$45,$C$40:$C$45)</f>
        <v>5</v>
      </c>
      <c r="E538" s="95">
        <f ca="1" t="shared" si="40"/>
        <v>516</v>
      </c>
      <c r="F538" s="95">
        <f ca="1" t="shared" si="41"/>
        <v>0</v>
      </c>
      <c r="G538" s="95">
        <f ca="1" t="shared" si="42"/>
        <v>0.685199999999998</v>
      </c>
      <c r="H538" s="95" cm="1">
        <f ca="1" t="array" ref="H538">MIN(30-SUM(I538:L538),_xlfn.XLOOKUP($D538&amp;"_"&amp;H$52,$B$14:$B$36&amp;"_"&amp;$C$14:$C$36,$D$14:$D$36)*$E538,18)</f>
        <v>18</v>
      </c>
      <c r="I538" s="95" cm="1">
        <f ca="1" t="array" ref="I538">MIN(30-SUM(J538:L538),6-L538,_xlfn.XLOOKUP($D538&amp;"_"&amp;I$52,$B$14:$B$36&amp;"_"&amp;$C$14:$C$36,$D$14:$D$36)*$E538)</f>
        <v>3.291</v>
      </c>
      <c r="J538" s="95" cm="1">
        <f ca="1" t="array" ref="J538">MIN(8,_xlfn.XLOOKUP($D538&amp;"_"&amp;J$52,$B$14:$B$36&amp;"_"&amp;$C$14:$C$36,$D$14:$D$36)*$E538)</f>
        <v>3.87</v>
      </c>
      <c r="K538" s="95" cm="1">
        <f ca="1" t="array" ref="K538">MIN(18,_xlfn.XLOOKUP($D538&amp;"_"&amp;K$52,$B$14:$B$36&amp;"_"&amp;$C$14:$C$36,$D$14:$D$36)*$E538)</f>
        <v>1.4448</v>
      </c>
      <c r="L538" s="95" cm="1">
        <f ca="1" t="array" ref="L538">MIN(6,_xlfn.XLOOKUP($D538&amp;"_"&amp;L$52,$B$14:$B$36&amp;"_"&amp;$C$14:$C$36,$D$14:$D$36)*$E538)</f>
        <v>2.709</v>
      </c>
      <c r="M538" s="95" cm="1">
        <f ca="1" t="array" ref="M538">(1+SUMPRODUCT(G538:H538,OFFSET($H$40:$I$40,D538,0)))*(1+OFFSET($J$40,D538,0))^I538*(1+OFFSET($K$40,D538,0))^J538*(1+OFFSET($L$40,D538,0))^K538*(1+OFFSET($M$40,D538,0))^L538</f>
        <v>78.8932772636385</v>
      </c>
      <c r="N538" s="95">
        <f ca="1">MAX(MAX($N$53:N537),OFFSET($C$52,MATCH(M538*1.07,$M$53:$M$2052,1),0)-C538)</f>
        <v>9000</v>
      </c>
    </row>
    <row r="539" spans="2:14">
      <c r="B539" s="95">
        <v>487</v>
      </c>
      <c r="C539" s="95">
        <f t="shared" si="44"/>
        <v>175320</v>
      </c>
      <c r="D539" s="95">
        <f ca="1">_xlfn.XLOOKUP(总览!$B$44,$B$40:$B$45,$C$40:$C$45)</f>
        <v>5</v>
      </c>
      <c r="E539" s="95">
        <f ca="1" t="shared" si="40"/>
        <v>517</v>
      </c>
      <c r="F539" s="95">
        <f ca="1" t="shared" si="41"/>
        <v>0</v>
      </c>
      <c r="G539" s="95">
        <f ca="1" t="shared" si="42"/>
        <v>0.674899999999997</v>
      </c>
      <c r="H539" s="95" cm="1">
        <f ca="1" t="array" ref="H539">MIN(30-SUM(I539:L539),_xlfn.XLOOKUP($D539&amp;"_"&amp;H$52,$B$14:$B$36&amp;"_"&amp;$C$14:$C$36,$D$14:$D$36)*$E539,18)</f>
        <v>18</v>
      </c>
      <c r="I539" s="95" cm="1">
        <f ca="1" t="array" ref="I539">MIN(30-SUM(J539:L539),6-L539,_xlfn.XLOOKUP($D539&amp;"_"&amp;I$52,$B$14:$B$36&amp;"_"&amp;$C$14:$C$36,$D$14:$D$36)*$E539)</f>
        <v>3.28575</v>
      </c>
      <c r="J539" s="95" cm="1">
        <f ca="1" t="array" ref="J539">MIN(8,_xlfn.XLOOKUP($D539&amp;"_"&amp;J$52,$B$14:$B$36&amp;"_"&amp;$C$14:$C$36,$D$14:$D$36)*$E539)</f>
        <v>3.8775</v>
      </c>
      <c r="K539" s="95" cm="1">
        <f ca="1" t="array" ref="K539">MIN(18,_xlfn.XLOOKUP($D539&amp;"_"&amp;K$52,$B$14:$B$36&amp;"_"&amp;$C$14:$C$36,$D$14:$D$36)*$E539)</f>
        <v>1.4476</v>
      </c>
      <c r="L539" s="95" cm="1">
        <f ca="1" t="array" ref="L539">MIN(6,_xlfn.XLOOKUP($D539&amp;"_"&amp;L$52,$B$14:$B$36&amp;"_"&amp;$C$14:$C$36,$D$14:$D$36)*$E539)</f>
        <v>2.71425</v>
      </c>
      <c r="M539" s="95" cm="1">
        <f ca="1" t="array" ref="M539">(1+SUMPRODUCT(G539:H539,OFFSET($H$40:$I$40,D539,0)))*(1+OFFSET($J$40,D539,0))^I539*(1+OFFSET($K$40,D539,0))^J539*(1+OFFSET($L$40,D539,0))^K539*(1+OFFSET($M$40,D539,0))^L539</f>
        <v>79.0998365047044</v>
      </c>
      <c r="N539" s="95">
        <f ca="1">MAX(MAX($N$53:N538),OFFSET($C$52,MATCH(M539*1.07,$M$53:$M$2052,1),0)-C539)</f>
        <v>9000</v>
      </c>
    </row>
    <row r="540" spans="2:14">
      <c r="B540" s="95">
        <v>488</v>
      </c>
      <c r="C540" s="95">
        <f t="shared" si="44"/>
        <v>175680</v>
      </c>
      <c r="D540" s="95">
        <f ca="1">_xlfn.XLOOKUP(总览!$B$44,$B$40:$B$45,$C$40:$C$45)</f>
        <v>5</v>
      </c>
      <c r="E540" s="95">
        <f ca="1" t="shared" si="40"/>
        <v>518</v>
      </c>
      <c r="F540" s="95">
        <f ca="1" t="shared" si="41"/>
        <v>0</v>
      </c>
      <c r="G540" s="95">
        <f ca="1" t="shared" si="42"/>
        <v>0.664599999999997</v>
      </c>
      <c r="H540" s="95" cm="1">
        <f ca="1" t="array" ref="H540">MIN(30-SUM(I540:L540),_xlfn.XLOOKUP($D540&amp;"_"&amp;H$52,$B$14:$B$36&amp;"_"&amp;$C$14:$C$36,$D$14:$D$36)*$E540,18)</f>
        <v>18</v>
      </c>
      <c r="I540" s="95" cm="1">
        <f ca="1" t="array" ref="I540">MIN(30-SUM(J540:L540),6-L540,_xlfn.XLOOKUP($D540&amp;"_"&amp;I$52,$B$14:$B$36&amp;"_"&amp;$C$14:$C$36,$D$14:$D$36)*$E540)</f>
        <v>3.2805</v>
      </c>
      <c r="J540" s="95" cm="1">
        <f ca="1" t="array" ref="J540">MIN(8,_xlfn.XLOOKUP($D540&amp;"_"&amp;J$52,$B$14:$B$36&amp;"_"&amp;$C$14:$C$36,$D$14:$D$36)*$E540)</f>
        <v>3.885</v>
      </c>
      <c r="K540" s="95" cm="1">
        <f ca="1" t="array" ref="K540">MIN(18,_xlfn.XLOOKUP($D540&amp;"_"&amp;K$52,$B$14:$B$36&amp;"_"&amp;$C$14:$C$36,$D$14:$D$36)*$E540)</f>
        <v>1.4504</v>
      </c>
      <c r="L540" s="95" cm="1">
        <f ca="1" t="array" ref="L540">MIN(6,_xlfn.XLOOKUP($D540&amp;"_"&amp;L$52,$B$14:$B$36&amp;"_"&amp;$C$14:$C$36,$D$14:$D$36)*$E540)</f>
        <v>2.7195</v>
      </c>
      <c r="M540" s="95" cm="1">
        <f ca="1" t="array" ref="M540">(1+SUMPRODUCT(G540:H540,OFFSET($H$40:$I$40,D540,0)))*(1+OFFSET($J$40,D540,0))^I540*(1+OFFSET($K$40,D540,0))^J540*(1+OFFSET($L$40,D540,0))^K540*(1+OFFSET($M$40,D540,0))^L540</f>
        <v>79.3069310320966</v>
      </c>
      <c r="N540" s="95">
        <f ca="1">MAX(MAX($N$53:N539),OFFSET($C$52,MATCH(M540*1.07,$M$53:$M$2052,1),0)-C540)</f>
        <v>9000</v>
      </c>
    </row>
    <row r="541" spans="2:14">
      <c r="B541" s="95">
        <v>489</v>
      </c>
      <c r="C541" s="95">
        <f t="shared" si="44"/>
        <v>176040</v>
      </c>
      <c r="D541" s="95">
        <f ca="1">_xlfn.XLOOKUP(总览!$B$44,$B$40:$B$45,$C$40:$C$45)</f>
        <v>5</v>
      </c>
      <c r="E541" s="95">
        <f ca="1" t="shared" si="40"/>
        <v>519</v>
      </c>
      <c r="F541" s="95">
        <f ca="1" t="shared" si="41"/>
        <v>0</v>
      </c>
      <c r="G541" s="95">
        <f ca="1" t="shared" si="42"/>
        <v>0.654300000000003</v>
      </c>
      <c r="H541" s="95" cm="1">
        <f ca="1" t="array" ref="H541">MIN(30-SUM(I541:L541),_xlfn.XLOOKUP($D541&amp;"_"&amp;H$52,$B$14:$B$36&amp;"_"&amp;$C$14:$C$36,$D$14:$D$36)*$E541,18)</f>
        <v>18</v>
      </c>
      <c r="I541" s="95" cm="1">
        <f ca="1" t="array" ref="I541">MIN(30-SUM(J541:L541),6-L541,_xlfn.XLOOKUP($D541&amp;"_"&amp;I$52,$B$14:$B$36&amp;"_"&amp;$C$14:$C$36,$D$14:$D$36)*$E541)</f>
        <v>3.27525</v>
      </c>
      <c r="J541" s="95" cm="1">
        <f ca="1" t="array" ref="J541">MIN(8,_xlfn.XLOOKUP($D541&amp;"_"&amp;J$52,$B$14:$B$36&amp;"_"&amp;$C$14:$C$36,$D$14:$D$36)*$E541)</f>
        <v>3.8925</v>
      </c>
      <c r="K541" s="95" cm="1">
        <f ca="1" t="array" ref="K541">MIN(18,_xlfn.XLOOKUP($D541&amp;"_"&amp;K$52,$B$14:$B$36&amp;"_"&amp;$C$14:$C$36,$D$14:$D$36)*$E541)</f>
        <v>1.4532</v>
      </c>
      <c r="L541" s="95" cm="1">
        <f ca="1" t="array" ref="L541">MIN(6,_xlfn.XLOOKUP($D541&amp;"_"&amp;L$52,$B$14:$B$36&amp;"_"&amp;$C$14:$C$36,$D$14:$D$36)*$E541)</f>
        <v>2.72475</v>
      </c>
      <c r="M541" s="95" cm="1">
        <f ca="1" t="array" ref="M541">(1+SUMPRODUCT(G541:H541,OFFSET($H$40:$I$40,D541,0)))*(1+OFFSET($J$40,D541,0))^I541*(1+OFFSET($K$40,D541,0))^J541*(1+OFFSET($L$40,D541,0))^K541*(1+OFFSET($M$40,D541,0))^L541</f>
        <v>79.5145622154259</v>
      </c>
      <c r="N541" s="95">
        <f ca="1">MAX(MAX($N$53:N540),OFFSET($C$52,MATCH(M541*1.07,$M$53:$M$2052,1),0)-C541)</f>
        <v>9000</v>
      </c>
    </row>
    <row r="542" spans="2:14">
      <c r="B542" s="95">
        <v>490</v>
      </c>
      <c r="C542" s="95">
        <f t="shared" si="44"/>
        <v>176400</v>
      </c>
      <c r="D542" s="95">
        <f ca="1">_xlfn.XLOOKUP(总览!$B$44,$B$40:$B$45,$C$40:$C$45)</f>
        <v>5</v>
      </c>
      <c r="E542" s="95">
        <f ca="1" t="shared" si="40"/>
        <v>520</v>
      </c>
      <c r="F542" s="95">
        <f ca="1" t="shared" si="41"/>
        <v>0</v>
      </c>
      <c r="G542" s="95">
        <f ca="1" t="shared" si="42"/>
        <v>0.644000000000002</v>
      </c>
      <c r="H542" s="95" cm="1">
        <f ca="1" t="array" ref="H542">MIN(30-SUM(I542:L542),_xlfn.XLOOKUP($D542&amp;"_"&amp;H$52,$B$14:$B$36&amp;"_"&amp;$C$14:$C$36,$D$14:$D$36)*$E542,18)</f>
        <v>18</v>
      </c>
      <c r="I542" s="95" cm="1">
        <f ca="1" t="array" ref="I542">MIN(30-SUM(J542:L542),6-L542,_xlfn.XLOOKUP($D542&amp;"_"&amp;I$52,$B$14:$B$36&amp;"_"&amp;$C$14:$C$36,$D$14:$D$36)*$E542)</f>
        <v>3.27</v>
      </c>
      <c r="J542" s="95" cm="1">
        <f ca="1" t="array" ref="J542">MIN(8,_xlfn.XLOOKUP($D542&amp;"_"&amp;J$52,$B$14:$B$36&amp;"_"&amp;$C$14:$C$36,$D$14:$D$36)*$E542)</f>
        <v>3.9</v>
      </c>
      <c r="K542" s="95" cm="1">
        <f ca="1" t="array" ref="K542">MIN(18,_xlfn.XLOOKUP($D542&amp;"_"&amp;K$52,$B$14:$B$36&amp;"_"&amp;$C$14:$C$36,$D$14:$D$36)*$E542)</f>
        <v>1.456</v>
      </c>
      <c r="L542" s="95" cm="1">
        <f ca="1" t="array" ref="L542">MIN(6,_xlfn.XLOOKUP($D542&amp;"_"&amp;L$52,$B$14:$B$36&amp;"_"&amp;$C$14:$C$36,$D$14:$D$36)*$E542)</f>
        <v>2.73</v>
      </c>
      <c r="M542" s="95" cm="1">
        <f ca="1" t="array" ref="M542">(1+SUMPRODUCT(G542:H542,OFFSET($H$40:$I$40,D542,0)))*(1+OFFSET($J$40,D542,0))^I542*(1+OFFSET($K$40,D542,0))^J542*(1+OFFSET($L$40,D542,0))^K542*(1+OFFSET($M$40,D542,0))^L542</f>
        <v>79.7227314277513</v>
      </c>
      <c r="N542" s="95">
        <f ca="1">MAX(MAX($N$53:N541),OFFSET($C$52,MATCH(M542*1.07,$M$53:$M$2052,1),0)-C542)</f>
        <v>9000</v>
      </c>
    </row>
    <row r="543" spans="2:14">
      <c r="B543" s="95">
        <v>491</v>
      </c>
      <c r="C543" s="95">
        <f t="shared" si="44"/>
        <v>176760</v>
      </c>
      <c r="D543" s="95">
        <f ca="1">_xlfn.XLOOKUP(总览!$B$44,$B$40:$B$45,$C$40:$C$45)</f>
        <v>5</v>
      </c>
      <c r="E543" s="95">
        <f ca="1" t="shared" si="40"/>
        <v>521</v>
      </c>
      <c r="F543" s="95">
        <f ca="1" t="shared" si="41"/>
        <v>0</v>
      </c>
      <c r="G543" s="95">
        <f ca="1" t="shared" si="42"/>
        <v>0.633700000000001</v>
      </c>
      <c r="H543" s="95" cm="1">
        <f ca="1" t="array" ref="H543">MIN(30-SUM(I543:L543),_xlfn.XLOOKUP($D543&amp;"_"&amp;H$52,$B$14:$B$36&amp;"_"&amp;$C$14:$C$36,$D$14:$D$36)*$E543,18)</f>
        <v>18</v>
      </c>
      <c r="I543" s="95" cm="1">
        <f ca="1" t="array" ref="I543">MIN(30-SUM(J543:L543),6-L543,_xlfn.XLOOKUP($D543&amp;"_"&amp;I$52,$B$14:$B$36&amp;"_"&amp;$C$14:$C$36,$D$14:$D$36)*$E543)</f>
        <v>3.26475</v>
      </c>
      <c r="J543" s="95" cm="1">
        <f ca="1" t="array" ref="J543">MIN(8,_xlfn.XLOOKUP($D543&amp;"_"&amp;J$52,$B$14:$B$36&amp;"_"&amp;$C$14:$C$36,$D$14:$D$36)*$E543)</f>
        <v>3.9075</v>
      </c>
      <c r="K543" s="95" cm="1">
        <f ca="1" t="array" ref="K543">MIN(18,_xlfn.XLOOKUP($D543&amp;"_"&amp;K$52,$B$14:$B$36&amp;"_"&amp;$C$14:$C$36,$D$14:$D$36)*$E543)</f>
        <v>1.4588</v>
      </c>
      <c r="L543" s="95" cm="1">
        <f ca="1" t="array" ref="L543">MIN(6,_xlfn.XLOOKUP($D543&amp;"_"&amp;L$52,$B$14:$B$36&amp;"_"&amp;$C$14:$C$36,$D$14:$D$36)*$E543)</f>
        <v>2.73525</v>
      </c>
      <c r="M543" s="95" cm="1">
        <f ca="1" t="array" ref="M543">(1+SUMPRODUCT(G543:H543,OFFSET($H$40:$I$40,D543,0)))*(1+OFFSET($J$40,D543,0))^I543*(1+OFFSET($K$40,D543,0))^J543*(1+OFFSET($L$40,D543,0))^K543*(1+OFFSET($M$40,D543,0))^L543</f>
        <v>79.9314400455885</v>
      </c>
      <c r="N543" s="95">
        <f ca="1">MAX(MAX($N$53:N542),OFFSET($C$52,MATCH(M543*1.07,$M$53:$M$2052,1),0)-C543)</f>
        <v>9000</v>
      </c>
    </row>
    <row r="544" spans="2:14">
      <c r="B544" s="95">
        <v>492</v>
      </c>
      <c r="C544" s="95">
        <f t="shared" si="44"/>
        <v>177120</v>
      </c>
      <c r="D544" s="95">
        <f ca="1">_xlfn.XLOOKUP(总览!$B$44,$B$40:$B$45,$C$40:$C$45)</f>
        <v>5</v>
      </c>
      <c r="E544" s="95">
        <f ca="1" t="shared" si="40"/>
        <v>522</v>
      </c>
      <c r="F544" s="95">
        <f ca="1" t="shared" si="41"/>
        <v>0</v>
      </c>
      <c r="G544" s="95">
        <f ca="1" t="shared" si="42"/>
        <v>0.6234</v>
      </c>
      <c r="H544" s="95" cm="1">
        <f ca="1" t="array" ref="H544">MIN(30-SUM(I544:L544),_xlfn.XLOOKUP($D544&amp;"_"&amp;H$52,$B$14:$B$36&amp;"_"&amp;$C$14:$C$36,$D$14:$D$36)*$E544,18)</f>
        <v>18</v>
      </c>
      <c r="I544" s="95" cm="1">
        <f ca="1" t="array" ref="I544">MIN(30-SUM(J544:L544),6-L544,_xlfn.XLOOKUP($D544&amp;"_"&amp;I$52,$B$14:$B$36&amp;"_"&amp;$C$14:$C$36,$D$14:$D$36)*$E544)</f>
        <v>3.2595</v>
      </c>
      <c r="J544" s="95" cm="1">
        <f ca="1" t="array" ref="J544">MIN(8,_xlfn.XLOOKUP($D544&amp;"_"&amp;J$52,$B$14:$B$36&amp;"_"&amp;$C$14:$C$36,$D$14:$D$36)*$E544)</f>
        <v>3.915</v>
      </c>
      <c r="K544" s="95" cm="1">
        <f ca="1" t="array" ref="K544">MIN(18,_xlfn.XLOOKUP($D544&amp;"_"&amp;K$52,$B$14:$B$36&amp;"_"&amp;$C$14:$C$36,$D$14:$D$36)*$E544)</f>
        <v>1.4616</v>
      </c>
      <c r="L544" s="95" cm="1">
        <f ca="1" t="array" ref="L544">MIN(6,_xlfn.XLOOKUP($D544&amp;"_"&amp;L$52,$B$14:$B$36&amp;"_"&amp;$C$14:$C$36,$D$14:$D$36)*$E544)</f>
        <v>2.7405</v>
      </c>
      <c r="M544" s="95" cm="1">
        <f ca="1" t="array" ref="M544">(1+SUMPRODUCT(G544:H544,OFFSET($H$40:$I$40,D544,0)))*(1+OFFSET($J$40,D544,0))^I544*(1+OFFSET($K$40,D544,0))^J544*(1+OFFSET($L$40,D544,0))^K544*(1+OFFSET($M$40,D544,0))^L544</f>
        <v>80.1406894489179</v>
      </c>
      <c r="N544" s="95">
        <f ca="1">MAX(MAX($N$53:N543),OFFSET($C$52,MATCH(M544*1.07,$M$53:$M$2052,1),0)-C544)</f>
        <v>9000</v>
      </c>
    </row>
    <row r="545" spans="2:14">
      <c r="B545" s="95">
        <v>493</v>
      </c>
      <c r="C545" s="95">
        <f t="shared" si="44"/>
        <v>177480</v>
      </c>
      <c r="D545" s="95">
        <f ca="1">_xlfn.XLOOKUP(总览!$B$44,$B$40:$B$45,$C$40:$C$45)</f>
        <v>5</v>
      </c>
      <c r="E545" s="95">
        <f ca="1" t="shared" si="40"/>
        <v>523</v>
      </c>
      <c r="F545" s="95">
        <f ca="1" t="shared" si="41"/>
        <v>0</v>
      </c>
      <c r="G545" s="95">
        <f ca="1" t="shared" si="42"/>
        <v>0.613099999999999</v>
      </c>
      <c r="H545" s="95" cm="1">
        <f ca="1" t="array" ref="H545">MIN(30-SUM(I545:L545),_xlfn.XLOOKUP($D545&amp;"_"&amp;H$52,$B$14:$B$36&amp;"_"&amp;$C$14:$C$36,$D$14:$D$36)*$E545,18)</f>
        <v>18</v>
      </c>
      <c r="I545" s="95" cm="1">
        <f ca="1" t="array" ref="I545">MIN(30-SUM(J545:L545),6-L545,_xlfn.XLOOKUP($D545&amp;"_"&amp;I$52,$B$14:$B$36&amp;"_"&amp;$C$14:$C$36,$D$14:$D$36)*$E545)</f>
        <v>3.25425</v>
      </c>
      <c r="J545" s="95" cm="1">
        <f ca="1" t="array" ref="J545">MIN(8,_xlfn.XLOOKUP($D545&amp;"_"&amp;J$52,$B$14:$B$36&amp;"_"&amp;$C$14:$C$36,$D$14:$D$36)*$E545)</f>
        <v>3.9225</v>
      </c>
      <c r="K545" s="95" cm="1">
        <f ca="1" t="array" ref="K545">MIN(18,_xlfn.XLOOKUP($D545&amp;"_"&amp;K$52,$B$14:$B$36&amp;"_"&amp;$C$14:$C$36,$D$14:$D$36)*$E545)</f>
        <v>1.4644</v>
      </c>
      <c r="L545" s="95" cm="1">
        <f ca="1" t="array" ref="L545">MIN(6,_xlfn.XLOOKUP($D545&amp;"_"&amp;L$52,$B$14:$B$36&amp;"_"&amp;$C$14:$C$36,$D$14:$D$36)*$E545)</f>
        <v>2.74575</v>
      </c>
      <c r="M545" s="95" cm="1">
        <f ca="1" t="array" ref="M545">(1+SUMPRODUCT(G545:H545,OFFSET($H$40:$I$40,D545,0)))*(1+OFFSET($J$40,D545,0))^I545*(1+OFFSET($K$40,D545,0))^J545*(1+OFFSET($L$40,D545,0))^K545*(1+OFFSET($M$40,D545,0))^L545</f>
        <v>80.3504810211938</v>
      </c>
      <c r="N545" s="95">
        <f ca="1">MAX(MAX($N$53:N544),OFFSET($C$52,MATCH(M545*1.07,$M$53:$M$2052,1),0)-C545)</f>
        <v>9000</v>
      </c>
    </row>
    <row r="546" spans="2:14">
      <c r="B546" s="95">
        <v>494</v>
      </c>
      <c r="C546" s="95">
        <f t="shared" si="44"/>
        <v>177840</v>
      </c>
      <c r="D546" s="95">
        <f ca="1">_xlfn.XLOOKUP(总览!$B$44,$B$40:$B$45,$C$40:$C$45)</f>
        <v>5</v>
      </c>
      <c r="E546" s="95">
        <f ca="1" t="shared" si="40"/>
        <v>524</v>
      </c>
      <c r="F546" s="95">
        <f ca="1" t="shared" si="41"/>
        <v>0</v>
      </c>
      <c r="G546" s="95">
        <f ca="1" t="shared" si="42"/>
        <v>0.602799999999998</v>
      </c>
      <c r="H546" s="95" cm="1">
        <f ca="1" t="array" ref="H546">MIN(30-SUM(I546:L546),_xlfn.XLOOKUP($D546&amp;"_"&amp;H$52,$B$14:$B$36&amp;"_"&amp;$C$14:$C$36,$D$14:$D$36)*$E546,18)</f>
        <v>18</v>
      </c>
      <c r="I546" s="95" cm="1">
        <f ca="1" t="array" ref="I546">MIN(30-SUM(J546:L546),6-L546,_xlfn.XLOOKUP($D546&amp;"_"&amp;I$52,$B$14:$B$36&amp;"_"&amp;$C$14:$C$36,$D$14:$D$36)*$E546)</f>
        <v>3.249</v>
      </c>
      <c r="J546" s="95" cm="1">
        <f ca="1" t="array" ref="J546">MIN(8,_xlfn.XLOOKUP($D546&amp;"_"&amp;J$52,$B$14:$B$36&amp;"_"&amp;$C$14:$C$36,$D$14:$D$36)*$E546)</f>
        <v>3.93</v>
      </c>
      <c r="K546" s="95" cm="1">
        <f ca="1" t="array" ref="K546">MIN(18,_xlfn.XLOOKUP($D546&amp;"_"&amp;K$52,$B$14:$B$36&amp;"_"&amp;$C$14:$C$36,$D$14:$D$36)*$E546)</f>
        <v>1.4672</v>
      </c>
      <c r="L546" s="95" cm="1">
        <f ca="1" t="array" ref="L546">MIN(6,_xlfn.XLOOKUP($D546&amp;"_"&amp;L$52,$B$14:$B$36&amp;"_"&amp;$C$14:$C$36,$D$14:$D$36)*$E546)</f>
        <v>2.751</v>
      </c>
      <c r="M546" s="95" cm="1">
        <f ca="1" t="array" ref="M546">(1+SUMPRODUCT(G546:H546,OFFSET($H$40:$I$40,D546,0)))*(1+OFFSET($J$40,D546,0))^I546*(1+OFFSET($K$40,D546,0))^J546*(1+OFFSET($L$40,D546,0))^K546*(1+OFFSET($M$40,D546,0))^L546</f>
        <v>80.5608161493527</v>
      </c>
      <c r="N546" s="95">
        <f ca="1">MAX(MAX($N$53:N545),OFFSET($C$52,MATCH(M546*1.07,$M$53:$M$2052,1),0)-C546)</f>
        <v>9000</v>
      </c>
    </row>
    <row r="547" spans="2:14">
      <c r="B547" s="95">
        <v>495</v>
      </c>
      <c r="C547" s="95">
        <f t="shared" si="44"/>
        <v>178200</v>
      </c>
      <c r="D547" s="95">
        <f ca="1">_xlfn.XLOOKUP(总览!$B$44,$B$40:$B$45,$C$40:$C$45)</f>
        <v>5</v>
      </c>
      <c r="E547" s="95">
        <f ca="1" t="shared" si="40"/>
        <v>525</v>
      </c>
      <c r="F547" s="95">
        <f ca="1" t="shared" si="41"/>
        <v>0</v>
      </c>
      <c r="G547" s="95">
        <f ca="1" t="shared" si="42"/>
        <v>0.592500000000001</v>
      </c>
      <c r="H547" s="95" cm="1">
        <f ca="1" t="array" ref="H547">MIN(30-SUM(I547:L547),_xlfn.XLOOKUP($D547&amp;"_"&amp;H$52,$B$14:$B$36&amp;"_"&amp;$C$14:$C$36,$D$14:$D$36)*$E547,18)</f>
        <v>18</v>
      </c>
      <c r="I547" s="95" cm="1">
        <f ca="1" t="array" ref="I547">MIN(30-SUM(J547:L547),6-L547,_xlfn.XLOOKUP($D547&amp;"_"&amp;I$52,$B$14:$B$36&amp;"_"&amp;$C$14:$C$36,$D$14:$D$36)*$E547)</f>
        <v>3.24375</v>
      </c>
      <c r="J547" s="95" cm="1">
        <f ca="1" t="array" ref="J547">MIN(8,_xlfn.XLOOKUP($D547&amp;"_"&amp;J$52,$B$14:$B$36&amp;"_"&amp;$C$14:$C$36,$D$14:$D$36)*$E547)</f>
        <v>3.9375</v>
      </c>
      <c r="K547" s="95" cm="1">
        <f ca="1" t="array" ref="K547">MIN(18,_xlfn.XLOOKUP($D547&amp;"_"&amp;K$52,$B$14:$B$36&amp;"_"&amp;$C$14:$C$36,$D$14:$D$36)*$E547)</f>
        <v>1.47</v>
      </c>
      <c r="L547" s="95" cm="1">
        <f ca="1" t="array" ref="L547">MIN(6,_xlfn.XLOOKUP($D547&amp;"_"&amp;L$52,$B$14:$B$36&amp;"_"&amp;$C$14:$C$36,$D$14:$D$36)*$E547)</f>
        <v>2.75625</v>
      </c>
      <c r="M547" s="95" cm="1">
        <f ca="1" t="array" ref="M547">(1+SUMPRODUCT(G547:H547,OFFSET($H$40:$I$40,D547,0)))*(1+OFFSET($J$40,D547,0))^I547*(1+OFFSET($K$40,D547,0))^J547*(1+OFFSET($L$40,D547,0))^K547*(1+OFFSET($M$40,D547,0))^L547</f>
        <v>80.7716962238217</v>
      </c>
      <c r="N547" s="95">
        <f ca="1">MAX(MAX($N$53:N546),OFFSET($C$52,MATCH(M547*1.07,$M$53:$M$2052,1),0)-C547)</f>
        <v>9000</v>
      </c>
    </row>
    <row r="548" spans="2:14">
      <c r="B548" s="95">
        <v>496</v>
      </c>
      <c r="C548" s="95">
        <f t="shared" si="44"/>
        <v>178560</v>
      </c>
      <c r="D548" s="95">
        <f ca="1">_xlfn.XLOOKUP(总览!$B$44,$B$40:$B$45,$C$40:$C$45)</f>
        <v>5</v>
      </c>
      <c r="E548" s="95">
        <f ca="1" t="shared" si="40"/>
        <v>526</v>
      </c>
      <c r="F548" s="95">
        <f ca="1" t="shared" si="41"/>
        <v>0</v>
      </c>
      <c r="G548" s="95">
        <f ca="1" t="shared" si="42"/>
        <v>0.5822</v>
      </c>
      <c r="H548" s="95" cm="1">
        <f ca="1" t="array" ref="H548">MIN(30-SUM(I548:L548),_xlfn.XLOOKUP($D548&amp;"_"&amp;H$52,$B$14:$B$36&amp;"_"&amp;$C$14:$C$36,$D$14:$D$36)*$E548,18)</f>
        <v>18</v>
      </c>
      <c r="I548" s="95" cm="1">
        <f ca="1" t="array" ref="I548">MIN(30-SUM(J548:L548),6-L548,_xlfn.XLOOKUP($D548&amp;"_"&amp;I$52,$B$14:$B$36&amp;"_"&amp;$C$14:$C$36,$D$14:$D$36)*$E548)</f>
        <v>3.2385</v>
      </c>
      <c r="J548" s="95" cm="1">
        <f ca="1" t="array" ref="J548">MIN(8,_xlfn.XLOOKUP($D548&amp;"_"&amp;J$52,$B$14:$B$36&amp;"_"&amp;$C$14:$C$36,$D$14:$D$36)*$E548)</f>
        <v>3.945</v>
      </c>
      <c r="K548" s="95" cm="1">
        <f ca="1" t="array" ref="K548">MIN(18,_xlfn.XLOOKUP($D548&amp;"_"&amp;K$52,$B$14:$B$36&amp;"_"&amp;$C$14:$C$36,$D$14:$D$36)*$E548)</f>
        <v>1.4728</v>
      </c>
      <c r="L548" s="95" cm="1">
        <f ca="1" t="array" ref="L548">MIN(6,_xlfn.XLOOKUP($D548&amp;"_"&amp;L$52,$B$14:$B$36&amp;"_"&amp;$C$14:$C$36,$D$14:$D$36)*$E548)</f>
        <v>2.7615</v>
      </c>
      <c r="M548" s="95" cm="1">
        <f ca="1" t="array" ref="M548">(1+SUMPRODUCT(G548:H548,OFFSET($H$40:$I$40,D548,0)))*(1+OFFSET($J$40,D548,0))^I548*(1+OFFSET($K$40,D548,0))^J548*(1+OFFSET($L$40,D548,0))^K548*(1+OFFSET($M$40,D548,0))^L548</f>
        <v>80.9831226385273</v>
      </c>
      <c r="N548" s="95">
        <f ca="1">MAX(MAX($N$53:N547),OFFSET($C$52,MATCH(M548*1.07,$M$53:$M$2052,1),0)-C548)</f>
        <v>9000</v>
      </c>
    </row>
    <row r="549" spans="2:14">
      <c r="B549" s="95">
        <v>497</v>
      </c>
      <c r="C549" s="95">
        <f t="shared" si="44"/>
        <v>178920</v>
      </c>
      <c r="D549" s="95">
        <f ca="1">_xlfn.XLOOKUP(总览!$B$44,$B$40:$B$45,$C$40:$C$45)</f>
        <v>5</v>
      </c>
      <c r="E549" s="95">
        <f ca="1" t="shared" si="40"/>
        <v>527</v>
      </c>
      <c r="F549" s="95">
        <f ca="1" t="shared" si="41"/>
        <v>0</v>
      </c>
      <c r="G549" s="95">
        <f ca="1" t="shared" si="42"/>
        <v>0.571899999999999</v>
      </c>
      <c r="H549" s="95" cm="1">
        <f ca="1" t="array" ref="H549">MIN(30-SUM(I549:L549),_xlfn.XLOOKUP($D549&amp;"_"&amp;H$52,$B$14:$B$36&amp;"_"&amp;$C$14:$C$36,$D$14:$D$36)*$E549,18)</f>
        <v>18</v>
      </c>
      <c r="I549" s="95" cm="1">
        <f ca="1" t="array" ref="I549">MIN(30-SUM(J549:L549),6-L549,_xlfn.XLOOKUP($D549&amp;"_"&amp;I$52,$B$14:$B$36&amp;"_"&amp;$C$14:$C$36,$D$14:$D$36)*$E549)</f>
        <v>3.23325</v>
      </c>
      <c r="J549" s="95" cm="1">
        <f ca="1" t="array" ref="J549">MIN(8,_xlfn.XLOOKUP($D549&amp;"_"&amp;J$52,$B$14:$B$36&amp;"_"&amp;$C$14:$C$36,$D$14:$D$36)*$E549)</f>
        <v>3.9525</v>
      </c>
      <c r="K549" s="95" cm="1">
        <f ca="1" t="array" ref="K549">MIN(18,_xlfn.XLOOKUP($D549&amp;"_"&amp;K$52,$B$14:$B$36&amp;"_"&amp;$C$14:$C$36,$D$14:$D$36)*$E549)</f>
        <v>1.4756</v>
      </c>
      <c r="L549" s="95" cm="1">
        <f ca="1" t="array" ref="L549">MIN(6,_xlfn.XLOOKUP($D549&amp;"_"&amp;L$52,$B$14:$B$36&amp;"_"&amp;$C$14:$C$36,$D$14:$D$36)*$E549)</f>
        <v>2.76675</v>
      </c>
      <c r="M549" s="95" cm="1">
        <f ca="1" t="array" ref="M549">(1+SUMPRODUCT(G549:H549,OFFSET($H$40:$I$40,D549,0)))*(1+OFFSET($J$40,D549,0))^I549*(1+OFFSET($K$40,D549,0))^J549*(1+OFFSET($L$40,D549,0))^K549*(1+OFFSET($M$40,D549,0))^L549</f>
        <v>81.1950967909039</v>
      </c>
      <c r="N549" s="95">
        <f ca="1">MAX(MAX($N$53:N548),OFFSET($C$52,MATCH(M549*1.07,$M$53:$M$2052,1),0)-C549)</f>
        <v>9000</v>
      </c>
    </row>
    <row r="550" spans="2:14">
      <c r="B550" s="95">
        <v>498</v>
      </c>
      <c r="C550" s="95">
        <f t="shared" si="44"/>
        <v>179280</v>
      </c>
      <c r="D550" s="95">
        <f ca="1">_xlfn.XLOOKUP(总览!$B$44,$B$40:$B$45,$C$40:$C$45)</f>
        <v>5</v>
      </c>
      <c r="E550" s="95">
        <f ca="1" t="shared" si="40"/>
        <v>528</v>
      </c>
      <c r="F550" s="95">
        <f ca="1" t="shared" si="41"/>
        <v>0</v>
      </c>
      <c r="G550" s="95">
        <f ca="1" t="shared" si="42"/>
        <v>0.561599999999999</v>
      </c>
      <c r="H550" s="95" cm="1">
        <f ca="1" t="array" ref="H550">MIN(30-SUM(I550:L550),_xlfn.XLOOKUP($D550&amp;"_"&amp;H$52,$B$14:$B$36&amp;"_"&amp;$C$14:$C$36,$D$14:$D$36)*$E550,18)</f>
        <v>18</v>
      </c>
      <c r="I550" s="95" cm="1">
        <f ca="1" t="array" ref="I550">MIN(30-SUM(J550:L550),6-L550,_xlfn.XLOOKUP($D550&amp;"_"&amp;I$52,$B$14:$B$36&amp;"_"&amp;$C$14:$C$36,$D$14:$D$36)*$E550)</f>
        <v>3.228</v>
      </c>
      <c r="J550" s="95" cm="1">
        <f ca="1" t="array" ref="J550">MIN(8,_xlfn.XLOOKUP($D550&amp;"_"&amp;J$52,$B$14:$B$36&amp;"_"&amp;$C$14:$C$36,$D$14:$D$36)*$E550)</f>
        <v>3.96</v>
      </c>
      <c r="K550" s="95" cm="1">
        <f ca="1" t="array" ref="K550">MIN(18,_xlfn.XLOOKUP($D550&amp;"_"&amp;K$52,$B$14:$B$36&amp;"_"&amp;$C$14:$C$36,$D$14:$D$36)*$E550)</f>
        <v>1.4784</v>
      </c>
      <c r="L550" s="95" cm="1">
        <f ca="1" t="array" ref="L550">MIN(6,_xlfn.XLOOKUP($D550&amp;"_"&amp;L$52,$B$14:$B$36&amp;"_"&amp;$C$14:$C$36,$D$14:$D$36)*$E550)</f>
        <v>2.772</v>
      </c>
      <c r="M550" s="95" cm="1">
        <f ca="1" t="array" ref="M550">(1+SUMPRODUCT(G550:H550,OFFSET($H$40:$I$40,D550,0)))*(1+OFFSET($J$40,D550,0))^I550*(1+OFFSET($K$40,D550,0))^J550*(1+OFFSET($L$40,D550,0))^K550*(1+OFFSET($M$40,D550,0))^L550</f>
        <v>81.4076200819027</v>
      </c>
      <c r="N550" s="95">
        <f ca="1">MAX(MAX($N$53:N549),OFFSET($C$52,MATCH(M550*1.07,$M$53:$M$2052,1),0)-C550)</f>
        <v>9000</v>
      </c>
    </row>
    <row r="551" spans="2:14">
      <c r="B551" s="95">
        <v>499</v>
      </c>
      <c r="C551" s="95">
        <f t="shared" si="44"/>
        <v>179640</v>
      </c>
      <c r="D551" s="95">
        <f ca="1">_xlfn.XLOOKUP(总览!$B$44,$B$40:$B$45,$C$40:$C$45)</f>
        <v>5</v>
      </c>
      <c r="E551" s="95">
        <f ca="1" t="shared" si="40"/>
        <v>529</v>
      </c>
      <c r="F551" s="95">
        <f ca="1" t="shared" si="41"/>
        <v>0</v>
      </c>
      <c r="G551" s="95">
        <f ca="1" t="shared" si="42"/>
        <v>0.551299999999998</v>
      </c>
      <c r="H551" s="95" cm="1">
        <f ca="1" t="array" ref="H551">MIN(30-SUM(I551:L551),_xlfn.XLOOKUP($D551&amp;"_"&amp;H$52,$B$14:$B$36&amp;"_"&amp;$C$14:$C$36,$D$14:$D$36)*$E551,18)</f>
        <v>18</v>
      </c>
      <c r="I551" s="95" cm="1">
        <f ca="1" t="array" ref="I551">MIN(30-SUM(J551:L551),6-L551,_xlfn.XLOOKUP($D551&amp;"_"&amp;I$52,$B$14:$B$36&amp;"_"&amp;$C$14:$C$36,$D$14:$D$36)*$E551)</f>
        <v>3.22275</v>
      </c>
      <c r="J551" s="95" cm="1">
        <f ca="1" t="array" ref="J551">MIN(8,_xlfn.XLOOKUP($D551&amp;"_"&amp;J$52,$B$14:$B$36&amp;"_"&amp;$C$14:$C$36,$D$14:$D$36)*$E551)</f>
        <v>3.9675</v>
      </c>
      <c r="K551" s="95" cm="1">
        <f ca="1" t="array" ref="K551">MIN(18,_xlfn.XLOOKUP($D551&amp;"_"&amp;K$52,$B$14:$B$36&amp;"_"&amp;$C$14:$C$36,$D$14:$D$36)*$E551)</f>
        <v>1.4812</v>
      </c>
      <c r="L551" s="95" cm="1">
        <f ca="1" t="array" ref="L551">MIN(6,_xlfn.XLOOKUP($D551&amp;"_"&amp;L$52,$B$14:$B$36&amp;"_"&amp;$C$14:$C$36,$D$14:$D$36)*$E551)</f>
        <v>2.77725</v>
      </c>
      <c r="M551" s="95" cm="1">
        <f ca="1" t="array" ref="M551">(1+SUMPRODUCT(G551:H551,OFFSET($H$40:$I$40,D551,0)))*(1+OFFSET($J$40,D551,0))^I551*(1+OFFSET($K$40,D551,0))^J551*(1+OFFSET($L$40,D551,0))^K551*(1+OFFSET($M$40,D551,0))^L551</f>
        <v>81.6206939160001</v>
      </c>
      <c r="N551" s="95">
        <f ca="1">MAX(MAX($N$53:N550),OFFSET($C$52,MATCH(M551*1.07,$M$53:$M$2052,1),0)-C551)</f>
        <v>9000</v>
      </c>
    </row>
    <row r="552" spans="2:14">
      <c r="B552" s="95">
        <v>500</v>
      </c>
      <c r="C552" s="95">
        <f t="shared" si="44"/>
        <v>180000</v>
      </c>
      <c r="D552" s="95">
        <f ca="1">_xlfn.XLOOKUP(总览!$B$44,$B$40:$B$45,$C$40:$C$45)</f>
        <v>5</v>
      </c>
      <c r="E552" s="95">
        <f ca="1" t="shared" si="40"/>
        <v>530</v>
      </c>
      <c r="F552" s="95">
        <f ca="1" t="shared" si="41"/>
        <v>0</v>
      </c>
      <c r="G552" s="95">
        <f ca="1" t="shared" si="42"/>
        <v>0.540999999999997</v>
      </c>
      <c r="H552" s="95" cm="1">
        <f ca="1" t="array" ref="H552">MIN(30-SUM(I552:L552),_xlfn.XLOOKUP($D552&amp;"_"&amp;H$52,$B$14:$B$36&amp;"_"&amp;$C$14:$C$36,$D$14:$D$36)*$E552,18)</f>
        <v>18</v>
      </c>
      <c r="I552" s="95" cm="1">
        <f ca="1" t="array" ref="I552">MIN(30-SUM(J552:L552),6-L552,_xlfn.XLOOKUP($D552&amp;"_"&amp;I$52,$B$14:$B$36&amp;"_"&amp;$C$14:$C$36,$D$14:$D$36)*$E552)</f>
        <v>3.2175</v>
      </c>
      <c r="J552" s="95" cm="1">
        <f ca="1" t="array" ref="J552">MIN(8,_xlfn.XLOOKUP($D552&amp;"_"&amp;J$52,$B$14:$B$36&amp;"_"&amp;$C$14:$C$36,$D$14:$D$36)*$E552)</f>
        <v>3.975</v>
      </c>
      <c r="K552" s="95" cm="1">
        <f ca="1" t="array" ref="K552">MIN(18,_xlfn.XLOOKUP($D552&amp;"_"&amp;K$52,$B$14:$B$36&amp;"_"&amp;$C$14:$C$36,$D$14:$D$36)*$E552)</f>
        <v>1.484</v>
      </c>
      <c r="L552" s="95" cm="1">
        <f ca="1" t="array" ref="L552">MIN(6,_xlfn.XLOOKUP($D552&amp;"_"&amp;L$52,$B$14:$B$36&amp;"_"&amp;$C$14:$C$36,$D$14:$D$36)*$E552)</f>
        <v>2.7825</v>
      </c>
      <c r="M552" s="95" cm="1">
        <f ca="1" t="array" ref="M552">(1+SUMPRODUCT(G552:H552,OFFSET($H$40:$I$40,D552,0)))*(1+OFFSET($J$40,D552,0))^I552*(1+OFFSET($K$40,D552,0))^J552*(1+OFFSET($L$40,D552,0))^K552*(1+OFFSET($M$40,D552,0))^L552</f>
        <v>81.8343197012064</v>
      </c>
      <c r="N552" s="95">
        <f ca="1">MAX(MAX($N$53:N551),OFFSET($C$52,MATCH(M552*1.07,$M$53:$M$2052,1),0)-C552)</f>
        <v>9000</v>
      </c>
    </row>
    <row r="553" spans="2:14">
      <c r="B553" s="95">
        <v>501</v>
      </c>
      <c r="C553" s="95">
        <f t="shared" ref="C553:C576" si="45">C552+360</f>
        <v>180360</v>
      </c>
      <c r="D553" s="95">
        <f ca="1">_xlfn.XLOOKUP(总览!$B$44,$B$40:$B$45,$C$40:$C$45)</f>
        <v>5</v>
      </c>
      <c r="E553" s="95">
        <f ca="1" t="shared" si="40"/>
        <v>531</v>
      </c>
      <c r="F553" s="95">
        <f ca="1" t="shared" si="41"/>
        <v>0</v>
      </c>
      <c r="G553" s="95">
        <f ca="1" t="shared" si="42"/>
        <v>0.530700000000003</v>
      </c>
      <c r="H553" s="95" cm="1">
        <f ca="1" t="array" ref="H553">MIN(30-SUM(I553:L553),_xlfn.XLOOKUP($D553&amp;"_"&amp;H$52,$B$14:$B$36&amp;"_"&amp;$C$14:$C$36,$D$14:$D$36)*$E553,18)</f>
        <v>18</v>
      </c>
      <c r="I553" s="95" cm="1">
        <f ca="1" t="array" ref="I553">MIN(30-SUM(J553:L553),6-L553,_xlfn.XLOOKUP($D553&amp;"_"&amp;I$52,$B$14:$B$36&amp;"_"&amp;$C$14:$C$36,$D$14:$D$36)*$E553)</f>
        <v>3.21225</v>
      </c>
      <c r="J553" s="95" cm="1">
        <f ca="1" t="array" ref="J553">MIN(8,_xlfn.XLOOKUP($D553&amp;"_"&amp;J$52,$B$14:$B$36&amp;"_"&amp;$C$14:$C$36,$D$14:$D$36)*$E553)</f>
        <v>3.9825</v>
      </c>
      <c r="K553" s="95" cm="1">
        <f ca="1" t="array" ref="K553">MIN(18,_xlfn.XLOOKUP($D553&amp;"_"&amp;K$52,$B$14:$B$36&amp;"_"&amp;$C$14:$C$36,$D$14:$D$36)*$E553)</f>
        <v>1.4868</v>
      </c>
      <c r="L553" s="95" cm="1">
        <f ca="1" t="array" ref="L553">MIN(6,_xlfn.XLOOKUP($D553&amp;"_"&amp;L$52,$B$14:$B$36&amp;"_"&amp;$C$14:$C$36,$D$14:$D$36)*$E553)</f>
        <v>2.78775</v>
      </c>
      <c r="M553" s="95" cm="1">
        <f ca="1" t="array" ref="M553">(1+SUMPRODUCT(G553:H553,OFFSET($H$40:$I$40,D553,0)))*(1+OFFSET($J$40,D553,0))^I553*(1+OFFSET($K$40,D553,0))^J553*(1+OFFSET($L$40,D553,0))^K553*(1+OFFSET($M$40,D553,0))^L553</f>
        <v>82.0484988490745</v>
      </c>
      <c r="N553" s="95">
        <f ca="1">MAX(MAX($N$53:N552),OFFSET($C$52,MATCH(M553*1.07,$M$53:$M$2052,1),0)-C553)</f>
        <v>9000</v>
      </c>
    </row>
    <row r="554" spans="2:14">
      <c r="B554" s="95">
        <v>502</v>
      </c>
      <c r="C554" s="95">
        <f t="shared" si="45"/>
        <v>180720</v>
      </c>
      <c r="D554" s="95">
        <f ca="1">_xlfn.XLOOKUP(总览!$B$44,$B$40:$B$45,$C$40:$C$45)</f>
        <v>5</v>
      </c>
      <c r="E554" s="95">
        <f ca="1" t="shared" si="40"/>
        <v>532</v>
      </c>
      <c r="F554" s="95">
        <f ca="1" t="shared" si="41"/>
        <v>0</v>
      </c>
      <c r="G554" s="95">
        <f ca="1" t="shared" si="42"/>
        <v>0.520400000000002</v>
      </c>
      <c r="H554" s="95" cm="1">
        <f ca="1" t="array" ref="H554">MIN(30-SUM(I554:L554),_xlfn.XLOOKUP($D554&amp;"_"&amp;H$52,$B$14:$B$36&amp;"_"&amp;$C$14:$C$36,$D$14:$D$36)*$E554,18)</f>
        <v>18</v>
      </c>
      <c r="I554" s="95" cm="1">
        <f ca="1" t="array" ref="I554">MIN(30-SUM(J554:L554),6-L554,_xlfn.XLOOKUP($D554&amp;"_"&amp;I$52,$B$14:$B$36&amp;"_"&amp;$C$14:$C$36,$D$14:$D$36)*$E554)</f>
        <v>3.207</v>
      </c>
      <c r="J554" s="95" cm="1">
        <f ca="1" t="array" ref="J554">MIN(8,_xlfn.XLOOKUP($D554&amp;"_"&amp;J$52,$B$14:$B$36&amp;"_"&amp;$C$14:$C$36,$D$14:$D$36)*$E554)</f>
        <v>3.99</v>
      </c>
      <c r="K554" s="95" cm="1">
        <f ca="1" t="array" ref="K554">MIN(18,_xlfn.XLOOKUP($D554&amp;"_"&amp;K$52,$B$14:$B$36&amp;"_"&amp;$C$14:$C$36,$D$14:$D$36)*$E554)</f>
        <v>1.4896</v>
      </c>
      <c r="L554" s="95" cm="1">
        <f ca="1" t="array" ref="L554">MIN(6,_xlfn.XLOOKUP($D554&amp;"_"&amp;L$52,$B$14:$B$36&amp;"_"&amp;$C$14:$C$36,$D$14:$D$36)*$E554)</f>
        <v>2.793</v>
      </c>
      <c r="M554" s="95" cm="1">
        <f ca="1" t="array" ref="M554">(1+SUMPRODUCT(G554:H554,OFFSET($H$40:$I$40,D554,0)))*(1+OFFSET($J$40,D554,0))^I554*(1+OFFSET($K$40,D554,0))^J554*(1+OFFSET($L$40,D554,0))^K554*(1+OFFSET($M$40,D554,0))^L554</f>
        <v>82.263232774709</v>
      </c>
      <c r="N554" s="95">
        <f ca="1">MAX(MAX($N$53:N553),OFFSET($C$52,MATCH(M554*1.07,$M$53:$M$2052,1),0)-C554)</f>
        <v>9000</v>
      </c>
    </row>
    <row r="555" spans="2:14">
      <c r="B555" s="95">
        <v>503</v>
      </c>
      <c r="C555" s="95">
        <f t="shared" si="45"/>
        <v>181080</v>
      </c>
      <c r="D555" s="95">
        <f ca="1">_xlfn.XLOOKUP(总览!$B$44,$B$40:$B$45,$C$40:$C$45)</f>
        <v>5</v>
      </c>
      <c r="E555" s="95">
        <f ca="1" t="shared" si="40"/>
        <v>533</v>
      </c>
      <c r="F555" s="95">
        <f ca="1" t="shared" si="41"/>
        <v>0</v>
      </c>
      <c r="G555" s="95">
        <f ca="1" t="shared" si="42"/>
        <v>0.510100000000001</v>
      </c>
      <c r="H555" s="95" cm="1">
        <f ca="1" t="array" ref="H555">MIN(30-SUM(I555:L555),_xlfn.XLOOKUP($D555&amp;"_"&amp;H$52,$B$14:$B$36&amp;"_"&amp;$C$14:$C$36,$D$14:$D$36)*$E555,18)</f>
        <v>18</v>
      </c>
      <c r="I555" s="95" cm="1">
        <f ca="1" t="array" ref="I555">MIN(30-SUM(J555:L555),6-L555,_xlfn.XLOOKUP($D555&amp;"_"&amp;I$52,$B$14:$B$36&amp;"_"&amp;$C$14:$C$36,$D$14:$D$36)*$E555)</f>
        <v>3.20175</v>
      </c>
      <c r="J555" s="95" cm="1">
        <f ca="1" t="array" ref="J555">MIN(8,_xlfn.XLOOKUP($D555&amp;"_"&amp;J$52,$B$14:$B$36&amp;"_"&amp;$C$14:$C$36,$D$14:$D$36)*$E555)</f>
        <v>3.9975</v>
      </c>
      <c r="K555" s="95" cm="1">
        <f ca="1" t="array" ref="K555">MIN(18,_xlfn.XLOOKUP($D555&amp;"_"&amp;K$52,$B$14:$B$36&amp;"_"&amp;$C$14:$C$36,$D$14:$D$36)*$E555)</f>
        <v>1.4924</v>
      </c>
      <c r="L555" s="95" cm="1">
        <f ca="1" t="array" ref="L555">MIN(6,_xlfn.XLOOKUP($D555&amp;"_"&amp;L$52,$B$14:$B$36&amp;"_"&amp;$C$14:$C$36,$D$14:$D$36)*$E555)</f>
        <v>2.79825</v>
      </c>
      <c r="M555" s="95" cm="1">
        <f ca="1" t="array" ref="M555">(1+SUMPRODUCT(G555:H555,OFFSET($H$40:$I$40,D555,0)))*(1+OFFSET($J$40,D555,0))^I555*(1+OFFSET($K$40,D555,0))^J555*(1+OFFSET($L$40,D555,0))^K555*(1+OFFSET($M$40,D555,0))^L555</f>
        <v>82.4785228967742</v>
      </c>
      <c r="N555" s="95">
        <f ca="1">MAX(MAX($N$53:N554),OFFSET($C$52,MATCH(M555*1.07,$M$53:$M$2052,1),0)-C555)</f>
        <v>9000</v>
      </c>
    </row>
    <row r="556" spans="2:14">
      <c r="B556" s="95">
        <v>504</v>
      </c>
      <c r="C556" s="95">
        <f t="shared" si="45"/>
        <v>181440</v>
      </c>
      <c r="D556" s="95">
        <f ca="1">_xlfn.XLOOKUP(总览!$B$44,$B$40:$B$45,$C$40:$C$45)</f>
        <v>5</v>
      </c>
      <c r="E556" s="95">
        <f ca="1" t="shared" si="40"/>
        <v>534</v>
      </c>
      <c r="F556" s="95">
        <f ca="1" t="shared" si="41"/>
        <v>0</v>
      </c>
      <c r="G556" s="95">
        <f ca="1" t="shared" si="42"/>
        <v>0.4998</v>
      </c>
      <c r="H556" s="95" cm="1">
        <f ca="1" t="array" ref="H556">MIN(30-SUM(I556:L556),_xlfn.XLOOKUP($D556&amp;"_"&amp;H$52,$B$14:$B$36&amp;"_"&amp;$C$14:$C$36,$D$14:$D$36)*$E556,18)</f>
        <v>18</v>
      </c>
      <c r="I556" s="95" cm="1">
        <f ca="1" t="array" ref="I556">MIN(30-SUM(J556:L556),6-L556,_xlfn.XLOOKUP($D556&amp;"_"&amp;I$52,$B$14:$B$36&amp;"_"&amp;$C$14:$C$36,$D$14:$D$36)*$E556)</f>
        <v>3.1965</v>
      </c>
      <c r="J556" s="95" cm="1">
        <f ca="1" t="array" ref="J556">MIN(8,_xlfn.XLOOKUP($D556&amp;"_"&amp;J$52,$B$14:$B$36&amp;"_"&amp;$C$14:$C$36,$D$14:$D$36)*$E556)</f>
        <v>4.005</v>
      </c>
      <c r="K556" s="95" cm="1">
        <f ca="1" t="array" ref="K556">MIN(18,_xlfn.XLOOKUP($D556&amp;"_"&amp;K$52,$B$14:$B$36&amp;"_"&amp;$C$14:$C$36,$D$14:$D$36)*$E556)</f>
        <v>1.4952</v>
      </c>
      <c r="L556" s="95" cm="1">
        <f ca="1" t="array" ref="L556">MIN(6,_xlfn.XLOOKUP($D556&amp;"_"&amp;L$52,$B$14:$B$36&amp;"_"&amp;$C$14:$C$36,$D$14:$D$36)*$E556)</f>
        <v>2.8035</v>
      </c>
      <c r="M556" s="95" cm="1">
        <f ca="1" t="array" ref="M556">(1+SUMPRODUCT(G556:H556,OFFSET($H$40:$I$40,D556,0)))*(1+OFFSET($J$40,D556,0))^I556*(1+OFFSET($K$40,D556,0))^J556*(1+OFFSET($L$40,D556,0))^K556*(1+OFFSET($M$40,D556,0))^L556</f>
        <v>82.6943706375036</v>
      </c>
      <c r="N556" s="95">
        <f ca="1">MAX(MAX($N$53:N555),OFFSET($C$52,MATCH(M556*1.07,$M$53:$M$2052,1),0)-C556)</f>
        <v>9000</v>
      </c>
    </row>
    <row r="557" spans="2:14">
      <c r="B557" s="95">
        <v>505</v>
      </c>
      <c r="C557" s="95">
        <f t="shared" si="45"/>
        <v>181800</v>
      </c>
      <c r="D557" s="95">
        <f ca="1">_xlfn.XLOOKUP(总览!$B$44,$B$40:$B$45,$C$40:$C$45)</f>
        <v>5</v>
      </c>
      <c r="E557" s="95">
        <f ca="1" t="shared" si="40"/>
        <v>535</v>
      </c>
      <c r="F557" s="95">
        <f ca="1" t="shared" si="41"/>
        <v>0</v>
      </c>
      <c r="G557" s="95">
        <f ca="1" t="shared" si="42"/>
        <v>0.4895</v>
      </c>
      <c r="H557" s="95" cm="1">
        <f ca="1" t="array" ref="H557">MIN(30-SUM(I557:L557),_xlfn.XLOOKUP($D557&amp;"_"&amp;H$52,$B$14:$B$36&amp;"_"&amp;$C$14:$C$36,$D$14:$D$36)*$E557,18)</f>
        <v>18</v>
      </c>
      <c r="I557" s="95" cm="1">
        <f ca="1" t="array" ref="I557">MIN(30-SUM(J557:L557),6-L557,_xlfn.XLOOKUP($D557&amp;"_"&amp;I$52,$B$14:$B$36&amp;"_"&amp;$C$14:$C$36,$D$14:$D$36)*$E557)</f>
        <v>3.19125</v>
      </c>
      <c r="J557" s="95" cm="1">
        <f ca="1" t="array" ref="J557">MIN(8,_xlfn.XLOOKUP($D557&amp;"_"&amp;J$52,$B$14:$B$36&amp;"_"&amp;$C$14:$C$36,$D$14:$D$36)*$E557)</f>
        <v>4.0125</v>
      </c>
      <c r="K557" s="95" cm="1">
        <f ca="1" t="array" ref="K557">MIN(18,_xlfn.XLOOKUP($D557&amp;"_"&amp;K$52,$B$14:$B$36&amp;"_"&amp;$C$14:$C$36,$D$14:$D$36)*$E557)</f>
        <v>1.498</v>
      </c>
      <c r="L557" s="95" cm="1">
        <f ca="1" t="array" ref="L557">MIN(6,_xlfn.XLOOKUP($D557&amp;"_"&amp;L$52,$B$14:$B$36&amp;"_"&amp;$C$14:$C$36,$D$14:$D$36)*$E557)</f>
        <v>2.80875</v>
      </c>
      <c r="M557" s="95" cm="1">
        <f ca="1" t="array" ref="M557">(1+SUMPRODUCT(G557:H557,OFFSET($H$40:$I$40,D557,0)))*(1+OFFSET($J$40,D557,0))^I557*(1+OFFSET($K$40,D557,0))^J557*(1+OFFSET($L$40,D557,0))^K557*(1+OFFSET($M$40,D557,0))^L557</f>
        <v>82.9107774227083</v>
      </c>
      <c r="N557" s="95">
        <f ca="1">MAX(MAX($N$53:N556),OFFSET($C$52,MATCH(M557*1.07,$M$53:$M$2052,1),0)-C557)</f>
        <v>9000</v>
      </c>
    </row>
    <row r="558" spans="2:14">
      <c r="B558" s="95">
        <v>506</v>
      </c>
      <c r="C558" s="95">
        <f t="shared" si="45"/>
        <v>182160</v>
      </c>
      <c r="D558" s="95">
        <f ca="1">_xlfn.XLOOKUP(总览!$B$44,$B$40:$B$45,$C$40:$C$45)</f>
        <v>5</v>
      </c>
      <c r="E558" s="95">
        <f ca="1" t="shared" si="40"/>
        <v>536</v>
      </c>
      <c r="F558" s="95">
        <f ca="1" t="shared" si="41"/>
        <v>0</v>
      </c>
      <c r="G558" s="95">
        <f ca="1" t="shared" si="42"/>
        <v>0.479199999999999</v>
      </c>
      <c r="H558" s="95" cm="1">
        <f ca="1" t="array" ref="H558">MIN(30-SUM(I558:L558),_xlfn.XLOOKUP($D558&amp;"_"&amp;H$52,$B$14:$B$36&amp;"_"&amp;$C$14:$C$36,$D$14:$D$36)*$E558,18)</f>
        <v>18</v>
      </c>
      <c r="I558" s="95" cm="1">
        <f ca="1" t="array" ref="I558">MIN(30-SUM(J558:L558),6-L558,_xlfn.XLOOKUP($D558&amp;"_"&amp;I$52,$B$14:$B$36&amp;"_"&amp;$C$14:$C$36,$D$14:$D$36)*$E558)</f>
        <v>3.186</v>
      </c>
      <c r="J558" s="95" cm="1">
        <f ca="1" t="array" ref="J558">MIN(8,_xlfn.XLOOKUP($D558&amp;"_"&amp;J$52,$B$14:$B$36&amp;"_"&amp;$C$14:$C$36,$D$14:$D$36)*$E558)</f>
        <v>4.02</v>
      </c>
      <c r="K558" s="95" cm="1">
        <f ca="1" t="array" ref="K558">MIN(18,_xlfn.XLOOKUP($D558&amp;"_"&amp;K$52,$B$14:$B$36&amp;"_"&amp;$C$14:$C$36,$D$14:$D$36)*$E558)</f>
        <v>1.5008</v>
      </c>
      <c r="L558" s="95" cm="1">
        <f ca="1" t="array" ref="L558">MIN(6,_xlfn.XLOOKUP($D558&amp;"_"&amp;L$52,$B$14:$B$36&amp;"_"&amp;$C$14:$C$36,$D$14:$D$36)*$E558)</f>
        <v>2.814</v>
      </c>
      <c r="M558" s="95" cm="1">
        <f ca="1" t="array" ref="M558">(1+SUMPRODUCT(G558:H558,OFFSET($H$40:$I$40,D558,0)))*(1+OFFSET($J$40,D558,0))^I558*(1+OFFSET($K$40,D558,0))^J558*(1+OFFSET($L$40,D558,0))^K558*(1+OFFSET($M$40,D558,0))^L558</f>
        <v>83.1277446817859</v>
      </c>
      <c r="N558" s="95">
        <f ca="1">MAX(MAX($N$53:N557),OFFSET($C$52,MATCH(M558*1.07,$M$53:$M$2052,1),0)-C558)</f>
        <v>9000</v>
      </c>
    </row>
    <row r="559" spans="2:14">
      <c r="B559" s="95">
        <v>507</v>
      </c>
      <c r="C559" s="95">
        <f t="shared" si="45"/>
        <v>182520</v>
      </c>
      <c r="D559" s="95">
        <f ca="1">_xlfn.XLOOKUP(总览!$B$44,$B$40:$B$45,$C$40:$C$45)</f>
        <v>5</v>
      </c>
      <c r="E559" s="95">
        <f ca="1" t="shared" si="40"/>
        <v>537</v>
      </c>
      <c r="F559" s="95">
        <f ca="1" t="shared" si="41"/>
        <v>0</v>
      </c>
      <c r="G559" s="95">
        <f ca="1" t="shared" si="42"/>
        <v>0.468900000000001</v>
      </c>
      <c r="H559" s="95" cm="1">
        <f ca="1" t="array" ref="H559">MIN(30-SUM(I559:L559),_xlfn.XLOOKUP($D559&amp;"_"&amp;H$52,$B$14:$B$36&amp;"_"&amp;$C$14:$C$36,$D$14:$D$36)*$E559,18)</f>
        <v>18</v>
      </c>
      <c r="I559" s="95" cm="1">
        <f ca="1" t="array" ref="I559">MIN(30-SUM(J559:L559),6-L559,_xlfn.XLOOKUP($D559&amp;"_"&amp;I$52,$B$14:$B$36&amp;"_"&amp;$C$14:$C$36,$D$14:$D$36)*$E559)</f>
        <v>3.18075</v>
      </c>
      <c r="J559" s="95" cm="1">
        <f ca="1" t="array" ref="J559">MIN(8,_xlfn.XLOOKUP($D559&amp;"_"&amp;J$52,$B$14:$B$36&amp;"_"&amp;$C$14:$C$36,$D$14:$D$36)*$E559)</f>
        <v>4.0275</v>
      </c>
      <c r="K559" s="95" cm="1">
        <f ca="1" t="array" ref="K559">MIN(18,_xlfn.XLOOKUP($D559&amp;"_"&amp;K$52,$B$14:$B$36&amp;"_"&amp;$C$14:$C$36,$D$14:$D$36)*$E559)</f>
        <v>1.5036</v>
      </c>
      <c r="L559" s="95" cm="1">
        <f ca="1" t="array" ref="L559">MIN(6,_xlfn.XLOOKUP($D559&amp;"_"&amp;L$52,$B$14:$B$36&amp;"_"&amp;$C$14:$C$36,$D$14:$D$36)*$E559)</f>
        <v>2.81925</v>
      </c>
      <c r="M559" s="95" cm="1">
        <f ca="1" t="array" ref="M559">(1+SUMPRODUCT(G559:H559,OFFSET($H$40:$I$40,D559,0)))*(1+OFFSET($J$40,D559,0))^I559*(1+OFFSET($K$40,D559,0))^J559*(1+OFFSET($L$40,D559,0))^K559*(1+OFFSET($M$40,D559,0))^L559</f>
        <v>83.3452738477294</v>
      </c>
      <c r="N559" s="95">
        <f ca="1">MAX(MAX($N$53:N558),OFFSET($C$52,MATCH(M559*1.07,$M$53:$M$2052,1),0)-C559)</f>
        <v>9000</v>
      </c>
    </row>
    <row r="560" spans="2:14">
      <c r="B560" s="95">
        <v>508</v>
      </c>
      <c r="C560" s="95">
        <f t="shared" si="45"/>
        <v>182880</v>
      </c>
      <c r="D560" s="95">
        <f ca="1">_xlfn.XLOOKUP(总览!$B$44,$B$40:$B$45,$C$40:$C$45)</f>
        <v>5</v>
      </c>
      <c r="E560" s="95">
        <f ca="1" t="shared" si="40"/>
        <v>538</v>
      </c>
      <c r="F560" s="95">
        <f ca="1" t="shared" si="41"/>
        <v>0</v>
      </c>
      <c r="G560" s="95">
        <f ca="1" t="shared" si="42"/>
        <v>0.458600000000001</v>
      </c>
      <c r="H560" s="95" cm="1">
        <f ca="1" t="array" ref="H560">MIN(30-SUM(I560:L560),_xlfn.XLOOKUP($D560&amp;"_"&amp;H$52,$B$14:$B$36&amp;"_"&amp;$C$14:$C$36,$D$14:$D$36)*$E560,18)</f>
        <v>18</v>
      </c>
      <c r="I560" s="95" cm="1">
        <f ca="1" t="array" ref="I560">MIN(30-SUM(J560:L560),6-L560,_xlfn.XLOOKUP($D560&amp;"_"&amp;I$52,$B$14:$B$36&amp;"_"&amp;$C$14:$C$36,$D$14:$D$36)*$E560)</f>
        <v>3.1755</v>
      </c>
      <c r="J560" s="95" cm="1">
        <f ca="1" t="array" ref="J560">MIN(8,_xlfn.XLOOKUP($D560&amp;"_"&amp;J$52,$B$14:$B$36&amp;"_"&amp;$C$14:$C$36,$D$14:$D$36)*$E560)</f>
        <v>4.035</v>
      </c>
      <c r="K560" s="95" cm="1">
        <f ca="1" t="array" ref="K560">MIN(18,_xlfn.XLOOKUP($D560&amp;"_"&amp;K$52,$B$14:$B$36&amp;"_"&amp;$C$14:$C$36,$D$14:$D$36)*$E560)</f>
        <v>1.5064</v>
      </c>
      <c r="L560" s="95" cm="1">
        <f ca="1" t="array" ref="L560">MIN(6,_xlfn.XLOOKUP($D560&amp;"_"&amp;L$52,$B$14:$B$36&amp;"_"&amp;$C$14:$C$36,$D$14:$D$36)*$E560)</f>
        <v>2.8245</v>
      </c>
      <c r="M560" s="95" cm="1">
        <f ca="1" t="array" ref="M560">(1+SUMPRODUCT(G560:H560,OFFSET($H$40:$I$40,D560,0)))*(1+OFFSET($J$40,D560,0))^I560*(1+OFFSET($K$40,D560,0))^J560*(1+OFFSET($L$40,D560,0))^K560*(1+OFFSET($M$40,D560,0))^L560</f>
        <v>83.5633663571357</v>
      </c>
      <c r="N560" s="95">
        <f ca="1">MAX(MAX($N$53:N559),OFFSET($C$52,MATCH(M560*1.07,$M$53:$M$2052,1),0)-C560)</f>
        <v>9000</v>
      </c>
    </row>
    <row r="561" spans="2:14">
      <c r="B561" s="95">
        <v>509</v>
      </c>
      <c r="C561" s="95">
        <f t="shared" si="45"/>
        <v>183240</v>
      </c>
      <c r="D561" s="95">
        <f ca="1">_xlfn.XLOOKUP(总览!$B$44,$B$40:$B$45,$C$40:$C$45)</f>
        <v>5</v>
      </c>
      <c r="E561" s="95">
        <f ca="1" t="shared" si="40"/>
        <v>539</v>
      </c>
      <c r="F561" s="95">
        <f ca="1" t="shared" si="41"/>
        <v>0</v>
      </c>
      <c r="G561" s="95">
        <f ca="1" t="shared" si="42"/>
        <v>0.4483</v>
      </c>
      <c r="H561" s="95" cm="1">
        <f ca="1" t="array" ref="H561">MIN(30-SUM(I561:L561),_xlfn.XLOOKUP($D561&amp;"_"&amp;H$52,$B$14:$B$36&amp;"_"&amp;$C$14:$C$36,$D$14:$D$36)*$E561,18)</f>
        <v>18</v>
      </c>
      <c r="I561" s="95" cm="1">
        <f ca="1" t="array" ref="I561">MIN(30-SUM(J561:L561),6-L561,_xlfn.XLOOKUP($D561&amp;"_"&amp;I$52,$B$14:$B$36&amp;"_"&amp;$C$14:$C$36,$D$14:$D$36)*$E561)</f>
        <v>3.17025</v>
      </c>
      <c r="J561" s="95" cm="1">
        <f ca="1" t="array" ref="J561">MIN(8,_xlfn.XLOOKUP($D561&amp;"_"&amp;J$52,$B$14:$B$36&amp;"_"&amp;$C$14:$C$36,$D$14:$D$36)*$E561)</f>
        <v>4.0425</v>
      </c>
      <c r="K561" s="95" cm="1">
        <f ca="1" t="array" ref="K561">MIN(18,_xlfn.XLOOKUP($D561&amp;"_"&amp;K$52,$B$14:$B$36&amp;"_"&amp;$C$14:$C$36,$D$14:$D$36)*$E561)</f>
        <v>1.5092</v>
      </c>
      <c r="L561" s="95" cm="1">
        <f ca="1" t="array" ref="L561">MIN(6,_xlfn.XLOOKUP($D561&amp;"_"&amp;L$52,$B$14:$B$36&amp;"_"&amp;$C$14:$C$36,$D$14:$D$36)*$E561)</f>
        <v>2.82975</v>
      </c>
      <c r="M561" s="95" cm="1">
        <f ca="1" t="array" ref="M561">(1+SUMPRODUCT(G561:H561,OFFSET($H$40:$I$40,D561,0)))*(1+OFFSET($J$40,D561,0))^I561*(1+OFFSET($K$40,D561,0))^J561*(1+OFFSET($L$40,D561,0))^K561*(1+OFFSET($M$40,D561,0))^L561</f>
        <v>83.782023650215</v>
      </c>
      <c r="N561" s="95">
        <f ca="1">MAX(MAX($N$53:N560),OFFSET($C$52,MATCH(M561*1.07,$M$53:$M$2052,1),0)-C561)</f>
        <v>9000</v>
      </c>
    </row>
    <row r="562" spans="2:14">
      <c r="B562" s="95">
        <v>510</v>
      </c>
      <c r="C562" s="95">
        <f t="shared" si="45"/>
        <v>183600</v>
      </c>
      <c r="D562" s="95">
        <f ca="1">_xlfn.XLOOKUP(总览!$B$44,$B$40:$B$45,$C$40:$C$45)</f>
        <v>5</v>
      </c>
      <c r="E562" s="95">
        <f ca="1" t="shared" si="40"/>
        <v>540</v>
      </c>
      <c r="F562" s="95">
        <f ca="1" t="shared" si="41"/>
        <v>0</v>
      </c>
      <c r="G562" s="95">
        <f ca="1" t="shared" si="42"/>
        <v>0.437999999999999</v>
      </c>
      <c r="H562" s="95" cm="1">
        <f ca="1" t="array" ref="H562">MIN(30-SUM(I562:L562),_xlfn.XLOOKUP($D562&amp;"_"&amp;H$52,$B$14:$B$36&amp;"_"&amp;$C$14:$C$36,$D$14:$D$36)*$E562,18)</f>
        <v>18</v>
      </c>
      <c r="I562" s="95" cm="1">
        <f ca="1" t="array" ref="I562">MIN(30-SUM(J562:L562),6-L562,_xlfn.XLOOKUP($D562&amp;"_"&amp;I$52,$B$14:$B$36&amp;"_"&amp;$C$14:$C$36,$D$14:$D$36)*$E562)</f>
        <v>3.165</v>
      </c>
      <c r="J562" s="95" cm="1">
        <f ca="1" t="array" ref="J562">MIN(8,_xlfn.XLOOKUP($D562&amp;"_"&amp;J$52,$B$14:$B$36&amp;"_"&amp;$C$14:$C$36,$D$14:$D$36)*$E562)</f>
        <v>4.05</v>
      </c>
      <c r="K562" s="95" cm="1">
        <f ca="1" t="array" ref="K562">MIN(18,_xlfn.XLOOKUP($D562&amp;"_"&amp;K$52,$B$14:$B$36&amp;"_"&amp;$C$14:$C$36,$D$14:$D$36)*$E562)</f>
        <v>1.512</v>
      </c>
      <c r="L562" s="95" cm="1">
        <f ca="1" t="array" ref="L562">MIN(6,_xlfn.XLOOKUP($D562&amp;"_"&amp;L$52,$B$14:$B$36&amp;"_"&amp;$C$14:$C$36,$D$14:$D$36)*$E562)</f>
        <v>2.835</v>
      </c>
      <c r="M562" s="95" cm="1">
        <f ca="1" t="array" ref="M562">(1+SUMPRODUCT(G562:H562,OFFSET($H$40:$I$40,D562,0)))*(1+OFFSET($J$40,D562,0))^I562*(1+OFFSET($K$40,D562,0))^J562*(1+OFFSET($L$40,D562,0))^K562*(1+OFFSET($M$40,D562,0))^L562</f>
        <v>84.0012471707995</v>
      </c>
      <c r="N562" s="95">
        <f ca="1">MAX(MAX($N$53:N561),OFFSET($C$52,MATCH(M562*1.07,$M$53:$M$2052,1),0)-C562)</f>
        <v>9000</v>
      </c>
    </row>
    <row r="563" spans="2:14">
      <c r="B563" s="95">
        <v>511</v>
      </c>
      <c r="C563" s="95">
        <f t="shared" si="45"/>
        <v>183960</v>
      </c>
      <c r="D563" s="95">
        <f ca="1">_xlfn.XLOOKUP(总览!$B$44,$B$40:$B$45,$C$40:$C$45)</f>
        <v>5</v>
      </c>
      <c r="E563" s="95">
        <f ca="1" t="shared" si="40"/>
        <v>541</v>
      </c>
      <c r="F563" s="95">
        <f ca="1" t="shared" si="41"/>
        <v>0</v>
      </c>
      <c r="G563" s="95">
        <f ca="1" t="shared" si="42"/>
        <v>0.427699999999998</v>
      </c>
      <c r="H563" s="95" cm="1">
        <f ca="1" t="array" ref="H563">MIN(30-SUM(I563:L563),_xlfn.XLOOKUP($D563&amp;"_"&amp;H$52,$B$14:$B$36&amp;"_"&amp;$C$14:$C$36,$D$14:$D$36)*$E563,18)</f>
        <v>18</v>
      </c>
      <c r="I563" s="95" cm="1">
        <f ca="1" t="array" ref="I563">MIN(30-SUM(J563:L563),6-L563,_xlfn.XLOOKUP($D563&amp;"_"&amp;I$52,$B$14:$B$36&amp;"_"&amp;$C$14:$C$36,$D$14:$D$36)*$E563)</f>
        <v>3.15975</v>
      </c>
      <c r="J563" s="95" cm="1">
        <f ca="1" t="array" ref="J563">MIN(8,_xlfn.XLOOKUP($D563&amp;"_"&amp;J$52,$B$14:$B$36&amp;"_"&amp;$C$14:$C$36,$D$14:$D$36)*$E563)</f>
        <v>4.0575</v>
      </c>
      <c r="K563" s="95" cm="1">
        <f ca="1" t="array" ref="K563">MIN(18,_xlfn.XLOOKUP($D563&amp;"_"&amp;K$52,$B$14:$B$36&amp;"_"&amp;$C$14:$C$36,$D$14:$D$36)*$E563)</f>
        <v>1.5148</v>
      </c>
      <c r="L563" s="95" cm="1">
        <f ca="1" t="array" ref="L563">MIN(6,_xlfn.XLOOKUP($D563&amp;"_"&amp;L$52,$B$14:$B$36&amp;"_"&amp;$C$14:$C$36,$D$14:$D$36)*$E563)</f>
        <v>2.84025</v>
      </c>
      <c r="M563" s="95" cm="1">
        <f ca="1" t="array" ref="M563">(1+SUMPRODUCT(G563:H563,OFFSET($H$40:$I$40,D563,0)))*(1+OFFSET($J$40,D563,0))^I563*(1+OFFSET($K$40,D563,0))^J563*(1+OFFSET($L$40,D563,0))^K563*(1+OFFSET($M$40,D563,0))^L563</f>
        <v>84.2210383663519</v>
      </c>
      <c r="N563" s="95">
        <f ca="1">MAX(MAX($N$53:N562),OFFSET($C$52,MATCH(M563*1.07,$M$53:$M$2052,1),0)-C563)</f>
        <v>9000</v>
      </c>
    </row>
    <row r="564" spans="2:14">
      <c r="B564" s="95">
        <v>512</v>
      </c>
      <c r="C564" s="95">
        <f t="shared" si="45"/>
        <v>184320</v>
      </c>
      <c r="D564" s="95">
        <f ca="1">_xlfn.XLOOKUP(总览!$B$44,$B$40:$B$45,$C$40:$C$45)</f>
        <v>5</v>
      </c>
      <c r="E564" s="95">
        <f ca="1" t="shared" si="40"/>
        <v>542</v>
      </c>
      <c r="F564" s="95">
        <f ca="1" t="shared" si="41"/>
        <v>0</v>
      </c>
      <c r="G564" s="95">
        <f ca="1" t="shared" si="42"/>
        <v>0.417400000000001</v>
      </c>
      <c r="H564" s="95" cm="1">
        <f ca="1" t="array" ref="H564">MIN(30-SUM(I564:L564),_xlfn.XLOOKUP($D564&amp;"_"&amp;H$52,$B$14:$B$36&amp;"_"&amp;$C$14:$C$36,$D$14:$D$36)*$E564,18)</f>
        <v>18</v>
      </c>
      <c r="I564" s="95" cm="1">
        <f ca="1" t="array" ref="I564">MIN(30-SUM(J564:L564),6-L564,_xlfn.XLOOKUP($D564&amp;"_"&amp;I$52,$B$14:$B$36&amp;"_"&amp;$C$14:$C$36,$D$14:$D$36)*$E564)</f>
        <v>3.1545</v>
      </c>
      <c r="J564" s="95" cm="1">
        <f ca="1" t="array" ref="J564">MIN(8,_xlfn.XLOOKUP($D564&amp;"_"&amp;J$52,$B$14:$B$36&amp;"_"&amp;$C$14:$C$36,$D$14:$D$36)*$E564)</f>
        <v>4.065</v>
      </c>
      <c r="K564" s="95" cm="1">
        <f ca="1" t="array" ref="K564">MIN(18,_xlfn.XLOOKUP($D564&amp;"_"&amp;K$52,$B$14:$B$36&amp;"_"&amp;$C$14:$C$36,$D$14:$D$36)*$E564)</f>
        <v>1.5176</v>
      </c>
      <c r="L564" s="95" cm="1">
        <f ca="1" t="array" ref="L564">MIN(6,_xlfn.XLOOKUP($D564&amp;"_"&amp;L$52,$B$14:$B$36&amp;"_"&amp;$C$14:$C$36,$D$14:$D$36)*$E564)</f>
        <v>2.8455</v>
      </c>
      <c r="M564" s="95" cm="1">
        <f ca="1" t="array" ref="M564">(1+SUMPRODUCT(G564:H564,OFFSET($H$40:$I$40,D564,0)))*(1+OFFSET($J$40,D564,0))^I564*(1+OFFSET($K$40,D564,0))^J564*(1+OFFSET($L$40,D564,0))^K564*(1+OFFSET($M$40,D564,0))^L564</f>
        <v>84.441398687975</v>
      </c>
      <c r="N564" s="95">
        <f ca="1">MAX(MAX($N$53:N563),OFFSET($C$52,MATCH(M564*1.07,$M$53:$M$2052,1),0)-C564)</f>
        <v>9000</v>
      </c>
    </row>
    <row r="565" spans="2:14">
      <c r="B565" s="95">
        <v>513</v>
      </c>
      <c r="C565" s="95">
        <f t="shared" si="45"/>
        <v>184680</v>
      </c>
      <c r="D565" s="95">
        <f ca="1">_xlfn.XLOOKUP(总览!$B$44,$B$40:$B$45,$C$40:$C$45)</f>
        <v>5</v>
      </c>
      <c r="E565" s="95">
        <f ca="1" t="shared" si="40"/>
        <v>543</v>
      </c>
      <c r="F565" s="95">
        <f ca="1" t="shared" si="41"/>
        <v>0</v>
      </c>
      <c r="G565" s="95">
        <f ca="1" t="shared" si="42"/>
        <v>0.4071</v>
      </c>
      <c r="H565" s="95" cm="1">
        <f ca="1" t="array" ref="H565">MIN(30-SUM(I565:L565),_xlfn.XLOOKUP($D565&amp;"_"&amp;H$52,$B$14:$B$36&amp;"_"&amp;$C$14:$C$36,$D$14:$D$36)*$E565,18)</f>
        <v>18</v>
      </c>
      <c r="I565" s="95" cm="1">
        <f ca="1" t="array" ref="I565">MIN(30-SUM(J565:L565),6-L565,_xlfn.XLOOKUP($D565&amp;"_"&amp;I$52,$B$14:$B$36&amp;"_"&amp;$C$14:$C$36,$D$14:$D$36)*$E565)</f>
        <v>3.14925</v>
      </c>
      <c r="J565" s="95" cm="1">
        <f ca="1" t="array" ref="J565">MIN(8,_xlfn.XLOOKUP($D565&amp;"_"&amp;J$52,$B$14:$B$36&amp;"_"&amp;$C$14:$C$36,$D$14:$D$36)*$E565)</f>
        <v>4.0725</v>
      </c>
      <c r="K565" s="95" cm="1">
        <f ca="1" t="array" ref="K565">MIN(18,_xlfn.XLOOKUP($D565&amp;"_"&amp;K$52,$B$14:$B$36&amp;"_"&amp;$C$14:$C$36,$D$14:$D$36)*$E565)</f>
        <v>1.5204</v>
      </c>
      <c r="L565" s="95" cm="1">
        <f ca="1" t="array" ref="L565">MIN(6,_xlfn.XLOOKUP($D565&amp;"_"&amp;L$52,$B$14:$B$36&amp;"_"&amp;$C$14:$C$36,$D$14:$D$36)*$E565)</f>
        <v>2.85075</v>
      </c>
      <c r="M565" s="95" cm="1">
        <f ca="1" t="array" ref="M565">(1+SUMPRODUCT(G565:H565,OFFSET($H$40:$I$40,D565,0)))*(1+OFFSET($J$40,D565,0))^I565*(1+OFFSET($K$40,D565,0))^J565*(1+OFFSET($L$40,D565,0))^K565*(1+OFFSET($M$40,D565,0))^L565</f>
        <v>84.6623295904202</v>
      </c>
      <c r="N565" s="95">
        <f ca="1">MAX(MAX($N$53:N564),OFFSET($C$52,MATCH(M565*1.07,$M$53:$M$2052,1),0)-C565)</f>
        <v>9000</v>
      </c>
    </row>
    <row r="566" spans="2:14">
      <c r="B566" s="95">
        <v>514</v>
      </c>
      <c r="C566" s="95">
        <f t="shared" si="45"/>
        <v>185040</v>
      </c>
      <c r="D566" s="95">
        <f ca="1">_xlfn.XLOOKUP(总览!$B$44,$B$40:$B$45,$C$40:$C$45)</f>
        <v>5</v>
      </c>
      <c r="E566" s="95">
        <f ca="1" t="shared" ref="E566:E629" si="46">INT(C566/_xlfn.XLOOKUP(D566,$N$5:$N$16,$O$5:$O$16))+OFFSET($R$40,D566,0)</f>
        <v>544</v>
      </c>
      <c r="F566" s="95">
        <f ca="1" t="shared" si="41"/>
        <v>0</v>
      </c>
      <c r="G566" s="95">
        <f ca="1" t="shared" si="42"/>
        <v>0.396800000000002</v>
      </c>
      <c r="H566" s="95" cm="1">
        <f ca="1" t="array" ref="H566">MIN(30-SUM(I566:L566),_xlfn.XLOOKUP($D566&amp;"_"&amp;H$52,$B$14:$B$36&amp;"_"&amp;$C$14:$C$36,$D$14:$D$36)*$E566,18)</f>
        <v>18</v>
      </c>
      <c r="I566" s="95" cm="1">
        <f ca="1" t="array" ref="I566">MIN(30-SUM(J566:L566),6-L566,_xlfn.XLOOKUP($D566&amp;"_"&amp;I$52,$B$14:$B$36&amp;"_"&amp;$C$14:$C$36,$D$14:$D$36)*$E566)</f>
        <v>3.144</v>
      </c>
      <c r="J566" s="95" cm="1">
        <f ca="1" t="array" ref="J566">MIN(8,_xlfn.XLOOKUP($D566&amp;"_"&amp;J$52,$B$14:$B$36&amp;"_"&amp;$C$14:$C$36,$D$14:$D$36)*$E566)</f>
        <v>4.08</v>
      </c>
      <c r="K566" s="95" cm="1">
        <f ca="1" t="array" ref="K566">MIN(18,_xlfn.XLOOKUP($D566&amp;"_"&amp;K$52,$B$14:$B$36&amp;"_"&amp;$C$14:$C$36,$D$14:$D$36)*$E566)</f>
        <v>1.5232</v>
      </c>
      <c r="L566" s="95" cm="1">
        <f ca="1" t="array" ref="L566">MIN(6,_xlfn.XLOOKUP($D566&amp;"_"&amp;L$52,$B$14:$B$36&amp;"_"&amp;$C$14:$C$36,$D$14:$D$36)*$E566)</f>
        <v>2.856</v>
      </c>
      <c r="M566" s="95" cm="1">
        <f ca="1" t="array" ref="M566">(1+SUMPRODUCT(G566:H566,OFFSET($H$40:$I$40,D566,0)))*(1+OFFSET($J$40,D566,0))^I566*(1+OFFSET($K$40,D566,0))^J566*(1+OFFSET($L$40,D566,0))^K566*(1+OFFSET($M$40,D566,0))^L566</f>
        <v>84.8838325320967</v>
      </c>
      <c r="N566" s="95">
        <f ca="1">MAX(MAX($N$53:N565),OFFSET($C$52,MATCH(M566*1.07,$M$53:$M$2052,1),0)-C566)</f>
        <v>9000</v>
      </c>
    </row>
    <row r="567" spans="2:14">
      <c r="B567" s="95">
        <v>515</v>
      </c>
      <c r="C567" s="95">
        <f t="shared" si="45"/>
        <v>185400</v>
      </c>
      <c r="D567" s="95">
        <f ca="1">_xlfn.XLOOKUP(总览!$B$44,$B$40:$B$45,$C$40:$C$45)</f>
        <v>5</v>
      </c>
      <c r="E567" s="95">
        <f ca="1" t="shared" si="46"/>
        <v>545</v>
      </c>
      <c r="F567" s="95">
        <f ca="1" t="shared" ref="F567:F630" si="47">30-SUM(G567:L567)</f>
        <v>0</v>
      </c>
      <c r="G567" s="95">
        <f ca="1" t="shared" ref="G567:G630" si="48">30-SUM(H567:L567)</f>
        <v>0.386499999999998</v>
      </c>
      <c r="H567" s="95" cm="1">
        <f ca="1" t="array" ref="H567">MIN(30-SUM(I567:L567),_xlfn.XLOOKUP($D567&amp;"_"&amp;H$52,$B$14:$B$36&amp;"_"&amp;$C$14:$C$36,$D$14:$D$36)*$E567,18)</f>
        <v>18</v>
      </c>
      <c r="I567" s="95" cm="1">
        <f ca="1" t="array" ref="I567">MIN(30-SUM(J567:L567),6-L567,_xlfn.XLOOKUP($D567&amp;"_"&amp;I$52,$B$14:$B$36&amp;"_"&amp;$C$14:$C$36,$D$14:$D$36)*$E567)</f>
        <v>3.13875</v>
      </c>
      <c r="J567" s="95" cm="1">
        <f ca="1" t="array" ref="J567">MIN(8,_xlfn.XLOOKUP($D567&amp;"_"&amp;J$52,$B$14:$B$36&amp;"_"&amp;$C$14:$C$36,$D$14:$D$36)*$E567)</f>
        <v>4.0875</v>
      </c>
      <c r="K567" s="95" cm="1">
        <f ca="1" t="array" ref="K567">MIN(18,_xlfn.XLOOKUP($D567&amp;"_"&amp;K$52,$B$14:$B$36&amp;"_"&amp;$C$14:$C$36,$D$14:$D$36)*$E567)</f>
        <v>1.526</v>
      </c>
      <c r="L567" s="95" cm="1">
        <f ca="1" t="array" ref="L567">MIN(6,_xlfn.XLOOKUP($D567&amp;"_"&amp;L$52,$B$14:$B$36&amp;"_"&amp;$C$14:$C$36,$D$14:$D$36)*$E567)</f>
        <v>2.86125</v>
      </c>
      <c r="M567" s="95" cm="1">
        <f ca="1" t="array" ref="M567">(1+SUMPRODUCT(G567:H567,OFFSET($H$40:$I$40,D567,0)))*(1+OFFSET($J$40,D567,0))^I567*(1+OFFSET($K$40,D567,0))^J567*(1+OFFSET($L$40,D567,0))^K567*(1+OFFSET($M$40,D567,0))^L567</f>
        <v>85.1059089750803</v>
      </c>
      <c r="N567" s="95">
        <f ca="1">MAX(MAX($N$53:N566),OFFSET($C$52,MATCH(M567*1.07,$M$53:$M$2052,1),0)-C567)</f>
        <v>9000</v>
      </c>
    </row>
    <row r="568" spans="2:14">
      <c r="B568" s="95">
        <v>516</v>
      </c>
      <c r="C568" s="95">
        <f t="shared" si="45"/>
        <v>185760</v>
      </c>
      <c r="D568" s="95">
        <f ca="1">_xlfn.XLOOKUP(总览!$B$44,$B$40:$B$45,$C$40:$C$45)</f>
        <v>5</v>
      </c>
      <c r="E568" s="95">
        <f ca="1" t="shared" si="46"/>
        <v>546</v>
      </c>
      <c r="F568" s="95">
        <f ca="1" t="shared" si="47"/>
        <v>0</v>
      </c>
      <c r="G568" s="95">
        <f ca="1" t="shared" si="48"/>
        <v>0.376200000000004</v>
      </c>
      <c r="H568" s="95" cm="1">
        <f ca="1" t="array" ref="H568">MIN(30-SUM(I568:L568),_xlfn.XLOOKUP($D568&amp;"_"&amp;H$52,$B$14:$B$36&amp;"_"&amp;$C$14:$C$36,$D$14:$D$36)*$E568,18)</f>
        <v>18</v>
      </c>
      <c r="I568" s="95" cm="1">
        <f ca="1" t="array" ref="I568">MIN(30-SUM(J568:L568),6-L568,_xlfn.XLOOKUP($D568&amp;"_"&amp;I$52,$B$14:$B$36&amp;"_"&amp;$C$14:$C$36,$D$14:$D$36)*$E568)</f>
        <v>3.1335</v>
      </c>
      <c r="J568" s="95" cm="1">
        <f ca="1" t="array" ref="J568">MIN(8,_xlfn.XLOOKUP($D568&amp;"_"&amp;J$52,$B$14:$B$36&amp;"_"&amp;$C$14:$C$36,$D$14:$D$36)*$E568)</f>
        <v>4.095</v>
      </c>
      <c r="K568" s="95" cm="1">
        <f ca="1" t="array" ref="K568">MIN(18,_xlfn.XLOOKUP($D568&amp;"_"&amp;K$52,$B$14:$B$36&amp;"_"&amp;$C$14:$C$36,$D$14:$D$36)*$E568)</f>
        <v>1.5288</v>
      </c>
      <c r="L568" s="95" cm="1">
        <f ca="1" t="array" ref="L568">MIN(6,_xlfn.XLOOKUP($D568&amp;"_"&amp;L$52,$B$14:$B$36&amp;"_"&amp;$C$14:$C$36,$D$14:$D$36)*$E568)</f>
        <v>2.8665</v>
      </c>
      <c r="M568" s="95" cm="1">
        <f ca="1" t="array" ref="M568">(1+SUMPRODUCT(G568:H568,OFFSET($H$40:$I$40,D568,0)))*(1+OFFSET($J$40,D568,0))^I568*(1+OFFSET($K$40,D568,0))^J568*(1+OFFSET($L$40,D568,0))^K568*(1+OFFSET($M$40,D568,0))^L568</f>
        <v>85.3285603851227</v>
      </c>
      <c r="N568" s="95">
        <f ca="1">MAX(MAX($N$53:N567),OFFSET($C$52,MATCH(M568*1.07,$M$53:$M$2052,1),0)-C568)</f>
        <v>9000</v>
      </c>
    </row>
    <row r="569" spans="2:14">
      <c r="B569" s="95">
        <v>517</v>
      </c>
      <c r="C569" s="95">
        <f t="shared" si="45"/>
        <v>186120</v>
      </c>
      <c r="D569" s="95">
        <f ca="1">_xlfn.XLOOKUP(总览!$B$44,$B$40:$B$45,$C$40:$C$45)</f>
        <v>5</v>
      </c>
      <c r="E569" s="95">
        <f ca="1" t="shared" si="46"/>
        <v>547</v>
      </c>
      <c r="F569" s="95">
        <f ca="1" t="shared" si="47"/>
        <v>0</v>
      </c>
      <c r="G569" s="95">
        <f ca="1" t="shared" si="48"/>
        <v>0.3659</v>
      </c>
      <c r="H569" s="95" cm="1">
        <f ca="1" t="array" ref="H569">MIN(30-SUM(I569:L569),_xlfn.XLOOKUP($D569&amp;"_"&amp;H$52,$B$14:$B$36&amp;"_"&amp;$C$14:$C$36,$D$14:$D$36)*$E569,18)</f>
        <v>18</v>
      </c>
      <c r="I569" s="95" cm="1">
        <f ca="1" t="array" ref="I569">MIN(30-SUM(J569:L569),6-L569,_xlfn.XLOOKUP($D569&amp;"_"&amp;I$52,$B$14:$B$36&amp;"_"&amp;$C$14:$C$36,$D$14:$D$36)*$E569)</f>
        <v>3.12825</v>
      </c>
      <c r="J569" s="95" cm="1">
        <f ca="1" t="array" ref="J569">MIN(8,_xlfn.XLOOKUP($D569&amp;"_"&amp;J$52,$B$14:$B$36&amp;"_"&amp;$C$14:$C$36,$D$14:$D$36)*$E569)</f>
        <v>4.1025</v>
      </c>
      <c r="K569" s="95" cm="1">
        <f ca="1" t="array" ref="K569">MIN(18,_xlfn.XLOOKUP($D569&amp;"_"&amp;K$52,$B$14:$B$36&amp;"_"&amp;$C$14:$C$36,$D$14:$D$36)*$E569)</f>
        <v>1.5316</v>
      </c>
      <c r="L569" s="95" cm="1">
        <f ca="1" t="array" ref="L569">MIN(6,_xlfn.XLOOKUP($D569&amp;"_"&amp;L$52,$B$14:$B$36&amp;"_"&amp;$C$14:$C$36,$D$14:$D$36)*$E569)</f>
        <v>2.87175</v>
      </c>
      <c r="M569" s="95" cm="1">
        <f ca="1" t="array" ref="M569">(1+SUMPRODUCT(G569:H569,OFFSET($H$40:$I$40,D569,0)))*(1+OFFSET($J$40,D569,0))^I569*(1+OFFSET($K$40,D569,0))^J569*(1+OFFSET($L$40,D569,0))^K569*(1+OFFSET($M$40,D569,0))^L569</f>
        <v>85.5517882316602</v>
      </c>
      <c r="N569" s="95">
        <f ca="1">MAX(MAX($N$53:N568),OFFSET($C$52,MATCH(M569*1.07,$M$53:$M$2052,1),0)-C569)</f>
        <v>9000</v>
      </c>
    </row>
    <row r="570" spans="2:14">
      <c r="B570" s="95">
        <v>518</v>
      </c>
      <c r="C570" s="95">
        <f t="shared" si="45"/>
        <v>186480</v>
      </c>
      <c r="D570" s="95">
        <f ca="1">_xlfn.XLOOKUP(总览!$B$44,$B$40:$B$45,$C$40:$C$45)</f>
        <v>5</v>
      </c>
      <c r="E570" s="95">
        <f ca="1" t="shared" si="46"/>
        <v>548</v>
      </c>
      <c r="F570" s="95">
        <f ca="1" t="shared" si="47"/>
        <v>0</v>
      </c>
      <c r="G570" s="95">
        <f ca="1" t="shared" si="48"/>
        <v>0.355599999999999</v>
      </c>
      <c r="H570" s="95" cm="1">
        <f ca="1" t="array" ref="H570">MIN(30-SUM(I570:L570),_xlfn.XLOOKUP($D570&amp;"_"&amp;H$52,$B$14:$B$36&amp;"_"&amp;$C$14:$C$36,$D$14:$D$36)*$E570,18)</f>
        <v>18</v>
      </c>
      <c r="I570" s="95" cm="1">
        <f ca="1" t="array" ref="I570">MIN(30-SUM(J570:L570),6-L570,_xlfn.XLOOKUP($D570&amp;"_"&amp;I$52,$B$14:$B$36&amp;"_"&amp;$C$14:$C$36,$D$14:$D$36)*$E570)</f>
        <v>3.123</v>
      </c>
      <c r="J570" s="95" cm="1">
        <f ca="1" t="array" ref="J570">MIN(8,_xlfn.XLOOKUP($D570&amp;"_"&amp;J$52,$B$14:$B$36&amp;"_"&amp;$C$14:$C$36,$D$14:$D$36)*$E570)</f>
        <v>4.11</v>
      </c>
      <c r="K570" s="95" cm="1">
        <f ca="1" t="array" ref="K570">MIN(18,_xlfn.XLOOKUP($D570&amp;"_"&amp;K$52,$B$14:$B$36&amp;"_"&amp;$C$14:$C$36,$D$14:$D$36)*$E570)</f>
        <v>1.5344</v>
      </c>
      <c r="L570" s="95" cm="1">
        <f ca="1" t="array" ref="L570">MIN(6,_xlfn.XLOOKUP($D570&amp;"_"&amp;L$52,$B$14:$B$36&amp;"_"&amp;$C$14:$C$36,$D$14:$D$36)*$E570)</f>
        <v>2.877</v>
      </c>
      <c r="M570" s="95" cm="1">
        <f ca="1" t="array" ref="M570">(1+SUMPRODUCT(G570:H570,OFFSET($H$40:$I$40,D570,0)))*(1+OFFSET($J$40,D570,0))^I570*(1+OFFSET($K$40,D570,0))^J570*(1+OFFSET($L$40,D570,0))^K570*(1+OFFSET($M$40,D570,0))^L570</f>
        <v>85.775593987823</v>
      </c>
      <c r="N570" s="95">
        <f ca="1">MAX(MAX($N$53:N569),OFFSET($C$52,MATCH(M570*1.07,$M$53:$M$2052,1),0)-C570)</f>
        <v>9000</v>
      </c>
    </row>
    <row r="571" spans="2:14">
      <c r="B571" s="95">
        <v>519</v>
      </c>
      <c r="C571" s="95">
        <f t="shared" si="45"/>
        <v>186840</v>
      </c>
      <c r="D571" s="95">
        <f ca="1">_xlfn.XLOOKUP(总览!$B$44,$B$40:$B$45,$C$40:$C$45)</f>
        <v>5</v>
      </c>
      <c r="E571" s="95">
        <f ca="1" t="shared" si="46"/>
        <v>549</v>
      </c>
      <c r="F571" s="95">
        <f ca="1" t="shared" si="47"/>
        <v>0</v>
      </c>
      <c r="G571" s="95">
        <f ca="1" t="shared" si="48"/>
        <v>0.345300000000002</v>
      </c>
      <c r="H571" s="95" cm="1">
        <f ca="1" t="array" ref="H571">MIN(30-SUM(I571:L571),_xlfn.XLOOKUP($D571&amp;"_"&amp;H$52,$B$14:$B$36&amp;"_"&amp;$C$14:$C$36,$D$14:$D$36)*$E571,18)</f>
        <v>18</v>
      </c>
      <c r="I571" s="95" cm="1">
        <f ca="1" t="array" ref="I571">MIN(30-SUM(J571:L571),6-L571,_xlfn.XLOOKUP($D571&amp;"_"&amp;I$52,$B$14:$B$36&amp;"_"&amp;$C$14:$C$36,$D$14:$D$36)*$E571)</f>
        <v>3.11775</v>
      </c>
      <c r="J571" s="95" cm="1">
        <f ca="1" t="array" ref="J571">MIN(8,_xlfn.XLOOKUP($D571&amp;"_"&amp;J$52,$B$14:$B$36&amp;"_"&amp;$C$14:$C$36,$D$14:$D$36)*$E571)</f>
        <v>4.1175</v>
      </c>
      <c r="K571" s="95" cm="1">
        <f ca="1" t="array" ref="K571">MIN(18,_xlfn.XLOOKUP($D571&amp;"_"&amp;K$52,$B$14:$B$36&amp;"_"&amp;$C$14:$C$36,$D$14:$D$36)*$E571)</f>
        <v>1.5372</v>
      </c>
      <c r="L571" s="95" cm="1">
        <f ca="1" t="array" ref="L571">MIN(6,_xlfn.XLOOKUP($D571&amp;"_"&amp;L$52,$B$14:$B$36&amp;"_"&amp;$C$14:$C$36,$D$14:$D$36)*$E571)</f>
        <v>2.88225</v>
      </c>
      <c r="M571" s="95" cm="1">
        <f ca="1" t="array" ref="M571">(1+SUMPRODUCT(G571:H571,OFFSET($H$40:$I$40,D571,0)))*(1+OFFSET($J$40,D571,0))^I571*(1+OFFSET($K$40,D571,0))^J571*(1+OFFSET($L$40,D571,0))^K571*(1+OFFSET($M$40,D571,0))^L571</f>
        <v>85.9999791304443</v>
      </c>
      <c r="N571" s="95">
        <f ca="1">MAX(MAX($N$53:N570),OFFSET($C$52,MATCH(M571*1.07,$M$53:$M$2052,1),0)-C571)</f>
        <v>9000</v>
      </c>
    </row>
    <row r="572" spans="2:14">
      <c r="B572" s="95">
        <v>520</v>
      </c>
      <c r="C572" s="95">
        <f t="shared" si="45"/>
        <v>187200</v>
      </c>
      <c r="D572" s="95">
        <f ca="1">_xlfn.XLOOKUP(总览!$B$44,$B$40:$B$45,$C$40:$C$45)</f>
        <v>5</v>
      </c>
      <c r="E572" s="95">
        <f ca="1" t="shared" si="46"/>
        <v>550</v>
      </c>
      <c r="F572" s="95">
        <f ca="1" t="shared" si="47"/>
        <v>0</v>
      </c>
      <c r="G572" s="95">
        <f ca="1" t="shared" si="48"/>
        <v>0.335000000000001</v>
      </c>
      <c r="H572" s="95" cm="1">
        <f ca="1" t="array" ref="H572">MIN(30-SUM(I572:L572),_xlfn.XLOOKUP($D572&amp;"_"&amp;H$52,$B$14:$B$36&amp;"_"&amp;$C$14:$C$36,$D$14:$D$36)*$E572,18)</f>
        <v>18</v>
      </c>
      <c r="I572" s="95" cm="1">
        <f ca="1" t="array" ref="I572">MIN(30-SUM(J572:L572),6-L572,_xlfn.XLOOKUP($D572&amp;"_"&amp;I$52,$B$14:$B$36&amp;"_"&amp;$C$14:$C$36,$D$14:$D$36)*$E572)</f>
        <v>3.1125</v>
      </c>
      <c r="J572" s="95" cm="1">
        <f ca="1" t="array" ref="J572">MIN(8,_xlfn.XLOOKUP($D572&amp;"_"&amp;J$52,$B$14:$B$36&amp;"_"&amp;$C$14:$C$36,$D$14:$D$36)*$E572)</f>
        <v>4.125</v>
      </c>
      <c r="K572" s="95" cm="1">
        <f ca="1" t="array" ref="K572">MIN(18,_xlfn.XLOOKUP($D572&amp;"_"&amp;K$52,$B$14:$B$36&amp;"_"&amp;$C$14:$C$36,$D$14:$D$36)*$E572)</f>
        <v>1.54</v>
      </c>
      <c r="L572" s="95" cm="1">
        <f ca="1" t="array" ref="L572">MIN(6,_xlfn.XLOOKUP($D572&amp;"_"&amp;L$52,$B$14:$B$36&amp;"_"&amp;$C$14:$C$36,$D$14:$D$36)*$E572)</f>
        <v>2.8875</v>
      </c>
      <c r="M572" s="95" cm="1">
        <f ca="1" t="array" ref="M572">(1+SUMPRODUCT(G572:H572,OFFSET($H$40:$I$40,D572,0)))*(1+OFFSET($J$40,D572,0))^I572*(1+OFFSET($K$40,D572,0))^J572*(1+OFFSET($L$40,D572,0))^K572*(1+OFFSET($M$40,D572,0))^L572</f>
        <v>86.2249451400692</v>
      </c>
      <c r="N572" s="95">
        <f ca="1">MAX(MAX($N$53:N571),OFFSET($C$52,MATCH(M572*1.07,$M$53:$M$2052,1),0)-C572)</f>
        <v>9000</v>
      </c>
    </row>
    <row r="573" spans="2:14">
      <c r="B573" s="95">
        <v>521</v>
      </c>
      <c r="C573" s="95">
        <f t="shared" si="45"/>
        <v>187560</v>
      </c>
      <c r="D573" s="95">
        <f ca="1">_xlfn.XLOOKUP(总览!$B$44,$B$40:$B$45,$C$40:$C$45)</f>
        <v>5</v>
      </c>
      <c r="E573" s="95">
        <f ca="1" t="shared" si="46"/>
        <v>551</v>
      </c>
      <c r="F573" s="95">
        <f ca="1" t="shared" si="47"/>
        <v>0</v>
      </c>
      <c r="G573" s="95">
        <f ca="1" t="shared" si="48"/>
        <v>0.3247</v>
      </c>
      <c r="H573" s="95" cm="1">
        <f ca="1" t="array" ref="H573">MIN(30-SUM(I573:L573),_xlfn.XLOOKUP($D573&amp;"_"&amp;H$52,$B$14:$B$36&amp;"_"&amp;$C$14:$C$36,$D$14:$D$36)*$E573,18)</f>
        <v>18</v>
      </c>
      <c r="I573" s="95" cm="1">
        <f ca="1" t="array" ref="I573">MIN(30-SUM(J573:L573),6-L573,_xlfn.XLOOKUP($D573&amp;"_"&amp;I$52,$B$14:$B$36&amp;"_"&amp;$C$14:$C$36,$D$14:$D$36)*$E573)</f>
        <v>3.10725</v>
      </c>
      <c r="J573" s="95" cm="1">
        <f ca="1" t="array" ref="J573">MIN(8,_xlfn.XLOOKUP($D573&amp;"_"&amp;J$52,$B$14:$B$36&amp;"_"&amp;$C$14:$C$36,$D$14:$D$36)*$E573)</f>
        <v>4.1325</v>
      </c>
      <c r="K573" s="95" cm="1">
        <f ca="1" t="array" ref="K573">MIN(18,_xlfn.XLOOKUP($D573&amp;"_"&amp;K$52,$B$14:$B$36&amp;"_"&amp;$C$14:$C$36,$D$14:$D$36)*$E573)</f>
        <v>1.5428</v>
      </c>
      <c r="L573" s="95" cm="1">
        <f ca="1" t="array" ref="L573">MIN(6,_xlfn.XLOOKUP($D573&amp;"_"&amp;L$52,$B$14:$B$36&amp;"_"&amp;$C$14:$C$36,$D$14:$D$36)*$E573)</f>
        <v>2.89275</v>
      </c>
      <c r="M573" s="95" cm="1">
        <f ca="1" t="array" ref="M573">(1+SUMPRODUCT(G573:H573,OFFSET($H$40:$I$40,D573,0)))*(1+OFFSET($J$40,D573,0))^I573*(1+OFFSET($K$40,D573,0))^J573*(1+OFFSET($L$40,D573,0))^K573*(1+OFFSET($M$40,D573,0))^L573</f>
        <v>86.4504935009642</v>
      </c>
      <c r="N573" s="95">
        <f ca="1">MAX(MAX($N$53:N572),OFFSET($C$52,MATCH(M573*1.07,$M$53:$M$2052,1),0)-C573)</f>
        <v>9000</v>
      </c>
    </row>
    <row r="574" spans="2:14">
      <c r="B574" s="95">
        <v>522</v>
      </c>
      <c r="C574" s="95">
        <f t="shared" si="45"/>
        <v>187920</v>
      </c>
      <c r="D574" s="95">
        <f ca="1">_xlfn.XLOOKUP(总览!$B$44,$B$40:$B$45,$C$40:$C$45)</f>
        <v>5</v>
      </c>
      <c r="E574" s="95">
        <f ca="1" t="shared" si="46"/>
        <v>552</v>
      </c>
      <c r="F574" s="95">
        <f ca="1" t="shared" si="47"/>
        <v>0</v>
      </c>
      <c r="G574" s="95">
        <f ca="1" t="shared" si="48"/>
        <v>0.314399999999999</v>
      </c>
      <c r="H574" s="95" cm="1">
        <f ca="1" t="array" ref="H574">MIN(30-SUM(I574:L574),_xlfn.XLOOKUP($D574&amp;"_"&amp;H$52,$B$14:$B$36&amp;"_"&amp;$C$14:$C$36,$D$14:$D$36)*$E574,18)</f>
        <v>18</v>
      </c>
      <c r="I574" s="95" cm="1">
        <f ca="1" t="array" ref="I574">MIN(30-SUM(J574:L574),6-L574,_xlfn.XLOOKUP($D574&amp;"_"&amp;I$52,$B$14:$B$36&amp;"_"&amp;$C$14:$C$36,$D$14:$D$36)*$E574)</f>
        <v>3.102</v>
      </c>
      <c r="J574" s="95" cm="1">
        <f ca="1" t="array" ref="J574">MIN(8,_xlfn.XLOOKUP($D574&amp;"_"&amp;J$52,$B$14:$B$36&amp;"_"&amp;$C$14:$C$36,$D$14:$D$36)*$E574)</f>
        <v>4.14</v>
      </c>
      <c r="K574" s="95" cm="1">
        <f ca="1" t="array" ref="K574">MIN(18,_xlfn.XLOOKUP($D574&amp;"_"&amp;K$52,$B$14:$B$36&amp;"_"&amp;$C$14:$C$36,$D$14:$D$36)*$E574)</f>
        <v>1.5456</v>
      </c>
      <c r="L574" s="95" cm="1">
        <f ca="1" t="array" ref="L574">MIN(6,_xlfn.XLOOKUP($D574&amp;"_"&amp;L$52,$B$14:$B$36&amp;"_"&amp;$C$14:$C$36,$D$14:$D$36)*$E574)</f>
        <v>2.898</v>
      </c>
      <c r="M574" s="95" cm="1">
        <f ca="1" t="array" ref="M574">(1+SUMPRODUCT(G574:H574,OFFSET($H$40:$I$40,D574,0)))*(1+OFFSET($J$40,D574,0))^I574*(1+OFFSET($K$40,D574,0))^J574*(1+OFFSET($L$40,D574,0))^K574*(1+OFFSET($M$40,D574,0))^L574</f>
        <v>86.6766257011258</v>
      </c>
      <c r="N574" s="95">
        <f ca="1">MAX(MAX($N$53:N573),OFFSET($C$52,MATCH(M574*1.07,$M$53:$M$2052,1),0)-C574)</f>
        <v>9000</v>
      </c>
    </row>
    <row r="575" spans="2:14">
      <c r="B575" s="95">
        <v>523</v>
      </c>
      <c r="C575" s="95">
        <f t="shared" si="45"/>
        <v>188280</v>
      </c>
      <c r="D575" s="95">
        <f ca="1">_xlfn.XLOOKUP(总览!$B$44,$B$40:$B$45,$C$40:$C$45)</f>
        <v>5</v>
      </c>
      <c r="E575" s="95">
        <f ca="1" t="shared" si="46"/>
        <v>553</v>
      </c>
      <c r="F575" s="95">
        <f ca="1" t="shared" si="47"/>
        <v>0</v>
      </c>
      <c r="G575" s="95">
        <f ca="1" t="shared" si="48"/>
        <v>0.304099999999998</v>
      </c>
      <c r="H575" s="95" cm="1">
        <f ca="1" t="array" ref="H575">MIN(30-SUM(I575:L575),_xlfn.XLOOKUP($D575&amp;"_"&amp;H$52,$B$14:$B$36&amp;"_"&amp;$C$14:$C$36,$D$14:$D$36)*$E575,18)</f>
        <v>18</v>
      </c>
      <c r="I575" s="95" cm="1">
        <f ca="1" t="array" ref="I575">MIN(30-SUM(J575:L575),6-L575,_xlfn.XLOOKUP($D575&amp;"_"&amp;I$52,$B$14:$B$36&amp;"_"&amp;$C$14:$C$36,$D$14:$D$36)*$E575)</f>
        <v>3.09675</v>
      </c>
      <c r="J575" s="95" cm="1">
        <f ca="1" t="array" ref="J575">MIN(8,_xlfn.XLOOKUP($D575&amp;"_"&amp;J$52,$B$14:$B$36&amp;"_"&amp;$C$14:$C$36,$D$14:$D$36)*$E575)</f>
        <v>4.1475</v>
      </c>
      <c r="K575" s="95" cm="1">
        <f ca="1" t="array" ref="K575">MIN(18,_xlfn.XLOOKUP($D575&amp;"_"&amp;K$52,$B$14:$B$36&amp;"_"&amp;$C$14:$C$36,$D$14:$D$36)*$E575)</f>
        <v>1.5484</v>
      </c>
      <c r="L575" s="95" cm="1">
        <f ca="1" t="array" ref="L575">MIN(6,_xlfn.XLOOKUP($D575&amp;"_"&amp;L$52,$B$14:$B$36&amp;"_"&amp;$C$14:$C$36,$D$14:$D$36)*$E575)</f>
        <v>2.90325</v>
      </c>
      <c r="M575" s="95" cm="1">
        <f ca="1" t="array" ref="M575">(1+SUMPRODUCT(G575:H575,OFFSET($H$40:$I$40,D575,0)))*(1+OFFSET($J$40,D575,0))^I575*(1+OFFSET($K$40,D575,0))^J575*(1+OFFSET($L$40,D575,0))^K575*(1+OFFSET($M$40,D575,0))^L575</f>
        <v>86.9033432322903</v>
      </c>
      <c r="N575" s="95">
        <f ca="1">MAX(MAX($N$53:N574),OFFSET($C$52,MATCH(M575*1.07,$M$53:$M$2052,1),0)-C575)</f>
        <v>9000</v>
      </c>
    </row>
    <row r="576" spans="2:14">
      <c r="B576" s="95">
        <v>524</v>
      </c>
      <c r="C576" s="95">
        <f t="shared" si="45"/>
        <v>188640</v>
      </c>
      <c r="D576" s="95">
        <f ca="1">_xlfn.XLOOKUP(总览!$B$44,$B$40:$B$45,$C$40:$C$45)</f>
        <v>5</v>
      </c>
      <c r="E576" s="95">
        <f ca="1" t="shared" si="46"/>
        <v>554</v>
      </c>
      <c r="F576" s="95">
        <f ca="1" t="shared" si="47"/>
        <v>0</v>
      </c>
      <c r="G576" s="95">
        <f ca="1" t="shared" si="48"/>
        <v>0.293799999999997</v>
      </c>
      <c r="H576" s="95" cm="1">
        <f ca="1" t="array" ref="H576">MIN(30-SUM(I576:L576),_xlfn.XLOOKUP($D576&amp;"_"&amp;H$52,$B$14:$B$36&amp;"_"&amp;$C$14:$C$36,$D$14:$D$36)*$E576,18)</f>
        <v>18</v>
      </c>
      <c r="I576" s="95" cm="1">
        <f ca="1" t="array" ref="I576">MIN(30-SUM(J576:L576),6-L576,_xlfn.XLOOKUP($D576&amp;"_"&amp;I$52,$B$14:$B$36&amp;"_"&amp;$C$14:$C$36,$D$14:$D$36)*$E576)</f>
        <v>3.0915</v>
      </c>
      <c r="J576" s="95" cm="1">
        <f ca="1" t="array" ref="J576">MIN(8,_xlfn.XLOOKUP($D576&amp;"_"&amp;J$52,$B$14:$B$36&amp;"_"&amp;$C$14:$C$36,$D$14:$D$36)*$E576)</f>
        <v>4.155</v>
      </c>
      <c r="K576" s="95" cm="1">
        <f ca="1" t="array" ref="K576">MIN(18,_xlfn.XLOOKUP($D576&amp;"_"&amp;K$52,$B$14:$B$36&amp;"_"&amp;$C$14:$C$36,$D$14:$D$36)*$E576)</f>
        <v>1.5512</v>
      </c>
      <c r="L576" s="95" cm="1">
        <f ca="1" t="array" ref="L576">MIN(6,_xlfn.XLOOKUP($D576&amp;"_"&amp;L$52,$B$14:$B$36&amp;"_"&amp;$C$14:$C$36,$D$14:$D$36)*$E576)</f>
        <v>2.9085</v>
      </c>
      <c r="M576" s="95" cm="1">
        <f ca="1" t="array" ref="M576">(1+SUMPRODUCT(G576:H576,OFFSET($H$40:$I$40,D576,0)))*(1+OFFSET($J$40,D576,0))^I576*(1+OFFSET($K$40,D576,0))^J576*(1+OFFSET($L$40,D576,0))^K576*(1+OFFSET($M$40,D576,0))^L576</f>
        <v>87.1306475899424</v>
      </c>
      <c r="N576" s="95">
        <f ca="1">MAX(MAX($N$53:N575),OFFSET($C$52,MATCH(M576*1.07,$M$53:$M$2052,1),0)-C576)</f>
        <v>9000</v>
      </c>
    </row>
    <row r="577" spans="2:14">
      <c r="B577" s="95">
        <v>525</v>
      </c>
      <c r="C577" s="95">
        <f t="shared" ref="C577:C608" si="49">C576+360</f>
        <v>189000</v>
      </c>
      <c r="D577" s="95">
        <f ca="1">_xlfn.XLOOKUP(总览!$B$44,$B$40:$B$45,$C$40:$C$45)</f>
        <v>5</v>
      </c>
      <c r="E577" s="95">
        <f ca="1" t="shared" si="46"/>
        <v>555</v>
      </c>
      <c r="F577" s="95">
        <f ca="1" t="shared" si="47"/>
        <v>0</v>
      </c>
      <c r="G577" s="95">
        <f ca="1" t="shared" si="48"/>
        <v>0.283499999999997</v>
      </c>
      <c r="H577" s="95" cm="1">
        <f ca="1" t="array" ref="H577">MIN(30-SUM(I577:L577),_xlfn.XLOOKUP($D577&amp;"_"&amp;H$52,$B$14:$B$36&amp;"_"&amp;$C$14:$C$36,$D$14:$D$36)*$E577,18)</f>
        <v>18</v>
      </c>
      <c r="I577" s="95" cm="1">
        <f ca="1" t="array" ref="I577">MIN(30-SUM(J577:L577),6-L577,_xlfn.XLOOKUP($D577&amp;"_"&amp;I$52,$B$14:$B$36&amp;"_"&amp;$C$14:$C$36,$D$14:$D$36)*$E577)</f>
        <v>3.08625</v>
      </c>
      <c r="J577" s="95" cm="1">
        <f ca="1" t="array" ref="J577">MIN(8,_xlfn.XLOOKUP($D577&amp;"_"&amp;J$52,$B$14:$B$36&amp;"_"&amp;$C$14:$C$36,$D$14:$D$36)*$E577)</f>
        <v>4.1625</v>
      </c>
      <c r="K577" s="95" cm="1">
        <f ca="1" t="array" ref="K577">MIN(18,_xlfn.XLOOKUP($D577&amp;"_"&amp;K$52,$B$14:$B$36&amp;"_"&amp;$C$14:$C$36,$D$14:$D$36)*$E577)</f>
        <v>1.554</v>
      </c>
      <c r="L577" s="95" cm="1">
        <f ca="1" t="array" ref="L577">MIN(6,_xlfn.XLOOKUP($D577&amp;"_"&amp;L$52,$B$14:$B$36&amp;"_"&amp;$C$14:$C$36,$D$14:$D$36)*$E577)</f>
        <v>2.91375</v>
      </c>
      <c r="M577" s="95" cm="1">
        <f ca="1" t="array" ref="M577">(1+SUMPRODUCT(G577:H577,OFFSET($H$40:$I$40,D577,0)))*(1+OFFSET($J$40,D577,0))^I577*(1+OFFSET($K$40,D577,0))^J577*(1+OFFSET($L$40,D577,0))^K577*(1+OFFSET($M$40,D577,0))^L577</f>
        <v>87.3585402733248</v>
      </c>
      <c r="N577" s="95">
        <f ca="1">MAX(MAX($N$53:N576),OFFSET($C$52,MATCH(M577*1.07,$M$53:$M$2052,1),0)-C577)</f>
        <v>9000</v>
      </c>
    </row>
    <row r="578" spans="2:14">
      <c r="B578" s="95">
        <v>526</v>
      </c>
      <c r="C578" s="95">
        <f t="shared" si="49"/>
        <v>189360</v>
      </c>
      <c r="D578" s="95">
        <f ca="1">_xlfn.XLOOKUP(总览!$B$44,$B$40:$B$45,$C$40:$C$45)</f>
        <v>5</v>
      </c>
      <c r="E578" s="95">
        <f ca="1" t="shared" si="46"/>
        <v>556</v>
      </c>
      <c r="F578" s="95">
        <f ca="1" t="shared" si="47"/>
        <v>0</v>
      </c>
      <c r="G578" s="95">
        <f ca="1" t="shared" si="48"/>
        <v>0.273200000000003</v>
      </c>
      <c r="H578" s="95" cm="1">
        <f ca="1" t="array" ref="H578">MIN(30-SUM(I578:L578),_xlfn.XLOOKUP($D578&amp;"_"&amp;H$52,$B$14:$B$36&amp;"_"&amp;$C$14:$C$36,$D$14:$D$36)*$E578,18)</f>
        <v>18</v>
      </c>
      <c r="I578" s="95" cm="1">
        <f ca="1" t="array" ref="I578">MIN(30-SUM(J578:L578),6-L578,_xlfn.XLOOKUP($D578&amp;"_"&amp;I$52,$B$14:$B$36&amp;"_"&amp;$C$14:$C$36,$D$14:$D$36)*$E578)</f>
        <v>3.081</v>
      </c>
      <c r="J578" s="95" cm="1">
        <f ca="1" t="array" ref="J578">MIN(8,_xlfn.XLOOKUP($D578&amp;"_"&amp;J$52,$B$14:$B$36&amp;"_"&amp;$C$14:$C$36,$D$14:$D$36)*$E578)</f>
        <v>4.17</v>
      </c>
      <c r="K578" s="95" cm="1">
        <f ca="1" t="array" ref="K578">MIN(18,_xlfn.XLOOKUP($D578&amp;"_"&amp;K$52,$B$14:$B$36&amp;"_"&amp;$C$14:$C$36,$D$14:$D$36)*$E578)</f>
        <v>1.5568</v>
      </c>
      <c r="L578" s="95" cm="1">
        <f ca="1" t="array" ref="L578">MIN(6,_xlfn.XLOOKUP($D578&amp;"_"&amp;L$52,$B$14:$B$36&amp;"_"&amp;$C$14:$C$36,$D$14:$D$36)*$E578)</f>
        <v>2.919</v>
      </c>
      <c r="M578" s="95" cm="1">
        <f ca="1" t="array" ref="M578">(1+SUMPRODUCT(G578:H578,OFFSET($H$40:$I$40,D578,0)))*(1+OFFSET($J$40,D578,0))^I578*(1+OFFSET($K$40,D578,0))^J578*(1+OFFSET($L$40,D578,0))^K578*(1+OFFSET($M$40,D578,0))^L578</f>
        <v>87.5870227854474</v>
      </c>
      <c r="N578" s="95">
        <f ca="1">MAX(MAX($N$53:N577),OFFSET($C$52,MATCH(M578*1.07,$M$53:$M$2052,1),0)-C578)</f>
        <v>9000</v>
      </c>
    </row>
    <row r="579" spans="2:14">
      <c r="B579" s="95">
        <v>527</v>
      </c>
      <c r="C579" s="95">
        <f t="shared" si="49"/>
        <v>189720</v>
      </c>
      <c r="D579" s="95">
        <f ca="1">_xlfn.XLOOKUP(总览!$B$44,$B$40:$B$45,$C$40:$C$45)</f>
        <v>5</v>
      </c>
      <c r="E579" s="95">
        <f ca="1" t="shared" si="46"/>
        <v>557</v>
      </c>
      <c r="F579" s="95">
        <f ca="1" t="shared" si="47"/>
        <v>0</v>
      </c>
      <c r="G579" s="95">
        <f ca="1" t="shared" si="48"/>
        <v>0.262899999999998</v>
      </c>
      <c r="H579" s="95" cm="1">
        <f ca="1" t="array" ref="H579">MIN(30-SUM(I579:L579),_xlfn.XLOOKUP($D579&amp;"_"&amp;H$52,$B$14:$B$36&amp;"_"&amp;$C$14:$C$36,$D$14:$D$36)*$E579,18)</f>
        <v>18</v>
      </c>
      <c r="I579" s="95" cm="1">
        <f ca="1" t="array" ref="I579">MIN(30-SUM(J579:L579),6-L579,_xlfn.XLOOKUP($D579&amp;"_"&amp;I$52,$B$14:$B$36&amp;"_"&amp;$C$14:$C$36,$D$14:$D$36)*$E579)</f>
        <v>3.07575</v>
      </c>
      <c r="J579" s="95" cm="1">
        <f ca="1" t="array" ref="J579">MIN(8,_xlfn.XLOOKUP($D579&amp;"_"&amp;J$52,$B$14:$B$36&amp;"_"&amp;$C$14:$C$36,$D$14:$D$36)*$E579)</f>
        <v>4.1775</v>
      </c>
      <c r="K579" s="95" cm="1">
        <f ca="1" t="array" ref="K579">MIN(18,_xlfn.XLOOKUP($D579&amp;"_"&amp;K$52,$B$14:$B$36&amp;"_"&amp;$C$14:$C$36,$D$14:$D$36)*$E579)</f>
        <v>1.5596</v>
      </c>
      <c r="L579" s="95" cm="1">
        <f ca="1" t="array" ref="L579">MIN(6,_xlfn.XLOOKUP($D579&amp;"_"&amp;L$52,$B$14:$B$36&amp;"_"&amp;$C$14:$C$36,$D$14:$D$36)*$E579)</f>
        <v>2.92425</v>
      </c>
      <c r="M579" s="95" cm="1">
        <f ca="1" t="array" ref="M579">(1+SUMPRODUCT(G579:H579,OFFSET($H$40:$I$40,D579,0)))*(1+OFFSET($J$40,D579,0))^I579*(1+OFFSET($K$40,D579,0))^J579*(1+OFFSET($L$40,D579,0))^K579*(1+OFFSET($M$40,D579,0))^L579</f>
        <v>87.8160966330966</v>
      </c>
      <c r="N579" s="95">
        <f ca="1">MAX(MAX($N$53:N578),OFFSET($C$52,MATCH(M579*1.07,$M$53:$M$2052,1),0)-C579)</f>
        <v>9000</v>
      </c>
    </row>
    <row r="580" spans="2:14">
      <c r="B580" s="95">
        <v>528</v>
      </c>
      <c r="C580" s="95">
        <f t="shared" si="49"/>
        <v>190080</v>
      </c>
      <c r="D580" s="95">
        <f ca="1">_xlfn.XLOOKUP(总览!$B$44,$B$40:$B$45,$C$40:$C$45)</f>
        <v>5</v>
      </c>
      <c r="E580" s="95">
        <f ca="1" t="shared" si="46"/>
        <v>558</v>
      </c>
      <c r="F580" s="95">
        <f ca="1" t="shared" si="47"/>
        <v>0</v>
      </c>
      <c r="G580" s="95">
        <f ca="1" t="shared" si="48"/>
        <v>0.252600000000001</v>
      </c>
      <c r="H580" s="95" cm="1">
        <f ca="1" t="array" ref="H580">MIN(30-SUM(I580:L580),_xlfn.XLOOKUP($D580&amp;"_"&amp;H$52,$B$14:$B$36&amp;"_"&amp;$C$14:$C$36,$D$14:$D$36)*$E580,18)</f>
        <v>18</v>
      </c>
      <c r="I580" s="95" cm="1">
        <f ca="1" t="array" ref="I580">MIN(30-SUM(J580:L580),6-L580,_xlfn.XLOOKUP($D580&amp;"_"&amp;I$52,$B$14:$B$36&amp;"_"&amp;$C$14:$C$36,$D$14:$D$36)*$E580)</f>
        <v>3.0705</v>
      </c>
      <c r="J580" s="95" cm="1">
        <f ca="1" t="array" ref="J580">MIN(8,_xlfn.XLOOKUP($D580&amp;"_"&amp;J$52,$B$14:$B$36&amp;"_"&amp;$C$14:$C$36,$D$14:$D$36)*$E580)</f>
        <v>4.185</v>
      </c>
      <c r="K580" s="95" cm="1">
        <f ca="1" t="array" ref="K580">MIN(18,_xlfn.XLOOKUP($D580&amp;"_"&amp;K$52,$B$14:$B$36&amp;"_"&amp;$C$14:$C$36,$D$14:$D$36)*$E580)</f>
        <v>1.5624</v>
      </c>
      <c r="L580" s="95" cm="1">
        <f ca="1" t="array" ref="L580">MIN(6,_xlfn.XLOOKUP($D580&amp;"_"&amp;L$52,$B$14:$B$36&amp;"_"&amp;$C$14:$C$36,$D$14:$D$36)*$E580)</f>
        <v>2.9295</v>
      </c>
      <c r="M580" s="95" cm="1">
        <f ca="1" t="array" ref="M580">(1+SUMPRODUCT(G580:H580,OFFSET($H$40:$I$40,D580,0)))*(1+OFFSET($J$40,D580,0))^I580*(1+OFFSET($K$40,D580,0))^J580*(1+OFFSET($L$40,D580,0))^K580*(1+OFFSET($M$40,D580,0))^L580</f>
        <v>88.045763326844</v>
      </c>
      <c r="N580" s="95">
        <f ca="1">MAX(MAX($N$53:N579),OFFSET($C$52,MATCH(M580*1.07,$M$53:$M$2052,1),0)-C580)</f>
        <v>9360</v>
      </c>
    </row>
    <row r="581" spans="2:14">
      <c r="B581" s="95">
        <v>529</v>
      </c>
      <c r="C581" s="95">
        <f t="shared" si="49"/>
        <v>190440</v>
      </c>
      <c r="D581" s="95">
        <f ca="1">_xlfn.XLOOKUP(总览!$B$44,$B$40:$B$45,$C$40:$C$45)</f>
        <v>5</v>
      </c>
      <c r="E581" s="95">
        <f ca="1" t="shared" si="46"/>
        <v>559</v>
      </c>
      <c r="F581" s="95">
        <f ca="1" t="shared" si="47"/>
        <v>0</v>
      </c>
      <c r="G581" s="95">
        <f ca="1" t="shared" si="48"/>
        <v>0.2423</v>
      </c>
      <c r="H581" s="95" cm="1">
        <f ca="1" t="array" ref="H581">MIN(30-SUM(I581:L581),_xlfn.XLOOKUP($D581&amp;"_"&amp;H$52,$B$14:$B$36&amp;"_"&amp;$C$14:$C$36,$D$14:$D$36)*$E581,18)</f>
        <v>18</v>
      </c>
      <c r="I581" s="95" cm="1">
        <f ca="1" t="array" ref="I581">MIN(30-SUM(J581:L581),6-L581,_xlfn.XLOOKUP($D581&amp;"_"&amp;I$52,$B$14:$B$36&amp;"_"&amp;$C$14:$C$36,$D$14:$D$36)*$E581)</f>
        <v>3.06525</v>
      </c>
      <c r="J581" s="95" cm="1">
        <f ca="1" t="array" ref="J581">MIN(8,_xlfn.XLOOKUP($D581&amp;"_"&amp;J$52,$B$14:$B$36&amp;"_"&amp;$C$14:$C$36,$D$14:$D$36)*$E581)</f>
        <v>4.1925</v>
      </c>
      <c r="K581" s="95" cm="1">
        <f ca="1" t="array" ref="K581">MIN(18,_xlfn.XLOOKUP($D581&amp;"_"&amp;K$52,$B$14:$B$36&amp;"_"&amp;$C$14:$C$36,$D$14:$D$36)*$E581)</f>
        <v>1.5652</v>
      </c>
      <c r="L581" s="95" cm="1">
        <f ca="1" t="array" ref="L581">MIN(6,_xlfn.XLOOKUP($D581&amp;"_"&amp;L$52,$B$14:$B$36&amp;"_"&amp;$C$14:$C$36,$D$14:$D$36)*$E581)</f>
        <v>2.93475</v>
      </c>
      <c r="M581" s="95" cm="1">
        <f ca="1" t="array" ref="M581">(1+SUMPRODUCT(G581:H581,OFFSET($H$40:$I$40,D581,0)))*(1+OFFSET($J$40,D581,0))^I581*(1+OFFSET($K$40,D581,0))^J581*(1+OFFSET($L$40,D581,0))^K581*(1+OFFSET($M$40,D581,0))^L581</f>
        <v>88.2760243810568</v>
      </c>
      <c r="N581" s="95">
        <f ca="1">MAX(MAX($N$53:N580),OFFSET($C$52,MATCH(M581*1.07,$M$53:$M$2052,1),0)-C581)</f>
        <v>9360</v>
      </c>
    </row>
    <row r="582" spans="2:14">
      <c r="B582" s="95">
        <v>530</v>
      </c>
      <c r="C582" s="95">
        <f t="shared" si="49"/>
        <v>190800</v>
      </c>
      <c r="D582" s="95">
        <f ca="1">_xlfn.XLOOKUP(总览!$B$44,$B$40:$B$45,$C$40:$C$45)</f>
        <v>5</v>
      </c>
      <c r="E582" s="95">
        <f ca="1" t="shared" si="46"/>
        <v>560</v>
      </c>
      <c r="F582" s="95">
        <f ca="1" t="shared" si="47"/>
        <v>0</v>
      </c>
      <c r="G582" s="95">
        <f ca="1" t="shared" si="48"/>
        <v>0.231999999999999</v>
      </c>
      <c r="H582" s="95" cm="1">
        <f ca="1" t="array" ref="H582">MIN(30-SUM(I582:L582),_xlfn.XLOOKUP($D582&amp;"_"&amp;H$52,$B$14:$B$36&amp;"_"&amp;$C$14:$C$36,$D$14:$D$36)*$E582,18)</f>
        <v>18</v>
      </c>
      <c r="I582" s="95" cm="1">
        <f ca="1" t="array" ref="I582">MIN(30-SUM(J582:L582),6-L582,_xlfn.XLOOKUP($D582&amp;"_"&amp;I$52,$B$14:$B$36&amp;"_"&amp;$C$14:$C$36,$D$14:$D$36)*$E582)</f>
        <v>3.06</v>
      </c>
      <c r="J582" s="95" cm="1">
        <f ca="1" t="array" ref="J582">MIN(8,_xlfn.XLOOKUP($D582&amp;"_"&amp;J$52,$B$14:$B$36&amp;"_"&amp;$C$14:$C$36,$D$14:$D$36)*$E582)</f>
        <v>4.2</v>
      </c>
      <c r="K582" s="95" cm="1">
        <f ca="1" t="array" ref="K582">MIN(18,_xlfn.XLOOKUP($D582&amp;"_"&amp;K$52,$B$14:$B$36&amp;"_"&amp;$C$14:$C$36,$D$14:$D$36)*$E582)</f>
        <v>1.568</v>
      </c>
      <c r="L582" s="95" cm="1">
        <f ca="1" t="array" ref="L582">MIN(6,_xlfn.XLOOKUP($D582&amp;"_"&amp;L$52,$B$14:$B$36&amp;"_"&amp;$C$14:$C$36,$D$14:$D$36)*$E582)</f>
        <v>2.94</v>
      </c>
      <c r="M582" s="95" cm="1">
        <f ca="1" t="array" ref="M582">(1+SUMPRODUCT(G582:H582,OFFSET($H$40:$I$40,D582,0)))*(1+OFFSET($J$40,D582,0))^I582*(1+OFFSET($K$40,D582,0))^J582*(1+OFFSET($L$40,D582,0))^K582*(1+OFFSET($M$40,D582,0))^L582</f>
        <v>88.506881313906</v>
      </c>
      <c r="N582" s="95">
        <f ca="1">MAX(MAX($N$53:N581),OFFSET($C$52,MATCH(M582*1.07,$M$53:$M$2052,1),0)-C582)</f>
        <v>9360</v>
      </c>
    </row>
    <row r="583" spans="2:14">
      <c r="B583" s="95">
        <v>531</v>
      </c>
      <c r="C583" s="95">
        <f t="shared" si="49"/>
        <v>191160</v>
      </c>
      <c r="D583" s="95">
        <f ca="1">_xlfn.XLOOKUP(总览!$B$44,$B$40:$B$45,$C$40:$C$45)</f>
        <v>5</v>
      </c>
      <c r="E583" s="95">
        <f ca="1" t="shared" si="46"/>
        <v>561</v>
      </c>
      <c r="F583" s="95">
        <f ca="1" t="shared" si="47"/>
        <v>0</v>
      </c>
      <c r="G583" s="95">
        <f ca="1" t="shared" si="48"/>
        <v>0.221699999999998</v>
      </c>
      <c r="H583" s="95" cm="1">
        <f ca="1" t="array" ref="H583">MIN(30-SUM(I583:L583),_xlfn.XLOOKUP($D583&amp;"_"&amp;H$52,$B$14:$B$36&amp;"_"&amp;$C$14:$C$36,$D$14:$D$36)*$E583,18)</f>
        <v>18</v>
      </c>
      <c r="I583" s="95" cm="1">
        <f ca="1" t="array" ref="I583">MIN(30-SUM(J583:L583),6-L583,_xlfn.XLOOKUP($D583&amp;"_"&amp;I$52,$B$14:$B$36&amp;"_"&amp;$C$14:$C$36,$D$14:$D$36)*$E583)</f>
        <v>3.05475</v>
      </c>
      <c r="J583" s="95" cm="1">
        <f ca="1" t="array" ref="J583">MIN(8,_xlfn.XLOOKUP($D583&amp;"_"&amp;J$52,$B$14:$B$36&amp;"_"&amp;$C$14:$C$36,$D$14:$D$36)*$E583)</f>
        <v>4.2075</v>
      </c>
      <c r="K583" s="95" cm="1">
        <f ca="1" t="array" ref="K583">MIN(18,_xlfn.XLOOKUP($D583&amp;"_"&amp;K$52,$B$14:$B$36&amp;"_"&amp;$C$14:$C$36,$D$14:$D$36)*$E583)</f>
        <v>1.5708</v>
      </c>
      <c r="L583" s="95" cm="1">
        <f ca="1" t="array" ref="L583">MIN(6,_xlfn.XLOOKUP($D583&amp;"_"&amp;L$52,$B$14:$B$36&amp;"_"&amp;$C$14:$C$36,$D$14:$D$36)*$E583)</f>
        <v>2.94525</v>
      </c>
      <c r="M583" s="95" cm="1">
        <f ca="1" t="array" ref="M583">(1+SUMPRODUCT(G583:H583,OFFSET($H$40:$I$40,D583,0)))*(1+OFFSET($J$40,D583,0))^I583*(1+OFFSET($K$40,D583,0))^J583*(1+OFFSET($L$40,D583,0))^K583*(1+OFFSET($M$40,D583,0))^L583</f>
        <v>88.7383356473766</v>
      </c>
      <c r="N583" s="95">
        <f ca="1">MAX(MAX($N$53:N582),OFFSET($C$52,MATCH(M583*1.07,$M$53:$M$2052,1),0)-C583)</f>
        <v>9360</v>
      </c>
    </row>
    <row r="584" spans="2:14">
      <c r="B584" s="95">
        <v>532</v>
      </c>
      <c r="C584" s="95">
        <f t="shared" si="49"/>
        <v>191520</v>
      </c>
      <c r="D584" s="95">
        <f ca="1">_xlfn.XLOOKUP(总览!$B$44,$B$40:$B$45,$C$40:$C$45)</f>
        <v>5</v>
      </c>
      <c r="E584" s="95">
        <f ca="1" t="shared" si="46"/>
        <v>562</v>
      </c>
      <c r="F584" s="95">
        <f ca="1" t="shared" si="47"/>
        <v>0</v>
      </c>
      <c r="G584" s="95">
        <f ca="1" t="shared" si="48"/>
        <v>0.211400000000001</v>
      </c>
      <c r="H584" s="95" cm="1">
        <f ca="1" t="array" ref="H584">MIN(30-SUM(I584:L584),_xlfn.XLOOKUP($D584&amp;"_"&amp;H$52,$B$14:$B$36&amp;"_"&amp;$C$14:$C$36,$D$14:$D$36)*$E584,18)</f>
        <v>18</v>
      </c>
      <c r="I584" s="95" cm="1">
        <f ca="1" t="array" ref="I584">MIN(30-SUM(J584:L584),6-L584,_xlfn.XLOOKUP($D584&amp;"_"&amp;I$52,$B$14:$B$36&amp;"_"&amp;$C$14:$C$36,$D$14:$D$36)*$E584)</f>
        <v>3.0495</v>
      </c>
      <c r="J584" s="95" cm="1">
        <f ca="1" t="array" ref="J584">MIN(8,_xlfn.XLOOKUP($D584&amp;"_"&amp;J$52,$B$14:$B$36&amp;"_"&amp;$C$14:$C$36,$D$14:$D$36)*$E584)</f>
        <v>4.215</v>
      </c>
      <c r="K584" s="95" cm="1">
        <f ca="1" t="array" ref="K584">MIN(18,_xlfn.XLOOKUP($D584&amp;"_"&amp;K$52,$B$14:$B$36&amp;"_"&amp;$C$14:$C$36,$D$14:$D$36)*$E584)</f>
        <v>1.5736</v>
      </c>
      <c r="L584" s="95" cm="1">
        <f ca="1" t="array" ref="L584">MIN(6,_xlfn.XLOOKUP($D584&amp;"_"&amp;L$52,$B$14:$B$36&amp;"_"&amp;$C$14:$C$36,$D$14:$D$36)*$E584)</f>
        <v>2.9505</v>
      </c>
      <c r="M584" s="95" cm="1">
        <f ca="1" t="array" ref="M584">(1+SUMPRODUCT(G584:H584,OFFSET($H$40:$I$40,D584,0)))*(1+OFFSET($J$40,D584,0))^I584*(1+OFFSET($K$40,D584,0))^J584*(1+OFFSET($L$40,D584,0))^K584*(1+OFFSET($M$40,D584,0))^L584</f>
        <v>88.9703889072765</v>
      </c>
      <c r="N584" s="95">
        <f ca="1">MAX(MAX($N$53:N583),OFFSET($C$52,MATCH(M584*1.07,$M$53:$M$2052,1),0)-C584)</f>
        <v>9360</v>
      </c>
    </row>
    <row r="585" spans="2:14">
      <c r="B585" s="95">
        <v>533</v>
      </c>
      <c r="C585" s="95">
        <f t="shared" si="49"/>
        <v>191880</v>
      </c>
      <c r="D585" s="95">
        <f ca="1">_xlfn.XLOOKUP(总览!$B$44,$B$40:$B$45,$C$40:$C$45)</f>
        <v>5</v>
      </c>
      <c r="E585" s="95">
        <f ca="1" t="shared" si="46"/>
        <v>563</v>
      </c>
      <c r="F585" s="95">
        <f ca="1" t="shared" si="47"/>
        <v>0</v>
      </c>
      <c r="G585" s="95">
        <f ca="1" t="shared" si="48"/>
        <v>0.201100000000004</v>
      </c>
      <c r="H585" s="95" cm="1">
        <f ca="1" t="array" ref="H585">MIN(30-SUM(I585:L585),_xlfn.XLOOKUP($D585&amp;"_"&amp;H$52,$B$14:$B$36&amp;"_"&amp;$C$14:$C$36,$D$14:$D$36)*$E585,18)</f>
        <v>18</v>
      </c>
      <c r="I585" s="95" cm="1">
        <f ca="1" t="array" ref="I585">MIN(30-SUM(J585:L585),6-L585,_xlfn.XLOOKUP($D585&amp;"_"&amp;I$52,$B$14:$B$36&amp;"_"&amp;$C$14:$C$36,$D$14:$D$36)*$E585)</f>
        <v>3.04425</v>
      </c>
      <c r="J585" s="95" cm="1">
        <f ca="1" t="array" ref="J585">MIN(8,_xlfn.XLOOKUP($D585&amp;"_"&amp;J$52,$B$14:$B$36&amp;"_"&amp;$C$14:$C$36,$D$14:$D$36)*$E585)</f>
        <v>4.2225</v>
      </c>
      <c r="K585" s="95" cm="1">
        <f ca="1" t="array" ref="K585">MIN(18,_xlfn.XLOOKUP($D585&amp;"_"&amp;K$52,$B$14:$B$36&amp;"_"&amp;$C$14:$C$36,$D$14:$D$36)*$E585)</f>
        <v>1.5764</v>
      </c>
      <c r="L585" s="95" cm="1">
        <f ca="1" t="array" ref="L585">MIN(6,_xlfn.XLOOKUP($D585&amp;"_"&amp;L$52,$B$14:$B$36&amp;"_"&amp;$C$14:$C$36,$D$14:$D$36)*$E585)</f>
        <v>2.95575</v>
      </c>
      <c r="M585" s="95" cm="1">
        <f ca="1" t="array" ref="M585">(1+SUMPRODUCT(G585:H585,OFFSET($H$40:$I$40,D585,0)))*(1+OFFSET($J$40,D585,0))^I585*(1+OFFSET($K$40,D585,0))^J585*(1+OFFSET($L$40,D585,0))^K585*(1+OFFSET($M$40,D585,0))^L585</f>
        <v>89.203042623246</v>
      </c>
      <c r="N585" s="95">
        <f ca="1">MAX(MAX($N$53:N584),OFFSET($C$52,MATCH(M585*1.07,$M$53:$M$2052,1),0)-C585)</f>
        <v>9360</v>
      </c>
    </row>
    <row r="586" spans="2:14">
      <c r="B586" s="95">
        <v>534</v>
      </c>
      <c r="C586" s="95">
        <f t="shared" si="49"/>
        <v>192240</v>
      </c>
      <c r="D586" s="95">
        <f ca="1">_xlfn.XLOOKUP(总览!$B$44,$B$40:$B$45,$C$40:$C$45)</f>
        <v>5</v>
      </c>
      <c r="E586" s="95">
        <f ca="1" t="shared" si="46"/>
        <v>564</v>
      </c>
      <c r="F586" s="95">
        <f ca="1" t="shared" si="47"/>
        <v>0</v>
      </c>
      <c r="G586" s="95">
        <f ca="1" t="shared" si="48"/>
        <v>0.190799999999996</v>
      </c>
      <c r="H586" s="95" cm="1">
        <f ca="1" t="array" ref="H586">MIN(30-SUM(I586:L586),_xlfn.XLOOKUP($D586&amp;"_"&amp;H$52,$B$14:$B$36&amp;"_"&amp;$C$14:$C$36,$D$14:$D$36)*$E586,18)</f>
        <v>18</v>
      </c>
      <c r="I586" s="95" cm="1">
        <f ca="1" t="array" ref="I586">MIN(30-SUM(J586:L586),6-L586,_xlfn.XLOOKUP($D586&amp;"_"&amp;I$52,$B$14:$B$36&amp;"_"&amp;$C$14:$C$36,$D$14:$D$36)*$E586)</f>
        <v>3.039</v>
      </c>
      <c r="J586" s="95" cm="1">
        <f ca="1" t="array" ref="J586">MIN(8,_xlfn.XLOOKUP($D586&amp;"_"&amp;J$52,$B$14:$B$36&amp;"_"&amp;$C$14:$C$36,$D$14:$D$36)*$E586)</f>
        <v>4.23</v>
      </c>
      <c r="K586" s="95" cm="1">
        <f ca="1" t="array" ref="K586">MIN(18,_xlfn.XLOOKUP($D586&amp;"_"&amp;K$52,$B$14:$B$36&amp;"_"&amp;$C$14:$C$36,$D$14:$D$36)*$E586)</f>
        <v>1.5792</v>
      </c>
      <c r="L586" s="95" cm="1">
        <f ca="1" t="array" ref="L586">MIN(6,_xlfn.XLOOKUP($D586&amp;"_"&amp;L$52,$B$14:$B$36&amp;"_"&amp;$C$14:$C$36,$D$14:$D$36)*$E586)</f>
        <v>2.961</v>
      </c>
      <c r="M586" s="95" cm="1">
        <f ca="1" t="array" ref="M586">(1+SUMPRODUCT(G586:H586,OFFSET($H$40:$I$40,D586,0)))*(1+OFFSET($J$40,D586,0))^I586*(1+OFFSET($K$40,D586,0))^J586*(1+OFFSET($L$40,D586,0))^K586*(1+OFFSET($M$40,D586,0))^L586</f>
        <v>89.4362983287671</v>
      </c>
      <c r="N586" s="95">
        <f ca="1">MAX(MAX($N$53:N585),OFFSET($C$52,MATCH(M586*1.07,$M$53:$M$2052,1),0)-C586)</f>
        <v>9360</v>
      </c>
    </row>
    <row r="587" spans="2:14">
      <c r="B587" s="95">
        <v>535</v>
      </c>
      <c r="C587" s="95">
        <f t="shared" si="49"/>
        <v>192600</v>
      </c>
      <c r="D587" s="95">
        <f ca="1">_xlfn.XLOOKUP(总览!$B$44,$B$40:$B$45,$C$40:$C$45)</f>
        <v>5</v>
      </c>
      <c r="E587" s="95">
        <f ca="1" t="shared" si="46"/>
        <v>565</v>
      </c>
      <c r="F587" s="95">
        <f ca="1" t="shared" si="47"/>
        <v>0</v>
      </c>
      <c r="G587" s="95">
        <f ca="1" t="shared" si="48"/>
        <v>0.180499999999999</v>
      </c>
      <c r="H587" s="95" cm="1">
        <f ca="1" t="array" ref="H587">MIN(30-SUM(I587:L587),_xlfn.XLOOKUP($D587&amp;"_"&amp;H$52,$B$14:$B$36&amp;"_"&amp;$C$14:$C$36,$D$14:$D$36)*$E587,18)</f>
        <v>18</v>
      </c>
      <c r="I587" s="95" cm="1">
        <f ca="1" t="array" ref="I587">MIN(30-SUM(J587:L587),6-L587,_xlfn.XLOOKUP($D587&amp;"_"&amp;I$52,$B$14:$B$36&amp;"_"&amp;$C$14:$C$36,$D$14:$D$36)*$E587)</f>
        <v>3.03375</v>
      </c>
      <c r="J587" s="95" cm="1">
        <f ca="1" t="array" ref="J587">MIN(8,_xlfn.XLOOKUP($D587&amp;"_"&amp;J$52,$B$14:$B$36&amp;"_"&amp;$C$14:$C$36,$D$14:$D$36)*$E587)</f>
        <v>4.2375</v>
      </c>
      <c r="K587" s="95" cm="1">
        <f ca="1" t="array" ref="K587">MIN(18,_xlfn.XLOOKUP($D587&amp;"_"&amp;K$52,$B$14:$B$36&amp;"_"&amp;$C$14:$C$36,$D$14:$D$36)*$E587)</f>
        <v>1.582</v>
      </c>
      <c r="L587" s="95" cm="1">
        <f ca="1" t="array" ref="L587">MIN(6,_xlfn.XLOOKUP($D587&amp;"_"&amp;L$52,$B$14:$B$36&amp;"_"&amp;$C$14:$C$36,$D$14:$D$36)*$E587)</f>
        <v>2.96625</v>
      </c>
      <c r="M587" s="95" cm="1">
        <f ca="1" t="array" ref="M587">(1+SUMPRODUCT(G587:H587,OFFSET($H$40:$I$40,D587,0)))*(1+OFFSET($J$40,D587,0))^I587*(1+OFFSET($K$40,D587,0))^J587*(1+OFFSET($L$40,D587,0))^K587*(1+OFFSET($M$40,D587,0))^L587</f>
        <v>89.6701575611735</v>
      </c>
      <c r="N587" s="95">
        <f ca="1">MAX(MAX($N$53:N586),OFFSET($C$52,MATCH(M587*1.07,$M$53:$M$2052,1),0)-C587)</f>
        <v>9360</v>
      </c>
    </row>
    <row r="588" spans="2:14">
      <c r="B588" s="95">
        <v>536</v>
      </c>
      <c r="C588" s="95">
        <f t="shared" si="49"/>
        <v>192960</v>
      </c>
      <c r="D588" s="95">
        <f ca="1">_xlfn.XLOOKUP(总览!$B$44,$B$40:$B$45,$C$40:$C$45)</f>
        <v>5</v>
      </c>
      <c r="E588" s="95">
        <f ca="1" t="shared" si="46"/>
        <v>566</v>
      </c>
      <c r="F588" s="95">
        <f ca="1" t="shared" si="47"/>
        <v>0</v>
      </c>
      <c r="G588" s="95">
        <f ca="1" t="shared" si="48"/>
        <v>0.170199999999998</v>
      </c>
      <c r="H588" s="95" cm="1">
        <f ca="1" t="array" ref="H588">MIN(30-SUM(I588:L588),_xlfn.XLOOKUP($D588&amp;"_"&amp;H$52,$B$14:$B$36&amp;"_"&amp;$C$14:$C$36,$D$14:$D$36)*$E588,18)</f>
        <v>18</v>
      </c>
      <c r="I588" s="95" cm="1">
        <f ca="1" t="array" ref="I588">MIN(30-SUM(J588:L588),6-L588,_xlfn.XLOOKUP($D588&amp;"_"&amp;I$52,$B$14:$B$36&amp;"_"&amp;$C$14:$C$36,$D$14:$D$36)*$E588)</f>
        <v>3.0285</v>
      </c>
      <c r="J588" s="95" cm="1">
        <f ca="1" t="array" ref="J588">MIN(8,_xlfn.XLOOKUP($D588&amp;"_"&amp;J$52,$B$14:$B$36&amp;"_"&amp;$C$14:$C$36,$D$14:$D$36)*$E588)</f>
        <v>4.245</v>
      </c>
      <c r="K588" s="95" cm="1">
        <f ca="1" t="array" ref="K588">MIN(18,_xlfn.XLOOKUP($D588&amp;"_"&amp;K$52,$B$14:$B$36&amp;"_"&amp;$C$14:$C$36,$D$14:$D$36)*$E588)</f>
        <v>1.5848</v>
      </c>
      <c r="L588" s="95" cm="1">
        <f ca="1" t="array" ref="L588">MIN(6,_xlfn.XLOOKUP($D588&amp;"_"&amp;L$52,$B$14:$B$36&amp;"_"&amp;$C$14:$C$36,$D$14:$D$36)*$E588)</f>
        <v>2.9715</v>
      </c>
      <c r="M588" s="95" cm="1">
        <f ca="1" t="array" ref="M588">(1+SUMPRODUCT(G588:H588,OFFSET($H$40:$I$40,D588,0)))*(1+OFFSET($J$40,D588,0))^I588*(1+OFFSET($K$40,D588,0))^J588*(1+OFFSET($L$40,D588,0))^K588*(1+OFFSET($M$40,D588,0))^L588</f>
        <v>89.9046218616591</v>
      </c>
      <c r="N588" s="95">
        <f ca="1">MAX(MAX($N$53:N587),OFFSET($C$52,MATCH(M588*1.07,$M$53:$M$2052,1),0)-C588)</f>
        <v>9360</v>
      </c>
    </row>
    <row r="589" spans="2:14">
      <c r="B589" s="95">
        <v>537</v>
      </c>
      <c r="C589" s="95">
        <f t="shared" si="49"/>
        <v>193320</v>
      </c>
      <c r="D589" s="95">
        <f ca="1">_xlfn.XLOOKUP(总览!$B$44,$B$40:$B$45,$C$40:$C$45)</f>
        <v>5</v>
      </c>
      <c r="E589" s="95">
        <f ca="1" t="shared" si="46"/>
        <v>567</v>
      </c>
      <c r="F589" s="95">
        <f ca="1" t="shared" si="47"/>
        <v>0</v>
      </c>
      <c r="G589" s="95">
        <f ca="1" t="shared" si="48"/>
        <v>0.159899999999997</v>
      </c>
      <c r="H589" s="95" cm="1">
        <f ca="1" t="array" ref="H589">MIN(30-SUM(I589:L589),_xlfn.XLOOKUP($D589&amp;"_"&amp;H$52,$B$14:$B$36&amp;"_"&amp;$C$14:$C$36,$D$14:$D$36)*$E589,18)</f>
        <v>18</v>
      </c>
      <c r="I589" s="95" cm="1">
        <f ca="1" t="array" ref="I589">MIN(30-SUM(J589:L589),6-L589,_xlfn.XLOOKUP($D589&amp;"_"&amp;I$52,$B$14:$B$36&amp;"_"&amp;$C$14:$C$36,$D$14:$D$36)*$E589)</f>
        <v>3.02325</v>
      </c>
      <c r="J589" s="95" cm="1">
        <f ca="1" t="array" ref="J589">MIN(8,_xlfn.XLOOKUP($D589&amp;"_"&amp;J$52,$B$14:$B$36&amp;"_"&amp;$C$14:$C$36,$D$14:$D$36)*$E589)</f>
        <v>4.2525</v>
      </c>
      <c r="K589" s="95" cm="1">
        <f ca="1" t="array" ref="K589">MIN(18,_xlfn.XLOOKUP($D589&amp;"_"&amp;K$52,$B$14:$B$36&amp;"_"&amp;$C$14:$C$36,$D$14:$D$36)*$E589)</f>
        <v>1.5876</v>
      </c>
      <c r="L589" s="95" cm="1">
        <f ca="1" t="array" ref="L589">MIN(6,_xlfn.XLOOKUP($D589&amp;"_"&amp;L$52,$B$14:$B$36&amp;"_"&amp;$C$14:$C$36,$D$14:$D$36)*$E589)</f>
        <v>2.97675</v>
      </c>
      <c r="M589" s="95" cm="1">
        <f ca="1" t="array" ref="M589">(1+SUMPRODUCT(G589:H589,OFFSET($H$40:$I$40,D589,0)))*(1+OFFSET($J$40,D589,0))^I589*(1+OFFSET($K$40,D589,0))^J589*(1+OFFSET($L$40,D589,0))^K589*(1+OFFSET($M$40,D589,0))^L589</f>
        <v>90.1396927752884</v>
      </c>
      <c r="N589" s="95">
        <f ca="1">MAX(MAX($N$53:N588),OFFSET($C$52,MATCH(M589*1.07,$M$53:$M$2052,1),0)-C589)</f>
        <v>9360</v>
      </c>
    </row>
    <row r="590" spans="2:14">
      <c r="B590" s="95">
        <v>538</v>
      </c>
      <c r="C590" s="95">
        <f t="shared" si="49"/>
        <v>193680</v>
      </c>
      <c r="D590" s="95">
        <f ca="1">_xlfn.XLOOKUP(总览!$B$44,$B$40:$B$45,$C$40:$C$45)</f>
        <v>5</v>
      </c>
      <c r="E590" s="95">
        <f ca="1" t="shared" si="46"/>
        <v>568</v>
      </c>
      <c r="F590" s="95">
        <f ca="1" t="shared" si="47"/>
        <v>0</v>
      </c>
      <c r="G590" s="95">
        <f ca="1" t="shared" si="48"/>
        <v>0.149600000000003</v>
      </c>
      <c r="H590" s="95" cm="1">
        <f ca="1" t="array" ref="H590">MIN(30-SUM(I590:L590),_xlfn.XLOOKUP($D590&amp;"_"&amp;H$52,$B$14:$B$36&amp;"_"&amp;$C$14:$C$36,$D$14:$D$36)*$E590,18)</f>
        <v>18</v>
      </c>
      <c r="I590" s="95" cm="1">
        <f ca="1" t="array" ref="I590">MIN(30-SUM(J590:L590),6-L590,_xlfn.XLOOKUP($D590&amp;"_"&amp;I$52,$B$14:$B$36&amp;"_"&amp;$C$14:$C$36,$D$14:$D$36)*$E590)</f>
        <v>3.018</v>
      </c>
      <c r="J590" s="95" cm="1">
        <f ca="1" t="array" ref="J590">MIN(8,_xlfn.XLOOKUP($D590&amp;"_"&amp;J$52,$B$14:$B$36&amp;"_"&amp;$C$14:$C$36,$D$14:$D$36)*$E590)</f>
        <v>4.26</v>
      </c>
      <c r="K590" s="95" cm="1">
        <f ca="1" t="array" ref="K590">MIN(18,_xlfn.XLOOKUP($D590&amp;"_"&amp;K$52,$B$14:$B$36&amp;"_"&amp;$C$14:$C$36,$D$14:$D$36)*$E590)</f>
        <v>1.5904</v>
      </c>
      <c r="L590" s="95" cm="1">
        <f ca="1" t="array" ref="L590">MIN(6,_xlfn.XLOOKUP($D590&amp;"_"&amp;L$52,$B$14:$B$36&amp;"_"&amp;$C$14:$C$36,$D$14:$D$36)*$E590)</f>
        <v>2.982</v>
      </c>
      <c r="M590" s="95" cm="1">
        <f ca="1" t="array" ref="M590">(1+SUMPRODUCT(G590:H590,OFFSET($H$40:$I$40,D590,0)))*(1+OFFSET($J$40,D590,0))^I590*(1+OFFSET($K$40,D590,0))^J590*(1+OFFSET($L$40,D590,0))^K590*(1+OFFSET($M$40,D590,0))^L590</f>
        <v>90.3753718510055</v>
      </c>
      <c r="N590" s="95">
        <f ca="1">MAX(MAX($N$53:N589),OFFSET($C$52,MATCH(M590*1.07,$M$53:$M$2052,1),0)-C590)</f>
        <v>9360</v>
      </c>
    </row>
    <row r="591" spans="2:14">
      <c r="B591" s="95">
        <v>539</v>
      </c>
      <c r="C591" s="95">
        <f t="shared" si="49"/>
        <v>194040</v>
      </c>
      <c r="D591" s="95">
        <f ca="1">_xlfn.XLOOKUP(总览!$B$44,$B$40:$B$45,$C$40:$C$45)</f>
        <v>5</v>
      </c>
      <c r="E591" s="95">
        <f ca="1" t="shared" si="46"/>
        <v>569</v>
      </c>
      <c r="F591" s="95">
        <f ca="1" t="shared" si="47"/>
        <v>0</v>
      </c>
      <c r="G591" s="95">
        <f ca="1" t="shared" si="48"/>
        <v>0.139299999999999</v>
      </c>
      <c r="H591" s="95" cm="1">
        <f ca="1" t="array" ref="H591">MIN(30-SUM(I591:L591),_xlfn.XLOOKUP($D591&amp;"_"&amp;H$52,$B$14:$B$36&amp;"_"&amp;$C$14:$C$36,$D$14:$D$36)*$E591,18)</f>
        <v>18</v>
      </c>
      <c r="I591" s="95" cm="1">
        <f ca="1" t="array" ref="I591">MIN(30-SUM(J591:L591),6-L591,_xlfn.XLOOKUP($D591&amp;"_"&amp;I$52,$B$14:$B$36&amp;"_"&amp;$C$14:$C$36,$D$14:$D$36)*$E591)</f>
        <v>3.01275</v>
      </c>
      <c r="J591" s="95" cm="1">
        <f ca="1" t="array" ref="J591">MIN(8,_xlfn.XLOOKUP($D591&amp;"_"&amp;J$52,$B$14:$B$36&amp;"_"&amp;$C$14:$C$36,$D$14:$D$36)*$E591)</f>
        <v>4.2675</v>
      </c>
      <c r="K591" s="95" cm="1">
        <f ca="1" t="array" ref="K591">MIN(18,_xlfn.XLOOKUP($D591&amp;"_"&amp;K$52,$B$14:$B$36&amp;"_"&amp;$C$14:$C$36,$D$14:$D$36)*$E591)</f>
        <v>1.5932</v>
      </c>
      <c r="L591" s="95" cm="1">
        <f ca="1" t="array" ref="L591">MIN(6,_xlfn.XLOOKUP($D591&amp;"_"&amp;L$52,$B$14:$B$36&amp;"_"&amp;$C$14:$C$36,$D$14:$D$36)*$E591)</f>
        <v>2.98725</v>
      </c>
      <c r="M591" s="95" cm="1">
        <f ca="1" t="array" ref="M591">(1+SUMPRODUCT(G591:H591,OFFSET($H$40:$I$40,D591,0)))*(1+OFFSET($J$40,D591,0))^I591*(1+OFFSET($K$40,D591,0))^J591*(1+OFFSET($L$40,D591,0))^K591*(1+OFFSET($M$40,D591,0))^L591</f>
        <v>90.6116606416437</v>
      </c>
      <c r="N591" s="95">
        <f ca="1">MAX(MAX($N$53:N590),OFFSET($C$52,MATCH(M591*1.07,$M$53:$M$2052,1),0)-C591)</f>
        <v>9360</v>
      </c>
    </row>
    <row r="592" spans="2:14">
      <c r="B592" s="95">
        <v>540</v>
      </c>
      <c r="C592" s="95">
        <f t="shared" si="49"/>
        <v>194400</v>
      </c>
      <c r="D592" s="95">
        <f ca="1">_xlfn.XLOOKUP(总览!$B$44,$B$40:$B$45,$C$40:$C$45)</f>
        <v>5</v>
      </c>
      <c r="E592" s="95">
        <f ca="1" t="shared" si="46"/>
        <v>570</v>
      </c>
      <c r="F592" s="95">
        <f ca="1" t="shared" si="47"/>
        <v>0</v>
      </c>
      <c r="G592" s="95">
        <f ca="1" t="shared" si="48"/>
        <v>0.129000000000001</v>
      </c>
      <c r="H592" s="95" cm="1">
        <f ca="1" t="array" ref="H592">MIN(30-SUM(I592:L592),_xlfn.XLOOKUP($D592&amp;"_"&amp;H$52,$B$14:$B$36&amp;"_"&amp;$C$14:$C$36,$D$14:$D$36)*$E592,18)</f>
        <v>18</v>
      </c>
      <c r="I592" s="95" cm="1">
        <f ca="1" t="array" ref="I592">MIN(30-SUM(J592:L592),6-L592,_xlfn.XLOOKUP($D592&amp;"_"&amp;I$52,$B$14:$B$36&amp;"_"&amp;$C$14:$C$36,$D$14:$D$36)*$E592)</f>
        <v>3.0075</v>
      </c>
      <c r="J592" s="95" cm="1">
        <f ca="1" t="array" ref="J592">MIN(8,_xlfn.XLOOKUP($D592&amp;"_"&amp;J$52,$B$14:$B$36&amp;"_"&amp;$C$14:$C$36,$D$14:$D$36)*$E592)</f>
        <v>4.275</v>
      </c>
      <c r="K592" s="95" cm="1">
        <f ca="1" t="array" ref="K592">MIN(18,_xlfn.XLOOKUP($D592&amp;"_"&amp;K$52,$B$14:$B$36&amp;"_"&amp;$C$14:$C$36,$D$14:$D$36)*$E592)</f>
        <v>1.596</v>
      </c>
      <c r="L592" s="95" cm="1">
        <f ca="1" t="array" ref="L592">MIN(6,_xlfn.XLOOKUP($D592&amp;"_"&amp;L$52,$B$14:$B$36&amp;"_"&amp;$C$14:$C$36,$D$14:$D$36)*$E592)</f>
        <v>2.9925</v>
      </c>
      <c r="M592" s="95" cm="1">
        <f ca="1" t="array" ref="M592">(1+SUMPRODUCT(G592:H592,OFFSET($H$40:$I$40,D592,0)))*(1+OFFSET($J$40,D592,0))^I592*(1+OFFSET($K$40,D592,0))^J592*(1+OFFSET($L$40,D592,0))^K592*(1+OFFSET($M$40,D592,0))^L592</f>
        <v>90.8485607039351</v>
      </c>
      <c r="N592" s="95">
        <f ca="1">MAX(MAX($N$53:N591),OFFSET($C$52,MATCH(M592*1.07,$M$53:$M$2052,1),0)-C592)</f>
        <v>9360</v>
      </c>
    </row>
    <row r="593" spans="2:14">
      <c r="B593" s="95">
        <v>541</v>
      </c>
      <c r="C593" s="95">
        <f t="shared" si="49"/>
        <v>194760</v>
      </c>
      <c r="D593" s="95">
        <f ca="1">_xlfn.XLOOKUP(总览!$B$44,$B$40:$B$45,$C$40:$C$45)</f>
        <v>5</v>
      </c>
      <c r="E593" s="95">
        <f ca="1" t="shared" si="46"/>
        <v>571</v>
      </c>
      <c r="F593" s="95">
        <f ca="1" t="shared" si="47"/>
        <v>0</v>
      </c>
      <c r="G593" s="95">
        <f ca="1" t="shared" si="48"/>
        <v>0.1187</v>
      </c>
      <c r="H593" s="95" cm="1">
        <f ca="1" t="array" ref="H593">MIN(30-SUM(I593:L593),_xlfn.XLOOKUP($D593&amp;"_"&amp;H$52,$B$14:$B$36&amp;"_"&amp;$C$14:$C$36,$D$14:$D$36)*$E593,18)</f>
        <v>18</v>
      </c>
      <c r="I593" s="95" cm="1">
        <f ca="1" t="array" ref="I593">MIN(30-SUM(J593:L593),6-L593,_xlfn.XLOOKUP($D593&amp;"_"&amp;I$52,$B$14:$B$36&amp;"_"&amp;$C$14:$C$36,$D$14:$D$36)*$E593)</f>
        <v>3.00225</v>
      </c>
      <c r="J593" s="95" cm="1">
        <f ca="1" t="array" ref="J593">MIN(8,_xlfn.XLOOKUP($D593&amp;"_"&amp;J$52,$B$14:$B$36&amp;"_"&amp;$C$14:$C$36,$D$14:$D$36)*$E593)</f>
        <v>4.2825</v>
      </c>
      <c r="K593" s="95" cm="1">
        <f ca="1" t="array" ref="K593">MIN(18,_xlfn.XLOOKUP($D593&amp;"_"&amp;K$52,$B$14:$B$36&amp;"_"&amp;$C$14:$C$36,$D$14:$D$36)*$E593)</f>
        <v>1.5988</v>
      </c>
      <c r="L593" s="95" cm="1">
        <f ca="1" t="array" ref="L593">MIN(6,_xlfn.XLOOKUP($D593&amp;"_"&amp;L$52,$B$14:$B$36&amp;"_"&amp;$C$14:$C$36,$D$14:$D$36)*$E593)</f>
        <v>2.99775</v>
      </c>
      <c r="M593" s="95" cm="1">
        <f ca="1" t="array" ref="M593">(1+SUMPRODUCT(G593:H593,OFFSET($H$40:$I$40,D593,0)))*(1+OFFSET($J$40,D593,0))^I593*(1+OFFSET($K$40,D593,0))^J593*(1+OFFSET($L$40,D593,0))^K593*(1+OFFSET($M$40,D593,0))^L593</f>
        <v>91.0860735985205</v>
      </c>
      <c r="N593" s="95">
        <f ca="1">MAX(MAX($N$53:N592),OFFSET($C$52,MATCH(M593*1.07,$M$53:$M$2052,1),0)-C593)</f>
        <v>9360</v>
      </c>
    </row>
    <row r="594" spans="2:14">
      <c r="B594" s="95">
        <v>542</v>
      </c>
      <c r="C594" s="95">
        <f t="shared" si="49"/>
        <v>195120</v>
      </c>
      <c r="D594" s="95">
        <f ca="1">_xlfn.XLOOKUP(总览!$B$44,$B$40:$B$45,$C$40:$C$45)</f>
        <v>5</v>
      </c>
      <c r="E594" s="95">
        <f ca="1" t="shared" si="46"/>
        <v>572</v>
      </c>
      <c r="F594" s="95">
        <f ca="1" t="shared" si="47"/>
        <v>0</v>
      </c>
      <c r="G594" s="95">
        <f ca="1" t="shared" si="48"/>
        <v>0.1084</v>
      </c>
      <c r="H594" s="95" cm="1">
        <f ca="1" t="array" ref="H594">MIN(30-SUM(I594:L594),_xlfn.XLOOKUP($D594&amp;"_"&amp;H$52,$B$14:$B$36&amp;"_"&amp;$C$14:$C$36,$D$14:$D$36)*$E594,18)</f>
        <v>18</v>
      </c>
      <c r="I594" s="95" cm="1">
        <f ca="1" t="array" ref="I594">MIN(30-SUM(J594:L594),6-L594,_xlfn.XLOOKUP($D594&amp;"_"&amp;I$52,$B$14:$B$36&amp;"_"&amp;$C$14:$C$36,$D$14:$D$36)*$E594)</f>
        <v>2.997</v>
      </c>
      <c r="J594" s="95" cm="1">
        <f ca="1" t="array" ref="J594">MIN(8,_xlfn.XLOOKUP($D594&amp;"_"&amp;J$52,$B$14:$B$36&amp;"_"&amp;$C$14:$C$36,$D$14:$D$36)*$E594)</f>
        <v>4.29</v>
      </c>
      <c r="K594" s="95" cm="1">
        <f ca="1" t="array" ref="K594">MIN(18,_xlfn.XLOOKUP($D594&amp;"_"&amp;K$52,$B$14:$B$36&amp;"_"&amp;$C$14:$C$36,$D$14:$D$36)*$E594)</f>
        <v>1.6016</v>
      </c>
      <c r="L594" s="95" cm="1">
        <f ca="1" t="array" ref="L594">MIN(6,_xlfn.XLOOKUP($D594&amp;"_"&amp;L$52,$B$14:$B$36&amp;"_"&amp;$C$14:$C$36,$D$14:$D$36)*$E594)</f>
        <v>3.003</v>
      </c>
      <c r="M594" s="95" cm="1">
        <f ca="1" t="array" ref="M594">(1+SUMPRODUCT(G594:H594,OFFSET($H$40:$I$40,D594,0)))*(1+OFFSET($J$40,D594,0))^I594*(1+OFFSET($K$40,D594,0))^J594*(1+OFFSET($L$40,D594,0))^K594*(1+OFFSET($M$40,D594,0))^L594</f>
        <v>91.3242008899581</v>
      </c>
      <c r="N594" s="95">
        <f ca="1">MAX(MAX($N$53:N593),OFFSET($C$52,MATCH(M594*1.07,$M$53:$M$2052,1),0)-C594)</f>
        <v>9720</v>
      </c>
    </row>
    <row r="595" spans="2:14">
      <c r="B595" s="95">
        <v>543</v>
      </c>
      <c r="C595" s="95">
        <f t="shared" si="49"/>
        <v>195480</v>
      </c>
      <c r="D595" s="95">
        <f ca="1">_xlfn.XLOOKUP(总览!$B$44,$B$40:$B$45,$C$40:$C$45)</f>
        <v>5</v>
      </c>
      <c r="E595" s="95">
        <f ca="1" t="shared" si="46"/>
        <v>573</v>
      </c>
      <c r="F595" s="95">
        <f ca="1" t="shared" si="47"/>
        <v>0</v>
      </c>
      <c r="G595" s="95">
        <f ca="1" t="shared" si="48"/>
        <v>0.0980999999999987</v>
      </c>
      <c r="H595" s="95" cm="1">
        <f ca="1" t="array" ref="H595">MIN(30-SUM(I595:L595),_xlfn.XLOOKUP($D595&amp;"_"&amp;H$52,$B$14:$B$36&amp;"_"&amp;$C$14:$C$36,$D$14:$D$36)*$E595,18)</f>
        <v>18</v>
      </c>
      <c r="I595" s="95" cm="1">
        <f ca="1" t="array" ref="I595">MIN(30-SUM(J595:L595),6-L595,_xlfn.XLOOKUP($D595&amp;"_"&amp;I$52,$B$14:$B$36&amp;"_"&amp;$C$14:$C$36,$D$14:$D$36)*$E595)</f>
        <v>2.99175</v>
      </c>
      <c r="J595" s="95" cm="1">
        <f ca="1" t="array" ref="J595">MIN(8,_xlfn.XLOOKUP($D595&amp;"_"&amp;J$52,$B$14:$B$36&amp;"_"&amp;$C$14:$C$36,$D$14:$D$36)*$E595)</f>
        <v>4.2975</v>
      </c>
      <c r="K595" s="95" cm="1">
        <f ca="1" t="array" ref="K595">MIN(18,_xlfn.XLOOKUP($D595&amp;"_"&amp;K$52,$B$14:$B$36&amp;"_"&amp;$C$14:$C$36,$D$14:$D$36)*$E595)</f>
        <v>1.6044</v>
      </c>
      <c r="L595" s="95" cm="1">
        <f ca="1" t="array" ref="L595">MIN(6,_xlfn.XLOOKUP($D595&amp;"_"&amp;L$52,$B$14:$B$36&amp;"_"&amp;$C$14:$C$36,$D$14:$D$36)*$E595)</f>
        <v>3.00825</v>
      </c>
      <c r="M595" s="95" cm="1">
        <f ca="1" t="array" ref="M595">(1+SUMPRODUCT(G595:H595,OFFSET($H$40:$I$40,D595,0)))*(1+OFFSET($J$40,D595,0))^I595*(1+OFFSET($K$40,D595,0))^J595*(1+OFFSET($L$40,D595,0))^K595*(1+OFFSET($M$40,D595,0))^L595</f>
        <v>91.5629441467342</v>
      </c>
      <c r="N595" s="95">
        <f ca="1">MAX(MAX($N$53:N594),OFFSET($C$52,MATCH(M595*1.07,$M$53:$M$2052,1),0)-C595)</f>
        <v>9720</v>
      </c>
    </row>
    <row r="596" spans="2:14">
      <c r="B596" s="95">
        <v>544</v>
      </c>
      <c r="C596" s="95">
        <f t="shared" si="49"/>
        <v>195840</v>
      </c>
      <c r="D596" s="95">
        <f ca="1">_xlfn.XLOOKUP(总览!$B$44,$B$40:$B$45,$C$40:$C$45)</f>
        <v>5</v>
      </c>
      <c r="E596" s="95">
        <f ca="1" t="shared" si="46"/>
        <v>574</v>
      </c>
      <c r="F596" s="95">
        <f ca="1" t="shared" si="47"/>
        <v>0</v>
      </c>
      <c r="G596" s="95">
        <f ca="1" t="shared" si="48"/>
        <v>0.0878000000000014</v>
      </c>
      <c r="H596" s="95" cm="1">
        <f ca="1" t="array" ref="H596">MIN(30-SUM(I596:L596),_xlfn.XLOOKUP($D596&amp;"_"&amp;H$52,$B$14:$B$36&amp;"_"&amp;$C$14:$C$36,$D$14:$D$36)*$E596,18)</f>
        <v>18</v>
      </c>
      <c r="I596" s="95" cm="1">
        <f ca="1" t="array" ref="I596">MIN(30-SUM(J596:L596),6-L596,_xlfn.XLOOKUP($D596&amp;"_"&amp;I$52,$B$14:$B$36&amp;"_"&amp;$C$14:$C$36,$D$14:$D$36)*$E596)</f>
        <v>2.9865</v>
      </c>
      <c r="J596" s="95" cm="1">
        <f ca="1" t="array" ref="J596">MIN(8,_xlfn.XLOOKUP($D596&amp;"_"&amp;J$52,$B$14:$B$36&amp;"_"&amp;$C$14:$C$36,$D$14:$D$36)*$E596)</f>
        <v>4.305</v>
      </c>
      <c r="K596" s="95" cm="1">
        <f ca="1" t="array" ref="K596">MIN(18,_xlfn.XLOOKUP($D596&amp;"_"&amp;K$52,$B$14:$B$36&amp;"_"&amp;$C$14:$C$36,$D$14:$D$36)*$E596)</f>
        <v>1.6072</v>
      </c>
      <c r="L596" s="95" cm="1">
        <f ca="1" t="array" ref="L596">MIN(6,_xlfn.XLOOKUP($D596&amp;"_"&amp;L$52,$B$14:$B$36&amp;"_"&amp;$C$14:$C$36,$D$14:$D$36)*$E596)</f>
        <v>3.0135</v>
      </c>
      <c r="M596" s="95" cm="1">
        <f ca="1" t="array" ref="M596">(1+SUMPRODUCT(G596:H596,OFFSET($H$40:$I$40,D596,0)))*(1+OFFSET($J$40,D596,0))^I596*(1+OFFSET($K$40,D596,0))^J596*(1+OFFSET($L$40,D596,0))^K596*(1+OFFSET($M$40,D596,0))^L596</f>
        <v>91.802304941272</v>
      </c>
      <c r="N596" s="95">
        <f ca="1">MAX(MAX($N$53:N595),OFFSET($C$52,MATCH(M596*1.07,$M$53:$M$2052,1),0)-C596)</f>
        <v>9720</v>
      </c>
    </row>
    <row r="597" spans="2:14">
      <c r="B597" s="95">
        <v>545</v>
      </c>
      <c r="C597" s="95">
        <f t="shared" si="49"/>
        <v>196200</v>
      </c>
      <c r="D597" s="95">
        <f ca="1">_xlfn.XLOOKUP(总览!$B$44,$B$40:$B$45,$C$40:$C$45)</f>
        <v>5</v>
      </c>
      <c r="E597" s="95">
        <f ca="1" t="shared" si="46"/>
        <v>575</v>
      </c>
      <c r="F597" s="95">
        <f ca="1" t="shared" si="47"/>
        <v>0</v>
      </c>
      <c r="G597" s="95">
        <f ca="1" t="shared" si="48"/>
        <v>0.0775000000000006</v>
      </c>
      <c r="H597" s="95" cm="1">
        <f ca="1" t="array" ref="H597">MIN(30-SUM(I597:L597),_xlfn.XLOOKUP($D597&amp;"_"&amp;H$52,$B$14:$B$36&amp;"_"&amp;$C$14:$C$36,$D$14:$D$36)*$E597,18)</f>
        <v>18</v>
      </c>
      <c r="I597" s="95" cm="1">
        <f ca="1" t="array" ref="I597">MIN(30-SUM(J597:L597),6-L597,_xlfn.XLOOKUP($D597&amp;"_"&amp;I$52,$B$14:$B$36&amp;"_"&amp;$C$14:$C$36,$D$14:$D$36)*$E597)</f>
        <v>2.98125</v>
      </c>
      <c r="J597" s="95" cm="1">
        <f ca="1" t="array" ref="J597">MIN(8,_xlfn.XLOOKUP($D597&amp;"_"&amp;J$52,$B$14:$B$36&amp;"_"&amp;$C$14:$C$36,$D$14:$D$36)*$E597)</f>
        <v>4.3125</v>
      </c>
      <c r="K597" s="95" cm="1">
        <f ca="1" t="array" ref="K597">MIN(18,_xlfn.XLOOKUP($D597&amp;"_"&amp;K$52,$B$14:$B$36&amp;"_"&amp;$C$14:$C$36,$D$14:$D$36)*$E597)</f>
        <v>1.61</v>
      </c>
      <c r="L597" s="95" cm="1">
        <f ca="1" t="array" ref="L597">MIN(6,_xlfn.XLOOKUP($D597&amp;"_"&amp;L$52,$B$14:$B$36&amp;"_"&amp;$C$14:$C$36,$D$14:$D$36)*$E597)</f>
        <v>3.01875</v>
      </c>
      <c r="M597" s="95" cm="1">
        <f ca="1" t="array" ref="M597">(1+SUMPRODUCT(G597:H597,OFFSET($H$40:$I$40,D597,0)))*(1+OFFSET($J$40,D597,0))^I597*(1+OFFSET($K$40,D597,0))^J597*(1+OFFSET($L$40,D597,0))^K597*(1+OFFSET($M$40,D597,0))^L597</f>
        <v>92.0422848499419</v>
      </c>
      <c r="N597" s="95">
        <f ca="1">MAX(MAX($N$53:N596),OFFSET($C$52,MATCH(M597*1.07,$M$53:$M$2052,1),0)-C597)</f>
        <v>9720</v>
      </c>
    </row>
    <row r="598" spans="2:14">
      <c r="B598" s="95">
        <v>546</v>
      </c>
      <c r="C598" s="95">
        <f t="shared" si="49"/>
        <v>196560</v>
      </c>
      <c r="D598" s="95">
        <f ca="1">_xlfn.XLOOKUP(总览!$B$44,$B$40:$B$45,$C$40:$C$45)</f>
        <v>5</v>
      </c>
      <c r="E598" s="95">
        <f ca="1" t="shared" si="46"/>
        <v>576</v>
      </c>
      <c r="F598" s="95">
        <f ca="1" t="shared" si="47"/>
        <v>0</v>
      </c>
      <c r="G598" s="95">
        <f ca="1" t="shared" si="48"/>
        <v>0.0671999999999997</v>
      </c>
      <c r="H598" s="95" cm="1">
        <f ca="1" t="array" ref="H598">MIN(30-SUM(I598:L598),_xlfn.XLOOKUP($D598&amp;"_"&amp;H$52,$B$14:$B$36&amp;"_"&amp;$C$14:$C$36,$D$14:$D$36)*$E598,18)</f>
        <v>18</v>
      </c>
      <c r="I598" s="95" cm="1">
        <f ca="1" t="array" ref="I598">MIN(30-SUM(J598:L598),6-L598,_xlfn.XLOOKUP($D598&amp;"_"&amp;I$52,$B$14:$B$36&amp;"_"&amp;$C$14:$C$36,$D$14:$D$36)*$E598)</f>
        <v>2.976</v>
      </c>
      <c r="J598" s="95" cm="1">
        <f ca="1" t="array" ref="J598">MIN(8,_xlfn.XLOOKUP($D598&amp;"_"&amp;J$52,$B$14:$B$36&amp;"_"&amp;$C$14:$C$36,$D$14:$D$36)*$E598)</f>
        <v>4.32</v>
      </c>
      <c r="K598" s="95" cm="1">
        <f ca="1" t="array" ref="K598">MIN(18,_xlfn.XLOOKUP($D598&amp;"_"&amp;K$52,$B$14:$B$36&amp;"_"&amp;$C$14:$C$36,$D$14:$D$36)*$E598)</f>
        <v>1.6128</v>
      </c>
      <c r="L598" s="95" cm="1">
        <f ca="1" t="array" ref="L598">MIN(6,_xlfn.XLOOKUP($D598&amp;"_"&amp;L$52,$B$14:$B$36&amp;"_"&amp;$C$14:$C$36,$D$14:$D$36)*$E598)</f>
        <v>3.024</v>
      </c>
      <c r="M598" s="95" cm="1">
        <f ca="1" t="array" ref="M598">(1+SUMPRODUCT(G598:H598,OFFSET($H$40:$I$40,D598,0)))*(1+OFFSET($J$40,D598,0))^I598*(1+OFFSET($K$40,D598,0))^J598*(1+OFFSET($L$40,D598,0))^K598*(1+OFFSET($M$40,D598,0))^L598</f>
        <v>92.2828854530705</v>
      </c>
      <c r="N598" s="95">
        <f ca="1">MAX(MAX($N$53:N597),OFFSET($C$52,MATCH(M598*1.07,$M$53:$M$2052,1),0)-C598)</f>
        <v>9720</v>
      </c>
    </row>
    <row r="599" spans="2:14">
      <c r="B599" s="95">
        <v>547</v>
      </c>
      <c r="C599" s="95">
        <f t="shared" si="49"/>
        <v>196920</v>
      </c>
      <c r="D599" s="95">
        <f ca="1">_xlfn.XLOOKUP(总览!$B$44,$B$40:$B$45,$C$40:$C$45)</f>
        <v>5</v>
      </c>
      <c r="E599" s="95">
        <f ca="1" t="shared" si="46"/>
        <v>577</v>
      </c>
      <c r="F599" s="95">
        <f ca="1" t="shared" si="47"/>
        <v>0</v>
      </c>
      <c r="G599" s="95">
        <f ca="1" t="shared" si="48"/>
        <v>0.0568999999999988</v>
      </c>
      <c r="H599" s="95" cm="1">
        <f ca="1" t="array" ref="H599">MIN(30-SUM(I599:L599),_xlfn.XLOOKUP($D599&amp;"_"&amp;H$52,$B$14:$B$36&amp;"_"&amp;$C$14:$C$36,$D$14:$D$36)*$E599,18)</f>
        <v>18</v>
      </c>
      <c r="I599" s="95" cm="1">
        <f ca="1" t="array" ref="I599">MIN(30-SUM(J599:L599),6-L599,_xlfn.XLOOKUP($D599&amp;"_"&amp;I$52,$B$14:$B$36&amp;"_"&amp;$C$14:$C$36,$D$14:$D$36)*$E599)</f>
        <v>2.97075</v>
      </c>
      <c r="J599" s="95" cm="1">
        <f ca="1" t="array" ref="J599">MIN(8,_xlfn.XLOOKUP($D599&amp;"_"&amp;J$52,$B$14:$B$36&amp;"_"&amp;$C$14:$C$36,$D$14:$D$36)*$E599)</f>
        <v>4.3275</v>
      </c>
      <c r="K599" s="95" cm="1">
        <f ca="1" t="array" ref="K599">MIN(18,_xlfn.XLOOKUP($D599&amp;"_"&amp;K$52,$B$14:$B$36&amp;"_"&amp;$C$14:$C$36,$D$14:$D$36)*$E599)</f>
        <v>1.6156</v>
      </c>
      <c r="L599" s="95" cm="1">
        <f ca="1" t="array" ref="L599">MIN(6,_xlfn.XLOOKUP($D599&amp;"_"&amp;L$52,$B$14:$B$36&amp;"_"&amp;$C$14:$C$36,$D$14:$D$36)*$E599)</f>
        <v>3.02925</v>
      </c>
      <c r="M599" s="95" cm="1">
        <f ca="1" t="array" ref="M599">(1+SUMPRODUCT(G599:H599,OFFSET($H$40:$I$40,D599,0)))*(1+OFFSET($J$40,D599,0))^I599*(1+OFFSET($K$40,D599,0))^J599*(1+OFFSET($L$40,D599,0))^K599*(1+OFFSET($M$40,D599,0))^L599</f>
        <v>92.5241083349512</v>
      </c>
      <c r="N599" s="95">
        <f ca="1">MAX(MAX($N$53:N598),OFFSET($C$52,MATCH(M599*1.07,$M$53:$M$2052,1),0)-C599)</f>
        <v>9720</v>
      </c>
    </row>
    <row r="600" spans="2:14">
      <c r="B600" s="95">
        <v>548</v>
      </c>
      <c r="C600" s="95">
        <f t="shared" si="49"/>
        <v>197280</v>
      </c>
      <c r="D600" s="95">
        <f ca="1">_xlfn.XLOOKUP(总览!$B$44,$B$40:$B$45,$C$40:$C$45)</f>
        <v>5</v>
      </c>
      <c r="E600" s="95">
        <f ca="1" t="shared" si="46"/>
        <v>578</v>
      </c>
      <c r="F600" s="95">
        <f ca="1" t="shared" si="47"/>
        <v>0</v>
      </c>
      <c r="G600" s="95">
        <f ca="1" t="shared" si="48"/>
        <v>0.046599999999998</v>
      </c>
      <c r="H600" s="95" cm="1">
        <f ca="1" t="array" ref="H600">MIN(30-SUM(I600:L600),_xlfn.XLOOKUP($D600&amp;"_"&amp;H$52,$B$14:$B$36&amp;"_"&amp;$C$14:$C$36,$D$14:$D$36)*$E600,18)</f>
        <v>18</v>
      </c>
      <c r="I600" s="95" cm="1">
        <f ca="1" t="array" ref="I600">MIN(30-SUM(J600:L600),6-L600,_xlfn.XLOOKUP($D600&amp;"_"&amp;I$52,$B$14:$B$36&amp;"_"&amp;$C$14:$C$36,$D$14:$D$36)*$E600)</f>
        <v>2.9655</v>
      </c>
      <c r="J600" s="95" cm="1">
        <f ca="1" t="array" ref="J600">MIN(8,_xlfn.XLOOKUP($D600&amp;"_"&amp;J$52,$B$14:$B$36&amp;"_"&amp;$C$14:$C$36,$D$14:$D$36)*$E600)</f>
        <v>4.335</v>
      </c>
      <c r="K600" s="95" cm="1">
        <f ca="1" t="array" ref="K600">MIN(18,_xlfn.XLOOKUP($D600&amp;"_"&amp;K$52,$B$14:$B$36&amp;"_"&amp;$C$14:$C$36,$D$14:$D$36)*$E600)</f>
        <v>1.6184</v>
      </c>
      <c r="L600" s="95" cm="1">
        <f ca="1" t="array" ref="L600">MIN(6,_xlfn.XLOOKUP($D600&amp;"_"&amp;L$52,$B$14:$B$36&amp;"_"&amp;$C$14:$C$36,$D$14:$D$36)*$E600)</f>
        <v>3.0345</v>
      </c>
      <c r="M600" s="95" cm="1">
        <f ca="1" t="array" ref="M600">(1+SUMPRODUCT(G600:H600,OFFSET($H$40:$I$40,D600,0)))*(1+OFFSET($J$40,D600,0))^I600*(1+OFFSET($K$40,D600,0))^J600*(1+OFFSET($L$40,D600,0))^K600*(1+OFFSET($M$40,D600,0))^L600</f>
        <v>92.7659550838529</v>
      </c>
      <c r="N600" s="95">
        <f ca="1">MAX(MAX($N$53:N599),OFFSET($C$52,MATCH(M600*1.07,$M$53:$M$2052,1),0)-C600)</f>
        <v>9720</v>
      </c>
    </row>
    <row r="601" spans="2:14">
      <c r="B601" s="95">
        <v>549</v>
      </c>
      <c r="C601" s="95">
        <f t="shared" si="49"/>
        <v>197640</v>
      </c>
      <c r="D601" s="95">
        <f ca="1">_xlfn.XLOOKUP(总览!$B$44,$B$40:$B$45,$C$40:$C$45)</f>
        <v>5</v>
      </c>
      <c r="E601" s="95">
        <f ca="1" t="shared" si="46"/>
        <v>579</v>
      </c>
      <c r="F601" s="95">
        <f ca="1" t="shared" si="47"/>
        <v>0</v>
      </c>
      <c r="G601" s="95">
        <f ca="1" t="shared" si="48"/>
        <v>0.0362999999999971</v>
      </c>
      <c r="H601" s="95" cm="1">
        <f ca="1" t="array" ref="H601">MIN(30-SUM(I601:L601),_xlfn.XLOOKUP($D601&amp;"_"&amp;H$52,$B$14:$B$36&amp;"_"&amp;$C$14:$C$36,$D$14:$D$36)*$E601,18)</f>
        <v>18</v>
      </c>
      <c r="I601" s="95" cm="1">
        <f ca="1" t="array" ref="I601">MIN(30-SUM(J601:L601),6-L601,_xlfn.XLOOKUP($D601&amp;"_"&amp;I$52,$B$14:$B$36&amp;"_"&amp;$C$14:$C$36,$D$14:$D$36)*$E601)</f>
        <v>2.96025</v>
      </c>
      <c r="J601" s="95" cm="1">
        <f ca="1" t="array" ref="J601">MIN(8,_xlfn.XLOOKUP($D601&amp;"_"&amp;J$52,$B$14:$B$36&amp;"_"&amp;$C$14:$C$36,$D$14:$D$36)*$E601)</f>
        <v>4.3425</v>
      </c>
      <c r="K601" s="95" cm="1">
        <f ca="1" t="array" ref="K601">MIN(18,_xlfn.XLOOKUP($D601&amp;"_"&amp;K$52,$B$14:$B$36&amp;"_"&amp;$C$14:$C$36,$D$14:$D$36)*$E601)</f>
        <v>1.6212</v>
      </c>
      <c r="L601" s="95" cm="1">
        <f ca="1" t="array" ref="L601">MIN(6,_xlfn.XLOOKUP($D601&amp;"_"&amp;L$52,$B$14:$B$36&amp;"_"&amp;$C$14:$C$36,$D$14:$D$36)*$E601)</f>
        <v>3.03975</v>
      </c>
      <c r="M601" s="95" cm="1">
        <f ca="1" t="array" ref="M601">(1+SUMPRODUCT(G601:H601,OFFSET($H$40:$I$40,D601,0)))*(1+OFFSET($J$40,D601,0))^I601*(1+OFFSET($K$40,D601,0))^J601*(1+OFFSET($L$40,D601,0))^K601*(1+OFFSET($M$40,D601,0))^L601</f>
        <v>93.0084272920308</v>
      </c>
      <c r="N601" s="95">
        <f ca="1">MAX(MAX($N$53:N600),OFFSET($C$52,MATCH(M601*1.07,$M$53:$M$2052,1),0)-C601)</f>
        <v>9720</v>
      </c>
    </row>
    <row r="602" spans="2:14">
      <c r="B602" s="95">
        <v>550</v>
      </c>
      <c r="C602" s="95">
        <f t="shared" si="49"/>
        <v>198000</v>
      </c>
      <c r="D602" s="95">
        <f ca="1">_xlfn.XLOOKUP(总览!$B$44,$B$40:$B$45,$C$40:$C$45)</f>
        <v>5</v>
      </c>
      <c r="E602" s="95">
        <f ca="1" t="shared" si="46"/>
        <v>580</v>
      </c>
      <c r="F602" s="95">
        <f ca="1" t="shared" si="47"/>
        <v>0</v>
      </c>
      <c r="G602" s="95">
        <f ca="1" t="shared" si="48"/>
        <v>0.0259999999999998</v>
      </c>
      <c r="H602" s="95" cm="1">
        <f ca="1" t="array" ref="H602">MIN(30-SUM(I602:L602),_xlfn.XLOOKUP($D602&amp;"_"&amp;H$52,$B$14:$B$36&amp;"_"&amp;$C$14:$C$36,$D$14:$D$36)*$E602,18)</f>
        <v>18</v>
      </c>
      <c r="I602" s="95" cm="1">
        <f ca="1" t="array" ref="I602">MIN(30-SUM(J602:L602),6-L602,_xlfn.XLOOKUP($D602&amp;"_"&amp;I$52,$B$14:$B$36&amp;"_"&amp;$C$14:$C$36,$D$14:$D$36)*$E602)</f>
        <v>2.955</v>
      </c>
      <c r="J602" s="95" cm="1">
        <f ca="1" t="array" ref="J602">MIN(8,_xlfn.XLOOKUP($D602&amp;"_"&amp;J$52,$B$14:$B$36&amp;"_"&amp;$C$14:$C$36,$D$14:$D$36)*$E602)</f>
        <v>4.35</v>
      </c>
      <c r="K602" s="95" cm="1">
        <f ca="1" t="array" ref="K602">MIN(18,_xlfn.XLOOKUP($D602&amp;"_"&amp;K$52,$B$14:$B$36&amp;"_"&amp;$C$14:$C$36,$D$14:$D$36)*$E602)</f>
        <v>1.624</v>
      </c>
      <c r="L602" s="95" cm="1">
        <f ca="1" t="array" ref="L602">MIN(6,_xlfn.XLOOKUP($D602&amp;"_"&amp;L$52,$B$14:$B$36&amp;"_"&amp;$C$14:$C$36,$D$14:$D$36)*$E602)</f>
        <v>3.045</v>
      </c>
      <c r="M602" s="95" cm="1">
        <f ca="1" t="array" ref="M602">(1+SUMPRODUCT(G602:H602,OFFSET($H$40:$I$40,D602,0)))*(1+OFFSET($J$40,D602,0))^I602*(1+OFFSET($K$40,D602,0))^J602*(1+OFFSET($L$40,D602,0))^K602*(1+OFFSET($M$40,D602,0))^L602</f>
        <v>93.2515265557352</v>
      </c>
      <c r="N602" s="95">
        <f ca="1">MAX(MAX($N$53:N601),OFFSET($C$52,MATCH(M602*1.07,$M$53:$M$2052,1),0)-C602)</f>
        <v>9720</v>
      </c>
    </row>
    <row r="603" spans="2:14">
      <c r="B603" s="95">
        <v>551</v>
      </c>
      <c r="C603" s="95">
        <f t="shared" si="49"/>
        <v>198360</v>
      </c>
      <c r="D603" s="95">
        <f ca="1">_xlfn.XLOOKUP(总览!$B$44,$B$40:$B$45,$C$40:$C$45)</f>
        <v>5</v>
      </c>
      <c r="E603" s="95">
        <f ca="1" t="shared" si="46"/>
        <v>581</v>
      </c>
      <c r="F603" s="95">
        <f ca="1" t="shared" si="47"/>
        <v>0</v>
      </c>
      <c r="G603" s="95">
        <f ca="1" t="shared" si="48"/>
        <v>0.0156999999999954</v>
      </c>
      <c r="H603" s="95" cm="1">
        <f ca="1" t="array" ref="H603">MIN(30-SUM(I603:L603),_xlfn.XLOOKUP($D603&amp;"_"&amp;H$52,$B$14:$B$36&amp;"_"&amp;$C$14:$C$36,$D$14:$D$36)*$E603,18)</f>
        <v>18</v>
      </c>
      <c r="I603" s="95" cm="1">
        <f ca="1" t="array" ref="I603">MIN(30-SUM(J603:L603),6-L603,_xlfn.XLOOKUP($D603&amp;"_"&amp;I$52,$B$14:$B$36&amp;"_"&amp;$C$14:$C$36,$D$14:$D$36)*$E603)</f>
        <v>2.94975</v>
      </c>
      <c r="J603" s="95" cm="1">
        <f ca="1" t="array" ref="J603">MIN(8,_xlfn.XLOOKUP($D603&amp;"_"&amp;J$52,$B$14:$B$36&amp;"_"&amp;$C$14:$C$36,$D$14:$D$36)*$E603)</f>
        <v>4.3575</v>
      </c>
      <c r="K603" s="95" cm="1">
        <f ca="1" t="array" ref="K603">MIN(18,_xlfn.XLOOKUP($D603&amp;"_"&amp;K$52,$B$14:$B$36&amp;"_"&amp;$C$14:$C$36,$D$14:$D$36)*$E603)</f>
        <v>1.6268</v>
      </c>
      <c r="L603" s="95" cm="1">
        <f ca="1" t="array" ref="L603">MIN(6,_xlfn.XLOOKUP($D603&amp;"_"&amp;L$52,$B$14:$B$36&amp;"_"&amp;$C$14:$C$36,$D$14:$D$36)*$E603)</f>
        <v>3.05025</v>
      </c>
      <c r="M603" s="95" cm="1">
        <f ca="1" t="array" ref="M603">(1+SUMPRODUCT(G603:H603,OFFSET($H$40:$I$40,D603,0)))*(1+OFFSET($J$40,D603,0))^I603*(1+OFFSET($K$40,D603,0))^J603*(1+OFFSET($L$40,D603,0))^K603*(1+OFFSET($M$40,D603,0))^L603</f>
        <v>93.4952544752223</v>
      </c>
      <c r="N603" s="95">
        <f ca="1">MAX(MAX($N$53:N602),OFFSET($C$52,MATCH(M603*1.07,$M$53:$M$2052,1),0)-C603)</f>
        <v>9720</v>
      </c>
    </row>
    <row r="604" spans="2:14">
      <c r="B604" s="95">
        <v>552</v>
      </c>
      <c r="C604" s="95">
        <f t="shared" si="49"/>
        <v>198720</v>
      </c>
      <c r="D604" s="95">
        <f ca="1">_xlfn.XLOOKUP(总览!$B$44,$B$40:$B$45,$C$40:$C$45)</f>
        <v>5</v>
      </c>
      <c r="E604" s="95">
        <f ca="1" t="shared" si="46"/>
        <v>582</v>
      </c>
      <c r="F604" s="95">
        <f ca="1" t="shared" si="47"/>
        <v>0</v>
      </c>
      <c r="G604" s="95">
        <f ca="1" t="shared" si="48"/>
        <v>0.00540000000000163</v>
      </c>
      <c r="H604" s="95" cm="1">
        <f ca="1" t="array" ref="H604">MIN(30-SUM(I604:L604),_xlfn.XLOOKUP($D604&amp;"_"&amp;H$52,$B$14:$B$36&amp;"_"&amp;$C$14:$C$36,$D$14:$D$36)*$E604,18)</f>
        <v>18</v>
      </c>
      <c r="I604" s="95" cm="1">
        <f ca="1" t="array" ref="I604">MIN(30-SUM(J604:L604),6-L604,_xlfn.XLOOKUP($D604&amp;"_"&amp;I$52,$B$14:$B$36&amp;"_"&amp;$C$14:$C$36,$D$14:$D$36)*$E604)</f>
        <v>2.9445</v>
      </c>
      <c r="J604" s="95" cm="1">
        <f ca="1" t="array" ref="J604">MIN(8,_xlfn.XLOOKUP($D604&amp;"_"&amp;J$52,$B$14:$B$36&amp;"_"&amp;$C$14:$C$36,$D$14:$D$36)*$E604)</f>
        <v>4.365</v>
      </c>
      <c r="K604" s="95" cm="1">
        <f ca="1" t="array" ref="K604">MIN(18,_xlfn.XLOOKUP($D604&amp;"_"&amp;K$52,$B$14:$B$36&amp;"_"&amp;$C$14:$C$36,$D$14:$D$36)*$E604)</f>
        <v>1.6296</v>
      </c>
      <c r="L604" s="95" cm="1">
        <f ca="1" t="array" ref="L604">MIN(6,_xlfn.XLOOKUP($D604&amp;"_"&amp;L$52,$B$14:$B$36&amp;"_"&amp;$C$14:$C$36,$D$14:$D$36)*$E604)</f>
        <v>3.0555</v>
      </c>
      <c r="M604" s="95" cm="1">
        <f ca="1" t="array" ref="M604">(1+SUMPRODUCT(G604:H604,OFFSET($H$40:$I$40,D604,0)))*(1+OFFSET($J$40,D604,0))^I604*(1+OFFSET($K$40,D604,0))^J604*(1+OFFSET($L$40,D604,0))^K604*(1+OFFSET($M$40,D604,0))^L604</f>
        <v>93.7396126547629</v>
      </c>
      <c r="N604" s="95">
        <f ca="1">MAX(MAX($N$53:N603),OFFSET($C$52,MATCH(M604*1.07,$M$53:$M$2052,1),0)-C604)</f>
        <v>9720</v>
      </c>
    </row>
    <row r="605" spans="2:14">
      <c r="B605" s="95">
        <v>553</v>
      </c>
      <c r="C605" s="95">
        <f t="shared" si="49"/>
        <v>199080</v>
      </c>
      <c r="D605" s="95">
        <f ca="1">_xlfn.XLOOKUP(总览!$B$44,$B$40:$B$45,$C$40:$C$45)</f>
        <v>5</v>
      </c>
      <c r="E605" s="95">
        <f ca="1" t="shared" si="46"/>
        <v>583</v>
      </c>
      <c r="F605" s="95">
        <f ca="1" t="shared" si="47"/>
        <v>0</v>
      </c>
      <c r="G605" s="95">
        <f ca="1" t="shared" si="48"/>
        <v>0</v>
      </c>
      <c r="H605" s="95" cm="1">
        <f ca="1" t="array" ref="H605">MIN(30-SUM(I605:L605),_xlfn.XLOOKUP($D605&amp;"_"&amp;H$52,$B$14:$B$36&amp;"_"&amp;$C$14:$C$36,$D$14:$D$36)*$E605,18)</f>
        <v>17.9951</v>
      </c>
      <c r="I605" s="95" cm="1">
        <f ca="1" t="array" ref="I605">MIN(30-SUM(J605:L605),6-L605,_xlfn.XLOOKUP($D605&amp;"_"&amp;I$52,$B$14:$B$36&amp;"_"&amp;$C$14:$C$36,$D$14:$D$36)*$E605)</f>
        <v>2.93925</v>
      </c>
      <c r="J605" s="95" cm="1">
        <f ca="1" t="array" ref="J605">MIN(8,_xlfn.XLOOKUP($D605&amp;"_"&amp;J$52,$B$14:$B$36&amp;"_"&amp;$C$14:$C$36,$D$14:$D$36)*$E605)</f>
        <v>4.3725</v>
      </c>
      <c r="K605" s="95" cm="1">
        <f ca="1" t="array" ref="K605">MIN(18,_xlfn.XLOOKUP($D605&amp;"_"&amp;K$52,$B$14:$B$36&amp;"_"&amp;$C$14:$C$36,$D$14:$D$36)*$E605)</f>
        <v>1.6324</v>
      </c>
      <c r="L605" s="95" cm="1">
        <f ca="1" t="array" ref="L605">MIN(6,_xlfn.XLOOKUP($D605&amp;"_"&amp;L$52,$B$14:$B$36&amp;"_"&amp;$C$14:$C$36,$D$14:$D$36)*$E605)</f>
        <v>3.06075</v>
      </c>
      <c r="M605" s="95" cm="1">
        <f ca="1" t="array" ref="M605">(1+SUMPRODUCT(G605:H605,OFFSET($H$40:$I$40,D605,0)))*(1+OFFSET($J$40,D605,0))^I605*(1+OFFSET($K$40,D605,0))^J605*(1+OFFSET($L$40,D605,0))^K605*(1+OFFSET($M$40,D605,0))^L605</f>
        <v>93.9765925560825</v>
      </c>
      <c r="N605" s="95">
        <f ca="1">MAX(MAX($N$53:N604),OFFSET($C$52,MATCH(M605*1.07,$M$53:$M$2052,1),0)-C605)</f>
        <v>9720</v>
      </c>
    </row>
    <row r="606" spans="2:14">
      <c r="B606" s="95">
        <v>554</v>
      </c>
      <c r="C606" s="95">
        <f t="shared" si="49"/>
        <v>199440</v>
      </c>
      <c r="D606" s="95">
        <f ca="1">_xlfn.XLOOKUP(总览!$B$44,$B$40:$B$45,$C$40:$C$45)</f>
        <v>5</v>
      </c>
      <c r="E606" s="95">
        <f ca="1" t="shared" si="46"/>
        <v>584</v>
      </c>
      <c r="F606" s="95">
        <f ca="1" t="shared" si="47"/>
        <v>0</v>
      </c>
      <c r="G606" s="95">
        <f ca="1" t="shared" si="48"/>
        <v>0</v>
      </c>
      <c r="H606" s="95" cm="1">
        <f ca="1" t="array" ref="H606">MIN(30-SUM(I606:L606),_xlfn.XLOOKUP($D606&amp;"_"&amp;H$52,$B$14:$B$36&amp;"_"&amp;$C$14:$C$36,$D$14:$D$36)*$E606,18)</f>
        <v>17.9848</v>
      </c>
      <c r="I606" s="95" cm="1">
        <f ca="1" t="array" ref="I606">MIN(30-SUM(J606:L606),6-L606,_xlfn.XLOOKUP($D606&amp;"_"&amp;I$52,$B$14:$B$36&amp;"_"&amp;$C$14:$C$36,$D$14:$D$36)*$E606)</f>
        <v>2.934</v>
      </c>
      <c r="J606" s="95" cm="1">
        <f ca="1" t="array" ref="J606">MIN(8,_xlfn.XLOOKUP($D606&amp;"_"&amp;J$52,$B$14:$B$36&amp;"_"&amp;$C$14:$C$36,$D$14:$D$36)*$E606)</f>
        <v>4.38</v>
      </c>
      <c r="K606" s="95" cm="1">
        <f ca="1" t="array" ref="K606">MIN(18,_xlfn.XLOOKUP($D606&amp;"_"&amp;K$52,$B$14:$B$36&amp;"_"&amp;$C$14:$C$36,$D$14:$D$36)*$E606)</f>
        <v>1.6352</v>
      </c>
      <c r="L606" s="95" cm="1">
        <f ca="1" t="array" ref="L606">MIN(6,_xlfn.XLOOKUP($D606&amp;"_"&amp;L$52,$B$14:$B$36&amp;"_"&amp;$C$14:$C$36,$D$14:$D$36)*$E606)</f>
        <v>3.066</v>
      </c>
      <c r="M606" s="95" cm="1">
        <f ca="1" t="array" ref="M606">(1+SUMPRODUCT(G606:H606,OFFSET($H$40:$I$40,D606,0)))*(1+OFFSET($J$40,D606,0))^I606*(1+OFFSET($K$40,D606,0))^J606*(1+OFFSET($L$40,D606,0))^K606*(1+OFFSET($M$40,D606,0))^L606</f>
        <v>94.2053067946705</v>
      </c>
      <c r="N606" s="95">
        <f ca="1">MAX(MAX($N$53:N605),OFFSET($C$52,MATCH(M606*1.07,$M$53:$M$2052,1),0)-C606)</f>
        <v>9720</v>
      </c>
    </row>
    <row r="607" spans="2:14">
      <c r="B607" s="95">
        <v>555</v>
      </c>
      <c r="C607" s="95">
        <f t="shared" si="49"/>
        <v>199800</v>
      </c>
      <c r="D607" s="95">
        <f ca="1">_xlfn.XLOOKUP(总览!$B$44,$B$40:$B$45,$C$40:$C$45)</f>
        <v>5</v>
      </c>
      <c r="E607" s="95">
        <f ca="1" t="shared" si="46"/>
        <v>585</v>
      </c>
      <c r="F607" s="95">
        <f ca="1" t="shared" si="47"/>
        <v>0</v>
      </c>
      <c r="G607" s="95">
        <f ca="1" t="shared" si="48"/>
        <v>0</v>
      </c>
      <c r="H607" s="95" cm="1">
        <f ca="1" t="array" ref="H607">MIN(30-SUM(I607:L607),_xlfn.XLOOKUP($D607&amp;"_"&amp;H$52,$B$14:$B$36&amp;"_"&amp;$C$14:$C$36,$D$14:$D$36)*$E607,18)</f>
        <v>17.9745</v>
      </c>
      <c r="I607" s="95" cm="1">
        <f ca="1" t="array" ref="I607">MIN(30-SUM(J607:L607),6-L607,_xlfn.XLOOKUP($D607&amp;"_"&amp;I$52,$B$14:$B$36&amp;"_"&amp;$C$14:$C$36,$D$14:$D$36)*$E607)</f>
        <v>2.92875</v>
      </c>
      <c r="J607" s="95" cm="1">
        <f ca="1" t="array" ref="J607">MIN(8,_xlfn.XLOOKUP($D607&amp;"_"&amp;J$52,$B$14:$B$36&amp;"_"&amp;$C$14:$C$36,$D$14:$D$36)*$E607)</f>
        <v>4.3875</v>
      </c>
      <c r="K607" s="95" cm="1">
        <f ca="1" t="array" ref="K607">MIN(18,_xlfn.XLOOKUP($D607&amp;"_"&amp;K$52,$B$14:$B$36&amp;"_"&amp;$C$14:$C$36,$D$14:$D$36)*$E607)</f>
        <v>1.638</v>
      </c>
      <c r="L607" s="95" cm="1">
        <f ca="1" t="array" ref="L607">MIN(6,_xlfn.XLOOKUP($D607&amp;"_"&amp;L$52,$B$14:$B$36&amp;"_"&amp;$C$14:$C$36,$D$14:$D$36)*$E607)</f>
        <v>3.07125</v>
      </c>
      <c r="M607" s="95" cm="1">
        <f ca="1" t="array" ref="M607">(1+SUMPRODUCT(G607:H607,OFFSET($H$40:$I$40,D607,0)))*(1+OFFSET($J$40,D607,0))^I607*(1+OFFSET($K$40,D607,0))^J607*(1+OFFSET($L$40,D607,0))^K607*(1+OFFSET($M$40,D607,0))^L607</f>
        <v>94.4345586996466</v>
      </c>
      <c r="N607" s="95">
        <f ca="1">MAX(MAX($N$53:N606),OFFSET($C$52,MATCH(M607*1.07,$M$53:$M$2052,1),0)-C607)</f>
        <v>9720</v>
      </c>
    </row>
    <row r="608" spans="2:14">
      <c r="B608" s="95">
        <v>556</v>
      </c>
      <c r="C608" s="95">
        <f t="shared" si="49"/>
        <v>200160</v>
      </c>
      <c r="D608" s="95">
        <f ca="1">_xlfn.XLOOKUP(总览!$B$44,$B$40:$B$45,$C$40:$C$45)</f>
        <v>5</v>
      </c>
      <c r="E608" s="95">
        <f ca="1" t="shared" si="46"/>
        <v>586</v>
      </c>
      <c r="F608" s="95">
        <f ca="1" t="shared" si="47"/>
        <v>0</v>
      </c>
      <c r="G608" s="95">
        <f ca="1" t="shared" si="48"/>
        <v>0</v>
      </c>
      <c r="H608" s="95" cm="1">
        <f ca="1" t="array" ref="H608">MIN(30-SUM(I608:L608),_xlfn.XLOOKUP($D608&amp;"_"&amp;H$52,$B$14:$B$36&amp;"_"&amp;$C$14:$C$36,$D$14:$D$36)*$E608,18)</f>
        <v>17.9642</v>
      </c>
      <c r="I608" s="95" cm="1">
        <f ca="1" t="array" ref="I608">MIN(30-SUM(J608:L608),6-L608,_xlfn.XLOOKUP($D608&amp;"_"&amp;I$52,$B$14:$B$36&amp;"_"&amp;$C$14:$C$36,$D$14:$D$36)*$E608)</f>
        <v>2.9235</v>
      </c>
      <c r="J608" s="95" cm="1">
        <f ca="1" t="array" ref="J608">MIN(8,_xlfn.XLOOKUP($D608&amp;"_"&amp;J$52,$B$14:$B$36&amp;"_"&amp;$C$14:$C$36,$D$14:$D$36)*$E608)</f>
        <v>4.395</v>
      </c>
      <c r="K608" s="95" cm="1">
        <f ca="1" t="array" ref="K608">MIN(18,_xlfn.XLOOKUP($D608&amp;"_"&amp;K$52,$B$14:$B$36&amp;"_"&amp;$C$14:$C$36,$D$14:$D$36)*$E608)</f>
        <v>1.6408</v>
      </c>
      <c r="L608" s="95" cm="1">
        <f ca="1" t="array" ref="L608">MIN(6,_xlfn.XLOOKUP($D608&amp;"_"&amp;L$52,$B$14:$B$36&amp;"_"&amp;$C$14:$C$36,$D$14:$D$36)*$E608)</f>
        <v>3.0765</v>
      </c>
      <c r="M608" s="95" cm="1">
        <f ca="1" t="array" ref="M608">(1+SUMPRODUCT(G608:H608,OFFSET($H$40:$I$40,D608,0)))*(1+OFFSET($J$40,D608,0))^I608*(1+OFFSET($K$40,D608,0))^J608*(1+OFFSET($L$40,D608,0))^K608*(1+OFFSET($M$40,D608,0))^L608</f>
        <v>94.6643494702062</v>
      </c>
      <c r="N608" s="95">
        <f ca="1">MAX(MAX($N$53:N607),OFFSET($C$52,MATCH(M608*1.07,$M$53:$M$2052,1),0)-C608)</f>
        <v>9720</v>
      </c>
    </row>
    <row r="609" spans="2:14">
      <c r="B609" s="95">
        <v>557</v>
      </c>
      <c r="C609" s="95">
        <f t="shared" ref="C609:C648" si="50">C608+360</f>
        <v>200520</v>
      </c>
      <c r="D609" s="95">
        <f ca="1">_xlfn.XLOOKUP(总览!$B$44,$B$40:$B$45,$C$40:$C$45)</f>
        <v>5</v>
      </c>
      <c r="E609" s="95">
        <f ca="1" t="shared" si="46"/>
        <v>587</v>
      </c>
      <c r="F609" s="95">
        <f ca="1" t="shared" si="47"/>
        <v>0</v>
      </c>
      <c r="G609" s="95">
        <f ca="1" t="shared" si="48"/>
        <v>0</v>
      </c>
      <c r="H609" s="95" cm="1">
        <f ca="1" t="array" ref="H609">MIN(30-SUM(I609:L609),_xlfn.XLOOKUP($D609&amp;"_"&amp;H$52,$B$14:$B$36&amp;"_"&amp;$C$14:$C$36,$D$14:$D$36)*$E609,18)</f>
        <v>17.9539</v>
      </c>
      <c r="I609" s="95" cm="1">
        <f ca="1" t="array" ref="I609">MIN(30-SUM(J609:L609),6-L609,_xlfn.XLOOKUP($D609&amp;"_"&amp;I$52,$B$14:$B$36&amp;"_"&amp;$C$14:$C$36,$D$14:$D$36)*$E609)</f>
        <v>2.91825</v>
      </c>
      <c r="J609" s="95" cm="1">
        <f ca="1" t="array" ref="J609">MIN(8,_xlfn.XLOOKUP($D609&amp;"_"&amp;J$52,$B$14:$B$36&amp;"_"&amp;$C$14:$C$36,$D$14:$D$36)*$E609)</f>
        <v>4.4025</v>
      </c>
      <c r="K609" s="95" cm="1">
        <f ca="1" t="array" ref="K609">MIN(18,_xlfn.XLOOKUP($D609&amp;"_"&amp;K$52,$B$14:$B$36&amp;"_"&amp;$C$14:$C$36,$D$14:$D$36)*$E609)</f>
        <v>1.6436</v>
      </c>
      <c r="L609" s="95" cm="1">
        <f ca="1" t="array" ref="L609">MIN(6,_xlfn.XLOOKUP($D609&amp;"_"&amp;L$52,$B$14:$B$36&amp;"_"&amp;$C$14:$C$36,$D$14:$D$36)*$E609)</f>
        <v>3.08175</v>
      </c>
      <c r="M609" s="95" cm="1">
        <f ca="1" t="array" ref="M609">(1+SUMPRODUCT(G609:H609,OFFSET($H$40:$I$40,D609,0)))*(1+OFFSET($J$40,D609,0))^I609*(1+OFFSET($K$40,D609,0))^J609*(1+OFFSET($L$40,D609,0))^K609*(1+OFFSET($M$40,D609,0))^L609</f>
        <v>94.89468030799</v>
      </c>
      <c r="N609" s="95">
        <f ca="1">MAX(MAX($N$53:N608),OFFSET($C$52,MATCH(M609*1.07,$M$53:$M$2052,1),0)-C609)</f>
        <v>9720</v>
      </c>
    </row>
    <row r="610" spans="2:14">
      <c r="B610" s="95">
        <v>558</v>
      </c>
      <c r="C610" s="95">
        <f t="shared" si="50"/>
        <v>200880</v>
      </c>
      <c r="D610" s="95">
        <f ca="1">_xlfn.XLOOKUP(总览!$B$44,$B$40:$B$45,$C$40:$C$45)</f>
        <v>5</v>
      </c>
      <c r="E610" s="95">
        <f ca="1" t="shared" si="46"/>
        <v>588</v>
      </c>
      <c r="F610" s="95">
        <f ca="1" t="shared" si="47"/>
        <v>0</v>
      </c>
      <c r="G610" s="95">
        <f ca="1" t="shared" si="48"/>
        <v>0</v>
      </c>
      <c r="H610" s="95" cm="1">
        <f ca="1" t="array" ref="H610">MIN(30-SUM(I610:L610),_xlfn.XLOOKUP($D610&amp;"_"&amp;H$52,$B$14:$B$36&amp;"_"&amp;$C$14:$C$36,$D$14:$D$36)*$E610,18)</f>
        <v>17.9436</v>
      </c>
      <c r="I610" s="95" cm="1">
        <f ca="1" t="array" ref="I610">MIN(30-SUM(J610:L610),6-L610,_xlfn.XLOOKUP($D610&amp;"_"&amp;I$52,$B$14:$B$36&amp;"_"&amp;$C$14:$C$36,$D$14:$D$36)*$E610)</f>
        <v>2.913</v>
      </c>
      <c r="J610" s="95" cm="1">
        <f ca="1" t="array" ref="J610">MIN(8,_xlfn.XLOOKUP($D610&amp;"_"&amp;J$52,$B$14:$B$36&amp;"_"&amp;$C$14:$C$36,$D$14:$D$36)*$E610)</f>
        <v>4.41</v>
      </c>
      <c r="K610" s="95" cm="1">
        <f ca="1" t="array" ref="K610">MIN(18,_xlfn.XLOOKUP($D610&amp;"_"&amp;K$52,$B$14:$B$36&amp;"_"&amp;$C$14:$C$36,$D$14:$D$36)*$E610)</f>
        <v>1.6464</v>
      </c>
      <c r="L610" s="95" cm="1">
        <f ca="1" t="array" ref="L610">MIN(6,_xlfn.XLOOKUP($D610&amp;"_"&amp;L$52,$B$14:$B$36&amp;"_"&amp;$C$14:$C$36,$D$14:$D$36)*$E610)</f>
        <v>3.087</v>
      </c>
      <c r="M610" s="95" cm="1">
        <f ca="1" t="array" ref="M610">(1+SUMPRODUCT(G610:H610,OFFSET($H$40:$I$40,D610,0)))*(1+OFFSET($J$40,D610,0))^I610*(1+OFFSET($K$40,D610,0))^J610*(1+OFFSET($L$40,D610,0))^K610*(1+OFFSET($M$40,D610,0))^L610</f>
        <v>95.1255524170886</v>
      </c>
      <c r="N610" s="95">
        <f ca="1">MAX(MAX($N$53:N609),OFFSET($C$52,MATCH(M610*1.07,$M$53:$M$2052,1),0)-C610)</f>
        <v>9720</v>
      </c>
    </row>
    <row r="611" spans="2:14">
      <c r="B611" s="95">
        <v>559</v>
      </c>
      <c r="C611" s="95">
        <f t="shared" si="50"/>
        <v>201240</v>
      </c>
      <c r="D611" s="95">
        <f ca="1">_xlfn.XLOOKUP(总览!$B$44,$B$40:$B$45,$C$40:$C$45)</f>
        <v>5</v>
      </c>
      <c r="E611" s="95">
        <f ca="1" t="shared" si="46"/>
        <v>589</v>
      </c>
      <c r="F611" s="95">
        <f ca="1" t="shared" si="47"/>
        <v>0</v>
      </c>
      <c r="G611" s="95">
        <f ca="1" t="shared" si="48"/>
        <v>0</v>
      </c>
      <c r="H611" s="95" cm="1">
        <f ca="1" t="array" ref="H611">MIN(30-SUM(I611:L611),_xlfn.XLOOKUP($D611&amp;"_"&amp;H$52,$B$14:$B$36&amp;"_"&amp;$C$14:$C$36,$D$14:$D$36)*$E611,18)</f>
        <v>17.9333</v>
      </c>
      <c r="I611" s="95" cm="1">
        <f ca="1" t="array" ref="I611">MIN(30-SUM(J611:L611),6-L611,_xlfn.XLOOKUP($D611&amp;"_"&amp;I$52,$B$14:$B$36&amp;"_"&amp;$C$14:$C$36,$D$14:$D$36)*$E611)</f>
        <v>2.90775</v>
      </c>
      <c r="J611" s="95" cm="1">
        <f ca="1" t="array" ref="J611">MIN(8,_xlfn.XLOOKUP($D611&amp;"_"&amp;J$52,$B$14:$B$36&amp;"_"&amp;$C$14:$C$36,$D$14:$D$36)*$E611)</f>
        <v>4.4175</v>
      </c>
      <c r="K611" s="95" cm="1">
        <f ca="1" t="array" ref="K611">MIN(18,_xlfn.XLOOKUP($D611&amp;"_"&amp;K$52,$B$14:$B$36&amp;"_"&amp;$C$14:$C$36,$D$14:$D$36)*$E611)</f>
        <v>1.6492</v>
      </c>
      <c r="L611" s="95" cm="1">
        <f ca="1" t="array" ref="L611">MIN(6,_xlfn.XLOOKUP($D611&amp;"_"&amp;L$52,$B$14:$B$36&amp;"_"&amp;$C$14:$C$36,$D$14:$D$36)*$E611)</f>
        <v>3.09225</v>
      </c>
      <c r="M611" s="95" cm="1">
        <f ca="1" t="array" ref="M611">(1+SUMPRODUCT(G611:H611,OFFSET($H$40:$I$40,D611,0)))*(1+OFFSET($J$40,D611,0))^I611*(1+OFFSET($K$40,D611,0))^J611*(1+OFFSET($L$40,D611,0))^K611*(1+OFFSET($M$40,D611,0))^L611</f>
        <v>95.3569670040468</v>
      </c>
      <c r="N611" s="95">
        <f ca="1">MAX(MAX($N$53:N610),OFFSET($C$52,MATCH(M611*1.07,$M$53:$M$2052,1),0)-C611)</f>
        <v>9720</v>
      </c>
    </row>
    <row r="612" spans="2:14">
      <c r="B612" s="95">
        <v>560</v>
      </c>
      <c r="C612" s="95">
        <f t="shared" si="50"/>
        <v>201600</v>
      </c>
      <c r="D612" s="95">
        <f ca="1">_xlfn.XLOOKUP(总览!$B$44,$B$40:$B$45,$C$40:$C$45)</f>
        <v>5</v>
      </c>
      <c r="E612" s="95">
        <f ca="1" t="shared" si="46"/>
        <v>590</v>
      </c>
      <c r="F612" s="95">
        <f ca="1" t="shared" si="47"/>
        <v>0</v>
      </c>
      <c r="G612" s="95">
        <f ca="1" t="shared" si="48"/>
        <v>0</v>
      </c>
      <c r="H612" s="95" cm="1">
        <f ca="1" t="array" ref="H612">MIN(30-SUM(I612:L612),_xlfn.XLOOKUP($D612&amp;"_"&amp;H$52,$B$14:$B$36&amp;"_"&amp;$C$14:$C$36,$D$14:$D$36)*$E612,18)</f>
        <v>17.923</v>
      </c>
      <c r="I612" s="95" cm="1">
        <f ca="1" t="array" ref="I612">MIN(30-SUM(J612:L612),6-L612,_xlfn.XLOOKUP($D612&amp;"_"&amp;I$52,$B$14:$B$36&amp;"_"&amp;$C$14:$C$36,$D$14:$D$36)*$E612)</f>
        <v>2.9025</v>
      </c>
      <c r="J612" s="95" cm="1">
        <f ca="1" t="array" ref="J612">MIN(8,_xlfn.XLOOKUP($D612&amp;"_"&amp;J$52,$B$14:$B$36&amp;"_"&amp;$C$14:$C$36,$D$14:$D$36)*$E612)</f>
        <v>4.425</v>
      </c>
      <c r="K612" s="95" cm="1">
        <f ca="1" t="array" ref="K612">MIN(18,_xlfn.XLOOKUP($D612&amp;"_"&amp;K$52,$B$14:$B$36&amp;"_"&amp;$C$14:$C$36,$D$14:$D$36)*$E612)</f>
        <v>1.652</v>
      </c>
      <c r="L612" s="95" cm="1">
        <f ca="1" t="array" ref="L612">MIN(6,_xlfn.XLOOKUP($D612&amp;"_"&amp;L$52,$B$14:$B$36&amp;"_"&amp;$C$14:$C$36,$D$14:$D$36)*$E612)</f>
        <v>3.0975</v>
      </c>
      <c r="M612" s="95" cm="1">
        <f ca="1" t="array" ref="M612">(1+SUMPRODUCT(G612:H612,OFFSET($H$40:$I$40,D612,0)))*(1+OFFSET($J$40,D612,0))^I612*(1+OFFSET($K$40,D612,0))^J612*(1+OFFSET($L$40,D612,0))^K612*(1+OFFSET($M$40,D612,0))^L612</f>
        <v>95.5889252778672</v>
      </c>
      <c r="N612" s="95">
        <f ca="1">MAX(MAX($N$53:N611),OFFSET($C$52,MATCH(M612*1.07,$M$53:$M$2052,1),0)-C612)</f>
        <v>9720</v>
      </c>
    </row>
    <row r="613" spans="2:14">
      <c r="B613" s="95">
        <v>561</v>
      </c>
      <c r="C613" s="95">
        <f t="shared" si="50"/>
        <v>201960</v>
      </c>
      <c r="D613" s="95">
        <f ca="1">_xlfn.XLOOKUP(总览!$B$44,$B$40:$B$45,$C$40:$C$45)</f>
        <v>5</v>
      </c>
      <c r="E613" s="95">
        <f ca="1" t="shared" si="46"/>
        <v>591</v>
      </c>
      <c r="F613" s="95">
        <f ca="1" t="shared" si="47"/>
        <v>0</v>
      </c>
      <c r="G613" s="95">
        <f ca="1" t="shared" si="48"/>
        <v>0</v>
      </c>
      <c r="H613" s="95" cm="1">
        <f ca="1" t="array" ref="H613">MIN(30-SUM(I613:L613),_xlfn.XLOOKUP($D613&amp;"_"&amp;H$52,$B$14:$B$36&amp;"_"&amp;$C$14:$C$36,$D$14:$D$36)*$E613,18)</f>
        <v>17.9127</v>
      </c>
      <c r="I613" s="95" cm="1">
        <f ca="1" t="array" ref="I613">MIN(30-SUM(J613:L613),6-L613,_xlfn.XLOOKUP($D613&amp;"_"&amp;I$52,$B$14:$B$36&amp;"_"&amp;$C$14:$C$36,$D$14:$D$36)*$E613)</f>
        <v>2.89725</v>
      </c>
      <c r="J613" s="95" cm="1">
        <f ca="1" t="array" ref="J613">MIN(8,_xlfn.XLOOKUP($D613&amp;"_"&amp;J$52,$B$14:$B$36&amp;"_"&amp;$C$14:$C$36,$D$14:$D$36)*$E613)</f>
        <v>4.4325</v>
      </c>
      <c r="K613" s="95" cm="1">
        <f ca="1" t="array" ref="K613">MIN(18,_xlfn.XLOOKUP($D613&amp;"_"&amp;K$52,$B$14:$B$36&amp;"_"&amp;$C$14:$C$36,$D$14:$D$36)*$E613)</f>
        <v>1.6548</v>
      </c>
      <c r="L613" s="95" cm="1">
        <f ca="1" t="array" ref="L613">MIN(6,_xlfn.XLOOKUP($D613&amp;"_"&amp;L$52,$B$14:$B$36&amp;"_"&amp;$C$14:$C$36,$D$14:$D$36)*$E613)</f>
        <v>3.10275</v>
      </c>
      <c r="M613" s="95" cm="1">
        <f ca="1" t="array" ref="M613">(1+SUMPRODUCT(G613:H613,OFFSET($H$40:$I$40,D613,0)))*(1+OFFSET($J$40,D613,0))^I613*(1+OFFSET($K$40,D613,0))^J613*(1+OFFSET($L$40,D613,0))^K613*(1+OFFSET($M$40,D613,0))^L613</f>
        <v>95.8214284500147</v>
      </c>
      <c r="N613" s="95">
        <f ca="1">MAX(MAX($N$53:N612),OFFSET($C$52,MATCH(M613*1.07,$M$53:$M$2052,1),0)-C613)</f>
        <v>9720</v>
      </c>
    </row>
    <row r="614" spans="2:14">
      <c r="B614" s="95">
        <v>562</v>
      </c>
      <c r="C614" s="95">
        <f t="shared" si="50"/>
        <v>202320</v>
      </c>
      <c r="D614" s="95">
        <f ca="1">_xlfn.XLOOKUP(总览!$B$44,$B$40:$B$45,$C$40:$C$45)</f>
        <v>5</v>
      </c>
      <c r="E614" s="95">
        <f ca="1" t="shared" si="46"/>
        <v>592</v>
      </c>
      <c r="F614" s="95">
        <f ca="1" t="shared" si="47"/>
        <v>0</v>
      </c>
      <c r="G614" s="95">
        <f ca="1" t="shared" si="48"/>
        <v>0</v>
      </c>
      <c r="H614" s="95" cm="1">
        <f ca="1" t="array" ref="H614">MIN(30-SUM(I614:L614),_xlfn.XLOOKUP($D614&amp;"_"&amp;H$52,$B$14:$B$36&amp;"_"&amp;$C$14:$C$36,$D$14:$D$36)*$E614,18)</f>
        <v>17.9024</v>
      </c>
      <c r="I614" s="95" cm="1">
        <f ca="1" t="array" ref="I614">MIN(30-SUM(J614:L614),6-L614,_xlfn.XLOOKUP($D614&amp;"_"&amp;I$52,$B$14:$B$36&amp;"_"&amp;$C$14:$C$36,$D$14:$D$36)*$E614)</f>
        <v>2.892</v>
      </c>
      <c r="J614" s="95" cm="1">
        <f ca="1" t="array" ref="J614">MIN(8,_xlfn.XLOOKUP($D614&amp;"_"&amp;J$52,$B$14:$B$36&amp;"_"&amp;$C$14:$C$36,$D$14:$D$36)*$E614)</f>
        <v>4.44</v>
      </c>
      <c r="K614" s="95" cm="1">
        <f ca="1" t="array" ref="K614">MIN(18,_xlfn.XLOOKUP($D614&amp;"_"&amp;K$52,$B$14:$B$36&amp;"_"&amp;$C$14:$C$36,$D$14:$D$36)*$E614)</f>
        <v>1.6576</v>
      </c>
      <c r="L614" s="95" cm="1">
        <f ca="1" t="array" ref="L614">MIN(6,_xlfn.XLOOKUP($D614&amp;"_"&amp;L$52,$B$14:$B$36&amp;"_"&amp;$C$14:$C$36,$D$14:$D$36)*$E614)</f>
        <v>3.108</v>
      </c>
      <c r="M614" s="95" cm="1">
        <f ca="1" t="array" ref="M614">(1+SUMPRODUCT(G614:H614,OFFSET($H$40:$I$40,D614,0)))*(1+OFFSET($J$40,D614,0))^I614*(1+OFFSET($K$40,D614,0))^J614*(1+OFFSET($L$40,D614,0))^K614*(1+OFFSET($M$40,D614,0))^L614</f>
        <v>96.0544777344207</v>
      </c>
      <c r="N614" s="95">
        <f ca="1">MAX(MAX($N$53:N613),OFFSET($C$52,MATCH(M614*1.07,$M$53:$M$2052,1),0)-C614)</f>
        <v>9720</v>
      </c>
    </row>
    <row r="615" spans="2:14">
      <c r="B615" s="95">
        <v>563</v>
      </c>
      <c r="C615" s="95">
        <f t="shared" si="50"/>
        <v>202680</v>
      </c>
      <c r="D615" s="95">
        <f ca="1">_xlfn.XLOOKUP(总览!$B$44,$B$40:$B$45,$C$40:$C$45)</f>
        <v>5</v>
      </c>
      <c r="E615" s="95">
        <f ca="1" t="shared" si="46"/>
        <v>593</v>
      </c>
      <c r="F615" s="95">
        <f ca="1" t="shared" si="47"/>
        <v>0</v>
      </c>
      <c r="G615" s="95">
        <f ca="1" t="shared" si="48"/>
        <v>0</v>
      </c>
      <c r="H615" s="95" cm="1">
        <f ca="1" t="array" ref="H615">MIN(30-SUM(I615:L615),_xlfn.XLOOKUP($D615&amp;"_"&amp;H$52,$B$14:$B$36&amp;"_"&amp;$C$14:$C$36,$D$14:$D$36)*$E615,18)</f>
        <v>17.8921</v>
      </c>
      <c r="I615" s="95" cm="1">
        <f ca="1" t="array" ref="I615">MIN(30-SUM(J615:L615),6-L615,_xlfn.XLOOKUP($D615&amp;"_"&amp;I$52,$B$14:$B$36&amp;"_"&amp;$C$14:$C$36,$D$14:$D$36)*$E615)</f>
        <v>2.88675</v>
      </c>
      <c r="J615" s="95" cm="1">
        <f ca="1" t="array" ref="J615">MIN(8,_xlfn.XLOOKUP($D615&amp;"_"&amp;J$52,$B$14:$B$36&amp;"_"&amp;$C$14:$C$36,$D$14:$D$36)*$E615)</f>
        <v>4.4475</v>
      </c>
      <c r="K615" s="95" cm="1">
        <f ca="1" t="array" ref="K615">MIN(18,_xlfn.XLOOKUP($D615&amp;"_"&amp;K$52,$B$14:$B$36&amp;"_"&amp;$C$14:$C$36,$D$14:$D$36)*$E615)</f>
        <v>1.6604</v>
      </c>
      <c r="L615" s="95" cm="1">
        <f ca="1" t="array" ref="L615">MIN(6,_xlfn.XLOOKUP($D615&amp;"_"&amp;L$52,$B$14:$B$36&amp;"_"&amp;$C$14:$C$36,$D$14:$D$36)*$E615)</f>
        <v>3.11325</v>
      </c>
      <c r="M615" s="95" cm="1">
        <f ca="1" t="array" ref="M615">(1+SUMPRODUCT(G615:H615,OFFSET($H$40:$I$40,D615,0)))*(1+OFFSET($J$40,D615,0))^I615*(1+OFFSET($K$40,D615,0))^J615*(1+OFFSET($L$40,D615,0))^K615*(1+OFFSET($M$40,D615,0))^L615</f>
        <v>96.2880743474871</v>
      </c>
      <c r="N615" s="95">
        <f ca="1">MAX(MAX($N$53:N614),OFFSET($C$52,MATCH(M615*1.07,$M$53:$M$2052,1),0)-C615)</f>
        <v>9720</v>
      </c>
    </row>
    <row r="616" spans="2:14">
      <c r="B616" s="95">
        <v>564</v>
      </c>
      <c r="C616" s="95">
        <f t="shared" si="50"/>
        <v>203040</v>
      </c>
      <c r="D616" s="95">
        <f ca="1">_xlfn.XLOOKUP(总览!$B$44,$B$40:$B$45,$C$40:$C$45)</f>
        <v>5</v>
      </c>
      <c r="E616" s="95">
        <f ca="1" t="shared" si="46"/>
        <v>594</v>
      </c>
      <c r="F616" s="95">
        <f ca="1" t="shared" si="47"/>
        <v>0</v>
      </c>
      <c r="G616" s="95">
        <f ca="1" t="shared" si="48"/>
        <v>0</v>
      </c>
      <c r="H616" s="95" cm="1">
        <f ca="1" t="array" ref="H616">MIN(30-SUM(I616:L616),_xlfn.XLOOKUP($D616&amp;"_"&amp;H$52,$B$14:$B$36&amp;"_"&amp;$C$14:$C$36,$D$14:$D$36)*$E616,18)</f>
        <v>17.8818</v>
      </c>
      <c r="I616" s="95" cm="1">
        <f ca="1" t="array" ref="I616">MIN(30-SUM(J616:L616),6-L616,_xlfn.XLOOKUP($D616&amp;"_"&amp;I$52,$B$14:$B$36&amp;"_"&amp;$C$14:$C$36,$D$14:$D$36)*$E616)</f>
        <v>2.8815</v>
      </c>
      <c r="J616" s="95" cm="1">
        <f ca="1" t="array" ref="J616">MIN(8,_xlfn.XLOOKUP($D616&amp;"_"&amp;J$52,$B$14:$B$36&amp;"_"&amp;$C$14:$C$36,$D$14:$D$36)*$E616)</f>
        <v>4.455</v>
      </c>
      <c r="K616" s="95" cm="1">
        <f ca="1" t="array" ref="K616">MIN(18,_xlfn.XLOOKUP($D616&amp;"_"&amp;K$52,$B$14:$B$36&amp;"_"&amp;$C$14:$C$36,$D$14:$D$36)*$E616)</f>
        <v>1.6632</v>
      </c>
      <c r="L616" s="95" cm="1">
        <f ca="1" t="array" ref="L616">MIN(6,_xlfn.XLOOKUP($D616&amp;"_"&amp;L$52,$B$14:$B$36&amp;"_"&amp;$C$14:$C$36,$D$14:$D$36)*$E616)</f>
        <v>3.1185</v>
      </c>
      <c r="M616" s="95" cm="1">
        <f ca="1" t="array" ref="M616">(1+SUMPRODUCT(G616:H616,OFFSET($H$40:$I$40,D616,0)))*(1+OFFSET($J$40,D616,0))^I616*(1+OFFSET($K$40,D616,0))^J616*(1+OFFSET($L$40,D616,0))^K616*(1+OFFSET($M$40,D616,0))^L616</f>
        <v>96.5222195080904</v>
      </c>
      <c r="N616" s="95">
        <f ca="1">MAX(MAX($N$53:N615),OFFSET($C$52,MATCH(M616*1.07,$M$53:$M$2052,1),0)-C616)</f>
        <v>9720</v>
      </c>
    </row>
    <row r="617" spans="2:14">
      <c r="B617" s="95">
        <v>565</v>
      </c>
      <c r="C617" s="95">
        <f t="shared" si="50"/>
        <v>203400</v>
      </c>
      <c r="D617" s="95">
        <f ca="1">_xlfn.XLOOKUP(总览!$B$44,$B$40:$B$45,$C$40:$C$45)</f>
        <v>5</v>
      </c>
      <c r="E617" s="95">
        <f ca="1" t="shared" si="46"/>
        <v>595</v>
      </c>
      <c r="F617" s="95">
        <f ca="1" t="shared" si="47"/>
        <v>0</v>
      </c>
      <c r="G617" s="95">
        <f ca="1" t="shared" si="48"/>
        <v>0</v>
      </c>
      <c r="H617" s="95" cm="1">
        <f ca="1" t="array" ref="H617">MIN(30-SUM(I617:L617),_xlfn.XLOOKUP($D617&amp;"_"&amp;H$52,$B$14:$B$36&amp;"_"&amp;$C$14:$C$36,$D$14:$D$36)*$E617,18)</f>
        <v>17.8715</v>
      </c>
      <c r="I617" s="95" cm="1">
        <f ca="1" t="array" ref="I617">MIN(30-SUM(J617:L617),6-L617,_xlfn.XLOOKUP($D617&amp;"_"&amp;I$52,$B$14:$B$36&amp;"_"&amp;$C$14:$C$36,$D$14:$D$36)*$E617)</f>
        <v>2.87625</v>
      </c>
      <c r="J617" s="95" cm="1">
        <f ca="1" t="array" ref="J617">MIN(8,_xlfn.XLOOKUP($D617&amp;"_"&amp;J$52,$B$14:$B$36&amp;"_"&amp;$C$14:$C$36,$D$14:$D$36)*$E617)</f>
        <v>4.4625</v>
      </c>
      <c r="K617" s="95" cm="1">
        <f ca="1" t="array" ref="K617">MIN(18,_xlfn.XLOOKUP($D617&amp;"_"&amp;K$52,$B$14:$B$36&amp;"_"&amp;$C$14:$C$36,$D$14:$D$36)*$E617)</f>
        <v>1.666</v>
      </c>
      <c r="L617" s="95" cm="1">
        <f ca="1" t="array" ref="L617">MIN(6,_xlfn.XLOOKUP($D617&amp;"_"&amp;L$52,$B$14:$B$36&amp;"_"&amp;$C$14:$C$36,$D$14:$D$36)*$E617)</f>
        <v>3.12375</v>
      </c>
      <c r="M617" s="95" cm="1">
        <f ca="1" t="array" ref="M617">(1+SUMPRODUCT(G617:H617,OFFSET($H$40:$I$40,D617,0)))*(1+OFFSET($J$40,D617,0))^I617*(1+OFFSET($K$40,D617,0))^J617*(1+OFFSET($L$40,D617,0))^K617*(1+OFFSET($M$40,D617,0))^L617</f>
        <v>96.7569144375861</v>
      </c>
      <c r="N617" s="95">
        <f ca="1">MAX(MAX($N$53:N616),OFFSET($C$52,MATCH(M617*1.07,$M$53:$M$2052,1),0)-C617)</f>
        <v>9720</v>
      </c>
    </row>
    <row r="618" spans="2:14">
      <c r="B618" s="95">
        <v>566</v>
      </c>
      <c r="C618" s="95">
        <f t="shared" si="50"/>
        <v>203760</v>
      </c>
      <c r="D618" s="95">
        <f ca="1">_xlfn.XLOOKUP(总览!$B$44,$B$40:$B$45,$C$40:$C$45)</f>
        <v>5</v>
      </c>
      <c r="E618" s="95">
        <f ca="1" t="shared" si="46"/>
        <v>596</v>
      </c>
      <c r="F618" s="95">
        <f ca="1" t="shared" si="47"/>
        <v>0</v>
      </c>
      <c r="G618" s="95">
        <f ca="1" t="shared" si="48"/>
        <v>0</v>
      </c>
      <c r="H618" s="95" cm="1">
        <f ca="1" t="array" ref="H618">MIN(30-SUM(I618:L618),_xlfn.XLOOKUP($D618&amp;"_"&amp;H$52,$B$14:$B$36&amp;"_"&amp;$C$14:$C$36,$D$14:$D$36)*$E618,18)</f>
        <v>17.8612</v>
      </c>
      <c r="I618" s="95" cm="1">
        <f ca="1" t="array" ref="I618">MIN(30-SUM(J618:L618),6-L618,_xlfn.XLOOKUP($D618&amp;"_"&amp;I$52,$B$14:$B$36&amp;"_"&amp;$C$14:$C$36,$D$14:$D$36)*$E618)</f>
        <v>2.871</v>
      </c>
      <c r="J618" s="95" cm="1">
        <f ca="1" t="array" ref="J618">MIN(8,_xlfn.XLOOKUP($D618&amp;"_"&amp;J$52,$B$14:$B$36&amp;"_"&amp;$C$14:$C$36,$D$14:$D$36)*$E618)</f>
        <v>4.47</v>
      </c>
      <c r="K618" s="95" cm="1">
        <f ca="1" t="array" ref="K618">MIN(18,_xlfn.XLOOKUP($D618&amp;"_"&amp;K$52,$B$14:$B$36&amp;"_"&amp;$C$14:$C$36,$D$14:$D$36)*$E618)</f>
        <v>1.6688</v>
      </c>
      <c r="L618" s="95" cm="1">
        <f ca="1" t="array" ref="L618">MIN(6,_xlfn.XLOOKUP($D618&amp;"_"&amp;L$52,$B$14:$B$36&amp;"_"&amp;$C$14:$C$36,$D$14:$D$36)*$E618)</f>
        <v>3.129</v>
      </c>
      <c r="M618" s="95" cm="1">
        <f ca="1" t="array" ref="M618">(1+SUMPRODUCT(G618:H618,OFFSET($H$40:$I$40,D618,0)))*(1+OFFSET($J$40,D618,0))^I618*(1+OFFSET($K$40,D618,0))^J618*(1+OFFSET($L$40,D618,0))^K618*(1+OFFSET($M$40,D618,0))^L618</f>
        <v>96.9921603598125</v>
      </c>
      <c r="N618" s="95">
        <f ca="1">MAX(MAX($N$53:N617),OFFSET($C$52,MATCH(M618*1.07,$M$53:$M$2052,1),0)-C618)</f>
        <v>9720</v>
      </c>
    </row>
    <row r="619" spans="2:14">
      <c r="B619" s="95">
        <v>567</v>
      </c>
      <c r="C619" s="95">
        <f t="shared" si="50"/>
        <v>204120</v>
      </c>
      <c r="D619" s="95">
        <f ca="1">_xlfn.XLOOKUP(总览!$B$44,$B$40:$B$45,$C$40:$C$45)</f>
        <v>5</v>
      </c>
      <c r="E619" s="95">
        <f ca="1" t="shared" si="46"/>
        <v>597</v>
      </c>
      <c r="F619" s="95">
        <f ca="1" t="shared" si="47"/>
        <v>0</v>
      </c>
      <c r="G619" s="95">
        <f ca="1" t="shared" si="48"/>
        <v>0</v>
      </c>
      <c r="H619" s="95" cm="1">
        <f ca="1" t="array" ref="H619">MIN(30-SUM(I619:L619),_xlfn.XLOOKUP($D619&amp;"_"&amp;H$52,$B$14:$B$36&amp;"_"&amp;$C$14:$C$36,$D$14:$D$36)*$E619,18)</f>
        <v>17.8509</v>
      </c>
      <c r="I619" s="95" cm="1">
        <f ca="1" t="array" ref="I619">MIN(30-SUM(J619:L619),6-L619,_xlfn.XLOOKUP($D619&amp;"_"&amp;I$52,$B$14:$B$36&amp;"_"&amp;$C$14:$C$36,$D$14:$D$36)*$E619)</f>
        <v>2.86575</v>
      </c>
      <c r="J619" s="95" cm="1">
        <f ca="1" t="array" ref="J619">MIN(8,_xlfn.XLOOKUP($D619&amp;"_"&amp;J$52,$B$14:$B$36&amp;"_"&amp;$C$14:$C$36,$D$14:$D$36)*$E619)</f>
        <v>4.4775</v>
      </c>
      <c r="K619" s="95" cm="1">
        <f ca="1" t="array" ref="K619">MIN(18,_xlfn.XLOOKUP($D619&amp;"_"&amp;K$52,$B$14:$B$36&amp;"_"&amp;$C$14:$C$36,$D$14:$D$36)*$E619)</f>
        <v>1.6716</v>
      </c>
      <c r="L619" s="95" cm="1">
        <f ca="1" t="array" ref="L619">MIN(6,_xlfn.XLOOKUP($D619&amp;"_"&amp;L$52,$B$14:$B$36&amp;"_"&amp;$C$14:$C$36,$D$14:$D$36)*$E619)</f>
        <v>3.13425</v>
      </c>
      <c r="M619" s="95" cm="1">
        <f ca="1" t="array" ref="M619">(1+SUMPRODUCT(G619:H619,OFFSET($H$40:$I$40,D619,0)))*(1+OFFSET($J$40,D619,0))^I619*(1+OFFSET($K$40,D619,0))^J619*(1+OFFSET($L$40,D619,0))^K619*(1+OFFSET($M$40,D619,0))^L619</f>
        <v>97.2279585010953</v>
      </c>
      <c r="N619" s="95">
        <f ca="1">MAX(MAX($N$53:N618),OFFSET($C$52,MATCH(M619*1.07,$M$53:$M$2052,1),0)-C619)</f>
        <v>9720</v>
      </c>
    </row>
    <row r="620" spans="2:14">
      <c r="B620" s="95">
        <v>568</v>
      </c>
      <c r="C620" s="95">
        <f t="shared" si="50"/>
        <v>204480</v>
      </c>
      <c r="D620" s="95">
        <f ca="1">_xlfn.XLOOKUP(总览!$B$44,$B$40:$B$45,$C$40:$C$45)</f>
        <v>5</v>
      </c>
      <c r="E620" s="95">
        <f ca="1" t="shared" si="46"/>
        <v>598</v>
      </c>
      <c r="F620" s="95">
        <f ca="1" t="shared" si="47"/>
        <v>0</v>
      </c>
      <c r="G620" s="95">
        <f ca="1" t="shared" si="48"/>
        <v>0</v>
      </c>
      <c r="H620" s="95" cm="1">
        <f ca="1" t="array" ref="H620">MIN(30-SUM(I620:L620),_xlfn.XLOOKUP($D620&amp;"_"&amp;H$52,$B$14:$B$36&amp;"_"&amp;$C$14:$C$36,$D$14:$D$36)*$E620,18)</f>
        <v>17.8406</v>
      </c>
      <c r="I620" s="95" cm="1">
        <f ca="1" t="array" ref="I620">MIN(30-SUM(J620:L620),6-L620,_xlfn.XLOOKUP($D620&amp;"_"&amp;I$52,$B$14:$B$36&amp;"_"&amp;$C$14:$C$36,$D$14:$D$36)*$E620)</f>
        <v>2.8605</v>
      </c>
      <c r="J620" s="95" cm="1">
        <f ca="1" t="array" ref="J620">MIN(8,_xlfn.XLOOKUP($D620&amp;"_"&amp;J$52,$B$14:$B$36&amp;"_"&amp;$C$14:$C$36,$D$14:$D$36)*$E620)</f>
        <v>4.485</v>
      </c>
      <c r="K620" s="95" cm="1">
        <f ca="1" t="array" ref="K620">MIN(18,_xlfn.XLOOKUP($D620&amp;"_"&amp;K$52,$B$14:$B$36&amp;"_"&amp;$C$14:$C$36,$D$14:$D$36)*$E620)</f>
        <v>1.6744</v>
      </c>
      <c r="L620" s="95" cm="1">
        <f ca="1" t="array" ref="L620">MIN(6,_xlfn.XLOOKUP($D620&amp;"_"&amp;L$52,$B$14:$B$36&amp;"_"&amp;$C$14:$C$36,$D$14:$D$36)*$E620)</f>
        <v>3.1395</v>
      </c>
      <c r="M620" s="95" cm="1">
        <f ca="1" t="array" ref="M620">(1+SUMPRODUCT(G620:H620,OFFSET($H$40:$I$40,D620,0)))*(1+OFFSET($J$40,D620,0))^I620*(1+OFFSET($K$40,D620,0))^J620*(1+OFFSET($L$40,D620,0))^K620*(1+OFFSET($M$40,D620,0))^L620</f>
        <v>97.4643100902514</v>
      </c>
      <c r="N620" s="95">
        <f ca="1">MAX(MAX($N$53:N619),OFFSET($C$52,MATCH(M620*1.07,$M$53:$M$2052,1),0)-C620)</f>
        <v>9720</v>
      </c>
    </row>
    <row r="621" spans="2:14">
      <c r="B621" s="95">
        <v>569</v>
      </c>
      <c r="C621" s="95">
        <f t="shared" si="50"/>
        <v>204840</v>
      </c>
      <c r="D621" s="95">
        <f ca="1">_xlfn.XLOOKUP(总览!$B$44,$B$40:$B$45,$C$40:$C$45)</f>
        <v>5</v>
      </c>
      <c r="E621" s="95">
        <f ca="1" t="shared" si="46"/>
        <v>599</v>
      </c>
      <c r="F621" s="95">
        <f ca="1" t="shared" si="47"/>
        <v>0</v>
      </c>
      <c r="G621" s="95">
        <f ca="1" t="shared" si="48"/>
        <v>0</v>
      </c>
      <c r="H621" s="95" cm="1">
        <f ca="1" t="array" ref="H621">MIN(30-SUM(I621:L621),_xlfn.XLOOKUP($D621&amp;"_"&amp;H$52,$B$14:$B$36&amp;"_"&amp;$C$14:$C$36,$D$14:$D$36)*$E621,18)</f>
        <v>17.8303</v>
      </c>
      <c r="I621" s="95" cm="1">
        <f ca="1" t="array" ref="I621">MIN(30-SUM(J621:L621),6-L621,_xlfn.XLOOKUP($D621&amp;"_"&amp;I$52,$B$14:$B$36&amp;"_"&amp;$C$14:$C$36,$D$14:$D$36)*$E621)</f>
        <v>2.85525</v>
      </c>
      <c r="J621" s="95" cm="1">
        <f ca="1" t="array" ref="J621">MIN(8,_xlfn.XLOOKUP($D621&amp;"_"&amp;J$52,$B$14:$B$36&amp;"_"&amp;$C$14:$C$36,$D$14:$D$36)*$E621)</f>
        <v>4.4925</v>
      </c>
      <c r="K621" s="95" cm="1">
        <f ca="1" t="array" ref="K621">MIN(18,_xlfn.XLOOKUP($D621&amp;"_"&amp;K$52,$B$14:$B$36&amp;"_"&amp;$C$14:$C$36,$D$14:$D$36)*$E621)</f>
        <v>1.6772</v>
      </c>
      <c r="L621" s="95" cm="1">
        <f ca="1" t="array" ref="L621">MIN(6,_xlfn.XLOOKUP($D621&amp;"_"&amp;L$52,$B$14:$B$36&amp;"_"&amp;$C$14:$C$36,$D$14:$D$36)*$E621)</f>
        <v>3.14475</v>
      </c>
      <c r="M621" s="95" cm="1">
        <f ca="1" t="array" ref="M621">(1+SUMPRODUCT(G621:H621,OFFSET($H$40:$I$40,D621,0)))*(1+OFFSET($J$40,D621,0))^I621*(1+OFFSET($K$40,D621,0))^J621*(1+OFFSET($L$40,D621,0))^K621*(1+OFFSET($M$40,D621,0))^L621</f>
        <v>97.7012163585934</v>
      </c>
      <c r="N621" s="95">
        <f ca="1">MAX(MAX($N$53:N620),OFFSET($C$52,MATCH(M621*1.07,$M$53:$M$2052,1),0)-C621)</f>
        <v>9720</v>
      </c>
    </row>
    <row r="622" spans="2:14">
      <c r="B622" s="95">
        <v>570</v>
      </c>
      <c r="C622" s="95">
        <f t="shared" si="50"/>
        <v>205200</v>
      </c>
      <c r="D622" s="95">
        <f ca="1">_xlfn.XLOOKUP(总览!$B$44,$B$40:$B$45,$C$40:$C$45)</f>
        <v>5</v>
      </c>
      <c r="E622" s="95">
        <f ca="1" t="shared" si="46"/>
        <v>600</v>
      </c>
      <c r="F622" s="95">
        <f ca="1" t="shared" si="47"/>
        <v>0</v>
      </c>
      <c r="G622" s="95">
        <f ca="1" t="shared" si="48"/>
        <v>0</v>
      </c>
      <c r="H622" s="95" cm="1">
        <f ca="1" t="array" ref="H622">MIN(30-SUM(I622:L622),_xlfn.XLOOKUP($D622&amp;"_"&amp;H$52,$B$14:$B$36&amp;"_"&amp;$C$14:$C$36,$D$14:$D$36)*$E622,18)</f>
        <v>17.82</v>
      </c>
      <c r="I622" s="95" cm="1">
        <f ca="1" t="array" ref="I622">MIN(30-SUM(J622:L622),6-L622,_xlfn.XLOOKUP($D622&amp;"_"&amp;I$52,$B$14:$B$36&amp;"_"&amp;$C$14:$C$36,$D$14:$D$36)*$E622)</f>
        <v>2.85</v>
      </c>
      <c r="J622" s="95" cm="1">
        <f ca="1" t="array" ref="J622">MIN(8,_xlfn.XLOOKUP($D622&amp;"_"&amp;J$52,$B$14:$B$36&amp;"_"&amp;$C$14:$C$36,$D$14:$D$36)*$E622)</f>
        <v>4.5</v>
      </c>
      <c r="K622" s="95" cm="1">
        <f ca="1" t="array" ref="K622">MIN(18,_xlfn.XLOOKUP($D622&amp;"_"&amp;K$52,$B$14:$B$36&amp;"_"&amp;$C$14:$C$36,$D$14:$D$36)*$E622)</f>
        <v>1.68</v>
      </c>
      <c r="L622" s="95" cm="1">
        <f ca="1" t="array" ref="L622">MIN(6,_xlfn.XLOOKUP($D622&amp;"_"&amp;L$52,$B$14:$B$36&amp;"_"&amp;$C$14:$C$36,$D$14:$D$36)*$E622)</f>
        <v>3.15</v>
      </c>
      <c r="M622" s="95" cm="1">
        <f ca="1" t="array" ref="M622">(1+SUMPRODUCT(G622:H622,OFFSET($H$40:$I$40,D622,0)))*(1+OFFSET($J$40,D622,0))^I622*(1+OFFSET($K$40,D622,0))^J622*(1+OFFSET($L$40,D622,0))^K622*(1+OFFSET($M$40,D622,0))^L622</f>
        <v>97.9386785399334</v>
      </c>
      <c r="N622" s="95">
        <f ca="1">MAX(MAX($N$53:N621),OFFSET($C$52,MATCH(M622*1.07,$M$53:$M$2052,1),0)-C622)</f>
        <v>9720</v>
      </c>
    </row>
    <row r="623" spans="2:14">
      <c r="B623" s="95">
        <v>571</v>
      </c>
      <c r="C623" s="95">
        <f t="shared" si="50"/>
        <v>205560</v>
      </c>
      <c r="D623" s="95">
        <f ca="1">_xlfn.XLOOKUP(总览!$B$44,$B$40:$B$45,$C$40:$C$45)</f>
        <v>5</v>
      </c>
      <c r="E623" s="95">
        <f ca="1" t="shared" si="46"/>
        <v>601</v>
      </c>
      <c r="F623" s="95">
        <f ca="1" t="shared" si="47"/>
        <v>0</v>
      </c>
      <c r="G623" s="95">
        <f ca="1" t="shared" si="48"/>
        <v>0</v>
      </c>
      <c r="H623" s="95" cm="1">
        <f ca="1" t="array" ref="H623">MIN(30-SUM(I623:L623),_xlfn.XLOOKUP($D623&amp;"_"&amp;H$52,$B$14:$B$36&amp;"_"&amp;$C$14:$C$36,$D$14:$D$36)*$E623,18)</f>
        <v>17.8097</v>
      </c>
      <c r="I623" s="95" cm="1">
        <f ca="1" t="array" ref="I623">MIN(30-SUM(J623:L623),6-L623,_xlfn.XLOOKUP($D623&amp;"_"&amp;I$52,$B$14:$B$36&amp;"_"&amp;$C$14:$C$36,$D$14:$D$36)*$E623)</f>
        <v>2.84475</v>
      </c>
      <c r="J623" s="95" cm="1">
        <f ca="1" t="array" ref="J623">MIN(8,_xlfn.XLOOKUP($D623&amp;"_"&amp;J$52,$B$14:$B$36&amp;"_"&amp;$C$14:$C$36,$D$14:$D$36)*$E623)</f>
        <v>4.5075</v>
      </c>
      <c r="K623" s="95" cm="1">
        <f ca="1" t="array" ref="K623">MIN(18,_xlfn.XLOOKUP($D623&amp;"_"&amp;K$52,$B$14:$B$36&amp;"_"&amp;$C$14:$C$36,$D$14:$D$36)*$E623)</f>
        <v>1.6828</v>
      </c>
      <c r="L623" s="95" cm="1">
        <f ca="1" t="array" ref="L623">MIN(6,_xlfn.XLOOKUP($D623&amp;"_"&amp;L$52,$B$14:$B$36&amp;"_"&amp;$C$14:$C$36,$D$14:$D$36)*$E623)</f>
        <v>3.15525</v>
      </c>
      <c r="M623" s="95" cm="1">
        <f ca="1" t="array" ref="M623">(1+SUMPRODUCT(G623:H623,OFFSET($H$40:$I$40,D623,0)))*(1+OFFSET($J$40,D623,0))^I623*(1+OFFSET($K$40,D623,0))^J623*(1+OFFSET($L$40,D623,0))^K623*(1+OFFSET($M$40,D623,0))^L623</f>
        <v>98.1766978705875</v>
      </c>
      <c r="N623" s="95">
        <f ca="1">MAX(MAX($N$53:N622),OFFSET($C$52,MATCH(M623*1.07,$M$53:$M$2052,1),0)-C623)</f>
        <v>9720</v>
      </c>
    </row>
    <row r="624" spans="2:14">
      <c r="B624" s="95">
        <v>572</v>
      </c>
      <c r="C624" s="95">
        <f t="shared" si="50"/>
        <v>205920</v>
      </c>
      <c r="D624" s="95">
        <f ca="1">_xlfn.XLOOKUP(总览!$B$44,$B$40:$B$45,$C$40:$C$45)</f>
        <v>5</v>
      </c>
      <c r="E624" s="95">
        <f ca="1" t="shared" si="46"/>
        <v>602</v>
      </c>
      <c r="F624" s="95">
        <f ca="1" t="shared" si="47"/>
        <v>0</v>
      </c>
      <c r="G624" s="95">
        <f ca="1" t="shared" si="48"/>
        <v>0</v>
      </c>
      <c r="H624" s="95" cm="1">
        <f ca="1" t="array" ref="H624">MIN(30-SUM(I624:L624),_xlfn.XLOOKUP($D624&amp;"_"&amp;H$52,$B$14:$B$36&amp;"_"&amp;$C$14:$C$36,$D$14:$D$36)*$E624,18)</f>
        <v>17.7994</v>
      </c>
      <c r="I624" s="95" cm="1">
        <f ca="1" t="array" ref="I624">MIN(30-SUM(J624:L624),6-L624,_xlfn.XLOOKUP($D624&amp;"_"&amp;I$52,$B$14:$B$36&amp;"_"&amp;$C$14:$C$36,$D$14:$D$36)*$E624)</f>
        <v>2.8395</v>
      </c>
      <c r="J624" s="95" cm="1">
        <f ca="1" t="array" ref="J624">MIN(8,_xlfn.XLOOKUP($D624&amp;"_"&amp;J$52,$B$14:$B$36&amp;"_"&amp;$C$14:$C$36,$D$14:$D$36)*$E624)</f>
        <v>4.515</v>
      </c>
      <c r="K624" s="95" cm="1">
        <f ca="1" t="array" ref="K624">MIN(18,_xlfn.XLOOKUP($D624&amp;"_"&amp;K$52,$B$14:$B$36&amp;"_"&amp;$C$14:$C$36,$D$14:$D$36)*$E624)</f>
        <v>1.6856</v>
      </c>
      <c r="L624" s="95" cm="1">
        <f ca="1" t="array" ref="L624">MIN(6,_xlfn.XLOOKUP($D624&amp;"_"&amp;L$52,$B$14:$B$36&amp;"_"&amp;$C$14:$C$36,$D$14:$D$36)*$E624)</f>
        <v>3.1605</v>
      </c>
      <c r="M624" s="95" cm="1">
        <f ca="1" t="array" ref="M624">(1+SUMPRODUCT(G624:H624,OFFSET($H$40:$I$40,D624,0)))*(1+OFFSET($J$40,D624,0))^I624*(1+OFFSET($K$40,D624,0))^J624*(1+OFFSET($L$40,D624,0))^K624*(1+OFFSET($M$40,D624,0))^L624</f>
        <v>98.4152755893798</v>
      </c>
      <c r="N624" s="95">
        <f ca="1">MAX(MAX($N$53:N623),OFFSET($C$52,MATCH(M624*1.07,$M$53:$M$2052,1),0)-C624)</f>
        <v>9720</v>
      </c>
    </row>
    <row r="625" spans="2:14">
      <c r="B625" s="95">
        <v>573</v>
      </c>
      <c r="C625" s="95">
        <f t="shared" si="50"/>
        <v>206280</v>
      </c>
      <c r="D625" s="95">
        <f ca="1">_xlfn.XLOOKUP(总览!$B$44,$B$40:$B$45,$C$40:$C$45)</f>
        <v>5</v>
      </c>
      <c r="E625" s="95">
        <f ca="1" t="shared" si="46"/>
        <v>603</v>
      </c>
      <c r="F625" s="95">
        <f ca="1" t="shared" si="47"/>
        <v>0</v>
      </c>
      <c r="G625" s="95">
        <f ca="1" t="shared" si="48"/>
        <v>0</v>
      </c>
      <c r="H625" s="95" cm="1">
        <f ca="1" t="array" ref="H625">MIN(30-SUM(I625:L625),_xlfn.XLOOKUP($D625&amp;"_"&amp;H$52,$B$14:$B$36&amp;"_"&amp;$C$14:$C$36,$D$14:$D$36)*$E625,18)</f>
        <v>17.7891</v>
      </c>
      <c r="I625" s="95" cm="1">
        <f ca="1" t="array" ref="I625">MIN(30-SUM(J625:L625),6-L625,_xlfn.XLOOKUP($D625&amp;"_"&amp;I$52,$B$14:$B$36&amp;"_"&amp;$C$14:$C$36,$D$14:$D$36)*$E625)</f>
        <v>2.83425</v>
      </c>
      <c r="J625" s="95" cm="1">
        <f ca="1" t="array" ref="J625">MIN(8,_xlfn.XLOOKUP($D625&amp;"_"&amp;J$52,$B$14:$B$36&amp;"_"&amp;$C$14:$C$36,$D$14:$D$36)*$E625)</f>
        <v>4.5225</v>
      </c>
      <c r="K625" s="95" cm="1">
        <f ca="1" t="array" ref="K625">MIN(18,_xlfn.XLOOKUP($D625&amp;"_"&amp;K$52,$B$14:$B$36&amp;"_"&amp;$C$14:$C$36,$D$14:$D$36)*$E625)</f>
        <v>1.6884</v>
      </c>
      <c r="L625" s="95" cm="1">
        <f ca="1" t="array" ref="L625">MIN(6,_xlfn.XLOOKUP($D625&amp;"_"&amp;L$52,$B$14:$B$36&amp;"_"&amp;$C$14:$C$36,$D$14:$D$36)*$E625)</f>
        <v>3.16575</v>
      </c>
      <c r="M625" s="95" cm="1">
        <f ca="1" t="array" ref="M625">(1+SUMPRODUCT(G625:H625,OFFSET($H$40:$I$40,D625,0)))*(1+OFFSET($J$40,D625,0))^I625*(1+OFFSET($K$40,D625,0))^J625*(1+OFFSET($L$40,D625,0))^K625*(1+OFFSET($M$40,D625,0))^L625</f>
        <v>98.6544129376467</v>
      </c>
      <c r="N625" s="95">
        <f ca="1">MAX(MAX($N$53:N624),OFFSET($C$52,MATCH(M625*1.07,$M$53:$M$2052,1),0)-C625)</f>
        <v>9720</v>
      </c>
    </row>
    <row r="626" spans="2:14">
      <c r="B626" s="95">
        <v>574</v>
      </c>
      <c r="C626" s="95">
        <f t="shared" si="50"/>
        <v>206640</v>
      </c>
      <c r="D626" s="95">
        <f ca="1">_xlfn.XLOOKUP(总览!$B$44,$B$40:$B$45,$C$40:$C$45)</f>
        <v>5</v>
      </c>
      <c r="E626" s="95">
        <f ca="1" t="shared" si="46"/>
        <v>604</v>
      </c>
      <c r="F626" s="95">
        <f ca="1" t="shared" si="47"/>
        <v>0</v>
      </c>
      <c r="G626" s="95">
        <f ca="1" t="shared" si="48"/>
        <v>0</v>
      </c>
      <c r="H626" s="95" cm="1">
        <f ca="1" t="array" ref="H626">MIN(30-SUM(I626:L626),_xlfn.XLOOKUP($D626&amp;"_"&amp;H$52,$B$14:$B$36&amp;"_"&amp;$C$14:$C$36,$D$14:$D$36)*$E626,18)</f>
        <v>17.7788</v>
      </c>
      <c r="I626" s="95" cm="1">
        <f ca="1" t="array" ref="I626">MIN(30-SUM(J626:L626),6-L626,_xlfn.XLOOKUP($D626&amp;"_"&amp;I$52,$B$14:$B$36&amp;"_"&amp;$C$14:$C$36,$D$14:$D$36)*$E626)</f>
        <v>2.829</v>
      </c>
      <c r="J626" s="95" cm="1">
        <f ca="1" t="array" ref="J626">MIN(8,_xlfn.XLOOKUP($D626&amp;"_"&amp;J$52,$B$14:$B$36&amp;"_"&amp;$C$14:$C$36,$D$14:$D$36)*$E626)</f>
        <v>4.53</v>
      </c>
      <c r="K626" s="95" cm="1">
        <f ca="1" t="array" ref="K626">MIN(18,_xlfn.XLOOKUP($D626&amp;"_"&amp;K$52,$B$14:$B$36&amp;"_"&amp;$C$14:$C$36,$D$14:$D$36)*$E626)</f>
        <v>1.6912</v>
      </c>
      <c r="L626" s="95" cm="1">
        <f ca="1" t="array" ref="L626">MIN(6,_xlfn.XLOOKUP($D626&amp;"_"&amp;L$52,$B$14:$B$36&amp;"_"&amp;$C$14:$C$36,$D$14:$D$36)*$E626)</f>
        <v>3.171</v>
      </c>
      <c r="M626" s="95" cm="1">
        <f ca="1" t="array" ref="M626">(1+SUMPRODUCT(G626:H626,OFFSET($H$40:$I$40,D626,0)))*(1+OFFSET($J$40,D626,0))^I626*(1+OFFSET($K$40,D626,0))^J626*(1+OFFSET($L$40,D626,0))^K626*(1+OFFSET($M$40,D626,0))^L626</f>
        <v>98.894111159241</v>
      </c>
      <c r="N626" s="95">
        <f ca="1">MAX(MAX($N$53:N625),OFFSET($C$52,MATCH(M626*1.07,$M$53:$M$2052,1),0)-C626)</f>
        <v>9720</v>
      </c>
    </row>
    <row r="627" spans="2:14">
      <c r="B627" s="95">
        <v>575</v>
      </c>
      <c r="C627" s="95">
        <f t="shared" si="50"/>
        <v>207000</v>
      </c>
      <c r="D627" s="95">
        <f ca="1">_xlfn.XLOOKUP(总览!$B$44,$B$40:$B$45,$C$40:$C$45)</f>
        <v>5</v>
      </c>
      <c r="E627" s="95">
        <f ca="1" t="shared" si="46"/>
        <v>605</v>
      </c>
      <c r="F627" s="95">
        <f ca="1" t="shared" si="47"/>
        <v>0</v>
      </c>
      <c r="G627" s="95">
        <f ca="1" t="shared" si="48"/>
        <v>0</v>
      </c>
      <c r="H627" s="95" cm="1">
        <f ca="1" t="array" ref="H627">MIN(30-SUM(I627:L627),_xlfn.XLOOKUP($D627&amp;"_"&amp;H$52,$B$14:$B$36&amp;"_"&amp;$C$14:$C$36,$D$14:$D$36)*$E627,18)</f>
        <v>17.7685</v>
      </c>
      <c r="I627" s="95" cm="1">
        <f ca="1" t="array" ref="I627">MIN(30-SUM(J627:L627),6-L627,_xlfn.XLOOKUP($D627&amp;"_"&amp;I$52,$B$14:$B$36&amp;"_"&amp;$C$14:$C$36,$D$14:$D$36)*$E627)</f>
        <v>2.82375</v>
      </c>
      <c r="J627" s="95" cm="1">
        <f ca="1" t="array" ref="J627">MIN(8,_xlfn.XLOOKUP($D627&amp;"_"&amp;J$52,$B$14:$B$36&amp;"_"&amp;$C$14:$C$36,$D$14:$D$36)*$E627)</f>
        <v>4.5375</v>
      </c>
      <c r="K627" s="95" cm="1">
        <f ca="1" t="array" ref="K627">MIN(18,_xlfn.XLOOKUP($D627&amp;"_"&amp;K$52,$B$14:$B$36&amp;"_"&amp;$C$14:$C$36,$D$14:$D$36)*$E627)</f>
        <v>1.694</v>
      </c>
      <c r="L627" s="95" cm="1">
        <f ca="1" t="array" ref="L627">MIN(6,_xlfn.XLOOKUP($D627&amp;"_"&amp;L$52,$B$14:$B$36&amp;"_"&amp;$C$14:$C$36,$D$14:$D$36)*$E627)</f>
        <v>3.17625</v>
      </c>
      <c r="M627" s="95" cm="1">
        <f ca="1" t="array" ref="M627">(1+SUMPRODUCT(G627:H627,OFFSET($H$40:$I$40,D627,0)))*(1+OFFSET($J$40,D627,0))^I627*(1+OFFSET($K$40,D627,0))^J627*(1+OFFSET($L$40,D627,0))^K627*(1+OFFSET($M$40,D627,0))^L627</f>
        <v>99.1343715005361</v>
      </c>
      <c r="N627" s="95">
        <f ca="1">MAX(MAX($N$53:N626),OFFSET($C$52,MATCH(M627*1.07,$M$53:$M$2052,1),0)-C627)</f>
        <v>9720</v>
      </c>
    </row>
    <row r="628" spans="2:14">
      <c r="B628" s="95">
        <v>576</v>
      </c>
      <c r="C628" s="95">
        <f t="shared" si="50"/>
        <v>207360</v>
      </c>
      <c r="D628" s="95">
        <f ca="1">_xlfn.XLOOKUP(总览!$B$44,$B$40:$B$45,$C$40:$C$45)</f>
        <v>5</v>
      </c>
      <c r="E628" s="95">
        <f ca="1" t="shared" si="46"/>
        <v>606</v>
      </c>
      <c r="F628" s="95">
        <f ca="1" t="shared" si="47"/>
        <v>0</v>
      </c>
      <c r="G628" s="95">
        <f ca="1" t="shared" si="48"/>
        <v>0</v>
      </c>
      <c r="H628" s="95" cm="1">
        <f ca="1" t="array" ref="H628">MIN(30-SUM(I628:L628),_xlfn.XLOOKUP($D628&amp;"_"&amp;H$52,$B$14:$B$36&amp;"_"&amp;$C$14:$C$36,$D$14:$D$36)*$E628,18)</f>
        <v>17.7582</v>
      </c>
      <c r="I628" s="95" cm="1">
        <f ca="1" t="array" ref="I628">MIN(30-SUM(J628:L628),6-L628,_xlfn.XLOOKUP($D628&amp;"_"&amp;I$52,$B$14:$B$36&amp;"_"&amp;$C$14:$C$36,$D$14:$D$36)*$E628)</f>
        <v>2.8185</v>
      </c>
      <c r="J628" s="95" cm="1">
        <f ca="1" t="array" ref="J628">MIN(8,_xlfn.XLOOKUP($D628&amp;"_"&amp;J$52,$B$14:$B$36&amp;"_"&amp;$C$14:$C$36,$D$14:$D$36)*$E628)</f>
        <v>4.545</v>
      </c>
      <c r="K628" s="95" cm="1">
        <f ca="1" t="array" ref="K628">MIN(18,_xlfn.XLOOKUP($D628&amp;"_"&amp;K$52,$B$14:$B$36&amp;"_"&amp;$C$14:$C$36,$D$14:$D$36)*$E628)</f>
        <v>1.6968</v>
      </c>
      <c r="L628" s="95" cm="1">
        <f ca="1" t="array" ref="L628">MIN(6,_xlfn.XLOOKUP($D628&amp;"_"&amp;L$52,$B$14:$B$36&amp;"_"&amp;$C$14:$C$36,$D$14:$D$36)*$E628)</f>
        <v>3.1815</v>
      </c>
      <c r="M628" s="95" cm="1">
        <f ca="1" t="array" ref="M628">(1+SUMPRODUCT(G628:H628,OFFSET($H$40:$I$40,D628,0)))*(1+OFFSET($J$40,D628,0))^I628*(1+OFFSET($K$40,D628,0))^J628*(1+OFFSET($L$40,D628,0))^K628*(1+OFFSET($M$40,D628,0))^L628</f>
        <v>99.3751952104302</v>
      </c>
      <c r="N628" s="95">
        <f ca="1">MAX(MAX($N$53:N627),OFFSET($C$52,MATCH(M628*1.07,$M$53:$M$2052,1),0)-C628)</f>
        <v>9720</v>
      </c>
    </row>
    <row r="629" spans="2:14">
      <c r="B629" s="95">
        <v>577</v>
      </c>
      <c r="C629" s="95">
        <f t="shared" si="50"/>
        <v>207720</v>
      </c>
      <c r="D629" s="95">
        <f ca="1">_xlfn.XLOOKUP(总览!$B$44,$B$40:$B$45,$C$40:$C$45)</f>
        <v>5</v>
      </c>
      <c r="E629" s="95">
        <f ca="1" t="shared" si="46"/>
        <v>607</v>
      </c>
      <c r="F629" s="95">
        <f ca="1" t="shared" si="47"/>
        <v>0</v>
      </c>
      <c r="G629" s="95">
        <f ca="1" t="shared" si="48"/>
        <v>0</v>
      </c>
      <c r="H629" s="95" cm="1">
        <f ca="1" t="array" ref="H629">MIN(30-SUM(I629:L629),_xlfn.XLOOKUP($D629&amp;"_"&amp;H$52,$B$14:$B$36&amp;"_"&amp;$C$14:$C$36,$D$14:$D$36)*$E629,18)</f>
        <v>17.7479</v>
      </c>
      <c r="I629" s="95" cm="1">
        <f ca="1" t="array" ref="I629">MIN(30-SUM(J629:L629),6-L629,_xlfn.XLOOKUP($D629&amp;"_"&amp;I$52,$B$14:$B$36&amp;"_"&amp;$C$14:$C$36,$D$14:$D$36)*$E629)</f>
        <v>2.81325</v>
      </c>
      <c r="J629" s="95" cm="1">
        <f ca="1" t="array" ref="J629">MIN(8,_xlfn.XLOOKUP($D629&amp;"_"&amp;J$52,$B$14:$B$36&amp;"_"&amp;$C$14:$C$36,$D$14:$D$36)*$E629)</f>
        <v>4.5525</v>
      </c>
      <c r="K629" s="95" cm="1">
        <f ca="1" t="array" ref="K629">MIN(18,_xlfn.XLOOKUP($D629&amp;"_"&amp;K$52,$B$14:$B$36&amp;"_"&amp;$C$14:$C$36,$D$14:$D$36)*$E629)</f>
        <v>1.6996</v>
      </c>
      <c r="L629" s="95" cm="1">
        <f ca="1" t="array" ref="L629">MIN(6,_xlfn.XLOOKUP($D629&amp;"_"&amp;L$52,$B$14:$B$36&amp;"_"&amp;$C$14:$C$36,$D$14:$D$36)*$E629)</f>
        <v>3.18675</v>
      </c>
      <c r="M629" s="95" cm="1">
        <f ca="1" t="array" ref="M629">(1+SUMPRODUCT(G629:H629,OFFSET($H$40:$I$40,D629,0)))*(1+OFFSET($J$40,D629,0))^I629*(1+OFFSET($K$40,D629,0))^J629*(1+OFFSET($L$40,D629,0))^K629*(1+OFFSET($M$40,D629,0))^L629</f>
        <v>99.6165835403507</v>
      </c>
      <c r="N629" s="95">
        <f ca="1">MAX(MAX($N$53:N628),OFFSET($C$52,MATCH(M629*1.07,$M$53:$M$2052,1),0)-C629)</f>
        <v>9720</v>
      </c>
    </row>
    <row r="630" spans="2:14">
      <c r="B630" s="95">
        <v>578</v>
      </c>
      <c r="C630" s="95">
        <f t="shared" si="50"/>
        <v>208080</v>
      </c>
      <c r="D630" s="95">
        <f ca="1">_xlfn.XLOOKUP(总览!$B$44,$B$40:$B$45,$C$40:$C$45)</f>
        <v>5</v>
      </c>
      <c r="E630" s="95">
        <f ca="1" t="shared" ref="E630:E693" si="51">INT(C630/_xlfn.XLOOKUP(D630,$N$5:$N$16,$O$5:$O$16))+OFFSET($R$40,D630,0)</f>
        <v>608</v>
      </c>
      <c r="F630" s="95">
        <f ca="1" t="shared" si="47"/>
        <v>0</v>
      </c>
      <c r="G630" s="95">
        <f ca="1" t="shared" si="48"/>
        <v>0</v>
      </c>
      <c r="H630" s="95" cm="1">
        <f ca="1" t="array" ref="H630">MIN(30-SUM(I630:L630),_xlfn.XLOOKUP($D630&amp;"_"&amp;H$52,$B$14:$B$36&amp;"_"&amp;$C$14:$C$36,$D$14:$D$36)*$E630,18)</f>
        <v>17.7376</v>
      </c>
      <c r="I630" s="95" cm="1">
        <f ca="1" t="array" ref="I630">MIN(30-SUM(J630:L630),6-L630,_xlfn.XLOOKUP($D630&amp;"_"&amp;I$52,$B$14:$B$36&amp;"_"&amp;$C$14:$C$36,$D$14:$D$36)*$E630)</f>
        <v>2.808</v>
      </c>
      <c r="J630" s="95" cm="1">
        <f ca="1" t="array" ref="J630">MIN(8,_xlfn.XLOOKUP($D630&amp;"_"&amp;J$52,$B$14:$B$36&amp;"_"&amp;$C$14:$C$36,$D$14:$D$36)*$E630)</f>
        <v>4.56</v>
      </c>
      <c r="K630" s="95" cm="1">
        <f ca="1" t="array" ref="K630">MIN(18,_xlfn.XLOOKUP($D630&amp;"_"&amp;K$52,$B$14:$B$36&amp;"_"&amp;$C$14:$C$36,$D$14:$D$36)*$E630)</f>
        <v>1.7024</v>
      </c>
      <c r="L630" s="95" cm="1">
        <f ca="1" t="array" ref="L630">MIN(6,_xlfn.XLOOKUP($D630&amp;"_"&amp;L$52,$B$14:$B$36&amp;"_"&amp;$C$14:$C$36,$D$14:$D$36)*$E630)</f>
        <v>3.192</v>
      </c>
      <c r="M630" s="95" cm="1">
        <f ca="1" t="array" ref="M630">(1+SUMPRODUCT(G630:H630,OFFSET($H$40:$I$40,D630,0)))*(1+OFFSET($J$40,D630,0))^I630*(1+OFFSET($K$40,D630,0))^J630*(1+OFFSET($L$40,D630,0))^K630*(1+OFFSET($M$40,D630,0))^L630</f>
        <v>99.858537744258</v>
      </c>
      <c r="N630" s="95">
        <f ca="1">MAX(MAX($N$53:N629),OFFSET($C$52,MATCH(M630*1.07,$M$53:$M$2052,1),0)-C630)</f>
        <v>9720</v>
      </c>
    </row>
    <row r="631" spans="2:14">
      <c r="B631" s="95">
        <v>579</v>
      </c>
      <c r="C631" s="95">
        <f t="shared" si="50"/>
        <v>208440</v>
      </c>
      <c r="D631" s="95">
        <f ca="1">_xlfn.XLOOKUP(总览!$B$44,$B$40:$B$45,$C$40:$C$45)</f>
        <v>5</v>
      </c>
      <c r="E631" s="95">
        <f ca="1" t="shared" si="51"/>
        <v>609</v>
      </c>
      <c r="F631" s="95">
        <f ca="1" t="shared" ref="F631:F694" si="52">30-SUM(G631:L631)</f>
        <v>0</v>
      </c>
      <c r="G631" s="95">
        <f ca="1" t="shared" ref="G631:G694" si="53">30-SUM(H631:L631)</f>
        <v>0</v>
      </c>
      <c r="H631" s="95" cm="1">
        <f ca="1" t="array" ref="H631">MIN(30-SUM(I631:L631),_xlfn.XLOOKUP($D631&amp;"_"&amp;H$52,$B$14:$B$36&amp;"_"&amp;$C$14:$C$36,$D$14:$D$36)*$E631,18)</f>
        <v>17.7273</v>
      </c>
      <c r="I631" s="95" cm="1">
        <f ca="1" t="array" ref="I631">MIN(30-SUM(J631:L631),6-L631,_xlfn.XLOOKUP($D631&amp;"_"&amp;I$52,$B$14:$B$36&amp;"_"&amp;$C$14:$C$36,$D$14:$D$36)*$E631)</f>
        <v>2.80275</v>
      </c>
      <c r="J631" s="95" cm="1">
        <f ca="1" t="array" ref="J631">MIN(8,_xlfn.XLOOKUP($D631&amp;"_"&amp;J$52,$B$14:$B$36&amp;"_"&amp;$C$14:$C$36,$D$14:$D$36)*$E631)</f>
        <v>4.5675</v>
      </c>
      <c r="K631" s="95" cm="1">
        <f ca="1" t="array" ref="K631">MIN(18,_xlfn.XLOOKUP($D631&amp;"_"&amp;K$52,$B$14:$B$36&amp;"_"&amp;$C$14:$C$36,$D$14:$D$36)*$E631)</f>
        <v>1.7052</v>
      </c>
      <c r="L631" s="95" cm="1">
        <f ca="1" t="array" ref="L631">MIN(6,_xlfn.XLOOKUP($D631&amp;"_"&amp;L$52,$B$14:$B$36&amp;"_"&amp;$C$14:$C$36,$D$14:$D$36)*$E631)</f>
        <v>3.19725</v>
      </c>
      <c r="M631" s="95" cm="1">
        <f ca="1" t="array" ref="M631">(1+SUMPRODUCT(G631:H631,OFFSET($H$40:$I$40,D631,0)))*(1+OFFSET($J$40,D631,0))^I631*(1+OFFSET($K$40,D631,0))^J631*(1+OFFSET($L$40,D631,0))^K631*(1+OFFSET($M$40,D631,0))^L631</f>
        <v>100.10105907865</v>
      </c>
      <c r="N631" s="95">
        <f ca="1">MAX(MAX($N$53:N630),OFFSET($C$52,MATCH(M631*1.07,$M$53:$M$2052,1),0)-C631)</f>
        <v>9720</v>
      </c>
    </row>
    <row r="632" spans="2:14">
      <c r="B632" s="95">
        <v>580</v>
      </c>
      <c r="C632" s="95">
        <f t="shared" si="50"/>
        <v>208800</v>
      </c>
      <c r="D632" s="95">
        <f ca="1">_xlfn.XLOOKUP(总览!$B$44,$B$40:$B$45,$C$40:$C$45)</f>
        <v>5</v>
      </c>
      <c r="E632" s="95">
        <f ca="1" t="shared" si="51"/>
        <v>610</v>
      </c>
      <c r="F632" s="95">
        <f ca="1" t="shared" si="52"/>
        <v>0</v>
      </c>
      <c r="G632" s="95">
        <f ca="1" t="shared" si="53"/>
        <v>0</v>
      </c>
      <c r="H632" s="95" cm="1">
        <f ca="1" t="array" ref="H632">MIN(30-SUM(I632:L632),_xlfn.XLOOKUP($D632&amp;"_"&amp;H$52,$B$14:$B$36&amp;"_"&amp;$C$14:$C$36,$D$14:$D$36)*$E632,18)</f>
        <v>17.717</v>
      </c>
      <c r="I632" s="95" cm="1">
        <f ca="1" t="array" ref="I632">MIN(30-SUM(J632:L632),6-L632,_xlfn.XLOOKUP($D632&amp;"_"&amp;I$52,$B$14:$B$36&amp;"_"&amp;$C$14:$C$36,$D$14:$D$36)*$E632)</f>
        <v>2.7975</v>
      </c>
      <c r="J632" s="95" cm="1">
        <f ca="1" t="array" ref="J632">MIN(8,_xlfn.XLOOKUP($D632&amp;"_"&amp;J$52,$B$14:$B$36&amp;"_"&amp;$C$14:$C$36,$D$14:$D$36)*$E632)</f>
        <v>4.575</v>
      </c>
      <c r="K632" s="95" cm="1">
        <f ca="1" t="array" ref="K632">MIN(18,_xlfn.XLOOKUP($D632&amp;"_"&amp;K$52,$B$14:$B$36&amp;"_"&amp;$C$14:$C$36,$D$14:$D$36)*$E632)</f>
        <v>1.708</v>
      </c>
      <c r="L632" s="95" cm="1">
        <f ca="1" t="array" ref="L632">MIN(6,_xlfn.XLOOKUP($D632&amp;"_"&amp;L$52,$B$14:$B$36&amp;"_"&amp;$C$14:$C$36,$D$14:$D$36)*$E632)</f>
        <v>3.2025</v>
      </c>
      <c r="M632" s="95" cm="1">
        <f ca="1" t="array" ref="M632">(1+SUMPRODUCT(G632:H632,OFFSET($H$40:$I$40,D632,0)))*(1+OFFSET($J$40,D632,0))^I632*(1+OFFSET($K$40,D632,0))^J632*(1+OFFSET($L$40,D632,0))^K632*(1+OFFSET($M$40,D632,0))^L632</f>
        <v>100.344148802566</v>
      </c>
      <c r="N632" s="95">
        <f ca="1">MAX(MAX($N$53:N631),OFFSET($C$52,MATCH(M632*1.07,$M$53:$M$2052,1),0)-C632)</f>
        <v>9720</v>
      </c>
    </row>
    <row r="633" spans="2:14">
      <c r="B633" s="95">
        <v>581</v>
      </c>
      <c r="C633" s="95">
        <f t="shared" si="50"/>
        <v>209160</v>
      </c>
      <c r="D633" s="95">
        <f ca="1">_xlfn.XLOOKUP(总览!$B$44,$B$40:$B$45,$C$40:$C$45)</f>
        <v>5</v>
      </c>
      <c r="E633" s="95">
        <f ca="1" t="shared" si="51"/>
        <v>611</v>
      </c>
      <c r="F633" s="95">
        <f ca="1" t="shared" si="52"/>
        <v>0</v>
      </c>
      <c r="G633" s="95">
        <f ca="1" t="shared" si="53"/>
        <v>0</v>
      </c>
      <c r="H633" s="95" cm="1">
        <f ca="1" t="array" ref="H633">MIN(30-SUM(I633:L633),_xlfn.XLOOKUP($D633&amp;"_"&amp;H$52,$B$14:$B$36&amp;"_"&amp;$C$14:$C$36,$D$14:$D$36)*$E633,18)</f>
        <v>17.7067</v>
      </c>
      <c r="I633" s="95" cm="1">
        <f ca="1" t="array" ref="I633">MIN(30-SUM(J633:L633),6-L633,_xlfn.XLOOKUP($D633&amp;"_"&amp;I$52,$B$14:$B$36&amp;"_"&amp;$C$14:$C$36,$D$14:$D$36)*$E633)</f>
        <v>2.79225</v>
      </c>
      <c r="J633" s="95" cm="1">
        <f ca="1" t="array" ref="J633">MIN(8,_xlfn.XLOOKUP($D633&amp;"_"&amp;J$52,$B$14:$B$36&amp;"_"&amp;$C$14:$C$36,$D$14:$D$36)*$E633)</f>
        <v>4.5825</v>
      </c>
      <c r="K633" s="95" cm="1">
        <f ca="1" t="array" ref="K633">MIN(18,_xlfn.XLOOKUP($D633&amp;"_"&amp;K$52,$B$14:$B$36&amp;"_"&amp;$C$14:$C$36,$D$14:$D$36)*$E633)</f>
        <v>1.7108</v>
      </c>
      <c r="L633" s="95" cm="1">
        <f ca="1" t="array" ref="L633">MIN(6,_xlfn.XLOOKUP($D633&amp;"_"&amp;L$52,$B$14:$B$36&amp;"_"&amp;$C$14:$C$36,$D$14:$D$36)*$E633)</f>
        <v>3.20775</v>
      </c>
      <c r="M633" s="95" cm="1">
        <f ca="1" t="array" ref="M633">(1+SUMPRODUCT(G633:H633,OFFSET($H$40:$I$40,D633,0)))*(1+OFFSET($J$40,D633,0))^I633*(1+OFFSET($K$40,D633,0))^J633*(1+OFFSET($L$40,D633,0))^K633*(1+OFFSET($M$40,D633,0))^L633</f>
        <v>100.587808177593</v>
      </c>
      <c r="N633" s="95">
        <f ca="1">MAX(MAX($N$53:N632),OFFSET($C$52,MATCH(M633*1.07,$M$53:$M$2052,1),0)-C633)</f>
        <v>9720</v>
      </c>
    </row>
    <row r="634" spans="2:14">
      <c r="B634" s="95">
        <v>582</v>
      </c>
      <c r="C634" s="95">
        <f t="shared" si="50"/>
        <v>209520</v>
      </c>
      <c r="D634" s="95">
        <f ca="1">_xlfn.XLOOKUP(总览!$B$44,$B$40:$B$45,$C$40:$C$45)</f>
        <v>5</v>
      </c>
      <c r="E634" s="95">
        <f ca="1" t="shared" si="51"/>
        <v>612</v>
      </c>
      <c r="F634" s="95">
        <f ca="1" t="shared" si="52"/>
        <v>0</v>
      </c>
      <c r="G634" s="95">
        <f ca="1" t="shared" si="53"/>
        <v>0</v>
      </c>
      <c r="H634" s="95" cm="1">
        <f ca="1" t="array" ref="H634">MIN(30-SUM(I634:L634),_xlfn.XLOOKUP($D634&amp;"_"&amp;H$52,$B$14:$B$36&amp;"_"&amp;$C$14:$C$36,$D$14:$D$36)*$E634,18)</f>
        <v>17.6964</v>
      </c>
      <c r="I634" s="95" cm="1">
        <f ca="1" t="array" ref="I634">MIN(30-SUM(J634:L634),6-L634,_xlfn.XLOOKUP($D634&amp;"_"&amp;I$52,$B$14:$B$36&amp;"_"&amp;$C$14:$C$36,$D$14:$D$36)*$E634)</f>
        <v>2.787</v>
      </c>
      <c r="J634" s="95" cm="1">
        <f ca="1" t="array" ref="J634">MIN(8,_xlfn.XLOOKUP($D634&amp;"_"&amp;J$52,$B$14:$B$36&amp;"_"&amp;$C$14:$C$36,$D$14:$D$36)*$E634)</f>
        <v>4.59</v>
      </c>
      <c r="K634" s="95" cm="1">
        <f ca="1" t="array" ref="K634">MIN(18,_xlfn.XLOOKUP($D634&amp;"_"&amp;K$52,$B$14:$B$36&amp;"_"&amp;$C$14:$C$36,$D$14:$D$36)*$E634)</f>
        <v>1.7136</v>
      </c>
      <c r="L634" s="95" cm="1">
        <f ca="1" t="array" ref="L634">MIN(6,_xlfn.XLOOKUP($D634&amp;"_"&amp;L$52,$B$14:$B$36&amp;"_"&amp;$C$14:$C$36,$D$14:$D$36)*$E634)</f>
        <v>3.213</v>
      </c>
      <c r="M634" s="95" cm="1">
        <f ca="1" t="array" ref="M634">(1+SUMPRODUCT(G634:H634,OFFSET($H$40:$I$40,D634,0)))*(1+OFFSET($J$40,D634,0))^I634*(1+OFFSET($K$40,D634,0))^J634*(1+OFFSET($L$40,D634,0))^K634*(1+OFFSET($M$40,D634,0))^L634</f>
        <v>100.832038467864</v>
      </c>
      <c r="N634" s="95">
        <f ca="1">MAX(MAX($N$53:N633),OFFSET($C$52,MATCH(M634*1.07,$M$53:$M$2052,1),0)-C634)</f>
        <v>9720</v>
      </c>
    </row>
    <row r="635" spans="2:14">
      <c r="B635" s="95">
        <v>583</v>
      </c>
      <c r="C635" s="95">
        <f t="shared" si="50"/>
        <v>209880</v>
      </c>
      <c r="D635" s="95">
        <f ca="1">_xlfn.XLOOKUP(总览!$B$44,$B$40:$B$45,$C$40:$C$45)</f>
        <v>5</v>
      </c>
      <c r="E635" s="95">
        <f ca="1" t="shared" si="51"/>
        <v>613</v>
      </c>
      <c r="F635" s="95">
        <f ca="1" t="shared" si="52"/>
        <v>0</v>
      </c>
      <c r="G635" s="95">
        <f ca="1" t="shared" si="53"/>
        <v>0</v>
      </c>
      <c r="H635" s="95" cm="1">
        <f ca="1" t="array" ref="H635">MIN(30-SUM(I635:L635),_xlfn.XLOOKUP($D635&amp;"_"&amp;H$52,$B$14:$B$36&amp;"_"&amp;$C$14:$C$36,$D$14:$D$36)*$E635,18)</f>
        <v>17.6861</v>
      </c>
      <c r="I635" s="95" cm="1">
        <f ca="1" t="array" ref="I635">MIN(30-SUM(J635:L635),6-L635,_xlfn.XLOOKUP($D635&amp;"_"&amp;I$52,$B$14:$B$36&amp;"_"&amp;$C$14:$C$36,$D$14:$D$36)*$E635)</f>
        <v>2.78175</v>
      </c>
      <c r="J635" s="95" cm="1">
        <f ca="1" t="array" ref="J635">MIN(8,_xlfn.XLOOKUP($D635&amp;"_"&amp;J$52,$B$14:$B$36&amp;"_"&amp;$C$14:$C$36,$D$14:$D$36)*$E635)</f>
        <v>4.5975</v>
      </c>
      <c r="K635" s="95" cm="1">
        <f ca="1" t="array" ref="K635">MIN(18,_xlfn.XLOOKUP($D635&amp;"_"&amp;K$52,$B$14:$B$36&amp;"_"&amp;$C$14:$C$36,$D$14:$D$36)*$E635)</f>
        <v>1.7164</v>
      </c>
      <c r="L635" s="95" cm="1">
        <f ca="1" t="array" ref="L635">MIN(6,_xlfn.XLOOKUP($D635&amp;"_"&amp;L$52,$B$14:$B$36&amp;"_"&amp;$C$14:$C$36,$D$14:$D$36)*$E635)</f>
        <v>3.21825</v>
      </c>
      <c r="M635" s="95" cm="1">
        <f ca="1" t="array" ref="M635">(1+SUMPRODUCT(G635:H635,OFFSET($H$40:$I$40,D635,0)))*(1+OFFSET($J$40,D635,0))^I635*(1+OFFSET($K$40,D635,0))^J635*(1+OFFSET($L$40,D635,0))^K635*(1+OFFSET($M$40,D635,0))^L635</f>
        <v>101.07684094007</v>
      </c>
      <c r="N635" s="95">
        <f ca="1">MAX(MAX($N$53:N634),OFFSET($C$52,MATCH(M635*1.07,$M$53:$M$2052,1),0)-C635)</f>
        <v>9720</v>
      </c>
    </row>
    <row r="636" spans="2:14">
      <c r="B636" s="95">
        <v>584</v>
      </c>
      <c r="C636" s="95">
        <f t="shared" si="50"/>
        <v>210240</v>
      </c>
      <c r="D636" s="95">
        <f ca="1">_xlfn.XLOOKUP(总览!$B$44,$B$40:$B$45,$C$40:$C$45)</f>
        <v>5</v>
      </c>
      <c r="E636" s="95">
        <f ca="1" t="shared" si="51"/>
        <v>614</v>
      </c>
      <c r="F636" s="95">
        <f ca="1" t="shared" si="52"/>
        <v>0</v>
      </c>
      <c r="G636" s="95">
        <f ca="1" t="shared" si="53"/>
        <v>0</v>
      </c>
      <c r="H636" s="95" cm="1">
        <f ca="1" t="array" ref="H636">MIN(30-SUM(I636:L636),_xlfn.XLOOKUP($D636&amp;"_"&amp;H$52,$B$14:$B$36&amp;"_"&amp;$C$14:$C$36,$D$14:$D$36)*$E636,18)</f>
        <v>17.6758</v>
      </c>
      <c r="I636" s="95" cm="1">
        <f ca="1" t="array" ref="I636">MIN(30-SUM(J636:L636),6-L636,_xlfn.XLOOKUP($D636&amp;"_"&amp;I$52,$B$14:$B$36&amp;"_"&amp;$C$14:$C$36,$D$14:$D$36)*$E636)</f>
        <v>2.7765</v>
      </c>
      <c r="J636" s="95" cm="1">
        <f ca="1" t="array" ref="J636">MIN(8,_xlfn.XLOOKUP($D636&amp;"_"&amp;J$52,$B$14:$B$36&amp;"_"&amp;$C$14:$C$36,$D$14:$D$36)*$E636)</f>
        <v>4.605</v>
      </c>
      <c r="K636" s="95" cm="1">
        <f ca="1" t="array" ref="K636">MIN(18,_xlfn.XLOOKUP($D636&amp;"_"&amp;K$52,$B$14:$B$36&amp;"_"&amp;$C$14:$C$36,$D$14:$D$36)*$E636)</f>
        <v>1.7192</v>
      </c>
      <c r="L636" s="95" cm="1">
        <f ca="1" t="array" ref="L636">MIN(6,_xlfn.XLOOKUP($D636&amp;"_"&amp;L$52,$B$14:$B$36&amp;"_"&amp;$C$14:$C$36,$D$14:$D$36)*$E636)</f>
        <v>3.2235</v>
      </c>
      <c r="M636" s="95" cm="1">
        <f ca="1" t="array" ref="M636">(1+SUMPRODUCT(G636:H636,OFFSET($H$40:$I$40,D636,0)))*(1+OFFSET($J$40,D636,0))^I636*(1+OFFSET($K$40,D636,0))^J636*(1+OFFSET($L$40,D636,0))^K636*(1+OFFSET($M$40,D636,0))^L636</f>
        <v>101.32221686346</v>
      </c>
      <c r="N636" s="95">
        <f ca="1">MAX(MAX($N$53:N635),OFFSET($C$52,MATCH(M636*1.07,$M$53:$M$2052,1),0)-C636)</f>
        <v>9720</v>
      </c>
    </row>
    <row r="637" spans="2:14">
      <c r="B637" s="95">
        <v>585</v>
      </c>
      <c r="C637" s="95">
        <f t="shared" si="50"/>
        <v>210600</v>
      </c>
      <c r="D637" s="95">
        <f ca="1">_xlfn.XLOOKUP(总览!$B$44,$B$40:$B$45,$C$40:$C$45)</f>
        <v>5</v>
      </c>
      <c r="E637" s="95">
        <f ca="1" t="shared" si="51"/>
        <v>615</v>
      </c>
      <c r="F637" s="95">
        <f ca="1" t="shared" si="52"/>
        <v>0</v>
      </c>
      <c r="G637" s="95">
        <f ca="1" t="shared" si="53"/>
        <v>0</v>
      </c>
      <c r="H637" s="95" cm="1">
        <f ca="1" t="array" ref="H637">MIN(30-SUM(I637:L637),_xlfn.XLOOKUP($D637&amp;"_"&amp;H$52,$B$14:$B$36&amp;"_"&amp;$C$14:$C$36,$D$14:$D$36)*$E637,18)</f>
        <v>17.6655</v>
      </c>
      <c r="I637" s="95" cm="1">
        <f ca="1" t="array" ref="I637">MIN(30-SUM(J637:L637),6-L637,_xlfn.XLOOKUP($D637&amp;"_"&amp;I$52,$B$14:$B$36&amp;"_"&amp;$C$14:$C$36,$D$14:$D$36)*$E637)</f>
        <v>2.77125</v>
      </c>
      <c r="J637" s="95" cm="1">
        <f ca="1" t="array" ref="J637">MIN(8,_xlfn.XLOOKUP($D637&amp;"_"&amp;J$52,$B$14:$B$36&amp;"_"&amp;$C$14:$C$36,$D$14:$D$36)*$E637)</f>
        <v>4.6125</v>
      </c>
      <c r="K637" s="95" cm="1">
        <f ca="1" t="array" ref="K637">MIN(18,_xlfn.XLOOKUP($D637&amp;"_"&amp;K$52,$B$14:$B$36&amp;"_"&amp;$C$14:$C$36,$D$14:$D$36)*$E637)</f>
        <v>1.722</v>
      </c>
      <c r="L637" s="95" cm="1">
        <f ca="1" t="array" ref="L637">MIN(6,_xlfn.XLOOKUP($D637&amp;"_"&amp;L$52,$B$14:$B$36&amp;"_"&amp;$C$14:$C$36,$D$14:$D$36)*$E637)</f>
        <v>3.22875</v>
      </c>
      <c r="M637" s="95" cm="1">
        <f ca="1" t="array" ref="M637">(1+SUMPRODUCT(G637:H637,OFFSET($H$40:$I$40,D637,0)))*(1+OFFSET($J$40,D637,0))^I637*(1+OFFSET($K$40,D637,0))^J637*(1+OFFSET($L$40,D637,0))^K637*(1+OFFSET($M$40,D637,0))^L637</f>
        <v>101.568167509843</v>
      </c>
      <c r="N637" s="95">
        <f ca="1">MAX(MAX($N$53:N636),OFFSET($C$52,MATCH(M637*1.07,$M$53:$M$2052,1),0)-C637)</f>
        <v>9720</v>
      </c>
    </row>
    <row r="638" spans="2:14">
      <c r="B638" s="95">
        <v>586</v>
      </c>
      <c r="C638" s="95">
        <f t="shared" si="50"/>
        <v>210960</v>
      </c>
      <c r="D638" s="95">
        <f ca="1">_xlfn.XLOOKUP(总览!$B$44,$B$40:$B$45,$C$40:$C$45)</f>
        <v>5</v>
      </c>
      <c r="E638" s="95">
        <f ca="1" t="shared" si="51"/>
        <v>616</v>
      </c>
      <c r="F638" s="95">
        <f ca="1" t="shared" si="52"/>
        <v>0</v>
      </c>
      <c r="G638" s="95">
        <f ca="1" t="shared" si="53"/>
        <v>0</v>
      </c>
      <c r="H638" s="95" cm="1">
        <f ca="1" t="array" ref="H638">MIN(30-SUM(I638:L638),_xlfn.XLOOKUP($D638&amp;"_"&amp;H$52,$B$14:$B$36&amp;"_"&amp;$C$14:$C$36,$D$14:$D$36)*$E638,18)</f>
        <v>17.6552</v>
      </c>
      <c r="I638" s="95" cm="1">
        <f ca="1" t="array" ref="I638">MIN(30-SUM(J638:L638),6-L638,_xlfn.XLOOKUP($D638&amp;"_"&amp;I$52,$B$14:$B$36&amp;"_"&amp;$C$14:$C$36,$D$14:$D$36)*$E638)</f>
        <v>2.766</v>
      </c>
      <c r="J638" s="95" cm="1">
        <f ca="1" t="array" ref="J638">MIN(8,_xlfn.XLOOKUP($D638&amp;"_"&amp;J$52,$B$14:$B$36&amp;"_"&amp;$C$14:$C$36,$D$14:$D$36)*$E638)</f>
        <v>4.62</v>
      </c>
      <c r="K638" s="95" cm="1">
        <f ca="1" t="array" ref="K638">MIN(18,_xlfn.XLOOKUP($D638&amp;"_"&amp;K$52,$B$14:$B$36&amp;"_"&amp;$C$14:$C$36,$D$14:$D$36)*$E638)</f>
        <v>1.7248</v>
      </c>
      <c r="L638" s="95" cm="1">
        <f ca="1" t="array" ref="L638">MIN(6,_xlfn.XLOOKUP($D638&amp;"_"&amp;L$52,$B$14:$B$36&amp;"_"&amp;$C$14:$C$36,$D$14:$D$36)*$E638)</f>
        <v>3.234</v>
      </c>
      <c r="M638" s="95" cm="1">
        <f ca="1" t="array" ref="M638">(1+SUMPRODUCT(G638:H638,OFFSET($H$40:$I$40,D638,0)))*(1+OFFSET($J$40,D638,0))^I638*(1+OFFSET($K$40,D638,0))^J638*(1+OFFSET($L$40,D638,0))^K638*(1+OFFSET($M$40,D638,0))^L638</f>
        <v>101.814694153599</v>
      </c>
      <c r="N638" s="95">
        <f ca="1">MAX(MAX($N$53:N637),OFFSET($C$52,MATCH(M638*1.07,$M$53:$M$2052,1),0)-C638)</f>
        <v>9720</v>
      </c>
    </row>
    <row r="639" spans="2:14">
      <c r="B639" s="95">
        <v>587</v>
      </c>
      <c r="C639" s="95">
        <f t="shared" si="50"/>
        <v>211320</v>
      </c>
      <c r="D639" s="95">
        <f ca="1">_xlfn.XLOOKUP(总览!$B$44,$B$40:$B$45,$C$40:$C$45)</f>
        <v>5</v>
      </c>
      <c r="E639" s="95">
        <f ca="1" t="shared" si="51"/>
        <v>617</v>
      </c>
      <c r="F639" s="95">
        <f ca="1" t="shared" si="52"/>
        <v>0</v>
      </c>
      <c r="G639" s="95">
        <f ca="1" t="shared" si="53"/>
        <v>0</v>
      </c>
      <c r="H639" s="95" cm="1">
        <f ca="1" t="array" ref="H639">MIN(30-SUM(I639:L639),_xlfn.XLOOKUP($D639&amp;"_"&amp;H$52,$B$14:$B$36&amp;"_"&amp;$C$14:$C$36,$D$14:$D$36)*$E639,18)</f>
        <v>17.6449</v>
      </c>
      <c r="I639" s="95" cm="1">
        <f ca="1" t="array" ref="I639">MIN(30-SUM(J639:L639),6-L639,_xlfn.XLOOKUP($D639&amp;"_"&amp;I$52,$B$14:$B$36&amp;"_"&amp;$C$14:$C$36,$D$14:$D$36)*$E639)</f>
        <v>2.76075</v>
      </c>
      <c r="J639" s="95" cm="1">
        <f ca="1" t="array" ref="J639">MIN(8,_xlfn.XLOOKUP($D639&amp;"_"&amp;J$52,$B$14:$B$36&amp;"_"&amp;$C$14:$C$36,$D$14:$D$36)*$E639)</f>
        <v>4.6275</v>
      </c>
      <c r="K639" s="95" cm="1">
        <f ca="1" t="array" ref="K639">MIN(18,_xlfn.XLOOKUP($D639&amp;"_"&amp;K$52,$B$14:$B$36&amp;"_"&amp;$C$14:$C$36,$D$14:$D$36)*$E639)</f>
        <v>1.7276</v>
      </c>
      <c r="L639" s="95" cm="1">
        <f ca="1" t="array" ref="L639">MIN(6,_xlfn.XLOOKUP($D639&amp;"_"&amp;L$52,$B$14:$B$36&amp;"_"&amp;$C$14:$C$36,$D$14:$D$36)*$E639)</f>
        <v>3.23925</v>
      </c>
      <c r="M639" s="95" cm="1">
        <f ca="1" t="array" ref="M639">(1+SUMPRODUCT(G639:H639,OFFSET($H$40:$I$40,D639,0)))*(1+OFFSET($J$40,D639,0))^I639*(1+OFFSET($K$40,D639,0))^J639*(1+OFFSET($L$40,D639,0))^K639*(1+OFFSET($M$40,D639,0))^L639</f>
        <v>102.061798071676</v>
      </c>
      <c r="N639" s="95">
        <f ca="1">MAX(MAX($N$53:N638),OFFSET($C$52,MATCH(M639*1.07,$M$53:$M$2052,1),0)-C639)</f>
        <v>9720</v>
      </c>
    </row>
    <row r="640" spans="2:14">
      <c r="B640" s="95">
        <v>588</v>
      </c>
      <c r="C640" s="95">
        <f t="shared" si="50"/>
        <v>211680</v>
      </c>
      <c r="D640" s="95">
        <f ca="1">_xlfn.XLOOKUP(总览!$B$44,$B$40:$B$45,$C$40:$C$45)</f>
        <v>5</v>
      </c>
      <c r="E640" s="95">
        <f ca="1" t="shared" si="51"/>
        <v>618</v>
      </c>
      <c r="F640" s="95">
        <f ca="1" t="shared" si="52"/>
        <v>0</v>
      </c>
      <c r="G640" s="95">
        <f ca="1" t="shared" si="53"/>
        <v>0</v>
      </c>
      <c r="H640" s="95" cm="1">
        <f ca="1" t="array" ref="H640">MIN(30-SUM(I640:L640),_xlfn.XLOOKUP($D640&amp;"_"&amp;H$52,$B$14:$B$36&amp;"_"&amp;$C$14:$C$36,$D$14:$D$36)*$E640,18)</f>
        <v>17.6346</v>
      </c>
      <c r="I640" s="95" cm="1">
        <f ca="1" t="array" ref="I640">MIN(30-SUM(J640:L640),6-L640,_xlfn.XLOOKUP($D640&amp;"_"&amp;I$52,$B$14:$B$36&amp;"_"&amp;$C$14:$C$36,$D$14:$D$36)*$E640)</f>
        <v>2.7555</v>
      </c>
      <c r="J640" s="95" cm="1">
        <f ca="1" t="array" ref="J640">MIN(8,_xlfn.XLOOKUP($D640&amp;"_"&amp;J$52,$B$14:$B$36&amp;"_"&amp;$C$14:$C$36,$D$14:$D$36)*$E640)</f>
        <v>4.635</v>
      </c>
      <c r="K640" s="95" cm="1">
        <f ca="1" t="array" ref="K640">MIN(18,_xlfn.XLOOKUP($D640&amp;"_"&amp;K$52,$B$14:$B$36&amp;"_"&amp;$C$14:$C$36,$D$14:$D$36)*$E640)</f>
        <v>1.7304</v>
      </c>
      <c r="L640" s="95" cm="1">
        <f ca="1" t="array" ref="L640">MIN(6,_xlfn.XLOOKUP($D640&amp;"_"&amp;L$52,$B$14:$B$36&amp;"_"&amp;$C$14:$C$36,$D$14:$D$36)*$E640)</f>
        <v>3.2445</v>
      </c>
      <c r="M640" s="95" cm="1">
        <f ca="1" t="array" ref="M640">(1+SUMPRODUCT(G640:H640,OFFSET($H$40:$I$40,D640,0)))*(1+OFFSET($J$40,D640,0))^I640*(1+OFFSET($K$40,D640,0))^J640*(1+OFFSET($L$40,D640,0))^K640*(1+OFFSET($M$40,D640,0))^L640</f>
        <v>102.309480543599</v>
      </c>
      <c r="N640" s="95">
        <f ca="1">MAX(MAX($N$53:N639),OFFSET($C$52,MATCH(M640*1.07,$M$53:$M$2052,1),0)-C640)</f>
        <v>9720</v>
      </c>
    </row>
    <row r="641" spans="2:14">
      <c r="B641" s="95">
        <v>589</v>
      </c>
      <c r="C641" s="95">
        <f t="shared" si="50"/>
        <v>212040</v>
      </c>
      <c r="D641" s="95">
        <f ca="1">_xlfn.XLOOKUP(总览!$B$44,$B$40:$B$45,$C$40:$C$45)</f>
        <v>5</v>
      </c>
      <c r="E641" s="95">
        <f ca="1" t="shared" si="51"/>
        <v>619</v>
      </c>
      <c r="F641" s="95">
        <f ca="1" t="shared" si="52"/>
        <v>0</v>
      </c>
      <c r="G641" s="95">
        <f ca="1" t="shared" si="53"/>
        <v>0</v>
      </c>
      <c r="H641" s="95" cm="1">
        <f ca="1" t="array" ref="H641">MIN(30-SUM(I641:L641),_xlfn.XLOOKUP($D641&amp;"_"&amp;H$52,$B$14:$B$36&amp;"_"&amp;$C$14:$C$36,$D$14:$D$36)*$E641,18)</f>
        <v>17.6243</v>
      </c>
      <c r="I641" s="95" cm="1">
        <f ca="1" t="array" ref="I641">MIN(30-SUM(J641:L641),6-L641,_xlfn.XLOOKUP($D641&amp;"_"&amp;I$52,$B$14:$B$36&amp;"_"&amp;$C$14:$C$36,$D$14:$D$36)*$E641)</f>
        <v>2.75025</v>
      </c>
      <c r="J641" s="95" cm="1">
        <f ca="1" t="array" ref="J641">MIN(8,_xlfn.XLOOKUP($D641&amp;"_"&amp;J$52,$B$14:$B$36&amp;"_"&amp;$C$14:$C$36,$D$14:$D$36)*$E641)</f>
        <v>4.6425</v>
      </c>
      <c r="K641" s="95" cm="1">
        <f ca="1" t="array" ref="K641">MIN(18,_xlfn.XLOOKUP($D641&amp;"_"&amp;K$52,$B$14:$B$36&amp;"_"&amp;$C$14:$C$36,$D$14:$D$36)*$E641)</f>
        <v>1.7332</v>
      </c>
      <c r="L641" s="95" cm="1">
        <f ca="1" t="array" ref="L641">MIN(6,_xlfn.XLOOKUP($D641&amp;"_"&amp;L$52,$B$14:$B$36&amp;"_"&amp;$C$14:$C$36,$D$14:$D$36)*$E641)</f>
        <v>3.24975</v>
      </c>
      <c r="M641" s="95" cm="1">
        <f ca="1" t="array" ref="M641">(1+SUMPRODUCT(G641:H641,OFFSET($H$40:$I$40,D641,0)))*(1+OFFSET($J$40,D641,0))^I641*(1+OFFSET($K$40,D641,0))^J641*(1+OFFSET($L$40,D641,0))^K641*(1+OFFSET($M$40,D641,0))^L641</f>
        <v>102.557742851471</v>
      </c>
      <c r="N641" s="95">
        <f ca="1">MAX(MAX($N$53:N640),OFFSET($C$52,MATCH(M641*1.07,$M$53:$M$2052,1),0)-C641)</f>
        <v>9720</v>
      </c>
    </row>
    <row r="642" spans="2:14">
      <c r="B642" s="95">
        <v>590</v>
      </c>
      <c r="C642" s="95">
        <f t="shared" si="50"/>
        <v>212400</v>
      </c>
      <c r="D642" s="95">
        <f ca="1">_xlfn.XLOOKUP(总览!$B$44,$B$40:$B$45,$C$40:$C$45)</f>
        <v>5</v>
      </c>
      <c r="E642" s="95">
        <f ca="1" t="shared" si="51"/>
        <v>620</v>
      </c>
      <c r="F642" s="95">
        <f ca="1" t="shared" si="52"/>
        <v>0</v>
      </c>
      <c r="G642" s="95">
        <f ca="1" t="shared" si="53"/>
        <v>0</v>
      </c>
      <c r="H642" s="95" cm="1">
        <f ca="1" t="array" ref="H642">MIN(30-SUM(I642:L642),_xlfn.XLOOKUP($D642&amp;"_"&amp;H$52,$B$14:$B$36&amp;"_"&amp;$C$14:$C$36,$D$14:$D$36)*$E642,18)</f>
        <v>17.614</v>
      </c>
      <c r="I642" s="95" cm="1">
        <f ca="1" t="array" ref="I642">MIN(30-SUM(J642:L642),6-L642,_xlfn.XLOOKUP($D642&amp;"_"&amp;I$52,$B$14:$B$36&amp;"_"&amp;$C$14:$C$36,$D$14:$D$36)*$E642)</f>
        <v>2.745</v>
      </c>
      <c r="J642" s="95" cm="1">
        <f ca="1" t="array" ref="J642">MIN(8,_xlfn.XLOOKUP($D642&amp;"_"&amp;J$52,$B$14:$B$36&amp;"_"&amp;$C$14:$C$36,$D$14:$D$36)*$E642)</f>
        <v>4.65</v>
      </c>
      <c r="K642" s="95" cm="1">
        <f ca="1" t="array" ref="K642">MIN(18,_xlfn.XLOOKUP($D642&amp;"_"&amp;K$52,$B$14:$B$36&amp;"_"&amp;$C$14:$C$36,$D$14:$D$36)*$E642)</f>
        <v>1.736</v>
      </c>
      <c r="L642" s="95" cm="1">
        <f ca="1" t="array" ref="L642">MIN(6,_xlfn.XLOOKUP($D642&amp;"_"&amp;L$52,$B$14:$B$36&amp;"_"&amp;$C$14:$C$36,$D$14:$D$36)*$E642)</f>
        <v>3.255</v>
      </c>
      <c r="M642" s="95" cm="1">
        <f ca="1" t="array" ref="M642">(1+SUMPRODUCT(G642:H642,OFFSET($H$40:$I$40,D642,0)))*(1+OFFSET($J$40,D642,0))^I642*(1+OFFSET($K$40,D642,0))^J642*(1+OFFSET($L$40,D642,0))^K642*(1+OFFSET($M$40,D642,0))^L642</f>
        <v>102.806586279982</v>
      </c>
      <c r="N642" s="95">
        <f ca="1">MAX(MAX($N$53:N641),OFFSET($C$52,MATCH(M642*1.07,$M$53:$M$2052,1),0)-C642)</f>
        <v>9720</v>
      </c>
    </row>
    <row r="643" spans="2:14">
      <c r="B643" s="95">
        <v>591</v>
      </c>
      <c r="C643" s="95">
        <f t="shared" si="50"/>
        <v>212760</v>
      </c>
      <c r="D643" s="95">
        <f ca="1">_xlfn.XLOOKUP(总览!$B$44,$B$40:$B$45,$C$40:$C$45)</f>
        <v>5</v>
      </c>
      <c r="E643" s="95">
        <f ca="1" t="shared" si="51"/>
        <v>621</v>
      </c>
      <c r="F643" s="95">
        <f ca="1" t="shared" si="52"/>
        <v>0</v>
      </c>
      <c r="G643" s="95">
        <f ca="1" t="shared" si="53"/>
        <v>0</v>
      </c>
      <c r="H643" s="95" cm="1">
        <f ca="1" t="array" ref="H643">MIN(30-SUM(I643:L643),_xlfn.XLOOKUP($D643&amp;"_"&amp;H$52,$B$14:$B$36&amp;"_"&amp;$C$14:$C$36,$D$14:$D$36)*$E643,18)</f>
        <v>17.6037</v>
      </c>
      <c r="I643" s="95" cm="1">
        <f ca="1" t="array" ref="I643">MIN(30-SUM(J643:L643),6-L643,_xlfn.XLOOKUP($D643&amp;"_"&amp;I$52,$B$14:$B$36&amp;"_"&amp;$C$14:$C$36,$D$14:$D$36)*$E643)</f>
        <v>2.73975</v>
      </c>
      <c r="J643" s="95" cm="1">
        <f ca="1" t="array" ref="J643">MIN(8,_xlfn.XLOOKUP($D643&amp;"_"&amp;J$52,$B$14:$B$36&amp;"_"&amp;$C$14:$C$36,$D$14:$D$36)*$E643)</f>
        <v>4.6575</v>
      </c>
      <c r="K643" s="95" cm="1">
        <f ca="1" t="array" ref="K643">MIN(18,_xlfn.XLOOKUP($D643&amp;"_"&amp;K$52,$B$14:$B$36&amp;"_"&amp;$C$14:$C$36,$D$14:$D$36)*$E643)</f>
        <v>1.7388</v>
      </c>
      <c r="L643" s="95" cm="1">
        <f ca="1" t="array" ref="L643">MIN(6,_xlfn.XLOOKUP($D643&amp;"_"&amp;L$52,$B$14:$B$36&amp;"_"&amp;$C$14:$C$36,$D$14:$D$36)*$E643)</f>
        <v>3.26025</v>
      </c>
      <c r="M643" s="95" cm="1">
        <f ca="1" t="array" ref="M643">(1+SUMPRODUCT(G643:H643,OFFSET($H$40:$I$40,D643,0)))*(1+OFFSET($J$40,D643,0))^I643*(1+OFFSET($K$40,D643,0))^J643*(1+OFFSET($L$40,D643,0))^K643*(1+OFFSET($M$40,D643,0))^L643</f>
        <v>103.056012116407</v>
      </c>
      <c r="N643" s="95">
        <f ca="1">MAX(MAX($N$53:N642),OFFSET($C$52,MATCH(M643*1.07,$M$53:$M$2052,1),0)-C643)</f>
        <v>9720</v>
      </c>
    </row>
    <row r="644" spans="2:14">
      <c r="B644" s="95">
        <v>592</v>
      </c>
      <c r="C644" s="95">
        <f t="shared" si="50"/>
        <v>213120</v>
      </c>
      <c r="D644" s="95">
        <f ca="1">_xlfn.XLOOKUP(总览!$B$44,$B$40:$B$45,$C$40:$C$45)</f>
        <v>5</v>
      </c>
      <c r="E644" s="95">
        <f ca="1" t="shared" si="51"/>
        <v>622</v>
      </c>
      <c r="F644" s="95">
        <f ca="1" t="shared" si="52"/>
        <v>0</v>
      </c>
      <c r="G644" s="95">
        <f ca="1" t="shared" si="53"/>
        <v>0</v>
      </c>
      <c r="H644" s="95" cm="1">
        <f ca="1" t="array" ref="H644">MIN(30-SUM(I644:L644),_xlfn.XLOOKUP($D644&amp;"_"&amp;H$52,$B$14:$B$36&amp;"_"&amp;$C$14:$C$36,$D$14:$D$36)*$E644,18)</f>
        <v>17.5934</v>
      </c>
      <c r="I644" s="95" cm="1">
        <f ca="1" t="array" ref="I644">MIN(30-SUM(J644:L644),6-L644,_xlfn.XLOOKUP($D644&amp;"_"&amp;I$52,$B$14:$B$36&amp;"_"&amp;$C$14:$C$36,$D$14:$D$36)*$E644)</f>
        <v>2.7345</v>
      </c>
      <c r="J644" s="95" cm="1">
        <f ca="1" t="array" ref="J644">MIN(8,_xlfn.XLOOKUP($D644&amp;"_"&amp;J$52,$B$14:$B$36&amp;"_"&amp;$C$14:$C$36,$D$14:$D$36)*$E644)</f>
        <v>4.665</v>
      </c>
      <c r="K644" s="95" cm="1">
        <f ca="1" t="array" ref="K644">MIN(18,_xlfn.XLOOKUP($D644&amp;"_"&amp;K$52,$B$14:$B$36&amp;"_"&amp;$C$14:$C$36,$D$14:$D$36)*$E644)</f>
        <v>1.7416</v>
      </c>
      <c r="L644" s="95" cm="1">
        <f ca="1" t="array" ref="L644">MIN(6,_xlfn.XLOOKUP($D644&amp;"_"&amp;L$52,$B$14:$B$36&amp;"_"&amp;$C$14:$C$36,$D$14:$D$36)*$E644)</f>
        <v>3.2655</v>
      </c>
      <c r="M644" s="95" cm="1">
        <f ca="1" t="array" ref="M644">(1+SUMPRODUCT(G644:H644,OFFSET($H$40:$I$40,D644,0)))*(1+OFFSET($J$40,D644,0))^I644*(1+OFFSET($K$40,D644,0))^J644*(1+OFFSET($L$40,D644,0))^K644*(1+OFFSET($M$40,D644,0))^L644</f>
        <v>103.306021650615</v>
      </c>
      <c r="N644" s="95">
        <f ca="1">MAX(MAX($N$53:N643),OFFSET($C$52,MATCH(M644*1.07,$M$53:$M$2052,1),0)-C644)</f>
        <v>9720</v>
      </c>
    </row>
    <row r="645" spans="2:14">
      <c r="B645" s="95">
        <v>593</v>
      </c>
      <c r="C645" s="95">
        <f t="shared" si="50"/>
        <v>213480</v>
      </c>
      <c r="D645" s="95">
        <f ca="1">_xlfn.XLOOKUP(总览!$B$44,$B$40:$B$45,$C$40:$C$45)</f>
        <v>5</v>
      </c>
      <c r="E645" s="95">
        <f ca="1" t="shared" si="51"/>
        <v>623</v>
      </c>
      <c r="F645" s="95">
        <f ca="1" t="shared" si="52"/>
        <v>0</v>
      </c>
      <c r="G645" s="95">
        <f ca="1" t="shared" si="53"/>
        <v>0</v>
      </c>
      <c r="H645" s="95" cm="1">
        <f ca="1" t="array" ref="H645">MIN(30-SUM(I645:L645),_xlfn.XLOOKUP($D645&amp;"_"&amp;H$52,$B$14:$B$36&amp;"_"&amp;$C$14:$C$36,$D$14:$D$36)*$E645,18)</f>
        <v>17.5831</v>
      </c>
      <c r="I645" s="95" cm="1">
        <f ca="1" t="array" ref="I645">MIN(30-SUM(J645:L645),6-L645,_xlfn.XLOOKUP($D645&amp;"_"&amp;I$52,$B$14:$B$36&amp;"_"&amp;$C$14:$C$36,$D$14:$D$36)*$E645)</f>
        <v>2.72925</v>
      </c>
      <c r="J645" s="95" cm="1">
        <f ca="1" t="array" ref="J645">MIN(8,_xlfn.XLOOKUP($D645&amp;"_"&amp;J$52,$B$14:$B$36&amp;"_"&amp;$C$14:$C$36,$D$14:$D$36)*$E645)</f>
        <v>4.6725</v>
      </c>
      <c r="K645" s="95" cm="1">
        <f ca="1" t="array" ref="K645">MIN(18,_xlfn.XLOOKUP($D645&amp;"_"&amp;K$52,$B$14:$B$36&amp;"_"&amp;$C$14:$C$36,$D$14:$D$36)*$E645)</f>
        <v>1.7444</v>
      </c>
      <c r="L645" s="95" cm="1">
        <f ca="1" t="array" ref="L645">MIN(6,_xlfn.XLOOKUP($D645&amp;"_"&amp;L$52,$B$14:$B$36&amp;"_"&amp;$C$14:$C$36,$D$14:$D$36)*$E645)</f>
        <v>3.27075</v>
      </c>
      <c r="M645" s="95" cm="1">
        <f ca="1" t="array" ref="M645">(1+SUMPRODUCT(G645:H645,OFFSET($H$40:$I$40,D645,0)))*(1+OFFSET($J$40,D645,0))^I645*(1+OFFSET($K$40,D645,0))^J645*(1+OFFSET($L$40,D645,0))^K645*(1+OFFSET($M$40,D645,0))^L645</f>
        <v>103.556616175071</v>
      </c>
      <c r="N645" s="95">
        <f ca="1">MAX(MAX($N$53:N644),OFFSET($C$52,MATCH(M645*1.07,$M$53:$M$2052,1),0)-C645)</f>
        <v>9720</v>
      </c>
    </row>
    <row r="646" spans="2:14">
      <c r="B646" s="95">
        <v>594</v>
      </c>
      <c r="C646" s="95">
        <f t="shared" si="50"/>
        <v>213840</v>
      </c>
      <c r="D646" s="95">
        <f ca="1">_xlfn.XLOOKUP(总览!$B$44,$B$40:$B$45,$C$40:$C$45)</f>
        <v>5</v>
      </c>
      <c r="E646" s="95">
        <f ca="1" t="shared" si="51"/>
        <v>624</v>
      </c>
      <c r="F646" s="95">
        <f ca="1" t="shared" si="52"/>
        <v>0</v>
      </c>
      <c r="G646" s="95">
        <f ca="1" t="shared" si="53"/>
        <v>0</v>
      </c>
      <c r="H646" s="95" cm="1">
        <f ca="1" t="array" ref="H646">MIN(30-SUM(I646:L646),_xlfn.XLOOKUP($D646&amp;"_"&amp;H$52,$B$14:$B$36&amp;"_"&amp;$C$14:$C$36,$D$14:$D$36)*$E646,18)</f>
        <v>17.5728</v>
      </c>
      <c r="I646" s="95" cm="1">
        <f ca="1" t="array" ref="I646">MIN(30-SUM(J646:L646),6-L646,_xlfn.XLOOKUP($D646&amp;"_"&amp;I$52,$B$14:$B$36&amp;"_"&amp;$C$14:$C$36,$D$14:$D$36)*$E646)</f>
        <v>2.724</v>
      </c>
      <c r="J646" s="95" cm="1">
        <f ca="1" t="array" ref="J646">MIN(8,_xlfn.XLOOKUP($D646&amp;"_"&amp;J$52,$B$14:$B$36&amp;"_"&amp;$C$14:$C$36,$D$14:$D$36)*$E646)</f>
        <v>4.68</v>
      </c>
      <c r="K646" s="95" cm="1">
        <f ca="1" t="array" ref="K646">MIN(18,_xlfn.XLOOKUP($D646&amp;"_"&amp;K$52,$B$14:$B$36&amp;"_"&amp;$C$14:$C$36,$D$14:$D$36)*$E646)</f>
        <v>1.7472</v>
      </c>
      <c r="L646" s="95" cm="1">
        <f ca="1" t="array" ref="L646">MIN(6,_xlfn.XLOOKUP($D646&amp;"_"&amp;L$52,$B$14:$B$36&amp;"_"&amp;$C$14:$C$36,$D$14:$D$36)*$E646)</f>
        <v>3.276</v>
      </c>
      <c r="M646" s="95" cm="1">
        <f ca="1" t="array" ref="M646">(1+SUMPRODUCT(G646:H646,OFFSET($H$40:$I$40,D646,0)))*(1+OFFSET($J$40,D646,0))^I646*(1+OFFSET($K$40,D646,0))^J646*(1+OFFSET($L$40,D646,0))^K646*(1+OFFSET($M$40,D646,0))^L646</f>
        <v>103.807796984841</v>
      </c>
      <c r="N646" s="95">
        <f ca="1">MAX(MAX($N$53:N645),OFFSET($C$52,MATCH(M646*1.07,$M$53:$M$2052,1),0)-C646)</f>
        <v>9720</v>
      </c>
    </row>
    <row r="647" spans="2:14">
      <c r="B647" s="95">
        <v>595</v>
      </c>
      <c r="C647" s="95">
        <f t="shared" si="50"/>
        <v>214200</v>
      </c>
      <c r="D647" s="95">
        <f ca="1">_xlfn.XLOOKUP(总览!$B$44,$B$40:$B$45,$C$40:$C$45)</f>
        <v>5</v>
      </c>
      <c r="E647" s="95">
        <f ca="1" t="shared" si="51"/>
        <v>625</v>
      </c>
      <c r="F647" s="95">
        <f ca="1" t="shared" si="52"/>
        <v>0</v>
      </c>
      <c r="G647" s="95">
        <f ca="1" t="shared" si="53"/>
        <v>0</v>
      </c>
      <c r="H647" s="95" cm="1">
        <f ca="1" t="array" ref="H647">MIN(30-SUM(I647:L647),_xlfn.XLOOKUP($D647&amp;"_"&amp;H$52,$B$14:$B$36&amp;"_"&amp;$C$14:$C$36,$D$14:$D$36)*$E647,18)</f>
        <v>17.5625</v>
      </c>
      <c r="I647" s="95" cm="1">
        <f ca="1" t="array" ref="I647">MIN(30-SUM(J647:L647),6-L647,_xlfn.XLOOKUP($D647&amp;"_"&amp;I$52,$B$14:$B$36&amp;"_"&amp;$C$14:$C$36,$D$14:$D$36)*$E647)</f>
        <v>2.71875</v>
      </c>
      <c r="J647" s="95" cm="1">
        <f ca="1" t="array" ref="J647">MIN(8,_xlfn.XLOOKUP($D647&amp;"_"&amp;J$52,$B$14:$B$36&amp;"_"&amp;$C$14:$C$36,$D$14:$D$36)*$E647)</f>
        <v>4.6875</v>
      </c>
      <c r="K647" s="95" cm="1">
        <f ca="1" t="array" ref="K647">MIN(18,_xlfn.XLOOKUP($D647&amp;"_"&amp;K$52,$B$14:$B$36&amp;"_"&amp;$C$14:$C$36,$D$14:$D$36)*$E647)</f>
        <v>1.75</v>
      </c>
      <c r="L647" s="95" cm="1">
        <f ca="1" t="array" ref="L647">MIN(6,_xlfn.XLOOKUP($D647&amp;"_"&amp;L$52,$B$14:$B$36&amp;"_"&amp;$C$14:$C$36,$D$14:$D$36)*$E647)</f>
        <v>3.28125</v>
      </c>
      <c r="M647" s="95" cm="1">
        <f ca="1" t="array" ref="M647">(1+SUMPRODUCT(G647:H647,OFFSET($H$40:$I$40,D647,0)))*(1+OFFSET($J$40,D647,0))^I647*(1+OFFSET($K$40,D647,0))^J647*(1+OFFSET($L$40,D647,0))^K647*(1+OFFSET($M$40,D647,0))^L647</f>
        <v>104.059565377596</v>
      </c>
      <c r="N647" s="95">
        <f ca="1">MAX(MAX($N$53:N646),OFFSET($C$52,MATCH(M647*1.07,$M$53:$M$2052,1),0)-C647)</f>
        <v>9720</v>
      </c>
    </row>
    <row r="648" spans="2:14">
      <c r="B648" s="95">
        <v>596</v>
      </c>
      <c r="C648" s="95">
        <f t="shared" si="50"/>
        <v>214560</v>
      </c>
      <c r="D648" s="95">
        <f ca="1">_xlfn.XLOOKUP(总览!$B$44,$B$40:$B$45,$C$40:$C$45)</f>
        <v>5</v>
      </c>
      <c r="E648" s="95">
        <f ca="1" t="shared" si="51"/>
        <v>626</v>
      </c>
      <c r="F648" s="95">
        <f ca="1" t="shared" si="52"/>
        <v>0</v>
      </c>
      <c r="G648" s="95">
        <f ca="1" t="shared" si="53"/>
        <v>0</v>
      </c>
      <c r="H648" s="95" cm="1">
        <f ca="1" t="array" ref="H648">MIN(30-SUM(I648:L648),_xlfn.XLOOKUP($D648&amp;"_"&amp;H$52,$B$14:$B$36&amp;"_"&amp;$C$14:$C$36,$D$14:$D$36)*$E648,18)</f>
        <v>17.5522</v>
      </c>
      <c r="I648" s="95" cm="1">
        <f ca="1" t="array" ref="I648">MIN(30-SUM(J648:L648),6-L648,_xlfn.XLOOKUP($D648&amp;"_"&amp;I$52,$B$14:$B$36&amp;"_"&amp;$C$14:$C$36,$D$14:$D$36)*$E648)</f>
        <v>2.7135</v>
      </c>
      <c r="J648" s="95" cm="1">
        <f ca="1" t="array" ref="J648">MIN(8,_xlfn.XLOOKUP($D648&amp;"_"&amp;J$52,$B$14:$B$36&amp;"_"&amp;$C$14:$C$36,$D$14:$D$36)*$E648)</f>
        <v>4.695</v>
      </c>
      <c r="K648" s="95" cm="1">
        <f ca="1" t="array" ref="K648">MIN(18,_xlfn.XLOOKUP($D648&amp;"_"&amp;K$52,$B$14:$B$36&amp;"_"&amp;$C$14:$C$36,$D$14:$D$36)*$E648)</f>
        <v>1.7528</v>
      </c>
      <c r="L648" s="95" cm="1">
        <f ca="1" t="array" ref="L648">MIN(6,_xlfn.XLOOKUP($D648&amp;"_"&amp;L$52,$B$14:$B$36&amp;"_"&amp;$C$14:$C$36,$D$14:$D$36)*$E648)</f>
        <v>3.2865</v>
      </c>
      <c r="M648" s="95" cm="1">
        <f ca="1" t="array" ref="M648">(1+SUMPRODUCT(G648:H648,OFFSET($H$40:$I$40,D648,0)))*(1+OFFSET($J$40,D648,0))^I648*(1+OFFSET($K$40,D648,0))^J648*(1+OFFSET($L$40,D648,0))^K648*(1+OFFSET($M$40,D648,0))^L648</f>
        <v>104.311922653618</v>
      </c>
      <c r="N648" s="95">
        <f ca="1">MAX(MAX($N$53:N647),OFFSET($C$52,MATCH(M648*1.07,$M$53:$M$2052,1),0)-C648)</f>
        <v>9720</v>
      </c>
    </row>
    <row r="649" spans="2:14">
      <c r="B649" s="95">
        <v>597</v>
      </c>
      <c r="C649" s="95">
        <f t="shared" ref="C649:C680" si="54">C648+360</f>
        <v>214920</v>
      </c>
      <c r="D649" s="95">
        <f ca="1">_xlfn.XLOOKUP(总览!$B$44,$B$40:$B$45,$C$40:$C$45)</f>
        <v>5</v>
      </c>
      <c r="E649" s="95">
        <f ca="1" t="shared" si="51"/>
        <v>627</v>
      </c>
      <c r="F649" s="95">
        <f ca="1" t="shared" si="52"/>
        <v>0</v>
      </c>
      <c r="G649" s="95">
        <f ca="1" t="shared" si="53"/>
        <v>0</v>
      </c>
      <c r="H649" s="95" cm="1">
        <f ca="1" t="array" ref="H649">MIN(30-SUM(I649:L649),_xlfn.XLOOKUP($D649&amp;"_"&amp;H$52,$B$14:$B$36&amp;"_"&amp;$C$14:$C$36,$D$14:$D$36)*$E649,18)</f>
        <v>17.5419</v>
      </c>
      <c r="I649" s="95" cm="1">
        <f ca="1" t="array" ref="I649">MIN(30-SUM(J649:L649),6-L649,_xlfn.XLOOKUP($D649&amp;"_"&amp;I$52,$B$14:$B$36&amp;"_"&amp;$C$14:$C$36,$D$14:$D$36)*$E649)</f>
        <v>2.70825</v>
      </c>
      <c r="J649" s="95" cm="1">
        <f ca="1" t="array" ref="J649">MIN(8,_xlfn.XLOOKUP($D649&amp;"_"&amp;J$52,$B$14:$B$36&amp;"_"&amp;$C$14:$C$36,$D$14:$D$36)*$E649)</f>
        <v>4.7025</v>
      </c>
      <c r="K649" s="95" cm="1">
        <f ca="1" t="array" ref="K649">MIN(18,_xlfn.XLOOKUP($D649&amp;"_"&amp;K$52,$B$14:$B$36&amp;"_"&amp;$C$14:$C$36,$D$14:$D$36)*$E649)</f>
        <v>1.7556</v>
      </c>
      <c r="L649" s="95" cm="1">
        <f ca="1" t="array" ref="L649">MIN(6,_xlfn.XLOOKUP($D649&amp;"_"&amp;L$52,$B$14:$B$36&amp;"_"&amp;$C$14:$C$36,$D$14:$D$36)*$E649)</f>
        <v>3.29175</v>
      </c>
      <c r="M649" s="95" cm="1">
        <f ca="1" t="array" ref="M649">(1+SUMPRODUCT(G649:H649,OFFSET($H$40:$I$40,D649,0)))*(1+OFFSET($J$40,D649,0))^I649*(1+OFFSET($K$40,D649,0))^J649*(1+OFFSET($L$40,D649,0))^K649*(1+OFFSET($M$40,D649,0))^L649</f>
        <v>104.564870115799</v>
      </c>
      <c r="N649" s="95">
        <f ca="1">MAX(MAX($N$53:N648),OFFSET($C$52,MATCH(M649*1.07,$M$53:$M$2052,1),0)-C649)</f>
        <v>9720</v>
      </c>
    </row>
    <row r="650" spans="2:14">
      <c r="B650" s="95">
        <v>598</v>
      </c>
      <c r="C650" s="95">
        <f t="shared" si="54"/>
        <v>215280</v>
      </c>
      <c r="D650" s="95">
        <f ca="1">_xlfn.XLOOKUP(总览!$B$44,$B$40:$B$45,$C$40:$C$45)</f>
        <v>5</v>
      </c>
      <c r="E650" s="95">
        <f ca="1" t="shared" si="51"/>
        <v>628</v>
      </c>
      <c r="F650" s="95">
        <f ca="1" t="shared" si="52"/>
        <v>0</v>
      </c>
      <c r="G650" s="95">
        <f ca="1" t="shared" si="53"/>
        <v>0</v>
      </c>
      <c r="H650" s="95" cm="1">
        <f ca="1" t="array" ref="H650">MIN(30-SUM(I650:L650),_xlfn.XLOOKUP($D650&amp;"_"&amp;H$52,$B$14:$B$36&amp;"_"&amp;$C$14:$C$36,$D$14:$D$36)*$E650,18)</f>
        <v>17.5316</v>
      </c>
      <c r="I650" s="95" cm="1">
        <f ca="1" t="array" ref="I650">MIN(30-SUM(J650:L650),6-L650,_xlfn.XLOOKUP($D650&amp;"_"&amp;I$52,$B$14:$B$36&amp;"_"&amp;$C$14:$C$36,$D$14:$D$36)*$E650)</f>
        <v>2.703</v>
      </c>
      <c r="J650" s="95" cm="1">
        <f ca="1" t="array" ref="J650">MIN(8,_xlfn.XLOOKUP($D650&amp;"_"&amp;J$52,$B$14:$B$36&amp;"_"&amp;$C$14:$C$36,$D$14:$D$36)*$E650)</f>
        <v>4.71</v>
      </c>
      <c r="K650" s="95" cm="1">
        <f ca="1" t="array" ref="K650">MIN(18,_xlfn.XLOOKUP($D650&amp;"_"&amp;K$52,$B$14:$B$36&amp;"_"&amp;$C$14:$C$36,$D$14:$D$36)*$E650)</f>
        <v>1.7584</v>
      </c>
      <c r="L650" s="95" cm="1">
        <f ca="1" t="array" ref="L650">MIN(6,_xlfn.XLOOKUP($D650&amp;"_"&amp;L$52,$B$14:$B$36&amp;"_"&amp;$C$14:$C$36,$D$14:$D$36)*$E650)</f>
        <v>3.297</v>
      </c>
      <c r="M650" s="95" cm="1">
        <f ca="1" t="array" ref="M650">(1+SUMPRODUCT(G650:H650,OFFSET($H$40:$I$40,D650,0)))*(1+OFFSET($J$40,D650,0))^I650*(1+OFFSET($K$40,D650,0))^J650*(1+OFFSET($L$40,D650,0))^K650*(1+OFFSET($M$40,D650,0))^L650</f>
        <v>104.818409069654</v>
      </c>
      <c r="N650" s="95">
        <f ca="1">MAX(MAX($N$53:N649),OFFSET($C$52,MATCH(M650*1.07,$M$53:$M$2052,1),0)-C650)</f>
        <v>9720</v>
      </c>
    </row>
    <row r="651" spans="2:14">
      <c r="B651" s="95">
        <v>599</v>
      </c>
      <c r="C651" s="95">
        <f t="shared" si="54"/>
        <v>215640</v>
      </c>
      <c r="D651" s="95">
        <f ca="1">_xlfn.XLOOKUP(总览!$B$44,$B$40:$B$45,$C$40:$C$45)</f>
        <v>5</v>
      </c>
      <c r="E651" s="95">
        <f ca="1" t="shared" si="51"/>
        <v>629</v>
      </c>
      <c r="F651" s="95">
        <f ca="1" t="shared" si="52"/>
        <v>0</v>
      </c>
      <c r="G651" s="95">
        <f ca="1" t="shared" si="53"/>
        <v>0</v>
      </c>
      <c r="H651" s="95" cm="1">
        <f ca="1" t="array" ref="H651">MIN(30-SUM(I651:L651),_xlfn.XLOOKUP($D651&amp;"_"&amp;H$52,$B$14:$B$36&amp;"_"&amp;$C$14:$C$36,$D$14:$D$36)*$E651,18)</f>
        <v>17.5213</v>
      </c>
      <c r="I651" s="95" cm="1">
        <f ca="1" t="array" ref="I651">MIN(30-SUM(J651:L651),6-L651,_xlfn.XLOOKUP($D651&amp;"_"&amp;I$52,$B$14:$B$36&amp;"_"&amp;$C$14:$C$36,$D$14:$D$36)*$E651)</f>
        <v>2.69775</v>
      </c>
      <c r="J651" s="95" cm="1">
        <f ca="1" t="array" ref="J651">MIN(8,_xlfn.XLOOKUP($D651&amp;"_"&amp;J$52,$B$14:$B$36&amp;"_"&amp;$C$14:$C$36,$D$14:$D$36)*$E651)</f>
        <v>4.7175</v>
      </c>
      <c r="K651" s="95" cm="1">
        <f ca="1" t="array" ref="K651">MIN(18,_xlfn.XLOOKUP($D651&amp;"_"&amp;K$52,$B$14:$B$36&amp;"_"&amp;$C$14:$C$36,$D$14:$D$36)*$E651)</f>
        <v>1.7612</v>
      </c>
      <c r="L651" s="95" cm="1">
        <f ca="1" t="array" ref="L651">MIN(6,_xlfn.XLOOKUP($D651&amp;"_"&amp;L$52,$B$14:$B$36&amp;"_"&amp;$C$14:$C$36,$D$14:$D$36)*$E651)</f>
        <v>3.30225</v>
      </c>
      <c r="M651" s="95" cm="1">
        <f ca="1" t="array" ref="M651">(1+SUMPRODUCT(G651:H651,OFFSET($H$40:$I$40,D651,0)))*(1+OFFSET($J$40,D651,0))^I651*(1+OFFSET($K$40,D651,0))^J651*(1+OFFSET($L$40,D651,0))^K651*(1+OFFSET($M$40,D651,0))^L651</f>
        <v>105.072540823315</v>
      </c>
      <c r="N651" s="95">
        <f ca="1">MAX(MAX($N$53:N650),OFFSET($C$52,MATCH(M651*1.07,$M$53:$M$2052,1),0)-C651)</f>
        <v>9720</v>
      </c>
    </row>
    <row r="652" spans="2:14">
      <c r="B652" s="95">
        <v>600</v>
      </c>
      <c r="C652" s="95">
        <f t="shared" si="54"/>
        <v>216000</v>
      </c>
      <c r="D652" s="95">
        <f ca="1">_xlfn.XLOOKUP(总览!$B$44,$B$40:$B$45,$C$40:$C$45)</f>
        <v>5</v>
      </c>
      <c r="E652" s="95">
        <f ca="1" t="shared" si="51"/>
        <v>630</v>
      </c>
      <c r="F652" s="95">
        <f ca="1" t="shared" si="52"/>
        <v>0</v>
      </c>
      <c r="G652" s="95">
        <f ca="1" t="shared" si="53"/>
        <v>0</v>
      </c>
      <c r="H652" s="95" cm="1">
        <f ca="1" t="array" ref="H652">MIN(30-SUM(I652:L652),_xlfn.XLOOKUP($D652&amp;"_"&amp;H$52,$B$14:$B$36&amp;"_"&amp;$C$14:$C$36,$D$14:$D$36)*$E652,18)</f>
        <v>17.511</v>
      </c>
      <c r="I652" s="95" cm="1">
        <f ca="1" t="array" ref="I652">MIN(30-SUM(J652:L652),6-L652,_xlfn.XLOOKUP($D652&amp;"_"&amp;I$52,$B$14:$B$36&amp;"_"&amp;$C$14:$C$36,$D$14:$D$36)*$E652)</f>
        <v>2.6925</v>
      </c>
      <c r="J652" s="95" cm="1">
        <f ca="1" t="array" ref="J652">MIN(8,_xlfn.XLOOKUP($D652&amp;"_"&amp;J$52,$B$14:$B$36&amp;"_"&amp;$C$14:$C$36,$D$14:$D$36)*$E652)</f>
        <v>4.725</v>
      </c>
      <c r="K652" s="95" cm="1">
        <f ca="1" t="array" ref="K652">MIN(18,_xlfn.XLOOKUP($D652&amp;"_"&amp;K$52,$B$14:$B$36&amp;"_"&amp;$C$14:$C$36,$D$14:$D$36)*$E652)</f>
        <v>1.764</v>
      </c>
      <c r="L652" s="95" cm="1">
        <f ca="1" t="array" ref="L652">MIN(6,_xlfn.XLOOKUP($D652&amp;"_"&amp;L$52,$B$14:$B$36&amp;"_"&amp;$C$14:$C$36,$D$14:$D$36)*$E652)</f>
        <v>3.3075</v>
      </c>
      <c r="M652" s="95" cm="1">
        <f ca="1" t="array" ref="M652">(1+SUMPRODUCT(G652:H652,OFFSET($H$40:$I$40,D652,0)))*(1+OFFSET($J$40,D652,0))^I652*(1+OFFSET($K$40,D652,0))^J652*(1+OFFSET($L$40,D652,0))^K652*(1+OFFSET($M$40,D652,0))^L652</f>
        <v>105.327266687544</v>
      </c>
      <c r="N652" s="95">
        <f ca="1">MAX(MAX($N$53:N651),OFFSET($C$52,MATCH(M652*1.07,$M$53:$M$2052,1),0)-C652)</f>
        <v>9720</v>
      </c>
    </row>
    <row r="653" spans="2:14">
      <c r="B653" s="95">
        <v>601</v>
      </c>
      <c r="C653" s="95">
        <f t="shared" si="54"/>
        <v>216360</v>
      </c>
      <c r="D653" s="95">
        <f ca="1">_xlfn.XLOOKUP(总览!$B$44,$B$40:$B$45,$C$40:$C$45)</f>
        <v>5</v>
      </c>
      <c r="E653" s="95">
        <f ca="1" t="shared" si="51"/>
        <v>631</v>
      </c>
      <c r="F653" s="95">
        <f ca="1" t="shared" si="52"/>
        <v>0</v>
      </c>
      <c r="G653" s="95">
        <f ca="1" t="shared" si="53"/>
        <v>0</v>
      </c>
      <c r="H653" s="95" cm="1">
        <f ca="1" t="array" ref="H653">MIN(30-SUM(I653:L653),_xlfn.XLOOKUP($D653&amp;"_"&amp;H$52,$B$14:$B$36&amp;"_"&amp;$C$14:$C$36,$D$14:$D$36)*$E653,18)</f>
        <v>17.5007</v>
      </c>
      <c r="I653" s="95" cm="1">
        <f ca="1" t="array" ref="I653">MIN(30-SUM(J653:L653),6-L653,_xlfn.XLOOKUP($D653&amp;"_"&amp;I$52,$B$14:$B$36&amp;"_"&amp;$C$14:$C$36,$D$14:$D$36)*$E653)</f>
        <v>2.68725</v>
      </c>
      <c r="J653" s="95" cm="1">
        <f ca="1" t="array" ref="J653">MIN(8,_xlfn.XLOOKUP($D653&amp;"_"&amp;J$52,$B$14:$B$36&amp;"_"&amp;$C$14:$C$36,$D$14:$D$36)*$E653)</f>
        <v>4.7325</v>
      </c>
      <c r="K653" s="95" cm="1">
        <f ca="1" t="array" ref="K653">MIN(18,_xlfn.XLOOKUP($D653&amp;"_"&amp;K$52,$B$14:$B$36&amp;"_"&amp;$C$14:$C$36,$D$14:$D$36)*$E653)</f>
        <v>1.7668</v>
      </c>
      <c r="L653" s="95" cm="1">
        <f ca="1" t="array" ref="L653">MIN(6,_xlfn.XLOOKUP($D653&amp;"_"&amp;L$52,$B$14:$B$36&amp;"_"&amp;$C$14:$C$36,$D$14:$D$36)*$E653)</f>
        <v>3.31275</v>
      </c>
      <c r="M653" s="95" cm="1">
        <f ca="1" t="array" ref="M653">(1+SUMPRODUCT(G653:H653,OFFSET($H$40:$I$40,D653,0)))*(1+OFFSET($J$40,D653,0))^I653*(1+OFFSET($K$40,D653,0))^J653*(1+OFFSET($L$40,D653,0))^K653*(1+OFFSET($M$40,D653,0))^L653</f>
        <v>105.582587975732</v>
      </c>
      <c r="N653" s="95">
        <f ca="1">MAX(MAX($N$53:N652),OFFSET($C$52,MATCH(M653*1.07,$M$53:$M$2052,1),0)-C653)</f>
        <v>9720</v>
      </c>
    </row>
    <row r="654" spans="2:14">
      <c r="B654" s="95">
        <v>602</v>
      </c>
      <c r="C654" s="95">
        <f t="shared" si="54"/>
        <v>216720</v>
      </c>
      <c r="D654" s="95">
        <f ca="1">_xlfn.XLOOKUP(总览!$B$44,$B$40:$B$45,$C$40:$C$45)</f>
        <v>5</v>
      </c>
      <c r="E654" s="95">
        <f ca="1" t="shared" si="51"/>
        <v>632</v>
      </c>
      <c r="F654" s="95">
        <f ca="1" t="shared" si="52"/>
        <v>0</v>
      </c>
      <c r="G654" s="95">
        <f ca="1" t="shared" si="53"/>
        <v>0</v>
      </c>
      <c r="H654" s="95" cm="1">
        <f ca="1" t="array" ref="H654">MIN(30-SUM(I654:L654),_xlfn.XLOOKUP($D654&amp;"_"&amp;H$52,$B$14:$B$36&amp;"_"&amp;$C$14:$C$36,$D$14:$D$36)*$E654,18)</f>
        <v>17.4904</v>
      </c>
      <c r="I654" s="95" cm="1">
        <f ca="1" t="array" ref="I654">MIN(30-SUM(J654:L654),6-L654,_xlfn.XLOOKUP($D654&amp;"_"&amp;I$52,$B$14:$B$36&amp;"_"&amp;$C$14:$C$36,$D$14:$D$36)*$E654)</f>
        <v>2.682</v>
      </c>
      <c r="J654" s="95" cm="1">
        <f ca="1" t="array" ref="J654">MIN(8,_xlfn.XLOOKUP($D654&amp;"_"&amp;J$52,$B$14:$B$36&amp;"_"&amp;$C$14:$C$36,$D$14:$D$36)*$E654)</f>
        <v>4.74</v>
      </c>
      <c r="K654" s="95" cm="1">
        <f ca="1" t="array" ref="K654">MIN(18,_xlfn.XLOOKUP($D654&amp;"_"&amp;K$52,$B$14:$B$36&amp;"_"&amp;$C$14:$C$36,$D$14:$D$36)*$E654)</f>
        <v>1.7696</v>
      </c>
      <c r="L654" s="95" cm="1">
        <f ca="1" t="array" ref="L654">MIN(6,_xlfn.XLOOKUP($D654&amp;"_"&amp;L$52,$B$14:$B$36&amp;"_"&amp;$C$14:$C$36,$D$14:$D$36)*$E654)</f>
        <v>3.318</v>
      </c>
      <c r="M654" s="95" cm="1">
        <f ca="1" t="array" ref="M654">(1+SUMPRODUCT(G654:H654,OFFSET($H$40:$I$40,D654,0)))*(1+OFFSET($J$40,D654,0))^I654*(1+OFFSET($K$40,D654,0))^J654*(1+OFFSET($L$40,D654,0))^K654*(1+OFFSET($M$40,D654,0))^L654</f>
        <v>105.838506003905</v>
      </c>
      <c r="N654" s="95">
        <f ca="1">MAX(MAX($N$53:N653),OFFSET($C$52,MATCH(M654*1.07,$M$53:$M$2052,1),0)-C654)</f>
        <v>9720</v>
      </c>
    </row>
    <row r="655" spans="2:14">
      <c r="B655" s="95">
        <v>603</v>
      </c>
      <c r="C655" s="95">
        <f t="shared" si="54"/>
        <v>217080</v>
      </c>
      <c r="D655" s="95">
        <f ca="1">_xlfn.XLOOKUP(总览!$B$44,$B$40:$B$45,$C$40:$C$45)</f>
        <v>5</v>
      </c>
      <c r="E655" s="95">
        <f ca="1" t="shared" si="51"/>
        <v>633</v>
      </c>
      <c r="F655" s="95">
        <f ca="1" t="shared" si="52"/>
        <v>0</v>
      </c>
      <c r="G655" s="95">
        <f ca="1" t="shared" si="53"/>
        <v>0</v>
      </c>
      <c r="H655" s="95" cm="1">
        <f ca="1" t="array" ref="H655">MIN(30-SUM(I655:L655),_xlfn.XLOOKUP($D655&amp;"_"&amp;H$52,$B$14:$B$36&amp;"_"&amp;$C$14:$C$36,$D$14:$D$36)*$E655,18)</f>
        <v>17.4801</v>
      </c>
      <c r="I655" s="95" cm="1">
        <f ca="1" t="array" ref="I655">MIN(30-SUM(J655:L655),6-L655,_xlfn.XLOOKUP($D655&amp;"_"&amp;I$52,$B$14:$B$36&amp;"_"&amp;$C$14:$C$36,$D$14:$D$36)*$E655)</f>
        <v>2.67675</v>
      </c>
      <c r="J655" s="95" cm="1">
        <f ca="1" t="array" ref="J655">MIN(8,_xlfn.XLOOKUP($D655&amp;"_"&amp;J$52,$B$14:$B$36&amp;"_"&amp;$C$14:$C$36,$D$14:$D$36)*$E655)</f>
        <v>4.7475</v>
      </c>
      <c r="K655" s="95" cm="1">
        <f ca="1" t="array" ref="K655">MIN(18,_xlfn.XLOOKUP($D655&amp;"_"&amp;K$52,$B$14:$B$36&amp;"_"&amp;$C$14:$C$36,$D$14:$D$36)*$E655)</f>
        <v>1.7724</v>
      </c>
      <c r="L655" s="95" cm="1">
        <f ca="1" t="array" ref="L655">MIN(6,_xlfn.XLOOKUP($D655&amp;"_"&amp;L$52,$B$14:$B$36&amp;"_"&amp;$C$14:$C$36,$D$14:$D$36)*$E655)</f>
        <v>3.32325</v>
      </c>
      <c r="M655" s="95" cm="1">
        <f ca="1" t="array" ref="M655">(1+SUMPRODUCT(G655:H655,OFFSET($H$40:$I$40,D655,0)))*(1+OFFSET($J$40,D655,0))^I655*(1+OFFSET($K$40,D655,0))^J655*(1+OFFSET($L$40,D655,0))^K655*(1+OFFSET($M$40,D655,0))^L655</f>
        <v>106.095022090731</v>
      </c>
      <c r="N655" s="95">
        <f ca="1">MAX(MAX($N$53:N654),OFFSET($C$52,MATCH(M655*1.07,$M$53:$M$2052,1),0)-C655)</f>
        <v>9720</v>
      </c>
    </row>
    <row r="656" spans="2:14">
      <c r="B656" s="95">
        <v>604</v>
      </c>
      <c r="C656" s="95">
        <f t="shared" si="54"/>
        <v>217440</v>
      </c>
      <c r="D656" s="95">
        <f ca="1">_xlfn.XLOOKUP(总览!$B$44,$B$40:$B$45,$C$40:$C$45)</f>
        <v>5</v>
      </c>
      <c r="E656" s="95">
        <f ca="1" t="shared" si="51"/>
        <v>634</v>
      </c>
      <c r="F656" s="95">
        <f ca="1" t="shared" si="52"/>
        <v>0</v>
      </c>
      <c r="G656" s="95">
        <f ca="1" t="shared" si="53"/>
        <v>0</v>
      </c>
      <c r="H656" s="95" cm="1">
        <f ca="1" t="array" ref="H656">MIN(30-SUM(I656:L656),_xlfn.XLOOKUP($D656&amp;"_"&amp;H$52,$B$14:$B$36&amp;"_"&amp;$C$14:$C$36,$D$14:$D$36)*$E656,18)</f>
        <v>17.4698</v>
      </c>
      <c r="I656" s="95" cm="1">
        <f ca="1" t="array" ref="I656">MIN(30-SUM(J656:L656),6-L656,_xlfn.XLOOKUP($D656&amp;"_"&amp;I$52,$B$14:$B$36&amp;"_"&amp;$C$14:$C$36,$D$14:$D$36)*$E656)</f>
        <v>2.6715</v>
      </c>
      <c r="J656" s="95" cm="1">
        <f ca="1" t="array" ref="J656">MIN(8,_xlfn.XLOOKUP($D656&amp;"_"&amp;J$52,$B$14:$B$36&amp;"_"&amp;$C$14:$C$36,$D$14:$D$36)*$E656)</f>
        <v>4.755</v>
      </c>
      <c r="K656" s="95" cm="1">
        <f ca="1" t="array" ref="K656">MIN(18,_xlfn.XLOOKUP($D656&amp;"_"&amp;K$52,$B$14:$B$36&amp;"_"&amp;$C$14:$C$36,$D$14:$D$36)*$E656)</f>
        <v>1.7752</v>
      </c>
      <c r="L656" s="95" cm="1">
        <f ca="1" t="array" ref="L656">MIN(6,_xlfn.XLOOKUP($D656&amp;"_"&amp;L$52,$B$14:$B$36&amp;"_"&amp;$C$14:$C$36,$D$14:$D$36)*$E656)</f>
        <v>3.3285</v>
      </c>
      <c r="M656" s="95" cm="1">
        <f ca="1" t="array" ref="M656">(1+SUMPRODUCT(G656:H656,OFFSET($H$40:$I$40,D656,0)))*(1+OFFSET($J$40,D656,0))^I656*(1+OFFSET($K$40,D656,0))^J656*(1+OFFSET($L$40,D656,0))^K656*(1+OFFSET($M$40,D656,0))^L656</f>
        <v>106.352137557517</v>
      </c>
      <c r="N656" s="95">
        <f ca="1">MAX(MAX($N$53:N655),OFFSET($C$52,MATCH(M656*1.07,$M$53:$M$2052,1),0)-C656)</f>
        <v>9720</v>
      </c>
    </row>
    <row r="657" spans="2:14">
      <c r="B657" s="95">
        <v>605</v>
      </c>
      <c r="C657" s="95">
        <f t="shared" si="54"/>
        <v>217800</v>
      </c>
      <c r="D657" s="95">
        <f ca="1">_xlfn.XLOOKUP(总览!$B$44,$B$40:$B$45,$C$40:$C$45)</f>
        <v>5</v>
      </c>
      <c r="E657" s="95">
        <f ca="1" t="shared" si="51"/>
        <v>635</v>
      </c>
      <c r="F657" s="95">
        <f ca="1" t="shared" si="52"/>
        <v>0</v>
      </c>
      <c r="G657" s="95">
        <f ca="1" t="shared" si="53"/>
        <v>0</v>
      </c>
      <c r="H657" s="95" cm="1">
        <f ca="1" t="array" ref="H657">MIN(30-SUM(I657:L657),_xlfn.XLOOKUP($D657&amp;"_"&amp;H$52,$B$14:$B$36&amp;"_"&amp;$C$14:$C$36,$D$14:$D$36)*$E657,18)</f>
        <v>17.4595</v>
      </c>
      <c r="I657" s="95" cm="1">
        <f ca="1" t="array" ref="I657">MIN(30-SUM(J657:L657),6-L657,_xlfn.XLOOKUP($D657&amp;"_"&amp;I$52,$B$14:$B$36&amp;"_"&amp;$C$14:$C$36,$D$14:$D$36)*$E657)</f>
        <v>2.66625</v>
      </c>
      <c r="J657" s="95" cm="1">
        <f ca="1" t="array" ref="J657">MIN(8,_xlfn.XLOOKUP($D657&amp;"_"&amp;J$52,$B$14:$B$36&amp;"_"&amp;$C$14:$C$36,$D$14:$D$36)*$E657)</f>
        <v>4.7625</v>
      </c>
      <c r="K657" s="95" cm="1">
        <f ca="1" t="array" ref="K657">MIN(18,_xlfn.XLOOKUP($D657&amp;"_"&amp;K$52,$B$14:$B$36&amp;"_"&amp;$C$14:$C$36,$D$14:$D$36)*$E657)</f>
        <v>1.778</v>
      </c>
      <c r="L657" s="95" cm="1">
        <f ca="1" t="array" ref="L657">MIN(6,_xlfn.XLOOKUP($D657&amp;"_"&amp;L$52,$B$14:$B$36&amp;"_"&amp;$C$14:$C$36,$D$14:$D$36)*$E657)</f>
        <v>3.33375</v>
      </c>
      <c r="M657" s="95" cm="1">
        <f ca="1" t="array" ref="M657">(1+SUMPRODUCT(G657:H657,OFFSET($H$40:$I$40,D657,0)))*(1+OFFSET($J$40,D657,0))^I657*(1+OFFSET($K$40,D657,0))^J657*(1+OFFSET($L$40,D657,0))^K657*(1+OFFSET($M$40,D657,0))^L657</f>
        <v>106.609853728221</v>
      </c>
      <c r="N657" s="95">
        <f ca="1">MAX(MAX($N$53:N656),OFFSET($C$52,MATCH(M657*1.07,$M$53:$M$2052,1),0)-C657)</f>
        <v>9720</v>
      </c>
    </row>
    <row r="658" spans="2:14">
      <c r="B658" s="95">
        <v>606</v>
      </c>
      <c r="C658" s="95">
        <f t="shared" si="54"/>
        <v>218160</v>
      </c>
      <c r="D658" s="95">
        <f ca="1">_xlfn.XLOOKUP(总览!$B$44,$B$40:$B$45,$C$40:$C$45)</f>
        <v>5</v>
      </c>
      <c r="E658" s="95">
        <f ca="1" t="shared" si="51"/>
        <v>636</v>
      </c>
      <c r="F658" s="95">
        <f ca="1" t="shared" si="52"/>
        <v>0</v>
      </c>
      <c r="G658" s="95">
        <f ca="1" t="shared" si="53"/>
        <v>0</v>
      </c>
      <c r="H658" s="95" cm="1">
        <f ca="1" t="array" ref="H658">MIN(30-SUM(I658:L658),_xlfn.XLOOKUP($D658&amp;"_"&amp;H$52,$B$14:$B$36&amp;"_"&amp;$C$14:$C$36,$D$14:$D$36)*$E658,18)</f>
        <v>17.4492</v>
      </c>
      <c r="I658" s="95" cm="1">
        <f ca="1" t="array" ref="I658">MIN(30-SUM(J658:L658),6-L658,_xlfn.XLOOKUP($D658&amp;"_"&amp;I$52,$B$14:$B$36&amp;"_"&amp;$C$14:$C$36,$D$14:$D$36)*$E658)</f>
        <v>2.661</v>
      </c>
      <c r="J658" s="95" cm="1">
        <f ca="1" t="array" ref="J658">MIN(8,_xlfn.XLOOKUP($D658&amp;"_"&amp;J$52,$B$14:$B$36&amp;"_"&amp;$C$14:$C$36,$D$14:$D$36)*$E658)</f>
        <v>4.77</v>
      </c>
      <c r="K658" s="95" cm="1">
        <f ca="1" t="array" ref="K658">MIN(18,_xlfn.XLOOKUP($D658&amp;"_"&amp;K$52,$B$14:$B$36&amp;"_"&amp;$C$14:$C$36,$D$14:$D$36)*$E658)</f>
        <v>1.7808</v>
      </c>
      <c r="L658" s="95" cm="1">
        <f ca="1" t="array" ref="L658">MIN(6,_xlfn.XLOOKUP($D658&amp;"_"&amp;L$52,$B$14:$B$36&amp;"_"&amp;$C$14:$C$36,$D$14:$D$36)*$E658)</f>
        <v>3.339</v>
      </c>
      <c r="M658" s="95" cm="1">
        <f ca="1" t="array" ref="M658">(1+SUMPRODUCT(G658:H658,OFFSET($H$40:$I$40,D658,0)))*(1+OFFSET($J$40,D658,0))^I658*(1+OFFSET($K$40,D658,0))^J658*(1+OFFSET($L$40,D658,0))^K658*(1+OFFSET($M$40,D658,0))^L658</f>
        <v>106.868171929453</v>
      </c>
      <c r="N658" s="95">
        <f ca="1">MAX(MAX($N$53:N657),OFFSET($C$52,MATCH(M658*1.07,$M$53:$M$2052,1),0)-C658)</f>
        <v>9720</v>
      </c>
    </row>
    <row r="659" spans="2:14">
      <c r="B659" s="95">
        <v>607</v>
      </c>
      <c r="C659" s="95">
        <f t="shared" si="54"/>
        <v>218520</v>
      </c>
      <c r="D659" s="95">
        <f ca="1">_xlfn.XLOOKUP(总览!$B$44,$B$40:$B$45,$C$40:$C$45)</f>
        <v>5</v>
      </c>
      <c r="E659" s="95">
        <f ca="1" t="shared" si="51"/>
        <v>637</v>
      </c>
      <c r="F659" s="95">
        <f ca="1" t="shared" si="52"/>
        <v>0</v>
      </c>
      <c r="G659" s="95">
        <f ca="1" t="shared" si="53"/>
        <v>0</v>
      </c>
      <c r="H659" s="95" cm="1">
        <f ca="1" t="array" ref="H659">MIN(30-SUM(I659:L659),_xlfn.XLOOKUP($D659&amp;"_"&amp;H$52,$B$14:$B$36&amp;"_"&amp;$C$14:$C$36,$D$14:$D$36)*$E659,18)</f>
        <v>17.4389</v>
      </c>
      <c r="I659" s="95" cm="1">
        <f ca="1" t="array" ref="I659">MIN(30-SUM(J659:L659),6-L659,_xlfn.XLOOKUP($D659&amp;"_"&amp;I$52,$B$14:$B$36&amp;"_"&amp;$C$14:$C$36,$D$14:$D$36)*$E659)</f>
        <v>2.65575</v>
      </c>
      <c r="J659" s="95" cm="1">
        <f ca="1" t="array" ref="J659">MIN(8,_xlfn.XLOOKUP($D659&amp;"_"&amp;J$52,$B$14:$B$36&amp;"_"&amp;$C$14:$C$36,$D$14:$D$36)*$E659)</f>
        <v>4.7775</v>
      </c>
      <c r="K659" s="95" cm="1">
        <f ca="1" t="array" ref="K659">MIN(18,_xlfn.XLOOKUP($D659&amp;"_"&amp;K$52,$B$14:$B$36&amp;"_"&amp;$C$14:$C$36,$D$14:$D$36)*$E659)</f>
        <v>1.7836</v>
      </c>
      <c r="L659" s="95" cm="1">
        <f ca="1" t="array" ref="L659">MIN(6,_xlfn.XLOOKUP($D659&amp;"_"&amp;L$52,$B$14:$B$36&amp;"_"&amp;$C$14:$C$36,$D$14:$D$36)*$E659)</f>
        <v>3.34425</v>
      </c>
      <c r="M659" s="95" cm="1">
        <f ca="1" t="array" ref="M659">(1+SUMPRODUCT(G659:H659,OFFSET($H$40:$I$40,D659,0)))*(1+OFFSET($J$40,D659,0))^I659*(1+OFFSET($K$40,D659,0))^J659*(1+OFFSET($L$40,D659,0))^K659*(1+OFFSET($M$40,D659,0))^L659</f>
        <v>107.127093490478</v>
      </c>
      <c r="N659" s="95">
        <f ca="1">MAX(MAX($N$53:N658),OFFSET($C$52,MATCH(M659*1.07,$M$53:$M$2052,1),0)-C659)</f>
        <v>9720</v>
      </c>
    </row>
    <row r="660" spans="2:14">
      <c r="B660" s="95">
        <v>608</v>
      </c>
      <c r="C660" s="95">
        <f t="shared" si="54"/>
        <v>218880</v>
      </c>
      <c r="D660" s="95">
        <f ca="1">_xlfn.XLOOKUP(总览!$B$44,$B$40:$B$45,$C$40:$C$45)</f>
        <v>5</v>
      </c>
      <c r="E660" s="95">
        <f ca="1" t="shared" si="51"/>
        <v>638</v>
      </c>
      <c r="F660" s="95">
        <f ca="1" t="shared" si="52"/>
        <v>0</v>
      </c>
      <c r="G660" s="95">
        <f ca="1" t="shared" si="53"/>
        <v>0</v>
      </c>
      <c r="H660" s="95" cm="1">
        <f ca="1" t="array" ref="H660">MIN(30-SUM(I660:L660),_xlfn.XLOOKUP($D660&amp;"_"&amp;H$52,$B$14:$B$36&amp;"_"&amp;$C$14:$C$36,$D$14:$D$36)*$E660,18)</f>
        <v>17.4286</v>
      </c>
      <c r="I660" s="95" cm="1">
        <f ca="1" t="array" ref="I660">MIN(30-SUM(J660:L660),6-L660,_xlfn.XLOOKUP($D660&amp;"_"&amp;I$52,$B$14:$B$36&amp;"_"&amp;$C$14:$C$36,$D$14:$D$36)*$E660)</f>
        <v>2.6505</v>
      </c>
      <c r="J660" s="95" cm="1">
        <f ca="1" t="array" ref="J660">MIN(8,_xlfn.XLOOKUP($D660&amp;"_"&amp;J$52,$B$14:$B$36&amp;"_"&amp;$C$14:$C$36,$D$14:$D$36)*$E660)</f>
        <v>4.785</v>
      </c>
      <c r="K660" s="95" cm="1">
        <f ca="1" t="array" ref="K660">MIN(18,_xlfn.XLOOKUP($D660&amp;"_"&amp;K$52,$B$14:$B$36&amp;"_"&amp;$C$14:$C$36,$D$14:$D$36)*$E660)</f>
        <v>1.7864</v>
      </c>
      <c r="L660" s="95" cm="1">
        <f ca="1" t="array" ref="L660">MIN(6,_xlfn.XLOOKUP($D660&amp;"_"&amp;L$52,$B$14:$B$36&amp;"_"&amp;$C$14:$C$36,$D$14:$D$36)*$E660)</f>
        <v>3.3495</v>
      </c>
      <c r="M660" s="95" cm="1">
        <f ca="1" t="array" ref="M660">(1+SUMPRODUCT(G660:H660,OFFSET($H$40:$I$40,D660,0)))*(1+OFFSET($J$40,D660,0))^I660*(1+OFFSET($K$40,D660,0))^J660*(1+OFFSET($L$40,D660,0))^K660*(1+OFFSET($M$40,D660,0))^L660</f>
        <v>107.386619743223</v>
      </c>
      <c r="N660" s="95">
        <f ca="1">MAX(MAX($N$53:N659),OFFSET($C$52,MATCH(M660*1.07,$M$53:$M$2052,1),0)-C660)</f>
        <v>9720</v>
      </c>
    </row>
    <row r="661" spans="2:14">
      <c r="B661" s="95">
        <v>609</v>
      </c>
      <c r="C661" s="95">
        <f t="shared" si="54"/>
        <v>219240</v>
      </c>
      <c r="D661" s="95">
        <f ca="1">_xlfn.XLOOKUP(总览!$B$44,$B$40:$B$45,$C$40:$C$45)</f>
        <v>5</v>
      </c>
      <c r="E661" s="95">
        <f ca="1" t="shared" si="51"/>
        <v>639</v>
      </c>
      <c r="F661" s="95">
        <f ca="1" t="shared" si="52"/>
        <v>0</v>
      </c>
      <c r="G661" s="95">
        <f ca="1" t="shared" si="53"/>
        <v>0</v>
      </c>
      <c r="H661" s="95" cm="1">
        <f ca="1" t="array" ref="H661">MIN(30-SUM(I661:L661),_xlfn.XLOOKUP($D661&amp;"_"&amp;H$52,$B$14:$B$36&amp;"_"&amp;$C$14:$C$36,$D$14:$D$36)*$E661,18)</f>
        <v>17.4183</v>
      </c>
      <c r="I661" s="95" cm="1">
        <f ca="1" t="array" ref="I661">MIN(30-SUM(J661:L661),6-L661,_xlfn.XLOOKUP($D661&amp;"_"&amp;I$52,$B$14:$B$36&amp;"_"&amp;$C$14:$C$36,$D$14:$D$36)*$E661)</f>
        <v>2.64525</v>
      </c>
      <c r="J661" s="95" cm="1">
        <f ca="1" t="array" ref="J661">MIN(8,_xlfn.XLOOKUP($D661&amp;"_"&amp;J$52,$B$14:$B$36&amp;"_"&amp;$C$14:$C$36,$D$14:$D$36)*$E661)</f>
        <v>4.7925</v>
      </c>
      <c r="K661" s="95" cm="1">
        <f ca="1" t="array" ref="K661">MIN(18,_xlfn.XLOOKUP($D661&amp;"_"&amp;K$52,$B$14:$B$36&amp;"_"&amp;$C$14:$C$36,$D$14:$D$36)*$E661)</f>
        <v>1.7892</v>
      </c>
      <c r="L661" s="95" cm="1">
        <f ca="1" t="array" ref="L661">MIN(6,_xlfn.XLOOKUP($D661&amp;"_"&amp;L$52,$B$14:$B$36&amp;"_"&amp;$C$14:$C$36,$D$14:$D$36)*$E661)</f>
        <v>3.35475</v>
      </c>
      <c r="M661" s="95" cm="1">
        <f ca="1" t="array" ref="M661">(1+SUMPRODUCT(G661:H661,OFFSET($H$40:$I$40,D661,0)))*(1+OFFSET($J$40,D661,0))^I661*(1+OFFSET($K$40,D661,0))^J661*(1+OFFSET($L$40,D661,0))^K661*(1+OFFSET($M$40,D661,0))^L661</f>
        <v>107.646752022278</v>
      </c>
      <c r="N661" s="95">
        <f ca="1">MAX(MAX($N$53:N660),OFFSET($C$52,MATCH(M661*1.07,$M$53:$M$2052,1),0)-C661)</f>
        <v>10080</v>
      </c>
    </row>
    <row r="662" spans="2:14">
      <c r="B662" s="95">
        <v>610</v>
      </c>
      <c r="C662" s="95">
        <f t="shared" si="54"/>
        <v>219600</v>
      </c>
      <c r="D662" s="95">
        <f ca="1">_xlfn.XLOOKUP(总览!$B$44,$B$40:$B$45,$C$40:$C$45)</f>
        <v>5</v>
      </c>
      <c r="E662" s="95">
        <f ca="1" t="shared" si="51"/>
        <v>640</v>
      </c>
      <c r="F662" s="95">
        <f ca="1" t="shared" si="52"/>
        <v>0</v>
      </c>
      <c r="G662" s="95">
        <f ca="1" t="shared" si="53"/>
        <v>0</v>
      </c>
      <c r="H662" s="95" cm="1">
        <f ca="1" t="array" ref="H662">MIN(30-SUM(I662:L662),_xlfn.XLOOKUP($D662&amp;"_"&amp;H$52,$B$14:$B$36&amp;"_"&amp;$C$14:$C$36,$D$14:$D$36)*$E662,18)</f>
        <v>17.408</v>
      </c>
      <c r="I662" s="95" cm="1">
        <f ca="1" t="array" ref="I662">MIN(30-SUM(J662:L662),6-L662,_xlfn.XLOOKUP($D662&amp;"_"&amp;I$52,$B$14:$B$36&amp;"_"&amp;$C$14:$C$36,$D$14:$D$36)*$E662)</f>
        <v>2.64</v>
      </c>
      <c r="J662" s="95" cm="1">
        <f ca="1" t="array" ref="J662">MIN(8,_xlfn.XLOOKUP($D662&amp;"_"&amp;J$52,$B$14:$B$36&amp;"_"&amp;$C$14:$C$36,$D$14:$D$36)*$E662)</f>
        <v>4.8</v>
      </c>
      <c r="K662" s="95" cm="1">
        <f ca="1" t="array" ref="K662">MIN(18,_xlfn.XLOOKUP($D662&amp;"_"&amp;K$52,$B$14:$B$36&amp;"_"&amp;$C$14:$C$36,$D$14:$D$36)*$E662)</f>
        <v>1.792</v>
      </c>
      <c r="L662" s="95" cm="1">
        <f ca="1" t="array" ref="L662">MIN(6,_xlfn.XLOOKUP($D662&amp;"_"&amp;L$52,$B$14:$B$36&amp;"_"&amp;$C$14:$C$36,$D$14:$D$36)*$E662)</f>
        <v>3.36</v>
      </c>
      <c r="M662" s="95" cm="1">
        <f ca="1" t="array" ref="M662">(1+SUMPRODUCT(G662:H662,OFFSET($H$40:$I$40,D662,0)))*(1+OFFSET($J$40,D662,0))^I662*(1+OFFSET($K$40,D662,0))^J662*(1+OFFSET($L$40,D662,0))^K662*(1+OFFSET($M$40,D662,0))^L662</f>
        <v>107.907491664905</v>
      </c>
      <c r="N662" s="95">
        <f ca="1">MAX(MAX($N$53:N661),OFFSET($C$52,MATCH(M662*1.07,$M$53:$M$2052,1),0)-C662)</f>
        <v>10080</v>
      </c>
    </row>
    <row r="663" spans="2:14">
      <c r="B663" s="95">
        <v>611</v>
      </c>
      <c r="C663" s="95">
        <f t="shared" si="54"/>
        <v>219960</v>
      </c>
      <c r="D663" s="95">
        <f ca="1">_xlfn.XLOOKUP(总览!$B$44,$B$40:$B$45,$C$40:$C$45)</f>
        <v>5</v>
      </c>
      <c r="E663" s="95">
        <f ca="1" t="shared" si="51"/>
        <v>641</v>
      </c>
      <c r="F663" s="95">
        <f ca="1" t="shared" si="52"/>
        <v>0</v>
      </c>
      <c r="G663" s="95">
        <f ca="1" t="shared" si="53"/>
        <v>0</v>
      </c>
      <c r="H663" s="95" cm="1">
        <f ca="1" t="array" ref="H663">MIN(30-SUM(I663:L663),_xlfn.XLOOKUP($D663&amp;"_"&amp;H$52,$B$14:$B$36&amp;"_"&amp;$C$14:$C$36,$D$14:$D$36)*$E663,18)</f>
        <v>17.3977</v>
      </c>
      <c r="I663" s="95" cm="1">
        <f ca="1" t="array" ref="I663">MIN(30-SUM(J663:L663),6-L663,_xlfn.XLOOKUP($D663&amp;"_"&amp;I$52,$B$14:$B$36&amp;"_"&amp;$C$14:$C$36,$D$14:$D$36)*$E663)</f>
        <v>2.63475</v>
      </c>
      <c r="J663" s="95" cm="1">
        <f ca="1" t="array" ref="J663">MIN(8,_xlfn.XLOOKUP($D663&amp;"_"&amp;J$52,$B$14:$B$36&amp;"_"&amp;$C$14:$C$36,$D$14:$D$36)*$E663)</f>
        <v>4.8075</v>
      </c>
      <c r="K663" s="95" cm="1">
        <f ca="1" t="array" ref="K663">MIN(18,_xlfn.XLOOKUP($D663&amp;"_"&amp;K$52,$B$14:$B$36&amp;"_"&amp;$C$14:$C$36,$D$14:$D$36)*$E663)</f>
        <v>1.7948</v>
      </c>
      <c r="L663" s="95" cm="1">
        <f ca="1" t="array" ref="L663">MIN(6,_xlfn.XLOOKUP($D663&amp;"_"&amp;L$52,$B$14:$B$36&amp;"_"&amp;$C$14:$C$36,$D$14:$D$36)*$E663)</f>
        <v>3.36525</v>
      </c>
      <c r="M663" s="95" cm="1">
        <f ca="1" t="array" ref="M663">(1+SUMPRODUCT(G663:H663,OFFSET($H$40:$I$40,D663,0)))*(1+OFFSET($J$40,D663,0))^I663*(1+OFFSET($K$40,D663,0))^J663*(1+OFFSET($L$40,D663,0))^K663*(1+OFFSET($M$40,D663,0))^L663</f>
        <v>108.168840011038</v>
      </c>
      <c r="N663" s="95">
        <f ca="1">MAX(MAX($N$53:N662),OFFSET($C$52,MATCH(M663*1.07,$M$53:$M$2052,1),0)-C663)</f>
        <v>10080</v>
      </c>
    </row>
    <row r="664" spans="2:14">
      <c r="B664" s="95">
        <v>612</v>
      </c>
      <c r="C664" s="95">
        <f t="shared" si="54"/>
        <v>220320</v>
      </c>
      <c r="D664" s="95">
        <f ca="1">_xlfn.XLOOKUP(总览!$B$44,$B$40:$B$45,$C$40:$C$45)</f>
        <v>5</v>
      </c>
      <c r="E664" s="95">
        <f ca="1" t="shared" si="51"/>
        <v>642</v>
      </c>
      <c r="F664" s="95">
        <f ca="1" t="shared" si="52"/>
        <v>0</v>
      </c>
      <c r="G664" s="95">
        <f ca="1" t="shared" si="53"/>
        <v>0</v>
      </c>
      <c r="H664" s="95" cm="1">
        <f ca="1" t="array" ref="H664">MIN(30-SUM(I664:L664),_xlfn.XLOOKUP($D664&amp;"_"&amp;H$52,$B$14:$B$36&amp;"_"&amp;$C$14:$C$36,$D$14:$D$36)*$E664,18)</f>
        <v>17.3874</v>
      </c>
      <c r="I664" s="95" cm="1">
        <f ca="1" t="array" ref="I664">MIN(30-SUM(J664:L664),6-L664,_xlfn.XLOOKUP($D664&amp;"_"&amp;I$52,$B$14:$B$36&amp;"_"&amp;$C$14:$C$36,$D$14:$D$36)*$E664)</f>
        <v>2.6295</v>
      </c>
      <c r="J664" s="95" cm="1">
        <f ca="1" t="array" ref="J664">MIN(8,_xlfn.XLOOKUP($D664&amp;"_"&amp;J$52,$B$14:$B$36&amp;"_"&amp;$C$14:$C$36,$D$14:$D$36)*$E664)</f>
        <v>4.815</v>
      </c>
      <c r="K664" s="95" cm="1">
        <f ca="1" t="array" ref="K664">MIN(18,_xlfn.XLOOKUP($D664&amp;"_"&amp;K$52,$B$14:$B$36&amp;"_"&amp;$C$14:$C$36,$D$14:$D$36)*$E664)</f>
        <v>1.7976</v>
      </c>
      <c r="L664" s="95" cm="1">
        <f ca="1" t="array" ref="L664">MIN(6,_xlfn.XLOOKUP($D664&amp;"_"&amp;L$52,$B$14:$B$36&amp;"_"&amp;$C$14:$C$36,$D$14:$D$36)*$E664)</f>
        <v>3.3705</v>
      </c>
      <c r="M664" s="95" cm="1">
        <f ca="1" t="array" ref="M664">(1+SUMPRODUCT(G664:H664,OFFSET($H$40:$I$40,D664,0)))*(1+OFFSET($J$40,D664,0))^I664*(1+OFFSET($K$40,D664,0))^J664*(1+OFFSET($L$40,D664,0))^K664*(1+OFFSET($M$40,D664,0))^L664</f>
        <v>108.430798403289</v>
      </c>
      <c r="N664" s="95">
        <f ca="1">MAX(MAX($N$53:N663),OFFSET($C$52,MATCH(M664*1.07,$M$53:$M$2052,1),0)-C664)</f>
        <v>10080</v>
      </c>
    </row>
    <row r="665" spans="2:14">
      <c r="B665" s="95">
        <v>613</v>
      </c>
      <c r="C665" s="95">
        <f t="shared" si="54"/>
        <v>220680</v>
      </c>
      <c r="D665" s="95">
        <f ca="1">_xlfn.XLOOKUP(总览!$B$44,$B$40:$B$45,$C$40:$C$45)</f>
        <v>5</v>
      </c>
      <c r="E665" s="95">
        <f ca="1" t="shared" si="51"/>
        <v>643</v>
      </c>
      <c r="F665" s="95">
        <f ca="1" t="shared" si="52"/>
        <v>0</v>
      </c>
      <c r="G665" s="95">
        <f ca="1" t="shared" si="53"/>
        <v>0</v>
      </c>
      <c r="H665" s="95" cm="1">
        <f ca="1" t="array" ref="H665">MIN(30-SUM(I665:L665),_xlfn.XLOOKUP($D665&amp;"_"&amp;H$52,$B$14:$B$36&amp;"_"&amp;$C$14:$C$36,$D$14:$D$36)*$E665,18)</f>
        <v>17.3771</v>
      </c>
      <c r="I665" s="95" cm="1">
        <f ca="1" t="array" ref="I665">MIN(30-SUM(J665:L665),6-L665,_xlfn.XLOOKUP($D665&amp;"_"&amp;I$52,$B$14:$B$36&amp;"_"&amp;$C$14:$C$36,$D$14:$D$36)*$E665)</f>
        <v>2.62425</v>
      </c>
      <c r="J665" s="95" cm="1">
        <f ca="1" t="array" ref="J665">MIN(8,_xlfn.XLOOKUP($D665&amp;"_"&amp;J$52,$B$14:$B$36&amp;"_"&amp;$C$14:$C$36,$D$14:$D$36)*$E665)</f>
        <v>4.8225</v>
      </c>
      <c r="K665" s="95" cm="1">
        <f ca="1" t="array" ref="K665">MIN(18,_xlfn.XLOOKUP($D665&amp;"_"&amp;K$52,$B$14:$B$36&amp;"_"&amp;$C$14:$C$36,$D$14:$D$36)*$E665)</f>
        <v>1.8004</v>
      </c>
      <c r="L665" s="95" cm="1">
        <f ca="1" t="array" ref="L665">MIN(6,_xlfn.XLOOKUP($D665&amp;"_"&amp;L$52,$B$14:$B$36&amp;"_"&amp;$C$14:$C$36,$D$14:$D$36)*$E665)</f>
        <v>3.37575</v>
      </c>
      <c r="M665" s="95" cm="1">
        <f ca="1" t="array" ref="M665">(1+SUMPRODUCT(G665:H665,OFFSET($H$40:$I$40,D665,0)))*(1+OFFSET($J$40,D665,0))^I665*(1+OFFSET($K$40,D665,0))^J665*(1+OFFSET($L$40,D665,0))^K665*(1+OFFSET($M$40,D665,0))^L665</f>
        <v>108.693368186953</v>
      </c>
      <c r="N665" s="95">
        <f ca="1">MAX(MAX($N$53:N664),OFFSET($C$52,MATCH(M665*1.07,$M$53:$M$2052,1),0)-C665)</f>
        <v>10080</v>
      </c>
    </row>
    <row r="666" spans="2:14">
      <c r="B666" s="95">
        <v>614</v>
      </c>
      <c r="C666" s="95">
        <f t="shared" si="54"/>
        <v>221040</v>
      </c>
      <c r="D666" s="95">
        <f ca="1">_xlfn.XLOOKUP(总览!$B$44,$B$40:$B$45,$C$40:$C$45)</f>
        <v>5</v>
      </c>
      <c r="E666" s="95">
        <f ca="1" t="shared" si="51"/>
        <v>644</v>
      </c>
      <c r="F666" s="95">
        <f ca="1" t="shared" si="52"/>
        <v>0</v>
      </c>
      <c r="G666" s="95">
        <f ca="1" t="shared" si="53"/>
        <v>0</v>
      </c>
      <c r="H666" s="95" cm="1">
        <f ca="1" t="array" ref="H666">MIN(30-SUM(I666:L666),_xlfn.XLOOKUP($D666&amp;"_"&amp;H$52,$B$14:$B$36&amp;"_"&amp;$C$14:$C$36,$D$14:$D$36)*$E666,18)</f>
        <v>17.3668</v>
      </c>
      <c r="I666" s="95" cm="1">
        <f ca="1" t="array" ref="I666">MIN(30-SUM(J666:L666),6-L666,_xlfn.XLOOKUP($D666&amp;"_"&amp;I$52,$B$14:$B$36&amp;"_"&amp;$C$14:$C$36,$D$14:$D$36)*$E666)</f>
        <v>2.619</v>
      </c>
      <c r="J666" s="95" cm="1">
        <f ca="1" t="array" ref="J666">MIN(8,_xlfn.XLOOKUP($D666&amp;"_"&amp;J$52,$B$14:$B$36&amp;"_"&amp;$C$14:$C$36,$D$14:$D$36)*$E666)</f>
        <v>4.83</v>
      </c>
      <c r="K666" s="95" cm="1">
        <f ca="1" t="array" ref="K666">MIN(18,_xlfn.XLOOKUP($D666&amp;"_"&amp;K$52,$B$14:$B$36&amp;"_"&amp;$C$14:$C$36,$D$14:$D$36)*$E666)</f>
        <v>1.8032</v>
      </c>
      <c r="L666" s="95" cm="1">
        <f ca="1" t="array" ref="L666">MIN(6,_xlfn.XLOOKUP($D666&amp;"_"&amp;L$52,$B$14:$B$36&amp;"_"&amp;$C$14:$C$36,$D$14:$D$36)*$E666)</f>
        <v>3.381</v>
      </c>
      <c r="M666" s="95" cm="1">
        <f ca="1" t="array" ref="M666">(1+SUMPRODUCT(G666:H666,OFFSET($H$40:$I$40,D666,0)))*(1+OFFSET($J$40,D666,0))^I666*(1+OFFSET($K$40,D666,0))^J666*(1+OFFSET($L$40,D666,0))^K666*(1+OFFSET($M$40,D666,0))^L666</f>
        <v>108.956550710009</v>
      </c>
      <c r="N666" s="95">
        <f ca="1">MAX(MAX($N$53:N665),OFFSET($C$52,MATCH(M666*1.07,$M$53:$M$2052,1),0)-C666)</f>
        <v>10080</v>
      </c>
    </row>
    <row r="667" spans="2:14">
      <c r="B667" s="95">
        <v>615</v>
      </c>
      <c r="C667" s="95">
        <f t="shared" si="54"/>
        <v>221400</v>
      </c>
      <c r="D667" s="95">
        <f ca="1">_xlfn.XLOOKUP(总览!$B$44,$B$40:$B$45,$C$40:$C$45)</f>
        <v>5</v>
      </c>
      <c r="E667" s="95">
        <f ca="1" t="shared" si="51"/>
        <v>645</v>
      </c>
      <c r="F667" s="95">
        <f ca="1" t="shared" si="52"/>
        <v>0</v>
      </c>
      <c r="G667" s="95">
        <f ca="1" t="shared" si="53"/>
        <v>0</v>
      </c>
      <c r="H667" s="95" cm="1">
        <f ca="1" t="array" ref="H667">MIN(30-SUM(I667:L667),_xlfn.XLOOKUP($D667&amp;"_"&amp;H$52,$B$14:$B$36&amp;"_"&amp;$C$14:$C$36,$D$14:$D$36)*$E667,18)</f>
        <v>17.3565</v>
      </c>
      <c r="I667" s="95" cm="1">
        <f ca="1" t="array" ref="I667">MIN(30-SUM(J667:L667),6-L667,_xlfn.XLOOKUP($D667&amp;"_"&amp;I$52,$B$14:$B$36&amp;"_"&amp;$C$14:$C$36,$D$14:$D$36)*$E667)</f>
        <v>2.61375</v>
      </c>
      <c r="J667" s="95" cm="1">
        <f ca="1" t="array" ref="J667">MIN(8,_xlfn.XLOOKUP($D667&amp;"_"&amp;J$52,$B$14:$B$36&amp;"_"&amp;$C$14:$C$36,$D$14:$D$36)*$E667)</f>
        <v>4.8375</v>
      </c>
      <c r="K667" s="95" cm="1">
        <f ca="1" t="array" ref="K667">MIN(18,_xlfn.XLOOKUP($D667&amp;"_"&amp;K$52,$B$14:$B$36&amp;"_"&amp;$C$14:$C$36,$D$14:$D$36)*$E667)</f>
        <v>1.806</v>
      </c>
      <c r="L667" s="95" cm="1">
        <f ca="1" t="array" ref="L667">MIN(6,_xlfn.XLOOKUP($D667&amp;"_"&amp;L$52,$B$14:$B$36&amp;"_"&amp;$C$14:$C$36,$D$14:$D$36)*$E667)</f>
        <v>3.38625</v>
      </c>
      <c r="M667" s="95" cm="1">
        <f ca="1" t="array" ref="M667">(1+SUMPRODUCT(G667:H667,OFFSET($H$40:$I$40,D667,0)))*(1+OFFSET($J$40,D667,0))^I667*(1+OFFSET($K$40,D667,0))^J667*(1+OFFSET($L$40,D667,0))^K667*(1+OFFSET($M$40,D667,0))^L667</f>
        <v>109.220347323131</v>
      </c>
      <c r="N667" s="95">
        <f ca="1">MAX(MAX($N$53:N666),OFFSET($C$52,MATCH(M667*1.07,$M$53:$M$2052,1),0)-C667)</f>
        <v>10080</v>
      </c>
    </row>
    <row r="668" spans="2:14">
      <c r="B668" s="95">
        <v>616</v>
      </c>
      <c r="C668" s="95">
        <f t="shared" si="54"/>
        <v>221760</v>
      </c>
      <c r="D668" s="95">
        <f ca="1">_xlfn.XLOOKUP(总览!$B$44,$B$40:$B$45,$C$40:$C$45)</f>
        <v>5</v>
      </c>
      <c r="E668" s="95">
        <f ca="1" t="shared" si="51"/>
        <v>646</v>
      </c>
      <c r="F668" s="95">
        <f ca="1" t="shared" si="52"/>
        <v>0</v>
      </c>
      <c r="G668" s="95">
        <f ca="1" t="shared" si="53"/>
        <v>0</v>
      </c>
      <c r="H668" s="95" cm="1">
        <f ca="1" t="array" ref="H668">MIN(30-SUM(I668:L668),_xlfn.XLOOKUP($D668&amp;"_"&amp;H$52,$B$14:$B$36&amp;"_"&amp;$C$14:$C$36,$D$14:$D$36)*$E668,18)</f>
        <v>17.3462</v>
      </c>
      <c r="I668" s="95" cm="1">
        <f ca="1" t="array" ref="I668">MIN(30-SUM(J668:L668),6-L668,_xlfn.XLOOKUP($D668&amp;"_"&amp;I$52,$B$14:$B$36&amp;"_"&amp;$C$14:$C$36,$D$14:$D$36)*$E668)</f>
        <v>2.6085</v>
      </c>
      <c r="J668" s="95" cm="1">
        <f ca="1" t="array" ref="J668">MIN(8,_xlfn.XLOOKUP($D668&amp;"_"&amp;J$52,$B$14:$B$36&amp;"_"&amp;$C$14:$C$36,$D$14:$D$36)*$E668)</f>
        <v>4.845</v>
      </c>
      <c r="K668" s="95" cm="1">
        <f ca="1" t="array" ref="K668">MIN(18,_xlfn.XLOOKUP($D668&amp;"_"&amp;K$52,$B$14:$B$36&amp;"_"&amp;$C$14:$C$36,$D$14:$D$36)*$E668)</f>
        <v>1.8088</v>
      </c>
      <c r="L668" s="95" cm="1">
        <f ca="1" t="array" ref="L668">MIN(6,_xlfn.XLOOKUP($D668&amp;"_"&amp;L$52,$B$14:$B$36&amp;"_"&amp;$C$14:$C$36,$D$14:$D$36)*$E668)</f>
        <v>3.3915</v>
      </c>
      <c r="M668" s="95" cm="1">
        <f ca="1" t="array" ref="M668">(1+SUMPRODUCT(G668:H668,OFFSET($H$40:$I$40,D668,0)))*(1+OFFSET($J$40,D668,0))^I668*(1+OFFSET($K$40,D668,0))^J668*(1+OFFSET($L$40,D668,0))^K668*(1+OFFSET($M$40,D668,0))^L668</f>
        <v>109.484759379684</v>
      </c>
      <c r="N668" s="95">
        <f ca="1">MAX(MAX($N$53:N667),OFFSET($C$52,MATCH(M668*1.07,$M$53:$M$2052,1),0)-C668)</f>
        <v>10080</v>
      </c>
    </row>
    <row r="669" spans="2:14">
      <c r="B669" s="95">
        <v>617</v>
      </c>
      <c r="C669" s="95">
        <f t="shared" si="54"/>
        <v>222120</v>
      </c>
      <c r="D669" s="95">
        <f ca="1">_xlfn.XLOOKUP(总览!$B$44,$B$40:$B$45,$C$40:$C$45)</f>
        <v>5</v>
      </c>
      <c r="E669" s="95">
        <f ca="1" t="shared" si="51"/>
        <v>647</v>
      </c>
      <c r="F669" s="95">
        <f ca="1" t="shared" si="52"/>
        <v>0</v>
      </c>
      <c r="G669" s="95">
        <f ca="1" t="shared" si="53"/>
        <v>0</v>
      </c>
      <c r="H669" s="95" cm="1">
        <f ca="1" t="array" ref="H669">MIN(30-SUM(I669:L669),_xlfn.XLOOKUP($D669&amp;"_"&amp;H$52,$B$14:$B$36&amp;"_"&amp;$C$14:$C$36,$D$14:$D$36)*$E669,18)</f>
        <v>17.3359</v>
      </c>
      <c r="I669" s="95" cm="1">
        <f ca="1" t="array" ref="I669">MIN(30-SUM(J669:L669),6-L669,_xlfn.XLOOKUP($D669&amp;"_"&amp;I$52,$B$14:$B$36&amp;"_"&amp;$C$14:$C$36,$D$14:$D$36)*$E669)</f>
        <v>2.60325</v>
      </c>
      <c r="J669" s="95" cm="1">
        <f ca="1" t="array" ref="J669">MIN(8,_xlfn.XLOOKUP($D669&amp;"_"&amp;J$52,$B$14:$B$36&amp;"_"&amp;$C$14:$C$36,$D$14:$D$36)*$E669)</f>
        <v>4.8525</v>
      </c>
      <c r="K669" s="95" cm="1">
        <f ca="1" t="array" ref="K669">MIN(18,_xlfn.XLOOKUP($D669&amp;"_"&amp;K$52,$B$14:$B$36&amp;"_"&amp;$C$14:$C$36,$D$14:$D$36)*$E669)</f>
        <v>1.8116</v>
      </c>
      <c r="L669" s="95" cm="1">
        <f ca="1" t="array" ref="L669">MIN(6,_xlfn.XLOOKUP($D669&amp;"_"&amp;L$52,$B$14:$B$36&amp;"_"&amp;$C$14:$C$36,$D$14:$D$36)*$E669)</f>
        <v>3.39675</v>
      </c>
      <c r="M669" s="95" cm="1">
        <f ca="1" t="array" ref="M669">(1+SUMPRODUCT(G669:H669,OFFSET($H$40:$I$40,D669,0)))*(1+OFFSET($J$40,D669,0))^I669*(1+OFFSET($K$40,D669,0))^J669*(1+OFFSET($L$40,D669,0))^K669*(1+OFFSET($M$40,D669,0))^L669</f>
        <v>109.749788235735</v>
      </c>
      <c r="N669" s="95">
        <f ca="1">MAX(MAX($N$53:N668),OFFSET($C$52,MATCH(M669*1.07,$M$53:$M$2052,1),0)-C669)</f>
        <v>10080</v>
      </c>
    </row>
    <row r="670" spans="2:14">
      <c r="B670" s="95">
        <v>618</v>
      </c>
      <c r="C670" s="95">
        <f t="shared" si="54"/>
        <v>222480</v>
      </c>
      <c r="D670" s="95">
        <f ca="1">_xlfn.XLOOKUP(总览!$B$44,$B$40:$B$45,$C$40:$C$45)</f>
        <v>5</v>
      </c>
      <c r="E670" s="95">
        <f ca="1" t="shared" si="51"/>
        <v>648</v>
      </c>
      <c r="F670" s="95">
        <f ca="1" t="shared" si="52"/>
        <v>0</v>
      </c>
      <c r="G670" s="95">
        <f ca="1" t="shared" si="53"/>
        <v>0</v>
      </c>
      <c r="H670" s="95" cm="1">
        <f ca="1" t="array" ref="H670">MIN(30-SUM(I670:L670),_xlfn.XLOOKUP($D670&amp;"_"&amp;H$52,$B$14:$B$36&amp;"_"&amp;$C$14:$C$36,$D$14:$D$36)*$E670,18)</f>
        <v>17.3256</v>
      </c>
      <c r="I670" s="95" cm="1">
        <f ca="1" t="array" ref="I670">MIN(30-SUM(J670:L670),6-L670,_xlfn.XLOOKUP($D670&amp;"_"&amp;I$52,$B$14:$B$36&amp;"_"&amp;$C$14:$C$36,$D$14:$D$36)*$E670)</f>
        <v>2.598</v>
      </c>
      <c r="J670" s="95" cm="1">
        <f ca="1" t="array" ref="J670">MIN(8,_xlfn.XLOOKUP($D670&amp;"_"&amp;J$52,$B$14:$B$36&amp;"_"&amp;$C$14:$C$36,$D$14:$D$36)*$E670)</f>
        <v>4.86</v>
      </c>
      <c r="K670" s="95" cm="1">
        <f ca="1" t="array" ref="K670">MIN(18,_xlfn.XLOOKUP($D670&amp;"_"&amp;K$52,$B$14:$B$36&amp;"_"&amp;$C$14:$C$36,$D$14:$D$36)*$E670)</f>
        <v>1.8144</v>
      </c>
      <c r="L670" s="95" cm="1">
        <f ca="1" t="array" ref="L670">MIN(6,_xlfn.XLOOKUP($D670&amp;"_"&amp;L$52,$B$14:$B$36&amp;"_"&amp;$C$14:$C$36,$D$14:$D$36)*$E670)</f>
        <v>3.402</v>
      </c>
      <c r="M670" s="95" cm="1">
        <f ca="1" t="array" ref="M670">(1+SUMPRODUCT(G670:H670,OFFSET($H$40:$I$40,D670,0)))*(1+OFFSET($J$40,D670,0))^I670*(1+OFFSET($K$40,D670,0))^J670*(1+OFFSET($L$40,D670,0))^K670*(1+OFFSET($M$40,D670,0))^L670</f>
        <v>110.015435250054</v>
      </c>
      <c r="N670" s="95">
        <f ca="1">MAX(MAX($N$53:N669),OFFSET($C$52,MATCH(M670*1.07,$M$53:$M$2052,1),0)-C670)</f>
        <v>10080</v>
      </c>
    </row>
    <row r="671" spans="2:14">
      <c r="B671" s="95">
        <v>619</v>
      </c>
      <c r="C671" s="95">
        <f t="shared" si="54"/>
        <v>222840</v>
      </c>
      <c r="D671" s="95">
        <f ca="1">_xlfn.XLOOKUP(总览!$B$44,$B$40:$B$45,$C$40:$C$45)</f>
        <v>5</v>
      </c>
      <c r="E671" s="95">
        <f ca="1" t="shared" si="51"/>
        <v>649</v>
      </c>
      <c r="F671" s="95">
        <f ca="1" t="shared" si="52"/>
        <v>0</v>
      </c>
      <c r="G671" s="95">
        <f ca="1" t="shared" si="53"/>
        <v>0</v>
      </c>
      <c r="H671" s="95" cm="1">
        <f ca="1" t="array" ref="H671">MIN(30-SUM(I671:L671),_xlfn.XLOOKUP($D671&amp;"_"&amp;H$52,$B$14:$B$36&amp;"_"&amp;$C$14:$C$36,$D$14:$D$36)*$E671,18)</f>
        <v>17.3153</v>
      </c>
      <c r="I671" s="95" cm="1">
        <f ca="1" t="array" ref="I671">MIN(30-SUM(J671:L671),6-L671,_xlfn.XLOOKUP($D671&amp;"_"&amp;I$52,$B$14:$B$36&amp;"_"&amp;$C$14:$C$36,$D$14:$D$36)*$E671)</f>
        <v>2.59275</v>
      </c>
      <c r="J671" s="95" cm="1">
        <f ca="1" t="array" ref="J671">MIN(8,_xlfn.XLOOKUP($D671&amp;"_"&amp;J$52,$B$14:$B$36&amp;"_"&amp;$C$14:$C$36,$D$14:$D$36)*$E671)</f>
        <v>4.8675</v>
      </c>
      <c r="K671" s="95" cm="1">
        <f ca="1" t="array" ref="K671">MIN(18,_xlfn.XLOOKUP($D671&amp;"_"&amp;K$52,$B$14:$B$36&amp;"_"&amp;$C$14:$C$36,$D$14:$D$36)*$E671)</f>
        <v>1.8172</v>
      </c>
      <c r="L671" s="95" cm="1">
        <f ca="1" t="array" ref="L671">MIN(6,_xlfn.XLOOKUP($D671&amp;"_"&amp;L$52,$B$14:$B$36&amp;"_"&amp;$C$14:$C$36,$D$14:$D$36)*$E671)</f>
        <v>3.40725</v>
      </c>
      <c r="M671" s="95" cm="1">
        <f ca="1" t="array" ref="M671">(1+SUMPRODUCT(G671:H671,OFFSET($H$40:$I$40,D671,0)))*(1+OFFSET($J$40,D671,0))^I671*(1+OFFSET($K$40,D671,0))^J671*(1+OFFSET($L$40,D671,0))^K671*(1+OFFSET($M$40,D671,0))^L671</f>
        <v>110.281701784119</v>
      </c>
      <c r="N671" s="95">
        <f ca="1">MAX(MAX($N$53:N670),OFFSET($C$52,MATCH(M671*1.07,$M$53:$M$2052,1),0)-C671)</f>
        <v>10080</v>
      </c>
    </row>
    <row r="672" spans="2:14">
      <c r="B672" s="95">
        <v>620</v>
      </c>
      <c r="C672" s="95">
        <f t="shared" si="54"/>
        <v>223200</v>
      </c>
      <c r="D672" s="95">
        <f ca="1">_xlfn.XLOOKUP(总览!$B$44,$B$40:$B$45,$C$40:$C$45)</f>
        <v>5</v>
      </c>
      <c r="E672" s="95">
        <f ca="1" t="shared" si="51"/>
        <v>650</v>
      </c>
      <c r="F672" s="95">
        <f ca="1" t="shared" si="52"/>
        <v>0</v>
      </c>
      <c r="G672" s="95">
        <f ca="1" t="shared" si="53"/>
        <v>0</v>
      </c>
      <c r="H672" s="95" cm="1">
        <f ca="1" t="array" ref="H672">MIN(30-SUM(I672:L672),_xlfn.XLOOKUP($D672&amp;"_"&amp;H$52,$B$14:$B$36&amp;"_"&amp;$C$14:$C$36,$D$14:$D$36)*$E672,18)</f>
        <v>17.305</v>
      </c>
      <c r="I672" s="95" cm="1">
        <f ca="1" t="array" ref="I672">MIN(30-SUM(J672:L672),6-L672,_xlfn.XLOOKUP($D672&amp;"_"&amp;I$52,$B$14:$B$36&amp;"_"&amp;$C$14:$C$36,$D$14:$D$36)*$E672)</f>
        <v>2.5875</v>
      </c>
      <c r="J672" s="95" cm="1">
        <f ca="1" t="array" ref="J672">MIN(8,_xlfn.XLOOKUP($D672&amp;"_"&amp;J$52,$B$14:$B$36&amp;"_"&amp;$C$14:$C$36,$D$14:$D$36)*$E672)</f>
        <v>4.875</v>
      </c>
      <c r="K672" s="95" cm="1">
        <f ca="1" t="array" ref="K672">MIN(18,_xlfn.XLOOKUP($D672&amp;"_"&amp;K$52,$B$14:$B$36&amp;"_"&amp;$C$14:$C$36,$D$14:$D$36)*$E672)</f>
        <v>1.82</v>
      </c>
      <c r="L672" s="95" cm="1">
        <f ca="1" t="array" ref="L672">MIN(6,_xlfn.XLOOKUP($D672&amp;"_"&amp;L$52,$B$14:$B$36&amp;"_"&amp;$C$14:$C$36,$D$14:$D$36)*$E672)</f>
        <v>3.4125</v>
      </c>
      <c r="M672" s="95" cm="1">
        <f ca="1" t="array" ref="M672">(1+SUMPRODUCT(G672:H672,OFFSET($H$40:$I$40,D672,0)))*(1+OFFSET($J$40,D672,0))^I672*(1+OFFSET($K$40,D672,0))^J672*(1+OFFSET($L$40,D672,0))^K672*(1+OFFSET($M$40,D672,0))^L672</f>
        <v>110.54858920212</v>
      </c>
      <c r="N672" s="95">
        <f ca="1">MAX(MAX($N$53:N671),OFFSET($C$52,MATCH(M672*1.07,$M$53:$M$2052,1),0)-C672)</f>
        <v>10080</v>
      </c>
    </row>
    <row r="673" spans="2:14">
      <c r="B673" s="95">
        <v>621</v>
      </c>
      <c r="C673" s="95">
        <f t="shared" si="54"/>
        <v>223560</v>
      </c>
      <c r="D673" s="95">
        <f ca="1">_xlfn.XLOOKUP(总览!$B$44,$B$40:$B$45,$C$40:$C$45)</f>
        <v>5</v>
      </c>
      <c r="E673" s="95">
        <f ca="1" t="shared" si="51"/>
        <v>651</v>
      </c>
      <c r="F673" s="95">
        <f ca="1" t="shared" si="52"/>
        <v>0</v>
      </c>
      <c r="G673" s="95">
        <f ca="1" t="shared" si="53"/>
        <v>0</v>
      </c>
      <c r="H673" s="95" cm="1">
        <f ca="1" t="array" ref="H673">MIN(30-SUM(I673:L673),_xlfn.XLOOKUP($D673&amp;"_"&amp;H$52,$B$14:$B$36&amp;"_"&amp;$C$14:$C$36,$D$14:$D$36)*$E673,18)</f>
        <v>17.2947</v>
      </c>
      <c r="I673" s="95" cm="1">
        <f ca="1" t="array" ref="I673">MIN(30-SUM(J673:L673),6-L673,_xlfn.XLOOKUP($D673&amp;"_"&amp;I$52,$B$14:$B$36&amp;"_"&amp;$C$14:$C$36,$D$14:$D$36)*$E673)</f>
        <v>2.58225</v>
      </c>
      <c r="J673" s="95" cm="1">
        <f ca="1" t="array" ref="J673">MIN(8,_xlfn.XLOOKUP($D673&amp;"_"&amp;J$52,$B$14:$B$36&amp;"_"&amp;$C$14:$C$36,$D$14:$D$36)*$E673)</f>
        <v>4.8825</v>
      </c>
      <c r="K673" s="95" cm="1">
        <f ca="1" t="array" ref="K673">MIN(18,_xlfn.XLOOKUP($D673&amp;"_"&amp;K$52,$B$14:$B$36&amp;"_"&amp;$C$14:$C$36,$D$14:$D$36)*$E673)</f>
        <v>1.8228</v>
      </c>
      <c r="L673" s="95" cm="1">
        <f ca="1" t="array" ref="L673">MIN(6,_xlfn.XLOOKUP($D673&amp;"_"&amp;L$52,$B$14:$B$36&amp;"_"&amp;$C$14:$C$36,$D$14:$D$36)*$E673)</f>
        <v>3.41775</v>
      </c>
      <c r="M673" s="95" cm="1">
        <f ca="1" t="array" ref="M673">(1+SUMPRODUCT(G673:H673,OFFSET($H$40:$I$40,D673,0)))*(1+OFFSET($J$40,D673,0))^I673*(1+OFFSET($K$40,D673,0))^J673*(1+OFFSET($L$40,D673,0))^K673*(1+OFFSET($M$40,D673,0))^L673</f>
        <v>110.816098870964</v>
      </c>
      <c r="N673" s="95">
        <f ca="1">MAX(MAX($N$53:N672),OFFSET($C$52,MATCH(M673*1.07,$M$53:$M$2052,1),0)-C673)</f>
        <v>10080</v>
      </c>
    </row>
    <row r="674" spans="2:14">
      <c r="B674" s="95">
        <v>622</v>
      </c>
      <c r="C674" s="95">
        <f t="shared" si="54"/>
        <v>223920</v>
      </c>
      <c r="D674" s="95">
        <f ca="1">_xlfn.XLOOKUP(总览!$B$44,$B$40:$B$45,$C$40:$C$45)</f>
        <v>5</v>
      </c>
      <c r="E674" s="95">
        <f ca="1" t="shared" si="51"/>
        <v>652</v>
      </c>
      <c r="F674" s="95">
        <f ca="1" t="shared" si="52"/>
        <v>0</v>
      </c>
      <c r="G674" s="95">
        <f ca="1" t="shared" si="53"/>
        <v>0</v>
      </c>
      <c r="H674" s="95" cm="1">
        <f ca="1" t="array" ref="H674">MIN(30-SUM(I674:L674),_xlfn.XLOOKUP($D674&amp;"_"&amp;H$52,$B$14:$B$36&amp;"_"&amp;$C$14:$C$36,$D$14:$D$36)*$E674,18)</f>
        <v>17.2844</v>
      </c>
      <c r="I674" s="95" cm="1">
        <f ca="1" t="array" ref="I674">MIN(30-SUM(J674:L674),6-L674,_xlfn.XLOOKUP($D674&amp;"_"&amp;I$52,$B$14:$B$36&amp;"_"&amp;$C$14:$C$36,$D$14:$D$36)*$E674)</f>
        <v>2.577</v>
      </c>
      <c r="J674" s="95" cm="1">
        <f ca="1" t="array" ref="J674">MIN(8,_xlfn.XLOOKUP($D674&amp;"_"&amp;J$52,$B$14:$B$36&amp;"_"&amp;$C$14:$C$36,$D$14:$D$36)*$E674)</f>
        <v>4.89</v>
      </c>
      <c r="K674" s="95" cm="1">
        <f ca="1" t="array" ref="K674">MIN(18,_xlfn.XLOOKUP($D674&amp;"_"&amp;K$52,$B$14:$B$36&amp;"_"&amp;$C$14:$C$36,$D$14:$D$36)*$E674)</f>
        <v>1.8256</v>
      </c>
      <c r="L674" s="95" cm="1">
        <f ca="1" t="array" ref="L674">MIN(6,_xlfn.XLOOKUP($D674&amp;"_"&amp;L$52,$B$14:$B$36&amp;"_"&amp;$C$14:$C$36,$D$14:$D$36)*$E674)</f>
        <v>3.423</v>
      </c>
      <c r="M674" s="95" cm="1">
        <f ca="1" t="array" ref="M674">(1+SUMPRODUCT(G674:H674,OFFSET($H$40:$I$40,D674,0)))*(1+OFFSET($J$40,D674,0))^I674*(1+OFFSET($K$40,D674,0))^J674*(1+OFFSET($L$40,D674,0))^K674*(1+OFFSET($M$40,D674,0))^L674</f>
        <v>111.084232160279</v>
      </c>
      <c r="N674" s="95">
        <f ca="1">MAX(MAX($N$53:N673),OFFSET($C$52,MATCH(M674*1.07,$M$53:$M$2052,1),0)-C674)</f>
        <v>10080</v>
      </c>
    </row>
    <row r="675" spans="2:14">
      <c r="B675" s="95">
        <v>623</v>
      </c>
      <c r="C675" s="95">
        <f t="shared" si="54"/>
        <v>224280</v>
      </c>
      <c r="D675" s="95">
        <f ca="1">_xlfn.XLOOKUP(总览!$B$44,$B$40:$B$45,$C$40:$C$45)</f>
        <v>5</v>
      </c>
      <c r="E675" s="95">
        <f ca="1" t="shared" si="51"/>
        <v>653</v>
      </c>
      <c r="F675" s="95">
        <f ca="1" t="shared" si="52"/>
        <v>0</v>
      </c>
      <c r="G675" s="95">
        <f ca="1" t="shared" si="53"/>
        <v>0</v>
      </c>
      <c r="H675" s="95" cm="1">
        <f ca="1" t="array" ref="H675">MIN(30-SUM(I675:L675),_xlfn.XLOOKUP($D675&amp;"_"&amp;H$52,$B$14:$B$36&amp;"_"&amp;$C$14:$C$36,$D$14:$D$36)*$E675,18)</f>
        <v>17.2741</v>
      </c>
      <c r="I675" s="95" cm="1">
        <f ca="1" t="array" ref="I675">MIN(30-SUM(J675:L675),6-L675,_xlfn.XLOOKUP($D675&amp;"_"&amp;I$52,$B$14:$B$36&amp;"_"&amp;$C$14:$C$36,$D$14:$D$36)*$E675)</f>
        <v>2.57175</v>
      </c>
      <c r="J675" s="95" cm="1">
        <f ca="1" t="array" ref="J675">MIN(8,_xlfn.XLOOKUP($D675&amp;"_"&amp;J$52,$B$14:$B$36&amp;"_"&amp;$C$14:$C$36,$D$14:$D$36)*$E675)</f>
        <v>4.8975</v>
      </c>
      <c r="K675" s="95" cm="1">
        <f ca="1" t="array" ref="K675">MIN(18,_xlfn.XLOOKUP($D675&amp;"_"&amp;K$52,$B$14:$B$36&amp;"_"&amp;$C$14:$C$36,$D$14:$D$36)*$E675)</f>
        <v>1.8284</v>
      </c>
      <c r="L675" s="95" cm="1">
        <f ca="1" t="array" ref="L675">MIN(6,_xlfn.XLOOKUP($D675&amp;"_"&amp;L$52,$B$14:$B$36&amp;"_"&amp;$C$14:$C$36,$D$14:$D$36)*$E675)</f>
        <v>3.42825</v>
      </c>
      <c r="M675" s="95" cm="1">
        <f ca="1" t="array" ref="M675">(1+SUMPRODUCT(G675:H675,OFFSET($H$40:$I$40,D675,0)))*(1+OFFSET($J$40,D675,0))^I675*(1+OFFSET($K$40,D675,0))^J675*(1+OFFSET($L$40,D675,0))^K675*(1+OFFSET($M$40,D675,0))^L675</f>
        <v>111.35299044242</v>
      </c>
      <c r="N675" s="95">
        <f ca="1">MAX(MAX($N$53:N674),OFFSET($C$52,MATCH(M675*1.07,$M$53:$M$2052,1),0)-C675)</f>
        <v>10080</v>
      </c>
    </row>
    <row r="676" spans="2:14">
      <c r="B676" s="95">
        <v>624</v>
      </c>
      <c r="C676" s="95">
        <f t="shared" si="54"/>
        <v>224640</v>
      </c>
      <c r="D676" s="95">
        <f ca="1">_xlfn.XLOOKUP(总览!$B$44,$B$40:$B$45,$C$40:$C$45)</f>
        <v>5</v>
      </c>
      <c r="E676" s="95">
        <f ca="1" t="shared" si="51"/>
        <v>654</v>
      </c>
      <c r="F676" s="95">
        <f ca="1" t="shared" si="52"/>
        <v>0</v>
      </c>
      <c r="G676" s="95">
        <f ca="1" t="shared" si="53"/>
        <v>0</v>
      </c>
      <c r="H676" s="95" cm="1">
        <f ca="1" t="array" ref="H676">MIN(30-SUM(I676:L676),_xlfn.XLOOKUP($D676&amp;"_"&amp;H$52,$B$14:$B$36&amp;"_"&amp;$C$14:$C$36,$D$14:$D$36)*$E676,18)</f>
        <v>17.2638</v>
      </c>
      <c r="I676" s="95" cm="1">
        <f ca="1" t="array" ref="I676">MIN(30-SUM(J676:L676),6-L676,_xlfn.XLOOKUP($D676&amp;"_"&amp;I$52,$B$14:$B$36&amp;"_"&amp;$C$14:$C$36,$D$14:$D$36)*$E676)</f>
        <v>2.5665</v>
      </c>
      <c r="J676" s="95" cm="1">
        <f ca="1" t="array" ref="J676">MIN(8,_xlfn.XLOOKUP($D676&amp;"_"&amp;J$52,$B$14:$B$36&amp;"_"&amp;$C$14:$C$36,$D$14:$D$36)*$E676)</f>
        <v>4.905</v>
      </c>
      <c r="K676" s="95" cm="1">
        <f ca="1" t="array" ref="K676">MIN(18,_xlfn.XLOOKUP($D676&amp;"_"&amp;K$52,$B$14:$B$36&amp;"_"&amp;$C$14:$C$36,$D$14:$D$36)*$E676)</f>
        <v>1.8312</v>
      </c>
      <c r="L676" s="95" cm="1">
        <f ca="1" t="array" ref="L676">MIN(6,_xlfn.XLOOKUP($D676&amp;"_"&amp;L$52,$B$14:$B$36&amp;"_"&amp;$C$14:$C$36,$D$14:$D$36)*$E676)</f>
        <v>3.4335</v>
      </c>
      <c r="M676" s="95" cm="1">
        <f ca="1" t="array" ref="M676">(1+SUMPRODUCT(G676:H676,OFFSET($H$40:$I$40,D676,0)))*(1+OFFSET($J$40,D676,0))^I676*(1+OFFSET($K$40,D676,0))^J676*(1+OFFSET($L$40,D676,0))^K676*(1+OFFSET($M$40,D676,0))^L676</f>
        <v>111.622375092468</v>
      </c>
      <c r="N676" s="95">
        <f ca="1">MAX(MAX($N$53:N675),OFFSET($C$52,MATCH(M676*1.07,$M$53:$M$2052,1),0)-C676)</f>
        <v>10080</v>
      </c>
    </row>
    <row r="677" spans="2:14">
      <c r="B677" s="95">
        <v>625</v>
      </c>
      <c r="C677" s="95">
        <f t="shared" si="54"/>
        <v>225000</v>
      </c>
      <c r="D677" s="95">
        <f ca="1">_xlfn.XLOOKUP(总览!$B$44,$B$40:$B$45,$C$40:$C$45)</f>
        <v>5</v>
      </c>
      <c r="E677" s="95">
        <f ca="1" t="shared" si="51"/>
        <v>655</v>
      </c>
      <c r="F677" s="95">
        <f ca="1" t="shared" si="52"/>
        <v>0</v>
      </c>
      <c r="G677" s="95">
        <f ca="1" t="shared" si="53"/>
        <v>0</v>
      </c>
      <c r="H677" s="95" cm="1">
        <f ca="1" t="array" ref="H677">MIN(30-SUM(I677:L677),_xlfn.XLOOKUP($D677&amp;"_"&amp;H$52,$B$14:$B$36&amp;"_"&amp;$C$14:$C$36,$D$14:$D$36)*$E677,18)</f>
        <v>17.2535</v>
      </c>
      <c r="I677" s="95" cm="1">
        <f ca="1" t="array" ref="I677">MIN(30-SUM(J677:L677),6-L677,_xlfn.XLOOKUP($D677&amp;"_"&amp;I$52,$B$14:$B$36&amp;"_"&amp;$C$14:$C$36,$D$14:$D$36)*$E677)</f>
        <v>2.56125</v>
      </c>
      <c r="J677" s="95" cm="1">
        <f ca="1" t="array" ref="J677">MIN(8,_xlfn.XLOOKUP($D677&amp;"_"&amp;J$52,$B$14:$B$36&amp;"_"&amp;$C$14:$C$36,$D$14:$D$36)*$E677)</f>
        <v>4.9125</v>
      </c>
      <c r="K677" s="95" cm="1">
        <f ca="1" t="array" ref="K677">MIN(18,_xlfn.XLOOKUP($D677&amp;"_"&amp;K$52,$B$14:$B$36&amp;"_"&amp;$C$14:$C$36,$D$14:$D$36)*$E677)</f>
        <v>1.834</v>
      </c>
      <c r="L677" s="95" cm="1">
        <f ca="1" t="array" ref="L677">MIN(6,_xlfn.XLOOKUP($D677&amp;"_"&amp;L$52,$B$14:$B$36&amp;"_"&amp;$C$14:$C$36,$D$14:$D$36)*$E677)</f>
        <v>3.43875</v>
      </c>
      <c r="M677" s="95" cm="1">
        <f ca="1" t="array" ref="M677">(1+SUMPRODUCT(G677:H677,OFFSET($H$40:$I$40,D677,0)))*(1+OFFSET($J$40,D677,0))^I677*(1+OFFSET($K$40,D677,0))^J677*(1+OFFSET($L$40,D677,0))^K677*(1+OFFSET($M$40,D677,0))^L677</f>
        <v>111.892387488242</v>
      </c>
      <c r="N677" s="95">
        <f ca="1">MAX(MAX($N$53:N676),OFFSET($C$52,MATCH(M677*1.07,$M$53:$M$2052,1),0)-C677)</f>
        <v>10080</v>
      </c>
    </row>
    <row r="678" spans="2:14">
      <c r="B678" s="95">
        <v>626</v>
      </c>
      <c r="C678" s="95">
        <f t="shared" si="54"/>
        <v>225360</v>
      </c>
      <c r="D678" s="95">
        <f ca="1">_xlfn.XLOOKUP(总览!$B$44,$B$40:$B$45,$C$40:$C$45)</f>
        <v>5</v>
      </c>
      <c r="E678" s="95">
        <f ca="1" t="shared" si="51"/>
        <v>656</v>
      </c>
      <c r="F678" s="95">
        <f ca="1" t="shared" si="52"/>
        <v>0</v>
      </c>
      <c r="G678" s="95">
        <f ca="1" t="shared" si="53"/>
        <v>0</v>
      </c>
      <c r="H678" s="95" cm="1">
        <f ca="1" t="array" ref="H678">MIN(30-SUM(I678:L678),_xlfn.XLOOKUP($D678&amp;"_"&amp;H$52,$B$14:$B$36&amp;"_"&amp;$C$14:$C$36,$D$14:$D$36)*$E678,18)</f>
        <v>17.2432</v>
      </c>
      <c r="I678" s="95" cm="1">
        <f ca="1" t="array" ref="I678">MIN(30-SUM(J678:L678),6-L678,_xlfn.XLOOKUP($D678&amp;"_"&amp;I$52,$B$14:$B$36&amp;"_"&amp;$C$14:$C$36,$D$14:$D$36)*$E678)</f>
        <v>2.556</v>
      </c>
      <c r="J678" s="95" cm="1">
        <f ca="1" t="array" ref="J678">MIN(8,_xlfn.XLOOKUP($D678&amp;"_"&amp;J$52,$B$14:$B$36&amp;"_"&amp;$C$14:$C$36,$D$14:$D$36)*$E678)</f>
        <v>4.92</v>
      </c>
      <c r="K678" s="95" cm="1">
        <f ca="1" t="array" ref="K678">MIN(18,_xlfn.XLOOKUP($D678&amp;"_"&amp;K$52,$B$14:$B$36&amp;"_"&amp;$C$14:$C$36,$D$14:$D$36)*$E678)</f>
        <v>1.8368</v>
      </c>
      <c r="L678" s="95" cm="1">
        <f ca="1" t="array" ref="L678">MIN(6,_xlfn.XLOOKUP($D678&amp;"_"&amp;L$52,$B$14:$B$36&amp;"_"&amp;$C$14:$C$36,$D$14:$D$36)*$E678)</f>
        <v>3.444</v>
      </c>
      <c r="M678" s="95" cm="1">
        <f ca="1" t="array" ref="M678">(1+SUMPRODUCT(G678:H678,OFFSET($H$40:$I$40,D678,0)))*(1+OFFSET($J$40,D678,0))^I678*(1+OFFSET($K$40,D678,0))^J678*(1+OFFSET($L$40,D678,0))^K678*(1+OFFSET($M$40,D678,0))^L678</f>
        <v>112.163029010297</v>
      </c>
      <c r="N678" s="95">
        <f ca="1">MAX(MAX($N$53:N677),OFFSET($C$52,MATCH(M678*1.07,$M$53:$M$2052,1),0)-C678)</f>
        <v>10080</v>
      </c>
    </row>
    <row r="679" spans="2:14">
      <c r="B679" s="95">
        <v>627</v>
      </c>
      <c r="C679" s="95">
        <f t="shared" si="54"/>
        <v>225720</v>
      </c>
      <c r="D679" s="95">
        <f ca="1">_xlfn.XLOOKUP(总览!$B$44,$B$40:$B$45,$C$40:$C$45)</f>
        <v>5</v>
      </c>
      <c r="E679" s="95">
        <f ca="1" t="shared" si="51"/>
        <v>657</v>
      </c>
      <c r="F679" s="95">
        <f ca="1" t="shared" si="52"/>
        <v>0</v>
      </c>
      <c r="G679" s="95">
        <f ca="1" t="shared" si="53"/>
        <v>0</v>
      </c>
      <c r="H679" s="95" cm="1">
        <f ca="1" t="array" ref="H679">MIN(30-SUM(I679:L679),_xlfn.XLOOKUP($D679&amp;"_"&amp;H$52,$B$14:$B$36&amp;"_"&amp;$C$14:$C$36,$D$14:$D$36)*$E679,18)</f>
        <v>17.2329</v>
      </c>
      <c r="I679" s="95" cm="1">
        <f ca="1" t="array" ref="I679">MIN(30-SUM(J679:L679),6-L679,_xlfn.XLOOKUP($D679&amp;"_"&amp;I$52,$B$14:$B$36&amp;"_"&amp;$C$14:$C$36,$D$14:$D$36)*$E679)</f>
        <v>2.55075</v>
      </c>
      <c r="J679" s="95" cm="1">
        <f ca="1" t="array" ref="J679">MIN(8,_xlfn.XLOOKUP($D679&amp;"_"&amp;J$52,$B$14:$B$36&amp;"_"&amp;$C$14:$C$36,$D$14:$D$36)*$E679)</f>
        <v>4.9275</v>
      </c>
      <c r="K679" s="95" cm="1">
        <f ca="1" t="array" ref="K679">MIN(18,_xlfn.XLOOKUP($D679&amp;"_"&amp;K$52,$B$14:$B$36&amp;"_"&amp;$C$14:$C$36,$D$14:$D$36)*$E679)</f>
        <v>1.8396</v>
      </c>
      <c r="L679" s="95" cm="1">
        <f ca="1" t="array" ref="L679">MIN(6,_xlfn.XLOOKUP($D679&amp;"_"&amp;L$52,$B$14:$B$36&amp;"_"&amp;$C$14:$C$36,$D$14:$D$36)*$E679)</f>
        <v>3.44925</v>
      </c>
      <c r="M679" s="95" cm="1">
        <f ca="1" t="array" ref="M679">(1+SUMPRODUCT(G679:H679,OFFSET($H$40:$I$40,D679,0)))*(1+OFFSET($J$40,D679,0))^I679*(1+OFFSET($K$40,D679,0))^J679*(1+OFFSET($L$40,D679,0))^K679*(1+OFFSET($M$40,D679,0))^L679</f>
        <v>112.434301041931</v>
      </c>
      <c r="N679" s="95">
        <f ca="1">MAX(MAX($N$53:N678),OFFSET($C$52,MATCH(M679*1.07,$M$53:$M$2052,1),0)-C679)</f>
        <v>10080</v>
      </c>
    </row>
    <row r="680" spans="2:14">
      <c r="B680" s="95">
        <v>628</v>
      </c>
      <c r="C680" s="95">
        <f t="shared" si="54"/>
        <v>226080</v>
      </c>
      <c r="D680" s="95">
        <f ca="1">_xlfn.XLOOKUP(总览!$B$44,$B$40:$B$45,$C$40:$C$45)</f>
        <v>5</v>
      </c>
      <c r="E680" s="95">
        <f ca="1" t="shared" si="51"/>
        <v>658</v>
      </c>
      <c r="F680" s="95">
        <f ca="1" t="shared" si="52"/>
        <v>0</v>
      </c>
      <c r="G680" s="95">
        <f ca="1" t="shared" si="53"/>
        <v>0</v>
      </c>
      <c r="H680" s="95" cm="1">
        <f ca="1" t="array" ref="H680">MIN(30-SUM(I680:L680),_xlfn.XLOOKUP($D680&amp;"_"&amp;H$52,$B$14:$B$36&amp;"_"&amp;$C$14:$C$36,$D$14:$D$36)*$E680,18)</f>
        <v>17.2226</v>
      </c>
      <c r="I680" s="95" cm="1">
        <f ca="1" t="array" ref="I680">MIN(30-SUM(J680:L680),6-L680,_xlfn.XLOOKUP($D680&amp;"_"&amp;I$52,$B$14:$B$36&amp;"_"&amp;$C$14:$C$36,$D$14:$D$36)*$E680)</f>
        <v>2.5455</v>
      </c>
      <c r="J680" s="95" cm="1">
        <f ca="1" t="array" ref="J680">MIN(8,_xlfn.XLOOKUP($D680&amp;"_"&amp;J$52,$B$14:$B$36&amp;"_"&amp;$C$14:$C$36,$D$14:$D$36)*$E680)</f>
        <v>4.935</v>
      </c>
      <c r="K680" s="95" cm="1">
        <f ca="1" t="array" ref="K680">MIN(18,_xlfn.XLOOKUP($D680&amp;"_"&amp;K$52,$B$14:$B$36&amp;"_"&amp;$C$14:$C$36,$D$14:$D$36)*$E680)</f>
        <v>1.8424</v>
      </c>
      <c r="L680" s="95" cm="1">
        <f ca="1" t="array" ref="L680">MIN(6,_xlfn.XLOOKUP($D680&amp;"_"&amp;L$52,$B$14:$B$36&amp;"_"&amp;$C$14:$C$36,$D$14:$D$36)*$E680)</f>
        <v>3.4545</v>
      </c>
      <c r="M680" s="95" cm="1">
        <f ca="1" t="array" ref="M680">(1+SUMPRODUCT(G680:H680,OFFSET($H$40:$I$40,D680,0)))*(1+OFFSET($J$40,D680,0))^I680*(1+OFFSET($K$40,D680,0))^J680*(1+OFFSET($L$40,D680,0))^K680*(1+OFFSET($M$40,D680,0))^L680</f>
        <v>112.70620496919</v>
      </c>
      <c r="N680" s="95">
        <f ca="1">MAX(MAX($N$53:N679),OFFSET($C$52,MATCH(M680*1.07,$M$53:$M$2052,1),0)-C680)</f>
        <v>10080</v>
      </c>
    </row>
    <row r="681" spans="2:14">
      <c r="B681" s="95">
        <v>629</v>
      </c>
      <c r="C681" s="95">
        <f t="shared" ref="C681:C717" si="55">C680+360</f>
        <v>226440</v>
      </c>
      <c r="D681" s="95">
        <f ca="1">_xlfn.XLOOKUP(总览!$B$44,$B$40:$B$45,$C$40:$C$45)</f>
        <v>5</v>
      </c>
      <c r="E681" s="95">
        <f ca="1" t="shared" si="51"/>
        <v>659</v>
      </c>
      <c r="F681" s="95">
        <f ca="1" t="shared" si="52"/>
        <v>0</v>
      </c>
      <c r="G681" s="95">
        <f ca="1" t="shared" si="53"/>
        <v>0</v>
      </c>
      <c r="H681" s="95" cm="1">
        <f ca="1" t="array" ref="H681">MIN(30-SUM(I681:L681),_xlfn.XLOOKUP($D681&amp;"_"&amp;H$52,$B$14:$B$36&amp;"_"&amp;$C$14:$C$36,$D$14:$D$36)*$E681,18)</f>
        <v>17.2123</v>
      </c>
      <c r="I681" s="95" cm="1">
        <f ca="1" t="array" ref="I681">MIN(30-SUM(J681:L681),6-L681,_xlfn.XLOOKUP($D681&amp;"_"&amp;I$52,$B$14:$B$36&amp;"_"&amp;$C$14:$C$36,$D$14:$D$36)*$E681)</f>
        <v>2.54025</v>
      </c>
      <c r="J681" s="95" cm="1">
        <f ca="1" t="array" ref="J681">MIN(8,_xlfn.XLOOKUP($D681&amp;"_"&amp;J$52,$B$14:$B$36&amp;"_"&amp;$C$14:$C$36,$D$14:$D$36)*$E681)</f>
        <v>4.9425</v>
      </c>
      <c r="K681" s="95" cm="1">
        <f ca="1" t="array" ref="K681">MIN(18,_xlfn.XLOOKUP($D681&amp;"_"&amp;K$52,$B$14:$B$36&amp;"_"&amp;$C$14:$C$36,$D$14:$D$36)*$E681)</f>
        <v>1.8452</v>
      </c>
      <c r="L681" s="95" cm="1">
        <f ca="1" t="array" ref="L681">MIN(6,_xlfn.XLOOKUP($D681&amp;"_"&amp;L$52,$B$14:$B$36&amp;"_"&amp;$C$14:$C$36,$D$14:$D$36)*$E681)</f>
        <v>3.45975</v>
      </c>
      <c r="M681" s="95" cm="1">
        <f ca="1" t="array" ref="M681">(1+SUMPRODUCT(G681:H681,OFFSET($H$40:$I$40,D681,0)))*(1+OFFSET($J$40,D681,0))^I681*(1+OFFSET($K$40,D681,0))^J681*(1+OFFSET($L$40,D681,0))^K681*(1+OFFSET($M$40,D681,0))^L681</f>
        <v>112.978742180869</v>
      </c>
      <c r="N681" s="95">
        <f ca="1">MAX(MAX($N$53:N680),OFFSET($C$52,MATCH(M681*1.07,$M$53:$M$2052,1),0)-C681)</f>
        <v>10080</v>
      </c>
    </row>
    <row r="682" spans="2:14">
      <c r="B682" s="95">
        <v>630</v>
      </c>
      <c r="C682" s="95">
        <f t="shared" si="55"/>
        <v>226800</v>
      </c>
      <c r="D682" s="95">
        <f ca="1">_xlfn.XLOOKUP(总览!$B$44,$B$40:$B$45,$C$40:$C$45)</f>
        <v>5</v>
      </c>
      <c r="E682" s="95">
        <f ca="1" t="shared" si="51"/>
        <v>660</v>
      </c>
      <c r="F682" s="95">
        <f ca="1" t="shared" si="52"/>
        <v>0</v>
      </c>
      <c r="G682" s="95">
        <f ca="1" t="shared" si="53"/>
        <v>0</v>
      </c>
      <c r="H682" s="95" cm="1">
        <f ca="1" t="array" ref="H682">MIN(30-SUM(I682:L682),_xlfn.XLOOKUP($D682&amp;"_"&amp;H$52,$B$14:$B$36&amp;"_"&amp;$C$14:$C$36,$D$14:$D$36)*$E682,18)</f>
        <v>17.202</v>
      </c>
      <c r="I682" s="95" cm="1">
        <f ca="1" t="array" ref="I682">MIN(30-SUM(J682:L682),6-L682,_xlfn.XLOOKUP($D682&amp;"_"&amp;I$52,$B$14:$B$36&amp;"_"&amp;$C$14:$C$36,$D$14:$D$36)*$E682)</f>
        <v>2.535</v>
      </c>
      <c r="J682" s="95" cm="1">
        <f ca="1" t="array" ref="J682">MIN(8,_xlfn.XLOOKUP($D682&amp;"_"&amp;J$52,$B$14:$B$36&amp;"_"&amp;$C$14:$C$36,$D$14:$D$36)*$E682)</f>
        <v>4.95</v>
      </c>
      <c r="K682" s="95" cm="1">
        <f ca="1" t="array" ref="K682">MIN(18,_xlfn.XLOOKUP($D682&amp;"_"&amp;K$52,$B$14:$B$36&amp;"_"&amp;$C$14:$C$36,$D$14:$D$36)*$E682)</f>
        <v>1.848</v>
      </c>
      <c r="L682" s="95" cm="1">
        <f ca="1" t="array" ref="L682">MIN(6,_xlfn.XLOOKUP($D682&amp;"_"&amp;L$52,$B$14:$B$36&amp;"_"&amp;$C$14:$C$36,$D$14:$D$36)*$E682)</f>
        <v>3.465</v>
      </c>
      <c r="M682" s="95" cm="1">
        <f ca="1" t="array" ref="M682">(1+SUMPRODUCT(G682:H682,OFFSET($H$40:$I$40,D682,0)))*(1+OFFSET($J$40,D682,0))^I682*(1+OFFSET($K$40,D682,0))^J682*(1+OFFSET($L$40,D682,0))^K682*(1+OFFSET($M$40,D682,0))^L682</f>
        <v>113.251914068523</v>
      </c>
      <c r="N682" s="95">
        <f ca="1">MAX(MAX($N$53:N681),OFFSET($C$52,MATCH(M682*1.07,$M$53:$M$2052,1),0)-C682)</f>
        <v>10080</v>
      </c>
    </row>
    <row r="683" spans="2:14">
      <c r="B683" s="95">
        <v>631</v>
      </c>
      <c r="C683" s="95">
        <f t="shared" si="55"/>
        <v>227160</v>
      </c>
      <c r="D683" s="95">
        <f ca="1">_xlfn.XLOOKUP(总览!$B$44,$B$40:$B$45,$C$40:$C$45)</f>
        <v>5</v>
      </c>
      <c r="E683" s="95">
        <f ca="1" t="shared" si="51"/>
        <v>661</v>
      </c>
      <c r="F683" s="95">
        <f ca="1" t="shared" si="52"/>
        <v>0</v>
      </c>
      <c r="G683" s="95">
        <f ca="1" t="shared" si="53"/>
        <v>0</v>
      </c>
      <c r="H683" s="95" cm="1">
        <f ca="1" t="array" ref="H683">MIN(30-SUM(I683:L683),_xlfn.XLOOKUP($D683&amp;"_"&amp;H$52,$B$14:$B$36&amp;"_"&amp;$C$14:$C$36,$D$14:$D$36)*$E683,18)</f>
        <v>17.1917</v>
      </c>
      <c r="I683" s="95" cm="1">
        <f ca="1" t="array" ref="I683">MIN(30-SUM(J683:L683),6-L683,_xlfn.XLOOKUP($D683&amp;"_"&amp;I$52,$B$14:$B$36&amp;"_"&amp;$C$14:$C$36,$D$14:$D$36)*$E683)</f>
        <v>2.52975</v>
      </c>
      <c r="J683" s="95" cm="1">
        <f ca="1" t="array" ref="J683">MIN(8,_xlfn.XLOOKUP($D683&amp;"_"&amp;J$52,$B$14:$B$36&amp;"_"&amp;$C$14:$C$36,$D$14:$D$36)*$E683)</f>
        <v>4.9575</v>
      </c>
      <c r="K683" s="95" cm="1">
        <f ca="1" t="array" ref="K683">MIN(18,_xlfn.XLOOKUP($D683&amp;"_"&amp;K$52,$B$14:$B$36&amp;"_"&amp;$C$14:$C$36,$D$14:$D$36)*$E683)</f>
        <v>1.8508</v>
      </c>
      <c r="L683" s="95" cm="1">
        <f ca="1" t="array" ref="L683">MIN(6,_xlfn.XLOOKUP($D683&amp;"_"&amp;L$52,$B$14:$B$36&amp;"_"&amp;$C$14:$C$36,$D$14:$D$36)*$E683)</f>
        <v>3.47025</v>
      </c>
      <c r="M683" s="95" cm="1">
        <f ca="1" t="array" ref="M683">(1+SUMPRODUCT(G683:H683,OFFSET($H$40:$I$40,D683,0)))*(1+OFFSET($J$40,D683,0))^I683*(1+OFFSET($K$40,D683,0))^J683*(1+OFFSET($L$40,D683,0))^K683*(1+OFFSET($M$40,D683,0))^L683</f>
        <v>113.525722026462</v>
      </c>
      <c r="N683" s="95">
        <f ca="1">MAX(MAX($N$53:N682),OFFSET($C$52,MATCH(M683*1.07,$M$53:$M$2052,1),0)-C683)</f>
        <v>10080</v>
      </c>
    </row>
    <row r="684" spans="2:14">
      <c r="B684" s="95">
        <v>632</v>
      </c>
      <c r="C684" s="95">
        <f t="shared" si="55"/>
        <v>227520</v>
      </c>
      <c r="D684" s="95">
        <f ca="1">_xlfn.XLOOKUP(总览!$B$44,$B$40:$B$45,$C$40:$C$45)</f>
        <v>5</v>
      </c>
      <c r="E684" s="95">
        <f ca="1" t="shared" si="51"/>
        <v>662</v>
      </c>
      <c r="F684" s="95">
        <f ca="1" t="shared" si="52"/>
        <v>0</v>
      </c>
      <c r="G684" s="95">
        <f ca="1" t="shared" si="53"/>
        <v>0</v>
      </c>
      <c r="H684" s="95" cm="1">
        <f ca="1" t="array" ref="H684">MIN(30-SUM(I684:L684),_xlfn.XLOOKUP($D684&amp;"_"&amp;H$52,$B$14:$B$36&amp;"_"&amp;$C$14:$C$36,$D$14:$D$36)*$E684,18)</f>
        <v>17.1814</v>
      </c>
      <c r="I684" s="95" cm="1">
        <f ca="1" t="array" ref="I684">MIN(30-SUM(J684:L684),6-L684,_xlfn.XLOOKUP($D684&amp;"_"&amp;I$52,$B$14:$B$36&amp;"_"&amp;$C$14:$C$36,$D$14:$D$36)*$E684)</f>
        <v>2.5245</v>
      </c>
      <c r="J684" s="95" cm="1">
        <f ca="1" t="array" ref="J684">MIN(8,_xlfn.XLOOKUP($D684&amp;"_"&amp;J$52,$B$14:$B$36&amp;"_"&amp;$C$14:$C$36,$D$14:$D$36)*$E684)</f>
        <v>4.965</v>
      </c>
      <c r="K684" s="95" cm="1">
        <f ca="1" t="array" ref="K684">MIN(18,_xlfn.XLOOKUP($D684&amp;"_"&amp;K$52,$B$14:$B$36&amp;"_"&amp;$C$14:$C$36,$D$14:$D$36)*$E684)</f>
        <v>1.8536</v>
      </c>
      <c r="L684" s="95" cm="1">
        <f ca="1" t="array" ref="L684">MIN(6,_xlfn.XLOOKUP($D684&amp;"_"&amp;L$52,$B$14:$B$36&amp;"_"&amp;$C$14:$C$36,$D$14:$D$36)*$E684)</f>
        <v>3.4755</v>
      </c>
      <c r="M684" s="95" cm="1">
        <f ca="1" t="array" ref="M684">(1+SUMPRODUCT(G684:H684,OFFSET($H$40:$I$40,D684,0)))*(1+OFFSET($J$40,D684,0))^I684*(1+OFFSET($K$40,D684,0))^J684*(1+OFFSET($L$40,D684,0))^K684*(1+OFFSET($M$40,D684,0))^L684</f>
        <v>113.800167451765</v>
      </c>
      <c r="N684" s="95">
        <f ca="1">MAX(MAX($N$53:N683),OFFSET($C$52,MATCH(M684*1.07,$M$53:$M$2052,1),0)-C684)</f>
        <v>10080</v>
      </c>
    </row>
    <row r="685" spans="2:14">
      <c r="B685" s="95">
        <v>633</v>
      </c>
      <c r="C685" s="95">
        <f t="shared" si="55"/>
        <v>227880</v>
      </c>
      <c r="D685" s="95">
        <f ca="1">_xlfn.XLOOKUP(总览!$B$44,$B$40:$B$45,$C$40:$C$45)</f>
        <v>5</v>
      </c>
      <c r="E685" s="95">
        <f ca="1" t="shared" si="51"/>
        <v>663</v>
      </c>
      <c r="F685" s="95">
        <f ca="1" t="shared" si="52"/>
        <v>0</v>
      </c>
      <c r="G685" s="95">
        <f ca="1" t="shared" si="53"/>
        <v>0</v>
      </c>
      <c r="H685" s="95" cm="1">
        <f ca="1" t="array" ref="H685">MIN(30-SUM(I685:L685),_xlfn.XLOOKUP($D685&amp;"_"&amp;H$52,$B$14:$B$36&amp;"_"&amp;$C$14:$C$36,$D$14:$D$36)*$E685,18)</f>
        <v>17.1711</v>
      </c>
      <c r="I685" s="95" cm="1">
        <f ca="1" t="array" ref="I685">MIN(30-SUM(J685:L685),6-L685,_xlfn.XLOOKUP($D685&amp;"_"&amp;I$52,$B$14:$B$36&amp;"_"&amp;$C$14:$C$36,$D$14:$D$36)*$E685)</f>
        <v>2.51925</v>
      </c>
      <c r="J685" s="95" cm="1">
        <f ca="1" t="array" ref="J685">MIN(8,_xlfn.XLOOKUP($D685&amp;"_"&amp;J$52,$B$14:$B$36&amp;"_"&amp;$C$14:$C$36,$D$14:$D$36)*$E685)</f>
        <v>4.9725</v>
      </c>
      <c r="K685" s="95" cm="1">
        <f ca="1" t="array" ref="K685">MIN(18,_xlfn.XLOOKUP($D685&amp;"_"&amp;K$52,$B$14:$B$36&amp;"_"&amp;$C$14:$C$36,$D$14:$D$36)*$E685)</f>
        <v>1.8564</v>
      </c>
      <c r="L685" s="95" cm="1">
        <f ca="1" t="array" ref="L685">MIN(6,_xlfn.XLOOKUP($D685&amp;"_"&amp;L$52,$B$14:$B$36&amp;"_"&amp;$C$14:$C$36,$D$14:$D$36)*$E685)</f>
        <v>3.48075</v>
      </c>
      <c r="M685" s="95" cm="1">
        <f ca="1" t="array" ref="M685">(1+SUMPRODUCT(G685:H685,OFFSET($H$40:$I$40,D685,0)))*(1+OFFSET($J$40,D685,0))^I685*(1+OFFSET($K$40,D685,0))^J685*(1+OFFSET($L$40,D685,0))^K685*(1+OFFSET($M$40,D685,0))^L685</f>
        <v>114.075251744276</v>
      </c>
      <c r="N685" s="95">
        <f ca="1">MAX(MAX($N$53:N684),OFFSET($C$52,MATCH(M685*1.07,$M$53:$M$2052,1),0)-C685)</f>
        <v>10080</v>
      </c>
    </row>
    <row r="686" spans="2:14">
      <c r="B686" s="95">
        <v>634</v>
      </c>
      <c r="C686" s="95">
        <f t="shared" si="55"/>
        <v>228240</v>
      </c>
      <c r="D686" s="95">
        <f ca="1">_xlfn.XLOOKUP(总览!$B$44,$B$40:$B$45,$C$40:$C$45)</f>
        <v>5</v>
      </c>
      <c r="E686" s="95">
        <f ca="1" t="shared" si="51"/>
        <v>664</v>
      </c>
      <c r="F686" s="95">
        <f ca="1" t="shared" si="52"/>
        <v>0</v>
      </c>
      <c r="G686" s="95">
        <f ca="1" t="shared" si="53"/>
        <v>0</v>
      </c>
      <c r="H686" s="95" cm="1">
        <f ca="1" t="array" ref="H686">MIN(30-SUM(I686:L686),_xlfn.XLOOKUP($D686&amp;"_"&amp;H$52,$B$14:$B$36&amp;"_"&amp;$C$14:$C$36,$D$14:$D$36)*$E686,18)</f>
        <v>17.1608</v>
      </c>
      <c r="I686" s="95" cm="1">
        <f ca="1" t="array" ref="I686">MIN(30-SUM(J686:L686),6-L686,_xlfn.XLOOKUP($D686&amp;"_"&amp;I$52,$B$14:$B$36&amp;"_"&amp;$C$14:$C$36,$D$14:$D$36)*$E686)</f>
        <v>2.514</v>
      </c>
      <c r="J686" s="95" cm="1">
        <f ca="1" t="array" ref="J686">MIN(8,_xlfn.XLOOKUP($D686&amp;"_"&amp;J$52,$B$14:$B$36&amp;"_"&amp;$C$14:$C$36,$D$14:$D$36)*$E686)</f>
        <v>4.98</v>
      </c>
      <c r="K686" s="95" cm="1">
        <f ca="1" t="array" ref="K686">MIN(18,_xlfn.XLOOKUP($D686&amp;"_"&amp;K$52,$B$14:$B$36&amp;"_"&amp;$C$14:$C$36,$D$14:$D$36)*$E686)</f>
        <v>1.8592</v>
      </c>
      <c r="L686" s="95" cm="1">
        <f ca="1" t="array" ref="L686">MIN(6,_xlfn.XLOOKUP($D686&amp;"_"&amp;L$52,$B$14:$B$36&amp;"_"&amp;$C$14:$C$36,$D$14:$D$36)*$E686)</f>
        <v>3.486</v>
      </c>
      <c r="M686" s="95" cm="1">
        <f ca="1" t="array" ref="M686">(1+SUMPRODUCT(G686:H686,OFFSET($H$40:$I$40,D686,0)))*(1+OFFSET($J$40,D686,0))^I686*(1+OFFSET($K$40,D686,0))^J686*(1+OFFSET($L$40,D686,0))^K686*(1+OFFSET($M$40,D686,0))^L686</f>
        <v>114.350976306615</v>
      </c>
      <c r="N686" s="95">
        <f ca="1">MAX(MAX($N$53:N685),OFFSET($C$52,MATCH(M686*1.07,$M$53:$M$2052,1),0)-C686)</f>
        <v>10080</v>
      </c>
    </row>
    <row r="687" spans="2:14">
      <c r="B687" s="95">
        <v>635</v>
      </c>
      <c r="C687" s="95">
        <f t="shared" si="55"/>
        <v>228600</v>
      </c>
      <c r="D687" s="95">
        <f ca="1">_xlfn.XLOOKUP(总览!$B$44,$B$40:$B$45,$C$40:$C$45)</f>
        <v>5</v>
      </c>
      <c r="E687" s="95">
        <f ca="1" t="shared" si="51"/>
        <v>665</v>
      </c>
      <c r="F687" s="95">
        <f ca="1" t="shared" si="52"/>
        <v>0</v>
      </c>
      <c r="G687" s="95">
        <f ca="1" t="shared" si="53"/>
        <v>0</v>
      </c>
      <c r="H687" s="95" cm="1">
        <f ca="1" t="array" ref="H687">MIN(30-SUM(I687:L687),_xlfn.XLOOKUP($D687&amp;"_"&amp;H$52,$B$14:$B$36&amp;"_"&amp;$C$14:$C$36,$D$14:$D$36)*$E687,18)</f>
        <v>17.1505</v>
      </c>
      <c r="I687" s="95" cm="1">
        <f ca="1" t="array" ref="I687">MIN(30-SUM(J687:L687),6-L687,_xlfn.XLOOKUP($D687&amp;"_"&amp;I$52,$B$14:$B$36&amp;"_"&amp;$C$14:$C$36,$D$14:$D$36)*$E687)</f>
        <v>2.50875</v>
      </c>
      <c r="J687" s="95" cm="1">
        <f ca="1" t="array" ref="J687">MIN(8,_xlfn.XLOOKUP($D687&amp;"_"&amp;J$52,$B$14:$B$36&amp;"_"&amp;$C$14:$C$36,$D$14:$D$36)*$E687)</f>
        <v>4.9875</v>
      </c>
      <c r="K687" s="95" cm="1">
        <f ca="1" t="array" ref="K687">MIN(18,_xlfn.XLOOKUP($D687&amp;"_"&amp;K$52,$B$14:$B$36&amp;"_"&amp;$C$14:$C$36,$D$14:$D$36)*$E687)</f>
        <v>1.862</v>
      </c>
      <c r="L687" s="95" cm="1">
        <f ca="1" t="array" ref="L687">MIN(6,_xlfn.XLOOKUP($D687&amp;"_"&amp;L$52,$B$14:$B$36&amp;"_"&amp;$C$14:$C$36,$D$14:$D$36)*$E687)</f>
        <v>3.49125</v>
      </c>
      <c r="M687" s="95" cm="1">
        <f ca="1" t="array" ref="M687">(1+SUMPRODUCT(G687:H687,OFFSET($H$40:$I$40,D687,0)))*(1+OFFSET($J$40,D687,0))^I687*(1+OFFSET($K$40,D687,0))^J687*(1+OFFSET($L$40,D687,0))^K687*(1+OFFSET($M$40,D687,0))^L687</f>
        <v>114.627342544178</v>
      </c>
      <c r="N687" s="95">
        <f ca="1">MAX(MAX($N$53:N686),OFFSET($C$52,MATCH(M687*1.07,$M$53:$M$2052,1),0)-C687)</f>
        <v>10080</v>
      </c>
    </row>
    <row r="688" spans="2:14">
      <c r="B688" s="95">
        <v>636</v>
      </c>
      <c r="C688" s="95">
        <f t="shared" si="55"/>
        <v>228960</v>
      </c>
      <c r="D688" s="95">
        <f ca="1">_xlfn.XLOOKUP(总览!$B$44,$B$40:$B$45,$C$40:$C$45)</f>
        <v>5</v>
      </c>
      <c r="E688" s="95">
        <f ca="1" t="shared" si="51"/>
        <v>666</v>
      </c>
      <c r="F688" s="95">
        <f ca="1" t="shared" si="52"/>
        <v>0</v>
      </c>
      <c r="G688" s="95">
        <f ca="1" t="shared" si="53"/>
        <v>0</v>
      </c>
      <c r="H688" s="95" cm="1">
        <f ca="1" t="array" ref="H688">MIN(30-SUM(I688:L688),_xlfn.XLOOKUP($D688&amp;"_"&amp;H$52,$B$14:$B$36&amp;"_"&amp;$C$14:$C$36,$D$14:$D$36)*$E688,18)</f>
        <v>17.1402</v>
      </c>
      <c r="I688" s="95" cm="1">
        <f ca="1" t="array" ref="I688">MIN(30-SUM(J688:L688),6-L688,_xlfn.XLOOKUP($D688&amp;"_"&amp;I$52,$B$14:$B$36&amp;"_"&amp;$C$14:$C$36,$D$14:$D$36)*$E688)</f>
        <v>2.5035</v>
      </c>
      <c r="J688" s="95" cm="1">
        <f ca="1" t="array" ref="J688">MIN(8,_xlfn.XLOOKUP($D688&amp;"_"&amp;J$52,$B$14:$B$36&amp;"_"&amp;$C$14:$C$36,$D$14:$D$36)*$E688)</f>
        <v>4.995</v>
      </c>
      <c r="K688" s="95" cm="1">
        <f ca="1" t="array" ref="K688">MIN(18,_xlfn.XLOOKUP($D688&amp;"_"&amp;K$52,$B$14:$B$36&amp;"_"&amp;$C$14:$C$36,$D$14:$D$36)*$E688)</f>
        <v>1.8648</v>
      </c>
      <c r="L688" s="95" cm="1">
        <f ca="1" t="array" ref="L688">MIN(6,_xlfn.XLOOKUP($D688&amp;"_"&amp;L$52,$B$14:$B$36&amp;"_"&amp;$C$14:$C$36,$D$14:$D$36)*$E688)</f>
        <v>3.4965</v>
      </c>
      <c r="M688" s="95" cm="1">
        <f ca="1" t="array" ref="M688">(1+SUMPRODUCT(G688:H688,OFFSET($H$40:$I$40,D688,0)))*(1+OFFSET($J$40,D688,0))^I688*(1+OFFSET($K$40,D688,0))^J688*(1+OFFSET($L$40,D688,0))^K688*(1+OFFSET($M$40,D688,0))^L688</f>
        <v>114.904351865142</v>
      </c>
      <c r="N688" s="95">
        <f ca="1">MAX(MAX($N$53:N687),OFFSET($C$52,MATCH(M688*1.07,$M$53:$M$2052,1),0)-C688)</f>
        <v>10080</v>
      </c>
    </row>
    <row r="689" spans="2:14">
      <c r="B689" s="95">
        <v>637</v>
      </c>
      <c r="C689" s="95">
        <f t="shared" si="55"/>
        <v>229320</v>
      </c>
      <c r="D689" s="95">
        <f ca="1">_xlfn.XLOOKUP(总览!$B$44,$B$40:$B$45,$C$40:$C$45)</f>
        <v>5</v>
      </c>
      <c r="E689" s="95">
        <f ca="1" t="shared" si="51"/>
        <v>667</v>
      </c>
      <c r="F689" s="95">
        <f ca="1" t="shared" si="52"/>
        <v>0</v>
      </c>
      <c r="G689" s="95">
        <f ca="1" t="shared" si="53"/>
        <v>0</v>
      </c>
      <c r="H689" s="95" cm="1">
        <f ca="1" t="array" ref="H689">MIN(30-SUM(I689:L689),_xlfn.XLOOKUP($D689&amp;"_"&amp;H$52,$B$14:$B$36&amp;"_"&amp;$C$14:$C$36,$D$14:$D$36)*$E689,18)</f>
        <v>17.1299</v>
      </c>
      <c r="I689" s="95" cm="1">
        <f ca="1" t="array" ref="I689">MIN(30-SUM(J689:L689),6-L689,_xlfn.XLOOKUP($D689&amp;"_"&amp;I$52,$B$14:$B$36&amp;"_"&amp;$C$14:$C$36,$D$14:$D$36)*$E689)</f>
        <v>2.49825</v>
      </c>
      <c r="J689" s="95" cm="1">
        <f ca="1" t="array" ref="J689">MIN(8,_xlfn.XLOOKUP($D689&amp;"_"&amp;J$52,$B$14:$B$36&amp;"_"&amp;$C$14:$C$36,$D$14:$D$36)*$E689)</f>
        <v>5.0025</v>
      </c>
      <c r="K689" s="95" cm="1">
        <f ca="1" t="array" ref="K689">MIN(18,_xlfn.XLOOKUP($D689&amp;"_"&amp;K$52,$B$14:$B$36&amp;"_"&amp;$C$14:$C$36,$D$14:$D$36)*$E689)</f>
        <v>1.8676</v>
      </c>
      <c r="L689" s="95" cm="1">
        <f ca="1" t="array" ref="L689">MIN(6,_xlfn.XLOOKUP($D689&amp;"_"&amp;L$52,$B$14:$B$36&amp;"_"&amp;$C$14:$C$36,$D$14:$D$36)*$E689)</f>
        <v>3.50175</v>
      </c>
      <c r="M689" s="95" cm="1">
        <f ca="1" t="array" ref="M689">(1+SUMPRODUCT(G689:H689,OFFSET($H$40:$I$40,D689,0)))*(1+OFFSET($J$40,D689,0))^I689*(1+OFFSET($K$40,D689,0))^J689*(1+OFFSET($L$40,D689,0))^K689*(1+OFFSET($M$40,D689,0))^L689</f>
        <v>115.182005680473</v>
      </c>
      <c r="N689" s="95">
        <f ca="1">MAX(MAX($N$53:N688),OFFSET($C$52,MATCH(M689*1.07,$M$53:$M$2052,1),0)-C689)</f>
        <v>10080</v>
      </c>
    </row>
    <row r="690" spans="2:14">
      <c r="B690" s="95">
        <v>638</v>
      </c>
      <c r="C690" s="95">
        <f t="shared" si="55"/>
        <v>229680</v>
      </c>
      <c r="D690" s="95">
        <f ca="1">_xlfn.XLOOKUP(总览!$B$44,$B$40:$B$45,$C$40:$C$45)</f>
        <v>5</v>
      </c>
      <c r="E690" s="95">
        <f ca="1" t="shared" si="51"/>
        <v>668</v>
      </c>
      <c r="F690" s="95">
        <f ca="1" t="shared" si="52"/>
        <v>0</v>
      </c>
      <c r="G690" s="95">
        <f ca="1" t="shared" si="53"/>
        <v>0</v>
      </c>
      <c r="H690" s="95" cm="1">
        <f ca="1" t="array" ref="H690">MIN(30-SUM(I690:L690),_xlfn.XLOOKUP($D690&amp;"_"&amp;H$52,$B$14:$B$36&amp;"_"&amp;$C$14:$C$36,$D$14:$D$36)*$E690,18)</f>
        <v>17.1196</v>
      </c>
      <c r="I690" s="95" cm="1">
        <f ca="1" t="array" ref="I690">MIN(30-SUM(J690:L690),6-L690,_xlfn.XLOOKUP($D690&amp;"_"&amp;I$52,$B$14:$B$36&amp;"_"&amp;$C$14:$C$36,$D$14:$D$36)*$E690)</f>
        <v>2.493</v>
      </c>
      <c r="J690" s="95" cm="1">
        <f ca="1" t="array" ref="J690">MIN(8,_xlfn.XLOOKUP($D690&amp;"_"&amp;J$52,$B$14:$B$36&amp;"_"&amp;$C$14:$C$36,$D$14:$D$36)*$E690)</f>
        <v>5.01</v>
      </c>
      <c r="K690" s="95" cm="1">
        <f ca="1" t="array" ref="K690">MIN(18,_xlfn.XLOOKUP($D690&amp;"_"&amp;K$52,$B$14:$B$36&amp;"_"&amp;$C$14:$C$36,$D$14:$D$36)*$E690)</f>
        <v>1.8704</v>
      </c>
      <c r="L690" s="95" cm="1">
        <f ca="1" t="array" ref="L690">MIN(6,_xlfn.XLOOKUP($D690&amp;"_"&amp;L$52,$B$14:$B$36&amp;"_"&amp;$C$14:$C$36,$D$14:$D$36)*$E690)</f>
        <v>3.507</v>
      </c>
      <c r="M690" s="95" cm="1">
        <f ca="1" t="array" ref="M690">(1+SUMPRODUCT(G690:H690,OFFSET($H$40:$I$40,D690,0)))*(1+OFFSET($J$40,D690,0))^I690*(1+OFFSET($K$40,D690,0))^J690*(1+OFFSET($L$40,D690,0))^K690*(1+OFFSET($M$40,D690,0))^L690</f>
        <v>115.460305403926</v>
      </c>
      <c r="N690" s="95">
        <f ca="1">MAX(MAX($N$53:N689),OFFSET($C$52,MATCH(M690*1.07,$M$53:$M$2052,1),0)-C690)</f>
        <v>10080</v>
      </c>
    </row>
    <row r="691" spans="2:14">
      <c r="B691" s="95">
        <v>639</v>
      </c>
      <c r="C691" s="95">
        <f t="shared" si="55"/>
        <v>230040</v>
      </c>
      <c r="D691" s="95">
        <f ca="1">_xlfn.XLOOKUP(总览!$B$44,$B$40:$B$45,$C$40:$C$45)</f>
        <v>5</v>
      </c>
      <c r="E691" s="95">
        <f ca="1" t="shared" si="51"/>
        <v>669</v>
      </c>
      <c r="F691" s="95">
        <f ca="1" t="shared" si="52"/>
        <v>0</v>
      </c>
      <c r="G691" s="95">
        <f ca="1" t="shared" si="53"/>
        <v>0</v>
      </c>
      <c r="H691" s="95" cm="1">
        <f ca="1" t="array" ref="H691">MIN(30-SUM(I691:L691),_xlfn.XLOOKUP($D691&amp;"_"&amp;H$52,$B$14:$B$36&amp;"_"&amp;$C$14:$C$36,$D$14:$D$36)*$E691,18)</f>
        <v>17.1093</v>
      </c>
      <c r="I691" s="95" cm="1">
        <f ca="1" t="array" ref="I691">MIN(30-SUM(J691:L691),6-L691,_xlfn.XLOOKUP($D691&amp;"_"&amp;I$52,$B$14:$B$36&amp;"_"&amp;$C$14:$C$36,$D$14:$D$36)*$E691)</f>
        <v>2.48775</v>
      </c>
      <c r="J691" s="95" cm="1">
        <f ca="1" t="array" ref="J691">MIN(8,_xlfn.XLOOKUP($D691&amp;"_"&amp;J$52,$B$14:$B$36&amp;"_"&amp;$C$14:$C$36,$D$14:$D$36)*$E691)</f>
        <v>5.0175</v>
      </c>
      <c r="K691" s="95" cm="1">
        <f ca="1" t="array" ref="K691">MIN(18,_xlfn.XLOOKUP($D691&amp;"_"&amp;K$52,$B$14:$B$36&amp;"_"&amp;$C$14:$C$36,$D$14:$D$36)*$E691)</f>
        <v>1.8732</v>
      </c>
      <c r="L691" s="95" cm="1">
        <f ca="1" t="array" ref="L691">MIN(6,_xlfn.XLOOKUP($D691&amp;"_"&amp;L$52,$B$14:$B$36&amp;"_"&amp;$C$14:$C$36,$D$14:$D$36)*$E691)</f>
        <v>3.51225</v>
      </c>
      <c r="M691" s="95" cm="1">
        <f ca="1" t="array" ref="M691">(1+SUMPRODUCT(G691:H691,OFFSET($H$40:$I$40,D691,0)))*(1+OFFSET($J$40,D691,0))^I691*(1+OFFSET($K$40,D691,0))^J691*(1+OFFSET($L$40,D691,0))^K691*(1+OFFSET($M$40,D691,0))^L691</f>
        <v>115.739252452049</v>
      </c>
      <c r="N691" s="95">
        <f ca="1">MAX(MAX($N$53:N690),OFFSET($C$52,MATCH(M691*1.07,$M$53:$M$2052,1),0)-C691)</f>
        <v>10080</v>
      </c>
    </row>
    <row r="692" spans="2:14">
      <c r="B692" s="95">
        <v>640</v>
      </c>
      <c r="C692" s="95">
        <f t="shared" si="55"/>
        <v>230400</v>
      </c>
      <c r="D692" s="95">
        <f ca="1">_xlfn.XLOOKUP(总览!$B$44,$B$40:$B$45,$C$40:$C$45)</f>
        <v>5</v>
      </c>
      <c r="E692" s="95">
        <f ca="1" t="shared" si="51"/>
        <v>670</v>
      </c>
      <c r="F692" s="95">
        <f ca="1" t="shared" si="52"/>
        <v>0</v>
      </c>
      <c r="G692" s="95">
        <f ca="1" t="shared" si="53"/>
        <v>0</v>
      </c>
      <c r="H692" s="95" cm="1">
        <f ca="1" t="array" ref="H692">MIN(30-SUM(I692:L692),_xlfn.XLOOKUP($D692&amp;"_"&amp;H$52,$B$14:$B$36&amp;"_"&amp;$C$14:$C$36,$D$14:$D$36)*$E692,18)</f>
        <v>17.099</v>
      </c>
      <c r="I692" s="95" cm="1">
        <f ca="1" t="array" ref="I692">MIN(30-SUM(J692:L692),6-L692,_xlfn.XLOOKUP($D692&amp;"_"&amp;I$52,$B$14:$B$36&amp;"_"&amp;$C$14:$C$36,$D$14:$D$36)*$E692)</f>
        <v>2.4825</v>
      </c>
      <c r="J692" s="95" cm="1">
        <f ca="1" t="array" ref="J692">MIN(8,_xlfn.XLOOKUP($D692&amp;"_"&amp;J$52,$B$14:$B$36&amp;"_"&amp;$C$14:$C$36,$D$14:$D$36)*$E692)</f>
        <v>5.025</v>
      </c>
      <c r="K692" s="95" cm="1">
        <f ca="1" t="array" ref="K692">MIN(18,_xlfn.XLOOKUP($D692&amp;"_"&amp;K$52,$B$14:$B$36&amp;"_"&amp;$C$14:$C$36,$D$14:$D$36)*$E692)</f>
        <v>1.876</v>
      </c>
      <c r="L692" s="95" cm="1">
        <f ca="1" t="array" ref="L692">MIN(6,_xlfn.XLOOKUP($D692&amp;"_"&amp;L$52,$B$14:$B$36&amp;"_"&amp;$C$14:$C$36,$D$14:$D$36)*$E692)</f>
        <v>3.5175</v>
      </c>
      <c r="M692" s="95" cm="1">
        <f ca="1" t="array" ref="M692">(1+SUMPRODUCT(G692:H692,OFFSET($H$40:$I$40,D692,0)))*(1+OFFSET($J$40,D692,0))^I692*(1+OFFSET($K$40,D692,0))^J692*(1+OFFSET($L$40,D692,0))^K692*(1+OFFSET($M$40,D692,0))^L692</f>
        <v>116.018848244192</v>
      </c>
      <c r="N692" s="95">
        <f ca="1">MAX(MAX($N$53:N691),OFFSET($C$52,MATCH(M692*1.07,$M$53:$M$2052,1),0)-C692)</f>
        <v>10080</v>
      </c>
    </row>
    <row r="693" spans="2:14">
      <c r="B693" s="95">
        <v>641</v>
      </c>
      <c r="C693" s="95">
        <f t="shared" si="55"/>
        <v>230760</v>
      </c>
      <c r="D693" s="95">
        <f ca="1">_xlfn.XLOOKUP(总览!$B$44,$B$40:$B$45,$C$40:$C$45)</f>
        <v>5</v>
      </c>
      <c r="E693" s="95">
        <f ca="1" t="shared" si="51"/>
        <v>671</v>
      </c>
      <c r="F693" s="95">
        <f ca="1" t="shared" si="52"/>
        <v>0</v>
      </c>
      <c r="G693" s="95">
        <f ca="1" t="shared" si="53"/>
        <v>0</v>
      </c>
      <c r="H693" s="95" cm="1">
        <f ca="1" t="array" ref="H693">MIN(30-SUM(I693:L693),_xlfn.XLOOKUP($D693&amp;"_"&amp;H$52,$B$14:$B$36&amp;"_"&amp;$C$14:$C$36,$D$14:$D$36)*$E693,18)</f>
        <v>17.0887</v>
      </c>
      <c r="I693" s="95" cm="1">
        <f ca="1" t="array" ref="I693">MIN(30-SUM(J693:L693),6-L693,_xlfn.XLOOKUP($D693&amp;"_"&amp;I$52,$B$14:$B$36&amp;"_"&amp;$C$14:$C$36,$D$14:$D$36)*$E693)</f>
        <v>2.47725</v>
      </c>
      <c r="J693" s="95" cm="1">
        <f ca="1" t="array" ref="J693">MIN(8,_xlfn.XLOOKUP($D693&amp;"_"&amp;J$52,$B$14:$B$36&amp;"_"&amp;$C$14:$C$36,$D$14:$D$36)*$E693)</f>
        <v>5.0325</v>
      </c>
      <c r="K693" s="95" cm="1">
        <f ca="1" t="array" ref="K693">MIN(18,_xlfn.XLOOKUP($D693&amp;"_"&amp;K$52,$B$14:$B$36&amp;"_"&amp;$C$14:$C$36,$D$14:$D$36)*$E693)</f>
        <v>1.8788</v>
      </c>
      <c r="L693" s="95" cm="1">
        <f ca="1" t="array" ref="L693">MIN(6,_xlfn.XLOOKUP($D693&amp;"_"&amp;L$52,$B$14:$B$36&amp;"_"&amp;$C$14:$C$36,$D$14:$D$36)*$E693)</f>
        <v>3.52275</v>
      </c>
      <c r="M693" s="95" cm="1">
        <f ca="1" t="array" ref="M693">(1+SUMPRODUCT(G693:H693,OFFSET($H$40:$I$40,D693,0)))*(1+OFFSET($J$40,D693,0))^I693*(1+OFFSET($K$40,D693,0))^J693*(1+OFFSET($L$40,D693,0))^K693*(1+OFFSET($M$40,D693,0))^L693</f>
        <v>116.299094202508</v>
      </c>
      <c r="N693" s="95">
        <f ca="1">MAX(MAX($N$53:N692),OFFSET($C$52,MATCH(M693*1.07,$M$53:$M$2052,1),0)-C693)</f>
        <v>10080</v>
      </c>
    </row>
    <row r="694" spans="2:14">
      <c r="B694" s="95">
        <v>642</v>
      </c>
      <c r="C694" s="95">
        <f t="shared" si="55"/>
        <v>231120</v>
      </c>
      <c r="D694" s="95">
        <f ca="1">_xlfn.XLOOKUP(总览!$B$44,$B$40:$B$45,$C$40:$C$45)</f>
        <v>5</v>
      </c>
      <c r="E694" s="95">
        <f ca="1" t="shared" ref="E694:E757" si="56">INT(C694/_xlfn.XLOOKUP(D694,$N$5:$N$16,$O$5:$O$16))+OFFSET($R$40,D694,0)</f>
        <v>672</v>
      </c>
      <c r="F694" s="95">
        <f ca="1" t="shared" si="52"/>
        <v>0</v>
      </c>
      <c r="G694" s="95">
        <f ca="1" t="shared" si="53"/>
        <v>0</v>
      </c>
      <c r="H694" s="95" cm="1">
        <f ca="1" t="array" ref="H694">MIN(30-SUM(I694:L694),_xlfn.XLOOKUP($D694&amp;"_"&amp;H$52,$B$14:$B$36&amp;"_"&amp;$C$14:$C$36,$D$14:$D$36)*$E694,18)</f>
        <v>17.0784</v>
      </c>
      <c r="I694" s="95" cm="1">
        <f ca="1" t="array" ref="I694">MIN(30-SUM(J694:L694),6-L694,_xlfn.XLOOKUP($D694&amp;"_"&amp;I$52,$B$14:$B$36&amp;"_"&amp;$C$14:$C$36,$D$14:$D$36)*$E694)</f>
        <v>2.472</v>
      </c>
      <c r="J694" s="95" cm="1">
        <f ca="1" t="array" ref="J694">MIN(8,_xlfn.XLOOKUP($D694&amp;"_"&amp;J$52,$B$14:$B$36&amp;"_"&amp;$C$14:$C$36,$D$14:$D$36)*$E694)</f>
        <v>5.04</v>
      </c>
      <c r="K694" s="95" cm="1">
        <f ca="1" t="array" ref="K694">MIN(18,_xlfn.XLOOKUP($D694&amp;"_"&amp;K$52,$B$14:$B$36&amp;"_"&amp;$C$14:$C$36,$D$14:$D$36)*$E694)</f>
        <v>1.8816</v>
      </c>
      <c r="L694" s="95" cm="1">
        <f ca="1" t="array" ref="L694">MIN(6,_xlfn.XLOOKUP($D694&amp;"_"&amp;L$52,$B$14:$B$36&amp;"_"&amp;$C$14:$C$36,$D$14:$D$36)*$E694)</f>
        <v>3.528</v>
      </c>
      <c r="M694" s="95" cm="1">
        <f ca="1" t="array" ref="M694">(1+SUMPRODUCT(G694:H694,OFFSET($H$40:$I$40,D694,0)))*(1+OFFSET($J$40,D694,0))^I694*(1+OFFSET($K$40,D694,0))^J694*(1+OFFSET($L$40,D694,0))^K694*(1+OFFSET($M$40,D694,0))^L694</f>
        <v>116.579991751958</v>
      </c>
      <c r="N694" s="95">
        <f ca="1">MAX(MAX($N$53:N693),OFFSET($C$52,MATCH(M694*1.07,$M$53:$M$2052,1),0)-C694)</f>
        <v>10080</v>
      </c>
    </row>
    <row r="695" spans="2:14">
      <c r="B695" s="95">
        <v>643</v>
      </c>
      <c r="C695" s="95">
        <f t="shared" si="55"/>
        <v>231480</v>
      </c>
      <c r="D695" s="95">
        <f ca="1">_xlfn.XLOOKUP(总览!$B$44,$B$40:$B$45,$C$40:$C$45)</f>
        <v>5</v>
      </c>
      <c r="E695" s="95">
        <f ca="1" t="shared" si="56"/>
        <v>673</v>
      </c>
      <c r="F695" s="95">
        <f ca="1" t="shared" ref="F695:F758" si="57">30-SUM(G695:L695)</f>
        <v>0</v>
      </c>
      <c r="G695" s="95">
        <f ca="1" t="shared" ref="G695:G758" si="58">30-SUM(H695:L695)</f>
        <v>0</v>
      </c>
      <c r="H695" s="95" cm="1">
        <f ca="1" t="array" ref="H695">MIN(30-SUM(I695:L695),_xlfn.XLOOKUP($D695&amp;"_"&amp;H$52,$B$14:$B$36&amp;"_"&amp;$C$14:$C$36,$D$14:$D$36)*$E695,18)</f>
        <v>17.0681</v>
      </c>
      <c r="I695" s="95" cm="1">
        <f ca="1" t="array" ref="I695">MIN(30-SUM(J695:L695),6-L695,_xlfn.XLOOKUP($D695&amp;"_"&amp;I$52,$B$14:$B$36&amp;"_"&amp;$C$14:$C$36,$D$14:$D$36)*$E695)</f>
        <v>2.46675</v>
      </c>
      <c r="J695" s="95" cm="1">
        <f ca="1" t="array" ref="J695">MIN(8,_xlfn.XLOOKUP($D695&amp;"_"&amp;J$52,$B$14:$B$36&amp;"_"&amp;$C$14:$C$36,$D$14:$D$36)*$E695)</f>
        <v>5.0475</v>
      </c>
      <c r="K695" s="95" cm="1">
        <f ca="1" t="array" ref="K695">MIN(18,_xlfn.XLOOKUP($D695&amp;"_"&amp;K$52,$B$14:$B$36&amp;"_"&amp;$C$14:$C$36,$D$14:$D$36)*$E695)</f>
        <v>1.8844</v>
      </c>
      <c r="L695" s="95" cm="1">
        <f ca="1" t="array" ref="L695">MIN(6,_xlfn.XLOOKUP($D695&amp;"_"&amp;L$52,$B$14:$B$36&amp;"_"&amp;$C$14:$C$36,$D$14:$D$36)*$E695)</f>
        <v>3.53325</v>
      </c>
      <c r="M695" s="95" cm="1">
        <f ca="1" t="array" ref="M695">(1+SUMPRODUCT(G695:H695,OFFSET($H$40:$I$40,D695,0)))*(1+OFFSET($J$40,D695,0))^I695*(1+OFFSET($K$40,D695,0))^J695*(1+OFFSET($L$40,D695,0))^K695*(1+OFFSET($M$40,D695,0))^L695</f>
        <v>116.861542320315</v>
      </c>
      <c r="N695" s="95">
        <f ca="1">MAX(MAX($N$53:N694),OFFSET($C$52,MATCH(M695*1.07,$M$53:$M$2052,1),0)-C695)</f>
        <v>10080</v>
      </c>
    </row>
    <row r="696" spans="2:14">
      <c r="B696" s="95">
        <v>644</v>
      </c>
      <c r="C696" s="95">
        <f t="shared" si="55"/>
        <v>231840</v>
      </c>
      <c r="D696" s="95">
        <f ca="1">_xlfn.XLOOKUP(总览!$B$44,$B$40:$B$45,$C$40:$C$45)</f>
        <v>5</v>
      </c>
      <c r="E696" s="95">
        <f ca="1" t="shared" si="56"/>
        <v>674</v>
      </c>
      <c r="F696" s="95">
        <f ca="1" t="shared" si="57"/>
        <v>0</v>
      </c>
      <c r="G696" s="95">
        <f ca="1" t="shared" si="58"/>
        <v>0</v>
      </c>
      <c r="H696" s="95" cm="1">
        <f ca="1" t="array" ref="H696">MIN(30-SUM(I696:L696),_xlfn.XLOOKUP($D696&amp;"_"&amp;H$52,$B$14:$B$36&amp;"_"&amp;$C$14:$C$36,$D$14:$D$36)*$E696,18)</f>
        <v>17.0578</v>
      </c>
      <c r="I696" s="95" cm="1">
        <f ca="1" t="array" ref="I696">MIN(30-SUM(J696:L696),6-L696,_xlfn.XLOOKUP($D696&amp;"_"&amp;I$52,$B$14:$B$36&amp;"_"&amp;$C$14:$C$36,$D$14:$D$36)*$E696)</f>
        <v>2.4615</v>
      </c>
      <c r="J696" s="95" cm="1">
        <f ca="1" t="array" ref="J696">MIN(8,_xlfn.XLOOKUP($D696&amp;"_"&amp;J$52,$B$14:$B$36&amp;"_"&amp;$C$14:$C$36,$D$14:$D$36)*$E696)</f>
        <v>5.055</v>
      </c>
      <c r="K696" s="95" cm="1">
        <f ca="1" t="array" ref="K696">MIN(18,_xlfn.XLOOKUP($D696&amp;"_"&amp;K$52,$B$14:$B$36&amp;"_"&amp;$C$14:$C$36,$D$14:$D$36)*$E696)</f>
        <v>1.8872</v>
      </c>
      <c r="L696" s="95" cm="1">
        <f ca="1" t="array" ref="L696">MIN(6,_xlfn.XLOOKUP($D696&amp;"_"&amp;L$52,$B$14:$B$36&amp;"_"&amp;$C$14:$C$36,$D$14:$D$36)*$E696)</f>
        <v>3.5385</v>
      </c>
      <c r="M696" s="95" cm="1">
        <f ca="1" t="array" ref="M696">(1+SUMPRODUCT(G696:H696,OFFSET($H$40:$I$40,D696,0)))*(1+OFFSET($J$40,D696,0))^I696*(1+OFFSET($K$40,D696,0))^J696*(1+OFFSET($L$40,D696,0))^K696*(1+OFFSET($M$40,D696,0))^L696</f>
        <v>117.143747338168</v>
      </c>
      <c r="N696" s="95">
        <f ca="1">MAX(MAX($N$53:N695),OFFSET($C$52,MATCH(M696*1.07,$M$53:$M$2052,1),0)-C696)</f>
        <v>10080</v>
      </c>
    </row>
    <row r="697" spans="2:14">
      <c r="B697" s="95">
        <v>645</v>
      </c>
      <c r="C697" s="95">
        <f t="shared" si="55"/>
        <v>232200</v>
      </c>
      <c r="D697" s="95">
        <f ca="1">_xlfn.XLOOKUP(总览!$B$44,$B$40:$B$45,$C$40:$C$45)</f>
        <v>5</v>
      </c>
      <c r="E697" s="95">
        <f ca="1" t="shared" si="56"/>
        <v>675</v>
      </c>
      <c r="F697" s="95">
        <f ca="1" t="shared" si="57"/>
        <v>0</v>
      </c>
      <c r="G697" s="95">
        <f ca="1" t="shared" si="58"/>
        <v>0</v>
      </c>
      <c r="H697" s="95" cm="1">
        <f ca="1" t="array" ref="H697">MIN(30-SUM(I697:L697),_xlfn.XLOOKUP($D697&amp;"_"&amp;H$52,$B$14:$B$36&amp;"_"&amp;$C$14:$C$36,$D$14:$D$36)*$E697,18)</f>
        <v>17.0475</v>
      </c>
      <c r="I697" s="95" cm="1">
        <f ca="1" t="array" ref="I697">MIN(30-SUM(J697:L697),6-L697,_xlfn.XLOOKUP($D697&amp;"_"&amp;I$52,$B$14:$B$36&amp;"_"&amp;$C$14:$C$36,$D$14:$D$36)*$E697)</f>
        <v>2.45625</v>
      </c>
      <c r="J697" s="95" cm="1">
        <f ca="1" t="array" ref="J697">MIN(8,_xlfn.XLOOKUP($D697&amp;"_"&amp;J$52,$B$14:$B$36&amp;"_"&amp;$C$14:$C$36,$D$14:$D$36)*$E697)</f>
        <v>5.0625</v>
      </c>
      <c r="K697" s="95" cm="1">
        <f ca="1" t="array" ref="K697">MIN(18,_xlfn.XLOOKUP($D697&amp;"_"&amp;K$52,$B$14:$B$36&amp;"_"&amp;$C$14:$C$36,$D$14:$D$36)*$E697)</f>
        <v>1.89</v>
      </c>
      <c r="L697" s="95" cm="1">
        <f ca="1" t="array" ref="L697">MIN(6,_xlfn.XLOOKUP($D697&amp;"_"&amp;L$52,$B$14:$B$36&amp;"_"&amp;$C$14:$C$36,$D$14:$D$36)*$E697)</f>
        <v>3.54375</v>
      </c>
      <c r="M697" s="95" cm="1">
        <f ca="1" t="array" ref="M697">(1+SUMPRODUCT(G697:H697,OFFSET($H$40:$I$40,D697,0)))*(1+OFFSET($J$40,D697,0))^I697*(1+OFFSET($K$40,D697,0))^J697*(1+OFFSET($L$40,D697,0))^K697*(1+OFFSET($M$40,D697,0))^L697</f>
        <v>117.426608238929</v>
      </c>
      <c r="N697" s="95">
        <f ca="1">MAX(MAX($N$53:N696),OFFSET($C$52,MATCH(M697*1.07,$M$53:$M$2052,1),0)-C697)</f>
        <v>10080</v>
      </c>
    </row>
    <row r="698" spans="2:14">
      <c r="B698" s="95">
        <v>646</v>
      </c>
      <c r="C698" s="95">
        <f t="shared" si="55"/>
        <v>232560</v>
      </c>
      <c r="D698" s="95">
        <f ca="1">_xlfn.XLOOKUP(总览!$B$44,$B$40:$B$45,$C$40:$C$45)</f>
        <v>5</v>
      </c>
      <c r="E698" s="95">
        <f ca="1" t="shared" si="56"/>
        <v>676</v>
      </c>
      <c r="F698" s="95">
        <f ca="1" t="shared" si="57"/>
        <v>0</v>
      </c>
      <c r="G698" s="95">
        <f ca="1" t="shared" si="58"/>
        <v>0</v>
      </c>
      <c r="H698" s="95" cm="1">
        <f ca="1" t="array" ref="H698">MIN(30-SUM(I698:L698),_xlfn.XLOOKUP($D698&amp;"_"&amp;H$52,$B$14:$B$36&amp;"_"&amp;$C$14:$C$36,$D$14:$D$36)*$E698,18)</f>
        <v>17.0372</v>
      </c>
      <c r="I698" s="95" cm="1">
        <f ca="1" t="array" ref="I698">MIN(30-SUM(J698:L698),6-L698,_xlfn.XLOOKUP($D698&amp;"_"&amp;I$52,$B$14:$B$36&amp;"_"&amp;$C$14:$C$36,$D$14:$D$36)*$E698)</f>
        <v>2.451</v>
      </c>
      <c r="J698" s="95" cm="1">
        <f ca="1" t="array" ref="J698">MIN(8,_xlfn.XLOOKUP($D698&amp;"_"&amp;J$52,$B$14:$B$36&amp;"_"&amp;$C$14:$C$36,$D$14:$D$36)*$E698)</f>
        <v>5.07</v>
      </c>
      <c r="K698" s="95" cm="1">
        <f ca="1" t="array" ref="K698">MIN(18,_xlfn.XLOOKUP($D698&amp;"_"&amp;K$52,$B$14:$B$36&amp;"_"&amp;$C$14:$C$36,$D$14:$D$36)*$E698)</f>
        <v>1.8928</v>
      </c>
      <c r="L698" s="95" cm="1">
        <f ca="1" t="array" ref="L698">MIN(6,_xlfn.XLOOKUP($D698&amp;"_"&amp;L$52,$B$14:$B$36&amp;"_"&amp;$C$14:$C$36,$D$14:$D$36)*$E698)</f>
        <v>3.549</v>
      </c>
      <c r="M698" s="95" cm="1">
        <f ca="1" t="array" ref="M698">(1+SUMPRODUCT(G698:H698,OFFSET($H$40:$I$40,D698,0)))*(1+OFFSET($J$40,D698,0))^I698*(1+OFFSET($K$40,D698,0))^J698*(1+OFFSET($L$40,D698,0))^K698*(1+OFFSET($M$40,D698,0))^L698</f>
        <v>117.710126458834</v>
      </c>
      <c r="N698" s="95">
        <f ca="1">MAX(MAX($N$53:N697),OFFSET($C$52,MATCH(M698*1.07,$M$53:$M$2052,1),0)-C698)</f>
        <v>10080</v>
      </c>
    </row>
    <row r="699" spans="2:14">
      <c r="B699" s="95">
        <v>647</v>
      </c>
      <c r="C699" s="95">
        <f t="shared" si="55"/>
        <v>232920</v>
      </c>
      <c r="D699" s="95">
        <f ca="1">_xlfn.XLOOKUP(总览!$B$44,$B$40:$B$45,$C$40:$C$45)</f>
        <v>5</v>
      </c>
      <c r="E699" s="95">
        <f ca="1" t="shared" si="56"/>
        <v>677</v>
      </c>
      <c r="F699" s="95">
        <f ca="1" t="shared" si="57"/>
        <v>0</v>
      </c>
      <c r="G699" s="95">
        <f ca="1" t="shared" si="58"/>
        <v>0</v>
      </c>
      <c r="H699" s="95" cm="1">
        <f ca="1" t="array" ref="H699">MIN(30-SUM(I699:L699),_xlfn.XLOOKUP($D699&amp;"_"&amp;H$52,$B$14:$B$36&amp;"_"&amp;$C$14:$C$36,$D$14:$D$36)*$E699,18)</f>
        <v>17.0269</v>
      </c>
      <c r="I699" s="95" cm="1">
        <f ca="1" t="array" ref="I699">MIN(30-SUM(J699:L699),6-L699,_xlfn.XLOOKUP($D699&amp;"_"&amp;I$52,$B$14:$B$36&amp;"_"&amp;$C$14:$C$36,$D$14:$D$36)*$E699)</f>
        <v>2.44575</v>
      </c>
      <c r="J699" s="95" cm="1">
        <f ca="1" t="array" ref="J699">MIN(8,_xlfn.XLOOKUP($D699&amp;"_"&amp;J$52,$B$14:$B$36&amp;"_"&amp;$C$14:$C$36,$D$14:$D$36)*$E699)</f>
        <v>5.0775</v>
      </c>
      <c r="K699" s="95" cm="1">
        <f ca="1" t="array" ref="K699">MIN(18,_xlfn.XLOOKUP($D699&amp;"_"&amp;K$52,$B$14:$B$36&amp;"_"&amp;$C$14:$C$36,$D$14:$D$36)*$E699)</f>
        <v>1.8956</v>
      </c>
      <c r="L699" s="95" cm="1">
        <f ca="1" t="array" ref="L699">MIN(6,_xlfn.XLOOKUP($D699&amp;"_"&amp;L$52,$B$14:$B$36&amp;"_"&amp;$C$14:$C$36,$D$14:$D$36)*$E699)</f>
        <v>3.55425</v>
      </c>
      <c r="M699" s="95" cm="1">
        <f ca="1" t="array" ref="M699">(1+SUMPRODUCT(G699:H699,OFFSET($H$40:$I$40,D699,0)))*(1+OFFSET($J$40,D699,0))^I699*(1+OFFSET($K$40,D699,0))^J699*(1+OFFSET($L$40,D699,0))^K699*(1+OFFSET($M$40,D699,0))^L699</f>
        <v>117.99430343695</v>
      </c>
      <c r="N699" s="95">
        <f ca="1">MAX(MAX($N$53:N698),OFFSET($C$52,MATCH(M699*1.07,$M$53:$M$2052,1),0)-C699)</f>
        <v>10080</v>
      </c>
    </row>
    <row r="700" spans="2:14">
      <c r="B700" s="95">
        <v>648</v>
      </c>
      <c r="C700" s="95">
        <f t="shared" si="55"/>
        <v>233280</v>
      </c>
      <c r="D700" s="95">
        <f ca="1">_xlfn.XLOOKUP(总览!$B$44,$B$40:$B$45,$C$40:$C$45)</f>
        <v>5</v>
      </c>
      <c r="E700" s="95">
        <f ca="1" t="shared" si="56"/>
        <v>678</v>
      </c>
      <c r="F700" s="95">
        <f ca="1" t="shared" si="57"/>
        <v>0</v>
      </c>
      <c r="G700" s="95">
        <f ca="1" t="shared" si="58"/>
        <v>0</v>
      </c>
      <c r="H700" s="95" cm="1">
        <f ca="1" t="array" ref="H700">MIN(30-SUM(I700:L700),_xlfn.XLOOKUP($D700&amp;"_"&amp;H$52,$B$14:$B$36&amp;"_"&amp;$C$14:$C$36,$D$14:$D$36)*$E700,18)</f>
        <v>17.0166</v>
      </c>
      <c r="I700" s="95" cm="1">
        <f ca="1" t="array" ref="I700">MIN(30-SUM(J700:L700),6-L700,_xlfn.XLOOKUP($D700&amp;"_"&amp;I$52,$B$14:$B$36&amp;"_"&amp;$C$14:$C$36,$D$14:$D$36)*$E700)</f>
        <v>2.4405</v>
      </c>
      <c r="J700" s="95" cm="1">
        <f ca="1" t="array" ref="J700">MIN(8,_xlfn.XLOOKUP($D700&amp;"_"&amp;J$52,$B$14:$B$36&amp;"_"&amp;$C$14:$C$36,$D$14:$D$36)*$E700)</f>
        <v>5.085</v>
      </c>
      <c r="K700" s="95" cm="1">
        <f ca="1" t="array" ref="K700">MIN(18,_xlfn.XLOOKUP($D700&amp;"_"&amp;K$52,$B$14:$B$36&amp;"_"&amp;$C$14:$C$36,$D$14:$D$36)*$E700)</f>
        <v>1.8984</v>
      </c>
      <c r="L700" s="95" cm="1">
        <f ca="1" t="array" ref="L700">MIN(6,_xlfn.XLOOKUP($D700&amp;"_"&amp;L$52,$B$14:$B$36&amp;"_"&amp;$C$14:$C$36,$D$14:$D$36)*$E700)</f>
        <v>3.5595</v>
      </c>
      <c r="M700" s="95" cm="1">
        <f ca="1" t="array" ref="M700">(1+SUMPRODUCT(G700:H700,OFFSET($H$40:$I$40,D700,0)))*(1+OFFSET($J$40,D700,0))^I700*(1+OFFSET($K$40,D700,0))^J700*(1+OFFSET($L$40,D700,0))^K700*(1+OFFSET($M$40,D700,0))^L700</f>
        <v>118.279140615177</v>
      </c>
      <c r="N700" s="95">
        <f ca="1">MAX(MAX($N$53:N699),OFFSET($C$52,MATCH(M700*1.07,$M$53:$M$2052,1),0)-C700)</f>
        <v>10080</v>
      </c>
    </row>
    <row r="701" spans="2:14">
      <c r="B701" s="95">
        <v>649</v>
      </c>
      <c r="C701" s="95">
        <f t="shared" si="55"/>
        <v>233640</v>
      </c>
      <c r="D701" s="95">
        <f ca="1">_xlfn.XLOOKUP(总览!$B$44,$B$40:$B$45,$C$40:$C$45)</f>
        <v>5</v>
      </c>
      <c r="E701" s="95">
        <f ca="1" t="shared" si="56"/>
        <v>679</v>
      </c>
      <c r="F701" s="95">
        <f ca="1" t="shared" si="57"/>
        <v>0</v>
      </c>
      <c r="G701" s="95">
        <f ca="1" t="shared" si="58"/>
        <v>0</v>
      </c>
      <c r="H701" s="95" cm="1">
        <f ca="1" t="array" ref="H701">MIN(30-SUM(I701:L701),_xlfn.XLOOKUP($D701&amp;"_"&amp;H$52,$B$14:$B$36&amp;"_"&amp;$C$14:$C$36,$D$14:$D$36)*$E701,18)</f>
        <v>17.0063</v>
      </c>
      <c r="I701" s="95" cm="1">
        <f ca="1" t="array" ref="I701">MIN(30-SUM(J701:L701),6-L701,_xlfn.XLOOKUP($D701&amp;"_"&amp;I$52,$B$14:$B$36&amp;"_"&amp;$C$14:$C$36,$D$14:$D$36)*$E701)</f>
        <v>2.43525</v>
      </c>
      <c r="J701" s="95" cm="1">
        <f ca="1" t="array" ref="J701">MIN(8,_xlfn.XLOOKUP($D701&amp;"_"&amp;J$52,$B$14:$B$36&amp;"_"&amp;$C$14:$C$36,$D$14:$D$36)*$E701)</f>
        <v>5.0925</v>
      </c>
      <c r="K701" s="95" cm="1">
        <f ca="1" t="array" ref="K701">MIN(18,_xlfn.XLOOKUP($D701&amp;"_"&amp;K$52,$B$14:$B$36&amp;"_"&amp;$C$14:$C$36,$D$14:$D$36)*$E701)</f>
        <v>1.9012</v>
      </c>
      <c r="L701" s="95" cm="1">
        <f ca="1" t="array" ref="L701">MIN(6,_xlfn.XLOOKUP($D701&amp;"_"&amp;L$52,$B$14:$B$36&amp;"_"&amp;$C$14:$C$36,$D$14:$D$36)*$E701)</f>
        <v>3.56475</v>
      </c>
      <c r="M701" s="95" cm="1">
        <f ca="1" t="array" ref="M701">(1+SUMPRODUCT(G701:H701,OFFSET($H$40:$I$40,D701,0)))*(1+OFFSET($J$40,D701,0))^I701*(1+OFFSET($K$40,D701,0))^J701*(1+OFFSET($L$40,D701,0))^K701*(1+OFFSET($M$40,D701,0))^L701</f>
        <v>118.564639438256</v>
      </c>
      <c r="N701" s="95">
        <f ca="1">MAX(MAX($N$53:N700),OFFSET($C$52,MATCH(M701*1.07,$M$53:$M$2052,1),0)-C701)</f>
        <v>10080</v>
      </c>
    </row>
    <row r="702" spans="2:14">
      <c r="B702" s="95">
        <v>650</v>
      </c>
      <c r="C702" s="95">
        <f t="shared" si="55"/>
        <v>234000</v>
      </c>
      <c r="D702" s="95">
        <f ca="1">_xlfn.XLOOKUP(总览!$B$44,$B$40:$B$45,$C$40:$C$45)</f>
        <v>5</v>
      </c>
      <c r="E702" s="95">
        <f ca="1" t="shared" si="56"/>
        <v>680</v>
      </c>
      <c r="F702" s="95">
        <f ca="1" t="shared" si="57"/>
        <v>0</v>
      </c>
      <c r="G702" s="95">
        <f ca="1" t="shared" si="58"/>
        <v>0</v>
      </c>
      <c r="H702" s="95" cm="1">
        <f ca="1" t="array" ref="H702">MIN(30-SUM(I702:L702),_xlfn.XLOOKUP($D702&amp;"_"&amp;H$52,$B$14:$B$36&amp;"_"&amp;$C$14:$C$36,$D$14:$D$36)*$E702,18)</f>
        <v>16.996</v>
      </c>
      <c r="I702" s="95" cm="1">
        <f ca="1" t="array" ref="I702">MIN(30-SUM(J702:L702),6-L702,_xlfn.XLOOKUP($D702&amp;"_"&amp;I$52,$B$14:$B$36&amp;"_"&amp;$C$14:$C$36,$D$14:$D$36)*$E702)</f>
        <v>2.43</v>
      </c>
      <c r="J702" s="95" cm="1">
        <f ca="1" t="array" ref="J702">MIN(8,_xlfn.XLOOKUP($D702&amp;"_"&amp;J$52,$B$14:$B$36&amp;"_"&amp;$C$14:$C$36,$D$14:$D$36)*$E702)</f>
        <v>5.1</v>
      </c>
      <c r="K702" s="95" cm="1">
        <f ca="1" t="array" ref="K702">MIN(18,_xlfn.XLOOKUP($D702&amp;"_"&amp;K$52,$B$14:$B$36&amp;"_"&amp;$C$14:$C$36,$D$14:$D$36)*$E702)</f>
        <v>1.904</v>
      </c>
      <c r="L702" s="95" cm="1">
        <f ca="1" t="array" ref="L702">MIN(6,_xlfn.XLOOKUP($D702&amp;"_"&amp;L$52,$B$14:$B$36&amp;"_"&amp;$C$14:$C$36,$D$14:$D$36)*$E702)</f>
        <v>3.57</v>
      </c>
      <c r="M702" s="95" cm="1">
        <f ca="1" t="array" ref="M702">(1+SUMPRODUCT(G702:H702,OFFSET($H$40:$I$40,D702,0)))*(1+OFFSET($J$40,D702,0))^I702*(1+OFFSET($K$40,D702,0))^J702*(1+OFFSET($L$40,D702,0))^K702*(1+OFFSET($M$40,D702,0))^L702</f>
        <v>118.850801353767</v>
      </c>
      <c r="N702" s="95">
        <f ca="1">MAX(MAX($N$53:N701),OFFSET($C$52,MATCH(M702*1.07,$M$53:$M$2052,1),0)-C702)</f>
        <v>10080</v>
      </c>
    </row>
    <row r="703" spans="2:14">
      <c r="B703" s="95">
        <v>651</v>
      </c>
      <c r="C703" s="95">
        <f t="shared" si="55"/>
        <v>234360</v>
      </c>
      <c r="D703" s="95">
        <f ca="1">_xlfn.XLOOKUP(总览!$B$44,$B$40:$B$45,$C$40:$C$45)</f>
        <v>5</v>
      </c>
      <c r="E703" s="95">
        <f ca="1" t="shared" si="56"/>
        <v>681</v>
      </c>
      <c r="F703" s="95">
        <f ca="1" t="shared" si="57"/>
        <v>0</v>
      </c>
      <c r="G703" s="95">
        <f ca="1" t="shared" si="58"/>
        <v>0</v>
      </c>
      <c r="H703" s="95" cm="1">
        <f ca="1" t="array" ref="H703">MIN(30-SUM(I703:L703),_xlfn.XLOOKUP($D703&amp;"_"&amp;H$52,$B$14:$B$36&amp;"_"&amp;$C$14:$C$36,$D$14:$D$36)*$E703,18)</f>
        <v>16.9857</v>
      </c>
      <c r="I703" s="95" cm="1">
        <f ca="1" t="array" ref="I703">MIN(30-SUM(J703:L703),6-L703,_xlfn.XLOOKUP($D703&amp;"_"&amp;I$52,$B$14:$B$36&amp;"_"&amp;$C$14:$C$36,$D$14:$D$36)*$E703)</f>
        <v>2.42475</v>
      </c>
      <c r="J703" s="95" cm="1">
        <f ca="1" t="array" ref="J703">MIN(8,_xlfn.XLOOKUP($D703&amp;"_"&amp;J$52,$B$14:$B$36&amp;"_"&amp;$C$14:$C$36,$D$14:$D$36)*$E703)</f>
        <v>5.1075</v>
      </c>
      <c r="K703" s="95" cm="1">
        <f ca="1" t="array" ref="K703">MIN(18,_xlfn.XLOOKUP($D703&amp;"_"&amp;K$52,$B$14:$B$36&amp;"_"&amp;$C$14:$C$36,$D$14:$D$36)*$E703)</f>
        <v>1.9068</v>
      </c>
      <c r="L703" s="95" cm="1">
        <f ca="1" t="array" ref="L703">MIN(6,_xlfn.XLOOKUP($D703&amp;"_"&amp;L$52,$B$14:$B$36&amp;"_"&amp;$C$14:$C$36,$D$14:$D$36)*$E703)</f>
        <v>3.57525</v>
      </c>
      <c r="M703" s="95" cm="1">
        <f ca="1" t="array" ref="M703">(1+SUMPRODUCT(G703:H703,OFFSET($H$40:$I$40,D703,0)))*(1+OFFSET($J$40,D703,0))^I703*(1+OFFSET($K$40,D703,0))^J703*(1+OFFSET($L$40,D703,0))^K703*(1+OFFSET($M$40,D703,0))^L703</f>
        <v>119.137627812141</v>
      </c>
      <c r="N703" s="95">
        <f ca="1">MAX(MAX($N$53:N702),OFFSET($C$52,MATCH(M703*1.07,$M$53:$M$2052,1),0)-C703)</f>
        <v>10080</v>
      </c>
    </row>
    <row r="704" spans="2:14">
      <c r="B704" s="95">
        <v>652</v>
      </c>
      <c r="C704" s="95">
        <f t="shared" si="55"/>
        <v>234720</v>
      </c>
      <c r="D704" s="95">
        <f ca="1">_xlfn.XLOOKUP(总览!$B$44,$B$40:$B$45,$C$40:$C$45)</f>
        <v>5</v>
      </c>
      <c r="E704" s="95">
        <f ca="1" t="shared" si="56"/>
        <v>682</v>
      </c>
      <c r="F704" s="95">
        <f ca="1" t="shared" si="57"/>
        <v>0</v>
      </c>
      <c r="G704" s="95">
        <f ca="1" t="shared" si="58"/>
        <v>0</v>
      </c>
      <c r="H704" s="95" cm="1">
        <f ca="1" t="array" ref="H704">MIN(30-SUM(I704:L704),_xlfn.XLOOKUP($D704&amp;"_"&amp;H$52,$B$14:$B$36&amp;"_"&amp;$C$14:$C$36,$D$14:$D$36)*$E704,18)</f>
        <v>16.9754</v>
      </c>
      <c r="I704" s="95" cm="1">
        <f ca="1" t="array" ref="I704">MIN(30-SUM(J704:L704),6-L704,_xlfn.XLOOKUP($D704&amp;"_"&amp;I$52,$B$14:$B$36&amp;"_"&amp;$C$14:$C$36,$D$14:$D$36)*$E704)</f>
        <v>2.4195</v>
      </c>
      <c r="J704" s="95" cm="1">
        <f ca="1" t="array" ref="J704">MIN(8,_xlfn.XLOOKUP($D704&amp;"_"&amp;J$52,$B$14:$B$36&amp;"_"&amp;$C$14:$C$36,$D$14:$D$36)*$E704)</f>
        <v>5.115</v>
      </c>
      <c r="K704" s="95" cm="1">
        <f ca="1" t="array" ref="K704">MIN(18,_xlfn.XLOOKUP($D704&amp;"_"&amp;K$52,$B$14:$B$36&amp;"_"&amp;$C$14:$C$36,$D$14:$D$36)*$E704)</f>
        <v>1.9096</v>
      </c>
      <c r="L704" s="95" cm="1">
        <f ca="1" t="array" ref="L704">MIN(6,_xlfn.XLOOKUP($D704&amp;"_"&amp;L$52,$B$14:$B$36&amp;"_"&amp;$C$14:$C$36,$D$14:$D$36)*$E704)</f>
        <v>3.5805</v>
      </c>
      <c r="M704" s="95" cm="1">
        <f ca="1" t="array" ref="M704">(1+SUMPRODUCT(G704:H704,OFFSET($H$40:$I$40,D704,0)))*(1+OFFSET($J$40,D704,0))^I704*(1+OFFSET($K$40,D704,0))^J704*(1+OFFSET($L$40,D704,0))^K704*(1+OFFSET($M$40,D704,0))^L704</f>
        <v>119.425120266661</v>
      </c>
      <c r="N704" s="95">
        <f ca="1">MAX(MAX($N$53:N703),OFFSET($C$52,MATCH(M704*1.07,$M$53:$M$2052,1),0)-C704)</f>
        <v>10080</v>
      </c>
    </row>
    <row r="705" spans="2:14">
      <c r="B705" s="95">
        <v>653</v>
      </c>
      <c r="C705" s="95">
        <f t="shared" si="55"/>
        <v>235080</v>
      </c>
      <c r="D705" s="95">
        <f ca="1">_xlfn.XLOOKUP(总览!$B$44,$B$40:$B$45,$C$40:$C$45)</f>
        <v>5</v>
      </c>
      <c r="E705" s="95">
        <f ca="1" t="shared" si="56"/>
        <v>683</v>
      </c>
      <c r="F705" s="95">
        <f ca="1" t="shared" si="57"/>
        <v>0</v>
      </c>
      <c r="G705" s="95">
        <f ca="1" t="shared" si="58"/>
        <v>0</v>
      </c>
      <c r="H705" s="95" cm="1">
        <f ca="1" t="array" ref="H705">MIN(30-SUM(I705:L705),_xlfn.XLOOKUP($D705&amp;"_"&amp;H$52,$B$14:$B$36&amp;"_"&amp;$C$14:$C$36,$D$14:$D$36)*$E705,18)</f>
        <v>16.9651</v>
      </c>
      <c r="I705" s="95" cm="1">
        <f ca="1" t="array" ref="I705">MIN(30-SUM(J705:L705),6-L705,_xlfn.XLOOKUP($D705&amp;"_"&amp;I$52,$B$14:$B$36&amp;"_"&amp;$C$14:$C$36,$D$14:$D$36)*$E705)</f>
        <v>2.41425</v>
      </c>
      <c r="J705" s="95" cm="1">
        <f ca="1" t="array" ref="J705">MIN(8,_xlfn.XLOOKUP($D705&amp;"_"&amp;J$52,$B$14:$B$36&amp;"_"&amp;$C$14:$C$36,$D$14:$D$36)*$E705)</f>
        <v>5.1225</v>
      </c>
      <c r="K705" s="95" cm="1">
        <f ca="1" t="array" ref="K705">MIN(18,_xlfn.XLOOKUP($D705&amp;"_"&amp;K$52,$B$14:$B$36&amp;"_"&amp;$C$14:$C$36,$D$14:$D$36)*$E705)</f>
        <v>1.9124</v>
      </c>
      <c r="L705" s="95" cm="1">
        <f ca="1" t="array" ref="L705">MIN(6,_xlfn.XLOOKUP($D705&amp;"_"&amp;L$52,$B$14:$B$36&amp;"_"&amp;$C$14:$C$36,$D$14:$D$36)*$E705)</f>
        <v>3.58575</v>
      </c>
      <c r="M705" s="95" cm="1">
        <f ca="1" t="array" ref="M705">(1+SUMPRODUCT(G705:H705,OFFSET($H$40:$I$40,D705,0)))*(1+OFFSET($J$40,D705,0))^I705*(1+OFFSET($K$40,D705,0))^J705*(1+OFFSET($L$40,D705,0))^K705*(1+OFFSET($M$40,D705,0))^L705</f>
        <v>119.713280173462</v>
      </c>
      <c r="N705" s="95">
        <f ca="1">MAX(MAX($N$53:N704),OFFSET($C$52,MATCH(M705*1.07,$M$53:$M$2052,1),0)-C705)</f>
        <v>10080</v>
      </c>
    </row>
    <row r="706" spans="2:14">
      <c r="B706" s="95">
        <v>654</v>
      </c>
      <c r="C706" s="95">
        <f t="shared" si="55"/>
        <v>235440</v>
      </c>
      <c r="D706" s="95">
        <f ca="1">_xlfn.XLOOKUP(总览!$B$44,$B$40:$B$45,$C$40:$C$45)</f>
        <v>5</v>
      </c>
      <c r="E706" s="95">
        <f ca="1" t="shared" si="56"/>
        <v>684</v>
      </c>
      <c r="F706" s="95">
        <f ca="1" t="shared" si="57"/>
        <v>0</v>
      </c>
      <c r="G706" s="95">
        <f ca="1" t="shared" si="58"/>
        <v>0</v>
      </c>
      <c r="H706" s="95" cm="1">
        <f ca="1" t="array" ref="H706">MIN(30-SUM(I706:L706),_xlfn.XLOOKUP($D706&amp;"_"&amp;H$52,$B$14:$B$36&amp;"_"&amp;$C$14:$C$36,$D$14:$D$36)*$E706,18)</f>
        <v>16.9548</v>
      </c>
      <c r="I706" s="95" cm="1">
        <f ca="1" t="array" ref="I706">MIN(30-SUM(J706:L706),6-L706,_xlfn.XLOOKUP($D706&amp;"_"&amp;I$52,$B$14:$B$36&amp;"_"&amp;$C$14:$C$36,$D$14:$D$36)*$E706)</f>
        <v>2.409</v>
      </c>
      <c r="J706" s="95" cm="1">
        <f ca="1" t="array" ref="J706">MIN(8,_xlfn.XLOOKUP($D706&amp;"_"&amp;J$52,$B$14:$B$36&amp;"_"&amp;$C$14:$C$36,$D$14:$D$36)*$E706)</f>
        <v>5.13</v>
      </c>
      <c r="K706" s="95" cm="1">
        <f ca="1" t="array" ref="K706">MIN(18,_xlfn.XLOOKUP($D706&amp;"_"&amp;K$52,$B$14:$B$36&amp;"_"&amp;$C$14:$C$36,$D$14:$D$36)*$E706)</f>
        <v>1.9152</v>
      </c>
      <c r="L706" s="95" cm="1">
        <f ca="1" t="array" ref="L706">MIN(6,_xlfn.XLOOKUP($D706&amp;"_"&amp;L$52,$B$14:$B$36&amp;"_"&amp;$C$14:$C$36,$D$14:$D$36)*$E706)</f>
        <v>3.591</v>
      </c>
      <c r="M706" s="95" cm="1">
        <f ca="1" t="array" ref="M706">(1+SUMPRODUCT(G706:H706,OFFSET($H$40:$I$40,D706,0)))*(1+OFFSET($J$40,D706,0))^I706*(1+OFFSET($K$40,D706,0))^J706*(1+OFFSET($L$40,D706,0))^K706*(1+OFFSET($M$40,D706,0))^L706</f>
        <v>120.002108991545</v>
      </c>
      <c r="N706" s="95">
        <f ca="1">MAX(MAX($N$53:N705),OFFSET($C$52,MATCH(M706*1.07,$M$53:$M$2052,1),0)-C706)</f>
        <v>10080</v>
      </c>
    </row>
    <row r="707" spans="2:14">
      <c r="B707" s="95">
        <v>655</v>
      </c>
      <c r="C707" s="95">
        <f t="shared" si="55"/>
        <v>235800</v>
      </c>
      <c r="D707" s="95">
        <f ca="1">_xlfn.XLOOKUP(总览!$B$44,$B$40:$B$45,$C$40:$C$45)</f>
        <v>5</v>
      </c>
      <c r="E707" s="95">
        <f ca="1" t="shared" si="56"/>
        <v>685</v>
      </c>
      <c r="F707" s="95">
        <f ca="1" t="shared" si="57"/>
        <v>0</v>
      </c>
      <c r="G707" s="95">
        <f ca="1" t="shared" si="58"/>
        <v>0</v>
      </c>
      <c r="H707" s="95" cm="1">
        <f ca="1" t="array" ref="H707">MIN(30-SUM(I707:L707),_xlfn.XLOOKUP($D707&amp;"_"&amp;H$52,$B$14:$B$36&amp;"_"&amp;$C$14:$C$36,$D$14:$D$36)*$E707,18)</f>
        <v>16.9445</v>
      </c>
      <c r="I707" s="95" cm="1">
        <f ca="1" t="array" ref="I707">MIN(30-SUM(J707:L707),6-L707,_xlfn.XLOOKUP($D707&amp;"_"&amp;I$52,$B$14:$B$36&amp;"_"&amp;$C$14:$C$36,$D$14:$D$36)*$E707)</f>
        <v>2.40375</v>
      </c>
      <c r="J707" s="95" cm="1">
        <f ca="1" t="array" ref="J707">MIN(8,_xlfn.XLOOKUP($D707&amp;"_"&amp;J$52,$B$14:$B$36&amp;"_"&amp;$C$14:$C$36,$D$14:$D$36)*$E707)</f>
        <v>5.1375</v>
      </c>
      <c r="K707" s="95" cm="1">
        <f ca="1" t="array" ref="K707">MIN(18,_xlfn.XLOOKUP($D707&amp;"_"&amp;K$52,$B$14:$B$36&amp;"_"&amp;$C$14:$C$36,$D$14:$D$36)*$E707)</f>
        <v>1.918</v>
      </c>
      <c r="L707" s="95" cm="1">
        <f ca="1" t="array" ref="L707">MIN(6,_xlfn.XLOOKUP($D707&amp;"_"&amp;L$52,$B$14:$B$36&amp;"_"&amp;$C$14:$C$36,$D$14:$D$36)*$E707)</f>
        <v>3.59625</v>
      </c>
      <c r="M707" s="95" cm="1">
        <f ca="1" t="array" ref="M707">(1+SUMPRODUCT(G707:H707,OFFSET($H$40:$I$40,D707,0)))*(1+OFFSET($J$40,D707,0))^I707*(1+OFFSET($K$40,D707,0))^J707*(1+OFFSET($L$40,D707,0))^K707*(1+OFFSET($M$40,D707,0))^L707</f>
        <v>120.291608182772</v>
      </c>
      <c r="N707" s="95">
        <f ca="1">MAX(MAX($N$53:N706),OFFSET($C$52,MATCH(M707*1.07,$M$53:$M$2052,1),0)-C707)</f>
        <v>10080</v>
      </c>
    </row>
    <row r="708" spans="2:14">
      <c r="B708" s="95">
        <v>656</v>
      </c>
      <c r="C708" s="95">
        <f t="shared" si="55"/>
        <v>236160</v>
      </c>
      <c r="D708" s="95">
        <f ca="1">_xlfn.XLOOKUP(总览!$B$44,$B$40:$B$45,$C$40:$C$45)</f>
        <v>5</v>
      </c>
      <c r="E708" s="95">
        <f ca="1" t="shared" si="56"/>
        <v>686</v>
      </c>
      <c r="F708" s="95">
        <f ca="1" t="shared" si="57"/>
        <v>0</v>
      </c>
      <c r="G708" s="95">
        <f ca="1" t="shared" si="58"/>
        <v>0</v>
      </c>
      <c r="H708" s="95" cm="1">
        <f ca="1" t="array" ref="H708">MIN(30-SUM(I708:L708),_xlfn.XLOOKUP($D708&amp;"_"&amp;H$52,$B$14:$B$36&amp;"_"&amp;$C$14:$C$36,$D$14:$D$36)*$E708,18)</f>
        <v>16.9342</v>
      </c>
      <c r="I708" s="95" cm="1">
        <f ca="1" t="array" ref="I708">MIN(30-SUM(J708:L708),6-L708,_xlfn.XLOOKUP($D708&amp;"_"&amp;I$52,$B$14:$B$36&amp;"_"&amp;$C$14:$C$36,$D$14:$D$36)*$E708)</f>
        <v>2.3985</v>
      </c>
      <c r="J708" s="95" cm="1">
        <f ca="1" t="array" ref="J708">MIN(8,_xlfn.XLOOKUP($D708&amp;"_"&amp;J$52,$B$14:$B$36&amp;"_"&amp;$C$14:$C$36,$D$14:$D$36)*$E708)</f>
        <v>5.145</v>
      </c>
      <c r="K708" s="95" cm="1">
        <f ca="1" t="array" ref="K708">MIN(18,_xlfn.XLOOKUP($D708&amp;"_"&amp;K$52,$B$14:$B$36&amp;"_"&amp;$C$14:$C$36,$D$14:$D$36)*$E708)</f>
        <v>1.9208</v>
      </c>
      <c r="L708" s="95" cm="1">
        <f ca="1" t="array" ref="L708">MIN(6,_xlfn.XLOOKUP($D708&amp;"_"&amp;L$52,$B$14:$B$36&amp;"_"&amp;$C$14:$C$36,$D$14:$D$36)*$E708)</f>
        <v>3.6015</v>
      </c>
      <c r="M708" s="95" cm="1">
        <f ca="1" t="array" ref="M708">(1+SUMPRODUCT(G708:H708,OFFSET($H$40:$I$40,D708,0)))*(1+OFFSET($J$40,D708,0))^I708*(1+OFFSET($K$40,D708,0))^J708*(1+OFFSET($L$40,D708,0))^K708*(1+OFFSET($M$40,D708,0))^L708</f>
        <v>120.581779211877</v>
      </c>
      <c r="N708" s="95">
        <f ca="1">MAX(MAX($N$53:N707),OFFSET($C$52,MATCH(M708*1.07,$M$53:$M$2052,1),0)-C708)</f>
        <v>10080</v>
      </c>
    </row>
    <row r="709" spans="2:14">
      <c r="B709" s="95">
        <v>657</v>
      </c>
      <c r="C709" s="95">
        <f t="shared" si="55"/>
        <v>236520</v>
      </c>
      <c r="D709" s="95">
        <f ca="1">_xlfn.XLOOKUP(总览!$B$44,$B$40:$B$45,$C$40:$C$45)</f>
        <v>5</v>
      </c>
      <c r="E709" s="95">
        <f ca="1" t="shared" si="56"/>
        <v>687</v>
      </c>
      <c r="F709" s="95">
        <f ca="1" t="shared" si="57"/>
        <v>0</v>
      </c>
      <c r="G709" s="95">
        <f ca="1" t="shared" si="58"/>
        <v>0</v>
      </c>
      <c r="H709" s="95" cm="1">
        <f ca="1" t="array" ref="H709">MIN(30-SUM(I709:L709),_xlfn.XLOOKUP($D709&amp;"_"&amp;H$52,$B$14:$B$36&amp;"_"&amp;$C$14:$C$36,$D$14:$D$36)*$E709,18)</f>
        <v>16.9239</v>
      </c>
      <c r="I709" s="95" cm="1">
        <f ca="1" t="array" ref="I709">MIN(30-SUM(J709:L709),6-L709,_xlfn.XLOOKUP($D709&amp;"_"&amp;I$52,$B$14:$B$36&amp;"_"&amp;$C$14:$C$36,$D$14:$D$36)*$E709)</f>
        <v>2.39325</v>
      </c>
      <c r="J709" s="95" cm="1">
        <f ca="1" t="array" ref="J709">MIN(8,_xlfn.XLOOKUP($D709&amp;"_"&amp;J$52,$B$14:$B$36&amp;"_"&amp;$C$14:$C$36,$D$14:$D$36)*$E709)</f>
        <v>5.1525</v>
      </c>
      <c r="K709" s="95" cm="1">
        <f ca="1" t="array" ref="K709">MIN(18,_xlfn.XLOOKUP($D709&amp;"_"&amp;K$52,$B$14:$B$36&amp;"_"&amp;$C$14:$C$36,$D$14:$D$36)*$E709)</f>
        <v>1.9236</v>
      </c>
      <c r="L709" s="95" cm="1">
        <f ca="1" t="array" ref="L709">MIN(6,_xlfn.XLOOKUP($D709&amp;"_"&amp;L$52,$B$14:$B$36&amp;"_"&amp;$C$14:$C$36,$D$14:$D$36)*$E709)</f>
        <v>3.60675</v>
      </c>
      <c r="M709" s="95" cm="1">
        <f ca="1" t="array" ref="M709">(1+SUMPRODUCT(G709:H709,OFFSET($H$40:$I$40,D709,0)))*(1+OFFSET($J$40,D709,0))^I709*(1+OFFSET($K$40,D709,0))^J709*(1+OFFSET($L$40,D709,0))^K709*(1+OFFSET($M$40,D709,0))^L709</f>
        <v>120.872623546465</v>
      </c>
      <c r="N709" s="95">
        <f ca="1">MAX(MAX($N$53:N708),OFFSET($C$52,MATCH(M709*1.07,$M$53:$M$2052,1),0)-C709)</f>
        <v>10080</v>
      </c>
    </row>
    <row r="710" spans="2:14">
      <c r="B710" s="95">
        <v>658</v>
      </c>
      <c r="C710" s="95">
        <f t="shared" si="55"/>
        <v>236880</v>
      </c>
      <c r="D710" s="95">
        <f ca="1">_xlfn.XLOOKUP(总览!$B$44,$B$40:$B$45,$C$40:$C$45)</f>
        <v>5</v>
      </c>
      <c r="E710" s="95">
        <f ca="1" t="shared" si="56"/>
        <v>688</v>
      </c>
      <c r="F710" s="95">
        <f ca="1" t="shared" si="57"/>
        <v>0</v>
      </c>
      <c r="G710" s="95">
        <f ca="1" t="shared" si="58"/>
        <v>0</v>
      </c>
      <c r="H710" s="95" cm="1">
        <f ca="1" t="array" ref="H710">MIN(30-SUM(I710:L710),_xlfn.XLOOKUP($D710&amp;"_"&amp;H$52,$B$14:$B$36&amp;"_"&amp;$C$14:$C$36,$D$14:$D$36)*$E710,18)</f>
        <v>16.9136</v>
      </c>
      <c r="I710" s="95" cm="1">
        <f ca="1" t="array" ref="I710">MIN(30-SUM(J710:L710),6-L710,_xlfn.XLOOKUP($D710&amp;"_"&amp;I$52,$B$14:$B$36&amp;"_"&amp;$C$14:$C$36,$D$14:$D$36)*$E710)</f>
        <v>2.388</v>
      </c>
      <c r="J710" s="95" cm="1">
        <f ca="1" t="array" ref="J710">MIN(8,_xlfn.XLOOKUP($D710&amp;"_"&amp;J$52,$B$14:$B$36&amp;"_"&amp;$C$14:$C$36,$D$14:$D$36)*$E710)</f>
        <v>5.16</v>
      </c>
      <c r="K710" s="95" cm="1">
        <f ca="1" t="array" ref="K710">MIN(18,_xlfn.XLOOKUP($D710&amp;"_"&amp;K$52,$B$14:$B$36&amp;"_"&amp;$C$14:$C$36,$D$14:$D$36)*$E710)</f>
        <v>1.9264</v>
      </c>
      <c r="L710" s="95" cm="1">
        <f ca="1" t="array" ref="L710">MIN(6,_xlfn.XLOOKUP($D710&amp;"_"&amp;L$52,$B$14:$B$36&amp;"_"&amp;$C$14:$C$36,$D$14:$D$36)*$E710)</f>
        <v>3.612</v>
      </c>
      <c r="M710" s="95" cm="1">
        <f ca="1" t="array" ref="M710">(1+SUMPRODUCT(G710:H710,OFFSET($H$40:$I$40,D710,0)))*(1+OFFSET($J$40,D710,0))^I710*(1+OFFSET($K$40,D710,0))^J710*(1+OFFSET($L$40,D710,0))^K710*(1+OFFSET($M$40,D710,0))^L710</f>
        <v>121.164142657021</v>
      </c>
      <c r="N710" s="95">
        <f ca="1">MAX(MAX($N$53:N709),OFFSET($C$52,MATCH(M710*1.07,$M$53:$M$2052,1),0)-C710)</f>
        <v>10080</v>
      </c>
    </row>
    <row r="711" spans="2:14">
      <c r="B711" s="95">
        <v>659</v>
      </c>
      <c r="C711" s="95">
        <f t="shared" si="55"/>
        <v>237240</v>
      </c>
      <c r="D711" s="95">
        <f ca="1">_xlfn.XLOOKUP(总览!$B$44,$B$40:$B$45,$C$40:$C$45)</f>
        <v>5</v>
      </c>
      <c r="E711" s="95">
        <f ca="1" t="shared" si="56"/>
        <v>689</v>
      </c>
      <c r="F711" s="95">
        <f ca="1" t="shared" si="57"/>
        <v>0</v>
      </c>
      <c r="G711" s="95">
        <f ca="1" t="shared" si="58"/>
        <v>0</v>
      </c>
      <c r="H711" s="95" cm="1">
        <f ca="1" t="array" ref="H711">MIN(30-SUM(I711:L711),_xlfn.XLOOKUP($D711&amp;"_"&amp;H$52,$B$14:$B$36&amp;"_"&amp;$C$14:$C$36,$D$14:$D$36)*$E711,18)</f>
        <v>16.9033</v>
      </c>
      <c r="I711" s="95" cm="1">
        <f ca="1" t="array" ref="I711">MIN(30-SUM(J711:L711),6-L711,_xlfn.XLOOKUP($D711&amp;"_"&amp;I$52,$B$14:$B$36&amp;"_"&amp;$C$14:$C$36,$D$14:$D$36)*$E711)</f>
        <v>2.38275</v>
      </c>
      <c r="J711" s="95" cm="1">
        <f ca="1" t="array" ref="J711">MIN(8,_xlfn.XLOOKUP($D711&amp;"_"&amp;J$52,$B$14:$B$36&amp;"_"&amp;$C$14:$C$36,$D$14:$D$36)*$E711)</f>
        <v>5.1675</v>
      </c>
      <c r="K711" s="95" cm="1">
        <f ca="1" t="array" ref="K711">MIN(18,_xlfn.XLOOKUP($D711&amp;"_"&amp;K$52,$B$14:$B$36&amp;"_"&amp;$C$14:$C$36,$D$14:$D$36)*$E711)</f>
        <v>1.9292</v>
      </c>
      <c r="L711" s="95" cm="1">
        <f ca="1" t="array" ref="L711">MIN(6,_xlfn.XLOOKUP($D711&amp;"_"&amp;L$52,$B$14:$B$36&amp;"_"&amp;$C$14:$C$36,$D$14:$D$36)*$E711)</f>
        <v>3.61725</v>
      </c>
      <c r="M711" s="95" cm="1">
        <f ca="1" t="array" ref="M711">(1+SUMPRODUCT(G711:H711,OFFSET($H$40:$I$40,D711,0)))*(1+OFFSET($J$40,D711,0))^I711*(1+OFFSET($K$40,D711,0))^J711*(1+OFFSET($L$40,D711,0))^K711*(1+OFFSET($M$40,D711,0))^L711</f>
        <v>121.456338016913</v>
      </c>
      <c r="N711" s="95">
        <f ca="1">MAX(MAX($N$53:N710),OFFSET($C$52,MATCH(M711*1.07,$M$53:$M$2052,1),0)-C711)</f>
        <v>10080</v>
      </c>
    </row>
    <row r="712" spans="2:14">
      <c r="B712" s="95">
        <v>660</v>
      </c>
      <c r="C712" s="95">
        <f t="shared" si="55"/>
        <v>237600</v>
      </c>
      <c r="D712" s="95">
        <f ca="1">_xlfn.XLOOKUP(总览!$B$44,$B$40:$B$45,$C$40:$C$45)</f>
        <v>5</v>
      </c>
      <c r="E712" s="95">
        <f ca="1" t="shared" si="56"/>
        <v>690</v>
      </c>
      <c r="F712" s="95">
        <f ca="1" t="shared" si="57"/>
        <v>0</v>
      </c>
      <c r="G712" s="95">
        <f ca="1" t="shared" si="58"/>
        <v>0</v>
      </c>
      <c r="H712" s="95" cm="1">
        <f ca="1" t="array" ref="H712">MIN(30-SUM(I712:L712),_xlfn.XLOOKUP($D712&amp;"_"&amp;H$52,$B$14:$B$36&amp;"_"&amp;$C$14:$C$36,$D$14:$D$36)*$E712,18)</f>
        <v>16.893</v>
      </c>
      <c r="I712" s="95" cm="1">
        <f ca="1" t="array" ref="I712">MIN(30-SUM(J712:L712),6-L712,_xlfn.XLOOKUP($D712&amp;"_"&amp;I$52,$B$14:$B$36&amp;"_"&amp;$C$14:$C$36,$D$14:$D$36)*$E712)</f>
        <v>2.3775</v>
      </c>
      <c r="J712" s="95" cm="1">
        <f ca="1" t="array" ref="J712">MIN(8,_xlfn.XLOOKUP($D712&amp;"_"&amp;J$52,$B$14:$B$36&amp;"_"&amp;$C$14:$C$36,$D$14:$D$36)*$E712)</f>
        <v>5.175</v>
      </c>
      <c r="K712" s="95" cm="1">
        <f ca="1" t="array" ref="K712">MIN(18,_xlfn.XLOOKUP($D712&amp;"_"&amp;K$52,$B$14:$B$36&amp;"_"&amp;$C$14:$C$36,$D$14:$D$36)*$E712)</f>
        <v>1.932</v>
      </c>
      <c r="L712" s="95" cm="1">
        <f ca="1" t="array" ref="L712">MIN(6,_xlfn.XLOOKUP($D712&amp;"_"&amp;L$52,$B$14:$B$36&amp;"_"&amp;$C$14:$C$36,$D$14:$D$36)*$E712)</f>
        <v>3.6225</v>
      </c>
      <c r="M712" s="95" cm="1">
        <f ca="1" t="array" ref="M712">(1+SUMPRODUCT(G712:H712,OFFSET($H$40:$I$40,D712,0)))*(1+OFFSET($J$40,D712,0))^I712*(1+OFFSET($K$40,D712,0))^J712*(1+OFFSET($L$40,D712,0))^K712*(1+OFFSET($M$40,D712,0))^L712</f>
        <v>121.749211102395</v>
      </c>
      <c r="N712" s="95">
        <f ca="1">MAX(MAX($N$53:N711),OFFSET($C$52,MATCH(M712*1.07,$M$53:$M$2052,1),0)-C712)</f>
        <v>10080</v>
      </c>
    </row>
    <row r="713" spans="2:14">
      <c r="B713" s="95">
        <v>661</v>
      </c>
      <c r="C713" s="95">
        <f t="shared" si="55"/>
        <v>237960</v>
      </c>
      <c r="D713" s="95">
        <f ca="1">_xlfn.XLOOKUP(总览!$B$44,$B$40:$B$45,$C$40:$C$45)</f>
        <v>5</v>
      </c>
      <c r="E713" s="95">
        <f ca="1" t="shared" si="56"/>
        <v>691</v>
      </c>
      <c r="F713" s="95">
        <f ca="1" t="shared" si="57"/>
        <v>0</v>
      </c>
      <c r="G713" s="95">
        <f ca="1" t="shared" si="58"/>
        <v>0</v>
      </c>
      <c r="H713" s="95" cm="1">
        <f ca="1" t="array" ref="H713">MIN(30-SUM(I713:L713),_xlfn.XLOOKUP($D713&amp;"_"&amp;H$52,$B$14:$B$36&amp;"_"&amp;$C$14:$C$36,$D$14:$D$36)*$E713,18)</f>
        <v>16.8827</v>
      </c>
      <c r="I713" s="95" cm="1">
        <f ca="1" t="array" ref="I713">MIN(30-SUM(J713:L713),6-L713,_xlfn.XLOOKUP($D713&amp;"_"&amp;I$52,$B$14:$B$36&amp;"_"&amp;$C$14:$C$36,$D$14:$D$36)*$E713)</f>
        <v>2.37225</v>
      </c>
      <c r="J713" s="95" cm="1">
        <f ca="1" t="array" ref="J713">MIN(8,_xlfn.XLOOKUP($D713&amp;"_"&amp;J$52,$B$14:$B$36&amp;"_"&amp;$C$14:$C$36,$D$14:$D$36)*$E713)</f>
        <v>5.1825</v>
      </c>
      <c r="K713" s="95" cm="1">
        <f ca="1" t="array" ref="K713">MIN(18,_xlfn.XLOOKUP($D713&amp;"_"&amp;K$52,$B$14:$B$36&amp;"_"&amp;$C$14:$C$36,$D$14:$D$36)*$E713)</f>
        <v>1.9348</v>
      </c>
      <c r="L713" s="95" cm="1">
        <f ca="1" t="array" ref="L713">MIN(6,_xlfn.XLOOKUP($D713&amp;"_"&amp;L$52,$B$14:$B$36&amp;"_"&amp;$C$14:$C$36,$D$14:$D$36)*$E713)</f>
        <v>3.62775</v>
      </c>
      <c r="M713" s="95" cm="1">
        <f ca="1" t="array" ref="M713">(1+SUMPRODUCT(G713:H713,OFFSET($H$40:$I$40,D713,0)))*(1+OFFSET($J$40,D713,0))^I713*(1+OFFSET($K$40,D713,0))^J713*(1+OFFSET($L$40,D713,0))^K713*(1+OFFSET($M$40,D713,0))^L713</f>
        <v>122.042763392612</v>
      </c>
      <c r="N713" s="95">
        <f ca="1">MAX(MAX($N$53:N712),OFFSET($C$52,MATCH(M713*1.07,$M$53:$M$2052,1),0)-C713)</f>
        <v>10080</v>
      </c>
    </row>
    <row r="714" spans="2:14">
      <c r="B714" s="95">
        <v>662</v>
      </c>
      <c r="C714" s="95">
        <f t="shared" si="55"/>
        <v>238320</v>
      </c>
      <c r="D714" s="95">
        <f ca="1">_xlfn.XLOOKUP(总览!$B$44,$B$40:$B$45,$C$40:$C$45)</f>
        <v>5</v>
      </c>
      <c r="E714" s="95">
        <f ca="1" t="shared" si="56"/>
        <v>692</v>
      </c>
      <c r="F714" s="95">
        <f ca="1" t="shared" si="57"/>
        <v>0</v>
      </c>
      <c r="G714" s="95">
        <f ca="1" t="shared" si="58"/>
        <v>0</v>
      </c>
      <c r="H714" s="95" cm="1">
        <f ca="1" t="array" ref="H714">MIN(30-SUM(I714:L714),_xlfn.XLOOKUP($D714&amp;"_"&amp;H$52,$B$14:$B$36&amp;"_"&amp;$C$14:$C$36,$D$14:$D$36)*$E714,18)</f>
        <v>16.8724</v>
      </c>
      <c r="I714" s="95" cm="1">
        <f ca="1" t="array" ref="I714">MIN(30-SUM(J714:L714),6-L714,_xlfn.XLOOKUP($D714&amp;"_"&amp;I$52,$B$14:$B$36&amp;"_"&amp;$C$14:$C$36,$D$14:$D$36)*$E714)</f>
        <v>2.367</v>
      </c>
      <c r="J714" s="95" cm="1">
        <f ca="1" t="array" ref="J714">MIN(8,_xlfn.XLOOKUP($D714&amp;"_"&amp;J$52,$B$14:$B$36&amp;"_"&amp;$C$14:$C$36,$D$14:$D$36)*$E714)</f>
        <v>5.19</v>
      </c>
      <c r="K714" s="95" cm="1">
        <f ca="1" t="array" ref="K714">MIN(18,_xlfn.XLOOKUP($D714&amp;"_"&amp;K$52,$B$14:$B$36&amp;"_"&amp;$C$14:$C$36,$D$14:$D$36)*$E714)</f>
        <v>1.9376</v>
      </c>
      <c r="L714" s="95" cm="1">
        <f ca="1" t="array" ref="L714">MIN(6,_xlfn.XLOOKUP($D714&amp;"_"&amp;L$52,$B$14:$B$36&amp;"_"&amp;$C$14:$C$36,$D$14:$D$36)*$E714)</f>
        <v>3.633</v>
      </c>
      <c r="M714" s="95" cm="1">
        <f ca="1" t="array" ref="M714">(1+SUMPRODUCT(G714:H714,OFFSET($H$40:$I$40,D714,0)))*(1+OFFSET($J$40,D714,0))^I714*(1+OFFSET($K$40,D714,0))^J714*(1+OFFSET($L$40,D714,0))^K714*(1+OFFSET($M$40,D714,0))^L714</f>
        <v>122.336996369606</v>
      </c>
      <c r="N714" s="95">
        <f ca="1">MAX(MAX($N$53:N713),OFFSET($C$52,MATCH(M714*1.07,$M$53:$M$2052,1),0)-C714)</f>
        <v>10080</v>
      </c>
    </row>
    <row r="715" spans="2:14">
      <c r="B715" s="95">
        <v>663</v>
      </c>
      <c r="C715" s="95">
        <f t="shared" si="55"/>
        <v>238680</v>
      </c>
      <c r="D715" s="95">
        <f ca="1">_xlfn.XLOOKUP(总览!$B$44,$B$40:$B$45,$C$40:$C$45)</f>
        <v>5</v>
      </c>
      <c r="E715" s="95">
        <f ca="1" t="shared" si="56"/>
        <v>693</v>
      </c>
      <c r="F715" s="95">
        <f ca="1" t="shared" si="57"/>
        <v>0</v>
      </c>
      <c r="G715" s="95">
        <f ca="1" t="shared" si="58"/>
        <v>0</v>
      </c>
      <c r="H715" s="95" cm="1">
        <f ca="1" t="array" ref="H715">MIN(30-SUM(I715:L715),_xlfn.XLOOKUP($D715&amp;"_"&amp;H$52,$B$14:$B$36&amp;"_"&amp;$C$14:$C$36,$D$14:$D$36)*$E715,18)</f>
        <v>16.8621</v>
      </c>
      <c r="I715" s="95" cm="1">
        <f ca="1" t="array" ref="I715">MIN(30-SUM(J715:L715),6-L715,_xlfn.XLOOKUP($D715&amp;"_"&amp;I$52,$B$14:$B$36&amp;"_"&amp;$C$14:$C$36,$D$14:$D$36)*$E715)</f>
        <v>2.36175</v>
      </c>
      <c r="J715" s="95" cm="1">
        <f ca="1" t="array" ref="J715">MIN(8,_xlfn.XLOOKUP($D715&amp;"_"&amp;J$52,$B$14:$B$36&amp;"_"&amp;$C$14:$C$36,$D$14:$D$36)*$E715)</f>
        <v>5.1975</v>
      </c>
      <c r="K715" s="95" cm="1">
        <f ca="1" t="array" ref="K715">MIN(18,_xlfn.XLOOKUP($D715&amp;"_"&amp;K$52,$B$14:$B$36&amp;"_"&amp;$C$14:$C$36,$D$14:$D$36)*$E715)</f>
        <v>1.9404</v>
      </c>
      <c r="L715" s="95" cm="1">
        <f ca="1" t="array" ref="L715">MIN(6,_xlfn.XLOOKUP($D715&amp;"_"&amp;L$52,$B$14:$B$36&amp;"_"&amp;$C$14:$C$36,$D$14:$D$36)*$E715)</f>
        <v>3.63825</v>
      </c>
      <c r="M715" s="95" cm="1">
        <f ca="1" t="array" ref="M715">(1+SUMPRODUCT(G715:H715,OFFSET($H$40:$I$40,D715,0)))*(1+OFFSET($J$40,D715,0))^I715*(1+OFFSET($K$40,D715,0))^J715*(1+OFFSET($L$40,D715,0))^K715*(1+OFFSET($M$40,D715,0))^L715</f>
        <v>122.631911518318</v>
      </c>
      <c r="N715" s="95">
        <f ca="1">MAX(MAX($N$53:N714),OFFSET($C$52,MATCH(M715*1.07,$M$53:$M$2052,1),0)-C715)</f>
        <v>10080</v>
      </c>
    </row>
    <row r="716" spans="2:14">
      <c r="B716" s="95">
        <v>664</v>
      </c>
      <c r="C716" s="95">
        <f t="shared" si="55"/>
        <v>239040</v>
      </c>
      <c r="D716" s="95">
        <f ca="1">_xlfn.XLOOKUP(总览!$B$44,$B$40:$B$45,$C$40:$C$45)</f>
        <v>5</v>
      </c>
      <c r="E716" s="95">
        <f ca="1" t="shared" si="56"/>
        <v>694</v>
      </c>
      <c r="F716" s="95">
        <f ca="1" t="shared" si="57"/>
        <v>0</v>
      </c>
      <c r="G716" s="95">
        <f ca="1" t="shared" si="58"/>
        <v>0</v>
      </c>
      <c r="H716" s="95" cm="1">
        <f ca="1" t="array" ref="H716">MIN(30-SUM(I716:L716),_xlfn.XLOOKUP($D716&amp;"_"&amp;H$52,$B$14:$B$36&amp;"_"&amp;$C$14:$C$36,$D$14:$D$36)*$E716,18)</f>
        <v>16.8518</v>
      </c>
      <c r="I716" s="95" cm="1">
        <f ca="1" t="array" ref="I716">MIN(30-SUM(J716:L716),6-L716,_xlfn.XLOOKUP($D716&amp;"_"&amp;I$52,$B$14:$B$36&amp;"_"&amp;$C$14:$C$36,$D$14:$D$36)*$E716)</f>
        <v>2.3565</v>
      </c>
      <c r="J716" s="95" cm="1">
        <f ca="1" t="array" ref="J716">MIN(8,_xlfn.XLOOKUP($D716&amp;"_"&amp;J$52,$B$14:$B$36&amp;"_"&amp;$C$14:$C$36,$D$14:$D$36)*$E716)</f>
        <v>5.205</v>
      </c>
      <c r="K716" s="95" cm="1">
        <f ca="1" t="array" ref="K716">MIN(18,_xlfn.XLOOKUP($D716&amp;"_"&amp;K$52,$B$14:$B$36&amp;"_"&amp;$C$14:$C$36,$D$14:$D$36)*$E716)</f>
        <v>1.9432</v>
      </c>
      <c r="L716" s="95" cm="1">
        <f ca="1" t="array" ref="L716">MIN(6,_xlfn.XLOOKUP($D716&amp;"_"&amp;L$52,$B$14:$B$36&amp;"_"&amp;$C$14:$C$36,$D$14:$D$36)*$E716)</f>
        <v>3.6435</v>
      </c>
      <c r="M716" s="95" cm="1">
        <f ca="1" t="array" ref="M716">(1+SUMPRODUCT(G716:H716,OFFSET($H$40:$I$40,D716,0)))*(1+OFFSET($J$40,D716,0))^I716*(1+OFFSET($K$40,D716,0))^J716*(1+OFFSET($L$40,D716,0))^K716*(1+OFFSET($M$40,D716,0))^L716</f>
        <v>122.927510326594</v>
      </c>
      <c r="N716" s="95">
        <f ca="1">MAX(MAX($N$53:N715),OFFSET($C$52,MATCH(M716*1.07,$M$53:$M$2052,1),0)-C716)</f>
        <v>10080</v>
      </c>
    </row>
    <row r="717" spans="2:14">
      <c r="B717" s="95">
        <v>665</v>
      </c>
      <c r="C717" s="95">
        <f t="shared" si="55"/>
        <v>239400</v>
      </c>
      <c r="D717" s="95">
        <f ca="1">_xlfn.XLOOKUP(总览!$B$44,$B$40:$B$45,$C$40:$C$45)</f>
        <v>5</v>
      </c>
      <c r="E717" s="95">
        <f ca="1" t="shared" si="56"/>
        <v>695</v>
      </c>
      <c r="F717" s="95">
        <f ca="1" t="shared" si="57"/>
        <v>0</v>
      </c>
      <c r="G717" s="95">
        <f ca="1" t="shared" si="58"/>
        <v>0</v>
      </c>
      <c r="H717" s="95" cm="1">
        <f ca="1" t="array" ref="H717">MIN(30-SUM(I717:L717),_xlfn.XLOOKUP($D717&amp;"_"&amp;H$52,$B$14:$B$36&amp;"_"&amp;$C$14:$C$36,$D$14:$D$36)*$E717,18)</f>
        <v>16.8415</v>
      </c>
      <c r="I717" s="95" cm="1">
        <f ca="1" t="array" ref="I717">MIN(30-SUM(J717:L717),6-L717,_xlfn.XLOOKUP($D717&amp;"_"&amp;I$52,$B$14:$B$36&amp;"_"&amp;$C$14:$C$36,$D$14:$D$36)*$E717)</f>
        <v>2.35125</v>
      </c>
      <c r="J717" s="95" cm="1">
        <f ca="1" t="array" ref="J717">MIN(8,_xlfn.XLOOKUP($D717&amp;"_"&amp;J$52,$B$14:$B$36&amp;"_"&amp;$C$14:$C$36,$D$14:$D$36)*$E717)</f>
        <v>5.2125</v>
      </c>
      <c r="K717" s="95" cm="1">
        <f ca="1" t="array" ref="K717">MIN(18,_xlfn.XLOOKUP($D717&amp;"_"&amp;K$52,$B$14:$B$36&amp;"_"&amp;$C$14:$C$36,$D$14:$D$36)*$E717)</f>
        <v>1.946</v>
      </c>
      <c r="L717" s="95" cm="1">
        <f ca="1" t="array" ref="L717">MIN(6,_xlfn.XLOOKUP($D717&amp;"_"&amp;L$52,$B$14:$B$36&amp;"_"&amp;$C$14:$C$36,$D$14:$D$36)*$E717)</f>
        <v>3.64875</v>
      </c>
      <c r="M717" s="95" cm="1">
        <f ca="1" t="array" ref="M717">(1+SUMPRODUCT(G717:H717,OFFSET($H$40:$I$40,D717,0)))*(1+OFFSET($J$40,D717,0))^I717*(1+OFFSET($K$40,D717,0))^J717*(1+OFFSET($L$40,D717,0))^K717*(1+OFFSET($M$40,D717,0))^L717</f>
        <v>123.22379428519</v>
      </c>
      <c r="N717" s="95">
        <f ca="1">MAX(MAX($N$53:N716),OFFSET($C$52,MATCH(M717*1.07,$M$53:$M$2052,1),0)-C717)</f>
        <v>10080</v>
      </c>
    </row>
    <row r="718" spans="2:14">
      <c r="B718" s="95">
        <v>666</v>
      </c>
      <c r="C718" s="95">
        <f t="shared" ref="C718:C749" si="59">C717+360</f>
        <v>239760</v>
      </c>
      <c r="D718" s="95">
        <f ca="1">_xlfn.XLOOKUP(总览!$B$44,$B$40:$B$45,$C$40:$C$45)</f>
        <v>5</v>
      </c>
      <c r="E718" s="95">
        <f ca="1" t="shared" si="56"/>
        <v>696</v>
      </c>
      <c r="F718" s="95">
        <f ca="1" t="shared" si="57"/>
        <v>0</v>
      </c>
      <c r="G718" s="95">
        <f ca="1" t="shared" si="58"/>
        <v>0</v>
      </c>
      <c r="H718" s="95" cm="1">
        <f ca="1" t="array" ref="H718">MIN(30-SUM(I718:L718),_xlfn.XLOOKUP($D718&amp;"_"&amp;H$52,$B$14:$B$36&amp;"_"&amp;$C$14:$C$36,$D$14:$D$36)*$E718,18)</f>
        <v>16.8312</v>
      </c>
      <c r="I718" s="95" cm="1">
        <f ca="1" t="array" ref="I718">MIN(30-SUM(J718:L718),6-L718,_xlfn.XLOOKUP($D718&amp;"_"&amp;I$52,$B$14:$B$36&amp;"_"&amp;$C$14:$C$36,$D$14:$D$36)*$E718)</f>
        <v>2.346</v>
      </c>
      <c r="J718" s="95" cm="1">
        <f ca="1" t="array" ref="J718">MIN(8,_xlfn.XLOOKUP($D718&amp;"_"&amp;J$52,$B$14:$B$36&amp;"_"&amp;$C$14:$C$36,$D$14:$D$36)*$E718)</f>
        <v>5.22</v>
      </c>
      <c r="K718" s="95" cm="1">
        <f ca="1" t="array" ref="K718">MIN(18,_xlfn.XLOOKUP($D718&amp;"_"&amp;K$52,$B$14:$B$36&amp;"_"&amp;$C$14:$C$36,$D$14:$D$36)*$E718)</f>
        <v>1.9488</v>
      </c>
      <c r="L718" s="95" cm="1">
        <f ca="1" t="array" ref="L718">MIN(6,_xlfn.XLOOKUP($D718&amp;"_"&amp;L$52,$B$14:$B$36&amp;"_"&amp;$C$14:$C$36,$D$14:$D$36)*$E718)</f>
        <v>3.654</v>
      </c>
      <c r="M718" s="95" cm="1">
        <f ca="1" t="array" ref="M718">(1+SUMPRODUCT(G718:H718,OFFSET($H$40:$I$40,D718,0)))*(1+OFFSET($J$40,D718,0))^I718*(1+OFFSET($K$40,D718,0))^J718*(1+OFFSET($L$40,D718,0))^K718*(1+OFFSET($M$40,D718,0))^L718</f>
        <v>123.520764887773</v>
      </c>
      <c r="N718" s="95">
        <f ca="1">MAX(MAX($N$53:N717),OFFSET($C$52,MATCH(M718*1.07,$M$53:$M$2052,1),0)-C718)</f>
        <v>10080</v>
      </c>
    </row>
    <row r="719" spans="2:14">
      <c r="B719" s="95">
        <v>667</v>
      </c>
      <c r="C719" s="95">
        <f t="shared" si="59"/>
        <v>240120</v>
      </c>
      <c r="D719" s="95">
        <f ca="1">_xlfn.XLOOKUP(总览!$B$44,$B$40:$B$45,$C$40:$C$45)</f>
        <v>5</v>
      </c>
      <c r="E719" s="95">
        <f ca="1" t="shared" si="56"/>
        <v>697</v>
      </c>
      <c r="F719" s="95">
        <f ca="1" t="shared" si="57"/>
        <v>0</v>
      </c>
      <c r="G719" s="95">
        <f ca="1" t="shared" si="58"/>
        <v>0</v>
      </c>
      <c r="H719" s="95" cm="1">
        <f ca="1" t="array" ref="H719">MIN(30-SUM(I719:L719),_xlfn.XLOOKUP($D719&amp;"_"&amp;H$52,$B$14:$B$36&amp;"_"&amp;$C$14:$C$36,$D$14:$D$36)*$E719,18)</f>
        <v>16.8209</v>
      </c>
      <c r="I719" s="95" cm="1">
        <f ca="1" t="array" ref="I719">MIN(30-SUM(J719:L719),6-L719,_xlfn.XLOOKUP($D719&amp;"_"&amp;I$52,$B$14:$B$36&amp;"_"&amp;$C$14:$C$36,$D$14:$D$36)*$E719)</f>
        <v>2.34075</v>
      </c>
      <c r="J719" s="95" cm="1">
        <f ca="1" t="array" ref="J719">MIN(8,_xlfn.XLOOKUP($D719&amp;"_"&amp;J$52,$B$14:$B$36&amp;"_"&amp;$C$14:$C$36,$D$14:$D$36)*$E719)</f>
        <v>5.2275</v>
      </c>
      <c r="K719" s="95" cm="1">
        <f ca="1" t="array" ref="K719">MIN(18,_xlfn.XLOOKUP($D719&amp;"_"&amp;K$52,$B$14:$B$36&amp;"_"&amp;$C$14:$C$36,$D$14:$D$36)*$E719)</f>
        <v>1.9516</v>
      </c>
      <c r="L719" s="95" cm="1">
        <f ca="1" t="array" ref="L719">MIN(6,_xlfn.XLOOKUP($D719&amp;"_"&amp;L$52,$B$14:$B$36&amp;"_"&amp;$C$14:$C$36,$D$14:$D$36)*$E719)</f>
        <v>3.65925</v>
      </c>
      <c r="M719" s="95" cm="1">
        <f ca="1" t="array" ref="M719">(1+SUMPRODUCT(G719:H719,OFFSET($H$40:$I$40,D719,0)))*(1+OFFSET($J$40,D719,0))^I719*(1+OFFSET($K$40,D719,0))^J719*(1+OFFSET($L$40,D719,0))^K719*(1+OFFSET($M$40,D719,0))^L719</f>
        <v>123.81842363093</v>
      </c>
      <c r="N719" s="95">
        <f ca="1">MAX(MAX($N$53:N718),OFFSET($C$52,MATCH(M719*1.07,$M$53:$M$2052,1),0)-C719)</f>
        <v>10080</v>
      </c>
    </row>
    <row r="720" spans="2:14">
      <c r="B720" s="95">
        <v>668</v>
      </c>
      <c r="C720" s="95">
        <f t="shared" si="59"/>
        <v>240480</v>
      </c>
      <c r="D720" s="95">
        <f ca="1">_xlfn.XLOOKUP(总览!$B$44,$B$40:$B$45,$C$40:$C$45)</f>
        <v>5</v>
      </c>
      <c r="E720" s="95">
        <f ca="1" t="shared" si="56"/>
        <v>698</v>
      </c>
      <c r="F720" s="95">
        <f ca="1" t="shared" si="57"/>
        <v>0</v>
      </c>
      <c r="G720" s="95">
        <f ca="1" t="shared" si="58"/>
        <v>0</v>
      </c>
      <c r="H720" s="95" cm="1">
        <f ca="1" t="array" ref="H720">MIN(30-SUM(I720:L720),_xlfn.XLOOKUP($D720&amp;"_"&amp;H$52,$B$14:$B$36&amp;"_"&amp;$C$14:$C$36,$D$14:$D$36)*$E720,18)</f>
        <v>16.8106</v>
      </c>
      <c r="I720" s="95" cm="1">
        <f ca="1" t="array" ref="I720">MIN(30-SUM(J720:L720),6-L720,_xlfn.XLOOKUP($D720&amp;"_"&amp;I$52,$B$14:$B$36&amp;"_"&amp;$C$14:$C$36,$D$14:$D$36)*$E720)</f>
        <v>2.3355</v>
      </c>
      <c r="J720" s="95" cm="1">
        <f ca="1" t="array" ref="J720">MIN(8,_xlfn.XLOOKUP($D720&amp;"_"&amp;J$52,$B$14:$B$36&amp;"_"&amp;$C$14:$C$36,$D$14:$D$36)*$E720)</f>
        <v>5.235</v>
      </c>
      <c r="K720" s="95" cm="1">
        <f ca="1" t="array" ref="K720">MIN(18,_xlfn.XLOOKUP($D720&amp;"_"&amp;K$52,$B$14:$B$36&amp;"_"&amp;$C$14:$C$36,$D$14:$D$36)*$E720)</f>
        <v>1.9544</v>
      </c>
      <c r="L720" s="95" cm="1">
        <f ca="1" t="array" ref="L720">MIN(6,_xlfn.XLOOKUP($D720&amp;"_"&amp;L$52,$B$14:$B$36&amp;"_"&amp;$C$14:$C$36,$D$14:$D$36)*$E720)</f>
        <v>3.6645</v>
      </c>
      <c r="M720" s="95" cm="1">
        <f ca="1" t="array" ref="M720">(1+SUMPRODUCT(G720:H720,OFFSET($H$40:$I$40,D720,0)))*(1+OFFSET($J$40,D720,0))^I720*(1+OFFSET($K$40,D720,0))^J720*(1+OFFSET($L$40,D720,0))^K720*(1+OFFSET($M$40,D720,0))^L720</f>
        <v>124.116772014169</v>
      </c>
      <c r="N720" s="95">
        <f ca="1">MAX(MAX($N$53:N719),OFFSET($C$52,MATCH(M720*1.07,$M$53:$M$2052,1),0)-C720)</f>
        <v>10080</v>
      </c>
    </row>
    <row r="721" spans="2:14">
      <c r="B721" s="95">
        <v>669</v>
      </c>
      <c r="C721" s="95">
        <f t="shared" si="59"/>
        <v>240840</v>
      </c>
      <c r="D721" s="95">
        <f ca="1">_xlfn.XLOOKUP(总览!$B$44,$B$40:$B$45,$C$40:$C$45)</f>
        <v>5</v>
      </c>
      <c r="E721" s="95">
        <f ca="1" t="shared" si="56"/>
        <v>699</v>
      </c>
      <c r="F721" s="95">
        <f ca="1" t="shared" si="57"/>
        <v>0</v>
      </c>
      <c r="G721" s="95">
        <f ca="1" t="shared" si="58"/>
        <v>0</v>
      </c>
      <c r="H721" s="95" cm="1">
        <f ca="1" t="array" ref="H721">MIN(30-SUM(I721:L721),_xlfn.XLOOKUP($D721&amp;"_"&amp;H$52,$B$14:$B$36&amp;"_"&amp;$C$14:$C$36,$D$14:$D$36)*$E721,18)</f>
        <v>16.8003</v>
      </c>
      <c r="I721" s="95" cm="1">
        <f ca="1" t="array" ref="I721">MIN(30-SUM(J721:L721),6-L721,_xlfn.XLOOKUP($D721&amp;"_"&amp;I$52,$B$14:$B$36&amp;"_"&amp;$C$14:$C$36,$D$14:$D$36)*$E721)</f>
        <v>2.33025</v>
      </c>
      <c r="J721" s="95" cm="1">
        <f ca="1" t="array" ref="J721">MIN(8,_xlfn.XLOOKUP($D721&amp;"_"&amp;J$52,$B$14:$B$36&amp;"_"&amp;$C$14:$C$36,$D$14:$D$36)*$E721)</f>
        <v>5.2425</v>
      </c>
      <c r="K721" s="95" cm="1">
        <f ca="1" t="array" ref="K721">MIN(18,_xlfn.XLOOKUP($D721&amp;"_"&amp;K$52,$B$14:$B$36&amp;"_"&amp;$C$14:$C$36,$D$14:$D$36)*$E721)</f>
        <v>1.9572</v>
      </c>
      <c r="L721" s="95" cm="1">
        <f ca="1" t="array" ref="L721">MIN(6,_xlfn.XLOOKUP($D721&amp;"_"&amp;L$52,$B$14:$B$36&amp;"_"&amp;$C$14:$C$36,$D$14:$D$36)*$E721)</f>
        <v>3.66975</v>
      </c>
      <c r="M721" s="95" cm="1">
        <f ca="1" t="array" ref="M721">(1+SUMPRODUCT(G721:H721,OFFSET($H$40:$I$40,D721,0)))*(1+OFFSET($J$40,D721,0))^I721*(1+OFFSET($K$40,D721,0))^J721*(1+OFFSET($L$40,D721,0))^K721*(1+OFFSET($M$40,D721,0))^L721</f>
        <v>124.415811539925</v>
      </c>
      <c r="N721" s="95">
        <f ca="1">MAX(MAX($N$53:N720),OFFSET($C$52,MATCH(M721*1.07,$M$53:$M$2052,1),0)-C721)</f>
        <v>10080</v>
      </c>
    </row>
    <row r="722" spans="2:14">
      <c r="B722" s="95">
        <v>670</v>
      </c>
      <c r="C722" s="95">
        <f t="shared" si="59"/>
        <v>241200</v>
      </c>
      <c r="D722" s="95">
        <f ca="1">_xlfn.XLOOKUP(总览!$B$44,$B$40:$B$45,$C$40:$C$45)</f>
        <v>5</v>
      </c>
      <c r="E722" s="95">
        <f ca="1" t="shared" si="56"/>
        <v>700</v>
      </c>
      <c r="F722" s="95">
        <f ca="1" t="shared" si="57"/>
        <v>0</v>
      </c>
      <c r="G722" s="95">
        <f ca="1" t="shared" si="58"/>
        <v>0</v>
      </c>
      <c r="H722" s="95" cm="1">
        <f ca="1" t="array" ref="H722">MIN(30-SUM(I722:L722),_xlfn.XLOOKUP($D722&amp;"_"&amp;H$52,$B$14:$B$36&amp;"_"&amp;$C$14:$C$36,$D$14:$D$36)*$E722,18)</f>
        <v>16.79</v>
      </c>
      <c r="I722" s="95" cm="1">
        <f ca="1" t="array" ref="I722">MIN(30-SUM(J722:L722),6-L722,_xlfn.XLOOKUP($D722&amp;"_"&amp;I$52,$B$14:$B$36&amp;"_"&amp;$C$14:$C$36,$D$14:$D$36)*$E722)</f>
        <v>2.325</v>
      </c>
      <c r="J722" s="95" cm="1">
        <f ca="1" t="array" ref="J722">MIN(8,_xlfn.XLOOKUP($D722&amp;"_"&amp;J$52,$B$14:$B$36&amp;"_"&amp;$C$14:$C$36,$D$14:$D$36)*$E722)</f>
        <v>5.25</v>
      </c>
      <c r="K722" s="95" cm="1">
        <f ca="1" t="array" ref="K722">MIN(18,_xlfn.XLOOKUP($D722&amp;"_"&amp;K$52,$B$14:$B$36&amp;"_"&amp;$C$14:$C$36,$D$14:$D$36)*$E722)</f>
        <v>1.96</v>
      </c>
      <c r="L722" s="95" cm="1">
        <f ca="1" t="array" ref="L722">MIN(6,_xlfn.XLOOKUP($D722&amp;"_"&amp;L$52,$B$14:$B$36&amp;"_"&amp;$C$14:$C$36,$D$14:$D$36)*$E722)</f>
        <v>3.675</v>
      </c>
      <c r="M722" s="95" cm="1">
        <f ca="1" t="array" ref="M722">(1+SUMPRODUCT(G722:H722,OFFSET($H$40:$I$40,D722,0)))*(1+OFFSET($J$40,D722,0))^I722*(1+OFFSET($K$40,D722,0))^J722*(1+OFFSET($L$40,D722,0))^K722*(1+OFFSET($M$40,D722,0))^L722</f>
        <v>124.715543713565</v>
      </c>
      <c r="N722" s="95">
        <f ca="1">MAX(MAX($N$53:N721),OFFSET($C$52,MATCH(M722*1.07,$M$53:$M$2052,1),0)-C722)</f>
        <v>10080</v>
      </c>
    </row>
    <row r="723" spans="2:14">
      <c r="B723" s="95">
        <v>671</v>
      </c>
      <c r="C723" s="95">
        <f t="shared" si="59"/>
        <v>241560</v>
      </c>
      <c r="D723" s="95">
        <f ca="1">_xlfn.XLOOKUP(总览!$B$44,$B$40:$B$45,$C$40:$C$45)</f>
        <v>5</v>
      </c>
      <c r="E723" s="95">
        <f ca="1" t="shared" si="56"/>
        <v>701</v>
      </c>
      <c r="F723" s="95">
        <f ca="1" t="shared" si="57"/>
        <v>0</v>
      </c>
      <c r="G723" s="95">
        <f ca="1" t="shared" si="58"/>
        <v>0</v>
      </c>
      <c r="H723" s="95" cm="1">
        <f ca="1" t="array" ref="H723">MIN(30-SUM(I723:L723),_xlfn.XLOOKUP($D723&amp;"_"&amp;H$52,$B$14:$B$36&amp;"_"&amp;$C$14:$C$36,$D$14:$D$36)*$E723,18)</f>
        <v>16.7797</v>
      </c>
      <c r="I723" s="95" cm="1">
        <f ca="1" t="array" ref="I723">MIN(30-SUM(J723:L723),6-L723,_xlfn.XLOOKUP($D723&amp;"_"&amp;I$52,$B$14:$B$36&amp;"_"&amp;$C$14:$C$36,$D$14:$D$36)*$E723)</f>
        <v>2.31975</v>
      </c>
      <c r="J723" s="95" cm="1">
        <f ca="1" t="array" ref="J723">MIN(8,_xlfn.XLOOKUP($D723&amp;"_"&amp;J$52,$B$14:$B$36&amp;"_"&amp;$C$14:$C$36,$D$14:$D$36)*$E723)</f>
        <v>5.2575</v>
      </c>
      <c r="K723" s="95" cm="1">
        <f ca="1" t="array" ref="K723">MIN(18,_xlfn.XLOOKUP($D723&amp;"_"&amp;K$52,$B$14:$B$36&amp;"_"&amp;$C$14:$C$36,$D$14:$D$36)*$E723)</f>
        <v>1.9628</v>
      </c>
      <c r="L723" s="95" cm="1">
        <f ca="1" t="array" ref="L723">MIN(6,_xlfn.XLOOKUP($D723&amp;"_"&amp;L$52,$B$14:$B$36&amp;"_"&amp;$C$14:$C$36,$D$14:$D$36)*$E723)</f>
        <v>3.68025</v>
      </c>
      <c r="M723" s="95" cm="1">
        <f ca="1" t="array" ref="M723">(1+SUMPRODUCT(G723:H723,OFFSET($H$40:$I$40,D723,0)))*(1+OFFSET($J$40,D723,0))^I723*(1+OFFSET($K$40,D723,0))^J723*(1+OFFSET($L$40,D723,0))^K723*(1+OFFSET($M$40,D723,0))^L723</f>
        <v>125.015970043389</v>
      </c>
      <c r="N723" s="95">
        <f ca="1">MAX(MAX($N$53:N722),OFFSET($C$52,MATCH(M723*1.07,$M$53:$M$2052,1),0)-C723)</f>
        <v>10080</v>
      </c>
    </row>
    <row r="724" spans="2:14">
      <c r="B724" s="95">
        <v>672</v>
      </c>
      <c r="C724" s="95">
        <f t="shared" si="59"/>
        <v>241920</v>
      </c>
      <c r="D724" s="95">
        <f ca="1">_xlfn.XLOOKUP(总览!$B$44,$B$40:$B$45,$C$40:$C$45)</f>
        <v>5</v>
      </c>
      <c r="E724" s="95">
        <f ca="1" t="shared" si="56"/>
        <v>702</v>
      </c>
      <c r="F724" s="95">
        <f ca="1" t="shared" si="57"/>
        <v>0</v>
      </c>
      <c r="G724" s="95">
        <f ca="1" t="shared" si="58"/>
        <v>0</v>
      </c>
      <c r="H724" s="95" cm="1">
        <f ca="1" t="array" ref="H724">MIN(30-SUM(I724:L724),_xlfn.XLOOKUP($D724&amp;"_"&amp;H$52,$B$14:$B$36&amp;"_"&amp;$C$14:$C$36,$D$14:$D$36)*$E724,18)</f>
        <v>16.7694</v>
      </c>
      <c r="I724" s="95" cm="1">
        <f ca="1" t="array" ref="I724">MIN(30-SUM(J724:L724),6-L724,_xlfn.XLOOKUP($D724&amp;"_"&amp;I$52,$B$14:$B$36&amp;"_"&amp;$C$14:$C$36,$D$14:$D$36)*$E724)</f>
        <v>2.3145</v>
      </c>
      <c r="J724" s="95" cm="1">
        <f ca="1" t="array" ref="J724">MIN(8,_xlfn.XLOOKUP($D724&amp;"_"&amp;J$52,$B$14:$B$36&amp;"_"&amp;$C$14:$C$36,$D$14:$D$36)*$E724)</f>
        <v>5.265</v>
      </c>
      <c r="K724" s="95" cm="1">
        <f ca="1" t="array" ref="K724">MIN(18,_xlfn.XLOOKUP($D724&amp;"_"&amp;K$52,$B$14:$B$36&amp;"_"&amp;$C$14:$C$36,$D$14:$D$36)*$E724)</f>
        <v>1.9656</v>
      </c>
      <c r="L724" s="95" cm="1">
        <f ca="1" t="array" ref="L724">MIN(6,_xlfn.XLOOKUP($D724&amp;"_"&amp;L$52,$B$14:$B$36&amp;"_"&amp;$C$14:$C$36,$D$14:$D$36)*$E724)</f>
        <v>3.6855</v>
      </c>
      <c r="M724" s="95" cm="1">
        <f ca="1" t="array" ref="M724">(1+SUMPRODUCT(G724:H724,OFFSET($H$40:$I$40,D724,0)))*(1+OFFSET($J$40,D724,0))^I724*(1+OFFSET($K$40,D724,0))^J724*(1+OFFSET($L$40,D724,0))^K724*(1+OFFSET($M$40,D724,0))^L724</f>
        <v>125.317092040638</v>
      </c>
      <c r="N724" s="95">
        <f ca="1">MAX(MAX($N$53:N723),OFFSET($C$52,MATCH(M724*1.07,$M$53:$M$2052,1),0)-C724)</f>
        <v>10080</v>
      </c>
    </row>
    <row r="725" spans="2:14">
      <c r="B725" s="95">
        <v>673</v>
      </c>
      <c r="C725" s="95">
        <f t="shared" si="59"/>
        <v>242280</v>
      </c>
      <c r="D725" s="95">
        <f ca="1">_xlfn.XLOOKUP(总览!$B$44,$B$40:$B$45,$C$40:$C$45)</f>
        <v>5</v>
      </c>
      <c r="E725" s="95">
        <f ca="1" t="shared" si="56"/>
        <v>703</v>
      </c>
      <c r="F725" s="95">
        <f ca="1" t="shared" si="57"/>
        <v>0</v>
      </c>
      <c r="G725" s="95">
        <f ca="1" t="shared" si="58"/>
        <v>0</v>
      </c>
      <c r="H725" s="95" cm="1">
        <f ca="1" t="array" ref="H725">MIN(30-SUM(I725:L725),_xlfn.XLOOKUP($D725&amp;"_"&amp;H$52,$B$14:$B$36&amp;"_"&amp;$C$14:$C$36,$D$14:$D$36)*$E725,18)</f>
        <v>16.7591</v>
      </c>
      <c r="I725" s="95" cm="1">
        <f ca="1" t="array" ref="I725">MIN(30-SUM(J725:L725),6-L725,_xlfn.XLOOKUP($D725&amp;"_"&amp;I$52,$B$14:$B$36&amp;"_"&amp;$C$14:$C$36,$D$14:$D$36)*$E725)</f>
        <v>2.30925</v>
      </c>
      <c r="J725" s="95" cm="1">
        <f ca="1" t="array" ref="J725">MIN(8,_xlfn.XLOOKUP($D725&amp;"_"&amp;J$52,$B$14:$B$36&amp;"_"&amp;$C$14:$C$36,$D$14:$D$36)*$E725)</f>
        <v>5.2725</v>
      </c>
      <c r="K725" s="95" cm="1">
        <f ca="1" t="array" ref="K725">MIN(18,_xlfn.XLOOKUP($D725&amp;"_"&amp;K$52,$B$14:$B$36&amp;"_"&amp;$C$14:$C$36,$D$14:$D$36)*$E725)</f>
        <v>1.9684</v>
      </c>
      <c r="L725" s="95" cm="1">
        <f ca="1" t="array" ref="L725">MIN(6,_xlfn.XLOOKUP($D725&amp;"_"&amp;L$52,$B$14:$B$36&amp;"_"&amp;$C$14:$C$36,$D$14:$D$36)*$E725)</f>
        <v>3.69075</v>
      </c>
      <c r="M725" s="95" cm="1">
        <f ca="1" t="array" ref="M725">(1+SUMPRODUCT(G725:H725,OFFSET($H$40:$I$40,D725,0)))*(1+OFFSET($J$40,D725,0))^I725*(1+OFFSET($K$40,D725,0))^J725*(1+OFFSET($L$40,D725,0))^K725*(1+OFFSET($M$40,D725,0))^L725</f>
        <v>125.618911219499</v>
      </c>
      <c r="N725" s="95">
        <f ca="1">MAX(MAX($N$53:N724),OFFSET($C$52,MATCH(M725*1.07,$M$53:$M$2052,1),0)-C725)</f>
        <v>10080</v>
      </c>
    </row>
    <row r="726" spans="2:14">
      <c r="B726" s="95">
        <v>674</v>
      </c>
      <c r="C726" s="95">
        <f t="shared" si="59"/>
        <v>242640</v>
      </c>
      <c r="D726" s="95">
        <f ca="1">_xlfn.XLOOKUP(总览!$B$44,$B$40:$B$45,$C$40:$C$45)</f>
        <v>5</v>
      </c>
      <c r="E726" s="95">
        <f ca="1" t="shared" si="56"/>
        <v>704</v>
      </c>
      <c r="F726" s="95">
        <f ca="1" t="shared" si="57"/>
        <v>0</v>
      </c>
      <c r="G726" s="95">
        <f ca="1" t="shared" si="58"/>
        <v>0</v>
      </c>
      <c r="H726" s="95" cm="1">
        <f ca="1" t="array" ref="H726">MIN(30-SUM(I726:L726),_xlfn.XLOOKUP($D726&amp;"_"&amp;H$52,$B$14:$B$36&amp;"_"&amp;$C$14:$C$36,$D$14:$D$36)*$E726,18)</f>
        <v>16.7488</v>
      </c>
      <c r="I726" s="95" cm="1">
        <f ca="1" t="array" ref="I726">MIN(30-SUM(J726:L726),6-L726,_xlfn.XLOOKUP($D726&amp;"_"&amp;I$52,$B$14:$B$36&amp;"_"&amp;$C$14:$C$36,$D$14:$D$36)*$E726)</f>
        <v>2.304</v>
      </c>
      <c r="J726" s="95" cm="1">
        <f ca="1" t="array" ref="J726">MIN(8,_xlfn.XLOOKUP($D726&amp;"_"&amp;J$52,$B$14:$B$36&amp;"_"&amp;$C$14:$C$36,$D$14:$D$36)*$E726)</f>
        <v>5.28</v>
      </c>
      <c r="K726" s="95" cm="1">
        <f ca="1" t="array" ref="K726">MIN(18,_xlfn.XLOOKUP($D726&amp;"_"&amp;K$52,$B$14:$B$36&amp;"_"&amp;$C$14:$C$36,$D$14:$D$36)*$E726)</f>
        <v>1.9712</v>
      </c>
      <c r="L726" s="95" cm="1">
        <f ca="1" t="array" ref="L726">MIN(6,_xlfn.XLOOKUP($D726&amp;"_"&amp;L$52,$B$14:$B$36&amp;"_"&amp;$C$14:$C$36,$D$14:$D$36)*$E726)</f>
        <v>3.696</v>
      </c>
      <c r="M726" s="95" cm="1">
        <f ca="1" t="array" ref="M726">(1+SUMPRODUCT(G726:H726,OFFSET($H$40:$I$40,D726,0)))*(1+OFFSET($J$40,D726,0))^I726*(1+OFFSET($K$40,D726,0))^J726*(1+OFFSET($L$40,D726,0))^K726*(1+OFFSET($M$40,D726,0))^L726</f>
        <v>125.921429097106</v>
      </c>
      <c r="N726" s="95">
        <f ca="1">MAX(MAX($N$53:N725),OFFSET($C$52,MATCH(M726*1.07,$M$53:$M$2052,1),0)-C726)</f>
        <v>10080</v>
      </c>
    </row>
    <row r="727" spans="2:14">
      <c r="B727" s="95">
        <v>675</v>
      </c>
      <c r="C727" s="95">
        <f t="shared" si="59"/>
        <v>243000</v>
      </c>
      <c r="D727" s="95">
        <f ca="1">_xlfn.XLOOKUP(总览!$B$44,$B$40:$B$45,$C$40:$C$45)</f>
        <v>5</v>
      </c>
      <c r="E727" s="95">
        <f ca="1" t="shared" si="56"/>
        <v>705</v>
      </c>
      <c r="F727" s="95">
        <f ca="1" t="shared" si="57"/>
        <v>0</v>
      </c>
      <c r="G727" s="95">
        <f ca="1" t="shared" si="58"/>
        <v>0</v>
      </c>
      <c r="H727" s="95" cm="1">
        <f ca="1" t="array" ref="H727">MIN(30-SUM(I727:L727),_xlfn.XLOOKUP($D727&amp;"_"&amp;H$52,$B$14:$B$36&amp;"_"&amp;$C$14:$C$36,$D$14:$D$36)*$E727,18)</f>
        <v>16.7385</v>
      </c>
      <c r="I727" s="95" cm="1">
        <f ca="1" t="array" ref="I727">MIN(30-SUM(J727:L727),6-L727,_xlfn.XLOOKUP($D727&amp;"_"&amp;I$52,$B$14:$B$36&amp;"_"&amp;$C$14:$C$36,$D$14:$D$36)*$E727)</f>
        <v>2.29875</v>
      </c>
      <c r="J727" s="95" cm="1">
        <f ca="1" t="array" ref="J727">MIN(8,_xlfn.XLOOKUP($D727&amp;"_"&amp;J$52,$B$14:$B$36&amp;"_"&amp;$C$14:$C$36,$D$14:$D$36)*$E727)</f>
        <v>5.2875</v>
      </c>
      <c r="K727" s="95" cm="1">
        <f ca="1" t="array" ref="K727">MIN(18,_xlfn.XLOOKUP($D727&amp;"_"&amp;K$52,$B$14:$B$36&amp;"_"&amp;$C$14:$C$36,$D$14:$D$36)*$E727)</f>
        <v>1.974</v>
      </c>
      <c r="L727" s="95" cm="1">
        <f ca="1" t="array" ref="L727">MIN(6,_xlfn.XLOOKUP($D727&amp;"_"&amp;L$52,$B$14:$B$36&amp;"_"&amp;$C$14:$C$36,$D$14:$D$36)*$E727)</f>
        <v>3.70125</v>
      </c>
      <c r="M727" s="95" cm="1">
        <f ca="1" t="array" ref="M727">(1+SUMPRODUCT(G727:H727,OFFSET($H$40:$I$40,D727,0)))*(1+OFFSET($J$40,D727,0))^I727*(1+OFFSET($K$40,D727,0))^J727*(1+OFFSET($L$40,D727,0))^K727*(1+OFFSET($M$40,D727,0))^L727</f>
        <v>126.224647193545</v>
      </c>
      <c r="N727" s="95">
        <f ca="1">MAX(MAX($N$53:N726),OFFSET($C$52,MATCH(M727*1.07,$M$53:$M$2052,1),0)-C727)</f>
        <v>10080</v>
      </c>
    </row>
    <row r="728" spans="2:14">
      <c r="B728" s="95">
        <v>676</v>
      </c>
      <c r="C728" s="95">
        <f t="shared" si="59"/>
        <v>243360</v>
      </c>
      <c r="D728" s="95">
        <f ca="1">_xlfn.XLOOKUP(总览!$B$44,$B$40:$B$45,$C$40:$C$45)</f>
        <v>5</v>
      </c>
      <c r="E728" s="95">
        <f ca="1" t="shared" si="56"/>
        <v>706</v>
      </c>
      <c r="F728" s="95">
        <f ca="1" t="shared" si="57"/>
        <v>0</v>
      </c>
      <c r="G728" s="95">
        <f ca="1" t="shared" si="58"/>
        <v>0</v>
      </c>
      <c r="H728" s="95" cm="1">
        <f ca="1" t="array" ref="H728">MIN(30-SUM(I728:L728),_xlfn.XLOOKUP($D728&amp;"_"&amp;H$52,$B$14:$B$36&amp;"_"&amp;$C$14:$C$36,$D$14:$D$36)*$E728,18)</f>
        <v>16.7282</v>
      </c>
      <c r="I728" s="95" cm="1">
        <f ca="1" t="array" ref="I728">MIN(30-SUM(J728:L728),6-L728,_xlfn.XLOOKUP($D728&amp;"_"&amp;I$52,$B$14:$B$36&amp;"_"&amp;$C$14:$C$36,$D$14:$D$36)*$E728)</f>
        <v>2.2935</v>
      </c>
      <c r="J728" s="95" cm="1">
        <f ca="1" t="array" ref="J728">MIN(8,_xlfn.XLOOKUP($D728&amp;"_"&amp;J$52,$B$14:$B$36&amp;"_"&amp;$C$14:$C$36,$D$14:$D$36)*$E728)</f>
        <v>5.295</v>
      </c>
      <c r="K728" s="95" cm="1">
        <f ca="1" t="array" ref="K728">MIN(18,_xlfn.XLOOKUP($D728&amp;"_"&amp;K$52,$B$14:$B$36&amp;"_"&amp;$C$14:$C$36,$D$14:$D$36)*$E728)</f>
        <v>1.9768</v>
      </c>
      <c r="L728" s="95" cm="1">
        <f ca="1" t="array" ref="L728">MIN(6,_xlfn.XLOOKUP($D728&amp;"_"&amp;L$52,$B$14:$B$36&amp;"_"&amp;$C$14:$C$36,$D$14:$D$36)*$E728)</f>
        <v>3.7065</v>
      </c>
      <c r="M728" s="95" cm="1">
        <f ca="1" t="array" ref="M728">(1+SUMPRODUCT(G728:H728,OFFSET($H$40:$I$40,D728,0)))*(1+OFFSET($J$40,D728,0))^I728*(1+OFFSET($K$40,D728,0))^J728*(1+OFFSET($L$40,D728,0))^K728*(1+OFFSET($M$40,D728,0))^L728</f>
        <v>126.528567031862</v>
      </c>
      <c r="N728" s="95">
        <f ca="1">MAX(MAX($N$53:N727),OFFSET($C$52,MATCH(M728*1.07,$M$53:$M$2052,1),0)-C728)</f>
        <v>10080</v>
      </c>
    </row>
    <row r="729" spans="2:14">
      <c r="B729" s="95">
        <v>677</v>
      </c>
      <c r="C729" s="95">
        <f t="shared" si="59"/>
        <v>243720</v>
      </c>
      <c r="D729" s="95">
        <f ca="1">_xlfn.XLOOKUP(总览!$B$44,$B$40:$B$45,$C$40:$C$45)</f>
        <v>5</v>
      </c>
      <c r="E729" s="95">
        <f ca="1" t="shared" si="56"/>
        <v>707</v>
      </c>
      <c r="F729" s="95">
        <f ca="1" t="shared" si="57"/>
        <v>0</v>
      </c>
      <c r="G729" s="95">
        <f ca="1" t="shared" si="58"/>
        <v>0</v>
      </c>
      <c r="H729" s="95" cm="1">
        <f ca="1" t="array" ref="H729">MIN(30-SUM(I729:L729),_xlfn.XLOOKUP($D729&amp;"_"&amp;H$52,$B$14:$B$36&amp;"_"&amp;$C$14:$C$36,$D$14:$D$36)*$E729,18)</f>
        <v>16.7179</v>
      </c>
      <c r="I729" s="95" cm="1">
        <f ca="1" t="array" ref="I729">MIN(30-SUM(J729:L729),6-L729,_xlfn.XLOOKUP($D729&amp;"_"&amp;I$52,$B$14:$B$36&amp;"_"&amp;$C$14:$C$36,$D$14:$D$36)*$E729)</f>
        <v>2.28825</v>
      </c>
      <c r="J729" s="95" cm="1">
        <f ca="1" t="array" ref="J729">MIN(8,_xlfn.XLOOKUP($D729&amp;"_"&amp;J$52,$B$14:$B$36&amp;"_"&amp;$C$14:$C$36,$D$14:$D$36)*$E729)</f>
        <v>5.3025</v>
      </c>
      <c r="K729" s="95" cm="1">
        <f ca="1" t="array" ref="K729">MIN(18,_xlfn.XLOOKUP($D729&amp;"_"&amp;K$52,$B$14:$B$36&amp;"_"&amp;$C$14:$C$36,$D$14:$D$36)*$E729)</f>
        <v>1.9796</v>
      </c>
      <c r="L729" s="95" cm="1">
        <f ca="1" t="array" ref="L729">MIN(6,_xlfn.XLOOKUP($D729&amp;"_"&amp;L$52,$B$14:$B$36&amp;"_"&amp;$C$14:$C$36,$D$14:$D$36)*$E729)</f>
        <v>3.71175</v>
      </c>
      <c r="M729" s="95" cm="1">
        <f ca="1" t="array" ref="M729">(1+SUMPRODUCT(G729:H729,OFFSET($H$40:$I$40,D729,0)))*(1+OFFSET($J$40,D729,0))^I729*(1+OFFSET($K$40,D729,0))^J729*(1+OFFSET($L$40,D729,0))^K729*(1+OFFSET($M$40,D729,0))^L729</f>
        <v>126.833190138063</v>
      </c>
      <c r="N729" s="95">
        <f ca="1">MAX(MAX($N$53:N728),OFFSET($C$52,MATCH(M729*1.07,$M$53:$M$2052,1),0)-C729)</f>
        <v>10080</v>
      </c>
    </row>
    <row r="730" spans="2:14">
      <c r="B730" s="95">
        <v>678</v>
      </c>
      <c r="C730" s="95">
        <f t="shared" si="59"/>
        <v>244080</v>
      </c>
      <c r="D730" s="95">
        <f ca="1">_xlfn.XLOOKUP(总览!$B$44,$B$40:$B$45,$C$40:$C$45)</f>
        <v>5</v>
      </c>
      <c r="E730" s="95">
        <f ca="1" t="shared" si="56"/>
        <v>708</v>
      </c>
      <c r="F730" s="95">
        <f ca="1" t="shared" si="57"/>
        <v>0</v>
      </c>
      <c r="G730" s="95">
        <f ca="1" t="shared" si="58"/>
        <v>0</v>
      </c>
      <c r="H730" s="95" cm="1">
        <f ca="1" t="array" ref="H730">MIN(30-SUM(I730:L730),_xlfn.XLOOKUP($D730&amp;"_"&amp;H$52,$B$14:$B$36&amp;"_"&amp;$C$14:$C$36,$D$14:$D$36)*$E730,18)</f>
        <v>16.7076</v>
      </c>
      <c r="I730" s="95" cm="1">
        <f ca="1" t="array" ref="I730">MIN(30-SUM(J730:L730),6-L730,_xlfn.XLOOKUP($D730&amp;"_"&amp;I$52,$B$14:$B$36&amp;"_"&amp;$C$14:$C$36,$D$14:$D$36)*$E730)</f>
        <v>2.283</v>
      </c>
      <c r="J730" s="95" cm="1">
        <f ca="1" t="array" ref="J730">MIN(8,_xlfn.XLOOKUP($D730&amp;"_"&amp;J$52,$B$14:$B$36&amp;"_"&amp;$C$14:$C$36,$D$14:$D$36)*$E730)</f>
        <v>5.31</v>
      </c>
      <c r="K730" s="95" cm="1">
        <f ca="1" t="array" ref="K730">MIN(18,_xlfn.XLOOKUP($D730&amp;"_"&amp;K$52,$B$14:$B$36&amp;"_"&amp;$C$14:$C$36,$D$14:$D$36)*$E730)</f>
        <v>1.9824</v>
      </c>
      <c r="L730" s="95" cm="1">
        <f ca="1" t="array" ref="L730">MIN(6,_xlfn.XLOOKUP($D730&amp;"_"&amp;L$52,$B$14:$B$36&amp;"_"&amp;$C$14:$C$36,$D$14:$D$36)*$E730)</f>
        <v>3.717</v>
      </c>
      <c r="M730" s="95" cm="1">
        <f ca="1" t="array" ref="M730">(1+SUMPRODUCT(G730:H730,OFFSET($H$40:$I$40,D730,0)))*(1+OFFSET($J$40,D730,0))^I730*(1+OFFSET($K$40,D730,0))^J730*(1+OFFSET($L$40,D730,0))^K730*(1+OFFSET($M$40,D730,0))^L730</f>
        <v>127.138518041122</v>
      </c>
      <c r="N730" s="95">
        <f ca="1">MAX(MAX($N$53:N729),OFFSET($C$52,MATCH(M730*1.07,$M$53:$M$2052,1),0)-C730)</f>
        <v>10080</v>
      </c>
    </row>
    <row r="731" spans="2:14">
      <c r="B731" s="95">
        <v>679</v>
      </c>
      <c r="C731" s="95">
        <f t="shared" si="59"/>
        <v>244440</v>
      </c>
      <c r="D731" s="95">
        <f ca="1">_xlfn.XLOOKUP(总览!$B$44,$B$40:$B$45,$C$40:$C$45)</f>
        <v>5</v>
      </c>
      <c r="E731" s="95">
        <f ca="1" t="shared" si="56"/>
        <v>709</v>
      </c>
      <c r="F731" s="95">
        <f ca="1" t="shared" si="57"/>
        <v>0</v>
      </c>
      <c r="G731" s="95">
        <f ca="1" t="shared" si="58"/>
        <v>0</v>
      </c>
      <c r="H731" s="95" cm="1">
        <f ca="1" t="array" ref="H731">MIN(30-SUM(I731:L731),_xlfn.XLOOKUP($D731&amp;"_"&amp;H$52,$B$14:$B$36&amp;"_"&amp;$C$14:$C$36,$D$14:$D$36)*$E731,18)</f>
        <v>16.6973</v>
      </c>
      <c r="I731" s="95" cm="1">
        <f ca="1" t="array" ref="I731">MIN(30-SUM(J731:L731),6-L731,_xlfn.XLOOKUP($D731&amp;"_"&amp;I$52,$B$14:$B$36&amp;"_"&amp;$C$14:$C$36,$D$14:$D$36)*$E731)</f>
        <v>2.27775</v>
      </c>
      <c r="J731" s="95" cm="1">
        <f ca="1" t="array" ref="J731">MIN(8,_xlfn.XLOOKUP($D731&amp;"_"&amp;J$52,$B$14:$B$36&amp;"_"&amp;$C$14:$C$36,$D$14:$D$36)*$E731)</f>
        <v>5.3175</v>
      </c>
      <c r="K731" s="95" cm="1">
        <f ca="1" t="array" ref="K731">MIN(18,_xlfn.XLOOKUP($D731&amp;"_"&amp;K$52,$B$14:$B$36&amp;"_"&amp;$C$14:$C$36,$D$14:$D$36)*$E731)</f>
        <v>1.9852</v>
      </c>
      <c r="L731" s="95" cm="1">
        <f ca="1" t="array" ref="L731">MIN(6,_xlfn.XLOOKUP($D731&amp;"_"&amp;L$52,$B$14:$B$36&amp;"_"&amp;$C$14:$C$36,$D$14:$D$36)*$E731)</f>
        <v>3.72225</v>
      </c>
      <c r="M731" s="95" cm="1">
        <f ca="1" t="array" ref="M731">(1+SUMPRODUCT(G731:H731,OFFSET($H$40:$I$40,D731,0)))*(1+OFFSET($J$40,D731,0))^I731*(1+OFFSET($K$40,D731,0))^J731*(1+OFFSET($L$40,D731,0))^K731*(1+OFFSET($M$40,D731,0))^L731</f>
        <v>127.444552272982</v>
      </c>
      <c r="N731" s="95">
        <f ca="1">MAX(MAX($N$53:N730),OFFSET($C$52,MATCH(M731*1.07,$M$53:$M$2052,1),0)-C731)</f>
        <v>10080</v>
      </c>
    </row>
    <row r="732" spans="2:14">
      <c r="B732" s="95">
        <v>680</v>
      </c>
      <c r="C732" s="95">
        <f t="shared" si="59"/>
        <v>244800</v>
      </c>
      <c r="D732" s="95">
        <f ca="1">_xlfn.XLOOKUP(总览!$B$44,$B$40:$B$45,$C$40:$C$45)</f>
        <v>5</v>
      </c>
      <c r="E732" s="95">
        <f ca="1" t="shared" si="56"/>
        <v>710</v>
      </c>
      <c r="F732" s="95">
        <f ca="1" t="shared" si="57"/>
        <v>0</v>
      </c>
      <c r="G732" s="95">
        <f ca="1" t="shared" si="58"/>
        <v>0</v>
      </c>
      <c r="H732" s="95" cm="1">
        <f ca="1" t="array" ref="H732">MIN(30-SUM(I732:L732),_xlfn.XLOOKUP($D732&amp;"_"&amp;H$52,$B$14:$B$36&amp;"_"&amp;$C$14:$C$36,$D$14:$D$36)*$E732,18)</f>
        <v>16.687</v>
      </c>
      <c r="I732" s="95" cm="1">
        <f ca="1" t="array" ref="I732">MIN(30-SUM(J732:L732),6-L732,_xlfn.XLOOKUP($D732&amp;"_"&amp;I$52,$B$14:$B$36&amp;"_"&amp;$C$14:$C$36,$D$14:$D$36)*$E732)</f>
        <v>2.2725</v>
      </c>
      <c r="J732" s="95" cm="1">
        <f ca="1" t="array" ref="J732">MIN(8,_xlfn.XLOOKUP($D732&amp;"_"&amp;J$52,$B$14:$B$36&amp;"_"&amp;$C$14:$C$36,$D$14:$D$36)*$E732)</f>
        <v>5.325</v>
      </c>
      <c r="K732" s="95" cm="1">
        <f ca="1" t="array" ref="K732">MIN(18,_xlfn.XLOOKUP($D732&amp;"_"&amp;K$52,$B$14:$B$36&amp;"_"&amp;$C$14:$C$36,$D$14:$D$36)*$E732)</f>
        <v>1.988</v>
      </c>
      <c r="L732" s="95" cm="1">
        <f ca="1" t="array" ref="L732">MIN(6,_xlfn.XLOOKUP($D732&amp;"_"&amp;L$52,$B$14:$B$36&amp;"_"&amp;$C$14:$C$36,$D$14:$D$36)*$E732)</f>
        <v>3.7275</v>
      </c>
      <c r="M732" s="95" cm="1">
        <f ca="1" t="array" ref="M732">(1+SUMPRODUCT(G732:H732,OFFSET($H$40:$I$40,D732,0)))*(1+OFFSET($J$40,D732,0))^I732*(1+OFFSET($K$40,D732,0))^J732*(1+OFFSET($L$40,D732,0))^K732*(1+OFFSET($M$40,D732,0))^L732</f>
        <v>127.751294368561</v>
      </c>
      <c r="N732" s="95">
        <f ca="1">MAX(MAX($N$53:N731),OFFSET($C$52,MATCH(M732*1.07,$M$53:$M$2052,1),0)-C732)</f>
        <v>10080</v>
      </c>
    </row>
    <row r="733" spans="2:14">
      <c r="B733" s="95">
        <v>681</v>
      </c>
      <c r="C733" s="95">
        <f t="shared" si="59"/>
        <v>245160</v>
      </c>
      <c r="D733" s="95">
        <f ca="1">_xlfn.XLOOKUP(总览!$B$44,$B$40:$B$45,$C$40:$C$45)</f>
        <v>5</v>
      </c>
      <c r="E733" s="95">
        <f ca="1" t="shared" si="56"/>
        <v>711</v>
      </c>
      <c r="F733" s="95">
        <f ca="1" t="shared" si="57"/>
        <v>0</v>
      </c>
      <c r="G733" s="95">
        <f ca="1" t="shared" si="58"/>
        <v>0</v>
      </c>
      <c r="H733" s="95" cm="1">
        <f ca="1" t="array" ref="H733">MIN(30-SUM(I733:L733),_xlfn.XLOOKUP($D733&amp;"_"&amp;H$52,$B$14:$B$36&amp;"_"&amp;$C$14:$C$36,$D$14:$D$36)*$E733,18)</f>
        <v>16.6767</v>
      </c>
      <c r="I733" s="95" cm="1">
        <f ca="1" t="array" ref="I733">MIN(30-SUM(J733:L733),6-L733,_xlfn.XLOOKUP($D733&amp;"_"&amp;I$52,$B$14:$B$36&amp;"_"&amp;$C$14:$C$36,$D$14:$D$36)*$E733)</f>
        <v>2.26725</v>
      </c>
      <c r="J733" s="95" cm="1">
        <f ca="1" t="array" ref="J733">MIN(8,_xlfn.XLOOKUP($D733&amp;"_"&amp;J$52,$B$14:$B$36&amp;"_"&amp;$C$14:$C$36,$D$14:$D$36)*$E733)</f>
        <v>5.3325</v>
      </c>
      <c r="K733" s="95" cm="1">
        <f ca="1" t="array" ref="K733">MIN(18,_xlfn.XLOOKUP($D733&amp;"_"&amp;K$52,$B$14:$B$36&amp;"_"&amp;$C$14:$C$36,$D$14:$D$36)*$E733)</f>
        <v>1.9908</v>
      </c>
      <c r="L733" s="95" cm="1">
        <f ca="1" t="array" ref="L733">MIN(6,_xlfn.XLOOKUP($D733&amp;"_"&amp;L$52,$B$14:$B$36&amp;"_"&amp;$C$14:$C$36,$D$14:$D$36)*$E733)</f>
        <v>3.73275</v>
      </c>
      <c r="M733" s="95" cm="1">
        <f ca="1" t="array" ref="M733">(1+SUMPRODUCT(G733:H733,OFFSET($H$40:$I$40,D733,0)))*(1+OFFSET($J$40,D733,0))^I733*(1+OFFSET($K$40,D733,0))^J733*(1+OFFSET($L$40,D733,0))^K733*(1+OFFSET($M$40,D733,0))^L733</f>
        <v>128.05874586576</v>
      </c>
      <c r="N733" s="95">
        <f ca="1">MAX(MAX($N$53:N732),OFFSET($C$52,MATCH(M733*1.07,$M$53:$M$2052,1),0)-C733)</f>
        <v>10080</v>
      </c>
    </row>
    <row r="734" spans="2:14">
      <c r="B734" s="95">
        <v>682</v>
      </c>
      <c r="C734" s="95">
        <f t="shared" si="59"/>
        <v>245520</v>
      </c>
      <c r="D734" s="95">
        <f ca="1">_xlfn.XLOOKUP(总览!$B$44,$B$40:$B$45,$C$40:$C$45)</f>
        <v>5</v>
      </c>
      <c r="E734" s="95">
        <f ca="1" t="shared" si="56"/>
        <v>712</v>
      </c>
      <c r="F734" s="95">
        <f ca="1" t="shared" si="57"/>
        <v>0</v>
      </c>
      <c r="G734" s="95">
        <f ca="1" t="shared" si="58"/>
        <v>0</v>
      </c>
      <c r="H734" s="95" cm="1">
        <f ca="1" t="array" ref="H734">MIN(30-SUM(I734:L734),_xlfn.XLOOKUP($D734&amp;"_"&amp;H$52,$B$14:$B$36&amp;"_"&amp;$C$14:$C$36,$D$14:$D$36)*$E734,18)</f>
        <v>16.6664</v>
      </c>
      <c r="I734" s="95" cm="1">
        <f ca="1" t="array" ref="I734">MIN(30-SUM(J734:L734),6-L734,_xlfn.XLOOKUP($D734&amp;"_"&amp;I$52,$B$14:$B$36&amp;"_"&amp;$C$14:$C$36,$D$14:$D$36)*$E734)</f>
        <v>2.262</v>
      </c>
      <c r="J734" s="95" cm="1">
        <f ca="1" t="array" ref="J734">MIN(8,_xlfn.XLOOKUP($D734&amp;"_"&amp;J$52,$B$14:$B$36&amp;"_"&amp;$C$14:$C$36,$D$14:$D$36)*$E734)</f>
        <v>5.34</v>
      </c>
      <c r="K734" s="95" cm="1">
        <f ca="1" t="array" ref="K734">MIN(18,_xlfn.XLOOKUP($D734&amp;"_"&amp;K$52,$B$14:$B$36&amp;"_"&amp;$C$14:$C$36,$D$14:$D$36)*$E734)</f>
        <v>1.9936</v>
      </c>
      <c r="L734" s="95" cm="1">
        <f ca="1" t="array" ref="L734">MIN(6,_xlfn.XLOOKUP($D734&amp;"_"&amp;L$52,$B$14:$B$36&amp;"_"&amp;$C$14:$C$36,$D$14:$D$36)*$E734)</f>
        <v>3.738</v>
      </c>
      <c r="M734" s="95" cm="1">
        <f ca="1" t="array" ref="M734">(1+SUMPRODUCT(G734:H734,OFFSET($H$40:$I$40,D734,0)))*(1+OFFSET($J$40,D734,0))^I734*(1+OFFSET($K$40,D734,0))^J734*(1+OFFSET($L$40,D734,0))^K734*(1+OFFSET($M$40,D734,0))^L734</f>
        <v>128.36690830546</v>
      </c>
      <c r="N734" s="95">
        <f ca="1">MAX(MAX($N$53:N733),OFFSET($C$52,MATCH(M734*1.07,$M$53:$M$2052,1),0)-C734)</f>
        <v>10080</v>
      </c>
    </row>
    <row r="735" spans="2:14">
      <c r="B735" s="95">
        <v>683</v>
      </c>
      <c r="C735" s="95">
        <f t="shared" si="59"/>
        <v>245880</v>
      </c>
      <c r="D735" s="95">
        <f ca="1">_xlfn.XLOOKUP(总览!$B$44,$B$40:$B$45,$C$40:$C$45)</f>
        <v>5</v>
      </c>
      <c r="E735" s="95">
        <f ca="1" t="shared" si="56"/>
        <v>713</v>
      </c>
      <c r="F735" s="95">
        <f ca="1" t="shared" si="57"/>
        <v>0</v>
      </c>
      <c r="G735" s="95">
        <f ca="1" t="shared" si="58"/>
        <v>0</v>
      </c>
      <c r="H735" s="95" cm="1">
        <f ca="1" t="array" ref="H735">MIN(30-SUM(I735:L735),_xlfn.XLOOKUP($D735&amp;"_"&amp;H$52,$B$14:$B$36&amp;"_"&amp;$C$14:$C$36,$D$14:$D$36)*$E735,18)</f>
        <v>16.6561</v>
      </c>
      <c r="I735" s="95" cm="1">
        <f ca="1" t="array" ref="I735">MIN(30-SUM(J735:L735),6-L735,_xlfn.XLOOKUP($D735&amp;"_"&amp;I$52,$B$14:$B$36&amp;"_"&amp;$C$14:$C$36,$D$14:$D$36)*$E735)</f>
        <v>2.25675</v>
      </c>
      <c r="J735" s="95" cm="1">
        <f ca="1" t="array" ref="J735">MIN(8,_xlfn.XLOOKUP($D735&amp;"_"&amp;J$52,$B$14:$B$36&amp;"_"&amp;$C$14:$C$36,$D$14:$D$36)*$E735)</f>
        <v>5.3475</v>
      </c>
      <c r="K735" s="95" cm="1">
        <f ca="1" t="array" ref="K735">MIN(18,_xlfn.XLOOKUP($D735&amp;"_"&amp;K$52,$B$14:$B$36&amp;"_"&amp;$C$14:$C$36,$D$14:$D$36)*$E735)</f>
        <v>1.9964</v>
      </c>
      <c r="L735" s="95" cm="1">
        <f ca="1" t="array" ref="L735">MIN(6,_xlfn.XLOOKUP($D735&amp;"_"&amp;L$52,$B$14:$B$36&amp;"_"&amp;$C$14:$C$36,$D$14:$D$36)*$E735)</f>
        <v>3.74325</v>
      </c>
      <c r="M735" s="95" cm="1">
        <f ca="1" t="array" ref="M735">(1+SUMPRODUCT(G735:H735,OFFSET($H$40:$I$40,D735,0)))*(1+OFFSET($J$40,D735,0))^I735*(1+OFFSET($K$40,D735,0))^J735*(1+OFFSET($L$40,D735,0))^K735*(1+OFFSET($M$40,D735,0))^L735</f>
        <v>128.675783231532</v>
      </c>
      <c r="N735" s="95">
        <f ca="1">MAX(MAX($N$53:N734),OFFSET($C$52,MATCH(M735*1.07,$M$53:$M$2052,1),0)-C735)</f>
        <v>10080</v>
      </c>
    </row>
    <row r="736" spans="2:14">
      <c r="B736" s="95">
        <v>684</v>
      </c>
      <c r="C736" s="95">
        <f t="shared" si="59"/>
        <v>246240</v>
      </c>
      <c r="D736" s="95">
        <f ca="1">_xlfn.XLOOKUP(总览!$B$44,$B$40:$B$45,$C$40:$C$45)</f>
        <v>5</v>
      </c>
      <c r="E736" s="95">
        <f ca="1" t="shared" si="56"/>
        <v>714</v>
      </c>
      <c r="F736" s="95">
        <f ca="1" t="shared" si="57"/>
        <v>0</v>
      </c>
      <c r="G736" s="95">
        <f ca="1" t="shared" si="58"/>
        <v>0</v>
      </c>
      <c r="H736" s="95" cm="1">
        <f ca="1" t="array" ref="H736">MIN(30-SUM(I736:L736),_xlfn.XLOOKUP($D736&amp;"_"&amp;H$52,$B$14:$B$36&amp;"_"&amp;$C$14:$C$36,$D$14:$D$36)*$E736,18)</f>
        <v>16.6458</v>
      </c>
      <c r="I736" s="95" cm="1">
        <f ca="1" t="array" ref="I736">MIN(30-SUM(J736:L736),6-L736,_xlfn.XLOOKUP($D736&amp;"_"&amp;I$52,$B$14:$B$36&amp;"_"&amp;$C$14:$C$36,$D$14:$D$36)*$E736)</f>
        <v>2.2515</v>
      </c>
      <c r="J736" s="95" cm="1">
        <f ca="1" t="array" ref="J736">MIN(8,_xlfn.XLOOKUP($D736&amp;"_"&amp;J$52,$B$14:$B$36&amp;"_"&amp;$C$14:$C$36,$D$14:$D$36)*$E736)</f>
        <v>5.355</v>
      </c>
      <c r="K736" s="95" cm="1">
        <f ca="1" t="array" ref="K736">MIN(18,_xlfn.XLOOKUP($D736&amp;"_"&amp;K$52,$B$14:$B$36&amp;"_"&amp;$C$14:$C$36,$D$14:$D$36)*$E736)</f>
        <v>1.9992</v>
      </c>
      <c r="L736" s="95" cm="1">
        <f ca="1" t="array" ref="L736">MIN(6,_xlfn.XLOOKUP($D736&amp;"_"&amp;L$52,$B$14:$B$36&amp;"_"&amp;$C$14:$C$36,$D$14:$D$36)*$E736)</f>
        <v>3.7485</v>
      </c>
      <c r="M736" s="95" cm="1">
        <f ca="1" t="array" ref="M736">(1+SUMPRODUCT(G736:H736,OFFSET($H$40:$I$40,D736,0)))*(1+OFFSET($J$40,D736,0))^I736*(1+OFFSET($K$40,D736,0))^J736*(1+OFFSET($L$40,D736,0))^K736*(1+OFFSET($M$40,D736,0))^L736</f>
        <v>128.985372190841</v>
      </c>
      <c r="N736" s="95">
        <f ca="1">MAX(MAX($N$53:N735),OFFSET($C$52,MATCH(M736*1.07,$M$53:$M$2052,1),0)-C736)</f>
        <v>10080</v>
      </c>
    </row>
    <row r="737" spans="2:14">
      <c r="B737" s="95">
        <v>685</v>
      </c>
      <c r="C737" s="95">
        <f t="shared" si="59"/>
        <v>246600</v>
      </c>
      <c r="D737" s="95">
        <f ca="1">_xlfn.XLOOKUP(总览!$B$44,$B$40:$B$45,$C$40:$C$45)</f>
        <v>5</v>
      </c>
      <c r="E737" s="95">
        <f ca="1" t="shared" si="56"/>
        <v>715</v>
      </c>
      <c r="F737" s="95">
        <f ca="1" t="shared" si="57"/>
        <v>0</v>
      </c>
      <c r="G737" s="95">
        <f ca="1" t="shared" si="58"/>
        <v>0</v>
      </c>
      <c r="H737" s="95" cm="1">
        <f ca="1" t="array" ref="H737">MIN(30-SUM(I737:L737),_xlfn.XLOOKUP($D737&amp;"_"&amp;H$52,$B$14:$B$36&amp;"_"&amp;$C$14:$C$36,$D$14:$D$36)*$E737,18)</f>
        <v>16.6355</v>
      </c>
      <c r="I737" s="95" cm="1">
        <f ca="1" t="array" ref="I737">MIN(30-SUM(J737:L737),6-L737,_xlfn.XLOOKUP($D737&amp;"_"&amp;I$52,$B$14:$B$36&amp;"_"&amp;$C$14:$C$36,$D$14:$D$36)*$E737)</f>
        <v>2.24625</v>
      </c>
      <c r="J737" s="95" cm="1">
        <f ca="1" t="array" ref="J737">MIN(8,_xlfn.XLOOKUP($D737&amp;"_"&amp;J$52,$B$14:$B$36&amp;"_"&amp;$C$14:$C$36,$D$14:$D$36)*$E737)</f>
        <v>5.3625</v>
      </c>
      <c r="K737" s="95" cm="1">
        <f ca="1" t="array" ref="K737">MIN(18,_xlfn.XLOOKUP($D737&amp;"_"&amp;K$52,$B$14:$B$36&amp;"_"&amp;$C$14:$C$36,$D$14:$D$36)*$E737)</f>
        <v>2.002</v>
      </c>
      <c r="L737" s="95" cm="1">
        <f ca="1" t="array" ref="L737">MIN(6,_xlfn.XLOOKUP($D737&amp;"_"&amp;L$52,$B$14:$B$36&amp;"_"&amp;$C$14:$C$36,$D$14:$D$36)*$E737)</f>
        <v>3.75375</v>
      </c>
      <c r="M737" s="95" cm="1">
        <f ca="1" t="array" ref="M737">(1+SUMPRODUCT(G737:H737,OFFSET($H$40:$I$40,D737,0)))*(1+OFFSET($J$40,D737,0))^I737*(1+OFFSET($K$40,D737,0))^J737*(1+OFFSET($L$40,D737,0))^K737*(1+OFFSET($M$40,D737,0))^L737</f>
        <v>129.295676733248</v>
      </c>
      <c r="N737" s="95">
        <f ca="1">MAX(MAX($N$53:N736),OFFSET($C$52,MATCH(M737*1.07,$M$53:$M$2052,1),0)-C737)</f>
        <v>10080</v>
      </c>
    </row>
    <row r="738" spans="2:14">
      <c r="B738" s="95">
        <v>686</v>
      </c>
      <c r="C738" s="95">
        <f t="shared" si="59"/>
        <v>246960</v>
      </c>
      <c r="D738" s="95">
        <f ca="1">_xlfn.XLOOKUP(总览!$B$44,$B$40:$B$45,$C$40:$C$45)</f>
        <v>5</v>
      </c>
      <c r="E738" s="95">
        <f ca="1" t="shared" si="56"/>
        <v>716</v>
      </c>
      <c r="F738" s="95">
        <f ca="1" t="shared" si="57"/>
        <v>0</v>
      </c>
      <c r="G738" s="95">
        <f ca="1" t="shared" si="58"/>
        <v>0</v>
      </c>
      <c r="H738" s="95" cm="1">
        <f ca="1" t="array" ref="H738">MIN(30-SUM(I738:L738),_xlfn.XLOOKUP($D738&amp;"_"&amp;H$52,$B$14:$B$36&amp;"_"&amp;$C$14:$C$36,$D$14:$D$36)*$E738,18)</f>
        <v>16.6252</v>
      </c>
      <c r="I738" s="95" cm="1">
        <f ca="1" t="array" ref="I738">MIN(30-SUM(J738:L738),6-L738,_xlfn.XLOOKUP($D738&amp;"_"&amp;I$52,$B$14:$B$36&amp;"_"&amp;$C$14:$C$36,$D$14:$D$36)*$E738)</f>
        <v>2.241</v>
      </c>
      <c r="J738" s="95" cm="1">
        <f ca="1" t="array" ref="J738">MIN(8,_xlfn.XLOOKUP($D738&amp;"_"&amp;J$52,$B$14:$B$36&amp;"_"&amp;$C$14:$C$36,$D$14:$D$36)*$E738)</f>
        <v>5.37</v>
      </c>
      <c r="K738" s="95" cm="1">
        <f ca="1" t="array" ref="K738">MIN(18,_xlfn.XLOOKUP($D738&amp;"_"&amp;K$52,$B$14:$B$36&amp;"_"&amp;$C$14:$C$36,$D$14:$D$36)*$E738)</f>
        <v>2.0048</v>
      </c>
      <c r="L738" s="95" cm="1">
        <f ca="1" t="array" ref="L738">MIN(6,_xlfn.XLOOKUP($D738&amp;"_"&amp;L$52,$B$14:$B$36&amp;"_"&amp;$C$14:$C$36,$D$14:$D$36)*$E738)</f>
        <v>3.759</v>
      </c>
      <c r="M738" s="95" cm="1">
        <f ca="1" t="array" ref="M738">(1+SUMPRODUCT(G738:H738,OFFSET($H$40:$I$40,D738,0)))*(1+OFFSET($J$40,D738,0))^I738*(1+OFFSET($K$40,D738,0))^J738*(1+OFFSET($L$40,D738,0))^K738*(1+OFFSET($M$40,D738,0))^L738</f>
        <v>129.606698411615</v>
      </c>
      <c r="N738" s="95">
        <f ca="1">MAX(MAX($N$53:N737),OFFSET($C$52,MATCH(M738*1.07,$M$53:$M$2052,1),0)-C738)</f>
        <v>10080</v>
      </c>
    </row>
    <row r="739" spans="2:14">
      <c r="B739" s="95">
        <v>687</v>
      </c>
      <c r="C739" s="95">
        <f t="shared" si="59"/>
        <v>247320</v>
      </c>
      <c r="D739" s="95">
        <f ca="1">_xlfn.XLOOKUP(总览!$B$44,$B$40:$B$45,$C$40:$C$45)</f>
        <v>5</v>
      </c>
      <c r="E739" s="95">
        <f ca="1" t="shared" si="56"/>
        <v>717</v>
      </c>
      <c r="F739" s="95">
        <f ca="1" t="shared" si="57"/>
        <v>0</v>
      </c>
      <c r="G739" s="95">
        <f ca="1" t="shared" si="58"/>
        <v>0</v>
      </c>
      <c r="H739" s="95" cm="1">
        <f ca="1" t="array" ref="H739">MIN(30-SUM(I739:L739),_xlfn.XLOOKUP($D739&amp;"_"&amp;H$52,$B$14:$B$36&amp;"_"&amp;$C$14:$C$36,$D$14:$D$36)*$E739,18)</f>
        <v>16.6149</v>
      </c>
      <c r="I739" s="95" cm="1">
        <f ca="1" t="array" ref="I739">MIN(30-SUM(J739:L739),6-L739,_xlfn.XLOOKUP($D739&amp;"_"&amp;I$52,$B$14:$B$36&amp;"_"&amp;$C$14:$C$36,$D$14:$D$36)*$E739)</f>
        <v>2.23575</v>
      </c>
      <c r="J739" s="95" cm="1">
        <f ca="1" t="array" ref="J739">MIN(8,_xlfn.XLOOKUP($D739&amp;"_"&amp;J$52,$B$14:$B$36&amp;"_"&amp;$C$14:$C$36,$D$14:$D$36)*$E739)</f>
        <v>5.3775</v>
      </c>
      <c r="K739" s="95" cm="1">
        <f ca="1" t="array" ref="K739">MIN(18,_xlfn.XLOOKUP($D739&amp;"_"&amp;K$52,$B$14:$B$36&amp;"_"&amp;$C$14:$C$36,$D$14:$D$36)*$E739)</f>
        <v>2.0076</v>
      </c>
      <c r="L739" s="95" cm="1">
        <f ca="1" t="array" ref="L739">MIN(6,_xlfn.XLOOKUP($D739&amp;"_"&amp;L$52,$B$14:$B$36&amp;"_"&amp;$C$14:$C$36,$D$14:$D$36)*$E739)</f>
        <v>3.76425</v>
      </c>
      <c r="M739" s="95" cm="1">
        <f ca="1" t="array" ref="M739">(1+SUMPRODUCT(G739:H739,OFFSET($H$40:$I$40,D739,0)))*(1+OFFSET($J$40,D739,0))^I739*(1+OFFSET($K$40,D739,0))^J739*(1+OFFSET($L$40,D739,0))^K739*(1+OFFSET($M$40,D739,0))^L739</f>
        <v>129.918438781813</v>
      </c>
      <c r="N739" s="95">
        <f ca="1">MAX(MAX($N$53:N738),OFFSET($C$52,MATCH(M739*1.07,$M$53:$M$2052,1),0)-C739)</f>
        <v>10080</v>
      </c>
    </row>
    <row r="740" spans="2:14">
      <c r="B740" s="95">
        <v>688</v>
      </c>
      <c r="C740" s="95">
        <f t="shared" si="59"/>
        <v>247680</v>
      </c>
      <c r="D740" s="95">
        <f ca="1">_xlfn.XLOOKUP(总览!$B$44,$B$40:$B$45,$C$40:$C$45)</f>
        <v>5</v>
      </c>
      <c r="E740" s="95">
        <f ca="1" t="shared" si="56"/>
        <v>718</v>
      </c>
      <c r="F740" s="95">
        <f ca="1" t="shared" si="57"/>
        <v>0</v>
      </c>
      <c r="G740" s="95">
        <f ca="1" t="shared" si="58"/>
        <v>0</v>
      </c>
      <c r="H740" s="95" cm="1">
        <f ca="1" t="array" ref="H740">MIN(30-SUM(I740:L740),_xlfn.XLOOKUP($D740&amp;"_"&amp;H$52,$B$14:$B$36&amp;"_"&amp;$C$14:$C$36,$D$14:$D$36)*$E740,18)</f>
        <v>16.6046</v>
      </c>
      <c r="I740" s="95" cm="1">
        <f ca="1" t="array" ref="I740">MIN(30-SUM(J740:L740),6-L740,_xlfn.XLOOKUP($D740&amp;"_"&amp;I$52,$B$14:$B$36&amp;"_"&amp;$C$14:$C$36,$D$14:$D$36)*$E740)</f>
        <v>2.2305</v>
      </c>
      <c r="J740" s="95" cm="1">
        <f ca="1" t="array" ref="J740">MIN(8,_xlfn.XLOOKUP($D740&amp;"_"&amp;J$52,$B$14:$B$36&amp;"_"&amp;$C$14:$C$36,$D$14:$D$36)*$E740)</f>
        <v>5.385</v>
      </c>
      <c r="K740" s="95" cm="1">
        <f ca="1" t="array" ref="K740">MIN(18,_xlfn.XLOOKUP($D740&amp;"_"&amp;K$52,$B$14:$B$36&amp;"_"&amp;$C$14:$C$36,$D$14:$D$36)*$E740)</f>
        <v>2.0104</v>
      </c>
      <c r="L740" s="95" cm="1">
        <f ca="1" t="array" ref="L740">MIN(6,_xlfn.XLOOKUP($D740&amp;"_"&amp;L$52,$B$14:$B$36&amp;"_"&amp;$C$14:$C$36,$D$14:$D$36)*$E740)</f>
        <v>3.7695</v>
      </c>
      <c r="M740" s="95" cm="1">
        <f ca="1" t="array" ref="M740">(1+SUMPRODUCT(G740:H740,OFFSET($H$40:$I$40,D740,0)))*(1+OFFSET($J$40,D740,0))^I740*(1+OFFSET($K$40,D740,0))^J740*(1+OFFSET($L$40,D740,0))^K740*(1+OFFSET($M$40,D740,0))^L740</f>
        <v>130.23089940272</v>
      </c>
      <c r="N740" s="95">
        <f ca="1">MAX(MAX($N$53:N739),OFFSET($C$52,MATCH(M740*1.07,$M$53:$M$2052,1),0)-C740)</f>
        <v>10080</v>
      </c>
    </row>
    <row r="741" spans="2:14">
      <c r="B741" s="95">
        <v>689</v>
      </c>
      <c r="C741" s="95">
        <f t="shared" si="59"/>
        <v>248040</v>
      </c>
      <c r="D741" s="95">
        <f ca="1">_xlfn.XLOOKUP(总览!$B$44,$B$40:$B$45,$C$40:$C$45)</f>
        <v>5</v>
      </c>
      <c r="E741" s="95">
        <f ca="1" t="shared" si="56"/>
        <v>719</v>
      </c>
      <c r="F741" s="95">
        <f ca="1" t="shared" si="57"/>
        <v>0</v>
      </c>
      <c r="G741" s="95">
        <f ca="1" t="shared" si="58"/>
        <v>0</v>
      </c>
      <c r="H741" s="95" cm="1">
        <f ca="1" t="array" ref="H741">MIN(30-SUM(I741:L741),_xlfn.XLOOKUP($D741&amp;"_"&amp;H$52,$B$14:$B$36&amp;"_"&amp;$C$14:$C$36,$D$14:$D$36)*$E741,18)</f>
        <v>16.5943</v>
      </c>
      <c r="I741" s="95" cm="1">
        <f ca="1" t="array" ref="I741">MIN(30-SUM(J741:L741),6-L741,_xlfn.XLOOKUP($D741&amp;"_"&amp;I$52,$B$14:$B$36&amp;"_"&amp;$C$14:$C$36,$D$14:$D$36)*$E741)</f>
        <v>2.22525</v>
      </c>
      <c r="J741" s="95" cm="1">
        <f ca="1" t="array" ref="J741">MIN(8,_xlfn.XLOOKUP($D741&amp;"_"&amp;J$52,$B$14:$B$36&amp;"_"&amp;$C$14:$C$36,$D$14:$D$36)*$E741)</f>
        <v>5.3925</v>
      </c>
      <c r="K741" s="95" cm="1">
        <f ca="1" t="array" ref="K741">MIN(18,_xlfn.XLOOKUP($D741&amp;"_"&amp;K$52,$B$14:$B$36&amp;"_"&amp;$C$14:$C$36,$D$14:$D$36)*$E741)</f>
        <v>2.0132</v>
      </c>
      <c r="L741" s="95" cm="1">
        <f ca="1" t="array" ref="L741">MIN(6,_xlfn.XLOOKUP($D741&amp;"_"&amp;L$52,$B$14:$B$36&amp;"_"&amp;$C$14:$C$36,$D$14:$D$36)*$E741)</f>
        <v>3.77475</v>
      </c>
      <c r="M741" s="95" cm="1">
        <f ca="1" t="array" ref="M741">(1+SUMPRODUCT(G741:H741,OFFSET($H$40:$I$40,D741,0)))*(1+OFFSET($J$40,D741,0))^I741*(1+OFFSET($K$40,D741,0))^J741*(1+OFFSET($L$40,D741,0))^K741*(1+OFFSET($M$40,D741,0))^L741</f>
        <v>130.544081836232</v>
      </c>
      <c r="N741" s="95">
        <f ca="1">MAX(MAX($N$53:N740),OFFSET($C$52,MATCH(M741*1.07,$M$53:$M$2052,1),0)-C741)</f>
        <v>10080</v>
      </c>
    </row>
    <row r="742" spans="2:14">
      <c r="B742" s="95">
        <v>690</v>
      </c>
      <c r="C742" s="95">
        <f t="shared" si="59"/>
        <v>248400</v>
      </c>
      <c r="D742" s="95">
        <f ca="1">_xlfn.XLOOKUP(总览!$B$44,$B$40:$B$45,$C$40:$C$45)</f>
        <v>5</v>
      </c>
      <c r="E742" s="95">
        <f ca="1" t="shared" si="56"/>
        <v>720</v>
      </c>
      <c r="F742" s="95">
        <f ca="1" t="shared" si="57"/>
        <v>0</v>
      </c>
      <c r="G742" s="95">
        <f ca="1" t="shared" si="58"/>
        <v>0</v>
      </c>
      <c r="H742" s="95" cm="1">
        <f ca="1" t="array" ref="H742">MIN(30-SUM(I742:L742),_xlfn.XLOOKUP($D742&amp;"_"&amp;H$52,$B$14:$B$36&amp;"_"&amp;$C$14:$C$36,$D$14:$D$36)*$E742,18)</f>
        <v>16.584</v>
      </c>
      <c r="I742" s="95" cm="1">
        <f ca="1" t="array" ref="I742">MIN(30-SUM(J742:L742),6-L742,_xlfn.XLOOKUP($D742&amp;"_"&amp;I$52,$B$14:$B$36&amp;"_"&amp;$C$14:$C$36,$D$14:$D$36)*$E742)</f>
        <v>2.22</v>
      </c>
      <c r="J742" s="95" cm="1">
        <f ca="1" t="array" ref="J742">MIN(8,_xlfn.XLOOKUP($D742&amp;"_"&amp;J$52,$B$14:$B$36&amp;"_"&amp;$C$14:$C$36,$D$14:$D$36)*$E742)</f>
        <v>5.4</v>
      </c>
      <c r="K742" s="95" cm="1">
        <f ca="1" t="array" ref="K742">MIN(18,_xlfn.XLOOKUP($D742&amp;"_"&amp;K$52,$B$14:$B$36&amp;"_"&amp;$C$14:$C$36,$D$14:$D$36)*$E742)</f>
        <v>2.016</v>
      </c>
      <c r="L742" s="95" cm="1">
        <f ca="1" t="array" ref="L742">MIN(6,_xlfn.XLOOKUP($D742&amp;"_"&amp;L$52,$B$14:$B$36&amp;"_"&amp;$C$14:$C$36,$D$14:$D$36)*$E742)</f>
        <v>3.78</v>
      </c>
      <c r="M742" s="95" cm="1">
        <f ca="1" t="array" ref="M742">(1+SUMPRODUCT(G742:H742,OFFSET($H$40:$I$40,D742,0)))*(1+OFFSET($J$40,D742,0))^I742*(1+OFFSET($K$40,D742,0))^J742*(1+OFFSET($L$40,D742,0))^K742*(1+OFFSET($M$40,D742,0))^L742</f>
        <v>130.857987647262</v>
      </c>
      <c r="N742" s="95">
        <f ca="1">MAX(MAX($N$53:N741),OFFSET($C$52,MATCH(M742*1.07,$M$53:$M$2052,1),0)-C742)</f>
        <v>10080</v>
      </c>
    </row>
    <row r="743" spans="2:14">
      <c r="B743" s="95">
        <v>691</v>
      </c>
      <c r="C743" s="95">
        <f t="shared" si="59"/>
        <v>248760</v>
      </c>
      <c r="D743" s="95">
        <f ca="1">_xlfn.XLOOKUP(总览!$B$44,$B$40:$B$45,$C$40:$C$45)</f>
        <v>5</v>
      </c>
      <c r="E743" s="95">
        <f ca="1" t="shared" si="56"/>
        <v>721</v>
      </c>
      <c r="F743" s="95">
        <f ca="1" t="shared" si="57"/>
        <v>0</v>
      </c>
      <c r="G743" s="95">
        <f ca="1" t="shared" si="58"/>
        <v>0</v>
      </c>
      <c r="H743" s="95" cm="1">
        <f ca="1" t="array" ref="H743">MIN(30-SUM(I743:L743),_xlfn.XLOOKUP($D743&amp;"_"&amp;H$52,$B$14:$B$36&amp;"_"&amp;$C$14:$C$36,$D$14:$D$36)*$E743,18)</f>
        <v>16.5737</v>
      </c>
      <c r="I743" s="95" cm="1">
        <f ca="1" t="array" ref="I743">MIN(30-SUM(J743:L743),6-L743,_xlfn.XLOOKUP($D743&amp;"_"&amp;I$52,$B$14:$B$36&amp;"_"&amp;$C$14:$C$36,$D$14:$D$36)*$E743)</f>
        <v>2.21475</v>
      </c>
      <c r="J743" s="95" cm="1">
        <f ca="1" t="array" ref="J743">MIN(8,_xlfn.XLOOKUP($D743&amp;"_"&amp;J$52,$B$14:$B$36&amp;"_"&amp;$C$14:$C$36,$D$14:$D$36)*$E743)</f>
        <v>5.4075</v>
      </c>
      <c r="K743" s="95" cm="1">
        <f ca="1" t="array" ref="K743">MIN(18,_xlfn.XLOOKUP($D743&amp;"_"&amp;K$52,$B$14:$B$36&amp;"_"&amp;$C$14:$C$36,$D$14:$D$36)*$E743)</f>
        <v>2.0188</v>
      </c>
      <c r="L743" s="95" cm="1">
        <f ca="1" t="array" ref="L743">MIN(6,_xlfn.XLOOKUP($D743&amp;"_"&amp;L$52,$B$14:$B$36&amp;"_"&amp;$C$14:$C$36,$D$14:$D$36)*$E743)</f>
        <v>3.78525</v>
      </c>
      <c r="M743" s="95" cm="1">
        <f ca="1" t="array" ref="M743">(1+SUMPRODUCT(G743:H743,OFFSET($H$40:$I$40,D743,0)))*(1+OFFSET($J$40,D743,0))^I743*(1+OFFSET($K$40,D743,0))^J743*(1+OFFSET($L$40,D743,0))^K743*(1+OFFSET($M$40,D743,0))^L743</f>
        <v>131.172618403749</v>
      </c>
      <c r="N743" s="95">
        <f ca="1">MAX(MAX($N$53:N742),OFFSET($C$52,MATCH(M743*1.07,$M$53:$M$2052,1),0)-C743)</f>
        <v>10080</v>
      </c>
    </row>
    <row r="744" spans="2:14">
      <c r="B744" s="95">
        <v>692</v>
      </c>
      <c r="C744" s="95">
        <f t="shared" si="59"/>
        <v>249120</v>
      </c>
      <c r="D744" s="95">
        <f ca="1">_xlfn.XLOOKUP(总览!$B$44,$B$40:$B$45,$C$40:$C$45)</f>
        <v>5</v>
      </c>
      <c r="E744" s="95">
        <f ca="1" t="shared" si="56"/>
        <v>722</v>
      </c>
      <c r="F744" s="95">
        <f ca="1" t="shared" si="57"/>
        <v>0</v>
      </c>
      <c r="G744" s="95">
        <f ca="1" t="shared" si="58"/>
        <v>0</v>
      </c>
      <c r="H744" s="95" cm="1">
        <f ca="1" t="array" ref="H744">MIN(30-SUM(I744:L744),_xlfn.XLOOKUP($D744&amp;"_"&amp;H$52,$B$14:$B$36&amp;"_"&amp;$C$14:$C$36,$D$14:$D$36)*$E744,18)</f>
        <v>16.5634</v>
      </c>
      <c r="I744" s="95" cm="1">
        <f ca="1" t="array" ref="I744">MIN(30-SUM(J744:L744),6-L744,_xlfn.XLOOKUP($D744&amp;"_"&amp;I$52,$B$14:$B$36&amp;"_"&amp;$C$14:$C$36,$D$14:$D$36)*$E744)</f>
        <v>2.2095</v>
      </c>
      <c r="J744" s="95" cm="1">
        <f ca="1" t="array" ref="J744">MIN(8,_xlfn.XLOOKUP($D744&amp;"_"&amp;J$52,$B$14:$B$36&amp;"_"&amp;$C$14:$C$36,$D$14:$D$36)*$E744)</f>
        <v>5.415</v>
      </c>
      <c r="K744" s="95" cm="1">
        <f ca="1" t="array" ref="K744">MIN(18,_xlfn.XLOOKUP($D744&amp;"_"&amp;K$52,$B$14:$B$36&amp;"_"&amp;$C$14:$C$36,$D$14:$D$36)*$E744)</f>
        <v>2.0216</v>
      </c>
      <c r="L744" s="95" cm="1">
        <f ca="1" t="array" ref="L744">MIN(6,_xlfn.XLOOKUP($D744&amp;"_"&amp;L$52,$B$14:$B$36&amp;"_"&amp;$C$14:$C$36,$D$14:$D$36)*$E744)</f>
        <v>3.7905</v>
      </c>
      <c r="M744" s="95" cm="1">
        <f ca="1" t="array" ref="M744">(1+SUMPRODUCT(G744:H744,OFFSET($H$40:$I$40,D744,0)))*(1+OFFSET($J$40,D744,0))^I744*(1+OFFSET($K$40,D744,0))^J744*(1+OFFSET($L$40,D744,0))^K744*(1+OFFSET($M$40,D744,0))^L744</f>
        <v>131.487975676659</v>
      </c>
      <c r="N744" s="95">
        <f ca="1">MAX(MAX($N$53:N743),OFFSET($C$52,MATCH(M744*1.07,$M$53:$M$2052,1),0)-C744)</f>
        <v>10080</v>
      </c>
    </row>
    <row r="745" spans="2:14">
      <c r="B745" s="95">
        <v>693</v>
      </c>
      <c r="C745" s="95">
        <f t="shared" si="59"/>
        <v>249480</v>
      </c>
      <c r="D745" s="95">
        <f ca="1">_xlfn.XLOOKUP(总览!$B$44,$B$40:$B$45,$C$40:$C$45)</f>
        <v>5</v>
      </c>
      <c r="E745" s="95">
        <f ca="1" t="shared" si="56"/>
        <v>723</v>
      </c>
      <c r="F745" s="95">
        <f ca="1" t="shared" si="57"/>
        <v>0</v>
      </c>
      <c r="G745" s="95">
        <f ca="1" t="shared" si="58"/>
        <v>0</v>
      </c>
      <c r="H745" s="95" cm="1">
        <f ca="1" t="array" ref="H745">MIN(30-SUM(I745:L745),_xlfn.XLOOKUP($D745&amp;"_"&amp;H$52,$B$14:$B$36&amp;"_"&amp;$C$14:$C$36,$D$14:$D$36)*$E745,18)</f>
        <v>16.5531</v>
      </c>
      <c r="I745" s="95" cm="1">
        <f ca="1" t="array" ref="I745">MIN(30-SUM(J745:L745),6-L745,_xlfn.XLOOKUP($D745&amp;"_"&amp;I$52,$B$14:$B$36&amp;"_"&amp;$C$14:$C$36,$D$14:$D$36)*$E745)</f>
        <v>2.20425</v>
      </c>
      <c r="J745" s="95" cm="1">
        <f ca="1" t="array" ref="J745">MIN(8,_xlfn.XLOOKUP($D745&amp;"_"&amp;J$52,$B$14:$B$36&amp;"_"&amp;$C$14:$C$36,$D$14:$D$36)*$E745)</f>
        <v>5.4225</v>
      </c>
      <c r="K745" s="95" cm="1">
        <f ca="1" t="array" ref="K745">MIN(18,_xlfn.XLOOKUP($D745&amp;"_"&amp;K$52,$B$14:$B$36&amp;"_"&amp;$C$14:$C$36,$D$14:$D$36)*$E745)</f>
        <v>2.0244</v>
      </c>
      <c r="L745" s="95" cm="1">
        <f ca="1" t="array" ref="L745">MIN(6,_xlfn.XLOOKUP($D745&amp;"_"&amp;L$52,$B$14:$B$36&amp;"_"&amp;$C$14:$C$36,$D$14:$D$36)*$E745)</f>
        <v>3.79575</v>
      </c>
      <c r="M745" s="95" cm="1">
        <f ca="1" t="array" ref="M745">(1+SUMPRODUCT(G745:H745,OFFSET($H$40:$I$40,D745,0)))*(1+OFFSET($J$40,D745,0))^I745*(1+OFFSET($K$40,D745,0))^J745*(1+OFFSET($L$40,D745,0))^K745*(1+OFFSET($M$40,D745,0))^L745</f>
        <v>131.804061039991</v>
      </c>
      <c r="N745" s="95">
        <f ca="1">MAX(MAX($N$53:N744),OFFSET($C$52,MATCH(M745*1.07,$M$53:$M$2052,1),0)-C745)</f>
        <v>10080</v>
      </c>
    </row>
    <row r="746" spans="2:14">
      <c r="B746" s="95">
        <v>694</v>
      </c>
      <c r="C746" s="95">
        <f t="shared" si="59"/>
        <v>249840</v>
      </c>
      <c r="D746" s="95">
        <f ca="1">_xlfn.XLOOKUP(总览!$B$44,$B$40:$B$45,$C$40:$C$45)</f>
        <v>5</v>
      </c>
      <c r="E746" s="95">
        <f ca="1" t="shared" si="56"/>
        <v>724</v>
      </c>
      <c r="F746" s="95">
        <f ca="1" t="shared" si="57"/>
        <v>0</v>
      </c>
      <c r="G746" s="95">
        <f ca="1" t="shared" si="58"/>
        <v>0</v>
      </c>
      <c r="H746" s="95" cm="1">
        <f ca="1" t="array" ref="H746">MIN(30-SUM(I746:L746),_xlfn.XLOOKUP($D746&amp;"_"&amp;H$52,$B$14:$B$36&amp;"_"&amp;$C$14:$C$36,$D$14:$D$36)*$E746,18)</f>
        <v>16.5428</v>
      </c>
      <c r="I746" s="95" cm="1">
        <f ca="1" t="array" ref="I746">MIN(30-SUM(J746:L746),6-L746,_xlfn.XLOOKUP($D746&amp;"_"&amp;I$52,$B$14:$B$36&amp;"_"&amp;$C$14:$C$36,$D$14:$D$36)*$E746)</f>
        <v>2.199</v>
      </c>
      <c r="J746" s="95" cm="1">
        <f ca="1" t="array" ref="J746">MIN(8,_xlfn.XLOOKUP($D746&amp;"_"&amp;J$52,$B$14:$B$36&amp;"_"&amp;$C$14:$C$36,$D$14:$D$36)*$E746)</f>
        <v>5.43</v>
      </c>
      <c r="K746" s="95" cm="1">
        <f ca="1" t="array" ref="K746">MIN(18,_xlfn.XLOOKUP($D746&amp;"_"&amp;K$52,$B$14:$B$36&amp;"_"&amp;$C$14:$C$36,$D$14:$D$36)*$E746)</f>
        <v>2.0272</v>
      </c>
      <c r="L746" s="95" cm="1">
        <f ca="1" t="array" ref="L746">MIN(6,_xlfn.XLOOKUP($D746&amp;"_"&amp;L$52,$B$14:$B$36&amp;"_"&amp;$C$14:$C$36,$D$14:$D$36)*$E746)</f>
        <v>3.801</v>
      </c>
      <c r="M746" s="95" cm="1">
        <f ca="1" t="array" ref="M746">(1+SUMPRODUCT(G746:H746,OFFSET($H$40:$I$40,D746,0)))*(1+OFFSET($J$40,D746,0))^I746*(1+OFFSET($K$40,D746,0))^J746*(1+OFFSET($L$40,D746,0))^K746*(1+OFFSET($M$40,D746,0))^L746</f>
        <v>132.120876070782</v>
      </c>
      <c r="N746" s="95">
        <f ca="1">MAX(MAX($N$53:N745),OFFSET($C$52,MATCH(M746*1.07,$M$53:$M$2052,1),0)-C746)</f>
        <v>10080</v>
      </c>
    </row>
    <row r="747" spans="2:14">
      <c r="B747" s="95">
        <v>695</v>
      </c>
      <c r="C747" s="95">
        <f t="shared" si="59"/>
        <v>250200</v>
      </c>
      <c r="D747" s="95">
        <f ca="1">_xlfn.XLOOKUP(总览!$B$44,$B$40:$B$45,$C$40:$C$45)</f>
        <v>5</v>
      </c>
      <c r="E747" s="95">
        <f ca="1" t="shared" si="56"/>
        <v>725</v>
      </c>
      <c r="F747" s="95">
        <f ca="1" t="shared" si="57"/>
        <v>0</v>
      </c>
      <c r="G747" s="95">
        <f ca="1" t="shared" si="58"/>
        <v>0</v>
      </c>
      <c r="H747" s="95" cm="1">
        <f ca="1" t="array" ref="H747">MIN(30-SUM(I747:L747),_xlfn.XLOOKUP($D747&amp;"_"&amp;H$52,$B$14:$B$36&amp;"_"&amp;$C$14:$C$36,$D$14:$D$36)*$E747,18)</f>
        <v>16.5325</v>
      </c>
      <c r="I747" s="95" cm="1">
        <f ca="1" t="array" ref="I747">MIN(30-SUM(J747:L747),6-L747,_xlfn.XLOOKUP($D747&amp;"_"&amp;I$52,$B$14:$B$36&amp;"_"&amp;$C$14:$C$36,$D$14:$D$36)*$E747)</f>
        <v>2.19375</v>
      </c>
      <c r="J747" s="95" cm="1">
        <f ca="1" t="array" ref="J747">MIN(8,_xlfn.XLOOKUP($D747&amp;"_"&amp;J$52,$B$14:$B$36&amp;"_"&amp;$C$14:$C$36,$D$14:$D$36)*$E747)</f>
        <v>5.4375</v>
      </c>
      <c r="K747" s="95" cm="1">
        <f ca="1" t="array" ref="K747">MIN(18,_xlfn.XLOOKUP($D747&amp;"_"&amp;K$52,$B$14:$B$36&amp;"_"&amp;$C$14:$C$36,$D$14:$D$36)*$E747)</f>
        <v>2.03</v>
      </c>
      <c r="L747" s="95" cm="1">
        <f ca="1" t="array" ref="L747">MIN(6,_xlfn.XLOOKUP($D747&amp;"_"&amp;L$52,$B$14:$B$36&amp;"_"&amp;$C$14:$C$36,$D$14:$D$36)*$E747)</f>
        <v>3.80625</v>
      </c>
      <c r="M747" s="95" cm="1">
        <f ca="1" t="array" ref="M747">(1+SUMPRODUCT(G747:H747,OFFSET($H$40:$I$40,D747,0)))*(1+OFFSET($J$40,D747,0))^I747*(1+OFFSET($K$40,D747,0))^J747*(1+OFFSET($L$40,D747,0))^K747*(1+OFFSET($M$40,D747,0))^L747</f>
        <v>132.438422349109</v>
      </c>
      <c r="N747" s="95">
        <f ca="1">MAX(MAX($N$53:N746),OFFSET($C$52,MATCH(M747*1.07,$M$53:$M$2052,1),0)-C747)</f>
        <v>10080</v>
      </c>
    </row>
    <row r="748" spans="2:14">
      <c r="B748" s="95">
        <v>696</v>
      </c>
      <c r="C748" s="95">
        <f t="shared" si="59"/>
        <v>250560</v>
      </c>
      <c r="D748" s="95">
        <f ca="1">_xlfn.XLOOKUP(总览!$B$44,$B$40:$B$45,$C$40:$C$45)</f>
        <v>5</v>
      </c>
      <c r="E748" s="95">
        <f ca="1" t="shared" si="56"/>
        <v>726</v>
      </c>
      <c r="F748" s="95">
        <f ca="1" t="shared" si="57"/>
        <v>0</v>
      </c>
      <c r="G748" s="95">
        <f ca="1" t="shared" si="58"/>
        <v>0</v>
      </c>
      <c r="H748" s="95" cm="1">
        <f ca="1" t="array" ref="H748">MIN(30-SUM(I748:L748),_xlfn.XLOOKUP($D748&amp;"_"&amp;H$52,$B$14:$B$36&amp;"_"&amp;$C$14:$C$36,$D$14:$D$36)*$E748,18)</f>
        <v>16.5222</v>
      </c>
      <c r="I748" s="95" cm="1">
        <f ca="1" t="array" ref="I748">MIN(30-SUM(J748:L748),6-L748,_xlfn.XLOOKUP($D748&amp;"_"&amp;I$52,$B$14:$B$36&amp;"_"&amp;$C$14:$C$36,$D$14:$D$36)*$E748)</f>
        <v>2.1885</v>
      </c>
      <c r="J748" s="95" cm="1">
        <f ca="1" t="array" ref="J748">MIN(8,_xlfn.XLOOKUP($D748&amp;"_"&amp;J$52,$B$14:$B$36&amp;"_"&amp;$C$14:$C$36,$D$14:$D$36)*$E748)</f>
        <v>5.445</v>
      </c>
      <c r="K748" s="95" cm="1">
        <f ca="1" t="array" ref="K748">MIN(18,_xlfn.XLOOKUP($D748&amp;"_"&amp;K$52,$B$14:$B$36&amp;"_"&amp;$C$14:$C$36,$D$14:$D$36)*$E748)</f>
        <v>2.0328</v>
      </c>
      <c r="L748" s="95" cm="1">
        <f ca="1" t="array" ref="L748">MIN(6,_xlfn.XLOOKUP($D748&amp;"_"&amp;L$52,$B$14:$B$36&amp;"_"&amp;$C$14:$C$36,$D$14:$D$36)*$E748)</f>
        <v>3.8115</v>
      </c>
      <c r="M748" s="95" cm="1">
        <f ca="1" t="array" ref="M748">(1+SUMPRODUCT(G748:H748,OFFSET($H$40:$I$40,D748,0)))*(1+OFFSET($J$40,D748,0))^I748*(1+OFFSET($K$40,D748,0))^J748*(1+OFFSET($L$40,D748,0))^K748*(1+OFFSET($M$40,D748,0))^L748</f>
        <v>132.756701458095</v>
      </c>
      <c r="N748" s="95">
        <f ca="1">MAX(MAX($N$53:N747),OFFSET($C$52,MATCH(M748*1.07,$M$53:$M$2052,1),0)-C748)</f>
        <v>10080</v>
      </c>
    </row>
    <row r="749" spans="2:14">
      <c r="B749" s="95">
        <v>697</v>
      </c>
      <c r="C749" s="95">
        <f t="shared" si="59"/>
        <v>250920</v>
      </c>
      <c r="D749" s="95">
        <f ca="1">_xlfn.XLOOKUP(总览!$B$44,$B$40:$B$45,$C$40:$C$45)</f>
        <v>5</v>
      </c>
      <c r="E749" s="95">
        <f ca="1" t="shared" si="56"/>
        <v>727</v>
      </c>
      <c r="F749" s="95">
        <f ca="1" t="shared" si="57"/>
        <v>0</v>
      </c>
      <c r="G749" s="95">
        <f ca="1" t="shared" si="58"/>
        <v>0</v>
      </c>
      <c r="H749" s="95" cm="1">
        <f ca="1" t="array" ref="H749">MIN(30-SUM(I749:L749),_xlfn.XLOOKUP($D749&amp;"_"&amp;H$52,$B$14:$B$36&amp;"_"&amp;$C$14:$C$36,$D$14:$D$36)*$E749,18)</f>
        <v>16.5119</v>
      </c>
      <c r="I749" s="95" cm="1">
        <f ca="1" t="array" ref="I749">MIN(30-SUM(J749:L749),6-L749,_xlfn.XLOOKUP($D749&amp;"_"&amp;I$52,$B$14:$B$36&amp;"_"&amp;$C$14:$C$36,$D$14:$D$36)*$E749)</f>
        <v>2.18325</v>
      </c>
      <c r="J749" s="95" cm="1">
        <f ca="1" t="array" ref="J749">MIN(8,_xlfn.XLOOKUP($D749&amp;"_"&amp;J$52,$B$14:$B$36&amp;"_"&amp;$C$14:$C$36,$D$14:$D$36)*$E749)</f>
        <v>5.4525</v>
      </c>
      <c r="K749" s="95" cm="1">
        <f ca="1" t="array" ref="K749">MIN(18,_xlfn.XLOOKUP($D749&amp;"_"&amp;K$52,$B$14:$B$36&amp;"_"&amp;$C$14:$C$36,$D$14:$D$36)*$E749)</f>
        <v>2.0356</v>
      </c>
      <c r="L749" s="95" cm="1">
        <f ca="1" t="array" ref="L749">MIN(6,_xlfn.XLOOKUP($D749&amp;"_"&amp;L$52,$B$14:$B$36&amp;"_"&amp;$C$14:$C$36,$D$14:$D$36)*$E749)</f>
        <v>3.81675</v>
      </c>
      <c r="M749" s="95" cm="1">
        <f ca="1" t="array" ref="M749">(1+SUMPRODUCT(G749:H749,OFFSET($H$40:$I$40,D749,0)))*(1+OFFSET($J$40,D749,0))^I749*(1+OFFSET($K$40,D749,0))^J749*(1+OFFSET($L$40,D749,0))^K749*(1+OFFSET($M$40,D749,0))^L749</f>
        <v>133.075714983917</v>
      </c>
      <c r="N749" s="95">
        <f ca="1">MAX(MAX($N$53:N748),OFFSET($C$52,MATCH(M749*1.07,$M$53:$M$2052,1),0)-C749)</f>
        <v>10080</v>
      </c>
    </row>
    <row r="750" spans="2:14">
      <c r="B750" s="95">
        <v>698</v>
      </c>
      <c r="C750" s="95">
        <f t="shared" ref="C750:C775" si="60">C749+360</f>
        <v>251280</v>
      </c>
      <c r="D750" s="95">
        <f ca="1">_xlfn.XLOOKUP(总览!$B$44,$B$40:$B$45,$C$40:$C$45)</f>
        <v>5</v>
      </c>
      <c r="E750" s="95">
        <f ca="1" t="shared" si="56"/>
        <v>728</v>
      </c>
      <c r="F750" s="95">
        <f ca="1" t="shared" si="57"/>
        <v>0</v>
      </c>
      <c r="G750" s="95">
        <f ca="1" t="shared" si="58"/>
        <v>0</v>
      </c>
      <c r="H750" s="95" cm="1">
        <f ca="1" t="array" ref="H750">MIN(30-SUM(I750:L750),_xlfn.XLOOKUP($D750&amp;"_"&amp;H$52,$B$14:$B$36&amp;"_"&amp;$C$14:$C$36,$D$14:$D$36)*$E750,18)</f>
        <v>16.5016</v>
      </c>
      <c r="I750" s="95" cm="1">
        <f ca="1" t="array" ref="I750">MIN(30-SUM(J750:L750),6-L750,_xlfn.XLOOKUP($D750&amp;"_"&amp;I$52,$B$14:$B$36&amp;"_"&amp;$C$14:$C$36,$D$14:$D$36)*$E750)</f>
        <v>2.178</v>
      </c>
      <c r="J750" s="95" cm="1">
        <f ca="1" t="array" ref="J750">MIN(8,_xlfn.XLOOKUP($D750&amp;"_"&amp;J$52,$B$14:$B$36&amp;"_"&amp;$C$14:$C$36,$D$14:$D$36)*$E750)</f>
        <v>5.46</v>
      </c>
      <c r="K750" s="95" cm="1">
        <f ca="1" t="array" ref="K750">MIN(18,_xlfn.XLOOKUP($D750&amp;"_"&amp;K$52,$B$14:$B$36&amp;"_"&amp;$C$14:$C$36,$D$14:$D$36)*$E750)</f>
        <v>2.0384</v>
      </c>
      <c r="L750" s="95" cm="1">
        <f ca="1" t="array" ref="L750">MIN(6,_xlfn.XLOOKUP($D750&amp;"_"&amp;L$52,$B$14:$B$36&amp;"_"&amp;$C$14:$C$36,$D$14:$D$36)*$E750)</f>
        <v>3.822</v>
      </c>
      <c r="M750" s="95" cm="1">
        <f ca="1" t="array" ref="M750">(1+SUMPRODUCT(G750:H750,OFFSET($H$40:$I$40,D750,0)))*(1+OFFSET($J$40,D750,0))^I750*(1+OFFSET($K$40,D750,0))^J750*(1+OFFSET($L$40,D750,0))^K750*(1+OFFSET($M$40,D750,0))^L750</f>
        <v>133.395464515802</v>
      </c>
      <c r="N750" s="95">
        <f ca="1">MAX(MAX($N$53:N749),OFFSET($C$52,MATCH(M750*1.07,$M$53:$M$2052,1),0)-C750)</f>
        <v>10080</v>
      </c>
    </row>
    <row r="751" spans="2:14">
      <c r="B751" s="95">
        <v>699</v>
      </c>
      <c r="C751" s="95">
        <f t="shared" si="60"/>
        <v>251640</v>
      </c>
      <c r="D751" s="95">
        <f ca="1">_xlfn.XLOOKUP(总览!$B$44,$B$40:$B$45,$C$40:$C$45)</f>
        <v>5</v>
      </c>
      <c r="E751" s="95">
        <f ca="1" t="shared" si="56"/>
        <v>729</v>
      </c>
      <c r="F751" s="95">
        <f ca="1" t="shared" si="57"/>
        <v>0</v>
      </c>
      <c r="G751" s="95">
        <f ca="1" t="shared" si="58"/>
        <v>0</v>
      </c>
      <c r="H751" s="95" cm="1">
        <f ca="1" t="array" ref="H751">MIN(30-SUM(I751:L751),_xlfn.XLOOKUP($D751&amp;"_"&amp;H$52,$B$14:$B$36&amp;"_"&amp;$C$14:$C$36,$D$14:$D$36)*$E751,18)</f>
        <v>16.4913</v>
      </c>
      <c r="I751" s="95" cm="1">
        <f ca="1" t="array" ref="I751">MIN(30-SUM(J751:L751),6-L751,_xlfn.XLOOKUP($D751&amp;"_"&amp;I$52,$B$14:$B$36&amp;"_"&amp;$C$14:$C$36,$D$14:$D$36)*$E751)</f>
        <v>2.17275</v>
      </c>
      <c r="J751" s="95" cm="1">
        <f ca="1" t="array" ref="J751">MIN(8,_xlfn.XLOOKUP($D751&amp;"_"&amp;J$52,$B$14:$B$36&amp;"_"&amp;$C$14:$C$36,$D$14:$D$36)*$E751)</f>
        <v>5.4675</v>
      </c>
      <c r="K751" s="95" cm="1">
        <f ca="1" t="array" ref="K751">MIN(18,_xlfn.XLOOKUP($D751&amp;"_"&amp;K$52,$B$14:$B$36&amp;"_"&amp;$C$14:$C$36,$D$14:$D$36)*$E751)</f>
        <v>2.0412</v>
      </c>
      <c r="L751" s="95" cm="1">
        <f ca="1" t="array" ref="L751">MIN(6,_xlfn.XLOOKUP($D751&amp;"_"&amp;L$52,$B$14:$B$36&amp;"_"&amp;$C$14:$C$36,$D$14:$D$36)*$E751)</f>
        <v>3.82725</v>
      </c>
      <c r="M751" s="95" cm="1">
        <f ca="1" t="array" ref="M751">(1+SUMPRODUCT(G751:H751,OFFSET($H$40:$I$40,D751,0)))*(1+OFFSET($J$40,D751,0))^I751*(1+OFFSET($K$40,D751,0))^J751*(1+OFFSET($L$40,D751,0))^K751*(1+OFFSET($M$40,D751,0))^L751</f>
        <v>133.715951646038</v>
      </c>
      <c r="N751" s="95">
        <f ca="1">MAX(MAX($N$53:N750),OFFSET($C$52,MATCH(M751*1.07,$M$53:$M$2052,1),0)-C751)</f>
        <v>10080</v>
      </c>
    </row>
    <row r="752" spans="2:14">
      <c r="B752" s="95">
        <v>700</v>
      </c>
      <c r="C752" s="95">
        <f t="shared" si="60"/>
        <v>252000</v>
      </c>
      <c r="D752" s="95">
        <f ca="1">_xlfn.XLOOKUP(总览!$B$44,$B$40:$B$45,$C$40:$C$45)</f>
        <v>5</v>
      </c>
      <c r="E752" s="95">
        <f ca="1" t="shared" si="56"/>
        <v>730</v>
      </c>
      <c r="F752" s="95">
        <f ca="1" t="shared" si="57"/>
        <v>0</v>
      </c>
      <c r="G752" s="95">
        <f ca="1" t="shared" si="58"/>
        <v>0</v>
      </c>
      <c r="H752" s="95" cm="1">
        <f ca="1" t="array" ref="H752">MIN(30-SUM(I752:L752),_xlfn.XLOOKUP($D752&amp;"_"&amp;H$52,$B$14:$B$36&amp;"_"&amp;$C$14:$C$36,$D$14:$D$36)*$E752,18)</f>
        <v>16.481</v>
      </c>
      <c r="I752" s="95" cm="1">
        <f ca="1" t="array" ref="I752">MIN(30-SUM(J752:L752),6-L752,_xlfn.XLOOKUP($D752&amp;"_"&amp;I$52,$B$14:$B$36&amp;"_"&amp;$C$14:$C$36,$D$14:$D$36)*$E752)</f>
        <v>2.1675</v>
      </c>
      <c r="J752" s="95" cm="1">
        <f ca="1" t="array" ref="J752">MIN(8,_xlfn.XLOOKUP($D752&amp;"_"&amp;J$52,$B$14:$B$36&amp;"_"&amp;$C$14:$C$36,$D$14:$D$36)*$E752)</f>
        <v>5.475</v>
      </c>
      <c r="K752" s="95" cm="1">
        <f ca="1" t="array" ref="K752">MIN(18,_xlfn.XLOOKUP($D752&amp;"_"&amp;K$52,$B$14:$B$36&amp;"_"&amp;$C$14:$C$36,$D$14:$D$36)*$E752)</f>
        <v>2.044</v>
      </c>
      <c r="L752" s="95" cm="1">
        <f ca="1" t="array" ref="L752">MIN(6,_xlfn.XLOOKUP($D752&amp;"_"&amp;L$52,$B$14:$B$36&amp;"_"&amp;$C$14:$C$36,$D$14:$D$36)*$E752)</f>
        <v>3.8325</v>
      </c>
      <c r="M752" s="95" cm="1">
        <f ca="1" t="array" ref="M752">(1+SUMPRODUCT(G752:H752,OFFSET($H$40:$I$40,D752,0)))*(1+OFFSET($J$40,D752,0))^I752*(1+OFFSET($K$40,D752,0))^J752*(1+OFFSET($L$40,D752,0))^K752*(1+OFFSET($M$40,D752,0))^L752</f>
        <v>134.037177969979</v>
      </c>
      <c r="N752" s="95">
        <f ca="1">MAX(MAX($N$53:N751),OFFSET($C$52,MATCH(M752*1.07,$M$53:$M$2052,1),0)-C752)</f>
        <v>10080</v>
      </c>
    </row>
    <row r="753" spans="2:14">
      <c r="B753" s="95">
        <v>701</v>
      </c>
      <c r="C753" s="95">
        <f t="shared" si="60"/>
        <v>252360</v>
      </c>
      <c r="D753" s="95">
        <f ca="1">_xlfn.XLOOKUP(总览!$B$44,$B$40:$B$45,$C$40:$C$45)</f>
        <v>5</v>
      </c>
      <c r="E753" s="95">
        <f ca="1" t="shared" si="56"/>
        <v>731</v>
      </c>
      <c r="F753" s="95">
        <f ca="1" t="shared" si="57"/>
        <v>0</v>
      </c>
      <c r="G753" s="95">
        <f ca="1" t="shared" si="58"/>
        <v>0</v>
      </c>
      <c r="H753" s="95" cm="1">
        <f ca="1" t="array" ref="H753">MIN(30-SUM(I753:L753),_xlfn.XLOOKUP($D753&amp;"_"&amp;H$52,$B$14:$B$36&amp;"_"&amp;$C$14:$C$36,$D$14:$D$36)*$E753,18)</f>
        <v>16.4707</v>
      </c>
      <c r="I753" s="95" cm="1">
        <f ca="1" t="array" ref="I753">MIN(30-SUM(J753:L753),6-L753,_xlfn.XLOOKUP($D753&amp;"_"&amp;I$52,$B$14:$B$36&amp;"_"&amp;$C$14:$C$36,$D$14:$D$36)*$E753)</f>
        <v>2.16225</v>
      </c>
      <c r="J753" s="95" cm="1">
        <f ca="1" t="array" ref="J753">MIN(8,_xlfn.XLOOKUP($D753&amp;"_"&amp;J$52,$B$14:$B$36&amp;"_"&amp;$C$14:$C$36,$D$14:$D$36)*$E753)</f>
        <v>5.4825</v>
      </c>
      <c r="K753" s="95" cm="1">
        <f ca="1" t="array" ref="K753">MIN(18,_xlfn.XLOOKUP($D753&amp;"_"&amp;K$52,$B$14:$B$36&amp;"_"&amp;$C$14:$C$36,$D$14:$D$36)*$E753)</f>
        <v>2.0468</v>
      </c>
      <c r="L753" s="95" cm="1">
        <f ca="1" t="array" ref="L753">MIN(6,_xlfn.XLOOKUP($D753&amp;"_"&amp;L$52,$B$14:$B$36&amp;"_"&amp;$C$14:$C$36,$D$14:$D$36)*$E753)</f>
        <v>3.83775</v>
      </c>
      <c r="M753" s="95" cm="1">
        <f ca="1" t="array" ref="M753">(1+SUMPRODUCT(G753:H753,OFFSET($H$40:$I$40,D753,0)))*(1+OFFSET($J$40,D753,0))^I753*(1+OFFSET($K$40,D753,0))^J753*(1+OFFSET($L$40,D753,0))^K753*(1+OFFSET($M$40,D753,0))^L753</f>
        <v>134.359145086045</v>
      </c>
      <c r="N753" s="95">
        <f ca="1">MAX(MAX($N$53:N752),OFFSET($C$52,MATCH(M753*1.07,$M$53:$M$2052,1),0)-C753)</f>
        <v>10080</v>
      </c>
    </row>
    <row r="754" spans="2:14">
      <c r="B754" s="95">
        <v>702</v>
      </c>
      <c r="C754" s="95">
        <f t="shared" si="60"/>
        <v>252720</v>
      </c>
      <c r="D754" s="95">
        <f ca="1">_xlfn.XLOOKUP(总览!$B$44,$B$40:$B$45,$C$40:$C$45)</f>
        <v>5</v>
      </c>
      <c r="E754" s="95">
        <f ca="1" t="shared" si="56"/>
        <v>732</v>
      </c>
      <c r="F754" s="95">
        <f ca="1" t="shared" si="57"/>
        <v>0</v>
      </c>
      <c r="G754" s="95">
        <f ca="1" t="shared" si="58"/>
        <v>0</v>
      </c>
      <c r="H754" s="95" cm="1">
        <f ca="1" t="array" ref="H754">MIN(30-SUM(I754:L754),_xlfn.XLOOKUP($D754&amp;"_"&amp;H$52,$B$14:$B$36&amp;"_"&amp;$C$14:$C$36,$D$14:$D$36)*$E754,18)</f>
        <v>16.4604</v>
      </c>
      <c r="I754" s="95" cm="1">
        <f ca="1" t="array" ref="I754">MIN(30-SUM(J754:L754),6-L754,_xlfn.XLOOKUP($D754&amp;"_"&amp;I$52,$B$14:$B$36&amp;"_"&amp;$C$14:$C$36,$D$14:$D$36)*$E754)</f>
        <v>2.157</v>
      </c>
      <c r="J754" s="95" cm="1">
        <f ca="1" t="array" ref="J754">MIN(8,_xlfn.XLOOKUP($D754&amp;"_"&amp;J$52,$B$14:$B$36&amp;"_"&amp;$C$14:$C$36,$D$14:$D$36)*$E754)</f>
        <v>5.49</v>
      </c>
      <c r="K754" s="95" cm="1">
        <f ca="1" t="array" ref="K754">MIN(18,_xlfn.XLOOKUP($D754&amp;"_"&amp;K$52,$B$14:$B$36&amp;"_"&amp;$C$14:$C$36,$D$14:$D$36)*$E754)</f>
        <v>2.0496</v>
      </c>
      <c r="L754" s="95" cm="1">
        <f ca="1" t="array" ref="L754">MIN(6,_xlfn.XLOOKUP($D754&amp;"_"&amp;L$52,$B$14:$B$36&amp;"_"&amp;$C$14:$C$36,$D$14:$D$36)*$E754)</f>
        <v>3.843</v>
      </c>
      <c r="M754" s="95" cm="1">
        <f ca="1" t="array" ref="M754">(1+SUMPRODUCT(G754:H754,OFFSET($H$40:$I$40,D754,0)))*(1+OFFSET($J$40,D754,0))^I754*(1+OFFSET($K$40,D754,0))^J754*(1+OFFSET($L$40,D754,0))^K754*(1+OFFSET($M$40,D754,0))^L754</f>
        <v>134.681854595727</v>
      </c>
      <c r="N754" s="95">
        <f ca="1">MAX(MAX($N$53:N753),OFFSET($C$52,MATCH(M754*1.07,$M$53:$M$2052,1),0)-C754)</f>
        <v>10080</v>
      </c>
    </row>
    <row r="755" spans="2:14">
      <c r="B755" s="95">
        <v>703</v>
      </c>
      <c r="C755" s="95">
        <f t="shared" si="60"/>
        <v>253080</v>
      </c>
      <c r="D755" s="95">
        <f ca="1">_xlfn.XLOOKUP(总览!$B$44,$B$40:$B$45,$C$40:$C$45)</f>
        <v>5</v>
      </c>
      <c r="E755" s="95">
        <f ca="1" t="shared" si="56"/>
        <v>733</v>
      </c>
      <c r="F755" s="95">
        <f ca="1" t="shared" si="57"/>
        <v>0</v>
      </c>
      <c r="G755" s="95">
        <f ca="1" t="shared" si="58"/>
        <v>0</v>
      </c>
      <c r="H755" s="95" cm="1">
        <f ca="1" t="array" ref="H755">MIN(30-SUM(I755:L755),_xlfn.XLOOKUP($D755&amp;"_"&amp;H$52,$B$14:$B$36&amp;"_"&amp;$C$14:$C$36,$D$14:$D$36)*$E755,18)</f>
        <v>16.4501</v>
      </c>
      <c r="I755" s="95" cm="1">
        <f ca="1" t="array" ref="I755">MIN(30-SUM(J755:L755),6-L755,_xlfn.XLOOKUP($D755&amp;"_"&amp;I$52,$B$14:$B$36&amp;"_"&amp;$C$14:$C$36,$D$14:$D$36)*$E755)</f>
        <v>2.15175</v>
      </c>
      <c r="J755" s="95" cm="1">
        <f ca="1" t="array" ref="J755">MIN(8,_xlfn.XLOOKUP($D755&amp;"_"&amp;J$52,$B$14:$B$36&amp;"_"&amp;$C$14:$C$36,$D$14:$D$36)*$E755)</f>
        <v>5.4975</v>
      </c>
      <c r="K755" s="95" cm="1">
        <f ca="1" t="array" ref="K755">MIN(18,_xlfn.XLOOKUP($D755&amp;"_"&amp;K$52,$B$14:$B$36&amp;"_"&amp;$C$14:$C$36,$D$14:$D$36)*$E755)</f>
        <v>2.0524</v>
      </c>
      <c r="L755" s="95" cm="1">
        <f ca="1" t="array" ref="L755">MIN(6,_xlfn.XLOOKUP($D755&amp;"_"&amp;L$52,$B$14:$B$36&amp;"_"&amp;$C$14:$C$36,$D$14:$D$36)*$E755)</f>
        <v>3.84825</v>
      </c>
      <c r="M755" s="95" cm="1">
        <f ca="1" t="array" ref="M755">(1+SUMPRODUCT(G755:H755,OFFSET($H$40:$I$40,D755,0)))*(1+OFFSET($J$40,D755,0))^I755*(1+OFFSET($K$40,D755,0))^J755*(1+OFFSET($L$40,D755,0))^K755*(1+OFFSET($M$40,D755,0))^L755</f>
        <v>135.005308103598</v>
      </c>
      <c r="N755" s="95">
        <f ca="1">MAX(MAX($N$53:N754),OFFSET($C$52,MATCH(M755*1.07,$M$53:$M$2052,1),0)-C755)</f>
        <v>10080</v>
      </c>
    </row>
    <row r="756" spans="2:14">
      <c r="B756" s="95">
        <v>704</v>
      </c>
      <c r="C756" s="95">
        <f t="shared" si="60"/>
        <v>253440</v>
      </c>
      <c r="D756" s="95">
        <f ca="1">_xlfn.XLOOKUP(总览!$B$44,$B$40:$B$45,$C$40:$C$45)</f>
        <v>5</v>
      </c>
      <c r="E756" s="95">
        <f ca="1" t="shared" si="56"/>
        <v>734</v>
      </c>
      <c r="F756" s="95">
        <f ca="1" t="shared" si="57"/>
        <v>0</v>
      </c>
      <c r="G756" s="95">
        <f ca="1" t="shared" si="58"/>
        <v>0</v>
      </c>
      <c r="H756" s="95" cm="1">
        <f ca="1" t="array" ref="H756">MIN(30-SUM(I756:L756),_xlfn.XLOOKUP($D756&amp;"_"&amp;H$52,$B$14:$B$36&amp;"_"&amp;$C$14:$C$36,$D$14:$D$36)*$E756,18)</f>
        <v>16.4398</v>
      </c>
      <c r="I756" s="95" cm="1">
        <f ca="1" t="array" ref="I756">MIN(30-SUM(J756:L756),6-L756,_xlfn.XLOOKUP($D756&amp;"_"&amp;I$52,$B$14:$B$36&amp;"_"&amp;$C$14:$C$36,$D$14:$D$36)*$E756)</f>
        <v>2.1465</v>
      </c>
      <c r="J756" s="95" cm="1">
        <f ca="1" t="array" ref="J756">MIN(8,_xlfn.XLOOKUP($D756&amp;"_"&amp;J$52,$B$14:$B$36&amp;"_"&amp;$C$14:$C$36,$D$14:$D$36)*$E756)</f>
        <v>5.505</v>
      </c>
      <c r="K756" s="95" cm="1">
        <f ca="1" t="array" ref="K756">MIN(18,_xlfn.XLOOKUP($D756&amp;"_"&amp;K$52,$B$14:$B$36&amp;"_"&amp;$C$14:$C$36,$D$14:$D$36)*$E756)</f>
        <v>2.0552</v>
      </c>
      <c r="L756" s="95" cm="1">
        <f ca="1" t="array" ref="L756">MIN(6,_xlfn.XLOOKUP($D756&amp;"_"&amp;L$52,$B$14:$B$36&amp;"_"&amp;$C$14:$C$36,$D$14:$D$36)*$E756)</f>
        <v>3.8535</v>
      </c>
      <c r="M756" s="95" cm="1">
        <f ca="1" t="array" ref="M756">(1+SUMPRODUCT(G756:H756,OFFSET($H$40:$I$40,D756,0)))*(1+OFFSET($J$40,D756,0))^I756*(1+OFFSET($K$40,D756,0))^J756*(1+OFFSET($L$40,D756,0))^K756*(1+OFFSET($M$40,D756,0))^L756</f>
        <v>135.329507217307</v>
      </c>
      <c r="N756" s="95">
        <f ca="1">MAX(MAX($N$53:N755),OFFSET($C$52,MATCH(M756*1.07,$M$53:$M$2052,1),0)-C756)</f>
        <v>10080</v>
      </c>
    </row>
    <row r="757" spans="2:14">
      <c r="B757" s="95">
        <v>705</v>
      </c>
      <c r="C757" s="95">
        <f t="shared" si="60"/>
        <v>253800</v>
      </c>
      <c r="D757" s="95">
        <f ca="1">_xlfn.XLOOKUP(总览!$B$44,$B$40:$B$45,$C$40:$C$45)</f>
        <v>5</v>
      </c>
      <c r="E757" s="95">
        <f ca="1" t="shared" si="56"/>
        <v>735</v>
      </c>
      <c r="F757" s="95">
        <f ca="1" t="shared" si="57"/>
        <v>0</v>
      </c>
      <c r="G757" s="95">
        <f ca="1" t="shared" si="58"/>
        <v>0</v>
      </c>
      <c r="H757" s="95" cm="1">
        <f ca="1" t="array" ref="H757">MIN(30-SUM(I757:L757),_xlfn.XLOOKUP($D757&amp;"_"&amp;H$52,$B$14:$B$36&amp;"_"&amp;$C$14:$C$36,$D$14:$D$36)*$E757,18)</f>
        <v>16.4295</v>
      </c>
      <c r="I757" s="95" cm="1">
        <f ca="1" t="array" ref="I757">MIN(30-SUM(J757:L757),6-L757,_xlfn.XLOOKUP($D757&amp;"_"&amp;I$52,$B$14:$B$36&amp;"_"&amp;$C$14:$C$36,$D$14:$D$36)*$E757)</f>
        <v>2.14125</v>
      </c>
      <c r="J757" s="95" cm="1">
        <f ca="1" t="array" ref="J757">MIN(8,_xlfn.XLOOKUP($D757&amp;"_"&amp;J$52,$B$14:$B$36&amp;"_"&amp;$C$14:$C$36,$D$14:$D$36)*$E757)</f>
        <v>5.5125</v>
      </c>
      <c r="K757" s="95" cm="1">
        <f ca="1" t="array" ref="K757">MIN(18,_xlfn.XLOOKUP($D757&amp;"_"&amp;K$52,$B$14:$B$36&amp;"_"&amp;$C$14:$C$36,$D$14:$D$36)*$E757)</f>
        <v>2.058</v>
      </c>
      <c r="L757" s="95" cm="1">
        <f ca="1" t="array" ref="L757">MIN(6,_xlfn.XLOOKUP($D757&amp;"_"&amp;L$52,$B$14:$B$36&amp;"_"&amp;$C$14:$C$36,$D$14:$D$36)*$E757)</f>
        <v>3.85875</v>
      </c>
      <c r="M757" s="95" cm="1">
        <f ca="1" t="array" ref="M757">(1+SUMPRODUCT(G757:H757,OFFSET($H$40:$I$40,D757,0)))*(1+OFFSET($J$40,D757,0))^I757*(1+OFFSET($K$40,D757,0))^J757*(1+OFFSET($L$40,D757,0))^K757*(1+OFFSET($M$40,D757,0))^L757</f>
        <v>135.654453547592</v>
      </c>
      <c r="N757" s="95">
        <f ca="1">MAX(MAX($N$53:N756),OFFSET($C$52,MATCH(M757*1.07,$M$53:$M$2052,1),0)-C757)</f>
        <v>10080</v>
      </c>
    </row>
    <row r="758" spans="2:14">
      <c r="B758" s="95">
        <v>706</v>
      </c>
      <c r="C758" s="95">
        <f t="shared" si="60"/>
        <v>254160</v>
      </c>
      <c r="D758" s="95">
        <f ca="1">_xlfn.XLOOKUP(总览!$B$44,$B$40:$B$45,$C$40:$C$45)</f>
        <v>5</v>
      </c>
      <c r="E758" s="95">
        <f ca="1" t="shared" ref="E758:E821" si="61">INT(C758/_xlfn.XLOOKUP(D758,$N$5:$N$16,$O$5:$O$16))+OFFSET($R$40,D758,0)</f>
        <v>736</v>
      </c>
      <c r="F758" s="95">
        <f ca="1" t="shared" si="57"/>
        <v>0</v>
      </c>
      <c r="G758" s="95">
        <f ca="1" t="shared" si="58"/>
        <v>0</v>
      </c>
      <c r="H758" s="95" cm="1">
        <f ca="1" t="array" ref="H758">MIN(30-SUM(I758:L758),_xlfn.XLOOKUP($D758&amp;"_"&amp;H$52,$B$14:$B$36&amp;"_"&amp;$C$14:$C$36,$D$14:$D$36)*$E758,18)</f>
        <v>16.4192</v>
      </c>
      <c r="I758" s="95" cm="1">
        <f ca="1" t="array" ref="I758">MIN(30-SUM(J758:L758),6-L758,_xlfn.XLOOKUP($D758&amp;"_"&amp;I$52,$B$14:$B$36&amp;"_"&amp;$C$14:$C$36,$D$14:$D$36)*$E758)</f>
        <v>2.136</v>
      </c>
      <c r="J758" s="95" cm="1">
        <f ca="1" t="array" ref="J758">MIN(8,_xlfn.XLOOKUP($D758&amp;"_"&amp;J$52,$B$14:$B$36&amp;"_"&amp;$C$14:$C$36,$D$14:$D$36)*$E758)</f>
        <v>5.52</v>
      </c>
      <c r="K758" s="95" cm="1">
        <f ca="1" t="array" ref="K758">MIN(18,_xlfn.XLOOKUP($D758&amp;"_"&amp;K$52,$B$14:$B$36&amp;"_"&amp;$C$14:$C$36,$D$14:$D$36)*$E758)</f>
        <v>2.0608</v>
      </c>
      <c r="L758" s="95" cm="1">
        <f ca="1" t="array" ref="L758">MIN(6,_xlfn.XLOOKUP($D758&amp;"_"&amp;L$52,$B$14:$B$36&amp;"_"&amp;$C$14:$C$36,$D$14:$D$36)*$E758)</f>
        <v>3.864</v>
      </c>
      <c r="M758" s="95" cm="1">
        <f ca="1" t="array" ref="M758">(1+SUMPRODUCT(G758:H758,OFFSET($H$40:$I$40,D758,0)))*(1+OFFSET($J$40,D758,0))^I758*(1+OFFSET($K$40,D758,0))^J758*(1+OFFSET($L$40,D758,0))^K758*(1+OFFSET($M$40,D758,0))^L758</f>
        <v>135.980148708281</v>
      </c>
      <c r="N758" s="95">
        <f ca="1">MAX(MAX($N$53:N757),OFFSET($C$52,MATCH(M758*1.07,$M$53:$M$2052,1),0)-C758)</f>
        <v>10080</v>
      </c>
    </row>
    <row r="759" spans="2:14">
      <c r="B759" s="95">
        <v>707</v>
      </c>
      <c r="C759" s="95">
        <f t="shared" si="60"/>
        <v>254520</v>
      </c>
      <c r="D759" s="95">
        <f ca="1">_xlfn.XLOOKUP(总览!$B$44,$B$40:$B$45,$C$40:$C$45)</f>
        <v>5</v>
      </c>
      <c r="E759" s="95">
        <f ca="1" t="shared" si="61"/>
        <v>737</v>
      </c>
      <c r="F759" s="95">
        <f ca="1" t="shared" ref="F759:F822" si="62">30-SUM(G759:L759)</f>
        <v>0</v>
      </c>
      <c r="G759" s="95">
        <f ca="1" t="shared" ref="G759:G822" si="63">30-SUM(H759:L759)</f>
        <v>0</v>
      </c>
      <c r="H759" s="95" cm="1">
        <f ca="1" t="array" ref="H759">MIN(30-SUM(I759:L759),_xlfn.XLOOKUP($D759&amp;"_"&amp;H$52,$B$14:$B$36&amp;"_"&amp;$C$14:$C$36,$D$14:$D$36)*$E759,18)</f>
        <v>16.4089</v>
      </c>
      <c r="I759" s="95" cm="1">
        <f ca="1" t="array" ref="I759">MIN(30-SUM(J759:L759),6-L759,_xlfn.XLOOKUP($D759&amp;"_"&amp;I$52,$B$14:$B$36&amp;"_"&amp;$C$14:$C$36,$D$14:$D$36)*$E759)</f>
        <v>2.13075</v>
      </c>
      <c r="J759" s="95" cm="1">
        <f ca="1" t="array" ref="J759">MIN(8,_xlfn.XLOOKUP($D759&amp;"_"&amp;J$52,$B$14:$B$36&amp;"_"&amp;$C$14:$C$36,$D$14:$D$36)*$E759)</f>
        <v>5.5275</v>
      </c>
      <c r="K759" s="95" cm="1">
        <f ca="1" t="array" ref="K759">MIN(18,_xlfn.XLOOKUP($D759&amp;"_"&amp;K$52,$B$14:$B$36&amp;"_"&amp;$C$14:$C$36,$D$14:$D$36)*$E759)</f>
        <v>2.0636</v>
      </c>
      <c r="L759" s="95" cm="1">
        <f ca="1" t="array" ref="L759">MIN(6,_xlfn.XLOOKUP($D759&amp;"_"&amp;L$52,$B$14:$B$36&amp;"_"&amp;$C$14:$C$36,$D$14:$D$36)*$E759)</f>
        <v>3.86925</v>
      </c>
      <c r="M759" s="95" cm="1">
        <f ca="1" t="array" ref="M759">(1+SUMPRODUCT(G759:H759,OFFSET($H$40:$I$40,D759,0)))*(1+OFFSET($J$40,D759,0))^I759*(1+OFFSET($K$40,D759,0))^J759*(1+OFFSET($L$40,D759,0))^K759*(1+OFFSET($M$40,D759,0))^L759</f>
        <v>136.306594316297</v>
      </c>
      <c r="N759" s="95">
        <f ca="1">MAX(MAX($N$53:N758),OFFSET($C$52,MATCH(M759*1.07,$M$53:$M$2052,1),0)-C759)</f>
        <v>10080</v>
      </c>
    </row>
    <row r="760" spans="2:14">
      <c r="B760" s="95">
        <v>708</v>
      </c>
      <c r="C760" s="95">
        <f t="shared" si="60"/>
        <v>254880</v>
      </c>
      <c r="D760" s="95">
        <f ca="1">_xlfn.XLOOKUP(总览!$B$44,$B$40:$B$45,$C$40:$C$45)</f>
        <v>5</v>
      </c>
      <c r="E760" s="95">
        <f ca="1" t="shared" si="61"/>
        <v>738</v>
      </c>
      <c r="F760" s="95">
        <f ca="1" t="shared" si="62"/>
        <v>0</v>
      </c>
      <c r="G760" s="95">
        <f ca="1" t="shared" si="63"/>
        <v>0</v>
      </c>
      <c r="H760" s="95" cm="1">
        <f ca="1" t="array" ref="H760">MIN(30-SUM(I760:L760),_xlfn.XLOOKUP($D760&amp;"_"&amp;H$52,$B$14:$B$36&amp;"_"&amp;$C$14:$C$36,$D$14:$D$36)*$E760,18)</f>
        <v>16.3986</v>
      </c>
      <c r="I760" s="95" cm="1">
        <f ca="1" t="array" ref="I760">MIN(30-SUM(J760:L760),6-L760,_xlfn.XLOOKUP($D760&amp;"_"&amp;I$52,$B$14:$B$36&amp;"_"&amp;$C$14:$C$36,$D$14:$D$36)*$E760)</f>
        <v>2.1255</v>
      </c>
      <c r="J760" s="95" cm="1">
        <f ca="1" t="array" ref="J760">MIN(8,_xlfn.XLOOKUP($D760&amp;"_"&amp;J$52,$B$14:$B$36&amp;"_"&amp;$C$14:$C$36,$D$14:$D$36)*$E760)</f>
        <v>5.535</v>
      </c>
      <c r="K760" s="95" cm="1">
        <f ca="1" t="array" ref="K760">MIN(18,_xlfn.XLOOKUP($D760&amp;"_"&amp;K$52,$B$14:$B$36&amp;"_"&amp;$C$14:$C$36,$D$14:$D$36)*$E760)</f>
        <v>2.0664</v>
      </c>
      <c r="L760" s="95" cm="1">
        <f ca="1" t="array" ref="L760">MIN(6,_xlfn.XLOOKUP($D760&amp;"_"&amp;L$52,$B$14:$B$36&amp;"_"&amp;$C$14:$C$36,$D$14:$D$36)*$E760)</f>
        <v>3.8745</v>
      </c>
      <c r="M760" s="95" cm="1">
        <f ca="1" t="array" ref="M760">(1+SUMPRODUCT(G760:H760,OFFSET($H$40:$I$40,D760,0)))*(1+OFFSET($J$40,D760,0))^I760*(1+OFFSET($K$40,D760,0))^J760*(1+OFFSET($L$40,D760,0))^K760*(1+OFFSET($M$40,D760,0))^L760</f>
        <v>136.63379199166</v>
      </c>
      <c r="N760" s="95">
        <f ca="1">MAX(MAX($N$53:N759),OFFSET($C$52,MATCH(M760*1.07,$M$53:$M$2052,1),0)-C760)</f>
        <v>10080</v>
      </c>
    </row>
    <row r="761" spans="2:14">
      <c r="B761" s="95">
        <v>709</v>
      </c>
      <c r="C761" s="95">
        <f t="shared" si="60"/>
        <v>255240</v>
      </c>
      <c r="D761" s="95">
        <f ca="1">_xlfn.XLOOKUP(总览!$B$44,$B$40:$B$45,$C$40:$C$45)</f>
        <v>5</v>
      </c>
      <c r="E761" s="95">
        <f ca="1" t="shared" si="61"/>
        <v>739</v>
      </c>
      <c r="F761" s="95">
        <f ca="1" t="shared" si="62"/>
        <v>0</v>
      </c>
      <c r="G761" s="95">
        <f ca="1" t="shared" si="63"/>
        <v>0</v>
      </c>
      <c r="H761" s="95" cm="1">
        <f ca="1" t="array" ref="H761">MIN(30-SUM(I761:L761),_xlfn.XLOOKUP($D761&amp;"_"&amp;H$52,$B$14:$B$36&amp;"_"&amp;$C$14:$C$36,$D$14:$D$36)*$E761,18)</f>
        <v>16.3883</v>
      </c>
      <c r="I761" s="95" cm="1">
        <f ca="1" t="array" ref="I761">MIN(30-SUM(J761:L761),6-L761,_xlfn.XLOOKUP($D761&amp;"_"&amp;I$52,$B$14:$B$36&amp;"_"&amp;$C$14:$C$36,$D$14:$D$36)*$E761)</f>
        <v>2.12025</v>
      </c>
      <c r="J761" s="95" cm="1">
        <f ca="1" t="array" ref="J761">MIN(8,_xlfn.XLOOKUP($D761&amp;"_"&amp;J$52,$B$14:$B$36&amp;"_"&amp;$C$14:$C$36,$D$14:$D$36)*$E761)</f>
        <v>5.5425</v>
      </c>
      <c r="K761" s="95" cm="1">
        <f ca="1" t="array" ref="K761">MIN(18,_xlfn.XLOOKUP($D761&amp;"_"&amp;K$52,$B$14:$B$36&amp;"_"&amp;$C$14:$C$36,$D$14:$D$36)*$E761)</f>
        <v>2.0692</v>
      </c>
      <c r="L761" s="95" cm="1">
        <f ca="1" t="array" ref="L761">MIN(6,_xlfn.XLOOKUP($D761&amp;"_"&amp;L$52,$B$14:$B$36&amp;"_"&amp;$C$14:$C$36,$D$14:$D$36)*$E761)</f>
        <v>3.87975</v>
      </c>
      <c r="M761" s="95" cm="1">
        <f ca="1" t="array" ref="M761">(1+SUMPRODUCT(G761:H761,OFFSET($H$40:$I$40,D761,0)))*(1+OFFSET($J$40,D761,0))^I761*(1+OFFSET($K$40,D761,0))^J761*(1+OFFSET($L$40,D761,0))^K761*(1+OFFSET($M$40,D761,0))^L761</f>
        <v>136.961743357497</v>
      </c>
      <c r="N761" s="95">
        <f ca="1">MAX(MAX($N$53:N760),OFFSET($C$52,MATCH(M761*1.07,$M$53:$M$2052,1),0)-C761)</f>
        <v>10080</v>
      </c>
    </row>
    <row r="762" spans="2:14">
      <c r="B762" s="95">
        <v>710</v>
      </c>
      <c r="C762" s="95">
        <f t="shared" si="60"/>
        <v>255600</v>
      </c>
      <c r="D762" s="95">
        <f ca="1">_xlfn.XLOOKUP(总览!$B$44,$B$40:$B$45,$C$40:$C$45)</f>
        <v>5</v>
      </c>
      <c r="E762" s="95">
        <f ca="1" t="shared" si="61"/>
        <v>740</v>
      </c>
      <c r="F762" s="95">
        <f ca="1" t="shared" si="62"/>
        <v>0</v>
      </c>
      <c r="G762" s="95">
        <f ca="1" t="shared" si="63"/>
        <v>0</v>
      </c>
      <c r="H762" s="95" cm="1">
        <f ca="1" t="array" ref="H762">MIN(30-SUM(I762:L762),_xlfn.XLOOKUP($D762&amp;"_"&amp;H$52,$B$14:$B$36&amp;"_"&amp;$C$14:$C$36,$D$14:$D$36)*$E762,18)</f>
        <v>16.378</v>
      </c>
      <c r="I762" s="95" cm="1">
        <f ca="1" t="array" ref="I762">MIN(30-SUM(J762:L762),6-L762,_xlfn.XLOOKUP($D762&amp;"_"&amp;I$52,$B$14:$B$36&amp;"_"&amp;$C$14:$C$36,$D$14:$D$36)*$E762)</f>
        <v>2.115</v>
      </c>
      <c r="J762" s="95" cm="1">
        <f ca="1" t="array" ref="J762">MIN(8,_xlfn.XLOOKUP($D762&amp;"_"&amp;J$52,$B$14:$B$36&amp;"_"&amp;$C$14:$C$36,$D$14:$D$36)*$E762)</f>
        <v>5.55</v>
      </c>
      <c r="K762" s="95" cm="1">
        <f ca="1" t="array" ref="K762">MIN(18,_xlfn.XLOOKUP($D762&amp;"_"&amp;K$52,$B$14:$B$36&amp;"_"&amp;$C$14:$C$36,$D$14:$D$36)*$E762)</f>
        <v>2.072</v>
      </c>
      <c r="L762" s="95" cm="1">
        <f ca="1" t="array" ref="L762">MIN(6,_xlfn.XLOOKUP($D762&amp;"_"&amp;L$52,$B$14:$B$36&amp;"_"&amp;$C$14:$C$36,$D$14:$D$36)*$E762)</f>
        <v>3.885</v>
      </c>
      <c r="M762" s="95" cm="1">
        <f ca="1" t="array" ref="M762">(1+SUMPRODUCT(G762:H762,OFFSET($H$40:$I$40,D762,0)))*(1+OFFSET($J$40,D762,0))^I762*(1+OFFSET($K$40,D762,0))^J762*(1+OFFSET($L$40,D762,0))^K762*(1+OFFSET($M$40,D762,0))^L762</f>
        <v>137.29045004004</v>
      </c>
      <c r="N762" s="95">
        <f ca="1">MAX(MAX($N$53:N761),OFFSET($C$52,MATCH(M762*1.07,$M$53:$M$2052,1),0)-C762)</f>
        <v>10080</v>
      </c>
    </row>
    <row r="763" spans="2:14">
      <c r="B763" s="95">
        <v>711</v>
      </c>
      <c r="C763" s="95">
        <f t="shared" si="60"/>
        <v>255960</v>
      </c>
      <c r="D763" s="95">
        <f ca="1">_xlfn.XLOOKUP(总览!$B$44,$B$40:$B$45,$C$40:$C$45)</f>
        <v>5</v>
      </c>
      <c r="E763" s="95">
        <f ca="1" t="shared" si="61"/>
        <v>741</v>
      </c>
      <c r="F763" s="95">
        <f ca="1" t="shared" si="62"/>
        <v>0</v>
      </c>
      <c r="G763" s="95">
        <f ca="1" t="shared" si="63"/>
        <v>0</v>
      </c>
      <c r="H763" s="95" cm="1">
        <f ca="1" t="array" ref="H763">MIN(30-SUM(I763:L763),_xlfn.XLOOKUP($D763&amp;"_"&amp;H$52,$B$14:$B$36&amp;"_"&amp;$C$14:$C$36,$D$14:$D$36)*$E763,18)</f>
        <v>16.3677</v>
      </c>
      <c r="I763" s="95" cm="1">
        <f ca="1" t="array" ref="I763">MIN(30-SUM(J763:L763),6-L763,_xlfn.XLOOKUP($D763&amp;"_"&amp;I$52,$B$14:$B$36&amp;"_"&amp;$C$14:$C$36,$D$14:$D$36)*$E763)</f>
        <v>2.10975</v>
      </c>
      <c r="J763" s="95" cm="1">
        <f ca="1" t="array" ref="J763">MIN(8,_xlfn.XLOOKUP($D763&amp;"_"&amp;J$52,$B$14:$B$36&amp;"_"&amp;$C$14:$C$36,$D$14:$D$36)*$E763)</f>
        <v>5.5575</v>
      </c>
      <c r="K763" s="95" cm="1">
        <f ca="1" t="array" ref="K763">MIN(18,_xlfn.XLOOKUP($D763&amp;"_"&amp;K$52,$B$14:$B$36&amp;"_"&amp;$C$14:$C$36,$D$14:$D$36)*$E763)</f>
        <v>2.0748</v>
      </c>
      <c r="L763" s="95" cm="1">
        <f ca="1" t="array" ref="L763">MIN(6,_xlfn.XLOOKUP($D763&amp;"_"&amp;L$52,$B$14:$B$36&amp;"_"&amp;$C$14:$C$36,$D$14:$D$36)*$E763)</f>
        <v>3.89025</v>
      </c>
      <c r="M763" s="95" cm="1">
        <f ca="1" t="array" ref="M763">(1+SUMPRODUCT(G763:H763,OFFSET($H$40:$I$40,D763,0)))*(1+OFFSET($J$40,D763,0))^I763*(1+OFFSET($K$40,D763,0))^J763*(1+OFFSET($L$40,D763,0))^K763*(1+OFFSET($M$40,D763,0))^L763</f>
        <v>137.619913668635</v>
      </c>
      <c r="N763" s="95">
        <f ca="1">MAX(MAX($N$53:N762),OFFSET($C$52,MATCH(M763*1.07,$M$53:$M$2052,1),0)-C763)</f>
        <v>10080</v>
      </c>
    </row>
    <row r="764" spans="2:14">
      <c r="B764" s="95">
        <v>712</v>
      </c>
      <c r="C764" s="95">
        <f t="shared" si="60"/>
        <v>256320</v>
      </c>
      <c r="D764" s="95">
        <f ca="1">_xlfn.XLOOKUP(总览!$B$44,$B$40:$B$45,$C$40:$C$45)</f>
        <v>5</v>
      </c>
      <c r="E764" s="95">
        <f ca="1" t="shared" si="61"/>
        <v>742</v>
      </c>
      <c r="F764" s="95">
        <f ca="1" t="shared" si="62"/>
        <v>0</v>
      </c>
      <c r="G764" s="95">
        <f ca="1" t="shared" si="63"/>
        <v>0</v>
      </c>
      <c r="H764" s="95" cm="1">
        <f ca="1" t="array" ref="H764">MIN(30-SUM(I764:L764),_xlfn.XLOOKUP($D764&amp;"_"&amp;H$52,$B$14:$B$36&amp;"_"&amp;$C$14:$C$36,$D$14:$D$36)*$E764,18)</f>
        <v>16.3574</v>
      </c>
      <c r="I764" s="95" cm="1">
        <f ca="1" t="array" ref="I764">MIN(30-SUM(J764:L764),6-L764,_xlfn.XLOOKUP($D764&amp;"_"&amp;I$52,$B$14:$B$36&amp;"_"&amp;$C$14:$C$36,$D$14:$D$36)*$E764)</f>
        <v>2.1045</v>
      </c>
      <c r="J764" s="95" cm="1">
        <f ca="1" t="array" ref="J764">MIN(8,_xlfn.XLOOKUP($D764&amp;"_"&amp;J$52,$B$14:$B$36&amp;"_"&amp;$C$14:$C$36,$D$14:$D$36)*$E764)</f>
        <v>5.565</v>
      </c>
      <c r="K764" s="95" cm="1">
        <f ca="1" t="array" ref="K764">MIN(18,_xlfn.XLOOKUP($D764&amp;"_"&amp;K$52,$B$14:$B$36&amp;"_"&amp;$C$14:$C$36,$D$14:$D$36)*$E764)</f>
        <v>2.0776</v>
      </c>
      <c r="L764" s="95" cm="1">
        <f ca="1" t="array" ref="L764">MIN(6,_xlfn.XLOOKUP($D764&amp;"_"&amp;L$52,$B$14:$B$36&amp;"_"&amp;$C$14:$C$36,$D$14:$D$36)*$E764)</f>
        <v>3.8955</v>
      </c>
      <c r="M764" s="95" cm="1">
        <f ca="1" t="array" ref="M764">(1+SUMPRODUCT(G764:H764,OFFSET($H$40:$I$40,D764,0)))*(1+OFFSET($J$40,D764,0))^I764*(1+OFFSET($K$40,D764,0))^J764*(1+OFFSET($L$40,D764,0))^K764*(1+OFFSET($M$40,D764,0))^L764</f>
        <v>137.950135875744</v>
      </c>
      <c r="N764" s="95">
        <f ca="1">MAX(MAX($N$53:N763),OFFSET($C$52,MATCH(M764*1.07,$M$53:$M$2052,1),0)-C764)</f>
        <v>10080</v>
      </c>
    </row>
    <row r="765" spans="2:14">
      <c r="B765" s="95">
        <v>713</v>
      </c>
      <c r="C765" s="95">
        <f t="shared" si="60"/>
        <v>256680</v>
      </c>
      <c r="D765" s="95">
        <f ca="1">_xlfn.XLOOKUP(总览!$B$44,$B$40:$B$45,$C$40:$C$45)</f>
        <v>5</v>
      </c>
      <c r="E765" s="95">
        <f ca="1" t="shared" si="61"/>
        <v>743</v>
      </c>
      <c r="F765" s="95">
        <f ca="1" t="shared" si="62"/>
        <v>0</v>
      </c>
      <c r="G765" s="95">
        <f ca="1" t="shared" si="63"/>
        <v>0</v>
      </c>
      <c r="H765" s="95" cm="1">
        <f ca="1" t="array" ref="H765">MIN(30-SUM(I765:L765),_xlfn.XLOOKUP($D765&amp;"_"&amp;H$52,$B$14:$B$36&amp;"_"&amp;$C$14:$C$36,$D$14:$D$36)*$E765,18)</f>
        <v>16.3471</v>
      </c>
      <c r="I765" s="95" cm="1">
        <f ca="1" t="array" ref="I765">MIN(30-SUM(J765:L765),6-L765,_xlfn.XLOOKUP($D765&amp;"_"&amp;I$52,$B$14:$B$36&amp;"_"&amp;$C$14:$C$36,$D$14:$D$36)*$E765)</f>
        <v>2.09925</v>
      </c>
      <c r="J765" s="95" cm="1">
        <f ca="1" t="array" ref="J765">MIN(8,_xlfn.XLOOKUP($D765&amp;"_"&amp;J$52,$B$14:$B$36&amp;"_"&amp;$C$14:$C$36,$D$14:$D$36)*$E765)</f>
        <v>5.5725</v>
      </c>
      <c r="K765" s="95" cm="1">
        <f ca="1" t="array" ref="K765">MIN(18,_xlfn.XLOOKUP($D765&amp;"_"&amp;K$52,$B$14:$B$36&amp;"_"&amp;$C$14:$C$36,$D$14:$D$36)*$E765)</f>
        <v>2.0804</v>
      </c>
      <c r="L765" s="95" cm="1">
        <f ca="1" t="array" ref="L765">MIN(6,_xlfn.XLOOKUP($D765&amp;"_"&amp;L$52,$B$14:$B$36&amp;"_"&amp;$C$14:$C$36,$D$14:$D$36)*$E765)</f>
        <v>3.90075</v>
      </c>
      <c r="M765" s="95" cm="1">
        <f ca="1" t="array" ref="M765">(1+SUMPRODUCT(G765:H765,OFFSET($H$40:$I$40,D765,0)))*(1+OFFSET($J$40,D765,0))^I765*(1+OFFSET($K$40,D765,0))^J765*(1+OFFSET($L$40,D765,0))^K765*(1+OFFSET($M$40,D765,0))^L765</f>
        <v>138.281118296953</v>
      </c>
      <c r="N765" s="95">
        <f ca="1">MAX(MAX($N$53:N764),OFFSET($C$52,MATCH(M765*1.07,$M$53:$M$2052,1),0)-C765)</f>
        <v>10080</v>
      </c>
    </row>
    <row r="766" spans="2:14">
      <c r="B766" s="95">
        <v>714</v>
      </c>
      <c r="C766" s="95">
        <f t="shared" si="60"/>
        <v>257040</v>
      </c>
      <c r="D766" s="95">
        <f ca="1">_xlfn.XLOOKUP(总览!$B$44,$B$40:$B$45,$C$40:$C$45)</f>
        <v>5</v>
      </c>
      <c r="E766" s="95">
        <f ca="1" t="shared" si="61"/>
        <v>744</v>
      </c>
      <c r="F766" s="95">
        <f ca="1" t="shared" si="62"/>
        <v>0</v>
      </c>
      <c r="G766" s="95">
        <f ca="1" t="shared" si="63"/>
        <v>0</v>
      </c>
      <c r="H766" s="95" cm="1">
        <f ca="1" t="array" ref="H766">MIN(30-SUM(I766:L766),_xlfn.XLOOKUP($D766&amp;"_"&amp;H$52,$B$14:$B$36&amp;"_"&amp;$C$14:$C$36,$D$14:$D$36)*$E766,18)</f>
        <v>16.3368</v>
      </c>
      <c r="I766" s="95" cm="1">
        <f ca="1" t="array" ref="I766">MIN(30-SUM(J766:L766),6-L766,_xlfn.XLOOKUP($D766&amp;"_"&amp;I$52,$B$14:$B$36&amp;"_"&amp;$C$14:$C$36,$D$14:$D$36)*$E766)</f>
        <v>2.094</v>
      </c>
      <c r="J766" s="95" cm="1">
        <f ca="1" t="array" ref="J766">MIN(8,_xlfn.XLOOKUP($D766&amp;"_"&amp;J$52,$B$14:$B$36&amp;"_"&amp;$C$14:$C$36,$D$14:$D$36)*$E766)</f>
        <v>5.58</v>
      </c>
      <c r="K766" s="95" cm="1">
        <f ca="1" t="array" ref="K766">MIN(18,_xlfn.XLOOKUP($D766&amp;"_"&amp;K$52,$B$14:$B$36&amp;"_"&amp;$C$14:$C$36,$D$14:$D$36)*$E766)</f>
        <v>2.0832</v>
      </c>
      <c r="L766" s="95" cm="1">
        <f ca="1" t="array" ref="L766">MIN(6,_xlfn.XLOOKUP($D766&amp;"_"&amp;L$52,$B$14:$B$36&amp;"_"&amp;$C$14:$C$36,$D$14:$D$36)*$E766)</f>
        <v>3.906</v>
      </c>
      <c r="M766" s="95" cm="1">
        <f ca="1" t="array" ref="M766">(1+SUMPRODUCT(G766:H766,OFFSET($H$40:$I$40,D766,0)))*(1+OFFSET($J$40,D766,0))^I766*(1+OFFSET($K$40,D766,0))^J766*(1+OFFSET($L$40,D766,0))^K766*(1+OFFSET($M$40,D766,0))^L766</f>
        <v>138.612862570969</v>
      </c>
      <c r="N766" s="95">
        <f ca="1">MAX(MAX($N$53:N765),OFFSET($C$52,MATCH(M766*1.07,$M$53:$M$2052,1),0)-C766)</f>
        <v>10080</v>
      </c>
    </row>
    <row r="767" spans="2:14">
      <c r="B767" s="95">
        <v>715</v>
      </c>
      <c r="C767" s="95">
        <f t="shared" si="60"/>
        <v>257400</v>
      </c>
      <c r="D767" s="95">
        <f ca="1">_xlfn.XLOOKUP(总览!$B$44,$B$40:$B$45,$C$40:$C$45)</f>
        <v>5</v>
      </c>
      <c r="E767" s="95">
        <f ca="1" t="shared" si="61"/>
        <v>745</v>
      </c>
      <c r="F767" s="95">
        <f ca="1" t="shared" si="62"/>
        <v>0</v>
      </c>
      <c r="G767" s="95">
        <f ca="1" t="shared" si="63"/>
        <v>0</v>
      </c>
      <c r="H767" s="95" cm="1">
        <f ca="1" t="array" ref="H767">MIN(30-SUM(I767:L767),_xlfn.XLOOKUP($D767&amp;"_"&amp;H$52,$B$14:$B$36&amp;"_"&amp;$C$14:$C$36,$D$14:$D$36)*$E767,18)</f>
        <v>16.3265</v>
      </c>
      <c r="I767" s="95" cm="1">
        <f ca="1" t="array" ref="I767">MIN(30-SUM(J767:L767),6-L767,_xlfn.XLOOKUP($D767&amp;"_"&amp;I$52,$B$14:$B$36&amp;"_"&amp;$C$14:$C$36,$D$14:$D$36)*$E767)</f>
        <v>2.08875</v>
      </c>
      <c r="J767" s="95" cm="1">
        <f ca="1" t="array" ref="J767">MIN(8,_xlfn.XLOOKUP($D767&amp;"_"&amp;J$52,$B$14:$B$36&amp;"_"&amp;$C$14:$C$36,$D$14:$D$36)*$E767)</f>
        <v>5.5875</v>
      </c>
      <c r="K767" s="95" cm="1">
        <f ca="1" t="array" ref="K767">MIN(18,_xlfn.XLOOKUP($D767&amp;"_"&amp;K$52,$B$14:$B$36&amp;"_"&amp;$C$14:$C$36,$D$14:$D$36)*$E767)</f>
        <v>2.086</v>
      </c>
      <c r="L767" s="95" cm="1">
        <f ca="1" t="array" ref="L767">MIN(6,_xlfn.XLOOKUP($D767&amp;"_"&amp;L$52,$B$14:$B$36&amp;"_"&amp;$C$14:$C$36,$D$14:$D$36)*$E767)</f>
        <v>3.91125</v>
      </c>
      <c r="M767" s="95" cm="1">
        <f ca="1" t="array" ref="M767">(1+SUMPRODUCT(G767:H767,OFFSET($H$40:$I$40,D767,0)))*(1+OFFSET($J$40,D767,0))^I767*(1+OFFSET($K$40,D767,0))^J767*(1+OFFSET($L$40,D767,0))^K767*(1+OFFSET($M$40,D767,0))^L767</f>
        <v>138.945370339635</v>
      </c>
      <c r="N767" s="95">
        <f ca="1">MAX(MAX($N$53:N766),OFFSET($C$52,MATCH(M767*1.07,$M$53:$M$2052,1),0)-C767)</f>
        <v>10080</v>
      </c>
    </row>
    <row r="768" spans="2:14">
      <c r="B768" s="95">
        <v>716</v>
      </c>
      <c r="C768" s="95">
        <f t="shared" si="60"/>
        <v>257760</v>
      </c>
      <c r="D768" s="95">
        <f ca="1">_xlfn.XLOOKUP(总览!$B$44,$B$40:$B$45,$C$40:$C$45)</f>
        <v>5</v>
      </c>
      <c r="E768" s="95">
        <f ca="1" t="shared" si="61"/>
        <v>746</v>
      </c>
      <c r="F768" s="95">
        <f ca="1" t="shared" si="62"/>
        <v>0</v>
      </c>
      <c r="G768" s="95">
        <f ca="1" t="shared" si="63"/>
        <v>0</v>
      </c>
      <c r="H768" s="95" cm="1">
        <f ca="1" t="array" ref="H768">MIN(30-SUM(I768:L768),_xlfn.XLOOKUP($D768&amp;"_"&amp;H$52,$B$14:$B$36&amp;"_"&amp;$C$14:$C$36,$D$14:$D$36)*$E768,18)</f>
        <v>16.3162</v>
      </c>
      <c r="I768" s="95" cm="1">
        <f ca="1" t="array" ref="I768">MIN(30-SUM(J768:L768),6-L768,_xlfn.XLOOKUP($D768&amp;"_"&amp;I$52,$B$14:$B$36&amp;"_"&amp;$C$14:$C$36,$D$14:$D$36)*$E768)</f>
        <v>2.0835</v>
      </c>
      <c r="J768" s="95" cm="1">
        <f ca="1" t="array" ref="J768">MIN(8,_xlfn.XLOOKUP($D768&amp;"_"&amp;J$52,$B$14:$B$36&amp;"_"&amp;$C$14:$C$36,$D$14:$D$36)*$E768)</f>
        <v>5.595</v>
      </c>
      <c r="K768" s="95" cm="1">
        <f ca="1" t="array" ref="K768">MIN(18,_xlfn.XLOOKUP($D768&amp;"_"&amp;K$52,$B$14:$B$36&amp;"_"&amp;$C$14:$C$36,$D$14:$D$36)*$E768)</f>
        <v>2.0888</v>
      </c>
      <c r="L768" s="95" cm="1">
        <f ca="1" t="array" ref="L768">MIN(6,_xlfn.XLOOKUP($D768&amp;"_"&amp;L$52,$B$14:$B$36&amp;"_"&amp;$C$14:$C$36,$D$14:$D$36)*$E768)</f>
        <v>3.9165</v>
      </c>
      <c r="M768" s="95" cm="1">
        <f ca="1" t="array" ref="M768">(1+SUMPRODUCT(G768:H768,OFFSET($H$40:$I$40,D768,0)))*(1+OFFSET($J$40,D768,0))^I768*(1+OFFSET($K$40,D768,0))^J768*(1+OFFSET($L$40,D768,0))^K768*(1+OFFSET($M$40,D768,0))^L768</f>
        <v>139.278643247923</v>
      </c>
      <c r="N768" s="95">
        <f ca="1">MAX(MAX($N$53:N767),OFFSET($C$52,MATCH(M768*1.07,$M$53:$M$2052,1),0)-C768)</f>
        <v>10080</v>
      </c>
    </row>
    <row r="769" spans="2:14">
      <c r="B769" s="95">
        <v>717</v>
      </c>
      <c r="C769" s="95">
        <f t="shared" si="60"/>
        <v>258120</v>
      </c>
      <c r="D769" s="95">
        <f ca="1">_xlfn.XLOOKUP(总览!$B$44,$B$40:$B$45,$C$40:$C$45)</f>
        <v>5</v>
      </c>
      <c r="E769" s="95">
        <f ca="1" t="shared" si="61"/>
        <v>747</v>
      </c>
      <c r="F769" s="95">
        <f ca="1" t="shared" si="62"/>
        <v>0</v>
      </c>
      <c r="G769" s="95">
        <f ca="1" t="shared" si="63"/>
        <v>0</v>
      </c>
      <c r="H769" s="95" cm="1">
        <f ca="1" t="array" ref="H769">MIN(30-SUM(I769:L769),_xlfn.XLOOKUP($D769&amp;"_"&amp;H$52,$B$14:$B$36&amp;"_"&amp;$C$14:$C$36,$D$14:$D$36)*$E769,18)</f>
        <v>16.3059</v>
      </c>
      <c r="I769" s="95" cm="1">
        <f ca="1" t="array" ref="I769">MIN(30-SUM(J769:L769),6-L769,_xlfn.XLOOKUP($D769&amp;"_"&amp;I$52,$B$14:$B$36&amp;"_"&amp;$C$14:$C$36,$D$14:$D$36)*$E769)</f>
        <v>2.07825</v>
      </c>
      <c r="J769" s="95" cm="1">
        <f ca="1" t="array" ref="J769">MIN(8,_xlfn.XLOOKUP($D769&amp;"_"&amp;J$52,$B$14:$B$36&amp;"_"&amp;$C$14:$C$36,$D$14:$D$36)*$E769)</f>
        <v>5.6025</v>
      </c>
      <c r="K769" s="95" cm="1">
        <f ca="1" t="array" ref="K769">MIN(18,_xlfn.XLOOKUP($D769&amp;"_"&amp;K$52,$B$14:$B$36&amp;"_"&amp;$C$14:$C$36,$D$14:$D$36)*$E769)</f>
        <v>2.0916</v>
      </c>
      <c r="L769" s="95" cm="1">
        <f ca="1" t="array" ref="L769">MIN(6,_xlfn.XLOOKUP($D769&amp;"_"&amp;L$52,$B$14:$B$36&amp;"_"&amp;$C$14:$C$36,$D$14:$D$36)*$E769)</f>
        <v>3.92175</v>
      </c>
      <c r="M769" s="95" cm="1">
        <f ca="1" t="array" ref="M769">(1+SUMPRODUCT(G769:H769,OFFSET($H$40:$I$40,D769,0)))*(1+OFFSET($J$40,D769,0))^I769*(1+OFFSET($K$40,D769,0))^J769*(1+OFFSET($L$40,D769,0))^K769*(1+OFFSET($M$40,D769,0))^L769</f>
        <v>139.612682943947</v>
      </c>
      <c r="N769" s="95">
        <f ca="1">MAX(MAX($N$53:N768),OFFSET($C$52,MATCH(M769*1.07,$M$53:$M$2052,1),0)-C769)</f>
        <v>10080</v>
      </c>
    </row>
    <row r="770" spans="2:14">
      <c r="B770" s="95">
        <v>718</v>
      </c>
      <c r="C770" s="95">
        <f t="shared" si="60"/>
        <v>258480</v>
      </c>
      <c r="D770" s="95">
        <f ca="1">_xlfn.XLOOKUP(总览!$B$44,$B$40:$B$45,$C$40:$C$45)</f>
        <v>5</v>
      </c>
      <c r="E770" s="95">
        <f ca="1" t="shared" si="61"/>
        <v>748</v>
      </c>
      <c r="F770" s="95">
        <f ca="1" t="shared" si="62"/>
        <v>0</v>
      </c>
      <c r="G770" s="95">
        <f ca="1" t="shared" si="63"/>
        <v>0</v>
      </c>
      <c r="H770" s="95" cm="1">
        <f ca="1" t="array" ref="H770">MIN(30-SUM(I770:L770),_xlfn.XLOOKUP($D770&amp;"_"&amp;H$52,$B$14:$B$36&amp;"_"&amp;$C$14:$C$36,$D$14:$D$36)*$E770,18)</f>
        <v>16.2956</v>
      </c>
      <c r="I770" s="95" cm="1">
        <f ca="1" t="array" ref="I770">MIN(30-SUM(J770:L770),6-L770,_xlfn.XLOOKUP($D770&amp;"_"&amp;I$52,$B$14:$B$36&amp;"_"&amp;$C$14:$C$36,$D$14:$D$36)*$E770)</f>
        <v>2.073</v>
      </c>
      <c r="J770" s="95" cm="1">
        <f ca="1" t="array" ref="J770">MIN(8,_xlfn.XLOOKUP($D770&amp;"_"&amp;J$52,$B$14:$B$36&amp;"_"&amp;$C$14:$C$36,$D$14:$D$36)*$E770)</f>
        <v>5.61</v>
      </c>
      <c r="K770" s="95" cm="1">
        <f ca="1" t="array" ref="K770">MIN(18,_xlfn.XLOOKUP($D770&amp;"_"&amp;K$52,$B$14:$B$36&amp;"_"&amp;$C$14:$C$36,$D$14:$D$36)*$E770)</f>
        <v>2.0944</v>
      </c>
      <c r="L770" s="95" cm="1">
        <f ca="1" t="array" ref="L770">MIN(6,_xlfn.XLOOKUP($D770&amp;"_"&amp;L$52,$B$14:$B$36&amp;"_"&amp;$C$14:$C$36,$D$14:$D$36)*$E770)</f>
        <v>3.927</v>
      </c>
      <c r="M770" s="95" cm="1">
        <f ca="1" t="array" ref="M770">(1+SUMPRODUCT(G770:H770,OFFSET($H$40:$I$40,D770,0)))*(1+OFFSET($J$40,D770,0))^I770*(1+OFFSET($K$40,D770,0))^J770*(1+OFFSET($L$40,D770,0))^K770*(1+OFFSET($M$40,D770,0))^L770</f>
        <v>139.947491078966</v>
      </c>
      <c r="N770" s="95">
        <f ca="1">MAX(MAX($N$53:N769),OFFSET($C$52,MATCH(M770*1.07,$M$53:$M$2052,1),0)-C770)</f>
        <v>10080</v>
      </c>
    </row>
    <row r="771" spans="2:14">
      <c r="B771" s="95">
        <v>719</v>
      </c>
      <c r="C771" s="95">
        <f t="shared" si="60"/>
        <v>258840</v>
      </c>
      <c r="D771" s="95">
        <f ca="1">_xlfn.XLOOKUP(总览!$B$44,$B$40:$B$45,$C$40:$C$45)</f>
        <v>5</v>
      </c>
      <c r="E771" s="95">
        <f ca="1" t="shared" si="61"/>
        <v>749</v>
      </c>
      <c r="F771" s="95">
        <f ca="1" t="shared" si="62"/>
        <v>0</v>
      </c>
      <c r="G771" s="95">
        <f ca="1" t="shared" si="63"/>
        <v>0</v>
      </c>
      <c r="H771" s="95" cm="1">
        <f ca="1" t="array" ref="H771">MIN(30-SUM(I771:L771),_xlfn.XLOOKUP($D771&amp;"_"&amp;H$52,$B$14:$B$36&amp;"_"&amp;$C$14:$C$36,$D$14:$D$36)*$E771,18)</f>
        <v>16.2853</v>
      </c>
      <c r="I771" s="95" cm="1">
        <f ca="1" t="array" ref="I771">MIN(30-SUM(J771:L771),6-L771,_xlfn.XLOOKUP($D771&amp;"_"&amp;I$52,$B$14:$B$36&amp;"_"&amp;$C$14:$C$36,$D$14:$D$36)*$E771)</f>
        <v>2.06775</v>
      </c>
      <c r="J771" s="95" cm="1">
        <f ca="1" t="array" ref="J771">MIN(8,_xlfn.XLOOKUP($D771&amp;"_"&amp;J$52,$B$14:$B$36&amp;"_"&amp;$C$14:$C$36,$D$14:$D$36)*$E771)</f>
        <v>5.6175</v>
      </c>
      <c r="K771" s="95" cm="1">
        <f ca="1" t="array" ref="K771">MIN(18,_xlfn.XLOOKUP($D771&amp;"_"&amp;K$52,$B$14:$B$36&amp;"_"&amp;$C$14:$C$36,$D$14:$D$36)*$E771)</f>
        <v>2.0972</v>
      </c>
      <c r="L771" s="95" cm="1">
        <f ca="1" t="array" ref="L771">MIN(6,_xlfn.XLOOKUP($D771&amp;"_"&amp;L$52,$B$14:$B$36&amp;"_"&amp;$C$14:$C$36,$D$14:$D$36)*$E771)</f>
        <v>3.93225</v>
      </c>
      <c r="M771" s="95" cm="1">
        <f ca="1" t="array" ref="M771">(1+SUMPRODUCT(G771:H771,OFFSET($H$40:$I$40,D771,0)))*(1+OFFSET($J$40,D771,0))^I771*(1+OFFSET($K$40,D771,0))^J771*(1+OFFSET($L$40,D771,0))^K771*(1+OFFSET($M$40,D771,0))^L771</f>
        <v>140.283069307382</v>
      </c>
      <c r="N771" s="95">
        <f ca="1">MAX(MAX($N$53:N770),OFFSET($C$52,MATCH(M771*1.07,$M$53:$M$2052,1),0)-C771)</f>
        <v>10080</v>
      </c>
    </row>
    <row r="772" spans="2:14">
      <c r="B772" s="95">
        <v>720</v>
      </c>
      <c r="C772" s="95">
        <f t="shared" si="60"/>
        <v>259200</v>
      </c>
      <c r="D772" s="95">
        <f ca="1">_xlfn.XLOOKUP(总览!$B$44,$B$40:$B$45,$C$40:$C$45)</f>
        <v>5</v>
      </c>
      <c r="E772" s="95">
        <f ca="1" t="shared" si="61"/>
        <v>750</v>
      </c>
      <c r="F772" s="95">
        <f ca="1" t="shared" si="62"/>
        <v>0</v>
      </c>
      <c r="G772" s="95">
        <f ca="1" t="shared" si="63"/>
        <v>0</v>
      </c>
      <c r="H772" s="95" cm="1">
        <f ca="1" t="array" ref="H772">MIN(30-SUM(I772:L772),_xlfn.XLOOKUP($D772&amp;"_"&amp;H$52,$B$14:$B$36&amp;"_"&amp;$C$14:$C$36,$D$14:$D$36)*$E772,18)</f>
        <v>16.275</v>
      </c>
      <c r="I772" s="95" cm="1">
        <f ca="1" t="array" ref="I772">MIN(30-SUM(J772:L772),6-L772,_xlfn.XLOOKUP($D772&amp;"_"&amp;I$52,$B$14:$B$36&amp;"_"&amp;$C$14:$C$36,$D$14:$D$36)*$E772)</f>
        <v>2.0625</v>
      </c>
      <c r="J772" s="95" cm="1">
        <f ca="1" t="array" ref="J772">MIN(8,_xlfn.XLOOKUP($D772&amp;"_"&amp;J$52,$B$14:$B$36&amp;"_"&amp;$C$14:$C$36,$D$14:$D$36)*$E772)</f>
        <v>5.625</v>
      </c>
      <c r="K772" s="95" cm="1">
        <f ca="1" t="array" ref="K772">MIN(18,_xlfn.XLOOKUP($D772&amp;"_"&amp;K$52,$B$14:$B$36&amp;"_"&amp;$C$14:$C$36,$D$14:$D$36)*$E772)</f>
        <v>2.1</v>
      </c>
      <c r="L772" s="95" cm="1">
        <f ca="1" t="array" ref="L772">MIN(6,_xlfn.XLOOKUP($D772&amp;"_"&amp;L$52,$B$14:$B$36&amp;"_"&amp;$C$14:$C$36,$D$14:$D$36)*$E772)</f>
        <v>3.9375</v>
      </c>
      <c r="M772" s="95" cm="1">
        <f ca="1" t="array" ref="M772">(1+SUMPRODUCT(G772:H772,OFFSET($H$40:$I$40,D772,0)))*(1+OFFSET($J$40,D772,0))^I772*(1+OFFSET($K$40,D772,0))^J772*(1+OFFSET($L$40,D772,0))^K772*(1+OFFSET($M$40,D772,0))^L772</f>
        <v>140.619419286755</v>
      </c>
      <c r="N772" s="95">
        <f ca="1">MAX(MAX($N$53:N771),OFFSET($C$52,MATCH(M772*1.07,$M$53:$M$2052,1),0)-C772)</f>
        <v>10080</v>
      </c>
    </row>
    <row r="773" spans="2:14">
      <c r="B773" s="95">
        <v>721</v>
      </c>
      <c r="C773" s="95">
        <f t="shared" si="60"/>
        <v>259560</v>
      </c>
      <c r="D773" s="95">
        <f ca="1">_xlfn.XLOOKUP(总览!$B$44,$B$40:$B$45,$C$40:$C$45)</f>
        <v>5</v>
      </c>
      <c r="E773" s="95">
        <f ca="1" t="shared" si="61"/>
        <v>751</v>
      </c>
      <c r="F773" s="95">
        <f ca="1" t="shared" si="62"/>
        <v>0</v>
      </c>
      <c r="G773" s="95">
        <f ca="1" t="shared" si="63"/>
        <v>0</v>
      </c>
      <c r="H773" s="95" cm="1">
        <f ca="1" t="array" ref="H773">MIN(30-SUM(I773:L773),_xlfn.XLOOKUP($D773&amp;"_"&amp;H$52,$B$14:$B$36&amp;"_"&amp;$C$14:$C$36,$D$14:$D$36)*$E773,18)</f>
        <v>16.2647</v>
      </c>
      <c r="I773" s="95" cm="1">
        <f ca="1" t="array" ref="I773">MIN(30-SUM(J773:L773),6-L773,_xlfn.XLOOKUP($D773&amp;"_"&amp;I$52,$B$14:$B$36&amp;"_"&amp;$C$14:$C$36,$D$14:$D$36)*$E773)</f>
        <v>2.05725</v>
      </c>
      <c r="J773" s="95" cm="1">
        <f ca="1" t="array" ref="J773">MIN(8,_xlfn.XLOOKUP($D773&amp;"_"&amp;J$52,$B$14:$B$36&amp;"_"&amp;$C$14:$C$36,$D$14:$D$36)*$E773)</f>
        <v>5.6325</v>
      </c>
      <c r="K773" s="95" cm="1">
        <f ca="1" t="array" ref="K773">MIN(18,_xlfn.XLOOKUP($D773&amp;"_"&amp;K$52,$B$14:$B$36&amp;"_"&amp;$C$14:$C$36,$D$14:$D$36)*$E773)</f>
        <v>2.1028</v>
      </c>
      <c r="L773" s="95" cm="1">
        <f ca="1" t="array" ref="L773">MIN(6,_xlfn.XLOOKUP($D773&amp;"_"&amp;L$52,$B$14:$B$36&amp;"_"&amp;$C$14:$C$36,$D$14:$D$36)*$E773)</f>
        <v>3.94275</v>
      </c>
      <c r="M773" s="95" cm="1">
        <f ca="1" t="array" ref="M773">(1+SUMPRODUCT(G773:H773,OFFSET($H$40:$I$40,D773,0)))*(1+OFFSET($J$40,D773,0))^I773*(1+OFFSET($K$40,D773,0))^J773*(1+OFFSET($L$40,D773,0))^K773*(1+OFFSET($M$40,D773,0))^L773</f>
        <v>140.956542677798</v>
      </c>
      <c r="N773" s="95">
        <f ca="1">MAX(MAX($N$53:N772),OFFSET($C$52,MATCH(M773*1.07,$M$53:$M$2052,1),0)-C773)</f>
        <v>10080</v>
      </c>
    </row>
    <row r="774" spans="2:14">
      <c r="B774" s="95">
        <v>722</v>
      </c>
      <c r="C774" s="95">
        <f t="shared" si="60"/>
        <v>259920</v>
      </c>
      <c r="D774" s="95">
        <f ca="1">_xlfn.XLOOKUP(总览!$B$44,$B$40:$B$45,$C$40:$C$45)</f>
        <v>5</v>
      </c>
      <c r="E774" s="95">
        <f ca="1" t="shared" si="61"/>
        <v>752</v>
      </c>
      <c r="F774" s="95">
        <f ca="1" t="shared" si="62"/>
        <v>0</v>
      </c>
      <c r="G774" s="95">
        <f ca="1" t="shared" si="63"/>
        <v>0</v>
      </c>
      <c r="H774" s="95" cm="1">
        <f ca="1" t="array" ref="H774">MIN(30-SUM(I774:L774),_xlfn.XLOOKUP($D774&amp;"_"&amp;H$52,$B$14:$B$36&amp;"_"&amp;$C$14:$C$36,$D$14:$D$36)*$E774,18)</f>
        <v>16.2544</v>
      </c>
      <c r="I774" s="95" cm="1">
        <f ca="1" t="array" ref="I774">MIN(30-SUM(J774:L774),6-L774,_xlfn.XLOOKUP($D774&amp;"_"&amp;I$52,$B$14:$B$36&amp;"_"&amp;$C$14:$C$36,$D$14:$D$36)*$E774)</f>
        <v>2.052</v>
      </c>
      <c r="J774" s="95" cm="1">
        <f ca="1" t="array" ref="J774">MIN(8,_xlfn.XLOOKUP($D774&amp;"_"&amp;J$52,$B$14:$B$36&amp;"_"&amp;$C$14:$C$36,$D$14:$D$36)*$E774)</f>
        <v>5.64</v>
      </c>
      <c r="K774" s="95" cm="1">
        <f ca="1" t="array" ref="K774">MIN(18,_xlfn.XLOOKUP($D774&amp;"_"&amp;K$52,$B$14:$B$36&amp;"_"&amp;$C$14:$C$36,$D$14:$D$36)*$E774)</f>
        <v>2.1056</v>
      </c>
      <c r="L774" s="95" cm="1">
        <f ca="1" t="array" ref="L774">MIN(6,_xlfn.XLOOKUP($D774&amp;"_"&amp;L$52,$B$14:$B$36&amp;"_"&amp;$C$14:$C$36,$D$14:$D$36)*$E774)</f>
        <v>3.948</v>
      </c>
      <c r="M774" s="95" cm="1">
        <f ca="1" t="array" ref="M774">(1+SUMPRODUCT(G774:H774,OFFSET($H$40:$I$40,D774,0)))*(1+OFFSET($J$40,D774,0))^I774*(1+OFFSET($K$40,D774,0))^J774*(1+OFFSET($L$40,D774,0))^K774*(1+OFFSET($M$40,D774,0))^L774</f>
        <v>141.294441144386</v>
      </c>
      <c r="N774" s="95">
        <f ca="1">MAX(MAX($N$53:N773),OFFSET($C$52,MATCH(M774*1.07,$M$53:$M$2052,1),0)-C774)</f>
        <v>10080</v>
      </c>
    </row>
    <row r="775" spans="2:14">
      <c r="B775" s="95">
        <v>723</v>
      </c>
      <c r="C775" s="95">
        <f t="shared" si="60"/>
        <v>260280</v>
      </c>
      <c r="D775" s="95">
        <f ca="1">_xlfn.XLOOKUP(总览!$B$44,$B$40:$B$45,$C$40:$C$45)</f>
        <v>5</v>
      </c>
      <c r="E775" s="95">
        <f ca="1" t="shared" si="61"/>
        <v>753</v>
      </c>
      <c r="F775" s="95">
        <f ca="1" t="shared" si="62"/>
        <v>0</v>
      </c>
      <c r="G775" s="95">
        <f ca="1" t="shared" si="63"/>
        <v>0</v>
      </c>
      <c r="H775" s="95" cm="1">
        <f ca="1" t="array" ref="H775">MIN(30-SUM(I775:L775),_xlfn.XLOOKUP($D775&amp;"_"&amp;H$52,$B$14:$B$36&amp;"_"&amp;$C$14:$C$36,$D$14:$D$36)*$E775,18)</f>
        <v>16.2441</v>
      </c>
      <c r="I775" s="95" cm="1">
        <f ca="1" t="array" ref="I775">MIN(30-SUM(J775:L775),6-L775,_xlfn.XLOOKUP($D775&amp;"_"&amp;I$52,$B$14:$B$36&amp;"_"&amp;$C$14:$C$36,$D$14:$D$36)*$E775)</f>
        <v>2.04675</v>
      </c>
      <c r="J775" s="95" cm="1">
        <f ca="1" t="array" ref="J775">MIN(8,_xlfn.XLOOKUP($D775&amp;"_"&amp;J$52,$B$14:$B$36&amp;"_"&amp;$C$14:$C$36,$D$14:$D$36)*$E775)</f>
        <v>5.6475</v>
      </c>
      <c r="K775" s="95" cm="1">
        <f ca="1" t="array" ref="K775">MIN(18,_xlfn.XLOOKUP($D775&amp;"_"&amp;K$52,$B$14:$B$36&amp;"_"&amp;$C$14:$C$36,$D$14:$D$36)*$E775)</f>
        <v>2.1084</v>
      </c>
      <c r="L775" s="95" cm="1">
        <f ca="1" t="array" ref="L775">MIN(6,_xlfn.XLOOKUP($D775&amp;"_"&amp;L$52,$B$14:$B$36&amp;"_"&amp;$C$14:$C$36,$D$14:$D$36)*$E775)</f>
        <v>3.95325</v>
      </c>
      <c r="M775" s="95" cm="1">
        <f ca="1" t="array" ref="M775">(1+SUMPRODUCT(G775:H775,OFFSET($H$40:$I$40,D775,0)))*(1+OFFSET($J$40,D775,0))^I775*(1+OFFSET($K$40,D775,0))^J775*(1+OFFSET($L$40,D775,0))^K775*(1+OFFSET($M$40,D775,0))^L775</f>
        <v>141.63311635356</v>
      </c>
      <c r="N775" s="95">
        <f ca="1">MAX(MAX($N$53:N774),OFFSET($C$52,MATCH(M775*1.07,$M$53:$M$2052,1),0)-C775)</f>
        <v>10080</v>
      </c>
    </row>
    <row r="776" spans="2:14">
      <c r="B776" s="95">
        <v>724</v>
      </c>
      <c r="C776" s="95">
        <f t="shared" ref="C776:C839" si="64">C775+360</f>
        <v>260640</v>
      </c>
      <c r="D776" s="95">
        <f ca="1">_xlfn.XLOOKUP(总览!$B$44,$B$40:$B$45,$C$40:$C$45)</f>
        <v>5</v>
      </c>
      <c r="E776" s="95">
        <f ca="1" t="shared" si="61"/>
        <v>754</v>
      </c>
      <c r="F776" s="95">
        <f ca="1" t="shared" si="62"/>
        <v>0</v>
      </c>
      <c r="G776" s="95">
        <f ca="1" t="shared" si="63"/>
        <v>0</v>
      </c>
      <c r="H776" s="95" cm="1">
        <f ca="1" t="array" ref="H776">MIN(30-SUM(I776:L776),_xlfn.XLOOKUP($D776&amp;"_"&amp;H$52,$B$14:$B$36&amp;"_"&amp;$C$14:$C$36,$D$14:$D$36)*$E776,18)</f>
        <v>16.2338</v>
      </c>
      <c r="I776" s="95" cm="1">
        <f ca="1" t="array" ref="I776">MIN(30-SUM(J776:L776),6-L776,_xlfn.XLOOKUP($D776&amp;"_"&amp;I$52,$B$14:$B$36&amp;"_"&amp;$C$14:$C$36,$D$14:$D$36)*$E776)</f>
        <v>2.0415</v>
      </c>
      <c r="J776" s="95" cm="1">
        <f ca="1" t="array" ref="J776">MIN(8,_xlfn.XLOOKUP($D776&amp;"_"&amp;J$52,$B$14:$B$36&amp;"_"&amp;$C$14:$C$36,$D$14:$D$36)*$E776)</f>
        <v>5.655</v>
      </c>
      <c r="K776" s="95" cm="1">
        <f ca="1" t="array" ref="K776">MIN(18,_xlfn.XLOOKUP($D776&amp;"_"&amp;K$52,$B$14:$B$36&amp;"_"&amp;$C$14:$C$36,$D$14:$D$36)*$E776)</f>
        <v>2.1112</v>
      </c>
      <c r="L776" s="95" cm="1">
        <f ca="1" t="array" ref="L776">MIN(6,_xlfn.XLOOKUP($D776&amp;"_"&amp;L$52,$B$14:$B$36&amp;"_"&amp;$C$14:$C$36,$D$14:$D$36)*$E776)</f>
        <v>3.9585</v>
      </c>
      <c r="M776" s="95" cm="1">
        <f ca="1" t="array" ref="M776">(1+SUMPRODUCT(G776:H776,OFFSET($H$40:$I$40,D776,0)))*(1+OFFSET($J$40,D776,0))^I776*(1+OFFSET($K$40,D776,0))^J776*(1+OFFSET($L$40,D776,0))^K776*(1+OFFSET($M$40,D776,0))^L776</f>
        <v>141.972569975531</v>
      </c>
      <c r="N776" s="95">
        <f ca="1">MAX(MAX($N$53:N775),OFFSET($C$52,MATCH(M776*1.07,$M$53:$M$2052,1),0)-C776)</f>
        <v>10080</v>
      </c>
    </row>
    <row r="777" spans="2:14">
      <c r="B777" s="95">
        <v>725</v>
      </c>
      <c r="C777" s="95">
        <f t="shared" si="64"/>
        <v>261000</v>
      </c>
      <c r="D777" s="95">
        <f ca="1">_xlfn.XLOOKUP(总览!$B$44,$B$40:$B$45,$C$40:$C$45)</f>
        <v>5</v>
      </c>
      <c r="E777" s="95">
        <f ca="1" t="shared" si="61"/>
        <v>755</v>
      </c>
      <c r="F777" s="95">
        <f ca="1" t="shared" si="62"/>
        <v>0</v>
      </c>
      <c r="G777" s="95">
        <f ca="1" t="shared" si="63"/>
        <v>0</v>
      </c>
      <c r="H777" s="95" cm="1">
        <f ca="1" t="array" ref="H777">MIN(30-SUM(I777:L777),_xlfn.XLOOKUP($D777&amp;"_"&amp;H$52,$B$14:$B$36&amp;"_"&amp;$C$14:$C$36,$D$14:$D$36)*$E777,18)</f>
        <v>16.2235</v>
      </c>
      <c r="I777" s="95" cm="1">
        <f ca="1" t="array" ref="I777">MIN(30-SUM(J777:L777),6-L777,_xlfn.XLOOKUP($D777&amp;"_"&amp;I$52,$B$14:$B$36&amp;"_"&amp;$C$14:$C$36,$D$14:$D$36)*$E777)</f>
        <v>2.03625</v>
      </c>
      <c r="J777" s="95" cm="1">
        <f ca="1" t="array" ref="J777">MIN(8,_xlfn.XLOOKUP($D777&amp;"_"&amp;J$52,$B$14:$B$36&amp;"_"&amp;$C$14:$C$36,$D$14:$D$36)*$E777)</f>
        <v>5.6625</v>
      </c>
      <c r="K777" s="95" cm="1">
        <f ca="1" t="array" ref="K777">MIN(18,_xlfn.XLOOKUP($D777&amp;"_"&amp;K$52,$B$14:$B$36&amp;"_"&amp;$C$14:$C$36,$D$14:$D$36)*$E777)</f>
        <v>2.114</v>
      </c>
      <c r="L777" s="95" cm="1">
        <f ca="1" t="array" ref="L777">MIN(6,_xlfn.XLOOKUP($D777&amp;"_"&amp;L$52,$B$14:$B$36&amp;"_"&amp;$C$14:$C$36,$D$14:$D$36)*$E777)</f>
        <v>3.96375</v>
      </c>
      <c r="M777" s="95" cm="1">
        <f ca="1" t="array" ref="M777">(1+SUMPRODUCT(G777:H777,OFFSET($H$40:$I$40,D777,0)))*(1+OFFSET($J$40,D777,0))^I777*(1+OFFSET($K$40,D777,0))^J777*(1+OFFSET($L$40,D777,0))^K777*(1+OFFSET($M$40,D777,0))^L777</f>
        <v>142.312803683684</v>
      </c>
      <c r="N777" s="95">
        <f ca="1">MAX(MAX($N$53:N776),OFFSET($C$52,MATCH(M777*1.07,$M$53:$M$2052,1),0)-C777)</f>
        <v>10080</v>
      </c>
    </row>
    <row r="778" spans="2:14">
      <c r="B778" s="95">
        <v>726</v>
      </c>
      <c r="C778" s="95">
        <f t="shared" si="64"/>
        <v>261360</v>
      </c>
      <c r="D778" s="95">
        <f ca="1">_xlfn.XLOOKUP(总览!$B$44,$B$40:$B$45,$C$40:$C$45)</f>
        <v>5</v>
      </c>
      <c r="E778" s="95">
        <f ca="1" t="shared" si="61"/>
        <v>756</v>
      </c>
      <c r="F778" s="95">
        <f ca="1" t="shared" si="62"/>
        <v>0</v>
      </c>
      <c r="G778" s="95">
        <f ca="1" t="shared" si="63"/>
        <v>0</v>
      </c>
      <c r="H778" s="95" cm="1">
        <f ca="1" t="array" ref="H778">MIN(30-SUM(I778:L778),_xlfn.XLOOKUP($D778&amp;"_"&amp;H$52,$B$14:$B$36&amp;"_"&amp;$C$14:$C$36,$D$14:$D$36)*$E778,18)</f>
        <v>16.2132</v>
      </c>
      <c r="I778" s="95" cm="1">
        <f ca="1" t="array" ref="I778">MIN(30-SUM(J778:L778),6-L778,_xlfn.XLOOKUP($D778&amp;"_"&amp;I$52,$B$14:$B$36&amp;"_"&amp;$C$14:$C$36,$D$14:$D$36)*$E778)</f>
        <v>2.031</v>
      </c>
      <c r="J778" s="95" cm="1">
        <f ca="1" t="array" ref="J778">MIN(8,_xlfn.XLOOKUP($D778&amp;"_"&amp;J$52,$B$14:$B$36&amp;"_"&amp;$C$14:$C$36,$D$14:$D$36)*$E778)</f>
        <v>5.67</v>
      </c>
      <c r="K778" s="95" cm="1">
        <f ca="1" t="array" ref="K778">MIN(18,_xlfn.XLOOKUP($D778&amp;"_"&amp;K$52,$B$14:$B$36&amp;"_"&amp;$C$14:$C$36,$D$14:$D$36)*$E778)</f>
        <v>2.1168</v>
      </c>
      <c r="L778" s="95" cm="1">
        <f ca="1" t="array" ref="L778">MIN(6,_xlfn.XLOOKUP($D778&amp;"_"&amp;L$52,$B$14:$B$36&amp;"_"&amp;$C$14:$C$36,$D$14:$D$36)*$E778)</f>
        <v>3.969</v>
      </c>
      <c r="M778" s="95" cm="1">
        <f ca="1" t="array" ref="M778">(1+SUMPRODUCT(G778:H778,OFFSET($H$40:$I$40,D778,0)))*(1+OFFSET($J$40,D778,0))^I778*(1+OFFSET($K$40,D778,0))^J778*(1+OFFSET($L$40,D778,0))^K778*(1+OFFSET($M$40,D778,0))^L778</f>
        <v>142.653819154584</v>
      </c>
      <c r="N778" s="95">
        <f ca="1">MAX(MAX($N$53:N777),OFFSET($C$52,MATCH(M778*1.07,$M$53:$M$2052,1),0)-C778)</f>
        <v>10080</v>
      </c>
    </row>
    <row r="779" spans="2:14">
      <c r="B779" s="95">
        <v>727</v>
      </c>
      <c r="C779" s="95">
        <f t="shared" si="64"/>
        <v>261720</v>
      </c>
      <c r="D779" s="95">
        <f ca="1">_xlfn.XLOOKUP(总览!$B$44,$B$40:$B$45,$C$40:$C$45)</f>
        <v>5</v>
      </c>
      <c r="E779" s="95">
        <f ca="1" t="shared" si="61"/>
        <v>757</v>
      </c>
      <c r="F779" s="95">
        <f ca="1" t="shared" si="62"/>
        <v>0</v>
      </c>
      <c r="G779" s="95">
        <f ca="1" t="shared" si="63"/>
        <v>0</v>
      </c>
      <c r="H779" s="95" cm="1">
        <f ca="1" t="array" ref="H779">MIN(30-SUM(I779:L779),_xlfn.XLOOKUP($D779&amp;"_"&amp;H$52,$B$14:$B$36&amp;"_"&amp;$C$14:$C$36,$D$14:$D$36)*$E779,18)</f>
        <v>16.2029</v>
      </c>
      <c r="I779" s="95" cm="1">
        <f ca="1" t="array" ref="I779">MIN(30-SUM(J779:L779),6-L779,_xlfn.XLOOKUP($D779&amp;"_"&amp;I$52,$B$14:$B$36&amp;"_"&amp;$C$14:$C$36,$D$14:$D$36)*$E779)</f>
        <v>2.02575</v>
      </c>
      <c r="J779" s="95" cm="1">
        <f ca="1" t="array" ref="J779">MIN(8,_xlfn.XLOOKUP($D779&amp;"_"&amp;J$52,$B$14:$B$36&amp;"_"&amp;$C$14:$C$36,$D$14:$D$36)*$E779)</f>
        <v>5.6775</v>
      </c>
      <c r="K779" s="95" cm="1">
        <f ca="1" t="array" ref="K779">MIN(18,_xlfn.XLOOKUP($D779&amp;"_"&amp;K$52,$B$14:$B$36&amp;"_"&amp;$C$14:$C$36,$D$14:$D$36)*$E779)</f>
        <v>2.1196</v>
      </c>
      <c r="L779" s="95" cm="1">
        <f ca="1" t="array" ref="L779">MIN(6,_xlfn.XLOOKUP($D779&amp;"_"&amp;L$52,$B$14:$B$36&amp;"_"&amp;$C$14:$C$36,$D$14:$D$36)*$E779)</f>
        <v>3.97425</v>
      </c>
      <c r="M779" s="95" cm="1">
        <f ca="1" t="array" ref="M779">(1+SUMPRODUCT(G779:H779,OFFSET($H$40:$I$40,D779,0)))*(1+OFFSET($J$40,D779,0))^I779*(1+OFFSET($K$40,D779,0))^J779*(1+OFFSET($L$40,D779,0))^K779*(1+OFFSET($M$40,D779,0))^L779</f>
        <v>142.995618067978</v>
      </c>
      <c r="N779" s="95">
        <f ca="1">MAX(MAX($N$53:N778),OFFSET($C$52,MATCH(M779*1.07,$M$53:$M$2052,1),0)-C779)</f>
        <v>10080</v>
      </c>
    </row>
    <row r="780" spans="2:14">
      <c r="B780" s="95">
        <v>728</v>
      </c>
      <c r="C780" s="95">
        <f t="shared" si="64"/>
        <v>262080</v>
      </c>
      <c r="D780" s="95">
        <f ca="1">_xlfn.XLOOKUP(总览!$B$44,$B$40:$B$45,$C$40:$C$45)</f>
        <v>5</v>
      </c>
      <c r="E780" s="95">
        <f ca="1" t="shared" si="61"/>
        <v>758</v>
      </c>
      <c r="F780" s="95">
        <f ca="1" t="shared" si="62"/>
        <v>0</v>
      </c>
      <c r="G780" s="95">
        <f ca="1" t="shared" si="63"/>
        <v>0</v>
      </c>
      <c r="H780" s="95" cm="1">
        <f ca="1" t="array" ref="H780">MIN(30-SUM(I780:L780),_xlfn.XLOOKUP($D780&amp;"_"&amp;H$52,$B$14:$B$36&amp;"_"&amp;$C$14:$C$36,$D$14:$D$36)*$E780,18)</f>
        <v>16.1926</v>
      </c>
      <c r="I780" s="95" cm="1">
        <f ca="1" t="array" ref="I780">MIN(30-SUM(J780:L780),6-L780,_xlfn.XLOOKUP($D780&amp;"_"&amp;I$52,$B$14:$B$36&amp;"_"&amp;$C$14:$C$36,$D$14:$D$36)*$E780)</f>
        <v>2.0205</v>
      </c>
      <c r="J780" s="95" cm="1">
        <f ca="1" t="array" ref="J780">MIN(8,_xlfn.XLOOKUP($D780&amp;"_"&amp;J$52,$B$14:$B$36&amp;"_"&amp;$C$14:$C$36,$D$14:$D$36)*$E780)</f>
        <v>5.685</v>
      </c>
      <c r="K780" s="95" cm="1">
        <f ca="1" t="array" ref="K780">MIN(18,_xlfn.XLOOKUP($D780&amp;"_"&amp;K$52,$B$14:$B$36&amp;"_"&amp;$C$14:$C$36,$D$14:$D$36)*$E780)</f>
        <v>2.1224</v>
      </c>
      <c r="L780" s="95" cm="1">
        <f ca="1" t="array" ref="L780">MIN(6,_xlfn.XLOOKUP($D780&amp;"_"&amp;L$52,$B$14:$B$36&amp;"_"&amp;$C$14:$C$36,$D$14:$D$36)*$E780)</f>
        <v>3.9795</v>
      </c>
      <c r="M780" s="95" cm="1">
        <f ca="1" t="array" ref="M780">(1+SUMPRODUCT(G780:H780,OFFSET($H$40:$I$40,D780,0)))*(1+OFFSET($J$40,D780,0))^I780*(1+OFFSET($K$40,D780,0))^J780*(1+OFFSET($L$40,D780,0))^K780*(1+OFFSET($M$40,D780,0))^L780</f>
        <v>143.338202106801</v>
      </c>
      <c r="N780" s="95">
        <f ca="1">MAX(MAX($N$53:N779),OFFSET($C$52,MATCH(M780*1.07,$M$53:$M$2052,1),0)-C780)</f>
        <v>10080</v>
      </c>
    </row>
    <row r="781" spans="2:14">
      <c r="B781" s="95">
        <v>729</v>
      </c>
      <c r="C781" s="95">
        <f t="shared" si="64"/>
        <v>262440</v>
      </c>
      <c r="D781" s="95">
        <f ca="1">_xlfn.XLOOKUP(总览!$B$44,$B$40:$B$45,$C$40:$C$45)</f>
        <v>5</v>
      </c>
      <c r="E781" s="95">
        <f ca="1" t="shared" si="61"/>
        <v>759</v>
      </c>
      <c r="F781" s="95">
        <f ca="1" t="shared" si="62"/>
        <v>0</v>
      </c>
      <c r="G781" s="95">
        <f ca="1" t="shared" si="63"/>
        <v>0</v>
      </c>
      <c r="H781" s="95" cm="1">
        <f ca="1" t="array" ref="H781">MIN(30-SUM(I781:L781),_xlfn.XLOOKUP($D781&amp;"_"&amp;H$52,$B$14:$B$36&amp;"_"&amp;$C$14:$C$36,$D$14:$D$36)*$E781,18)</f>
        <v>16.1823</v>
      </c>
      <c r="I781" s="95" cm="1">
        <f ca="1" t="array" ref="I781">MIN(30-SUM(J781:L781),6-L781,_xlfn.XLOOKUP($D781&amp;"_"&amp;I$52,$B$14:$B$36&amp;"_"&amp;$C$14:$C$36,$D$14:$D$36)*$E781)</f>
        <v>2.01525</v>
      </c>
      <c r="J781" s="95" cm="1">
        <f ca="1" t="array" ref="J781">MIN(8,_xlfn.XLOOKUP($D781&amp;"_"&amp;J$52,$B$14:$B$36&amp;"_"&amp;$C$14:$C$36,$D$14:$D$36)*$E781)</f>
        <v>5.6925</v>
      </c>
      <c r="K781" s="95" cm="1">
        <f ca="1" t="array" ref="K781">MIN(18,_xlfn.XLOOKUP($D781&amp;"_"&amp;K$52,$B$14:$B$36&amp;"_"&amp;$C$14:$C$36,$D$14:$D$36)*$E781)</f>
        <v>2.1252</v>
      </c>
      <c r="L781" s="95" cm="1">
        <f ca="1" t="array" ref="L781">MIN(6,_xlfn.XLOOKUP($D781&amp;"_"&amp;L$52,$B$14:$B$36&amp;"_"&amp;$C$14:$C$36,$D$14:$D$36)*$E781)</f>
        <v>3.98475</v>
      </c>
      <c r="M781" s="95" cm="1">
        <f ca="1" t="array" ref="M781">(1+SUMPRODUCT(G781:H781,OFFSET($H$40:$I$40,D781,0)))*(1+OFFSET($J$40,D781,0))^I781*(1+OFFSET($K$40,D781,0))^J781*(1+OFFSET($L$40,D781,0))^K781*(1+OFFSET($M$40,D781,0))^L781</f>
        <v>143.681572957181</v>
      </c>
      <c r="N781" s="95">
        <f ca="1">MAX(MAX($N$53:N780),OFFSET($C$52,MATCH(M781*1.07,$M$53:$M$2052,1),0)-C781)</f>
        <v>10080</v>
      </c>
    </row>
    <row r="782" spans="2:14">
      <c r="B782" s="95">
        <v>730</v>
      </c>
      <c r="C782" s="95">
        <f t="shared" si="64"/>
        <v>262800</v>
      </c>
      <c r="D782" s="95">
        <f ca="1">_xlfn.XLOOKUP(总览!$B$44,$B$40:$B$45,$C$40:$C$45)</f>
        <v>5</v>
      </c>
      <c r="E782" s="95">
        <f ca="1" t="shared" si="61"/>
        <v>760</v>
      </c>
      <c r="F782" s="95">
        <f ca="1" t="shared" si="62"/>
        <v>0</v>
      </c>
      <c r="G782" s="95">
        <f ca="1" t="shared" si="63"/>
        <v>0</v>
      </c>
      <c r="H782" s="95" cm="1">
        <f ca="1" t="array" ref="H782">MIN(30-SUM(I782:L782),_xlfn.XLOOKUP($D782&amp;"_"&amp;H$52,$B$14:$B$36&amp;"_"&amp;$C$14:$C$36,$D$14:$D$36)*$E782,18)</f>
        <v>16.172</v>
      </c>
      <c r="I782" s="95" cm="1">
        <f ca="1" t="array" ref="I782">MIN(30-SUM(J782:L782),6-L782,_xlfn.XLOOKUP($D782&amp;"_"&amp;I$52,$B$14:$B$36&amp;"_"&amp;$C$14:$C$36,$D$14:$D$36)*$E782)</f>
        <v>2.01</v>
      </c>
      <c r="J782" s="95" cm="1">
        <f ca="1" t="array" ref="J782">MIN(8,_xlfn.XLOOKUP($D782&amp;"_"&amp;J$52,$B$14:$B$36&amp;"_"&amp;$C$14:$C$36,$D$14:$D$36)*$E782)</f>
        <v>5.7</v>
      </c>
      <c r="K782" s="95" cm="1">
        <f ca="1" t="array" ref="K782">MIN(18,_xlfn.XLOOKUP($D782&amp;"_"&amp;K$52,$B$14:$B$36&amp;"_"&amp;$C$14:$C$36,$D$14:$D$36)*$E782)</f>
        <v>2.128</v>
      </c>
      <c r="L782" s="95" cm="1">
        <f ca="1" t="array" ref="L782">MIN(6,_xlfn.XLOOKUP($D782&amp;"_"&amp;L$52,$B$14:$B$36&amp;"_"&amp;$C$14:$C$36,$D$14:$D$36)*$E782)</f>
        <v>3.99</v>
      </c>
      <c r="M782" s="95" cm="1">
        <f ca="1" t="array" ref="M782">(1+SUMPRODUCT(G782:H782,OFFSET($H$40:$I$40,D782,0)))*(1+OFFSET($J$40,D782,0))^I782*(1+OFFSET($K$40,D782,0))^J782*(1+OFFSET($L$40,D782,0))^K782*(1+OFFSET($M$40,D782,0))^L782</f>
        <v>144.025732308441</v>
      </c>
      <c r="N782" s="95">
        <f ca="1">MAX(MAX($N$53:N781),OFFSET($C$52,MATCH(M782*1.07,$M$53:$M$2052,1),0)-C782)</f>
        <v>10080</v>
      </c>
    </row>
    <row r="783" spans="2:14">
      <c r="B783" s="95">
        <v>731</v>
      </c>
      <c r="C783" s="95">
        <f t="shared" si="64"/>
        <v>263160</v>
      </c>
      <c r="D783" s="95">
        <f ca="1">_xlfn.XLOOKUP(总览!$B$44,$B$40:$B$45,$C$40:$C$45)</f>
        <v>5</v>
      </c>
      <c r="E783" s="95">
        <f ca="1" t="shared" si="61"/>
        <v>761</v>
      </c>
      <c r="F783" s="95">
        <f ca="1" t="shared" si="62"/>
        <v>0</v>
      </c>
      <c r="G783" s="95">
        <f ca="1" t="shared" si="63"/>
        <v>0</v>
      </c>
      <c r="H783" s="95" cm="1">
        <f ca="1" t="array" ref="H783">MIN(30-SUM(I783:L783),_xlfn.XLOOKUP($D783&amp;"_"&amp;H$52,$B$14:$B$36&amp;"_"&amp;$C$14:$C$36,$D$14:$D$36)*$E783,18)</f>
        <v>16.1617</v>
      </c>
      <c r="I783" s="95" cm="1">
        <f ca="1" t="array" ref="I783">MIN(30-SUM(J783:L783),6-L783,_xlfn.XLOOKUP($D783&amp;"_"&amp;I$52,$B$14:$B$36&amp;"_"&amp;$C$14:$C$36,$D$14:$D$36)*$E783)</f>
        <v>2.00475</v>
      </c>
      <c r="J783" s="95" cm="1">
        <f ca="1" t="array" ref="J783">MIN(8,_xlfn.XLOOKUP($D783&amp;"_"&amp;J$52,$B$14:$B$36&amp;"_"&amp;$C$14:$C$36,$D$14:$D$36)*$E783)</f>
        <v>5.7075</v>
      </c>
      <c r="K783" s="95" cm="1">
        <f ca="1" t="array" ref="K783">MIN(18,_xlfn.XLOOKUP($D783&amp;"_"&amp;K$52,$B$14:$B$36&amp;"_"&amp;$C$14:$C$36,$D$14:$D$36)*$E783)</f>
        <v>2.1308</v>
      </c>
      <c r="L783" s="95" cm="1">
        <f ca="1" t="array" ref="L783">MIN(6,_xlfn.XLOOKUP($D783&amp;"_"&amp;L$52,$B$14:$B$36&amp;"_"&amp;$C$14:$C$36,$D$14:$D$36)*$E783)</f>
        <v>3.99525</v>
      </c>
      <c r="M783" s="95" cm="1">
        <f ca="1" t="array" ref="M783">(1+SUMPRODUCT(G783:H783,OFFSET($H$40:$I$40,D783,0)))*(1+OFFSET($J$40,D783,0))^I783*(1+OFFSET($K$40,D783,0))^J783*(1+OFFSET($L$40,D783,0))^K783*(1+OFFSET($M$40,D783,0))^L783</f>
        <v>144.370681853107</v>
      </c>
      <c r="N783" s="95">
        <f ca="1">MAX(MAX($N$53:N782),OFFSET($C$52,MATCH(M783*1.07,$M$53:$M$2052,1),0)-C783)</f>
        <v>10080</v>
      </c>
    </row>
    <row r="784" spans="2:14">
      <c r="B784" s="95">
        <v>732</v>
      </c>
      <c r="C784" s="95">
        <f t="shared" si="64"/>
        <v>263520</v>
      </c>
      <c r="D784" s="95">
        <f ca="1">_xlfn.XLOOKUP(总览!$B$44,$B$40:$B$45,$C$40:$C$45)</f>
        <v>5</v>
      </c>
      <c r="E784" s="95">
        <f ca="1" t="shared" si="61"/>
        <v>762</v>
      </c>
      <c r="F784" s="95">
        <f ca="1" t="shared" si="62"/>
        <v>0</v>
      </c>
      <c r="G784" s="95">
        <f ca="1" t="shared" si="63"/>
        <v>0</v>
      </c>
      <c r="H784" s="95" cm="1">
        <f ca="1" t="array" ref="H784">MIN(30-SUM(I784:L784),_xlfn.XLOOKUP($D784&amp;"_"&amp;H$52,$B$14:$B$36&amp;"_"&amp;$C$14:$C$36,$D$14:$D$36)*$E784,18)</f>
        <v>16.1514</v>
      </c>
      <c r="I784" s="95" cm="1">
        <f ca="1" t="array" ref="I784">MIN(30-SUM(J784:L784),6-L784,_xlfn.XLOOKUP($D784&amp;"_"&amp;I$52,$B$14:$B$36&amp;"_"&amp;$C$14:$C$36,$D$14:$D$36)*$E784)</f>
        <v>1.9995</v>
      </c>
      <c r="J784" s="95" cm="1">
        <f ca="1" t="array" ref="J784">MIN(8,_xlfn.XLOOKUP($D784&amp;"_"&amp;J$52,$B$14:$B$36&amp;"_"&amp;$C$14:$C$36,$D$14:$D$36)*$E784)</f>
        <v>5.715</v>
      </c>
      <c r="K784" s="95" cm="1">
        <f ca="1" t="array" ref="K784">MIN(18,_xlfn.XLOOKUP($D784&amp;"_"&amp;K$52,$B$14:$B$36&amp;"_"&amp;$C$14:$C$36,$D$14:$D$36)*$E784)</f>
        <v>2.1336</v>
      </c>
      <c r="L784" s="95" cm="1">
        <f ca="1" t="array" ref="L784">MIN(6,_xlfn.XLOOKUP($D784&amp;"_"&amp;L$52,$B$14:$B$36&amp;"_"&amp;$C$14:$C$36,$D$14:$D$36)*$E784)</f>
        <v>4.0005</v>
      </c>
      <c r="M784" s="95" cm="1">
        <f ca="1" t="array" ref="M784">(1+SUMPRODUCT(G784:H784,OFFSET($H$40:$I$40,D784,0)))*(1+OFFSET($J$40,D784,0))^I784*(1+OFFSET($K$40,D784,0))^J784*(1+OFFSET($L$40,D784,0))^K784*(1+OFFSET($M$40,D784,0))^L784</f>
        <v>144.716423286908</v>
      </c>
      <c r="N784" s="95">
        <f ca="1">MAX(MAX($N$53:N783),OFFSET($C$52,MATCH(M784*1.07,$M$53:$M$2052,1),0)-C784)</f>
        <v>10080</v>
      </c>
    </row>
    <row r="785" spans="2:14">
      <c r="B785" s="95">
        <v>733</v>
      </c>
      <c r="C785" s="95">
        <f t="shared" si="64"/>
        <v>263880</v>
      </c>
      <c r="D785" s="95">
        <f ca="1">_xlfn.XLOOKUP(总览!$B$44,$B$40:$B$45,$C$40:$C$45)</f>
        <v>5</v>
      </c>
      <c r="E785" s="95">
        <f ca="1" t="shared" si="61"/>
        <v>763</v>
      </c>
      <c r="F785" s="95">
        <f ca="1" t="shared" si="62"/>
        <v>0</v>
      </c>
      <c r="G785" s="95">
        <f ca="1" t="shared" si="63"/>
        <v>0</v>
      </c>
      <c r="H785" s="95" cm="1">
        <f ca="1" t="array" ref="H785">MIN(30-SUM(I785:L785),_xlfn.XLOOKUP($D785&amp;"_"&amp;H$52,$B$14:$B$36&amp;"_"&amp;$C$14:$C$36,$D$14:$D$36)*$E785,18)</f>
        <v>16.1411</v>
      </c>
      <c r="I785" s="95" cm="1">
        <f ca="1" t="array" ref="I785">MIN(30-SUM(J785:L785),6-L785,_xlfn.XLOOKUP($D785&amp;"_"&amp;I$52,$B$14:$B$36&amp;"_"&amp;$C$14:$C$36,$D$14:$D$36)*$E785)</f>
        <v>1.99425</v>
      </c>
      <c r="J785" s="95" cm="1">
        <f ca="1" t="array" ref="J785">MIN(8,_xlfn.XLOOKUP($D785&amp;"_"&amp;J$52,$B$14:$B$36&amp;"_"&amp;$C$14:$C$36,$D$14:$D$36)*$E785)</f>
        <v>5.7225</v>
      </c>
      <c r="K785" s="95" cm="1">
        <f ca="1" t="array" ref="K785">MIN(18,_xlfn.XLOOKUP($D785&amp;"_"&amp;K$52,$B$14:$B$36&amp;"_"&amp;$C$14:$C$36,$D$14:$D$36)*$E785)</f>
        <v>2.1364</v>
      </c>
      <c r="L785" s="95" cm="1">
        <f ca="1" t="array" ref="L785">MIN(6,_xlfn.XLOOKUP($D785&amp;"_"&amp;L$52,$B$14:$B$36&amp;"_"&amp;$C$14:$C$36,$D$14:$D$36)*$E785)</f>
        <v>4.00575</v>
      </c>
      <c r="M785" s="95" cm="1">
        <f ca="1" t="array" ref="M785">(1+SUMPRODUCT(G785:H785,OFFSET($H$40:$I$40,D785,0)))*(1+OFFSET($J$40,D785,0))^I785*(1+OFFSET($K$40,D785,0))^J785*(1+OFFSET($L$40,D785,0))^K785*(1+OFFSET($M$40,D785,0))^L785</f>
        <v>145.062958308785</v>
      </c>
      <c r="N785" s="95">
        <f ca="1">MAX(MAX($N$53:N784),OFFSET($C$52,MATCH(M785*1.07,$M$53:$M$2052,1),0)-C785)</f>
        <v>10080</v>
      </c>
    </row>
    <row r="786" spans="2:14">
      <c r="B786" s="95">
        <v>734</v>
      </c>
      <c r="C786" s="95">
        <f t="shared" si="64"/>
        <v>264240</v>
      </c>
      <c r="D786" s="95">
        <f ca="1">_xlfn.XLOOKUP(总览!$B$44,$B$40:$B$45,$C$40:$C$45)</f>
        <v>5</v>
      </c>
      <c r="E786" s="95">
        <f ca="1" t="shared" si="61"/>
        <v>764</v>
      </c>
      <c r="F786" s="95">
        <f ca="1" t="shared" si="62"/>
        <v>0</v>
      </c>
      <c r="G786" s="95">
        <f ca="1" t="shared" si="63"/>
        <v>0</v>
      </c>
      <c r="H786" s="95" cm="1">
        <f ca="1" t="array" ref="H786">MIN(30-SUM(I786:L786),_xlfn.XLOOKUP($D786&amp;"_"&amp;H$52,$B$14:$B$36&amp;"_"&amp;$C$14:$C$36,$D$14:$D$36)*$E786,18)</f>
        <v>16.1308</v>
      </c>
      <c r="I786" s="95" cm="1">
        <f ca="1" t="array" ref="I786">MIN(30-SUM(J786:L786),6-L786,_xlfn.XLOOKUP($D786&amp;"_"&amp;I$52,$B$14:$B$36&amp;"_"&amp;$C$14:$C$36,$D$14:$D$36)*$E786)</f>
        <v>1.989</v>
      </c>
      <c r="J786" s="95" cm="1">
        <f ca="1" t="array" ref="J786">MIN(8,_xlfn.XLOOKUP($D786&amp;"_"&amp;J$52,$B$14:$B$36&amp;"_"&amp;$C$14:$C$36,$D$14:$D$36)*$E786)</f>
        <v>5.73</v>
      </c>
      <c r="K786" s="95" cm="1">
        <f ca="1" t="array" ref="K786">MIN(18,_xlfn.XLOOKUP($D786&amp;"_"&amp;K$52,$B$14:$B$36&amp;"_"&amp;$C$14:$C$36,$D$14:$D$36)*$E786)</f>
        <v>2.1392</v>
      </c>
      <c r="L786" s="95" cm="1">
        <f ca="1" t="array" ref="L786">MIN(6,_xlfn.XLOOKUP($D786&amp;"_"&amp;L$52,$B$14:$B$36&amp;"_"&amp;$C$14:$C$36,$D$14:$D$36)*$E786)</f>
        <v>4.011</v>
      </c>
      <c r="M786" s="95" cm="1">
        <f ca="1" t="array" ref="M786">(1+SUMPRODUCT(G786:H786,OFFSET($H$40:$I$40,D786,0)))*(1+OFFSET($J$40,D786,0))^I786*(1+OFFSET($K$40,D786,0))^J786*(1+OFFSET($L$40,D786,0))^K786*(1+OFFSET($M$40,D786,0))^L786</f>
        <v>145.410288620892</v>
      </c>
      <c r="N786" s="95">
        <f ca="1">MAX(MAX($N$53:N785),OFFSET($C$52,MATCH(M786*1.07,$M$53:$M$2052,1),0)-C786)</f>
        <v>10080</v>
      </c>
    </row>
    <row r="787" spans="2:14">
      <c r="B787" s="95">
        <v>735</v>
      </c>
      <c r="C787" s="95">
        <f t="shared" si="64"/>
        <v>264600</v>
      </c>
      <c r="D787" s="95">
        <f ca="1">_xlfn.XLOOKUP(总览!$B$44,$B$40:$B$45,$C$40:$C$45)</f>
        <v>5</v>
      </c>
      <c r="E787" s="95">
        <f ca="1" t="shared" si="61"/>
        <v>765</v>
      </c>
      <c r="F787" s="95">
        <f ca="1" t="shared" si="62"/>
        <v>0</v>
      </c>
      <c r="G787" s="95">
        <f ca="1" t="shared" si="63"/>
        <v>0</v>
      </c>
      <c r="H787" s="95" cm="1">
        <f ca="1" t="array" ref="H787">MIN(30-SUM(I787:L787),_xlfn.XLOOKUP($D787&amp;"_"&amp;H$52,$B$14:$B$36&amp;"_"&amp;$C$14:$C$36,$D$14:$D$36)*$E787,18)</f>
        <v>16.1205</v>
      </c>
      <c r="I787" s="95" cm="1">
        <f ca="1" t="array" ref="I787">MIN(30-SUM(J787:L787),6-L787,_xlfn.XLOOKUP($D787&amp;"_"&amp;I$52,$B$14:$B$36&amp;"_"&amp;$C$14:$C$36,$D$14:$D$36)*$E787)</f>
        <v>1.98375</v>
      </c>
      <c r="J787" s="95" cm="1">
        <f ca="1" t="array" ref="J787">MIN(8,_xlfn.XLOOKUP($D787&amp;"_"&amp;J$52,$B$14:$B$36&amp;"_"&amp;$C$14:$C$36,$D$14:$D$36)*$E787)</f>
        <v>5.7375</v>
      </c>
      <c r="K787" s="95" cm="1">
        <f ca="1" t="array" ref="K787">MIN(18,_xlfn.XLOOKUP($D787&amp;"_"&amp;K$52,$B$14:$B$36&amp;"_"&amp;$C$14:$C$36,$D$14:$D$36)*$E787)</f>
        <v>2.142</v>
      </c>
      <c r="L787" s="95" cm="1">
        <f ca="1" t="array" ref="L787">MIN(6,_xlfn.XLOOKUP($D787&amp;"_"&amp;L$52,$B$14:$B$36&amp;"_"&amp;$C$14:$C$36,$D$14:$D$36)*$E787)</f>
        <v>4.01625</v>
      </c>
      <c r="M787" s="95" cm="1">
        <f ca="1" t="array" ref="M787">(1+SUMPRODUCT(G787:H787,OFFSET($H$40:$I$40,D787,0)))*(1+OFFSET($J$40,D787,0))^I787*(1+OFFSET($K$40,D787,0))^J787*(1+OFFSET($L$40,D787,0))^K787*(1+OFFSET($M$40,D787,0))^L787</f>
        <v>145.758415928602</v>
      </c>
      <c r="N787" s="95">
        <f ca="1">MAX(MAX($N$53:N786),OFFSET($C$52,MATCH(M787*1.07,$M$53:$M$2052,1),0)-C787)</f>
        <v>10080</v>
      </c>
    </row>
    <row r="788" spans="2:14">
      <c r="B788" s="95">
        <v>736</v>
      </c>
      <c r="C788" s="95">
        <f t="shared" si="64"/>
        <v>264960</v>
      </c>
      <c r="D788" s="95">
        <f ca="1">_xlfn.XLOOKUP(总览!$B$44,$B$40:$B$45,$C$40:$C$45)</f>
        <v>5</v>
      </c>
      <c r="E788" s="95">
        <f ca="1" t="shared" si="61"/>
        <v>766</v>
      </c>
      <c r="F788" s="95">
        <f ca="1" t="shared" si="62"/>
        <v>0</v>
      </c>
      <c r="G788" s="95">
        <f ca="1" t="shared" si="63"/>
        <v>0</v>
      </c>
      <c r="H788" s="95" cm="1">
        <f ca="1" t="array" ref="H788">MIN(30-SUM(I788:L788),_xlfn.XLOOKUP($D788&amp;"_"&amp;H$52,$B$14:$B$36&amp;"_"&amp;$C$14:$C$36,$D$14:$D$36)*$E788,18)</f>
        <v>16.1102</v>
      </c>
      <c r="I788" s="95" cm="1">
        <f ca="1" t="array" ref="I788">MIN(30-SUM(J788:L788),6-L788,_xlfn.XLOOKUP($D788&amp;"_"&amp;I$52,$B$14:$B$36&amp;"_"&amp;$C$14:$C$36,$D$14:$D$36)*$E788)</f>
        <v>1.9785</v>
      </c>
      <c r="J788" s="95" cm="1">
        <f ca="1" t="array" ref="J788">MIN(8,_xlfn.XLOOKUP($D788&amp;"_"&amp;J$52,$B$14:$B$36&amp;"_"&amp;$C$14:$C$36,$D$14:$D$36)*$E788)</f>
        <v>5.745</v>
      </c>
      <c r="K788" s="95" cm="1">
        <f ca="1" t="array" ref="K788">MIN(18,_xlfn.XLOOKUP($D788&amp;"_"&amp;K$52,$B$14:$B$36&amp;"_"&amp;$C$14:$C$36,$D$14:$D$36)*$E788)</f>
        <v>2.1448</v>
      </c>
      <c r="L788" s="95" cm="1">
        <f ca="1" t="array" ref="L788">MIN(6,_xlfn.XLOOKUP($D788&amp;"_"&amp;L$52,$B$14:$B$36&amp;"_"&amp;$C$14:$C$36,$D$14:$D$36)*$E788)</f>
        <v>4.0215</v>
      </c>
      <c r="M788" s="95" cm="1">
        <f ca="1" t="array" ref="M788">(1+SUMPRODUCT(G788:H788,OFFSET($H$40:$I$40,D788,0)))*(1+OFFSET($J$40,D788,0))^I788*(1+OFFSET($K$40,D788,0))^J788*(1+OFFSET($L$40,D788,0))^K788*(1+OFFSET($M$40,D788,0))^L788</f>
        <v>146.10734194051</v>
      </c>
      <c r="N788" s="95">
        <f ca="1">MAX(MAX($N$53:N787),OFFSET($C$52,MATCH(M788*1.07,$M$53:$M$2052,1),0)-C788)</f>
        <v>10080</v>
      </c>
    </row>
    <row r="789" spans="2:14">
      <c r="B789" s="95">
        <v>737</v>
      </c>
      <c r="C789" s="95">
        <f t="shared" si="64"/>
        <v>265320</v>
      </c>
      <c r="D789" s="95">
        <f ca="1">_xlfn.XLOOKUP(总览!$B$44,$B$40:$B$45,$C$40:$C$45)</f>
        <v>5</v>
      </c>
      <c r="E789" s="95">
        <f ca="1" t="shared" si="61"/>
        <v>767</v>
      </c>
      <c r="F789" s="95">
        <f ca="1" t="shared" si="62"/>
        <v>0</v>
      </c>
      <c r="G789" s="95">
        <f ca="1" t="shared" si="63"/>
        <v>0</v>
      </c>
      <c r="H789" s="95" cm="1">
        <f ca="1" t="array" ref="H789">MIN(30-SUM(I789:L789),_xlfn.XLOOKUP($D789&amp;"_"&amp;H$52,$B$14:$B$36&amp;"_"&amp;$C$14:$C$36,$D$14:$D$36)*$E789,18)</f>
        <v>16.0999</v>
      </c>
      <c r="I789" s="95" cm="1">
        <f ca="1" t="array" ref="I789">MIN(30-SUM(J789:L789),6-L789,_xlfn.XLOOKUP($D789&amp;"_"&amp;I$52,$B$14:$B$36&amp;"_"&amp;$C$14:$C$36,$D$14:$D$36)*$E789)</f>
        <v>1.97325</v>
      </c>
      <c r="J789" s="95" cm="1">
        <f ca="1" t="array" ref="J789">MIN(8,_xlfn.XLOOKUP($D789&amp;"_"&amp;J$52,$B$14:$B$36&amp;"_"&amp;$C$14:$C$36,$D$14:$D$36)*$E789)</f>
        <v>5.7525</v>
      </c>
      <c r="K789" s="95" cm="1">
        <f ca="1" t="array" ref="K789">MIN(18,_xlfn.XLOOKUP($D789&amp;"_"&amp;K$52,$B$14:$B$36&amp;"_"&amp;$C$14:$C$36,$D$14:$D$36)*$E789)</f>
        <v>2.1476</v>
      </c>
      <c r="L789" s="95" cm="1">
        <f ca="1" t="array" ref="L789">MIN(6,_xlfn.XLOOKUP($D789&amp;"_"&amp;L$52,$B$14:$B$36&amp;"_"&amp;$C$14:$C$36,$D$14:$D$36)*$E789)</f>
        <v>4.02675</v>
      </c>
      <c r="M789" s="95" cm="1">
        <f ca="1" t="array" ref="M789">(1+SUMPRODUCT(G789:H789,OFFSET($H$40:$I$40,D789,0)))*(1+OFFSET($J$40,D789,0))^I789*(1+OFFSET($K$40,D789,0))^J789*(1+OFFSET($L$40,D789,0))^K789*(1+OFFSET($M$40,D789,0))^L789</f>
        <v>146.457068368441</v>
      </c>
      <c r="N789" s="95">
        <f ca="1">MAX(MAX($N$53:N788),OFFSET($C$52,MATCH(M789*1.07,$M$53:$M$2052,1),0)-C789)</f>
        <v>10080</v>
      </c>
    </row>
    <row r="790" spans="2:14">
      <c r="B790" s="95">
        <v>738</v>
      </c>
      <c r="C790" s="95">
        <f t="shared" si="64"/>
        <v>265680</v>
      </c>
      <c r="D790" s="95">
        <f ca="1">_xlfn.XLOOKUP(总览!$B$44,$B$40:$B$45,$C$40:$C$45)</f>
        <v>5</v>
      </c>
      <c r="E790" s="95">
        <f ca="1" t="shared" si="61"/>
        <v>768</v>
      </c>
      <c r="F790" s="95">
        <f ca="1" t="shared" si="62"/>
        <v>0</v>
      </c>
      <c r="G790" s="95">
        <f ca="1" t="shared" si="63"/>
        <v>0</v>
      </c>
      <c r="H790" s="95" cm="1">
        <f ca="1" t="array" ref="H790">MIN(30-SUM(I790:L790),_xlfn.XLOOKUP($D790&amp;"_"&amp;H$52,$B$14:$B$36&amp;"_"&amp;$C$14:$C$36,$D$14:$D$36)*$E790,18)</f>
        <v>16.0896</v>
      </c>
      <c r="I790" s="95" cm="1">
        <f ca="1" t="array" ref="I790">MIN(30-SUM(J790:L790),6-L790,_xlfn.XLOOKUP($D790&amp;"_"&amp;I$52,$B$14:$B$36&amp;"_"&amp;$C$14:$C$36,$D$14:$D$36)*$E790)</f>
        <v>1.968</v>
      </c>
      <c r="J790" s="95" cm="1">
        <f ca="1" t="array" ref="J790">MIN(8,_xlfn.XLOOKUP($D790&amp;"_"&amp;J$52,$B$14:$B$36&amp;"_"&amp;$C$14:$C$36,$D$14:$D$36)*$E790)</f>
        <v>5.76</v>
      </c>
      <c r="K790" s="95" cm="1">
        <f ca="1" t="array" ref="K790">MIN(18,_xlfn.XLOOKUP($D790&amp;"_"&amp;K$52,$B$14:$B$36&amp;"_"&amp;$C$14:$C$36,$D$14:$D$36)*$E790)</f>
        <v>2.1504</v>
      </c>
      <c r="L790" s="95" cm="1">
        <f ca="1" t="array" ref="L790">MIN(6,_xlfn.XLOOKUP($D790&amp;"_"&amp;L$52,$B$14:$B$36&amp;"_"&amp;$C$14:$C$36,$D$14:$D$36)*$E790)</f>
        <v>4.032</v>
      </c>
      <c r="M790" s="95" cm="1">
        <f ca="1" t="array" ref="M790">(1+SUMPRODUCT(G790:H790,OFFSET($H$40:$I$40,D790,0)))*(1+OFFSET($J$40,D790,0))^I790*(1+OFFSET($K$40,D790,0))^J790*(1+OFFSET($L$40,D790,0))^K790*(1+OFFSET($M$40,D790,0))^L790</f>
        <v>146.807596927449</v>
      </c>
      <c r="N790" s="95">
        <f ca="1">MAX(MAX($N$53:N789),OFFSET($C$52,MATCH(M790*1.07,$M$53:$M$2052,1),0)-C790)</f>
        <v>10080</v>
      </c>
    </row>
    <row r="791" spans="2:14">
      <c r="B791" s="95">
        <v>739</v>
      </c>
      <c r="C791" s="95">
        <f t="shared" si="64"/>
        <v>266040</v>
      </c>
      <c r="D791" s="95">
        <f ca="1">_xlfn.XLOOKUP(总览!$B$44,$B$40:$B$45,$C$40:$C$45)</f>
        <v>5</v>
      </c>
      <c r="E791" s="95">
        <f ca="1" t="shared" si="61"/>
        <v>769</v>
      </c>
      <c r="F791" s="95">
        <f ca="1" t="shared" si="62"/>
        <v>0</v>
      </c>
      <c r="G791" s="95">
        <f ca="1" t="shared" si="63"/>
        <v>0</v>
      </c>
      <c r="H791" s="95" cm="1">
        <f ca="1" t="array" ref="H791">MIN(30-SUM(I791:L791),_xlfn.XLOOKUP($D791&amp;"_"&amp;H$52,$B$14:$B$36&amp;"_"&amp;$C$14:$C$36,$D$14:$D$36)*$E791,18)</f>
        <v>16.0793</v>
      </c>
      <c r="I791" s="95" cm="1">
        <f ca="1" t="array" ref="I791">MIN(30-SUM(J791:L791),6-L791,_xlfn.XLOOKUP($D791&amp;"_"&amp;I$52,$B$14:$B$36&amp;"_"&amp;$C$14:$C$36,$D$14:$D$36)*$E791)</f>
        <v>1.96275</v>
      </c>
      <c r="J791" s="95" cm="1">
        <f ca="1" t="array" ref="J791">MIN(8,_xlfn.XLOOKUP($D791&amp;"_"&amp;J$52,$B$14:$B$36&amp;"_"&amp;$C$14:$C$36,$D$14:$D$36)*$E791)</f>
        <v>5.7675</v>
      </c>
      <c r="K791" s="95" cm="1">
        <f ca="1" t="array" ref="K791">MIN(18,_xlfn.XLOOKUP($D791&amp;"_"&amp;K$52,$B$14:$B$36&amp;"_"&amp;$C$14:$C$36,$D$14:$D$36)*$E791)</f>
        <v>2.1532</v>
      </c>
      <c r="L791" s="95" cm="1">
        <f ca="1" t="array" ref="L791">MIN(6,_xlfn.XLOOKUP($D791&amp;"_"&amp;L$52,$B$14:$B$36&amp;"_"&amp;$C$14:$C$36,$D$14:$D$36)*$E791)</f>
        <v>4.03725</v>
      </c>
      <c r="M791" s="95" cm="1">
        <f ca="1" t="array" ref="M791">(1+SUMPRODUCT(G791:H791,OFFSET($H$40:$I$40,D791,0)))*(1+OFFSET($J$40,D791,0))^I791*(1+OFFSET($K$40,D791,0))^J791*(1+OFFSET($L$40,D791,0))^K791*(1+OFFSET($M$40,D791,0))^L791</f>
        <v>147.158929335826</v>
      </c>
      <c r="N791" s="95">
        <f ca="1">MAX(MAX($N$53:N790),OFFSET($C$52,MATCH(M791*1.07,$M$53:$M$2052,1),0)-C791)</f>
        <v>10080</v>
      </c>
    </row>
    <row r="792" spans="2:14">
      <c r="B792" s="95">
        <v>740</v>
      </c>
      <c r="C792" s="95">
        <f t="shared" si="64"/>
        <v>266400</v>
      </c>
      <c r="D792" s="95">
        <f ca="1">_xlfn.XLOOKUP(总览!$B$44,$B$40:$B$45,$C$40:$C$45)</f>
        <v>5</v>
      </c>
      <c r="E792" s="95">
        <f ca="1" t="shared" si="61"/>
        <v>770</v>
      </c>
      <c r="F792" s="95">
        <f ca="1" t="shared" si="62"/>
        <v>0</v>
      </c>
      <c r="G792" s="95">
        <f ca="1" t="shared" si="63"/>
        <v>0</v>
      </c>
      <c r="H792" s="95" cm="1">
        <f ca="1" t="array" ref="H792">MIN(30-SUM(I792:L792),_xlfn.XLOOKUP($D792&amp;"_"&amp;H$52,$B$14:$B$36&amp;"_"&amp;$C$14:$C$36,$D$14:$D$36)*$E792,18)</f>
        <v>16.069</v>
      </c>
      <c r="I792" s="95" cm="1">
        <f ca="1" t="array" ref="I792">MIN(30-SUM(J792:L792),6-L792,_xlfn.XLOOKUP($D792&amp;"_"&amp;I$52,$B$14:$B$36&amp;"_"&amp;$C$14:$C$36,$D$14:$D$36)*$E792)</f>
        <v>1.9575</v>
      </c>
      <c r="J792" s="95" cm="1">
        <f ca="1" t="array" ref="J792">MIN(8,_xlfn.XLOOKUP($D792&amp;"_"&amp;J$52,$B$14:$B$36&amp;"_"&amp;$C$14:$C$36,$D$14:$D$36)*$E792)</f>
        <v>5.775</v>
      </c>
      <c r="K792" s="95" cm="1">
        <f ca="1" t="array" ref="K792">MIN(18,_xlfn.XLOOKUP($D792&amp;"_"&amp;K$52,$B$14:$B$36&amp;"_"&amp;$C$14:$C$36,$D$14:$D$36)*$E792)</f>
        <v>2.156</v>
      </c>
      <c r="L792" s="95" cm="1">
        <f ca="1" t="array" ref="L792">MIN(6,_xlfn.XLOOKUP($D792&amp;"_"&amp;L$52,$B$14:$B$36&amp;"_"&amp;$C$14:$C$36,$D$14:$D$36)*$E792)</f>
        <v>4.0425</v>
      </c>
      <c r="M792" s="95" cm="1">
        <f ca="1" t="array" ref="M792">(1+SUMPRODUCT(G792:H792,OFFSET($H$40:$I$40,D792,0)))*(1+OFFSET($J$40,D792,0))^I792*(1+OFFSET($K$40,D792,0))^J792*(1+OFFSET($L$40,D792,0))^K792*(1+OFFSET($M$40,D792,0))^L792</f>
        <v>147.511067315103</v>
      </c>
      <c r="N792" s="95">
        <f ca="1">MAX(MAX($N$53:N791),OFFSET($C$52,MATCH(M792*1.07,$M$53:$M$2052,1),0)-C792)</f>
        <v>10080</v>
      </c>
    </row>
    <row r="793" spans="2:14">
      <c r="B793" s="95">
        <v>741</v>
      </c>
      <c r="C793" s="95">
        <f t="shared" si="64"/>
        <v>266760</v>
      </c>
      <c r="D793" s="95">
        <f ca="1">_xlfn.XLOOKUP(总览!$B$44,$B$40:$B$45,$C$40:$C$45)</f>
        <v>5</v>
      </c>
      <c r="E793" s="95">
        <f ca="1" t="shared" si="61"/>
        <v>771</v>
      </c>
      <c r="F793" s="95">
        <f ca="1" t="shared" si="62"/>
        <v>0</v>
      </c>
      <c r="G793" s="95">
        <f ca="1" t="shared" si="63"/>
        <v>0</v>
      </c>
      <c r="H793" s="95" cm="1">
        <f ca="1" t="array" ref="H793">MIN(30-SUM(I793:L793),_xlfn.XLOOKUP($D793&amp;"_"&amp;H$52,$B$14:$B$36&amp;"_"&amp;$C$14:$C$36,$D$14:$D$36)*$E793,18)</f>
        <v>16.0587</v>
      </c>
      <c r="I793" s="95" cm="1">
        <f ca="1" t="array" ref="I793">MIN(30-SUM(J793:L793),6-L793,_xlfn.XLOOKUP($D793&amp;"_"&amp;I$52,$B$14:$B$36&amp;"_"&amp;$C$14:$C$36,$D$14:$D$36)*$E793)</f>
        <v>1.95225</v>
      </c>
      <c r="J793" s="95" cm="1">
        <f ca="1" t="array" ref="J793">MIN(8,_xlfn.XLOOKUP($D793&amp;"_"&amp;J$52,$B$14:$B$36&amp;"_"&amp;$C$14:$C$36,$D$14:$D$36)*$E793)</f>
        <v>5.7825</v>
      </c>
      <c r="K793" s="95" cm="1">
        <f ca="1" t="array" ref="K793">MIN(18,_xlfn.XLOOKUP($D793&amp;"_"&amp;K$52,$B$14:$B$36&amp;"_"&amp;$C$14:$C$36,$D$14:$D$36)*$E793)</f>
        <v>2.1588</v>
      </c>
      <c r="L793" s="95" cm="1">
        <f ca="1" t="array" ref="L793">MIN(6,_xlfn.XLOOKUP($D793&amp;"_"&amp;L$52,$B$14:$B$36&amp;"_"&amp;$C$14:$C$36,$D$14:$D$36)*$E793)</f>
        <v>4.04775</v>
      </c>
      <c r="M793" s="95" cm="1">
        <f ca="1" t="array" ref="M793">(1+SUMPRODUCT(G793:H793,OFFSET($H$40:$I$40,D793,0)))*(1+OFFSET($J$40,D793,0))^I793*(1+OFFSET($K$40,D793,0))^J793*(1+OFFSET($L$40,D793,0))^K793*(1+OFFSET($M$40,D793,0))^L793</f>
        <v>147.864012590059</v>
      </c>
      <c r="N793" s="95">
        <f ca="1">MAX(MAX($N$53:N792),OFFSET($C$52,MATCH(M793*1.07,$M$53:$M$2052,1),0)-C793)</f>
        <v>10080</v>
      </c>
    </row>
    <row r="794" spans="2:14">
      <c r="B794" s="95">
        <v>742</v>
      </c>
      <c r="C794" s="95">
        <f t="shared" si="64"/>
        <v>267120</v>
      </c>
      <c r="D794" s="95">
        <f ca="1">_xlfn.XLOOKUP(总览!$B$44,$B$40:$B$45,$C$40:$C$45)</f>
        <v>5</v>
      </c>
      <c r="E794" s="95">
        <f ca="1" t="shared" si="61"/>
        <v>772</v>
      </c>
      <c r="F794" s="95">
        <f ca="1" t="shared" si="62"/>
        <v>0</v>
      </c>
      <c r="G794" s="95">
        <f ca="1" t="shared" si="63"/>
        <v>0</v>
      </c>
      <c r="H794" s="95" cm="1">
        <f ca="1" t="array" ref="H794">MIN(30-SUM(I794:L794),_xlfn.XLOOKUP($D794&amp;"_"&amp;H$52,$B$14:$B$36&amp;"_"&amp;$C$14:$C$36,$D$14:$D$36)*$E794,18)</f>
        <v>16.0484</v>
      </c>
      <c r="I794" s="95" cm="1">
        <f ca="1" t="array" ref="I794">MIN(30-SUM(J794:L794),6-L794,_xlfn.XLOOKUP($D794&amp;"_"&amp;I$52,$B$14:$B$36&amp;"_"&amp;$C$14:$C$36,$D$14:$D$36)*$E794)</f>
        <v>1.947</v>
      </c>
      <c r="J794" s="95" cm="1">
        <f ca="1" t="array" ref="J794">MIN(8,_xlfn.XLOOKUP($D794&amp;"_"&amp;J$52,$B$14:$B$36&amp;"_"&amp;$C$14:$C$36,$D$14:$D$36)*$E794)</f>
        <v>5.79</v>
      </c>
      <c r="K794" s="95" cm="1">
        <f ca="1" t="array" ref="K794">MIN(18,_xlfn.XLOOKUP($D794&amp;"_"&amp;K$52,$B$14:$B$36&amp;"_"&amp;$C$14:$C$36,$D$14:$D$36)*$E794)</f>
        <v>2.1616</v>
      </c>
      <c r="L794" s="95" cm="1">
        <f ca="1" t="array" ref="L794">MIN(6,_xlfn.XLOOKUP($D794&amp;"_"&amp;L$52,$B$14:$B$36&amp;"_"&amp;$C$14:$C$36,$D$14:$D$36)*$E794)</f>
        <v>4.053</v>
      </c>
      <c r="M794" s="95" cm="1">
        <f ca="1" t="array" ref="M794">(1+SUMPRODUCT(G794:H794,OFFSET($H$40:$I$40,D794,0)))*(1+OFFSET($J$40,D794,0))^I794*(1+OFFSET($K$40,D794,0))^J794*(1+OFFSET($L$40,D794,0))^K794*(1+OFFSET($M$40,D794,0))^L794</f>
        <v>148.21776688872</v>
      </c>
      <c r="N794" s="95">
        <f ca="1">MAX(MAX($N$53:N793),OFFSET($C$52,MATCH(M794*1.07,$M$53:$M$2052,1),0)-C794)</f>
        <v>10080</v>
      </c>
    </row>
    <row r="795" spans="2:14">
      <c r="B795" s="95">
        <v>743</v>
      </c>
      <c r="C795" s="95">
        <f t="shared" si="64"/>
        <v>267480</v>
      </c>
      <c r="D795" s="95">
        <f ca="1">_xlfn.XLOOKUP(总览!$B$44,$B$40:$B$45,$C$40:$C$45)</f>
        <v>5</v>
      </c>
      <c r="E795" s="95">
        <f ca="1" t="shared" si="61"/>
        <v>773</v>
      </c>
      <c r="F795" s="95">
        <f ca="1" t="shared" si="62"/>
        <v>0</v>
      </c>
      <c r="G795" s="95">
        <f ca="1" t="shared" si="63"/>
        <v>0</v>
      </c>
      <c r="H795" s="95" cm="1">
        <f ca="1" t="array" ref="H795">MIN(30-SUM(I795:L795),_xlfn.XLOOKUP($D795&amp;"_"&amp;H$52,$B$14:$B$36&amp;"_"&amp;$C$14:$C$36,$D$14:$D$36)*$E795,18)</f>
        <v>16.0381</v>
      </c>
      <c r="I795" s="95" cm="1">
        <f ca="1" t="array" ref="I795">MIN(30-SUM(J795:L795),6-L795,_xlfn.XLOOKUP($D795&amp;"_"&amp;I$52,$B$14:$B$36&amp;"_"&amp;$C$14:$C$36,$D$14:$D$36)*$E795)</f>
        <v>1.94175</v>
      </c>
      <c r="J795" s="95" cm="1">
        <f ca="1" t="array" ref="J795">MIN(8,_xlfn.XLOOKUP($D795&amp;"_"&amp;J$52,$B$14:$B$36&amp;"_"&amp;$C$14:$C$36,$D$14:$D$36)*$E795)</f>
        <v>5.7975</v>
      </c>
      <c r="K795" s="95" cm="1">
        <f ca="1" t="array" ref="K795">MIN(18,_xlfn.XLOOKUP($D795&amp;"_"&amp;K$52,$B$14:$B$36&amp;"_"&amp;$C$14:$C$36,$D$14:$D$36)*$E795)</f>
        <v>2.1644</v>
      </c>
      <c r="L795" s="95" cm="1">
        <f ca="1" t="array" ref="L795">MIN(6,_xlfn.XLOOKUP($D795&amp;"_"&amp;L$52,$B$14:$B$36&amp;"_"&amp;$C$14:$C$36,$D$14:$D$36)*$E795)</f>
        <v>4.05825</v>
      </c>
      <c r="M795" s="95" cm="1">
        <f ca="1" t="array" ref="M795">(1+SUMPRODUCT(G795:H795,OFFSET($H$40:$I$40,D795,0)))*(1+OFFSET($J$40,D795,0))^I795*(1+OFFSET($K$40,D795,0))^J795*(1+OFFSET($L$40,D795,0))^K795*(1+OFFSET($M$40,D795,0))^L795</f>
        <v>148.572331942366</v>
      </c>
      <c r="N795" s="95">
        <f ca="1">MAX(MAX($N$53:N794),OFFSET($C$52,MATCH(M795*1.07,$M$53:$M$2052,1),0)-C795)</f>
        <v>10080</v>
      </c>
    </row>
    <row r="796" spans="2:14">
      <c r="B796" s="95">
        <v>744</v>
      </c>
      <c r="C796" s="95">
        <f t="shared" si="64"/>
        <v>267840</v>
      </c>
      <c r="D796" s="95">
        <f ca="1">_xlfn.XLOOKUP(总览!$B$44,$B$40:$B$45,$C$40:$C$45)</f>
        <v>5</v>
      </c>
      <c r="E796" s="95">
        <f ca="1" t="shared" si="61"/>
        <v>774</v>
      </c>
      <c r="F796" s="95">
        <f ca="1" t="shared" si="62"/>
        <v>0</v>
      </c>
      <c r="G796" s="95">
        <f ca="1" t="shared" si="63"/>
        <v>0</v>
      </c>
      <c r="H796" s="95" cm="1">
        <f ca="1" t="array" ref="H796">MIN(30-SUM(I796:L796),_xlfn.XLOOKUP($D796&amp;"_"&amp;H$52,$B$14:$B$36&amp;"_"&amp;$C$14:$C$36,$D$14:$D$36)*$E796,18)</f>
        <v>16.0278</v>
      </c>
      <c r="I796" s="95" cm="1">
        <f ca="1" t="array" ref="I796">MIN(30-SUM(J796:L796),6-L796,_xlfn.XLOOKUP($D796&amp;"_"&amp;I$52,$B$14:$B$36&amp;"_"&amp;$C$14:$C$36,$D$14:$D$36)*$E796)</f>
        <v>1.9365</v>
      </c>
      <c r="J796" s="95" cm="1">
        <f ca="1" t="array" ref="J796">MIN(8,_xlfn.XLOOKUP($D796&amp;"_"&amp;J$52,$B$14:$B$36&amp;"_"&amp;$C$14:$C$36,$D$14:$D$36)*$E796)</f>
        <v>5.805</v>
      </c>
      <c r="K796" s="95" cm="1">
        <f ca="1" t="array" ref="K796">MIN(18,_xlfn.XLOOKUP($D796&amp;"_"&amp;K$52,$B$14:$B$36&amp;"_"&amp;$C$14:$C$36,$D$14:$D$36)*$E796)</f>
        <v>2.1672</v>
      </c>
      <c r="L796" s="95" cm="1">
        <f ca="1" t="array" ref="L796">MIN(6,_xlfn.XLOOKUP($D796&amp;"_"&amp;L$52,$B$14:$B$36&amp;"_"&amp;$C$14:$C$36,$D$14:$D$36)*$E796)</f>
        <v>4.0635</v>
      </c>
      <c r="M796" s="95" cm="1">
        <f ca="1" t="array" ref="M796">(1+SUMPRODUCT(G796:H796,OFFSET($H$40:$I$40,D796,0)))*(1+OFFSET($J$40,D796,0))^I796*(1+OFFSET($K$40,D796,0))^J796*(1+OFFSET($L$40,D796,0))^K796*(1+OFFSET($M$40,D796,0))^L796</f>
        <v>148.927709485536</v>
      </c>
      <c r="N796" s="95">
        <f ca="1">MAX(MAX($N$53:N795),OFFSET($C$52,MATCH(M796*1.07,$M$53:$M$2052,1),0)-C796)</f>
        <v>10080</v>
      </c>
    </row>
    <row r="797" spans="2:14">
      <c r="B797" s="95">
        <v>745</v>
      </c>
      <c r="C797" s="95">
        <f t="shared" si="64"/>
        <v>268200</v>
      </c>
      <c r="D797" s="95">
        <f ca="1">_xlfn.XLOOKUP(总览!$B$44,$B$40:$B$45,$C$40:$C$45)</f>
        <v>5</v>
      </c>
      <c r="E797" s="95">
        <f ca="1" t="shared" si="61"/>
        <v>775</v>
      </c>
      <c r="F797" s="95">
        <f ca="1" t="shared" si="62"/>
        <v>0</v>
      </c>
      <c r="G797" s="95">
        <f ca="1" t="shared" si="63"/>
        <v>0</v>
      </c>
      <c r="H797" s="95" cm="1">
        <f ca="1" t="array" ref="H797">MIN(30-SUM(I797:L797),_xlfn.XLOOKUP($D797&amp;"_"&amp;H$52,$B$14:$B$36&amp;"_"&amp;$C$14:$C$36,$D$14:$D$36)*$E797,18)</f>
        <v>16.0175</v>
      </c>
      <c r="I797" s="95" cm="1">
        <f ca="1" t="array" ref="I797">MIN(30-SUM(J797:L797),6-L797,_xlfn.XLOOKUP($D797&amp;"_"&amp;I$52,$B$14:$B$36&amp;"_"&amp;$C$14:$C$36,$D$14:$D$36)*$E797)</f>
        <v>1.93125</v>
      </c>
      <c r="J797" s="95" cm="1">
        <f ca="1" t="array" ref="J797">MIN(8,_xlfn.XLOOKUP($D797&amp;"_"&amp;J$52,$B$14:$B$36&amp;"_"&amp;$C$14:$C$36,$D$14:$D$36)*$E797)</f>
        <v>5.8125</v>
      </c>
      <c r="K797" s="95" cm="1">
        <f ca="1" t="array" ref="K797">MIN(18,_xlfn.XLOOKUP($D797&amp;"_"&amp;K$52,$B$14:$B$36&amp;"_"&amp;$C$14:$C$36,$D$14:$D$36)*$E797)</f>
        <v>2.17</v>
      </c>
      <c r="L797" s="95" cm="1">
        <f ca="1" t="array" ref="L797">MIN(6,_xlfn.XLOOKUP($D797&amp;"_"&amp;L$52,$B$14:$B$36&amp;"_"&amp;$C$14:$C$36,$D$14:$D$36)*$E797)</f>
        <v>4.06875</v>
      </c>
      <c r="M797" s="95" cm="1">
        <f ca="1" t="array" ref="M797">(1+SUMPRODUCT(G797:H797,OFFSET($H$40:$I$40,D797,0)))*(1+OFFSET($J$40,D797,0))^I797*(1+OFFSET($K$40,D797,0))^J797*(1+OFFSET($L$40,D797,0))^K797*(1+OFFSET($M$40,D797,0))^L797</f>
        <v>149.283901256032</v>
      </c>
      <c r="N797" s="95">
        <f ca="1">MAX(MAX($N$53:N796),OFFSET($C$52,MATCH(M797*1.07,$M$53:$M$2052,1),0)-C797)</f>
        <v>10080</v>
      </c>
    </row>
    <row r="798" spans="2:14">
      <c r="B798" s="95">
        <v>746</v>
      </c>
      <c r="C798" s="95">
        <f t="shared" si="64"/>
        <v>268560</v>
      </c>
      <c r="D798" s="95">
        <f ca="1">_xlfn.XLOOKUP(总览!$B$44,$B$40:$B$45,$C$40:$C$45)</f>
        <v>5</v>
      </c>
      <c r="E798" s="95">
        <f ca="1" t="shared" si="61"/>
        <v>776</v>
      </c>
      <c r="F798" s="95">
        <f ca="1" t="shared" si="62"/>
        <v>0</v>
      </c>
      <c r="G798" s="95">
        <f ca="1" t="shared" si="63"/>
        <v>0</v>
      </c>
      <c r="H798" s="95" cm="1">
        <f ca="1" t="array" ref="H798">MIN(30-SUM(I798:L798),_xlfn.XLOOKUP($D798&amp;"_"&amp;H$52,$B$14:$B$36&amp;"_"&amp;$C$14:$C$36,$D$14:$D$36)*$E798,18)</f>
        <v>16.0072</v>
      </c>
      <c r="I798" s="95" cm="1">
        <f ca="1" t="array" ref="I798">MIN(30-SUM(J798:L798),6-L798,_xlfn.XLOOKUP($D798&amp;"_"&amp;I$52,$B$14:$B$36&amp;"_"&amp;$C$14:$C$36,$D$14:$D$36)*$E798)</f>
        <v>1.926</v>
      </c>
      <c r="J798" s="95" cm="1">
        <f ca="1" t="array" ref="J798">MIN(8,_xlfn.XLOOKUP($D798&amp;"_"&amp;J$52,$B$14:$B$36&amp;"_"&amp;$C$14:$C$36,$D$14:$D$36)*$E798)</f>
        <v>5.82</v>
      </c>
      <c r="K798" s="95" cm="1">
        <f ca="1" t="array" ref="K798">MIN(18,_xlfn.XLOOKUP($D798&amp;"_"&amp;K$52,$B$14:$B$36&amp;"_"&amp;$C$14:$C$36,$D$14:$D$36)*$E798)</f>
        <v>2.1728</v>
      </c>
      <c r="L798" s="95" cm="1">
        <f ca="1" t="array" ref="L798">MIN(6,_xlfn.XLOOKUP($D798&amp;"_"&amp;L$52,$B$14:$B$36&amp;"_"&amp;$C$14:$C$36,$D$14:$D$36)*$E798)</f>
        <v>4.074</v>
      </c>
      <c r="M798" s="95" cm="1">
        <f ca="1" t="array" ref="M798">(1+SUMPRODUCT(G798:H798,OFFSET($H$40:$I$40,D798,0)))*(1+OFFSET($J$40,D798,0))^I798*(1+OFFSET($K$40,D798,0))^J798*(1+OFFSET($L$40,D798,0))^K798*(1+OFFSET($M$40,D798,0))^L798</f>
        <v>149.640908994922</v>
      </c>
      <c r="N798" s="95">
        <f ca="1">MAX(MAX($N$53:N797),OFFSET($C$52,MATCH(M798*1.07,$M$53:$M$2052,1),0)-C798)</f>
        <v>10080</v>
      </c>
    </row>
    <row r="799" spans="2:14">
      <c r="B799" s="95">
        <v>747</v>
      </c>
      <c r="C799" s="95">
        <f t="shared" si="64"/>
        <v>268920</v>
      </c>
      <c r="D799" s="95">
        <f ca="1">_xlfn.XLOOKUP(总览!$B$44,$B$40:$B$45,$C$40:$C$45)</f>
        <v>5</v>
      </c>
      <c r="E799" s="95">
        <f ca="1" t="shared" si="61"/>
        <v>777</v>
      </c>
      <c r="F799" s="95">
        <f ca="1" t="shared" si="62"/>
        <v>0</v>
      </c>
      <c r="G799" s="95">
        <f ca="1" t="shared" si="63"/>
        <v>0</v>
      </c>
      <c r="H799" s="95" cm="1">
        <f ca="1" t="array" ref="H799">MIN(30-SUM(I799:L799),_xlfn.XLOOKUP($D799&amp;"_"&amp;H$52,$B$14:$B$36&amp;"_"&amp;$C$14:$C$36,$D$14:$D$36)*$E799,18)</f>
        <v>15.9969</v>
      </c>
      <c r="I799" s="95" cm="1">
        <f ca="1" t="array" ref="I799">MIN(30-SUM(J799:L799),6-L799,_xlfn.XLOOKUP($D799&amp;"_"&amp;I$52,$B$14:$B$36&amp;"_"&amp;$C$14:$C$36,$D$14:$D$36)*$E799)</f>
        <v>1.92075</v>
      </c>
      <c r="J799" s="95" cm="1">
        <f ca="1" t="array" ref="J799">MIN(8,_xlfn.XLOOKUP($D799&amp;"_"&amp;J$52,$B$14:$B$36&amp;"_"&amp;$C$14:$C$36,$D$14:$D$36)*$E799)</f>
        <v>5.8275</v>
      </c>
      <c r="K799" s="95" cm="1">
        <f ca="1" t="array" ref="K799">MIN(18,_xlfn.XLOOKUP($D799&amp;"_"&amp;K$52,$B$14:$B$36&amp;"_"&amp;$C$14:$C$36,$D$14:$D$36)*$E799)</f>
        <v>2.1756</v>
      </c>
      <c r="L799" s="95" cm="1">
        <f ca="1" t="array" ref="L799">MIN(6,_xlfn.XLOOKUP($D799&amp;"_"&amp;L$52,$B$14:$B$36&amp;"_"&amp;$C$14:$C$36,$D$14:$D$36)*$E799)</f>
        <v>4.07925</v>
      </c>
      <c r="M799" s="95" cm="1">
        <f ca="1" t="array" ref="M799">(1+SUMPRODUCT(G799:H799,OFFSET($H$40:$I$40,D799,0)))*(1+OFFSET($J$40,D799,0))^I799*(1+OFFSET($K$40,D799,0))^J799*(1+OFFSET($L$40,D799,0))^K799*(1+OFFSET($M$40,D799,0))^L799</f>
        <v>149.998734446547</v>
      </c>
      <c r="N799" s="95">
        <f ca="1">MAX(MAX($N$53:N798),OFFSET($C$52,MATCH(M799*1.07,$M$53:$M$2052,1),0)-C799)</f>
        <v>10080</v>
      </c>
    </row>
    <row r="800" spans="2:14">
      <c r="B800" s="95">
        <v>748</v>
      </c>
      <c r="C800" s="95">
        <f t="shared" si="64"/>
        <v>269280</v>
      </c>
      <c r="D800" s="95">
        <f ca="1">_xlfn.XLOOKUP(总览!$B$44,$B$40:$B$45,$C$40:$C$45)</f>
        <v>5</v>
      </c>
      <c r="E800" s="95">
        <f ca="1" t="shared" si="61"/>
        <v>778</v>
      </c>
      <c r="F800" s="95">
        <f ca="1" t="shared" si="62"/>
        <v>0</v>
      </c>
      <c r="G800" s="95">
        <f ca="1" t="shared" si="63"/>
        <v>0</v>
      </c>
      <c r="H800" s="95" cm="1">
        <f ca="1" t="array" ref="H800">MIN(30-SUM(I800:L800),_xlfn.XLOOKUP($D800&amp;"_"&amp;H$52,$B$14:$B$36&amp;"_"&amp;$C$14:$C$36,$D$14:$D$36)*$E800,18)</f>
        <v>15.9866</v>
      </c>
      <c r="I800" s="95" cm="1">
        <f ca="1" t="array" ref="I800">MIN(30-SUM(J800:L800),6-L800,_xlfn.XLOOKUP($D800&amp;"_"&amp;I$52,$B$14:$B$36&amp;"_"&amp;$C$14:$C$36,$D$14:$D$36)*$E800)</f>
        <v>1.9155</v>
      </c>
      <c r="J800" s="95" cm="1">
        <f ca="1" t="array" ref="J800">MIN(8,_xlfn.XLOOKUP($D800&amp;"_"&amp;J$52,$B$14:$B$36&amp;"_"&amp;$C$14:$C$36,$D$14:$D$36)*$E800)</f>
        <v>5.835</v>
      </c>
      <c r="K800" s="95" cm="1">
        <f ca="1" t="array" ref="K800">MIN(18,_xlfn.XLOOKUP($D800&amp;"_"&amp;K$52,$B$14:$B$36&amp;"_"&amp;$C$14:$C$36,$D$14:$D$36)*$E800)</f>
        <v>2.1784</v>
      </c>
      <c r="L800" s="95" cm="1">
        <f ca="1" t="array" ref="L800">MIN(6,_xlfn.XLOOKUP($D800&amp;"_"&amp;L$52,$B$14:$B$36&amp;"_"&amp;$C$14:$C$36,$D$14:$D$36)*$E800)</f>
        <v>4.0845</v>
      </c>
      <c r="M800" s="95" cm="1">
        <f ca="1" t="array" ref="M800">(1+SUMPRODUCT(G800:H800,OFFSET($H$40:$I$40,D800,0)))*(1+OFFSET($J$40,D800,0))^I800*(1+OFFSET($K$40,D800,0))^J800*(1+OFFSET($L$40,D800,0))^K800*(1+OFFSET($M$40,D800,0))^L800</f>
        <v>150.357379358521</v>
      </c>
      <c r="N800" s="95">
        <f ca="1">MAX(MAX($N$53:N799),OFFSET($C$52,MATCH(M800*1.07,$M$53:$M$2052,1),0)-C800)</f>
        <v>10080</v>
      </c>
    </row>
    <row r="801" spans="2:14">
      <c r="B801" s="95">
        <v>749</v>
      </c>
      <c r="C801" s="95">
        <f t="shared" si="64"/>
        <v>269640</v>
      </c>
      <c r="D801" s="95">
        <f ca="1">_xlfn.XLOOKUP(总览!$B$44,$B$40:$B$45,$C$40:$C$45)</f>
        <v>5</v>
      </c>
      <c r="E801" s="95">
        <f ca="1" t="shared" si="61"/>
        <v>779</v>
      </c>
      <c r="F801" s="95">
        <f ca="1" t="shared" si="62"/>
        <v>0</v>
      </c>
      <c r="G801" s="95">
        <f ca="1" t="shared" si="63"/>
        <v>0</v>
      </c>
      <c r="H801" s="95" cm="1">
        <f ca="1" t="array" ref="H801">MIN(30-SUM(I801:L801),_xlfn.XLOOKUP($D801&amp;"_"&amp;H$52,$B$14:$B$36&amp;"_"&amp;$C$14:$C$36,$D$14:$D$36)*$E801,18)</f>
        <v>15.9763</v>
      </c>
      <c r="I801" s="95" cm="1">
        <f ca="1" t="array" ref="I801">MIN(30-SUM(J801:L801),6-L801,_xlfn.XLOOKUP($D801&amp;"_"&amp;I$52,$B$14:$B$36&amp;"_"&amp;$C$14:$C$36,$D$14:$D$36)*$E801)</f>
        <v>1.91025</v>
      </c>
      <c r="J801" s="95" cm="1">
        <f ca="1" t="array" ref="J801">MIN(8,_xlfn.XLOOKUP($D801&amp;"_"&amp;J$52,$B$14:$B$36&amp;"_"&amp;$C$14:$C$36,$D$14:$D$36)*$E801)</f>
        <v>5.8425</v>
      </c>
      <c r="K801" s="95" cm="1">
        <f ca="1" t="array" ref="K801">MIN(18,_xlfn.XLOOKUP($D801&amp;"_"&amp;K$52,$B$14:$B$36&amp;"_"&amp;$C$14:$C$36,$D$14:$D$36)*$E801)</f>
        <v>2.1812</v>
      </c>
      <c r="L801" s="95" cm="1">
        <f ca="1" t="array" ref="L801">MIN(6,_xlfn.XLOOKUP($D801&amp;"_"&amp;L$52,$B$14:$B$36&amp;"_"&amp;$C$14:$C$36,$D$14:$D$36)*$E801)</f>
        <v>4.08975</v>
      </c>
      <c r="M801" s="95" cm="1">
        <f ca="1" t="array" ref="M801">(1+SUMPRODUCT(G801:H801,OFFSET($H$40:$I$40,D801,0)))*(1+OFFSET($J$40,D801,0))^I801*(1+OFFSET($K$40,D801,0))^J801*(1+OFFSET($L$40,D801,0))^K801*(1+OFFSET($M$40,D801,0))^L801</f>
        <v>150.716845481742</v>
      </c>
      <c r="N801" s="95">
        <f ca="1">MAX(MAX($N$53:N800),OFFSET($C$52,MATCH(M801*1.07,$M$53:$M$2052,1),0)-C801)</f>
        <v>10080</v>
      </c>
    </row>
    <row r="802" spans="2:14">
      <c r="B802" s="95">
        <v>750</v>
      </c>
      <c r="C802" s="95">
        <f t="shared" si="64"/>
        <v>270000</v>
      </c>
      <c r="D802" s="95">
        <f ca="1">_xlfn.XLOOKUP(总览!$B$44,$B$40:$B$45,$C$40:$C$45)</f>
        <v>5</v>
      </c>
      <c r="E802" s="95">
        <f ca="1" t="shared" si="61"/>
        <v>780</v>
      </c>
      <c r="F802" s="95">
        <f ca="1" t="shared" si="62"/>
        <v>0</v>
      </c>
      <c r="G802" s="95">
        <f ca="1" t="shared" si="63"/>
        <v>0</v>
      </c>
      <c r="H802" s="95" cm="1">
        <f ca="1" t="array" ref="H802">MIN(30-SUM(I802:L802),_xlfn.XLOOKUP($D802&amp;"_"&amp;H$52,$B$14:$B$36&amp;"_"&amp;$C$14:$C$36,$D$14:$D$36)*$E802,18)</f>
        <v>15.966</v>
      </c>
      <c r="I802" s="95" cm="1">
        <f ca="1" t="array" ref="I802">MIN(30-SUM(J802:L802),6-L802,_xlfn.XLOOKUP($D802&amp;"_"&amp;I$52,$B$14:$B$36&amp;"_"&amp;$C$14:$C$36,$D$14:$D$36)*$E802)</f>
        <v>1.905</v>
      </c>
      <c r="J802" s="95" cm="1">
        <f ca="1" t="array" ref="J802">MIN(8,_xlfn.XLOOKUP($D802&amp;"_"&amp;J$52,$B$14:$B$36&amp;"_"&amp;$C$14:$C$36,$D$14:$D$36)*$E802)</f>
        <v>5.85</v>
      </c>
      <c r="K802" s="95" cm="1">
        <f ca="1" t="array" ref="K802">MIN(18,_xlfn.XLOOKUP($D802&amp;"_"&amp;K$52,$B$14:$B$36&amp;"_"&amp;$C$14:$C$36,$D$14:$D$36)*$E802)</f>
        <v>2.184</v>
      </c>
      <c r="L802" s="95" cm="1">
        <f ca="1" t="array" ref="L802">MIN(6,_xlfn.XLOOKUP($D802&amp;"_"&amp;L$52,$B$14:$B$36&amp;"_"&amp;$C$14:$C$36,$D$14:$D$36)*$E802)</f>
        <v>4.095</v>
      </c>
      <c r="M802" s="95" cm="1">
        <f ca="1" t="array" ref="M802">(1+SUMPRODUCT(G802:H802,OFFSET($H$40:$I$40,D802,0)))*(1+OFFSET($J$40,D802,0))^I802*(1+OFFSET($K$40,D802,0))^J802*(1+OFFSET($L$40,D802,0))^K802*(1+OFFSET($M$40,D802,0))^L802</f>
        <v>151.07713457039</v>
      </c>
      <c r="N802" s="95">
        <f ca="1">MAX(MAX($N$53:N801),OFFSET($C$52,MATCH(M802*1.07,$M$53:$M$2052,1),0)-C802)</f>
        <v>10080</v>
      </c>
    </row>
    <row r="803" spans="2:14">
      <c r="B803" s="95">
        <v>751</v>
      </c>
      <c r="C803" s="95">
        <f t="shared" si="64"/>
        <v>270360</v>
      </c>
      <c r="D803" s="95">
        <f ca="1">_xlfn.XLOOKUP(总览!$B$44,$B$40:$B$45,$C$40:$C$45)</f>
        <v>5</v>
      </c>
      <c r="E803" s="95">
        <f ca="1" t="shared" si="61"/>
        <v>781</v>
      </c>
      <c r="F803" s="95">
        <f ca="1" t="shared" si="62"/>
        <v>0</v>
      </c>
      <c r="G803" s="95">
        <f ca="1" t="shared" si="63"/>
        <v>0</v>
      </c>
      <c r="H803" s="95" cm="1">
        <f ca="1" t="array" ref="H803">MIN(30-SUM(I803:L803),_xlfn.XLOOKUP($D803&amp;"_"&amp;H$52,$B$14:$B$36&amp;"_"&amp;$C$14:$C$36,$D$14:$D$36)*$E803,18)</f>
        <v>15.9557</v>
      </c>
      <c r="I803" s="95" cm="1">
        <f ca="1" t="array" ref="I803">MIN(30-SUM(J803:L803),6-L803,_xlfn.XLOOKUP($D803&amp;"_"&amp;I$52,$B$14:$B$36&amp;"_"&amp;$C$14:$C$36,$D$14:$D$36)*$E803)</f>
        <v>1.89975</v>
      </c>
      <c r="J803" s="95" cm="1">
        <f ca="1" t="array" ref="J803">MIN(8,_xlfn.XLOOKUP($D803&amp;"_"&amp;J$52,$B$14:$B$36&amp;"_"&amp;$C$14:$C$36,$D$14:$D$36)*$E803)</f>
        <v>5.8575</v>
      </c>
      <c r="K803" s="95" cm="1">
        <f ca="1" t="array" ref="K803">MIN(18,_xlfn.XLOOKUP($D803&amp;"_"&amp;K$52,$B$14:$B$36&amp;"_"&amp;$C$14:$C$36,$D$14:$D$36)*$E803)</f>
        <v>2.1868</v>
      </c>
      <c r="L803" s="95" cm="1">
        <f ca="1" t="array" ref="L803">MIN(6,_xlfn.XLOOKUP($D803&amp;"_"&amp;L$52,$B$14:$B$36&amp;"_"&amp;$C$14:$C$36,$D$14:$D$36)*$E803)</f>
        <v>4.10025</v>
      </c>
      <c r="M803" s="95" cm="1">
        <f ca="1" t="array" ref="M803">(1+SUMPRODUCT(G803:H803,OFFSET($H$40:$I$40,D803,0)))*(1+OFFSET($J$40,D803,0))^I803*(1+OFFSET($K$40,D803,0))^J803*(1+OFFSET($L$40,D803,0))^K803*(1+OFFSET($M$40,D803,0))^L803</f>
        <v>151.438248381935</v>
      </c>
      <c r="N803" s="95">
        <f ca="1">MAX(MAX($N$53:N802),OFFSET($C$52,MATCH(M803*1.07,$M$53:$M$2052,1),0)-C803)</f>
        <v>10080</v>
      </c>
    </row>
    <row r="804" spans="2:14">
      <c r="B804" s="95">
        <v>752</v>
      </c>
      <c r="C804" s="95">
        <f t="shared" si="64"/>
        <v>270720</v>
      </c>
      <c r="D804" s="95">
        <f ca="1">_xlfn.XLOOKUP(总览!$B$44,$B$40:$B$45,$C$40:$C$45)</f>
        <v>5</v>
      </c>
      <c r="E804" s="95">
        <f ca="1" t="shared" si="61"/>
        <v>782</v>
      </c>
      <c r="F804" s="95">
        <f ca="1" t="shared" si="62"/>
        <v>0</v>
      </c>
      <c r="G804" s="95">
        <f ca="1" t="shared" si="63"/>
        <v>0</v>
      </c>
      <c r="H804" s="95" cm="1">
        <f ca="1" t="array" ref="H804">MIN(30-SUM(I804:L804),_xlfn.XLOOKUP($D804&amp;"_"&amp;H$52,$B$14:$B$36&amp;"_"&amp;$C$14:$C$36,$D$14:$D$36)*$E804,18)</f>
        <v>15.9454</v>
      </c>
      <c r="I804" s="95" cm="1">
        <f ca="1" t="array" ref="I804">MIN(30-SUM(J804:L804),6-L804,_xlfn.XLOOKUP($D804&amp;"_"&amp;I$52,$B$14:$B$36&amp;"_"&amp;$C$14:$C$36,$D$14:$D$36)*$E804)</f>
        <v>1.8945</v>
      </c>
      <c r="J804" s="95" cm="1">
        <f ca="1" t="array" ref="J804">MIN(8,_xlfn.XLOOKUP($D804&amp;"_"&amp;J$52,$B$14:$B$36&amp;"_"&amp;$C$14:$C$36,$D$14:$D$36)*$E804)</f>
        <v>5.865</v>
      </c>
      <c r="K804" s="95" cm="1">
        <f ca="1" t="array" ref="K804">MIN(18,_xlfn.XLOOKUP($D804&amp;"_"&amp;K$52,$B$14:$B$36&amp;"_"&amp;$C$14:$C$36,$D$14:$D$36)*$E804)</f>
        <v>2.1896</v>
      </c>
      <c r="L804" s="95" cm="1">
        <f ca="1" t="array" ref="L804">MIN(6,_xlfn.XLOOKUP($D804&amp;"_"&amp;L$52,$B$14:$B$36&amp;"_"&amp;$C$14:$C$36,$D$14:$D$36)*$E804)</f>
        <v>4.1055</v>
      </c>
      <c r="M804" s="95" cm="1">
        <f ca="1" t="array" ref="M804">(1+SUMPRODUCT(G804:H804,OFFSET($H$40:$I$40,D804,0)))*(1+OFFSET($J$40,D804,0))^I804*(1+OFFSET($K$40,D804,0))^J804*(1+OFFSET($L$40,D804,0))^K804*(1+OFFSET($M$40,D804,0))^L804</f>
        <v>151.80018867714</v>
      </c>
      <c r="N804" s="95">
        <f ca="1">MAX(MAX($N$53:N803),OFFSET($C$52,MATCH(M804*1.07,$M$53:$M$2052,1),0)-C804)</f>
        <v>10080</v>
      </c>
    </row>
    <row r="805" spans="2:14">
      <c r="B805" s="95">
        <v>753</v>
      </c>
      <c r="C805" s="95">
        <f t="shared" si="64"/>
        <v>271080</v>
      </c>
      <c r="D805" s="95">
        <f ca="1">_xlfn.XLOOKUP(总览!$B$44,$B$40:$B$45,$C$40:$C$45)</f>
        <v>5</v>
      </c>
      <c r="E805" s="95">
        <f ca="1" t="shared" si="61"/>
        <v>783</v>
      </c>
      <c r="F805" s="95">
        <f ca="1" t="shared" si="62"/>
        <v>0</v>
      </c>
      <c r="G805" s="95">
        <f ca="1" t="shared" si="63"/>
        <v>0</v>
      </c>
      <c r="H805" s="95" cm="1">
        <f ca="1" t="array" ref="H805">MIN(30-SUM(I805:L805),_xlfn.XLOOKUP($D805&amp;"_"&amp;H$52,$B$14:$B$36&amp;"_"&amp;$C$14:$C$36,$D$14:$D$36)*$E805,18)</f>
        <v>15.9351</v>
      </c>
      <c r="I805" s="95" cm="1">
        <f ca="1" t="array" ref="I805">MIN(30-SUM(J805:L805),6-L805,_xlfn.XLOOKUP($D805&amp;"_"&amp;I$52,$B$14:$B$36&amp;"_"&amp;$C$14:$C$36,$D$14:$D$36)*$E805)</f>
        <v>1.88925</v>
      </c>
      <c r="J805" s="95" cm="1">
        <f ca="1" t="array" ref="J805">MIN(8,_xlfn.XLOOKUP($D805&amp;"_"&amp;J$52,$B$14:$B$36&amp;"_"&amp;$C$14:$C$36,$D$14:$D$36)*$E805)</f>
        <v>5.8725</v>
      </c>
      <c r="K805" s="95" cm="1">
        <f ca="1" t="array" ref="K805">MIN(18,_xlfn.XLOOKUP($D805&amp;"_"&amp;K$52,$B$14:$B$36&amp;"_"&amp;$C$14:$C$36,$D$14:$D$36)*$E805)</f>
        <v>2.1924</v>
      </c>
      <c r="L805" s="95" cm="1">
        <f ca="1" t="array" ref="L805">MIN(6,_xlfn.XLOOKUP($D805&amp;"_"&amp;L$52,$B$14:$B$36&amp;"_"&amp;$C$14:$C$36,$D$14:$D$36)*$E805)</f>
        <v>4.11075</v>
      </c>
      <c r="M805" s="95" cm="1">
        <f ca="1" t="array" ref="M805">(1+SUMPRODUCT(G805:H805,OFFSET($H$40:$I$40,D805,0)))*(1+OFFSET($J$40,D805,0))^I805*(1+OFFSET($K$40,D805,0))^J805*(1+OFFSET($L$40,D805,0))^K805*(1+OFFSET($M$40,D805,0))^L805</f>
        <v>152.162957220065</v>
      </c>
      <c r="N805" s="95">
        <f ca="1">MAX(MAX($N$53:N804),OFFSET($C$52,MATCH(M805*1.07,$M$53:$M$2052,1),0)-C805)</f>
        <v>10080</v>
      </c>
    </row>
    <row r="806" spans="2:14">
      <c r="B806" s="95">
        <v>754</v>
      </c>
      <c r="C806" s="95">
        <f t="shared" si="64"/>
        <v>271440</v>
      </c>
      <c r="D806" s="95">
        <f ca="1">_xlfn.XLOOKUP(总览!$B$44,$B$40:$B$45,$C$40:$C$45)</f>
        <v>5</v>
      </c>
      <c r="E806" s="95">
        <f ca="1" t="shared" si="61"/>
        <v>784</v>
      </c>
      <c r="F806" s="95">
        <f ca="1" t="shared" si="62"/>
        <v>0</v>
      </c>
      <c r="G806" s="95">
        <f ca="1" t="shared" si="63"/>
        <v>0</v>
      </c>
      <c r="H806" s="95" cm="1">
        <f ca="1" t="array" ref="H806">MIN(30-SUM(I806:L806),_xlfn.XLOOKUP($D806&amp;"_"&amp;H$52,$B$14:$B$36&amp;"_"&amp;$C$14:$C$36,$D$14:$D$36)*$E806,18)</f>
        <v>15.9248</v>
      </c>
      <c r="I806" s="95" cm="1">
        <f ca="1" t="array" ref="I806">MIN(30-SUM(J806:L806),6-L806,_xlfn.XLOOKUP($D806&amp;"_"&amp;I$52,$B$14:$B$36&amp;"_"&amp;$C$14:$C$36,$D$14:$D$36)*$E806)</f>
        <v>1.884</v>
      </c>
      <c r="J806" s="95" cm="1">
        <f ca="1" t="array" ref="J806">MIN(8,_xlfn.XLOOKUP($D806&amp;"_"&amp;J$52,$B$14:$B$36&amp;"_"&amp;$C$14:$C$36,$D$14:$D$36)*$E806)</f>
        <v>5.88</v>
      </c>
      <c r="K806" s="95" cm="1">
        <f ca="1" t="array" ref="K806">MIN(18,_xlfn.XLOOKUP($D806&amp;"_"&amp;K$52,$B$14:$B$36&amp;"_"&amp;$C$14:$C$36,$D$14:$D$36)*$E806)</f>
        <v>2.1952</v>
      </c>
      <c r="L806" s="95" cm="1">
        <f ca="1" t="array" ref="L806">MIN(6,_xlfn.XLOOKUP($D806&amp;"_"&amp;L$52,$B$14:$B$36&amp;"_"&amp;$C$14:$C$36,$D$14:$D$36)*$E806)</f>
        <v>4.116</v>
      </c>
      <c r="M806" s="95" cm="1">
        <f ca="1" t="array" ref="M806">(1+SUMPRODUCT(G806:H806,OFFSET($H$40:$I$40,D806,0)))*(1+OFFSET($J$40,D806,0))^I806*(1+OFFSET($K$40,D806,0))^J806*(1+OFFSET($L$40,D806,0))^K806*(1+OFFSET($M$40,D806,0))^L806</f>
        <v>152.526555778075</v>
      </c>
      <c r="N806" s="95">
        <f ca="1">MAX(MAX($N$53:N805),OFFSET($C$52,MATCH(M806*1.07,$M$53:$M$2052,1),0)-C806)</f>
        <v>10080</v>
      </c>
    </row>
    <row r="807" spans="2:14">
      <c r="B807" s="95">
        <v>755</v>
      </c>
      <c r="C807" s="95">
        <f t="shared" si="64"/>
        <v>271800</v>
      </c>
      <c r="D807" s="95">
        <f ca="1">_xlfn.XLOOKUP(总览!$B$44,$B$40:$B$45,$C$40:$C$45)</f>
        <v>5</v>
      </c>
      <c r="E807" s="95">
        <f ca="1" t="shared" si="61"/>
        <v>785</v>
      </c>
      <c r="F807" s="95">
        <f ca="1" t="shared" si="62"/>
        <v>0</v>
      </c>
      <c r="G807" s="95">
        <f ca="1" t="shared" si="63"/>
        <v>0</v>
      </c>
      <c r="H807" s="95" cm="1">
        <f ca="1" t="array" ref="H807">MIN(30-SUM(I807:L807),_xlfn.XLOOKUP($D807&amp;"_"&amp;H$52,$B$14:$B$36&amp;"_"&amp;$C$14:$C$36,$D$14:$D$36)*$E807,18)</f>
        <v>15.9145</v>
      </c>
      <c r="I807" s="95" cm="1">
        <f ca="1" t="array" ref="I807">MIN(30-SUM(J807:L807),6-L807,_xlfn.XLOOKUP($D807&amp;"_"&amp;I$52,$B$14:$B$36&amp;"_"&amp;$C$14:$C$36,$D$14:$D$36)*$E807)</f>
        <v>1.87875</v>
      </c>
      <c r="J807" s="95" cm="1">
        <f ca="1" t="array" ref="J807">MIN(8,_xlfn.XLOOKUP($D807&amp;"_"&amp;J$52,$B$14:$B$36&amp;"_"&amp;$C$14:$C$36,$D$14:$D$36)*$E807)</f>
        <v>5.8875</v>
      </c>
      <c r="K807" s="95" cm="1">
        <f ca="1" t="array" ref="K807">MIN(18,_xlfn.XLOOKUP($D807&amp;"_"&amp;K$52,$B$14:$B$36&amp;"_"&amp;$C$14:$C$36,$D$14:$D$36)*$E807)</f>
        <v>2.198</v>
      </c>
      <c r="L807" s="95" cm="1">
        <f ca="1" t="array" ref="L807">MIN(6,_xlfn.XLOOKUP($D807&amp;"_"&amp;L$52,$B$14:$B$36&amp;"_"&amp;$C$14:$C$36,$D$14:$D$36)*$E807)</f>
        <v>4.12125</v>
      </c>
      <c r="M807" s="95" cm="1">
        <f ca="1" t="array" ref="M807">(1+SUMPRODUCT(G807:H807,OFFSET($H$40:$I$40,D807,0)))*(1+OFFSET($J$40,D807,0))^I807*(1+OFFSET($K$40,D807,0))^J807*(1+OFFSET($L$40,D807,0))^K807*(1+OFFSET($M$40,D807,0))^L807</f>
        <v>152.890986121838</v>
      </c>
      <c r="N807" s="95">
        <f ca="1">MAX(MAX($N$53:N806),OFFSET($C$52,MATCH(M807*1.07,$M$53:$M$2052,1),0)-C807)</f>
        <v>10080</v>
      </c>
    </row>
    <row r="808" spans="2:14">
      <c r="B808" s="95">
        <v>756</v>
      </c>
      <c r="C808" s="95">
        <f t="shared" si="64"/>
        <v>272160</v>
      </c>
      <c r="D808" s="95">
        <f ca="1">_xlfn.XLOOKUP(总览!$B$44,$B$40:$B$45,$C$40:$C$45)</f>
        <v>5</v>
      </c>
      <c r="E808" s="95">
        <f ca="1" t="shared" si="61"/>
        <v>786</v>
      </c>
      <c r="F808" s="95">
        <f ca="1" t="shared" si="62"/>
        <v>0</v>
      </c>
      <c r="G808" s="95">
        <f ca="1" t="shared" si="63"/>
        <v>0</v>
      </c>
      <c r="H808" s="95" cm="1">
        <f ca="1" t="array" ref="H808">MIN(30-SUM(I808:L808),_xlfn.XLOOKUP($D808&amp;"_"&amp;H$52,$B$14:$B$36&amp;"_"&amp;$C$14:$C$36,$D$14:$D$36)*$E808,18)</f>
        <v>15.9042</v>
      </c>
      <c r="I808" s="95" cm="1">
        <f ca="1" t="array" ref="I808">MIN(30-SUM(J808:L808),6-L808,_xlfn.XLOOKUP($D808&amp;"_"&amp;I$52,$B$14:$B$36&amp;"_"&amp;$C$14:$C$36,$D$14:$D$36)*$E808)</f>
        <v>1.8735</v>
      </c>
      <c r="J808" s="95" cm="1">
        <f ca="1" t="array" ref="J808">MIN(8,_xlfn.XLOOKUP($D808&amp;"_"&amp;J$52,$B$14:$B$36&amp;"_"&amp;$C$14:$C$36,$D$14:$D$36)*$E808)</f>
        <v>5.895</v>
      </c>
      <c r="K808" s="95" cm="1">
        <f ca="1" t="array" ref="K808">MIN(18,_xlfn.XLOOKUP($D808&amp;"_"&amp;K$52,$B$14:$B$36&amp;"_"&amp;$C$14:$C$36,$D$14:$D$36)*$E808)</f>
        <v>2.2008</v>
      </c>
      <c r="L808" s="95" cm="1">
        <f ca="1" t="array" ref="L808">MIN(6,_xlfn.XLOOKUP($D808&amp;"_"&amp;L$52,$B$14:$B$36&amp;"_"&amp;$C$14:$C$36,$D$14:$D$36)*$E808)</f>
        <v>4.1265</v>
      </c>
      <c r="M808" s="95" cm="1">
        <f ca="1" t="array" ref="M808">(1+SUMPRODUCT(G808:H808,OFFSET($H$40:$I$40,D808,0)))*(1+OFFSET($J$40,D808,0))^I808*(1+OFFSET($K$40,D808,0))^J808*(1+OFFSET($L$40,D808,0))^K808*(1+OFFSET($M$40,D808,0))^L808</f>
        <v>153.256250025336</v>
      </c>
      <c r="N808" s="95">
        <f ca="1">MAX(MAX($N$53:N807),OFFSET($C$52,MATCH(M808*1.07,$M$53:$M$2052,1),0)-C808)</f>
        <v>10080</v>
      </c>
    </row>
    <row r="809" spans="2:14">
      <c r="B809" s="95">
        <v>757</v>
      </c>
      <c r="C809" s="95">
        <f t="shared" si="64"/>
        <v>272520</v>
      </c>
      <c r="D809" s="95">
        <f ca="1">_xlfn.XLOOKUP(总览!$B$44,$B$40:$B$45,$C$40:$C$45)</f>
        <v>5</v>
      </c>
      <c r="E809" s="95">
        <f ca="1" t="shared" si="61"/>
        <v>787</v>
      </c>
      <c r="F809" s="95">
        <f ca="1" t="shared" si="62"/>
        <v>0</v>
      </c>
      <c r="G809" s="95">
        <f ca="1" t="shared" si="63"/>
        <v>0</v>
      </c>
      <c r="H809" s="95" cm="1">
        <f ca="1" t="array" ref="H809">MIN(30-SUM(I809:L809),_xlfn.XLOOKUP($D809&amp;"_"&amp;H$52,$B$14:$B$36&amp;"_"&amp;$C$14:$C$36,$D$14:$D$36)*$E809,18)</f>
        <v>15.8939</v>
      </c>
      <c r="I809" s="95" cm="1">
        <f ca="1" t="array" ref="I809">MIN(30-SUM(J809:L809),6-L809,_xlfn.XLOOKUP($D809&amp;"_"&amp;I$52,$B$14:$B$36&amp;"_"&amp;$C$14:$C$36,$D$14:$D$36)*$E809)</f>
        <v>1.86825</v>
      </c>
      <c r="J809" s="95" cm="1">
        <f ca="1" t="array" ref="J809">MIN(8,_xlfn.XLOOKUP($D809&amp;"_"&amp;J$52,$B$14:$B$36&amp;"_"&amp;$C$14:$C$36,$D$14:$D$36)*$E809)</f>
        <v>5.9025</v>
      </c>
      <c r="K809" s="95" cm="1">
        <f ca="1" t="array" ref="K809">MIN(18,_xlfn.XLOOKUP($D809&amp;"_"&amp;K$52,$B$14:$B$36&amp;"_"&amp;$C$14:$C$36,$D$14:$D$36)*$E809)</f>
        <v>2.2036</v>
      </c>
      <c r="L809" s="95" cm="1">
        <f ca="1" t="array" ref="L809">MIN(6,_xlfn.XLOOKUP($D809&amp;"_"&amp;L$52,$B$14:$B$36&amp;"_"&amp;$C$14:$C$36,$D$14:$D$36)*$E809)</f>
        <v>4.13175</v>
      </c>
      <c r="M809" s="95" cm="1">
        <f ca="1" t="array" ref="M809">(1+SUMPRODUCT(G809:H809,OFFSET($H$40:$I$40,D809,0)))*(1+OFFSET($J$40,D809,0))^I809*(1+OFFSET($K$40,D809,0))^J809*(1+OFFSET($L$40,D809,0))^K809*(1+OFFSET($M$40,D809,0))^L809</f>
        <v>153.622349265863</v>
      </c>
      <c r="N809" s="95">
        <f ca="1">MAX(MAX($N$53:N808),OFFSET($C$52,MATCH(M809*1.07,$M$53:$M$2052,1),0)-C809)</f>
        <v>10080</v>
      </c>
    </row>
    <row r="810" spans="2:14">
      <c r="B810" s="95">
        <v>758</v>
      </c>
      <c r="C810" s="95">
        <f t="shared" si="64"/>
        <v>272880</v>
      </c>
      <c r="D810" s="95">
        <f ca="1">_xlfn.XLOOKUP(总览!$B$44,$B$40:$B$45,$C$40:$C$45)</f>
        <v>5</v>
      </c>
      <c r="E810" s="95">
        <f ca="1" t="shared" si="61"/>
        <v>788</v>
      </c>
      <c r="F810" s="95">
        <f ca="1" t="shared" si="62"/>
        <v>0</v>
      </c>
      <c r="G810" s="95">
        <f ca="1" t="shared" si="63"/>
        <v>0</v>
      </c>
      <c r="H810" s="95" cm="1">
        <f ca="1" t="array" ref="H810">MIN(30-SUM(I810:L810),_xlfn.XLOOKUP($D810&amp;"_"&amp;H$52,$B$14:$B$36&amp;"_"&amp;$C$14:$C$36,$D$14:$D$36)*$E810,18)</f>
        <v>15.8836</v>
      </c>
      <c r="I810" s="95" cm="1">
        <f ca="1" t="array" ref="I810">MIN(30-SUM(J810:L810),6-L810,_xlfn.XLOOKUP($D810&amp;"_"&amp;I$52,$B$14:$B$36&amp;"_"&amp;$C$14:$C$36,$D$14:$D$36)*$E810)</f>
        <v>1.863</v>
      </c>
      <c r="J810" s="95" cm="1">
        <f ca="1" t="array" ref="J810">MIN(8,_xlfn.XLOOKUP($D810&amp;"_"&amp;J$52,$B$14:$B$36&amp;"_"&amp;$C$14:$C$36,$D$14:$D$36)*$E810)</f>
        <v>5.91</v>
      </c>
      <c r="K810" s="95" cm="1">
        <f ca="1" t="array" ref="K810">MIN(18,_xlfn.XLOOKUP($D810&amp;"_"&amp;K$52,$B$14:$B$36&amp;"_"&amp;$C$14:$C$36,$D$14:$D$36)*$E810)</f>
        <v>2.2064</v>
      </c>
      <c r="L810" s="95" cm="1">
        <f ca="1" t="array" ref="L810">MIN(6,_xlfn.XLOOKUP($D810&amp;"_"&amp;L$52,$B$14:$B$36&amp;"_"&amp;$C$14:$C$36,$D$14:$D$36)*$E810)</f>
        <v>4.137</v>
      </c>
      <c r="M810" s="95" cm="1">
        <f ca="1" t="array" ref="M810">(1+SUMPRODUCT(G810:H810,OFFSET($H$40:$I$40,D810,0)))*(1+OFFSET($J$40,D810,0))^I810*(1+OFFSET($K$40,D810,0))^J810*(1+OFFSET($L$40,D810,0))^K810*(1+OFFSET($M$40,D810,0))^L810</f>
        <v>153.989285624036</v>
      </c>
      <c r="N810" s="95">
        <f ca="1">MAX(MAX($N$53:N809),OFFSET($C$52,MATCH(M810*1.07,$M$53:$M$2052,1),0)-C810)</f>
        <v>10080</v>
      </c>
    </row>
    <row r="811" spans="2:14">
      <c r="B811" s="95">
        <v>759</v>
      </c>
      <c r="C811" s="95">
        <f t="shared" si="64"/>
        <v>273240</v>
      </c>
      <c r="D811" s="95">
        <f ca="1">_xlfn.XLOOKUP(总览!$B$44,$B$40:$B$45,$C$40:$C$45)</f>
        <v>5</v>
      </c>
      <c r="E811" s="95">
        <f ca="1" t="shared" si="61"/>
        <v>789</v>
      </c>
      <c r="F811" s="95">
        <f ca="1" t="shared" si="62"/>
        <v>0</v>
      </c>
      <c r="G811" s="95">
        <f ca="1" t="shared" si="63"/>
        <v>0</v>
      </c>
      <c r="H811" s="95" cm="1">
        <f ca="1" t="array" ref="H811">MIN(30-SUM(I811:L811),_xlfn.XLOOKUP($D811&amp;"_"&amp;H$52,$B$14:$B$36&amp;"_"&amp;$C$14:$C$36,$D$14:$D$36)*$E811,18)</f>
        <v>15.8733</v>
      </c>
      <c r="I811" s="95" cm="1">
        <f ca="1" t="array" ref="I811">MIN(30-SUM(J811:L811),6-L811,_xlfn.XLOOKUP($D811&amp;"_"&amp;I$52,$B$14:$B$36&amp;"_"&amp;$C$14:$C$36,$D$14:$D$36)*$E811)</f>
        <v>1.85775</v>
      </c>
      <c r="J811" s="95" cm="1">
        <f ca="1" t="array" ref="J811">MIN(8,_xlfn.XLOOKUP($D811&amp;"_"&amp;J$52,$B$14:$B$36&amp;"_"&amp;$C$14:$C$36,$D$14:$D$36)*$E811)</f>
        <v>5.9175</v>
      </c>
      <c r="K811" s="95" cm="1">
        <f ca="1" t="array" ref="K811">MIN(18,_xlfn.XLOOKUP($D811&amp;"_"&amp;K$52,$B$14:$B$36&amp;"_"&amp;$C$14:$C$36,$D$14:$D$36)*$E811)</f>
        <v>2.2092</v>
      </c>
      <c r="L811" s="95" cm="1">
        <f ca="1" t="array" ref="L811">MIN(6,_xlfn.XLOOKUP($D811&amp;"_"&amp;L$52,$B$14:$B$36&amp;"_"&amp;$C$14:$C$36,$D$14:$D$36)*$E811)</f>
        <v>4.14225</v>
      </c>
      <c r="M811" s="95" cm="1">
        <f ca="1" t="array" ref="M811">(1+SUMPRODUCT(G811:H811,OFFSET($H$40:$I$40,D811,0)))*(1+OFFSET($J$40,D811,0))^I811*(1+OFFSET($K$40,D811,0))^J811*(1+OFFSET($L$40,D811,0))^K811*(1+OFFSET($M$40,D811,0))^L811</f>
        <v>154.357060883794</v>
      </c>
      <c r="N811" s="95">
        <f ca="1">MAX(MAX($N$53:N810),OFFSET($C$52,MATCH(M811*1.07,$M$53:$M$2052,1),0)-C811)</f>
        <v>10080</v>
      </c>
    </row>
    <row r="812" spans="2:14">
      <c r="B812" s="95">
        <v>760</v>
      </c>
      <c r="C812" s="95">
        <f t="shared" si="64"/>
        <v>273600</v>
      </c>
      <c r="D812" s="95">
        <f ca="1">_xlfn.XLOOKUP(总览!$B$44,$B$40:$B$45,$C$40:$C$45)</f>
        <v>5</v>
      </c>
      <c r="E812" s="95">
        <f ca="1" t="shared" si="61"/>
        <v>790</v>
      </c>
      <c r="F812" s="95">
        <f ca="1" t="shared" si="62"/>
        <v>0</v>
      </c>
      <c r="G812" s="95">
        <f ca="1" t="shared" si="63"/>
        <v>0</v>
      </c>
      <c r="H812" s="95" cm="1">
        <f ca="1" t="array" ref="H812">MIN(30-SUM(I812:L812),_xlfn.XLOOKUP($D812&amp;"_"&amp;H$52,$B$14:$B$36&amp;"_"&amp;$C$14:$C$36,$D$14:$D$36)*$E812,18)</f>
        <v>15.863</v>
      </c>
      <c r="I812" s="95" cm="1">
        <f ca="1" t="array" ref="I812">MIN(30-SUM(J812:L812),6-L812,_xlfn.XLOOKUP($D812&amp;"_"&amp;I$52,$B$14:$B$36&amp;"_"&amp;$C$14:$C$36,$D$14:$D$36)*$E812)</f>
        <v>1.8525</v>
      </c>
      <c r="J812" s="95" cm="1">
        <f ca="1" t="array" ref="J812">MIN(8,_xlfn.XLOOKUP($D812&amp;"_"&amp;J$52,$B$14:$B$36&amp;"_"&amp;$C$14:$C$36,$D$14:$D$36)*$E812)</f>
        <v>5.925</v>
      </c>
      <c r="K812" s="95" cm="1">
        <f ca="1" t="array" ref="K812">MIN(18,_xlfn.XLOOKUP($D812&amp;"_"&amp;K$52,$B$14:$B$36&amp;"_"&amp;$C$14:$C$36,$D$14:$D$36)*$E812)</f>
        <v>2.212</v>
      </c>
      <c r="L812" s="95" cm="1">
        <f ca="1" t="array" ref="L812">MIN(6,_xlfn.XLOOKUP($D812&amp;"_"&amp;L$52,$B$14:$B$36&amp;"_"&amp;$C$14:$C$36,$D$14:$D$36)*$E812)</f>
        <v>4.1475</v>
      </c>
      <c r="M812" s="95" cm="1">
        <f ca="1" t="array" ref="M812">(1+SUMPRODUCT(G812:H812,OFFSET($H$40:$I$40,D812,0)))*(1+OFFSET($J$40,D812,0))^I812*(1+OFFSET($K$40,D812,0))^J812*(1+OFFSET($L$40,D812,0))^K812*(1+OFFSET($M$40,D812,0))^L812</f>
        <v>154.725676832405</v>
      </c>
      <c r="N812" s="95">
        <f ca="1">MAX(MAX($N$53:N811),OFFSET($C$52,MATCH(M812*1.07,$M$53:$M$2052,1),0)-C812)</f>
        <v>10080</v>
      </c>
    </row>
    <row r="813" spans="2:14">
      <c r="B813" s="95">
        <v>761</v>
      </c>
      <c r="C813" s="95">
        <f t="shared" si="64"/>
        <v>273960</v>
      </c>
      <c r="D813" s="95">
        <f ca="1">_xlfn.XLOOKUP(总览!$B$44,$B$40:$B$45,$C$40:$C$45)</f>
        <v>5</v>
      </c>
      <c r="E813" s="95">
        <f ca="1" t="shared" si="61"/>
        <v>791</v>
      </c>
      <c r="F813" s="95">
        <f ca="1" t="shared" si="62"/>
        <v>0</v>
      </c>
      <c r="G813" s="95">
        <f ca="1" t="shared" si="63"/>
        <v>0</v>
      </c>
      <c r="H813" s="95" cm="1">
        <f ca="1" t="array" ref="H813">MIN(30-SUM(I813:L813),_xlfn.XLOOKUP($D813&amp;"_"&amp;H$52,$B$14:$B$36&amp;"_"&amp;$C$14:$C$36,$D$14:$D$36)*$E813,18)</f>
        <v>15.8527</v>
      </c>
      <c r="I813" s="95" cm="1">
        <f ca="1" t="array" ref="I813">MIN(30-SUM(J813:L813),6-L813,_xlfn.XLOOKUP($D813&amp;"_"&amp;I$52,$B$14:$B$36&amp;"_"&amp;$C$14:$C$36,$D$14:$D$36)*$E813)</f>
        <v>1.84725</v>
      </c>
      <c r="J813" s="95" cm="1">
        <f ca="1" t="array" ref="J813">MIN(8,_xlfn.XLOOKUP($D813&amp;"_"&amp;J$52,$B$14:$B$36&amp;"_"&amp;$C$14:$C$36,$D$14:$D$36)*$E813)</f>
        <v>5.9325</v>
      </c>
      <c r="K813" s="95" cm="1">
        <f ca="1" t="array" ref="K813">MIN(18,_xlfn.XLOOKUP($D813&amp;"_"&amp;K$52,$B$14:$B$36&amp;"_"&amp;$C$14:$C$36,$D$14:$D$36)*$E813)</f>
        <v>2.2148</v>
      </c>
      <c r="L813" s="95" cm="1">
        <f ca="1" t="array" ref="L813">MIN(6,_xlfn.XLOOKUP($D813&amp;"_"&amp;L$52,$B$14:$B$36&amp;"_"&amp;$C$14:$C$36,$D$14:$D$36)*$E813)</f>
        <v>4.15275</v>
      </c>
      <c r="M813" s="95" cm="1">
        <f ca="1" t="array" ref="M813">(1+SUMPRODUCT(G813:H813,OFFSET($H$40:$I$40,D813,0)))*(1+OFFSET($J$40,D813,0))^I813*(1+OFFSET($K$40,D813,0))^J813*(1+OFFSET($L$40,D813,0))^K813*(1+OFFSET($M$40,D813,0))^L813</f>
        <v>155.09513526047</v>
      </c>
      <c r="N813" s="95">
        <f ca="1">MAX(MAX($N$53:N812),OFFSET($C$52,MATCH(M813*1.07,$M$53:$M$2052,1),0)-C813)</f>
        <v>10080</v>
      </c>
    </row>
    <row r="814" spans="2:14">
      <c r="B814" s="95">
        <v>762</v>
      </c>
      <c r="C814" s="95">
        <f t="shared" si="64"/>
        <v>274320</v>
      </c>
      <c r="D814" s="95">
        <f ca="1">_xlfn.XLOOKUP(总览!$B$44,$B$40:$B$45,$C$40:$C$45)</f>
        <v>5</v>
      </c>
      <c r="E814" s="95">
        <f ca="1" t="shared" si="61"/>
        <v>792</v>
      </c>
      <c r="F814" s="95">
        <f ca="1" t="shared" si="62"/>
        <v>0</v>
      </c>
      <c r="G814" s="95">
        <f ca="1" t="shared" si="63"/>
        <v>0</v>
      </c>
      <c r="H814" s="95" cm="1">
        <f ca="1" t="array" ref="H814">MIN(30-SUM(I814:L814),_xlfn.XLOOKUP($D814&amp;"_"&amp;H$52,$B$14:$B$36&amp;"_"&amp;$C$14:$C$36,$D$14:$D$36)*$E814,18)</f>
        <v>15.8424</v>
      </c>
      <c r="I814" s="95" cm="1">
        <f ca="1" t="array" ref="I814">MIN(30-SUM(J814:L814),6-L814,_xlfn.XLOOKUP($D814&amp;"_"&amp;I$52,$B$14:$B$36&amp;"_"&amp;$C$14:$C$36,$D$14:$D$36)*$E814)</f>
        <v>1.842</v>
      </c>
      <c r="J814" s="95" cm="1">
        <f ca="1" t="array" ref="J814">MIN(8,_xlfn.XLOOKUP($D814&amp;"_"&amp;J$52,$B$14:$B$36&amp;"_"&amp;$C$14:$C$36,$D$14:$D$36)*$E814)</f>
        <v>5.94</v>
      </c>
      <c r="K814" s="95" cm="1">
        <f ca="1" t="array" ref="K814">MIN(18,_xlfn.XLOOKUP($D814&amp;"_"&amp;K$52,$B$14:$B$36&amp;"_"&amp;$C$14:$C$36,$D$14:$D$36)*$E814)</f>
        <v>2.2176</v>
      </c>
      <c r="L814" s="95" cm="1">
        <f ca="1" t="array" ref="L814">MIN(6,_xlfn.XLOOKUP($D814&amp;"_"&amp;L$52,$B$14:$B$36&amp;"_"&amp;$C$14:$C$36,$D$14:$D$36)*$E814)</f>
        <v>4.158</v>
      </c>
      <c r="M814" s="95" cm="1">
        <f ca="1" t="array" ref="M814">(1+SUMPRODUCT(G814:H814,OFFSET($H$40:$I$40,D814,0)))*(1+OFFSET($J$40,D814,0))^I814*(1+OFFSET($K$40,D814,0))^J814*(1+OFFSET($L$40,D814,0))^K814*(1+OFFSET($M$40,D814,0))^L814</f>
        <v>155.465437961927</v>
      </c>
      <c r="N814" s="95">
        <f ca="1">MAX(MAX($N$53:N813),OFFSET($C$52,MATCH(M814*1.07,$M$53:$M$2052,1),0)-C814)</f>
        <v>10080</v>
      </c>
    </row>
    <row r="815" spans="2:14">
      <c r="B815" s="95">
        <v>763</v>
      </c>
      <c r="C815" s="95">
        <f t="shared" si="64"/>
        <v>274680</v>
      </c>
      <c r="D815" s="95">
        <f ca="1">_xlfn.XLOOKUP(总览!$B$44,$B$40:$B$45,$C$40:$C$45)</f>
        <v>5</v>
      </c>
      <c r="E815" s="95">
        <f ca="1" t="shared" si="61"/>
        <v>793</v>
      </c>
      <c r="F815" s="95">
        <f ca="1" t="shared" si="62"/>
        <v>0</v>
      </c>
      <c r="G815" s="95">
        <f ca="1" t="shared" si="63"/>
        <v>0</v>
      </c>
      <c r="H815" s="95" cm="1">
        <f ca="1" t="array" ref="H815">MIN(30-SUM(I815:L815),_xlfn.XLOOKUP($D815&amp;"_"&amp;H$52,$B$14:$B$36&amp;"_"&amp;$C$14:$C$36,$D$14:$D$36)*$E815,18)</f>
        <v>15.8321</v>
      </c>
      <c r="I815" s="95" cm="1">
        <f ca="1" t="array" ref="I815">MIN(30-SUM(J815:L815),6-L815,_xlfn.XLOOKUP($D815&amp;"_"&amp;I$52,$B$14:$B$36&amp;"_"&amp;$C$14:$C$36,$D$14:$D$36)*$E815)</f>
        <v>1.83675</v>
      </c>
      <c r="J815" s="95" cm="1">
        <f ca="1" t="array" ref="J815">MIN(8,_xlfn.XLOOKUP($D815&amp;"_"&amp;J$52,$B$14:$B$36&amp;"_"&amp;$C$14:$C$36,$D$14:$D$36)*$E815)</f>
        <v>5.9475</v>
      </c>
      <c r="K815" s="95" cm="1">
        <f ca="1" t="array" ref="K815">MIN(18,_xlfn.XLOOKUP($D815&amp;"_"&amp;K$52,$B$14:$B$36&amp;"_"&amp;$C$14:$C$36,$D$14:$D$36)*$E815)</f>
        <v>2.2204</v>
      </c>
      <c r="L815" s="95" cm="1">
        <f ca="1" t="array" ref="L815">MIN(6,_xlfn.XLOOKUP($D815&amp;"_"&amp;L$52,$B$14:$B$36&amp;"_"&amp;$C$14:$C$36,$D$14:$D$36)*$E815)</f>
        <v>4.16325</v>
      </c>
      <c r="M815" s="95" cm="1">
        <f ca="1" t="array" ref="M815">(1+SUMPRODUCT(G815:H815,OFFSET($H$40:$I$40,D815,0)))*(1+OFFSET($J$40,D815,0))^I815*(1+OFFSET($K$40,D815,0))^J815*(1+OFFSET($L$40,D815,0))^K815*(1+OFFSET($M$40,D815,0))^L815</f>
        <v>155.836586734054</v>
      </c>
      <c r="N815" s="95">
        <f ca="1">MAX(MAX($N$53:N814),OFFSET($C$52,MATCH(M815*1.07,$M$53:$M$2052,1),0)-C815)</f>
        <v>10080</v>
      </c>
    </row>
    <row r="816" spans="2:14">
      <c r="B816" s="95">
        <v>764</v>
      </c>
      <c r="C816" s="95">
        <f t="shared" si="64"/>
        <v>275040</v>
      </c>
      <c r="D816" s="95">
        <f ca="1">_xlfn.XLOOKUP(总览!$B$44,$B$40:$B$45,$C$40:$C$45)</f>
        <v>5</v>
      </c>
      <c r="E816" s="95">
        <f ca="1" t="shared" si="61"/>
        <v>794</v>
      </c>
      <c r="F816" s="95">
        <f ca="1" t="shared" si="62"/>
        <v>0</v>
      </c>
      <c r="G816" s="95">
        <f ca="1" t="shared" si="63"/>
        <v>0</v>
      </c>
      <c r="H816" s="95" cm="1">
        <f ca="1" t="array" ref="H816">MIN(30-SUM(I816:L816),_xlfn.XLOOKUP($D816&amp;"_"&amp;H$52,$B$14:$B$36&amp;"_"&amp;$C$14:$C$36,$D$14:$D$36)*$E816,18)</f>
        <v>15.8218</v>
      </c>
      <c r="I816" s="95" cm="1">
        <f ca="1" t="array" ref="I816">MIN(30-SUM(J816:L816),6-L816,_xlfn.XLOOKUP($D816&amp;"_"&amp;I$52,$B$14:$B$36&amp;"_"&amp;$C$14:$C$36,$D$14:$D$36)*$E816)</f>
        <v>1.8315</v>
      </c>
      <c r="J816" s="95" cm="1">
        <f ca="1" t="array" ref="J816">MIN(8,_xlfn.XLOOKUP($D816&amp;"_"&amp;J$52,$B$14:$B$36&amp;"_"&amp;$C$14:$C$36,$D$14:$D$36)*$E816)</f>
        <v>5.955</v>
      </c>
      <c r="K816" s="95" cm="1">
        <f ca="1" t="array" ref="K816">MIN(18,_xlfn.XLOOKUP($D816&amp;"_"&amp;K$52,$B$14:$B$36&amp;"_"&amp;$C$14:$C$36,$D$14:$D$36)*$E816)</f>
        <v>2.2232</v>
      </c>
      <c r="L816" s="95" cm="1">
        <f ca="1" t="array" ref="L816">MIN(6,_xlfn.XLOOKUP($D816&amp;"_"&amp;L$52,$B$14:$B$36&amp;"_"&amp;$C$14:$C$36,$D$14:$D$36)*$E816)</f>
        <v>4.1685</v>
      </c>
      <c r="M816" s="95" cm="1">
        <f ca="1" t="array" ref="M816">(1+SUMPRODUCT(G816:H816,OFFSET($H$40:$I$40,D816,0)))*(1+OFFSET($J$40,D816,0))^I816*(1+OFFSET($K$40,D816,0))^J816*(1+OFFSET($L$40,D816,0))^K816*(1+OFFSET($M$40,D816,0))^L816</f>
        <v>156.208583377478</v>
      </c>
      <c r="N816" s="95">
        <f ca="1">MAX(MAX($N$53:N815),OFFSET($C$52,MATCH(M816*1.07,$M$53:$M$2052,1),0)-C816)</f>
        <v>10080</v>
      </c>
    </row>
    <row r="817" spans="2:14">
      <c r="B817" s="95">
        <v>765</v>
      </c>
      <c r="C817" s="95">
        <f t="shared" si="64"/>
        <v>275400</v>
      </c>
      <c r="D817" s="95">
        <f ca="1">_xlfn.XLOOKUP(总览!$B$44,$B$40:$B$45,$C$40:$C$45)</f>
        <v>5</v>
      </c>
      <c r="E817" s="95">
        <f ca="1" t="shared" si="61"/>
        <v>795</v>
      </c>
      <c r="F817" s="95">
        <f ca="1" t="shared" si="62"/>
        <v>0</v>
      </c>
      <c r="G817" s="95">
        <f ca="1" t="shared" si="63"/>
        <v>0</v>
      </c>
      <c r="H817" s="95" cm="1">
        <f ca="1" t="array" ref="H817">MIN(30-SUM(I817:L817),_xlfn.XLOOKUP($D817&amp;"_"&amp;H$52,$B$14:$B$36&amp;"_"&amp;$C$14:$C$36,$D$14:$D$36)*$E817,18)</f>
        <v>15.8115</v>
      </c>
      <c r="I817" s="95" cm="1">
        <f ca="1" t="array" ref="I817">MIN(30-SUM(J817:L817),6-L817,_xlfn.XLOOKUP($D817&amp;"_"&amp;I$52,$B$14:$B$36&amp;"_"&amp;$C$14:$C$36,$D$14:$D$36)*$E817)</f>
        <v>1.82625</v>
      </c>
      <c r="J817" s="95" cm="1">
        <f ca="1" t="array" ref="J817">MIN(8,_xlfn.XLOOKUP($D817&amp;"_"&amp;J$52,$B$14:$B$36&amp;"_"&amp;$C$14:$C$36,$D$14:$D$36)*$E817)</f>
        <v>5.9625</v>
      </c>
      <c r="K817" s="95" cm="1">
        <f ca="1" t="array" ref="K817">MIN(18,_xlfn.XLOOKUP($D817&amp;"_"&amp;K$52,$B$14:$B$36&amp;"_"&amp;$C$14:$C$36,$D$14:$D$36)*$E817)</f>
        <v>2.226</v>
      </c>
      <c r="L817" s="95" cm="1">
        <f ca="1" t="array" ref="L817">MIN(6,_xlfn.XLOOKUP($D817&amp;"_"&amp;L$52,$B$14:$B$36&amp;"_"&amp;$C$14:$C$36,$D$14:$D$36)*$E817)</f>
        <v>4.17375</v>
      </c>
      <c r="M817" s="95" cm="1">
        <f ca="1" t="array" ref="M817">(1+SUMPRODUCT(G817:H817,OFFSET($H$40:$I$40,D817,0)))*(1+OFFSET($J$40,D817,0))^I817*(1+OFFSET($K$40,D817,0))^J817*(1+OFFSET($L$40,D817,0))^K817*(1+OFFSET($M$40,D817,0))^L817</f>
        <v>156.581429696173</v>
      </c>
      <c r="N817" s="95">
        <f ca="1">MAX(MAX($N$53:N816),OFFSET($C$52,MATCH(M817*1.07,$M$53:$M$2052,1),0)-C817)</f>
        <v>10080</v>
      </c>
    </row>
    <row r="818" spans="2:14">
      <c r="B818" s="95">
        <v>766</v>
      </c>
      <c r="C818" s="95">
        <f t="shared" si="64"/>
        <v>275760</v>
      </c>
      <c r="D818" s="95">
        <f ca="1">_xlfn.XLOOKUP(总览!$B$44,$B$40:$B$45,$C$40:$C$45)</f>
        <v>5</v>
      </c>
      <c r="E818" s="95">
        <f ca="1" t="shared" si="61"/>
        <v>796</v>
      </c>
      <c r="F818" s="95">
        <f ca="1" t="shared" si="62"/>
        <v>0</v>
      </c>
      <c r="G818" s="95">
        <f ca="1" t="shared" si="63"/>
        <v>0</v>
      </c>
      <c r="H818" s="95" cm="1">
        <f ca="1" t="array" ref="H818">MIN(30-SUM(I818:L818),_xlfn.XLOOKUP($D818&amp;"_"&amp;H$52,$B$14:$B$36&amp;"_"&amp;$C$14:$C$36,$D$14:$D$36)*$E818,18)</f>
        <v>15.8012</v>
      </c>
      <c r="I818" s="95" cm="1">
        <f ca="1" t="array" ref="I818">MIN(30-SUM(J818:L818),6-L818,_xlfn.XLOOKUP($D818&amp;"_"&amp;I$52,$B$14:$B$36&amp;"_"&amp;$C$14:$C$36,$D$14:$D$36)*$E818)</f>
        <v>1.821</v>
      </c>
      <c r="J818" s="95" cm="1">
        <f ca="1" t="array" ref="J818">MIN(8,_xlfn.XLOOKUP($D818&amp;"_"&amp;J$52,$B$14:$B$36&amp;"_"&amp;$C$14:$C$36,$D$14:$D$36)*$E818)</f>
        <v>5.97</v>
      </c>
      <c r="K818" s="95" cm="1">
        <f ca="1" t="array" ref="K818">MIN(18,_xlfn.XLOOKUP($D818&amp;"_"&amp;K$52,$B$14:$B$36&amp;"_"&amp;$C$14:$C$36,$D$14:$D$36)*$E818)</f>
        <v>2.2288</v>
      </c>
      <c r="L818" s="95" cm="1">
        <f ca="1" t="array" ref="L818">MIN(6,_xlfn.XLOOKUP($D818&amp;"_"&amp;L$52,$B$14:$B$36&amp;"_"&amp;$C$14:$C$36,$D$14:$D$36)*$E818)</f>
        <v>4.179</v>
      </c>
      <c r="M818" s="95" cm="1">
        <f ca="1" t="array" ref="M818">(1+SUMPRODUCT(G818:H818,OFFSET($H$40:$I$40,D818,0)))*(1+OFFSET($J$40,D818,0))^I818*(1+OFFSET($K$40,D818,0))^J818*(1+OFFSET($L$40,D818,0))^K818*(1+OFFSET($M$40,D818,0))^L818</f>
        <v>156.955127497469</v>
      </c>
      <c r="N818" s="95">
        <f ca="1">MAX(MAX($N$53:N817),OFFSET($C$52,MATCH(M818*1.07,$M$53:$M$2052,1),0)-C818)</f>
        <v>10080</v>
      </c>
    </row>
    <row r="819" spans="2:14">
      <c r="B819" s="95">
        <v>767</v>
      </c>
      <c r="C819" s="95">
        <f t="shared" si="64"/>
        <v>276120</v>
      </c>
      <c r="D819" s="95">
        <f ca="1">_xlfn.XLOOKUP(总览!$B$44,$B$40:$B$45,$C$40:$C$45)</f>
        <v>5</v>
      </c>
      <c r="E819" s="95">
        <f ca="1" t="shared" si="61"/>
        <v>797</v>
      </c>
      <c r="F819" s="95">
        <f ca="1" t="shared" si="62"/>
        <v>0</v>
      </c>
      <c r="G819" s="95">
        <f ca="1" t="shared" si="63"/>
        <v>0</v>
      </c>
      <c r="H819" s="95" cm="1">
        <f ca="1" t="array" ref="H819">MIN(30-SUM(I819:L819),_xlfn.XLOOKUP($D819&amp;"_"&amp;H$52,$B$14:$B$36&amp;"_"&amp;$C$14:$C$36,$D$14:$D$36)*$E819,18)</f>
        <v>15.7909</v>
      </c>
      <c r="I819" s="95" cm="1">
        <f ca="1" t="array" ref="I819">MIN(30-SUM(J819:L819),6-L819,_xlfn.XLOOKUP($D819&amp;"_"&amp;I$52,$B$14:$B$36&amp;"_"&amp;$C$14:$C$36,$D$14:$D$36)*$E819)</f>
        <v>1.81575</v>
      </c>
      <c r="J819" s="95" cm="1">
        <f ca="1" t="array" ref="J819">MIN(8,_xlfn.XLOOKUP($D819&amp;"_"&amp;J$52,$B$14:$B$36&amp;"_"&amp;$C$14:$C$36,$D$14:$D$36)*$E819)</f>
        <v>5.9775</v>
      </c>
      <c r="K819" s="95" cm="1">
        <f ca="1" t="array" ref="K819">MIN(18,_xlfn.XLOOKUP($D819&amp;"_"&amp;K$52,$B$14:$B$36&amp;"_"&amp;$C$14:$C$36,$D$14:$D$36)*$E819)</f>
        <v>2.2316</v>
      </c>
      <c r="L819" s="95" cm="1">
        <f ca="1" t="array" ref="L819">MIN(6,_xlfn.XLOOKUP($D819&amp;"_"&amp;L$52,$B$14:$B$36&amp;"_"&amp;$C$14:$C$36,$D$14:$D$36)*$E819)</f>
        <v>4.18425</v>
      </c>
      <c r="M819" s="95" cm="1">
        <f ca="1" t="array" ref="M819">(1+SUMPRODUCT(G819:H819,OFFSET($H$40:$I$40,D819,0)))*(1+OFFSET($J$40,D819,0))^I819*(1+OFFSET($K$40,D819,0))^J819*(1+OFFSET($L$40,D819,0))^K819*(1+OFFSET($M$40,D819,0))^L819</f>
        <v>157.329678592055</v>
      </c>
      <c r="N819" s="95">
        <f ca="1">MAX(MAX($N$53:N818),OFFSET($C$52,MATCH(M819*1.07,$M$53:$M$2052,1),0)-C819)</f>
        <v>10080</v>
      </c>
    </row>
    <row r="820" spans="2:14">
      <c r="B820" s="95">
        <v>768</v>
      </c>
      <c r="C820" s="95">
        <f t="shared" si="64"/>
        <v>276480</v>
      </c>
      <c r="D820" s="95">
        <f ca="1">_xlfn.XLOOKUP(总览!$B$44,$B$40:$B$45,$C$40:$C$45)</f>
        <v>5</v>
      </c>
      <c r="E820" s="95">
        <f ca="1" t="shared" si="61"/>
        <v>798</v>
      </c>
      <c r="F820" s="95">
        <f ca="1" t="shared" si="62"/>
        <v>0</v>
      </c>
      <c r="G820" s="95">
        <f ca="1" t="shared" si="63"/>
        <v>0</v>
      </c>
      <c r="H820" s="95" cm="1">
        <f ca="1" t="array" ref="H820">MIN(30-SUM(I820:L820),_xlfn.XLOOKUP($D820&amp;"_"&amp;H$52,$B$14:$B$36&amp;"_"&amp;$C$14:$C$36,$D$14:$D$36)*$E820,18)</f>
        <v>15.7806</v>
      </c>
      <c r="I820" s="95" cm="1">
        <f ca="1" t="array" ref="I820">MIN(30-SUM(J820:L820),6-L820,_xlfn.XLOOKUP($D820&amp;"_"&amp;I$52,$B$14:$B$36&amp;"_"&amp;$C$14:$C$36,$D$14:$D$36)*$E820)</f>
        <v>1.8105</v>
      </c>
      <c r="J820" s="95" cm="1">
        <f ca="1" t="array" ref="J820">MIN(8,_xlfn.XLOOKUP($D820&amp;"_"&amp;J$52,$B$14:$B$36&amp;"_"&amp;$C$14:$C$36,$D$14:$D$36)*$E820)</f>
        <v>5.985</v>
      </c>
      <c r="K820" s="95" cm="1">
        <f ca="1" t="array" ref="K820">MIN(18,_xlfn.XLOOKUP($D820&amp;"_"&amp;K$52,$B$14:$B$36&amp;"_"&amp;$C$14:$C$36,$D$14:$D$36)*$E820)</f>
        <v>2.2344</v>
      </c>
      <c r="L820" s="95" cm="1">
        <f ca="1" t="array" ref="L820">MIN(6,_xlfn.XLOOKUP($D820&amp;"_"&amp;L$52,$B$14:$B$36&amp;"_"&amp;$C$14:$C$36,$D$14:$D$36)*$E820)</f>
        <v>4.1895</v>
      </c>
      <c r="M820" s="95" cm="1">
        <f ca="1" t="array" ref="M820">(1+SUMPRODUCT(G820:H820,OFFSET($H$40:$I$40,D820,0)))*(1+OFFSET($J$40,D820,0))^I820*(1+OFFSET($K$40,D820,0))^J820*(1+OFFSET($L$40,D820,0))^K820*(1+OFFSET($M$40,D820,0))^L820</f>
        <v>157.705084793984</v>
      </c>
      <c r="N820" s="95">
        <f ca="1">MAX(MAX($N$53:N819),OFFSET($C$52,MATCH(M820*1.07,$M$53:$M$2052,1),0)-C820)</f>
        <v>10080</v>
      </c>
    </row>
    <row r="821" spans="2:14">
      <c r="B821" s="95">
        <v>769</v>
      </c>
      <c r="C821" s="95">
        <f t="shared" si="64"/>
        <v>276840</v>
      </c>
      <c r="D821" s="95">
        <f ca="1">_xlfn.XLOOKUP(总览!$B$44,$B$40:$B$45,$C$40:$C$45)</f>
        <v>5</v>
      </c>
      <c r="E821" s="95">
        <f ca="1" t="shared" si="61"/>
        <v>799</v>
      </c>
      <c r="F821" s="95">
        <f ca="1" t="shared" si="62"/>
        <v>0</v>
      </c>
      <c r="G821" s="95">
        <f ca="1" t="shared" si="63"/>
        <v>0</v>
      </c>
      <c r="H821" s="95" cm="1">
        <f ca="1" t="array" ref="H821">MIN(30-SUM(I821:L821),_xlfn.XLOOKUP($D821&amp;"_"&amp;H$52,$B$14:$B$36&amp;"_"&amp;$C$14:$C$36,$D$14:$D$36)*$E821,18)</f>
        <v>15.7703</v>
      </c>
      <c r="I821" s="95" cm="1">
        <f ca="1" t="array" ref="I821">MIN(30-SUM(J821:L821),6-L821,_xlfn.XLOOKUP($D821&amp;"_"&amp;I$52,$B$14:$B$36&amp;"_"&amp;$C$14:$C$36,$D$14:$D$36)*$E821)</f>
        <v>1.80525</v>
      </c>
      <c r="J821" s="95" cm="1">
        <f ca="1" t="array" ref="J821">MIN(8,_xlfn.XLOOKUP($D821&amp;"_"&amp;J$52,$B$14:$B$36&amp;"_"&amp;$C$14:$C$36,$D$14:$D$36)*$E821)</f>
        <v>5.9925</v>
      </c>
      <c r="K821" s="95" cm="1">
        <f ca="1" t="array" ref="K821">MIN(18,_xlfn.XLOOKUP($D821&amp;"_"&amp;K$52,$B$14:$B$36&amp;"_"&amp;$C$14:$C$36,$D$14:$D$36)*$E821)</f>
        <v>2.2372</v>
      </c>
      <c r="L821" s="95" cm="1">
        <f ca="1" t="array" ref="L821">MIN(6,_xlfn.XLOOKUP($D821&amp;"_"&amp;L$52,$B$14:$B$36&amp;"_"&amp;$C$14:$C$36,$D$14:$D$36)*$E821)</f>
        <v>4.19475</v>
      </c>
      <c r="M821" s="95" cm="1">
        <f ca="1" t="array" ref="M821">(1+SUMPRODUCT(G821:H821,OFFSET($H$40:$I$40,D821,0)))*(1+OFFSET($J$40,D821,0))^I821*(1+OFFSET($K$40,D821,0))^J821*(1+OFFSET($L$40,D821,0))^K821*(1+OFFSET($M$40,D821,0))^L821</f>
        <v>158.081347920674</v>
      </c>
      <c r="N821" s="95">
        <f ca="1">MAX(MAX($N$53:N820),OFFSET($C$52,MATCH(M821*1.07,$M$53:$M$2052,1),0)-C821)</f>
        <v>10080</v>
      </c>
    </row>
    <row r="822" spans="2:14">
      <c r="B822" s="95">
        <v>770</v>
      </c>
      <c r="C822" s="95">
        <f t="shared" si="64"/>
        <v>277200</v>
      </c>
      <c r="D822" s="95">
        <f ca="1">_xlfn.XLOOKUP(总览!$B$44,$B$40:$B$45,$C$40:$C$45)</f>
        <v>5</v>
      </c>
      <c r="E822" s="95">
        <f ca="1" t="shared" ref="E822:E885" si="65">INT(C822/_xlfn.XLOOKUP(D822,$N$5:$N$16,$O$5:$O$16))+OFFSET($R$40,D822,0)</f>
        <v>800</v>
      </c>
      <c r="F822" s="95">
        <f ca="1" t="shared" si="62"/>
        <v>0</v>
      </c>
      <c r="G822" s="95">
        <f ca="1" t="shared" si="63"/>
        <v>0</v>
      </c>
      <c r="H822" s="95" cm="1">
        <f ca="1" t="array" ref="H822">MIN(30-SUM(I822:L822),_xlfn.XLOOKUP($D822&amp;"_"&amp;H$52,$B$14:$B$36&amp;"_"&amp;$C$14:$C$36,$D$14:$D$36)*$E822,18)</f>
        <v>15.76</v>
      </c>
      <c r="I822" s="95" cm="1">
        <f ca="1" t="array" ref="I822">MIN(30-SUM(J822:L822),6-L822,_xlfn.XLOOKUP($D822&amp;"_"&amp;I$52,$B$14:$B$36&amp;"_"&amp;$C$14:$C$36,$D$14:$D$36)*$E822)</f>
        <v>1.8</v>
      </c>
      <c r="J822" s="95" cm="1">
        <f ca="1" t="array" ref="J822">MIN(8,_xlfn.XLOOKUP($D822&amp;"_"&amp;J$52,$B$14:$B$36&amp;"_"&amp;$C$14:$C$36,$D$14:$D$36)*$E822)</f>
        <v>6</v>
      </c>
      <c r="K822" s="95" cm="1">
        <f ca="1" t="array" ref="K822">MIN(18,_xlfn.XLOOKUP($D822&amp;"_"&amp;K$52,$B$14:$B$36&amp;"_"&amp;$C$14:$C$36,$D$14:$D$36)*$E822)</f>
        <v>2.24</v>
      </c>
      <c r="L822" s="95" cm="1">
        <f ca="1" t="array" ref="L822">MIN(6,_xlfn.XLOOKUP($D822&amp;"_"&amp;L$52,$B$14:$B$36&amp;"_"&amp;$C$14:$C$36,$D$14:$D$36)*$E822)</f>
        <v>4.2</v>
      </c>
      <c r="M822" s="95" cm="1">
        <f ca="1" t="array" ref="M822">(1+SUMPRODUCT(G822:H822,OFFSET($H$40:$I$40,D822,0)))*(1+OFFSET($J$40,D822,0))^I822*(1+OFFSET($K$40,D822,0))^J822*(1+OFFSET($L$40,D822,0))^K822*(1+OFFSET($M$40,D822,0))^L822</f>
        <v>158.458469792917</v>
      </c>
      <c r="N822" s="95">
        <f ca="1">MAX(MAX($N$53:N821),OFFSET($C$52,MATCH(M822*1.07,$M$53:$M$2052,1),0)-C822)</f>
        <v>10080</v>
      </c>
    </row>
    <row r="823" spans="2:14">
      <c r="B823" s="95">
        <v>771</v>
      </c>
      <c r="C823" s="95">
        <f t="shared" si="64"/>
        <v>277560</v>
      </c>
      <c r="D823" s="95">
        <f ca="1">_xlfn.XLOOKUP(总览!$B$44,$B$40:$B$45,$C$40:$C$45)</f>
        <v>5</v>
      </c>
      <c r="E823" s="95">
        <f ca="1" t="shared" si="65"/>
        <v>801</v>
      </c>
      <c r="F823" s="95">
        <f ca="1" t="shared" ref="F823:F886" si="66">30-SUM(G823:L823)</f>
        <v>0</v>
      </c>
      <c r="G823" s="95">
        <f ca="1" t="shared" ref="G823:G886" si="67">30-SUM(H823:L823)</f>
        <v>0</v>
      </c>
      <c r="H823" s="95" cm="1">
        <f ca="1" t="array" ref="H823">MIN(30-SUM(I823:L823),_xlfn.XLOOKUP($D823&amp;"_"&amp;H$52,$B$14:$B$36&amp;"_"&amp;$C$14:$C$36,$D$14:$D$36)*$E823,18)</f>
        <v>15.7497</v>
      </c>
      <c r="I823" s="95" cm="1">
        <f ca="1" t="array" ref="I823">MIN(30-SUM(J823:L823),6-L823,_xlfn.XLOOKUP($D823&amp;"_"&amp;I$52,$B$14:$B$36&amp;"_"&amp;$C$14:$C$36,$D$14:$D$36)*$E823)</f>
        <v>1.79475</v>
      </c>
      <c r="J823" s="95" cm="1">
        <f ca="1" t="array" ref="J823">MIN(8,_xlfn.XLOOKUP($D823&amp;"_"&amp;J$52,$B$14:$B$36&amp;"_"&amp;$C$14:$C$36,$D$14:$D$36)*$E823)</f>
        <v>6.0075</v>
      </c>
      <c r="K823" s="95" cm="1">
        <f ca="1" t="array" ref="K823">MIN(18,_xlfn.XLOOKUP($D823&amp;"_"&amp;K$52,$B$14:$B$36&amp;"_"&amp;$C$14:$C$36,$D$14:$D$36)*$E823)</f>
        <v>2.2428</v>
      </c>
      <c r="L823" s="95" cm="1">
        <f ca="1" t="array" ref="L823">MIN(6,_xlfn.XLOOKUP($D823&amp;"_"&amp;L$52,$B$14:$B$36&amp;"_"&amp;$C$14:$C$36,$D$14:$D$36)*$E823)</f>
        <v>4.20525</v>
      </c>
      <c r="M823" s="95" cm="1">
        <f ca="1" t="array" ref="M823">(1+SUMPRODUCT(G823:H823,OFFSET($H$40:$I$40,D823,0)))*(1+OFFSET($J$40,D823,0))^I823*(1+OFFSET($K$40,D823,0))^J823*(1+OFFSET($L$40,D823,0))^K823*(1+OFFSET($M$40,D823,0))^L823</f>
        <v>158.836452234881</v>
      </c>
      <c r="N823" s="95">
        <f ca="1">MAX(MAX($N$53:N822),OFFSET($C$52,MATCH(M823*1.07,$M$53:$M$2052,1),0)-C823)</f>
        <v>10080</v>
      </c>
    </row>
    <row r="824" spans="2:14">
      <c r="B824" s="95">
        <v>772</v>
      </c>
      <c r="C824" s="95">
        <f t="shared" si="64"/>
        <v>277920</v>
      </c>
      <c r="D824" s="95">
        <f ca="1">_xlfn.XLOOKUP(总览!$B$44,$B$40:$B$45,$C$40:$C$45)</f>
        <v>5</v>
      </c>
      <c r="E824" s="95">
        <f ca="1" t="shared" si="65"/>
        <v>802</v>
      </c>
      <c r="F824" s="95">
        <f ca="1" t="shared" si="66"/>
        <v>0</v>
      </c>
      <c r="G824" s="95">
        <f ca="1" t="shared" si="67"/>
        <v>0</v>
      </c>
      <c r="H824" s="95" cm="1">
        <f ca="1" t="array" ref="H824">MIN(30-SUM(I824:L824),_xlfn.XLOOKUP($D824&amp;"_"&amp;H$52,$B$14:$B$36&amp;"_"&amp;$C$14:$C$36,$D$14:$D$36)*$E824,18)</f>
        <v>15.7394</v>
      </c>
      <c r="I824" s="95" cm="1">
        <f ca="1" t="array" ref="I824">MIN(30-SUM(J824:L824),6-L824,_xlfn.XLOOKUP($D824&amp;"_"&amp;I$52,$B$14:$B$36&amp;"_"&amp;$C$14:$C$36,$D$14:$D$36)*$E824)</f>
        <v>1.7895</v>
      </c>
      <c r="J824" s="95" cm="1">
        <f ca="1" t="array" ref="J824">MIN(8,_xlfn.XLOOKUP($D824&amp;"_"&amp;J$52,$B$14:$B$36&amp;"_"&amp;$C$14:$C$36,$D$14:$D$36)*$E824)</f>
        <v>6.015</v>
      </c>
      <c r="K824" s="95" cm="1">
        <f ca="1" t="array" ref="K824">MIN(18,_xlfn.XLOOKUP($D824&amp;"_"&amp;K$52,$B$14:$B$36&amp;"_"&amp;$C$14:$C$36,$D$14:$D$36)*$E824)</f>
        <v>2.2456</v>
      </c>
      <c r="L824" s="95" cm="1">
        <f ca="1" t="array" ref="L824">MIN(6,_xlfn.XLOOKUP($D824&amp;"_"&amp;L$52,$B$14:$B$36&amp;"_"&amp;$C$14:$C$36,$D$14:$D$36)*$E824)</f>
        <v>4.2105</v>
      </c>
      <c r="M824" s="95" cm="1">
        <f ca="1" t="array" ref="M824">(1+SUMPRODUCT(G824:H824,OFFSET($H$40:$I$40,D824,0)))*(1+OFFSET($J$40,D824,0))^I824*(1+OFFSET($K$40,D824,0))^J824*(1+OFFSET($L$40,D824,0))^K824*(1+OFFSET($M$40,D824,0))^L824</f>
        <v>159.215297074115</v>
      </c>
      <c r="N824" s="95">
        <f ca="1">MAX(MAX($N$53:N823),OFFSET($C$52,MATCH(M824*1.07,$M$53:$M$2052,1),0)-C824)</f>
        <v>10080</v>
      </c>
    </row>
    <row r="825" spans="2:14">
      <c r="B825" s="95">
        <v>773</v>
      </c>
      <c r="C825" s="95">
        <f t="shared" si="64"/>
        <v>278280</v>
      </c>
      <c r="D825" s="95">
        <f ca="1">_xlfn.XLOOKUP(总览!$B$44,$B$40:$B$45,$C$40:$C$45)</f>
        <v>5</v>
      </c>
      <c r="E825" s="95">
        <f ca="1" t="shared" si="65"/>
        <v>803</v>
      </c>
      <c r="F825" s="95">
        <f ca="1" t="shared" si="66"/>
        <v>0</v>
      </c>
      <c r="G825" s="95">
        <f ca="1" t="shared" si="67"/>
        <v>0</v>
      </c>
      <c r="H825" s="95" cm="1">
        <f ca="1" t="array" ref="H825">MIN(30-SUM(I825:L825),_xlfn.XLOOKUP($D825&amp;"_"&amp;H$52,$B$14:$B$36&amp;"_"&amp;$C$14:$C$36,$D$14:$D$36)*$E825,18)</f>
        <v>15.7291</v>
      </c>
      <c r="I825" s="95" cm="1">
        <f ca="1" t="array" ref="I825">MIN(30-SUM(J825:L825),6-L825,_xlfn.XLOOKUP($D825&amp;"_"&amp;I$52,$B$14:$B$36&amp;"_"&amp;$C$14:$C$36,$D$14:$D$36)*$E825)</f>
        <v>1.78425</v>
      </c>
      <c r="J825" s="95" cm="1">
        <f ca="1" t="array" ref="J825">MIN(8,_xlfn.XLOOKUP($D825&amp;"_"&amp;J$52,$B$14:$B$36&amp;"_"&amp;$C$14:$C$36,$D$14:$D$36)*$E825)</f>
        <v>6.0225</v>
      </c>
      <c r="K825" s="95" cm="1">
        <f ca="1" t="array" ref="K825">MIN(18,_xlfn.XLOOKUP($D825&amp;"_"&amp;K$52,$B$14:$B$36&amp;"_"&amp;$C$14:$C$36,$D$14:$D$36)*$E825)</f>
        <v>2.2484</v>
      </c>
      <c r="L825" s="95" cm="1">
        <f ca="1" t="array" ref="L825">MIN(6,_xlfn.XLOOKUP($D825&amp;"_"&amp;L$52,$B$14:$B$36&amp;"_"&amp;$C$14:$C$36,$D$14:$D$36)*$E825)</f>
        <v>4.21575</v>
      </c>
      <c r="M825" s="95" cm="1">
        <f ca="1" t="array" ref="M825">(1+SUMPRODUCT(G825:H825,OFFSET($H$40:$I$40,D825,0)))*(1+OFFSET($J$40,D825,0))^I825*(1+OFFSET($K$40,D825,0))^J825*(1+OFFSET($L$40,D825,0))^K825*(1+OFFSET($M$40,D825,0))^L825</f>
        <v>159.595006141552</v>
      </c>
      <c r="N825" s="95">
        <f ca="1">MAX(MAX($N$53:N824),OFFSET($C$52,MATCH(M825*1.07,$M$53:$M$2052,1),0)-C825)</f>
        <v>10080</v>
      </c>
    </row>
    <row r="826" spans="2:14">
      <c r="B826" s="95">
        <v>774</v>
      </c>
      <c r="C826" s="95">
        <f t="shared" si="64"/>
        <v>278640</v>
      </c>
      <c r="D826" s="95">
        <f ca="1">_xlfn.XLOOKUP(总览!$B$44,$B$40:$B$45,$C$40:$C$45)</f>
        <v>5</v>
      </c>
      <c r="E826" s="95">
        <f ca="1" t="shared" si="65"/>
        <v>804</v>
      </c>
      <c r="F826" s="95">
        <f ca="1" t="shared" si="66"/>
        <v>0</v>
      </c>
      <c r="G826" s="95">
        <f ca="1" t="shared" si="67"/>
        <v>0</v>
      </c>
      <c r="H826" s="95" cm="1">
        <f ca="1" t="array" ref="H826">MIN(30-SUM(I826:L826),_xlfn.XLOOKUP($D826&amp;"_"&amp;H$52,$B$14:$B$36&amp;"_"&amp;$C$14:$C$36,$D$14:$D$36)*$E826,18)</f>
        <v>15.7188</v>
      </c>
      <c r="I826" s="95" cm="1">
        <f ca="1" t="array" ref="I826">MIN(30-SUM(J826:L826),6-L826,_xlfn.XLOOKUP($D826&amp;"_"&amp;I$52,$B$14:$B$36&amp;"_"&amp;$C$14:$C$36,$D$14:$D$36)*$E826)</f>
        <v>1.779</v>
      </c>
      <c r="J826" s="95" cm="1">
        <f ca="1" t="array" ref="J826">MIN(8,_xlfn.XLOOKUP($D826&amp;"_"&amp;J$52,$B$14:$B$36&amp;"_"&amp;$C$14:$C$36,$D$14:$D$36)*$E826)</f>
        <v>6.03</v>
      </c>
      <c r="K826" s="95" cm="1">
        <f ca="1" t="array" ref="K826">MIN(18,_xlfn.XLOOKUP($D826&amp;"_"&amp;K$52,$B$14:$B$36&amp;"_"&amp;$C$14:$C$36,$D$14:$D$36)*$E826)</f>
        <v>2.2512</v>
      </c>
      <c r="L826" s="95" cm="1">
        <f ca="1" t="array" ref="L826">MIN(6,_xlfn.XLOOKUP($D826&amp;"_"&amp;L$52,$B$14:$B$36&amp;"_"&amp;$C$14:$C$36,$D$14:$D$36)*$E826)</f>
        <v>4.221</v>
      </c>
      <c r="M826" s="95" cm="1">
        <f ca="1" t="array" ref="M826">(1+SUMPRODUCT(G826:H826,OFFSET($H$40:$I$40,D826,0)))*(1+OFFSET($J$40,D826,0))^I826*(1+OFFSET($K$40,D826,0))^J826*(1+OFFSET($L$40,D826,0))^K826*(1+OFFSET($M$40,D826,0))^L826</f>
        <v>159.975581271513</v>
      </c>
      <c r="N826" s="95">
        <f ca="1">MAX(MAX($N$53:N825),OFFSET($C$52,MATCH(M826*1.07,$M$53:$M$2052,1),0)-C826)</f>
        <v>10080</v>
      </c>
    </row>
    <row r="827" spans="2:14">
      <c r="B827" s="95">
        <v>775</v>
      </c>
      <c r="C827" s="95">
        <f t="shared" si="64"/>
        <v>279000</v>
      </c>
      <c r="D827" s="95">
        <f ca="1">_xlfn.XLOOKUP(总览!$B$44,$B$40:$B$45,$C$40:$C$45)</f>
        <v>5</v>
      </c>
      <c r="E827" s="95">
        <f ca="1" t="shared" si="65"/>
        <v>805</v>
      </c>
      <c r="F827" s="95">
        <f ca="1" t="shared" si="66"/>
        <v>0</v>
      </c>
      <c r="G827" s="95">
        <f ca="1" t="shared" si="67"/>
        <v>0</v>
      </c>
      <c r="H827" s="95" cm="1">
        <f ca="1" t="array" ref="H827">MIN(30-SUM(I827:L827),_xlfn.XLOOKUP($D827&amp;"_"&amp;H$52,$B$14:$B$36&amp;"_"&amp;$C$14:$C$36,$D$14:$D$36)*$E827,18)</f>
        <v>15.7085</v>
      </c>
      <c r="I827" s="95" cm="1">
        <f ca="1" t="array" ref="I827">MIN(30-SUM(J827:L827),6-L827,_xlfn.XLOOKUP($D827&amp;"_"&amp;I$52,$B$14:$B$36&amp;"_"&amp;$C$14:$C$36,$D$14:$D$36)*$E827)</f>
        <v>1.77375</v>
      </c>
      <c r="J827" s="95" cm="1">
        <f ca="1" t="array" ref="J827">MIN(8,_xlfn.XLOOKUP($D827&amp;"_"&amp;J$52,$B$14:$B$36&amp;"_"&amp;$C$14:$C$36,$D$14:$D$36)*$E827)</f>
        <v>6.0375</v>
      </c>
      <c r="K827" s="95" cm="1">
        <f ca="1" t="array" ref="K827">MIN(18,_xlfn.XLOOKUP($D827&amp;"_"&amp;K$52,$B$14:$B$36&amp;"_"&amp;$C$14:$C$36,$D$14:$D$36)*$E827)</f>
        <v>2.254</v>
      </c>
      <c r="L827" s="95" cm="1">
        <f ca="1" t="array" ref="L827">MIN(6,_xlfn.XLOOKUP($D827&amp;"_"&amp;L$52,$B$14:$B$36&amp;"_"&amp;$C$14:$C$36,$D$14:$D$36)*$E827)</f>
        <v>4.22625</v>
      </c>
      <c r="M827" s="95" cm="1">
        <f ca="1" t="array" ref="M827">(1+SUMPRODUCT(G827:H827,OFFSET($H$40:$I$40,D827,0)))*(1+OFFSET($J$40,D827,0))^I827*(1+OFFSET($K$40,D827,0))^J827*(1+OFFSET($L$40,D827,0))^K827*(1+OFFSET($M$40,D827,0))^L827</f>
        <v>160.357024301717</v>
      </c>
      <c r="N827" s="95">
        <f ca="1">MAX(MAX($N$53:N826),OFFSET($C$52,MATCH(M827*1.07,$M$53:$M$2052,1),0)-C827)</f>
        <v>10080</v>
      </c>
    </row>
    <row r="828" spans="2:14">
      <c r="B828" s="95">
        <v>776</v>
      </c>
      <c r="C828" s="95">
        <f t="shared" si="64"/>
        <v>279360</v>
      </c>
      <c r="D828" s="95">
        <f ca="1">_xlfn.XLOOKUP(总览!$B$44,$B$40:$B$45,$C$40:$C$45)</f>
        <v>5</v>
      </c>
      <c r="E828" s="95">
        <f ca="1" t="shared" si="65"/>
        <v>806</v>
      </c>
      <c r="F828" s="95">
        <f ca="1" t="shared" si="66"/>
        <v>0</v>
      </c>
      <c r="G828" s="95">
        <f ca="1" t="shared" si="67"/>
        <v>0</v>
      </c>
      <c r="H828" s="95" cm="1">
        <f ca="1" t="array" ref="H828">MIN(30-SUM(I828:L828),_xlfn.XLOOKUP($D828&amp;"_"&amp;H$52,$B$14:$B$36&amp;"_"&amp;$C$14:$C$36,$D$14:$D$36)*$E828,18)</f>
        <v>15.6982</v>
      </c>
      <c r="I828" s="95" cm="1">
        <f ca="1" t="array" ref="I828">MIN(30-SUM(J828:L828),6-L828,_xlfn.XLOOKUP($D828&amp;"_"&amp;I$52,$B$14:$B$36&amp;"_"&amp;$C$14:$C$36,$D$14:$D$36)*$E828)</f>
        <v>1.7685</v>
      </c>
      <c r="J828" s="95" cm="1">
        <f ca="1" t="array" ref="J828">MIN(8,_xlfn.XLOOKUP($D828&amp;"_"&amp;J$52,$B$14:$B$36&amp;"_"&amp;$C$14:$C$36,$D$14:$D$36)*$E828)</f>
        <v>6.045</v>
      </c>
      <c r="K828" s="95" cm="1">
        <f ca="1" t="array" ref="K828">MIN(18,_xlfn.XLOOKUP($D828&amp;"_"&amp;K$52,$B$14:$B$36&amp;"_"&amp;$C$14:$C$36,$D$14:$D$36)*$E828)</f>
        <v>2.2568</v>
      </c>
      <c r="L828" s="95" cm="1">
        <f ca="1" t="array" ref="L828">MIN(6,_xlfn.XLOOKUP($D828&amp;"_"&amp;L$52,$B$14:$B$36&amp;"_"&amp;$C$14:$C$36,$D$14:$D$36)*$E828)</f>
        <v>4.2315</v>
      </c>
      <c r="M828" s="95" cm="1">
        <f ca="1" t="array" ref="M828">(1+SUMPRODUCT(G828:H828,OFFSET($H$40:$I$40,D828,0)))*(1+OFFSET($J$40,D828,0))^I828*(1+OFFSET($K$40,D828,0))^J828*(1+OFFSET($L$40,D828,0))^K828*(1+OFFSET($M$40,D828,0))^L828</f>
        <v>160.739337073275</v>
      </c>
      <c r="N828" s="95">
        <f ca="1">MAX(MAX($N$53:N827),OFFSET($C$52,MATCH(M828*1.07,$M$53:$M$2052,1),0)-C828)</f>
        <v>10080</v>
      </c>
    </row>
    <row r="829" spans="2:14">
      <c r="B829" s="95">
        <v>777</v>
      </c>
      <c r="C829" s="95">
        <f t="shared" si="64"/>
        <v>279720</v>
      </c>
      <c r="D829" s="95">
        <f ca="1">_xlfn.XLOOKUP(总览!$B$44,$B$40:$B$45,$C$40:$C$45)</f>
        <v>5</v>
      </c>
      <c r="E829" s="95">
        <f ca="1" t="shared" si="65"/>
        <v>807</v>
      </c>
      <c r="F829" s="95">
        <f ca="1" t="shared" si="66"/>
        <v>0</v>
      </c>
      <c r="G829" s="95">
        <f ca="1" t="shared" si="67"/>
        <v>0</v>
      </c>
      <c r="H829" s="95" cm="1">
        <f ca="1" t="array" ref="H829">MIN(30-SUM(I829:L829),_xlfn.XLOOKUP($D829&amp;"_"&amp;H$52,$B$14:$B$36&amp;"_"&amp;$C$14:$C$36,$D$14:$D$36)*$E829,18)</f>
        <v>15.6879</v>
      </c>
      <c r="I829" s="95" cm="1">
        <f ca="1" t="array" ref="I829">MIN(30-SUM(J829:L829),6-L829,_xlfn.XLOOKUP($D829&amp;"_"&amp;I$52,$B$14:$B$36&amp;"_"&amp;$C$14:$C$36,$D$14:$D$36)*$E829)</f>
        <v>1.76325</v>
      </c>
      <c r="J829" s="95" cm="1">
        <f ca="1" t="array" ref="J829">MIN(8,_xlfn.XLOOKUP($D829&amp;"_"&amp;J$52,$B$14:$B$36&amp;"_"&amp;$C$14:$C$36,$D$14:$D$36)*$E829)</f>
        <v>6.0525</v>
      </c>
      <c r="K829" s="95" cm="1">
        <f ca="1" t="array" ref="K829">MIN(18,_xlfn.XLOOKUP($D829&amp;"_"&amp;K$52,$B$14:$B$36&amp;"_"&amp;$C$14:$C$36,$D$14:$D$36)*$E829)</f>
        <v>2.2596</v>
      </c>
      <c r="L829" s="95" cm="1">
        <f ca="1" t="array" ref="L829">MIN(6,_xlfn.XLOOKUP($D829&amp;"_"&amp;L$52,$B$14:$B$36&amp;"_"&amp;$C$14:$C$36,$D$14:$D$36)*$E829)</f>
        <v>4.23675</v>
      </c>
      <c r="M829" s="95" cm="1">
        <f ca="1" t="array" ref="M829">(1+SUMPRODUCT(G829:H829,OFFSET($H$40:$I$40,D829,0)))*(1+OFFSET($J$40,D829,0))^I829*(1+OFFSET($K$40,D829,0))^J829*(1+OFFSET($L$40,D829,0))^K829*(1+OFFSET($M$40,D829,0))^L829</f>
        <v>161.122521430705</v>
      </c>
      <c r="N829" s="95">
        <f ca="1">MAX(MAX($N$53:N828),OFFSET($C$52,MATCH(M829*1.07,$M$53:$M$2052,1),0)-C829)</f>
        <v>10080</v>
      </c>
    </row>
    <row r="830" spans="2:14">
      <c r="B830" s="95">
        <v>778</v>
      </c>
      <c r="C830" s="95">
        <f t="shared" si="64"/>
        <v>280080</v>
      </c>
      <c r="D830" s="95">
        <f ca="1">_xlfn.XLOOKUP(总览!$B$44,$B$40:$B$45,$C$40:$C$45)</f>
        <v>5</v>
      </c>
      <c r="E830" s="95">
        <f ca="1" t="shared" si="65"/>
        <v>808</v>
      </c>
      <c r="F830" s="95">
        <f ca="1" t="shared" si="66"/>
        <v>0</v>
      </c>
      <c r="G830" s="95">
        <f ca="1" t="shared" si="67"/>
        <v>0</v>
      </c>
      <c r="H830" s="95" cm="1">
        <f ca="1" t="array" ref="H830">MIN(30-SUM(I830:L830),_xlfn.XLOOKUP($D830&amp;"_"&amp;H$52,$B$14:$B$36&amp;"_"&amp;$C$14:$C$36,$D$14:$D$36)*$E830,18)</f>
        <v>15.6776</v>
      </c>
      <c r="I830" s="95" cm="1">
        <f ca="1" t="array" ref="I830">MIN(30-SUM(J830:L830),6-L830,_xlfn.XLOOKUP($D830&amp;"_"&amp;I$52,$B$14:$B$36&amp;"_"&amp;$C$14:$C$36,$D$14:$D$36)*$E830)</f>
        <v>1.758</v>
      </c>
      <c r="J830" s="95" cm="1">
        <f ca="1" t="array" ref="J830">MIN(8,_xlfn.XLOOKUP($D830&amp;"_"&amp;J$52,$B$14:$B$36&amp;"_"&amp;$C$14:$C$36,$D$14:$D$36)*$E830)</f>
        <v>6.06</v>
      </c>
      <c r="K830" s="95" cm="1">
        <f ca="1" t="array" ref="K830">MIN(18,_xlfn.XLOOKUP($D830&amp;"_"&amp;K$52,$B$14:$B$36&amp;"_"&amp;$C$14:$C$36,$D$14:$D$36)*$E830)</f>
        <v>2.2624</v>
      </c>
      <c r="L830" s="95" cm="1">
        <f ca="1" t="array" ref="L830">MIN(6,_xlfn.XLOOKUP($D830&amp;"_"&amp;L$52,$B$14:$B$36&amp;"_"&amp;$C$14:$C$36,$D$14:$D$36)*$E830)</f>
        <v>4.242</v>
      </c>
      <c r="M830" s="95" cm="1">
        <f ca="1" t="array" ref="M830">(1+SUMPRODUCT(G830:H830,OFFSET($H$40:$I$40,D830,0)))*(1+OFFSET($J$40,D830,0))^I830*(1+OFFSET($K$40,D830,0))^J830*(1+OFFSET($L$40,D830,0))^K830*(1+OFFSET($M$40,D830,0))^L830</f>
        <v>161.50657922193</v>
      </c>
      <c r="N830" s="95">
        <f ca="1">MAX(MAX($N$53:N829),OFFSET($C$52,MATCH(M830*1.07,$M$53:$M$2052,1),0)-C830)</f>
        <v>10080</v>
      </c>
    </row>
    <row r="831" spans="2:14">
      <c r="B831" s="95">
        <v>779</v>
      </c>
      <c r="C831" s="95">
        <f t="shared" si="64"/>
        <v>280440</v>
      </c>
      <c r="D831" s="95">
        <f ca="1">_xlfn.XLOOKUP(总览!$B$44,$B$40:$B$45,$C$40:$C$45)</f>
        <v>5</v>
      </c>
      <c r="E831" s="95">
        <f ca="1" t="shared" si="65"/>
        <v>809</v>
      </c>
      <c r="F831" s="95">
        <f ca="1" t="shared" si="66"/>
        <v>0</v>
      </c>
      <c r="G831" s="95">
        <f ca="1" t="shared" si="67"/>
        <v>0</v>
      </c>
      <c r="H831" s="95" cm="1">
        <f ca="1" t="array" ref="H831">MIN(30-SUM(I831:L831),_xlfn.XLOOKUP($D831&amp;"_"&amp;H$52,$B$14:$B$36&amp;"_"&amp;$C$14:$C$36,$D$14:$D$36)*$E831,18)</f>
        <v>15.6673</v>
      </c>
      <c r="I831" s="95" cm="1">
        <f ca="1" t="array" ref="I831">MIN(30-SUM(J831:L831),6-L831,_xlfn.XLOOKUP($D831&amp;"_"&amp;I$52,$B$14:$B$36&amp;"_"&amp;$C$14:$C$36,$D$14:$D$36)*$E831)</f>
        <v>1.75275</v>
      </c>
      <c r="J831" s="95" cm="1">
        <f ca="1" t="array" ref="J831">MIN(8,_xlfn.XLOOKUP($D831&amp;"_"&amp;J$52,$B$14:$B$36&amp;"_"&amp;$C$14:$C$36,$D$14:$D$36)*$E831)</f>
        <v>6.0675</v>
      </c>
      <c r="K831" s="95" cm="1">
        <f ca="1" t="array" ref="K831">MIN(18,_xlfn.XLOOKUP($D831&amp;"_"&amp;K$52,$B$14:$B$36&amp;"_"&amp;$C$14:$C$36,$D$14:$D$36)*$E831)</f>
        <v>2.2652</v>
      </c>
      <c r="L831" s="95" cm="1">
        <f ca="1" t="array" ref="L831">MIN(6,_xlfn.XLOOKUP($D831&amp;"_"&amp;L$52,$B$14:$B$36&amp;"_"&amp;$C$14:$C$36,$D$14:$D$36)*$E831)</f>
        <v>4.24725</v>
      </c>
      <c r="M831" s="95" cm="1">
        <f ca="1" t="array" ref="M831">(1+SUMPRODUCT(G831:H831,OFFSET($H$40:$I$40,D831,0)))*(1+OFFSET($J$40,D831,0))^I831*(1+OFFSET($K$40,D831,0))^J831*(1+OFFSET($L$40,D831,0))^K831*(1+OFFSET($M$40,D831,0))^L831</f>
        <v>161.891512298282</v>
      </c>
      <c r="N831" s="95">
        <f ca="1">MAX(MAX($N$53:N830),OFFSET($C$52,MATCH(M831*1.07,$M$53:$M$2052,1),0)-C831)</f>
        <v>10080</v>
      </c>
    </row>
    <row r="832" spans="2:14">
      <c r="B832" s="95">
        <v>780</v>
      </c>
      <c r="C832" s="95">
        <f t="shared" si="64"/>
        <v>280800</v>
      </c>
      <c r="D832" s="95">
        <f ca="1">_xlfn.XLOOKUP(总览!$B$44,$B$40:$B$45,$C$40:$C$45)</f>
        <v>5</v>
      </c>
      <c r="E832" s="95">
        <f ca="1" t="shared" si="65"/>
        <v>810</v>
      </c>
      <c r="F832" s="95">
        <f ca="1" t="shared" si="66"/>
        <v>0</v>
      </c>
      <c r="G832" s="95">
        <f ca="1" t="shared" si="67"/>
        <v>0</v>
      </c>
      <c r="H832" s="95" cm="1">
        <f ca="1" t="array" ref="H832">MIN(30-SUM(I832:L832),_xlfn.XLOOKUP($D832&amp;"_"&amp;H$52,$B$14:$B$36&amp;"_"&amp;$C$14:$C$36,$D$14:$D$36)*$E832,18)</f>
        <v>15.657</v>
      </c>
      <c r="I832" s="95" cm="1">
        <f ca="1" t="array" ref="I832">MIN(30-SUM(J832:L832),6-L832,_xlfn.XLOOKUP($D832&amp;"_"&amp;I$52,$B$14:$B$36&amp;"_"&amp;$C$14:$C$36,$D$14:$D$36)*$E832)</f>
        <v>1.7475</v>
      </c>
      <c r="J832" s="95" cm="1">
        <f ca="1" t="array" ref="J832">MIN(8,_xlfn.XLOOKUP($D832&amp;"_"&amp;J$52,$B$14:$B$36&amp;"_"&amp;$C$14:$C$36,$D$14:$D$36)*$E832)</f>
        <v>6.075</v>
      </c>
      <c r="K832" s="95" cm="1">
        <f ca="1" t="array" ref="K832">MIN(18,_xlfn.XLOOKUP($D832&amp;"_"&amp;K$52,$B$14:$B$36&amp;"_"&amp;$C$14:$C$36,$D$14:$D$36)*$E832)</f>
        <v>2.268</v>
      </c>
      <c r="L832" s="95" cm="1">
        <f ca="1" t="array" ref="L832">MIN(6,_xlfn.XLOOKUP($D832&amp;"_"&amp;L$52,$B$14:$B$36&amp;"_"&amp;$C$14:$C$36,$D$14:$D$36)*$E832)</f>
        <v>4.2525</v>
      </c>
      <c r="M832" s="95" cm="1">
        <f ca="1" t="array" ref="M832">(1+SUMPRODUCT(G832:H832,OFFSET($H$40:$I$40,D832,0)))*(1+OFFSET($J$40,D832,0))^I832*(1+OFFSET($K$40,D832,0))^J832*(1+OFFSET($L$40,D832,0))^K832*(1+OFFSET($M$40,D832,0))^L832</f>
        <v>162.277322514511</v>
      </c>
      <c r="N832" s="95">
        <f ca="1">MAX(MAX($N$53:N831),OFFSET($C$52,MATCH(M832*1.07,$M$53:$M$2052,1),0)-C832)</f>
        <v>10080</v>
      </c>
    </row>
    <row r="833" spans="2:14">
      <c r="B833" s="95">
        <v>781</v>
      </c>
      <c r="C833" s="95">
        <f t="shared" si="64"/>
        <v>281160</v>
      </c>
      <c r="D833" s="95">
        <f ca="1">_xlfn.XLOOKUP(总览!$B$44,$B$40:$B$45,$C$40:$C$45)</f>
        <v>5</v>
      </c>
      <c r="E833" s="95">
        <f ca="1" t="shared" si="65"/>
        <v>811</v>
      </c>
      <c r="F833" s="95">
        <f ca="1" t="shared" si="66"/>
        <v>0</v>
      </c>
      <c r="G833" s="95">
        <f ca="1" t="shared" si="67"/>
        <v>0</v>
      </c>
      <c r="H833" s="95" cm="1">
        <f ca="1" t="array" ref="H833">MIN(30-SUM(I833:L833),_xlfn.XLOOKUP($D833&amp;"_"&amp;H$52,$B$14:$B$36&amp;"_"&amp;$C$14:$C$36,$D$14:$D$36)*$E833,18)</f>
        <v>15.6467</v>
      </c>
      <c r="I833" s="95" cm="1">
        <f ca="1" t="array" ref="I833">MIN(30-SUM(J833:L833),6-L833,_xlfn.XLOOKUP($D833&amp;"_"&amp;I$52,$B$14:$B$36&amp;"_"&amp;$C$14:$C$36,$D$14:$D$36)*$E833)</f>
        <v>1.74225</v>
      </c>
      <c r="J833" s="95" cm="1">
        <f ca="1" t="array" ref="J833">MIN(8,_xlfn.XLOOKUP($D833&amp;"_"&amp;J$52,$B$14:$B$36&amp;"_"&amp;$C$14:$C$36,$D$14:$D$36)*$E833)</f>
        <v>6.0825</v>
      </c>
      <c r="K833" s="95" cm="1">
        <f ca="1" t="array" ref="K833">MIN(18,_xlfn.XLOOKUP($D833&amp;"_"&amp;K$52,$B$14:$B$36&amp;"_"&amp;$C$14:$C$36,$D$14:$D$36)*$E833)</f>
        <v>2.2708</v>
      </c>
      <c r="L833" s="95" cm="1">
        <f ca="1" t="array" ref="L833">MIN(6,_xlfn.XLOOKUP($D833&amp;"_"&amp;L$52,$B$14:$B$36&amp;"_"&amp;$C$14:$C$36,$D$14:$D$36)*$E833)</f>
        <v>4.25775</v>
      </c>
      <c r="M833" s="95" cm="1">
        <f ca="1" t="array" ref="M833">(1+SUMPRODUCT(G833:H833,OFFSET($H$40:$I$40,D833,0)))*(1+OFFSET($J$40,D833,0))^I833*(1+OFFSET($K$40,D833,0))^J833*(1+OFFSET($L$40,D833,0))^K833*(1+OFFSET($M$40,D833,0))^L833</f>
        <v>162.664011728785</v>
      </c>
      <c r="N833" s="95">
        <f ca="1">MAX(MAX($N$53:N832),OFFSET($C$52,MATCH(M833*1.07,$M$53:$M$2052,1),0)-C833)</f>
        <v>10080</v>
      </c>
    </row>
    <row r="834" spans="2:14">
      <c r="B834" s="95">
        <v>782</v>
      </c>
      <c r="C834" s="95">
        <f t="shared" si="64"/>
        <v>281520</v>
      </c>
      <c r="D834" s="95">
        <f ca="1">_xlfn.XLOOKUP(总览!$B$44,$B$40:$B$45,$C$40:$C$45)</f>
        <v>5</v>
      </c>
      <c r="E834" s="95">
        <f ca="1" t="shared" si="65"/>
        <v>812</v>
      </c>
      <c r="F834" s="95">
        <f ca="1" t="shared" si="66"/>
        <v>0</v>
      </c>
      <c r="G834" s="95">
        <f ca="1" t="shared" si="67"/>
        <v>0</v>
      </c>
      <c r="H834" s="95" cm="1">
        <f ca="1" t="array" ref="H834">MIN(30-SUM(I834:L834),_xlfn.XLOOKUP($D834&amp;"_"&amp;H$52,$B$14:$B$36&amp;"_"&amp;$C$14:$C$36,$D$14:$D$36)*$E834,18)</f>
        <v>15.6364</v>
      </c>
      <c r="I834" s="95" cm="1">
        <f ca="1" t="array" ref="I834">MIN(30-SUM(J834:L834),6-L834,_xlfn.XLOOKUP($D834&amp;"_"&amp;I$52,$B$14:$B$36&amp;"_"&amp;$C$14:$C$36,$D$14:$D$36)*$E834)</f>
        <v>1.737</v>
      </c>
      <c r="J834" s="95" cm="1">
        <f ca="1" t="array" ref="J834">MIN(8,_xlfn.XLOOKUP($D834&amp;"_"&amp;J$52,$B$14:$B$36&amp;"_"&amp;$C$14:$C$36,$D$14:$D$36)*$E834)</f>
        <v>6.09</v>
      </c>
      <c r="K834" s="95" cm="1">
        <f ca="1" t="array" ref="K834">MIN(18,_xlfn.XLOOKUP($D834&amp;"_"&amp;K$52,$B$14:$B$36&amp;"_"&amp;$C$14:$C$36,$D$14:$D$36)*$E834)</f>
        <v>2.2736</v>
      </c>
      <c r="L834" s="95" cm="1">
        <f ca="1" t="array" ref="L834">MIN(6,_xlfn.XLOOKUP($D834&amp;"_"&amp;L$52,$B$14:$B$36&amp;"_"&amp;$C$14:$C$36,$D$14:$D$36)*$E834)</f>
        <v>4.263</v>
      </c>
      <c r="M834" s="95" cm="1">
        <f ca="1" t="array" ref="M834">(1+SUMPRODUCT(G834:H834,OFFSET($H$40:$I$40,D834,0)))*(1+OFFSET($J$40,D834,0))^I834*(1+OFFSET($K$40,D834,0))^J834*(1+OFFSET($L$40,D834,0))^K834*(1+OFFSET($M$40,D834,0))^L834</f>
        <v>163.051581802697</v>
      </c>
      <c r="N834" s="95">
        <f ca="1">MAX(MAX($N$53:N833),OFFSET($C$52,MATCH(M834*1.07,$M$53:$M$2052,1),0)-C834)</f>
        <v>10080</v>
      </c>
    </row>
    <row r="835" spans="2:14">
      <c r="B835" s="95">
        <v>783</v>
      </c>
      <c r="C835" s="95">
        <f t="shared" si="64"/>
        <v>281880</v>
      </c>
      <c r="D835" s="95">
        <f ca="1">_xlfn.XLOOKUP(总览!$B$44,$B$40:$B$45,$C$40:$C$45)</f>
        <v>5</v>
      </c>
      <c r="E835" s="95">
        <f ca="1" t="shared" si="65"/>
        <v>813</v>
      </c>
      <c r="F835" s="95">
        <f ca="1" t="shared" si="66"/>
        <v>0</v>
      </c>
      <c r="G835" s="95">
        <f ca="1" t="shared" si="67"/>
        <v>0</v>
      </c>
      <c r="H835" s="95" cm="1">
        <f ca="1" t="array" ref="H835">MIN(30-SUM(I835:L835),_xlfn.XLOOKUP($D835&amp;"_"&amp;H$52,$B$14:$B$36&amp;"_"&amp;$C$14:$C$36,$D$14:$D$36)*$E835,18)</f>
        <v>15.6261</v>
      </c>
      <c r="I835" s="95" cm="1">
        <f ca="1" t="array" ref="I835">MIN(30-SUM(J835:L835),6-L835,_xlfn.XLOOKUP($D835&amp;"_"&amp;I$52,$B$14:$B$36&amp;"_"&amp;$C$14:$C$36,$D$14:$D$36)*$E835)</f>
        <v>1.73175</v>
      </c>
      <c r="J835" s="95" cm="1">
        <f ca="1" t="array" ref="J835">MIN(8,_xlfn.XLOOKUP($D835&amp;"_"&amp;J$52,$B$14:$B$36&amp;"_"&amp;$C$14:$C$36,$D$14:$D$36)*$E835)</f>
        <v>6.0975</v>
      </c>
      <c r="K835" s="95" cm="1">
        <f ca="1" t="array" ref="K835">MIN(18,_xlfn.XLOOKUP($D835&amp;"_"&amp;K$52,$B$14:$B$36&amp;"_"&amp;$C$14:$C$36,$D$14:$D$36)*$E835)</f>
        <v>2.2764</v>
      </c>
      <c r="L835" s="95" cm="1">
        <f ca="1" t="array" ref="L835">MIN(6,_xlfn.XLOOKUP($D835&amp;"_"&amp;L$52,$B$14:$B$36&amp;"_"&amp;$C$14:$C$36,$D$14:$D$36)*$E835)</f>
        <v>4.26825</v>
      </c>
      <c r="M835" s="95" cm="1">
        <f ca="1" t="array" ref="M835">(1+SUMPRODUCT(G835:H835,OFFSET($H$40:$I$40,D835,0)))*(1+OFFSET($J$40,D835,0))^I835*(1+OFFSET($K$40,D835,0))^J835*(1+OFFSET($L$40,D835,0))^K835*(1+OFFSET($M$40,D835,0))^L835</f>
        <v>163.440034601264</v>
      </c>
      <c r="N835" s="95">
        <f ca="1">MAX(MAX($N$53:N834),OFFSET($C$52,MATCH(M835*1.07,$M$53:$M$2052,1),0)-C835)</f>
        <v>10080</v>
      </c>
    </row>
    <row r="836" spans="2:14">
      <c r="B836" s="95">
        <v>784</v>
      </c>
      <c r="C836" s="95">
        <f t="shared" si="64"/>
        <v>282240</v>
      </c>
      <c r="D836" s="95">
        <f ca="1">_xlfn.XLOOKUP(总览!$B$44,$B$40:$B$45,$C$40:$C$45)</f>
        <v>5</v>
      </c>
      <c r="E836" s="95">
        <f ca="1" t="shared" si="65"/>
        <v>814</v>
      </c>
      <c r="F836" s="95">
        <f ca="1" t="shared" si="66"/>
        <v>0</v>
      </c>
      <c r="G836" s="95">
        <f ca="1" t="shared" si="67"/>
        <v>0</v>
      </c>
      <c r="H836" s="95" cm="1">
        <f ca="1" t="array" ref="H836">MIN(30-SUM(I836:L836),_xlfn.XLOOKUP($D836&amp;"_"&amp;H$52,$B$14:$B$36&amp;"_"&amp;$C$14:$C$36,$D$14:$D$36)*$E836,18)</f>
        <v>15.6158</v>
      </c>
      <c r="I836" s="95" cm="1">
        <f ca="1" t="array" ref="I836">MIN(30-SUM(J836:L836),6-L836,_xlfn.XLOOKUP($D836&amp;"_"&amp;I$52,$B$14:$B$36&amp;"_"&amp;$C$14:$C$36,$D$14:$D$36)*$E836)</f>
        <v>1.7265</v>
      </c>
      <c r="J836" s="95" cm="1">
        <f ca="1" t="array" ref="J836">MIN(8,_xlfn.XLOOKUP($D836&amp;"_"&amp;J$52,$B$14:$B$36&amp;"_"&amp;$C$14:$C$36,$D$14:$D$36)*$E836)</f>
        <v>6.105</v>
      </c>
      <c r="K836" s="95" cm="1">
        <f ca="1" t="array" ref="K836">MIN(18,_xlfn.XLOOKUP($D836&amp;"_"&amp;K$52,$B$14:$B$36&amp;"_"&amp;$C$14:$C$36,$D$14:$D$36)*$E836)</f>
        <v>2.2792</v>
      </c>
      <c r="L836" s="95" cm="1">
        <f ca="1" t="array" ref="L836">MIN(6,_xlfn.XLOOKUP($D836&amp;"_"&amp;L$52,$B$14:$B$36&amp;"_"&amp;$C$14:$C$36,$D$14:$D$36)*$E836)</f>
        <v>4.2735</v>
      </c>
      <c r="M836" s="95" cm="1">
        <f ca="1" t="array" ref="M836">(1+SUMPRODUCT(G836:H836,OFFSET($H$40:$I$40,D836,0)))*(1+OFFSET($J$40,D836,0))^I836*(1+OFFSET($K$40,D836,0))^J836*(1+OFFSET($L$40,D836,0))^K836*(1+OFFSET($M$40,D836,0))^L836</f>
        <v>163.829371992942</v>
      </c>
      <c r="N836" s="95">
        <f ca="1">MAX(MAX($N$53:N835),OFFSET($C$52,MATCH(M836*1.07,$M$53:$M$2052,1),0)-C836)</f>
        <v>10080</v>
      </c>
    </row>
    <row r="837" spans="2:14">
      <c r="B837" s="95">
        <v>785</v>
      </c>
      <c r="C837" s="95">
        <f t="shared" si="64"/>
        <v>282600</v>
      </c>
      <c r="D837" s="95">
        <f ca="1">_xlfn.XLOOKUP(总览!$B$44,$B$40:$B$45,$C$40:$C$45)</f>
        <v>5</v>
      </c>
      <c r="E837" s="95">
        <f ca="1" t="shared" si="65"/>
        <v>815</v>
      </c>
      <c r="F837" s="95">
        <f ca="1" t="shared" si="66"/>
        <v>0</v>
      </c>
      <c r="G837" s="95">
        <f ca="1" t="shared" si="67"/>
        <v>0</v>
      </c>
      <c r="H837" s="95" cm="1">
        <f ca="1" t="array" ref="H837">MIN(30-SUM(I837:L837),_xlfn.XLOOKUP($D837&amp;"_"&amp;H$52,$B$14:$B$36&amp;"_"&amp;$C$14:$C$36,$D$14:$D$36)*$E837,18)</f>
        <v>15.6055</v>
      </c>
      <c r="I837" s="95" cm="1">
        <f ca="1" t="array" ref="I837">MIN(30-SUM(J837:L837),6-L837,_xlfn.XLOOKUP($D837&amp;"_"&amp;I$52,$B$14:$B$36&amp;"_"&amp;$C$14:$C$36,$D$14:$D$36)*$E837)</f>
        <v>1.72125</v>
      </c>
      <c r="J837" s="95" cm="1">
        <f ca="1" t="array" ref="J837">MIN(8,_xlfn.XLOOKUP($D837&amp;"_"&amp;J$52,$B$14:$B$36&amp;"_"&amp;$C$14:$C$36,$D$14:$D$36)*$E837)</f>
        <v>6.1125</v>
      </c>
      <c r="K837" s="95" cm="1">
        <f ca="1" t="array" ref="K837">MIN(18,_xlfn.XLOOKUP($D837&amp;"_"&amp;K$52,$B$14:$B$36&amp;"_"&amp;$C$14:$C$36,$D$14:$D$36)*$E837)</f>
        <v>2.282</v>
      </c>
      <c r="L837" s="95" cm="1">
        <f ca="1" t="array" ref="L837">MIN(6,_xlfn.XLOOKUP($D837&amp;"_"&amp;L$52,$B$14:$B$36&amp;"_"&amp;$C$14:$C$36,$D$14:$D$36)*$E837)</f>
        <v>4.27875</v>
      </c>
      <c r="M837" s="95" cm="1">
        <f ca="1" t="array" ref="M837">(1+SUMPRODUCT(G837:H837,OFFSET($H$40:$I$40,D837,0)))*(1+OFFSET($J$40,D837,0))^I837*(1+OFFSET($K$40,D837,0))^J837*(1+OFFSET($L$40,D837,0))^K837*(1+OFFSET($M$40,D837,0))^L837</f>
        <v>164.219595849617</v>
      </c>
      <c r="N837" s="95">
        <f ca="1">MAX(MAX($N$53:N836),OFFSET($C$52,MATCH(M837*1.07,$M$53:$M$2052,1),0)-C837)</f>
        <v>10080</v>
      </c>
    </row>
    <row r="838" spans="2:14">
      <c r="B838" s="95">
        <v>786</v>
      </c>
      <c r="C838" s="95">
        <f t="shared" si="64"/>
        <v>282960</v>
      </c>
      <c r="D838" s="95">
        <f ca="1">_xlfn.XLOOKUP(总览!$B$44,$B$40:$B$45,$C$40:$C$45)</f>
        <v>5</v>
      </c>
      <c r="E838" s="95">
        <f ca="1" t="shared" si="65"/>
        <v>816</v>
      </c>
      <c r="F838" s="95">
        <f ca="1" t="shared" si="66"/>
        <v>0</v>
      </c>
      <c r="G838" s="95">
        <f ca="1" t="shared" si="67"/>
        <v>0</v>
      </c>
      <c r="H838" s="95" cm="1">
        <f ca="1" t="array" ref="H838">MIN(30-SUM(I838:L838),_xlfn.XLOOKUP($D838&amp;"_"&amp;H$52,$B$14:$B$36&amp;"_"&amp;$C$14:$C$36,$D$14:$D$36)*$E838,18)</f>
        <v>15.5952</v>
      </c>
      <c r="I838" s="95" cm="1">
        <f ca="1" t="array" ref="I838">MIN(30-SUM(J838:L838),6-L838,_xlfn.XLOOKUP($D838&amp;"_"&amp;I$52,$B$14:$B$36&amp;"_"&amp;$C$14:$C$36,$D$14:$D$36)*$E838)</f>
        <v>1.716</v>
      </c>
      <c r="J838" s="95" cm="1">
        <f ca="1" t="array" ref="J838">MIN(8,_xlfn.XLOOKUP($D838&amp;"_"&amp;J$52,$B$14:$B$36&amp;"_"&amp;$C$14:$C$36,$D$14:$D$36)*$E838)</f>
        <v>6.12</v>
      </c>
      <c r="K838" s="95" cm="1">
        <f ca="1" t="array" ref="K838">MIN(18,_xlfn.XLOOKUP($D838&amp;"_"&amp;K$52,$B$14:$B$36&amp;"_"&amp;$C$14:$C$36,$D$14:$D$36)*$E838)</f>
        <v>2.2848</v>
      </c>
      <c r="L838" s="95" cm="1">
        <f ca="1" t="array" ref="L838">MIN(6,_xlfn.XLOOKUP($D838&amp;"_"&amp;L$52,$B$14:$B$36&amp;"_"&amp;$C$14:$C$36,$D$14:$D$36)*$E838)</f>
        <v>4.284</v>
      </c>
      <c r="M838" s="95" cm="1">
        <f ca="1" t="array" ref="M838">(1+SUMPRODUCT(G838:H838,OFFSET($H$40:$I$40,D838,0)))*(1+OFFSET($J$40,D838,0))^I838*(1+OFFSET($K$40,D838,0))^J838*(1+OFFSET($L$40,D838,0))^K838*(1+OFFSET($M$40,D838,0))^L838</f>
        <v>164.61070804662</v>
      </c>
      <c r="N838" s="95">
        <f ca="1">MAX(MAX($N$53:N837),OFFSET($C$52,MATCH(M838*1.07,$M$53:$M$2052,1),0)-C838)</f>
        <v>10080</v>
      </c>
    </row>
    <row r="839" spans="2:14">
      <c r="B839" s="95">
        <v>787</v>
      </c>
      <c r="C839" s="95">
        <f t="shared" si="64"/>
        <v>283320</v>
      </c>
      <c r="D839" s="95">
        <f ca="1">_xlfn.XLOOKUP(总览!$B$44,$B$40:$B$45,$C$40:$C$45)</f>
        <v>5</v>
      </c>
      <c r="E839" s="95">
        <f ca="1" t="shared" si="65"/>
        <v>817</v>
      </c>
      <c r="F839" s="95">
        <f ca="1" t="shared" si="66"/>
        <v>0</v>
      </c>
      <c r="G839" s="95">
        <f ca="1" t="shared" si="67"/>
        <v>0</v>
      </c>
      <c r="H839" s="95" cm="1">
        <f ca="1" t="array" ref="H839">MIN(30-SUM(I839:L839),_xlfn.XLOOKUP($D839&amp;"_"&amp;H$52,$B$14:$B$36&amp;"_"&amp;$C$14:$C$36,$D$14:$D$36)*$E839,18)</f>
        <v>15.5849</v>
      </c>
      <c r="I839" s="95" cm="1">
        <f ca="1" t="array" ref="I839">MIN(30-SUM(J839:L839),6-L839,_xlfn.XLOOKUP($D839&amp;"_"&amp;I$52,$B$14:$B$36&amp;"_"&amp;$C$14:$C$36,$D$14:$D$36)*$E839)</f>
        <v>1.71075</v>
      </c>
      <c r="J839" s="95" cm="1">
        <f ca="1" t="array" ref="J839">MIN(8,_xlfn.XLOOKUP($D839&amp;"_"&amp;J$52,$B$14:$B$36&amp;"_"&amp;$C$14:$C$36,$D$14:$D$36)*$E839)</f>
        <v>6.1275</v>
      </c>
      <c r="K839" s="95" cm="1">
        <f ca="1" t="array" ref="K839">MIN(18,_xlfn.XLOOKUP($D839&amp;"_"&amp;K$52,$B$14:$B$36&amp;"_"&amp;$C$14:$C$36,$D$14:$D$36)*$E839)</f>
        <v>2.2876</v>
      </c>
      <c r="L839" s="95" cm="1">
        <f ca="1" t="array" ref="L839">MIN(6,_xlfn.XLOOKUP($D839&amp;"_"&amp;L$52,$B$14:$B$36&amp;"_"&amp;$C$14:$C$36,$D$14:$D$36)*$E839)</f>
        <v>4.28925</v>
      </c>
      <c r="M839" s="95" cm="1">
        <f ca="1" t="array" ref="M839">(1+SUMPRODUCT(G839:H839,OFFSET($H$40:$I$40,D839,0)))*(1+OFFSET($J$40,D839,0))^I839*(1+OFFSET($K$40,D839,0))^J839*(1+OFFSET($L$40,D839,0))^K839*(1+OFFSET($M$40,D839,0))^L839</f>
        <v>165.002710462727</v>
      </c>
      <c r="N839" s="95">
        <f ca="1">MAX(MAX($N$53:N838),OFFSET($C$52,MATCH(M839*1.07,$M$53:$M$2052,1),0)-C839)</f>
        <v>10080</v>
      </c>
    </row>
    <row r="840" spans="2:14">
      <c r="B840" s="95">
        <v>788</v>
      </c>
      <c r="C840" s="95">
        <f t="shared" ref="C840:C903" si="68">C839+360</f>
        <v>283680</v>
      </c>
      <c r="D840" s="95">
        <f ca="1">_xlfn.XLOOKUP(总览!$B$44,$B$40:$B$45,$C$40:$C$45)</f>
        <v>5</v>
      </c>
      <c r="E840" s="95">
        <f ca="1" t="shared" si="65"/>
        <v>818</v>
      </c>
      <c r="F840" s="95">
        <f ca="1" t="shared" si="66"/>
        <v>0</v>
      </c>
      <c r="G840" s="95">
        <f ca="1" t="shared" si="67"/>
        <v>0</v>
      </c>
      <c r="H840" s="95" cm="1">
        <f ca="1" t="array" ref="H840">MIN(30-SUM(I840:L840),_xlfn.XLOOKUP($D840&amp;"_"&amp;H$52,$B$14:$B$36&amp;"_"&amp;$C$14:$C$36,$D$14:$D$36)*$E840,18)</f>
        <v>15.5746</v>
      </c>
      <c r="I840" s="95" cm="1">
        <f ca="1" t="array" ref="I840">MIN(30-SUM(J840:L840),6-L840,_xlfn.XLOOKUP($D840&amp;"_"&amp;I$52,$B$14:$B$36&amp;"_"&amp;$C$14:$C$36,$D$14:$D$36)*$E840)</f>
        <v>1.7055</v>
      </c>
      <c r="J840" s="95" cm="1">
        <f ca="1" t="array" ref="J840">MIN(8,_xlfn.XLOOKUP($D840&amp;"_"&amp;J$52,$B$14:$B$36&amp;"_"&amp;$C$14:$C$36,$D$14:$D$36)*$E840)</f>
        <v>6.135</v>
      </c>
      <c r="K840" s="95" cm="1">
        <f ca="1" t="array" ref="K840">MIN(18,_xlfn.XLOOKUP($D840&amp;"_"&amp;K$52,$B$14:$B$36&amp;"_"&amp;$C$14:$C$36,$D$14:$D$36)*$E840)</f>
        <v>2.2904</v>
      </c>
      <c r="L840" s="95" cm="1">
        <f ca="1" t="array" ref="L840">MIN(6,_xlfn.XLOOKUP($D840&amp;"_"&amp;L$52,$B$14:$B$36&amp;"_"&amp;$C$14:$C$36,$D$14:$D$36)*$E840)</f>
        <v>4.2945</v>
      </c>
      <c r="M840" s="95" cm="1">
        <f ca="1" t="array" ref="M840">(1+SUMPRODUCT(G840:H840,OFFSET($H$40:$I$40,D840,0)))*(1+OFFSET($J$40,D840,0))^I840*(1+OFFSET($K$40,D840,0))^J840*(1+OFFSET($L$40,D840,0))^K840*(1+OFFSET($M$40,D840,0))^L840</f>
        <v>165.395604980161</v>
      </c>
      <c r="N840" s="95">
        <f ca="1">MAX(MAX($N$53:N839),OFFSET($C$52,MATCH(M840*1.07,$M$53:$M$2052,1),0)-C840)</f>
        <v>10080</v>
      </c>
    </row>
    <row r="841" spans="2:14">
      <c r="B841" s="95">
        <v>789</v>
      </c>
      <c r="C841" s="95">
        <f t="shared" si="68"/>
        <v>284040</v>
      </c>
      <c r="D841" s="95">
        <f ca="1">_xlfn.XLOOKUP(总览!$B$44,$B$40:$B$45,$C$40:$C$45)</f>
        <v>5</v>
      </c>
      <c r="E841" s="95">
        <f ca="1" t="shared" si="65"/>
        <v>819</v>
      </c>
      <c r="F841" s="95">
        <f ca="1" t="shared" si="66"/>
        <v>0</v>
      </c>
      <c r="G841" s="95">
        <f ca="1" t="shared" si="67"/>
        <v>0</v>
      </c>
      <c r="H841" s="95" cm="1">
        <f ca="1" t="array" ref="H841">MIN(30-SUM(I841:L841),_xlfn.XLOOKUP($D841&amp;"_"&amp;H$52,$B$14:$B$36&amp;"_"&amp;$C$14:$C$36,$D$14:$D$36)*$E841,18)</f>
        <v>15.5643</v>
      </c>
      <c r="I841" s="95" cm="1">
        <f ca="1" t="array" ref="I841">MIN(30-SUM(J841:L841),6-L841,_xlfn.XLOOKUP($D841&amp;"_"&amp;I$52,$B$14:$B$36&amp;"_"&amp;$C$14:$C$36,$D$14:$D$36)*$E841)</f>
        <v>1.70025</v>
      </c>
      <c r="J841" s="95" cm="1">
        <f ca="1" t="array" ref="J841">MIN(8,_xlfn.XLOOKUP($D841&amp;"_"&amp;J$52,$B$14:$B$36&amp;"_"&amp;$C$14:$C$36,$D$14:$D$36)*$E841)</f>
        <v>6.1425</v>
      </c>
      <c r="K841" s="95" cm="1">
        <f ca="1" t="array" ref="K841">MIN(18,_xlfn.XLOOKUP($D841&amp;"_"&amp;K$52,$B$14:$B$36&amp;"_"&amp;$C$14:$C$36,$D$14:$D$36)*$E841)</f>
        <v>2.2932</v>
      </c>
      <c r="L841" s="95" cm="1">
        <f ca="1" t="array" ref="L841">MIN(6,_xlfn.XLOOKUP($D841&amp;"_"&amp;L$52,$B$14:$B$36&amp;"_"&amp;$C$14:$C$36,$D$14:$D$36)*$E841)</f>
        <v>4.29975</v>
      </c>
      <c r="M841" s="95" cm="1">
        <f ca="1" t="array" ref="M841">(1+SUMPRODUCT(G841:H841,OFFSET($H$40:$I$40,D841,0)))*(1+OFFSET($J$40,D841,0))^I841*(1+OFFSET($K$40,D841,0))^J841*(1+OFFSET($L$40,D841,0))^K841*(1+OFFSET($M$40,D841,0))^L841</f>
        <v>165.789393484602</v>
      </c>
      <c r="N841" s="95">
        <f ca="1">MAX(MAX($N$53:N840),OFFSET($C$52,MATCH(M841*1.07,$M$53:$M$2052,1),0)-C841)</f>
        <v>10080</v>
      </c>
    </row>
    <row r="842" spans="2:14">
      <c r="B842" s="95">
        <v>790</v>
      </c>
      <c r="C842" s="95">
        <f t="shared" si="68"/>
        <v>284400</v>
      </c>
      <c r="D842" s="95">
        <f ca="1">_xlfn.XLOOKUP(总览!$B$44,$B$40:$B$45,$C$40:$C$45)</f>
        <v>5</v>
      </c>
      <c r="E842" s="95">
        <f ca="1" t="shared" si="65"/>
        <v>820</v>
      </c>
      <c r="F842" s="95">
        <f ca="1" t="shared" si="66"/>
        <v>0</v>
      </c>
      <c r="G842" s="95">
        <f ca="1" t="shared" si="67"/>
        <v>0</v>
      </c>
      <c r="H842" s="95" cm="1">
        <f ca="1" t="array" ref="H842">MIN(30-SUM(I842:L842),_xlfn.XLOOKUP($D842&amp;"_"&amp;H$52,$B$14:$B$36&amp;"_"&amp;$C$14:$C$36,$D$14:$D$36)*$E842,18)</f>
        <v>15.554</v>
      </c>
      <c r="I842" s="95" cm="1">
        <f ca="1" t="array" ref="I842">MIN(30-SUM(J842:L842),6-L842,_xlfn.XLOOKUP($D842&amp;"_"&amp;I$52,$B$14:$B$36&amp;"_"&amp;$C$14:$C$36,$D$14:$D$36)*$E842)</f>
        <v>1.695</v>
      </c>
      <c r="J842" s="95" cm="1">
        <f ca="1" t="array" ref="J842">MIN(8,_xlfn.XLOOKUP($D842&amp;"_"&amp;J$52,$B$14:$B$36&amp;"_"&amp;$C$14:$C$36,$D$14:$D$36)*$E842)</f>
        <v>6.15</v>
      </c>
      <c r="K842" s="95" cm="1">
        <f ca="1" t="array" ref="K842">MIN(18,_xlfn.XLOOKUP($D842&amp;"_"&amp;K$52,$B$14:$B$36&amp;"_"&amp;$C$14:$C$36,$D$14:$D$36)*$E842)</f>
        <v>2.296</v>
      </c>
      <c r="L842" s="95" cm="1">
        <f ca="1" t="array" ref="L842">MIN(6,_xlfn.XLOOKUP($D842&amp;"_"&amp;L$52,$B$14:$B$36&amp;"_"&amp;$C$14:$C$36,$D$14:$D$36)*$E842)</f>
        <v>4.305</v>
      </c>
      <c r="M842" s="95" cm="1">
        <f ca="1" t="array" ref="M842">(1+SUMPRODUCT(G842:H842,OFFSET($H$40:$I$40,D842,0)))*(1+OFFSET($J$40,D842,0))^I842*(1+OFFSET($K$40,D842,0))^J842*(1+OFFSET($L$40,D842,0))^K842*(1+OFFSET($M$40,D842,0))^L842</f>
        <v>166.184077865185</v>
      </c>
      <c r="N842" s="95">
        <f ca="1">MAX(MAX($N$53:N841),OFFSET($C$52,MATCH(M842*1.07,$M$53:$M$2052,1),0)-C842)</f>
        <v>10080</v>
      </c>
    </row>
    <row r="843" spans="2:14">
      <c r="B843" s="95">
        <v>791</v>
      </c>
      <c r="C843" s="95">
        <f t="shared" si="68"/>
        <v>284760</v>
      </c>
      <c r="D843" s="95">
        <f ca="1">_xlfn.XLOOKUP(总览!$B$44,$B$40:$B$45,$C$40:$C$45)</f>
        <v>5</v>
      </c>
      <c r="E843" s="95">
        <f ca="1" t="shared" si="65"/>
        <v>821</v>
      </c>
      <c r="F843" s="95">
        <f ca="1" t="shared" si="66"/>
        <v>0</v>
      </c>
      <c r="G843" s="95">
        <f ca="1" t="shared" si="67"/>
        <v>0</v>
      </c>
      <c r="H843" s="95" cm="1">
        <f ca="1" t="array" ref="H843">MIN(30-SUM(I843:L843),_xlfn.XLOOKUP($D843&amp;"_"&amp;H$52,$B$14:$B$36&amp;"_"&amp;$C$14:$C$36,$D$14:$D$36)*$E843,18)</f>
        <v>15.5437</v>
      </c>
      <c r="I843" s="95" cm="1">
        <f ca="1" t="array" ref="I843">MIN(30-SUM(J843:L843),6-L843,_xlfn.XLOOKUP($D843&amp;"_"&amp;I$52,$B$14:$B$36&amp;"_"&amp;$C$14:$C$36,$D$14:$D$36)*$E843)</f>
        <v>1.68975</v>
      </c>
      <c r="J843" s="95" cm="1">
        <f ca="1" t="array" ref="J843">MIN(8,_xlfn.XLOOKUP($D843&amp;"_"&amp;J$52,$B$14:$B$36&amp;"_"&amp;$C$14:$C$36,$D$14:$D$36)*$E843)</f>
        <v>6.1575</v>
      </c>
      <c r="K843" s="95" cm="1">
        <f ca="1" t="array" ref="K843">MIN(18,_xlfn.XLOOKUP($D843&amp;"_"&amp;K$52,$B$14:$B$36&amp;"_"&amp;$C$14:$C$36,$D$14:$D$36)*$E843)</f>
        <v>2.2988</v>
      </c>
      <c r="L843" s="95" cm="1">
        <f ca="1" t="array" ref="L843">MIN(6,_xlfn.XLOOKUP($D843&amp;"_"&amp;L$52,$B$14:$B$36&amp;"_"&amp;$C$14:$C$36,$D$14:$D$36)*$E843)</f>
        <v>4.31025</v>
      </c>
      <c r="M843" s="95" cm="1">
        <f ca="1" t="array" ref="M843">(1+SUMPRODUCT(G843:H843,OFFSET($H$40:$I$40,D843,0)))*(1+OFFSET($J$40,D843,0))^I843*(1+OFFSET($K$40,D843,0))^J843*(1+OFFSET($L$40,D843,0))^K843*(1+OFFSET($M$40,D843,0))^L843</f>
        <v>166.579660014509</v>
      </c>
      <c r="N843" s="95">
        <f ca="1">MAX(MAX($N$53:N842),OFFSET($C$52,MATCH(M843*1.07,$M$53:$M$2052,1),0)-C843)</f>
        <v>10080</v>
      </c>
    </row>
    <row r="844" spans="2:14">
      <c r="B844" s="95">
        <v>792</v>
      </c>
      <c r="C844" s="95">
        <f t="shared" si="68"/>
        <v>285120</v>
      </c>
      <c r="D844" s="95">
        <f ca="1">_xlfn.XLOOKUP(总览!$B$44,$B$40:$B$45,$C$40:$C$45)</f>
        <v>5</v>
      </c>
      <c r="E844" s="95">
        <f ca="1" t="shared" si="65"/>
        <v>822</v>
      </c>
      <c r="F844" s="95">
        <f ca="1" t="shared" si="66"/>
        <v>0</v>
      </c>
      <c r="G844" s="95">
        <f ca="1" t="shared" si="67"/>
        <v>0</v>
      </c>
      <c r="H844" s="95" cm="1">
        <f ca="1" t="array" ref="H844">MIN(30-SUM(I844:L844),_xlfn.XLOOKUP($D844&amp;"_"&amp;H$52,$B$14:$B$36&amp;"_"&amp;$C$14:$C$36,$D$14:$D$36)*$E844,18)</f>
        <v>15.5334</v>
      </c>
      <c r="I844" s="95" cm="1">
        <f ca="1" t="array" ref="I844">MIN(30-SUM(J844:L844),6-L844,_xlfn.XLOOKUP($D844&amp;"_"&amp;I$52,$B$14:$B$36&amp;"_"&amp;$C$14:$C$36,$D$14:$D$36)*$E844)</f>
        <v>1.6845</v>
      </c>
      <c r="J844" s="95" cm="1">
        <f ca="1" t="array" ref="J844">MIN(8,_xlfn.XLOOKUP($D844&amp;"_"&amp;J$52,$B$14:$B$36&amp;"_"&amp;$C$14:$C$36,$D$14:$D$36)*$E844)</f>
        <v>6.165</v>
      </c>
      <c r="K844" s="95" cm="1">
        <f ca="1" t="array" ref="K844">MIN(18,_xlfn.XLOOKUP($D844&amp;"_"&amp;K$52,$B$14:$B$36&amp;"_"&amp;$C$14:$C$36,$D$14:$D$36)*$E844)</f>
        <v>2.3016</v>
      </c>
      <c r="L844" s="95" cm="1">
        <f ca="1" t="array" ref="L844">MIN(6,_xlfn.XLOOKUP($D844&amp;"_"&amp;L$52,$B$14:$B$36&amp;"_"&amp;$C$14:$C$36,$D$14:$D$36)*$E844)</f>
        <v>4.3155</v>
      </c>
      <c r="M844" s="95" cm="1">
        <f ca="1" t="array" ref="M844">(1+SUMPRODUCT(G844:H844,OFFSET($H$40:$I$40,D844,0)))*(1+OFFSET($J$40,D844,0))^I844*(1+OFFSET($K$40,D844,0))^J844*(1+OFFSET($L$40,D844,0))^K844*(1+OFFSET($M$40,D844,0))^L844</f>
        <v>166.976141828639</v>
      </c>
      <c r="N844" s="95">
        <f ca="1">MAX(MAX($N$53:N843),OFFSET($C$52,MATCH(M844*1.07,$M$53:$M$2052,1),0)-C844)</f>
        <v>10080</v>
      </c>
    </row>
    <row r="845" spans="2:14">
      <c r="B845" s="95">
        <v>793</v>
      </c>
      <c r="C845" s="95">
        <f t="shared" si="68"/>
        <v>285480</v>
      </c>
      <c r="D845" s="95">
        <f ca="1">_xlfn.XLOOKUP(总览!$B$44,$B$40:$B$45,$C$40:$C$45)</f>
        <v>5</v>
      </c>
      <c r="E845" s="95">
        <f ca="1" t="shared" si="65"/>
        <v>823</v>
      </c>
      <c r="F845" s="95">
        <f ca="1" t="shared" si="66"/>
        <v>0</v>
      </c>
      <c r="G845" s="95">
        <f ca="1" t="shared" si="67"/>
        <v>0</v>
      </c>
      <c r="H845" s="95" cm="1">
        <f ca="1" t="array" ref="H845">MIN(30-SUM(I845:L845),_xlfn.XLOOKUP($D845&amp;"_"&amp;H$52,$B$14:$B$36&amp;"_"&amp;$C$14:$C$36,$D$14:$D$36)*$E845,18)</f>
        <v>15.5231</v>
      </c>
      <c r="I845" s="95" cm="1">
        <f ca="1" t="array" ref="I845">MIN(30-SUM(J845:L845),6-L845,_xlfn.XLOOKUP($D845&amp;"_"&amp;I$52,$B$14:$B$36&amp;"_"&amp;$C$14:$C$36,$D$14:$D$36)*$E845)</f>
        <v>1.67925</v>
      </c>
      <c r="J845" s="95" cm="1">
        <f ca="1" t="array" ref="J845">MIN(8,_xlfn.XLOOKUP($D845&amp;"_"&amp;J$52,$B$14:$B$36&amp;"_"&amp;$C$14:$C$36,$D$14:$D$36)*$E845)</f>
        <v>6.1725</v>
      </c>
      <c r="K845" s="95" cm="1">
        <f ca="1" t="array" ref="K845">MIN(18,_xlfn.XLOOKUP($D845&amp;"_"&amp;K$52,$B$14:$B$36&amp;"_"&amp;$C$14:$C$36,$D$14:$D$36)*$E845)</f>
        <v>2.3044</v>
      </c>
      <c r="L845" s="95" cm="1">
        <f ca="1" t="array" ref="L845">MIN(6,_xlfn.XLOOKUP($D845&amp;"_"&amp;L$52,$B$14:$B$36&amp;"_"&amp;$C$14:$C$36,$D$14:$D$36)*$E845)</f>
        <v>4.32075</v>
      </c>
      <c r="M845" s="95" cm="1">
        <f ca="1" t="array" ref="M845">(1+SUMPRODUCT(G845:H845,OFFSET($H$40:$I$40,D845,0)))*(1+OFFSET($J$40,D845,0))^I845*(1+OFFSET($K$40,D845,0))^J845*(1+OFFSET($L$40,D845,0))^K845*(1+OFFSET($M$40,D845,0))^L845</f>
        <v>167.373525207112</v>
      </c>
      <c r="N845" s="95">
        <f ca="1">MAX(MAX($N$53:N844),OFFSET($C$52,MATCH(M845*1.07,$M$53:$M$2052,1),0)-C845)</f>
        <v>10080</v>
      </c>
    </row>
    <row r="846" spans="2:14">
      <c r="B846" s="95">
        <v>794</v>
      </c>
      <c r="C846" s="95">
        <f t="shared" si="68"/>
        <v>285840</v>
      </c>
      <c r="D846" s="95">
        <f ca="1">_xlfn.XLOOKUP(总览!$B$44,$B$40:$B$45,$C$40:$C$45)</f>
        <v>5</v>
      </c>
      <c r="E846" s="95">
        <f ca="1" t="shared" si="65"/>
        <v>824</v>
      </c>
      <c r="F846" s="95">
        <f ca="1" t="shared" si="66"/>
        <v>0</v>
      </c>
      <c r="G846" s="95">
        <f ca="1" t="shared" si="67"/>
        <v>0</v>
      </c>
      <c r="H846" s="95" cm="1">
        <f ca="1" t="array" ref="H846">MIN(30-SUM(I846:L846),_xlfn.XLOOKUP($D846&amp;"_"&amp;H$52,$B$14:$B$36&amp;"_"&amp;$C$14:$C$36,$D$14:$D$36)*$E846,18)</f>
        <v>15.5128</v>
      </c>
      <c r="I846" s="95" cm="1">
        <f ca="1" t="array" ref="I846">MIN(30-SUM(J846:L846),6-L846,_xlfn.XLOOKUP($D846&amp;"_"&amp;I$52,$B$14:$B$36&amp;"_"&amp;$C$14:$C$36,$D$14:$D$36)*$E846)</f>
        <v>1.674</v>
      </c>
      <c r="J846" s="95" cm="1">
        <f ca="1" t="array" ref="J846">MIN(8,_xlfn.XLOOKUP($D846&amp;"_"&amp;J$52,$B$14:$B$36&amp;"_"&amp;$C$14:$C$36,$D$14:$D$36)*$E846)</f>
        <v>6.18</v>
      </c>
      <c r="K846" s="95" cm="1">
        <f ca="1" t="array" ref="K846">MIN(18,_xlfn.XLOOKUP($D846&amp;"_"&amp;K$52,$B$14:$B$36&amp;"_"&amp;$C$14:$C$36,$D$14:$D$36)*$E846)</f>
        <v>2.3072</v>
      </c>
      <c r="L846" s="95" cm="1">
        <f ca="1" t="array" ref="L846">MIN(6,_xlfn.XLOOKUP($D846&amp;"_"&amp;L$52,$B$14:$B$36&amp;"_"&amp;$C$14:$C$36,$D$14:$D$36)*$E846)</f>
        <v>4.326</v>
      </c>
      <c r="M846" s="95" cm="1">
        <f ca="1" t="array" ref="M846">(1+SUMPRODUCT(G846:H846,OFFSET($H$40:$I$40,D846,0)))*(1+OFFSET($J$40,D846,0))^I846*(1+OFFSET($K$40,D846,0))^J846*(1+OFFSET($L$40,D846,0))^K846*(1+OFFSET($M$40,D846,0))^L846</f>
        <v>167.771812052938</v>
      </c>
      <c r="N846" s="95">
        <f ca="1">MAX(MAX($N$53:N845),OFFSET($C$52,MATCH(M846*1.07,$M$53:$M$2052,1),0)-C846)</f>
        <v>10080</v>
      </c>
    </row>
    <row r="847" spans="2:14">
      <c r="B847" s="95">
        <v>795</v>
      </c>
      <c r="C847" s="95">
        <f t="shared" si="68"/>
        <v>286200</v>
      </c>
      <c r="D847" s="95">
        <f ca="1">_xlfn.XLOOKUP(总览!$B$44,$B$40:$B$45,$C$40:$C$45)</f>
        <v>5</v>
      </c>
      <c r="E847" s="95">
        <f ca="1" t="shared" si="65"/>
        <v>825</v>
      </c>
      <c r="F847" s="95">
        <f ca="1" t="shared" si="66"/>
        <v>0</v>
      </c>
      <c r="G847" s="95">
        <f ca="1" t="shared" si="67"/>
        <v>0</v>
      </c>
      <c r="H847" s="95" cm="1">
        <f ca="1" t="array" ref="H847">MIN(30-SUM(I847:L847),_xlfn.XLOOKUP($D847&amp;"_"&amp;H$52,$B$14:$B$36&amp;"_"&amp;$C$14:$C$36,$D$14:$D$36)*$E847,18)</f>
        <v>15.5025</v>
      </c>
      <c r="I847" s="95" cm="1">
        <f ca="1" t="array" ref="I847">MIN(30-SUM(J847:L847),6-L847,_xlfn.XLOOKUP($D847&amp;"_"&amp;I$52,$B$14:$B$36&amp;"_"&amp;$C$14:$C$36,$D$14:$D$36)*$E847)</f>
        <v>1.66875</v>
      </c>
      <c r="J847" s="95" cm="1">
        <f ca="1" t="array" ref="J847">MIN(8,_xlfn.XLOOKUP($D847&amp;"_"&amp;J$52,$B$14:$B$36&amp;"_"&amp;$C$14:$C$36,$D$14:$D$36)*$E847)</f>
        <v>6.1875</v>
      </c>
      <c r="K847" s="95" cm="1">
        <f ca="1" t="array" ref="K847">MIN(18,_xlfn.XLOOKUP($D847&amp;"_"&amp;K$52,$B$14:$B$36&amp;"_"&amp;$C$14:$C$36,$D$14:$D$36)*$E847)</f>
        <v>2.31</v>
      </c>
      <c r="L847" s="95" cm="1">
        <f ca="1" t="array" ref="L847">MIN(6,_xlfn.XLOOKUP($D847&amp;"_"&amp;L$52,$B$14:$B$36&amp;"_"&amp;$C$14:$C$36,$D$14:$D$36)*$E847)</f>
        <v>4.33125</v>
      </c>
      <c r="M847" s="95" cm="1">
        <f ca="1" t="array" ref="M847">(1+SUMPRODUCT(G847:H847,OFFSET($H$40:$I$40,D847,0)))*(1+OFFSET($J$40,D847,0))^I847*(1+OFFSET($K$40,D847,0))^J847*(1+OFFSET($L$40,D847,0))^K847*(1+OFFSET($M$40,D847,0))^L847</f>
        <v>168.171004272607</v>
      </c>
      <c r="N847" s="95">
        <f ca="1">MAX(MAX($N$53:N846),OFFSET($C$52,MATCH(M847*1.07,$M$53:$M$2052,1),0)-C847)</f>
        <v>10080</v>
      </c>
    </row>
    <row r="848" spans="2:14">
      <c r="B848" s="95">
        <v>796</v>
      </c>
      <c r="C848" s="95">
        <f t="shared" si="68"/>
        <v>286560</v>
      </c>
      <c r="D848" s="95">
        <f ca="1">_xlfn.XLOOKUP(总览!$B$44,$B$40:$B$45,$C$40:$C$45)</f>
        <v>5</v>
      </c>
      <c r="E848" s="95">
        <f ca="1" t="shared" si="65"/>
        <v>826</v>
      </c>
      <c r="F848" s="95">
        <f ca="1" t="shared" si="66"/>
        <v>0</v>
      </c>
      <c r="G848" s="95">
        <f ca="1" t="shared" si="67"/>
        <v>0</v>
      </c>
      <c r="H848" s="95" cm="1">
        <f ca="1" t="array" ref="H848">MIN(30-SUM(I848:L848),_xlfn.XLOOKUP($D848&amp;"_"&amp;H$52,$B$14:$B$36&amp;"_"&amp;$C$14:$C$36,$D$14:$D$36)*$E848,18)</f>
        <v>15.4922</v>
      </c>
      <c r="I848" s="95" cm="1">
        <f ca="1" t="array" ref="I848">MIN(30-SUM(J848:L848),6-L848,_xlfn.XLOOKUP($D848&amp;"_"&amp;I$52,$B$14:$B$36&amp;"_"&amp;$C$14:$C$36,$D$14:$D$36)*$E848)</f>
        <v>1.6635</v>
      </c>
      <c r="J848" s="95" cm="1">
        <f ca="1" t="array" ref="J848">MIN(8,_xlfn.XLOOKUP($D848&amp;"_"&amp;J$52,$B$14:$B$36&amp;"_"&amp;$C$14:$C$36,$D$14:$D$36)*$E848)</f>
        <v>6.195</v>
      </c>
      <c r="K848" s="95" cm="1">
        <f ca="1" t="array" ref="K848">MIN(18,_xlfn.XLOOKUP($D848&amp;"_"&amp;K$52,$B$14:$B$36&amp;"_"&amp;$C$14:$C$36,$D$14:$D$36)*$E848)</f>
        <v>2.3128</v>
      </c>
      <c r="L848" s="95" cm="1">
        <f ca="1" t="array" ref="L848">MIN(6,_xlfn.XLOOKUP($D848&amp;"_"&amp;L$52,$B$14:$B$36&amp;"_"&amp;$C$14:$C$36,$D$14:$D$36)*$E848)</f>
        <v>4.3365</v>
      </c>
      <c r="M848" s="95" cm="1">
        <f ca="1" t="array" ref="M848">(1+SUMPRODUCT(G848:H848,OFFSET($H$40:$I$40,D848,0)))*(1+OFFSET($J$40,D848,0))^I848*(1+OFFSET($K$40,D848,0))^J848*(1+OFFSET($L$40,D848,0))^K848*(1+OFFSET($M$40,D848,0))^L848</f>
        <v>168.571103776095</v>
      </c>
      <c r="N848" s="95">
        <f ca="1">MAX(MAX($N$53:N847),OFFSET($C$52,MATCH(M848*1.07,$M$53:$M$2052,1),0)-C848)</f>
        <v>10080</v>
      </c>
    </row>
    <row r="849" spans="2:14">
      <c r="B849" s="95">
        <v>797</v>
      </c>
      <c r="C849" s="95">
        <f t="shared" si="68"/>
        <v>286920</v>
      </c>
      <c r="D849" s="95">
        <f ca="1">_xlfn.XLOOKUP(总览!$B$44,$B$40:$B$45,$C$40:$C$45)</f>
        <v>5</v>
      </c>
      <c r="E849" s="95">
        <f ca="1" t="shared" si="65"/>
        <v>827</v>
      </c>
      <c r="F849" s="95">
        <f ca="1" t="shared" si="66"/>
        <v>0</v>
      </c>
      <c r="G849" s="95">
        <f ca="1" t="shared" si="67"/>
        <v>0</v>
      </c>
      <c r="H849" s="95" cm="1">
        <f ca="1" t="array" ref="H849">MIN(30-SUM(I849:L849),_xlfn.XLOOKUP($D849&amp;"_"&amp;H$52,$B$14:$B$36&amp;"_"&amp;$C$14:$C$36,$D$14:$D$36)*$E849,18)</f>
        <v>15.4819</v>
      </c>
      <c r="I849" s="95" cm="1">
        <f ca="1" t="array" ref="I849">MIN(30-SUM(J849:L849),6-L849,_xlfn.XLOOKUP($D849&amp;"_"&amp;I$52,$B$14:$B$36&amp;"_"&amp;$C$14:$C$36,$D$14:$D$36)*$E849)</f>
        <v>1.65825</v>
      </c>
      <c r="J849" s="95" cm="1">
        <f ca="1" t="array" ref="J849">MIN(8,_xlfn.XLOOKUP($D849&amp;"_"&amp;J$52,$B$14:$B$36&amp;"_"&amp;$C$14:$C$36,$D$14:$D$36)*$E849)</f>
        <v>6.2025</v>
      </c>
      <c r="K849" s="95" cm="1">
        <f ca="1" t="array" ref="K849">MIN(18,_xlfn.XLOOKUP($D849&amp;"_"&amp;K$52,$B$14:$B$36&amp;"_"&amp;$C$14:$C$36,$D$14:$D$36)*$E849)</f>
        <v>2.3156</v>
      </c>
      <c r="L849" s="95" cm="1">
        <f ca="1" t="array" ref="L849">MIN(6,_xlfn.XLOOKUP($D849&amp;"_"&amp;L$52,$B$14:$B$36&amp;"_"&amp;$C$14:$C$36,$D$14:$D$36)*$E849)</f>
        <v>4.34175</v>
      </c>
      <c r="M849" s="95" cm="1">
        <f ca="1" t="array" ref="M849">(1+SUMPRODUCT(G849:H849,OFFSET($H$40:$I$40,D849,0)))*(1+OFFSET($J$40,D849,0))^I849*(1+OFFSET($K$40,D849,0))^J849*(1+OFFSET($L$40,D849,0))^K849*(1+OFFSET($M$40,D849,0))^L849</f>
        <v>168.972112476861</v>
      </c>
      <c r="N849" s="95">
        <f ca="1">MAX(MAX($N$53:N848),OFFSET($C$52,MATCH(M849*1.07,$M$53:$M$2052,1),0)-C849)</f>
        <v>10080</v>
      </c>
    </row>
    <row r="850" spans="2:14">
      <c r="B850" s="95">
        <v>798</v>
      </c>
      <c r="C850" s="95">
        <f t="shared" si="68"/>
        <v>287280</v>
      </c>
      <c r="D850" s="95">
        <f ca="1">_xlfn.XLOOKUP(总览!$B$44,$B$40:$B$45,$C$40:$C$45)</f>
        <v>5</v>
      </c>
      <c r="E850" s="95">
        <f ca="1" t="shared" si="65"/>
        <v>828</v>
      </c>
      <c r="F850" s="95">
        <f ca="1" t="shared" si="66"/>
        <v>0</v>
      </c>
      <c r="G850" s="95">
        <f ca="1" t="shared" si="67"/>
        <v>0</v>
      </c>
      <c r="H850" s="95" cm="1">
        <f ca="1" t="array" ref="H850">MIN(30-SUM(I850:L850),_xlfn.XLOOKUP($D850&amp;"_"&amp;H$52,$B$14:$B$36&amp;"_"&amp;$C$14:$C$36,$D$14:$D$36)*$E850,18)</f>
        <v>15.4716</v>
      </c>
      <c r="I850" s="95" cm="1">
        <f ca="1" t="array" ref="I850">MIN(30-SUM(J850:L850),6-L850,_xlfn.XLOOKUP($D850&amp;"_"&amp;I$52,$B$14:$B$36&amp;"_"&amp;$C$14:$C$36,$D$14:$D$36)*$E850)</f>
        <v>1.653</v>
      </c>
      <c r="J850" s="95" cm="1">
        <f ca="1" t="array" ref="J850">MIN(8,_xlfn.XLOOKUP($D850&amp;"_"&amp;J$52,$B$14:$B$36&amp;"_"&amp;$C$14:$C$36,$D$14:$D$36)*$E850)</f>
        <v>6.21</v>
      </c>
      <c r="K850" s="95" cm="1">
        <f ca="1" t="array" ref="K850">MIN(18,_xlfn.XLOOKUP($D850&amp;"_"&amp;K$52,$B$14:$B$36&amp;"_"&amp;$C$14:$C$36,$D$14:$D$36)*$E850)</f>
        <v>2.3184</v>
      </c>
      <c r="L850" s="95" cm="1">
        <f ca="1" t="array" ref="L850">MIN(6,_xlfn.XLOOKUP($D850&amp;"_"&amp;L$52,$B$14:$B$36&amp;"_"&amp;$C$14:$C$36,$D$14:$D$36)*$E850)</f>
        <v>4.347</v>
      </c>
      <c r="M850" s="95" cm="1">
        <f ca="1" t="array" ref="M850">(1+SUMPRODUCT(G850:H850,OFFSET($H$40:$I$40,D850,0)))*(1+OFFSET($J$40,D850,0))^I850*(1+OFFSET($K$40,D850,0))^J850*(1+OFFSET($L$40,D850,0))^K850*(1+OFFSET($M$40,D850,0))^L850</f>
        <v>169.374032291861</v>
      </c>
      <c r="N850" s="95">
        <f ca="1">MAX(MAX($N$53:N849),OFFSET($C$52,MATCH(M850*1.07,$M$53:$M$2052,1),0)-C850)</f>
        <v>10080</v>
      </c>
    </row>
    <row r="851" spans="2:14">
      <c r="B851" s="95">
        <v>799</v>
      </c>
      <c r="C851" s="95">
        <f t="shared" si="68"/>
        <v>287640</v>
      </c>
      <c r="D851" s="95">
        <f ca="1">_xlfn.XLOOKUP(总览!$B$44,$B$40:$B$45,$C$40:$C$45)</f>
        <v>5</v>
      </c>
      <c r="E851" s="95">
        <f ca="1" t="shared" si="65"/>
        <v>829</v>
      </c>
      <c r="F851" s="95">
        <f ca="1" t="shared" si="66"/>
        <v>0</v>
      </c>
      <c r="G851" s="95">
        <f ca="1" t="shared" si="67"/>
        <v>0</v>
      </c>
      <c r="H851" s="95" cm="1">
        <f ca="1" t="array" ref="H851">MIN(30-SUM(I851:L851),_xlfn.XLOOKUP($D851&amp;"_"&amp;H$52,$B$14:$B$36&amp;"_"&amp;$C$14:$C$36,$D$14:$D$36)*$E851,18)</f>
        <v>15.4613</v>
      </c>
      <c r="I851" s="95" cm="1">
        <f ca="1" t="array" ref="I851">MIN(30-SUM(J851:L851),6-L851,_xlfn.XLOOKUP($D851&amp;"_"&amp;I$52,$B$14:$B$36&amp;"_"&amp;$C$14:$C$36,$D$14:$D$36)*$E851)</f>
        <v>1.64775</v>
      </c>
      <c r="J851" s="95" cm="1">
        <f ca="1" t="array" ref="J851">MIN(8,_xlfn.XLOOKUP($D851&amp;"_"&amp;J$52,$B$14:$B$36&amp;"_"&amp;$C$14:$C$36,$D$14:$D$36)*$E851)</f>
        <v>6.2175</v>
      </c>
      <c r="K851" s="95" cm="1">
        <f ca="1" t="array" ref="K851">MIN(18,_xlfn.XLOOKUP($D851&amp;"_"&amp;K$52,$B$14:$B$36&amp;"_"&amp;$C$14:$C$36,$D$14:$D$36)*$E851)</f>
        <v>2.3212</v>
      </c>
      <c r="L851" s="95" cm="1">
        <f ca="1" t="array" ref="L851">MIN(6,_xlfn.XLOOKUP($D851&amp;"_"&amp;L$52,$B$14:$B$36&amp;"_"&amp;$C$14:$C$36,$D$14:$D$36)*$E851)</f>
        <v>4.35225</v>
      </c>
      <c r="M851" s="95" cm="1">
        <f ca="1" t="array" ref="M851">(1+SUMPRODUCT(G851:H851,OFFSET($H$40:$I$40,D851,0)))*(1+OFFSET($J$40,D851,0))^I851*(1+OFFSET($K$40,D851,0))^J851*(1+OFFSET($L$40,D851,0))^K851*(1+OFFSET($M$40,D851,0))^L851</f>
        <v>169.776865141543</v>
      </c>
      <c r="N851" s="95">
        <f ca="1">MAX(MAX($N$53:N850),OFFSET($C$52,MATCH(M851*1.07,$M$53:$M$2052,1),0)-C851)</f>
        <v>10080</v>
      </c>
    </row>
    <row r="852" spans="2:14">
      <c r="B852" s="95">
        <v>800</v>
      </c>
      <c r="C852" s="95">
        <f t="shared" si="68"/>
        <v>288000</v>
      </c>
      <c r="D852" s="95">
        <f ca="1">_xlfn.XLOOKUP(总览!$B$44,$B$40:$B$45,$C$40:$C$45)</f>
        <v>5</v>
      </c>
      <c r="E852" s="95">
        <f ca="1" t="shared" si="65"/>
        <v>830</v>
      </c>
      <c r="F852" s="95">
        <f ca="1" t="shared" si="66"/>
        <v>0</v>
      </c>
      <c r="G852" s="95">
        <f ca="1" t="shared" si="67"/>
        <v>0</v>
      </c>
      <c r="H852" s="95" cm="1">
        <f ca="1" t="array" ref="H852">MIN(30-SUM(I852:L852),_xlfn.XLOOKUP($D852&amp;"_"&amp;H$52,$B$14:$B$36&amp;"_"&amp;$C$14:$C$36,$D$14:$D$36)*$E852,18)</f>
        <v>15.451</v>
      </c>
      <c r="I852" s="95" cm="1">
        <f ca="1" t="array" ref="I852">MIN(30-SUM(J852:L852),6-L852,_xlfn.XLOOKUP($D852&amp;"_"&amp;I$52,$B$14:$B$36&amp;"_"&amp;$C$14:$C$36,$D$14:$D$36)*$E852)</f>
        <v>1.6425</v>
      </c>
      <c r="J852" s="95" cm="1">
        <f ca="1" t="array" ref="J852">MIN(8,_xlfn.XLOOKUP($D852&amp;"_"&amp;J$52,$B$14:$B$36&amp;"_"&amp;$C$14:$C$36,$D$14:$D$36)*$E852)</f>
        <v>6.225</v>
      </c>
      <c r="K852" s="95" cm="1">
        <f ca="1" t="array" ref="K852">MIN(18,_xlfn.XLOOKUP($D852&amp;"_"&amp;K$52,$B$14:$B$36&amp;"_"&amp;$C$14:$C$36,$D$14:$D$36)*$E852)</f>
        <v>2.324</v>
      </c>
      <c r="L852" s="95" cm="1">
        <f ca="1" t="array" ref="L852">MIN(6,_xlfn.XLOOKUP($D852&amp;"_"&amp;L$52,$B$14:$B$36&amp;"_"&amp;$C$14:$C$36,$D$14:$D$36)*$E852)</f>
        <v>4.3575</v>
      </c>
      <c r="M852" s="95" cm="1">
        <f ca="1" t="array" ref="M852">(1+SUMPRODUCT(G852:H852,OFFSET($H$40:$I$40,D852,0)))*(1+OFFSET($J$40,D852,0))^I852*(1+OFFSET($K$40,D852,0))^J852*(1+OFFSET($L$40,D852,0))^K852*(1+OFFSET($M$40,D852,0))^L852</f>
        <v>170.180612949859</v>
      </c>
      <c r="N852" s="95">
        <f ca="1">MAX(MAX($N$53:N851),OFFSET($C$52,MATCH(M852*1.07,$M$53:$M$2052,1),0)-C852)</f>
        <v>10080</v>
      </c>
    </row>
    <row r="853" spans="2:14">
      <c r="B853" s="95">
        <v>801</v>
      </c>
      <c r="C853" s="95">
        <f t="shared" si="68"/>
        <v>288360</v>
      </c>
      <c r="D853" s="95">
        <f ca="1">_xlfn.XLOOKUP(总览!$B$44,$B$40:$B$45,$C$40:$C$45)</f>
        <v>5</v>
      </c>
      <c r="E853" s="95">
        <f ca="1" t="shared" si="65"/>
        <v>831</v>
      </c>
      <c r="F853" s="95">
        <f ca="1" t="shared" si="66"/>
        <v>0</v>
      </c>
      <c r="G853" s="95">
        <f ca="1" t="shared" si="67"/>
        <v>0</v>
      </c>
      <c r="H853" s="95" cm="1">
        <f ca="1" t="array" ref="H853">MIN(30-SUM(I853:L853),_xlfn.XLOOKUP($D853&amp;"_"&amp;H$52,$B$14:$B$36&amp;"_"&amp;$C$14:$C$36,$D$14:$D$36)*$E853,18)</f>
        <v>15.4407</v>
      </c>
      <c r="I853" s="95" cm="1">
        <f ca="1" t="array" ref="I853">MIN(30-SUM(J853:L853),6-L853,_xlfn.XLOOKUP($D853&amp;"_"&amp;I$52,$B$14:$B$36&amp;"_"&amp;$C$14:$C$36,$D$14:$D$36)*$E853)</f>
        <v>1.63725</v>
      </c>
      <c r="J853" s="95" cm="1">
        <f ca="1" t="array" ref="J853">MIN(8,_xlfn.XLOOKUP($D853&amp;"_"&amp;J$52,$B$14:$B$36&amp;"_"&amp;$C$14:$C$36,$D$14:$D$36)*$E853)</f>
        <v>6.2325</v>
      </c>
      <c r="K853" s="95" cm="1">
        <f ca="1" t="array" ref="K853">MIN(18,_xlfn.XLOOKUP($D853&amp;"_"&amp;K$52,$B$14:$B$36&amp;"_"&amp;$C$14:$C$36,$D$14:$D$36)*$E853)</f>
        <v>2.3268</v>
      </c>
      <c r="L853" s="95" cm="1">
        <f ca="1" t="array" ref="L853">MIN(6,_xlfn.XLOOKUP($D853&amp;"_"&amp;L$52,$B$14:$B$36&amp;"_"&amp;$C$14:$C$36,$D$14:$D$36)*$E853)</f>
        <v>4.36275</v>
      </c>
      <c r="M853" s="95" cm="1">
        <f ca="1" t="array" ref="M853">(1+SUMPRODUCT(G853:H853,OFFSET($H$40:$I$40,D853,0)))*(1+OFFSET($J$40,D853,0))^I853*(1+OFFSET($K$40,D853,0))^J853*(1+OFFSET($L$40,D853,0))^K853*(1+OFFSET($M$40,D853,0))^L853</f>
        <v>170.585277644264</v>
      </c>
      <c r="N853" s="95">
        <f ca="1">MAX(MAX($N$53:N852),OFFSET($C$52,MATCH(M853*1.07,$M$53:$M$2052,1),0)-C853)</f>
        <v>10080</v>
      </c>
    </row>
    <row r="854" spans="2:14">
      <c r="B854" s="95">
        <v>802</v>
      </c>
      <c r="C854" s="95">
        <f t="shared" si="68"/>
        <v>288720</v>
      </c>
      <c r="D854" s="95">
        <f ca="1">_xlfn.XLOOKUP(总览!$B$44,$B$40:$B$45,$C$40:$C$45)</f>
        <v>5</v>
      </c>
      <c r="E854" s="95">
        <f ca="1" t="shared" si="65"/>
        <v>832</v>
      </c>
      <c r="F854" s="95">
        <f ca="1" t="shared" si="66"/>
        <v>0</v>
      </c>
      <c r="G854" s="95">
        <f ca="1" t="shared" si="67"/>
        <v>0</v>
      </c>
      <c r="H854" s="95" cm="1">
        <f ca="1" t="array" ref="H854">MIN(30-SUM(I854:L854),_xlfn.XLOOKUP($D854&amp;"_"&amp;H$52,$B$14:$B$36&amp;"_"&amp;$C$14:$C$36,$D$14:$D$36)*$E854,18)</f>
        <v>15.4304</v>
      </c>
      <c r="I854" s="95" cm="1">
        <f ca="1" t="array" ref="I854">MIN(30-SUM(J854:L854),6-L854,_xlfn.XLOOKUP($D854&amp;"_"&amp;I$52,$B$14:$B$36&amp;"_"&amp;$C$14:$C$36,$D$14:$D$36)*$E854)</f>
        <v>1.632</v>
      </c>
      <c r="J854" s="95" cm="1">
        <f ca="1" t="array" ref="J854">MIN(8,_xlfn.XLOOKUP($D854&amp;"_"&amp;J$52,$B$14:$B$36&amp;"_"&amp;$C$14:$C$36,$D$14:$D$36)*$E854)</f>
        <v>6.24</v>
      </c>
      <c r="K854" s="95" cm="1">
        <f ca="1" t="array" ref="K854">MIN(18,_xlfn.XLOOKUP($D854&amp;"_"&amp;K$52,$B$14:$B$36&amp;"_"&amp;$C$14:$C$36,$D$14:$D$36)*$E854)</f>
        <v>2.3296</v>
      </c>
      <c r="L854" s="95" cm="1">
        <f ca="1" t="array" ref="L854">MIN(6,_xlfn.XLOOKUP($D854&amp;"_"&amp;L$52,$B$14:$B$36&amp;"_"&amp;$C$14:$C$36,$D$14:$D$36)*$E854)</f>
        <v>4.368</v>
      </c>
      <c r="M854" s="95" cm="1">
        <f ca="1" t="array" ref="M854">(1+SUMPRODUCT(G854:H854,OFFSET($H$40:$I$40,D854,0)))*(1+OFFSET($J$40,D854,0))^I854*(1+OFFSET($K$40,D854,0))^J854*(1+OFFSET($L$40,D854,0))^K854*(1+OFFSET($M$40,D854,0))^L854</f>
        <v>170.990861155722</v>
      </c>
      <c r="N854" s="95">
        <f ca="1">MAX(MAX($N$53:N853),OFFSET($C$52,MATCH(M854*1.07,$M$53:$M$2052,1),0)-C854)</f>
        <v>10080</v>
      </c>
    </row>
    <row r="855" spans="2:14">
      <c r="B855" s="95">
        <v>803</v>
      </c>
      <c r="C855" s="95">
        <f t="shared" si="68"/>
        <v>289080</v>
      </c>
      <c r="D855" s="95">
        <f ca="1">_xlfn.XLOOKUP(总览!$B$44,$B$40:$B$45,$C$40:$C$45)</f>
        <v>5</v>
      </c>
      <c r="E855" s="95">
        <f ca="1" t="shared" si="65"/>
        <v>833</v>
      </c>
      <c r="F855" s="95">
        <f ca="1" t="shared" si="66"/>
        <v>0</v>
      </c>
      <c r="G855" s="95">
        <f ca="1" t="shared" si="67"/>
        <v>0</v>
      </c>
      <c r="H855" s="95" cm="1">
        <f ca="1" t="array" ref="H855">MIN(30-SUM(I855:L855),_xlfn.XLOOKUP($D855&amp;"_"&amp;H$52,$B$14:$B$36&amp;"_"&amp;$C$14:$C$36,$D$14:$D$36)*$E855,18)</f>
        <v>15.4201</v>
      </c>
      <c r="I855" s="95" cm="1">
        <f ca="1" t="array" ref="I855">MIN(30-SUM(J855:L855),6-L855,_xlfn.XLOOKUP($D855&amp;"_"&amp;I$52,$B$14:$B$36&amp;"_"&amp;$C$14:$C$36,$D$14:$D$36)*$E855)</f>
        <v>1.62675</v>
      </c>
      <c r="J855" s="95" cm="1">
        <f ca="1" t="array" ref="J855">MIN(8,_xlfn.XLOOKUP($D855&amp;"_"&amp;J$52,$B$14:$B$36&amp;"_"&amp;$C$14:$C$36,$D$14:$D$36)*$E855)</f>
        <v>6.2475</v>
      </c>
      <c r="K855" s="95" cm="1">
        <f ca="1" t="array" ref="K855">MIN(18,_xlfn.XLOOKUP($D855&amp;"_"&amp;K$52,$B$14:$B$36&amp;"_"&amp;$C$14:$C$36,$D$14:$D$36)*$E855)</f>
        <v>2.3324</v>
      </c>
      <c r="L855" s="95" cm="1">
        <f ca="1" t="array" ref="L855">MIN(6,_xlfn.XLOOKUP($D855&amp;"_"&amp;L$52,$B$14:$B$36&amp;"_"&amp;$C$14:$C$36,$D$14:$D$36)*$E855)</f>
        <v>4.37325</v>
      </c>
      <c r="M855" s="95" cm="1">
        <f ca="1" t="array" ref="M855">(1+SUMPRODUCT(G855:H855,OFFSET($H$40:$I$40,D855,0)))*(1+OFFSET($J$40,D855,0))^I855*(1+OFFSET($K$40,D855,0))^J855*(1+OFFSET($L$40,D855,0))^K855*(1+OFFSET($M$40,D855,0))^L855</f>
        <v>171.39736541871</v>
      </c>
      <c r="N855" s="95">
        <f ca="1">MAX(MAX($N$53:N854),OFFSET($C$52,MATCH(M855*1.07,$M$53:$M$2052,1),0)-C855)</f>
        <v>10080</v>
      </c>
    </row>
    <row r="856" spans="2:14">
      <c r="B856" s="95">
        <v>804</v>
      </c>
      <c r="C856" s="95">
        <f t="shared" si="68"/>
        <v>289440</v>
      </c>
      <c r="D856" s="95">
        <f ca="1">_xlfn.XLOOKUP(总览!$B$44,$B$40:$B$45,$C$40:$C$45)</f>
        <v>5</v>
      </c>
      <c r="E856" s="95">
        <f ca="1" t="shared" si="65"/>
        <v>834</v>
      </c>
      <c r="F856" s="95">
        <f ca="1" t="shared" si="66"/>
        <v>0</v>
      </c>
      <c r="G856" s="95">
        <f ca="1" t="shared" si="67"/>
        <v>0</v>
      </c>
      <c r="H856" s="95" cm="1">
        <f ca="1" t="array" ref="H856">MIN(30-SUM(I856:L856),_xlfn.XLOOKUP($D856&amp;"_"&amp;H$52,$B$14:$B$36&amp;"_"&amp;$C$14:$C$36,$D$14:$D$36)*$E856,18)</f>
        <v>15.4098</v>
      </c>
      <c r="I856" s="95" cm="1">
        <f ca="1" t="array" ref="I856">MIN(30-SUM(J856:L856),6-L856,_xlfn.XLOOKUP($D856&amp;"_"&amp;I$52,$B$14:$B$36&amp;"_"&amp;$C$14:$C$36,$D$14:$D$36)*$E856)</f>
        <v>1.6215</v>
      </c>
      <c r="J856" s="95" cm="1">
        <f ca="1" t="array" ref="J856">MIN(8,_xlfn.XLOOKUP($D856&amp;"_"&amp;J$52,$B$14:$B$36&amp;"_"&amp;$C$14:$C$36,$D$14:$D$36)*$E856)</f>
        <v>6.255</v>
      </c>
      <c r="K856" s="95" cm="1">
        <f ca="1" t="array" ref="K856">MIN(18,_xlfn.XLOOKUP($D856&amp;"_"&amp;K$52,$B$14:$B$36&amp;"_"&amp;$C$14:$C$36,$D$14:$D$36)*$E856)</f>
        <v>2.3352</v>
      </c>
      <c r="L856" s="95" cm="1">
        <f ca="1" t="array" ref="L856">MIN(6,_xlfn.XLOOKUP($D856&amp;"_"&amp;L$52,$B$14:$B$36&amp;"_"&amp;$C$14:$C$36,$D$14:$D$36)*$E856)</f>
        <v>4.3785</v>
      </c>
      <c r="M856" s="95" cm="1">
        <f ca="1" t="array" ref="M856">(1+SUMPRODUCT(G856:H856,OFFSET($H$40:$I$40,D856,0)))*(1+OFFSET($J$40,D856,0))^I856*(1+OFFSET($K$40,D856,0))^J856*(1+OFFSET($L$40,D856,0))^K856*(1+OFFSET($M$40,D856,0))^L856</f>
        <v>171.804792371223</v>
      </c>
      <c r="N856" s="95">
        <f ca="1">MAX(MAX($N$53:N855),OFFSET($C$52,MATCH(M856*1.07,$M$53:$M$2052,1),0)-C856)</f>
        <v>10080</v>
      </c>
    </row>
    <row r="857" spans="2:14">
      <c r="B857" s="95">
        <v>805</v>
      </c>
      <c r="C857" s="95">
        <f t="shared" si="68"/>
        <v>289800</v>
      </c>
      <c r="D857" s="95">
        <f ca="1">_xlfn.XLOOKUP(总览!$B$44,$B$40:$B$45,$C$40:$C$45)</f>
        <v>5</v>
      </c>
      <c r="E857" s="95">
        <f ca="1" t="shared" si="65"/>
        <v>835</v>
      </c>
      <c r="F857" s="95">
        <f ca="1" t="shared" si="66"/>
        <v>0</v>
      </c>
      <c r="G857" s="95">
        <f ca="1" t="shared" si="67"/>
        <v>0</v>
      </c>
      <c r="H857" s="95" cm="1">
        <f ca="1" t="array" ref="H857">MIN(30-SUM(I857:L857),_xlfn.XLOOKUP($D857&amp;"_"&amp;H$52,$B$14:$B$36&amp;"_"&amp;$C$14:$C$36,$D$14:$D$36)*$E857,18)</f>
        <v>15.3995</v>
      </c>
      <c r="I857" s="95" cm="1">
        <f ca="1" t="array" ref="I857">MIN(30-SUM(J857:L857),6-L857,_xlfn.XLOOKUP($D857&amp;"_"&amp;I$52,$B$14:$B$36&amp;"_"&amp;$C$14:$C$36,$D$14:$D$36)*$E857)</f>
        <v>1.61625</v>
      </c>
      <c r="J857" s="95" cm="1">
        <f ca="1" t="array" ref="J857">MIN(8,_xlfn.XLOOKUP($D857&amp;"_"&amp;J$52,$B$14:$B$36&amp;"_"&amp;$C$14:$C$36,$D$14:$D$36)*$E857)</f>
        <v>6.2625</v>
      </c>
      <c r="K857" s="95" cm="1">
        <f ca="1" t="array" ref="K857">MIN(18,_xlfn.XLOOKUP($D857&amp;"_"&amp;K$52,$B$14:$B$36&amp;"_"&amp;$C$14:$C$36,$D$14:$D$36)*$E857)</f>
        <v>2.338</v>
      </c>
      <c r="L857" s="95" cm="1">
        <f ca="1" t="array" ref="L857">MIN(6,_xlfn.XLOOKUP($D857&amp;"_"&amp;L$52,$B$14:$B$36&amp;"_"&amp;$C$14:$C$36,$D$14:$D$36)*$E857)</f>
        <v>4.38375</v>
      </c>
      <c r="M857" s="95" cm="1">
        <f ca="1" t="array" ref="M857">(1+SUMPRODUCT(G857:H857,OFFSET($H$40:$I$40,D857,0)))*(1+OFFSET($J$40,D857,0))^I857*(1+OFFSET($K$40,D857,0))^J857*(1+OFFSET($L$40,D857,0))^K857*(1+OFFSET($M$40,D857,0))^L857</f>
        <v>172.213143954777</v>
      </c>
      <c r="N857" s="95">
        <f ca="1">MAX(MAX($N$53:N856),OFFSET($C$52,MATCH(M857*1.07,$M$53:$M$2052,1),0)-C857)</f>
        <v>10080</v>
      </c>
    </row>
    <row r="858" spans="2:14">
      <c r="B858" s="95">
        <v>806</v>
      </c>
      <c r="C858" s="95">
        <f t="shared" si="68"/>
        <v>290160</v>
      </c>
      <c r="D858" s="95">
        <f ca="1">_xlfn.XLOOKUP(总览!$B$44,$B$40:$B$45,$C$40:$C$45)</f>
        <v>5</v>
      </c>
      <c r="E858" s="95">
        <f ca="1" t="shared" si="65"/>
        <v>836</v>
      </c>
      <c r="F858" s="95">
        <f ca="1" t="shared" si="66"/>
        <v>0</v>
      </c>
      <c r="G858" s="95">
        <f ca="1" t="shared" si="67"/>
        <v>0</v>
      </c>
      <c r="H858" s="95" cm="1">
        <f ca="1" t="array" ref="H858">MIN(30-SUM(I858:L858),_xlfn.XLOOKUP($D858&amp;"_"&amp;H$52,$B$14:$B$36&amp;"_"&amp;$C$14:$C$36,$D$14:$D$36)*$E858,18)</f>
        <v>15.3892</v>
      </c>
      <c r="I858" s="95" cm="1">
        <f ca="1" t="array" ref="I858">MIN(30-SUM(J858:L858),6-L858,_xlfn.XLOOKUP($D858&amp;"_"&amp;I$52,$B$14:$B$36&amp;"_"&amp;$C$14:$C$36,$D$14:$D$36)*$E858)</f>
        <v>1.611</v>
      </c>
      <c r="J858" s="95" cm="1">
        <f ca="1" t="array" ref="J858">MIN(8,_xlfn.XLOOKUP($D858&amp;"_"&amp;J$52,$B$14:$B$36&amp;"_"&amp;$C$14:$C$36,$D$14:$D$36)*$E858)</f>
        <v>6.27</v>
      </c>
      <c r="K858" s="95" cm="1">
        <f ca="1" t="array" ref="K858">MIN(18,_xlfn.XLOOKUP($D858&amp;"_"&amp;K$52,$B$14:$B$36&amp;"_"&amp;$C$14:$C$36,$D$14:$D$36)*$E858)</f>
        <v>2.3408</v>
      </c>
      <c r="L858" s="95" cm="1">
        <f ca="1" t="array" ref="L858">MIN(6,_xlfn.XLOOKUP($D858&amp;"_"&amp;L$52,$B$14:$B$36&amp;"_"&amp;$C$14:$C$36,$D$14:$D$36)*$E858)</f>
        <v>4.389</v>
      </c>
      <c r="M858" s="95" cm="1">
        <f ca="1" t="array" ref="M858">(1+SUMPRODUCT(G858:H858,OFFSET($H$40:$I$40,D858,0)))*(1+OFFSET($J$40,D858,0))^I858*(1+OFFSET($K$40,D858,0))^J858*(1+OFFSET($L$40,D858,0))^K858*(1+OFFSET($M$40,D858,0))^L858</f>
        <v>172.622422114414</v>
      </c>
      <c r="N858" s="95">
        <f ca="1">MAX(MAX($N$53:N857),OFFSET($C$52,MATCH(M858*1.07,$M$53:$M$2052,1),0)-C858)</f>
        <v>10080</v>
      </c>
    </row>
    <row r="859" spans="2:14">
      <c r="B859" s="95">
        <v>807</v>
      </c>
      <c r="C859" s="95">
        <f t="shared" si="68"/>
        <v>290520</v>
      </c>
      <c r="D859" s="95">
        <f ca="1">_xlfn.XLOOKUP(总览!$B$44,$B$40:$B$45,$C$40:$C$45)</f>
        <v>5</v>
      </c>
      <c r="E859" s="95">
        <f ca="1" t="shared" si="65"/>
        <v>837</v>
      </c>
      <c r="F859" s="95">
        <f ca="1" t="shared" si="66"/>
        <v>0</v>
      </c>
      <c r="G859" s="95">
        <f ca="1" t="shared" si="67"/>
        <v>0</v>
      </c>
      <c r="H859" s="95" cm="1">
        <f ca="1" t="array" ref="H859">MIN(30-SUM(I859:L859),_xlfn.XLOOKUP($D859&amp;"_"&amp;H$52,$B$14:$B$36&amp;"_"&amp;$C$14:$C$36,$D$14:$D$36)*$E859,18)</f>
        <v>15.3789</v>
      </c>
      <c r="I859" s="95" cm="1">
        <f ca="1" t="array" ref="I859">MIN(30-SUM(J859:L859),6-L859,_xlfn.XLOOKUP($D859&amp;"_"&amp;I$52,$B$14:$B$36&amp;"_"&amp;$C$14:$C$36,$D$14:$D$36)*$E859)</f>
        <v>1.60575</v>
      </c>
      <c r="J859" s="95" cm="1">
        <f ca="1" t="array" ref="J859">MIN(8,_xlfn.XLOOKUP($D859&amp;"_"&amp;J$52,$B$14:$B$36&amp;"_"&amp;$C$14:$C$36,$D$14:$D$36)*$E859)</f>
        <v>6.2775</v>
      </c>
      <c r="K859" s="95" cm="1">
        <f ca="1" t="array" ref="K859">MIN(18,_xlfn.XLOOKUP($D859&amp;"_"&amp;K$52,$B$14:$B$36&amp;"_"&amp;$C$14:$C$36,$D$14:$D$36)*$E859)</f>
        <v>2.3436</v>
      </c>
      <c r="L859" s="95" cm="1">
        <f ca="1" t="array" ref="L859">MIN(6,_xlfn.XLOOKUP($D859&amp;"_"&amp;L$52,$B$14:$B$36&amp;"_"&amp;$C$14:$C$36,$D$14:$D$36)*$E859)</f>
        <v>4.39425</v>
      </c>
      <c r="M859" s="95" cm="1">
        <f ca="1" t="array" ref="M859">(1+SUMPRODUCT(G859:H859,OFFSET($H$40:$I$40,D859,0)))*(1+OFFSET($J$40,D859,0))^I859*(1+OFFSET($K$40,D859,0))^J859*(1+OFFSET($L$40,D859,0))^K859*(1+OFFSET($M$40,D859,0))^L859</f>
        <v>173.032628798705</v>
      </c>
      <c r="N859" s="95">
        <f ca="1">MAX(MAX($N$53:N858),OFFSET($C$52,MATCH(M859*1.07,$M$53:$M$2052,1),0)-C859)</f>
        <v>10080</v>
      </c>
    </row>
    <row r="860" spans="2:14">
      <c r="B860" s="95">
        <v>808</v>
      </c>
      <c r="C860" s="95">
        <f t="shared" si="68"/>
        <v>290880</v>
      </c>
      <c r="D860" s="95">
        <f ca="1">_xlfn.XLOOKUP(总览!$B$44,$B$40:$B$45,$C$40:$C$45)</f>
        <v>5</v>
      </c>
      <c r="E860" s="95">
        <f ca="1" t="shared" si="65"/>
        <v>838</v>
      </c>
      <c r="F860" s="95">
        <f ca="1" t="shared" si="66"/>
        <v>0</v>
      </c>
      <c r="G860" s="95">
        <f ca="1" t="shared" si="67"/>
        <v>0</v>
      </c>
      <c r="H860" s="95" cm="1">
        <f ca="1" t="array" ref="H860">MIN(30-SUM(I860:L860),_xlfn.XLOOKUP($D860&amp;"_"&amp;H$52,$B$14:$B$36&amp;"_"&amp;$C$14:$C$36,$D$14:$D$36)*$E860,18)</f>
        <v>15.3686</v>
      </c>
      <c r="I860" s="95" cm="1">
        <f ca="1" t="array" ref="I860">MIN(30-SUM(J860:L860),6-L860,_xlfn.XLOOKUP($D860&amp;"_"&amp;I$52,$B$14:$B$36&amp;"_"&amp;$C$14:$C$36,$D$14:$D$36)*$E860)</f>
        <v>1.6005</v>
      </c>
      <c r="J860" s="95" cm="1">
        <f ca="1" t="array" ref="J860">MIN(8,_xlfn.XLOOKUP($D860&amp;"_"&amp;J$52,$B$14:$B$36&amp;"_"&amp;$C$14:$C$36,$D$14:$D$36)*$E860)</f>
        <v>6.285</v>
      </c>
      <c r="K860" s="95" cm="1">
        <f ca="1" t="array" ref="K860">MIN(18,_xlfn.XLOOKUP($D860&amp;"_"&amp;K$52,$B$14:$B$36&amp;"_"&amp;$C$14:$C$36,$D$14:$D$36)*$E860)</f>
        <v>2.3464</v>
      </c>
      <c r="L860" s="95" cm="1">
        <f ca="1" t="array" ref="L860">MIN(6,_xlfn.XLOOKUP($D860&amp;"_"&amp;L$52,$B$14:$B$36&amp;"_"&amp;$C$14:$C$36,$D$14:$D$36)*$E860)</f>
        <v>4.3995</v>
      </c>
      <c r="M860" s="95" cm="1">
        <f ca="1" t="array" ref="M860">(1+SUMPRODUCT(G860:H860,OFFSET($H$40:$I$40,D860,0)))*(1+OFFSET($J$40,D860,0))^I860*(1+OFFSET($K$40,D860,0))^J860*(1+OFFSET($L$40,D860,0))^K860*(1+OFFSET($M$40,D860,0))^L860</f>
        <v>173.443765959757</v>
      </c>
      <c r="N860" s="95">
        <f ca="1">MAX(MAX($N$53:N859),OFFSET($C$52,MATCH(M860*1.07,$M$53:$M$2052,1),0)-C860)</f>
        <v>10080</v>
      </c>
    </row>
    <row r="861" spans="2:14">
      <c r="B861" s="95">
        <v>809</v>
      </c>
      <c r="C861" s="95">
        <f t="shared" si="68"/>
        <v>291240</v>
      </c>
      <c r="D861" s="95">
        <f ca="1">_xlfn.XLOOKUP(总览!$B$44,$B$40:$B$45,$C$40:$C$45)</f>
        <v>5</v>
      </c>
      <c r="E861" s="95">
        <f ca="1" t="shared" si="65"/>
        <v>839</v>
      </c>
      <c r="F861" s="95">
        <f ca="1" t="shared" si="66"/>
        <v>0</v>
      </c>
      <c r="G861" s="95">
        <f ca="1" t="shared" si="67"/>
        <v>0</v>
      </c>
      <c r="H861" s="95" cm="1">
        <f ca="1" t="array" ref="H861">MIN(30-SUM(I861:L861),_xlfn.XLOOKUP($D861&amp;"_"&amp;H$52,$B$14:$B$36&amp;"_"&amp;$C$14:$C$36,$D$14:$D$36)*$E861,18)</f>
        <v>15.3583</v>
      </c>
      <c r="I861" s="95" cm="1">
        <f ca="1" t="array" ref="I861">MIN(30-SUM(J861:L861),6-L861,_xlfn.XLOOKUP($D861&amp;"_"&amp;I$52,$B$14:$B$36&amp;"_"&amp;$C$14:$C$36,$D$14:$D$36)*$E861)</f>
        <v>1.59525</v>
      </c>
      <c r="J861" s="95" cm="1">
        <f ca="1" t="array" ref="J861">MIN(8,_xlfn.XLOOKUP($D861&amp;"_"&amp;J$52,$B$14:$B$36&amp;"_"&amp;$C$14:$C$36,$D$14:$D$36)*$E861)</f>
        <v>6.2925</v>
      </c>
      <c r="K861" s="95" cm="1">
        <f ca="1" t="array" ref="K861">MIN(18,_xlfn.XLOOKUP($D861&amp;"_"&amp;K$52,$B$14:$B$36&amp;"_"&amp;$C$14:$C$36,$D$14:$D$36)*$E861)</f>
        <v>2.3492</v>
      </c>
      <c r="L861" s="95" cm="1">
        <f ca="1" t="array" ref="L861">MIN(6,_xlfn.XLOOKUP($D861&amp;"_"&amp;L$52,$B$14:$B$36&amp;"_"&amp;$C$14:$C$36,$D$14:$D$36)*$E861)</f>
        <v>4.40475</v>
      </c>
      <c r="M861" s="95" cm="1">
        <f ca="1" t="array" ref="M861">(1+SUMPRODUCT(G861:H861,OFFSET($H$40:$I$40,D861,0)))*(1+OFFSET($J$40,D861,0))^I861*(1+OFFSET($K$40,D861,0))^J861*(1+OFFSET($L$40,D861,0))^K861*(1+OFFSET($M$40,D861,0))^L861</f>
        <v>173.855835553214</v>
      </c>
      <c r="N861" s="95">
        <f ca="1">MAX(MAX($N$53:N860),OFFSET($C$52,MATCH(M861*1.07,$M$53:$M$2052,1),0)-C861)</f>
        <v>10080</v>
      </c>
    </row>
    <row r="862" spans="2:14">
      <c r="B862" s="95">
        <v>810</v>
      </c>
      <c r="C862" s="95">
        <f t="shared" si="68"/>
        <v>291600</v>
      </c>
      <c r="D862" s="95">
        <f ca="1">_xlfn.XLOOKUP(总览!$B$44,$B$40:$B$45,$C$40:$C$45)</f>
        <v>5</v>
      </c>
      <c r="E862" s="95">
        <f ca="1" t="shared" si="65"/>
        <v>840</v>
      </c>
      <c r="F862" s="95">
        <f ca="1" t="shared" si="66"/>
        <v>0</v>
      </c>
      <c r="G862" s="95">
        <f ca="1" t="shared" si="67"/>
        <v>0</v>
      </c>
      <c r="H862" s="95" cm="1">
        <f ca="1" t="array" ref="H862">MIN(30-SUM(I862:L862),_xlfn.XLOOKUP($D862&amp;"_"&amp;H$52,$B$14:$B$36&amp;"_"&amp;$C$14:$C$36,$D$14:$D$36)*$E862,18)</f>
        <v>15.348</v>
      </c>
      <c r="I862" s="95" cm="1">
        <f ca="1" t="array" ref="I862">MIN(30-SUM(J862:L862),6-L862,_xlfn.XLOOKUP($D862&amp;"_"&amp;I$52,$B$14:$B$36&amp;"_"&amp;$C$14:$C$36,$D$14:$D$36)*$E862)</f>
        <v>1.59</v>
      </c>
      <c r="J862" s="95" cm="1">
        <f ca="1" t="array" ref="J862">MIN(8,_xlfn.XLOOKUP($D862&amp;"_"&amp;J$52,$B$14:$B$36&amp;"_"&amp;$C$14:$C$36,$D$14:$D$36)*$E862)</f>
        <v>6.3</v>
      </c>
      <c r="K862" s="95" cm="1">
        <f ca="1" t="array" ref="K862">MIN(18,_xlfn.XLOOKUP($D862&amp;"_"&amp;K$52,$B$14:$B$36&amp;"_"&amp;$C$14:$C$36,$D$14:$D$36)*$E862)</f>
        <v>2.352</v>
      </c>
      <c r="L862" s="95" cm="1">
        <f ca="1" t="array" ref="L862">MIN(6,_xlfn.XLOOKUP($D862&amp;"_"&amp;L$52,$B$14:$B$36&amp;"_"&amp;$C$14:$C$36,$D$14:$D$36)*$E862)</f>
        <v>4.41</v>
      </c>
      <c r="M862" s="95" cm="1">
        <f ca="1" t="array" ref="M862">(1+SUMPRODUCT(G862:H862,OFFSET($H$40:$I$40,D862,0)))*(1+OFFSET($J$40,D862,0))^I862*(1+OFFSET($K$40,D862,0))^J862*(1+OFFSET($L$40,D862,0))^K862*(1+OFFSET($M$40,D862,0))^L862</f>
        <v>174.268839538263</v>
      </c>
      <c r="N862" s="95">
        <f ca="1">MAX(MAX($N$53:N861),OFFSET($C$52,MATCH(M862*1.07,$M$53:$M$2052,1),0)-C862)</f>
        <v>10080</v>
      </c>
    </row>
    <row r="863" spans="2:14">
      <c r="B863" s="95">
        <v>811</v>
      </c>
      <c r="C863" s="95">
        <f t="shared" si="68"/>
        <v>291960</v>
      </c>
      <c r="D863" s="95">
        <f ca="1">_xlfn.XLOOKUP(总览!$B$44,$B$40:$B$45,$C$40:$C$45)</f>
        <v>5</v>
      </c>
      <c r="E863" s="95">
        <f ca="1" t="shared" si="65"/>
        <v>841</v>
      </c>
      <c r="F863" s="95">
        <f ca="1" t="shared" si="66"/>
        <v>0</v>
      </c>
      <c r="G863" s="95">
        <f ca="1" t="shared" si="67"/>
        <v>0</v>
      </c>
      <c r="H863" s="95" cm="1">
        <f ca="1" t="array" ref="H863">MIN(30-SUM(I863:L863),_xlfn.XLOOKUP($D863&amp;"_"&amp;H$52,$B$14:$B$36&amp;"_"&amp;$C$14:$C$36,$D$14:$D$36)*$E863,18)</f>
        <v>15.3377</v>
      </c>
      <c r="I863" s="95" cm="1">
        <f ca="1" t="array" ref="I863">MIN(30-SUM(J863:L863),6-L863,_xlfn.XLOOKUP($D863&amp;"_"&amp;I$52,$B$14:$B$36&amp;"_"&amp;$C$14:$C$36,$D$14:$D$36)*$E863)</f>
        <v>1.58475</v>
      </c>
      <c r="J863" s="95" cm="1">
        <f ca="1" t="array" ref="J863">MIN(8,_xlfn.XLOOKUP($D863&amp;"_"&amp;J$52,$B$14:$B$36&amp;"_"&amp;$C$14:$C$36,$D$14:$D$36)*$E863)</f>
        <v>6.3075</v>
      </c>
      <c r="K863" s="95" cm="1">
        <f ca="1" t="array" ref="K863">MIN(18,_xlfn.XLOOKUP($D863&amp;"_"&amp;K$52,$B$14:$B$36&amp;"_"&amp;$C$14:$C$36,$D$14:$D$36)*$E863)</f>
        <v>2.3548</v>
      </c>
      <c r="L863" s="95" cm="1">
        <f ca="1" t="array" ref="L863">MIN(6,_xlfn.XLOOKUP($D863&amp;"_"&amp;L$52,$B$14:$B$36&amp;"_"&amp;$C$14:$C$36,$D$14:$D$36)*$E863)</f>
        <v>4.41525</v>
      </c>
      <c r="M863" s="95" cm="1">
        <f ca="1" t="array" ref="M863">(1+SUMPRODUCT(G863:H863,OFFSET($H$40:$I$40,D863,0)))*(1+OFFSET($J$40,D863,0))^I863*(1+OFFSET($K$40,D863,0))^J863*(1+OFFSET($L$40,D863,0))^K863*(1+OFFSET($M$40,D863,0))^L863</f>
        <v>174.682779877638</v>
      </c>
      <c r="N863" s="95">
        <f ca="1">MAX(MAX($N$53:N862),OFFSET($C$52,MATCH(M863*1.07,$M$53:$M$2052,1),0)-C863)</f>
        <v>10080</v>
      </c>
    </row>
    <row r="864" spans="2:14">
      <c r="B864" s="95">
        <v>812</v>
      </c>
      <c r="C864" s="95">
        <f t="shared" si="68"/>
        <v>292320</v>
      </c>
      <c r="D864" s="95">
        <f ca="1">_xlfn.XLOOKUP(总览!$B$44,$B$40:$B$45,$C$40:$C$45)</f>
        <v>5</v>
      </c>
      <c r="E864" s="95">
        <f ca="1" t="shared" si="65"/>
        <v>842</v>
      </c>
      <c r="F864" s="95">
        <f ca="1" t="shared" si="66"/>
        <v>0</v>
      </c>
      <c r="G864" s="95">
        <f ca="1" t="shared" si="67"/>
        <v>0</v>
      </c>
      <c r="H864" s="95" cm="1">
        <f ca="1" t="array" ref="H864">MIN(30-SUM(I864:L864),_xlfn.XLOOKUP($D864&amp;"_"&amp;H$52,$B$14:$B$36&amp;"_"&amp;$C$14:$C$36,$D$14:$D$36)*$E864,18)</f>
        <v>15.3274</v>
      </c>
      <c r="I864" s="95" cm="1">
        <f ca="1" t="array" ref="I864">MIN(30-SUM(J864:L864),6-L864,_xlfn.XLOOKUP($D864&amp;"_"&amp;I$52,$B$14:$B$36&amp;"_"&amp;$C$14:$C$36,$D$14:$D$36)*$E864)</f>
        <v>1.5795</v>
      </c>
      <c r="J864" s="95" cm="1">
        <f ca="1" t="array" ref="J864">MIN(8,_xlfn.XLOOKUP($D864&amp;"_"&amp;J$52,$B$14:$B$36&amp;"_"&amp;$C$14:$C$36,$D$14:$D$36)*$E864)</f>
        <v>6.315</v>
      </c>
      <c r="K864" s="95" cm="1">
        <f ca="1" t="array" ref="K864">MIN(18,_xlfn.XLOOKUP($D864&amp;"_"&amp;K$52,$B$14:$B$36&amp;"_"&amp;$C$14:$C$36,$D$14:$D$36)*$E864)</f>
        <v>2.3576</v>
      </c>
      <c r="L864" s="95" cm="1">
        <f ca="1" t="array" ref="L864">MIN(6,_xlfn.XLOOKUP($D864&amp;"_"&amp;L$52,$B$14:$B$36&amp;"_"&amp;$C$14:$C$36,$D$14:$D$36)*$E864)</f>
        <v>4.4205</v>
      </c>
      <c r="M864" s="95" cm="1">
        <f ca="1" t="array" ref="M864">(1+SUMPRODUCT(G864:H864,OFFSET($H$40:$I$40,D864,0)))*(1+OFFSET($J$40,D864,0))^I864*(1+OFFSET($K$40,D864,0))^J864*(1+OFFSET($L$40,D864,0))^K864*(1+OFFSET($M$40,D864,0))^L864</f>
        <v>175.097658537622</v>
      </c>
      <c r="N864" s="95">
        <f ca="1">MAX(MAX($N$53:N863),OFFSET($C$52,MATCH(M864*1.07,$M$53:$M$2052,1),0)-C864)</f>
        <v>10080</v>
      </c>
    </row>
    <row r="865" spans="2:14">
      <c r="B865" s="95">
        <v>813</v>
      </c>
      <c r="C865" s="95">
        <f t="shared" si="68"/>
        <v>292680</v>
      </c>
      <c r="D865" s="95">
        <f ca="1">_xlfn.XLOOKUP(总览!$B$44,$B$40:$B$45,$C$40:$C$45)</f>
        <v>5</v>
      </c>
      <c r="E865" s="95">
        <f ca="1" t="shared" si="65"/>
        <v>843</v>
      </c>
      <c r="F865" s="95">
        <f ca="1" t="shared" si="66"/>
        <v>0</v>
      </c>
      <c r="G865" s="95">
        <f ca="1" t="shared" si="67"/>
        <v>0</v>
      </c>
      <c r="H865" s="95" cm="1">
        <f ca="1" t="array" ref="H865">MIN(30-SUM(I865:L865),_xlfn.XLOOKUP($D865&amp;"_"&amp;H$52,$B$14:$B$36&amp;"_"&amp;$C$14:$C$36,$D$14:$D$36)*$E865,18)</f>
        <v>15.3171</v>
      </c>
      <c r="I865" s="95" cm="1">
        <f ca="1" t="array" ref="I865">MIN(30-SUM(J865:L865),6-L865,_xlfn.XLOOKUP($D865&amp;"_"&amp;I$52,$B$14:$B$36&amp;"_"&amp;$C$14:$C$36,$D$14:$D$36)*$E865)</f>
        <v>1.57425</v>
      </c>
      <c r="J865" s="95" cm="1">
        <f ca="1" t="array" ref="J865">MIN(8,_xlfn.XLOOKUP($D865&amp;"_"&amp;J$52,$B$14:$B$36&amp;"_"&amp;$C$14:$C$36,$D$14:$D$36)*$E865)</f>
        <v>6.3225</v>
      </c>
      <c r="K865" s="95" cm="1">
        <f ca="1" t="array" ref="K865">MIN(18,_xlfn.XLOOKUP($D865&amp;"_"&amp;K$52,$B$14:$B$36&amp;"_"&amp;$C$14:$C$36,$D$14:$D$36)*$E865)</f>
        <v>2.3604</v>
      </c>
      <c r="L865" s="95" cm="1">
        <f ca="1" t="array" ref="L865">MIN(6,_xlfn.XLOOKUP($D865&amp;"_"&amp;L$52,$B$14:$B$36&amp;"_"&amp;$C$14:$C$36,$D$14:$D$36)*$E865)</f>
        <v>4.42575</v>
      </c>
      <c r="M865" s="95" cm="1">
        <f ca="1" t="array" ref="M865">(1+SUMPRODUCT(G865:H865,OFFSET($H$40:$I$40,D865,0)))*(1+OFFSET($J$40,D865,0))^I865*(1+OFFSET($K$40,D865,0))^J865*(1+OFFSET($L$40,D865,0))^K865*(1+OFFSET($M$40,D865,0))^L865</f>
        <v>175.513477488054</v>
      </c>
      <c r="N865" s="95">
        <f ca="1">MAX(MAX($N$53:N864),OFFSET($C$52,MATCH(M865*1.07,$M$53:$M$2052,1),0)-C865)</f>
        <v>10080</v>
      </c>
    </row>
    <row r="866" spans="2:14">
      <c r="B866" s="95">
        <v>814</v>
      </c>
      <c r="C866" s="95">
        <f t="shared" si="68"/>
        <v>293040</v>
      </c>
      <c r="D866" s="95">
        <f ca="1">_xlfn.XLOOKUP(总览!$B$44,$B$40:$B$45,$C$40:$C$45)</f>
        <v>5</v>
      </c>
      <c r="E866" s="95">
        <f ca="1" t="shared" si="65"/>
        <v>844</v>
      </c>
      <c r="F866" s="95">
        <f ca="1" t="shared" si="66"/>
        <v>0</v>
      </c>
      <c r="G866" s="95">
        <f ca="1" t="shared" si="67"/>
        <v>0</v>
      </c>
      <c r="H866" s="95" cm="1">
        <f ca="1" t="array" ref="H866">MIN(30-SUM(I866:L866),_xlfn.XLOOKUP($D866&amp;"_"&amp;H$52,$B$14:$B$36&amp;"_"&amp;$C$14:$C$36,$D$14:$D$36)*$E866,18)</f>
        <v>15.3068</v>
      </c>
      <c r="I866" s="95" cm="1">
        <f ca="1" t="array" ref="I866">MIN(30-SUM(J866:L866),6-L866,_xlfn.XLOOKUP($D866&amp;"_"&amp;I$52,$B$14:$B$36&amp;"_"&amp;$C$14:$C$36,$D$14:$D$36)*$E866)</f>
        <v>1.569</v>
      </c>
      <c r="J866" s="95" cm="1">
        <f ca="1" t="array" ref="J866">MIN(8,_xlfn.XLOOKUP($D866&amp;"_"&amp;J$52,$B$14:$B$36&amp;"_"&amp;$C$14:$C$36,$D$14:$D$36)*$E866)</f>
        <v>6.33</v>
      </c>
      <c r="K866" s="95" cm="1">
        <f ca="1" t="array" ref="K866">MIN(18,_xlfn.XLOOKUP($D866&amp;"_"&amp;K$52,$B$14:$B$36&amp;"_"&amp;$C$14:$C$36,$D$14:$D$36)*$E866)</f>
        <v>2.3632</v>
      </c>
      <c r="L866" s="95" cm="1">
        <f ca="1" t="array" ref="L866">MIN(6,_xlfn.XLOOKUP($D866&amp;"_"&amp;L$52,$B$14:$B$36&amp;"_"&amp;$C$14:$C$36,$D$14:$D$36)*$E866)</f>
        <v>4.431</v>
      </c>
      <c r="M866" s="95" cm="1">
        <f ca="1" t="array" ref="M866">(1+SUMPRODUCT(G866:H866,OFFSET($H$40:$I$40,D866,0)))*(1+OFFSET($J$40,D866,0))^I866*(1+OFFSET($K$40,D866,0))^J866*(1+OFFSET($L$40,D866,0))^K866*(1+OFFSET($M$40,D866,0))^L866</f>
        <v>175.930238702334</v>
      </c>
      <c r="N866" s="95">
        <f ca="1">MAX(MAX($N$53:N865),OFFSET($C$52,MATCH(M866*1.07,$M$53:$M$2052,1),0)-C866)</f>
        <v>10080</v>
      </c>
    </row>
    <row r="867" spans="2:14">
      <c r="B867" s="95">
        <v>815</v>
      </c>
      <c r="C867" s="95">
        <f t="shared" si="68"/>
        <v>293400</v>
      </c>
      <c r="D867" s="95">
        <f ca="1">_xlfn.XLOOKUP(总览!$B$44,$B$40:$B$45,$C$40:$C$45)</f>
        <v>5</v>
      </c>
      <c r="E867" s="95">
        <f ca="1" t="shared" si="65"/>
        <v>845</v>
      </c>
      <c r="F867" s="95">
        <f ca="1" t="shared" si="66"/>
        <v>0</v>
      </c>
      <c r="G867" s="95">
        <f ca="1" t="shared" si="67"/>
        <v>0</v>
      </c>
      <c r="H867" s="95" cm="1">
        <f ca="1" t="array" ref="H867">MIN(30-SUM(I867:L867),_xlfn.XLOOKUP($D867&amp;"_"&amp;H$52,$B$14:$B$36&amp;"_"&amp;$C$14:$C$36,$D$14:$D$36)*$E867,18)</f>
        <v>15.2965</v>
      </c>
      <c r="I867" s="95" cm="1">
        <f ca="1" t="array" ref="I867">MIN(30-SUM(J867:L867),6-L867,_xlfn.XLOOKUP($D867&amp;"_"&amp;I$52,$B$14:$B$36&amp;"_"&amp;$C$14:$C$36,$D$14:$D$36)*$E867)</f>
        <v>1.56375</v>
      </c>
      <c r="J867" s="95" cm="1">
        <f ca="1" t="array" ref="J867">MIN(8,_xlfn.XLOOKUP($D867&amp;"_"&amp;J$52,$B$14:$B$36&amp;"_"&amp;$C$14:$C$36,$D$14:$D$36)*$E867)</f>
        <v>6.3375</v>
      </c>
      <c r="K867" s="95" cm="1">
        <f ca="1" t="array" ref="K867">MIN(18,_xlfn.XLOOKUP($D867&amp;"_"&amp;K$52,$B$14:$B$36&amp;"_"&amp;$C$14:$C$36,$D$14:$D$36)*$E867)</f>
        <v>2.366</v>
      </c>
      <c r="L867" s="95" cm="1">
        <f ca="1" t="array" ref="L867">MIN(6,_xlfn.XLOOKUP($D867&amp;"_"&amp;L$52,$B$14:$B$36&amp;"_"&amp;$C$14:$C$36,$D$14:$D$36)*$E867)</f>
        <v>4.43625</v>
      </c>
      <c r="M867" s="95" cm="1">
        <f ca="1" t="array" ref="M867">(1+SUMPRODUCT(G867:H867,OFFSET($H$40:$I$40,D867,0)))*(1+OFFSET($J$40,D867,0))^I867*(1+OFFSET($K$40,D867,0))^J867*(1+OFFSET($L$40,D867,0))^K867*(1+OFFSET($M$40,D867,0))^L867</f>
        <v>176.347944157422</v>
      </c>
      <c r="N867" s="95">
        <f ca="1">MAX(MAX($N$53:N866),OFFSET($C$52,MATCH(M867*1.07,$M$53:$M$2052,1),0)-C867)</f>
        <v>10080</v>
      </c>
    </row>
    <row r="868" spans="2:14">
      <c r="B868" s="95">
        <v>816</v>
      </c>
      <c r="C868" s="95">
        <f t="shared" si="68"/>
        <v>293760</v>
      </c>
      <c r="D868" s="95">
        <f ca="1">_xlfn.XLOOKUP(总览!$B$44,$B$40:$B$45,$C$40:$C$45)</f>
        <v>5</v>
      </c>
      <c r="E868" s="95">
        <f ca="1" t="shared" si="65"/>
        <v>846</v>
      </c>
      <c r="F868" s="95">
        <f ca="1" t="shared" si="66"/>
        <v>0</v>
      </c>
      <c r="G868" s="95">
        <f ca="1" t="shared" si="67"/>
        <v>0</v>
      </c>
      <c r="H868" s="95" cm="1">
        <f ca="1" t="array" ref="H868">MIN(30-SUM(I868:L868),_xlfn.XLOOKUP($D868&amp;"_"&amp;H$52,$B$14:$B$36&amp;"_"&amp;$C$14:$C$36,$D$14:$D$36)*$E868,18)</f>
        <v>15.2862</v>
      </c>
      <c r="I868" s="95" cm="1">
        <f ca="1" t="array" ref="I868">MIN(30-SUM(J868:L868),6-L868,_xlfn.XLOOKUP($D868&amp;"_"&amp;I$52,$B$14:$B$36&amp;"_"&amp;$C$14:$C$36,$D$14:$D$36)*$E868)</f>
        <v>1.5585</v>
      </c>
      <c r="J868" s="95" cm="1">
        <f ca="1" t="array" ref="J868">MIN(8,_xlfn.XLOOKUP($D868&amp;"_"&amp;J$52,$B$14:$B$36&amp;"_"&amp;$C$14:$C$36,$D$14:$D$36)*$E868)</f>
        <v>6.345</v>
      </c>
      <c r="K868" s="95" cm="1">
        <f ca="1" t="array" ref="K868">MIN(18,_xlfn.XLOOKUP($D868&amp;"_"&amp;K$52,$B$14:$B$36&amp;"_"&amp;$C$14:$C$36,$D$14:$D$36)*$E868)</f>
        <v>2.3688</v>
      </c>
      <c r="L868" s="95" cm="1">
        <f ca="1" t="array" ref="L868">MIN(6,_xlfn.XLOOKUP($D868&amp;"_"&amp;L$52,$B$14:$B$36&amp;"_"&amp;$C$14:$C$36,$D$14:$D$36)*$E868)</f>
        <v>4.4415</v>
      </c>
      <c r="M868" s="95" cm="1">
        <f ca="1" t="array" ref="M868">(1+SUMPRODUCT(G868:H868,OFFSET($H$40:$I$40,D868,0)))*(1+OFFSET($J$40,D868,0))^I868*(1+OFFSET($K$40,D868,0))^J868*(1+OFFSET($L$40,D868,0))^K868*(1+OFFSET($M$40,D868,0))^L868</f>
        <v>176.766595833848</v>
      </c>
      <c r="N868" s="95">
        <f ca="1">MAX(MAX($N$53:N867),OFFSET($C$52,MATCH(M868*1.07,$M$53:$M$2052,1),0)-C868)</f>
        <v>10080</v>
      </c>
    </row>
    <row r="869" spans="2:14">
      <c r="B869" s="95">
        <v>817</v>
      </c>
      <c r="C869" s="95">
        <f t="shared" si="68"/>
        <v>294120</v>
      </c>
      <c r="D869" s="95">
        <f ca="1">_xlfn.XLOOKUP(总览!$B$44,$B$40:$B$45,$C$40:$C$45)</f>
        <v>5</v>
      </c>
      <c r="E869" s="95">
        <f ca="1" t="shared" si="65"/>
        <v>847</v>
      </c>
      <c r="F869" s="95">
        <f ca="1" t="shared" si="66"/>
        <v>0</v>
      </c>
      <c r="G869" s="95">
        <f ca="1" t="shared" si="67"/>
        <v>0</v>
      </c>
      <c r="H869" s="95" cm="1">
        <f ca="1" t="array" ref="H869">MIN(30-SUM(I869:L869),_xlfn.XLOOKUP($D869&amp;"_"&amp;H$52,$B$14:$B$36&amp;"_"&amp;$C$14:$C$36,$D$14:$D$36)*$E869,18)</f>
        <v>15.2759</v>
      </c>
      <c r="I869" s="95" cm="1">
        <f ca="1" t="array" ref="I869">MIN(30-SUM(J869:L869),6-L869,_xlfn.XLOOKUP($D869&amp;"_"&amp;I$52,$B$14:$B$36&amp;"_"&amp;$C$14:$C$36,$D$14:$D$36)*$E869)</f>
        <v>1.55325</v>
      </c>
      <c r="J869" s="95" cm="1">
        <f ca="1" t="array" ref="J869">MIN(8,_xlfn.XLOOKUP($D869&amp;"_"&amp;J$52,$B$14:$B$36&amp;"_"&amp;$C$14:$C$36,$D$14:$D$36)*$E869)</f>
        <v>6.3525</v>
      </c>
      <c r="K869" s="95" cm="1">
        <f ca="1" t="array" ref="K869">MIN(18,_xlfn.XLOOKUP($D869&amp;"_"&amp;K$52,$B$14:$B$36&amp;"_"&amp;$C$14:$C$36,$D$14:$D$36)*$E869)</f>
        <v>2.3716</v>
      </c>
      <c r="L869" s="95" cm="1">
        <f ca="1" t="array" ref="L869">MIN(6,_xlfn.XLOOKUP($D869&amp;"_"&amp;L$52,$B$14:$B$36&amp;"_"&amp;$C$14:$C$36,$D$14:$D$36)*$E869)</f>
        <v>4.44675</v>
      </c>
      <c r="M869" s="95" cm="1">
        <f ca="1" t="array" ref="M869">(1+SUMPRODUCT(G869:H869,OFFSET($H$40:$I$40,D869,0)))*(1+OFFSET($J$40,D869,0))^I869*(1+OFFSET($K$40,D869,0))^J869*(1+OFFSET($L$40,D869,0))^K869*(1+OFFSET($M$40,D869,0))^L869</f>
        <v>177.186195715713</v>
      </c>
      <c r="N869" s="95">
        <f ca="1">MAX(MAX($N$53:N868),OFFSET($C$52,MATCH(M869*1.07,$M$53:$M$2052,1),0)-C869)</f>
        <v>10080</v>
      </c>
    </row>
    <row r="870" spans="2:14">
      <c r="B870" s="95">
        <v>818</v>
      </c>
      <c r="C870" s="95">
        <f t="shared" si="68"/>
        <v>294480</v>
      </c>
      <c r="D870" s="95">
        <f ca="1">_xlfn.XLOOKUP(总览!$B$44,$B$40:$B$45,$C$40:$C$45)</f>
        <v>5</v>
      </c>
      <c r="E870" s="95">
        <f ca="1" t="shared" si="65"/>
        <v>848</v>
      </c>
      <c r="F870" s="95">
        <f ca="1" t="shared" si="66"/>
        <v>0</v>
      </c>
      <c r="G870" s="95">
        <f ca="1" t="shared" si="67"/>
        <v>0</v>
      </c>
      <c r="H870" s="95" cm="1">
        <f ca="1" t="array" ref="H870">MIN(30-SUM(I870:L870),_xlfn.XLOOKUP($D870&amp;"_"&amp;H$52,$B$14:$B$36&amp;"_"&amp;$C$14:$C$36,$D$14:$D$36)*$E870,18)</f>
        <v>15.2656</v>
      </c>
      <c r="I870" s="95" cm="1">
        <f ca="1" t="array" ref="I870">MIN(30-SUM(J870:L870),6-L870,_xlfn.XLOOKUP($D870&amp;"_"&amp;I$52,$B$14:$B$36&amp;"_"&amp;$C$14:$C$36,$D$14:$D$36)*$E870)</f>
        <v>1.548</v>
      </c>
      <c r="J870" s="95" cm="1">
        <f ca="1" t="array" ref="J870">MIN(8,_xlfn.XLOOKUP($D870&amp;"_"&amp;J$52,$B$14:$B$36&amp;"_"&amp;$C$14:$C$36,$D$14:$D$36)*$E870)</f>
        <v>6.36</v>
      </c>
      <c r="K870" s="95" cm="1">
        <f ca="1" t="array" ref="K870">MIN(18,_xlfn.XLOOKUP($D870&amp;"_"&amp;K$52,$B$14:$B$36&amp;"_"&amp;$C$14:$C$36,$D$14:$D$36)*$E870)</f>
        <v>2.3744</v>
      </c>
      <c r="L870" s="95" cm="1">
        <f ca="1" t="array" ref="L870">MIN(6,_xlfn.XLOOKUP($D870&amp;"_"&amp;L$52,$B$14:$B$36&amp;"_"&amp;$C$14:$C$36,$D$14:$D$36)*$E870)</f>
        <v>4.452</v>
      </c>
      <c r="M870" s="95" cm="1">
        <f ca="1" t="array" ref="M870">(1+SUMPRODUCT(G870:H870,OFFSET($H$40:$I$40,D870,0)))*(1+OFFSET($J$40,D870,0))^I870*(1+OFFSET($K$40,D870,0))^J870*(1+OFFSET($L$40,D870,0))^K870*(1+OFFSET($M$40,D870,0))^L870</f>
        <v>177.606745790693</v>
      </c>
      <c r="N870" s="95">
        <f ca="1">MAX(MAX($N$53:N869),OFFSET($C$52,MATCH(M870*1.07,$M$53:$M$2052,1),0)-C870)</f>
        <v>10080</v>
      </c>
    </row>
    <row r="871" spans="2:14">
      <c r="B871" s="95">
        <v>819</v>
      </c>
      <c r="C871" s="95">
        <f t="shared" si="68"/>
        <v>294840</v>
      </c>
      <c r="D871" s="95">
        <f ca="1">_xlfn.XLOOKUP(总览!$B$44,$B$40:$B$45,$C$40:$C$45)</f>
        <v>5</v>
      </c>
      <c r="E871" s="95">
        <f ca="1" t="shared" si="65"/>
        <v>849</v>
      </c>
      <c r="F871" s="95">
        <f ca="1" t="shared" si="66"/>
        <v>0</v>
      </c>
      <c r="G871" s="95">
        <f ca="1" t="shared" si="67"/>
        <v>0</v>
      </c>
      <c r="H871" s="95" cm="1">
        <f ca="1" t="array" ref="H871">MIN(30-SUM(I871:L871),_xlfn.XLOOKUP($D871&amp;"_"&amp;H$52,$B$14:$B$36&amp;"_"&amp;$C$14:$C$36,$D$14:$D$36)*$E871,18)</f>
        <v>15.2553</v>
      </c>
      <c r="I871" s="95" cm="1">
        <f ca="1" t="array" ref="I871">MIN(30-SUM(J871:L871),6-L871,_xlfn.XLOOKUP($D871&amp;"_"&amp;I$52,$B$14:$B$36&amp;"_"&amp;$C$14:$C$36,$D$14:$D$36)*$E871)</f>
        <v>1.54275</v>
      </c>
      <c r="J871" s="95" cm="1">
        <f ca="1" t="array" ref="J871">MIN(8,_xlfn.XLOOKUP($D871&amp;"_"&amp;J$52,$B$14:$B$36&amp;"_"&amp;$C$14:$C$36,$D$14:$D$36)*$E871)</f>
        <v>6.3675</v>
      </c>
      <c r="K871" s="95" cm="1">
        <f ca="1" t="array" ref="K871">MIN(18,_xlfn.XLOOKUP($D871&amp;"_"&amp;K$52,$B$14:$B$36&amp;"_"&amp;$C$14:$C$36,$D$14:$D$36)*$E871)</f>
        <v>2.3772</v>
      </c>
      <c r="L871" s="95" cm="1">
        <f ca="1" t="array" ref="L871">MIN(6,_xlfn.XLOOKUP($D871&amp;"_"&amp;L$52,$B$14:$B$36&amp;"_"&amp;$C$14:$C$36,$D$14:$D$36)*$E871)</f>
        <v>4.45725</v>
      </c>
      <c r="M871" s="95" cm="1">
        <f ca="1" t="array" ref="M871">(1+SUMPRODUCT(G871:H871,OFFSET($H$40:$I$40,D871,0)))*(1+OFFSET($J$40,D871,0))^I871*(1+OFFSET($K$40,D871,0))^J871*(1+OFFSET($L$40,D871,0))^K871*(1+OFFSET($M$40,D871,0))^L871</f>
        <v>178.028248050044</v>
      </c>
      <c r="N871" s="95">
        <f ca="1">MAX(MAX($N$53:N870),OFFSET($C$52,MATCH(M871*1.07,$M$53:$M$2052,1),0)-C871)</f>
        <v>10080</v>
      </c>
    </row>
    <row r="872" spans="2:14">
      <c r="B872" s="95">
        <v>820</v>
      </c>
      <c r="C872" s="95">
        <f t="shared" si="68"/>
        <v>295200</v>
      </c>
      <c r="D872" s="95">
        <f ca="1">_xlfn.XLOOKUP(总览!$B$44,$B$40:$B$45,$C$40:$C$45)</f>
        <v>5</v>
      </c>
      <c r="E872" s="95">
        <f ca="1" t="shared" si="65"/>
        <v>850</v>
      </c>
      <c r="F872" s="95">
        <f ca="1" t="shared" si="66"/>
        <v>0</v>
      </c>
      <c r="G872" s="95">
        <f ca="1" t="shared" si="67"/>
        <v>0</v>
      </c>
      <c r="H872" s="95" cm="1">
        <f ca="1" t="array" ref="H872">MIN(30-SUM(I872:L872),_xlfn.XLOOKUP($D872&amp;"_"&amp;H$52,$B$14:$B$36&amp;"_"&amp;$C$14:$C$36,$D$14:$D$36)*$E872,18)</f>
        <v>15.245</v>
      </c>
      <c r="I872" s="95" cm="1">
        <f ca="1" t="array" ref="I872">MIN(30-SUM(J872:L872),6-L872,_xlfn.XLOOKUP($D872&amp;"_"&amp;I$52,$B$14:$B$36&amp;"_"&amp;$C$14:$C$36,$D$14:$D$36)*$E872)</f>
        <v>1.5375</v>
      </c>
      <c r="J872" s="95" cm="1">
        <f ca="1" t="array" ref="J872">MIN(8,_xlfn.XLOOKUP($D872&amp;"_"&amp;J$52,$B$14:$B$36&amp;"_"&amp;$C$14:$C$36,$D$14:$D$36)*$E872)</f>
        <v>6.375</v>
      </c>
      <c r="K872" s="95" cm="1">
        <f ca="1" t="array" ref="K872">MIN(18,_xlfn.XLOOKUP($D872&amp;"_"&amp;K$52,$B$14:$B$36&amp;"_"&amp;$C$14:$C$36,$D$14:$D$36)*$E872)</f>
        <v>2.38</v>
      </c>
      <c r="L872" s="95" cm="1">
        <f ca="1" t="array" ref="L872">MIN(6,_xlfn.XLOOKUP($D872&amp;"_"&amp;L$52,$B$14:$B$36&amp;"_"&amp;$C$14:$C$36,$D$14:$D$36)*$E872)</f>
        <v>4.4625</v>
      </c>
      <c r="M872" s="95" cm="1">
        <f ca="1" t="array" ref="M872">(1+SUMPRODUCT(G872:H872,OFFSET($H$40:$I$40,D872,0)))*(1+OFFSET($J$40,D872,0))^I872*(1+OFFSET($K$40,D872,0))^J872*(1+OFFSET($L$40,D872,0))^K872*(1+OFFSET($M$40,D872,0))^L872</f>
        <v>178.450704488606</v>
      </c>
      <c r="N872" s="95">
        <f ca="1">MAX(MAX($N$53:N871),OFFSET($C$52,MATCH(M872*1.07,$M$53:$M$2052,1),0)-C872)</f>
        <v>10080</v>
      </c>
    </row>
    <row r="873" spans="2:14">
      <c r="B873" s="95">
        <v>821</v>
      </c>
      <c r="C873" s="95">
        <f t="shared" si="68"/>
        <v>295560</v>
      </c>
      <c r="D873" s="95">
        <f ca="1">_xlfn.XLOOKUP(总览!$B$44,$B$40:$B$45,$C$40:$C$45)</f>
        <v>5</v>
      </c>
      <c r="E873" s="95">
        <f ca="1" t="shared" si="65"/>
        <v>851</v>
      </c>
      <c r="F873" s="95">
        <f ca="1" t="shared" si="66"/>
        <v>0</v>
      </c>
      <c r="G873" s="95">
        <f ca="1" t="shared" si="67"/>
        <v>0</v>
      </c>
      <c r="H873" s="95" cm="1">
        <f ca="1" t="array" ref="H873">MIN(30-SUM(I873:L873),_xlfn.XLOOKUP($D873&amp;"_"&amp;H$52,$B$14:$B$36&amp;"_"&amp;$C$14:$C$36,$D$14:$D$36)*$E873,18)</f>
        <v>15.2347</v>
      </c>
      <c r="I873" s="95" cm="1">
        <f ca="1" t="array" ref="I873">MIN(30-SUM(J873:L873),6-L873,_xlfn.XLOOKUP($D873&amp;"_"&amp;I$52,$B$14:$B$36&amp;"_"&amp;$C$14:$C$36,$D$14:$D$36)*$E873)</f>
        <v>1.53225</v>
      </c>
      <c r="J873" s="95" cm="1">
        <f ca="1" t="array" ref="J873">MIN(8,_xlfn.XLOOKUP($D873&amp;"_"&amp;J$52,$B$14:$B$36&amp;"_"&amp;$C$14:$C$36,$D$14:$D$36)*$E873)</f>
        <v>6.3825</v>
      </c>
      <c r="K873" s="95" cm="1">
        <f ca="1" t="array" ref="K873">MIN(18,_xlfn.XLOOKUP($D873&amp;"_"&amp;K$52,$B$14:$B$36&amp;"_"&amp;$C$14:$C$36,$D$14:$D$36)*$E873)</f>
        <v>2.3828</v>
      </c>
      <c r="L873" s="95" cm="1">
        <f ca="1" t="array" ref="L873">MIN(6,_xlfn.XLOOKUP($D873&amp;"_"&amp;L$52,$B$14:$B$36&amp;"_"&amp;$C$14:$C$36,$D$14:$D$36)*$E873)</f>
        <v>4.46775</v>
      </c>
      <c r="M873" s="95" cm="1">
        <f ca="1" t="array" ref="M873">(1+SUMPRODUCT(G873:H873,OFFSET($H$40:$I$40,D873,0)))*(1+OFFSET($J$40,D873,0))^I873*(1+OFFSET($K$40,D873,0))^J873*(1+OFFSET($L$40,D873,0))^K873*(1+OFFSET($M$40,D873,0))^L873</f>
        <v>178.874117104808</v>
      </c>
      <c r="N873" s="95">
        <f ca="1">MAX(MAX($N$53:N872),OFFSET($C$52,MATCH(M873*1.07,$M$53:$M$2052,1),0)-C873)</f>
        <v>10080</v>
      </c>
    </row>
    <row r="874" spans="2:14">
      <c r="B874" s="95">
        <v>822</v>
      </c>
      <c r="C874" s="95">
        <f t="shared" si="68"/>
        <v>295920</v>
      </c>
      <c r="D874" s="95">
        <f ca="1">_xlfn.XLOOKUP(总览!$B$44,$B$40:$B$45,$C$40:$C$45)</f>
        <v>5</v>
      </c>
      <c r="E874" s="95">
        <f ca="1" t="shared" si="65"/>
        <v>852</v>
      </c>
      <c r="F874" s="95">
        <f ca="1" t="shared" si="66"/>
        <v>0</v>
      </c>
      <c r="G874" s="95">
        <f ca="1" t="shared" si="67"/>
        <v>0</v>
      </c>
      <c r="H874" s="95" cm="1">
        <f ca="1" t="array" ref="H874">MIN(30-SUM(I874:L874),_xlfn.XLOOKUP($D874&amp;"_"&amp;H$52,$B$14:$B$36&amp;"_"&amp;$C$14:$C$36,$D$14:$D$36)*$E874,18)</f>
        <v>15.2244</v>
      </c>
      <c r="I874" s="95" cm="1">
        <f ca="1" t="array" ref="I874">MIN(30-SUM(J874:L874),6-L874,_xlfn.XLOOKUP($D874&amp;"_"&amp;I$52,$B$14:$B$36&amp;"_"&amp;$C$14:$C$36,$D$14:$D$36)*$E874)</f>
        <v>1.527</v>
      </c>
      <c r="J874" s="95" cm="1">
        <f ca="1" t="array" ref="J874">MIN(8,_xlfn.XLOOKUP($D874&amp;"_"&amp;J$52,$B$14:$B$36&amp;"_"&amp;$C$14:$C$36,$D$14:$D$36)*$E874)</f>
        <v>6.39</v>
      </c>
      <c r="K874" s="95" cm="1">
        <f ca="1" t="array" ref="K874">MIN(18,_xlfn.XLOOKUP($D874&amp;"_"&amp;K$52,$B$14:$B$36&amp;"_"&amp;$C$14:$C$36,$D$14:$D$36)*$E874)</f>
        <v>2.3856</v>
      </c>
      <c r="L874" s="95" cm="1">
        <f ca="1" t="array" ref="L874">MIN(6,_xlfn.XLOOKUP($D874&amp;"_"&amp;L$52,$B$14:$B$36&amp;"_"&amp;$C$14:$C$36,$D$14:$D$36)*$E874)</f>
        <v>4.473</v>
      </c>
      <c r="M874" s="95" cm="1">
        <f ca="1" t="array" ref="M874">(1+SUMPRODUCT(G874:H874,OFFSET($H$40:$I$40,D874,0)))*(1+OFFSET($J$40,D874,0))^I874*(1+OFFSET($K$40,D874,0))^J874*(1+OFFSET($L$40,D874,0))^K874*(1+OFFSET($M$40,D874,0))^L874</f>
        <v>179.298487900669</v>
      </c>
      <c r="N874" s="95">
        <f ca="1">MAX(MAX($N$53:N873),OFFSET($C$52,MATCH(M874*1.07,$M$53:$M$2052,1),0)-C874)</f>
        <v>10080</v>
      </c>
    </row>
    <row r="875" spans="2:14">
      <c r="B875" s="95">
        <v>823</v>
      </c>
      <c r="C875" s="95">
        <f t="shared" si="68"/>
        <v>296280</v>
      </c>
      <c r="D875" s="95">
        <f ca="1">_xlfn.XLOOKUP(总览!$B$44,$B$40:$B$45,$C$40:$C$45)</f>
        <v>5</v>
      </c>
      <c r="E875" s="95">
        <f ca="1" t="shared" si="65"/>
        <v>853</v>
      </c>
      <c r="F875" s="95">
        <f ca="1" t="shared" si="66"/>
        <v>0</v>
      </c>
      <c r="G875" s="95">
        <f ca="1" t="shared" si="67"/>
        <v>0</v>
      </c>
      <c r="H875" s="95" cm="1">
        <f ca="1" t="array" ref="H875">MIN(30-SUM(I875:L875),_xlfn.XLOOKUP($D875&amp;"_"&amp;H$52,$B$14:$B$36&amp;"_"&amp;$C$14:$C$36,$D$14:$D$36)*$E875,18)</f>
        <v>15.2141</v>
      </c>
      <c r="I875" s="95" cm="1">
        <f ca="1" t="array" ref="I875">MIN(30-SUM(J875:L875),6-L875,_xlfn.XLOOKUP($D875&amp;"_"&amp;I$52,$B$14:$B$36&amp;"_"&amp;$C$14:$C$36,$D$14:$D$36)*$E875)</f>
        <v>1.52175</v>
      </c>
      <c r="J875" s="95" cm="1">
        <f ca="1" t="array" ref="J875">MIN(8,_xlfn.XLOOKUP($D875&amp;"_"&amp;J$52,$B$14:$B$36&amp;"_"&amp;$C$14:$C$36,$D$14:$D$36)*$E875)</f>
        <v>6.3975</v>
      </c>
      <c r="K875" s="95" cm="1">
        <f ca="1" t="array" ref="K875">MIN(18,_xlfn.XLOOKUP($D875&amp;"_"&amp;K$52,$B$14:$B$36&amp;"_"&amp;$C$14:$C$36,$D$14:$D$36)*$E875)</f>
        <v>2.3884</v>
      </c>
      <c r="L875" s="95" cm="1">
        <f ca="1" t="array" ref="L875">MIN(6,_xlfn.XLOOKUP($D875&amp;"_"&amp;L$52,$B$14:$B$36&amp;"_"&amp;$C$14:$C$36,$D$14:$D$36)*$E875)</f>
        <v>4.47825</v>
      </c>
      <c r="M875" s="95" cm="1">
        <f ca="1" t="array" ref="M875">(1+SUMPRODUCT(G875:H875,OFFSET($H$40:$I$40,D875,0)))*(1+OFFSET($J$40,D875,0))^I875*(1+OFFSET($K$40,D875,0))^J875*(1+OFFSET($L$40,D875,0))^K875*(1+OFFSET($M$40,D875,0))^L875</f>
        <v>179.723818881807</v>
      </c>
      <c r="N875" s="95">
        <f ca="1">MAX(MAX($N$53:N874),OFFSET($C$52,MATCH(M875*1.07,$M$53:$M$2052,1),0)-C875)</f>
        <v>10080</v>
      </c>
    </row>
    <row r="876" spans="2:14">
      <c r="B876" s="95">
        <v>824</v>
      </c>
      <c r="C876" s="95">
        <f t="shared" si="68"/>
        <v>296640</v>
      </c>
      <c r="D876" s="95">
        <f ca="1">_xlfn.XLOOKUP(总览!$B$44,$B$40:$B$45,$C$40:$C$45)</f>
        <v>5</v>
      </c>
      <c r="E876" s="95">
        <f ca="1" t="shared" si="65"/>
        <v>854</v>
      </c>
      <c r="F876" s="95">
        <f ca="1" t="shared" si="66"/>
        <v>0</v>
      </c>
      <c r="G876" s="95">
        <f ca="1" t="shared" si="67"/>
        <v>0</v>
      </c>
      <c r="H876" s="95" cm="1">
        <f ca="1" t="array" ref="H876">MIN(30-SUM(I876:L876),_xlfn.XLOOKUP($D876&amp;"_"&amp;H$52,$B$14:$B$36&amp;"_"&amp;$C$14:$C$36,$D$14:$D$36)*$E876,18)</f>
        <v>15.2038</v>
      </c>
      <c r="I876" s="95" cm="1">
        <f ca="1" t="array" ref="I876">MIN(30-SUM(J876:L876),6-L876,_xlfn.XLOOKUP($D876&amp;"_"&amp;I$52,$B$14:$B$36&amp;"_"&amp;$C$14:$C$36,$D$14:$D$36)*$E876)</f>
        <v>1.5165</v>
      </c>
      <c r="J876" s="95" cm="1">
        <f ca="1" t="array" ref="J876">MIN(8,_xlfn.XLOOKUP($D876&amp;"_"&amp;J$52,$B$14:$B$36&amp;"_"&amp;$C$14:$C$36,$D$14:$D$36)*$E876)</f>
        <v>6.405</v>
      </c>
      <c r="K876" s="95" cm="1">
        <f ca="1" t="array" ref="K876">MIN(18,_xlfn.XLOOKUP($D876&amp;"_"&amp;K$52,$B$14:$B$36&amp;"_"&amp;$C$14:$C$36,$D$14:$D$36)*$E876)</f>
        <v>2.3912</v>
      </c>
      <c r="L876" s="95" cm="1">
        <f ca="1" t="array" ref="L876">MIN(6,_xlfn.XLOOKUP($D876&amp;"_"&amp;L$52,$B$14:$B$36&amp;"_"&amp;$C$14:$C$36,$D$14:$D$36)*$E876)</f>
        <v>4.4835</v>
      </c>
      <c r="M876" s="95" cm="1">
        <f ca="1" t="array" ref="M876">(1+SUMPRODUCT(G876:H876,OFFSET($H$40:$I$40,D876,0)))*(1+OFFSET($J$40,D876,0))^I876*(1+OFFSET($K$40,D876,0))^J876*(1+OFFSET($L$40,D876,0))^K876*(1+OFFSET($M$40,D876,0))^L876</f>
        <v>180.150112057439</v>
      </c>
      <c r="N876" s="95">
        <f ca="1">MAX(MAX($N$53:N875),OFFSET($C$52,MATCH(M876*1.07,$M$53:$M$2052,1),0)-C876)</f>
        <v>10080</v>
      </c>
    </row>
    <row r="877" spans="2:14">
      <c r="B877" s="95">
        <v>825</v>
      </c>
      <c r="C877" s="95">
        <f t="shared" si="68"/>
        <v>297000</v>
      </c>
      <c r="D877" s="95">
        <f ca="1">_xlfn.XLOOKUP(总览!$B$44,$B$40:$B$45,$C$40:$C$45)</f>
        <v>5</v>
      </c>
      <c r="E877" s="95">
        <f ca="1" t="shared" si="65"/>
        <v>855</v>
      </c>
      <c r="F877" s="95">
        <f ca="1" t="shared" si="66"/>
        <v>0</v>
      </c>
      <c r="G877" s="95">
        <f ca="1" t="shared" si="67"/>
        <v>0</v>
      </c>
      <c r="H877" s="95" cm="1">
        <f ca="1" t="array" ref="H877">MIN(30-SUM(I877:L877),_xlfn.XLOOKUP($D877&amp;"_"&amp;H$52,$B$14:$B$36&amp;"_"&amp;$C$14:$C$36,$D$14:$D$36)*$E877,18)</f>
        <v>15.1935</v>
      </c>
      <c r="I877" s="95" cm="1">
        <f ca="1" t="array" ref="I877">MIN(30-SUM(J877:L877),6-L877,_xlfn.XLOOKUP($D877&amp;"_"&amp;I$52,$B$14:$B$36&amp;"_"&amp;$C$14:$C$36,$D$14:$D$36)*$E877)</f>
        <v>1.51125</v>
      </c>
      <c r="J877" s="95" cm="1">
        <f ca="1" t="array" ref="J877">MIN(8,_xlfn.XLOOKUP($D877&amp;"_"&amp;J$52,$B$14:$B$36&amp;"_"&amp;$C$14:$C$36,$D$14:$D$36)*$E877)</f>
        <v>6.4125</v>
      </c>
      <c r="K877" s="95" cm="1">
        <f ca="1" t="array" ref="K877">MIN(18,_xlfn.XLOOKUP($D877&amp;"_"&amp;K$52,$B$14:$B$36&amp;"_"&amp;$C$14:$C$36,$D$14:$D$36)*$E877)</f>
        <v>2.394</v>
      </c>
      <c r="L877" s="95" cm="1">
        <f ca="1" t="array" ref="L877">MIN(6,_xlfn.XLOOKUP($D877&amp;"_"&amp;L$52,$B$14:$B$36&amp;"_"&amp;$C$14:$C$36,$D$14:$D$36)*$E877)</f>
        <v>4.48875</v>
      </c>
      <c r="M877" s="95" cm="1">
        <f ca="1" t="array" ref="M877">(1+SUMPRODUCT(G877:H877,OFFSET($H$40:$I$40,D877,0)))*(1+OFFSET($J$40,D877,0))^I877*(1+OFFSET($K$40,D877,0))^J877*(1+OFFSET($L$40,D877,0))^K877*(1+OFFSET($M$40,D877,0))^L877</f>
        <v>180.577369440386</v>
      </c>
      <c r="N877" s="95">
        <f ca="1">MAX(MAX($N$53:N876),OFFSET($C$52,MATCH(M877*1.07,$M$53:$M$2052,1),0)-C877)</f>
        <v>10080</v>
      </c>
    </row>
    <row r="878" spans="2:14">
      <c r="B878" s="95">
        <v>826</v>
      </c>
      <c r="C878" s="95">
        <f t="shared" si="68"/>
        <v>297360</v>
      </c>
      <c r="D878" s="95">
        <f ca="1">_xlfn.XLOOKUP(总览!$B$44,$B$40:$B$45,$C$40:$C$45)</f>
        <v>5</v>
      </c>
      <c r="E878" s="95">
        <f ca="1" t="shared" si="65"/>
        <v>856</v>
      </c>
      <c r="F878" s="95">
        <f ca="1" t="shared" si="66"/>
        <v>0</v>
      </c>
      <c r="G878" s="95">
        <f ca="1" t="shared" si="67"/>
        <v>0</v>
      </c>
      <c r="H878" s="95" cm="1">
        <f ca="1" t="array" ref="H878">MIN(30-SUM(I878:L878),_xlfn.XLOOKUP($D878&amp;"_"&amp;H$52,$B$14:$B$36&amp;"_"&amp;$C$14:$C$36,$D$14:$D$36)*$E878,18)</f>
        <v>15.1832</v>
      </c>
      <c r="I878" s="95" cm="1">
        <f ca="1" t="array" ref="I878">MIN(30-SUM(J878:L878),6-L878,_xlfn.XLOOKUP($D878&amp;"_"&amp;I$52,$B$14:$B$36&amp;"_"&amp;$C$14:$C$36,$D$14:$D$36)*$E878)</f>
        <v>1.506</v>
      </c>
      <c r="J878" s="95" cm="1">
        <f ca="1" t="array" ref="J878">MIN(8,_xlfn.XLOOKUP($D878&amp;"_"&amp;J$52,$B$14:$B$36&amp;"_"&amp;$C$14:$C$36,$D$14:$D$36)*$E878)</f>
        <v>6.42</v>
      </c>
      <c r="K878" s="95" cm="1">
        <f ca="1" t="array" ref="K878">MIN(18,_xlfn.XLOOKUP($D878&amp;"_"&amp;K$52,$B$14:$B$36&amp;"_"&amp;$C$14:$C$36,$D$14:$D$36)*$E878)</f>
        <v>2.3968</v>
      </c>
      <c r="L878" s="95" cm="1">
        <f ca="1" t="array" ref="L878">MIN(6,_xlfn.XLOOKUP($D878&amp;"_"&amp;L$52,$B$14:$B$36&amp;"_"&amp;$C$14:$C$36,$D$14:$D$36)*$E878)</f>
        <v>4.494</v>
      </c>
      <c r="M878" s="95" cm="1">
        <f ca="1" t="array" ref="M878">(1+SUMPRODUCT(G878:H878,OFFSET($H$40:$I$40,D878,0)))*(1+OFFSET($J$40,D878,0))^I878*(1+OFFSET($K$40,D878,0))^J878*(1+OFFSET($L$40,D878,0))^K878*(1+OFFSET($M$40,D878,0))^L878</f>
        <v>181.005593047078</v>
      </c>
      <c r="N878" s="95">
        <f ca="1">MAX(MAX($N$53:N877),OFFSET($C$52,MATCH(M878*1.07,$M$53:$M$2052,1),0)-C878)</f>
        <v>10080</v>
      </c>
    </row>
    <row r="879" spans="2:14">
      <c r="B879" s="95">
        <v>827</v>
      </c>
      <c r="C879" s="95">
        <f t="shared" si="68"/>
        <v>297720</v>
      </c>
      <c r="D879" s="95">
        <f ca="1">_xlfn.XLOOKUP(总览!$B$44,$B$40:$B$45,$C$40:$C$45)</f>
        <v>5</v>
      </c>
      <c r="E879" s="95">
        <f ca="1" t="shared" si="65"/>
        <v>857</v>
      </c>
      <c r="F879" s="95">
        <f ca="1" t="shared" si="66"/>
        <v>0</v>
      </c>
      <c r="G879" s="95">
        <f ca="1" t="shared" si="67"/>
        <v>0</v>
      </c>
      <c r="H879" s="95" cm="1">
        <f ca="1" t="array" ref="H879">MIN(30-SUM(I879:L879),_xlfn.XLOOKUP($D879&amp;"_"&amp;H$52,$B$14:$B$36&amp;"_"&amp;$C$14:$C$36,$D$14:$D$36)*$E879,18)</f>
        <v>15.1729</v>
      </c>
      <c r="I879" s="95" cm="1">
        <f ca="1" t="array" ref="I879">MIN(30-SUM(J879:L879),6-L879,_xlfn.XLOOKUP($D879&amp;"_"&amp;I$52,$B$14:$B$36&amp;"_"&amp;$C$14:$C$36,$D$14:$D$36)*$E879)</f>
        <v>1.50075</v>
      </c>
      <c r="J879" s="95" cm="1">
        <f ca="1" t="array" ref="J879">MIN(8,_xlfn.XLOOKUP($D879&amp;"_"&amp;J$52,$B$14:$B$36&amp;"_"&amp;$C$14:$C$36,$D$14:$D$36)*$E879)</f>
        <v>6.4275</v>
      </c>
      <c r="K879" s="95" cm="1">
        <f ca="1" t="array" ref="K879">MIN(18,_xlfn.XLOOKUP($D879&amp;"_"&amp;K$52,$B$14:$B$36&amp;"_"&amp;$C$14:$C$36,$D$14:$D$36)*$E879)</f>
        <v>2.3996</v>
      </c>
      <c r="L879" s="95" cm="1">
        <f ca="1" t="array" ref="L879">MIN(6,_xlfn.XLOOKUP($D879&amp;"_"&amp;L$52,$B$14:$B$36&amp;"_"&amp;$C$14:$C$36,$D$14:$D$36)*$E879)</f>
        <v>4.49925</v>
      </c>
      <c r="M879" s="95" cm="1">
        <f ca="1" t="array" ref="M879">(1+SUMPRODUCT(G879:H879,OFFSET($H$40:$I$40,D879,0)))*(1+OFFSET($J$40,D879,0))^I879*(1+OFFSET($K$40,D879,0))^J879*(1+OFFSET($L$40,D879,0))^K879*(1+OFFSET($M$40,D879,0))^L879</f>
        <v>181.434784897558</v>
      </c>
      <c r="N879" s="95">
        <f ca="1">MAX(MAX($N$53:N878),OFFSET($C$52,MATCH(M879*1.07,$M$53:$M$2052,1),0)-C879)</f>
        <v>10080</v>
      </c>
    </row>
    <row r="880" spans="2:14">
      <c r="B880" s="95">
        <v>828</v>
      </c>
      <c r="C880" s="95">
        <f t="shared" si="68"/>
        <v>298080</v>
      </c>
      <c r="D880" s="95">
        <f ca="1">_xlfn.XLOOKUP(总览!$B$44,$B$40:$B$45,$C$40:$C$45)</f>
        <v>5</v>
      </c>
      <c r="E880" s="95">
        <f ca="1" t="shared" si="65"/>
        <v>858</v>
      </c>
      <c r="F880" s="95">
        <f ca="1" t="shared" si="66"/>
        <v>0</v>
      </c>
      <c r="G880" s="95">
        <f ca="1" t="shared" si="67"/>
        <v>0</v>
      </c>
      <c r="H880" s="95" cm="1">
        <f ca="1" t="array" ref="H880">MIN(30-SUM(I880:L880),_xlfn.XLOOKUP($D880&amp;"_"&amp;H$52,$B$14:$B$36&amp;"_"&amp;$C$14:$C$36,$D$14:$D$36)*$E880,18)</f>
        <v>15.1626</v>
      </c>
      <c r="I880" s="95" cm="1">
        <f ca="1" t="array" ref="I880">MIN(30-SUM(J880:L880),6-L880,_xlfn.XLOOKUP($D880&amp;"_"&amp;I$52,$B$14:$B$36&amp;"_"&amp;$C$14:$C$36,$D$14:$D$36)*$E880)</f>
        <v>1.4955</v>
      </c>
      <c r="J880" s="95" cm="1">
        <f ca="1" t="array" ref="J880">MIN(8,_xlfn.XLOOKUP($D880&amp;"_"&amp;J$52,$B$14:$B$36&amp;"_"&amp;$C$14:$C$36,$D$14:$D$36)*$E880)</f>
        <v>6.435</v>
      </c>
      <c r="K880" s="95" cm="1">
        <f ca="1" t="array" ref="K880">MIN(18,_xlfn.XLOOKUP($D880&amp;"_"&amp;K$52,$B$14:$B$36&amp;"_"&amp;$C$14:$C$36,$D$14:$D$36)*$E880)</f>
        <v>2.4024</v>
      </c>
      <c r="L880" s="95" cm="1">
        <f ca="1" t="array" ref="L880">MIN(6,_xlfn.XLOOKUP($D880&amp;"_"&amp;L$52,$B$14:$B$36&amp;"_"&amp;$C$14:$C$36,$D$14:$D$36)*$E880)</f>
        <v>4.5045</v>
      </c>
      <c r="M880" s="95" cm="1">
        <f ca="1" t="array" ref="M880">(1+SUMPRODUCT(G880:H880,OFFSET($H$40:$I$40,D880,0)))*(1+OFFSET($J$40,D880,0))^I880*(1+OFFSET($K$40,D880,0))^J880*(1+OFFSET($L$40,D880,0))^K880*(1+OFFSET($M$40,D880,0))^L880</f>
        <v>181.864947015485</v>
      </c>
      <c r="N880" s="95">
        <f ca="1">MAX(MAX($N$53:N879),OFFSET($C$52,MATCH(M880*1.07,$M$53:$M$2052,1),0)-C880)</f>
        <v>10080</v>
      </c>
    </row>
    <row r="881" spans="2:14">
      <c r="B881" s="95">
        <v>829</v>
      </c>
      <c r="C881" s="95">
        <f t="shared" si="68"/>
        <v>298440</v>
      </c>
      <c r="D881" s="95">
        <f ca="1">_xlfn.XLOOKUP(总览!$B$44,$B$40:$B$45,$C$40:$C$45)</f>
        <v>5</v>
      </c>
      <c r="E881" s="95">
        <f ca="1" t="shared" si="65"/>
        <v>859</v>
      </c>
      <c r="F881" s="95">
        <f ca="1" t="shared" si="66"/>
        <v>0</v>
      </c>
      <c r="G881" s="95">
        <f ca="1" t="shared" si="67"/>
        <v>0</v>
      </c>
      <c r="H881" s="95" cm="1">
        <f ca="1" t="array" ref="H881">MIN(30-SUM(I881:L881),_xlfn.XLOOKUP($D881&amp;"_"&amp;H$52,$B$14:$B$36&amp;"_"&amp;$C$14:$C$36,$D$14:$D$36)*$E881,18)</f>
        <v>15.1523</v>
      </c>
      <c r="I881" s="95" cm="1">
        <f ca="1" t="array" ref="I881">MIN(30-SUM(J881:L881),6-L881,_xlfn.XLOOKUP($D881&amp;"_"&amp;I$52,$B$14:$B$36&amp;"_"&amp;$C$14:$C$36,$D$14:$D$36)*$E881)</f>
        <v>1.49025</v>
      </c>
      <c r="J881" s="95" cm="1">
        <f ca="1" t="array" ref="J881">MIN(8,_xlfn.XLOOKUP($D881&amp;"_"&amp;J$52,$B$14:$B$36&amp;"_"&amp;$C$14:$C$36,$D$14:$D$36)*$E881)</f>
        <v>6.4425</v>
      </c>
      <c r="K881" s="95" cm="1">
        <f ca="1" t="array" ref="K881">MIN(18,_xlfn.XLOOKUP($D881&amp;"_"&amp;K$52,$B$14:$B$36&amp;"_"&amp;$C$14:$C$36,$D$14:$D$36)*$E881)</f>
        <v>2.4052</v>
      </c>
      <c r="L881" s="95" cm="1">
        <f ca="1" t="array" ref="L881">MIN(6,_xlfn.XLOOKUP($D881&amp;"_"&amp;L$52,$B$14:$B$36&amp;"_"&amp;$C$14:$C$36,$D$14:$D$36)*$E881)</f>
        <v>4.50975</v>
      </c>
      <c r="M881" s="95" cm="1">
        <f ca="1" t="array" ref="M881">(1+SUMPRODUCT(G881:H881,OFFSET($H$40:$I$40,D881,0)))*(1+OFFSET($J$40,D881,0))^I881*(1+OFFSET($K$40,D881,0))^J881*(1+OFFSET($L$40,D881,0))^K881*(1+OFFSET($M$40,D881,0))^L881</f>
        <v>182.296081428139</v>
      </c>
      <c r="N881" s="95">
        <f ca="1">MAX(MAX($N$53:N880),OFFSET($C$52,MATCH(M881*1.07,$M$53:$M$2052,1),0)-C881)</f>
        <v>10080</v>
      </c>
    </row>
    <row r="882" spans="2:14">
      <c r="B882" s="95">
        <v>830</v>
      </c>
      <c r="C882" s="95">
        <f t="shared" si="68"/>
        <v>298800</v>
      </c>
      <c r="D882" s="95">
        <f ca="1">_xlfn.XLOOKUP(总览!$B$44,$B$40:$B$45,$C$40:$C$45)</f>
        <v>5</v>
      </c>
      <c r="E882" s="95">
        <f ca="1" t="shared" si="65"/>
        <v>860</v>
      </c>
      <c r="F882" s="95">
        <f ca="1" t="shared" si="66"/>
        <v>0</v>
      </c>
      <c r="G882" s="95">
        <f ca="1" t="shared" si="67"/>
        <v>0</v>
      </c>
      <c r="H882" s="95" cm="1">
        <f ca="1" t="array" ref="H882">MIN(30-SUM(I882:L882),_xlfn.XLOOKUP($D882&amp;"_"&amp;H$52,$B$14:$B$36&amp;"_"&amp;$C$14:$C$36,$D$14:$D$36)*$E882,18)</f>
        <v>15.142</v>
      </c>
      <c r="I882" s="95" cm="1">
        <f ca="1" t="array" ref="I882">MIN(30-SUM(J882:L882),6-L882,_xlfn.XLOOKUP($D882&amp;"_"&amp;I$52,$B$14:$B$36&amp;"_"&amp;$C$14:$C$36,$D$14:$D$36)*$E882)</f>
        <v>1.485</v>
      </c>
      <c r="J882" s="95" cm="1">
        <f ca="1" t="array" ref="J882">MIN(8,_xlfn.XLOOKUP($D882&amp;"_"&amp;J$52,$B$14:$B$36&amp;"_"&amp;$C$14:$C$36,$D$14:$D$36)*$E882)</f>
        <v>6.45</v>
      </c>
      <c r="K882" s="95" cm="1">
        <f ca="1" t="array" ref="K882">MIN(18,_xlfn.XLOOKUP($D882&amp;"_"&amp;K$52,$B$14:$B$36&amp;"_"&amp;$C$14:$C$36,$D$14:$D$36)*$E882)</f>
        <v>2.408</v>
      </c>
      <c r="L882" s="95" cm="1">
        <f ca="1" t="array" ref="L882">MIN(6,_xlfn.XLOOKUP($D882&amp;"_"&amp;L$52,$B$14:$B$36&amp;"_"&amp;$C$14:$C$36,$D$14:$D$36)*$E882)</f>
        <v>4.515</v>
      </c>
      <c r="M882" s="95" cm="1">
        <f ca="1" t="array" ref="M882">(1+SUMPRODUCT(G882:H882,OFFSET($H$40:$I$40,D882,0)))*(1+OFFSET($J$40,D882,0))^I882*(1+OFFSET($K$40,D882,0))^J882*(1+OFFSET($L$40,D882,0))^K882*(1+OFFSET($M$40,D882,0))^L882</f>
        <v>182.728190166426</v>
      </c>
      <c r="N882" s="95">
        <f ca="1">MAX(MAX($N$53:N881),OFFSET($C$52,MATCH(M882*1.07,$M$53:$M$2052,1),0)-C882)</f>
        <v>10080</v>
      </c>
    </row>
    <row r="883" spans="2:14">
      <c r="B883" s="95">
        <v>831</v>
      </c>
      <c r="C883" s="95">
        <f t="shared" si="68"/>
        <v>299160</v>
      </c>
      <c r="D883" s="95">
        <f ca="1">_xlfn.XLOOKUP(总览!$B$44,$B$40:$B$45,$C$40:$C$45)</f>
        <v>5</v>
      </c>
      <c r="E883" s="95">
        <f ca="1" t="shared" si="65"/>
        <v>861</v>
      </c>
      <c r="F883" s="95">
        <f ca="1" t="shared" si="66"/>
        <v>0</v>
      </c>
      <c r="G883" s="95">
        <f ca="1" t="shared" si="67"/>
        <v>0</v>
      </c>
      <c r="H883" s="95" cm="1">
        <f ca="1" t="array" ref="H883">MIN(30-SUM(I883:L883),_xlfn.XLOOKUP($D883&amp;"_"&amp;H$52,$B$14:$B$36&amp;"_"&amp;$C$14:$C$36,$D$14:$D$36)*$E883,18)</f>
        <v>15.1317</v>
      </c>
      <c r="I883" s="95" cm="1">
        <f ca="1" t="array" ref="I883">MIN(30-SUM(J883:L883),6-L883,_xlfn.XLOOKUP($D883&amp;"_"&amp;I$52,$B$14:$B$36&amp;"_"&amp;$C$14:$C$36,$D$14:$D$36)*$E883)</f>
        <v>1.47975</v>
      </c>
      <c r="J883" s="95" cm="1">
        <f ca="1" t="array" ref="J883">MIN(8,_xlfn.XLOOKUP($D883&amp;"_"&amp;J$52,$B$14:$B$36&amp;"_"&amp;$C$14:$C$36,$D$14:$D$36)*$E883)</f>
        <v>6.4575</v>
      </c>
      <c r="K883" s="95" cm="1">
        <f ca="1" t="array" ref="K883">MIN(18,_xlfn.XLOOKUP($D883&amp;"_"&amp;K$52,$B$14:$B$36&amp;"_"&amp;$C$14:$C$36,$D$14:$D$36)*$E883)</f>
        <v>2.4108</v>
      </c>
      <c r="L883" s="95" cm="1">
        <f ca="1" t="array" ref="L883">MIN(6,_xlfn.XLOOKUP($D883&amp;"_"&amp;L$52,$B$14:$B$36&amp;"_"&amp;$C$14:$C$36,$D$14:$D$36)*$E883)</f>
        <v>4.52025</v>
      </c>
      <c r="M883" s="95" cm="1">
        <f ca="1" t="array" ref="M883">(1+SUMPRODUCT(G883:H883,OFFSET($H$40:$I$40,D883,0)))*(1+OFFSET($J$40,D883,0))^I883*(1+OFFSET($K$40,D883,0))^J883*(1+OFFSET($L$40,D883,0))^K883*(1+OFFSET($M$40,D883,0))^L883</f>
        <v>183.161275264878</v>
      </c>
      <c r="N883" s="95">
        <f ca="1">MAX(MAX($N$53:N882),OFFSET($C$52,MATCH(M883*1.07,$M$53:$M$2052,1),0)-C883)</f>
        <v>10080</v>
      </c>
    </row>
    <row r="884" spans="2:14">
      <c r="B884" s="95">
        <v>832</v>
      </c>
      <c r="C884" s="95">
        <f t="shared" si="68"/>
        <v>299520</v>
      </c>
      <c r="D884" s="95">
        <f ca="1">_xlfn.XLOOKUP(总览!$B$44,$B$40:$B$45,$C$40:$C$45)</f>
        <v>5</v>
      </c>
      <c r="E884" s="95">
        <f ca="1" t="shared" si="65"/>
        <v>862</v>
      </c>
      <c r="F884" s="95">
        <f ca="1" t="shared" si="66"/>
        <v>0</v>
      </c>
      <c r="G884" s="95">
        <f ca="1" t="shared" si="67"/>
        <v>0</v>
      </c>
      <c r="H884" s="95" cm="1">
        <f ca="1" t="array" ref="H884">MIN(30-SUM(I884:L884),_xlfn.XLOOKUP($D884&amp;"_"&amp;H$52,$B$14:$B$36&amp;"_"&amp;$C$14:$C$36,$D$14:$D$36)*$E884,18)</f>
        <v>15.1214</v>
      </c>
      <c r="I884" s="95" cm="1">
        <f ca="1" t="array" ref="I884">MIN(30-SUM(J884:L884),6-L884,_xlfn.XLOOKUP($D884&amp;"_"&amp;I$52,$B$14:$B$36&amp;"_"&amp;$C$14:$C$36,$D$14:$D$36)*$E884)</f>
        <v>1.4745</v>
      </c>
      <c r="J884" s="95" cm="1">
        <f ca="1" t="array" ref="J884">MIN(8,_xlfn.XLOOKUP($D884&amp;"_"&amp;J$52,$B$14:$B$36&amp;"_"&amp;$C$14:$C$36,$D$14:$D$36)*$E884)</f>
        <v>6.465</v>
      </c>
      <c r="K884" s="95" cm="1">
        <f ca="1" t="array" ref="K884">MIN(18,_xlfn.XLOOKUP($D884&amp;"_"&amp;K$52,$B$14:$B$36&amp;"_"&amp;$C$14:$C$36,$D$14:$D$36)*$E884)</f>
        <v>2.4136</v>
      </c>
      <c r="L884" s="95" cm="1">
        <f ca="1" t="array" ref="L884">MIN(6,_xlfn.XLOOKUP($D884&amp;"_"&amp;L$52,$B$14:$B$36&amp;"_"&amp;$C$14:$C$36,$D$14:$D$36)*$E884)</f>
        <v>4.5255</v>
      </c>
      <c r="M884" s="95" cm="1">
        <f ca="1" t="array" ref="M884">(1+SUMPRODUCT(G884:H884,OFFSET($H$40:$I$40,D884,0)))*(1+OFFSET($J$40,D884,0))^I884*(1+OFFSET($K$40,D884,0))^J884*(1+OFFSET($L$40,D884,0))^K884*(1+OFFSET($M$40,D884,0))^L884</f>
        <v>183.595338761664</v>
      </c>
      <c r="N884" s="95">
        <f ca="1">MAX(MAX($N$53:N883),OFFSET($C$52,MATCH(M884*1.07,$M$53:$M$2052,1),0)-C884)</f>
        <v>10080</v>
      </c>
    </row>
    <row r="885" spans="2:14">
      <c r="B885" s="95">
        <v>833</v>
      </c>
      <c r="C885" s="95">
        <f t="shared" si="68"/>
        <v>299880</v>
      </c>
      <c r="D885" s="95">
        <f ca="1">_xlfn.XLOOKUP(总览!$B$44,$B$40:$B$45,$C$40:$C$45)</f>
        <v>5</v>
      </c>
      <c r="E885" s="95">
        <f ca="1" t="shared" si="65"/>
        <v>863</v>
      </c>
      <c r="F885" s="95">
        <f ca="1" t="shared" si="66"/>
        <v>0</v>
      </c>
      <c r="G885" s="95">
        <f ca="1" t="shared" si="67"/>
        <v>0</v>
      </c>
      <c r="H885" s="95" cm="1">
        <f ca="1" t="array" ref="H885">MIN(30-SUM(I885:L885),_xlfn.XLOOKUP($D885&amp;"_"&amp;H$52,$B$14:$B$36&amp;"_"&amp;$C$14:$C$36,$D$14:$D$36)*$E885,18)</f>
        <v>15.1111</v>
      </c>
      <c r="I885" s="95" cm="1">
        <f ca="1" t="array" ref="I885">MIN(30-SUM(J885:L885),6-L885,_xlfn.XLOOKUP($D885&amp;"_"&amp;I$52,$B$14:$B$36&amp;"_"&amp;$C$14:$C$36,$D$14:$D$36)*$E885)</f>
        <v>1.46925</v>
      </c>
      <c r="J885" s="95" cm="1">
        <f ca="1" t="array" ref="J885">MIN(8,_xlfn.XLOOKUP($D885&amp;"_"&amp;J$52,$B$14:$B$36&amp;"_"&amp;$C$14:$C$36,$D$14:$D$36)*$E885)</f>
        <v>6.4725</v>
      </c>
      <c r="K885" s="95" cm="1">
        <f ca="1" t="array" ref="K885">MIN(18,_xlfn.XLOOKUP($D885&amp;"_"&amp;K$52,$B$14:$B$36&amp;"_"&amp;$C$14:$C$36,$D$14:$D$36)*$E885)</f>
        <v>2.4164</v>
      </c>
      <c r="L885" s="95" cm="1">
        <f ca="1" t="array" ref="L885">MIN(6,_xlfn.XLOOKUP($D885&amp;"_"&amp;L$52,$B$14:$B$36&amp;"_"&amp;$C$14:$C$36,$D$14:$D$36)*$E885)</f>
        <v>4.53075</v>
      </c>
      <c r="M885" s="95" cm="1">
        <f ca="1" t="array" ref="M885">(1+SUMPRODUCT(G885:H885,OFFSET($H$40:$I$40,D885,0)))*(1+OFFSET($J$40,D885,0))^I885*(1+OFFSET($K$40,D885,0))^J885*(1+OFFSET($L$40,D885,0))^K885*(1+OFFSET($M$40,D885,0))^L885</f>
        <v>184.030382698585</v>
      </c>
      <c r="N885" s="95">
        <f ca="1">MAX(MAX($N$53:N884),OFFSET($C$52,MATCH(M885*1.07,$M$53:$M$2052,1),0)-C885)</f>
        <v>10080</v>
      </c>
    </row>
    <row r="886" spans="2:14">
      <c r="B886" s="95">
        <v>834</v>
      </c>
      <c r="C886" s="95">
        <f t="shared" si="68"/>
        <v>300240</v>
      </c>
      <c r="D886" s="95">
        <f ca="1">_xlfn.XLOOKUP(总览!$B$44,$B$40:$B$45,$C$40:$C$45)</f>
        <v>5</v>
      </c>
      <c r="E886" s="95">
        <f ca="1" t="shared" ref="E886:E949" si="69">INT(C886/_xlfn.XLOOKUP(D886,$N$5:$N$16,$O$5:$O$16))+OFFSET($R$40,D886,0)</f>
        <v>864</v>
      </c>
      <c r="F886" s="95">
        <f ca="1" t="shared" si="66"/>
        <v>0</v>
      </c>
      <c r="G886" s="95">
        <f ca="1" t="shared" si="67"/>
        <v>0</v>
      </c>
      <c r="H886" s="95" cm="1">
        <f ca="1" t="array" ref="H886">MIN(30-SUM(I886:L886),_xlfn.XLOOKUP($D886&amp;"_"&amp;H$52,$B$14:$B$36&amp;"_"&amp;$C$14:$C$36,$D$14:$D$36)*$E886,18)</f>
        <v>15.1008</v>
      </c>
      <c r="I886" s="95" cm="1">
        <f ca="1" t="array" ref="I886">MIN(30-SUM(J886:L886),6-L886,_xlfn.XLOOKUP($D886&amp;"_"&amp;I$52,$B$14:$B$36&amp;"_"&amp;$C$14:$C$36,$D$14:$D$36)*$E886)</f>
        <v>1.464</v>
      </c>
      <c r="J886" s="95" cm="1">
        <f ca="1" t="array" ref="J886">MIN(8,_xlfn.XLOOKUP($D886&amp;"_"&amp;J$52,$B$14:$B$36&amp;"_"&amp;$C$14:$C$36,$D$14:$D$36)*$E886)</f>
        <v>6.48</v>
      </c>
      <c r="K886" s="95" cm="1">
        <f ca="1" t="array" ref="K886">MIN(18,_xlfn.XLOOKUP($D886&amp;"_"&amp;K$52,$B$14:$B$36&amp;"_"&amp;$C$14:$C$36,$D$14:$D$36)*$E886)</f>
        <v>2.4192</v>
      </c>
      <c r="L886" s="95" cm="1">
        <f ca="1" t="array" ref="L886">MIN(6,_xlfn.XLOOKUP($D886&amp;"_"&amp;L$52,$B$14:$B$36&amp;"_"&amp;$C$14:$C$36,$D$14:$D$36)*$E886)</f>
        <v>4.536</v>
      </c>
      <c r="M886" s="95" cm="1">
        <f ca="1" t="array" ref="M886">(1+SUMPRODUCT(G886:H886,OFFSET($H$40:$I$40,D886,0)))*(1+OFFSET($J$40,D886,0))^I886*(1+OFFSET($K$40,D886,0))^J886*(1+OFFSET($L$40,D886,0))^K886*(1+OFFSET($M$40,D886,0))^L886</f>
        <v>184.466409121088</v>
      </c>
      <c r="N886" s="95">
        <f ca="1">MAX(MAX($N$53:N885),OFFSET($C$52,MATCH(M886*1.07,$M$53:$M$2052,1),0)-C886)</f>
        <v>10080</v>
      </c>
    </row>
    <row r="887" spans="2:14">
      <c r="B887" s="95">
        <v>835</v>
      </c>
      <c r="C887" s="95">
        <f t="shared" si="68"/>
        <v>300600</v>
      </c>
      <c r="D887" s="95">
        <f ca="1">_xlfn.XLOOKUP(总览!$B$44,$B$40:$B$45,$C$40:$C$45)</f>
        <v>5</v>
      </c>
      <c r="E887" s="95">
        <f ca="1" t="shared" si="69"/>
        <v>865</v>
      </c>
      <c r="F887" s="95">
        <f ca="1" t="shared" ref="F887:F950" si="70">30-SUM(G887:L887)</f>
        <v>0</v>
      </c>
      <c r="G887" s="95">
        <f ca="1" t="shared" ref="G887:G950" si="71">30-SUM(H887:L887)</f>
        <v>0</v>
      </c>
      <c r="H887" s="95" cm="1">
        <f ca="1" t="array" ref="H887">MIN(30-SUM(I887:L887),_xlfn.XLOOKUP($D887&amp;"_"&amp;H$52,$B$14:$B$36&amp;"_"&amp;$C$14:$C$36,$D$14:$D$36)*$E887,18)</f>
        <v>15.0905</v>
      </c>
      <c r="I887" s="95" cm="1">
        <f ca="1" t="array" ref="I887">MIN(30-SUM(J887:L887),6-L887,_xlfn.XLOOKUP($D887&amp;"_"&amp;I$52,$B$14:$B$36&amp;"_"&amp;$C$14:$C$36,$D$14:$D$36)*$E887)</f>
        <v>1.45875</v>
      </c>
      <c r="J887" s="95" cm="1">
        <f ca="1" t="array" ref="J887">MIN(8,_xlfn.XLOOKUP($D887&amp;"_"&amp;J$52,$B$14:$B$36&amp;"_"&amp;$C$14:$C$36,$D$14:$D$36)*$E887)</f>
        <v>6.4875</v>
      </c>
      <c r="K887" s="95" cm="1">
        <f ca="1" t="array" ref="K887">MIN(18,_xlfn.XLOOKUP($D887&amp;"_"&amp;K$52,$B$14:$B$36&amp;"_"&amp;$C$14:$C$36,$D$14:$D$36)*$E887)</f>
        <v>2.422</v>
      </c>
      <c r="L887" s="95" cm="1">
        <f ca="1" t="array" ref="L887">MIN(6,_xlfn.XLOOKUP($D887&amp;"_"&amp;L$52,$B$14:$B$36&amp;"_"&amp;$C$14:$C$36,$D$14:$D$36)*$E887)</f>
        <v>4.54125</v>
      </c>
      <c r="M887" s="95" cm="1">
        <f ca="1" t="array" ref="M887">(1+SUMPRODUCT(G887:H887,OFFSET($H$40:$I$40,D887,0)))*(1+OFFSET($J$40,D887,0))^I887*(1+OFFSET($K$40,D887,0))^J887*(1+OFFSET($L$40,D887,0))^K887*(1+OFFSET($M$40,D887,0))^L887</f>
        <v>184.903420078261</v>
      </c>
      <c r="N887" s="95">
        <f ca="1">MAX(MAX($N$53:N886),OFFSET($C$52,MATCH(M887*1.07,$M$53:$M$2052,1),0)-C887)</f>
        <v>10080</v>
      </c>
    </row>
    <row r="888" spans="2:14">
      <c r="B888" s="95">
        <v>836</v>
      </c>
      <c r="C888" s="95">
        <f t="shared" si="68"/>
        <v>300960</v>
      </c>
      <c r="D888" s="95">
        <f ca="1">_xlfn.XLOOKUP(总览!$B$44,$B$40:$B$45,$C$40:$C$45)</f>
        <v>5</v>
      </c>
      <c r="E888" s="95">
        <f ca="1" t="shared" si="69"/>
        <v>866</v>
      </c>
      <c r="F888" s="95">
        <f ca="1" t="shared" si="70"/>
        <v>0</v>
      </c>
      <c r="G888" s="95">
        <f ca="1" t="shared" si="71"/>
        <v>0</v>
      </c>
      <c r="H888" s="95" cm="1">
        <f ca="1" t="array" ref="H888">MIN(30-SUM(I888:L888),_xlfn.XLOOKUP($D888&amp;"_"&amp;H$52,$B$14:$B$36&amp;"_"&amp;$C$14:$C$36,$D$14:$D$36)*$E888,18)</f>
        <v>15.0802</v>
      </c>
      <c r="I888" s="95" cm="1">
        <f ca="1" t="array" ref="I888">MIN(30-SUM(J888:L888),6-L888,_xlfn.XLOOKUP($D888&amp;"_"&amp;I$52,$B$14:$B$36&amp;"_"&amp;$C$14:$C$36,$D$14:$D$36)*$E888)</f>
        <v>1.4535</v>
      </c>
      <c r="J888" s="95" cm="1">
        <f ca="1" t="array" ref="J888">MIN(8,_xlfn.XLOOKUP($D888&amp;"_"&amp;J$52,$B$14:$B$36&amp;"_"&amp;$C$14:$C$36,$D$14:$D$36)*$E888)</f>
        <v>6.495</v>
      </c>
      <c r="K888" s="95" cm="1">
        <f ca="1" t="array" ref="K888">MIN(18,_xlfn.XLOOKUP($D888&amp;"_"&amp;K$52,$B$14:$B$36&amp;"_"&amp;$C$14:$C$36,$D$14:$D$36)*$E888)</f>
        <v>2.4248</v>
      </c>
      <c r="L888" s="95" cm="1">
        <f ca="1" t="array" ref="L888">MIN(6,_xlfn.XLOOKUP($D888&amp;"_"&amp;L$52,$B$14:$B$36&amp;"_"&amp;$C$14:$C$36,$D$14:$D$36)*$E888)</f>
        <v>4.5465</v>
      </c>
      <c r="M888" s="95" cm="1">
        <f ca="1" t="array" ref="M888">(1+SUMPRODUCT(G888:H888,OFFSET($H$40:$I$40,D888,0)))*(1+OFFSET($J$40,D888,0))^I888*(1+OFFSET($K$40,D888,0))^J888*(1+OFFSET($L$40,D888,0))^K888*(1+OFFSET($M$40,D888,0))^L888</f>
        <v>185.341417622843</v>
      </c>
      <c r="N888" s="95">
        <f ca="1">MAX(MAX($N$53:N887),OFFSET($C$52,MATCH(M888*1.07,$M$53:$M$2052,1),0)-C888)</f>
        <v>10080</v>
      </c>
    </row>
    <row r="889" spans="2:14">
      <c r="B889" s="95">
        <v>837</v>
      </c>
      <c r="C889" s="95">
        <f t="shared" si="68"/>
        <v>301320</v>
      </c>
      <c r="D889" s="95">
        <f ca="1">_xlfn.XLOOKUP(总览!$B$44,$B$40:$B$45,$C$40:$C$45)</f>
        <v>5</v>
      </c>
      <c r="E889" s="95">
        <f ca="1" t="shared" si="69"/>
        <v>867</v>
      </c>
      <c r="F889" s="95">
        <f ca="1" t="shared" si="70"/>
        <v>0</v>
      </c>
      <c r="G889" s="95">
        <f ca="1" t="shared" si="71"/>
        <v>0</v>
      </c>
      <c r="H889" s="95" cm="1">
        <f ca="1" t="array" ref="H889">MIN(30-SUM(I889:L889),_xlfn.XLOOKUP($D889&amp;"_"&amp;H$52,$B$14:$B$36&amp;"_"&amp;$C$14:$C$36,$D$14:$D$36)*$E889,18)</f>
        <v>15.0699</v>
      </c>
      <c r="I889" s="95" cm="1">
        <f ca="1" t="array" ref="I889">MIN(30-SUM(J889:L889),6-L889,_xlfn.XLOOKUP($D889&amp;"_"&amp;I$52,$B$14:$B$36&amp;"_"&amp;$C$14:$C$36,$D$14:$D$36)*$E889)</f>
        <v>1.44825</v>
      </c>
      <c r="J889" s="95" cm="1">
        <f ca="1" t="array" ref="J889">MIN(8,_xlfn.XLOOKUP($D889&amp;"_"&amp;J$52,$B$14:$B$36&amp;"_"&amp;$C$14:$C$36,$D$14:$D$36)*$E889)</f>
        <v>6.5025</v>
      </c>
      <c r="K889" s="95" cm="1">
        <f ca="1" t="array" ref="K889">MIN(18,_xlfn.XLOOKUP($D889&amp;"_"&amp;K$52,$B$14:$B$36&amp;"_"&amp;$C$14:$C$36,$D$14:$D$36)*$E889)</f>
        <v>2.4276</v>
      </c>
      <c r="L889" s="95" cm="1">
        <f ca="1" t="array" ref="L889">MIN(6,_xlfn.XLOOKUP($D889&amp;"_"&amp;L$52,$B$14:$B$36&amp;"_"&amp;$C$14:$C$36,$D$14:$D$36)*$E889)</f>
        <v>4.55175</v>
      </c>
      <c r="M889" s="95" cm="1">
        <f ca="1" t="array" ref="M889">(1+SUMPRODUCT(G889:H889,OFFSET($H$40:$I$40,D889,0)))*(1+OFFSET($J$40,D889,0))^I889*(1+OFFSET($K$40,D889,0))^J889*(1+OFFSET($L$40,D889,0))^K889*(1+OFFSET($M$40,D889,0))^L889</f>
        <v>185.780403811227</v>
      </c>
      <c r="N889" s="95">
        <f ca="1">MAX(MAX($N$53:N888),OFFSET($C$52,MATCH(M889*1.07,$M$53:$M$2052,1),0)-C889)</f>
        <v>10080</v>
      </c>
    </row>
    <row r="890" spans="2:14">
      <c r="B890" s="95">
        <v>838</v>
      </c>
      <c r="C890" s="95">
        <f t="shared" si="68"/>
        <v>301680</v>
      </c>
      <c r="D890" s="95">
        <f ca="1">_xlfn.XLOOKUP(总览!$B$44,$B$40:$B$45,$C$40:$C$45)</f>
        <v>5</v>
      </c>
      <c r="E890" s="95">
        <f ca="1" t="shared" si="69"/>
        <v>868</v>
      </c>
      <c r="F890" s="95">
        <f ca="1" t="shared" si="70"/>
        <v>0</v>
      </c>
      <c r="G890" s="95">
        <f ca="1" t="shared" si="71"/>
        <v>0</v>
      </c>
      <c r="H890" s="95" cm="1">
        <f ca="1" t="array" ref="H890">MIN(30-SUM(I890:L890),_xlfn.XLOOKUP($D890&amp;"_"&amp;H$52,$B$14:$B$36&amp;"_"&amp;$C$14:$C$36,$D$14:$D$36)*$E890,18)</f>
        <v>15.0596</v>
      </c>
      <c r="I890" s="95" cm="1">
        <f ca="1" t="array" ref="I890">MIN(30-SUM(J890:L890),6-L890,_xlfn.XLOOKUP($D890&amp;"_"&amp;I$52,$B$14:$B$36&amp;"_"&amp;$C$14:$C$36,$D$14:$D$36)*$E890)</f>
        <v>1.443</v>
      </c>
      <c r="J890" s="95" cm="1">
        <f ca="1" t="array" ref="J890">MIN(8,_xlfn.XLOOKUP($D890&amp;"_"&amp;J$52,$B$14:$B$36&amp;"_"&amp;$C$14:$C$36,$D$14:$D$36)*$E890)</f>
        <v>6.51</v>
      </c>
      <c r="K890" s="95" cm="1">
        <f ca="1" t="array" ref="K890">MIN(18,_xlfn.XLOOKUP($D890&amp;"_"&amp;K$52,$B$14:$B$36&amp;"_"&amp;$C$14:$C$36,$D$14:$D$36)*$E890)</f>
        <v>2.4304</v>
      </c>
      <c r="L890" s="95" cm="1">
        <f ca="1" t="array" ref="L890">MIN(6,_xlfn.XLOOKUP($D890&amp;"_"&amp;L$52,$B$14:$B$36&amp;"_"&amp;$C$14:$C$36,$D$14:$D$36)*$E890)</f>
        <v>4.557</v>
      </c>
      <c r="M890" s="95" cm="1">
        <f ca="1" t="array" ref="M890">(1+SUMPRODUCT(G890:H890,OFFSET($H$40:$I$40,D890,0)))*(1+OFFSET($J$40,D890,0))^I890*(1+OFFSET($K$40,D890,0))^J890*(1+OFFSET($L$40,D890,0))^K890*(1+OFFSET($M$40,D890,0))^L890</f>
        <v>186.22038070346</v>
      </c>
      <c r="N890" s="95">
        <f ca="1">MAX(MAX($N$53:N889),OFFSET($C$52,MATCH(M890*1.07,$M$53:$M$2052,1),0)-C890)</f>
        <v>10080</v>
      </c>
    </row>
    <row r="891" spans="2:14">
      <c r="B891" s="95">
        <v>839</v>
      </c>
      <c r="C891" s="95">
        <f t="shared" si="68"/>
        <v>302040</v>
      </c>
      <c r="D891" s="95">
        <f ca="1">_xlfn.XLOOKUP(总览!$B$44,$B$40:$B$45,$C$40:$C$45)</f>
        <v>5</v>
      </c>
      <c r="E891" s="95">
        <f ca="1" t="shared" si="69"/>
        <v>869</v>
      </c>
      <c r="F891" s="95">
        <f ca="1" t="shared" si="70"/>
        <v>0</v>
      </c>
      <c r="G891" s="95">
        <f ca="1" t="shared" si="71"/>
        <v>0</v>
      </c>
      <c r="H891" s="95" cm="1">
        <f ca="1" t="array" ref="H891">MIN(30-SUM(I891:L891),_xlfn.XLOOKUP($D891&amp;"_"&amp;H$52,$B$14:$B$36&amp;"_"&amp;$C$14:$C$36,$D$14:$D$36)*$E891,18)</f>
        <v>15.0493</v>
      </c>
      <c r="I891" s="95" cm="1">
        <f ca="1" t="array" ref="I891">MIN(30-SUM(J891:L891),6-L891,_xlfn.XLOOKUP($D891&amp;"_"&amp;I$52,$B$14:$B$36&amp;"_"&amp;$C$14:$C$36,$D$14:$D$36)*$E891)</f>
        <v>1.43775</v>
      </c>
      <c r="J891" s="95" cm="1">
        <f ca="1" t="array" ref="J891">MIN(8,_xlfn.XLOOKUP($D891&amp;"_"&amp;J$52,$B$14:$B$36&amp;"_"&amp;$C$14:$C$36,$D$14:$D$36)*$E891)</f>
        <v>6.5175</v>
      </c>
      <c r="K891" s="95" cm="1">
        <f ca="1" t="array" ref="K891">MIN(18,_xlfn.XLOOKUP($D891&amp;"_"&amp;K$52,$B$14:$B$36&amp;"_"&amp;$C$14:$C$36,$D$14:$D$36)*$E891)</f>
        <v>2.4332</v>
      </c>
      <c r="L891" s="95" cm="1">
        <f ca="1" t="array" ref="L891">MIN(6,_xlfn.XLOOKUP($D891&amp;"_"&amp;L$52,$B$14:$B$36&amp;"_"&amp;$C$14:$C$36,$D$14:$D$36)*$E891)</f>
        <v>4.56225</v>
      </c>
      <c r="M891" s="95" cm="1">
        <f ca="1" t="array" ref="M891">(1+SUMPRODUCT(G891:H891,OFFSET($H$40:$I$40,D891,0)))*(1+OFFSET($J$40,D891,0))^I891*(1+OFFSET($K$40,D891,0))^J891*(1+OFFSET($L$40,D891,0))^K891*(1+OFFSET($M$40,D891,0))^L891</f>
        <v>186.661350363252</v>
      </c>
      <c r="N891" s="95">
        <f ca="1">MAX(MAX($N$53:N890),OFFSET($C$52,MATCH(M891*1.07,$M$53:$M$2052,1),0)-C891)</f>
        <v>10080</v>
      </c>
    </row>
    <row r="892" spans="2:14">
      <c r="B892" s="95">
        <v>840</v>
      </c>
      <c r="C892" s="95">
        <f t="shared" si="68"/>
        <v>302400</v>
      </c>
      <c r="D892" s="95">
        <f ca="1">_xlfn.XLOOKUP(总览!$B$44,$B$40:$B$45,$C$40:$C$45)</f>
        <v>5</v>
      </c>
      <c r="E892" s="95">
        <f ca="1" t="shared" si="69"/>
        <v>870</v>
      </c>
      <c r="F892" s="95">
        <f ca="1" t="shared" si="70"/>
        <v>0</v>
      </c>
      <c r="G892" s="95">
        <f ca="1" t="shared" si="71"/>
        <v>0</v>
      </c>
      <c r="H892" s="95" cm="1">
        <f ca="1" t="array" ref="H892">MIN(30-SUM(I892:L892),_xlfn.XLOOKUP($D892&amp;"_"&amp;H$52,$B$14:$B$36&amp;"_"&amp;$C$14:$C$36,$D$14:$D$36)*$E892,18)</f>
        <v>15.039</v>
      </c>
      <c r="I892" s="95" cm="1">
        <f ca="1" t="array" ref="I892">MIN(30-SUM(J892:L892),6-L892,_xlfn.XLOOKUP($D892&amp;"_"&amp;I$52,$B$14:$B$36&amp;"_"&amp;$C$14:$C$36,$D$14:$D$36)*$E892)</f>
        <v>1.4325</v>
      </c>
      <c r="J892" s="95" cm="1">
        <f ca="1" t="array" ref="J892">MIN(8,_xlfn.XLOOKUP($D892&amp;"_"&amp;J$52,$B$14:$B$36&amp;"_"&amp;$C$14:$C$36,$D$14:$D$36)*$E892)</f>
        <v>6.525</v>
      </c>
      <c r="K892" s="95" cm="1">
        <f ca="1" t="array" ref="K892">MIN(18,_xlfn.XLOOKUP($D892&amp;"_"&amp;K$52,$B$14:$B$36&amp;"_"&amp;$C$14:$C$36,$D$14:$D$36)*$E892)</f>
        <v>2.436</v>
      </c>
      <c r="L892" s="95" cm="1">
        <f ca="1" t="array" ref="L892">MIN(6,_xlfn.XLOOKUP($D892&amp;"_"&amp;L$52,$B$14:$B$36&amp;"_"&amp;$C$14:$C$36,$D$14:$D$36)*$E892)</f>
        <v>4.5675</v>
      </c>
      <c r="M892" s="95" cm="1">
        <f ca="1" t="array" ref="M892">(1+SUMPRODUCT(G892:H892,OFFSET($H$40:$I$40,D892,0)))*(1+OFFSET($J$40,D892,0))^I892*(1+OFFSET($K$40,D892,0))^J892*(1+OFFSET($L$40,D892,0))^K892*(1+OFFSET($M$40,D892,0))^L892</f>
        <v>187.103314857979</v>
      </c>
      <c r="N892" s="95">
        <f ca="1">MAX(MAX($N$53:N891),OFFSET($C$52,MATCH(M892*1.07,$M$53:$M$2052,1),0)-C892)</f>
        <v>10080</v>
      </c>
    </row>
    <row r="893" spans="2:14">
      <c r="B893" s="95">
        <v>841</v>
      </c>
      <c r="C893" s="95">
        <f t="shared" si="68"/>
        <v>302760</v>
      </c>
      <c r="D893" s="95">
        <f ca="1">_xlfn.XLOOKUP(总览!$B$44,$B$40:$B$45,$C$40:$C$45)</f>
        <v>5</v>
      </c>
      <c r="E893" s="95">
        <f ca="1" t="shared" si="69"/>
        <v>871</v>
      </c>
      <c r="F893" s="95">
        <f ca="1" t="shared" si="70"/>
        <v>0</v>
      </c>
      <c r="G893" s="95">
        <f ca="1" t="shared" si="71"/>
        <v>0</v>
      </c>
      <c r="H893" s="95" cm="1">
        <f ca="1" t="array" ref="H893">MIN(30-SUM(I893:L893),_xlfn.XLOOKUP($D893&amp;"_"&amp;H$52,$B$14:$B$36&amp;"_"&amp;$C$14:$C$36,$D$14:$D$36)*$E893,18)</f>
        <v>15.0287</v>
      </c>
      <c r="I893" s="95" cm="1">
        <f ca="1" t="array" ref="I893">MIN(30-SUM(J893:L893),6-L893,_xlfn.XLOOKUP($D893&amp;"_"&amp;I$52,$B$14:$B$36&amp;"_"&amp;$C$14:$C$36,$D$14:$D$36)*$E893)</f>
        <v>1.42725</v>
      </c>
      <c r="J893" s="95" cm="1">
        <f ca="1" t="array" ref="J893">MIN(8,_xlfn.XLOOKUP($D893&amp;"_"&amp;J$52,$B$14:$B$36&amp;"_"&amp;$C$14:$C$36,$D$14:$D$36)*$E893)</f>
        <v>6.5325</v>
      </c>
      <c r="K893" s="95" cm="1">
        <f ca="1" t="array" ref="K893">MIN(18,_xlfn.XLOOKUP($D893&amp;"_"&amp;K$52,$B$14:$B$36&amp;"_"&amp;$C$14:$C$36,$D$14:$D$36)*$E893)</f>
        <v>2.4388</v>
      </c>
      <c r="L893" s="95" cm="1">
        <f ca="1" t="array" ref="L893">MIN(6,_xlfn.XLOOKUP($D893&amp;"_"&amp;L$52,$B$14:$B$36&amp;"_"&amp;$C$14:$C$36,$D$14:$D$36)*$E893)</f>
        <v>4.57275</v>
      </c>
      <c r="M893" s="95" cm="1">
        <f ca="1" t="array" ref="M893">(1+SUMPRODUCT(G893:H893,OFFSET($H$40:$I$40,D893,0)))*(1+OFFSET($J$40,D893,0))^I893*(1+OFFSET($K$40,D893,0))^J893*(1+OFFSET($L$40,D893,0))^K893*(1+OFFSET($M$40,D893,0))^L893</f>
        <v>187.546276258683</v>
      </c>
      <c r="N893" s="95">
        <f ca="1">MAX(MAX($N$53:N892),OFFSET($C$52,MATCH(M893*1.07,$M$53:$M$2052,1),0)-C893)</f>
        <v>10080</v>
      </c>
    </row>
    <row r="894" spans="2:14">
      <c r="B894" s="95">
        <v>842</v>
      </c>
      <c r="C894" s="95">
        <f t="shared" si="68"/>
        <v>303120</v>
      </c>
      <c r="D894" s="95">
        <f ca="1">_xlfn.XLOOKUP(总览!$B$44,$B$40:$B$45,$C$40:$C$45)</f>
        <v>5</v>
      </c>
      <c r="E894" s="95">
        <f ca="1" t="shared" si="69"/>
        <v>872</v>
      </c>
      <c r="F894" s="95">
        <f ca="1" t="shared" si="70"/>
        <v>0</v>
      </c>
      <c r="G894" s="95">
        <f ca="1" t="shared" si="71"/>
        <v>0</v>
      </c>
      <c r="H894" s="95" cm="1">
        <f ca="1" t="array" ref="H894">MIN(30-SUM(I894:L894),_xlfn.XLOOKUP($D894&amp;"_"&amp;H$52,$B$14:$B$36&amp;"_"&amp;$C$14:$C$36,$D$14:$D$36)*$E894,18)</f>
        <v>15.0184</v>
      </c>
      <c r="I894" s="95" cm="1">
        <f ca="1" t="array" ref="I894">MIN(30-SUM(J894:L894),6-L894,_xlfn.XLOOKUP($D894&amp;"_"&amp;I$52,$B$14:$B$36&amp;"_"&amp;$C$14:$C$36,$D$14:$D$36)*$E894)</f>
        <v>1.422</v>
      </c>
      <c r="J894" s="95" cm="1">
        <f ca="1" t="array" ref="J894">MIN(8,_xlfn.XLOOKUP($D894&amp;"_"&amp;J$52,$B$14:$B$36&amp;"_"&amp;$C$14:$C$36,$D$14:$D$36)*$E894)</f>
        <v>6.54</v>
      </c>
      <c r="K894" s="95" cm="1">
        <f ca="1" t="array" ref="K894">MIN(18,_xlfn.XLOOKUP($D894&amp;"_"&amp;K$52,$B$14:$B$36&amp;"_"&amp;$C$14:$C$36,$D$14:$D$36)*$E894)</f>
        <v>2.4416</v>
      </c>
      <c r="L894" s="95" cm="1">
        <f ca="1" t="array" ref="L894">MIN(6,_xlfn.XLOOKUP($D894&amp;"_"&amp;L$52,$B$14:$B$36&amp;"_"&amp;$C$14:$C$36,$D$14:$D$36)*$E894)</f>
        <v>4.578</v>
      </c>
      <c r="M894" s="95" cm="1">
        <f ca="1" t="array" ref="M894">(1+SUMPRODUCT(G894:H894,OFFSET($H$40:$I$40,D894,0)))*(1+OFFSET($J$40,D894,0))^I894*(1+OFFSET($K$40,D894,0))^J894*(1+OFFSET($L$40,D894,0))^K894*(1+OFFSET($M$40,D894,0))^L894</f>
        <v>187.990236640081</v>
      </c>
      <c r="N894" s="95">
        <f ca="1">MAX(MAX($N$53:N893),OFFSET($C$52,MATCH(M894*1.07,$M$53:$M$2052,1),0)-C894)</f>
        <v>10080</v>
      </c>
    </row>
    <row r="895" spans="2:14">
      <c r="B895" s="95">
        <v>843</v>
      </c>
      <c r="C895" s="95">
        <f t="shared" si="68"/>
        <v>303480</v>
      </c>
      <c r="D895" s="95">
        <f ca="1">_xlfn.XLOOKUP(总览!$B$44,$B$40:$B$45,$C$40:$C$45)</f>
        <v>5</v>
      </c>
      <c r="E895" s="95">
        <f ca="1" t="shared" si="69"/>
        <v>873</v>
      </c>
      <c r="F895" s="95">
        <f ca="1" t="shared" si="70"/>
        <v>0</v>
      </c>
      <c r="G895" s="95">
        <f ca="1" t="shared" si="71"/>
        <v>0</v>
      </c>
      <c r="H895" s="95" cm="1">
        <f ca="1" t="array" ref="H895">MIN(30-SUM(I895:L895),_xlfn.XLOOKUP($D895&amp;"_"&amp;H$52,$B$14:$B$36&amp;"_"&amp;$C$14:$C$36,$D$14:$D$36)*$E895,18)</f>
        <v>15.0081</v>
      </c>
      <c r="I895" s="95" cm="1">
        <f ca="1" t="array" ref="I895">MIN(30-SUM(J895:L895),6-L895,_xlfn.XLOOKUP($D895&amp;"_"&amp;I$52,$B$14:$B$36&amp;"_"&amp;$C$14:$C$36,$D$14:$D$36)*$E895)</f>
        <v>1.41675</v>
      </c>
      <c r="J895" s="95" cm="1">
        <f ca="1" t="array" ref="J895">MIN(8,_xlfn.XLOOKUP($D895&amp;"_"&amp;J$52,$B$14:$B$36&amp;"_"&amp;$C$14:$C$36,$D$14:$D$36)*$E895)</f>
        <v>6.5475</v>
      </c>
      <c r="K895" s="95" cm="1">
        <f ca="1" t="array" ref="K895">MIN(18,_xlfn.XLOOKUP($D895&amp;"_"&amp;K$52,$B$14:$B$36&amp;"_"&amp;$C$14:$C$36,$D$14:$D$36)*$E895)</f>
        <v>2.4444</v>
      </c>
      <c r="L895" s="95" cm="1">
        <f ca="1" t="array" ref="L895">MIN(6,_xlfn.XLOOKUP($D895&amp;"_"&amp;L$52,$B$14:$B$36&amp;"_"&amp;$C$14:$C$36,$D$14:$D$36)*$E895)</f>
        <v>4.58325</v>
      </c>
      <c r="M895" s="95" cm="1">
        <f ca="1" t="array" ref="M895">(1+SUMPRODUCT(G895:H895,OFFSET($H$40:$I$40,D895,0)))*(1+OFFSET($J$40,D895,0))^I895*(1+OFFSET($K$40,D895,0))^J895*(1+OFFSET($L$40,D895,0))^K895*(1+OFFSET($M$40,D895,0))^L895</f>
        <v>188.435198080568</v>
      </c>
      <c r="N895" s="95">
        <f ca="1">MAX(MAX($N$53:N894),OFFSET($C$52,MATCH(M895*1.07,$M$53:$M$2052,1),0)-C895)</f>
        <v>10080</v>
      </c>
    </row>
    <row r="896" spans="2:14">
      <c r="B896" s="95">
        <v>844</v>
      </c>
      <c r="C896" s="95">
        <f t="shared" si="68"/>
        <v>303840</v>
      </c>
      <c r="D896" s="95">
        <f ca="1">_xlfn.XLOOKUP(总览!$B$44,$B$40:$B$45,$C$40:$C$45)</f>
        <v>5</v>
      </c>
      <c r="E896" s="95">
        <f ca="1" t="shared" si="69"/>
        <v>874</v>
      </c>
      <c r="F896" s="95">
        <f ca="1" t="shared" si="70"/>
        <v>0</v>
      </c>
      <c r="G896" s="95">
        <f ca="1" t="shared" si="71"/>
        <v>0</v>
      </c>
      <c r="H896" s="95" cm="1">
        <f ca="1" t="array" ref="H896">MIN(30-SUM(I896:L896),_xlfn.XLOOKUP($D896&amp;"_"&amp;H$52,$B$14:$B$36&amp;"_"&amp;$C$14:$C$36,$D$14:$D$36)*$E896,18)</f>
        <v>14.9978</v>
      </c>
      <c r="I896" s="95" cm="1">
        <f ca="1" t="array" ref="I896">MIN(30-SUM(J896:L896),6-L896,_xlfn.XLOOKUP($D896&amp;"_"&amp;I$52,$B$14:$B$36&amp;"_"&amp;$C$14:$C$36,$D$14:$D$36)*$E896)</f>
        <v>1.4115</v>
      </c>
      <c r="J896" s="95" cm="1">
        <f ca="1" t="array" ref="J896">MIN(8,_xlfn.XLOOKUP($D896&amp;"_"&amp;J$52,$B$14:$B$36&amp;"_"&amp;$C$14:$C$36,$D$14:$D$36)*$E896)</f>
        <v>6.555</v>
      </c>
      <c r="K896" s="95" cm="1">
        <f ca="1" t="array" ref="K896">MIN(18,_xlfn.XLOOKUP($D896&amp;"_"&amp;K$52,$B$14:$B$36&amp;"_"&amp;$C$14:$C$36,$D$14:$D$36)*$E896)</f>
        <v>2.4472</v>
      </c>
      <c r="L896" s="95" cm="1">
        <f ca="1" t="array" ref="L896">MIN(6,_xlfn.XLOOKUP($D896&amp;"_"&amp;L$52,$B$14:$B$36&amp;"_"&amp;$C$14:$C$36,$D$14:$D$36)*$E896)</f>
        <v>4.5885</v>
      </c>
      <c r="M896" s="95" cm="1">
        <f ca="1" t="array" ref="M896">(1+SUMPRODUCT(G896:H896,OFFSET($H$40:$I$40,D896,0)))*(1+OFFSET($J$40,D896,0))^I896*(1+OFFSET($K$40,D896,0))^J896*(1+OFFSET($L$40,D896,0))^K896*(1+OFFSET($M$40,D896,0))^L896</f>
        <v>188.881162662217</v>
      </c>
      <c r="N896" s="95">
        <f ca="1">MAX(MAX($N$53:N895),OFFSET($C$52,MATCH(M896*1.07,$M$53:$M$2052,1),0)-C896)</f>
        <v>10080</v>
      </c>
    </row>
    <row r="897" spans="2:14">
      <c r="B897" s="95">
        <v>845</v>
      </c>
      <c r="C897" s="95">
        <f t="shared" si="68"/>
        <v>304200</v>
      </c>
      <c r="D897" s="95">
        <f ca="1">_xlfn.XLOOKUP(总览!$B$44,$B$40:$B$45,$C$40:$C$45)</f>
        <v>5</v>
      </c>
      <c r="E897" s="95">
        <f ca="1" t="shared" si="69"/>
        <v>875</v>
      </c>
      <c r="F897" s="95">
        <f ca="1" t="shared" si="70"/>
        <v>0</v>
      </c>
      <c r="G897" s="95">
        <f ca="1" t="shared" si="71"/>
        <v>0</v>
      </c>
      <c r="H897" s="95" cm="1">
        <f ca="1" t="array" ref="H897">MIN(30-SUM(I897:L897),_xlfn.XLOOKUP($D897&amp;"_"&amp;H$52,$B$14:$B$36&amp;"_"&amp;$C$14:$C$36,$D$14:$D$36)*$E897,18)</f>
        <v>14.9875</v>
      </c>
      <c r="I897" s="95" cm="1">
        <f ca="1" t="array" ref="I897">MIN(30-SUM(J897:L897),6-L897,_xlfn.XLOOKUP($D897&amp;"_"&amp;I$52,$B$14:$B$36&amp;"_"&amp;$C$14:$C$36,$D$14:$D$36)*$E897)</f>
        <v>1.40625</v>
      </c>
      <c r="J897" s="95" cm="1">
        <f ca="1" t="array" ref="J897">MIN(8,_xlfn.XLOOKUP($D897&amp;"_"&amp;J$52,$B$14:$B$36&amp;"_"&amp;$C$14:$C$36,$D$14:$D$36)*$E897)</f>
        <v>6.5625</v>
      </c>
      <c r="K897" s="95" cm="1">
        <f ca="1" t="array" ref="K897">MIN(18,_xlfn.XLOOKUP($D897&amp;"_"&amp;K$52,$B$14:$B$36&amp;"_"&amp;$C$14:$C$36,$D$14:$D$36)*$E897)</f>
        <v>2.45</v>
      </c>
      <c r="L897" s="95" cm="1">
        <f ca="1" t="array" ref="L897">MIN(6,_xlfn.XLOOKUP($D897&amp;"_"&amp;L$52,$B$14:$B$36&amp;"_"&amp;$C$14:$C$36,$D$14:$D$36)*$E897)</f>
        <v>4.59375</v>
      </c>
      <c r="M897" s="95" cm="1">
        <f ca="1" t="array" ref="M897">(1+SUMPRODUCT(G897:H897,OFFSET($H$40:$I$40,D897,0)))*(1+OFFSET($J$40,D897,0))^I897*(1+OFFSET($K$40,D897,0))^J897*(1+OFFSET($L$40,D897,0))^K897*(1+OFFSET($M$40,D897,0))^L897</f>
        <v>189.328132470788</v>
      </c>
      <c r="N897" s="95">
        <f ca="1">MAX(MAX($N$53:N896),OFFSET($C$52,MATCH(M897*1.07,$M$53:$M$2052,1),0)-C897)</f>
        <v>10080</v>
      </c>
    </row>
    <row r="898" spans="2:14">
      <c r="B898" s="95">
        <v>846</v>
      </c>
      <c r="C898" s="95">
        <f t="shared" si="68"/>
        <v>304560</v>
      </c>
      <c r="D898" s="95">
        <f ca="1">_xlfn.XLOOKUP(总览!$B$44,$B$40:$B$45,$C$40:$C$45)</f>
        <v>5</v>
      </c>
      <c r="E898" s="95">
        <f ca="1" t="shared" si="69"/>
        <v>876</v>
      </c>
      <c r="F898" s="95">
        <f ca="1" t="shared" si="70"/>
        <v>0</v>
      </c>
      <c r="G898" s="95">
        <f ca="1" t="shared" si="71"/>
        <v>0</v>
      </c>
      <c r="H898" s="95" cm="1">
        <f ca="1" t="array" ref="H898">MIN(30-SUM(I898:L898),_xlfn.XLOOKUP($D898&amp;"_"&amp;H$52,$B$14:$B$36&amp;"_"&amp;$C$14:$C$36,$D$14:$D$36)*$E898,18)</f>
        <v>14.9772</v>
      </c>
      <c r="I898" s="95" cm="1">
        <f ca="1" t="array" ref="I898">MIN(30-SUM(J898:L898),6-L898,_xlfn.XLOOKUP($D898&amp;"_"&amp;I$52,$B$14:$B$36&amp;"_"&amp;$C$14:$C$36,$D$14:$D$36)*$E898)</f>
        <v>1.401</v>
      </c>
      <c r="J898" s="95" cm="1">
        <f ca="1" t="array" ref="J898">MIN(8,_xlfn.XLOOKUP($D898&amp;"_"&amp;J$52,$B$14:$B$36&amp;"_"&amp;$C$14:$C$36,$D$14:$D$36)*$E898)</f>
        <v>6.57</v>
      </c>
      <c r="K898" s="95" cm="1">
        <f ca="1" t="array" ref="K898">MIN(18,_xlfn.XLOOKUP($D898&amp;"_"&amp;K$52,$B$14:$B$36&amp;"_"&amp;$C$14:$C$36,$D$14:$D$36)*$E898)</f>
        <v>2.4528</v>
      </c>
      <c r="L898" s="95" cm="1">
        <f ca="1" t="array" ref="L898">MIN(6,_xlfn.XLOOKUP($D898&amp;"_"&amp;L$52,$B$14:$B$36&amp;"_"&amp;$C$14:$C$36,$D$14:$D$36)*$E898)</f>
        <v>4.599</v>
      </c>
      <c r="M898" s="95" cm="1">
        <f ca="1" t="array" ref="M898">(1+SUMPRODUCT(G898:H898,OFFSET($H$40:$I$40,D898,0)))*(1+OFFSET($J$40,D898,0))^I898*(1+OFFSET($K$40,D898,0))^J898*(1+OFFSET($L$40,D898,0))^K898*(1+OFFSET($M$40,D898,0))^L898</f>
        <v>189.776109595729</v>
      </c>
      <c r="N898" s="95">
        <f ca="1">MAX(MAX($N$53:N897),OFFSET($C$52,MATCH(M898*1.07,$M$53:$M$2052,1),0)-C898)</f>
        <v>10080</v>
      </c>
    </row>
    <row r="899" spans="2:14">
      <c r="B899" s="95">
        <v>847</v>
      </c>
      <c r="C899" s="95">
        <f t="shared" si="68"/>
        <v>304920</v>
      </c>
      <c r="D899" s="95">
        <f ca="1">_xlfn.XLOOKUP(总览!$B$44,$B$40:$B$45,$C$40:$C$45)</f>
        <v>5</v>
      </c>
      <c r="E899" s="95">
        <f ca="1" t="shared" si="69"/>
        <v>877</v>
      </c>
      <c r="F899" s="95">
        <f ca="1" t="shared" si="70"/>
        <v>0</v>
      </c>
      <c r="G899" s="95">
        <f ca="1" t="shared" si="71"/>
        <v>0</v>
      </c>
      <c r="H899" s="95" cm="1">
        <f ca="1" t="array" ref="H899">MIN(30-SUM(I899:L899),_xlfn.XLOOKUP($D899&amp;"_"&amp;H$52,$B$14:$B$36&amp;"_"&amp;$C$14:$C$36,$D$14:$D$36)*$E899,18)</f>
        <v>14.9669</v>
      </c>
      <c r="I899" s="95" cm="1">
        <f ca="1" t="array" ref="I899">MIN(30-SUM(J899:L899),6-L899,_xlfn.XLOOKUP($D899&amp;"_"&amp;I$52,$B$14:$B$36&amp;"_"&amp;$C$14:$C$36,$D$14:$D$36)*$E899)</f>
        <v>1.39575</v>
      </c>
      <c r="J899" s="95" cm="1">
        <f ca="1" t="array" ref="J899">MIN(8,_xlfn.XLOOKUP($D899&amp;"_"&amp;J$52,$B$14:$B$36&amp;"_"&amp;$C$14:$C$36,$D$14:$D$36)*$E899)</f>
        <v>6.5775</v>
      </c>
      <c r="K899" s="95" cm="1">
        <f ca="1" t="array" ref="K899">MIN(18,_xlfn.XLOOKUP($D899&amp;"_"&amp;K$52,$B$14:$B$36&amp;"_"&amp;$C$14:$C$36,$D$14:$D$36)*$E899)</f>
        <v>2.4556</v>
      </c>
      <c r="L899" s="95" cm="1">
        <f ca="1" t="array" ref="L899">MIN(6,_xlfn.XLOOKUP($D899&amp;"_"&amp;L$52,$B$14:$B$36&amp;"_"&amp;$C$14:$C$36,$D$14:$D$36)*$E899)</f>
        <v>4.60425</v>
      </c>
      <c r="M899" s="95" cm="1">
        <f ca="1" t="array" ref="M899">(1+SUMPRODUCT(G899:H899,OFFSET($H$40:$I$40,D899,0)))*(1+OFFSET($J$40,D899,0))^I899*(1+OFFSET($K$40,D899,0))^J899*(1+OFFSET($L$40,D899,0))^K899*(1+OFFSET($M$40,D899,0))^L899</f>
        <v>190.225096130181</v>
      </c>
      <c r="N899" s="95">
        <f ca="1">MAX(MAX($N$53:N898),OFFSET($C$52,MATCH(M899*1.07,$M$53:$M$2052,1),0)-C899)</f>
        <v>10080</v>
      </c>
    </row>
    <row r="900" spans="2:14">
      <c r="B900" s="95">
        <v>848</v>
      </c>
      <c r="C900" s="95">
        <f t="shared" si="68"/>
        <v>305280</v>
      </c>
      <c r="D900" s="95">
        <f ca="1">_xlfn.XLOOKUP(总览!$B$44,$B$40:$B$45,$C$40:$C$45)</f>
        <v>5</v>
      </c>
      <c r="E900" s="95">
        <f ca="1" t="shared" si="69"/>
        <v>878</v>
      </c>
      <c r="F900" s="95">
        <f ca="1" t="shared" si="70"/>
        <v>0</v>
      </c>
      <c r="G900" s="95">
        <f ca="1" t="shared" si="71"/>
        <v>0</v>
      </c>
      <c r="H900" s="95" cm="1">
        <f ca="1" t="array" ref="H900">MIN(30-SUM(I900:L900),_xlfn.XLOOKUP($D900&amp;"_"&amp;H$52,$B$14:$B$36&amp;"_"&amp;$C$14:$C$36,$D$14:$D$36)*$E900,18)</f>
        <v>14.9566</v>
      </c>
      <c r="I900" s="95" cm="1">
        <f ca="1" t="array" ref="I900">MIN(30-SUM(J900:L900),6-L900,_xlfn.XLOOKUP($D900&amp;"_"&amp;I$52,$B$14:$B$36&amp;"_"&amp;$C$14:$C$36,$D$14:$D$36)*$E900)</f>
        <v>1.3905</v>
      </c>
      <c r="J900" s="95" cm="1">
        <f ca="1" t="array" ref="J900">MIN(8,_xlfn.XLOOKUP($D900&amp;"_"&amp;J$52,$B$14:$B$36&amp;"_"&amp;$C$14:$C$36,$D$14:$D$36)*$E900)</f>
        <v>6.585</v>
      </c>
      <c r="K900" s="95" cm="1">
        <f ca="1" t="array" ref="K900">MIN(18,_xlfn.XLOOKUP($D900&amp;"_"&amp;K$52,$B$14:$B$36&amp;"_"&amp;$C$14:$C$36,$D$14:$D$36)*$E900)</f>
        <v>2.4584</v>
      </c>
      <c r="L900" s="95" cm="1">
        <f ca="1" t="array" ref="L900">MIN(6,_xlfn.XLOOKUP($D900&amp;"_"&amp;L$52,$B$14:$B$36&amp;"_"&amp;$C$14:$C$36,$D$14:$D$36)*$E900)</f>
        <v>4.6095</v>
      </c>
      <c r="M900" s="95" cm="1">
        <f ca="1" t="array" ref="M900">(1+SUMPRODUCT(G900:H900,OFFSET($H$40:$I$40,D900,0)))*(1+OFFSET($J$40,D900,0))^I900*(1+OFFSET($K$40,D900,0))^J900*(1+OFFSET($L$40,D900,0))^K900*(1+OFFSET($M$40,D900,0))^L900</f>
        <v>190.675094170981</v>
      </c>
      <c r="N900" s="95">
        <f ca="1">MAX(MAX($N$53:N899),OFFSET($C$52,MATCH(M900*1.07,$M$53:$M$2052,1),0)-C900)</f>
        <v>10080</v>
      </c>
    </row>
    <row r="901" spans="2:14">
      <c r="B901" s="95">
        <v>849</v>
      </c>
      <c r="C901" s="95">
        <f t="shared" si="68"/>
        <v>305640</v>
      </c>
      <c r="D901" s="95">
        <f ca="1">_xlfn.XLOOKUP(总览!$B$44,$B$40:$B$45,$C$40:$C$45)</f>
        <v>5</v>
      </c>
      <c r="E901" s="95">
        <f ca="1" t="shared" si="69"/>
        <v>879</v>
      </c>
      <c r="F901" s="95">
        <f ca="1" t="shared" si="70"/>
        <v>0</v>
      </c>
      <c r="G901" s="95">
        <f ca="1" t="shared" si="71"/>
        <v>0</v>
      </c>
      <c r="H901" s="95" cm="1">
        <f ca="1" t="array" ref="H901">MIN(30-SUM(I901:L901),_xlfn.XLOOKUP($D901&amp;"_"&amp;H$52,$B$14:$B$36&amp;"_"&amp;$C$14:$C$36,$D$14:$D$36)*$E901,18)</f>
        <v>14.9463</v>
      </c>
      <c r="I901" s="95" cm="1">
        <f ca="1" t="array" ref="I901">MIN(30-SUM(J901:L901),6-L901,_xlfn.XLOOKUP($D901&amp;"_"&amp;I$52,$B$14:$B$36&amp;"_"&amp;$C$14:$C$36,$D$14:$D$36)*$E901)</f>
        <v>1.38525</v>
      </c>
      <c r="J901" s="95" cm="1">
        <f ca="1" t="array" ref="J901">MIN(8,_xlfn.XLOOKUP($D901&amp;"_"&amp;J$52,$B$14:$B$36&amp;"_"&amp;$C$14:$C$36,$D$14:$D$36)*$E901)</f>
        <v>6.5925</v>
      </c>
      <c r="K901" s="95" cm="1">
        <f ca="1" t="array" ref="K901">MIN(18,_xlfn.XLOOKUP($D901&amp;"_"&amp;K$52,$B$14:$B$36&amp;"_"&amp;$C$14:$C$36,$D$14:$D$36)*$E901)</f>
        <v>2.4612</v>
      </c>
      <c r="L901" s="95" cm="1">
        <f ca="1" t="array" ref="L901">MIN(6,_xlfn.XLOOKUP($D901&amp;"_"&amp;L$52,$B$14:$B$36&amp;"_"&amp;$C$14:$C$36,$D$14:$D$36)*$E901)</f>
        <v>4.61475</v>
      </c>
      <c r="M901" s="95" cm="1">
        <f ca="1" t="array" ref="M901">(1+SUMPRODUCT(G901:H901,OFFSET($H$40:$I$40,D901,0)))*(1+OFFSET($J$40,D901,0))^I901*(1+OFFSET($K$40,D901,0))^J901*(1+OFFSET($L$40,D901,0))^K901*(1+OFFSET($M$40,D901,0))^L901</f>
        <v>191.126105818667</v>
      </c>
      <c r="N901" s="95">
        <f ca="1">MAX(MAX($N$53:N900),OFFSET($C$52,MATCH(M901*1.07,$M$53:$M$2052,1),0)-C901)</f>
        <v>10080</v>
      </c>
    </row>
    <row r="902" spans="2:14">
      <c r="B902" s="95">
        <v>850</v>
      </c>
      <c r="C902" s="95">
        <f t="shared" si="68"/>
        <v>306000</v>
      </c>
      <c r="D902" s="95">
        <f ca="1">_xlfn.XLOOKUP(总览!$B$44,$B$40:$B$45,$C$40:$C$45)</f>
        <v>5</v>
      </c>
      <c r="E902" s="95">
        <f ca="1" t="shared" si="69"/>
        <v>880</v>
      </c>
      <c r="F902" s="95">
        <f ca="1" t="shared" si="70"/>
        <v>0</v>
      </c>
      <c r="G902" s="95">
        <f ca="1" t="shared" si="71"/>
        <v>0</v>
      </c>
      <c r="H902" s="95" cm="1">
        <f ca="1" t="array" ref="H902">MIN(30-SUM(I902:L902),_xlfn.XLOOKUP($D902&amp;"_"&amp;H$52,$B$14:$B$36&amp;"_"&amp;$C$14:$C$36,$D$14:$D$36)*$E902,18)</f>
        <v>14.936</v>
      </c>
      <c r="I902" s="95" cm="1">
        <f ca="1" t="array" ref="I902">MIN(30-SUM(J902:L902),6-L902,_xlfn.XLOOKUP($D902&amp;"_"&amp;I$52,$B$14:$B$36&amp;"_"&amp;$C$14:$C$36,$D$14:$D$36)*$E902)</f>
        <v>1.38</v>
      </c>
      <c r="J902" s="95" cm="1">
        <f ca="1" t="array" ref="J902">MIN(8,_xlfn.XLOOKUP($D902&amp;"_"&amp;J$52,$B$14:$B$36&amp;"_"&amp;$C$14:$C$36,$D$14:$D$36)*$E902)</f>
        <v>6.6</v>
      </c>
      <c r="K902" s="95" cm="1">
        <f ca="1" t="array" ref="K902">MIN(18,_xlfn.XLOOKUP($D902&amp;"_"&amp;K$52,$B$14:$B$36&amp;"_"&amp;$C$14:$C$36,$D$14:$D$36)*$E902)</f>
        <v>2.464</v>
      </c>
      <c r="L902" s="95" cm="1">
        <f ca="1" t="array" ref="L902">MIN(6,_xlfn.XLOOKUP($D902&amp;"_"&amp;L$52,$B$14:$B$36&amp;"_"&amp;$C$14:$C$36,$D$14:$D$36)*$E902)</f>
        <v>4.62</v>
      </c>
      <c r="M902" s="95" cm="1">
        <f ca="1" t="array" ref="M902">(1+SUMPRODUCT(G902:H902,OFFSET($H$40:$I$40,D902,0)))*(1+OFFSET($J$40,D902,0))^I902*(1+OFFSET($K$40,D902,0))^J902*(1+OFFSET($L$40,D902,0))^K902*(1+OFFSET($M$40,D902,0))^L902</f>
        <v>191.578133177481</v>
      </c>
      <c r="N902" s="95">
        <f ca="1">MAX(MAX($N$53:N901),OFFSET($C$52,MATCH(M902*1.07,$M$53:$M$2052,1),0)-C902)</f>
        <v>10080</v>
      </c>
    </row>
    <row r="903" spans="2:14">
      <c r="B903" s="95">
        <v>851</v>
      </c>
      <c r="C903" s="95">
        <f t="shared" si="68"/>
        <v>306360</v>
      </c>
      <c r="D903" s="95">
        <f ca="1">_xlfn.XLOOKUP(总览!$B$44,$B$40:$B$45,$C$40:$C$45)</f>
        <v>5</v>
      </c>
      <c r="E903" s="95">
        <f ca="1" t="shared" si="69"/>
        <v>881</v>
      </c>
      <c r="F903" s="95">
        <f ca="1" t="shared" si="70"/>
        <v>0</v>
      </c>
      <c r="G903" s="95">
        <f ca="1" t="shared" si="71"/>
        <v>0</v>
      </c>
      <c r="H903" s="95" cm="1">
        <f ca="1" t="array" ref="H903">MIN(30-SUM(I903:L903),_xlfn.XLOOKUP($D903&amp;"_"&amp;H$52,$B$14:$B$36&amp;"_"&amp;$C$14:$C$36,$D$14:$D$36)*$E903,18)</f>
        <v>14.9257</v>
      </c>
      <c r="I903" s="95" cm="1">
        <f ca="1" t="array" ref="I903">MIN(30-SUM(J903:L903),6-L903,_xlfn.XLOOKUP($D903&amp;"_"&amp;I$52,$B$14:$B$36&amp;"_"&amp;$C$14:$C$36,$D$14:$D$36)*$E903)</f>
        <v>1.37475</v>
      </c>
      <c r="J903" s="95" cm="1">
        <f ca="1" t="array" ref="J903">MIN(8,_xlfn.XLOOKUP($D903&amp;"_"&amp;J$52,$B$14:$B$36&amp;"_"&amp;$C$14:$C$36,$D$14:$D$36)*$E903)</f>
        <v>6.6075</v>
      </c>
      <c r="K903" s="95" cm="1">
        <f ca="1" t="array" ref="K903">MIN(18,_xlfn.XLOOKUP($D903&amp;"_"&amp;K$52,$B$14:$B$36&amp;"_"&amp;$C$14:$C$36,$D$14:$D$36)*$E903)</f>
        <v>2.4668</v>
      </c>
      <c r="L903" s="95" cm="1">
        <f ca="1" t="array" ref="L903">MIN(6,_xlfn.XLOOKUP($D903&amp;"_"&amp;L$52,$B$14:$B$36&amp;"_"&amp;$C$14:$C$36,$D$14:$D$36)*$E903)</f>
        <v>4.62525</v>
      </c>
      <c r="M903" s="95" cm="1">
        <f ca="1" t="array" ref="M903">(1+SUMPRODUCT(G903:H903,OFFSET($H$40:$I$40,D903,0)))*(1+OFFSET($J$40,D903,0))^I903*(1+OFFSET($K$40,D903,0))^J903*(1+OFFSET($L$40,D903,0))^K903*(1+OFFSET($M$40,D903,0))^L903</f>
        <v>192.031178355375</v>
      </c>
      <c r="N903" s="95">
        <f ca="1">MAX(MAX($N$53:N902),OFFSET($C$52,MATCH(M903*1.07,$M$53:$M$2052,1),0)-C903)</f>
        <v>10080</v>
      </c>
    </row>
    <row r="904" spans="2:14">
      <c r="B904" s="95">
        <v>852</v>
      </c>
      <c r="C904" s="95">
        <f t="shared" ref="C904:C967" si="72">C903+360</f>
        <v>306720</v>
      </c>
      <c r="D904" s="95">
        <f ca="1">_xlfn.XLOOKUP(总览!$B$44,$B$40:$B$45,$C$40:$C$45)</f>
        <v>5</v>
      </c>
      <c r="E904" s="95">
        <f ca="1" t="shared" si="69"/>
        <v>882</v>
      </c>
      <c r="F904" s="95">
        <f ca="1" t="shared" si="70"/>
        <v>0</v>
      </c>
      <c r="G904" s="95">
        <f ca="1" t="shared" si="71"/>
        <v>0</v>
      </c>
      <c r="H904" s="95" cm="1">
        <f ca="1" t="array" ref="H904">MIN(30-SUM(I904:L904),_xlfn.XLOOKUP($D904&amp;"_"&amp;H$52,$B$14:$B$36&amp;"_"&amp;$C$14:$C$36,$D$14:$D$36)*$E904,18)</f>
        <v>14.9154</v>
      </c>
      <c r="I904" s="95" cm="1">
        <f ca="1" t="array" ref="I904">MIN(30-SUM(J904:L904),6-L904,_xlfn.XLOOKUP($D904&amp;"_"&amp;I$52,$B$14:$B$36&amp;"_"&amp;$C$14:$C$36,$D$14:$D$36)*$E904)</f>
        <v>1.3695</v>
      </c>
      <c r="J904" s="95" cm="1">
        <f ca="1" t="array" ref="J904">MIN(8,_xlfn.XLOOKUP($D904&amp;"_"&amp;J$52,$B$14:$B$36&amp;"_"&amp;$C$14:$C$36,$D$14:$D$36)*$E904)</f>
        <v>6.615</v>
      </c>
      <c r="K904" s="95" cm="1">
        <f ca="1" t="array" ref="K904">MIN(18,_xlfn.XLOOKUP($D904&amp;"_"&amp;K$52,$B$14:$B$36&amp;"_"&amp;$C$14:$C$36,$D$14:$D$36)*$E904)</f>
        <v>2.4696</v>
      </c>
      <c r="L904" s="95" cm="1">
        <f ca="1" t="array" ref="L904">MIN(6,_xlfn.XLOOKUP($D904&amp;"_"&amp;L$52,$B$14:$B$36&amp;"_"&amp;$C$14:$C$36,$D$14:$D$36)*$E904)</f>
        <v>4.6305</v>
      </c>
      <c r="M904" s="95" cm="1">
        <f ca="1" t="array" ref="M904">(1+SUMPRODUCT(G904:H904,OFFSET($H$40:$I$40,D904,0)))*(1+OFFSET($J$40,D904,0))^I904*(1+OFFSET($K$40,D904,0))^J904*(1+OFFSET($L$40,D904,0))^K904*(1+OFFSET($M$40,D904,0))^L904</f>
        <v>192.485243464011</v>
      </c>
      <c r="N904" s="95">
        <f ca="1">MAX(MAX($N$53:N903),OFFSET($C$52,MATCH(M904*1.07,$M$53:$M$2052,1),0)-C904)</f>
        <v>10080</v>
      </c>
    </row>
    <row r="905" spans="2:14">
      <c r="B905" s="95">
        <v>853</v>
      </c>
      <c r="C905" s="95">
        <f t="shared" si="72"/>
        <v>307080</v>
      </c>
      <c r="D905" s="95">
        <f ca="1">_xlfn.XLOOKUP(总览!$B$44,$B$40:$B$45,$C$40:$C$45)</f>
        <v>5</v>
      </c>
      <c r="E905" s="95">
        <f ca="1" t="shared" si="69"/>
        <v>883</v>
      </c>
      <c r="F905" s="95">
        <f ca="1" t="shared" si="70"/>
        <v>0</v>
      </c>
      <c r="G905" s="95">
        <f ca="1" t="shared" si="71"/>
        <v>0</v>
      </c>
      <c r="H905" s="95" cm="1">
        <f ca="1" t="array" ref="H905">MIN(30-SUM(I905:L905),_xlfn.XLOOKUP($D905&amp;"_"&amp;H$52,$B$14:$B$36&amp;"_"&amp;$C$14:$C$36,$D$14:$D$36)*$E905,18)</f>
        <v>14.9051</v>
      </c>
      <c r="I905" s="95" cm="1">
        <f ca="1" t="array" ref="I905">MIN(30-SUM(J905:L905),6-L905,_xlfn.XLOOKUP($D905&amp;"_"&amp;I$52,$B$14:$B$36&amp;"_"&amp;$C$14:$C$36,$D$14:$D$36)*$E905)</f>
        <v>1.36425</v>
      </c>
      <c r="J905" s="95" cm="1">
        <f ca="1" t="array" ref="J905">MIN(8,_xlfn.XLOOKUP($D905&amp;"_"&amp;J$52,$B$14:$B$36&amp;"_"&amp;$C$14:$C$36,$D$14:$D$36)*$E905)</f>
        <v>6.6225</v>
      </c>
      <c r="K905" s="95" cm="1">
        <f ca="1" t="array" ref="K905">MIN(18,_xlfn.XLOOKUP($D905&amp;"_"&amp;K$52,$B$14:$B$36&amp;"_"&amp;$C$14:$C$36,$D$14:$D$36)*$E905)</f>
        <v>2.4724</v>
      </c>
      <c r="L905" s="95" cm="1">
        <f ca="1" t="array" ref="L905">MIN(6,_xlfn.XLOOKUP($D905&amp;"_"&amp;L$52,$B$14:$B$36&amp;"_"&amp;$C$14:$C$36,$D$14:$D$36)*$E905)</f>
        <v>4.63575</v>
      </c>
      <c r="M905" s="95" cm="1">
        <f ca="1" t="array" ref="M905">(1+SUMPRODUCT(G905:H905,OFFSET($H$40:$I$40,D905,0)))*(1+OFFSET($J$40,D905,0))^I905*(1+OFFSET($K$40,D905,0))^J905*(1+OFFSET($L$40,D905,0))^K905*(1+OFFSET($M$40,D905,0))^L905</f>
        <v>192.940330618769</v>
      </c>
      <c r="N905" s="95">
        <f ca="1">MAX(MAX($N$53:N904),OFFSET($C$52,MATCH(M905*1.07,$M$53:$M$2052,1),0)-C905)</f>
        <v>10080</v>
      </c>
    </row>
    <row r="906" spans="2:14">
      <c r="B906" s="95">
        <v>854</v>
      </c>
      <c r="C906" s="95">
        <f t="shared" si="72"/>
        <v>307440</v>
      </c>
      <c r="D906" s="95">
        <f ca="1">_xlfn.XLOOKUP(总览!$B$44,$B$40:$B$45,$C$40:$C$45)</f>
        <v>5</v>
      </c>
      <c r="E906" s="95">
        <f ca="1" t="shared" si="69"/>
        <v>884</v>
      </c>
      <c r="F906" s="95">
        <f ca="1" t="shared" si="70"/>
        <v>0</v>
      </c>
      <c r="G906" s="95">
        <f ca="1" t="shared" si="71"/>
        <v>0</v>
      </c>
      <c r="H906" s="95" cm="1">
        <f ca="1" t="array" ref="H906">MIN(30-SUM(I906:L906),_xlfn.XLOOKUP($D906&amp;"_"&amp;H$52,$B$14:$B$36&amp;"_"&amp;$C$14:$C$36,$D$14:$D$36)*$E906,18)</f>
        <v>14.8948</v>
      </c>
      <c r="I906" s="95" cm="1">
        <f ca="1" t="array" ref="I906">MIN(30-SUM(J906:L906),6-L906,_xlfn.XLOOKUP($D906&amp;"_"&amp;I$52,$B$14:$B$36&amp;"_"&amp;$C$14:$C$36,$D$14:$D$36)*$E906)</f>
        <v>1.359</v>
      </c>
      <c r="J906" s="95" cm="1">
        <f ca="1" t="array" ref="J906">MIN(8,_xlfn.XLOOKUP($D906&amp;"_"&amp;J$52,$B$14:$B$36&amp;"_"&amp;$C$14:$C$36,$D$14:$D$36)*$E906)</f>
        <v>6.63</v>
      </c>
      <c r="K906" s="95" cm="1">
        <f ca="1" t="array" ref="K906">MIN(18,_xlfn.XLOOKUP($D906&amp;"_"&amp;K$52,$B$14:$B$36&amp;"_"&amp;$C$14:$C$36,$D$14:$D$36)*$E906)</f>
        <v>2.4752</v>
      </c>
      <c r="L906" s="95" cm="1">
        <f ca="1" t="array" ref="L906">MIN(6,_xlfn.XLOOKUP($D906&amp;"_"&amp;L$52,$B$14:$B$36&amp;"_"&amp;$C$14:$C$36,$D$14:$D$36)*$E906)</f>
        <v>4.641</v>
      </c>
      <c r="M906" s="95" cm="1">
        <f ca="1" t="array" ref="M906">(1+SUMPRODUCT(G906:H906,OFFSET($H$40:$I$40,D906,0)))*(1+OFFSET($J$40,D906,0))^I906*(1+OFFSET($K$40,D906,0))^J906*(1+OFFSET($L$40,D906,0))^K906*(1+OFFSET($M$40,D906,0))^L906</f>
        <v>193.396441938748</v>
      </c>
      <c r="N906" s="95">
        <f ca="1">MAX(MAX($N$53:N905),OFFSET($C$52,MATCH(M906*1.07,$M$53:$M$2052,1),0)-C906)</f>
        <v>10080</v>
      </c>
    </row>
    <row r="907" spans="2:14">
      <c r="B907" s="95">
        <v>855</v>
      </c>
      <c r="C907" s="95">
        <f t="shared" si="72"/>
        <v>307800</v>
      </c>
      <c r="D907" s="95">
        <f ca="1">_xlfn.XLOOKUP(总览!$B$44,$B$40:$B$45,$C$40:$C$45)</f>
        <v>5</v>
      </c>
      <c r="E907" s="95">
        <f ca="1" t="shared" si="69"/>
        <v>885</v>
      </c>
      <c r="F907" s="95">
        <f ca="1" t="shared" si="70"/>
        <v>0</v>
      </c>
      <c r="G907" s="95">
        <f ca="1" t="shared" si="71"/>
        <v>0</v>
      </c>
      <c r="H907" s="95" cm="1">
        <f ca="1" t="array" ref="H907">MIN(30-SUM(I907:L907),_xlfn.XLOOKUP($D907&amp;"_"&amp;H$52,$B$14:$B$36&amp;"_"&amp;$C$14:$C$36,$D$14:$D$36)*$E907,18)</f>
        <v>14.8845</v>
      </c>
      <c r="I907" s="95" cm="1">
        <f ca="1" t="array" ref="I907">MIN(30-SUM(J907:L907),6-L907,_xlfn.XLOOKUP($D907&amp;"_"&amp;I$52,$B$14:$B$36&amp;"_"&amp;$C$14:$C$36,$D$14:$D$36)*$E907)</f>
        <v>1.35375</v>
      </c>
      <c r="J907" s="95" cm="1">
        <f ca="1" t="array" ref="J907">MIN(8,_xlfn.XLOOKUP($D907&amp;"_"&amp;J$52,$B$14:$B$36&amp;"_"&amp;$C$14:$C$36,$D$14:$D$36)*$E907)</f>
        <v>6.6375</v>
      </c>
      <c r="K907" s="95" cm="1">
        <f ca="1" t="array" ref="K907">MIN(18,_xlfn.XLOOKUP($D907&amp;"_"&amp;K$52,$B$14:$B$36&amp;"_"&amp;$C$14:$C$36,$D$14:$D$36)*$E907)</f>
        <v>2.478</v>
      </c>
      <c r="L907" s="95" cm="1">
        <f ca="1" t="array" ref="L907">MIN(6,_xlfn.XLOOKUP($D907&amp;"_"&amp;L$52,$B$14:$B$36&amp;"_"&amp;$C$14:$C$36,$D$14:$D$36)*$E907)</f>
        <v>4.64625</v>
      </c>
      <c r="M907" s="95" cm="1">
        <f ca="1" t="array" ref="M907">(1+SUMPRODUCT(G907:H907,OFFSET($H$40:$I$40,D907,0)))*(1+OFFSET($J$40,D907,0))^I907*(1+OFFSET($K$40,D907,0))^J907*(1+OFFSET($L$40,D907,0))^K907*(1+OFFSET($M$40,D907,0))^L907</f>
        <v>193.85357954677</v>
      </c>
      <c r="N907" s="95">
        <f ca="1">MAX(MAX($N$53:N906),OFFSET($C$52,MATCH(M907*1.07,$M$53:$M$2052,1),0)-C907)</f>
        <v>10080</v>
      </c>
    </row>
    <row r="908" spans="2:14">
      <c r="B908" s="95">
        <v>856</v>
      </c>
      <c r="C908" s="95">
        <f t="shared" si="72"/>
        <v>308160</v>
      </c>
      <c r="D908" s="95">
        <f ca="1">_xlfn.XLOOKUP(总览!$B$44,$B$40:$B$45,$C$40:$C$45)</f>
        <v>5</v>
      </c>
      <c r="E908" s="95">
        <f ca="1" t="shared" si="69"/>
        <v>886</v>
      </c>
      <c r="F908" s="95">
        <f ca="1" t="shared" si="70"/>
        <v>0</v>
      </c>
      <c r="G908" s="95">
        <f ca="1" t="shared" si="71"/>
        <v>0</v>
      </c>
      <c r="H908" s="95" cm="1">
        <f ca="1" t="array" ref="H908">MIN(30-SUM(I908:L908),_xlfn.XLOOKUP($D908&amp;"_"&amp;H$52,$B$14:$B$36&amp;"_"&amp;$C$14:$C$36,$D$14:$D$36)*$E908,18)</f>
        <v>14.8742</v>
      </c>
      <c r="I908" s="95" cm="1">
        <f ca="1" t="array" ref="I908">MIN(30-SUM(J908:L908),6-L908,_xlfn.XLOOKUP($D908&amp;"_"&amp;I$52,$B$14:$B$36&amp;"_"&amp;$C$14:$C$36,$D$14:$D$36)*$E908)</f>
        <v>1.3485</v>
      </c>
      <c r="J908" s="95" cm="1">
        <f ca="1" t="array" ref="J908">MIN(8,_xlfn.XLOOKUP($D908&amp;"_"&amp;J$52,$B$14:$B$36&amp;"_"&amp;$C$14:$C$36,$D$14:$D$36)*$E908)</f>
        <v>6.645</v>
      </c>
      <c r="K908" s="95" cm="1">
        <f ca="1" t="array" ref="K908">MIN(18,_xlfn.XLOOKUP($D908&amp;"_"&amp;K$52,$B$14:$B$36&amp;"_"&amp;$C$14:$C$36,$D$14:$D$36)*$E908)</f>
        <v>2.4808</v>
      </c>
      <c r="L908" s="95" cm="1">
        <f ca="1" t="array" ref="L908">MIN(6,_xlfn.XLOOKUP($D908&amp;"_"&amp;L$52,$B$14:$B$36&amp;"_"&amp;$C$14:$C$36,$D$14:$D$36)*$E908)</f>
        <v>4.6515</v>
      </c>
      <c r="M908" s="95" cm="1">
        <f ca="1" t="array" ref="M908">(1+SUMPRODUCT(G908:H908,OFFSET($H$40:$I$40,D908,0)))*(1+OFFSET($J$40,D908,0))^I908*(1+OFFSET($K$40,D908,0))^J908*(1+OFFSET($L$40,D908,0))^K908*(1+OFFSET($M$40,D908,0))^L908</f>
        <v>194.311745569387</v>
      </c>
      <c r="N908" s="95">
        <f ca="1">MAX(MAX($N$53:N907),OFFSET($C$52,MATCH(M908*1.07,$M$53:$M$2052,1),0)-C908)</f>
        <v>10080</v>
      </c>
    </row>
    <row r="909" spans="2:14">
      <c r="B909" s="95">
        <v>857</v>
      </c>
      <c r="C909" s="95">
        <f t="shared" si="72"/>
        <v>308520</v>
      </c>
      <c r="D909" s="95">
        <f ca="1">_xlfn.XLOOKUP(总览!$B$44,$B$40:$B$45,$C$40:$C$45)</f>
        <v>5</v>
      </c>
      <c r="E909" s="95">
        <f ca="1" t="shared" si="69"/>
        <v>887</v>
      </c>
      <c r="F909" s="95">
        <f ca="1" t="shared" si="70"/>
        <v>0</v>
      </c>
      <c r="G909" s="95">
        <f ca="1" t="shared" si="71"/>
        <v>0</v>
      </c>
      <c r="H909" s="95" cm="1">
        <f ca="1" t="array" ref="H909">MIN(30-SUM(I909:L909),_xlfn.XLOOKUP($D909&amp;"_"&amp;H$52,$B$14:$B$36&amp;"_"&amp;$C$14:$C$36,$D$14:$D$36)*$E909,18)</f>
        <v>14.8639</v>
      </c>
      <c r="I909" s="95" cm="1">
        <f ca="1" t="array" ref="I909">MIN(30-SUM(J909:L909),6-L909,_xlfn.XLOOKUP($D909&amp;"_"&amp;I$52,$B$14:$B$36&amp;"_"&amp;$C$14:$C$36,$D$14:$D$36)*$E909)</f>
        <v>1.34325</v>
      </c>
      <c r="J909" s="95" cm="1">
        <f ca="1" t="array" ref="J909">MIN(8,_xlfn.XLOOKUP($D909&amp;"_"&amp;J$52,$B$14:$B$36&amp;"_"&amp;$C$14:$C$36,$D$14:$D$36)*$E909)</f>
        <v>6.6525</v>
      </c>
      <c r="K909" s="95" cm="1">
        <f ca="1" t="array" ref="K909">MIN(18,_xlfn.XLOOKUP($D909&amp;"_"&amp;K$52,$B$14:$B$36&amp;"_"&amp;$C$14:$C$36,$D$14:$D$36)*$E909)</f>
        <v>2.4836</v>
      </c>
      <c r="L909" s="95" cm="1">
        <f ca="1" t="array" ref="L909">MIN(6,_xlfn.XLOOKUP($D909&amp;"_"&amp;L$52,$B$14:$B$36&amp;"_"&amp;$C$14:$C$36,$D$14:$D$36)*$E909)</f>
        <v>4.65675</v>
      </c>
      <c r="M909" s="95" cm="1">
        <f ca="1" t="array" ref="M909">(1+SUMPRODUCT(G909:H909,OFFSET($H$40:$I$40,D909,0)))*(1+OFFSET($J$40,D909,0))^I909*(1+OFFSET($K$40,D909,0))^J909*(1+OFFSET($L$40,D909,0))^K909*(1+OFFSET($M$40,D909,0))^L909</f>
        <v>194.770942136881</v>
      </c>
      <c r="N909" s="95">
        <f ca="1">MAX(MAX($N$53:N908),OFFSET($C$52,MATCH(M909*1.07,$M$53:$M$2052,1),0)-C909)</f>
        <v>10080</v>
      </c>
    </row>
    <row r="910" spans="2:14">
      <c r="B910" s="95">
        <v>858</v>
      </c>
      <c r="C910" s="95">
        <f t="shared" si="72"/>
        <v>308880</v>
      </c>
      <c r="D910" s="95">
        <f ca="1">_xlfn.XLOOKUP(总览!$B$44,$B$40:$B$45,$C$40:$C$45)</f>
        <v>5</v>
      </c>
      <c r="E910" s="95">
        <f ca="1" t="shared" si="69"/>
        <v>888</v>
      </c>
      <c r="F910" s="95">
        <f ca="1" t="shared" si="70"/>
        <v>0</v>
      </c>
      <c r="G910" s="95">
        <f ca="1" t="shared" si="71"/>
        <v>0</v>
      </c>
      <c r="H910" s="95" cm="1">
        <f ca="1" t="array" ref="H910">MIN(30-SUM(I910:L910),_xlfn.XLOOKUP($D910&amp;"_"&amp;H$52,$B$14:$B$36&amp;"_"&amp;$C$14:$C$36,$D$14:$D$36)*$E910,18)</f>
        <v>14.8536</v>
      </c>
      <c r="I910" s="95" cm="1">
        <f ca="1" t="array" ref="I910">MIN(30-SUM(J910:L910),6-L910,_xlfn.XLOOKUP($D910&amp;"_"&amp;I$52,$B$14:$B$36&amp;"_"&amp;$C$14:$C$36,$D$14:$D$36)*$E910)</f>
        <v>1.338</v>
      </c>
      <c r="J910" s="95" cm="1">
        <f ca="1" t="array" ref="J910">MIN(8,_xlfn.XLOOKUP($D910&amp;"_"&amp;J$52,$B$14:$B$36&amp;"_"&amp;$C$14:$C$36,$D$14:$D$36)*$E910)</f>
        <v>6.66</v>
      </c>
      <c r="K910" s="95" cm="1">
        <f ca="1" t="array" ref="K910">MIN(18,_xlfn.XLOOKUP($D910&amp;"_"&amp;K$52,$B$14:$B$36&amp;"_"&amp;$C$14:$C$36,$D$14:$D$36)*$E910)</f>
        <v>2.4864</v>
      </c>
      <c r="L910" s="95" cm="1">
        <f ca="1" t="array" ref="L910">MIN(6,_xlfn.XLOOKUP($D910&amp;"_"&amp;L$52,$B$14:$B$36&amp;"_"&amp;$C$14:$C$36,$D$14:$D$36)*$E910)</f>
        <v>4.662</v>
      </c>
      <c r="M910" s="95" cm="1">
        <f ca="1" t="array" ref="M910">(1+SUMPRODUCT(G910:H910,OFFSET($H$40:$I$40,D910,0)))*(1+OFFSET($J$40,D910,0))^I910*(1+OFFSET($K$40,D910,0))^J910*(1+OFFSET($L$40,D910,0))^K910*(1+OFFSET($M$40,D910,0))^L910</f>
        <v>195.23117138327</v>
      </c>
      <c r="N910" s="95">
        <f ca="1">MAX(MAX($N$53:N909),OFFSET($C$52,MATCH(M910*1.07,$M$53:$M$2052,1),0)-C910)</f>
        <v>10080</v>
      </c>
    </row>
    <row r="911" spans="2:14">
      <c r="B911" s="95">
        <v>859</v>
      </c>
      <c r="C911" s="95">
        <f t="shared" si="72"/>
        <v>309240</v>
      </c>
      <c r="D911" s="95">
        <f ca="1">_xlfn.XLOOKUP(总览!$B$44,$B$40:$B$45,$C$40:$C$45)</f>
        <v>5</v>
      </c>
      <c r="E911" s="95">
        <f ca="1" t="shared" si="69"/>
        <v>889</v>
      </c>
      <c r="F911" s="95">
        <f ca="1" t="shared" si="70"/>
        <v>0</v>
      </c>
      <c r="G911" s="95">
        <f ca="1" t="shared" si="71"/>
        <v>0</v>
      </c>
      <c r="H911" s="95" cm="1">
        <f ca="1" t="array" ref="H911">MIN(30-SUM(I911:L911),_xlfn.XLOOKUP($D911&amp;"_"&amp;H$52,$B$14:$B$36&amp;"_"&amp;$C$14:$C$36,$D$14:$D$36)*$E911,18)</f>
        <v>14.8433</v>
      </c>
      <c r="I911" s="95" cm="1">
        <f ca="1" t="array" ref="I911">MIN(30-SUM(J911:L911),6-L911,_xlfn.XLOOKUP($D911&amp;"_"&amp;I$52,$B$14:$B$36&amp;"_"&amp;$C$14:$C$36,$D$14:$D$36)*$E911)</f>
        <v>1.33275</v>
      </c>
      <c r="J911" s="95" cm="1">
        <f ca="1" t="array" ref="J911">MIN(8,_xlfn.XLOOKUP($D911&amp;"_"&amp;J$52,$B$14:$B$36&amp;"_"&amp;$C$14:$C$36,$D$14:$D$36)*$E911)</f>
        <v>6.6675</v>
      </c>
      <c r="K911" s="95" cm="1">
        <f ca="1" t="array" ref="K911">MIN(18,_xlfn.XLOOKUP($D911&amp;"_"&amp;K$52,$B$14:$B$36&amp;"_"&amp;$C$14:$C$36,$D$14:$D$36)*$E911)</f>
        <v>2.4892</v>
      </c>
      <c r="L911" s="95" cm="1">
        <f ca="1" t="array" ref="L911">MIN(6,_xlfn.XLOOKUP($D911&amp;"_"&amp;L$52,$B$14:$B$36&amp;"_"&amp;$C$14:$C$36,$D$14:$D$36)*$E911)</f>
        <v>4.66725</v>
      </c>
      <c r="M911" s="95" cm="1">
        <f ca="1" t="array" ref="M911">(1+SUMPRODUCT(G911:H911,OFFSET($H$40:$I$40,D911,0)))*(1+OFFSET($J$40,D911,0))^I911*(1+OFFSET($K$40,D911,0))^J911*(1+OFFSET($L$40,D911,0))^K911*(1+OFFSET($M$40,D911,0))^L911</f>
        <v>195.692435446311</v>
      </c>
      <c r="N911" s="95">
        <f ca="1">MAX(MAX($N$53:N910),OFFSET($C$52,MATCH(M911*1.07,$M$53:$M$2052,1),0)-C911)</f>
        <v>10080</v>
      </c>
    </row>
    <row r="912" spans="2:14">
      <c r="B912" s="95">
        <v>860</v>
      </c>
      <c r="C912" s="95">
        <f t="shared" si="72"/>
        <v>309600</v>
      </c>
      <c r="D912" s="95">
        <f ca="1">_xlfn.XLOOKUP(总览!$B$44,$B$40:$B$45,$C$40:$C$45)</f>
        <v>5</v>
      </c>
      <c r="E912" s="95">
        <f ca="1" t="shared" si="69"/>
        <v>890</v>
      </c>
      <c r="F912" s="95">
        <f ca="1" t="shared" si="70"/>
        <v>0</v>
      </c>
      <c r="G912" s="95">
        <f ca="1" t="shared" si="71"/>
        <v>0</v>
      </c>
      <c r="H912" s="95" cm="1">
        <f ca="1" t="array" ref="H912">MIN(30-SUM(I912:L912),_xlfn.XLOOKUP($D912&amp;"_"&amp;H$52,$B$14:$B$36&amp;"_"&amp;$C$14:$C$36,$D$14:$D$36)*$E912,18)</f>
        <v>14.833</v>
      </c>
      <c r="I912" s="95" cm="1">
        <f ca="1" t="array" ref="I912">MIN(30-SUM(J912:L912),6-L912,_xlfn.XLOOKUP($D912&amp;"_"&amp;I$52,$B$14:$B$36&amp;"_"&amp;$C$14:$C$36,$D$14:$D$36)*$E912)</f>
        <v>1.3275</v>
      </c>
      <c r="J912" s="95" cm="1">
        <f ca="1" t="array" ref="J912">MIN(8,_xlfn.XLOOKUP($D912&amp;"_"&amp;J$52,$B$14:$B$36&amp;"_"&amp;$C$14:$C$36,$D$14:$D$36)*$E912)</f>
        <v>6.675</v>
      </c>
      <c r="K912" s="95" cm="1">
        <f ca="1" t="array" ref="K912">MIN(18,_xlfn.XLOOKUP($D912&amp;"_"&amp;K$52,$B$14:$B$36&amp;"_"&amp;$C$14:$C$36,$D$14:$D$36)*$E912)</f>
        <v>2.492</v>
      </c>
      <c r="L912" s="95" cm="1">
        <f ca="1" t="array" ref="L912">MIN(6,_xlfn.XLOOKUP($D912&amp;"_"&amp;L$52,$B$14:$B$36&amp;"_"&amp;$C$14:$C$36,$D$14:$D$36)*$E912)</f>
        <v>4.6725</v>
      </c>
      <c r="M912" s="95" cm="1">
        <f ca="1" t="array" ref="M912">(1+SUMPRODUCT(G912:H912,OFFSET($H$40:$I$40,D912,0)))*(1+OFFSET($J$40,D912,0))^I912*(1+OFFSET($K$40,D912,0))^J912*(1+OFFSET($L$40,D912,0))^K912*(1+OFFSET($M$40,D912,0))^L912</f>
        <v>196.154736467504</v>
      </c>
      <c r="N912" s="95">
        <f ca="1">MAX(MAX($N$53:N911),OFFSET($C$52,MATCH(M912*1.07,$M$53:$M$2052,1),0)-C912)</f>
        <v>10080</v>
      </c>
    </row>
    <row r="913" spans="2:14">
      <c r="B913" s="95">
        <v>861</v>
      </c>
      <c r="C913" s="95">
        <f t="shared" si="72"/>
        <v>309960</v>
      </c>
      <c r="D913" s="95">
        <f ca="1">_xlfn.XLOOKUP(总览!$B$44,$B$40:$B$45,$C$40:$C$45)</f>
        <v>5</v>
      </c>
      <c r="E913" s="95">
        <f ca="1" t="shared" si="69"/>
        <v>891</v>
      </c>
      <c r="F913" s="95">
        <f ca="1" t="shared" si="70"/>
        <v>0</v>
      </c>
      <c r="G913" s="95">
        <f ca="1" t="shared" si="71"/>
        <v>0</v>
      </c>
      <c r="H913" s="95" cm="1">
        <f ca="1" t="array" ref="H913">MIN(30-SUM(I913:L913),_xlfn.XLOOKUP($D913&amp;"_"&amp;H$52,$B$14:$B$36&amp;"_"&amp;$C$14:$C$36,$D$14:$D$36)*$E913,18)</f>
        <v>14.8227</v>
      </c>
      <c r="I913" s="95" cm="1">
        <f ca="1" t="array" ref="I913">MIN(30-SUM(J913:L913),6-L913,_xlfn.XLOOKUP($D913&amp;"_"&amp;I$52,$B$14:$B$36&amp;"_"&amp;$C$14:$C$36,$D$14:$D$36)*$E913)</f>
        <v>1.32225</v>
      </c>
      <c r="J913" s="95" cm="1">
        <f ca="1" t="array" ref="J913">MIN(8,_xlfn.XLOOKUP($D913&amp;"_"&amp;J$52,$B$14:$B$36&amp;"_"&amp;$C$14:$C$36,$D$14:$D$36)*$E913)</f>
        <v>6.6825</v>
      </c>
      <c r="K913" s="95" cm="1">
        <f ca="1" t="array" ref="K913">MIN(18,_xlfn.XLOOKUP($D913&amp;"_"&amp;K$52,$B$14:$B$36&amp;"_"&amp;$C$14:$C$36,$D$14:$D$36)*$E913)</f>
        <v>2.4948</v>
      </c>
      <c r="L913" s="95" cm="1">
        <f ca="1" t="array" ref="L913">MIN(6,_xlfn.XLOOKUP($D913&amp;"_"&amp;L$52,$B$14:$B$36&amp;"_"&amp;$C$14:$C$36,$D$14:$D$36)*$E913)</f>
        <v>4.67775</v>
      </c>
      <c r="M913" s="95" cm="1">
        <f ca="1" t="array" ref="M913">(1+SUMPRODUCT(G913:H913,OFFSET($H$40:$I$40,D913,0)))*(1+OFFSET($J$40,D913,0))^I913*(1+OFFSET($K$40,D913,0))^J913*(1+OFFSET($L$40,D913,0))^K913*(1+OFFSET($M$40,D913,0))^L913</f>
        <v>196.618076592096</v>
      </c>
      <c r="N913" s="95">
        <f ca="1">MAX(MAX($N$53:N912),OFFSET($C$52,MATCH(M913*1.07,$M$53:$M$2052,1),0)-C913)</f>
        <v>10080</v>
      </c>
    </row>
    <row r="914" spans="2:14">
      <c r="B914" s="95">
        <v>862</v>
      </c>
      <c r="C914" s="95">
        <f t="shared" si="72"/>
        <v>310320</v>
      </c>
      <c r="D914" s="95">
        <f ca="1">_xlfn.XLOOKUP(总览!$B$44,$B$40:$B$45,$C$40:$C$45)</f>
        <v>5</v>
      </c>
      <c r="E914" s="95">
        <f ca="1" t="shared" si="69"/>
        <v>892</v>
      </c>
      <c r="F914" s="95">
        <f ca="1" t="shared" si="70"/>
        <v>0</v>
      </c>
      <c r="G914" s="95">
        <f ca="1" t="shared" si="71"/>
        <v>0</v>
      </c>
      <c r="H914" s="95" cm="1">
        <f ca="1" t="array" ref="H914">MIN(30-SUM(I914:L914),_xlfn.XLOOKUP($D914&amp;"_"&amp;H$52,$B$14:$B$36&amp;"_"&amp;$C$14:$C$36,$D$14:$D$36)*$E914,18)</f>
        <v>14.8124</v>
      </c>
      <c r="I914" s="95" cm="1">
        <f ca="1" t="array" ref="I914">MIN(30-SUM(J914:L914),6-L914,_xlfn.XLOOKUP($D914&amp;"_"&amp;I$52,$B$14:$B$36&amp;"_"&amp;$C$14:$C$36,$D$14:$D$36)*$E914)</f>
        <v>1.317</v>
      </c>
      <c r="J914" s="95" cm="1">
        <f ca="1" t="array" ref="J914">MIN(8,_xlfn.XLOOKUP($D914&amp;"_"&amp;J$52,$B$14:$B$36&amp;"_"&amp;$C$14:$C$36,$D$14:$D$36)*$E914)</f>
        <v>6.69</v>
      </c>
      <c r="K914" s="95" cm="1">
        <f ca="1" t="array" ref="K914">MIN(18,_xlfn.XLOOKUP($D914&amp;"_"&amp;K$52,$B$14:$B$36&amp;"_"&amp;$C$14:$C$36,$D$14:$D$36)*$E914)</f>
        <v>2.4976</v>
      </c>
      <c r="L914" s="95" cm="1">
        <f ca="1" t="array" ref="L914">MIN(6,_xlfn.XLOOKUP($D914&amp;"_"&amp;L$52,$B$14:$B$36&amp;"_"&amp;$C$14:$C$36,$D$14:$D$36)*$E914)</f>
        <v>4.683</v>
      </c>
      <c r="M914" s="95" cm="1">
        <f ca="1" t="array" ref="M914">(1+SUMPRODUCT(G914:H914,OFFSET($H$40:$I$40,D914,0)))*(1+OFFSET($J$40,D914,0))^I914*(1+OFFSET($K$40,D914,0))^J914*(1+OFFSET($L$40,D914,0))^K914*(1+OFFSET($M$40,D914,0))^L914</f>
        <v>197.082457969086</v>
      </c>
      <c r="N914" s="95">
        <f ca="1">MAX(MAX($N$53:N913),OFFSET($C$52,MATCH(M914*1.07,$M$53:$M$2052,1),0)-C914)</f>
        <v>10080</v>
      </c>
    </row>
    <row r="915" spans="2:14">
      <c r="B915" s="95">
        <v>863</v>
      </c>
      <c r="C915" s="95">
        <f t="shared" si="72"/>
        <v>310680</v>
      </c>
      <c r="D915" s="95">
        <f ca="1">_xlfn.XLOOKUP(总览!$B$44,$B$40:$B$45,$C$40:$C$45)</f>
        <v>5</v>
      </c>
      <c r="E915" s="95">
        <f ca="1" t="shared" si="69"/>
        <v>893</v>
      </c>
      <c r="F915" s="95">
        <f ca="1" t="shared" si="70"/>
        <v>0</v>
      </c>
      <c r="G915" s="95">
        <f ca="1" t="shared" si="71"/>
        <v>0</v>
      </c>
      <c r="H915" s="95" cm="1">
        <f ca="1" t="array" ref="H915">MIN(30-SUM(I915:L915),_xlfn.XLOOKUP($D915&amp;"_"&amp;H$52,$B$14:$B$36&amp;"_"&amp;$C$14:$C$36,$D$14:$D$36)*$E915,18)</f>
        <v>14.8021</v>
      </c>
      <c r="I915" s="95" cm="1">
        <f ca="1" t="array" ref="I915">MIN(30-SUM(J915:L915),6-L915,_xlfn.XLOOKUP($D915&amp;"_"&amp;I$52,$B$14:$B$36&amp;"_"&amp;$C$14:$C$36,$D$14:$D$36)*$E915)</f>
        <v>1.31175</v>
      </c>
      <c r="J915" s="95" cm="1">
        <f ca="1" t="array" ref="J915">MIN(8,_xlfn.XLOOKUP($D915&amp;"_"&amp;J$52,$B$14:$B$36&amp;"_"&amp;$C$14:$C$36,$D$14:$D$36)*$E915)</f>
        <v>6.6975</v>
      </c>
      <c r="K915" s="95" cm="1">
        <f ca="1" t="array" ref="K915">MIN(18,_xlfn.XLOOKUP($D915&amp;"_"&amp;K$52,$B$14:$B$36&amp;"_"&amp;$C$14:$C$36,$D$14:$D$36)*$E915)</f>
        <v>2.5004</v>
      </c>
      <c r="L915" s="95" cm="1">
        <f ca="1" t="array" ref="L915">MIN(6,_xlfn.XLOOKUP($D915&amp;"_"&amp;L$52,$B$14:$B$36&amp;"_"&amp;$C$14:$C$36,$D$14:$D$36)*$E915)</f>
        <v>4.68825</v>
      </c>
      <c r="M915" s="95" cm="1">
        <f ca="1" t="array" ref="M915">(1+SUMPRODUCT(G915:H915,OFFSET($H$40:$I$40,D915,0)))*(1+OFFSET($J$40,D915,0))^I915*(1+OFFSET($K$40,D915,0))^J915*(1+OFFSET($L$40,D915,0))^K915*(1+OFFSET($M$40,D915,0))^L915</f>
        <v>197.547882751224</v>
      </c>
      <c r="N915" s="95">
        <f ca="1">MAX(MAX($N$53:N914),OFFSET($C$52,MATCH(M915*1.07,$M$53:$M$2052,1),0)-C915)</f>
        <v>10080</v>
      </c>
    </row>
    <row r="916" spans="2:14">
      <c r="B916" s="95">
        <v>864</v>
      </c>
      <c r="C916" s="95">
        <f t="shared" si="72"/>
        <v>311040</v>
      </c>
      <c r="D916" s="95">
        <f ca="1">_xlfn.XLOOKUP(总览!$B$44,$B$40:$B$45,$C$40:$C$45)</f>
        <v>5</v>
      </c>
      <c r="E916" s="95">
        <f ca="1" t="shared" si="69"/>
        <v>894</v>
      </c>
      <c r="F916" s="95">
        <f ca="1" t="shared" si="70"/>
        <v>0</v>
      </c>
      <c r="G916" s="95">
        <f ca="1" t="shared" si="71"/>
        <v>0</v>
      </c>
      <c r="H916" s="95" cm="1">
        <f ca="1" t="array" ref="H916">MIN(30-SUM(I916:L916),_xlfn.XLOOKUP($D916&amp;"_"&amp;H$52,$B$14:$B$36&amp;"_"&amp;$C$14:$C$36,$D$14:$D$36)*$E916,18)</f>
        <v>14.7918</v>
      </c>
      <c r="I916" s="95" cm="1">
        <f ca="1" t="array" ref="I916">MIN(30-SUM(J916:L916),6-L916,_xlfn.XLOOKUP($D916&amp;"_"&amp;I$52,$B$14:$B$36&amp;"_"&amp;$C$14:$C$36,$D$14:$D$36)*$E916)</f>
        <v>1.3065</v>
      </c>
      <c r="J916" s="95" cm="1">
        <f ca="1" t="array" ref="J916">MIN(8,_xlfn.XLOOKUP($D916&amp;"_"&amp;J$52,$B$14:$B$36&amp;"_"&amp;$C$14:$C$36,$D$14:$D$36)*$E916)</f>
        <v>6.705</v>
      </c>
      <c r="K916" s="95" cm="1">
        <f ca="1" t="array" ref="K916">MIN(18,_xlfn.XLOOKUP($D916&amp;"_"&amp;K$52,$B$14:$B$36&amp;"_"&amp;$C$14:$C$36,$D$14:$D$36)*$E916)</f>
        <v>2.5032</v>
      </c>
      <c r="L916" s="95" cm="1">
        <f ca="1" t="array" ref="L916">MIN(6,_xlfn.XLOOKUP($D916&amp;"_"&amp;L$52,$B$14:$B$36&amp;"_"&amp;$C$14:$C$36,$D$14:$D$36)*$E916)</f>
        <v>4.6935</v>
      </c>
      <c r="M916" s="95" cm="1">
        <f ca="1" t="array" ref="M916">(1+SUMPRODUCT(G916:H916,OFFSET($H$40:$I$40,D916,0)))*(1+OFFSET($J$40,D916,0))^I916*(1+OFFSET($K$40,D916,0))^J916*(1+OFFSET($L$40,D916,0))^K916*(1+OFFSET($M$40,D916,0))^L916</f>
        <v>198.014353095023</v>
      </c>
      <c r="N916" s="95">
        <f ca="1">MAX(MAX($N$53:N915),OFFSET($C$52,MATCH(M916*1.07,$M$53:$M$2052,1),0)-C916)</f>
        <v>10080</v>
      </c>
    </row>
    <row r="917" spans="2:14">
      <c r="B917" s="95">
        <v>865</v>
      </c>
      <c r="C917" s="95">
        <f t="shared" si="72"/>
        <v>311400</v>
      </c>
      <c r="D917" s="95">
        <f ca="1">_xlfn.XLOOKUP(总览!$B$44,$B$40:$B$45,$C$40:$C$45)</f>
        <v>5</v>
      </c>
      <c r="E917" s="95">
        <f ca="1" t="shared" si="69"/>
        <v>895</v>
      </c>
      <c r="F917" s="95">
        <f ca="1" t="shared" si="70"/>
        <v>0</v>
      </c>
      <c r="G917" s="95">
        <f ca="1" t="shared" si="71"/>
        <v>0</v>
      </c>
      <c r="H917" s="95" cm="1">
        <f ca="1" t="array" ref="H917">MIN(30-SUM(I917:L917),_xlfn.XLOOKUP($D917&amp;"_"&amp;H$52,$B$14:$B$36&amp;"_"&amp;$C$14:$C$36,$D$14:$D$36)*$E917,18)</f>
        <v>14.7815</v>
      </c>
      <c r="I917" s="95" cm="1">
        <f ca="1" t="array" ref="I917">MIN(30-SUM(J917:L917),6-L917,_xlfn.XLOOKUP($D917&amp;"_"&amp;I$52,$B$14:$B$36&amp;"_"&amp;$C$14:$C$36,$D$14:$D$36)*$E917)</f>
        <v>1.30125</v>
      </c>
      <c r="J917" s="95" cm="1">
        <f ca="1" t="array" ref="J917">MIN(8,_xlfn.XLOOKUP($D917&amp;"_"&amp;J$52,$B$14:$B$36&amp;"_"&amp;$C$14:$C$36,$D$14:$D$36)*$E917)</f>
        <v>6.7125</v>
      </c>
      <c r="K917" s="95" cm="1">
        <f ca="1" t="array" ref="K917">MIN(18,_xlfn.XLOOKUP($D917&amp;"_"&amp;K$52,$B$14:$B$36&amp;"_"&amp;$C$14:$C$36,$D$14:$D$36)*$E917)</f>
        <v>2.506</v>
      </c>
      <c r="L917" s="95" cm="1">
        <f ca="1" t="array" ref="L917">MIN(6,_xlfn.XLOOKUP($D917&amp;"_"&amp;L$52,$B$14:$B$36&amp;"_"&amp;$C$14:$C$36,$D$14:$D$36)*$E917)</f>
        <v>4.69875</v>
      </c>
      <c r="M917" s="95" cm="1">
        <f ca="1" t="array" ref="M917">(1+SUMPRODUCT(G917:H917,OFFSET($H$40:$I$40,D917,0)))*(1+OFFSET($J$40,D917,0))^I917*(1+OFFSET($K$40,D917,0))^J917*(1+OFFSET($L$40,D917,0))^K917*(1+OFFSET($M$40,D917,0))^L917</f>
        <v>198.481871160755</v>
      </c>
      <c r="N917" s="95">
        <f ca="1">MAX(MAX($N$53:N916),OFFSET($C$52,MATCH(M917*1.07,$M$53:$M$2052,1),0)-C917)</f>
        <v>10080</v>
      </c>
    </row>
    <row r="918" spans="2:14">
      <c r="B918" s="95">
        <v>866</v>
      </c>
      <c r="C918" s="95">
        <f t="shared" si="72"/>
        <v>311760</v>
      </c>
      <c r="D918" s="95">
        <f ca="1">_xlfn.XLOOKUP(总览!$B$44,$B$40:$B$45,$C$40:$C$45)</f>
        <v>5</v>
      </c>
      <c r="E918" s="95">
        <f ca="1" t="shared" si="69"/>
        <v>896</v>
      </c>
      <c r="F918" s="95">
        <f ca="1" t="shared" si="70"/>
        <v>0</v>
      </c>
      <c r="G918" s="95">
        <f ca="1" t="shared" si="71"/>
        <v>0</v>
      </c>
      <c r="H918" s="95" cm="1">
        <f ca="1" t="array" ref="H918">MIN(30-SUM(I918:L918),_xlfn.XLOOKUP($D918&amp;"_"&amp;H$52,$B$14:$B$36&amp;"_"&amp;$C$14:$C$36,$D$14:$D$36)*$E918,18)</f>
        <v>14.7712</v>
      </c>
      <c r="I918" s="95" cm="1">
        <f ca="1" t="array" ref="I918">MIN(30-SUM(J918:L918),6-L918,_xlfn.XLOOKUP($D918&amp;"_"&amp;I$52,$B$14:$B$36&amp;"_"&amp;$C$14:$C$36,$D$14:$D$36)*$E918)</f>
        <v>1.296</v>
      </c>
      <c r="J918" s="95" cm="1">
        <f ca="1" t="array" ref="J918">MIN(8,_xlfn.XLOOKUP($D918&amp;"_"&amp;J$52,$B$14:$B$36&amp;"_"&amp;$C$14:$C$36,$D$14:$D$36)*$E918)</f>
        <v>6.72</v>
      </c>
      <c r="K918" s="95" cm="1">
        <f ca="1" t="array" ref="K918">MIN(18,_xlfn.XLOOKUP($D918&amp;"_"&amp;K$52,$B$14:$B$36&amp;"_"&amp;$C$14:$C$36,$D$14:$D$36)*$E918)</f>
        <v>2.5088</v>
      </c>
      <c r="L918" s="95" cm="1">
        <f ca="1" t="array" ref="L918">MIN(6,_xlfn.XLOOKUP($D918&amp;"_"&amp;L$52,$B$14:$B$36&amp;"_"&amp;$C$14:$C$36,$D$14:$D$36)*$E918)</f>
        <v>4.704</v>
      </c>
      <c r="M918" s="95" cm="1">
        <f ca="1" t="array" ref="M918">(1+SUMPRODUCT(G918:H918,OFFSET($H$40:$I$40,D918,0)))*(1+OFFSET($J$40,D918,0))^I918*(1+OFFSET($K$40,D918,0))^J918*(1+OFFSET($L$40,D918,0))^K918*(1+OFFSET($M$40,D918,0))^L918</f>
        <v>198.950439112457</v>
      </c>
      <c r="N918" s="95">
        <f ca="1">MAX(MAX($N$53:N917),OFFSET($C$52,MATCH(M918*1.07,$M$53:$M$2052,1),0)-C918)</f>
        <v>10080</v>
      </c>
    </row>
    <row r="919" spans="2:14">
      <c r="B919" s="95">
        <v>867</v>
      </c>
      <c r="C919" s="95">
        <f t="shared" si="72"/>
        <v>312120</v>
      </c>
      <c r="D919" s="95">
        <f ca="1">_xlfn.XLOOKUP(总览!$B$44,$B$40:$B$45,$C$40:$C$45)</f>
        <v>5</v>
      </c>
      <c r="E919" s="95">
        <f ca="1" t="shared" si="69"/>
        <v>897</v>
      </c>
      <c r="F919" s="95">
        <f ca="1" t="shared" si="70"/>
        <v>0</v>
      </c>
      <c r="G919" s="95">
        <f ca="1" t="shared" si="71"/>
        <v>0</v>
      </c>
      <c r="H919" s="95" cm="1">
        <f ca="1" t="array" ref="H919">MIN(30-SUM(I919:L919),_xlfn.XLOOKUP($D919&amp;"_"&amp;H$52,$B$14:$B$36&amp;"_"&amp;$C$14:$C$36,$D$14:$D$36)*$E919,18)</f>
        <v>14.7609</v>
      </c>
      <c r="I919" s="95" cm="1">
        <f ca="1" t="array" ref="I919">MIN(30-SUM(J919:L919),6-L919,_xlfn.XLOOKUP($D919&amp;"_"&amp;I$52,$B$14:$B$36&amp;"_"&amp;$C$14:$C$36,$D$14:$D$36)*$E919)</f>
        <v>1.29075</v>
      </c>
      <c r="J919" s="95" cm="1">
        <f ca="1" t="array" ref="J919">MIN(8,_xlfn.XLOOKUP($D919&amp;"_"&amp;J$52,$B$14:$B$36&amp;"_"&amp;$C$14:$C$36,$D$14:$D$36)*$E919)</f>
        <v>6.7275</v>
      </c>
      <c r="K919" s="95" cm="1">
        <f ca="1" t="array" ref="K919">MIN(18,_xlfn.XLOOKUP($D919&amp;"_"&amp;K$52,$B$14:$B$36&amp;"_"&amp;$C$14:$C$36,$D$14:$D$36)*$E919)</f>
        <v>2.5116</v>
      </c>
      <c r="L919" s="95" cm="1">
        <f ca="1" t="array" ref="L919">MIN(6,_xlfn.XLOOKUP($D919&amp;"_"&amp;L$52,$B$14:$B$36&amp;"_"&amp;$C$14:$C$36,$D$14:$D$36)*$E919)</f>
        <v>4.70925</v>
      </c>
      <c r="M919" s="95" cm="1">
        <f ca="1" t="array" ref="M919">(1+SUMPRODUCT(G919:H919,OFFSET($H$40:$I$40,D919,0)))*(1+OFFSET($J$40,D919,0))^I919*(1+OFFSET($K$40,D919,0))^J919*(1+OFFSET($L$40,D919,0))^K919*(1+OFFSET($M$40,D919,0))^L919</f>
        <v>199.420059117939</v>
      </c>
      <c r="N919" s="95">
        <f ca="1">MAX(MAX($N$53:N918),OFFSET($C$52,MATCH(M919*1.07,$M$53:$M$2052,1),0)-C919)</f>
        <v>10080</v>
      </c>
    </row>
    <row r="920" spans="2:14">
      <c r="B920" s="95">
        <v>868</v>
      </c>
      <c r="C920" s="95">
        <f t="shared" si="72"/>
        <v>312480</v>
      </c>
      <c r="D920" s="95">
        <f ca="1">_xlfn.XLOOKUP(总览!$B$44,$B$40:$B$45,$C$40:$C$45)</f>
        <v>5</v>
      </c>
      <c r="E920" s="95">
        <f ca="1" t="shared" si="69"/>
        <v>898</v>
      </c>
      <c r="F920" s="95">
        <f ca="1" t="shared" si="70"/>
        <v>0</v>
      </c>
      <c r="G920" s="95">
        <f ca="1" t="shared" si="71"/>
        <v>0</v>
      </c>
      <c r="H920" s="95" cm="1">
        <f ca="1" t="array" ref="H920">MIN(30-SUM(I920:L920),_xlfn.XLOOKUP($D920&amp;"_"&amp;H$52,$B$14:$B$36&amp;"_"&amp;$C$14:$C$36,$D$14:$D$36)*$E920,18)</f>
        <v>14.7506</v>
      </c>
      <c r="I920" s="95" cm="1">
        <f ca="1" t="array" ref="I920">MIN(30-SUM(J920:L920),6-L920,_xlfn.XLOOKUP($D920&amp;"_"&amp;I$52,$B$14:$B$36&amp;"_"&amp;$C$14:$C$36,$D$14:$D$36)*$E920)</f>
        <v>1.2855</v>
      </c>
      <c r="J920" s="95" cm="1">
        <f ca="1" t="array" ref="J920">MIN(8,_xlfn.XLOOKUP($D920&amp;"_"&amp;J$52,$B$14:$B$36&amp;"_"&amp;$C$14:$C$36,$D$14:$D$36)*$E920)</f>
        <v>6.735</v>
      </c>
      <c r="K920" s="95" cm="1">
        <f ca="1" t="array" ref="K920">MIN(18,_xlfn.XLOOKUP($D920&amp;"_"&amp;K$52,$B$14:$B$36&amp;"_"&amp;$C$14:$C$36,$D$14:$D$36)*$E920)</f>
        <v>2.5144</v>
      </c>
      <c r="L920" s="95" cm="1">
        <f ca="1" t="array" ref="L920">MIN(6,_xlfn.XLOOKUP($D920&amp;"_"&amp;L$52,$B$14:$B$36&amp;"_"&amp;$C$14:$C$36,$D$14:$D$36)*$E920)</f>
        <v>4.7145</v>
      </c>
      <c r="M920" s="95" cm="1">
        <f ca="1" t="array" ref="M920">(1+SUMPRODUCT(G920:H920,OFFSET($H$40:$I$40,D920,0)))*(1+OFFSET($J$40,D920,0))^I920*(1+OFFSET($K$40,D920,0))^J920*(1+OFFSET($L$40,D920,0))^K920*(1+OFFSET($M$40,D920,0))^L920</f>
        <v>199.890733348781</v>
      </c>
      <c r="N920" s="95">
        <f ca="1">MAX(MAX($N$53:N919),OFFSET($C$52,MATCH(M920*1.07,$M$53:$M$2052,1),0)-C920)</f>
        <v>10080</v>
      </c>
    </row>
    <row r="921" spans="2:14">
      <c r="B921" s="95">
        <v>869</v>
      </c>
      <c r="C921" s="95">
        <f t="shared" si="72"/>
        <v>312840</v>
      </c>
      <c r="D921" s="95">
        <f ca="1">_xlfn.XLOOKUP(总览!$B$44,$B$40:$B$45,$C$40:$C$45)</f>
        <v>5</v>
      </c>
      <c r="E921" s="95">
        <f ca="1" t="shared" si="69"/>
        <v>899</v>
      </c>
      <c r="F921" s="95">
        <f ca="1" t="shared" si="70"/>
        <v>0</v>
      </c>
      <c r="G921" s="95">
        <f ca="1" t="shared" si="71"/>
        <v>0</v>
      </c>
      <c r="H921" s="95" cm="1">
        <f ca="1" t="array" ref="H921">MIN(30-SUM(I921:L921),_xlfn.XLOOKUP($D921&amp;"_"&amp;H$52,$B$14:$B$36&amp;"_"&amp;$C$14:$C$36,$D$14:$D$36)*$E921,18)</f>
        <v>14.7403</v>
      </c>
      <c r="I921" s="95" cm="1">
        <f ca="1" t="array" ref="I921">MIN(30-SUM(J921:L921),6-L921,_xlfn.XLOOKUP($D921&amp;"_"&amp;I$52,$B$14:$B$36&amp;"_"&amp;$C$14:$C$36,$D$14:$D$36)*$E921)</f>
        <v>1.28025</v>
      </c>
      <c r="J921" s="95" cm="1">
        <f ca="1" t="array" ref="J921">MIN(8,_xlfn.XLOOKUP($D921&amp;"_"&amp;J$52,$B$14:$B$36&amp;"_"&amp;$C$14:$C$36,$D$14:$D$36)*$E921)</f>
        <v>6.7425</v>
      </c>
      <c r="K921" s="95" cm="1">
        <f ca="1" t="array" ref="K921">MIN(18,_xlfn.XLOOKUP($D921&amp;"_"&amp;K$52,$B$14:$B$36&amp;"_"&amp;$C$14:$C$36,$D$14:$D$36)*$E921)</f>
        <v>2.5172</v>
      </c>
      <c r="L921" s="95" cm="1">
        <f ca="1" t="array" ref="L921">MIN(6,_xlfn.XLOOKUP($D921&amp;"_"&amp;L$52,$B$14:$B$36&amp;"_"&amp;$C$14:$C$36,$D$14:$D$36)*$E921)</f>
        <v>4.71975</v>
      </c>
      <c r="M921" s="95" cm="1">
        <f ca="1" t="array" ref="M921">(1+SUMPRODUCT(G921:H921,OFFSET($H$40:$I$40,D921,0)))*(1+OFFSET($J$40,D921,0))^I921*(1+OFFSET($K$40,D921,0))^J921*(1+OFFSET($L$40,D921,0))^K921*(1+OFFSET($M$40,D921,0))^L921</f>
        <v>200.362463980342</v>
      </c>
      <c r="N921" s="95">
        <f ca="1">MAX(MAX($N$53:N920),OFFSET($C$52,MATCH(M921*1.07,$M$53:$M$2052,1),0)-C921)</f>
        <v>10080</v>
      </c>
    </row>
    <row r="922" spans="2:14">
      <c r="B922" s="95">
        <v>870</v>
      </c>
      <c r="C922" s="95">
        <f t="shared" si="72"/>
        <v>313200</v>
      </c>
      <c r="D922" s="95">
        <f ca="1">_xlfn.XLOOKUP(总览!$B$44,$B$40:$B$45,$C$40:$C$45)</f>
        <v>5</v>
      </c>
      <c r="E922" s="95">
        <f ca="1" t="shared" si="69"/>
        <v>900</v>
      </c>
      <c r="F922" s="95">
        <f ca="1" t="shared" si="70"/>
        <v>0</v>
      </c>
      <c r="G922" s="95">
        <f ca="1" t="shared" si="71"/>
        <v>0</v>
      </c>
      <c r="H922" s="95" cm="1">
        <f ca="1" t="array" ref="H922">MIN(30-SUM(I922:L922),_xlfn.XLOOKUP($D922&amp;"_"&amp;H$52,$B$14:$B$36&amp;"_"&amp;$C$14:$C$36,$D$14:$D$36)*$E922,18)</f>
        <v>14.73</v>
      </c>
      <c r="I922" s="95" cm="1">
        <f ca="1" t="array" ref="I922">MIN(30-SUM(J922:L922),6-L922,_xlfn.XLOOKUP($D922&amp;"_"&amp;I$52,$B$14:$B$36&amp;"_"&amp;$C$14:$C$36,$D$14:$D$36)*$E922)</f>
        <v>1.275</v>
      </c>
      <c r="J922" s="95" cm="1">
        <f ca="1" t="array" ref="J922">MIN(8,_xlfn.XLOOKUP($D922&amp;"_"&amp;J$52,$B$14:$B$36&amp;"_"&amp;$C$14:$C$36,$D$14:$D$36)*$E922)</f>
        <v>6.75</v>
      </c>
      <c r="K922" s="95" cm="1">
        <f ca="1" t="array" ref="K922">MIN(18,_xlfn.XLOOKUP($D922&amp;"_"&amp;K$52,$B$14:$B$36&amp;"_"&amp;$C$14:$C$36,$D$14:$D$36)*$E922)</f>
        <v>2.52</v>
      </c>
      <c r="L922" s="95" cm="1">
        <f ca="1" t="array" ref="L922">MIN(6,_xlfn.XLOOKUP($D922&amp;"_"&amp;L$52,$B$14:$B$36&amp;"_"&amp;$C$14:$C$36,$D$14:$D$36)*$E922)</f>
        <v>4.725</v>
      </c>
      <c r="M922" s="95" cm="1">
        <f ca="1" t="array" ref="M922">(1+SUMPRODUCT(G922:H922,OFFSET($H$40:$I$40,D922,0)))*(1+OFFSET($J$40,D922,0))^I922*(1+OFFSET($K$40,D922,0))^J922*(1+OFFSET($L$40,D922,0))^K922*(1+OFFSET($M$40,D922,0))^L922</f>
        <v>200.835253191762</v>
      </c>
      <c r="N922" s="95">
        <f ca="1">MAX(MAX($N$53:N921),OFFSET($C$52,MATCH(M922*1.07,$M$53:$M$2052,1),0)-C922)</f>
        <v>10080</v>
      </c>
    </row>
    <row r="923" spans="2:14">
      <c r="B923" s="95">
        <v>871</v>
      </c>
      <c r="C923" s="95">
        <f t="shared" si="72"/>
        <v>313560</v>
      </c>
      <c r="D923" s="95">
        <f ca="1">_xlfn.XLOOKUP(总览!$B$44,$B$40:$B$45,$C$40:$C$45)</f>
        <v>5</v>
      </c>
      <c r="E923" s="95">
        <f ca="1" t="shared" si="69"/>
        <v>901</v>
      </c>
      <c r="F923" s="95">
        <f ca="1" t="shared" si="70"/>
        <v>0</v>
      </c>
      <c r="G923" s="95">
        <f ca="1" t="shared" si="71"/>
        <v>0</v>
      </c>
      <c r="H923" s="95" cm="1">
        <f ca="1" t="array" ref="H923">MIN(30-SUM(I923:L923),_xlfn.XLOOKUP($D923&amp;"_"&amp;H$52,$B$14:$B$36&amp;"_"&amp;$C$14:$C$36,$D$14:$D$36)*$E923,18)</f>
        <v>14.7197</v>
      </c>
      <c r="I923" s="95" cm="1">
        <f ca="1" t="array" ref="I923">MIN(30-SUM(J923:L923),6-L923,_xlfn.XLOOKUP($D923&amp;"_"&amp;I$52,$B$14:$B$36&amp;"_"&amp;$C$14:$C$36,$D$14:$D$36)*$E923)</f>
        <v>1.26975</v>
      </c>
      <c r="J923" s="95" cm="1">
        <f ca="1" t="array" ref="J923">MIN(8,_xlfn.XLOOKUP($D923&amp;"_"&amp;J$52,$B$14:$B$36&amp;"_"&amp;$C$14:$C$36,$D$14:$D$36)*$E923)</f>
        <v>6.7575</v>
      </c>
      <c r="K923" s="95" cm="1">
        <f ca="1" t="array" ref="K923">MIN(18,_xlfn.XLOOKUP($D923&amp;"_"&amp;K$52,$B$14:$B$36&amp;"_"&amp;$C$14:$C$36,$D$14:$D$36)*$E923)</f>
        <v>2.5228</v>
      </c>
      <c r="L923" s="95" cm="1">
        <f ca="1" t="array" ref="L923">MIN(6,_xlfn.XLOOKUP($D923&amp;"_"&amp;L$52,$B$14:$B$36&amp;"_"&amp;$C$14:$C$36,$D$14:$D$36)*$E923)</f>
        <v>4.73025</v>
      </c>
      <c r="M923" s="95" cm="1">
        <f ca="1" t="array" ref="M923">(1+SUMPRODUCT(G923:H923,OFFSET($H$40:$I$40,D923,0)))*(1+OFFSET($J$40,D923,0))^I923*(1+OFFSET($K$40,D923,0))^J923*(1+OFFSET($L$40,D923,0))^K923*(1+OFFSET($M$40,D923,0))^L923</f>
        <v>201.309103165964</v>
      </c>
      <c r="N923" s="95">
        <f ca="1">MAX(MAX($N$53:N922),OFFSET($C$52,MATCH(M923*1.07,$M$53:$M$2052,1),0)-C923)</f>
        <v>10080</v>
      </c>
    </row>
    <row r="924" spans="2:14">
      <c r="B924" s="95">
        <v>872</v>
      </c>
      <c r="C924" s="95">
        <f t="shared" si="72"/>
        <v>313920</v>
      </c>
      <c r="D924" s="95">
        <f ca="1">_xlfn.XLOOKUP(总览!$B$44,$B$40:$B$45,$C$40:$C$45)</f>
        <v>5</v>
      </c>
      <c r="E924" s="95">
        <f ca="1" t="shared" si="69"/>
        <v>902</v>
      </c>
      <c r="F924" s="95">
        <f ca="1" t="shared" si="70"/>
        <v>0</v>
      </c>
      <c r="G924" s="95">
        <f ca="1" t="shared" si="71"/>
        <v>0</v>
      </c>
      <c r="H924" s="95" cm="1">
        <f ca="1" t="array" ref="H924">MIN(30-SUM(I924:L924),_xlfn.XLOOKUP($D924&amp;"_"&amp;H$52,$B$14:$B$36&amp;"_"&amp;$C$14:$C$36,$D$14:$D$36)*$E924,18)</f>
        <v>14.7094</v>
      </c>
      <c r="I924" s="95" cm="1">
        <f ca="1" t="array" ref="I924">MIN(30-SUM(J924:L924),6-L924,_xlfn.XLOOKUP($D924&amp;"_"&amp;I$52,$B$14:$B$36&amp;"_"&amp;$C$14:$C$36,$D$14:$D$36)*$E924)</f>
        <v>1.2645</v>
      </c>
      <c r="J924" s="95" cm="1">
        <f ca="1" t="array" ref="J924">MIN(8,_xlfn.XLOOKUP($D924&amp;"_"&amp;J$52,$B$14:$B$36&amp;"_"&amp;$C$14:$C$36,$D$14:$D$36)*$E924)</f>
        <v>6.765</v>
      </c>
      <c r="K924" s="95" cm="1">
        <f ca="1" t="array" ref="K924">MIN(18,_xlfn.XLOOKUP($D924&amp;"_"&amp;K$52,$B$14:$B$36&amp;"_"&amp;$C$14:$C$36,$D$14:$D$36)*$E924)</f>
        <v>2.5256</v>
      </c>
      <c r="L924" s="95" cm="1">
        <f ca="1" t="array" ref="L924">MIN(6,_xlfn.XLOOKUP($D924&amp;"_"&amp;L$52,$B$14:$B$36&amp;"_"&amp;$C$14:$C$36,$D$14:$D$36)*$E924)</f>
        <v>4.7355</v>
      </c>
      <c r="M924" s="95" cm="1">
        <f ca="1" t="array" ref="M924">(1+SUMPRODUCT(G924:H924,OFFSET($H$40:$I$40,D924,0)))*(1+OFFSET($J$40,D924,0))^I924*(1+OFFSET($K$40,D924,0))^J924*(1+OFFSET($L$40,D924,0))^K924*(1+OFFSET($M$40,D924,0))^L924</f>
        <v>201.784016089661</v>
      </c>
      <c r="N924" s="95">
        <f ca="1">MAX(MAX($N$53:N923),OFFSET($C$52,MATCH(M924*1.07,$M$53:$M$2052,1),0)-C924)</f>
        <v>10080</v>
      </c>
    </row>
    <row r="925" spans="2:14">
      <c r="B925" s="95">
        <v>873</v>
      </c>
      <c r="C925" s="95">
        <f t="shared" si="72"/>
        <v>314280</v>
      </c>
      <c r="D925" s="95">
        <f ca="1">_xlfn.XLOOKUP(总览!$B$44,$B$40:$B$45,$C$40:$C$45)</f>
        <v>5</v>
      </c>
      <c r="E925" s="95">
        <f ca="1" t="shared" si="69"/>
        <v>903</v>
      </c>
      <c r="F925" s="95">
        <f ca="1" t="shared" si="70"/>
        <v>0</v>
      </c>
      <c r="G925" s="95">
        <f ca="1" t="shared" si="71"/>
        <v>0</v>
      </c>
      <c r="H925" s="95" cm="1">
        <f ca="1" t="array" ref="H925">MIN(30-SUM(I925:L925),_xlfn.XLOOKUP($D925&amp;"_"&amp;H$52,$B$14:$B$36&amp;"_"&amp;$C$14:$C$36,$D$14:$D$36)*$E925,18)</f>
        <v>14.6991</v>
      </c>
      <c r="I925" s="95" cm="1">
        <f ca="1" t="array" ref="I925">MIN(30-SUM(J925:L925),6-L925,_xlfn.XLOOKUP($D925&amp;"_"&amp;I$52,$B$14:$B$36&amp;"_"&amp;$C$14:$C$36,$D$14:$D$36)*$E925)</f>
        <v>1.25925</v>
      </c>
      <c r="J925" s="95" cm="1">
        <f ca="1" t="array" ref="J925">MIN(8,_xlfn.XLOOKUP($D925&amp;"_"&amp;J$52,$B$14:$B$36&amp;"_"&amp;$C$14:$C$36,$D$14:$D$36)*$E925)</f>
        <v>6.7725</v>
      </c>
      <c r="K925" s="95" cm="1">
        <f ca="1" t="array" ref="K925">MIN(18,_xlfn.XLOOKUP($D925&amp;"_"&amp;K$52,$B$14:$B$36&amp;"_"&amp;$C$14:$C$36,$D$14:$D$36)*$E925)</f>
        <v>2.5284</v>
      </c>
      <c r="L925" s="95" cm="1">
        <f ca="1" t="array" ref="L925">MIN(6,_xlfn.XLOOKUP($D925&amp;"_"&amp;L$52,$B$14:$B$36&amp;"_"&amp;$C$14:$C$36,$D$14:$D$36)*$E925)</f>
        <v>4.74075</v>
      </c>
      <c r="M925" s="95" cm="1">
        <f ca="1" t="array" ref="M925">(1+SUMPRODUCT(G925:H925,OFFSET($H$40:$I$40,D925,0)))*(1+OFFSET($J$40,D925,0))^I925*(1+OFFSET($K$40,D925,0))^J925*(1+OFFSET($L$40,D925,0))^K925*(1+OFFSET($M$40,D925,0))^L925</f>
        <v>202.259994153356</v>
      </c>
      <c r="N925" s="95">
        <f ca="1">MAX(MAX($N$53:N924),OFFSET($C$52,MATCH(M925*1.07,$M$53:$M$2052,1),0)-C925)</f>
        <v>10080</v>
      </c>
    </row>
    <row r="926" spans="2:14">
      <c r="B926" s="95">
        <v>874</v>
      </c>
      <c r="C926" s="95">
        <f t="shared" si="72"/>
        <v>314640</v>
      </c>
      <c r="D926" s="95">
        <f ca="1">_xlfn.XLOOKUP(总览!$B$44,$B$40:$B$45,$C$40:$C$45)</f>
        <v>5</v>
      </c>
      <c r="E926" s="95">
        <f ca="1" t="shared" si="69"/>
        <v>904</v>
      </c>
      <c r="F926" s="95">
        <f ca="1" t="shared" si="70"/>
        <v>0</v>
      </c>
      <c r="G926" s="95">
        <f ca="1" t="shared" si="71"/>
        <v>0</v>
      </c>
      <c r="H926" s="95" cm="1">
        <f ca="1" t="array" ref="H926">MIN(30-SUM(I926:L926),_xlfn.XLOOKUP($D926&amp;"_"&amp;H$52,$B$14:$B$36&amp;"_"&amp;$C$14:$C$36,$D$14:$D$36)*$E926,18)</f>
        <v>14.6888</v>
      </c>
      <c r="I926" s="95" cm="1">
        <f ca="1" t="array" ref="I926">MIN(30-SUM(J926:L926),6-L926,_xlfn.XLOOKUP($D926&amp;"_"&amp;I$52,$B$14:$B$36&amp;"_"&amp;$C$14:$C$36,$D$14:$D$36)*$E926)</f>
        <v>1.254</v>
      </c>
      <c r="J926" s="95" cm="1">
        <f ca="1" t="array" ref="J926">MIN(8,_xlfn.XLOOKUP($D926&amp;"_"&amp;J$52,$B$14:$B$36&amp;"_"&amp;$C$14:$C$36,$D$14:$D$36)*$E926)</f>
        <v>6.78</v>
      </c>
      <c r="K926" s="95" cm="1">
        <f ca="1" t="array" ref="K926">MIN(18,_xlfn.XLOOKUP($D926&amp;"_"&amp;K$52,$B$14:$B$36&amp;"_"&amp;$C$14:$C$36,$D$14:$D$36)*$E926)</f>
        <v>2.5312</v>
      </c>
      <c r="L926" s="95" cm="1">
        <f ca="1" t="array" ref="L926">MIN(6,_xlfn.XLOOKUP($D926&amp;"_"&amp;L$52,$B$14:$B$36&amp;"_"&amp;$C$14:$C$36,$D$14:$D$36)*$E926)</f>
        <v>4.746</v>
      </c>
      <c r="M926" s="95" cm="1">
        <f ca="1" t="array" ref="M926">(1+SUMPRODUCT(G926:H926,OFFSET($H$40:$I$40,D926,0)))*(1+OFFSET($J$40,D926,0))^I926*(1+OFFSET($K$40,D926,0))^J926*(1+OFFSET($L$40,D926,0))^K926*(1+OFFSET($M$40,D926,0))^L926</f>
        <v>202.737039551349</v>
      </c>
      <c r="N926" s="95">
        <f ca="1">MAX(MAX($N$53:N925),OFFSET($C$52,MATCH(M926*1.07,$M$53:$M$2052,1),0)-C926)</f>
        <v>10080</v>
      </c>
    </row>
    <row r="927" spans="2:14">
      <c r="B927" s="95">
        <v>875</v>
      </c>
      <c r="C927" s="95">
        <f t="shared" si="72"/>
        <v>315000</v>
      </c>
      <c r="D927" s="95">
        <f ca="1">_xlfn.XLOOKUP(总览!$B$44,$B$40:$B$45,$C$40:$C$45)</f>
        <v>5</v>
      </c>
      <c r="E927" s="95">
        <f ca="1" t="shared" si="69"/>
        <v>905</v>
      </c>
      <c r="F927" s="95">
        <f ca="1" t="shared" si="70"/>
        <v>0</v>
      </c>
      <c r="G927" s="95">
        <f ca="1" t="shared" si="71"/>
        <v>0</v>
      </c>
      <c r="H927" s="95" cm="1">
        <f ca="1" t="array" ref="H927">MIN(30-SUM(I927:L927),_xlfn.XLOOKUP($D927&amp;"_"&amp;H$52,$B$14:$B$36&amp;"_"&amp;$C$14:$C$36,$D$14:$D$36)*$E927,18)</f>
        <v>14.6785</v>
      </c>
      <c r="I927" s="95" cm="1">
        <f ca="1" t="array" ref="I927">MIN(30-SUM(J927:L927),6-L927,_xlfn.XLOOKUP($D927&amp;"_"&amp;I$52,$B$14:$B$36&amp;"_"&amp;$C$14:$C$36,$D$14:$D$36)*$E927)</f>
        <v>1.24875</v>
      </c>
      <c r="J927" s="95" cm="1">
        <f ca="1" t="array" ref="J927">MIN(8,_xlfn.XLOOKUP($D927&amp;"_"&amp;J$52,$B$14:$B$36&amp;"_"&amp;$C$14:$C$36,$D$14:$D$36)*$E927)</f>
        <v>6.7875</v>
      </c>
      <c r="K927" s="95" cm="1">
        <f ca="1" t="array" ref="K927">MIN(18,_xlfn.XLOOKUP($D927&amp;"_"&amp;K$52,$B$14:$B$36&amp;"_"&amp;$C$14:$C$36,$D$14:$D$36)*$E927)</f>
        <v>2.534</v>
      </c>
      <c r="L927" s="95" cm="1">
        <f ca="1" t="array" ref="L927">MIN(6,_xlfn.XLOOKUP($D927&amp;"_"&amp;L$52,$B$14:$B$36&amp;"_"&amp;$C$14:$C$36,$D$14:$D$36)*$E927)</f>
        <v>4.75125</v>
      </c>
      <c r="M927" s="95" cm="1">
        <f ca="1" t="array" ref="M927">(1+SUMPRODUCT(G927:H927,OFFSET($H$40:$I$40,D927,0)))*(1+OFFSET($J$40,D927,0))^I927*(1+OFFSET($K$40,D927,0))^J927*(1+OFFSET($L$40,D927,0))^K927*(1+OFFSET($M$40,D927,0))^L927</f>
        <v>203.215154481739</v>
      </c>
      <c r="N927" s="95">
        <f ca="1">MAX(MAX($N$53:N926),OFFSET($C$52,MATCH(M927*1.07,$M$53:$M$2052,1),0)-C927)</f>
        <v>10080</v>
      </c>
    </row>
    <row r="928" spans="2:14">
      <c r="B928" s="95">
        <v>876</v>
      </c>
      <c r="C928" s="95">
        <f t="shared" si="72"/>
        <v>315360</v>
      </c>
      <c r="D928" s="95">
        <f ca="1">_xlfn.XLOOKUP(总览!$B$44,$B$40:$B$45,$C$40:$C$45)</f>
        <v>5</v>
      </c>
      <c r="E928" s="95">
        <f ca="1" t="shared" si="69"/>
        <v>906</v>
      </c>
      <c r="F928" s="95">
        <f ca="1" t="shared" si="70"/>
        <v>0</v>
      </c>
      <c r="G928" s="95">
        <f ca="1" t="shared" si="71"/>
        <v>0</v>
      </c>
      <c r="H928" s="95" cm="1">
        <f ca="1" t="array" ref="H928">MIN(30-SUM(I928:L928),_xlfn.XLOOKUP($D928&amp;"_"&amp;H$52,$B$14:$B$36&amp;"_"&amp;$C$14:$C$36,$D$14:$D$36)*$E928,18)</f>
        <v>14.6682</v>
      </c>
      <c r="I928" s="95" cm="1">
        <f ca="1" t="array" ref="I928">MIN(30-SUM(J928:L928),6-L928,_xlfn.XLOOKUP($D928&amp;"_"&amp;I$52,$B$14:$B$36&amp;"_"&amp;$C$14:$C$36,$D$14:$D$36)*$E928)</f>
        <v>1.2435</v>
      </c>
      <c r="J928" s="95" cm="1">
        <f ca="1" t="array" ref="J928">MIN(8,_xlfn.XLOOKUP($D928&amp;"_"&amp;J$52,$B$14:$B$36&amp;"_"&amp;$C$14:$C$36,$D$14:$D$36)*$E928)</f>
        <v>6.795</v>
      </c>
      <c r="K928" s="95" cm="1">
        <f ca="1" t="array" ref="K928">MIN(18,_xlfn.XLOOKUP($D928&amp;"_"&amp;K$52,$B$14:$B$36&amp;"_"&amp;$C$14:$C$36,$D$14:$D$36)*$E928)</f>
        <v>2.5368</v>
      </c>
      <c r="L928" s="95" cm="1">
        <f ca="1" t="array" ref="L928">MIN(6,_xlfn.XLOOKUP($D928&amp;"_"&amp;L$52,$B$14:$B$36&amp;"_"&amp;$C$14:$C$36,$D$14:$D$36)*$E928)</f>
        <v>4.7565</v>
      </c>
      <c r="M928" s="95" cm="1">
        <f ca="1" t="array" ref="M928">(1+SUMPRODUCT(G928:H928,OFFSET($H$40:$I$40,D928,0)))*(1+OFFSET($J$40,D928,0))^I928*(1+OFFSET($K$40,D928,0))^J928*(1+OFFSET($L$40,D928,0))^K928*(1+OFFSET($M$40,D928,0))^L928</f>
        <v>203.694341146428</v>
      </c>
      <c r="N928" s="95">
        <f ca="1">MAX(MAX($N$53:N927),OFFSET($C$52,MATCH(M928*1.07,$M$53:$M$2052,1),0)-C928)</f>
        <v>10080</v>
      </c>
    </row>
    <row r="929" spans="2:14">
      <c r="B929" s="95">
        <v>877</v>
      </c>
      <c r="C929" s="95">
        <f t="shared" si="72"/>
        <v>315720</v>
      </c>
      <c r="D929" s="95">
        <f ca="1">_xlfn.XLOOKUP(总览!$B$44,$B$40:$B$45,$C$40:$C$45)</f>
        <v>5</v>
      </c>
      <c r="E929" s="95">
        <f ca="1" t="shared" si="69"/>
        <v>907</v>
      </c>
      <c r="F929" s="95">
        <f ca="1" t="shared" si="70"/>
        <v>0</v>
      </c>
      <c r="G929" s="95">
        <f ca="1" t="shared" si="71"/>
        <v>0</v>
      </c>
      <c r="H929" s="95" cm="1">
        <f ca="1" t="array" ref="H929">MIN(30-SUM(I929:L929),_xlfn.XLOOKUP($D929&amp;"_"&amp;H$52,$B$14:$B$36&amp;"_"&amp;$C$14:$C$36,$D$14:$D$36)*$E929,18)</f>
        <v>14.6579</v>
      </c>
      <c r="I929" s="95" cm="1">
        <f ca="1" t="array" ref="I929">MIN(30-SUM(J929:L929),6-L929,_xlfn.XLOOKUP($D929&amp;"_"&amp;I$52,$B$14:$B$36&amp;"_"&amp;$C$14:$C$36,$D$14:$D$36)*$E929)</f>
        <v>1.23825</v>
      </c>
      <c r="J929" s="95" cm="1">
        <f ca="1" t="array" ref="J929">MIN(8,_xlfn.XLOOKUP($D929&amp;"_"&amp;J$52,$B$14:$B$36&amp;"_"&amp;$C$14:$C$36,$D$14:$D$36)*$E929)</f>
        <v>6.8025</v>
      </c>
      <c r="K929" s="95" cm="1">
        <f ca="1" t="array" ref="K929">MIN(18,_xlfn.XLOOKUP($D929&amp;"_"&amp;K$52,$B$14:$B$36&amp;"_"&amp;$C$14:$C$36,$D$14:$D$36)*$E929)</f>
        <v>2.5396</v>
      </c>
      <c r="L929" s="95" cm="1">
        <f ca="1" t="array" ref="L929">MIN(6,_xlfn.XLOOKUP($D929&amp;"_"&amp;L$52,$B$14:$B$36&amp;"_"&amp;$C$14:$C$36,$D$14:$D$36)*$E929)</f>
        <v>4.76175</v>
      </c>
      <c r="M929" s="95" cm="1">
        <f ca="1" t="array" ref="M929">(1+SUMPRODUCT(G929:H929,OFFSET($H$40:$I$40,D929,0)))*(1+OFFSET($J$40,D929,0))^I929*(1+OFFSET($K$40,D929,0))^J929*(1+OFFSET($L$40,D929,0))^K929*(1+OFFSET($M$40,D929,0))^L929</f>
        <v>204.174601751125</v>
      </c>
      <c r="N929" s="95">
        <f ca="1">MAX(MAX($N$53:N928),OFFSET($C$52,MATCH(M929*1.07,$M$53:$M$2052,1),0)-C929)</f>
        <v>10080</v>
      </c>
    </row>
    <row r="930" spans="2:14">
      <c r="B930" s="95">
        <v>878</v>
      </c>
      <c r="C930" s="95">
        <f t="shared" si="72"/>
        <v>316080</v>
      </c>
      <c r="D930" s="95">
        <f ca="1">_xlfn.XLOOKUP(总览!$B$44,$B$40:$B$45,$C$40:$C$45)</f>
        <v>5</v>
      </c>
      <c r="E930" s="95">
        <f ca="1" t="shared" si="69"/>
        <v>908</v>
      </c>
      <c r="F930" s="95">
        <f ca="1" t="shared" si="70"/>
        <v>0</v>
      </c>
      <c r="G930" s="95">
        <f ca="1" t="shared" si="71"/>
        <v>0</v>
      </c>
      <c r="H930" s="95" cm="1">
        <f ca="1" t="array" ref="H930">MIN(30-SUM(I930:L930),_xlfn.XLOOKUP($D930&amp;"_"&amp;H$52,$B$14:$B$36&amp;"_"&amp;$C$14:$C$36,$D$14:$D$36)*$E930,18)</f>
        <v>14.6476</v>
      </c>
      <c r="I930" s="95" cm="1">
        <f ca="1" t="array" ref="I930">MIN(30-SUM(J930:L930),6-L930,_xlfn.XLOOKUP($D930&amp;"_"&amp;I$52,$B$14:$B$36&amp;"_"&amp;$C$14:$C$36,$D$14:$D$36)*$E930)</f>
        <v>1.233</v>
      </c>
      <c r="J930" s="95" cm="1">
        <f ca="1" t="array" ref="J930">MIN(8,_xlfn.XLOOKUP($D930&amp;"_"&amp;J$52,$B$14:$B$36&amp;"_"&amp;$C$14:$C$36,$D$14:$D$36)*$E930)</f>
        <v>6.81</v>
      </c>
      <c r="K930" s="95" cm="1">
        <f ca="1" t="array" ref="K930">MIN(18,_xlfn.XLOOKUP($D930&amp;"_"&amp;K$52,$B$14:$B$36&amp;"_"&amp;$C$14:$C$36,$D$14:$D$36)*$E930)</f>
        <v>2.5424</v>
      </c>
      <c r="L930" s="95" cm="1">
        <f ca="1" t="array" ref="L930">MIN(6,_xlfn.XLOOKUP($D930&amp;"_"&amp;L$52,$B$14:$B$36&amp;"_"&amp;$C$14:$C$36,$D$14:$D$36)*$E930)</f>
        <v>4.767</v>
      </c>
      <c r="M930" s="95" cm="1">
        <f ca="1" t="array" ref="M930">(1+SUMPRODUCT(G930:H930,OFFSET($H$40:$I$40,D930,0)))*(1+OFFSET($J$40,D930,0))^I930*(1+OFFSET($K$40,D930,0))^J930*(1+OFFSET($L$40,D930,0))^K930*(1+OFFSET($M$40,D930,0))^L930</f>
        <v>204.655938505348</v>
      </c>
      <c r="N930" s="95">
        <f ca="1">MAX(MAX($N$53:N929),OFFSET($C$52,MATCH(M930*1.07,$M$53:$M$2052,1),0)-C930)</f>
        <v>10080</v>
      </c>
    </row>
    <row r="931" spans="2:14">
      <c r="B931" s="95">
        <v>879</v>
      </c>
      <c r="C931" s="95">
        <f t="shared" si="72"/>
        <v>316440</v>
      </c>
      <c r="D931" s="95">
        <f ca="1">_xlfn.XLOOKUP(总览!$B$44,$B$40:$B$45,$C$40:$C$45)</f>
        <v>5</v>
      </c>
      <c r="E931" s="95">
        <f ca="1" t="shared" si="69"/>
        <v>909</v>
      </c>
      <c r="F931" s="95">
        <f ca="1" t="shared" si="70"/>
        <v>0</v>
      </c>
      <c r="G931" s="95">
        <f ca="1" t="shared" si="71"/>
        <v>0</v>
      </c>
      <c r="H931" s="95" cm="1">
        <f ca="1" t="array" ref="H931">MIN(30-SUM(I931:L931),_xlfn.XLOOKUP($D931&amp;"_"&amp;H$52,$B$14:$B$36&amp;"_"&amp;$C$14:$C$36,$D$14:$D$36)*$E931,18)</f>
        <v>14.6373</v>
      </c>
      <c r="I931" s="95" cm="1">
        <f ca="1" t="array" ref="I931">MIN(30-SUM(J931:L931),6-L931,_xlfn.XLOOKUP($D931&amp;"_"&amp;I$52,$B$14:$B$36&amp;"_"&amp;$C$14:$C$36,$D$14:$D$36)*$E931)</f>
        <v>1.22775</v>
      </c>
      <c r="J931" s="95" cm="1">
        <f ca="1" t="array" ref="J931">MIN(8,_xlfn.XLOOKUP($D931&amp;"_"&amp;J$52,$B$14:$B$36&amp;"_"&amp;$C$14:$C$36,$D$14:$D$36)*$E931)</f>
        <v>6.8175</v>
      </c>
      <c r="K931" s="95" cm="1">
        <f ca="1" t="array" ref="K931">MIN(18,_xlfn.XLOOKUP($D931&amp;"_"&amp;K$52,$B$14:$B$36&amp;"_"&amp;$C$14:$C$36,$D$14:$D$36)*$E931)</f>
        <v>2.5452</v>
      </c>
      <c r="L931" s="95" cm="1">
        <f ca="1" t="array" ref="L931">MIN(6,_xlfn.XLOOKUP($D931&amp;"_"&amp;L$52,$B$14:$B$36&amp;"_"&amp;$C$14:$C$36,$D$14:$D$36)*$E931)</f>
        <v>4.77225</v>
      </c>
      <c r="M931" s="95" cm="1">
        <f ca="1" t="array" ref="M931">(1+SUMPRODUCT(G931:H931,OFFSET($H$40:$I$40,D931,0)))*(1+OFFSET($J$40,D931,0))^I931*(1+OFFSET($K$40,D931,0))^J931*(1+OFFSET($L$40,D931,0))^K931*(1+OFFSET($M$40,D931,0))^L931</f>
        <v>205.13835362243</v>
      </c>
      <c r="N931" s="95">
        <f ca="1">MAX(MAX($N$53:N930),OFFSET($C$52,MATCH(M931*1.07,$M$53:$M$2052,1),0)-C931)</f>
        <v>10080</v>
      </c>
    </row>
    <row r="932" spans="2:14">
      <c r="B932" s="95">
        <v>880</v>
      </c>
      <c r="C932" s="95">
        <f t="shared" si="72"/>
        <v>316800</v>
      </c>
      <c r="D932" s="95">
        <f ca="1">_xlfn.XLOOKUP(总览!$B$44,$B$40:$B$45,$C$40:$C$45)</f>
        <v>5</v>
      </c>
      <c r="E932" s="95">
        <f ca="1" t="shared" si="69"/>
        <v>910</v>
      </c>
      <c r="F932" s="95">
        <f ca="1" t="shared" si="70"/>
        <v>0</v>
      </c>
      <c r="G932" s="95">
        <f ca="1" t="shared" si="71"/>
        <v>0</v>
      </c>
      <c r="H932" s="95" cm="1">
        <f ca="1" t="array" ref="H932">MIN(30-SUM(I932:L932),_xlfn.XLOOKUP($D932&amp;"_"&amp;H$52,$B$14:$B$36&amp;"_"&amp;$C$14:$C$36,$D$14:$D$36)*$E932,18)</f>
        <v>14.627</v>
      </c>
      <c r="I932" s="95" cm="1">
        <f ca="1" t="array" ref="I932">MIN(30-SUM(J932:L932),6-L932,_xlfn.XLOOKUP($D932&amp;"_"&amp;I$52,$B$14:$B$36&amp;"_"&amp;$C$14:$C$36,$D$14:$D$36)*$E932)</f>
        <v>1.2225</v>
      </c>
      <c r="J932" s="95" cm="1">
        <f ca="1" t="array" ref="J932">MIN(8,_xlfn.XLOOKUP($D932&amp;"_"&amp;J$52,$B$14:$B$36&amp;"_"&amp;$C$14:$C$36,$D$14:$D$36)*$E932)</f>
        <v>6.825</v>
      </c>
      <c r="K932" s="95" cm="1">
        <f ca="1" t="array" ref="K932">MIN(18,_xlfn.XLOOKUP($D932&amp;"_"&amp;K$52,$B$14:$B$36&amp;"_"&amp;$C$14:$C$36,$D$14:$D$36)*$E932)</f>
        <v>2.548</v>
      </c>
      <c r="L932" s="95" cm="1">
        <f ca="1" t="array" ref="L932">MIN(6,_xlfn.XLOOKUP($D932&amp;"_"&amp;L$52,$B$14:$B$36&amp;"_"&amp;$C$14:$C$36,$D$14:$D$36)*$E932)</f>
        <v>4.7775</v>
      </c>
      <c r="M932" s="95" cm="1">
        <f ca="1" t="array" ref="M932">(1+SUMPRODUCT(G932:H932,OFFSET($H$40:$I$40,D932,0)))*(1+OFFSET($J$40,D932,0))^I932*(1+OFFSET($K$40,D932,0))^J932*(1+OFFSET($L$40,D932,0))^K932*(1+OFFSET($M$40,D932,0))^L932</f>
        <v>205.621849319523</v>
      </c>
      <c r="N932" s="95">
        <f ca="1">MAX(MAX($N$53:N931),OFFSET($C$52,MATCH(M932*1.07,$M$53:$M$2052,1),0)-C932)</f>
        <v>10080</v>
      </c>
    </row>
    <row r="933" spans="2:14">
      <c r="B933" s="95">
        <v>881</v>
      </c>
      <c r="C933" s="95">
        <f t="shared" si="72"/>
        <v>317160</v>
      </c>
      <c r="D933" s="95">
        <f ca="1">_xlfn.XLOOKUP(总览!$B$44,$B$40:$B$45,$C$40:$C$45)</f>
        <v>5</v>
      </c>
      <c r="E933" s="95">
        <f ca="1" t="shared" si="69"/>
        <v>911</v>
      </c>
      <c r="F933" s="95">
        <f ca="1" t="shared" si="70"/>
        <v>0</v>
      </c>
      <c r="G933" s="95">
        <f ca="1" t="shared" si="71"/>
        <v>0</v>
      </c>
      <c r="H933" s="95" cm="1">
        <f ca="1" t="array" ref="H933">MIN(30-SUM(I933:L933),_xlfn.XLOOKUP($D933&amp;"_"&amp;H$52,$B$14:$B$36&amp;"_"&amp;$C$14:$C$36,$D$14:$D$36)*$E933,18)</f>
        <v>14.6167</v>
      </c>
      <c r="I933" s="95" cm="1">
        <f ca="1" t="array" ref="I933">MIN(30-SUM(J933:L933),6-L933,_xlfn.XLOOKUP($D933&amp;"_"&amp;I$52,$B$14:$B$36&amp;"_"&amp;$C$14:$C$36,$D$14:$D$36)*$E933)</f>
        <v>1.21725</v>
      </c>
      <c r="J933" s="95" cm="1">
        <f ca="1" t="array" ref="J933">MIN(8,_xlfn.XLOOKUP($D933&amp;"_"&amp;J$52,$B$14:$B$36&amp;"_"&amp;$C$14:$C$36,$D$14:$D$36)*$E933)</f>
        <v>6.8325</v>
      </c>
      <c r="K933" s="95" cm="1">
        <f ca="1" t="array" ref="K933">MIN(18,_xlfn.XLOOKUP($D933&amp;"_"&amp;K$52,$B$14:$B$36&amp;"_"&amp;$C$14:$C$36,$D$14:$D$36)*$E933)</f>
        <v>2.5508</v>
      </c>
      <c r="L933" s="95" cm="1">
        <f ca="1" t="array" ref="L933">MIN(6,_xlfn.XLOOKUP($D933&amp;"_"&amp;L$52,$B$14:$B$36&amp;"_"&amp;$C$14:$C$36,$D$14:$D$36)*$E933)</f>
        <v>4.78275</v>
      </c>
      <c r="M933" s="95" cm="1">
        <f ca="1" t="array" ref="M933">(1+SUMPRODUCT(G933:H933,OFFSET($H$40:$I$40,D933,0)))*(1+OFFSET($J$40,D933,0))^I933*(1+OFFSET($K$40,D933,0))^J933*(1+OFFSET($L$40,D933,0))^K933*(1+OFFSET($M$40,D933,0))^L933</f>
        <v>206.106427817596</v>
      </c>
      <c r="N933" s="95">
        <f ca="1">MAX(MAX($N$53:N932),OFFSET($C$52,MATCH(M933*1.07,$M$53:$M$2052,1),0)-C933)</f>
        <v>10080</v>
      </c>
    </row>
    <row r="934" spans="2:14">
      <c r="B934" s="95">
        <v>882</v>
      </c>
      <c r="C934" s="95">
        <f t="shared" si="72"/>
        <v>317520</v>
      </c>
      <c r="D934" s="95">
        <f ca="1">_xlfn.XLOOKUP(总览!$B$44,$B$40:$B$45,$C$40:$C$45)</f>
        <v>5</v>
      </c>
      <c r="E934" s="95">
        <f ca="1" t="shared" si="69"/>
        <v>912</v>
      </c>
      <c r="F934" s="95">
        <f ca="1" t="shared" si="70"/>
        <v>0</v>
      </c>
      <c r="G934" s="95">
        <f ca="1" t="shared" si="71"/>
        <v>0</v>
      </c>
      <c r="H934" s="95" cm="1">
        <f ca="1" t="array" ref="H934">MIN(30-SUM(I934:L934),_xlfn.XLOOKUP($D934&amp;"_"&amp;H$52,$B$14:$B$36&amp;"_"&amp;$C$14:$C$36,$D$14:$D$36)*$E934,18)</f>
        <v>14.6064</v>
      </c>
      <c r="I934" s="95" cm="1">
        <f ca="1" t="array" ref="I934">MIN(30-SUM(J934:L934),6-L934,_xlfn.XLOOKUP($D934&amp;"_"&amp;I$52,$B$14:$B$36&amp;"_"&amp;$C$14:$C$36,$D$14:$D$36)*$E934)</f>
        <v>1.212</v>
      </c>
      <c r="J934" s="95" cm="1">
        <f ca="1" t="array" ref="J934">MIN(8,_xlfn.XLOOKUP($D934&amp;"_"&amp;J$52,$B$14:$B$36&amp;"_"&amp;$C$14:$C$36,$D$14:$D$36)*$E934)</f>
        <v>6.84</v>
      </c>
      <c r="K934" s="95" cm="1">
        <f ca="1" t="array" ref="K934">MIN(18,_xlfn.XLOOKUP($D934&amp;"_"&amp;K$52,$B$14:$B$36&amp;"_"&amp;$C$14:$C$36,$D$14:$D$36)*$E934)</f>
        <v>2.5536</v>
      </c>
      <c r="L934" s="95" cm="1">
        <f ca="1" t="array" ref="L934">MIN(6,_xlfn.XLOOKUP($D934&amp;"_"&amp;L$52,$B$14:$B$36&amp;"_"&amp;$C$14:$C$36,$D$14:$D$36)*$E934)</f>
        <v>4.788</v>
      </c>
      <c r="M934" s="95" cm="1">
        <f ca="1" t="array" ref="M934">(1+SUMPRODUCT(G934:H934,OFFSET($H$40:$I$40,D934,0)))*(1+OFFSET($J$40,D934,0))^I934*(1+OFFSET($K$40,D934,0))^J934*(1+OFFSET($L$40,D934,0))^K934*(1+OFFSET($M$40,D934,0))^L934</f>
        <v>206.592091341447</v>
      </c>
      <c r="N934" s="95">
        <f ca="1">MAX(MAX($N$53:N933),OFFSET($C$52,MATCH(M934*1.07,$M$53:$M$2052,1),0)-C934)</f>
        <v>10080</v>
      </c>
    </row>
    <row r="935" spans="2:14">
      <c r="B935" s="95">
        <v>883</v>
      </c>
      <c r="C935" s="95">
        <f t="shared" si="72"/>
        <v>317880</v>
      </c>
      <c r="D935" s="95">
        <f ca="1">_xlfn.XLOOKUP(总览!$B$44,$B$40:$B$45,$C$40:$C$45)</f>
        <v>5</v>
      </c>
      <c r="E935" s="95">
        <f ca="1" t="shared" si="69"/>
        <v>913</v>
      </c>
      <c r="F935" s="95">
        <f ca="1" t="shared" si="70"/>
        <v>0</v>
      </c>
      <c r="G935" s="95">
        <f ca="1" t="shared" si="71"/>
        <v>0</v>
      </c>
      <c r="H935" s="95" cm="1">
        <f ca="1" t="array" ref="H935">MIN(30-SUM(I935:L935),_xlfn.XLOOKUP($D935&amp;"_"&amp;H$52,$B$14:$B$36&amp;"_"&amp;$C$14:$C$36,$D$14:$D$36)*$E935,18)</f>
        <v>14.5961</v>
      </c>
      <c r="I935" s="95" cm="1">
        <f ca="1" t="array" ref="I935">MIN(30-SUM(J935:L935),6-L935,_xlfn.XLOOKUP($D935&amp;"_"&amp;I$52,$B$14:$B$36&amp;"_"&amp;$C$14:$C$36,$D$14:$D$36)*$E935)</f>
        <v>1.20675</v>
      </c>
      <c r="J935" s="95" cm="1">
        <f ca="1" t="array" ref="J935">MIN(8,_xlfn.XLOOKUP($D935&amp;"_"&amp;J$52,$B$14:$B$36&amp;"_"&amp;$C$14:$C$36,$D$14:$D$36)*$E935)</f>
        <v>6.8475</v>
      </c>
      <c r="K935" s="95" cm="1">
        <f ca="1" t="array" ref="K935">MIN(18,_xlfn.XLOOKUP($D935&amp;"_"&amp;K$52,$B$14:$B$36&amp;"_"&amp;$C$14:$C$36,$D$14:$D$36)*$E935)</f>
        <v>2.5564</v>
      </c>
      <c r="L935" s="95" cm="1">
        <f ca="1" t="array" ref="L935">MIN(6,_xlfn.XLOOKUP($D935&amp;"_"&amp;L$52,$B$14:$B$36&amp;"_"&amp;$C$14:$C$36,$D$14:$D$36)*$E935)</f>
        <v>4.79325</v>
      </c>
      <c r="M935" s="95" cm="1">
        <f ca="1" t="array" ref="M935">(1+SUMPRODUCT(G935:H935,OFFSET($H$40:$I$40,D935,0)))*(1+OFFSET($J$40,D935,0))^I935*(1+OFFSET($K$40,D935,0))^J935*(1+OFFSET($L$40,D935,0))^K935*(1+OFFSET($M$40,D935,0))^L935</f>
        <v>207.078842119699</v>
      </c>
      <c r="N935" s="95">
        <f ca="1">MAX(MAX($N$53:N934),OFFSET($C$52,MATCH(M935*1.07,$M$53:$M$2052,1),0)-C935)</f>
        <v>10080</v>
      </c>
    </row>
    <row r="936" spans="2:14">
      <c r="B936" s="95">
        <v>884</v>
      </c>
      <c r="C936" s="95">
        <f t="shared" si="72"/>
        <v>318240</v>
      </c>
      <c r="D936" s="95">
        <f ca="1">_xlfn.XLOOKUP(总览!$B$44,$B$40:$B$45,$C$40:$C$45)</f>
        <v>5</v>
      </c>
      <c r="E936" s="95">
        <f ca="1" t="shared" si="69"/>
        <v>914</v>
      </c>
      <c r="F936" s="95">
        <f ca="1" t="shared" si="70"/>
        <v>0</v>
      </c>
      <c r="G936" s="95">
        <f ca="1" t="shared" si="71"/>
        <v>0</v>
      </c>
      <c r="H936" s="95" cm="1">
        <f ca="1" t="array" ref="H936">MIN(30-SUM(I936:L936),_xlfn.XLOOKUP($D936&amp;"_"&amp;H$52,$B$14:$B$36&amp;"_"&amp;$C$14:$C$36,$D$14:$D$36)*$E936,18)</f>
        <v>14.5858</v>
      </c>
      <c r="I936" s="95" cm="1">
        <f ca="1" t="array" ref="I936">MIN(30-SUM(J936:L936),6-L936,_xlfn.XLOOKUP($D936&amp;"_"&amp;I$52,$B$14:$B$36&amp;"_"&amp;$C$14:$C$36,$D$14:$D$36)*$E936)</f>
        <v>1.2015</v>
      </c>
      <c r="J936" s="95" cm="1">
        <f ca="1" t="array" ref="J936">MIN(8,_xlfn.XLOOKUP($D936&amp;"_"&amp;J$52,$B$14:$B$36&amp;"_"&amp;$C$14:$C$36,$D$14:$D$36)*$E936)</f>
        <v>6.855</v>
      </c>
      <c r="K936" s="95" cm="1">
        <f ca="1" t="array" ref="K936">MIN(18,_xlfn.XLOOKUP($D936&amp;"_"&amp;K$52,$B$14:$B$36&amp;"_"&amp;$C$14:$C$36,$D$14:$D$36)*$E936)</f>
        <v>2.5592</v>
      </c>
      <c r="L936" s="95" cm="1">
        <f ca="1" t="array" ref="L936">MIN(6,_xlfn.XLOOKUP($D936&amp;"_"&amp;L$52,$B$14:$B$36&amp;"_"&amp;$C$14:$C$36,$D$14:$D$36)*$E936)</f>
        <v>4.7985</v>
      </c>
      <c r="M936" s="95" cm="1">
        <f ca="1" t="array" ref="M936">(1+SUMPRODUCT(G936:H936,OFFSET($H$40:$I$40,D936,0)))*(1+OFFSET($J$40,D936,0))^I936*(1+OFFSET($K$40,D936,0))^J936*(1+OFFSET($L$40,D936,0))^K936*(1+OFFSET($M$40,D936,0))^L936</f>
        <v>207.566682384811</v>
      </c>
      <c r="N936" s="95">
        <f ca="1">MAX(MAX($N$53:N935),OFFSET($C$52,MATCH(M936*1.07,$M$53:$M$2052,1),0)-C936)</f>
        <v>10080</v>
      </c>
    </row>
    <row r="937" spans="2:14">
      <c r="B937" s="95">
        <v>885</v>
      </c>
      <c r="C937" s="95">
        <f t="shared" si="72"/>
        <v>318600</v>
      </c>
      <c r="D937" s="95">
        <f ca="1">_xlfn.XLOOKUP(总览!$B$44,$B$40:$B$45,$C$40:$C$45)</f>
        <v>5</v>
      </c>
      <c r="E937" s="95">
        <f ca="1" t="shared" si="69"/>
        <v>915</v>
      </c>
      <c r="F937" s="95">
        <f ca="1" t="shared" si="70"/>
        <v>0</v>
      </c>
      <c r="G937" s="95">
        <f ca="1" t="shared" si="71"/>
        <v>0</v>
      </c>
      <c r="H937" s="95" cm="1">
        <f ca="1" t="array" ref="H937">MIN(30-SUM(I937:L937),_xlfn.XLOOKUP($D937&amp;"_"&amp;H$52,$B$14:$B$36&amp;"_"&amp;$C$14:$C$36,$D$14:$D$36)*$E937,18)</f>
        <v>14.5755</v>
      </c>
      <c r="I937" s="95" cm="1">
        <f ca="1" t="array" ref="I937">MIN(30-SUM(J937:L937),6-L937,_xlfn.XLOOKUP($D937&amp;"_"&amp;I$52,$B$14:$B$36&amp;"_"&amp;$C$14:$C$36,$D$14:$D$36)*$E937)</f>
        <v>1.19625</v>
      </c>
      <c r="J937" s="95" cm="1">
        <f ca="1" t="array" ref="J937">MIN(8,_xlfn.XLOOKUP($D937&amp;"_"&amp;J$52,$B$14:$B$36&amp;"_"&amp;$C$14:$C$36,$D$14:$D$36)*$E937)</f>
        <v>6.8625</v>
      </c>
      <c r="K937" s="95" cm="1">
        <f ca="1" t="array" ref="K937">MIN(18,_xlfn.XLOOKUP($D937&amp;"_"&amp;K$52,$B$14:$B$36&amp;"_"&amp;$C$14:$C$36,$D$14:$D$36)*$E937)</f>
        <v>2.562</v>
      </c>
      <c r="L937" s="95" cm="1">
        <f ca="1" t="array" ref="L937">MIN(6,_xlfn.XLOOKUP($D937&amp;"_"&amp;L$52,$B$14:$B$36&amp;"_"&amp;$C$14:$C$36,$D$14:$D$36)*$E937)</f>
        <v>4.80375</v>
      </c>
      <c r="M937" s="95" cm="1">
        <f ca="1" t="array" ref="M937">(1+SUMPRODUCT(G937:H937,OFFSET($H$40:$I$40,D937,0)))*(1+OFFSET($J$40,D937,0))^I937*(1+OFFSET($K$40,D937,0))^J937*(1+OFFSET($L$40,D937,0))^K937*(1+OFFSET($M$40,D937,0))^L937</f>
        <v>208.055614373073</v>
      </c>
      <c r="N937" s="95">
        <f ca="1">MAX(MAX($N$53:N936),OFFSET($C$52,MATCH(M937*1.07,$M$53:$M$2052,1),0)-C937)</f>
        <v>10080</v>
      </c>
    </row>
    <row r="938" spans="2:14">
      <c r="B938" s="95">
        <v>886</v>
      </c>
      <c r="C938" s="95">
        <f t="shared" si="72"/>
        <v>318960</v>
      </c>
      <c r="D938" s="95">
        <f ca="1">_xlfn.XLOOKUP(总览!$B$44,$B$40:$B$45,$C$40:$C$45)</f>
        <v>5</v>
      </c>
      <c r="E938" s="95">
        <f ca="1" t="shared" si="69"/>
        <v>916</v>
      </c>
      <c r="F938" s="95">
        <f ca="1" t="shared" si="70"/>
        <v>0</v>
      </c>
      <c r="G938" s="95">
        <f ca="1" t="shared" si="71"/>
        <v>0</v>
      </c>
      <c r="H938" s="95" cm="1">
        <f ca="1" t="array" ref="H938">MIN(30-SUM(I938:L938),_xlfn.XLOOKUP($D938&amp;"_"&amp;H$52,$B$14:$B$36&amp;"_"&amp;$C$14:$C$36,$D$14:$D$36)*$E938,18)</f>
        <v>14.5652</v>
      </c>
      <c r="I938" s="95" cm="1">
        <f ca="1" t="array" ref="I938">MIN(30-SUM(J938:L938),6-L938,_xlfn.XLOOKUP($D938&amp;"_"&amp;I$52,$B$14:$B$36&amp;"_"&amp;$C$14:$C$36,$D$14:$D$36)*$E938)</f>
        <v>1.191</v>
      </c>
      <c r="J938" s="95" cm="1">
        <f ca="1" t="array" ref="J938">MIN(8,_xlfn.XLOOKUP($D938&amp;"_"&amp;J$52,$B$14:$B$36&amp;"_"&amp;$C$14:$C$36,$D$14:$D$36)*$E938)</f>
        <v>6.87</v>
      </c>
      <c r="K938" s="95" cm="1">
        <f ca="1" t="array" ref="K938">MIN(18,_xlfn.XLOOKUP($D938&amp;"_"&amp;K$52,$B$14:$B$36&amp;"_"&amp;$C$14:$C$36,$D$14:$D$36)*$E938)</f>
        <v>2.5648</v>
      </c>
      <c r="L938" s="95" cm="1">
        <f ca="1" t="array" ref="L938">MIN(6,_xlfn.XLOOKUP($D938&amp;"_"&amp;L$52,$B$14:$B$36&amp;"_"&amp;$C$14:$C$36,$D$14:$D$36)*$E938)</f>
        <v>4.809</v>
      </c>
      <c r="M938" s="95" cm="1">
        <f ca="1" t="array" ref="M938">(1+SUMPRODUCT(G938:H938,OFFSET($H$40:$I$40,D938,0)))*(1+OFFSET($J$40,D938,0))^I938*(1+OFFSET($K$40,D938,0))^J938*(1+OFFSET($L$40,D938,0))^K938*(1+OFFSET($M$40,D938,0))^L938</f>
        <v>208.545640324617</v>
      </c>
      <c r="N938" s="95">
        <f ca="1">MAX(MAX($N$53:N937),OFFSET($C$52,MATCH(M938*1.07,$M$53:$M$2052,1),0)-C938)</f>
        <v>10080</v>
      </c>
    </row>
    <row r="939" spans="2:14">
      <c r="B939" s="95">
        <v>887</v>
      </c>
      <c r="C939" s="95">
        <f t="shared" si="72"/>
        <v>319320</v>
      </c>
      <c r="D939" s="95">
        <f ca="1">_xlfn.XLOOKUP(总览!$B$44,$B$40:$B$45,$C$40:$C$45)</f>
        <v>5</v>
      </c>
      <c r="E939" s="95">
        <f ca="1" t="shared" si="69"/>
        <v>917</v>
      </c>
      <c r="F939" s="95">
        <f ca="1" t="shared" si="70"/>
        <v>0</v>
      </c>
      <c r="G939" s="95">
        <f ca="1" t="shared" si="71"/>
        <v>0</v>
      </c>
      <c r="H939" s="95" cm="1">
        <f ca="1" t="array" ref="H939">MIN(30-SUM(I939:L939),_xlfn.XLOOKUP($D939&amp;"_"&amp;H$52,$B$14:$B$36&amp;"_"&amp;$C$14:$C$36,$D$14:$D$36)*$E939,18)</f>
        <v>14.5549</v>
      </c>
      <c r="I939" s="95" cm="1">
        <f ca="1" t="array" ref="I939">MIN(30-SUM(J939:L939),6-L939,_xlfn.XLOOKUP($D939&amp;"_"&amp;I$52,$B$14:$B$36&amp;"_"&amp;$C$14:$C$36,$D$14:$D$36)*$E939)</f>
        <v>1.18575</v>
      </c>
      <c r="J939" s="95" cm="1">
        <f ca="1" t="array" ref="J939">MIN(8,_xlfn.XLOOKUP($D939&amp;"_"&amp;J$52,$B$14:$B$36&amp;"_"&amp;$C$14:$C$36,$D$14:$D$36)*$E939)</f>
        <v>6.8775</v>
      </c>
      <c r="K939" s="95" cm="1">
        <f ca="1" t="array" ref="K939">MIN(18,_xlfn.XLOOKUP($D939&amp;"_"&amp;K$52,$B$14:$B$36&amp;"_"&amp;$C$14:$C$36,$D$14:$D$36)*$E939)</f>
        <v>2.5676</v>
      </c>
      <c r="L939" s="95" cm="1">
        <f ca="1" t="array" ref="L939">MIN(6,_xlfn.XLOOKUP($D939&amp;"_"&amp;L$52,$B$14:$B$36&amp;"_"&amp;$C$14:$C$36,$D$14:$D$36)*$E939)</f>
        <v>4.81425</v>
      </c>
      <c r="M939" s="95" cm="1">
        <f ca="1" t="array" ref="M939">(1+SUMPRODUCT(G939:H939,OFFSET($H$40:$I$40,D939,0)))*(1+OFFSET($J$40,D939,0))^I939*(1+OFFSET($K$40,D939,0))^J939*(1+OFFSET($L$40,D939,0))^K939*(1+OFFSET($M$40,D939,0))^L939</f>
        <v>209.036762483416</v>
      </c>
      <c r="N939" s="95">
        <f ca="1">MAX(MAX($N$53:N938),OFFSET($C$52,MATCH(M939*1.07,$M$53:$M$2052,1),0)-C939)</f>
        <v>10080</v>
      </c>
    </row>
    <row r="940" spans="2:14">
      <c r="B940" s="95">
        <v>888</v>
      </c>
      <c r="C940" s="95">
        <f t="shared" si="72"/>
        <v>319680</v>
      </c>
      <c r="D940" s="95">
        <f ca="1">_xlfn.XLOOKUP(总览!$B$44,$B$40:$B$45,$C$40:$C$45)</f>
        <v>5</v>
      </c>
      <c r="E940" s="95">
        <f ca="1" t="shared" si="69"/>
        <v>918</v>
      </c>
      <c r="F940" s="95">
        <f ca="1" t="shared" si="70"/>
        <v>0</v>
      </c>
      <c r="G940" s="95">
        <f ca="1" t="shared" si="71"/>
        <v>0</v>
      </c>
      <c r="H940" s="95" cm="1">
        <f ca="1" t="array" ref="H940">MIN(30-SUM(I940:L940),_xlfn.XLOOKUP($D940&amp;"_"&amp;H$52,$B$14:$B$36&amp;"_"&amp;$C$14:$C$36,$D$14:$D$36)*$E940,18)</f>
        <v>14.5446</v>
      </c>
      <c r="I940" s="95" cm="1">
        <f ca="1" t="array" ref="I940">MIN(30-SUM(J940:L940),6-L940,_xlfn.XLOOKUP($D940&amp;"_"&amp;I$52,$B$14:$B$36&amp;"_"&amp;$C$14:$C$36,$D$14:$D$36)*$E940)</f>
        <v>1.1805</v>
      </c>
      <c r="J940" s="95" cm="1">
        <f ca="1" t="array" ref="J940">MIN(8,_xlfn.XLOOKUP($D940&amp;"_"&amp;J$52,$B$14:$B$36&amp;"_"&amp;$C$14:$C$36,$D$14:$D$36)*$E940)</f>
        <v>6.885</v>
      </c>
      <c r="K940" s="95" cm="1">
        <f ca="1" t="array" ref="K940">MIN(18,_xlfn.XLOOKUP($D940&amp;"_"&amp;K$52,$B$14:$B$36&amp;"_"&amp;$C$14:$C$36,$D$14:$D$36)*$E940)</f>
        <v>2.5704</v>
      </c>
      <c r="L940" s="95" cm="1">
        <f ca="1" t="array" ref="L940">MIN(6,_xlfn.XLOOKUP($D940&amp;"_"&amp;L$52,$B$14:$B$36&amp;"_"&amp;$C$14:$C$36,$D$14:$D$36)*$E940)</f>
        <v>4.8195</v>
      </c>
      <c r="M940" s="95" cm="1">
        <f ca="1" t="array" ref="M940">(1+SUMPRODUCT(G940:H940,OFFSET($H$40:$I$40,D940,0)))*(1+OFFSET($J$40,D940,0))^I940*(1+OFFSET($K$40,D940,0))^J940*(1+OFFSET($L$40,D940,0))^K940*(1+OFFSET($M$40,D940,0))^L940</f>
        <v>209.528983097291</v>
      </c>
      <c r="N940" s="95">
        <f ca="1">MAX(MAX($N$53:N939),OFFSET($C$52,MATCH(M940*1.07,$M$53:$M$2052,1),0)-C940)</f>
        <v>10080</v>
      </c>
    </row>
    <row r="941" spans="2:14">
      <c r="B941" s="95">
        <v>889</v>
      </c>
      <c r="C941" s="95">
        <f t="shared" si="72"/>
        <v>320040</v>
      </c>
      <c r="D941" s="95">
        <f ca="1">_xlfn.XLOOKUP(总览!$B$44,$B$40:$B$45,$C$40:$C$45)</f>
        <v>5</v>
      </c>
      <c r="E941" s="95">
        <f ca="1" t="shared" si="69"/>
        <v>919</v>
      </c>
      <c r="F941" s="95">
        <f ca="1" t="shared" si="70"/>
        <v>0</v>
      </c>
      <c r="G941" s="95">
        <f ca="1" t="shared" si="71"/>
        <v>0</v>
      </c>
      <c r="H941" s="95" cm="1">
        <f ca="1" t="array" ref="H941">MIN(30-SUM(I941:L941),_xlfn.XLOOKUP($D941&amp;"_"&amp;H$52,$B$14:$B$36&amp;"_"&amp;$C$14:$C$36,$D$14:$D$36)*$E941,18)</f>
        <v>14.5343</v>
      </c>
      <c r="I941" s="95" cm="1">
        <f ca="1" t="array" ref="I941">MIN(30-SUM(J941:L941),6-L941,_xlfn.XLOOKUP($D941&amp;"_"&amp;I$52,$B$14:$B$36&amp;"_"&amp;$C$14:$C$36,$D$14:$D$36)*$E941)</f>
        <v>1.17525</v>
      </c>
      <c r="J941" s="95" cm="1">
        <f ca="1" t="array" ref="J941">MIN(8,_xlfn.XLOOKUP($D941&amp;"_"&amp;J$52,$B$14:$B$36&amp;"_"&amp;$C$14:$C$36,$D$14:$D$36)*$E941)</f>
        <v>6.8925</v>
      </c>
      <c r="K941" s="95" cm="1">
        <f ca="1" t="array" ref="K941">MIN(18,_xlfn.XLOOKUP($D941&amp;"_"&amp;K$52,$B$14:$B$36&amp;"_"&amp;$C$14:$C$36,$D$14:$D$36)*$E941)</f>
        <v>2.5732</v>
      </c>
      <c r="L941" s="95" cm="1">
        <f ca="1" t="array" ref="L941">MIN(6,_xlfn.XLOOKUP($D941&amp;"_"&amp;L$52,$B$14:$B$36&amp;"_"&amp;$C$14:$C$36,$D$14:$D$36)*$E941)</f>
        <v>4.82475</v>
      </c>
      <c r="M941" s="95" cm="1">
        <f ca="1" t="array" ref="M941">(1+SUMPRODUCT(G941:H941,OFFSET($H$40:$I$40,D941,0)))*(1+OFFSET($J$40,D941,0))^I941*(1+OFFSET($K$40,D941,0))^J941*(1+OFFSET($L$40,D941,0))^K941*(1+OFFSET($M$40,D941,0))^L941</f>
        <v>210.022304417912</v>
      </c>
      <c r="N941" s="95">
        <f ca="1">MAX(MAX($N$53:N940),OFFSET($C$52,MATCH(M941*1.07,$M$53:$M$2052,1),0)-C941)</f>
        <v>10080</v>
      </c>
    </row>
    <row r="942" spans="2:14">
      <c r="B942" s="95">
        <v>890</v>
      </c>
      <c r="C942" s="95">
        <f t="shared" si="72"/>
        <v>320400</v>
      </c>
      <c r="D942" s="95">
        <f ca="1">_xlfn.XLOOKUP(总览!$B$44,$B$40:$B$45,$C$40:$C$45)</f>
        <v>5</v>
      </c>
      <c r="E942" s="95">
        <f ca="1" t="shared" si="69"/>
        <v>920</v>
      </c>
      <c r="F942" s="95">
        <f ca="1" t="shared" si="70"/>
        <v>0</v>
      </c>
      <c r="G942" s="95">
        <f ca="1" t="shared" si="71"/>
        <v>0</v>
      </c>
      <c r="H942" s="95" cm="1">
        <f ca="1" t="array" ref="H942">MIN(30-SUM(I942:L942),_xlfn.XLOOKUP($D942&amp;"_"&amp;H$52,$B$14:$B$36&amp;"_"&amp;$C$14:$C$36,$D$14:$D$36)*$E942,18)</f>
        <v>14.524</v>
      </c>
      <c r="I942" s="95" cm="1">
        <f ca="1" t="array" ref="I942">MIN(30-SUM(J942:L942),6-L942,_xlfn.XLOOKUP($D942&amp;"_"&amp;I$52,$B$14:$B$36&amp;"_"&amp;$C$14:$C$36,$D$14:$D$36)*$E942)</f>
        <v>1.17</v>
      </c>
      <c r="J942" s="95" cm="1">
        <f ca="1" t="array" ref="J942">MIN(8,_xlfn.XLOOKUP($D942&amp;"_"&amp;J$52,$B$14:$B$36&amp;"_"&amp;$C$14:$C$36,$D$14:$D$36)*$E942)</f>
        <v>6.9</v>
      </c>
      <c r="K942" s="95" cm="1">
        <f ca="1" t="array" ref="K942">MIN(18,_xlfn.XLOOKUP($D942&amp;"_"&amp;K$52,$B$14:$B$36&amp;"_"&amp;$C$14:$C$36,$D$14:$D$36)*$E942)</f>
        <v>2.576</v>
      </c>
      <c r="L942" s="95" cm="1">
        <f ca="1" t="array" ref="L942">MIN(6,_xlfn.XLOOKUP($D942&amp;"_"&amp;L$52,$B$14:$B$36&amp;"_"&amp;$C$14:$C$36,$D$14:$D$36)*$E942)</f>
        <v>4.83</v>
      </c>
      <c r="M942" s="95" cm="1">
        <f ca="1" t="array" ref="M942">(1+SUMPRODUCT(G942:H942,OFFSET($H$40:$I$40,D942,0)))*(1+OFFSET($J$40,D942,0))^I942*(1+OFFSET($K$40,D942,0))^J942*(1+OFFSET($L$40,D942,0))^K942*(1+OFFSET($M$40,D942,0))^L942</f>
        <v>210.5167287008</v>
      </c>
      <c r="N942" s="95">
        <f ca="1">MAX(MAX($N$53:N941),OFFSET($C$52,MATCH(M942*1.07,$M$53:$M$2052,1),0)-C942)</f>
        <v>10080</v>
      </c>
    </row>
    <row r="943" spans="2:14">
      <c r="B943" s="95">
        <v>891</v>
      </c>
      <c r="C943" s="95">
        <f t="shared" si="72"/>
        <v>320760</v>
      </c>
      <c r="D943" s="95">
        <f ca="1">_xlfn.XLOOKUP(总览!$B$44,$B$40:$B$45,$C$40:$C$45)</f>
        <v>5</v>
      </c>
      <c r="E943" s="95">
        <f ca="1" t="shared" si="69"/>
        <v>921</v>
      </c>
      <c r="F943" s="95">
        <f ca="1" t="shared" si="70"/>
        <v>0</v>
      </c>
      <c r="G943" s="95">
        <f ca="1" t="shared" si="71"/>
        <v>0</v>
      </c>
      <c r="H943" s="95" cm="1">
        <f ca="1" t="array" ref="H943">MIN(30-SUM(I943:L943),_xlfn.XLOOKUP($D943&amp;"_"&amp;H$52,$B$14:$B$36&amp;"_"&amp;$C$14:$C$36,$D$14:$D$36)*$E943,18)</f>
        <v>14.5137</v>
      </c>
      <c r="I943" s="95" cm="1">
        <f ca="1" t="array" ref="I943">MIN(30-SUM(J943:L943),6-L943,_xlfn.XLOOKUP($D943&amp;"_"&amp;I$52,$B$14:$B$36&amp;"_"&amp;$C$14:$C$36,$D$14:$D$36)*$E943)</f>
        <v>1.16475</v>
      </c>
      <c r="J943" s="95" cm="1">
        <f ca="1" t="array" ref="J943">MIN(8,_xlfn.XLOOKUP($D943&amp;"_"&amp;J$52,$B$14:$B$36&amp;"_"&amp;$C$14:$C$36,$D$14:$D$36)*$E943)</f>
        <v>6.9075</v>
      </c>
      <c r="K943" s="95" cm="1">
        <f ca="1" t="array" ref="K943">MIN(18,_xlfn.XLOOKUP($D943&amp;"_"&amp;K$52,$B$14:$B$36&amp;"_"&amp;$C$14:$C$36,$D$14:$D$36)*$E943)</f>
        <v>2.5788</v>
      </c>
      <c r="L943" s="95" cm="1">
        <f ca="1" t="array" ref="L943">MIN(6,_xlfn.XLOOKUP($D943&amp;"_"&amp;L$52,$B$14:$B$36&amp;"_"&amp;$C$14:$C$36,$D$14:$D$36)*$E943)</f>
        <v>4.83525</v>
      </c>
      <c r="M943" s="95" cm="1">
        <f ca="1" t="array" ref="M943">(1+SUMPRODUCT(G943:H943,OFFSET($H$40:$I$40,D943,0)))*(1+OFFSET($J$40,D943,0))^I943*(1+OFFSET($K$40,D943,0))^J943*(1+OFFSET($L$40,D943,0))^K943*(1+OFFSET($M$40,D943,0))^L943</f>
        <v>211.012258205337</v>
      </c>
      <c r="N943" s="95">
        <f ca="1">MAX(MAX($N$53:N942),OFFSET($C$52,MATCH(M943*1.07,$M$53:$M$2052,1),0)-C943)</f>
        <v>10080</v>
      </c>
    </row>
    <row r="944" spans="2:14">
      <c r="B944" s="95">
        <v>892</v>
      </c>
      <c r="C944" s="95">
        <f t="shared" si="72"/>
        <v>321120</v>
      </c>
      <c r="D944" s="95">
        <f ca="1">_xlfn.XLOOKUP(总览!$B$44,$B$40:$B$45,$C$40:$C$45)</f>
        <v>5</v>
      </c>
      <c r="E944" s="95">
        <f ca="1" t="shared" si="69"/>
        <v>922</v>
      </c>
      <c r="F944" s="95">
        <f ca="1" t="shared" si="70"/>
        <v>0</v>
      </c>
      <c r="G944" s="95">
        <f ca="1" t="shared" si="71"/>
        <v>0</v>
      </c>
      <c r="H944" s="95" cm="1">
        <f ca="1" t="array" ref="H944">MIN(30-SUM(I944:L944),_xlfn.XLOOKUP($D944&amp;"_"&amp;H$52,$B$14:$B$36&amp;"_"&amp;$C$14:$C$36,$D$14:$D$36)*$E944,18)</f>
        <v>14.5034</v>
      </c>
      <c r="I944" s="95" cm="1">
        <f ca="1" t="array" ref="I944">MIN(30-SUM(J944:L944),6-L944,_xlfn.XLOOKUP($D944&amp;"_"&amp;I$52,$B$14:$B$36&amp;"_"&amp;$C$14:$C$36,$D$14:$D$36)*$E944)</f>
        <v>1.1595</v>
      </c>
      <c r="J944" s="95" cm="1">
        <f ca="1" t="array" ref="J944">MIN(8,_xlfn.XLOOKUP($D944&amp;"_"&amp;J$52,$B$14:$B$36&amp;"_"&amp;$C$14:$C$36,$D$14:$D$36)*$E944)</f>
        <v>6.915</v>
      </c>
      <c r="K944" s="95" cm="1">
        <f ca="1" t="array" ref="K944">MIN(18,_xlfn.XLOOKUP($D944&amp;"_"&amp;K$52,$B$14:$B$36&amp;"_"&amp;$C$14:$C$36,$D$14:$D$36)*$E944)</f>
        <v>2.5816</v>
      </c>
      <c r="L944" s="95" cm="1">
        <f ca="1" t="array" ref="L944">MIN(6,_xlfn.XLOOKUP($D944&amp;"_"&amp;L$52,$B$14:$B$36&amp;"_"&amp;$C$14:$C$36,$D$14:$D$36)*$E944)</f>
        <v>4.8405</v>
      </c>
      <c r="M944" s="95" cm="1">
        <f ca="1" t="array" ref="M944">(1+SUMPRODUCT(G944:H944,OFFSET($H$40:$I$40,D944,0)))*(1+OFFSET($J$40,D944,0))^I944*(1+OFFSET($K$40,D944,0))^J944*(1+OFFSET($L$40,D944,0))^K944*(1+OFFSET($M$40,D944,0))^L944</f>
        <v>211.50889519476</v>
      </c>
      <c r="N944" s="95">
        <f ca="1">MAX(MAX($N$53:N943),OFFSET($C$52,MATCH(M944*1.07,$M$53:$M$2052,1),0)-C944)</f>
        <v>10080</v>
      </c>
    </row>
    <row r="945" spans="2:14">
      <c r="B945" s="95">
        <v>893</v>
      </c>
      <c r="C945" s="95">
        <f t="shared" si="72"/>
        <v>321480</v>
      </c>
      <c r="D945" s="95">
        <f ca="1">_xlfn.XLOOKUP(总览!$B$44,$B$40:$B$45,$C$40:$C$45)</f>
        <v>5</v>
      </c>
      <c r="E945" s="95">
        <f ca="1" t="shared" si="69"/>
        <v>923</v>
      </c>
      <c r="F945" s="95">
        <f ca="1" t="shared" si="70"/>
        <v>0</v>
      </c>
      <c r="G945" s="95">
        <f ca="1" t="shared" si="71"/>
        <v>0</v>
      </c>
      <c r="H945" s="95" cm="1">
        <f ca="1" t="array" ref="H945">MIN(30-SUM(I945:L945),_xlfn.XLOOKUP($D945&amp;"_"&amp;H$52,$B$14:$B$36&amp;"_"&amp;$C$14:$C$36,$D$14:$D$36)*$E945,18)</f>
        <v>14.4931</v>
      </c>
      <c r="I945" s="95" cm="1">
        <f ca="1" t="array" ref="I945">MIN(30-SUM(J945:L945),6-L945,_xlfn.XLOOKUP($D945&amp;"_"&amp;I$52,$B$14:$B$36&amp;"_"&amp;$C$14:$C$36,$D$14:$D$36)*$E945)</f>
        <v>1.15425</v>
      </c>
      <c r="J945" s="95" cm="1">
        <f ca="1" t="array" ref="J945">MIN(8,_xlfn.XLOOKUP($D945&amp;"_"&amp;J$52,$B$14:$B$36&amp;"_"&amp;$C$14:$C$36,$D$14:$D$36)*$E945)</f>
        <v>6.9225</v>
      </c>
      <c r="K945" s="95" cm="1">
        <f ca="1" t="array" ref="K945">MIN(18,_xlfn.XLOOKUP($D945&amp;"_"&amp;K$52,$B$14:$B$36&amp;"_"&amp;$C$14:$C$36,$D$14:$D$36)*$E945)</f>
        <v>2.5844</v>
      </c>
      <c r="L945" s="95" cm="1">
        <f ca="1" t="array" ref="L945">MIN(6,_xlfn.XLOOKUP($D945&amp;"_"&amp;L$52,$B$14:$B$36&amp;"_"&amp;$C$14:$C$36,$D$14:$D$36)*$E945)</f>
        <v>4.84575</v>
      </c>
      <c r="M945" s="95" cm="1">
        <f ca="1" t="array" ref="M945">(1+SUMPRODUCT(G945:H945,OFFSET($H$40:$I$40,D945,0)))*(1+OFFSET($J$40,D945,0))^I945*(1+OFFSET($K$40,D945,0))^J945*(1+OFFSET($L$40,D945,0))^K945*(1+OFFSET($M$40,D945,0))^L945</f>
        <v>212.006641936175</v>
      </c>
      <c r="N945" s="95">
        <f ca="1">MAX(MAX($N$53:N944),OFFSET($C$52,MATCH(M945*1.07,$M$53:$M$2052,1),0)-C945)</f>
        <v>10080</v>
      </c>
    </row>
    <row r="946" spans="2:14">
      <c r="B946" s="95">
        <v>894</v>
      </c>
      <c r="C946" s="95">
        <f t="shared" si="72"/>
        <v>321840</v>
      </c>
      <c r="D946" s="95">
        <f ca="1">_xlfn.XLOOKUP(总览!$B$44,$B$40:$B$45,$C$40:$C$45)</f>
        <v>5</v>
      </c>
      <c r="E946" s="95">
        <f ca="1" t="shared" si="69"/>
        <v>924</v>
      </c>
      <c r="F946" s="95">
        <f ca="1" t="shared" si="70"/>
        <v>0</v>
      </c>
      <c r="G946" s="95">
        <f ca="1" t="shared" si="71"/>
        <v>0</v>
      </c>
      <c r="H946" s="95" cm="1">
        <f ca="1" t="array" ref="H946">MIN(30-SUM(I946:L946),_xlfn.XLOOKUP($D946&amp;"_"&amp;H$52,$B$14:$B$36&amp;"_"&amp;$C$14:$C$36,$D$14:$D$36)*$E946,18)</f>
        <v>14.4828</v>
      </c>
      <c r="I946" s="95" cm="1">
        <f ca="1" t="array" ref="I946">MIN(30-SUM(J946:L946),6-L946,_xlfn.XLOOKUP($D946&amp;"_"&amp;I$52,$B$14:$B$36&amp;"_"&amp;$C$14:$C$36,$D$14:$D$36)*$E946)</f>
        <v>1.149</v>
      </c>
      <c r="J946" s="95" cm="1">
        <f ca="1" t="array" ref="J946">MIN(8,_xlfn.XLOOKUP($D946&amp;"_"&amp;J$52,$B$14:$B$36&amp;"_"&amp;$C$14:$C$36,$D$14:$D$36)*$E946)</f>
        <v>6.93</v>
      </c>
      <c r="K946" s="95" cm="1">
        <f ca="1" t="array" ref="K946">MIN(18,_xlfn.XLOOKUP($D946&amp;"_"&amp;K$52,$B$14:$B$36&amp;"_"&amp;$C$14:$C$36,$D$14:$D$36)*$E946)</f>
        <v>2.5872</v>
      </c>
      <c r="L946" s="95" cm="1">
        <f ca="1" t="array" ref="L946">MIN(6,_xlfn.XLOOKUP($D946&amp;"_"&amp;L$52,$B$14:$B$36&amp;"_"&amp;$C$14:$C$36,$D$14:$D$36)*$E946)</f>
        <v>4.851</v>
      </c>
      <c r="M946" s="95" cm="1">
        <f ca="1" t="array" ref="M946">(1+SUMPRODUCT(G946:H946,OFFSET($H$40:$I$40,D946,0)))*(1+OFFSET($J$40,D946,0))^I946*(1+OFFSET($K$40,D946,0))^J946*(1+OFFSET($L$40,D946,0))^K946*(1+OFFSET($M$40,D946,0))^L946</f>
        <v>212.505500700551</v>
      </c>
      <c r="N946" s="95">
        <f ca="1">MAX(MAX($N$53:N945),OFFSET($C$52,MATCH(M946*1.07,$M$53:$M$2052,1),0)-C946)</f>
        <v>10080</v>
      </c>
    </row>
    <row r="947" spans="2:14">
      <c r="B947" s="95">
        <v>895</v>
      </c>
      <c r="C947" s="95">
        <f t="shared" si="72"/>
        <v>322200</v>
      </c>
      <c r="D947" s="95">
        <f ca="1">_xlfn.XLOOKUP(总览!$B$44,$B$40:$B$45,$C$40:$C$45)</f>
        <v>5</v>
      </c>
      <c r="E947" s="95">
        <f ca="1" t="shared" si="69"/>
        <v>925</v>
      </c>
      <c r="F947" s="95">
        <f ca="1" t="shared" si="70"/>
        <v>0</v>
      </c>
      <c r="G947" s="95">
        <f ca="1" t="shared" si="71"/>
        <v>0</v>
      </c>
      <c r="H947" s="95" cm="1">
        <f ca="1" t="array" ref="H947">MIN(30-SUM(I947:L947),_xlfn.XLOOKUP($D947&amp;"_"&amp;H$52,$B$14:$B$36&amp;"_"&amp;$C$14:$C$36,$D$14:$D$36)*$E947,18)</f>
        <v>14.4725</v>
      </c>
      <c r="I947" s="95" cm="1">
        <f ca="1" t="array" ref="I947">MIN(30-SUM(J947:L947),6-L947,_xlfn.XLOOKUP($D947&amp;"_"&amp;I$52,$B$14:$B$36&amp;"_"&amp;$C$14:$C$36,$D$14:$D$36)*$E947)</f>
        <v>1.14375</v>
      </c>
      <c r="J947" s="95" cm="1">
        <f ca="1" t="array" ref="J947">MIN(8,_xlfn.XLOOKUP($D947&amp;"_"&amp;J$52,$B$14:$B$36&amp;"_"&amp;$C$14:$C$36,$D$14:$D$36)*$E947)</f>
        <v>6.9375</v>
      </c>
      <c r="K947" s="95" cm="1">
        <f ca="1" t="array" ref="K947">MIN(18,_xlfn.XLOOKUP($D947&amp;"_"&amp;K$52,$B$14:$B$36&amp;"_"&amp;$C$14:$C$36,$D$14:$D$36)*$E947)</f>
        <v>2.59</v>
      </c>
      <c r="L947" s="95" cm="1">
        <f ca="1" t="array" ref="L947">MIN(6,_xlfn.XLOOKUP($D947&amp;"_"&amp;L$52,$B$14:$B$36&amp;"_"&amp;$C$14:$C$36,$D$14:$D$36)*$E947)</f>
        <v>4.85625</v>
      </c>
      <c r="M947" s="95" cm="1">
        <f ca="1" t="array" ref="M947">(1+SUMPRODUCT(G947:H947,OFFSET($H$40:$I$40,D947,0)))*(1+OFFSET($J$40,D947,0))^I947*(1+OFFSET($K$40,D947,0))^J947*(1+OFFSET($L$40,D947,0))^K947*(1+OFFSET($M$40,D947,0))^L947</f>
        <v>213.005473762729</v>
      </c>
      <c r="N947" s="95">
        <f ca="1">MAX(MAX($N$53:N946),OFFSET($C$52,MATCH(M947*1.07,$M$53:$M$2052,1),0)-C947)</f>
        <v>10080</v>
      </c>
    </row>
    <row r="948" spans="2:14">
      <c r="B948" s="95">
        <v>896</v>
      </c>
      <c r="C948" s="95">
        <f t="shared" si="72"/>
        <v>322560</v>
      </c>
      <c r="D948" s="95">
        <f ca="1">_xlfn.XLOOKUP(总览!$B$44,$B$40:$B$45,$C$40:$C$45)</f>
        <v>5</v>
      </c>
      <c r="E948" s="95">
        <f ca="1" t="shared" si="69"/>
        <v>926</v>
      </c>
      <c r="F948" s="95">
        <f ca="1" t="shared" si="70"/>
        <v>0</v>
      </c>
      <c r="G948" s="95">
        <f ca="1" t="shared" si="71"/>
        <v>0</v>
      </c>
      <c r="H948" s="95" cm="1">
        <f ca="1" t="array" ref="H948">MIN(30-SUM(I948:L948),_xlfn.XLOOKUP($D948&amp;"_"&amp;H$52,$B$14:$B$36&amp;"_"&amp;$C$14:$C$36,$D$14:$D$36)*$E948,18)</f>
        <v>14.4622</v>
      </c>
      <c r="I948" s="95" cm="1">
        <f ca="1" t="array" ref="I948">MIN(30-SUM(J948:L948),6-L948,_xlfn.XLOOKUP($D948&amp;"_"&amp;I$52,$B$14:$B$36&amp;"_"&amp;$C$14:$C$36,$D$14:$D$36)*$E948)</f>
        <v>1.1385</v>
      </c>
      <c r="J948" s="95" cm="1">
        <f ca="1" t="array" ref="J948">MIN(8,_xlfn.XLOOKUP($D948&amp;"_"&amp;J$52,$B$14:$B$36&amp;"_"&amp;$C$14:$C$36,$D$14:$D$36)*$E948)</f>
        <v>6.945</v>
      </c>
      <c r="K948" s="95" cm="1">
        <f ca="1" t="array" ref="K948">MIN(18,_xlfn.XLOOKUP($D948&amp;"_"&amp;K$52,$B$14:$B$36&amp;"_"&amp;$C$14:$C$36,$D$14:$D$36)*$E948)</f>
        <v>2.5928</v>
      </c>
      <c r="L948" s="95" cm="1">
        <f ca="1" t="array" ref="L948">MIN(6,_xlfn.XLOOKUP($D948&amp;"_"&amp;L$52,$B$14:$B$36&amp;"_"&amp;$C$14:$C$36,$D$14:$D$36)*$E948)</f>
        <v>4.8615</v>
      </c>
      <c r="M948" s="95" cm="1">
        <f ca="1" t="array" ref="M948">(1+SUMPRODUCT(G948:H948,OFFSET($H$40:$I$40,D948,0)))*(1+OFFSET($J$40,D948,0))^I948*(1+OFFSET($K$40,D948,0))^J948*(1+OFFSET($L$40,D948,0))^K948*(1+OFFSET($M$40,D948,0))^L948</f>
        <v>213.506563401425</v>
      </c>
      <c r="N948" s="95">
        <f ca="1">MAX(MAX($N$53:N947),OFFSET($C$52,MATCH(M948*1.07,$M$53:$M$2052,1),0)-C948)</f>
        <v>10080</v>
      </c>
    </row>
    <row r="949" spans="2:14">
      <c r="B949" s="95">
        <v>897</v>
      </c>
      <c r="C949" s="95">
        <f t="shared" si="72"/>
        <v>322920</v>
      </c>
      <c r="D949" s="95">
        <f ca="1">_xlfn.XLOOKUP(总览!$B$44,$B$40:$B$45,$C$40:$C$45)</f>
        <v>5</v>
      </c>
      <c r="E949" s="95">
        <f ca="1" t="shared" si="69"/>
        <v>927</v>
      </c>
      <c r="F949" s="95">
        <f ca="1" t="shared" si="70"/>
        <v>0</v>
      </c>
      <c r="G949" s="95">
        <f ca="1" t="shared" si="71"/>
        <v>0</v>
      </c>
      <c r="H949" s="95" cm="1">
        <f ca="1" t="array" ref="H949">MIN(30-SUM(I949:L949),_xlfn.XLOOKUP($D949&amp;"_"&amp;H$52,$B$14:$B$36&amp;"_"&amp;$C$14:$C$36,$D$14:$D$36)*$E949,18)</f>
        <v>14.4519</v>
      </c>
      <c r="I949" s="95" cm="1">
        <f ca="1" t="array" ref="I949">MIN(30-SUM(J949:L949),6-L949,_xlfn.XLOOKUP($D949&amp;"_"&amp;I$52,$B$14:$B$36&amp;"_"&amp;$C$14:$C$36,$D$14:$D$36)*$E949)</f>
        <v>1.13325</v>
      </c>
      <c r="J949" s="95" cm="1">
        <f ca="1" t="array" ref="J949">MIN(8,_xlfn.XLOOKUP($D949&amp;"_"&amp;J$52,$B$14:$B$36&amp;"_"&amp;$C$14:$C$36,$D$14:$D$36)*$E949)</f>
        <v>6.9525</v>
      </c>
      <c r="K949" s="95" cm="1">
        <f ca="1" t="array" ref="K949">MIN(18,_xlfn.XLOOKUP($D949&amp;"_"&amp;K$52,$B$14:$B$36&amp;"_"&amp;$C$14:$C$36,$D$14:$D$36)*$E949)</f>
        <v>2.5956</v>
      </c>
      <c r="L949" s="95" cm="1">
        <f ca="1" t="array" ref="L949">MIN(6,_xlfn.XLOOKUP($D949&amp;"_"&amp;L$52,$B$14:$B$36&amp;"_"&amp;$C$14:$C$36,$D$14:$D$36)*$E949)</f>
        <v>4.86675</v>
      </c>
      <c r="M949" s="95" cm="1">
        <f ca="1" t="array" ref="M949">(1+SUMPRODUCT(G949:H949,OFFSET($H$40:$I$40,D949,0)))*(1+OFFSET($J$40,D949,0))^I949*(1+OFFSET($K$40,D949,0))^J949*(1+OFFSET($L$40,D949,0))^K949*(1+OFFSET($M$40,D949,0))^L949</f>
        <v>214.008771899232</v>
      </c>
      <c r="N949" s="95">
        <f ca="1">MAX(MAX($N$53:N948),OFFSET($C$52,MATCH(M949*1.07,$M$53:$M$2052,1),0)-C949)</f>
        <v>10080</v>
      </c>
    </row>
    <row r="950" spans="2:14">
      <c r="B950" s="95">
        <v>898</v>
      </c>
      <c r="C950" s="95">
        <f t="shared" si="72"/>
        <v>323280</v>
      </c>
      <c r="D950" s="95">
        <f ca="1">_xlfn.XLOOKUP(总览!$B$44,$B$40:$B$45,$C$40:$C$45)</f>
        <v>5</v>
      </c>
      <c r="E950" s="95">
        <f ca="1" t="shared" ref="E950:E1013" si="73">INT(C950/_xlfn.XLOOKUP(D950,$N$5:$N$16,$O$5:$O$16))+OFFSET($R$40,D950,0)</f>
        <v>928</v>
      </c>
      <c r="F950" s="95">
        <f ca="1" t="shared" si="70"/>
        <v>0</v>
      </c>
      <c r="G950" s="95">
        <f ca="1" t="shared" si="71"/>
        <v>0</v>
      </c>
      <c r="H950" s="95" cm="1">
        <f ca="1" t="array" ref="H950">MIN(30-SUM(I950:L950),_xlfn.XLOOKUP($D950&amp;"_"&amp;H$52,$B$14:$B$36&amp;"_"&amp;$C$14:$C$36,$D$14:$D$36)*$E950,18)</f>
        <v>14.4416</v>
      </c>
      <c r="I950" s="95" cm="1">
        <f ca="1" t="array" ref="I950">MIN(30-SUM(J950:L950),6-L950,_xlfn.XLOOKUP($D950&amp;"_"&amp;I$52,$B$14:$B$36&amp;"_"&amp;$C$14:$C$36,$D$14:$D$36)*$E950)</f>
        <v>1.128</v>
      </c>
      <c r="J950" s="95" cm="1">
        <f ca="1" t="array" ref="J950">MIN(8,_xlfn.XLOOKUP($D950&amp;"_"&amp;J$52,$B$14:$B$36&amp;"_"&amp;$C$14:$C$36,$D$14:$D$36)*$E950)</f>
        <v>6.96</v>
      </c>
      <c r="K950" s="95" cm="1">
        <f ca="1" t="array" ref="K950">MIN(18,_xlfn.XLOOKUP($D950&amp;"_"&amp;K$52,$B$14:$B$36&amp;"_"&amp;$C$14:$C$36,$D$14:$D$36)*$E950)</f>
        <v>2.5984</v>
      </c>
      <c r="L950" s="95" cm="1">
        <f ca="1" t="array" ref="L950">MIN(6,_xlfn.XLOOKUP($D950&amp;"_"&amp;L$52,$B$14:$B$36&amp;"_"&amp;$C$14:$C$36,$D$14:$D$36)*$E950)</f>
        <v>4.872</v>
      </c>
      <c r="M950" s="95" cm="1">
        <f ca="1" t="array" ref="M950">(1+SUMPRODUCT(G950:H950,OFFSET($H$40:$I$40,D950,0)))*(1+OFFSET($J$40,D950,0))^I950*(1+OFFSET($K$40,D950,0))^J950*(1+OFFSET($L$40,D950,0))^K950*(1+OFFSET($M$40,D950,0))^L950</f>
        <v>214.512101542623</v>
      </c>
      <c r="N950" s="95">
        <f ca="1">MAX(MAX($N$53:N949),OFFSET($C$52,MATCH(M950*1.07,$M$53:$M$2052,1),0)-C950)</f>
        <v>10080</v>
      </c>
    </row>
    <row r="951" spans="2:14">
      <c r="B951" s="95">
        <v>899</v>
      </c>
      <c r="C951" s="95">
        <f t="shared" si="72"/>
        <v>323640</v>
      </c>
      <c r="D951" s="95">
        <f ca="1">_xlfn.XLOOKUP(总览!$B$44,$B$40:$B$45,$C$40:$C$45)</f>
        <v>5</v>
      </c>
      <c r="E951" s="95">
        <f ca="1" t="shared" si="73"/>
        <v>929</v>
      </c>
      <c r="F951" s="95">
        <f ca="1" t="shared" ref="F951:F1014" si="74">30-SUM(G951:L951)</f>
        <v>0</v>
      </c>
      <c r="G951" s="95">
        <f ca="1" t="shared" ref="G951:G1014" si="75">30-SUM(H951:L951)</f>
        <v>0</v>
      </c>
      <c r="H951" s="95" cm="1">
        <f ca="1" t="array" ref="H951">MIN(30-SUM(I951:L951),_xlfn.XLOOKUP($D951&amp;"_"&amp;H$52,$B$14:$B$36&amp;"_"&amp;$C$14:$C$36,$D$14:$D$36)*$E951,18)</f>
        <v>14.4313</v>
      </c>
      <c r="I951" s="95" cm="1">
        <f ca="1" t="array" ref="I951">MIN(30-SUM(J951:L951),6-L951,_xlfn.XLOOKUP($D951&amp;"_"&amp;I$52,$B$14:$B$36&amp;"_"&amp;$C$14:$C$36,$D$14:$D$36)*$E951)</f>
        <v>1.12275</v>
      </c>
      <c r="J951" s="95" cm="1">
        <f ca="1" t="array" ref="J951">MIN(8,_xlfn.XLOOKUP($D951&amp;"_"&amp;J$52,$B$14:$B$36&amp;"_"&amp;$C$14:$C$36,$D$14:$D$36)*$E951)</f>
        <v>6.9675</v>
      </c>
      <c r="K951" s="95" cm="1">
        <f ca="1" t="array" ref="K951">MIN(18,_xlfn.XLOOKUP($D951&amp;"_"&amp;K$52,$B$14:$B$36&amp;"_"&amp;$C$14:$C$36,$D$14:$D$36)*$E951)</f>
        <v>2.6012</v>
      </c>
      <c r="L951" s="95" cm="1">
        <f ca="1" t="array" ref="L951">MIN(6,_xlfn.XLOOKUP($D951&amp;"_"&amp;L$52,$B$14:$B$36&amp;"_"&amp;$C$14:$C$36,$D$14:$D$36)*$E951)</f>
        <v>4.87725</v>
      </c>
      <c r="M951" s="95" cm="1">
        <f ca="1" t="array" ref="M951">(1+SUMPRODUCT(G951:H951,OFFSET($H$40:$I$40,D951,0)))*(1+OFFSET($J$40,D951,0))^I951*(1+OFFSET($K$40,D951,0))^J951*(1+OFFSET($L$40,D951,0))^K951*(1+OFFSET($M$40,D951,0))^L951</f>
        <v>215.016554621956</v>
      </c>
      <c r="N951" s="95">
        <f ca="1">MAX(MAX($N$53:N950),OFFSET($C$52,MATCH(M951*1.07,$M$53:$M$2052,1),0)-C951)</f>
        <v>10080</v>
      </c>
    </row>
    <row r="952" spans="2:14">
      <c r="B952" s="95">
        <v>900</v>
      </c>
      <c r="C952" s="95">
        <f t="shared" si="72"/>
        <v>324000</v>
      </c>
      <c r="D952" s="95">
        <f ca="1">_xlfn.XLOOKUP(总览!$B$44,$B$40:$B$45,$C$40:$C$45)</f>
        <v>5</v>
      </c>
      <c r="E952" s="95">
        <f ca="1" t="shared" si="73"/>
        <v>930</v>
      </c>
      <c r="F952" s="95">
        <f ca="1" t="shared" si="74"/>
        <v>0</v>
      </c>
      <c r="G952" s="95">
        <f ca="1" t="shared" si="75"/>
        <v>0</v>
      </c>
      <c r="H952" s="95" cm="1">
        <f ca="1" t="array" ref="H952">MIN(30-SUM(I952:L952),_xlfn.XLOOKUP($D952&amp;"_"&amp;H$52,$B$14:$B$36&amp;"_"&amp;$C$14:$C$36,$D$14:$D$36)*$E952,18)</f>
        <v>14.421</v>
      </c>
      <c r="I952" s="95" cm="1">
        <f ca="1" t="array" ref="I952">MIN(30-SUM(J952:L952),6-L952,_xlfn.XLOOKUP($D952&amp;"_"&amp;I$52,$B$14:$B$36&amp;"_"&amp;$C$14:$C$36,$D$14:$D$36)*$E952)</f>
        <v>1.1175</v>
      </c>
      <c r="J952" s="95" cm="1">
        <f ca="1" t="array" ref="J952">MIN(8,_xlfn.XLOOKUP($D952&amp;"_"&amp;J$52,$B$14:$B$36&amp;"_"&amp;$C$14:$C$36,$D$14:$D$36)*$E952)</f>
        <v>6.975</v>
      </c>
      <c r="K952" s="95" cm="1">
        <f ca="1" t="array" ref="K952">MIN(18,_xlfn.XLOOKUP($D952&amp;"_"&amp;K$52,$B$14:$B$36&amp;"_"&amp;$C$14:$C$36,$D$14:$D$36)*$E952)</f>
        <v>2.604</v>
      </c>
      <c r="L952" s="95" cm="1">
        <f ca="1" t="array" ref="L952">MIN(6,_xlfn.XLOOKUP($D952&amp;"_"&amp;L$52,$B$14:$B$36&amp;"_"&amp;$C$14:$C$36,$D$14:$D$36)*$E952)</f>
        <v>4.8825</v>
      </c>
      <c r="M952" s="95" cm="1">
        <f ca="1" t="array" ref="M952">(1+SUMPRODUCT(G952:H952,OFFSET($H$40:$I$40,D952,0)))*(1+OFFSET($J$40,D952,0))^I952*(1+OFFSET($K$40,D952,0))^J952*(1+OFFSET($L$40,D952,0))^K952*(1+OFFSET($M$40,D952,0))^L952</f>
        <v>215.522133431476</v>
      </c>
      <c r="N952" s="95">
        <f ca="1">MAX(MAX($N$53:N951),OFFSET($C$52,MATCH(M952*1.07,$M$53:$M$2052,1),0)-C952)</f>
        <v>10080</v>
      </c>
    </row>
    <row r="953" spans="2:14">
      <c r="B953" s="95">
        <v>901</v>
      </c>
      <c r="C953" s="95">
        <f t="shared" si="72"/>
        <v>324360</v>
      </c>
      <c r="D953" s="95">
        <f ca="1">_xlfn.XLOOKUP(总览!$B$44,$B$40:$B$45,$C$40:$C$45)</f>
        <v>5</v>
      </c>
      <c r="E953" s="95">
        <f ca="1" t="shared" si="73"/>
        <v>931</v>
      </c>
      <c r="F953" s="95">
        <f ca="1" t="shared" si="74"/>
        <v>0</v>
      </c>
      <c r="G953" s="95">
        <f ca="1" t="shared" si="75"/>
        <v>0</v>
      </c>
      <c r="H953" s="95" cm="1">
        <f ca="1" t="array" ref="H953">MIN(30-SUM(I953:L953),_xlfn.XLOOKUP($D953&amp;"_"&amp;H$52,$B$14:$B$36&amp;"_"&amp;$C$14:$C$36,$D$14:$D$36)*$E953,18)</f>
        <v>14.4107</v>
      </c>
      <c r="I953" s="95" cm="1">
        <f ca="1" t="array" ref="I953">MIN(30-SUM(J953:L953),6-L953,_xlfn.XLOOKUP($D953&amp;"_"&amp;I$52,$B$14:$B$36&amp;"_"&amp;$C$14:$C$36,$D$14:$D$36)*$E953)</f>
        <v>1.11225</v>
      </c>
      <c r="J953" s="95" cm="1">
        <f ca="1" t="array" ref="J953">MIN(8,_xlfn.XLOOKUP($D953&amp;"_"&amp;J$52,$B$14:$B$36&amp;"_"&amp;$C$14:$C$36,$D$14:$D$36)*$E953)</f>
        <v>6.9825</v>
      </c>
      <c r="K953" s="95" cm="1">
        <f ca="1" t="array" ref="K953">MIN(18,_xlfn.XLOOKUP($D953&amp;"_"&amp;K$52,$B$14:$B$36&amp;"_"&amp;$C$14:$C$36,$D$14:$D$36)*$E953)</f>
        <v>2.6068</v>
      </c>
      <c r="L953" s="95" cm="1">
        <f ca="1" t="array" ref="L953">MIN(6,_xlfn.XLOOKUP($D953&amp;"_"&amp;L$52,$B$14:$B$36&amp;"_"&amp;$C$14:$C$36,$D$14:$D$36)*$E953)</f>
        <v>4.88775</v>
      </c>
      <c r="M953" s="95" cm="1">
        <f ca="1" t="array" ref="M953">(1+SUMPRODUCT(G953:H953,OFFSET($H$40:$I$40,D953,0)))*(1+OFFSET($J$40,D953,0))^I953*(1+OFFSET($K$40,D953,0))^J953*(1+OFFSET($L$40,D953,0))^K953*(1+OFFSET($M$40,D953,0))^L953</f>
        <v>216.02884026932</v>
      </c>
      <c r="N953" s="95">
        <f ca="1">MAX(MAX($N$53:N952),OFFSET($C$52,MATCH(M953*1.07,$M$53:$M$2052,1),0)-C953)</f>
        <v>10080</v>
      </c>
    </row>
    <row r="954" spans="2:14">
      <c r="B954" s="95">
        <v>902</v>
      </c>
      <c r="C954" s="95">
        <f t="shared" si="72"/>
        <v>324720</v>
      </c>
      <c r="D954" s="95">
        <f ca="1">_xlfn.XLOOKUP(总览!$B$44,$B$40:$B$45,$C$40:$C$45)</f>
        <v>5</v>
      </c>
      <c r="E954" s="95">
        <f ca="1" t="shared" si="73"/>
        <v>932</v>
      </c>
      <c r="F954" s="95">
        <f ca="1" t="shared" si="74"/>
        <v>0</v>
      </c>
      <c r="G954" s="95">
        <f ca="1" t="shared" si="75"/>
        <v>0</v>
      </c>
      <c r="H954" s="95" cm="1">
        <f ca="1" t="array" ref="H954">MIN(30-SUM(I954:L954),_xlfn.XLOOKUP($D954&amp;"_"&amp;H$52,$B$14:$B$36&amp;"_"&amp;$C$14:$C$36,$D$14:$D$36)*$E954,18)</f>
        <v>14.4004</v>
      </c>
      <c r="I954" s="95" cm="1">
        <f ca="1" t="array" ref="I954">MIN(30-SUM(J954:L954),6-L954,_xlfn.XLOOKUP($D954&amp;"_"&amp;I$52,$B$14:$B$36&amp;"_"&amp;$C$14:$C$36,$D$14:$D$36)*$E954)</f>
        <v>1.107</v>
      </c>
      <c r="J954" s="95" cm="1">
        <f ca="1" t="array" ref="J954">MIN(8,_xlfn.XLOOKUP($D954&amp;"_"&amp;J$52,$B$14:$B$36&amp;"_"&amp;$C$14:$C$36,$D$14:$D$36)*$E954)</f>
        <v>6.99</v>
      </c>
      <c r="K954" s="95" cm="1">
        <f ca="1" t="array" ref="K954">MIN(18,_xlfn.XLOOKUP($D954&amp;"_"&amp;K$52,$B$14:$B$36&amp;"_"&amp;$C$14:$C$36,$D$14:$D$36)*$E954)</f>
        <v>2.6096</v>
      </c>
      <c r="L954" s="95" cm="1">
        <f ca="1" t="array" ref="L954">MIN(6,_xlfn.XLOOKUP($D954&amp;"_"&amp;L$52,$B$14:$B$36&amp;"_"&amp;$C$14:$C$36,$D$14:$D$36)*$E954)</f>
        <v>4.893</v>
      </c>
      <c r="M954" s="95" cm="1">
        <f ca="1" t="array" ref="M954">(1+SUMPRODUCT(G954:H954,OFFSET($H$40:$I$40,D954,0)))*(1+OFFSET($J$40,D954,0))^I954*(1+OFFSET($K$40,D954,0))^J954*(1+OFFSET($L$40,D954,0))^K954*(1+OFFSET($M$40,D954,0))^L954</f>
        <v>216.53667743752</v>
      </c>
      <c r="N954" s="95">
        <f ca="1">MAX(MAX($N$53:N953),OFFSET($C$52,MATCH(M954*1.07,$M$53:$M$2052,1),0)-C954)</f>
        <v>10080</v>
      </c>
    </row>
    <row r="955" spans="2:14">
      <c r="B955" s="95">
        <v>903</v>
      </c>
      <c r="C955" s="95">
        <f t="shared" si="72"/>
        <v>325080</v>
      </c>
      <c r="D955" s="95">
        <f ca="1">_xlfn.XLOOKUP(总览!$B$44,$B$40:$B$45,$C$40:$C$45)</f>
        <v>5</v>
      </c>
      <c r="E955" s="95">
        <f ca="1" t="shared" si="73"/>
        <v>933</v>
      </c>
      <c r="F955" s="95">
        <f ca="1" t="shared" si="74"/>
        <v>0</v>
      </c>
      <c r="G955" s="95">
        <f ca="1" t="shared" si="75"/>
        <v>0</v>
      </c>
      <c r="H955" s="95" cm="1">
        <f ca="1" t="array" ref="H955">MIN(30-SUM(I955:L955),_xlfn.XLOOKUP($D955&amp;"_"&amp;H$52,$B$14:$B$36&amp;"_"&amp;$C$14:$C$36,$D$14:$D$36)*$E955,18)</f>
        <v>14.3901</v>
      </c>
      <c r="I955" s="95" cm="1">
        <f ca="1" t="array" ref="I955">MIN(30-SUM(J955:L955),6-L955,_xlfn.XLOOKUP($D955&amp;"_"&amp;I$52,$B$14:$B$36&amp;"_"&amp;$C$14:$C$36,$D$14:$D$36)*$E955)</f>
        <v>1.10175</v>
      </c>
      <c r="J955" s="95" cm="1">
        <f ca="1" t="array" ref="J955">MIN(8,_xlfn.XLOOKUP($D955&amp;"_"&amp;J$52,$B$14:$B$36&amp;"_"&amp;$C$14:$C$36,$D$14:$D$36)*$E955)</f>
        <v>6.9975</v>
      </c>
      <c r="K955" s="95" cm="1">
        <f ca="1" t="array" ref="K955">MIN(18,_xlfn.XLOOKUP($D955&amp;"_"&amp;K$52,$B$14:$B$36&amp;"_"&amp;$C$14:$C$36,$D$14:$D$36)*$E955)</f>
        <v>2.6124</v>
      </c>
      <c r="L955" s="95" cm="1">
        <f ca="1" t="array" ref="L955">MIN(6,_xlfn.XLOOKUP($D955&amp;"_"&amp;L$52,$B$14:$B$36&amp;"_"&amp;$C$14:$C$36,$D$14:$D$36)*$E955)</f>
        <v>4.89825</v>
      </c>
      <c r="M955" s="95" cm="1">
        <f ca="1" t="array" ref="M955">(1+SUMPRODUCT(G955:H955,OFFSET($H$40:$I$40,D955,0)))*(1+OFFSET($J$40,D955,0))^I955*(1+OFFSET($K$40,D955,0))^J955*(1+OFFSET($L$40,D955,0))^K955*(1+OFFSET($M$40,D955,0))^L955</f>
        <v>217.045647242003</v>
      </c>
      <c r="N955" s="95">
        <f ca="1">MAX(MAX($N$53:N954),OFFSET($C$52,MATCH(M955*1.07,$M$53:$M$2052,1),0)-C955)</f>
        <v>10080</v>
      </c>
    </row>
    <row r="956" spans="2:14">
      <c r="B956" s="95">
        <v>904</v>
      </c>
      <c r="C956" s="95">
        <f t="shared" si="72"/>
        <v>325440</v>
      </c>
      <c r="D956" s="95">
        <f ca="1">_xlfn.XLOOKUP(总览!$B$44,$B$40:$B$45,$C$40:$C$45)</f>
        <v>5</v>
      </c>
      <c r="E956" s="95">
        <f ca="1" t="shared" si="73"/>
        <v>934</v>
      </c>
      <c r="F956" s="95">
        <f ca="1" t="shared" si="74"/>
        <v>0</v>
      </c>
      <c r="G956" s="95">
        <f ca="1" t="shared" si="75"/>
        <v>0</v>
      </c>
      <c r="H956" s="95" cm="1">
        <f ca="1" t="array" ref="H956">MIN(30-SUM(I956:L956),_xlfn.XLOOKUP($D956&amp;"_"&amp;H$52,$B$14:$B$36&amp;"_"&amp;$C$14:$C$36,$D$14:$D$36)*$E956,18)</f>
        <v>14.3798</v>
      </c>
      <c r="I956" s="95" cm="1">
        <f ca="1" t="array" ref="I956">MIN(30-SUM(J956:L956),6-L956,_xlfn.XLOOKUP($D956&amp;"_"&amp;I$52,$B$14:$B$36&amp;"_"&amp;$C$14:$C$36,$D$14:$D$36)*$E956)</f>
        <v>1.0965</v>
      </c>
      <c r="J956" s="95" cm="1">
        <f ca="1" t="array" ref="J956">MIN(8,_xlfn.XLOOKUP($D956&amp;"_"&amp;J$52,$B$14:$B$36&amp;"_"&amp;$C$14:$C$36,$D$14:$D$36)*$E956)</f>
        <v>7.005</v>
      </c>
      <c r="K956" s="95" cm="1">
        <f ca="1" t="array" ref="K956">MIN(18,_xlfn.XLOOKUP($D956&amp;"_"&amp;K$52,$B$14:$B$36&amp;"_"&amp;$C$14:$C$36,$D$14:$D$36)*$E956)</f>
        <v>2.6152</v>
      </c>
      <c r="L956" s="95" cm="1">
        <f ca="1" t="array" ref="L956">MIN(6,_xlfn.XLOOKUP($D956&amp;"_"&amp;L$52,$B$14:$B$36&amp;"_"&amp;$C$14:$C$36,$D$14:$D$36)*$E956)</f>
        <v>4.9035</v>
      </c>
      <c r="M956" s="95" cm="1">
        <f ca="1" t="array" ref="M956">(1+SUMPRODUCT(G956:H956,OFFSET($H$40:$I$40,D956,0)))*(1+OFFSET($J$40,D956,0))^I956*(1+OFFSET($K$40,D956,0))^J956*(1+OFFSET($L$40,D956,0))^K956*(1+OFFSET($M$40,D956,0))^L956</f>
        <v>217.5557519926</v>
      </c>
      <c r="N956" s="95">
        <f ca="1">MAX(MAX($N$53:N955),OFFSET($C$52,MATCH(M956*1.07,$M$53:$M$2052,1),0)-C956)</f>
        <v>10080</v>
      </c>
    </row>
    <row r="957" spans="2:14">
      <c r="B957" s="95">
        <v>905</v>
      </c>
      <c r="C957" s="95">
        <f t="shared" si="72"/>
        <v>325800</v>
      </c>
      <c r="D957" s="95">
        <f ca="1">_xlfn.XLOOKUP(总览!$B$44,$B$40:$B$45,$C$40:$C$45)</f>
        <v>5</v>
      </c>
      <c r="E957" s="95">
        <f ca="1" t="shared" si="73"/>
        <v>935</v>
      </c>
      <c r="F957" s="95">
        <f ca="1" t="shared" si="74"/>
        <v>0</v>
      </c>
      <c r="G957" s="95">
        <f ca="1" t="shared" si="75"/>
        <v>0</v>
      </c>
      <c r="H957" s="95" cm="1">
        <f ca="1" t="array" ref="H957">MIN(30-SUM(I957:L957),_xlfn.XLOOKUP($D957&amp;"_"&amp;H$52,$B$14:$B$36&amp;"_"&amp;$C$14:$C$36,$D$14:$D$36)*$E957,18)</f>
        <v>14.3695</v>
      </c>
      <c r="I957" s="95" cm="1">
        <f ca="1" t="array" ref="I957">MIN(30-SUM(J957:L957),6-L957,_xlfn.XLOOKUP($D957&amp;"_"&amp;I$52,$B$14:$B$36&amp;"_"&amp;$C$14:$C$36,$D$14:$D$36)*$E957)</f>
        <v>1.09125</v>
      </c>
      <c r="J957" s="95" cm="1">
        <f ca="1" t="array" ref="J957">MIN(8,_xlfn.XLOOKUP($D957&amp;"_"&amp;J$52,$B$14:$B$36&amp;"_"&amp;$C$14:$C$36,$D$14:$D$36)*$E957)</f>
        <v>7.0125</v>
      </c>
      <c r="K957" s="95" cm="1">
        <f ca="1" t="array" ref="K957">MIN(18,_xlfn.XLOOKUP($D957&amp;"_"&amp;K$52,$B$14:$B$36&amp;"_"&amp;$C$14:$C$36,$D$14:$D$36)*$E957)</f>
        <v>2.618</v>
      </c>
      <c r="L957" s="95" cm="1">
        <f ca="1" t="array" ref="L957">MIN(6,_xlfn.XLOOKUP($D957&amp;"_"&amp;L$52,$B$14:$B$36&amp;"_"&amp;$C$14:$C$36,$D$14:$D$36)*$E957)</f>
        <v>4.90875</v>
      </c>
      <c r="M957" s="95" cm="1">
        <f ca="1" t="array" ref="M957">(1+SUMPRODUCT(G957:H957,OFFSET($H$40:$I$40,D957,0)))*(1+OFFSET($J$40,D957,0))^I957*(1+OFFSET($K$40,D957,0))^J957*(1+OFFSET($L$40,D957,0))^K957*(1+OFFSET($M$40,D957,0))^L957</f>
        <v>218.066994003046</v>
      </c>
      <c r="N957" s="95">
        <f ca="1">MAX(MAX($N$53:N956),OFFSET($C$52,MATCH(M957*1.07,$M$53:$M$2052,1),0)-C957)</f>
        <v>10080</v>
      </c>
    </row>
    <row r="958" spans="2:14">
      <c r="B958" s="95">
        <v>906</v>
      </c>
      <c r="C958" s="95">
        <f t="shared" si="72"/>
        <v>326160</v>
      </c>
      <c r="D958" s="95">
        <f ca="1">_xlfn.XLOOKUP(总览!$B$44,$B$40:$B$45,$C$40:$C$45)</f>
        <v>5</v>
      </c>
      <c r="E958" s="95">
        <f ca="1" t="shared" si="73"/>
        <v>936</v>
      </c>
      <c r="F958" s="95">
        <f ca="1" t="shared" si="74"/>
        <v>0</v>
      </c>
      <c r="G958" s="95">
        <f ca="1" t="shared" si="75"/>
        <v>0</v>
      </c>
      <c r="H958" s="95" cm="1">
        <f ca="1" t="array" ref="H958">MIN(30-SUM(I958:L958),_xlfn.XLOOKUP($D958&amp;"_"&amp;H$52,$B$14:$B$36&amp;"_"&amp;$C$14:$C$36,$D$14:$D$36)*$E958,18)</f>
        <v>14.3592</v>
      </c>
      <c r="I958" s="95" cm="1">
        <f ca="1" t="array" ref="I958">MIN(30-SUM(J958:L958),6-L958,_xlfn.XLOOKUP($D958&amp;"_"&amp;I$52,$B$14:$B$36&amp;"_"&amp;$C$14:$C$36,$D$14:$D$36)*$E958)</f>
        <v>1.086</v>
      </c>
      <c r="J958" s="95" cm="1">
        <f ca="1" t="array" ref="J958">MIN(8,_xlfn.XLOOKUP($D958&amp;"_"&amp;J$52,$B$14:$B$36&amp;"_"&amp;$C$14:$C$36,$D$14:$D$36)*$E958)</f>
        <v>7.02</v>
      </c>
      <c r="K958" s="95" cm="1">
        <f ca="1" t="array" ref="K958">MIN(18,_xlfn.XLOOKUP($D958&amp;"_"&amp;K$52,$B$14:$B$36&amp;"_"&amp;$C$14:$C$36,$D$14:$D$36)*$E958)</f>
        <v>2.6208</v>
      </c>
      <c r="L958" s="95" cm="1">
        <f ca="1" t="array" ref="L958">MIN(6,_xlfn.XLOOKUP($D958&amp;"_"&amp;L$52,$B$14:$B$36&amp;"_"&amp;$C$14:$C$36,$D$14:$D$36)*$E958)</f>
        <v>4.914</v>
      </c>
      <c r="M958" s="95" cm="1">
        <f ca="1" t="array" ref="M958">(1+SUMPRODUCT(G958:H958,OFFSET($H$40:$I$40,D958,0)))*(1+OFFSET($J$40,D958,0))^I958*(1+OFFSET($K$40,D958,0))^J958*(1+OFFSET($L$40,D958,0))^K958*(1+OFFSET($M$40,D958,0))^L958</f>
        <v>218.579375590982</v>
      </c>
      <c r="N958" s="95">
        <f ca="1">MAX(MAX($N$53:N957),OFFSET($C$52,MATCH(M958*1.07,$M$53:$M$2052,1),0)-C958)</f>
        <v>10080</v>
      </c>
    </row>
    <row r="959" spans="2:14">
      <c r="B959" s="95">
        <v>907</v>
      </c>
      <c r="C959" s="95">
        <f t="shared" si="72"/>
        <v>326520</v>
      </c>
      <c r="D959" s="95">
        <f ca="1">_xlfn.XLOOKUP(总览!$B$44,$B$40:$B$45,$C$40:$C$45)</f>
        <v>5</v>
      </c>
      <c r="E959" s="95">
        <f ca="1" t="shared" si="73"/>
        <v>937</v>
      </c>
      <c r="F959" s="95">
        <f ca="1" t="shared" si="74"/>
        <v>0</v>
      </c>
      <c r="G959" s="95">
        <f ca="1" t="shared" si="75"/>
        <v>0</v>
      </c>
      <c r="H959" s="95" cm="1">
        <f ca="1" t="array" ref="H959">MIN(30-SUM(I959:L959),_xlfn.XLOOKUP($D959&amp;"_"&amp;H$52,$B$14:$B$36&amp;"_"&amp;$C$14:$C$36,$D$14:$D$36)*$E959,18)</f>
        <v>14.3489</v>
      </c>
      <c r="I959" s="95" cm="1">
        <f ca="1" t="array" ref="I959">MIN(30-SUM(J959:L959),6-L959,_xlfn.XLOOKUP($D959&amp;"_"&amp;I$52,$B$14:$B$36&amp;"_"&amp;$C$14:$C$36,$D$14:$D$36)*$E959)</f>
        <v>1.08075</v>
      </c>
      <c r="J959" s="95" cm="1">
        <f ca="1" t="array" ref="J959">MIN(8,_xlfn.XLOOKUP($D959&amp;"_"&amp;J$52,$B$14:$B$36&amp;"_"&amp;$C$14:$C$36,$D$14:$D$36)*$E959)</f>
        <v>7.0275</v>
      </c>
      <c r="K959" s="95" cm="1">
        <f ca="1" t="array" ref="K959">MIN(18,_xlfn.XLOOKUP($D959&amp;"_"&amp;K$52,$B$14:$B$36&amp;"_"&amp;$C$14:$C$36,$D$14:$D$36)*$E959)</f>
        <v>2.6236</v>
      </c>
      <c r="L959" s="95" cm="1">
        <f ca="1" t="array" ref="L959">MIN(6,_xlfn.XLOOKUP($D959&amp;"_"&amp;L$52,$B$14:$B$36&amp;"_"&amp;$C$14:$C$36,$D$14:$D$36)*$E959)</f>
        <v>4.91925</v>
      </c>
      <c r="M959" s="95" cm="1">
        <f ca="1" t="array" ref="M959">(1+SUMPRODUCT(G959:H959,OFFSET($H$40:$I$40,D959,0)))*(1+OFFSET($J$40,D959,0))^I959*(1+OFFSET($K$40,D959,0))^J959*(1+OFFSET($L$40,D959,0))^K959*(1+OFFSET($M$40,D959,0))^L959</f>
        <v>219.092899077961</v>
      </c>
      <c r="N959" s="95">
        <f ca="1">MAX(MAX($N$53:N958),OFFSET($C$52,MATCH(M959*1.07,$M$53:$M$2052,1),0)-C959)</f>
        <v>10080</v>
      </c>
    </row>
    <row r="960" spans="2:14">
      <c r="B960" s="95">
        <v>908</v>
      </c>
      <c r="C960" s="95">
        <f t="shared" si="72"/>
        <v>326880</v>
      </c>
      <c r="D960" s="95">
        <f ca="1">_xlfn.XLOOKUP(总览!$B$44,$B$40:$B$45,$C$40:$C$45)</f>
        <v>5</v>
      </c>
      <c r="E960" s="95">
        <f ca="1" t="shared" si="73"/>
        <v>938</v>
      </c>
      <c r="F960" s="95">
        <f ca="1" t="shared" si="74"/>
        <v>0</v>
      </c>
      <c r="G960" s="95">
        <f ca="1" t="shared" si="75"/>
        <v>0</v>
      </c>
      <c r="H960" s="95" cm="1">
        <f ca="1" t="array" ref="H960">MIN(30-SUM(I960:L960),_xlfn.XLOOKUP($D960&amp;"_"&amp;H$52,$B$14:$B$36&amp;"_"&amp;$C$14:$C$36,$D$14:$D$36)*$E960,18)</f>
        <v>14.3386</v>
      </c>
      <c r="I960" s="95" cm="1">
        <f ca="1" t="array" ref="I960">MIN(30-SUM(J960:L960),6-L960,_xlfn.XLOOKUP($D960&amp;"_"&amp;I$52,$B$14:$B$36&amp;"_"&amp;$C$14:$C$36,$D$14:$D$36)*$E960)</f>
        <v>1.0755</v>
      </c>
      <c r="J960" s="95" cm="1">
        <f ca="1" t="array" ref="J960">MIN(8,_xlfn.XLOOKUP($D960&amp;"_"&amp;J$52,$B$14:$B$36&amp;"_"&amp;$C$14:$C$36,$D$14:$D$36)*$E960)</f>
        <v>7.035</v>
      </c>
      <c r="K960" s="95" cm="1">
        <f ca="1" t="array" ref="K960">MIN(18,_xlfn.XLOOKUP($D960&amp;"_"&amp;K$52,$B$14:$B$36&amp;"_"&amp;$C$14:$C$36,$D$14:$D$36)*$E960)</f>
        <v>2.6264</v>
      </c>
      <c r="L960" s="95" cm="1">
        <f ca="1" t="array" ref="L960">MIN(6,_xlfn.XLOOKUP($D960&amp;"_"&amp;L$52,$B$14:$B$36&amp;"_"&amp;$C$14:$C$36,$D$14:$D$36)*$E960)</f>
        <v>4.9245</v>
      </c>
      <c r="M960" s="95" cm="1">
        <f ca="1" t="array" ref="M960">(1+SUMPRODUCT(G960:H960,OFFSET($H$40:$I$40,D960,0)))*(1+OFFSET($J$40,D960,0))^I960*(1+OFFSET($K$40,D960,0))^J960*(1+OFFSET($L$40,D960,0))^K960*(1+OFFSET($M$40,D960,0))^L960</f>
        <v>219.607566789453</v>
      </c>
      <c r="N960" s="95">
        <f ca="1">MAX(MAX($N$53:N959),OFFSET($C$52,MATCH(M960*1.07,$M$53:$M$2052,1),0)-C960)</f>
        <v>10080</v>
      </c>
    </row>
    <row r="961" spans="2:14">
      <c r="B961" s="95">
        <v>909</v>
      </c>
      <c r="C961" s="95">
        <f t="shared" si="72"/>
        <v>327240</v>
      </c>
      <c r="D961" s="95">
        <f ca="1">_xlfn.XLOOKUP(总览!$B$44,$B$40:$B$45,$C$40:$C$45)</f>
        <v>5</v>
      </c>
      <c r="E961" s="95">
        <f ca="1" t="shared" si="73"/>
        <v>939</v>
      </c>
      <c r="F961" s="95">
        <f ca="1" t="shared" si="74"/>
        <v>0</v>
      </c>
      <c r="G961" s="95">
        <f ca="1" t="shared" si="75"/>
        <v>0</v>
      </c>
      <c r="H961" s="95" cm="1">
        <f ca="1" t="array" ref="H961">MIN(30-SUM(I961:L961),_xlfn.XLOOKUP($D961&amp;"_"&amp;H$52,$B$14:$B$36&amp;"_"&amp;$C$14:$C$36,$D$14:$D$36)*$E961,18)</f>
        <v>14.3283</v>
      </c>
      <c r="I961" s="95" cm="1">
        <f ca="1" t="array" ref="I961">MIN(30-SUM(J961:L961),6-L961,_xlfn.XLOOKUP($D961&amp;"_"&amp;I$52,$B$14:$B$36&amp;"_"&amp;$C$14:$C$36,$D$14:$D$36)*$E961)</f>
        <v>1.07025</v>
      </c>
      <c r="J961" s="95" cm="1">
        <f ca="1" t="array" ref="J961">MIN(8,_xlfn.XLOOKUP($D961&amp;"_"&amp;J$52,$B$14:$B$36&amp;"_"&amp;$C$14:$C$36,$D$14:$D$36)*$E961)</f>
        <v>7.0425</v>
      </c>
      <c r="K961" s="95" cm="1">
        <f ca="1" t="array" ref="K961">MIN(18,_xlfn.XLOOKUP($D961&amp;"_"&amp;K$52,$B$14:$B$36&amp;"_"&amp;$C$14:$C$36,$D$14:$D$36)*$E961)</f>
        <v>2.6292</v>
      </c>
      <c r="L961" s="95" cm="1">
        <f ca="1" t="array" ref="L961">MIN(6,_xlfn.XLOOKUP($D961&amp;"_"&amp;L$52,$B$14:$B$36&amp;"_"&amp;$C$14:$C$36,$D$14:$D$36)*$E961)</f>
        <v>4.92975</v>
      </c>
      <c r="M961" s="95" cm="1">
        <f ca="1" t="array" ref="M961">(1+SUMPRODUCT(G961:H961,OFFSET($H$40:$I$40,D961,0)))*(1+OFFSET($J$40,D961,0))^I961*(1+OFFSET($K$40,D961,0))^J961*(1+OFFSET($L$40,D961,0))^K961*(1+OFFSET($M$40,D961,0))^L961</f>
        <v>220.12338105484</v>
      </c>
      <c r="N961" s="95">
        <f ca="1">MAX(MAX($N$53:N960),OFFSET($C$52,MATCH(M961*1.07,$M$53:$M$2052,1),0)-C961)</f>
        <v>10080</v>
      </c>
    </row>
    <row r="962" spans="2:14">
      <c r="B962" s="95">
        <v>910</v>
      </c>
      <c r="C962" s="95">
        <f t="shared" si="72"/>
        <v>327600</v>
      </c>
      <c r="D962" s="95">
        <f ca="1">_xlfn.XLOOKUP(总览!$B$44,$B$40:$B$45,$C$40:$C$45)</f>
        <v>5</v>
      </c>
      <c r="E962" s="95">
        <f ca="1" t="shared" si="73"/>
        <v>940</v>
      </c>
      <c r="F962" s="95">
        <f ca="1" t="shared" si="74"/>
        <v>0</v>
      </c>
      <c r="G962" s="95">
        <f ca="1" t="shared" si="75"/>
        <v>0</v>
      </c>
      <c r="H962" s="95" cm="1">
        <f ca="1" t="array" ref="H962">MIN(30-SUM(I962:L962),_xlfn.XLOOKUP($D962&amp;"_"&amp;H$52,$B$14:$B$36&amp;"_"&amp;$C$14:$C$36,$D$14:$D$36)*$E962,18)</f>
        <v>14.318</v>
      </c>
      <c r="I962" s="95" cm="1">
        <f ca="1" t="array" ref="I962">MIN(30-SUM(J962:L962),6-L962,_xlfn.XLOOKUP($D962&amp;"_"&amp;I$52,$B$14:$B$36&amp;"_"&amp;$C$14:$C$36,$D$14:$D$36)*$E962)</f>
        <v>1.065</v>
      </c>
      <c r="J962" s="95" cm="1">
        <f ca="1" t="array" ref="J962">MIN(8,_xlfn.XLOOKUP($D962&amp;"_"&amp;J$52,$B$14:$B$36&amp;"_"&amp;$C$14:$C$36,$D$14:$D$36)*$E962)</f>
        <v>7.05</v>
      </c>
      <c r="K962" s="95" cm="1">
        <f ca="1" t="array" ref="K962">MIN(18,_xlfn.XLOOKUP($D962&amp;"_"&amp;K$52,$B$14:$B$36&amp;"_"&amp;$C$14:$C$36,$D$14:$D$36)*$E962)</f>
        <v>2.632</v>
      </c>
      <c r="L962" s="95" cm="1">
        <f ca="1" t="array" ref="L962">MIN(6,_xlfn.XLOOKUP($D962&amp;"_"&amp;L$52,$B$14:$B$36&amp;"_"&amp;$C$14:$C$36,$D$14:$D$36)*$E962)</f>
        <v>4.935</v>
      </c>
      <c r="M962" s="95" cm="1">
        <f ca="1" t="array" ref="M962">(1+SUMPRODUCT(G962:H962,OFFSET($H$40:$I$40,D962,0)))*(1+OFFSET($J$40,D962,0))^I962*(1+OFFSET($K$40,D962,0))^J962*(1+OFFSET($L$40,D962,0))^K962*(1+OFFSET($M$40,D962,0))^L962</f>
        <v>220.640344207431</v>
      </c>
      <c r="N962" s="95">
        <f ca="1">MAX(MAX($N$53:N961),OFFSET($C$52,MATCH(M962*1.07,$M$53:$M$2052,1),0)-C962)</f>
        <v>10080</v>
      </c>
    </row>
    <row r="963" spans="2:14">
      <c r="B963" s="95">
        <v>911</v>
      </c>
      <c r="C963" s="95">
        <f t="shared" si="72"/>
        <v>327960</v>
      </c>
      <c r="D963" s="95">
        <f ca="1">_xlfn.XLOOKUP(总览!$B$44,$B$40:$B$45,$C$40:$C$45)</f>
        <v>5</v>
      </c>
      <c r="E963" s="95">
        <f ca="1" t="shared" si="73"/>
        <v>941</v>
      </c>
      <c r="F963" s="95">
        <f ca="1" t="shared" si="74"/>
        <v>0</v>
      </c>
      <c r="G963" s="95">
        <f ca="1" t="shared" si="75"/>
        <v>0</v>
      </c>
      <c r="H963" s="95" cm="1">
        <f ca="1" t="array" ref="H963">MIN(30-SUM(I963:L963),_xlfn.XLOOKUP($D963&amp;"_"&amp;H$52,$B$14:$B$36&amp;"_"&amp;$C$14:$C$36,$D$14:$D$36)*$E963,18)</f>
        <v>14.3077</v>
      </c>
      <c r="I963" s="95" cm="1">
        <f ca="1" t="array" ref="I963">MIN(30-SUM(J963:L963),6-L963,_xlfn.XLOOKUP($D963&amp;"_"&amp;I$52,$B$14:$B$36&amp;"_"&amp;$C$14:$C$36,$D$14:$D$36)*$E963)</f>
        <v>1.05975</v>
      </c>
      <c r="J963" s="95" cm="1">
        <f ca="1" t="array" ref="J963">MIN(8,_xlfn.XLOOKUP($D963&amp;"_"&amp;J$52,$B$14:$B$36&amp;"_"&amp;$C$14:$C$36,$D$14:$D$36)*$E963)</f>
        <v>7.0575</v>
      </c>
      <c r="K963" s="95" cm="1">
        <f ca="1" t="array" ref="K963">MIN(18,_xlfn.XLOOKUP($D963&amp;"_"&amp;K$52,$B$14:$B$36&amp;"_"&amp;$C$14:$C$36,$D$14:$D$36)*$E963)</f>
        <v>2.6348</v>
      </c>
      <c r="L963" s="95" cm="1">
        <f ca="1" t="array" ref="L963">MIN(6,_xlfn.XLOOKUP($D963&amp;"_"&amp;L$52,$B$14:$B$36&amp;"_"&amp;$C$14:$C$36,$D$14:$D$36)*$E963)</f>
        <v>4.94025</v>
      </c>
      <c r="M963" s="95" cm="1">
        <f ca="1" t="array" ref="M963">(1+SUMPRODUCT(G963:H963,OFFSET($H$40:$I$40,D963,0)))*(1+OFFSET($J$40,D963,0))^I963*(1+OFFSET($K$40,D963,0))^J963*(1+OFFSET($L$40,D963,0))^K963*(1+OFFSET($M$40,D963,0))^L963</f>
        <v>221.158458584455</v>
      </c>
      <c r="N963" s="95">
        <f ca="1">MAX(MAX($N$53:N962),OFFSET($C$52,MATCH(M963*1.07,$M$53:$M$2052,1),0)-C963)</f>
        <v>10080</v>
      </c>
    </row>
    <row r="964" spans="2:14">
      <c r="B964" s="95">
        <v>912</v>
      </c>
      <c r="C964" s="95">
        <f t="shared" si="72"/>
        <v>328320</v>
      </c>
      <c r="D964" s="95">
        <f ca="1">_xlfn.XLOOKUP(总览!$B$44,$B$40:$B$45,$C$40:$C$45)</f>
        <v>5</v>
      </c>
      <c r="E964" s="95">
        <f ca="1" t="shared" si="73"/>
        <v>942</v>
      </c>
      <c r="F964" s="95">
        <f ca="1" t="shared" si="74"/>
        <v>0</v>
      </c>
      <c r="G964" s="95">
        <f ca="1" t="shared" si="75"/>
        <v>0</v>
      </c>
      <c r="H964" s="95" cm="1">
        <f ca="1" t="array" ref="H964">MIN(30-SUM(I964:L964),_xlfn.XLOOKUP($D964&amp;"_"&amp;H$52,$B$14:$B$36&amp;"_"&amp;$C$14:$C$36,$D$14:$D$36)*$E964,18)</f>
        <v>14.2974</v>
      </c>
      <c r="I964" s="95" cm="1">
        <f ca="1" t="array" ref="I964">MIN(30-SUM(J964:L964),6-L964,_xlfn.XLOOKUP($D964&amp;"_"&amp;I$52,$B$14:$B$36&amp;"_"&amp;$C$14:$C$36,$D$14:$D$36)*$E964)</f>
        <v>1.0545</v>
      </c>
      <c r="J964" s="95" cm="1">
        <f ca="1" t="array" ref="J964">MIN(8,_xlfn.XLOOKUP($D964&amp;"_"&amp;J$52,$B$14:$B$36&amp;"_"&amp;$C$14:$C$36,$D$14:$D$36)*$E964)</f>
        <v>7.065</v>
      </c>
      <c r="K964" s="95" cm="1">
        <f ca="1" t="array" ref="K964">MIN(18,_xlfn.XLOOKUP($D964&amp;"_"&amp;K$52,$B$14:$B$36&amp;"_"&amp;$C$14:$C$36,$D$14:$D$36)*$E964)</f>
        <v>2.6376</v>
      </c>
      <c r="L964" s="95" cm="1">
        <f ca="1" t="array" ref="L964">MIN(6,_xlfn.XLOOKUP($D964&amp;"_"&amp;L$52,$B$14:$B$36&amp;"_"&amp;$C$14:$C$36,$D$14:$D$36)*$E964)</f>
        <v>4.9455</v>
      </c>
      <c r="M964" s="95" cm="1">
        <f ca="1" t="array" ref="M964">(1+SUMPRODUCT(G964:H964,OFFSET($H$40:$I$40,D964,0)))*(1+OFFSET($J$40,D964,0))^I964*(1+OFFSET($K$40,D964,0))^J964*(1+OFFSET($L$40,D964,0))^K964*(1+OFFSET($M$40,D964,0))^L964</f>
        <v>221.677726527069</v>
      </c>
      <c r="N964" s="95">
        <f ca="1">MAX(MAX($N$53:N963),OFFSET($C$52,MATCH(M964*1.07,$M$53:$M$2052,1),0)-C964)</f>
        <v>10080</v>
      </c>
    </row>
    <row r="965" spans="2:14">
      <c r="B965" s="95">
        <v>913</v>
      </c>
      <c r="C965" s="95">
        <f t="shared" si="72"/>
        <v>328680</v>
      </c>
      <c r="D965" s="95">
        <f ca="1">_xlfn.XLOOKUP(总览!$B$44,$B$40:$B$45,$C$40:$C$45)</f>
        <v>5</v>
      </c>
      <c r="E965" s="95">
        <f ca="1" t="shared" si="73"/>
        <v>943</v>
      </c>
      <c r="F965" s="95">
        <f ca="1" t="shared" si="74"/>
        <v>0</v>
      </c>
      <c r="G965" s="95">
        <f ca="1" t="shared" si="75"/>
        <v>0</v>
      </c>
      <c r="H965" s="95" cm="1">
        <f ca="1" t="array" ref="H965">MIN(30-SUM(I965:L965),_xlfn.XLOOKUP($D965&amp;"_"&amp;H$52,$B$14:$B$36&amp;"_"&amp;$C$14:$C$36,$D$14:$D$36)*$E965,18)</f>
        <v>14.2871</v>
      </c>
      <c r="I965" s="95" cm="1">
        <f ca="1" t="array" ref="I965">MIN(30-SUM(J965:L965),6-L965,_xlfn.XLOOKUP($D965&amp;"_"&amp;I$52,$B$14:$B$36&amp;"_"&amp;$C$14:$C$36,$D$14:$D$36)*$E965)</f>
        <v>1.04925</v>
      </c>
      <c r="J965" s="95" cm="1">
        <f ca="1" t="array" ref="J965">MIN(8,_xlfn.XLOOKUP($D965&amp;"_"&amp;J$52,$B$14:$B$36&amp;"_"&amp;$C$14:$C$36,$D$14:$D$36)*$E965)</f>
        <v>7.0725</v>
      </c>
      <c r="K965" s="95" cm="1">
        <f ca="1" t="array" ref="K965">MIN(18,_xlfn.XLOOKUP($D965&amp;"_"&amp;K$52,$B$14:$B$36&amp;"_"&amp;$C$14:$C$36,$D$14:$D$36)*$E965)</f>
        <v>2.6404</v>
      </c>
      <c r="L965" s="95" cm="1">
        <f ca="1" t="array" ref="L965">MIN(6,_xlfn.XLOOKUP($D965&amp;"_"&amp;L$52,$B$14:$B$36&amp;"_"&amp;$C$14:$C$36,$D$14:$D$36)*$E965)</f>
        <v>4.95075</v>
      </c>
      <c r="M965" s="95" cm="1">
        <f ca="1" t="array" ref="M965">(1+SUMPRODUCT(G965:H965,OFFSET($H$40:$I$40,D965,0)))*(1+OFFSET($J$40,D965,0))^I965*(1+OFFSET($K$40,D965,0))^J965*(1+OFFSET($L$40,D965,0))^K965*(1+OFFSET($M$40,D965,0))^L965</f>
        <v>222.198150380363</v>
      </c>
      <c r="N965" s="95">
        <f ca="1">MAX(MAX($N$53:N964),OFFSET($C$52,MATCH(M965*1.07,$M$53:$M$2052,1),0)-C965)</f>
        <v>10080</v>
      </c>
    </row>
    <row r="966" spans="2:14">
      <c r="B966" s="95">
        <v>914</v>
      </c>
      <c r="C966" s="95">
        <f t="shared" si="72"/>
        <v>329040</v>
      </c>
      <c r="D966" s="95">
        <f ca="1">_xlfn.XLOOKUP(总览!$B$44,$B$40:$B$45,$C$40:$C$45)</f>
        <v>5</v>
      </c>
      <c r="E966" s="95">
        <f ca="1" t="shared" si="73"/>
        <v>944</v>
      </c>
      <c r="F966" s="95">
        <f ca="1" t="shared" si="74"/>
        <v>0</v>
      </c>
      <c r="G966" s="95">
        <f ca="1" t="shared" si="75"/>
        <v>0</v>
      </c>
      <c r="H966" s="95" cm="1">
        <f ca="1" t="array" ref="H966">MIN(30-SUM(I966:L966),_xlfn.XLOOKUP($D966&amp;"_"&amp;H$52,$B$14:$B$36&amp;"_"&amp;$C$14:$C$36,$D$14:$D$36)*$E966,18)</f>
        <v>14.2768</v>
      </c>
      <c r="I966" s="95" cm="1">
        <f ca="1" t="array" ref="I966">MIN(30-SUM(J966:L966),6-L966,_xlfn.XLOOKUP($D966&amp;"_"&amp;I$52,$B$14:$B$36&amp;"_"&amp;$C$14:$C$36,$D$14:$D$36)*$E966)</f>
        <v>1.044</v>
      </c>
      <c r="J966" s="95" cm="1">
        <f ca="1" t="array" ref="J966">MIN(8,_xlfn.XLOOKUP($D966&amp;"_"&amp;J$52,$B$14:$B$36&amp;"_"&amp;$C$14:$C$36,$D$14:$D$36)*$E966)</f>
        <v>7.08</v>
      </c>
      <c r="K966" s="95" cm="1">
        <f ca="1" t="array" ref="K966">MIN(18,_xlfn.XLOOKUP($D966&amp;"_"&amp;K$52,$B$14:$B$36&amp;"_"&amp;$C$14:$C$36,$D$14:$D$36)*$E966)</f>
        <v>2.6432</v>
      </c>
      <c r="L966" s="95" cm="1">
        <f ca="1" t="array" ref="L966">MIN(6,_xlfn.XLOOKUP($D966&amp;"_"&amp;L$52,$B$14:$B$36&amp;"_"&amp;$C$14:$C$36,$D$14:$D$36)*$E966)</f>
        <v>4.956</v>
      </c>
      <c r="M966" s="95" cm="1">
        <f ca="1" t="array" ref="M966">(1+SUMPRODUCT(G966:H966,OFFSET($H$40:$I$40,D966,0)))*(1+OFFSET($J$40,D966,0))^I966*(1+OFFSET($K$40,D966,0))^J966*(1+OFFSET($L$40,D966,0))^K966*(1+OFFSET($M$40,D966,0))^L966</f>
        <v>222.719732493357</v>
      </c>
      <c r="N966" s="95">
        <f ca="1">MAX(MAX($N$53:N965),OFFSET($C$52,MATCH(M966*1.07,$M$53:$M$2052,1),0)-C966)</f>
        <v>10080</v>
      </c>
    </row>
    <row r="967" spans="2:14">
      <c r="B967" s="95">
        <v>915</v>
      </c>
      <c r="C967" s="95">
        <f t="shared" si="72"/>
        <v>329400</v>
      </c>
      <c r="D967" s="95">
        <f ca="1">_xlfn.XLOOKUP(总览!$B$44,$B$40:$B$45,$C$40:$C$45)</f>
        <v>5</v>
      </c>
      <c r="E967" s="95">
        <f ca="1" t="shared" si="73"/>
        <v>945</v>
      </c>
      <c r="F967" s="95">
        <f ca="1" t="shared" si="74"/>
        <v>0</v>
      </c>
      <c r="G967" s="95">
        <f ca="1" t="shared" si="75"/>
        <v>0</v>
      </c>
      <c r="H967" s="95" cm="1">
        <f ca="1" t="array" ref="H967">MIN(30-SUM(I967:L967),_xlfn.XLOOKUP($D967&amp;"_"&amp;H$52,$B$14:$B$36&amp;"_"&amp;$C$14:$C$36,$D$14:$D$36)*$E967,18)</f>
        <v>14.2665</v>
      </c>
      <c r="I967" s="95" cm="1">
        <f ca="1" t="array" ref="I967">MIN(30-SUM(J967:L967),6-L967,_xlfn.XLOOKUP($D967&amp;"_"&amp;I$52,$B$14:$B$36&amp;"_"&amp;$C$14:$C$36,$D$14:$D$36)*$E967)</f>
        <v>1.03875</v>
      </c>
      <c r="J967" s="95" cm="1">
        <f ca="1" t="array" ref="J967">MIN(8,_xlfn.XLOOKUP($D967&amp;"_"&amp;J$52,$B$14:$B$36&amp;"_"&amp;$C$14:$C$36,$D$14:$D$36)*$E967)</f>
        <v>7.0875</v>
      </c>
      <c r="K967" s="95" cm="1">
        <f ca="1" t="array" ref="K967">MIN(18,_xlfn.XLOOKUP($D967&amp;"_"&amp;K$52,$B$14:$B$36&amp;"_"&amp;$C$14:$C$36,$D$14:$D$36)*$E967)</f>
        <v>2.646</v>
      </c>
      <c r="L967" s="95" cm="1">
        <f ca="1" t="array" ref="L967">MIN(6,_xlfn.XLOOKUP($D967&amp;"_"&amp;L$52,$B$14:$B$36&amp;"_"&amp;$C$14:$C$36,$D$14:$D$36)*$E967)</f>
        <v>4.96125</v>
      </c>
      <c r="M967" s="95" cm="1">
        <f ca="1" t="array" ref="M967">(1+SUMPRODUCT(G967:H967,OFFSET($H$40:$I$40,D967,0)))*(1+OFFSET($J$40,D967,0))^I967*(1+OFFSET($K$40,D967,0))^J967*(1+OFFSET($L$40,D967,0))^K967*(1+OFFSET($M$40,D967,0))^L967</f>
        <v>223.242475219012</v>
      </c>
      <c r="N967" s="95">
        <f ca="1">MAX(MAX($N$53:N966),OFFSET($C$52,MATCH(M967*1.07,$M$53:$M$2052,1),0)-C967)</f>
        <v>10080</v>
      </c>
    </row>
    <row r="968" spans="2:14">
      <c r="B968" s="95">
        <v>916</v>
      </c>
      <c r="C968" s="95">
        <f t="shared" ref="C968:C998" si="76">C967+360</f>
        <v>329760</v>
      </c>
      <c r="D968" s="95">
        <f ca="1">_xlfn.XLOOKUP(总览!$B$44,$B$40:$B$45,$C$40:$C$45)</f>
        <v>5</v>
      </c>
      <c r="E968" s="95">
        <f ca="1" t="shared" si="73"/>
        <v>946</v>
      </c>
      <c r="F968" s="95">
        <f ca="1" t="shared" si="74"/>
        <v>0</v>
      </c>
      <c r="G968" s="95">
        <f ca="1" t="shared" si="75"/>
        <v>0</v>
      </c>
      <c r="H968" s="95" cm="1">
        <f ca="1" t="array" ref="H968">MIN(30-SUM(I968:L968),_xlfn.XLOOKUP($D968&amp;"_"&amp;H$52,$B$14:$B$36&amp;"_"&amp;$C$14:$C$36,$D$14:$D$36)*$E968,18)</f>
        <v>14.2562</v>
      </c>
      <c r="I968" s="95" cm="1">
        <f ca="1" t="array" ref="I968">MIN(30-SUM(J968:L968),6-L968,_xlfn.XLOOKUP($D968&amp;"_"&amp;I$52,$B$14:$B$36&amp;"_"&amp;$C$14:$C$36,$D$14:$D$36)*$E968)</f>
        <v>1.0335</v>
      </c>
      <c r="J968" s="95" cm="1">
        <f ca="1" t="array" ref="J968">MIN(8,_xlfn.XLOOKUP($D968&amp;"_"&amp;J$52,$B$14:$B$36&amp;"_"&amp;$C$14:$C$36,$D$14:$D$36)*$E968)</f>
        <v>7.095</v>
      </c>
      <c r="K968" s="95" cm="1">
        <f ca="1" t="array" ref="K968">MIN(18,_xlfn.XLOOKUP($D968&amp;"_"&amp;K$52,$B$14:$B$36&amp;"_"&amp;$C$14:$C$36,$D$14:$D$36)*$E968)</f>
        <v>2.6488</v>
      </c>
      <c r="L968" s="95" cm="1">
        <f ca="1" t="array" ref="L968">MIN(6,_xlfn.XLOOKUP($D968&amp;"_"&amp;L$52,$B$14:$B$36&amp;"_"&amp;$C$14:$C$36,$D$14:$D$36)*$E968)</f>
        <v>4.9665</v>
      </c>
      <c r="M968" s="95" cm="1">
        <f ca="1" t="array" ref="M968">(1+SUMPRODUCT(G968:H968,OFFSET($H$40:$I$40,D968,0)))*(1+OFFSET($J$40,D968,0))^I968*(1+OFFSET($K$40,D968,0))^J968*(1+OFFSET($L$40,D968,0))^K968*(1+OFFSET($M$40,D968,0))^L968</f>
        <v>223.766380914226</v>
      </c>
      <c r="N968" s="95">
        <f ca="1">MAX(MAX($N$53:N967),OFFSET($C$52,MATCH(M968*1.07,$M$53:$M$2052,1),0)-C968)</f>
        <v>10080</v>
      </c>
    </row>
    <row r="969" spans="2:14">
      <c r="B969" s="95">
        <v>917</v>
      </c>
      <c r="C969" s="95">
        <f t="shared" si="76"/>
        <v>330120</v>
      </c>
      <c r="D969" s="95">
        <f ca="1">_xlfn.XLOOKUP(总览!$B$44,$B$40:$B$45,$C$40:$C$45)</f>
        <v>5</v>
      </c>
      <c r="E969" s="95">
        <f ca="1" t="shared" si="73"/>
        <v>947</v>
      </c>
      <c r="F969" s="95">
        <f ca="1" t="shared" si="74"/>
        <v>0</v>
      </c>
      <c r="G969" s="95">
        <f ca="1" t="shared" si="75"/>
        <v>0</v>
      </c>
      <c r="H969" s="95" cm="1">
        <f ca="1" t="array" ref="H969">MIN(30-SUM(I969:L969),_xlfn.XLOOKUP($D969&amp;"_"&amp;H$52,$B$14:$B$36&amp;"_"&amp;$C$14:$C$36,$D$14:$D$36)*$E969,18)</f>
        <v>14.2459</v>
      </c>
      <c r="I969" s="95" cm="1">
        <f ca="1" t="array" ref="I969">MIN(30-SUM(J969:L969),6-L969,_xlfn.XLOOKUP($D969&amp;"_"&amp;I$52,$B$14:$B$36&amp;"_"&amp;$C$14:$C$36,$D$14:$D$36)*$E969)</f>
        <v>1.02825</v>
      </c>
      <c r="J969" s="95" cm="1">
        <f ca="1" t="array" ref="J969">MIN(8,_xlfn.XLOOKUP($D969&amp;"_"&amp;J$52,$B$14:$B$36&amp;"_"&amp;$C$14:$C$36,$D$14:$D$36)*$E969)</f>
        <v>7.1025</v>
      </c>
      <c r="K969" s="95" cm="1">
        <f ca="1" t="array" ref="K969">MIN(18,_xlfn.XLOOKUP($D969&amp;"_"&amp;K$52,$B$14:$B$36&amp;"_"&amp;$C$14:$C$36,$D$14:$D$36)*$E969)</f>
        <v>2.6516</v>
      </c>
      <c r="L969" s="95" cm="1">
        <f ca="1" t="array" ref="L969">MIN(6,_xlfn.XLOOKUP($D969&amp;"_"&amp;L$52,$B$14:$B$36&amp;"_"&amp;$C$14:$C$36,$D$14:$D$36)*$E969)</f>
        <v>4.97175</v>
      </c>
      <c r="M969" s="95" cm="1">
        <f ca="1" t="array" ref="M969">(1+SUMPRODUCT(G969:H969,OFFSET($H$40:$I$40,D969,0)))*(1+OFFSET($J$40,D969,0))^I969*(1+OFFSET($K$40,D969,0))^J969*(1+OFFSET($L$40,D969,0))^K969*(1+OFFSET($M$40,D969,0))^L969</f>
        <v>224.291451939842</v>
      </c>
      <c r="N969" s="95">
        <f ca="1">MAX(MAX($N$53:N968),OFFSET($C$52,MATCH(M969*1.07,$M$53:$M$2052,1),0)-C969)</f>
        <v>10080</v>
      </c>
    </row>
    <row r="970" spans="2:14">
      <c r="B970" s="95">
        <v>918</v>
      </c>
      <c r="C970" s="95">
        <f t="shared" si="76"/>
        <v>330480</v>
      </c>
      <c r="D970" s="95">
        <f ca="1">_xlfn.XLOOKUP(总览!$B$44,$B$40:$B$45,$C$40:$C$45)</f>
        <v>5</v>
      </c>
      <c r="E970" s="95">
        <f ca="1" t="shared" si="73"/>
        <v>948</v>
      </c>
      <c r="F970" s="95">
        <f ca="1" t="shared" si="74"/>
        <v>0</v>
      </c>
      <c r="G970" s="95">
        <f ca="1" t="shared" si="75"/>
        <v>0</v>
      </c>
      <c r="H970" s="95" cm="1">
        <f ca="1" t="array" ref="H970">MIN(30-SUM(I970:L970),_xlfn.XLOOKUP($D970&amp;"_"&amp;H$52,$B$14:$B$36&amp;"_"&amp;$C$14:$C$36,$D$14:$D$36)*$E970,18)</f>
        <v>14.2356</v>
      </c>
      <c r="I970" s="95" cm="1">
        <f ca="1" t="array" ref="I970">MIN(30-SUM(J970:L970),6-L970,_xlfn.XLOOKUP($D970&amp;"_"&amp;I$52,$B$14:$B$36&amp;"_"&amp;$C$14:$C$36,$D$14:$D$36)*$E970)</f>
        <v>1.023</v>
      </c>
      <c r="J970" s="95" cm="1">
        <f ca="1" t="array" ref="J970">MIN(8,_xlfn.XLOOKUP($D970&amp;"_"&amp;J$52,$B$14:$B$36&amp;"_"&amp;$C$14:$C$36,$D$14:$D$36)*$E970)</f>
        <v>7.11</v>
      </c>
      <c r="K970" s="95" cm="1">
        <f ca="1" t="array" ref="K970">MIN(18,_xlfn.XLOOKUP($D970&amp;"_"&amp;K$52,$B$14:$B$36&amp;"_"&amp;$C$14:$C$36,$D$14:$D$36)*$E970)</f>
        <v>2.6544</v>
      </c>
      <c r="L970" s="95" cm="1">
        <f ca="1" t="array" ref="L970">MIN(6,_xlfn.XLOOKUP($D970&amp;"_"&amp;L$52,$B$14:$B$36&amp;"_"&amp;$C$14:$C$36,$D$14:$D$36)*$E970)</f>
        <v>4.977</v>
      </c>
      <c r="M970" s="95" cm="1">
        <f ca="1" t="array" ref="M970">(1+SUMPRODUCT(G970:H970,OFFSET($H$40:$I$40,D970,0)))*(1+OFFSET($J$40,D970,0))^I970*(1+OFFSET($K$40,D970,0))^J970*(1+OFFSET($L$40,D970,0))^K970*(1+OFFSET($M$40,D970,0))^L970</f>
        <v>224.817690660649</v>
      </c>
      <c r="N970" s="95">
        <f ca="1">MAX(MAX($N$53:N969),OFFSET($C$52,MATCH(M970*1.07,$M$53:$M$2052,1),0)-C970)</f>
        <v>10080</v>
      </c>
    </row>
    <row r="971" spans="2:14">
      <c r="B971" s="95">
        <v>919</v>
      </c>
      <c r="C971" s="95">
        <f t="shared" si="76"/>
        <v>330840</v>
      </c>
      <c r="D971" s="95">
        <f ca="1">_xlfn.XLOOKUP(总览!$B$44,$B$40:$B$45,$C$40:$C$45)</f>
        <v>5</v>
      </c>
      <c r="E971" s="95">
        <f ca="1" t="shared" si="73"/>
        <v>949</v>
      </c>
      <c r="F971" s="95">
        <f ca="1" t="shared" si="74"/>
        <v>0</v>
      </c>
      <c r="G971" s="95">
        <f ca="1" t="shared" si="75"/>
        <v>0</v>
      </c>
      <c r="H971" s="95" cm="1">
        <f ca="1" t="array" ref="H971">MIN(30-SUM(I971:L971),_xlfn.XLOOKUP($D971&amp;"_"&amp;H$52,$B$14:$B$36&amp;"_"&amp;$C$14:$C$36,$D$14:$D$36)*$E971,18)</f>
        <v>14.2253</v>
      </c>
      <c r="I971" s="95" cm="1">
        <f ca="1" t="array" ref="I971">MIN(30-SUM(J971:L971),6-L971,_xlfn.XLOOKUP($D971&amp;"_"&amp;I$52,$B$14:$B$36&amp;"_"&amp;$C$14:$C$36,$D$14:$D$36)*$E971)</f>
        <v>1.01775</v>
      </c>
      <c r="J971" s="95" cm="1">
        <f ca="1" t="array" ref="J971">MIN(8,_xlfn.XLOOKUP($D971&amp;"_"&amp;J$52,$B$14:$B$36&amp;"_"&amp;$C$14:$C$36,$D$14:$D$36)*$E971)</f>
        <v>7.1175</v>
      </c>
      <c r="K971" s="95" cm="1">
        <f ca="1" t="array" ref="K971">MIN(18,_xlfn.XLOOKUP($D971&amp;"_"&amp;K$52,$B$14:$B$36&amp;"_"&amp;$C$14:$C$36,$D$14:$D$36)*$E971)</f>
        <v>2.6572</v>
      </c>
      <c r="L971" s="95" cm="1">
        <f ca="1" t="array" ref="L971">MIN(6,_xlfn.XLOOKUP($D971&amp;"_"&amp;L$52,$B$14:$B$36&amp;"_"&amp;$C$14:$C$36,$D$14:$D$36)*$E971)</f>
        <v>4.98225</v>
      </c>
      <c r="M971" s="95" cm="1">
        <f ca="1" t="array" ref="M971">(1+SUMPRODUCT(G971:H971,OFFSET($H$40:$I$40,D971,0)))*(1+OFFSET($J$40,D971,0))^I971*(1+OFFSET($K$40,D971,0))^J971*(1+OFFSET($L$40,D971,0))^K971*(1+OFFSET($M$40,D971,0))^L971</f>
        <v>225.345099445386</v>
      </c>
      <c r="N971" s="95">
        <f ca="1">MAX(MAX($N$53:N970),OFFSET($C$52,MATCH(M971*1.07,$M$53:$M$2052,1),0)-C971)</f>
        <v>10080</v>
      </c>
    </row>
    <row r="972" spans="2:14">
      <c r="B972" s="95">
        <v>920</v>
      </c>
      <c r="C972" s="95">
        <f t="shared" si="76"/>
        <v>331200</v>
      </c>
      <c r="D972" s="95">
        <f ca="1">_xlfn.XLOOKUP(总览!$B$44,$B$40:$B$45,$C$40:$C$45)</f>
        <v>5</v>
      </c>
      <c r="E972" s="95">
        <f ca="1" t="shared" si="73"/>
        <v>950</v>
      </c>
      <c r="F972" s="95">
        <f ca="1" t="shared" si="74"/>
        <v>0</v>
      </c>
      <c r="G972" s="95">
        <f ca="1" t="shared" si="75"/>
        <v>0</v>
      </c>
      <c r="H972" s="95" cm="1">
        <f ca="1" t="array" ref="H972">MIN(30-SUM(I972:L972),_xlfn.XLOOKUP($D972&amp;"_"&amp;H$52,$B$14:$B$36&amp;"_"&amp;$C$14:$C$36,$D$14:$D$36)*$E972,18)</f>
        <v>14.215</v>
      </c>
      <c r="I972" s="95" cm="1">
        <f ca="1" t="array" ref="I972">MIN(30-SUM(J972:L972),6-L972,_xlfn.XLOOKUP($D972&amp;"_"&amp;I$52,$B$14:$B$36&amp;"_"&amp;$C$14:$C$36,$D$14:$D$36)*$E972)</f>
        <v>1.0125</v>
      </c>
      <c r="J972" s="95" cm="1">
        <f ca="1" t="array" ref="J972">MIN(8,_xlfn.XLOOKUP($D972&amp;"_"&amp;J$52,$B$14:$B$36&amp;"_"&amp;$C$14:$C$36,$D$14:$D$36)*$E972)</f>
        <v>7.125</v>
      </c>
      <c r="K972" s="95" cm="1">
        <f ca="1" t="array" ref="K972">MIN(18,_xlfn.XLOOKUP($D972&amp;"_"&amp;K$52,$B$14:$B$36&amp;"_"&amp;$C$14:$C$36,$D$14:$D$36)*$E972)</f>
        <v>2.66</v>
      </c>
      <c r="L972" s="95" cm="1">
        <f ca="1" t="array" ref="L972">MIN(6,_xlfn.XLOOKUP($D972&amp;"_"&amp;L$52,$B$14:$B$36&amp;"_"&amp;$C$14:$C$36,$D$14:$D$36)*$E972)</f>
        <v>4.9875</v>
      </c>
      <c r="M972" s="95" cm="1">
        <f ca="1" t="array" ref="M972">(1+SUMPRODUCT(G972:H972,OFFSET($H$40:$I$40,D972,0)))*(1+OFFSET($J$40,D972,0))^I972*(1+OFFSET($K$40,D972,0))^J972*(1+OFFSET($L$40,D972,0))^K972*(1+OFFSET($M$40,D972,0))^L972</f>
        <v>225.873680666743</v>
      </c>
      <c r="N972" s="95">
        <f ca="1">MAX(MAX($N$53:N971),OFFSET($C$52,MATCH(M972*1.07,$M$53:$M$2052,1),0)-C972)</f>
        <v>10080</v>
      </c>
    </row>
    <row r="973" spans="2:14">
      <c r="B973" s="95">
        <v>921</v>
      </c>
      <c r="C973" s="95">
        <f t="shared" si="76"/>
        <v>331560</v>
      </c>
      <c r="D973" s="95">
        <f ca="1">_xlfn.XLOOKUP(总览!$B$44,$B$40:$B$45,$C$40:$C$45)</f>
        <v>5</v>
      </c>
      <c r="E973" s="95">
        <f ca="1" t="shared" si="73"/>
        <v>951</v>
      </c>
      <c r="F973" s="95">
        <f ca="1" t="shared" si="74"/>
        <v>0</v>
      </c>
      <c r="G973" s="95">
        <f ca="1" t="shared" si="75"/>
        <v>0</v>
      </c>
      <c r="H973" s="95" cm="1">
        <f ca="1" t="array" ref="H973">MIN(30-SUM(I973:L973),_xlfn.XLOOKUP($D973&amp;"_"&amp;H$52,$B$14:$B$36&amp;"_"&amp;$C$14:$C$36,$D$14:$D$36)*$E973,18)</f>
        <v>14.2047</v>
      </c>
      <c r="I973" s="95" cm="1">
        <f ca="1" t="array" ref="I973">MIN(30-SUM(J973:L973),6-L973,_xlfn.XLOOKUP($D973&amp;"_"&amp;I$52,$B$14:$B$36&amp;"_"&amp;$C$14:$C$36,$D$14:$D$36)*$E973)</f>
        <v>1.00725</v>
      </c>
      <c r="J973" s="95" cm="1">
        <f ca="1" t="array" ref="J973">MIN(8,_xlfn.XLOOKUP($D973&amp;"_"&amp;J$52,$B$14:$B$36&amp;"_"&amp;$C$14:$C$36,$D$14:$D$36)*$E973)</f>
        <v>7.1325</v>
      </c>
      <c r="K973" s="95" cm="1">
        <f ca="1" t="array" ref="K973">MIN(18,_xlfn.XLOOKUP($D973&amp;"_"&amp;K$52,$B$14:$B$36&amp;"_"&amp;$C$14:$C$36,$D$14:$D$36)*$E973)</f>
        <v>2.6628</v>
      </c>
      <c r="L973" s="95" cm="1">
        <f ca="1" t="array" ref="L973">MIN(6,_xlfn.XLOOKUP($D973&amp;"_"&amp;L$52,$B$14:$B$36&amp;"_"&amp;$C$14:$C$36,$D$14:$D$36)*$E973)</f>
        <v>4.99275</v>
      </c>
      <c r="M973" s="95" cm="1">
        <f ca="1" t="array" ref="M973">(1+SUMPRODUCT(G973:H973,OFFSET($H$40:$I$40,D973,0)))*(1+OFFSET($J$40,D973,0))^I973*(1+OFFSET($K$40,D973,0))^J973*(1+OFFSET($L$40,D973,0))^K973*(1+OFFSET($M$40,D973,0))^L973</f>
        <v>226.403436701369</v>
      </c>
      <c r="N973" s="95">
        <f ca="1">MAX(MAX($N$53:N972),OFFSET($C$52,MATCH(M973*1.07,$M$53:$M$2052,1),0)-C973)</f>
        <v>10080</v>
      </c>
    </row>
    <row r="974" spans="2:14">
      <c r="B974" s="95">
        <v>922</v>
      </c>
      <c r="C974" s="95">
        <f t="shared" si="76"/>
        <v>331920</v>
      </c>
      <c r="D974" s="95">
        <f ca="1">_xlfn.XLOOKUP(总览!$B$44,$B$40:$B$45,$C$40:$C$45)</f>
        <v>5</v>
      </c>
      <c r="E974" s="95">
        <f ca="1" t="shared" si="73"/>
        <v>952</v>
      </c>
      <c r="F974" s="95">
        <f ca="1" t="shared" si="74"/>
        <v>0</v>
      </c>
      <c r="G974" s="95">
        <f ca="1" t="shared" si="75"/>
        <v>0</v>
      </c>
      <c r="H974" s="95" cm="1">
        <f ca="1" t="array" ref="H974">MIN(30-SUM(I974:L974),_xlfn.XLOOKUP($D974&amp;"_"&amp;H$52,$B$14:$B$36&amp;"_"&amp;$C$14:$C$36,$D$14:$D$36)*$E974,18)</f>
        <v>14.1944</v>
      </c>
      <c r="I974" s="95" cm="1">
        <f ca="1" t="array" ref="I974">MIN(30-SUM(J974:L974),6-L974,_xlfn.XLOOKUP($D974&amp;"_"&amp;I$52,$B$14:$B$36&amp;"_"&amp;$C$14:$C$36,$D$14:$D$36)*$E974)</f>
        <v>1.002</v>
      </c>
      <c r="J974" s="95" cm="1">
        <f ca="1" t="array" ref="J974">MIN(8,_xlfn.XLOOKUP($D974&amp;"_"&amp;J$52,$B$14:$B$36&amp;"_"&amp;$C$14:$C$36,$D$14:$D$36)*$E974)</f>
        <v>7.14</v>
      </c>
      <c r="K974" s="95" cm="1">
        <f ca="1" t="array" ref="K974">MIN(18,_xlfn.XLOOKUP($D974&amp;"_"&amp;K$52,$B$14:$B$36&amp;"_"&amp;$C$14:$C$36,$D$14:$D$36)*$E974)</f>
        <v>2.6656</v>
      </c>
      <c r="L974" s="95" cm="1">
        <f ca="1" t="array" ref="L974">MIN(6,_xlfn.XLOOKUP($D974&amp;"_"&amp;L$52,$B$14:$B$36&amp;"_"&amp;$C$14:$C$36,$D$14:$D$36)*$E974)</f>
        <v>4.998</v>
      </c>
      <c r="M974" s="95" cm="1">
        <f ca="1" t="array" ref="M974">(1+SUMPRODUCT(G974:H974,OFFSET($H$40:$I$40,D974,0)))*(1+OFFSET($J$40,D974,0))^I974*(1+OFFSET($K$40,D974,0))^J974*(1+OFFSET($L$40,D974,0))^K974*(1+OFFSET($M$40,D974,0))^L974</f>
        <v>226.934369929869</v>
      </c>
      <c r="N974" s="95">
        <f ca="1">MAX(MAX($N$53:N973),OFFSET($C$52,MATCH(M974*1.07,$M$53:$M$2052,1),0)-C974)</f>
        <v>10080</v>
      </c>
    </row>
    <row r="975" spans="2:14">
      <c r="B975" s="95">
        <v>923</v>
      </c>
      <c r="C975" s="95">
        <f t="shared" si="76"/>
        <v>332280</v>
      </c>
      <c r="D975" s="95">
        <f ca="1">_xlfn.XLOOKUP(总览!$B$44,$B$40:$B$45,$C$40:$C$45)</f>
        <v>5</v>
      </c>
      <c r="E975" s="95">
        <f ca="1" t="shared" si="73"/>
        <v>953</v>
      </c>
      <c r="F975" s="95">
        <f ca="1" t="shared" si="74"/>
        <v>0</v>
      </c>
      <c r="G975" s="95">
        <f ca="1" t="shared" si="75"/>
        <v>0</v>
      </c>
      <c r="H975" s="95" cm="1">
        <f ca="1" t="array" ref="H975">MIN(30-SUM(I975:L975),_xlfn.XLOOKUP($D975&amp;"_"&amp;H$52,$B$14:$B$36&amp;"_"&amp;$C$14:$C$36,$D$14:$D$36)*$E975,18)</f>
        <v>14.1841</v>
      </c>
      <c r="I975" s="95" cm="1">
        <f ca="1" t="array" ref="I975">MIN(30-SUM(J975:L975),6-L975,_xlfn.XLOOKUP($D975&amp;"_"&amp;I$52,$B$14:$B$36&amp;"_"&amp;$C$14:$C$36,$D$14:$D$36)*$E975)</f>
        <v>0.99675</v>
      </c>
      <c r="J975" s="95" cm="1">
        <f ca="1" t="array" ref="J975">MIN(8,_xlfn.XLOOKUP($D975&amp;"_"&amp;J$52,$B$14:$B$36&amp;"_"&amp;$C$14:$C$36,$D$14:$D$36)*$E975)</f>
        <v>7.1475</v>
      </c>
      <c r="K975" s="95" cm="1">
        <f ca="1" t="array" ref="K975">MIN(18,_xlfn.XLOOKUP($D975&amp;"_"&amp;K$52,$B$14:$B$36&amp;"_"&amp;$C$14:$C$36,$D$14:$D$36)*$E975)</f>
        <v>2.6684</v>
      </c>
      <c r="L975" s="95" cm="1">
        <f ca="1" t="array" ref="L975">MIN(6,_xlfn.XLOOKUP($D975&amp;"_"&amp;L$52,$B$14:$B$36&amp;"_"&amp;$C$14:$C$36,$D$14:$D$36)*$E975)</f>
        <v>5.00325</v>
      </c>
      <c r="M975" s="95" cm="1">
        <f ca="1" t="array" ref="M975">(1+SUMPRODUCT(G975:H975,OFFSET($H$40:$I$40,D975,0)))*(1+OFFSET($J$40,D975,0))^I975*(1+OFFSET($K$40,D975,0))^J975*(1+OFFSET($L$40,D975,0))^K975*(1+OFFSET($M$40,D975,0))^L975</f>
        <v>227.466482736811</v>
      </c>
      <c r="N975" s="95">
        <f ca="1">MAX(MAX($N$53:N974),OFFSET($C$52,MATCH(M975*1.07,$M$53:$M$2052,1),0)-C975)</f>
        <v>10080</v>
      </c>
    </row>
    <row r="976" spans="2:14">
      <c r="B976" s="95">
        <v>924</v>
      </c>
      <c r="C976" s="95">
        <f t="shared" si="76"/>
        <v>332640</v>
      </c>
      <c r="D976" s="95">
        <f ca="1">_xlfn.XLOOKUP(总览!$B$44,$B$40:$B$45,$C$40:$C$45)</f>
        <v>5</v>
      </c>
      <c r="E976" s="95">
        <f ca="1" t="shared" si="73"/>
        <v>954</v>
      </c>
      <c r="F976" s="95">
        <f ca="1" t="shared" si="74"/>
        <v>0</v>
      </c>
      <c r="G976" s="95">
        <f ca="1" t="shared" si="75"/>
        <v>0</v>
      </c>
      <c r="H976" s="95" cm="1">
        <f ca="1" t="array" ref="H976">MIN(30-SUM(I976:L976),_xlfn.XLOOKUP($D976&amp;"_"&amp;H$52,$B$14:$B$36&amp;"_"&amp;$C$14:$C$36,$D$14:$D$36)*$E976,18)</f>
        <v>14.1738</v>
      </c>
      <c r="I976" s="95" cm="1">
        <f ca="1" t="array" ref="I976">MIN(30-SUM(J976:L976),6-L976,_xlfn.XLOOKUP($D976&amp;"_"&amp;I$52,$B$14:$B$36&amp;"_"&amp;$C$14:$C$36,$D$14:$D$36)*$E976)</f>
        <v>0.991499999999999</v>
      </c>
      <c r="J976" s="95" cm="1">
        <f ca="1" t="array" ref="J976">MIN(8,_xlfn.XLOOKUP($D976&amp;"_"&amp;J$52,$B$14:$B$36&amp;"_"&amp;$C$14:$C$36,$D$14:$D$36)*$E976)</f>
        <v>7.155</v>
      </c>
      <c r="K976" s="95" cm="1">
        <f ca="1" t="array" ref="K976">MIN(18,_xlfn.XLOOKUP($D976&amp;"_"&amp;K$52,$B$14:$B$36&amp;"_"&amp;$C$14:$C$36,$D$14:$D$36)*$E976)</f>
        <v>2.6712</v>
      </c>
      <c r="L976" s="95" cm="1">
        <f ca="1" t="array" ref="L976">MIN(6,_xlfn.XLOOKUP($D976&amp;"_"&amp;L$52,$B$14:$B$36&amp;"_"&amp;$C$14:$C$36,$D$14:$D$36)*$E976)</f>
        <v>5.0085</v>
      </c>
      <c r="M976" s="95" cm="1">
        <f ca="1" t="array" ref="M976">(1+SUMPRODUCT(G976:H976,OFFSET($H$40:$I$40,D976,0)))*(1+OFFSET($J$40,D976,0))^I976*(1+OFFSET($K$40,D976,0))^J976*(1+OFFSET($L$40,D976,0))^K976*(1+OFFSET($M$40,D976,0))^L976</f>
        <v>227.999777510729</v>
      </c>
      <c r="N976" s="95">
        <f ca="1">MAX(MAX($N$53:N975),OFFSET($C$52,MATCH(M976*1.07,$M$53:$M$2052,1),0)-C976)</f>
        <v>10080</v>
      </c>
    </row>
    <row r="977" spans="2:14">
      <c r="B977" s="95">
        <v>925</v>
      </c>
      <c r="C977" s="95">
        <f t="shared" si="76"/>
        <v>333000</v>
      </c>
      <c r="D977" s="95">
        <f ca="1">_xlfn.XLOOKUP(总览!$B$44,$B$40:$B$45,$C$40:$C$45)</f>
        <v>5</v>
      </c>
      <c r="E977" s="95">
        <f ca="1" t="shared" si="73"/>
        <v>955</v>
      </c>
      <c r="F977" s="95">
        <f ca="1" t="shared" si="74"/>
        <v>0</v>
      </c>
      <c r="G977" s="95">
        <f ca="1" t="shared" si="75"/>
        <v>0</v>
      </c>
      <c r="H977" s="95" cm="1">
        <f ca="1" t="array" ref="H977">MIN(30-SUM(I977:L977),_xlfn.XLOOKUP($D977&amp;"_"&amp;H$52,$B$14:$B$36&amp;"_"&amp;$C$14:$C$36,$D$14:$D$36)*$E977,18)</f>
        <v>14.1635</v>
      </c>
      <c r="I977" s="95" cm="1">
        <f ca="1" t="array" ref="I977">MIN(30-SUM(J977:L977),6-L977,_xlfn.XLOOKUP($D977&amp;"_"&amp;I$52,$B$14:$B$36&amp;"_"&amp;$C$14:$C$36,$D$14:$D$36)*$E977)</f>
        <v>0.98625</v>
      </c>
      <c r="J977" s="95" cm="1">
        <f ca="1" t="array" ref="J977">MIN(8,_xlfn.XLOOKUP($D977&amp;"_"&amp;J$52,$B$14:$B$36&amp;"_"&amp;$C$14:$C$36,$D$14:$D$36)*$E977)</f>
        <v>7.1625</v>
      </c>
      <c r="K977" s="95" cm="1">
        <f ca="1" t="array" ref="K977">MIN(18,_xlfn.XLOOKUP($D977&amp;"_"&amp;K$52,$B$14:$B$36&amp;"_"&amp;$C$14:$C$36,$D$14:$D$36)*$E977)</f>
        <v>2.674</v>
      </c>
      <c r="L977" s="95" cm="1">
        <f ca="1" t="array" ref="L977">MIN(6,_xlfn.XLOOKUP($D977&amp;"_"&amp;L$52,$B$14:$B$36&amp;"_"&amp;$C$14:$C$36,$D$14:$D$36)*$E977)</f>
        <v>5.01375</v>
      </c>
      <c r="M977" s="95" cm="1">
        <f ca="1" t="array" ref="M977">(1+SUMPRODUCT(G977:H977,OFFSET($H$40:$I$40,D977,0)))*(1+OFFSET($J$40,D977,0))^I977*(1+OFFSET($K$40,D977,0))^J977*(1+OFFSET($L$40,D977,0))^K977*(1+OFFSET($M$40,D977,0))^L977</f>
        <v>228.534256644124</v>
      </c>
      <c r="N977" s="95">
        <f ca="1">MAX(MAX($N$53:N976),OFFSET($C$52,MATCH(M977*1.07,$M$53:$M$2052,1),0)-C977)</f>
        <v>10080</v>
      </c>
    </row>
    <row r="978" spans="2:14">
      <c r="B978" s="95">
        <v>926</v>
      </c>
      <c r="C978" s="95">
        <f t="shared" si="76"/>
        <v>333360</v>
      </c>
      <c r="D978" s="95">
        <f ca="1">_xlfn.XLOOKUP(总览!$B$44,$B$40:$B$45,$C$40:$C$45)</f>
        <v>5</v>
      </c>
      <c r="E978" s="95">
        <f ca="1" t="shared" si="73"/>
        <v>956</v>
      </c>
      <c r="F978" s="95">
        <f ca="1" t="shared" si="74"/>
        <v>0</v>
      </c>
      <c r="G978" s="95">
        <f ca="1" t="shared" si="75"/>
        <v>0</v>
      </c>
      <c r="H978" s="95" cm="1">
        <f ca="1" t="array" ref="H978">MIN(30-SUM(I978:L978),_xlfn.XLOOKUP($D978&amp;"_"&amp;H$52,$B$14:$B$36&amp;"_"&amp;$C$14:$C$36,$D$14:$D$36)*$E978,18)</f>
        <v>14.1532</v>
      </c>
      <c r="I978" s="95" cm="1">
        <f ca="1" t="array" ref="I978">MIN(30-SUM(J978:L978),6-L978,_xlfn.XLOOKUP($D978&amp;"_"&amp;I$52,$B$14:$B$36&amp;"_"&amp;$C$14:$C$36,$D$14:$D$36)*$E978)</f>
        <v>0.981</v>
      </c>
      <c r="J978" s="95" cm="1">
        <f ca="1" t="array" ref="J978">MIN(8,_xlfn.XLOOKUP($D978&amp;"_"&amp;J$52,$B$14:$B$36&amp;"_"&amp;$C$14:$C$36,$D$14:$D$36)*$E978)</f>
        <v>7.17</v>
      </c>
      <c r="K978" s="95" cm="1">
        <f ca="1" t="array" ref="K978">MIN(18,_xlfn.XLOOKUP($D978&amp;"_"&amp;K$52,$B$14:$B$36&amp;"_"&amp;$C$14:$C$36,$D$14:$D$36)*$E978)</f>
        <v>2.6768</v>
      </c>
      <c r="L978" s="95" cm="1">
        <f ca="1" t="array" ref="L978">MIN(6,_xlfn.XLOOKUP($D978&amp;"_"&amp;L$52,$B$14:$B$36&amp;"_"&amp;$C$14:$C$36,$D$14:$D$36)*$E978)</f>
        <v>5.019</v>
      </c>
      <c r="M978" s="95" cm="1">
        <f ca="1" t="array" ref="M978">(1+SUMPRODUCT(G978:H978,OFFSET($H$40:$I$40,D978,0)))*(1+OFFSET($J$40,D978,0))^I978*(1+OFFSET($K$40,D978,0))^J978*(1+OFFSET($L$40,D978,0))^K978*(1+OFFSET($M$40,D978,0))^L978</f>
        <v>229.069922533468</v>
      </c>
      <c r="N978" s="95">
        <f ca="1">MAX(MAX($N$53:N977),OFFSET($C$52,MATCH(M978*1.07,$M$53:$M$2052,1),0)-C978)</f>
        <v>10080</v>
      </c>
    </row>
    <row r="979" spans="2:14">
      <c r="B979" s="95">
        <v>927</v>
      </c>
      <c r="C979" s="95">
        <f t="shared" si="76"/>
        <v>333720</v>
      </c>
      <c r="D979" s="95">
        <f ca="1">_xlfn.XLOOKUP(总览!$B$44,$B$40:$B$45,$C$40:$C$45)</f>
        <v>5</v>
      </c>
      <c r="E979" s="95">
        <f ca="1" t="shared" si="73"/>
        <v>957</v>
      </c>
      <c r="F979" s="95">
        <f ca="1" t="shared" si="74"/>
        <v>0</v>
      </c>
      <c r="G979" s="95">
        <f ca="1" t="shared" si="75"/>
        <v>0</v>
      </c>
      <c r="H979" s="95" cm="1">
        <f ca="1" t="array" ref="H979">MIN(30-SUM(I979:L979),_xlfn.XLOOKUP($D979&amp;"_"&amp;H$52,$B$14:$B$36&amp;"_"&amp;$C$14:$C$36,$D$14:$D$36)*$E979,18)</f>
        <v>14.1429</v>
      </c>
      <c r="I979" s="95" cm="1">
        <f ca="1" t="array" ref="I979">MIN(30-SUM(J979:L979),6-L979,_xlfn.XLOOKUP($D979&amp;"_"&amp;I$52,$B$14:$B$36&amp;"_"&amp;$C$14:$C$36,$D$14:$D$36)*$E979)</f>
        <v>0.97575</v>
      </c>
      <c r="J979" s="95" cm="1">
        <f ca="1" t="array" ref="J979">MIN(8,_xlfn.XLOOKUP($D979&amp;"_"&amp;J$52,$B$14:$B$36&amp;"_"&amp;$C$14:$C$36,$D$14:$D$36)*$E979)</f>
        <v>7.1775</v>
      </c>
      <c r="K979" s="95" cm="1">
        <f ca="1" t="array" ref="K979">MIN(18,_xlfn.XLOOKUP($D979&amp;"_"&amp;K$52,$B$14:$B$36&amp;"_"&amp;$C$14:$C$36,$D$14:$D$36)*$E979)</f>
        <v>2.6796</v>
      </c>
      <c r="L979" s="95" cm="1">
        <f ca="1" t="array" ref="L979">MIN(6,_xlfn.XLOOKUP($D979&amp;"_"&amp;L$52,$B$14:$B$36&amp;"_"&amp;$C$14:$C$36,$D$14:$D$36)*$E979)</f>
        <v>5.02425</v>
      </c>
      <c r="M979" s="95" cm="1">
        <f ca="1" t="array" ref="M979">(1+SUMPRODUCT(G979:H979,OFFSET($H$40:$I$40,D979,0)))*(1+OFFSET($J$40,D979,0))^I979*(1+OFFSET($K$40,D979,0))^J979*(1+OFFSET($L$40,D979,0))^K979*(1+OFFSET($M$40,D979,0))^L979</f>
        <v>229.606777579208</v>
      </c>
      <c r="N979" s="95">
        <f ca="1">MAX(MAX($N$53:N978),OFFSET($C$52,MATCH(M979*1.07,$M$53:$M$2052,1),0)-C979)</f>
        <v>10080</v>
      </c>
    </row>
    <row r="980" spans="2:14">
      <c r="B980" s="95">
        <v>928</v>
      </c>
      <c r="C980" s="95">
        <f t="shared" si="76"/>
        <v>334080</v>
      </c>
      <c r="D980" s="95">
        <f ca="1">_xlfn.XLOOKUP(总览!$B$44,$B$40:$B$45,$C$40:$C$45)</f>
        <v>5</v>
      </c>
      <c r="E980" s="95">
        <f ca="1" t="shared" si="73"/>
        <v>958</v>
      </c>
      <c r="F980" s="95">
        <f ca="1" t="shared" si="74"/>
        <v>0</v>
      </c>
      <c r="G980" s="95">
        <f ca="1" t="shared" si="75"/>
        <v>0</v>
      </c>
      <c r="H980" s="95" cm="1">
        <f ca="1" t="array" ref="H980">MIN(30-SUM(I980:L980),_xlfn.XLOOKUP($D980&amp;"_"&amp;H$52,$B$14:$B$36&amp;"_"&amp;$C$14:$C$36,$D$14:$D$36)*$E980,18)</f>
        <v>14.1326</v>
      </c>
      <c r="I980" s="95" cm="1">
        <f ca="1" t="array" ref="I980">MIN(30-SUM(J980:L980),6-L980,_xlfn.XLOOKUP($D980&amp;"_"&amp;I$52,$B$14:$B$36&amp;"_"&amp;$C$14:$C$36,$D$14:$D$36)*$E980)</f>
        <v>0.970499999999999</v>
      </c>
      <c r="J980" s="95" cm="1">
        <f ca="1" t="array" ref="J980">MIN(8,_xlfn.XLOOKUP($D980&amp;"_"&amp;J$52,$B$14:$B$36&amp;"_"&amp;$C$14:$C$36,$D$14:$D$36)*$E980)</f>
        <v>7.185</v>
      </c>
      <c r="K980" s="95" cm="1">
        <f ca="1" t="array" ref="K980">MIN(18,_xlfn.XLOOKUP($D980&amp;"_"&amp;K$52,$B$14:$B$36&amp;"_"&amp;$C$14:$C$36,$D$14:$D$36)*$E980)</f>
        <v>2.6824</v>
      </c>
      <c r="L980" s="95" cm="1">
        <f ca="1" t="array" ref="L980">MIN(6,_xlfn.XLOOKUP($D980&amp;"_"&amp;L$52,$B$14:$B$36&amp;"_"&amp;$C$14:$C$36,$D$14:$D$36)*$E980)</f>
        <v>5.0295</v>
      </c>
      <c r="M980" s="95" cm="1">
        <f ca="1" t="array" ref="M980">(1+SUMPRODUCT(G980:H980,OFFSET($H$40:$I$40,D980,0)))*(1+OFFSET($J$40,D980,0))^I980*(1+OFFSET($K$40,D980,0))^J980*(1+OFFSET($L$40,D980,0))^K980*(1+OFFSET($M$40,D980,0))^L980</f>
        <v>230.144824185768</v>
      </c>
      <c r="N980" s="95">
        <f ca="1">MAX(MAX($N$53:N979),OFFSET($C$52,MATCH(M980*1.07,$M$53:$M$2052,1),0)-C980)</f>
        <v>10080</v>
      </c>
    </row>
    <row r="981" spans="2:14">
      <c r="B981" s="95">
        <v>929</v>
      </c>
      <c r="C981" s="95">
        <f t="shared" si="76"/>
        <v>334440</v>
      </c>
      <c r="D981" s="95">
        <f ca="1">_xlfn.XLOOKUP(总览!$B$44,$B$40:$B$45,$C$40:$C$45)</f>
        <v>5</v>
      </c>
      <c r="E981" s="95">
        <f ca="1" t="shared" si="73"/>
        <v>959</v>
      </c>
      <c r="F981" s="95">
        <f ca="1" t="shared" si="74"/>
        <v>0</v>
      </c>
      <c r="G981" s="95">
        <f ca="1" t="shared" si="75"/>
        <v>0</v>
      </c>
      <c r="H981" s="95" cm="1">
        <f ca="1" t="array" ref="H981">MIN(30-SUM(I981:L981),_xlfn.XLOOKUP($D981&amp;"_"&amp;H$52,$B$14:$B$36&amp;"_"&amp;$C$14:$C$36,$D$14:$D$36)*$E981,18)</f>
        <v>14.1223</v>
      </c>
      <c r="I981" s="95" cm="1">
        <f ca="1" t="array" ref="I981">MIN(30-SUM(J981:L981),6-L981,_xlfn.XLOOKUP($D981&amp;"_"&amp;I$52,$B$14:$B$36&amp;"_"&amp;$C$14:$C$36,$D$14:$D$36)*$E981)</f>
        <v>0.965249999999999</v>
      </c>
      <c r="J981" s="95" cm="1">
        <f ca="1" t="array" ref="J981">MIN(8,_xlfn.XLOOKUP($D981&amp;"_"&amp;J$52,$B$14:$B$36&amp;"_"&amp;$C$14:$C$36,$D$14:$D$36)*$E981)</f>
        <v>7.1925</v>
      </c>
      <c r="K981" s="95" cm="1">
        <f ca="1" t="array" ref="K981">MIN(18,_xlfn.XLOOKUP($D981&amp;"_"&amp;K$52,$B$14:$B$36&amp;"_"&amp;$C$14:$C$36,$D$14:$D$36)*$E981)</f>
        <v>2.6852</v>
      </c>
      <c r="L981" s="95" cm="1">
        <f ca="1" t="array" ref="L981">MIN(6,_xlfn.XLOOKUP($D981&amp;"_"&amp;L$52,$B$14:$B$36&amp;"_"&amp;$C$14:$C$36,$D$14:$D$36)*$E981)</f>
        <v>5.03475</v>
      </c>
      <c r="M981" s="95" cm="1">
        <f ca="1" t="array" ref="M981">(1+SUMPRODUCT(G981:H981,OFFSET($H$40:$I$40,D981,0)))*(1+OFFSET($J$40,D981,0))^I981*(1+OFFSET($K$40,D981,0))^J981*(1+OFFSET($L$40,D981,0))^K981*(1+OFFSET($M$40,D981,0))^L981</f>
        <v>230.684064761551</v>
      </c>
      <c r="N981" s="95">
        <f ca="1">MAX(MAX($N$53:N980),OFFSET($C$52,MATCH(M981*1.07,$M$53:$M$2052,1),0)-C981)</f>
        <v>10080</v>
      </c>
    </row>
    <row r="982" spans="2:14">
      <c r="B982" s="95">
        <v>930</v>
      </c>
      <c r="C982" s="95">
        <f t="shared" si="76"/>
        <v>334800</v>
      </c>
      <c r="D982" s="95">
        <f ca="1">_xlfn.XLOOKUP(总览!$B$44,$B$40:$B$45,$C$40:$C$45)</f>
        <v>5</v>
      </c>
      <c r="E982" s="95">
        <f ca="1" t="shared" si="73"/>
        <v>960</v>
      </c>
      <c r="F982" s="95">
        <f ca="1" t="shared" si="74"/>
        <v>0</v>
      </c>
      <c r="G982" s="95">
        <f ca="1" t="shared" si="75"/>
        <v>0</v>
      </c>
      <c r="H982" s="95" cm="1">
        <f ca="1" t="array" ref="H982">MIN(30-SUM(I982:L982),_xlfn.XLOOKUP($D982&amp;"_"&amp;H$52,$B$14:$B$36&amp;"_"&amp;$C$14:$C$36,$D$14:$D$36)*$E982,18)</f>
        <v>14.112</v>
      </c>
      <c r="I982" s="95" cm="1">
        <f ca="1" t="array" ref="I982">MIN(30-SUM(J982:L982),6-L982,_xlfn.XLOOKUP($D982&amp;"_"&amp;I$52,$B$14:$B$36&amp;"_"&amp;$C$14:$C$36,$D$14:$D$36)*$E982)</f>
        <v>0.96</v>
      </c>
      <c r="J982" s="95" cm="1">
        <f ca="1" t="array" ref="J982">MIN(8,_xlfn.XLOOKUP($D982&amp;"_"&amp;J$52,$B$14:$B$36&amp;"_"&amp;$C$14:$C$36,$D$14:$D$36)*$E982)</f>
        <v>7.2</v>
      </c>
      <c r="K982" s="95" cm="1">
        <f ca="1" t="array" ref="K982">MIN(18,_xlfn.XLOOKUP($D982&amp;"_"&amp;K$52,$B$14:$B$36&amp;"_"&amp;$C$14:$C$36,$D$14:$D$36)*$E982)</f>
        <v>2.688</v>
      </c>
      <c r="L982" s="95" cm="1">
        <f ca="1" t="array" ref="L982">MIN(6,_xlfn.XLOOKUP($D982&amp;"_"&amp;L$52,$B$14:$B$36&amp;"_"&amp;$C$14:$C$36,$D$14:$D$36)*$E982)</f>
        <v>5.04</v>
      </c>
      <c r="M982" s="95" cm="1">
        <f ca="1" t="array" ref="M982">(1+SUMPRODUCT(G982:H982,OFFSET($H$40:$I$40,D982,0)))*(1+OFFSET($J$40,D982,0))^I982*(1+OFFSET($K$40,D982,0))^J982*(1+OFFSET($L$40,D982,0))^K982*(1+OFFSET($M$40,D982,0))^L982</f>
        <v>231.224501718944</v>
      </c>
      <c r="N982" s="95">
        <f ca="1">MAX(MAX($N$53:N981),OFFSET($C$52,MATCH(M982*1.07,$M$53:$M$2052,1),0)-C982)</f>
        <v>10080</v>
      </c>
    </row>
    <row r="983" spans="2:14">
      <c r="B983" s="95">
        <v>931</v>
      </c>
      <c r="C983" s="95">
        <f t="shared" si="76"/>
        <v>335160</v>
      </c>
      <c r="D983" s="95">
        <f ca="1">_xlfn.XLOOKUP(总览!$B$44,$B$40:$B$45,$C$40:$C$45)</f>
        <v>5</v>
      </c>
      <c r="E983" s="95">
        <f ca="1" t="shared" si="73"/>
        <v>961</v>
      </c>
      <c r="F983" s="95">
        <f ca="1" t="shared" si="74"/>
        <v>0</v>
      </c>
      <c r="G983" s="95">
        <f ca="1" t="shared" si="75"/>
        <v>0</v>
      </c>
      <c r="H983" s="95" cm="1">
        <f ca="1" t="array" ref="H983">MIN(30-SUM(I983:L983),_xlfn.XLOOKUP($D983&amp;"_"&amp;H$52,$B$14:$B$36&amp;"_"&amp;$C$14:$C$36,$D$14:$D$36)*$E983,18)</f>
        <v>14.1017</v>
      </c>
      <c r="I983" s="95" cm="1">
        <f ca="1" t="array" ref="I983">MIN(30-SUM(J983:L983),6-L983,_xlfn.XLOOKUP($D983&amp;"_"&amp;I$52,$B$14:$B$36&amp;"_"&amp;$C$14:$C$36,$D$14:$D$36)*$E983)</f>
        <v>0.95475</v>
      </c>
      <c r="J983" s="95" cm="1">
        <f ca="1" t="array" ref="J983">MIN(8,_xlfn.XLOOKUP($D983&amp;"_"&amp;J$52,$B$14:$B$36&amp;"_"&amp;$C$14:$C$36,$D$14:$D$36)*$E983)</f>
        <v>7.2075</v>
      </c>
      <c r="K983" s="95" cm="1">
        <f ca="1" t="array" ref="K983">MIN(18,_xlfn.XLOOKUP($D983&amp;"_"&amp;K$52,$B$14:$B$36&amp;"_"&amp;$C$14:$C$36,$D$14:$D$36)*$E983)</f>
        <v>2.6908</v>
      </c>
      <c r="L983" s="95" cm="1">
        <f ca="1" t="array" ref="L983">MIN(6,_xlfn.XLOOKUP($D983&amp;"_"&amp;L$52,$B$14:$B$36&amp;"_"&amp;$C$14:$C$36,$D$14:$D$36)*$E983)</f>
        <v>5.04525</v>
      </c>
      <c r="M983" s="95" cm="1">
        <f ca="1" t="array" ref="M983">(1+SUMPRODUCT(G983:H983,OFFSET($H$40:$I$40,D983,0)))*(1+OFFSET($J$40,D983,0))^I983*(1+OFFSET($K$40,D983,0))^J983*(1+OFFSET($L$40,D983,0))^K983*(1+OFFSET($M$40,D983,0))^L983</f>
        <v>231.76613747432</v>
      </c>
      <c r="N983" s="95">
        <f ca="1">MAX(MAX($N$53:N982),OFFSET($C$52,MATCH(M983*1.07,$M$53:$M$2052,1),0)-C983)</f>
        <v>10080</v>
      </c>
    </row>
    <row r="984" spans="2:14">
      <c r="B984" s="95">
        <v>932</v>
      </c>
      <c r="C984" s="95">
        <f t="shared" si="76"/>
        <v>335520</v>
      </c>
      <c r="D984" s="95">
        <f ca="1">_xlfn.XLOOKUP(总览!$B$44,$B$40:$B$45,$C$40:$C$45)</f>
        <v>5</v>
      </c>
      <c r="E984" s="95">
        <f ca="1" t="shared" si="73"/>
        <v>962</v>
      </c>
      <c r="F984" s="95">
        <f ca="1" t="shared" si="74"/>
        <v>0</v>
      </c>
      <c r="G984" s="95">
        <f ca="1" t="shared" si="75"/>
        <v>0</v>
      </c>
      <c r="H984" s="95" cm="1">
        <f ca="1" t="array" ref="H984">MIN(30-SUM(I984:L984),_xlfn.XLOOKUP($D984&amp;"_"&amp;H$52,$B$14:$B$36&amp;"_"&amp;$C$14:$C$36,$D$14:$D$36)*$E984,18)</f>
        <v>14.0914</v>
      </c>
      <c r="I984" s="95" cm="1">
        <f ca="1" t="array" ref="I984">MIN(30-SUM(J984:L984),6-L984,_xlfn.XLOOKUP($D984&amp;"_"&amp;I$52,$B$14:$B$36&amp;"_"&amp;$C$14:$C$36,$D$14:$D$36)*$E984)</f>
        <v>0.9495</v>
      </c>
      <c r="J984" s="95" cm="1">
        <f ca="1" t="array" ref="J984">MIN(8,_xlfn.XLOOKUP($D984&amp;"_"&amp;J$52,$B$14:$B$36&amp;"_"&amp;$C$14:$C$36,$D$14:$D$36)*$E984)</f>
        <v>7.215</v>
      </c>
      <c r="K984" s="95" cm="1">
        <f ca="1" t="array" ref="K984">MIN(18,_xlfn.XLOOKUP($D984&amp;"_"&amp;K$52,$B$14:$B$36&amp;"_"&amp;$C$14:$C$36,$D$14:$D$36)*$E984)</f>
        <v>2.6936</v>
      </c>
      <c r="L984" s="95" cm="1">
        <f ca="1" t="array" ref="L984">MIN(6,_xlfn.XLOOKUP($D984&amp;"_"&amp;L$52,$B$14:$B$36&amp;"_"&amp;$C$14:$C$36,$D$14:$D$36)*$E984)</f>
        <v>5.0505</v>
      </c>
      <c r="M984" s="95" cm="1">
        <f ca="1" t="array" ref="M984">(1+SUMPRODUCT(G984:H984,OFFSET($H$40:$I$40,D984,0)))*(1+OFFSET($J$40,D984,0))^I984*(1+OFFSET($K$40,D984,0))^J984*(1+OFFSET($L$40,D984,0))^K984*(1+OFFSET($M$40,D984,0))^L984</f>
        <v>232.30897444804</v>
      </c>
      <c r="N984" s="95">
        <f ca="1">MAX(MAX($N$53:N983),OFFSET($C$52,MATCH(M984*1.07,$M$53:$M$2052,1),0)-C984)</f>
        <v>10080</v>
      </c>
    </row>
    <row r="985" spans="2:14">
      <c r="B985" s="95">
        <v>933</v>
      </c>
      <c r="C985" s="95">
        <f t="shared" si="76"/>
        <v>335880</v>
      </c>
      <c r="D985" s="95">
        <f ca="1">_xlfn.XLOOKUP(总览!$B$44,$B$40:$B$45,$C$40:$C$45)</f>
        <v>5</v>
      </c>
      <c r="E985" s="95">
        <f ca="1" t="shared" si="73"/>
        <v>963</v>
      </c>
      <c r="F985" s="95">
        <f ca="1" t="shared" si="74"/>
        <v>0</v>
      </c>
      <c r="G985" s="95">
        <f ca="1" t="shared" si="75"/>
        <v>0</v>
      </c>
      <c r="H985" s="95" cm="1">
        <f ca="1" t="array" ref="H985">MIN(30-SUM(I985:L985),_xlfn.XLOOKUP($D985&amp;"_"&amp;H$52,$B$14:$B$36&amp;"_"&amp;$C$14:$C$36,$D$14:$D$36)*$E985,18)</f>
        <v>14.0811</v>
      </c>
      <c r="I985" s="95" cm="1">
        <f ca="1" t="array" ref="I985">MIN(30-SUM(J985:L985),6-L985,_xlfn.XLOOKUP($D985&amp;"_"&amp;I$52,$B$14:$B$36&amp;"_"&amp;$C$14:$C$36,$D$14:$D$36)*$E985)</f>
        <v>0.944249999999999</v>
      </c>
      <c r="J985" s="95" cm="1">
        <f ca="1" t="array" ref="J985">MIN(8,_xlfn.XLOOKUP($D985&amp;"_"&amp;J$52,$B$14:$B$36&amp;"_"&amp;$C$14:$C$36,$D$14:$D$36)*$E985)</f>
        <v>7.2225</v>
      </c>
      <c r="K985" s="95" cm="1">
        <f ca="1" t="array" ref="K985">MIN(18,_xlfn.XLOOKUP($D985&amp;"_"&amp;K$52,$B$14:$B$36&amp;"_"&amp;$C$14:$C$36,$D$14:$D$36)*$E985)</f>
        <v>2.6964</v>
      </c>
      <c r="L985" s="95" cm="1">
        <f ca="1" t="array" ref="L985">MIN(6,_xlfn.XLOOKUP($D985&amp;"_"&amp;L$52,$B$14:$B$36&amp;"_"&amp;$C$14:$C$36,$D$14:$D$36)*$E985)</f>
        <v>5.05575</v>
      </c>
      <c r="M985" s="95" cm="1">
        <f ca="1" t="array" ref="M985">(1+SUMPRODUCT(G985:H985,OFFSET($H$40:$I$40,D985,0)))*(1+OFFSET($J$40,D985,0))^I985*(1+OFFSET($K$40,D985,0))^J985*(1+OFFSET($L$40,D985,0))^K985*(1+OFFSET($M$40,D985,0))^L985</f>
        <v>232.85301506446</v>
      </c>
      <c r="N985" s="95">
        <f ca="1">MAX(MAX($N$53:N984),OFFSET($C$52,MATCH(M985*1.07,$M$53:$M$2052,1),0)-C985)</f>
        <v>10080</v>
      </c>
    </row>
    <row r="986" spans="2:14">
      <c r="B986" s="95">
        <v>934</v>
      </c>
      <c r="C986" s="95">
        <f t="shared" si="76"/>
        <v>336240</v>
      </c>
      <c r="D986" s="95">
        <f ca="1">_xlfn.XLOOKUP(总览!$B$44,$B$40:$B$45,$C$40:$C$45)</f>
        <v>5</v>
      </c>
      <c r="E986" s="95">
        <f ca="1" t="shared" si="73"/>
        <v>964</v>
      </c>
      <c r="F986" s="95">
        <f ca="1" t="shared" si="74"/>
        <v>0</v>
      </c>
      <c r="G986" s="95">
        <f ca="1" t="shared" si="75"/>
        <v>0</v>
      </c>
      <c r="H986" s="95" cm="1">
        <f ca="1" t="array" ref="H986">MIN(30-SUM(I986:L986),_xlfn.XLOOKUP($D986&amp;"_"&amp;H$52,$B$14:$B$36&amp;"_"&amp;$C$14:$C$36,$D$14:$D$36)*$E986,18)</f>
        <v>14.0708</v>
      </c>
      <c r="I986" s="95" cm="1">
        <f ca="1" t="array" ref="I986">MIN(30-SUM(J986:L986),6-L986,_xlfn.XLOOKUP($D986&amp;"_"&amp;I$52,$B$14:$B$36&amp;"_"&amp;$C$14:$C$36,$D$14:$D$36)*$E986)</f>
        <v>0.939</v>
      </c>
      <c r="J986" s="95" cm="1">
        <f ca="1" t="array" ref="J986">MIN(8,_xlfn.XLOOKUP($D986&amp;"_"&amp;J$52,$B$14:$B$36&amp;"_"&amp;$C$14:$C$36,$D$14:$D$36)*$E986)</f>
        <v>7.23</v>
      </c>
      <c r="K986" s="95" cm="1">
        <f ca="1" t="array" ref="K986">MIN(18,_xlfn.XLOOKUP($D986&amp;"_"&amp;K$52,$B$14:$B$36&amp;"_"&amp;$C$14:$C$36,$D$14:$D$36)*$E986)</f>
        <v>2.6992</v>
      </c>
      <c r="L986" s="95" cm="1">
        <f ca="1" t="array" ref="L986">MIN(6,_xlfn.XLOOKUP($D986&amp;"_"&amp;L$52,$B$14:$B$36&amp;"_"&amp;$C$14:$C$36,$D$14:$D$36)*$E986)</f>
        <v>5.061</v>
      </c>
      <c r="M986" s="95" cm="1">
        <f ca="1" t="array" ref="M986">(1+SUMPRODUCT(G986:H986,OFFSET($H$40:$I$40,D986,0)))*(1+OFFSET($J$40,D986,0))^I986*(1+OFFSET($K$40,D986,0))^J986*(1+OFFSET($L$40,D986,0))^K986*(1+OFFSET($M$40,D986,0))^L986</f>
        <v>233.398261751926</v>
      </c>
      <c r="N986" s="95">
        <f ca="1">MAX(MAX($N$53:N985),OFFSET($C$52,MATCH(M986*1.07,$M$53:$M$2052,1),0)-C986)</f>
        <v>10080</v>
      </c>
    </row>
    <row r="987" spans="2:14">
      <c r="B987" s="95">
        <v>935</v>
      </c>
      <c r="C987" s="95">
        <f t="shared" si="76"/>
        <v>336600</v>
      </c>
      <c r="D987" s="95">
        <f ca="1">_xlfn.XLOOKUP(总览!$B$44,$B$40:$B$45,$C$40:$C$45)</f>
        <v>5</v>
      </c>
      <c r="E987" s="95">
        <f ca="1" t="shared" si="73"/>
        <v>965</v>
      </c>
      <c r="F987" s="95">
        <f ca="1" t="shared" si="74"/>
        <v>0</v>
      </c>
      <c r="G987" s="95">
        <f ca="1" t="shared" si="75"/>
        <v>0</v>
      </c>
      <c r="H987" s="95" cm="1">
        <f ca="1" t="array" ref="H987">MIN(30-SUM(I987:L987),_xlfn.XLOOKUP($D987&amp;"_"&amp;H$52,$B$14:$B$36&amp;"_"&amp;$C$14:$C$36,$D$14:$D$36)*$E987,18)</f>
        <v>14.0605</v>
      </c>
      <c r="I987" s="95" cm="1">
        <f ca="1" t="array" ref="I987">MIN(30-SUM(J987:L987),6-L987,_xlfn.XLOOKUP($D987&amp;"_"&amp;I$52,$B$14:$B$36&amp;"_"&amp;$C$14:$C$36,$D$14:$D$36)*$E987)</f>
        <v>0.93375</v>
      </c>
      <c r="J987" s="95" cm="1">
        <f ca="1" t="array" ref="J987">MIN(8,_xlfn.XLOOKUP($D987&amp;"_"&amp;J$52,$B$14:$B$36&amp;"_"&amp;$C$14:$C$36,$D$14:$D$36)*$E987)</f>
        <v>7.2375</v>
      </c>
      <c r="K987" s="95" cm="1">
        <f ca="1" t="array" ref="K987">MIN(18,_xlfn.XLOOKUP($D987&amp;"_"&amp;K$52,$B$14:$B$36&amp;"_"&amp;$C$14:$C$36,$D$14:$D$36)*$E987)</f>
        <v>2.702</v>
      </c>
      <c r="L987" s="95" cm="1">
        <f ca="1" t="array" ref="L987">MIN(6,_xlfn.XLOOKUP($D987&amp;"_"&amp;L$52,$B$14:$B$36&amp;"_"&amp;$C$14:$C$36,$D$14:$D$36)*$E987)</f>
        <v>5.06625</v>
      </c>
      <c r="M987" s="95" cm="1">
        <f ca="1" t="array" ref="M987">(1+SUMPRODUCT(G987:H987,OFFSET($H$40:$I$40,D987,0)))*(1+OFFSET($J$40,D987,0))^I987*(1+OFFSET($K$40,D987,0))^J987*(1+OFFSET($L$40,D987,0))^K987*(1+OFFSET($M$40,D987,0))^L987</f>
        <v>233.944716942785</v>
      </c>
      <c r="N987" s="95">
        <f ca="1">MAX(MAX($N$53:N986),OFFSET($C$52,MATCH(M987*1.07,$M$53:$M$2052,1),0)-C987)</f>
        <v>10080</v>
      </c>
    </row>
    <row r="988" spans="2:14">
      <c r="B988" s="95">
        <v>936</v>
      </c>
      <c r="C988" s="95">
        <f t="shared" si="76"/>
        <v>336960</v>
      </c>
      <c r="D988" s="95">
        <f ca="1">_xlfn.XLOOKUP(总览!$B$44,$B$40:$B$45,$C$40:$C$45)</f>
        <v>5</v>
      </c>
      <c r="E988" s="95">
        <f ca="1" t="shared" si="73"/>
        <v>966</v>
      </c>
      <c r="F988" s="95">
        <f ca="1" t="shared" si="74"/>
        <v>0</v>
      </c>
      <c r="G988" s="95">
        <f ca="1" t="shared" si="75"/>
        <v>0</v>
      </c>
      <c r="H988" s="95" cm="1">
        <f ca="1" t="array" ref="H988">MIN(30-SUM(I988:L988),_xlfn.XLOOKUP($D988&amp;"_"&amp;H$52,$B$14:$B$36&amp;"_"&amp;$C$14:$C$36,$D$14:$D$36)*$E988,18)</f>
        <v>14.0502</v>
      </c>
      <c r="I988" s="95" cm="1">
        <f ca="1" t="array" ref="I988">MIN(30-SUM(J988:L988),6-L988,_xlfn.XLOOKUP($D988&amp;"_"&amp;I$52,$B$14:$B$36&amp;"_"&amp;$C$14:$C$36,$D$14:$D$36)*$E988)</f>
        <v>0.9285</v>
      </c>
      <c r="J988" s="95" cm="1">
        <f ca="1" t="array" ref="J988">MIN(8,_xlfn.XLOOKUP($D988&amp;"_"&amp;J$52,$B$14:$B$36&amp;"_"&amp;$C$14:$C$36,$D$14:$D$36)*$E988)</f>
        <v>7.245</v>
      </c>
      <c r="K988" s="95" cm="1">
        <f ca="1" t="array" ref="K988">MIN(18,_xlfn.XLOOKUP($D988&amp;"_"&amp;K$52,$B$14:$B$36&amp;"_"&amp;$C$14:$C$36,$D$14:$D$36)*$E988)</f>
        <v>2.7048</v>
      </c>
      <c r="L988" s="95" cm="1">
        <f ca="1" t="array" ref="L988">MIN(6,_xlfn.XLOOKUP($D988&amp;"_"&amp;L$52,$B$14:$B$36&amp;"_"&amp;$C$14:$C$36,$D$14:$D$36)*$E988)</f>
        <v>5.0715</v>
      </c>
      <c r="M988" s="95" cm="1">
        <f ca="1" t="array" ref="M988">(1+SUMPRODUCT(G988:H988,OFFSET($H$40:$I$40,D988,0)))*(1+OFFSET($J$40,D988,0))^I988*(1+OFFSET($K$40,D988,0))^J988*(1+OFFSET($L$40,D988,0))^K988*(1+OFFSET($M$40,D988,0))^L988</f>
        <v>234.492383073385</v>
      </c>
      <c r="N988" s="95">
        <f ca="1">MAX(MAX($N$53:N987),OFFSET($C$52,MATCH(M988*1.07,$M$53:$M$2052,1),0)-C988)</f>
        <v>10080</v>
      </c>
    </row>
    <row r="989" spans="2:14">
      <c r="B989" s="95">
        <v>937</v>
      </c>
      <c r="C989" s="95">
        <f t="shared" si="76"/>
        <v>337320</v>
      </c>
      <c r="D989" s="95">
        <f ca="1">_xlfn.XLOOKUP(总览!$B$44,$B$40:$B$45,$C$40:$C$45)</f>
        <v>5</v>
      </c>
      <c r="E989" s="95">
        <f ca="1" t="shared" si="73"/>
        <v>967</v>
      </c>
      <c r="F989" s="95">
        <f ca="1" t="shared" si="74"/>
        <v>0</v>
      </c>
      <c r="G989" s="95">
        <f ca="1" t="shared" si="75"/>
        <v>0</v>
      </c>
      <c r="H989" s="95" cm="1">
        <f ca="1" t="array" ref="H989">MIN(30-SUM(I989:L989),_xlfn.XLOOKUP($D989&amp;"_"&amp;H$52,$B$14:$B$36&amp;"_"&amp;$C$14:$C$36,$D$14:$D$36)*$E989,18)</f>
        <v>14.0399</v>
      </c>
      <c r="I989" s="95" cm="1">
        <f ca="1" t="array" ref="I989">MIN(30-SUM(J989:L989),6-L989,_xlfn.XLOOKUP($D989&amp;"_"&amp;I$52,$B$14:$B$36&amp;"_"&amp;$C$14:$C$36,$D$14:$D$36)*$E989)</f>
        <v>0.923249999999999</v>
      </c>
      <c r="J989" s="95" cm="1">
        <f ca="1" t="array" ref="J989">MIN(8,_xlfn.XLOOKUP($D989&amp;"_"&amp;J$52,$B$14:$B$36&amp;"_"&amp;$C$14:$C$36,$D$14:$D$36)*$E989)</f>
        <v>7.2525</v>
      </c>
      <c r="K989" s="95" cm="1">
        <f ca="1" t="array" ref="K989">MIN(18,_xlfn.XLOOKUP($D989&amp;"_"&amp;K$52,$B$14:$B$36&amp;"_"&amp;$C$14:$C$36,$D$14:$D$36)*$E989)</f>
        <v>2.7076</v>
      </c>
      <c r="L989" s="95" cm="1">
        <f ca="1" t="array" ref="L989">MIN(6,_xlfn.XLOOKUP($D989&amp;"_"&amp;L$52,$B$14:$B$36&amp;"_"&amp;$C$14:$C$36,$D$14:$D$36)*$E989)</f>
        <v>5.07675</v>
      </c>
      <c r="M989" s="95" cm="1">
        <f ca="1" t="array" ref="M989">(1+SUMPRODUCT(G989:H989,OFFSET($H$40:$I$40,D989,0)))*(1+OFFSET($J$40,D989,0))^I989*(1+OFFSET($K$40,D989,0))^J989*(1+OFFSET($L$40,D989,0))^K989*(1+OFFSET($M$40,D989,0))^L989</f>
        <v>235.041262584074</v>
      </c>
      <c r="N989" s="95">
        <f ca="1">MAX(MAX($N$53:N988),OFFSET($C$52,MATCH(M989*1.07,$M$53:$M$2052,1),0)-C989)</f>
        <v>10080</v>
      </c>
    </row>
    <row r="990" spans="2:14">
      <c r="B990" s="95">
        <v>938</v>
      </c>
      <c r="C990" s="95">
        <f t="shared" si="76"/>
        <v>337680</v>
      </c>
      <c r="D990" s="95">
        <f ca="1">_xlfn.XLOOKUP(总览!$B$44,$B$40:$B$45,$C$40:$C$45)</f>
        <v>5</v>
      </c>
      <c r="E990" s="95">
        <f ca="1" t="shared" si="73"/>
        <v>968</v>
      </c>
      <c r="F990" s="95">
        <f ca="1" t="shared" si="74"/>
        <v>0</v>
      </c>
      <c r="G990" s="95">
        <f ca="1" t="shared" si="75"/>
        <v>0</v>
      </c>
      <c r="H990" s="95" cm="1">
        <f ca="1" t="array" ref="H990">MIN(30-SUM(I990:L990),_xlfn.XLOOKUP($D990&amp;"_"&amp;H$52,$B$14:$B$36&amp;"_"&amp;$C$14:$C$36,$D$14:$D$36)*$E990,18)</f>
        <v>14.0296</v>
      </c>
      <c r="I990" s="95" cm="1">
        <f ca="1" t="array" ref="I990">MIN(30-SUM(J990:L990),6-L990,_xlfn.XLOOKUP($D990&amp;"_"&amp;I$52,$B$14:$B$36&amp;"_"&amp;$C$14:$C$36,$D$14:$D$36)*$E990)</f>
        <v>0.917999999999999</v>
      </c>
      <c r="J990" s="95" cm="1">
        <f ca="1" t="array" ref="J990">MIN(8,_xlfn.XLOOKUP($D990&amp;"_"&amp;J$52,$B$14:$B$36&amp;"_"&amp;$C$14:$C$36,$D$14:$D$36)*$E990)</f>
        <v>7.26</v>
      </c>
      <c r="K990" s="95" cm="1">
        <f ca="1" t="array" ref="K990">MIN(18,_xlfn.XLOOKUP($D990&amp;"_"&amp;K$52,$B$14:$B$36&amp;"_"&amp;$C$14:$C$36,$D$14:$D$36)*$E990)</f>
        <v>2.7104</v>
      </c>
      <c r="L990" s="95" cm="1">
        <f ca="1" t="array" ref="L990">MIN(6,_xlfn.XLOOKUP($D990&amp;"_"&amp;L$52,$B$14:$B$36&amp;"_"&amp;$C$14:$C$36,$D$14:$D$36)*$E990)</f>
        <v>5.082</v>
      </c>
      <c r="M990" s="95" cm="1">
        <f ca="1" t="array" ref="M990">(1+SUMPRODUCT(G990:H990,OFFSET($H$40:$I$40,D990,0)))*(1+OFFSET($J$40,D990,0))^I990*(1+OFFSET($K$40,D990,0))^J990*(1+OFFSET($L$40,D990,0))^K990*(1+OFFSET($M$40,D990,0))^L990</f>
        <v>235.591357919209</v>
      </c>
      <c r="N990" s="95">
        <f ca="1">MAX(MAX($N$53:N989),OFFSET($C$52,MATCH(M990*1.07,$M$53:$M$2052,1),0)-C990)</f>
        <v>10080</v>
      </c>
    </row>
    <row r="991" spans="2:14">
      <c r="B991" s="95">
        <v>939</v>
      </c>
      <c r="C991" s="95">
        <f t="shared" si="76"/>
        <v>338040</v>
      </c>
      <c r="D991" s="95">
        <f ca="1">_xlfn.XLOOKUP(总览!$B$44,$B$40:$B$45,$C$40:$C$45)</f>
        <v>5</v>
      </c>
      <c r="E991" s="95">
        <f ca="1" t="shared" si="73"/>
        <v>969</v>
      </c>
      <c r="F991" s="95">
        <f ca="1" t="shared" si="74"/>
        <v>0</v>
      </c>
      <c r="G991" s="95">
        <f ca="1" t="shared" si="75"/>
        <v>0</v>
      </c>
      <c r="H991" s="95" cm="1">
        <f ca="1" t="array" ref="H991">MIN(30-SUM(I991:L991),_xlfn.XLOOKUP($D991&amp;"_"&amp;H$52,$B$14:$B$36&amp;"_"&amp;$C$14:$C$36,$D$14:$D$36)*$E991,18)</f>
        <v>14.0193</v>
      </c>
      <c r="I991" s="95" cm="1">
        <f ca="1" t="array" ref="I991">MIN(30-SUM(J991:L991),6-L991,_xlfn.XLOOKUP($D991&amp;"_"&amp;I$52,$B$14:$B$36&amp;"_"&amp;$C$14:$C$36,$D$14:$D$36)*$E991)</f>
        <v>0.91275</v>
      </c>
      <c r="J991" s="95" cm="1">
        <f ca="1" t="array" ref="J991">MIN(8,_xlfn.XLOOKUP($D991&amp;"_"&amp;J$52,$B$14:$B$36&amp;"_"&amp;$C$14:$C$36,$D$14:$D$36)*$E991)</f>
        <v>7.2675</v>
      </c>
      <c r="K991" s="95" cm="1">
        <f ca="1" t="array" ref="K991">MIN(18,_xlfn.XLOOKUP($D991&amp;"_"&amp;K$52,$B$14:$B$36&amp;"_"&amp;$C$14:$C$36,$D$14:$D$36)*$E991)</f>
        <v>2.7132</v>
      </c>
      <c r="L991" s="95" cm="1">
        <f ca="1" t="array" ref="L991">MIN(6,_xlfn.XLOOKUP($D991&amp;"_"&amp;L$52,$B$14:$B$36&amp;"_"&amp;$C$14:$C$36,$D$14:$D$36)*$E991)</f>
        <v>5.08725</v>
      </c>
      <c r="M991" s="95" cm="1">
        <f ca="1" t="array" ref="M991">(1+SUMPRODUCT(G991:H991,OFFSET($H$40:$I$40,D991,0)))*(1+OFFSET($J$40,D991,0))^I991*(1+OFFSET($K$40,D991,0))^J991*(1+OFFSET($L$40,D991,0))^K991*(1+OFFSET($M$40,D991,0))^L991</f>
        <v>236.142671527156</v>
      </c>
      <c r="N991" s="95">
        <f ca="1">MAX(MAX($N$53:N990),OFFSET($C$52,MATCH(M991*1.07,$M$53:$M$2052,1),0)-C991)</f>
        <v>10440</v>
      </c>
    </row>
    <row r="992" spans="2:14">
      <c r="B992" s="95">
        <v>940</v>
      </c>
      <c r="C992" s="95">
        <f t="shared" si="76"/>
        <v>338400</v>
      </c>
      <c r="D992" s="95">
        <f ca="1">_xlfn.XLOOKUP(总览!$B$44,$B$40:$B$45,$C$40:$C$45)</f>
        <v>5</v>
      </c>
      <c r="E992" s="95">
        <f ca="1" t="shared" si="73"/>
        <v>970</v>
      </c>
      <c r="F992" s="95">
        <f ca="1" t="shared" si="74"/>
        <v>0</v>
      </c>
      <c r="G992" s="95">
        <f ca="1" t="shared" si="75"/>
        <v>0</v>
      </c>
      <c r="H992" s="95" cm="1">
        <f ca="1" t="array" ref="H992">MIN(30-SUM(I992:L992),_xlfn.XLOOKUP($D992&amp;"_"&amp;H$52,$B$14:$B$36&amp;"_"&amp;$C$14:$C$36,$D$14:$D$36)*$E992,18)</f>
        <v>14.009</v>
      </c>
      <c r="I992" s="95" cm="1">
        <f ca="1" t="array" ref="I992">MIN(30-SUM(J992:L992),6-L992,_xlfn.XLOOKUP($D992&amp;"_"&amp;I$52,$B$14:$B$36&amp;"_"&amp;$C$14:$C$36,$D$14:$D$36)*$E992)</f>
        <v>0.9075</v>
      </c>
      <c r="J992" s="95" cm="1">
        <f ca="1" t="array" ref="J992">MIN(8,_xlfn.XLOOKUP($D992&amp;"_"&amp;J$52,$B$14:$B$36&amp;"_"&amp;$C$14:$C$36,$D$14:$D$36)*$E992)</f>
        <v>7.275</v>
      </c>
      <c r="K992" s="95" cm="1">
        <f ca="1" t="array" ref="K992">MIN(18,_xlfn.XLOOKUP($D992&amp;"_"&amp;K$52,$B$14:$B$36&amp;"_"&amp;$C$14:$C$36,$D$14:$D$36)*$E992)</f>
        <v>2.716</v>
      </c>
      <c r="L992" s="95" cm="1">
        <f ca="1" t="array" ref="L992">MIN(6,_xlfn.XLOOKUP($D992&amp;"_"&amp;L$52,$B$14:$B$36&amp;"_"&amp;$C$14:$C$36,$D$14:$D$36)*$E992)</f>
        <v>5.0925</v>
      </c>
      <c r="M992" s="95" cm="1">
        <f ca="1" t="array" ref="M992">(1+SUMPRODUCT(G992:H992,OFFSET($H$40:$I$40,D992,0)))*(1+OFFSET($J$40,D992,0))^I992*(1+OFFSET($K$40,D992,0))^J992*(1+OFFSET($L$40,D992,0))^K992*(1+OFFSET($M$40,D992,0))^L992</f>
        <v>236.695205860292</v>
      </c>
      <c r="N992" s="95">
        <f ca="1">MAX(MAX($N$53:N991),OFFSET($C$52,MATCH(M992*1.07,$M$53:$M$2052,1),0)-C992)</f>
        <v>10440</v>
      </c>
    </row>
    <row r="993" spans="2:14">
      <c r="B993" s="95">
        <v>941</v>
      </c>
      <c r="C993" s="95">
        <f t="shared" si="76"/>
        <v>338760</v>
      </c>
      <c r="D993" s="95">
        <f ca="1">_xlfn.XLOOKUP(总览!$B$44,$B$40:$B$45,$C$40:$C$45)</f>
        <v>5</v>
      </c>
      <c r="E993" s="95">
        <f ca="1" t="shared" si="73"/>
        <v>971</v>
      </c>
      <c r="F993" s="95">
        <f ca="1" t="shared" si="74"/>
        <v>0</v>
      </c>
      <c r="G993" s="95">
        <f ca="1" t="shared" si="75"/>
        <v>0</v>
      </c>
      <c r="H993" s="95" cm="1">
        <f ca="1" t="array" ref="H993">MIN(30-SUM(I993:L993),_xlfn.XLOOKUP($D993&amp;"_"&amp;H$52,$B$14:$B$36&amp;"_"&amp;$C$14:$C$36,$D$14:$D$36)*$E993,18)</f>
        <v>13.9987</v>
      </c>
      <c r="I993" s="95" cm="1">
        <f ca="1" t="array" ref="I993">MIN(30-SUM(J993:L993),6-L993,_xlfn.XLOOKUP($D993&amp;"_"&amp;I$52,$B$14:$B$36&amp;"_"&amp;$C$14:$C$36,$D$14:$D$36)*$E993)</f>
        <v>0.90225</v>
      </c>
      <c r="J993" s="95" cm="1">
        <f ca="1" t="array" ref="J993">MIN(8,_xlfn.XLOOKUP($D993&amp;"_"&amp;J$52,$B$14:$B$36&amp;"_"&amp;$C$14:$C$36,$D$14:$D$36)*$E993)</f>
        <v>7.2825</v>
      </c>
      <c r="K993" s="95" cm="1">
        <f ca="1" t="array" ref="K993">MIN(18,_xlfn.XLOOKUP($D993&amp;"_"&amp;K$52,$B$14:$B$36&amp;"_"&amp;$C$14:$C$36,$D$14:$D$36)*$E993)</f>
        <v>2.7188</v>
      </c>
      <c r="L993" s="95" cm="1">
        <f ca="1" t="array" ref="L993">MIN(6,_xlfn.XLOOKUP($D993&amp;"_"&amp;L$52,$B$14:$B$36&amp;"_"&amp;$C$14:$C$36,$D$14:$D$36)*$E993)</f>
        <v>5.09775</v>
      </c>
      <c r="M993" s="95" cm="1">
        <f ca="1" t="array" ref="M993">(1+SUMPRODUCT(G993:H993,OFFSET($H$40:$I$40,D993,0)))*(1+OFFSET($J$40,D993,0))^I993*(1+OFFSET($K$40,D993,0))^J993*(1+OFFSET($L$40,D993,0))^K993*(1+OFFSET($M$40,D993,0))^L993</f>
        <v>237.248963375008</v>
      </c>
      <c r="N993" s="95">
        <f ca="1">MAX(MAX($N$53:N992),OFFSET($C$52,MATCH(M993*1.07,$M$53:$M$2052,1),0)-C993)</f>
        <v>10440</v>
      </c>
    </row>
    <row r="994" spans="2:14">
      <c r="B994" s="95">
        <v>942</v>
      </c>
      <c r="C994" s="95">
        <f t="shared" si="76"/>
        <v>339120</v>
      </c>
      <c r="D994" s="95">
        <f ca="1">_xlfn.XLOOKUP(总览!$B$44,$B$40:$B$45,$C$40:$C$45)</f>
        <v>5</v>
      </c>
      <c r="E994" s="95">
        <f ca="1" t="shared" si="73"/>
        <v>972</v>
      </c>
      <c r="F994" s="95">
        <f ca="1" t="shared" si="74"/>
        <v>0</v>
      </c>
      <c r="G994" s="95">
        <f ca="1" t="shared" si="75"/>
        <v>0</v>
      </c>
      <c r="H994" s="95" cm="1">
        <f ca="1" t="array" ref="H994">MIN(30-SUM(I994:L994),_xlfn.XLOOKUP($D994&amp;"_"&amp;H$52,$B$14:$B$36&amp;"_"&amp;$C$14:$C$36,$D$14:$D$36)*$E994,18)</f>
        <v>13.9884</v>
      </c>
      <c r="I994" s="95" cm="1">
        <f ca="1" t="array" ref="I994">MIN(30-SUM(J994:L994),6-L994,_xlfn.XLOOKUP($D994&amp;"_"&amp;I$52,$B$14:$B$36&amp;"_"&amp;$C$14:$C$36,$D$14:$D$36)*$E994)</f>
        <v>0.896999999999999</v>
      </c>
      <c r="J994" s="95" cm="1">
        <f ca="1" t="array" ref="J994">MIN(8,_xlfn.XLOOKUP($D994&amp;"_"&amp;J$52,$B$14:$B$36&amp;"_"&amp;$C$14:$C$36,$D$14:$D$36)*$E994)</f>
        <v>7.29</v>
      </c>
      <c r="K994" s="95" cm="1">
        <f ca="1" t="array" ref="K994">MIN(18,_xlfn.XLOOKUP($D994&amp;"_"&amp;K$52,$B$14:$B$36&amp;"_"&amp;$C$14:$C$36,$D$14:$D$36)*$E994)</f>
        <v>2.7216</v>
      </c>
      <c r="L994" s="95" cm="1">
        <f ca="1" t="array" ref="L994">MIN(6,_xlfn.XLOOKUP($D994&amp;"_"&amp;L$52,$B$14:$B$36&amp;"_"&amp;$C$14:$C$36,$D$14:$D$36)*$E994)</f>
        <v>5.103</v>
      </c>
      <c r="M994" s="95" cm="1">
        <f ca="1" t="array" ref="M994">(1+SUMPRODUCT(G994:H994,OFFSET($H$40:$I$40,D994,0)))*(1+OFFSET($J$40,D994,0))^I994*(1+OFFSET($K$40,D994,0))^J994*(1+OFFSET($L$40,D994,0))^K994*(1+OFFSET($M$40,D994,0))^L994</f>
        <v>237.803946531713</v>
      </c>
      <c r="N994" s="95">
        <f ca="1">MAX(MAX($N$53:N993),OFFSET($C$52,MATCH(M994*1.07,$M$53:$M$2052,1),0)-C994)</f>
        <v>10440</v>
      </c>
    </row>
    <row r="995" spans="2:14">
      <c r="B995" s="95">
        <v>943</v>
      </c>
      <c r="C995" s="95">
        <f t="shared" si="76"/>
        <v>339480</v>
      </c>
      <c r="D995" s="95">
        <f ca="1">_xlfn.XLOOKUP(总览!$B$44,$B$40:$B$45,$C$40:$C$45)</f>
        <v>5</v>
      </c>
      <c r="E995" s="95">
        <f ca="1" t="shared" si="73"/>
        <v>973</v>
      </c>
      <c r="F995" s="95">
        <f ca="1" t="shared" si="74"/>
        <v>0</v>
      </c>
      <c r="G995" s="95">
        <f ca="1" t="shared" si="75"/>
        <v>0</v>
      </c>
      <c r="H995" s="95" cm="1">
        <f ca="1" t="array" ref="H995">MIN(30-SUM(I995:L995),_xlfn.XLOOKUP($D995&amp;"_"&amp;H$52,$B$14:$B$36&amp;"_"&amp;$C$14:$C$36,$D$14:$D$36)*$E995,18)</f>
        <v>13.9781</v>
      </c>
      <c r="I995" s="95" cm="1">
        <f ca="1" t="array" ref="I995">MIN(30-SUM(J995:L995),6-L995,_xlfn.XLOOKUP($D995&amp;"_"&amp;I$52,$B$14:$B$36&amp;"_"&amp;$C$14:$C$36,$D$14:$D$36)*$E995)</f>
        <v>0.89175</v>
      </c>
      <c r="J995" s="95" cm="1">
        <f ca="1" t="array" ref="J995">MIN(8,_xlfn.XLOOKUP($D995&amp;"_"&amp;J$52,$B$14:$B$36&amp;"_"&amp;$C$14:$C$36,$D$14:$D$36)*$E995)</f>
        <v>7.2975</v>
      </c>
      <c r="K995" s="95" cm="1">
        <f ca="1" t="array" ref="K995">MIN(18,_xlfn.XLOOKUP($D995&amp;"_"&amp;K$52,$B$14:$B$36&amp;"_"&amp;$C$14:$C$36,$D$14:$D$36)*$E995)</f>
        <v>2.7244</v>
      </c>
      <c r="L995" s="95" cm="1">
        <f ca="1" t="array" ref="L995">MIN(6,_xlfn.XLOOKUP($D995&amp;"_"&amp;L$52,$B$14:$B$36&amp;"_"&amp;$C$14:$C$36,$D$14:$D$36)*$E995)</f>
        <v>5.10825</v>
      </c>
      <c r="M995" s="95" cm="1">
        <f ca="1" t="array" ref="M995">(1+SUMPRODUCT(G995:H995,OFFSET($H$40:$I$40,D995,0)))*(1+OFFSET($J$40,D995,0))^I995*(1+OFFSET($K$40,D995,0))^J995*(1+OFFSET($L$40,D995,0))^K995*(1+OFFSET($M$40,D995,0))^L995</f>
        <v>238.360157794837</v>
      </c>
      <c r="N995" s="95">
        <f ca="1">MAX(MAX($N$53:N994),OFFSET($C$52,MATCH(M995*1.07,$M$53:$M$2052,1),0)-C995)</f>
        <v>10440</v>
      </c>
    </row>
    <row r="996" spans="2:14">
      <c r="B996" s="95">
        <v>944</v>
      </c>
      <c r="C996" s="95">
        <f t="shared" si="76"/>
        <v>339840</v>
      </c>
      <c r="D996" s="95">
        <f ca="1">_xlfn.XLOOKUP(总览!$B$44,$B$40:$B$45,$C$40:$C$45)</f>
        <v>5</v>
      </c>
      <c r="E996" s="95">
        <f ca="1" t="shared" si="73"/>
        <v>974</v>
      </c>
      <c r="F996" s="95">
        <f ca="1" t="shared" si="74"/>
        <v>0</v>
      </c>
      <c r="G996" s="95">
        <f ca="1" t="shared" si="75"/>
        <v>0</v>
      </c>
      <c r="H996" s="95" cm="1">
        <f ca="1" t="array" ref="H996">MIN(30-SUM(I996:L996),_xlfn.XLOOKUP($D996&amp;"_"&amp;H$52,$B$14:$B$36&amp;"_"&amp;$C$14:$C$36,$D$14:$D$36)*$E996,18)</f>
        <v>13.9678</v>
      </c>
      <c r="I996" s="95" cm="1">
        <f ca="1" t="array" ref="I996">MIN(30-SUM(J996:L996),6-L996,_xlfn.XLOOKUP($D996&amp;"_"&amp;I$52,$B$14:$B$36&amp;"_"&amp;$C$14:$C$36,$D$14:$D$36)*$E996)</f>
        <v>0.8865</v>
      </c>
      <c r="J996" s="95" cm="1">
        <f ca="1" t="array" ref="J996">MIN(8,_xlfn.XLOOKUP($D996&amp;"_"&amp;J$52,$B$14:$B$36&amp;"_"&amp;$C$14:$C$36,$D$14:$D$36)*$E996)</f>
        <v>7.305</v>
      </c>
      <c r="K996" s="95" cm="1">
        <f ca="1" t="array" ref="K996">MIN(18,_xlfn.XLOOKUP($D996&amp;"_"&amp;K$52,$B$14:$B$36&amp;"_"&amp;$C$14:$C$36,$D$14:$D$36)*$E996)</f>
        <v>2.7272</v>
      </c>
      <c r="L996" s="95" cm="1">
        <f ca="1" t="array" ref="L996">MIN(6,_xlfn.XLOOKUP($D996&amp;"_"&amp;L$52,$B$14:$B$36&amp;"_"&amp;$C$14:$C$36,$D$14:$D$36)*$E996)</f>
        <v>5.1135</v>
      </c>
      <c r="M996" s="95" cm="1">
        <f ca="1" t="array" ref="M996">(1+SUMPRODUCT(G996:H996,OFFSET($H$40:$I$40,D996,0)))*(1+OFFSET($J$40,D996,0))^I996*(1+OFFSET($K$40,D996,0))^J996*(1+OFFSET($L$40,D996,0))^K996*(1+OFFSET($M$40,D996,0))^L996</f>
        <v>238.917599632832</v>
      </c>
      <c r="N996" s="95">
        <f ca="1">MAX(MAX($N$53:N995),OFFSET($C$52,MATCH(M996*1.07,$M$53:$M$2052,1),0)-C996)</f>
        <v>10440</v>
      </c>
    </row>
    <row r="997" spans="2:14">
      <c r="B997" s="95">
        <v>945</v>
      </c>
      <c r="C997" s="95">
        <f t="shared" si="76"/>
        <v>340200</v>
      </c>
      <c r="D997" s="95">
        <f ca="1">_xlfn.XLOOKUP(总览!$B$44,$B$40:$B$45,$C$40:$C$45)</f>
        <v>5</v>
      </c>
      <c r="E997" s="95">
        <f ca="1" t="shared" si="73"/>
        <v>975</v>
      </c>
      <c r="F997" s="95">
        <f ca="1" t="shared" si="74"/>
        <v>0</v>
      </c>
      <c r="G997" s="95">
        <f ca="1" t="shared" si="75"/>
        <v>0</v>
      </c>
      <c r="H997" s="95" cm="1">
        <f ca="1" t="array" ref="H997">MIN(30-SUM(I997:L997),_xlfn.XLOOKUP($D997&amp;"_"&amp;H$52,$B$14:$B$36&amp;"_"&amp;$C$14:$C$36,$D$14:$D$36)*$E997,18)</f>
        <v>13.9575</v>
      </c>
      <c r="I997" s="95" cm="1">
        <f ca="1" t="array" ref="I997">MIN(30-SUM(J997:L997),6-L997,_xlfn.XLOOKUP($D997&amp;"_"&amp;I$52,$B$14:$B$36&amp;"_"&amp;$C$14:$C$36,$D$14:$D$36)*$E997)</f>
        <v>0.88125</v>
      </c>
      <c r="J997" s="95" cm="1">
        <f ca="1" t="array" ref="J997">MIN(8,_xlfn.XLOOKUP($D997&amp;"_"&amp;J$52,$B$14:$B$36&amp;"_"&amp;$C$14:$C$36,$D$14:$D$36)*$E997)</f>
        <v>7.3125</v>
      </c>
      <c r="K997" s="95" cm="1">
        <f ca="1" t="array" ref="K997">MIN(18,_xlfn.XLOOKUP($D997&amp;"_"&amp;K$52,$B$14:$B$36&amp;"_"&amp;$C$14:$C$36,$D$14:$D$36)*$E997)</f>
        <v>2.73</v>
      </c>
      <c r="L997" s="95" cm="1">
        <f ca="1" t="array" ref="L997">MIN(6,_xlfn.XLOOKUP($D997&amp;"_"&amp;L$52,$B$14:$B$36&amp;"_"&amp;$C$14:$C$36,$D$14:$D$36)*$E997)</f>
        <v>5.11875</v>
      </c>
      <c r="M997" s="95" cm="1">
        <f ca="1" t="array" ref="M997">(1+SUMPRODUCT(G997:H997,OFFSET($H$40:$I$40,D997,0)))*(1+OFFSET($J$40,D997,0))^I997*(1+OFFSET($K$40,D997,0))^J997*(1+OFFSET($L$40,D997,0))^K997*(1+OFFSET($M$40,D997,0))^L997</f>
        <v>239.476274518175</v>
      </c>
      <c r="N997" s="95">
        <f ca="1">MAX(MAX($N$53:N996),OFFSET($C$52,MATCH(M997*1.07,$M$53:$M$2052,1),0)-C997)</f>
        <v>10440</v>
      </c>
    </row>
    <row r="998" spans="2:14">
      <c r="B998" s="95">
        <v>946</v>
      </c>
      <c r="C998" s="95">
        <f t="shared" si="76"/>
        <v>340560</v>
      </c>
      <c r="D998" s="95">
        <f ca="1">_xlfn.XLOOKUP(总览!$B$44,$B$40:$B$45,$C$40:$C$45)</f>
        <v>5</v>
      </c>
      <c r="E998" s="95">
        <f ca="1" t="shared" si="73"/>
        <v>976</v>
      </c>
      <c r="F998" s="95">
        <f ca="1" t="shared" si="74"/>
        <v>0</v>
      </c>
      <c r="G998" s="95">
        <f ca="1" t="shared" si="75"/>
        <v>0</v>
      </c>
      <c r="H998" s="95" cm="1">
        <f ca="1" t="array" ref="H998">MIN(30-SUM(I998:L998),_xlfn.XLOOKUP($D998&amp;"_"&amp;H$52,$B$14:$B$36&amp;"_"&amp;$C$14:$C$36,$D$14:$D$36)*$E998,18)</f>
        <v>13.9472</v>
      </c>
      <c r="I998" s="95" cm="1">
        <f ca="1" t="array" ref="I998">MIN(30-SUM(J998:L998),6-L998,_xlfn.XLOOKUP($D998&amp;"_"&amp;I$52,$B$14:$B$36&amp;"_"&amp;$C$14:$C$36,$D$14:$D$36)*$E998)</f>
        <v>0.875999999999999</v>
      </c>
      <c r="J998" s="95" cm="1">
        <f ca="1" t="array" ref="J998">MIN(8,_xlfn.XLOOKUP($D998&amp;"_"&amp;J$52,$B$14:$B$36&amp;"_"&amp;$C$14:$C$36,$D$14:$D$36)*$E998)</f>
        <v>7.32</v>
      </c>
      <c r="K998" s="95" cm="1">
        <f ca="1" t="array" ref="K998">MIN(18,_xlfn.XLOOKUP($D998&amp;"_"&amp;K$52,$B$14:$B$36&amp;"_"&amp;$C$14:$C$36,$D$14:$D$36)*$E998)</f>
        <v>2.7328</v>
      </c>
      <c r="L998" s="95" cm="1">
        <f ca="1" t="array" ref="L998">MIN(6,_xlfn.XLOOKUP($D998&amp;"_"&amp;L$52,$B$14:$B$36&amp;"_"&amp;$C$14:$C$36,$D$14:$D$36)*$E998)</f>
        <v>5.124</v>
      </c>
      <c r="M998" s="95" cm="1">
        <f ca="1" t="array" ref="M998">(1+SUMPRODUCT(G998:H998,OFFSET($H$40:$I$40,D998,0)))*(1+OFFSET($J$40,D998,0))^I998*(1+OFFSET($K$40,D998,0))^J998*(1+OFFSET($L$40,D998,0))^K998*(1+OFFSET($M$40,D998,0))^L998</f>
        <v>240.036184927373</v>
      </c>
      <c r="N998" s="95">
        <f ca="1">MAX(MAX($N$53:N997),OFFSET($C$52,MATCH(M998*1.07,$M$53:$M$2052,1),0)-C998)</f>
        <v>10440</v>
      </c>
    </row>
    <row r="999" spans="2:14">
      <c r="B999" s="95">
        <v>947</v>
      </c>
      <c r="C999" s="95">
        <f t="shared" ref="C999:C1016" si="77">C998+360</f>
        <v>340920</v>
      </c>
      <c r="D999" s="95">
        <f ca="1">_xlfn.XLOOKUP(总览!$B$44,$B$40:$B$45,$C$40:$C$45)</f>
        <v>5</v>
      </c>
      <c r="E999" s="95">
        <f ca="1" t="shared" si="73"/>
        <v>977</v>
      </c>
      <c r="F999" s="95">
        <f ca="1" t="shared" si="74"/>
        <v>0</v>
      </c>
      <c r="G999" s="95">
        <f ca="1" t="shared" si="75"/>
        <v>0</v>
      </c>
      <c r="H999" s="95" cm="1">
        <f ca="1" t="array" ref="H999">MIN(30-SUM(I999:L999),_xlfn.XLOOKUP($D999&amp;"_"&amp;H$52,$B$14:$B$36&amp;"_"&amp;$C$14:$C$36,$D$14:$D$36)*$E999,18)</f>
        <v>13.9369</v>
      </c>
      <c r="I999" s="95" cm="1">
        <f ca="1" t="array" ref="I999">MIN(30-SUM(J999:L999),6-L999,_xlfn.XLOOKUP($D999&amp;"_"&amp;I$52,$B$14:$B$36&amp;"_"&amp;$C$14:$C$36,$D$14:$D$36)*$E999)</f>
        <v>0.870749999999999</v>
      </c>
      <c r="J999" s="95" cm="1">
        <f ca="1" t="array" ref="J999">MIN(8,_xlfn.XLOOKUP($D999&amp;"_"&amp;J$52,$B$14:$B$36&amp;"_"&amp;$C$14:$C$36,$D$14:$D$36)*$E999)</f>
        <v>7.3275</v>
      </c>
      <c r="K999" s="95" cm="1">
        <f ca="1" t="array" ref="K999">MIN(18,_xlfn.XLOOKUP($D999&amp;"_"&amp;K$52,$B$14:$B$36&amp;"_"&amp;$C$14:$C$36,$D$14:$D$36)*$E999)</f>
        <v>2.7356</v>
      </c>
      <c r="L999" s="95" cm="1">
        <f ca="1" t="array" ref="L999">MIN(6,_xlfn.XLOOKUP($D999&amp;"_"&amp;L$52,$B$14:$B$36&amp;"_"&amp;$C$14:$C$36,$D$14:$D$36)*$E999)</f>
        <v>5.12925</v>
      </c>
      <c r="M999" s="95" cm="1">
        <f ca="1" t="array" ref="M999">(1+SUMPRODUCT(G999:H999,OFFSET($H$40:$I$40,D999,0)))*(1+OFFSET($J$40,D999,0))^I999*(1+OFFSET($K$40,D999,0))^J999*(1+OFFSET($L$40,D999,0))^K999*(1+OFFSET($M$40,D999,0))^L999</f>
        <v>240.597333340961</v>
      </c>
      <c r="N999" s="95">
        <f ca="1">MAX(MAX($N$53:N998),OFFSET($C$52,MATCH(M999*1.07,$M$53:$M$2052,1),0)-C999)</f>
        <v>10440</v>
      </c>
    </row>
    <row r="1000" spans="2:14">
      <c r="B1000" s="95">
        <v>948</v>
      </c>
      <c r="C1000" s="95">
        <f t="shared" si="77"/>
        <v>341280</v>
      </c>
      <c r="D1000" s="95">
        <f ca="1">_xlfn.XLOOKUP(总览!$B$44,$B$40:$B$45,$C$40:$C$45)</f>
        <v>5</v>
      </c>
      <c r="E1000" s="95">
        <f ca="1" t="shared" si="73"/>
        <v>978</v>
      </c>
      <c r="F1000" s="95">
        <f ca="1" t="shared" si="74"/>
        <v>0</v>
      </c>
      <c r="G1000" s="95">
        <f ca="1" t="shared" si="75"/>
        <v>0</v>
      </c>
      <c r="H1000" s="95" cm="1">
        <f ca="1" t="array" ref="H1000">MIN(30-SUM(I1000:L1000),_xlfn.XLOOKUP($D1000&amp;"_"&amp;H$52,$B$14:$B$36&amp;"_"&amp;$C$14:$C$36,$D$14:$D$36)*$E1000,18)</f>
        <v>13.9266</v>
      </c>
      <c r="I1000" s="95" cm="1">
        <f ca="1" t="array" ref="I1000">MIN(30-SUM(J1000:L1000),6-L1000,_xlfn.XLOOKUP($D1000&amp;"_"&amp;I$52,$B$14:$B$36&amp;"_"&amp;$C$14:$C$36,$D$14:$D$36)*$E1000)</f>
        <v>0.8655</v>
      </c>
      <c r="J1000" s="95" cm="1">
        <f ca="1" t="array" ref="J1000">MIN(8,_xlfn.XLOOKUP($D1000&amp;"_"&amp;J$52,$B$14:$B$36&amp;"_"&amp;$C$14:$C$36,$D$14:$D$36)*$E1000)</f>
        <v>7.335</v>
      </c>
      <c r="K1000" s="95" cm="1">
        <f ca="1" t="array" ref="K1000">MIN(18,_xlfn.XLOOKUP($D1000&amp;"_"&amp;K$52,$B$14:$B$36&amp;"_"&amp;$C$14:$C$36,$D$14:$D$36)*$E1000)</f>
        <v>2.7384</v>
      </c>
      <c r="L1000" s="95" cm="1">
        <f ca="1" t="array" ref="L1000">MIN(6,_xlfn.XLOOKUP($D1000&amp;"_"&amp;L$52,$B$14:$B$36&amp;"_"&amp;$C$14:$C$36,$D$14:$D$36)*$E1000)</f>
        <v>5.1345</v>
      </c>
      <c r="M1000" s="95" cm="1">
        <f ca="1" t="array" ref="M1000">(1+SUMPRODUCT(G1000:H1000,OFFSET($H$40:$I$40,D1000,0)))*(1+OFFSET($J$40,D1000,0))^I1000*(1+OFFSET($K$40,D1000,0))^J1000*(1+OFFSET($L$40,D1000,0))^K1000*(1+OFFSET($M$40,D1000,0))^L1000</f>
        <v>241.159722243512</v>
      </c>
      <c r="N1000" s="95">
        <f ca="1">MAX(MAX($N$53:N999),OFFSET($C$52,MATCH(M1000*1.07,$M$53:$M$2052,1),0)-C1000)</f>
        <v>10440</v>
      </c>
    </row>
    <row r="1001" spans="2:14">
      <c r="B1001" s="95">
        <v>949</v>
      </c>
      <c r="C1001" s="95">
        <f t="shared" si="77"/>
        <v>341640</v>
      </c>
      <c r="D1001" s="95">
        <f ca="1">_xlfn.XLOOKUP(总览!$B$44,$B$40:$B$45,$C$40:$C$45)</f>
        <v>5</v>
      </c>
      <c r="E1001" s="95">
        <f ca="1" t="shared" si="73"/>
        <v>979</v>
      </c>
      <c r="F1001" s="95">
        <f ca="1" t="shared" si="74"/>
        <v>0</v>
      </c>
      <c r="G1001" s="95">
        <f ca="1" t="shared" si="75"/>
        <v>0</v>
      </c>
      <c r="H1001" s="95" cm="1">
        <f ca="1" t="array" ref="H1001">MIN(30-SUM(I1001:L1001),_xlfn.XLOOKUP($D1001&amp;"_"&amp;H$52,$B$14:$B$36&amp;"_"&amp;$C$14:$C$36,$D$14:$D$36)*$E1001,18)</f>
        <v>13.9163</v>
      </c>
      <c r="I1001" s="95" cm="1">
        <f ca="1" t="array" ref="I1001">MIN(30-SUM(J1001:L1001),6-L1001,_xlfn.XLOOKUP($D1001&amp;"_"&amp;I$52,$B$14:$B$36&amp;"_"&amp;$C$14:$C$36,$D$14:$D$36)*$E1001)</f>
        <v>0.86025</v>
      </c>
      <c r="J1001" s="95" cm="1">
        <f ca="1" t="array" ref="J1001">MIN(8,_xlfn.XLOOKUP($D1001&amp;"_"&amp;J$52,$B$14:$B$36&amp;"_"&amp;$C$14:$C$36,$D$14:$D$36)*$E1001)</f>
        <v>7.3425</v>
      </c>
      <c r="K1001" s="95" cm="1">
        <f ca="1" t="array" ref="K1001">MIN(18,_xlfn.XLOOKUP($D1001&amp;"_"&amp;K$52,$B$14:$B$36&amp;"_"&amp;$C$14:$C$36,$D$14:$D$36)*$E1001)</f>
        <v>2.7412</v>
      </c>
      <c r="L1001" s="95" cm="1">
        <f ca="1" t="array" ref="L1001">MIN(6,_xlfn.XLOOKUP($D1001&amp;"_"&amp;L$52,$B$14:$B$36&amp;"_"&amp;$C$14:$C$36,$D$14:$D$36)*$E1001)</f>
        <v>5.13975</v>
      </c>
      <c r="M1001" s="95" cm="1">
        <f ca="1" t="array" ref="M1001">(1+SUMPRODUCT(G1001:H1001,OFFSET($H$40:$I$40,D1001,0)))*(1+OFFSET($J$40,D1001,0))^I1001*(1+OFFSET($K$40,D1001,0))^J1001*(1+OFFSET($L$40,D1001,0))^K1001*(1+OFFSET($M$40,D1001,0))^L1001</f>
        <v>241.72335412363</v>
      </c>
      <c r="N1001" s="95">
        <f ca="1">MAX(MAX($N$53:N1000),OFFSET($C$52,MATCH(M1001*1.07,$M$53:$M$2052,1),0)-C1001)</f>
        <v>10440</v>
      </c>
    </row>
    <row r="1002" spans="2:14">
      <c r="B1002" s="95">
        <v>950</v>
      </c>
      <c r="C1002" s="95">
        <f t="shared" si="77"/>
        <v>342000</v>
      </c>
      <c r="D1002" s="95">
        <f ca="1">_xlfn.XLOOKUP(总览!$B$44,$B$40:$B$45,$C$40:$C$45)</f>
        <v>5</v>
      </c>
      <c r="E1002" s="95">
        <f ca="1" t="shared" si="73"/>
        <v>980</v>
      </c>
      <c r="F1002" s="95">
        <f ca="1" t="shared" si="74"/>
        <v>0</v>
      </c>
      <c r="G1002" s="95">
        <f ca="1" t="shared" si="75"/>
        <v>0</v>
      </c>
      <c r="H1002" s="95" cm="1">
        <f ca="1" t="array" ref="H1002">MIN(30-SUM(I1002:L1002),_xlfn.XLOOKUP($D1002&amp;"_"&amp;H$52,$B$14:$B$36&amp;"_"&amp;$C$14:$C$36,$D$14:$D$36)*$E1002,18)</f>
        <v>13.906</v>
      </c>
      <c r="I1002" s="95" cm="1">
        <f ca="1" t="array" ref="I1002">MIN(30-SUM(J1002:L1002),6-L1002,_xlfn.XLOOKUP($D1002&amp;"_"&amp;I$52,$B$14:$B$36&amp;"_"&amp;$C$14:$C$36,$D$14:$D$36)*$E1002)</f>
        <v>0.855</v>
      </c>
      <c r="J1002" s="95" cm="1">
        <f ca="1" t="array" ref="J1002">MIN(8,_xlfn.XLOOKUP($D1002&amp;"_"&amp;J$52,$B$14:$B$36&amp;"_"&amp;$C$14:$C$36,$D$14:$D$36)*$E1002)</f>
        <v>7.35</v>
      </c>
      <c r="K1002" s="95" cm="1">
        <f ca="1" t="array" ref="K1002">MIN(18,_xlfn.XLOOKUP($D1002&amp;"_"&amp;K$52,$B$14:$B$36&amp;"_"&amp;$C$14:$C$36,$D$14:$D$36)*$E1002)</f>
        <v>2.744</v>
      </c>
      <c r="L1002" s="95" cm="1">
        <f ca="1" t="array" ref="L1002">MIN(6,_xlfn.XLOOKUP($D1002&amp;"_"&amp;L$52,$B$14:$B$36&amp;"_"&amp;$C$14:$C$36,$D$14:$D$36)*$E1002)</f>
        <v>5.145</v>
      </c>
      <c r="M1002" s="95" cm="1">
        <f ca="1" t="array" ref="M1002">(1+SUMPRODUCT(G1002:H1002,OFFSET($H$40:$I$40,D1002,0)))*(1+OFFSET($J$40,D1002,0))^I1002*(1+OFFSET($K$40,D1002,0))^J1002*(1+OFFSET($L$40,D1002,0))^K1002*(1+OFFSET($M$40,D1002,0))^L1002</f>
        <v>242.288231473963</v>
      </c>
      <c r="N1002" s="95">
        <f ca="1">MAX(MAX($N$53:N1001),OFFSET($C$52,MATCH(M1002*1.07,$M$53:$M$2052,1),0)-C1002)</f>
        <v>10440</v>
      </c>
    </row>
    <row r="1003" spans="2:14">
      <c r="B1003" s="95">
        <v>951</v>
      </c>
      <c r="C1003" s="95">
        <f t="shared" si="77"/>
        <v>342360</v>
      </c>
      <c r="D1003" s="95">
        <f ca="1">_xlfn.XLOOKUP(总览!$B$44,$B$40:$B$45,$C$40:$C$45)</f>
        <v>5</v>
      </c>
      <c r="E1003" s="95">
        <f ca="1" t="shared" si="73"/>
        <v>981</v>
      </c>
      <c r="F1003" s="95">
        <f ca="1" t="shared" si="74"/>
        <v>0</v>
      </c>
      <c r="G1003" s="95">
        <f ca="1" t="shared" si="75"/>
        <v>0</v>
      </c>
      <c r="H1003" s="95" cm="1">
        <f ca="1" t="array" ref="H1003">MIN(30-SUM(I1003:L1003),_xlfn.XLOOKUP($D1003&amp;"_"&amp;H$52,$B$14:$B$36&amp;"_"&amp;$C$14:$C$36,$D$14:$D$36)*$E1003,18)</f>
        <v>13.8957</v>
      </c>
      <c r="I1003" s="95" cm="1">
        <f ca="1" t="array" ref="I1003">MIN(30-SUM(J1003:L1003),6-L1003,_xlfn.XLOOKUP($D1003&amp;"_"&amp;I$52,$B$14:$B$36&amp;"_"&amp;$C$14:$C$36,$D$14:$D$36)*$E1003)</f>
        <v>0.849749999999999</v>
      </c>
      <c r="J1003" s="95" cm="1">
        <f ca="1" t="array" ref="J1003">MIN(8,_xlfn.XLOOKUP($D1003&amp;"_"&amp;J$52,$B$14:$B$36&amp;"_"&amp;$C$14:$C$36,$D$14:$D$36)*$E1003)</f>
        <v>7.3575</v>
      </c>
      <c r="K1003" s="95" cm="1">
        <f ca="1" t="array" ref="K1003">MIN(18,_xlfn.XLOOKUP($D1003&amp;"_"&amp;K$52,$B$14:$B$36&amp;"_"&amp;$C$14:$C$36,$D$14:$D$36)*$E1003)</f>
        <v>2.7468</v>
      </c>
      <c r="L1003" s="95" cm="1">
        <f ca="1" t="array" ref="L1003">MIN(6,_xlfn.XLOOKUP($D1003&amp;"_"&amp;L$52,$B$14:$B$36&amp;"_"&amp;$C$14:$C$36,$D$14:$D$36)*$E1003)</f>
        <v>5.15025</v>
      </c>
      <c r="M1003" s="95" cm="1">
        <f ca="1" t="array" ref="M1003">(1+SUMPRODUCT(G1003:H1003,OFFSET($H$40:$I$40,D1003,0)))*(1+OFFSET($J$40,D1003,0))^I1003*(1+OFFSET($K$40,D1003,0))^J1003*(1+OFFSET($L$40,D1003,0))^K1003*(1+OFFSET($M$40,D1003,0))^L1003</f>
        <v>242.854356791196</v>
      </c>
      <c r="N1003" s="95">
        <f ca="1">MAX(MAX($N$53:N1002),OFFSET($C$52,MATCH(M1003*1.07,$M$53:$M$2052,1),0)-C1003)</f>
        <v>10440</v>
      </c>
    </row>
    <row r="1004" spans="2:14">
      <c r="B1004" s="95">
        <v>952</v>
      </c>
      <c r="C1004" s="95">
        <f t="shared" si="77"/>
        <v>342720</v>
      </c>
      <c r="D1004" s="95">
        <f ca="1">_xlfn.XLOOKUP(总览!$B$44,$B$40:$B$45,$C$40:$C$45)</f>
        <v>5</v>
      </c>
      <c r="E1004" s="95">
        <f ca="1" t="shared" si="73"/>
        <v>982</v>
      </c>
      <c r="F1004" s="95">
        <f ca="1" t="shared" si="74"/>
        <v>0</v>
      </c>
      <c r="G1004" s="95">
        <f ca="1" t="shared" si="75"/>
        <v>0</v>
      </c>
      <c r="H1004" s="95" cm="1">
        <f ca="1" t="array" ref="H1004">MIN(30-SUM(I1004:L1004),_xlfn.XLOOKUP($D1004&amp;"_"&amp;H$52,$B$14:$B$36&amp;"_"&amp;$C$14:$C$36,$D$14:$D$36)*$E1004,18)</f>
        <v>13.8854</v>
      </c>
      <c r="I1004" s="95" cm="1">
        <f ca="1" t="array" ref="I1004">MIN(30-SUM(J1004:L1004),6-L1004,_xlfn.XLOOKUP($D1004&amp;"_"&amp;I$52,$B$14:$B$36&amp;"_"&amp;$C$14:$C$36,$D$14:$D$36)*$E1004)</f>
        <v>0.8445</v>
      </c>
      <c r="J1004" s="95" cm="1">
        <f ca="1" t="array" ref="J1004">MIN(8,_xlfn.XLOOKUP($D1004&amp;"_"&amp;J$52,$B$14:$B$36&amp;"_"&amp;$C$14:$C$36,$D$14:$D$36)*$E1004)</f>
        <v>7.365</v>
      </c>
      <c r="K1004" s="95" cm="1">
        <f ca="1" t="array" ref="K1004">MIN(18,_xlfn.XLOOKUP($D1004&amp;"_"&amp;K$52,$B$14:$B$36&amp;"_"&amp;$C$14:$C$36,$D$14:$D$36)*$E1004)</f>
        <v>2.7496</v>
      </c>
      <c r="L1004" s="95" cm="1">
        <f ca="1" t="array" ref="L1004">MIN(6,_xlfn.XLOOKUP($D1004&amp;"_"&amp;L$52,$B$14:$B$36&amp;"_"&amp;$C$14:$C$36,$D$14:$D$36)*$E1004)</f>
        <v>5.1555</v>
      </c>
      <c r="M1004" s="95" cm="1">
        <f ca="1" t="array" ref="M1004">(1+SUMPRODUCT(G1004:H1004,OFFSET($H$40:$I$40,D1004,0)))*(1+OFFSET($J$40,D1004,0))^I1004*(1+OFFSET($K$40,D1004,0))^J1004*(1+OFFSET($L$40,D1004,0))^K1004*(1+OFFSET($M$40,D1004,0))^L1004</f>
        <v>243.421732576061</v>
      </c>
      <c r="N1004" s="95">
        <f ca="1">MAX(MAX($N$53:N1003),OFFSET($C$52,MATCH(M1004*1.07,$M$53:$M$2052,1),0)-C1004)</f>
        <v>10440</v>
      </c>
    </row>
    <row r="1005" spans="2:14">
      <c r="B1005" s="95">
        <v>953</v>
      </c>
      <c r="C1005" s="95">
        <f t="shared" si="77"/>
        <v>343080</v>
      </c>
      <c r="D1005" s="95">
        <f ca="1">_xlfn.XLOOKUP(总览!$B$44,$B$40:$B$45,$C$40:$C$45)</f>
        <v>5</v>
      </c>
      <c r="E1005" s="95">
        <f ca="1" t="shared" si="73"/>
        <v>983</v>
      </c>
      <c r="F1005" s="95">
        <f ca="1" t="shared" si="74"/>
        <v>0</v>
      </c>
      <c r="G1005" s="95">
        <f ca="1" t="shared" si="75"/>
        <v>0</v>
      </c>
      <c r="H1005" s="95" cm="1">
        <f ca="1" t="array" ref="H1005">MIN(30-SUM(I1005:L1005),_xlfn.XLOOKUP($D1005&amp;"_"&amp;H$52,$B$14:$B$36&amp;"_"&amp;$C$14:$C$36,$D$14:$D$36)*$E1005,18)</f>
        <v>13.8751</v>
      </c>
      <c r="I1005" s="95" cm="1">
        <f ca="1" t="array" ref="I1005">MIN(30-SUM(J1005:L1005),6-L1005,_xlfn.XLOOKUP($D1005&amp;"_"&amp;I$52,$B$14:$B$36&amp;"_"&amp;$C$14:$C$36,$D$14:$D$36)*$E1005)</f>
        <v>0.83925</v>
      </c>
      <c r="J1005" s="95" cm="1">
        <f ca="1" t="array" ref="J1005">MIN(8,_xlfn.XLOOKUP($D1005&amp;"_"&amp;J$52,$B$14:$B$36&amp;"_"&amp;$C$14:$C$36,$D$14:$D$36)*$E1005)</f>
        <v>7.3725</v>
      </c>
      <c r="K1005" s="95" cm="1">
        <f ca="1" t="array" ref="K1005">MIN(18,_xlfn.XLOOKUP($D1005&amp;"_"&amp;K$52,$B$14:$B$36&amp;"_"&amp;$C$14:$C$36,$D$14:$D$36)*$E1005)</f>
        <v>2.7524</v>
      </c>
      <c r="L1005" s="95" cm="1">
        <f ca="1" t="array" ref="L1005">MIN(6,_xlfn.XLOOKUP($D1005&amp;"_"&amp;L$52,$B$14:$B$36&amp;"_"&amp;$C$14:$C$36,$D$14:$D$36)*$E1005)</f>
        <v>5.16075</v>
      </c>
      <c r="M1005" s="95" cm="1">
        <f ca="1" t="array" ref="M1005">(1+SUMPRODUCT(G1005:H1005,OFFSET($H$40:$I$40,D1005,0)))*(1+OFFSET($J$40,D1005,0))^I1005*(1+OFFSET($K$40,D1005,0))^J1005*(1+OFFSET($L$40,D1005,0))^K1005*(1+OFFSET($M$40,D1005,0))^L1005</f>
        <v>243.990361333336</v>
      </c>
      <c r="N1005" s="95">
        <f ca="1">MAX(MAX($N$53:N1004),OFFSET($C$52,MATCH(M1005*1.07,$M$53:$M$2052,1),0)-C1005)</f>
        <v>10440</v>
      </c>
    </row>
    <row r="1006" spans="2:14">
      <c r="B1006" s="95">
        <v>954</v>
      </c>
      <c r="C1006" s="95">
        <f t="shared" si="77"/>
        <v>343440</v>
      </c>
      <c r="D1006" s="95">
        <f ca="1">_xlfn.XLOOKUP(总览!$B$44,$B$40:$B$45,$C$40:$C$45)</f>
        <v>5</v>
      </c>
      <c r="E1006" s="95">
        <f ca="1" t="shared" si="73"/>
        <v>984</v>
      </c>
      <c r="F1006" s="95">
        <f ca="1" t="shared" si="74"/>
        <v>0</v>
      </c>
      <c r="G1006" s="95">
        <f ca="1" t="shared" si="75"/>
        <v>0</v>
      </c>
      <c r="H1006" s="95" cm="1">
        <f ca="1" t="array" ref="H1006">MIN(30-SUM(I1006:L1006),_xlfn.XLOOKUP($D1006&amp;"_"&amp;H$52,$B$14:$B$36&amp;"_"&amp;$C$14:$C$36,$D$14:$D$36)*$E1006,18)</f>
        <v>13.8648</v>
      </c>
      <c r="I1006" s="95" cm="1">
        <f ca="1" t="array" ref="I1006">MIN(30-SUM(J1006:L1006),6-L1006,_xlfn.XLOOKUP($D1006&amp;"_"&amp;I$52,$B$14:$B$36&amp;"_"&amp;$C$14:$C$36,$D$14:$D$36)*$E1006)</f>
        <v>0.834</v>
      </c>
      <c r="J1006" s="95" cm="1">
        <f ca="1" t="array" ref="J1006">MIN(8,_xlfn.XLOOKUP($D1006&amp;"_"&amp;J$52,$B$14:$B$36&amp;"_"&amp;$C$14:$C$36,$D$14:$D$36)*$E1006)</f>
        <v>7.38</v>
      </c>
      <c r="K1006" s="95" cm="1">
        <f ca="1" t="array" ref="K1006">MIN(18,_xlfn.XLOOKUP($D1006&amp;"_"&amp;K$52,$B$14:$B$36&amp;"_"&amp;$C$14:$C$36,$D$14:$D$36)*$E1006)</f>
        <v>2.7552</v>
      </c>
      <c r="L1006" s="95" cm="1">
        <f ca="1" t="array" ref="L1006">MIN(6,_xlfn.XLOOKUP($D1006&amp;"_"&amp;L$52,$B$14:$B$36&amp;"_"&amp;$C$14:$C$36,$D$14:$D$36)*$E1006)</f>
        <v>5.166</v>
      </c>
      <c r="M1006" s="95" cm="1">
        <f ca="1" t="array" ref="M1006">(1+SUMPRODUCT(G1006:H1006,OFFSET($H$40:$I$40,D1006,0)))*(1+OFFSET($J$40,D1006,0))^I1006*(1+OFFSET($K$40,D1006,0))^J1006*(1+OFFSET($L$40,D1006,0))^K1006*(1+OFFSET($M$40,D1006,0))^L1006</f>
        <v>244.560245571846</v>
      </c>
      <c r="N1006" s="95">
        <f ca="1">MAX(MAX($N$53:N1005),OFFSET($C$52,MATCH(M1006*1.07,$M$53:$M$2052,1),0)-C1006)</f>
        <v>10440</v>
      </c>
    </row>
    <row r="1007" spans="2:14">
      <c r="B1007" s="95">
        <v>955</v>
      </c>
      <c r="C1007" s="95">
        <f t="shared" si="77"/>
        <v>343800</v>
      </c>
      <c r="D1007" s="95">
        <f ca="1">_xlfn.XLOOKUP(总览!$B$44,$B$40:$B$45,$C$40:$C$45)</f>
        <v>5</v>
      </c>
      <c r="E1007" s="95">
        <f ca="1" t="shared" si="73"/>
        <v>985</v>
      </c>
      <c r="F1007" s="95">
        <f ca="1" t="shared" si="74"/>
        <v>0</v>
      </c>
      <c r="G1007" s="95">
        <f ca="1" t="shared" si="75"/>
        <v>0</v>
      </c>
      <c r="H1007" s="95" cm="1">
        <f ca="1" t="array" ref="H1007">MIN(30-SUM(I1007:L1007),_xlfn.XLOOKUP($D1007&amp;"_"&amp;H$52,$B$14:$B$36&amp;"_"&amp;$C$14:$C$36,$D$14:$D$36)*$E1007,18)</f>
        <v>13.8545</v>
      </c>
      <c r="I1007" s="95" cm="1">
        <f ca="1" t="array" ref="I1007">MIN(30-SUM(J1007:L1007),6-L1007,_xlfn.XLOOKUP($D1007&amp;"_"&amp;I$52,$B$14:$B$36&amp;"_"&amp;$C$14:$C$36,$D$14:$D$36)*$E1007)</f>
        <v>0.828749999999999</v>
      </c>
      <c r="J1007" s="95" cm="1">
        <f ca="1" t="array" ref="J1007">MIN(8,_xlfn.XLOOKUP($D1007&amp;"_"&amp;J$52,$B$14:$B$36&amp;"_"&amp;$C$14:$C$36,$D$14:$D$36)*$E1007)</f>
        <v>7.3875</v>
      </c>
      <c r="K1007" s="95" cm="1">
        <f ca="1" t="array" ref="K1007">MIN(18,_xlfn.XLOOKUP($D1007&amp;"_"&amp;K$52,$B$14:$B$36&amp;"_"&amp;$C$14:$C$36,$D$14:$D$36)*$E1007)</f>
        <v>2.758</v>
      </c>
      <c r="L1007" s="95" cm="1">
        <f ca="1" t="array" ref="L1007">MIN(6,_xlfn.XLOOKUP($D1007&amp;"_"&amp;L$52,$B$14:$B$36&amp;"_"&amp;$C$14:$C$36,$D$14:$D$36)*$E1007)</f>
        <v>5.17125</v>
      </c>
      <c r="M1007" s="95" cm="1">
        <f ca="1" t="array" ref="M1007">(1+SUMPRODUCT(G1007:H1007,OFFSET($H$40:$I$40,D1007,0)))*(1+OFFSET($J$40,D1007,0))^I1007*(1+OFFSET($K$40,D1007,0))^J1007*(1+OFFSET($L$40,D1007,0))^K1007*(1+OFFSET($M$40,D1007,0))^L1007</f>
        <v>245.131387804472</v>
      </c>
      <c r="N1007" s="95">
        <f ca="1">MAX(MAX($N$53:N1006),OFFSET($C$52,MATCH(M1007*1.07,$M$53:$M$2052,1),0)-C1007)</f>
        <v>10440</v>
      </c>
    </row>
    <row r="1008" spans="2:14">
      <c r="B1008" s="95">
        <v>956</v>
      </c>
      <c r="C1008" s="95">
        <f t="shared" si="77"/>
        <v>344160</v>
      </c>
      <c r="D1008" s="95">
        <f ca="1">_xlfn.XLOOKUP(总览!$B$44,$B$40:$B$45,$C$40:$C$45)</f>
        <v>5</v>
      </c>
      <c r="E1008" s="95">
        <f ca="1" t="shared" si="73"/>
        <v>986</v>
      </c>
      <c r="F1008" s="95">
        <f ca="1" t="shared" si="74"/>
        <v>0</v>
      </c>
      <c r="G1008" s="95">
        <f ca="1" t="shared" si="75"/>
        <v>0</v>
      </c>
      <c r="H1008" s="95" cm="1">
        <f ca="1" t="array" ref="H1008">MIN(30-SUM(I1008:L1008),_xlfn.XLOOKUP($D1008&amp;"_"&amp;H$52,$B$14:$B$36&amp;"_"&amp;$C$14:$C$36,$D$14:$D$36)*$E1008,18)</f>
        <v>13.8442</v>
      </c>
      <c r="I1008" s="95" cm="1">
        <f ca="1" t="array" ref="I1008">MIN(30-SUM(J1008:L1008),6-L1008,_xlfn.XLOOKUP($D1008&amp;"_"&amp;I$52,$B$14:$B$36&amp;"_"&amp;$C$14:$C$36,$D$14:$D$36)*$E1008)</f>
        <v>0.8235</v>
      </c>
      <c r="J1008" s="95" cm="1">
        <f ca="1" t="array" ref="J1008">MIN(8,_xlfn.XLOOKUP($D1008&amp;"_"&amp;J$52,$B$14:$B$36&amp;"_"&amp;$C$14:$C$36,$D$14:$D$36)*$E1008)</f>
        <v>7.395</v>
      </c>
      <c r="K1008" s="95" cm="1">
        <f ca="1" t="array" ref="K1008">MIN(18,_xlfn.XLOOKUP($D1008&amp;"_"&amp;K$52,$B$14:$B$36&amp;"_"&amp;$C$14:$C$36,$D$14:$D$36)*$E1008)</f>
        <v>2.7608</v>
      </c>
      <c r="L1008" s="95" cm="1">
        <f ca="1" t="array" ref="L1008">MIN(6,_xlfn.XLOOKUP($D1008&amp;"_"&amp;L$52,$B$14:$B$36&amp;"_"&amp;$C$14:$C$36,$D$14:$D$36)*$E1008)</f>
        <v>5.1765</v>
      </c>
      <c r="M1008" s="95" cm="1">
        <f ca="1" t="array" ref="M1008">(1+SUMPRODUCT(G1008:H1008,OFFSET($H$40:$I$40,D1008,0)))*(1+OFFSET($J$40,D1008,0))^I1008*(1+OFFSET($K$40,D1008,0))^J1008*(1+OFFSET($L$40,D1008,0))^K1008*(1+OFFSET($M$40,D1008,0))^L1008</f>
        <v>245.703790548145</v>
      </c>
      <c r="N1008" s="95">
        <f ca="1">MAX(MAX($N$53:N1007),OFFSET($C$52,MATCH(M1008*1.07,$M$53:$M$2052,1),0)-C1008)</f>
        <v>10440</v>
      </c>
    </row>
    <row r="1009" spans="2:14">
      <c r="B1009" s="95">
        <v>957</v>
      </c>
      <c r="C1009" s="95">
        <f t="shared" si="77"/>
        <v>344520</v>
      </c>
      <c r="D1009" s="95">
        <f ca="1">_xlfn.XLOOKUP(总览!$B$44,$B$40:$B$45,$C$40:$C$45)</f>
        <v>5</v>
      </c>
      <c r="E1009" s="95">
        <f ca="1" t="shared" si="73"/>
        <v>987</v>
      </c>
      <c r="F1009" s="95">
        <f ca="1" t="shared" si="74"/>
        <v>0</v>
      </c>
      <c r="G1009" s="95">
        <f ca="1" t="shared" si="75"/>
        <v>0</v>
      </c>
      <c r="H1009" s="95" cm="1">
        <f ca="1" t="array" ref="H1009">MIN(30-SUM(I1009:L1009),_xlfn.XLOOKUP($D1009&amp;"_"&amp;H$52,$B$14:$B$36&amp;"_"&amp;$C$14:$C$36,$D$14:$D$36)*$E1009,18)</f>
        <v>13.8339</v>
      </c>
      <c r="I1009" s="95" cm="1">
        <f ca="1" t="array" ref="I1009">MIN(30-SUM(J1009:L1009),6-L1009,_xlfn.XLOOKUP($D1009&amp;"_"&amp;I$52,$B$14:$B$36&amp;"_"&amp;$C$14:$C$36,$D$14:$D$36)*$E1009)</f>
        <v>0.81825</v>
      </c>
      <c r="J1009" s="95" cm="1">
        <f ca="1" t="array" ref="J1009">MIN(8,_xlfn.XLOOKUP($D1009&amp;"_"&amp;J$52,$B$14:$B$36&amp;"_"&amp;$C$14:$C$36,$D$14:$D$36)*$E1009)</f>
        <v>7.4025</v>
      </c>
      <c r="K1009" s="95" cm="1">
        <f ca="1" t="array" ref="K1009">MIN(18,_xlfn.XLOOKUP($D1009&amp;"_"&amp;K$52,$B$14:$B$36&amp;"_"&amp;$C$14:$C$36,$D$14:$D$36)*$E1009)</f>
        <v>2.7636</v>
      </c>
      <c r="L1009" s="95" cm="1">
        <f ca="1" t="array" ref="L1009">MIN(6,_xlfn.XLOOKUP($D1009&amp;"_"&amp;L$52,$B$14:$B$36&amp;"_"&amp;$C$14:$C$36,$D$14:$D$36)*$E1009)</f>
        <v>5.18175</v>
      </c>
      <c r="M1009" s="95" cm="1">
        <f ca="1" t="array" ref="M1009">(1+SUMPRODUCT(G1009:H1009,OFFSET($H$40:$I$40,D1009,0)))*(1+OFFSET($J$40,D1009,0))^I1009*(1+OFFSET($K$40,D1009,0))^J1009*(1+OFFSET($L$40,D1009,0))^K1009*(1+OFFSET($M$40,D1009,0))^L1009</f>
        <v>246.277456323856</v>
      </c>
      <c r="N1009" s="95">
        <f ca="1">MAX(MAX($N$53:N1008),OFFSET($C$52,MATCH(M1009*1.07,$M$53:$M$2052,1),0)-C1009)</f>
        <v>10440</v>
      </c>
    </row>
    <row r="1010" spans="2:14">
      <c r="B1010" s="95">
        <v>958</v>
      </c>
      <c r="C1010" s="95">
        <f t="shared" si="77"/>
        <v>344880</v>
      </c>
      <c r="D1010" s="95">
        <f ca="1">_xlfn.XLOOKUP(总览!$B$44,$B$40:$B$45,$C$40:$C$45)</f>
        <v>5</v>
      </c>
      <c r="E1010" s="95">
        <f ca="1" t="shared" si="73"/>
        <v>988</v>
      </c>
      <c r="F1010" s="95">
        <f ca="1" t="shared" si="74"/>
        <v>0</v>
      </c>
      <c r="G1010" s="95">
        <f ca="1" t="shared" si="75"/>
        <v>0</v>
      </c>
      <c r="H1010" s="95" cm="1">
        <f ca="1" t="array" ref="H1010">MIN(30-SUM(I1010:L1010),_xlfn.XLOOKUP($D1010&amp;"_"&amp;H$52,$B$14:$B$36&amp;"_"&amp;$C$14:$C$36,$D$14:$D$36)*$E1010,18)</f>
        <v>13.8236</v>
      </c>
      <c r="I1010" s="95" cm="1">
        <f ca="1" t="array" ref="I1010">MIN(30-SUM(J1010:L1010),6-L1010,_xlfn.XLOOKUP($D1010&amp;"_"&amp;I$52,$B$14:$B$36&amp;"_"&amp;$C$14:$C$36,$D$14:$D$36)*$E1010)</f>
        <v>0.813</v>
      </c>
      <c r="J1010" s="95" cm="1">
        <f ca="1" t="array" ref="J1010">MIN(8,_xlfn.XLOOKUP($D1010&amp;"_"&amp;J$52,$B$14:$B$36&amp;"_"&amp;$C$14:$C$36,$D$14:$D$36)*$E1010)</f>
        <v>7.41</v>
      </c>
      <c r="K1010" s="95" cm="1">
        <f ca="1" t="array" ref="K1010">MIN(18,_xlfn.XLOOKUP($D1010&amp;"_"&amp;K$52,$B$14:$B$36&amp;"_"&amp;$C$14:$C$36,$D$14:$D$36)*$E1010)</f>
        <v>2.7664</v>
      </c>
      <c r="L1010" s="95" cm="1">
        <f ca="1" t="array" ref="L1010">MIN(6,_xlfn.XLOOKUP($D1010&amp;"_"&amp;L$52,$B$14:$B$36&amp;"_"&amp;$C$14:$C$36,$D$14:$D$36)*$E1010)</f>
        <v>5.187</v>
      </c>
      <c r="M1010" s="95" cm="1">
        <f ca="1" t="array" ref="M1010">(1+SUMPRODUCT(G1010:H1010,OFFSET($H$40:$I$40,D1010,0)))*(1+OFFSET($J$40,D1010,0))^I1010*(1+OFFSET($K$40,D1010,0))^J1010*(1+OFFSET($L$40,D1010,0))^K1010*(1+OFFSET($M$40,D1010,0))^L1010</f>
        <v>246.852387656651</v>
      </c>
      <c r="N1010" s="95">
        <f ca="1">MAX(MAX($N$53:N1009),OFFSET($C$52,MATCH(M1010*1.07,$M$53:$M$2052,1),0)-C1010)</f>
        <v>10440</v>
      </c>
    </row>
    <row r="1011" spans="2:14">
      <c r="B1011" s="95">
        <v>959</v>
      </c>
      <c r="C1011" s="95">
        <f t="shared" si="77"/>
        <v>345240</v>
      </c>
      <c r="D1011" s="95">
        <f ca="1">_xlfn.XLOOKUP(总览!$B$44,$B$40:$B$45,$C$40:$C$45)</f>
        <v>5</v>
      </c>
      <c r="E1011" s="95">
        <f ca="1" t="shared" si="73"/>
        <v>989</v>
      </c>
      <c r="F1011" s="95">
        <f ca="1" t="shared" si="74"/>
        <v>0</v>
      </c>
      <c r="G1011" s="95">
        <f ca="1" t="shared" si="75"/>
        <v>0</v>
      </c>
      <c r="H1011" s="95" cm="1">
        <f ca="1" t="array" ref="H1011">MIN(30-SUM(I1011:L1011),_xlfn.XLOOKUP($D1011&amp;"_"&amp;H$52,$B$14:$B$36&amp;"_"&amp;$C$14:$C$36,$D$14:$D$36)*$E1011,18)</f>
        <v>13.8133</v>
      </c>
      <c r="I1011" s="95" cm="1">
        <f ca="1" t="array" ref="I1011">MIN(30-SUM(J1011:L1011),6-L1011,_xlfn.XLOOKUP($D1011&amp;"_"&amp;I$52,$B$14:$B$36&amp;"_"&amp;$C$14:$C$36,$D$14:$D$36)*$E1011)</f>
        <v>0.80775</v>
      </c>
      <c r="J1011" s="95" cm="1">
        <f ca="1" t="array" ref="J1011">MIN(8,_xlfn.XLOOKUP($D1011&amp;"_"&amp;J$52,$B$14:$B$36&amp;"_"&amp;$C$14:$C$36,$D$14:$D$36)*$E1011)</f>
        <v>7.4175</v>
      </c>
      <c r="K1011" s="95" cm="1">
        <f ca="1" t="array" ref="K1011">MIN(18,_xlfn.XLOOKUP($D1011&amp;"_"&amp;K$52,$B$14:$B$36&amp;"_"&amp;$C$14:$C$36,$D$14:$D$36)*$E1011)</f>
        <v>2.7692</v>
      </c>
      <c r="L1011" s="95" cm="1">
        <f ca="1" t="array" ref="L1011">MIN(6,_xlfn.XLOOKUP($D1011&amp;"_"&amp;L$52,$B$14:$B$36&amp;"_"&amp;$C$14:$C$36,$D$14:$D$36)*$E1011)</f>
        <v>5.19225</v>
      </c>
      <c r="M1011" s="95" cm="1">
        <f ca="1" t="array" ref="M1011">(1+SUMPRODUCT(G1011:H1011,OFFSET($H$40:$I$40,D1011,0)))*(1+OFFSET($J$40,D1011,0))^I1011*(1+OFFSET($K$40,D1011,0))^J1011*(1+OFFSET($L$40,D1011,0))^K1011*(1+OFFSET($M$40,D1011,0))^L1011</f>
        <v>247.428587075643</v>
      </c>
      <c r="N1011" s="95">
        <f ca="1">MAX(MAX($N$53:N1010),OFFSET($C$52,MATCH(M1011*1.07,$M$53:$M$2052,1),0)-C1011)</f>
        <v>10440</v>
      </c>
    </row>
    <row r="1012" spans="2:14">
      <c r="B1012" s="95">
        <v>960</v>
      </c>
      <c r="C1012" s="95">
        <f t="shared" si="77"/>
        <v>345600</v>
      </c>
      <c r="D1012" s="95">
        <f ca="1">_xlfn.XLOOKUP(总览!$B$44,$B$40:$B$45,$C$40:$C$45)</f>
        <v>5</v>
      </c>
      <c r="E1012" s="95">
        <f ca="1" t="shared" si="73"/>
        <v>990</v>
      </c>
      <c r="F1012" s="95">
        <f ca="1" t="shared" si="74"/>
        <v>0</v>
      </c>
      <c r="G1012" s="95">
        <f ca="1" t="shared" si="75"/>
        <v>0</v>
      </c>
      <c r="H1012" s="95" cm="1">
        <f ca="1" t="array" ref="H1012">MIN(30-SUM(I1012:L1012),_xlfn.XLOOKUP($D1012&amp;"_"&amp;H$52,$B$14:$B$36&amp;"_"&amp;$C$14:$C$36,$D$14:$D$36)*$E1012,18)</f>
        <v>13.803</v>
      </c>
      <c r="I1012" s="95" cm="1">
        <f ca="1" t="array" ref="I1012">MIN(30-SUM(J1012:L1012),6-L1012,_xlfn.XLOOKUP($D1012&amp;"_"&amp;I$52,$B$14:$B$36&amp;"_"&amp;$C$14:$C$36,$D$14:$D$36)*$E1012)</f>
        <v>0.802499999999999</v>
      </c>
      <c r="J1012" s="95" cm="1">
        <f ca="1" t="array" ref="J1012">MIN(8,_xlfn.XLOOKUP($D1012&amp;"_"&amp;J$52,$B$14:$B$36&amp;"_"&amp;$C$14:$C$36,$D$14:$D$36)*$E1012)</f>
        <v>7.425</v>
      </c>
      <c r="K1012" s="95" cm="1">
        <f ca="1" t="array" ref="K1012">MIN(18,_xlfn.XLOOKUP($D1012&amp;"_"&amp;K$52,$B$14:$B$36&amp;"_"&amp;$C$14:$C$36,$D$14:$D$36)*$E1012)</f>
        <v>2.772</v>
      </c>
      <c r="L1012" s="95" cm="1">
        <f ca="1" t="array" ref="L1012">MIN(6,_xlfn.XLOOKUP($D1012&amp;"_"&amp;L$52,$B$14:$B$36&amp;"_"&amp;$C$14:$C$36,$D$14:$D$36)*$E1012)</f>
        <v>5.1975</v>
      </c>
      <c r="M1012" s="95" cm="1">
        <f ca="1" t="array" ref="M1012">(1+SUMPRODUCT(G1012:H1012,OFFSET($H$40:$I$40,D1012,0)))*(1+OFFSET($J$40,D1012,0))^I1012*(1+OFFSET($K$40,D1012,0))^J1012*(1+OFFSET($L$40,D1012,0))^K1012*(1+OFFSET($M$40,D1012,0))^L1012</f>
        <v>248.006057114004</v>
      </c>
      <c r="N1012" s="95">
        <f ca="1">MAX(MAX($N$53:N1011),OFFSET($C$52,MATCH(M1012*1.07,$M$53:$M$2052,1),0)-C1012)</f>
        <v>10440</v>
      </c>
    </row>
    <row r="1013" spans="2:14">
      <c r="B1013" s="95">
        <v>961</v>
      </c>
      <c r="C1013" s="95">
        <f t="shared" si="77"/>
        <v>345960</v>
      </c>
      <c r="D1013" s="95">
        <f ca="1">_xlfn.XLOOKUP(总览!$B$44,$B$40:$B$45,$C$40:$C$45)</f>
        <v>5</v>
      </c>
      <c r="E1013" s="95">
        <f ca="1" t="shared" si="73"/>
        <v>991</v>
      </c>
      <c r="F1013" s="95">
        <f ca="1" t="shared" si="74"/>
        <v>0</v>
      </c>
      <c r="G1013" s="95">
        <f ca="1" t="shared" si="75"/>
        <v>0</v>
      </c>
      <c r="H1013" s="95" cm="1">
        <f ca="1" t="array" ref="H1013">MIN(30-SUM(I1013:L1013),_xlfn.XLOOKUP($D1013&amp;"_"&amp;H$52,$B$14:$B$36&amp;"_"&amp;$C$14:$C$36,$D$14:$D$36)*$E1013,18)</f>
        <v>13.7927</v>
      </c>
      <c r="I1013" s="95" cm="1">
        <f ca="1" t="array" ref="I1013">MIN(30-SUM(J1013:L1013),6-L1013,_xlfn.XLOOKUP($D1013&amp;"_"&amp;I$52,$B$14:$B$36&amp;"_"&amp;$C$14:$C$36,$D$14:$D$36)*$E1013)</f>
        <v>0.79725</v>
      </c>
      <c r="J1013" s="95" cm="1">
        <f ca="1" t="array" ref="J1013">MIN(8,_xlfn.XLOOKUP($D1013&amp;"_"&amp;J$52,$B$14:$B$36&amp;"_"&amp;$C$14:$C$36,$D$14:$D$36)*$E1013)</f>
        <v>7.4325</v>
      </c>
      <c r="K1013" s="95" cm="1">
        <f ca="1" t="array" ref="K1013">MIN(18,_xlfn.XLOOKUP($D1013&amp;"_"&amp;K$52,$B$14:$B$36&amp;"_"&amp;$C$14:$C$36,$D$14:$D$36)*$E1013)</f>
        <v>2.7748</v>
      </c>
      <c r="L1013" s="95" cm="1">
        <f ca="1" t="array" ref="L1013">MIN(6,_xlfn.XLOOKUP($D1013&amp;"_"&amp;L$52,$B$14:$B$36&amp;"_"&amp;$C$14:$C$36,$D$14:$D$36)*$E1013)</f>
        <v>5.20275</v>
      </c>
      <c r="M1013" s="95" cm="1">
        <f ca="1" t="array" ref="M1013">(1+SUMPRODUCT(G1013:H1013,OFFSET($H$40:$I$40,D1013,0)))*(1+OFFSET($J$40,D1013,0))^I1013*(1+OFFSET($K$40,D1013,0))^J1013*(1+OFFSET($L$40,D1013,0))^K1013*(1+OFFSET($M$40,D1013,0))^L1013</f>
        <v>248.584800308976</v>
      </c>
      <c r="N1013" s="95">
        <f ca="1">MAX(MAX($N$53:N1012),OFFSET($C$52,MATCH(M1013*1.07,$M$53:$M$2052,1),0)-C1013)</f>
        <v>10440</v>
      </c>
    </row>
    <row r="1014" spans="2:14">
      <c r="B1014" s="95">
        <v>962</v>
      </c>
      <c r="C1014" s="95">
        <f t="shared" si="77"/>
        <v>346320</v>
      </c>
      <c r="D1014" s="95">
        <f ca="1">_xlfn.XLOOKUP(总览!$B$44,$B$40:$B$45,$C$40:$C$45)</f>
        <v>5</v>
      </c>
      <c r="E1014" s="95">
        <f ca="1" t="shared" ref="E1014:E1077" si="78">INT(C1014/_xlfn.XLOOKUP(D1014,$N$5:$N$16,$O$5:$O$16))+OFFSET($R$40,D1014,0)</f>
        <v>992</v>
      </c>
      <c r="F1014" s="95">
        <f ca="1" t="shared" si="74"/>
        <v>0</v>
      </c>
      <c r="G1014" s="95">
        <f ca="1" t="shared" si="75"/>
        <v>0</v>
      </c>
      <c r="H1014" s="95" cm="1">
        <f ca="1" t="array" ref="H1014">MIN(30-SUM(I1014:L1014),_xlfn.XLOOKUP($D1014&amp;"_"&amp;H$52,$B$14:$B$36&amp;"_"&amp;$C$14:$C$36,$D$14:$D$36)*$E1014,18)</f>
        <v>13.7824</v>
      </c>
      <c r="I1014" s="95" cm="1">
        <f ca="1" t="array" ref="I1014">MIN(30-SUM(J1014:L1014),6-L1014,_xlfn.XLOOKUP($D1014&amp;"_"&amp;I$52,$B$14:$B$36&amp;"_"&amp;$C$14:$C$36,$D$14:$D$36)*$E1014)</f>
        <v>0.792</v>
      </c>
      <c r="J1014" s="95" cm="1">
        <f ca="1" t="array" ref="J1014">MIN(8,_xlfn.XLOOKUP($D1014&amp;"_"&amp;J$52,$B$14:$B$36&amp;"_"&amp;$C$14:$C$36,$D$14:$D$36)*$E1014)</f>
        <v>7.44</v>
      </c>
      <c r="K1014" s="95" cm="1">
        <f ca="1" t="array" ref="K1014">MIN(18,_xlfn.XLOOKUP($D1014&amp;"_"&amp;K$52,$B$14:$B$36&amp;"_"&amp;$C$14:$C$36,$D$14:$D$36)*$E1014)</f>
        <v>2.7776</v>
      </c>
      <c r="L1014" s="95" cm="1">
        <f ca="1" t="array" ref="L1014">MIN(6,_xlfn.XLOOKUP($D1014&amp;"_"&amp;L$52,$B$14:$B$36&amp;"_"&amp;$C$14:$C$36,$D$14:$D$36)*$E1014)</f>
        <v>5.208</v>
      </c>
      <c r="M1014" s="95" cm="1">
        <f ca="1" t="array" ref="M1014">(1+SUMPRODUCT(G1014:H1014,OFFSET($H$40:$I$40,D1014,0)))*(1+OFFSET($J$40,D1014,0))^I1014*(1+OFFSET($K$40,D1014,0))^J1014*(1+OFFSET($L$40,D1014,0))^K1014*(1+OFFSET($M$40,D1014,0))^L1014</f>
        <v>249.164819201868</v>
      </c>
      <c r="N1014" s="95">
        <f ca="1">MAX(MAX($N$53:N1013),OFFSET($C$52,MATCH(M1014*1.07,$M$53:$M$2052,1),0)-C1014)</f>
        <v>10440</v>
      </c>
    </row>
    <row r="1015" spans="2:14">
      <c r="B1015" s="95">
        <v>963</v>
      </c>
      <c r="C1015" s="95">
        <f t="shared" si="77"/>
        <v>346680</v>
      </c>
      <c r="D1015" s="95">
        <f ca="1">_xlfn.XLOOKUP(总览!$B$44,$B$40:$B$45,$C$40:$C$45)</f>
        <v>5</v>
      </c>
      <c r="E1015" s="95">
        <f ca="1" t="shared" si="78"/>
        <v>993</v>
      </c>
      <c r="F1015" s="95">
        <f ca="1" t="shared" ref="F1015:F1052" si="79">30-SUM(G1015:L1015)</f>
        <v>0</v>
      </c>
      <c r="G1015" s="95">
        <f ca="1" t="shared" ref="G1015:G1052" si="80">30-SUM(H1015:L1015)</f>
        <v>0</v>
      </c>
      <c r="H1015" s="95" cm="1">
        <f ca="1" t="array" ref="H1015">MIN(30-SUM(I1015:L1015),_xlfn.XLOOKUP($D1015&amp;"_"&amp;H$52,$B$14:$B$36&amp;"_"&amp;$C$14:$C$36,$D$14:$D$36)*$E1015,18)</f>
        <v>13.7721</v>
      </c>
      <c r="I1015" s="95" cm="1">
        <f ca="1" t="array" ref="I1015">MIN(30-SUM(J1015:L1015),6-L1015,_xlfn.XLOOKUP($D1015&amp;"_"&amp;I$52,$B$14:$B$36&amp;"_"&amp;$C$14:$C$36,$D$14:$D$36)*$E1015)</f>
        <v>0.78675</v>
      </c>
      <c r="J1015" s="95" cm="1">
        <f ca="1" t="array" ref="J1015">MIN(8,_xlfn.XLOOKUP($D1015&amp;"_"&amp;J$52,$B$14:$B$36&amp;"_"&amp;$C$14:$C$36,$D$14:$D$36)*$E1015)</f>
        <v>7.4475</v>
      </c>
      <c r="K1015" s="95" cm="1">
        <f ca="1" t="array" ref="K1015">MIN(18,_xlfn.XLOOKUP($D1015&amp;"_"&amp;K$52,$B$14:$B$36&amp;"_"&amp;$C$14:$C$36,$D$14:$D$36)*$E1015)</f>
        <v>2.7804</v>
      </c>
      <c r="L1015" s="95" cm="1">
        <f ca="1" t="array" ref="L1015">MIN(6,_xlfn.XLOOKUP($D1015&amp;"_"&amp;L$52,$B$14:$B$36&amp;"_"&amp;$C$14:$C$36,$D$14:$D$36)*$E1015)</f>
        <v>5.21325</v>
      </c>
      <c r="M1015" s="95" cm="1">
        <f ca="1" t="array" ref="M1015">(1+SUMPRODUCT(G1015:H1015,OFFSET($H$40:$I$40,D1015,0)))*(1+OFFSET($J$40,D1015,0))^I1015*(1+OFFSET($K$40,D1015,0))^J1015*(1+OFFSET($L$40,D1015,0))^K1015*(1+OFFSET($M$40,D1015,0))^L1015</f>
        <v>249.746116338061</v>
      </c>
      <c r="N1015" s="95">
        <f ca="1">MAX(MAX($N$53:N1014),OFFSET($C$52,MATCH(M1015*1.07,$M$53:$M$2052,1),0)-C1015)</f>
        <v>10440</v>
      </c>
    </row>
    <row r="1016" spans="2:14">
      <c r="B1016" s="95">
        <v>964</v>
      </c>
      <c r="C1016" s="95">
        <f t="shared" si="77"/>
        <v>347040</v>
      </c>
      <c r="D1016" s="95">
        <f ca="1">_xlfn.XLOOKUP(总览!$B$44,$B$40:$B$45,$C$40:$C$45)</f>
        <v>5</v>
      </c>
      <c r="E1016" s="95">
        <f ca="1" t="shared" si="78"/>
        <v>994</v>
      </c>
      <c r="F1016" s="95">
        <f ca="1" t="shared" si="79"/>
        <v>0</v>
      </c>
      <c r="G1016" s="95">
        <f ca="1" t="shared" si="80"/>
        <v>0</v>
      </c>
      <c r="H1016" s="95" cm="1">
        <f ca="1" t="array" ref="H1016">MIN(30-SUM(I1016:L1016),_xlfn.XLOOKUP($D1016&amp;"_"&amp;H$52,$B$14:$B$36&amp;"_"&amp;$C$14:$C$36,$D$14:$D$36)*$E1016,18)</f>
        <v>13.7618</v>
      </c>
      <c r="I1016" s="95" cm="1">
        <f ca="1" t="array" ref="I1016">MIN(30-SUM(J1016:L1016),6-L1016,_xlfn.XLOOKUP($D1016&amp;"_"&amp;I$52,$B$14:$B$36&amp;"_"&amp;$C$14:$C$36,$D$14:$D$36)*$E1016)</f>
        <v>0.781499999999999</v>
      </c>
      <c r="J1016" s="95" cm="1">
        <f ca="1" t="array" ref="J1016">MIN(8,_xlfn.XLOOKUP($D1016&amp;"_"&amp;J$52,$B$14:$B$36&amp;"_"&amp;$C$14:$C$36,$D$14:$D$36)*$E1016)</f>
        <v>7.455</v>
      </c>
      <c r="K1016" s="95" cm="1">
        <f ca="1" t="array" ref="K1016">MIN(18,_xlfn.XLOOKUP($D1016&amp;"_"&amp;K$52,$B$14:$B$36&amp;"_"&amp;$C$14:$C$36,$D$14:$D$36)*$E1016)</f>
        <v>2.7832</v>
      </c>
      <c r="L1016" s="95" cm="1">
        <f ca="1" t="array" ref="L1016">MIN(6,_xlfn.XLOOKUP($D1016&amp;"_"&amp;L$52,$B$14:$B$36&amp;"_"&amp;$C$14:$C$36,$D$14:$D$36)*$E1016)</f>
        <v>5.2185</v>
      </c>
      <c r="M1016" s="95" cm="1">
        <f ca="1" t="array" ref="M1016">(1+SUMPRODUCT(G1016:H1016,OFFSET($H$40:$I$40,D1016,0)))*(1+OFFSET($J$40,D1016,0))^I1016*(1+OFFSET($K$40,D1016,0))^J1016*(1+OFFSET($L$40,D1016,0))^K1016*(1+OFFSET($M$40,D1016,0))^L1016</f>
        <v>250.32869426701</v>
      </c>
      <c r="N1016" s="95">
        <f ca="1">MAX(MAX($N$53:N1015),OFFSET($C$52,MATCH(M1016*1.07,$M$53:$M$2052,1),0)-C1016)</f>
        <v>10440</v>
      </c>
    </row>
    <row r="1017" spans="2:14">
      <c r="B1017" s="95">
        <v>965</v>
      </c>
      <c r="C1017" s="95">
        <f t="shared" ref="C1017:C1057" si="81">C1016+360</f>
        <v>347400</v>
      </c>
      <c r="D1017" s="95">
        <f ca="1">_xlfn.XLOOKUP(总览!$B$44,$B$40:$B$45,$C$40:$C$45)</f>
        <v>5</v>
      </c>
      <c r="E1017" s="95">
        <f ca="1" t="shared" si="78"/>
        <v>995</v>
      </c>
      <c r="F1017" s="95">
        <f ca="1" t="shared" si="79"/>
        <v>0</v>
      </c>
      <c r="G1017" s="95">
        <f ca="1" t="shared" si="80"/>
        <v>0</v>
      </c>
      <c r="H1017" s="95" cm="1">
        <f ca="1" t="array" ref="H1017">MIN(30-SUM(I1017:L1017),_xlfn.XLOOKUP($D1017&amp;"_"&amp;H$52,$B$14:$B$36&amp;"_"&amp;$C$14:$C$36,$D$14:$D$36)*$E1017,18)</f>
        <v>13.7515</v>
      </c>
      <c r="I1017" s="95" cm="1">
        <f ca="1" t="array" ref="I1017">MIN(30-SUM(J1017:L1017),6-L1017,_xlfn.XLOOKUP($D1017&amp;"_"&amp;I$52,$B$14:$B$36&amp;"_"&amp;$C$14:$C$36,$D$14:$D$36)*$E1017)</f>
        <v>0.77625</v>
      </c>
      <c r="J1017" s="95" cm="1">
        <f ca="1" t="array" ref="J1017">MIN(8,_xlfn.XLOOKUP($D1017&amp;"_"&amp;J$52,$B$14:$B$36&amp;"_"&amp;$C$14:$C$36,$D$14:$D$36)*$E1017)</f>
        <v>7.4625</v>
      </c>
      <c r="K1017" s="95" cm="1">
        <f ca="1" t="array" ref="K1017">MIN(18,_xlfn.XLOOKUP($D1017&amp;"_"&amp;K$52,$B$14:$B$36&amp;"_"&amp;$C$14:$C$36,$D$14:$D$36)*$E1017)</f>
        <v>2.786</v>
      </c>
      <c r="L1017" s="95" cm="1">
        <f ca="1" t="array" ref="L1017">MIN(6,_xlfn.XLOOKUP($D1017&amp;"_"&amp;L$52,$B$14:$B$36&amp;"_"&amp;$C$14:$C$36,$D$14:$D$36)*$E1017)</f>
        <v>5.22375</v>
      </c>
      <c r="M1017" s="95" cm="1">
        <f ca="1" t="array" ref="M1017">(1+SUMPRODUCT(G1017:H1017,OFFSET($H$40:$I$40,D1017,0)))*(1+OFFSET($J$40,D1017,0))^I1017*(1+OFFSET($K$40,D1017,0))^J1017*(1+OFFSET($L$40,D1017,0))^K1017*(1+OFFSET($M$40,D1017,0))^L1017</f>
        <v>250.912555542243</v>
      </c>
      <c r="N1017" s="95">
        <f ca="1">MAX(MAX($N$53:N1016),OFFSET($C$52,MATCH(M1017*1.07,$M$53:$M$2052,1),0)-C1017)</f>
        <v>10440</v>
      </c>
    </row>
    <row r="1018" spans="2:14">
      <c r="B1018" s="95">
        <v>966</v>
      </c>
      <c r="C1018" s="95">
        <f t="shared" si="81"/>
        <v>347760</v>
      </c>
      <c r="D1018" s="95">
        <f ca="1">_xlfn.XLOOKUP(总览!$B$44,$B$40:$B$45,$C$40:$C$45)</f>
        <v>5</v>
      </c>
      <c r="E1018" s="95">
        <f ca="1" t="shared" si="78"/>
        <v>996</v>
      </c>
      <c r="F1018" s="95">
        <f ca="1" t="shared" si="79"/>
        <v>0</v>
      </c>
      <c r="G1018" s="95">
        <f ca="1" t="shared" si="80"/>
        <v>0</v>
      </c>
      <c r="H1018" s="95" cm="1">
        <f ca="1" t="array" ref="H1018">MIN(30-SUM(I1018:L1018),_xlfn.XLOOKUP($D1018&amp;"_"&amp;H$52,$B$14:$B$36&amp;"_"&amp;$C$14:$C$36,$D$14:$D$36)*$E1018,18)</f>
        <v>13.7412</v>
      </c>
      <c r="I1018" s="95" cm="1">
        <f ca="1" t="array" ref="I1018">MIN(30-SUM(J1018:L1018),6-L1018,_xlfn.XLOOKUP($D1018&amp;"_"&amp;I$52,$B$14:$B$36&amp;"_"&amp;$C$14:$C$36,$D$14:$D$36)*$E1018)</f>
        <v>0.771</v>
      </c>
      <c r="J1018" s="95" cm="1">
        <f ca="1" t="array" ref="J1018">MIN(8,_xlfn.XLOOKUP($D1018&amp;"_"&amp;J$52,$B$14:$B$36&amp;"_"&amp;$C$14:$C$36,$D$14:$D$36)*$E1018)</f>
        <v>7.47</v>
      </c>
      <c r="K1018" s="95" cm="1">
        <f ca="1" t="array" ref="K1018">MIN(18,_xlfn.XLOOKUP($D1018&amp;"_"&amp;K$52,$B$14:$B$36&amp;"_"&amp;$C$14:$C$36,$D$14:$D$36)*$E1018)</f>
        <v>2.7888</v>
      </c>
      <c r="L1018" s="95" cm="1">
        <f ca="1" t="array" ref="L1018">MIN(6,_xlfn.XLOOKUP($D1018&amp;"_"&amp;L$52,$B$14:$B$36&amp;"_"&amp;$C$14:$C$36,$D$14:$D$36)*$E1018)</f>
        <v>5.229</v>
      </c>
      <c r="M1018" s="95" cm="1">
        <f ca="1" t="array" ref="M1018">(1+SUMPRODUCT(G1018:H1018,OFFSET($H$40:$I$40,D1018,0)))*(1+OFFSET($J$40,D1018,0))^I1018*(1+OFFSET($K$40,D1018,0))^J1018*(1+OFFSET($L$40,D1018,0))^K1018*(1+OFFSET($M$40,D1018,0))^L1018</f>
        <v>251.497702721371</v>
      </c>
      <c r="N1018" s="95">
        <f ca="1">MAX(MAX($N$53:N1017),OFFSET($C$52,MATCH(M1018*1.07,$M$53:$M$2052,1),0)-C1018)</f>
        <v>10440</v>
      </c>
    </row>
    <row r="1019" spans="2:14">
      <c r="B1019" s="95">
        <v>967</v>
      </c>
      <c r="C1019" s="95">
        <f t="shared" si="81"/>
        <v>348120</v>
      </c>
      <c r="D1019" s="95">
        <f ca="1">_xlfn.XLOOKUP(总览!$B$44,$B$40:$B$45,$C$40:$C$45)</f>
        <v>5</v>
      </c>
      <c r="E1019" s="95">
        <f ca="1" t="shared" si="78"/>
        <v>997</v>
      </c>
      <c r="F1019" s="95">
        <f ca="1" t="shared" si="79"/>
        <v>0</v>
      </c>
      <c r="G1019" s="95">
        <f ca="1" t="shared" si="80"/>
        <v>0</v>
      </c>
      <c r="H1019" s="95" cm="1">
        <f ca="1" t="array" ref="H1019">MIN(30-SUM(I1019:L1019),_xlfn.XLOOKUP($D1019&amp;"_"&amp;H$52,$B$14:$B$36&amp;"_"&amp;$C$14:$C$36,$D$14:$D$36)*$E1019,18)</f>
        <v>13.7309</v>
      </c>
      <c r="I1019" s="95" cm="1">
        <f ca="1" t="array" ref="I1019">MIN(30-SUM(J1019:L1019),6-L1019,_xlfn.XLOOKUP($D1019&amp;"_"&amp;I$52,$B$14:$B$36&amp;"_"&amp;$C$14:$C$36,$D$14:$D$36)*$E1019)</f>
        <v>0.76575</v>
      </c>
      <c r="J1019" s="95" cm="1">
        <f ca="1" t="array" ref="J1019">MIN(8,_xlfn.XLOOKUP($D1019&amp;"_"&amp;J$52,$B$14:$B$36&amp;"_"&amp;$C$14:$C$36,$D$14:$D$36)*$E1019)</f>
        <v>7.4775</v>
      </c>
      <c r="K1019" s="95" cm="1">
        <f ca="1" t="array" ref="K1019">MIN(18,_xlfn.XLOOKUP($D1019&amp;"_"&amp;K$52,$B$14:$B$36&amp;"_"&amp;$C$14:$C$36,$D$14:$D$36)*$E1019)</f>
        <v>2.7916</v>
      </c>
      <c r="L1019" s="95" cm="1">
        <f ca="1" t="array" ref="L1019">MIN(6,_xlfn.XLOOKUP($D1019&amp;"_"&amp;L$52,$B$14:$B$36&amp;"_"&amp;$C$14:$C$36,$D$14:$D$36)*$E1019)</f>
        <v>5.23425</v>
      </c>
      <c r="M1019" s="95" cm="1">
        <f ca="1" t="array" ref="M1019">(1+SUMPRODUCT(G1019:H1019,OFFSET($H$40:$I$40,D1019,0)))*(1+OFFSET($J$40,D1019,0))^I1019*(1+OFFSET($K$40,D1019,0))^J1019*(1+OFFSET($L$40,D1019,0))^K1019*(1+OFFSET($M$40,D1019,0))^L1019</f>
        <v>252.084138366082</v>
      </c>
      <c r="N1019" s="95">
        <f ca="1">MAX(MAX($N$53:N1018),OFFSET($C$52,MATCH(M1019*1.07,$M$53:$M$2052,1),0)-C1019)</f>
        <v>10440</v>
      </c>
    </row>
    <row r="1020" spans="2:14">
      <c r="B1020" s="95">
        <v>968</v>
      </c>
      <c r="C1020" s="95">
        <f t="shared" si="81"/>
        <v>348480</v>
      </c>
      <c r="D1020" s="95">
        <f ca="1">_xlfn.XLOOKUP(总览!$B$44,$B$40:$B$45,$C$40:$C$45)</f>
        <v>5</v>
      </c>
      <c r="E1020" s="95">
        <f ca="1" t="shared" si="78"/>
        <v>998</v>
      </c>
      <c r="F1020" s="95">
        <f ca="1" t="shared" si="79"/>
        <v>0</v>
      </c>
      <c r="G1020" s="95">
        <f ca="1" t="shared" si="80"/>
        <v>0</v>
      </c>
      <c r="H1020" s="95" cm="1">
        <f ca="1" t="array" ref="H1020">MIN(30-SUM(I1020:L1020),_xlfn.XLOOKUP($D1020&amp;"_"&amp;H$52,$B$14:$B$36&amp;"_"&amp;$C$14:$C$36,$D$14:$D$36)*$E1020,18)</f>
        <v>13.7206</v>
      </c>
      <c r="I1020" s="95" cm="1">
        <f ca="1" t="array" ref="I1020">MIN(30-SUM(J1020:L1020),6-L1020,_xlfn.XLOOKUP($D1020&amp;"_"&amp;I$52,$B$14:$B$36&amp;"_"&amp;$C$14:$C$36,$D$14:$D$36)*$E1020)</f>
        <v>0.7605</v>
      </c>
      <c r="J1020" s="95" cm="1">
        <f ca="1" t="array" ref="J1020">MIN(8,_xlfn.XLOOKUP($D1020&amp;"_"&amp;J$52,$B$14:$B$36&amp;"_"&amp;$C$14:$C$36,$D$14:$D$36)*$E1020)</f>
        <v>7.485</v>
      </c>
      <c r="K1020" s="95" cm="1">
        <f ca="1" t="array" ref="K1020">MIN(18,_xlfn.XLOOKUP($D1020&amp;"_"&amp;K$52,$B$14:$B$36&amp;"_"&amp;$C$14:$C$36,$D$14:$D$36)*$E1020)</f>
        <v>2.7944</v>
      </c>
      <c r="L1020" s="95" cm="1">
        <f ca="1" t="array" ref="L1020">MIN(6,_xlfn.XLOOKUP($D1020&amp;"_"&amp;L$52,$B$14:$B$36&amp;"_"&amp;$C$14:$C$36,$D$14:$D$36)*$E1020)</f>
        <v>5.2395</v>
      </c>
      <c r="M1020" s="95" cm="1">
        <f ca="1" t="array" ref="M1020">(1+SUMPRODUCT(G1020:H1020,OFFSET($H$40:$I$40,D1020,0)))*(1+OFFSET($J$40,D1020,0))^I1020*(1+OFFSET($K$40,D1020,0))^J1020*(1+OFFSET($L$40,D1020,0))^K1020*(1+OFFSET($M$40,D1020,0))^L1020</f>
        <v>252.671865042147</v>
      </c>
      <c r="N1020" s="95">
        <f ca="1">MAX(MAX($N$53:N1019),OFFSET($C$52,MATCH(M1020*1.07,$M$53:$M$2052,1),0)-C1020)</f>
        <v>10440</v>
      </c>
    </row>
    <row r="1021" spans="2:14">
      <c r="B1021" s="95">
        <v>969</v>
      </c>
      <c r="C1021" s="95">
        <f t="shared" si="81"/>
        <v>348840</v>
      </c>
      <c r="D1021" s="95">
        <f ca="1">_xlfn.XLOOKUP(总览!$B$44,$B$40:$B$45,$C$40:$C$45)</f>
        <v>5</v>
      </c>
      <c r="E1021" s="95">
        <f ca="1" t="shared" si="78"/>
        <v>999</v>
      </c>
      <c r="F1021" s="95">
        <f ca="1" t="shared" si="79"/>
        <v>0</v>
      </c>
      <c r="G1021" s="95">
        <f ca="1" t="shared" si="80"/>
        <v>0</v>
      </c>
      <c r="H1021" s="95" cm="1">
        <f ca="1" t="array" ref="H1021">MIN(30-SUM(I1021:L1021),_xlfn.XLOOKUP($D1021&amp;"_"&amp;H$52,$B$14:$B$36&amp;"_"&amp;$C$14:$C$36,$D$14:$D$36)*$E1021,18)</f>
        <v>13.7103</v>
      </c>
      <c r="I1021" s="95" cm="1">
        <f ca="1" t="array" ref="I1021">MIN(30-SUM(J1021:L1021),6-L1021,_xlfn.XLOOKUP($D1021&amp;"_"&amp;I$52,$B$14:$B$36&amp;"_"&amp;$C$14:$C$36,$D$14:$D$36)*$E1021)</f>
        <v>0.755249999999999</v>
      </c>
      <c r="J1021" s="95" cm="1">
        <f ca="1" t="array" ref="J1021">MIN(8,_xlfn.XLOOKUP($D1021&amp;"_"&amp;J$52,$B$14:$B$36&amp;"_"&amp;$C$14:$C$36,$D$14:$D$36)*$E1021)</f>
        <v>7.4925</v>
      </c>
      <c r="K1021" s="95" cm="1">
        <f ca="1" t="array" ref="K1021">MIN(18,_xlfn.XLOOKUP($D1021&amp;"_"&amp;K$52,$B$14:$B$36&amp;"_"&amp;$C$14:$C$36,$D$14:$D$36)*$E1021)</f>
        <v>2.7972</v>
      </c>
      <c r="L1021" s="95" cm="1">
        <f ca="1" t="array" ref="L1021">MIN(6,_xlfn.XLOOKUP($D1021&amp;"_"&amp;L$52,$B$14:$B$36&amp;"_"&amp;$C$14:$C$36,$D$14:$D$36)*$E1021)</f>
        <v>5.24475</v>
      </c>
      <c r="M1021" s="95" cm="1">
        <f ca="1" t="array" ref="M1021">(1+SUMPRODUCT(G1021:H1021,OFFSET($H$40:$I$40,D1021,0)))*(1+OFFSET($J$40,D1021,0))^I1021*(1+OFFSET($K$40,D1021,0))^J1021*(1+OFFSET($L$40,D1021,0))^K1021*(1+OFFSET($M$40,D1021,0))^L1021</f>
        <v>253.260885319424</v>
      </c>
      <c r="N1021" s="95">
        <f ca="1">MAX(MAX($N$53:N1020),OFFSET($C$52,MATCH(M1021*1.07,$M$53:$M$2052,1),0)-C1021)</f>
        <v>10440</v>
      </c>
    </row>
    <row r="1022" spans="2:14">
      <c r="B1022" s="95">
        <v>970</v>
      </c>
      <c r="C1022" s="95">
        <f t="shared" si="81"/>
        <v>349200</v>
      </c>
      <c r="D1022" s="95">
        <f ca="1">_xlfn.XLOOKUP(总览!$B$44,$B$40:$B$45,$C$40:$C$45)</f>
        <v>5</v>
      </c>
      <c r="E1022" s="95">
        <f ca="1" t="shared" si="78"/>
        <v>1000</v>
      </c>
      <c r="F1022" s="95">
        <f ca="1" t="shared" si="79"/>
        <v>0</v>
      </c>
      <c r="G1022" s="95">
        <f ca="1" t="shared" si="80"/>
        <v>0</v>
      </c>
      <c r="H1022" s="95" cm="1">
        <f ca="1" t="array" ref="H1022">MIN(30-SUM(I1022:L1022),_xlfn.XLOOKUP($D1022&amp;"_"&amp;H$52,$B$14:$B$36&amp;"_"&amp;$C$14:$C$36,$D$14:$D$36)*$E1022,18)</f>
        <v>13.7</v>
      </c>
      <c r="I1022" s="95" cm="1">
        <f ca="1" t="array" ref="I1022">MIN(30-SUM(J1022:L1022),6-L1022,_xlfn.XLOOKUP($D1022&amp;"_"&amp;I$52,$B$14:$B$36&amp;"_"&amp;$C$14:$C$36,$D$14:$D$36)*$E1022)</f>
        <v>0.75</v>
      </c>
      <c r="J1022" s="95" cm="1">
        <f ca="1" t="array" ref="J1022">MIN(8,_xlfn.XLOOKUP($D1022&amp;"_"&amp;J$52,$B$14:$B$36&amp;"_"&amp;$C$14:$C$36,$D$14:$D$36)*$E1022)</f>
        <v>7.5</v>
      </c>
      <c r="K1022" s="95" cm="1">
        <f ca="1" t="array" ref="K1022">MIN(18,_xlfn.XLOOKUP($D1022&amp;"_"&amp;K$52,$B$14:$B$36&amp;"_"&amp;$C$14:$C$36,$D$14:$D$36)*$E1022)</f>
        <v>2.8</v>
      </c>
      <c r="L1022" s="95" cm="1">
        <f ca="1" t="array" ref="L1022">MIN(6,_xlfn.XLOOKUP($D1022&amp;"_"&amp;L$52,$B$14:$B$36&amp;"_"&amp;$C$14:$C$36,$D$14:$D$36)*$E1022)</f>
        <v>5.25</v>
      </c>
      <c r="M1022" s="95" cm="1">
        <f ca="1" t="array" ref="M1022">(1+SUMPRODUCT(G1022:H1022,OFFSET($H$40:$I$40,D1022,0)))*(1+OFFSET($J$40,D1022,0))^I1022*(1+OFFSET($K$40,D1022,0))^J1022*(1+OFFSET($L$40,D1022,0))^K1022*(1+OFFSET($M$40,D1022,0))^L1022</f>
        <v>253.851201771856</v>
      </c>
      <c r="N1022" s="95">
        <f ca="1">MAX(MAX($N$53:N1021),OFFSET($C$52,MATCH(M1022*1.07,$M$53:$M$2052,1),0)-C1022)</f>
        <v>10440</v>
      </c>
    </row>
    <row r="1023" spans="2:14">
      <c r="B1023" s="95">
        <v>971</v>
      </c>
      <c r="C1023" s="95">
        <f t="shared" si="81"/>
        <v>349560</v>
      </c>
      <c r="D1023" s="95">
        <f ca="1">_xlfn.XLOOKUP(总览!$B$44,$B$40:$B$45,$C$40:$C$45)</f>
        <v>5</v>
      </c>
      <c r="E1023" s="95">
        <f ca="1" t="shared" si="78"/>
        <v>1001</v>
      </c>
      <c r="F1023" s="95">
        <f ca="1" t="shared" si="79"/>
        <v>0</v>
      </c>
      <c r="G1023" s="95">
        <f ca="1" t="shared" si="80"/>
        <v>0</v>
      </c>
      <c r="H1023" s="95" cm="1">
        <f ca="1" t="array" ref="H1023">MIN(30-SUM(I1023:L1023),_xlfn.XLOOKUP($D1023&amp;"_"&amp;H$52,$B$14:$B$36&amp;"_"&amp;$C$14:$C$36,$D$14:$D$36)*$E1023,18)</f>
        <v>13.6897</v>
      </c>
      <c r="I1023" s="95" cm="1">
        <f ca="1" t="array" ref="I1023">MIN(30-SUM(J1023:L1023),6-L1023,_xlfn.XLOOKUP($D1023&amp;"_"&amp;I$52,$B$14:$B$36&amp;"_"&amp;$C$14:$C$36,$D$14:$D$36)*$E1023)</f>
        <v>0.74475</v>
      </c>
      <c r="J1023" s="95" cm="1">
        <f ca="1" t="array" ref="J1023">MIN(8,_xlfn.XLOOKUP($D1023&amp;"_"&amp;J$52,$B$14:$B$36&amp;"_"&amp;$C$14:$C$36,$D$14:$D$36)*$E1023)</f>
        <v>7.5075</v>
      </c>
      <c r="K1023" s="95" cm="1">
        <f ca="1" t="array" ref="K1023">MIN(18,_xlfn.XLOOKUP($D1023&amp;"_"&amp;K$52,$B$14:$B$36&amp;"_"&amp;$C$14:$C$36,$D$14:$D$36)*$E1023)</f>
        <v>2.8028</v>
      </c>
      <c r="L1023" s="95" cm="1">
        <f ca="1" t="array" ref="L1023">MIN(6,_xlfn.XLOOKUP($D1023&amp;"_"&amp;L$52,$B$14:$B$36&amp;"_"&amp;$C$14:$C$36,$D$14:$D$36)*$E1023)</f>
        <v>5.25525</v>
      </c>
      <c r="M1023" s="95" cm="1">
        <f ca="1" t="array" ref="M1023">(1+SUMPRODUCT(G1023:H1023,OFFSET($H$40:$I$40,D1023,0)))*(1+OFFSET($J$40,D1023,0))^I1023*(1+OFFSET($K$40,D1023,0))^J1023*(1+OFFSET($L$40,D1023,0))^K1023*(1+OFFSET($M$40,D1023,0))^L1023</f>
        <v>254.442816977478</v>
      </c>
      <c r="N1023" s="95">
        <f ca="1">MAX(MAX($N$53:N1022),OFFSET($C$52,MATCH(M1023*1.07,$M$53:$M$2052,1),0)-C1023)</f>
        <v>10440</v>
      </c>
    </row>
    <row r="1024" spans="2:14">
      <c r="B1024" s="95">
        <v>972</v>
      </c>
      <c r="C1024" s="95">
        <f t="shared" si="81"/>
        <v>349920</v>
      </c>
      <c r="D1024" s="95">
        <f ca="1">_xlfn.XLOOKUP(总览!$B$44,$B$40:$B$45,$C$40:$C$45)</f>
        <v>5</v>
      </c>
      <c r="E1024" s="95">
        <f ca="1" t="shared" si="78"/>
        <v>1002</v>
      </c>
      <c r="F1024" s="95">
        <f ca="1" t="shared" si="79"/>
        <v>0</v>
      </c>
      <c r="G1024" s="95">
        <f ca="1" t="shared" si="80"/>
        <v>0</v>
      </c>
      <c r="H1024" s="95" cm="1">
        <f ca="1" t="array" ref="H1024">MIN(30-SUM(I1024:L1024),_xlfn.XLOOKUP($D1024&amp;"_"&amp;H$52,$B$14:$B$36&amp;"_"&amp;$C$14:$C$36,$D$14:$D$36)*$E1024,18)</f>
        <v>13.6794</v>
      </c>
      <c r="I1024" s="95" cm="1">
        <f ca="1" t="array" ref="I1024">MIN(30-SUM(J1024:L1024),6-L1024,_xlfn.XLOOKUP($D1024&amp;"_"&amp;I$52,$B$14:$B$36&amp;"_"&amp;$C$14:$C$36,$D$14:$D$36)*$E1024)</f>
        <v>0.7395</v>
      </c>
      <c r="J1024" s="95" cm="1">
        <f ca="1" t="array" ref="J1024">MIN(8,_xlfn.XLOOKUP($D1024&amp;"_"&amp;J$52,$B$14:$B$36&amp;"_"&amp;$C$14:$C$36,$D$14:$D$36)*$E1024)</f>
        <v>7.515</v>
      </c>
      <c r="K1024" s="95" cm="1">
        <f ca="1" t="array" ref="K1024">MIN(18,_xlfn.XLOOKUP($D1024&amp;"_"&amp;K$52,$B$14:$B$36&amp;"_"&amp;$C$14:$C$36,$D$14:$D$36)*$E1024)</f>
        <v>2.8056</v>
      </c>
      <c r="L1024" s="95" cm="1">
        <f ca="1" t="array" ref="L1024">MIN(6,_xlfn.XLOOKUP($D1024&amp;"_"&amp;L$52,$B$14:$B$36&amp;"_"&amp;$C$14:$C$36,$D$14:$D$36)*$E1024)</f>
        <v>5.2605</v>
      </c>
      <c r="M1024" s="95" cm="1">
        <f ca="1" t="array" ref="M1024">(1+SUMPRODUCT(G1024:H1024,OFFSET($H$40:$I$40,D1024,0)))*(1+OFFSET($J$40,D1024,0))^I1024*(1+OFFSET($K$40,D1024,0))^J1024*(1+OFFSET($L$40,D1024,0))^K1024*(1+OFFSET($M$40,D1024,0))^L1024</f>
        <v>255.035733518414</v>
      </c>
      <c r="N1024" s="95">
        <f ca="1">MAX(MAX($N$53:N1023),OFFSET($C$52,MATCH(M1024*1.07,$M$53:$M$2052,1),0)-C1024)</f>
        <v>10440</v>
      </c>
    </row>
    <row r="1025" spans="2:14">
      <c r="B1025" s="95">
        <v>973</v>
      </c>
      <c r="C1025" s="95">
        <f t="shared" si="81"/>
        <v>350280</v>
      </c>
      <c r="D1025" s="95">
        <f ca="1">_xlfn.XLOOKUP(总览!$B$44,$B$40:$B$45,$C$40:$C$45)</f>
        <v>5</v>
      </c>
      <c r="E1025" s="95">
        <f ca="1" t="shared" si="78"/>
        <v>1003</v>
      </c>
      <c r="F1025" s="95">
        <f ca="1" t="shared" si="79"/>
        <v>0</v>
      </c>
      <c r="G1025" s="95">
        <f ca="1" t="shared" si="80"/>
        <v>0</v>
      </c>
      <c r="H1025" s="95" cm="1">
        <f ca="1" t="array" ref="H1025">MIN(30-SUM(I1025:L1025),_xlfn.XLOOKUP($D1025&amp;"_"&amp;H$52,$B$14:$B$36&amp;"_"&amp;$C$14:$C$36,$D$14:$D$36)*$E1025,18)</f>
        <v>13.6691</v>
      </c>
      <c r="I1025" s="95" cm="1">
        <f ca="1" t="array" ref="I1025">MIN(30-SUM(J1025:L1025),6-L1025,_xlfn.XLOOKUP($D1025&amp;"_"&amp;I$52,$B$14:$B$36&amp;"_"&amp;$C$14:$C$36,$D$14:$D$36)*$E1025)</f>
        <v>0.734249999999999</v>
      </c>
      <c r="J1025" s="95" cm="1">
        <f ca="1" t="array" ref="J1025">MIN(8,_xlfn.XLOOKUP($D1025&amp;"_"&amp;J$52,$B$14:$B$36&amp;"_"&amp;$C$14:$C$36,$D$14:$D$36)*$E1025)</f>
        <v>7.5225</v>
      </c>
      <c r="K1025" s="95" cm="1">
        <f ca="1" t="array" ref="K1025">MIN(18,_xlfn.XLOOKUP($D1025&amp;"_"&amp;K$52,$B$14:$B$36&amp;"_"&amp;$C$14:$C$36,$D$14:$D$36)*$E1025)</f>
        <v>2.8084</v>
      </c>
      <c r="L1025" s="95" cm="1">
        <f ca="1" t="array" ref="L1025">MIN(6,_xlfn.XLOOKUP($D1025&amp;"_"&amp;L$52,$B$14:$B$36&amp;"_"&amp;$C$14:$C$36,$D$14:$D$36)*$E1025)</f>
        <v>5.26575</v>
      </c>
      <c r="M1025" s="95" cm="1">
        <f ca="1" t="array" ref="M1025">(1+SUMPRODUCT(G1025:H1025,OFFSET($H$40:$I$40,D1025,0)))*(1+OFFSET($J$40,D1025,0))^I1025*(1+OFFSET($K$40,D1025,0))^J1025*(1+OFFSET($L$40,D1025,0))^K1025*(1+OFFSET($M$40,D1025,0))^L1025</f>
        <v>255.629953980882</v>
      </c>
      <c r="N1025" s="95">
        <f ca="1">MAX(MAX($N$53:N1024),OFFSET($C$52,MATCH(M1025*1.07,$M$53:$M$2052,1),0)-C1025)</f>
        <v>10440</v>
      </c>
    </row>
    <row r="1026" spans="2:14">
      <c r="B1026" s="95">
        <v>974</v>
      </c>
      <c r="C1026" s="95">
        <f t="shared" si="81"/>
        <v>350640</v>
      </c>
      <c r="D1026" s="95">
        <f ca="1">_xlfn.XLOOKUP(总览!$B$44,$B$40:$B$45,$C$40:$C$45)</f>
        <v>5</v>
      </c>
      <c r="E1026" s="95">
        <f ca="1" t="shared" si="78"/>
        <v>1004</v>
      </c>
      <c r="F1026" s="95">
        <f ca="1" t="shared" si="79"/>
        <v>0</v>
      </c>
      <c r="G1026" s="95">
        <f ca="1" t="shared" si="80"/>
        <v>0</v>
      </c>
      <c r="H1026" s="95" cm="1">
        <f ca="1" t="array" ref="H1026">MIN(30-SUM(I1026:L1026),_xlfn.XLOOKUP($D1026&amp;"_"&amp;H$52,$B$14:$B$36&amp;"_"&amp;$C$14:$C$36,$D$14:$D$36)*$E1026,18)</f>
        <v>13.6588</v>
      </c>
      <c r="I1026" s="95" cm="1">
        <f ca="1" t="array" ref="I1026">MIN(30-SUM(J1026:L1026),6-L1026,_xlfn.XLOOKUP($D1026&amp;"_"&amp;I$52,$B$14:$B$36&amp;"_"&amp;$C$14:$C$36,$D$14:$D$36)*$E1026)</f>
        <v>0.729</v>
      </c>
      <c r="J1026" s="95" cm="1">
        <f ca="1" t="array" ref="J1026">MIN(8,_xlfn.XLOOKUP($D1026&amp;"_"&amp;J$52,$B$14:$B$36&amp;"_"&amp;$C$14:$C$36,$D$14:$D$36)*$E1026)</f>
        <v>7.53</v>
      </c>
      <c r="K1026" s="95" cm="1">
        <f ca="1" t="array" ref="K1026">MIN(18,_xlfn.XLOOKUP($D1026&amp;"_"&amp;K$52,$B$14:$B$36&amp;"_"&amp;$C$14:$C$36,$D$14:$D$36)*$E1026)</f>
        <v>2.8112</v>
      </c>
      <c r="L1026" s="95" cm="1">
        <f ca="1" t="array" ref="L1026">MIN(6,_xlfn.XLOOKUP($D1026&amp;"_"&amp;L$52,$B$14:$B$36&amp;"_"&amp;$C$14:$C$36,$D$14:$D$36)*$E1026)</f>
        <v>5.271</v>
      </c>
      <c r="M1026" s="95" cm="1">
        <f ca="1" t="array" ref="M1026">(1+SUMPRODUCT(G1026:H1026,OFFSET($H$40:$I$40,D1026,0)))*(1+OFFSET($J$40,D1026,0))^I1026*(1+OFFSET($K$40,D1026,0))^J1026*(1+OFFSET($L$40,D1026,0))^K1026*(1+OFFSET($M$40,D1026,0))^L1026</f>
        <v>256.225480955199</v>
      </c>
      <c r="N1026" s="95">
        <f ca="1">MAX(MAX($N$53:N1025),OFFSET($C$52,MATCH(M1026*1.07,$M$53:$M$2052,1),0)-C1026)</f>
        <v>10440</v>
      </c>
    </row>
    <row r="1027" spans="2:14">
      <c r="B1027" s="95">
        <v>975</v>
      </c>
      <c r="C1027" s="95">
        <f t="shared" si="81"/>
        <v>351000</v>
      </c>
      <c r="D1027" s="95">
        <f ca="1">_xlfn.XLOOKUP(总览!$B$44,$B$40:$B$45,$C$40:$C$45)</f>
        <v>5</v>
      </c>
      <c r="E1027" s="95">
        <f ca="1" t="shared" si="78"/>
        <v>1005</v>
      </c>
      <c r="F1027" s="95">
        <f ca="1" t="shared" si="79"/>
        <v>0</v>
      </c>
      <c r="G1027" s="95">
        <f ca="1" t="shared" si="80"/>
        <v>0</v>
      </c>
      <c r="H1027" s="95" cm="1">
        <f ca="1" t="array" ref="H1027">MIN(30-SUM(I1027:L1027),_xlfn.XLOOKUP($D1027&amp;"_"&amp;H$52,$B$14:$B$36&amp;"_"&amp;$C$14:$C$36,$D$14:$D$36)*$E1027,18)</f>
        <v>13.6485</v>
      </c>
      <c r="I1027" s="95" cm="1">
        <f ca="1" t="array" ref="I1027">MIN(30-SUM(J1027:L1027),6-L1027,_xlfn.XLOOKUP($D1027&amp;"_"&amp;I$52,$B$14:$B$36&amp;"_"&amp;$C$14:$C$36,$D$14:$D$36)*$E1027)</f>
        <v>0.72375</v>
      </c>
      <c r="J1027" s="95" cm="1">
        <f ca="1" t="array" ref="J1027">MIN(8,_xlfn.XLOOKUP($D1027&amp;"_"&amp;J$52,$B$14:$B$36&amp;"_"&amp;$C$14:$C$36,$D$14:$D$36)*$E1027)</f>
        <v>7.5375</v>
      </c>
      <c r="K1027" s="95" cm="1">
        <f ca="1" t="array" ref="K1027">MIN(18,_xlfn.XLOOKUP($D1027&amp;"_"&amp;K$52,$B$14:$B$36&amp;"_"&amp;$C$14:$C$36,$D$14:$D$36)*$E1027)</f>
        <v>2.814</v>
      </c>
      <c r="L1027" s="95" cm="1">
        <f ca="1" t="array" ref="L1027">MIN(6,_xlfn.XLOOKUP($D1027&amp;"_"&amp;L$52,$B$14:$B$36&amp;"_"&amp;$C$14:$C$36,$D$14:$D$36)*$E1027)</f>
        <v>5.27625</v>
      </c>
      <c r="M1027" s="95" cm="1">
        <f ca="1" t="array" ref="M1027">(1+SUMPRODUCT(G1027:H1027,OFFSET($H$40:$I$40,D1027,0)))*(1+OFFSET($J$40,D1027,0))^I1027*(1+OFFSET($K$40,D1027,0))^J1027*(1+OFFSET($L$40,D1027,0))^K1027*(1+OFFSET($M$40,D1027,0))^L1027</f>
        <v>256.822317035778</v>
      </c>
      <c r="N1027" s="95">
        <f ca="1">MAX(MAX($N$53:N1026),OFFSET($C$52,MATCH(M1027*1.07,$M$53:$M$2052,1),0)-C1027)</f>
        <v>10440</v>
      </c>
    </row>
    <row r="1028" spans="2:14">
      <c r="B1028" s="95">
        <v>976</v>
      </c>
      <c r="C1028" s="95">
        <f t="shared" si="81"/>
        <v>351360</v>
      </c>
      <c r="D1028" s="95">
        <f ca="1">_xlfn.XLOOKUP(总览!$B$44,$B$40:$B$45,$C$40:$C$45)</f>
        <v>5</v>
      </c>
      <c r="E1028" s="95">
        <f ca="1" t="shared" si="78"/>
        <v>1006</v>
      </c>
      <c r="F1028" s="95">
        <f ca="1" t="shared" si="79"/>
        <v>0</v>
      </c>
      <c r="G1028" s="95">
        <f ca="1" t="shared" si="80"/>
        <v>0</v>
      </c>
      <c r="H1028" s="95" cm="1">
        <f ca="1" t="array" ref="H1028">MIN(30-SUM(I1028:L1028),_xlfn.XLOOKUP($D1028&amp;"_"&amp;H$52,$B$14:$B$36&amp;"_"&amp;$C$14:$C$36,$D$14:$D$36)*$E1028,18)</f>
        <v>13.6382</v>
      </c>
      <c r="I1028" s="95" cm="1">
        <f ca="1" t="array" ref="I1028">MIN(30-SUM(J1028:L1028),6-L1028,_xlfn.XLOOKUP($D1028&amp;"_"&amp;I$52,$B$14:$B$36&amp;"_"&amp;$C$14:$C$36,$D$14:$D$36)*$E1028)</f>
        <v>0.7185</v>
      </c>
      <c r="J1028" s="95" cm="1">
        <f ca="1" t="array" ref="J1028">MIN(8,_xlfn.XLOOKUP($D1028&amp;"_"&amp;J$52,$B$14:$B$36&amp;"_"&amp;$C$14:$C$36,$D$14:$D$36)*$E1028)</f>
        <v>7.545</v>
      </c>
      <c r="K1028" s="95" cm="1">
        <f ca="1" t="array" ref="K1028">MIN(18,_xlfn.XLOOKUP($D1028&amp;"_"&amp;K$52,$B$14:$B$36&amp;"_"&amp;$C$14:$C$36,$D$14:$D$36)*$E1028)</f>
        <v>2.8168</v>
      </c>
      <c r="L1028" s="95" cm="1">
        <f ca="1" t="array" ref="L1028">MIN(6,_xlfn.XLOOKUP($D1028&amp;"_"&amp;L$52,$B$14:$B$36&amp;"_"&amp;$C$14:$C$36,$D$14:$D$36)*$E1028)</f>
        <v>5.2815</v>
      </c>
      <c r="M1028" s="95" cm="1">
        <f ca="1" t="array" ref="M1028">(1+SUMPRODUCT(G1028:H1028,OFFSET($H$40:$I$40,D1028,0)))*(1+OFFSET($J$40,D1028,0))^I1028*(1+OFFSET($K$40,D1028,0))^J1028*(1+OFFSET($L$40,D1028,0))^K1028*(1+OFFSET($M$40,D1028,0))^L1028</f>
        <v>257.42046482113</v>
      </c>
      <c r="N1028" s="95">
        <f ca="1">MAX(MAX($N$53:N1027),OFFSET($C$52,MATCH(M1028*1.07,$M$53:$M$2052,1),0)-C1028)</f>
        <v>10440</v>
      </c>
    </row>
    <row r="1029" spans="2:14">
      <c r="B1029" s="95">
        <v>977</v>
      </c>
      <c r="C1029" s="95">
        <f t="shared" si="81"/>
        <v>351720</v>
      </c>
      <c r="D1029" s="95">
        <f ca="1">_xlfn.XLOOKUP(总览!$B$44,$B$40:$B$45,$C$40:$C$45)</f>
        <v>5</v>
      </c>
      <c r="E1029" s="95">
        <f ca="1" t="shared" si="78"/>
        <v>1007</v>
      </c>
      <c r="F1029" s="95">
        <f ca="1" t="shared" si="79"/>
        <v>0</v>
      </c>
      <c r="G1029" s="95">
        <f ca="1" t="shared" si="80"/>
        <v>0</v>
      </c>
      <c r="H1029" s="95" cm="1">
        <f ca="1" t="array" ref="H1029">MIN(30-SUM(I1029:L1029),_xlfn.XLOOKUP($D1029&amp;"_"&amp;H$52,$B$14:$B$36&amp;"_"&amp;$C$14:$C$36,$D$14:$D$36)*$E1029,18)</f>
        <v>13.6279</v>
      </c>
      <c r="I1029" s="95" cm="1">
        <f ca="1" t="array" ref="I1029">MIN(30-SUM(J1029:L1029),6-L1029,_xlfn.XLOOKUP($D1029&amp;"_"&amp;I$52,$B$14:$B$36&amp;"_"&amp;$C$14:$C$36,$D$14:$D$36)*$E1029)</f>
        <v>0.713249999999999</v>
      </c>
      <c r="J1029" s="95" cm="1">
        <f ca="1" t="array" ref="J1029">MIN(8,_xlfn.XLOOKUP($D1029&amp;"_"&amp;J$52,$B$14:$B$36&amp;"_"&amp;$C$14:$C$36,$D$14:$D$36)*$E1029)</f>
        <v>7.5525</v>
      </c>
      <c r="K1029" s="95" cm="1">
        <f ca="1" t="array" ref="K1029">MIN(18,_xlfn.XLOOKUP($D1029&amp;"_"&amp;K$52,$B$14:$B$36&amp;"_"&amp;$C$14:$C$36,$D$14:$D$36)*$E1029)</f>
        <v>2.8196</v>
      </c>
      <c r="L1029" s="95" cm="1">
        <f ca="1" t="array" ref="L1029">MIN(6,_xlfn.XLOOKUP($D1029&amp;"_"&amp;L$52,$B$14:$B$36&amp;"_"&amp;$C$14:$C$36,$D$14:$D$36)*$E1029)</f>
        <v>5.28675</v>
      </c>
      <c r="M1029" s="95" cm="1">
        <f ca="1" t="array" ref="M1029">(1+SUMPRODUCT(G1029:H1029,OFFSET($H$40:$I$40,D1029,0)))*(1+OFFSET($J$40,D1029,0))^I1029*(1+OFFSET($K$40,D1029,0))^J1029*(1+OFFSET($L$40,D1029,0))^K1029*(1+OFFSET($M$40,D1029,0))^L1029</f>
        <v>258.019926913873</v>
      </c>
      <c r="N1029" s="95">
        <f ca="1">MAX(MAX($N$53:N1028),OFFSET($C$52,MATCH(M1029*1.07,$M$53:$M$2052,1),0)-C1029)</f>
        <v>10440</v>
      </c>
    </row>
    <row r="1030" spans="2:14">
      <c r="B1030" s="95">
        <v>978</v>
      </c>
      <c r="C1030" s="95">
        <f t="shared" si="81"/>
        <v>352080</v>
      </c>
      <c r="D1030" s="95">
        <f ca="1">_xlfn.XLOOKUP(总览!$B$44,$B$40:$B$45,$C$40:$C$45)</f>
        <v>5</v>
      </c>
      <c r="E1030" s="95">
        <f ca="1" t="shared" si="78"/>
        <v>1008</v>
      </c>
      <c r="F1030" s="95">
        <f ca="1" t="shared" si="79"/>
        <v>0</v>
      </c>
      <c r="G1030" s="95">
        <f ca="1" t="shared" si="80"/>
        <v>0</v>
      </c>
      <c r="H1030" s="95" cm="1">
        <f ca="1" t="array" ref="H1030">MIN(30-SUM(I1030:L1030),_xlfn.XLOOKUP($D1030&amp;"_"&amp;H$52,$B$14:$B$36&amp;"_"&amp;$C$14:$C$36,$D$14:$D$36)*$E1030,18)</f>
        <v>13.6176</v>
      </c>
      <c r="I1030" s="95" cm="1">
        <f ca="1" t="array" ref="I1030">MIN(30-SUM(J1030:L1030),6-L1030,_xlfn.XLOOKUP($D1030&amp;"_"&amp;I$52,$B$14:$B$36&amp;"_"&amp;$C$14:$C$36,$D$14:$D$36)*$E1030)</f>
        <v>0.707999999999999</v>
      </c>
      <c r="J1030" s="95" cm="1">
        <f ca="1" t="array" ref="J1030">MIN(8,_xlfn.XLOOKUP($D1030&amp;"_"&amp;J$52,$B$14:$B$36&amp;"_"&amp;$C$14:$C$36,$D$14:$D$36)*$E1030)</f>
        <v>7.56</v>
      </c>
      <c r="K1030" s="95" cm="1">
        <f ca="1" t="array" ref="K1030">MIN(18,_xlfn.XLOOKUP($D1030&amp;"_"&amp;K$52,$B$14:$B$36&amp;"_"&amp;$C$14:$C$36,$D$14:$D$36)*$E1030)</f>
        <v>2.8224</v>
      </c>
      <c r="L1030" s="95" cm="1">
        <f ca="1" t="array" ref="L1030">MIN(6,_xlfn.XLOOKUP($D1030&amp;"_"&amp;L$52,$B$14:$B$36&amp;"_"&amp;$C$14:$C$36,$D$14:$D$36)*$E1030)</f>
        <v>5.292</v>
      </c>
      <c r="M1030" s="95" cm="1">
        <f ca="1" t="array" ref="M1030">(1+SUMPRODUCT(G1030:H1030,OFFSET($H$40:$I$40,D1030,0)))*(1+OFFSET($J$40,D1030,0))^I1030*(1+OFFSET($K$40,D1030,0))^J1030*(1+OFFSET($L$40,D1030,0))^K1030*(1+OFFSET($M$40,D1030,0))^L1030</f>
        <v>258.620705920725</v>
      </c>
      <c r="N1030" s="95">
        <f ca="1">MAX(MAX($N$53:N1029),OFFSET($C$52,MATCH(M1030*1.07,$M$53:$M$2052,1),0)-C1030)</f>
        <v>10440</v>
      </c>
    </row>
    <row r="1031" spans="2:14">
      <c r="B1031" s="95">
        <v>979</v>
      </c>
      <c r="C1031" s="95">
        <f t="shared" si="81"/>
        <v>352440</v>
      </c>
      <c r="D1031" s="95">
        <f ca="1">_xlfn.XLOOKUP(总览!$B$44,$B$40:$B$45,$C$40:$C$45)</f>
        <v>5</v>
      </c>
      <c r="E1031" s="95">
        <f ca="1" t="shared" si="78"/>
        <v>1009</v>
      </c>
      <c r="F1031" s="95">
        <f ca="1" t="shared" si="79"/>
        <v>0</v>
      </c>
      <c r="G1031" s="95">
        <f ca="1" t="shared" si="80"/>
        <v>0</v>
      </c>
      <c r="H1031" s="95" cm="1">
        <f ca="1" t="array" ref="H1031">MIN(30-SUM(I1031:L1031),_xlfn.XLOOKUP($D1031&amp;"_"&amp;H$52,$B$14:$B$36&amp;"_"&amp;$C$14:$C$36,$D$14:$D$36)*$E1031,18)</f>
        <v>13.6073</v>
      </c>
      <c r="I1031" s="95" cm="1">
        <f ca="1" t="array" ref="I1031">MIN(30-SUM(J1031:L1031),6-L1031,_xlfn.XLOOKUP($D1031&amp;"_"&amp;I$52,$B$14:$B$36&amp;"_"&amp;$C$14:$C$36,$D$14:$D$36)*$E1031)</f>
        <v>0.70275</v>
      </c>
      <c r="J1031" s="95" cm="1">
        <f ca="1" t="array" ref="J1031">MIN(8,_xlfn.XLOOKUP($D1031&amp;"_"&amp;J$52,$B$14:$B$36&amp;"_"&amp;$C$14:$C$36,$D$14:$D$36)*$E1031)</f>
        <v>7.5675</v>
      </c>
      <c r="K1031" s="95" cm="1">
        <f ca="1" t="array" ref="K1031">MIN(18,_xlfn.XLOOKUP($D1031&amp;"_"&amp;K$52,$B$14:$B$36&amp;"_"&amp;$C$14:$C$36,$D$14:$D$36)*$E1031)</f>
        <v>2.8252</v>
      </c>
      <c r="L1031" s="95" cm="1">
        <f ca="1" t="array" ref="L1031">MIN(6,_xlfn.XLOOKUP($D1031&amp;"_"&amp;L$52,$B$14:$B$36&amp;"_"&amp;$C$14:$C$36,$D$14:$D$36)*$E1031)</f>
        <v>5.29725</v>
      </c>
      <c r="M1031" s="95" cm="1">
        <f ca="1" t="array" ref="M1031">(1+SUMPRODUCT(G1031:H1031,OFFSET($H$40:$I$40,D1031,0)))*(1+OFFSET($J$40,D1031,0))^I1031*(1+OFFSET($K$40,D1031,0))^J1031*(1+OFFSET($L$40,D1031,0))^K1031*(1+OFFSET($M$40,D1031,0))^L1031</f>
        <v>259.222804452514</v>
      </c>
      <c r="N1031" s="95">
        <f ca="1">MAX(MAX($N$53:N1030),OFFSET($C$52,MATCH(M1031*1.07,$M$53:$M$2052,1),0)-C1031)</f>
        <v>10440</v>
      </c>
    </row>
    <row r="1032" spans="2:14">
      <c r="B1032" s="95">
        <v>980</v>
      </c>
      <c r="C1032" s="95">
        <f t="shared" si="81"/>
        <v>352800</v>
      </c>
      <c r="D1032" s="95">
        <f ca="1">_xlfn.XLOOKUP(总览!$B$44,$B$40:$B$45,$C$40:$C$45)</f>
        <v>5</v>
      </c>
      <c r="E1032" s="95">
        <f ca="1" t="shared" si="78"/>
        <v>1010</v>
      </c>
      <c r="F1032" s="95">
        <f ca="1" t="shared" si="79"/>
        <v>0</v>
      </c>
      <c r="G1032" s="95">
        <f ca="1" t="shared" si="80"/>
        <v>0</v>
      </c>
      <c r="H1032" s="95" cm="1">
        <f ca="1" t="array" ref="H1032">MIN(30-SUM(I1032:L1032),_xlfn.XLOOKUP($D1032&amp;"_"&amp;H$52,$B$14:$B$36&amp;"_"&amp;$C$14:$C$36,$D$14:$D$36)*$E1032,18)</f>
        <v>13.597</v>
      </c>
      <c r="I1032" s="95" cm="1">
        <f ca="1" t="array" ref="I1032">MIN(30-SUM(J1032:L1032),6-L1032,_xlfn.XLOOKUP($D1032&amp;"_"&amp;I$52,$B$14:$B$36&amp;"_"&amp;$C$14:$C$36,$D$14:$D$36)*$E1032)</f>
        <v>0.6975</v>
      </c>
      <c r="J1032" s="95" cm="1">
        <f ca="1" t="array" ref="J1032">MIN(8,_xlfn.XLOOKUP($D1032&amp;"_"&amp;J$52,$B$14:$B$36&amp;"_"&amp;$C$14:$C$36,$D$14:$D$36)*$E1032)</f>
        <v>7.575</v>
      </c>
      <c r="K1032" s="95" cm="1">
        <f ca="1" t="array" ref="K1032">MIN(18,_xlfn.XLOOKUP($D1032&amp;"_"&amp;K$52,$B$14:$B$36&amp;"_"&amp;$C$14:$C$36,$D$14:$D$36)*$E1032)</f>
        <v>2.828</v>
      </c>
      <c r="L1032" s="95" cm="1">
        <f ca="1" t="array" ref="L1032">MIN(6,_xlfn.XLOOKUP($D1032&amp;"_"&amp;L$52,$B$14:$B$36&amp;"_"&amp;$C$14:$C$36,$D$14:$D$36)*$E1032)</f>
        <v>5.3025</v>
      </c>
      <c r="M1032" s="95" cm="1">
        <f ca="1" t="array" ref="M1032">(1+SUMPRODUCT(G1032:H1032,OFFSET($H$40:$I$40,D1032,0)))*(1+OFFSET($J$40,D1032,0))^I1032*(1+OFFSET($K$40,D1032,0))^J1032*(1+OFFSET($L$40,D1032,0))^K1032*(1+OFFSET($M$40,D1032,0))^L1032</f>
        <v>259.826225124172</v>
      </c>
      <c r="N1032" s="95">
        <f ca="1">MAX(MAX($N$53:N1031),OFFSET($C$52,MATCH(M1032*1.07,$M$53:$M$2052,1),0)-C1032)</f>
        <v>10440</v>
      </c>
    </row>
    <row r="1033" spans="2:14">
      <c r="B1033" s="95">
        <v>981</v>
      </c>
      <c r="C1033" s="95">
        <f t="shared" si="81"/>
        <v>353160</v>
      </c>
      <c r="D1033" s="95">
        <f ca="1">_xlfn.XLOOKUP(总览!$B$44,$B$40:$B$45,$C$40:$C$45)</f>
        <v>5</v>
      </c>
      <c r="E1033" s="95">
        <f ca="1" t="shared" si="78"/>
        <v>1011</v>
      </c>
      <c r="F1033" s="95">
        <f ca="1" t="shared" si="79"/>
        <v>0</v>
      </c>
      <c r="G1033" s="95">
        <f ca="1" t="shared" si="80"/>
        <v>0</v>
      </c>
      <c r="H1033" s="95" cm="1">
        <f ca="1" t="array" ref="H1033">MIN(30-SUM(I1033:L1033),_xlfn.XLOOKUP($D1033&amp;"_"&amp;H$52,$B$14:$B$36&amp;"_"&amp;$C$14:$C$36,$D$14:$D$36)*$E1033,18)</f>
        <v>13.5867</v>
      </c>
      <c r="I1033" s="95" cm="1">
        <f ca="1" t="array" ref="I1033">MIN(30-SUM(J1033:L1033),6-L1033,_xlfn.XLOOKUP($D1033&amp;"_"&amp;I$52,$B$14:$B$36&amp;"_"&amp;$C$14:$C$36,$D$14:$D$36)*$E1033)</f>
        <v>0.69225</v>
      </c>
      <c r="J1033" s="95" cm="1">
        <f ca="1" t="array" ref="J1033">MIN(8,_xlfn.XLOOKUP($D1033&amp;"_"&amp;J$52,$B$14:$B$36&amp;"_"&amp;$C$14:$C$36,$D$14:$D$36)*$E1033)</f>
        <v>7.5825</v>
      </c>
      <c r="K1033" s="95" cm="1">
        <f ca="1" t="array" ref="K1033">MIN(18,_xlfn.XLOOKUP($D1033&amp;"_"&amp;K$52,$B$14:$B$36&amp;"_"&amp;$C$14:$C$36,$D$14:$D$36)*$E1033)</f>
        <v>2.8308</v>
      </c>
      <c r="L1033" s="95" cm="1">
        <f ca="1" t="array" ref="L1033">MIN(6,_xlfn.XLOOKUP($D1033&amp;"_"&amp;L$52,$B$14:$B$36&amp;"_"&amp;$C$14:$C$36,$D$14:$D$36)*$E1033)</f>
        <v>5.30775</v>
      </c>
      <c r="M1033" s="95" cm="1">
        <f ca="1" t="array" ref="M1033">(1+SUMPRODUCT(G1033:H1033,OFFSET($H$40:$I$40,D1033,0)))*(1+OFFSET($J$40,D1033,0))^I1033*(1+OFFSET($K$40,D1033,0))^J1033*(1+OFFSET($L$40,D1033,0))^K1033*(1+OFFSET($M$40,D1033,0))^L1033</f>
        <v>260.430970554746</v>
      </c>
      <c r="N1033" s="95">
        <f ca="1">MAX(MAX($N$53:N1032),OFFSET($C$52,MATCH(M1033*1.07,$M$53:$M$2052,1),0)-C1033)</f>
        <v>10440</v>
      </c>
    </row>
    <row r="1034" spans="2:14">
      <c r="B1034" s="95">
        <v>982</v>
      </c>
      <c r="C1034" s="95">
        <f t="shared" si="81"/>
        <v>353520</v>
      </c>
      <c r="D1034" s="95">
        <f ca="1">_xlfn.XLOOKUP(总览!$B$44,$B$40:$B$45,$C$40:$C$45)</f>
        <v>5</v>
      </c>
      <c r="E1034" s="95">
        <f ca="1" t="shared" si="78"/>
        <v>1012</v>
      </c>
      <c r="F1034" s="95">
        <f ca="1" t="shared" si="79"/>
        <v>0</v>
      </c>
      <c r="G1034" s="95">
        <f ca="1" t="shared" si="80"/>
        <v>0</v>
      </c>
      <c r="H1034" s="95" cm="1">
        <f ca="1" t="array" ref="H1034">MIN(30-SUM(I1034:L1034),_xlfn.XLOOKUP($D1034&amp;"_"&amp;H$52,$B$14:$B$36&amp;"_"&amp;$C$14:$C$36,$D$14:$D$36)*$E1034,18)</f>
        <v>13.5764</v>
      </c>
      <c r="I1034" s="95" cm="1">
        <f ca="1" t="array" ref="I1034">MIN(30-SUM(J1034:L1034),6-L1034,_xlfn.XLOOKUP($D1034&amp;"_"&amp;I$52,$B$14:$B$36&amp;"_"&amp;$C$14:$C$36,$D$14:$D$36)*$E1034)</f>
        <v>0.686999999999999</v>
      </c>
      <c r="J1034" s="95" cm="1">
        <f ca="1" t="array" ref="J1034">MIN(8,_xlfn.XLOOKUP($D1034&amp;"_"&amp;J$52,$B$14:$B$36&amp;"_"&amp;$C$14:$C$36,$D$14:$D$36)*$E1034)</f>
        <v>7.59</v>
      </c>
      <c r="K1034" s="95" cm="1">
        <f ca="1" t="array" ref="K1034">MIN(18,_xlfn.XLOOKUP($D1034&amp;"_"&amp;K$52,$B$14:$B$36&amp;"_"&amp;$C$14:$C$36,$D$14:$D$36)*$E1034)</f>
        <v>2.8336</v>
      </c>
      <c r="L1034" s="95" cm="1">
        <f ca="1" t="array" ref="L1034">MIN(6,_xlfn.XLOOKUP($D1034&amp;"_"&amp;L$52,$B$14:$B$36&amp;"_"&amp;$C$14:$C$36,$D$14:$D$36)*$E1034)</f>
        <v>5.313</v>
      </c>
      <c r="M1034" s="95" cm="1">
        <f ca="1" t="array" ref="M1034">(1+SUMPRODUCT(G1034:H1034,OFFSET($H$40:$I$40,D1034,0)))*(1+OFFSET($J$40,D1034,0))^I1034*(1+OFFSET($K$40,D1034,0))^J1034*(1+OFFSET($L$40,D1034,0))^K1034*(1+OFFSET($M$40,D1034,0))^L1034</f>
        <v>261.037043367393</v>
      </c>
      <c r="N1034" s="95">
        <f ca="1">MAX(MAX($N$53:N1033),OFFSET($C$52,MATCH(M1034*1.07,$M$53:$M$2052,1),0)-C1034)</f>
        <v>10440</v>
      </c>
    </row>
    <row r="1035" spans="2:14">
      <c r="B1035" s="95">
        <v>983</v>
      </c>
      <c r="C1035" s="95">
        <f t="shared" si="81"/>
        <v>353880</v>
      </c>
      <c r="D1035" s="95">
        <f ca="1">_xlfn.XLOOKUP(总览!$B$44,$B$40:$B$45,$C$40:$C$45)</f>
        <v>5</v>
      </c>
      <c r="E1035" s="95">
        <f ca="1" t="shared" si="78"/>
        <v>1013</v>
      </c>
      <c r="F1035" s="95">
        <f ca="1" t="shared" si="79"/>
        <v>0</v>
      </c>
      <c r="G1035" s="95">
        <f ca="1" t="shared" si="80"/>
        <v>0</v>
      </c>
      <c r="H1035" s="95" cm="1">
        <f ca="1" t="array" ref="H1035">MIN(30-SUM(I1035:L1035),_xlfn.XLOOKUP($D1035&amp;"_"&amp;H$52,$B$14:$B$36&amp;"_"&amp;$C$14:$C$36,$D$14:$D$36)*$E1035,18)</f>
        <v>13.5661</v>
      </c>
      <c r="I1035" s="95" cm="1">
        <f ca="1" t="array" ref="I1035">MIN(30-SUM(J1035:L1035),6-L1035,_xlfn.XLOOKUP($D1035&amp;"_"&amp;I$52,$B$14:$B$36&amp;"_"&amp;$C$14:$C$36,$D$14:$D$36)*$E1035)</f>
        <v>0.68175</v>
      </c>
      <c r="J1035" s="95" cm="1">
        <f ca="1" t="array" ref="J1035">MIN(8,_xlfn.XLOOKUP($D1035&amp;"_"&amp;J$52,$B$14:$B$36&amp;"_"&amp;$C$14:$C$36,$D$14:$D$36)*$E1035)</f>
        <v>7.5975</v>
      </c>
      <c r="K1035" s="95" cm="1">
        <f ca="1" t="array" ref="K1035">MIN(18,_xlfn.XLOOKUP($D1035&amp;"_"&amp;K$52,$B$14:$B$36&amp;"_"&amp;$C$14:$C$36,$D$14:$D$36)*$E1035)</f>
        <v>2.8364</v>
      </c>
      <c r="L1035" s="95" cm="1">
        <f ca="1" t="array" ref="L1035">MIN(6,_xlfn.XLOOKUP($D1035&amp;"_"&amp;L$52,$B$14:$B$36&amp;"_"&amp;$C$14:$C$36,$D$14:$D$36)*$E1035)</f>
        <v>5.31825</v>
      </c>
      <c r="M1035" s="95" cm="1">
        <f ca="1" t="array" ref="M1035">(1+SUMPRODUCT(G1035:H1035,OFFSET($H$40:$I$40,D1035,0)))*(1+OFFSET($J$40,D1035,0))^I1035*(1+OFFSET($K$40,D1035,0))^J1035*(1+OFFSET($L$40,D1035,0))^K1035*(1+OFFSET($M$40,D1035,0))^L1035</f>
        <v>261.644446189383</v>
      </c>
      <c r="N1035" s="95">
        <f ca="1">MAX(MAX($N$53:N1034),OFFSET($C$52,MATCH(M1035*1.07,$M$53:$M$2052,1),0)-C1035)</f>
        <v>10440</v>
      </c>
    </row>
    <row r="1036" spans="2:14">
      <c r="B1036" s="95">
        <v>984</v>
      </c>
      <c r="C1036" s="95">
        <f t="shared" si="81"/>
        <v>354240</v>
      </c>
      <c r="D1036" s="95">
        <f ca="1">_xlfn.XLOOKUP(总览!$B$44,$B$40:$B$45,$C$40:$C$45)</f>
        <v>5</v>
      </c>
      <c r="E1036" s="95">
        <f ca="1" t="shared" si="78"/>
        <v>1014</v>
      </c>
      <c r="F1036" s="95">
        <f ca="1" t="shared" si="79"/>
        <v>0</v>
      </c>
      <c r="G1036" s="95">
        <f ca="1" t="shared" si="80"/>
        <v>0</v>
      </c>
      <c r="H1036" s="95" cm="1">
        <f ca="1" t="array" ref="H1036">MIN(30-SUM(I1036:L1036),_xlfn.XLOOKUP($D1036&amp;"_"&amp;H$52,$B$14:$B$36&amp;"_"&amp;$C$14:$C$36,$D$14:$D$36)*$E1036,18)</f>
        <v>13.5558</v>
      </c>
      <c r="I1036" s="95" cm="1">
        <f ca="1" t="array" ref="I1036">MIN(30-SUM(J1036:L1036),6-L1036,_xlfn.XLOOKUP($D1036&amp;"_"&amp;I$52,$B$14:$B$36&amp;"_"&amp;$C$14:$C$36,$D$14:$D$36)*$E1036)</f>
        <v>0.6765</v>
      </c>
      <c r="J1036" s="95" cm="1">
        <f ca="1" t="array" ref="J1036">MIN(8,_xlfn.XLOOKUP($D1036&amp;"_"&amp;J$52,$B$14:$B$36&amp;"_"&amp;$C$14:$C$36,$D$14:$D$36)*$E1036)</f>
        <v>7.605</v>
      </c>
      <c r="K1036" s="95" cm="1">
        <f ca="1" t="array" ref="K1036">MIN(18,_xlfn.XLOOKUP($D1036&amp;"_"&amp;K$52,$B$14:$B$36&amp;"_"&amp;$C$14:$C$36,$D$14:$D$36)*$E1036)</f>
        <v>2.8392</v>
      </c>
      <c r="L1036" s="95" cm="1">
        <f ca="1" t="array" ref="L1036">MIN(6,_xlfn.XLOOKUP($D1036&amp;"_"&amp;L$52,$B$14:$B$36&amp;"_"&amp;$C$14:$C$36,$D$14:$D$36)*$E1036)</f>
        <v>5.3235</v>
      </c>
      <c r="M1036" s="95" cm="1">
        <f ca="1" t="array" ref="M1036">(1+SUMPRODUCT(G1036:H1036,OFFSET($H$40:$I$40,D1036,0)))*(1+OFFSET($J$40,D1036,0))^I1036*(1+OFFSET($K$40,D1036,0))^J1036*(1+OFFSET($L$40,D1036,0))^K1036*(1+OFFSET($M$40,D1036,0))^L1036</f>
        <v>262.253181652105</v>
      </c>
      <c r="N1036" s="95">
        <f ca="1">MAX(MAX($N$53:N1035),OFFSET($C$52,MATCH(M1036*1.07,$M$53:$M$2052,1),0)-C1036)</f>
        <v>10440</v>
      </c>
    </row>
    <row r="1037" spans="2:14">
      <c r="B1037" s="95">
        <v>985</v>
      </c>
      <c r="C1037" s="95">
        <f t="shared" si="81"/>
        <v>354600</v>
      </c>
      <c r="D1037" s="95">
        <f ca="1">_xlfn.XLOOKUP(总览!$B$44,$B$40:$B$45,$C$40:$C$45)</f>
        <v>5</v>
      </c>
      <c r="E1037" s="95">
        <f ca="1" t="shared" si="78"/>
        <v>1015</v>
      </c>
      <c r="F1037" s="95">
        <f ca="1" t="shared" si="79"/>
        <v>0</v>
      </c>
      <c r="G1037" s="95">
        <f ca="1" t="shared" si="80"/>
        <v>0</v>
      </c>
      <c r="H1037" s="95" cm="1">
        <f ca="1" t="array" ref="H1037">MIN(30-SUM(I1037:L1037),_xlfn.XLOOKUP($D1037&amp;"_"&amp;H$52,$B$14:$B$36&amp;"_"&amp;$C$14:$C$36,$D$14:$D$36)*$E1037,18)</f>
        <v>13.5455</v>
      </c>
      <c r="I1037" s="95" cm="1">
        <f ca="1" t="array" ref="I1037">MIN(30-SUM(J1037:L1037),6-L1037,_xlfn.XLOOKUP($D1037&amp;"_"&amp;I$52,$B$14:$B$36&amp;"_"&amp;$C$14:$C$36,$D$14:$D$36)*$E1037)</f>
        <v>0.67125</v>
      </c>
      <c r="J1037" s="95" cm="1">
        <f ca="1" t="array" ref="J1037">MIN(8,_xlfn.XLOOKUP($D1037&amp;"_"&amp;J$52,$B$14:$B$36&amp;"_"&amp;$C$14:$C$36,$D$14:$D$36)*$E1037)</f>
        <v>7.6125</v>
      </c>
      <c r="K1037" s="95" cm="1">
        <f ca="1" t="array" ref="K1037">MIN(18,_xlfn.XLOOKUP($D1037&amp;"_"&amp;K$52,$B$14:$B$36&amp;"_"&amp;$C$14:$C$36,$D$14:$D$36)*$E1037)</f>
        <v>2.842</v>
      </c>
      <c r="L1037" s="95" cm="1">
        <f ca="1" t="array" ref="L1037">MIN(6,_xlfn.XLOOKUP($D1037&amp;"_"&amp;L$52,$B$14:$B$36&amp;"_"&amp;$C$14:$C$36,$D$14:$D$36)*$E1037)</f>
        <v>5.32875</v>
      </c>
      <c r="M1037" s="95" cm="1">
        <f ca="1" t="array" ref="M1037">(1+SUMPRODUCT(G1037:H1037,OFFSET($H$40:$I$40,D1037,0)))*(1+OFFSET($J$40,D1037,0))^I1037*(1+OFFSET($K$40,D1037,0))^J1037*(1+OFFSET($L$40,D1037,0))^K1037*(1+OFFSET($M$40,D1037,0))^L1037</f>
        <v>262.863252391064</v>
      </c>
      <c r="N1037" s="95">
        <f ca="1">MAX(MAX($N$53:N1036),OFFSET($C$52,MATCH(M1037*1.07,$M$53:$M$2052,1),0)-C1037)</f>
        <v>10440</v>
      </c>
    </row>
    <row r="1038" spans="2:14">
      <c r="B1038" s="95">
        <v>986</v>
      </c>
      <c r="C1038" s="95">
        <f t="shared" si="81"/>
        <v>354960</v>
      </c>
      <c r="D1038" s="95">
        <f ca="1">_xlfn.XLOOKUP(总览!$B$44,$B$40:$B$45,$C$40:$C$45)</f>
        <v>5</v>
      </c>
      <c r="E1038" s="95">
        <f ca="1" t="shared" si="78"/>
        <v>1016</v>
      </c>
      <c r="F1038" s="95">
        <f ca="1" t="shared" si="79"/>
        <v>0</v>
      </c>
      <c r="G1038" s="95">
        <f ca="1" t="shared" si="80"/>
        <v>0</v>
      </c>
      <c r="H1038" s="95" cm="1">
        <f ca="1" t="array" ref="H1038">MIN(30-SUM(I1038:L1038),_xlfn.XLOOKUP($D1038&amp;"_"&amp;H$52,$B$14:$B$36&amp;"_"&amp;$C$14:$C$36,$D$14:$D$36)*$E1038,18)</f>
        <v>13.5352</v>
      </c>
      <c r="I1038" s="95" cm="1">
        <f ca="1" t="array" ref="I1038">MIN(30-SUM(J1038:L1038),6-L1038,_xlfn.XLOOKUP($D1038&amp;"_"&amp;I$52,$B$14:$B$36&amp;"_"&amp;$C$14:$C$36,$D$14:$D$36)*$E1038)</f>
        <v>0.665999999999999</v>
      </c>
      <c r="J1038" s="95" cm="1">
        <f ca="1" t="array" ref="J1038">MIN(8,_xlfn.XLOOKUP($D1038&amp;"_"&amp;J$52,$B$14:$B$36&amp;"_"&amp;$C$14:$C$36,$D$14:$D$36)*$E1038)</f>
        <v>7.62</v>
      </c>
      <c r="K1038" s="95" cm="1">
        <f ca="1" t="array" ref="K1038">MIN(18,_xlfn.XLOOKUP($D1038&amp;"_"&amp;K$52,$B$14:$B$36&amp;"_"&amp;$C$14:$C$36,$D$14:$D$36)*$E1038)</f>
        <v>2.8448</v>
      </c>
      <c r="L1038" s="95" cm="1">
        <f ca="1" t="array" ref="L1038">MIN(6,_xlfn.XLOOKUP($D1038&amp;"_"&amp;L$52,$B$14:$B$36&amp;"_"&amp;$C$14:$C$36,$D$14:$D$36)*$E1038)</f>
        <v>5.334</v>
      </c>
      <c r="M1038" s="95" cm="1">
        <f ca="1" t="array" ref="M1038">(1+SUMPRODUCT(G1038:H1038,OFFSET($H$40:$I$40,D1038,0)))*(1+OFFSET($J$40,D1038,0))^I1038*(1+OFFSET($K$40,D1038,0))^J1038*(1+OFFSET($L$40,D1038,0))^K1038*(1+OFFSET($M$40,D1038,0))^L1038</f>
        <v>263.474661045887</v>
      </c>
      <c r="N1038" s="95">
        <f ca="1">MAX(MAX($N$53:N1037),OFFSET($C$52,MATCH(M1038*1.07,$M$53:$M$2052,1),0)-C1038)</f>
        <v>10440</v>
      </c>
    </row>
    <row r="1039" spans="2:14">
      <c r="B1039" s="95">
        <v>987</v>
      </c>
      <c r="C1039" s="95">
        <f t="shared" si="81"/>
        <v>355320</v>
      </c>
      <c r="D1039" s="95">
        <f ca="1">_xlfn.XLOOKUP(总览!$B$44,$B$40:$B$45,$C$40:$C$45)</f>
        <v>5</v>
      </c>
      <c r="E1039" s="95">
        <f ca="1" t="shared" si="78"/>
        <v>1017</v>
      </c>
      <c r="F1039" s="95">
        <f ca="1" t="shared" si="79"/>
        <v>0</v>
      </c>
      <c r="G1039" s="95">
        <f ca="1" t="shared" si="80"/>
        <v>0</v>
      </c>
      <c r="H1039" s="95" cm="1">
        <f ca="1" t="array" ref="H1039">MIN(30-SUM(I1039:L1039),_xlfn.XLOOKUP($D1039&amp;"_"&amp;H$52,$B$14:$B$36&amp;"_"&amp;$C$14:$C$36,$D$14:$D$36)*$E1039,18)</f>
        <v>13.5249</v>
      </c>
      <c r="I1039" s="95" cm="1">
        <f ca="1" t="array" ref="I1039">MIN(30-SUM(J1039:L1039),6-L1039,_xlfn.XLOOKUP($D1039&amp;"_"&amp;I$52,$B$14:$B$36&amp;"_"&amp;$C$14:$C$36,$D$14:$D$36)*$E1039)</f>
        <v>0.660749999999999</v>
      </c>
      <c r="J1039" s="95" cm="1">
        <f ca="1" t="array" ref="J1039">MIN(8,_xlfn.XLOOKUP($D1039&amp;"_"&amp;J$52,$B$14:$B$36&amp;"_"&amp;$C$14:$C$36,$D$14:$D$36)*$E1039)</f>
        <v>7.6275</v>
      </c>
      <c r="K1039" s="95" cm="1">
        <f ca="1" t="array" ref="K1039">MIN(18,_xlfn.XLOOKUP($D1039&amp;"_"&amp;K$52,$B$14:$B$36&amp;"_"&amp;$C$14:$C$36,$D$14:$D$36)*$E1039)</f>
        <v>2.8476</v>
      </c>
      <c r="L1039" s="95" cm="1">
        <f ca="1" t="array" ref="L1039">MIN(6,_xlfn.XLOOKUP($D1039&amp;"_"&amp;L$52,$B$14:$B$36&amp;"_"&amp;$C$14:$C$36,$D$14:$D$36)*$E1039)</f>
        <v>5.33925</v>
      </c>
      <c r="M1039" s="95" cm="1">
        <f ca="1" t="array" ref="M1039">(1+SUMPRODUCT(G1039:H1039,OFFSET($H$40:$I$40,D1039,0)))*(1+OFFSET($J$40,D1039,0))^I1039*(1+OFFSET($K$40,D1039,0))^J1039*(1+OFFSET($L$40,D1039,0))^K1039*(1+OFFSET($M$40,D1039,0))^L1039</f>
        <v>264.087410260319</v>
      </c>
      <c r="N1039" s="95">
        <f ca="1">MAX(MAX($N$53:N1038),OFFSET($C$52,MATCH(M1039*1.07,$M$53:$M$2052,1),0)-C1039)</f>
        <v>10440</v>
      </c>
    </row>
    <row r="1040" spans="2:14">
      <c r="B1040" s="95">
        <v>988</v>
      </c>
      <c r="C1040" s="95">
        <f t="shared" si="81"/>
        <v>355680</v>
      </c>
      <c r="D1040" s="95">
        <f ca="1">_xlfn.XLOOKUP(总览!$B$44,$B$40:$B$45,$C$40:$C$45)</f>
        <v>5</v>
      </c>
      <c r="E1040" s="95">
        <f ca="1" t="shared" si="78"/>
        <v>1018</v>
      </c>
      <c r="F1040" s="95">
        <f ca="1" t="shared" si="79"/>
        <v>0</v>
      </c>
      <c r="G1040" s="95">
        <f ca="1" t="shared" si="80"/>
        <v>0</v>
      </c>
      <c r="H1040" s="95" cm="1">
        <f ca="1" t="array" ref="H1040">MIN(30-SUM(I1040:L1040),_xlfn.XLOOKUP($D1040&amp;"_"&amp;H$52,$B$14:$B$36&amp;"_"&amp;$C$14:$C$36,$D$14:$D$36)*$E1040,18)</f>
        <v>13.5146</v>
      </c>
      <c r="I1040" s="95" cm="1">
        <f ca="1" t="array" ref="I1040">MIN(30-SUM(J1040:L1040),6-L1040,_xlfn.XLOOKUP($D1040&amp;"_"&amp;I$52,$B$14:$B$36&amp;"_"&amp;$C$14:$C$36,$D$14:$D$36)*$E1040)</f>
        <v>0.6555</v>
      </c>
      <c r="J1040" s="95" cm="1">
        <f ca="1" t="array" ref="J1040">MIN(8,_xlfn.XLOOKUP($D1040&amp;"_"&amp;J$52,$B$14:$B$36&amp;"_"&amp;$C$14:$C$36,$D$14:$D$36)*$E1040)</f>
        <v>7.635</v>
      </c>
      <c r="K1040" s="95" cm="1">
        <f ca="1" t="array" ref="K1040">MIN(18,_xlfn.XLOOKUP($D1040&amp;"_"&amp;K$52,$B$14:$B$36&amp;"_"&amp;$C$14:$C$36,$D$14:$D$36)*$E1040)</f>
        <v>2.8504</v>
      </c>
      <c r="L1040" s="95" cm="1">
        <f ca="1" t="array" ref="L1040">MIN(6,_xlfn.XLOOKUP($D1040&amp;"_"&amp;L$52,$B$14:$B$36&amp;"_"&amp;$C$14:$C$36,$D$14:$D$36)*$E1040)</f>
        <v>5.3445</v>
      </c>
      <c r="M1040" s="95" cm="1">
        <f ca="1" t="array" ref="M1040">(1+SUMPRODUCT(G1040:H1040,OFFSET($H$40:$I$40,D1040,0)))*(1+OFFSET($J$40,D1040,0))^I1040*(1+OFFSET($K$40,D1040,0))^J1040*(1+OFFSET($L$40,D1040,0))^K1040*(1+OFFSET($M$40,D1040,0))^L1040</f>
        <v>264.701502682234</v>
      </c>
      <c r="N1040" s="95">
        <f ca="1">MAX(MAX($N$53:N1039),OFFSET($C$52,MATCH(M1040*1.07,$M$53:$M$2052,1),0)-C1040)</f>
        <v>10440</v>
      </c>
    </row>
    <row r="1041" spans="2:14">
      <c r="B1041" s="95">
        <v>989</v>
      </c>
      <c r="C1041" s="95">
        <f t="shared" si="81"/>
        <v>356040</v>
      </c>
      <c r="D1041" s="95">
        <f ca="1">_xlfn.XLOOKUP(总览!$B$44,$B$40:$B$45,$C$40:$C$45)</f>
        <v>5</v>
      </c>
      <c r="E1041" s="95">
        <f ca="1" t="shared" si="78"/>
        <v>1019</v>
      </c>
      <c r="F1041" s="95">
        <f ca="1" t="shared" si="79"/>
        <v>0</v>
      </c>
      <c r="G1041" s="95">
        <f ca="1" t="shared" si="80"/>
        <v>0</v>
      </c>
      <c r="H1041" s="95" cm="1">
        <f ca="1" t="array" ref="H1041">MIN(30-SUM(I1041:L1041),_xlfn.XLOOKUP($D1041&amp;"_"&amp;H$52,$B$14:$B$36&amp;"_"&amp;$C$14:$C$36,$D$14:$D$36)*$E1041,18)</f>
        <v>13.5043</v>
      </c>
      <c r="I1041" s="95" cm="1">
        <f ca="1" t="array" ref="I1041">MIN(30-SUM(J1041:L1041),6-L1041,_xlfn.XLOOKUP($D1041&amp;"_"&amp;I$52,$B$14:$B$36&amp;"_"&amp;$C$14:$C$36,$D$14:$D$36)*$E1041)</f>
        <v>0.65025</v>
      </c>
      <c r="J1041" s="95" cm="1">
        <f ca="1" t="array" ref="J1041">MIN(8,_xlfn.XLOOKUP($D1041&amp;"_"&amp;J$52,$B$14:$B$36&amp;"_"&amp;$C$14:$C$36,$D$14:$D$36)*$E1041)</f>
        <v>7.6425</v>
      </c>
      <c r="K1041" s="95" cm="1">
        <f ca="1" t="array" ref="K1041">MIN(18,_xlfn.XLOOKUP($D1041&amp;"_"&amp;K$52,$B$14:$B$36&amp;"_"&amp;$C$14:$C$36,$D$14:$D$36)*$E1041)</f>
        <v>2.8532</v>
      </c>
      <c r="L1041" s="95" cm="1">
        <f ca="1" t="array" ref="L1041">MIN(6,_xlfn.XLOOKUP($D1041&amp;"_"&amp;L$52,$B$14:$B$36&amp;"_"&amp;$C$14:$C$36,$D$14:$D$36)*$E1041)</f>
        <v>5.34975</v>
      </c>
      <c r="M1041" s="95" cm="1">
        <f ca="1" t="array" ref="M1041">(1+SUMPRODUCT(G1041:H1041,OFFSET($H$40:$I$40,D1041,0)))*(1+OFFSET($J$40,D1041,0))^I1041*(1+OFFSET($K$40,D1041,0))^J1041*(1+OFFSET($L$40,D1041,0))^K1041*(1+OFFSET($M$40,D1041,0))^L1041</f>
        <v>265.316940963626</v>
      </c>
      <c r="N1041" s="95">
        <f ca="1">MAX(MAX($N$53:N1040),OFFSET($C$52,MATCH(M1041*1.07,$M$53:$M$2052,1),0)-C1041)</f>
        <v>10440</v>
      </c>
    </row>
    <row r="1042" spans="2:14">
      <c r="B1042" s="95">
        <v>990</v>
      </c>
      <c r="C1042" s="95">
        <f t="shared" si="81"/>
        <v>356400</v>
      </c>
      <c r="D1042" s="95">
        <f ca="1">_xlfn.XLOOKUP(总览!$B$44,$B$40:$B$45,$C$40:$C$45)</f>
        <v>5</v>
      </c>
      <c r="E1042" s="95">
        <f ca="1" t="shared" si="78"/>
        <v>1020</v>
      </c>
      <c r="F1042" s="95">
        <f ca="1" t="shared" si="79"/>
        <v>0</v>
      </c>
      <c r="G1042" s="95">
        <f ca="1" t="shared" si="80"/>
        <v>0</v>
      </c>
      <c r="H1042" s="95" cm="1">
        <f ca="1" t="array" ref="H1042">MIN(30-SUM(I1042:L1042),_xlfn.XLOOKUP($D1042&amp;"_"&amp;H$52,$B$14:$B$36&amp;"_"&amp;$C$14:$C$36,$D$14:$D$36)*$E1042,18)</f>
        <v>13.494</v>
      </c>
      <c r="I1042" s="95" cm="1">
        <f ca="1" t="array" ref="I1042">MIN(30-SUM(J1042:L1042),6-L1042,_xlfn.XLOOKUP($D1042&amp;"_"&amp;I$52,$B$14:$B$36&amp;"_"&amp;$C$14:$C$36,$D$14:$D$36)*$E1042)</f>
        <v>0.645</v>
      </c>
      <c r="J1042" s="95" cm="1">
        <f ca="1" t="array" ref="J1042">MIN(8,_xlfn.XLOOKUP($D1042&amp;"_"&amp;J$52,$B$14:$B$36&amp;"_"&amp;$C$14:$C$36,$D$14:$D$36)*$E1042)</f>
        <v>7.65</v>
      </c>
      <c r="K1042" s="95" cm="1">
        <f ca="1" t="array" ref="K1042">MIN(18,_xlfn.XLOOKUP($D1042&amp;"_"&amp;K$52,$B$14:$B$36&amp;"_"&amp;$C$14:$C$36,$D$14:$D$36)*$E1042)</f>
        <v>2.856</v>
      </c>
      <c r="L1042" s="95" cm="1">
        <f ca="1" t="array" ref="L1042">MIN(6,_xlfn.XLOOKUP($D1042&amp;"_"&amp;L$52,$B$14:$B$36&amp;"_"&amp;$C$14:$C$36,$D$14:$D$36)*$E1042)</f>
        <v>5.355</v>
      </c>
      <c r="M1042" s="95" cm="1">
        <f ca="1" t="array" ref="M1042">(1+SUMPRODUCT(G1042:H1042,OFFSET($H$40:$I$40,D1042,0)))*(1+OFFSET($J$40,D1042,0))^I1042*(1+OFFSET($K$40,D1042,0))^J1042*(1+OFFSET($L$40,D1042,0))^K1042*(1+OFFSET($M$40,D1042,0))^L1042</f>
        <v>265.933727760621</v>
      </c>
      <c r="N1042" s="95">
        <f ca="1">MAX(MAX($N$53:N1041),OFFSET($C$52,MATCH(M1042*1.07,$M$53:$M$2052,1),0)-C1042)</f>
        <v>10440</v>
      </c>
    </row>
    <row r="1043" spans="2:14">
      <c r="B1043" s="95">
        <v>991</v>
      </c>
      <c r="C1043" s="95">
        <f t="shared" si="81"/>
        <v>356760</v>
      </c>
      <c r="D1043" s="95">
        <f ca="1">_xlfn.XLOOKUP(总览!$B$44,$B$40:$B$45,$C$40:$C$45)</f>
        <v>5</v>
      </c>
      <c r="E1043" s="95">
        <f ca="1" t="shared" si="78"/>
        <v>1021</v>
      </c>
      <c r="F1043" s="95">
        <f ca="1" t="shared" si="79"/>
        <v>0</v>
      </c>
      <c r="G1043" s="95">
        <f ca="1" t="shared" si="80"/>
        <v>0</v>
      </c>
      <c r="H1043" s="95" cm="1">
        <f ca="1" t="array" ref="H1043">MIN(30-SUM(I1043:L1043),_xlfn.XLOOKUP($D1043&amp;"_"&amp;H$52,$B$14:$B$36&amp;"_"&amp;$C$14:$C$36,$D$14:$D$36)*$E1043,18)</f>
        <v>13.4837</v>
      </c>
      <c r="I1043" s="95" cm="1">
        <f ca="1" t="array" ref="I1043">MIN(30-SUM(J1043:L1043),6-L1043,_xlfn.XLOOKUP($D1043&amp;"_"&amp;I$52,$B$14:$B$36&amp;"_"&amp;$C$14:$C$36,$D$14:$D$36)*$E1043)</f>
        <v>0.639749999999999</v>
      </c>
      <c r="J1043" s="95" cm="1">
        <f ca="1" t="array" ref="J1043">MIN(8,_xlfn.XLOOKUP($D1043&amp;"_"&amp;J$52,$B$14:$B$36&amp;"_"&amp;$C$14:$C$36,$D$14:$D$36)*$E1043)</f>
        <v>7.6575</v>
      </c>
      <c r="K1043" s="95" cm="1">
        <f ca="1" t="array" ref="K1043">MIN(18,_xlfn.XLOOKUP($D1043&amp;"_"&amp;K$52,$B$14:$B$36&amp;"_"&amp;$C$14:$C$36,$D$14:$D$36)*$E1043)</f>
        <v>2.8588</v>
      </c>
      <c r="L1043" s="95" cm="1">
        <f ca="1" t="array" ref="L1043">MIN(6,_xlfn.XLOOKUP($D1043&amp;"_"&amp;L$52,$B$14:$B$36&amp;"_"&amp;$C$14:$C$36,$D$14:$D$36)*$E1043)</f>
        <v>5.36025</v>
      </c>
      <c r="M1043" s="95" cm="1">
        <f ca="1" t="array" ref="M1043">(1+SUMPRODUCT(G1043:H1043,OFFSET($H$40:$I$40,D1043,0)))*(1+OFFSET($J$40,D1043,0))^I1043*(1+OFFSET($K$40,D1043,0))^J1043*(1+OFFSET($L$40,D1043,0))^K1043*(1+OFFSET($M$40,D1043,0))^L1043</f>
        <v>266.551865733469</v>
      </c>
      <c r="N1043" s="95">
        <f ca="1">MAX(MAX($N$53:N1042),OFFSET($C$52,MATCH(M1043*1.07,$M$53:$M$2052,1),0)-C1043)</f>
        <v>10440</v>
      </c>
    </row>
    <row r="1044" spans="2:14">
      <c r="B1044" s="95">
        <v>992</v>
      </c>
      <c r="C1044" s="95">
        <f t="shared" si="81"/>
        <v>357120</v>
      </c>
      <c r="D1044" s="95">
        <f ca="1">_xlfn.XLOOKUP(总览!$B$44,$B$40:$B$45,$C$40:$C$45)</f>
        <v>5</v>
      </c>
      <c r="E1044" s="95">
        <f ca="1" t="shared" si="78"/>
        <v>1022</v>
      </c>
      <c r="F1044" s="95">
        <f ca="1" t="shared" si="79"/>
        <v>0</v>
      </c>
      <c r="G1044" s="95">
        <f ca="1" t="shared" si="80"/>
        <v>0</v>
      </c>
      <c r="H1044" s="95" cm="1">
        <f ca="1" t="array" ref="H1044">MIN(30-SUM(I1044:L1044),_xlfn.XLOOKUP($D1044&amp;"_"&amp;H$52,$B$14:$B$36&amp;"_"&amp;$C$14:$C$36,$D$14:$D$36)*$E1044,18)</f>
        <v>13.4734</v>
      </c>
      <c r="I1044" s="95" cm="1">
        <f ca="1" t="array" ref="I1044">MIN(30-SUM(J1044:L1044),6-L1044,_xlfn.XLOOKUP($D1044&amp;"_"&amp;I$52,$B$14:$B$36&amp;"_"&amp;$C$14:$C$36,$D$14:$D$36)*$E1044)</f>
        <v>0.6345</v>
      </c>
      <c r="J1044" s="95" cm="1">
        <f ca="1" t="array" ref="J1044">MIN(8,_xlfn.XLOOKUP($D1044&amp;"_"&amp;J$52,$B$14:$B$36&amp;"_"&amp;$C$14:$C$36,$D$14:$D$36)*$E1044)</f>
        <v>7.665</v>
      </c>
      <c r="K1044" s="95" cm="1">
        <f ca="1" t="array" ref="K1044">MIN(18,_xlfn.XLOOKUP($D1044&amp;"_"&amp;K$52,$B$14:$B$36&amp;"_"&amp;$C$14:$C$36,$D$14:$D$36)*$E1044)</f>
        <v>2.8616</v>
      </c>
      <c r="L1044" s="95" cm="1">
        <f ca="1" t="array" ref="L1044">MIN(6,_xlfn.XLOOKUP($D1044&amp;"_"&amp;L$52,$B$14:$B$36&amp;"_"&amp;$C$14:$C$36,$D$14:$D$36)*$E1044)</f>
        <v>5.3655</v>
      </c>
      <c r="M1044" s="95" cm="1">
        <f ca="1" t="array" ref="M1044">(1+SUMPRODUCT(G1044:H1044,OFFSET($H$40:$I$40,D1044,0)))*(1+OFFSET($J$40,D1044,0))^I1044*(1+OFFSET($K$40,D1044,0))^J1044*(1+OFFSET($L$40,D1044,0))^K1044*(1+OFFSET($M$40,D1044,0))^L1044</f>
        <v>267.171357546556</v>
      </c>
      <c r="N1044" s="95">
        <f ca="1">MAX(MAX($N$53:N1043),OFFSET($C$52,MATCH(M1044*1.07,$M$53:$M$2052,1),0)-C1044)</f>
        <v>10440</v>
      </c>
    </row>
    <row r="1045" spans="2:14">
      <c r="B1045" s="95">
        <v>993</v>
      </c>
      <c r="C1045" s="95">
        <f t="shared" si="81"/>
        <v>357480</v>
      </c>
      <c r="D1045" s="95">
        <f ca="1">_xlfn.XLOOKUP(总览!$B$44,$B$40:$B$45,$C$40:$C$45)</f>
        <v>5</v>
      </c>
      <c r="E1045" s="95">
        <f ca="1" t="shared" si="78"/>
        <v>1023</v>
      </c>
      <c r="F1045" s="95">
        <f ca="1" t="shared" si="79"/>
        <v>0</v>
      </c>
      <c r="G1045" s="95">
        <f ca="1" t="shared" si="80"/>
        <v>0</v>
      </c>
      <c r="H1045" s="95" cm="1">
        <f ca="1" t="array" ref="H1045">MIN(30-SUM(I1045:L1045),_xlfn.XLOOKUP($D1045&amp;"_"&amp;H$52,$B$14:$B$36&amp;"_"&amp;$C$14:$C$36,$D$14:$D$36)*$E1045,18)</f>
        <v>13.4631</v>
      </c>
      <c r="I1045" s="95" cm="1">
        <f ca="1" t="array" ref="I1045">MIN(30-SUM(J1045:L1045),6-L1045,_xlfn.XLOOKUP($D1045&amp;"_"&amp;I$52,$B$14:$B$36&amp;"_"&amp;$C$14:$C$36,$D$14:$D$36)*$E1045)</f>
        <v>0.62925</v>
      </c>
      <c r="J1045" s="95" cm="1">
        <f ca="1" t="array" ref="J1045">MIN(8,_xlfn.XLOOKUP($D1045&amp;"_"&amp;J$52,$B$14:$B$36&amp;"_"&amp;$C$14:$C$36,$D$14:$D$36)*$E1045)</f>
        <v>7.6725</v>
      </c>
      <c r="K1045" s="95" cm="1">
        <f ca="1" t="array" ref="K1045">MIN(18,_xlfn.XLOOKUP($D1045&amp;"_"&amp;K$52,$B$14:$B$36&amp;"_"&amp;$C$14:$C$36,$D$14:$D$36)*$E1045)</f>
        <v>2.8644</v>
      </c>
      <c r="L1045" s="95" cm="1">
        <f ca="1" t="array" ref="L1045">MIN(6,_xlfn.XLOOKUP($D1045&amp;"_"&amp;L$52,$B$14:$B$36&amp;"_"&amp;$C$14:$C$36,$D$14:$D$36)*$E1045)</f>
        <v>5.37075</v>
      </c>
      <c r="M1045" s="95" cm="1">
        <f ca="1" t="array" ref="M1045">(1+SUMPRODUCT(G1045:H1045,OFFSET($H$40:$I$40,D1045,0)))*(1+OFFSET($J$40,D1045,0))^I1045*(1+OFFSET($K$40,D1045,0))^J1045*(1+OFFSET($L$40,D1045,0))^K1045*(1+OFFSET($M$40,D1045,0))^L1045</f>
        <v>267.792205868397</v>
      </c>
      <c r="N1045" s="95">
        <f ca="1">MAX(MAX($N$53:N1044),OFFSET($C$52,MATCH(M1045*1.07,$M$53:$M$2052,1),0)-C1045)</f>
        <v>10440</v>
      </c>
    </row>
    <row r="1046" spans="2:14">
      <c r="B1046" s="95">
        <v>994</v>
      </c>
      <c r="C1046" s="95">
        <f t="shared" si="81"/>
        <v>357840</v>
      </c>
      <c r="D1046" s="95">
        <f ca="1">_xlfn.XLOOKUP(总览!$B$44,$B$40:$B$45,$C$40:$C$45)</f>
        <v>5</v>
      </c>
      <c r="E1046" s="95">
        <f ca="1" t="shared" si="78"/>
        <v>1024</v>
      </c>
      <c r="F1046" s="95">
        <f ca="1" t="shared" si="79"/>
        <v>0</v>
      </c>
      <c r="G1046" s="95">
        <f ca="1" t="shared" si="80"/>
        <v>0</v>
      </c>
      <c r="H1046" s="95" cm="1">
        <f ca="1" t="array" ref="H1046">MIN(30-SUM(I1046:L1046),_xlfn.XLOOKUP($D1046&amp;"_"&amp;H$52,$B$14:$B$36&amp;"_"&amp;$C$14:$C$36,$D$14:$D$36)*$E1046,18)</f>
        <v>13.4528</v>
      </c>
      <c r="I1046" s="95" cm="1">
        <f ca="1" t="array" ref="I1046">MIN(30-SUM(J1046:L1046),6-L1046,_xlfn.XLOOKUP($D1046&amp;"_"&amp;I$52,$B$14:$B$36&amp;"_"&amp;$C$14:$C$36,$D$14:$D$36)*$E1046)</f>
        <v>0.624</v>
      </c>
      <c r="J1046" s="95" cm="1">
        <f ca="1" t="array" ref="J1046">MIN(8,_xlfn.XLOOKUP($D1046&amp;"_"&amp;J$52,$B$14:$B$36&amp;"_"&amp;$C$14:$C$36,$D$14:$D$36)*$E1046)</f>
        <v>7.68</v>
      </c>
      <c r="K1046" s="95" cm="1">
        <f ca="1" t="array" ref="K1046">MIN(18,_xlfn.XLOOKUP($D1046&amp;"_"&amp;K$52,$B$14:$B$36&amp;"_"&amp;$C$14:$C$36,$D$14:$D$36)*$E1046)</f>
        <v>2.8672</v>
      </c>
      <c r="L1046" s="95" cm="1">
        <f ca="1" t="array" ref="L1046">MIN(6,_xlfn.XLOOKUP($D1046&amp;"_"&amp;L$52,$B$14:$B$36&amp;"_"&amp;$C$14:$C$36,$D$14:$D$36)*$E1046)</f>
        <v>5.376</v>
      </c>
      <c r="M1046" s="95" cm="1">
        <f ca="1" t="array" ref="M1046">(1+SUMPRODUCT(G1046:H1046,OFFSET($H$40:$I$40,D1046,0)))*(1+OFFSET($J$40,D1046,0))^I1046*(1+OFFSET($K$40,D1046,0))^J1046*(1+OFFSET($L$40,D1046,0))^K1046*(1+OFFSET($M$40,D1046,0))^L1046</f>
        <v>268.414413371642</v>
      </c>
      <c r="N1046" s="95">
        <f ca="1">MAX(MAX($N$53:N1045),OFFSET($C$52,MATCH(M1046*1.07,$M$53:$M$2052,1),0)-C1046)</f>
        <v>10440</v>
      </c>
    </row>
    <row r="1047" spans="2:14">
      <c r="B1047" s="95">
        <v>995</v>
      </c>
      <c r="C1047" s="95">
        <f t="shared" si="81"/>
        <v>358200</v>
      </c>
      <c r="D1047" s="95">
        <f ca="1">_xlfn.XLOOKUP(总览!$B$44,$B$40:$B$45,$C$40:$C$45)</f>
        <v>5</v>
      </c>
      <c r="E1047" s="95">
        <f ca="1" t="shared" si="78"/>
        <v>1025</v>
      </c>
      <c r="F1047" s="95">
        <f ca="1" t="shared" si="79"/>
        <v>0</v>
      </c>
      <c r="G1047" s="95">
        <f ca="1" t="shared" si="80"/>
        <v>0</v>
      </c>
      <c r="H1047" s="95" cm="1">
        <f ca="1" t="array" ref="H1047">MIN(30-SUM(I1047:L1047),_xlfn.XLOOKUP($D1047&amp;"_"&amp;H$52,$B$14:$B$36&amp;"_"&amp;$C$14:$C$36,$D$14:$D$36)*$E1047,18)</f>
        <v>13.4425</v>
      </c>
      <c r="I1047" s="95" cm="1">
        <f ca="1" t="array" ref="I1047">MIN(30-SUM(J1047:L1047),6-L1047,_xlfn.XLOOKUP($D1047&amp;"_"&amp;I$52,$B$14:$B$36&amp;"_"&amp;$C$14:$C$36,$D$14:$D$36)*$E1047)</f>
        <v>0.618749999999999</v>
      </c>
      <c r="J1047" s="95" cm="1">
        <f ca="1" t="array" ref="J1047">MIN(8,_xlfn.XLOOKUP($D1047&amp;"_"&amp;J$52,$B$14:$B$36&amp;"_"&amp;$C$14:$C$36,$D$14:$D$36)*$E1047)</f>
        <v>7.6875</v>
      </c>
      <c r="K1047" s="95" cm="1">
        <f ca="1" t="array" ref="K1047">MIN(18,_xlfn.XLOOKUP($D1047&amp;"_"&amp;K$52,$B$14:$B$36&amp;"_"&amp;$C$14:$C$36,$D$14:$D$36)*$E1047)</f>
        <v>2.87</v>
      </c>
      <c r="L1047" s="95" cm="1">
        <f ca="1" t="array" ref="L1047">MIN(6,_xlfn.XLOOKUP($D1047&amp;"_"&amp;L$52,$B$14:$B$36&amp;"_"&amp;$C$14:$C$36,$D$14:$D$36)*$E1047)</f>
        <v>5.38125</v>
      </c>
      <c r="M1047" s="95" cm="1">
        <f ca="1" t="array" ref="M1047">(1+SUMPRODUCT(G1047:H1047,OFFSET($H$40:$I$40,D1047,0)))*(1+OFFSET($J$40,D1047,0))^I1047*(1+OFFSET($K$40,D1047,0))^J1047*(1+OFFSET($L$40,D1047,0))^K1047*(1+OFFSET($M$40,D1047,0))^L1047</f>
        <v>269.037982733076</v>
      </c>
      <c r="N1047" s="95">
        <f ca="1">MAX(MAX($N$53:N1046),OFFSET($C$52,MATCH(M1047*1.07,$M$53:$M$2052,1),0)-C1047)</f>
        <v>10440</v>
      </c>
    </row>
    <row r="1048" spans="2:14">
      <c r="B1048" s="95">
        <v>996</v>
      </c>
      <c r="C1048" s="95">
        <f t="shared" si="81"/>
        <v>358560</v>
      </c>
      <c r="D1048" s="95">
        <f ca="1">_xlfn.XLOOKUP(总览!$B$44,$B$40:$B$45,$C$40:$C$45)</f>
        <v>5</v>
      </c>
      <c r="E1048" s="95">
        <f ca="1" t="shared" si="78"/>
        <v>1026</v>
      </c>
      <c r="F1048" s="95">
        <f ca="1" t="shared" si="79"/>
        <v>0</v>
      </c>
      <c r="G1048" s="95">
        <f ca="1" t="shared" si="80"/>
        <v>0</v>
      </c>
      <c r="H1048" s="95" cm="1">
        <f ca="1" t="array" ref="H1048">MIN(30-SUM(I1048:L1048),_xlfn.XLOOKUP($D1048&amp;"_"&amp;H$52,$B$14:$B$36&amp;"_"&amp;$C$14:$C$36,$D$14:$D$36)*$E1048,18)</f>
        <v>13.4322</v>
      </c>
      <c r="I1048" s="95" cm="1">
        <f ca="1" t="array" ref="I1048">MIN(30-SUM(J1048:L1048),6-L1048,_xlfn.XLOOKUP($D1048&amp;"_"&amp;I$52,$B$14:$B$36&amp;"_"&amp;$C$14:$C$36,$D$14:$D$36)*$E1048)</f>
        <v>0.613499999999999</v>
      </c>
      <c r="J1048" s="95" cm="1">
        <f ca="1" t="array" ref="J1048">MIN(8,_xlfn.XLOOKUP($D1048&amp;"_"&amp;J$52,$B$14:$B$36&amp;"_"&amp;$C$14:$C$36,$D$14:$D$36)*$E1048)</f>
        <v>7.695</v>
      </c>
      <c r="K1048" s="95" cm="1">
        <f ca="1" t="array" ref="K1048">MIN(18,_xlfn.XLOOKUP($D1048&amp;"_"&amp;K$52,$B$14:$B$36&amp;"_"&amp;$C$14:$C$36,$D$14:$D$36)*$E1048)</f>
        <v>2.8728</v>
      </c>
      <c r="L1048" s="95" cm="1">
        <f ca="1" t="array" ref="L1048">MIN(6,_xlfn.XLOOKUP($D1048&amp;"_"&amp;L$52,$B$14:$B$36&amp;"_"&amp;$C$14:$C$36,$D$14:$D$36)*$E1048)</f>
        <v>5.3865</v>
      </c>
      <c r="M1048" s="95" cm="1">
        <f ca="1" t="array" ref="M1048">(1+SUMPRODUCT(G1048:H1048,OFFSET($H$40:$I$40,D1048,0)))*(1+OFFSET($J$40,D1048,0))^I1048*(1+OFFSET($K$40,D1048,0))^J1048*(1+OFFSET($L$40,D1048,0))^K1048*(1+OFFSET($M$40,D1048,0))^L1048</f>
        <v>269.662916633622</v>
      </c>
      <c r="N1048" s="95">
        <f ca="1">MAX(MAX($N$53:N1047),OFFSET($C$52,MATCH(M1048*1.07,$M$53:$M$2052,1),0)-C1048)</f>
        <v>10440</v>
      </c>
    </row>
    <row r="1049" spans="2:14">
      <c r="B1049" s="95">
        <v>997</v>
      </c>
      <c r="C1049" s="95">
        <f t="shared" si="81"/>
        <v>358920</v>
      </c>
      <c r="D1049" s="95">
        <f ca="1">_xlfn.XLOOKUP(总览!$B$44,$B$40:$B$45,$C$40:$C$45)</f>
        <v>5</v>
      </c>
      <c r="E1049" s="95">
        <f ca="1" t="shared" si="78"/>
        <v>1027</v>
      </c>
      <c r="F1049" s="95">
        <f ca="1" t="shared" si="79"/>
        <v>0</v>
      </c>
      <c r="G1049" s="95">
        <f ca="1" t="shared" si="80"/>
        <v>0</v>
      </c>
      <c r="H1049" s="95" cm="1">
        <f ca="1" t="array" ref="H1049">MIN(30-SUM(I1049:L1049),_xlfn.XLOOKUP($D1049&amp;"_"&amp;H$52,$B$14:$B$36&amp;"_"&amp;$C$14:$C$36,$D$14:$D$36)*$E1049,18)</f>
        <v>13.4219</v>
      </c>
      <c r="I1049" s="95" cm="1">
        <f ca="1" t="array" ref="I1049">MIN(30-SUM(J1049:L1049),6-L1049,_xlfn.XLOOKUP($D1049&amp;"_"&amp;I$52,$B$14:$B$36&amp;"_"&amp;$C$14:$C$36,$D$14:$D$36)*$E1049)</f>
        <v>0.60825</v>
      </c>
      <c r="J1049" s="95" cm="1">
        <f ca="1" t="array" ref="J1049">MIN(8,_xlfn.XLOOKUP($D1049&amp;"_"&amp;J$52,$B$14:$B$36&amp;"_"&amp;$C$14:$C$36,$D$14:$D$36)*$E1049)</f>
        <v>7.7025</v>
      </c>
      <c r="K1049" s="95" cm="1">
        <f ca="1" t="array" ref="K1049">MIN(18,_xlfn.XLOOKUP($D1049&amp;"_"&amp;K$52,$B$14:$B$36&amp;"_"&amp;$C$14:$C$36,$D$14:$D$36)*$E1049)</f>
        <v>2.8756</v>
      </c>
      <c r="L1049" s="95" cm="1">
        <f ca="1" t="array" ref="L1049">MIN(6,_xlfn.XLOOKUP($D1049&amp;"_"&amp;L$52,$B$14:$B$36&amp;"_"&amp;$C$14:$C$36,$D$14:$D$36)*$E1049)</f>
        <v>5.39175</v>
      </c>
      <c r="M1049" s="95" cm="1">
        <f ca="1" t="array" ref="M1049">(1+SUMPRODUCT(G1049:H1049,OFFSET($H$40:$I$40,D1049,0)))*(1+OFFSET($J$40,D1049,0))^I1049*(1+OFFSET($K$40,D1049,0))^J1049*(1+OFFSET($L$40,D1049,0))^K1049*(1+OFFSET($M$40,D1049,0))^L1049</f>
        <v>270.289217758343</v>
      </c>
      <c r="N1049" s="95">
        <f ca="1">MAX(MAX($N$53:N1048),OFFSET($C$52,MATCH(M1049*1.07,$M$53:$M$2052,1),0)-C1049)</f>
        <v>10440</v>
      </c>
    </row>
    <row r="1050" spans="2:14">
      <c r="B1050" s="95">
        <v>998</v>
      </c>
      <c r="C1050" s="95">
        <f t="shared" si="81"/>
        <v>359280</v>
      </c>
      <c r="D1050" s="95">
        <f ca="1">_xlfn.XLOOKUP(总览!$B$44,$B$40:$B$45,$C$40:$C$45)</f>
        <v>5</v>
      </c>
      <c r="E1050" s="95">
        <f ca="1" t="shared" si="78"/>
        <v>1028</v>
      </c>
      <c r="F1050" s="95">
        <f ca="1" t="shared" si="79"/>
        <v>0</v>
      </c>
      <c r="G1050" s="95">
        <f ca="1" t="shared" si="80"/>
        <v>0</v>
      </c>
      <c r="H1050" s="95" cm="1">
        <f ca="1" t="array" ref="H1050">MIN(30-SUM(I1050:L1050),_xlfn.XLOOKUP($D1050&amp;"_"&amp;H$52,$B$14:$B$36&amp;"_"&amp;$C$14:$C$36,$D$14:$D$36)*$E1050,18)</f>
        <v>13.4116</v>
      </c>
      <c r="I1050" s="95" cm="1">
        <f ca="1" t="array" ref="I1050">MIN(30-SUM(J1050:L1050),6-L1050,_xlfn.XLOOKUP($D1050&amp;"_"&amp;I$52,$B$14:$B$36&amp;"_"&amp;$C$14:$C$36,$D$14:$D$36)*$E1050)</f>
        <v>0.603</v>
      </c>
      <c r="J1050" s="95" cm="1">
        <f ca="1" t="array" ref="J1050">MIN(8,_xlfn.XLOOKUP($D1050&amp;"_"&amp;J$52,$B$14:$B$36&amp;"_"&amp;$C$14:$C$36,$D$14:$D$36)*$E1050)</f>
        <v>7.71</v>
      </c>
      <c r="K1050" s="95" cm="1">
        <f ca="1" t="array" ref="K1050">MIN(18,_xlfn.XLOOKUP($D1050&amp;"_"&amp;K$52,$B$14:$B$36&amp;"_"&amp;$C$14:$C$36,$D$14:$D$36)*$E1050)</f>
        <v>2.8784</v>
      </c>
      <c r="L1050" s="95" cm="1">
        <f ca="1" t="array" ref="L1050">MIN(6,_xlfn.XLOOKUP($D1050&amp;"_"&amp;L$52,$B$14:$B$36&amp;"_"&amp;$C$14:$C$36,$D$14:$D$36)*$E1050)</f>
        <v>5.397</v>
      </c>
      <c r="M1050" s="95" cm="1">
        <f ca="1" t="array" ref="M1050">(1+SUMPRODUCT(G1050:H1050,OFFSET($H$40:$I$40,D1050,0)))*(1+OFFSET($J$40,D1050,0))^I1050*(1+OFFSET($K$40,D1050,0))^J1050*(1+OFFSET($L$40,D1050,0))^K1050*(1+OFFSET($M$40,D1050,0))^L1050</f>
        <v>270.916888796441</v>
      </c>
      <c r="N1050" s="95">
        <f ca="1">MAX(MAX($N$53:N1049),OFFSET($C$52,MATCH(M1050*1.07,$M$53:$M$2052,1),0)-C1050)</f>
        <v>10440</v>
      </c>
    </row>
    <row r="1051" spans="2:14">
      <c r="B1051" s="95">
        <v>999</v>
      </c>
      <c r="C1051" s="95">
        <f t="shared" si="81"/>
        <v>359640</v>
      </c>
      <c r="D1051" s="95">
        <f ca="1">_xlfn.XLOOKUP(总览!$B$44,$B$40:$B$45,$C$40:$C$45)</f>
        <v>5</v>
      </c>
      <c r="E1051" s="95">
        <f ca="1" t="shared" si="78"/>
        <v>1029</v>
      </c>
      <c r="F1051" s="95">
        <f ca="1" t="shared" si="79"/>
        <v>0</v>
      </c>
      <c r="G1051" s="95">
        <f ca="1" t="shared" si="80"/>
        <v>0</v>
      </c>
      <c r="H1051" s="95" cm="1">
        <f ca="1" t="array" ref="H1051">MIN(30-SUM(I1051:L1051),_xlfn.XLOOKUP($D1051&amp;"_"&amp;H$52,$B$14:$B$36&amp;"_"&amp;$C$14:$C$36,$D$14:$D$36)*$E1051,18)</f>
        <v>13.4013</v>
      </c>
      <c r="I1051" s="95" cm="1">
        <f ca="1" t="array" ref="I1051">MIN(30-SUM(J1051:L1051),6-L1051,_xlfn.XLOOKUP($D1051&amp;"_"&amp;I$52,$B$14:$B$36&amp;"_"&amp;$C$14:$C$36,$D$14:$D$36)*$E1051)</f>
        <v>0.59775</v>
      </c>
      <c r="J1051" s="95" cm="1">
        <f ca="1" t="array" ref="J1051">MIN(8,_xlfn.XLOOKUP($D1051&amp;"_"&amp;J$52,$B$14:$B$36&amp;"_"&amp;$C$14:$C$36,$D$14:$D$36)*$E1051)</f>
        <v>7.7175</v>
      </c>
      <c r="K1051" s="95" cm="1">
        <f ca="1" t="array" ref="K1051">MIN(18,_xlfn.XLOOKUP($D1051&amp;"_"&amp;K$52,$B$14:$B$36&amp;"_"&amp;$C$14:$C$36,$D$14:$D$36)*$E1051)</f>
        <v>2.8812</v>
      </c>
      <c r="L1051" s="95" cm="1">
        <f ca="1" t="array" ref="L1051">MIN(6,_xlfn.XLOOKUP($D1051&amp;"_"&amp;L$52,$B$14:$B$36&amp;"_"&amp;$C$14:$C$36,$D$14:$D$36)*$E1051)</f>
        <v>5.40225</v>
      </c>
      <c r="M1051" s="95" cm="1">
        <f ca="1" t="array" ref="M1051">(1+SUMPRODUCT(G1051:H1051,OFFSET($H$40:$I$40,D1051,0)))*(1+OFFSET($J$40,D1051,0))^I1051*(1+OFFSET($K$40,D1051,0))^J1051*(1+OFFSET($L$40,D1051,0))^K1051*(1+OFFSET($M$40,D1051,0))^L1051</f>
        <v>271.545932441261</v>
      </c>
      <c r="N1051" s="95">
        <f ca="1">MAX(MAX($N$53:N1050),OFFSET($C$52,MATCH(M1051*1.07,$M$53:$M$2052,1),0)-C1051)</f>
        <v>10440</v>
      </c>
    </row>
    <row r="1052" spans="2:14">
      <c r="B1052" s="95">
        <v>1000</v>
      </c>
      <c r="C1052" s="95">
        <f t="shared" si="81"/>
        <v>360000</v>
      </c>
      <c r="D1052" s="95">
        <f ca="1">_xlfn.XLOOKUP(总览!$B$44,$B$40:$B$45,$C$40:$C$45)</f>
        <v>5</v>
      </c>
      <c r="E1052" s="95">
        <f ca="1" t="shared" si="78"/>
        <v>1030</v>
      </c>
      <c r="F1052" s="95">
        <f ca="1" t="shared" si="79"/>
        <v>0</v>
      </c>
      <c r="G1052" s="95">
        <f ca="1" t="shared" si="80"/>
        <v>0</v>
      </c>
      <c r="H1052" s="95" cm="1">
        <f ca="1" t="array" ref="H1052">MIN(30-SUM(I1052:L1052),_xlfn.XLOOKUP($D1052&amp;"_"&amp;H$52,$B$14:$B$36&amp;"_"&amp;$C$14:$C$36,$D$14:$D$36)*$E1052,18)</f>
        <v>13.391</v>
      </c>
      <c r="I1052" s="95" cm="1">
        <f ca="1" t="array" ref="I1052">MIN(30-SUM(J1052:L1052),6-L1052,_xlfn.XLOOKUP($D1052&amp;"_"&amp;I$52,$B$14:$B$36&amp;"_"&amp;$C$14:$C$36,$D$14:$D$36)*$E1052)</f>
        <v>0.592499999999999</v>
      </c>
      <c r="J1052" s="95" cm="1">
        <f ca="1" t="array" ref="J1052">MIN(8,_xlfn.XLOOKUP($D1052&amp;"_"&amp;J$52,$B$14:$B$36&amp;"_"&amp;$C$14:$C$36,$D$14:$D$36)*$E1052)</f>
        <v>7.725</v>
      </c>
      <c r="K1052" s="95" cm="1">
        <f ca="1" t="array" ref="K1052">MIN(18,_xlfn.XLOOKUP($D1052&amp;"_"&amp;K$52,$B$14:$B$36&amp;"_"&amp;$C$14:$C$36,$D$14:$D$36)*$E1052)</f>
        <v>2.884</v>
      </c>
      <c r="L1052" s="95" cm="1">
        <f ca="1" t="array" ref="L1052">MIN(6,_xlfn.XLOOKUP($D1052&amp;"_"&amp;L$52,$B$14:$B$36&amp;"_"&amp;$C$14:$C$36,$D$14:$D$36)*$E1052)</f>
        <v>5.4075</v>
      </c>
      <c r="M1052" s="95" cm="1">
        <f ca="1" t="array" ref="M1052">(1+SUMPRODUCT(G1052:H1052,OFFSET($H$40:$I$40,D1052,0)))*(1+OFFSET($J$40,D1052,0))^I1052*(1+OFFSET($K$40,D1052,0))^J1052*(1+OFFSET($L$40,D1052,0))^K1052*(1+OFFSET($M$40,D1052,0))^L1052</f>
        <v>272.176351390291</v>
      </c>
      <c r="N1052" s="95">
        <f ca="1">MAX(MAX($N$53:N1051),OFFSET($C$52,MATCH(M1052*1.07,$M$53:$M$2052,1),0)-C1052)</f>
        <v>10440</v>
      </c>
    </row>
    <row r="1053" spans="2:14">
      <c r="B1053" s="95">
        <v>1001</v>
      </c>
      <c r="C1053" s="95">
        <f t="shared" ref="C1053:C1084" si="82">C1052+360</f>
        <v>360360</v>
      </c>
      <c r="D1053" s="95">
        <f ca="1">_xlfn.XLOOKUP(总览!$B$44,$B$40:$B$45,$C$40:$C$45)</f>
        <v>5</v>
      </c>
      <c r="E1053" s="95">
        <f ca="1" t="shared" si="78"/>
        <v>1031</v>
      </c>
      <c r="F1053" s="95">
        <f ca="1" t="shared" ref="F1053:F1084" si="83">30-SUM(G1053:L1053)</f>
        <v>0</v>
      </c>
      <c r="G1053" s="95">
        <f ca="1" t="shared" ref="G1053:G1084" si="84">30-SUM(H1053:L1053)</f>
        <v>0</v>
      </c>
      <c r="H1053" s="95" cm="1">
        <f ca="1" t="array" ref="H1053">MIN(30-SUM(I1053:L1053),_xlfn.XLOOKUP($D1053&amp;"_"&amp;H$52,$B$14:$B$36&amp;"_"&amp;$C$14:$C$36,$D$14:$D$36)*$E1053,18)</f>
        <v>13.3807</v>
      </c>
      <c r="I1053" s="95" cm="1">
        <f ca="1" t="array" ref="I1053">MIN(30-SUM(J1053:L1053),6-L1053,_xlfn.XLOOKUP($D1053&amp;"_"&amp;I$52,$B$14:$B$36&amp;"_"&amp;$C$14:$C$36,$D$14:$D$36)*$E1053)</f>
        <v>0.58725</v>
      </c>
      <c r="J1053" s="95" cm="1">
        <f ca="1" t="array" ref="J1053">MIN(8,_xlfn.XLOOKUP($D1053&amp;"_"&amp;J$52,$B$14:$B$36&amp;"_"&amp;$C$14:$C$36,$D$14:$D$36)*$E1053)</f>
        <v>7.7325</v>
      </c>
      <c r="K1053" s="95" cm="1">
        <f ca="1" t="array" ref="K1053">MIN(18,_xlfn.XLOOKUP($D1053&amp;"_"&amp;K$52,$B$14:$B$36&amp;"_"&amp;$C$14:$C$36,$D$14:$D$36)*$E1053)</f>
        <v>2.8868</v>
      </c>
      <c r="L1053" s="95" cm="1">
        <f ca="1" t="array" ref="L1053">MIN(6,_xlfn.XLOOKUP($D1053&amp;"_"&amp;L$52,$B$14:$B$36&amp;"_"&amp;$C$14:$C$36,$D$14:$D$36)*$E1053)</f>
        <v>5.41275</v>
      </c>
      <c r="M1053" s="95" cm="1">
        <f ca="1" t="array" ref="M1053">(1+SUMPRODUCT(G1053:H1053,OFFSET($H$40:$I$40,D1053,0)))*(1+OFFSET($J$40,D1053,0))^I1053*(1+OFFSET($K$40,D1053,0))^J1053*(1+OFFSET($L$40,D1053,0))^K1053*(1+OFFSET($M$40,D1053,0))^L1053</f>
        <v>272.808148345165</v>
      </c>
      <c r="N1053" s="95">
        <f ca="1">MAX(MAX($N$53:N1052),OFFSET($C$52,MATCH(M1053*1.07,$M$53:$M$2052,1),0)-C1053)</f>
        <v>10440</v>
      </c>
    </row>
    <row r="1054" spans="2:14">
      <c r="B1054" s="95">
        <v>1002</v>
      </c>
      <c r="C1054" s="95">
        <f t="shared" si="82"/>
        <v>360720</v>
      </c>
      <c r="D1054" s="95">
        <f ca="1">_xlfn.XLOOKUP(总览!$B$44,$B$40:$B$45,$C$40:$C$45)</f>
        <v>5</v>
      </c>
      <c r="E1054" s="95">
        <f ca="1" t="shared" si="78"/>
        <v>1032</v>
      </c>
      <c r="F1054" s="95">
        <f ca="1" t="shared" si="83"/>
        <v>0</v>
      </c>
      <c r="G1054" s="95">
        <f ca="1" t="shared" si="84"/>
        <v>0</v>
      </c>
      <c r="H1054" s="95" cm="1">
        <f ca="1" t="array" ref="H1054">MIN(30-SUM(I1054:L1054),_xlfn.XLOOKUP($D1054&amp;"_"&amp;H$52,$B$14:$B$36&amp;"_"&amp;$C$14:$C$36,$D$14:$D$36)*$E1054,18)</f>
        <v>13.3704</v>
      </c>
      <c r="I1054" s="95" cm="1">
        <f ca="1" t="array" ref="I1054">MIN(30-SUM(J1054:L1054),6-L1054,_xlfn.XLOOKUP($D1054&amp;"_"&amp;I$52,$B$14:$B$36&amp;"_"&amp;$C$14:$C$36,$D$14:$D$36)*$E1054)</f>
        <v>0.582</v>
      </c>
      <c r="J1054" s="95" cm="1">
        <f ca="1" t="array" ref="J1054">MIN(8,_xlfn.XLOOKUP($D1054&amp;"_"&amp;J$52,$B$14:$B$36&amp;"_"&amp;$C$14:$C$36,$D$14:$D$36)*$E1054)</f>
        <v>7.74</v>
      </c>
      <c r="K1054" s="95" cm="1">
        <f ca="1" t="array" ref="K1054">MIN(18,_xlfn.XLOOKUP($D1054&amp;"_"&amp;K$52,$B$14:$B$36&amp;"_"&amp;$C$14:$C$36,$D$14:$D$36)*$E1054)</f>
        <v>2.8896</v>
      </c>
      <c r="L1054" s="95" cm="1">
        <f ca="1" t="array" ref="L1054">MIN(6,_xlfn.XLOOKUP($D1054&amp;"_"&amp;L$52,$B$14:$B$36&amp;"_"&amp;$C$14:$C$36,$D$14:$D$36)*$E1054)</f>
        <v>5.418</v>
      </c>
      <c r="M1054" s="95" cm="1">
        <f ca="1" t="array" ref="M1054">(1+SUMPRODUCT(G1054:H1054,OFFSET($H$40:$I$40,D1054,0)))*(1+OFFSET($J$40,D1054,0))^I1054*(1+OFFSET($K$40,D1054,0))^J1054*(1+OFFSET($L$40,D1054,0))^K1054*(1+OFFSET($M$40,D1054,0))^L1054</f>
        <v>273.441326011663</v>
      </c>
      <c r="N1054" s="95">
        <f ca="1">MAX(MAX($N$53:N1053),OFFSET($C$52,MATCH(M1054*1.07,$M$53:$M$2052,1),0)-C1054)</f>
        <v>10440</v>
      </c>
    </row>
    <row r="1055" spans="2:14">
      <c r="B1055" s="95">
        <v>1003</v>
      </c>
      <c r="C1055" s="95">
        <f t="shared" si="82"/>
        <v>361080</v>
      </c>
      <c r="D1055" s="95">
        <f ca="1">_xlfn.XLOOKUP(总览!$B$44,$B$40:$B$45,$C$40:$C$45)</f>
        <v>5</v>
      </c>
      <c r="E1055" s="95">
        <f ca="1" t="shared" si="78"/>
        <v>1033</v>
      </c>
      <c r="F1055" s="95">
        <f ca="1" t="shared" si="83"/>
        <v>0</v>
      </c>
      <c r="G1055" s="95">
        <f ca="1" t="shared" si="84"/>
        <v>0</v>
      </c>
      <c r="H1055" s="95" cm="1">
        <f ca="1" t="array" ref="H1055">MIN(30-SUM(I1055:L1055),_xlfn.XLOOKUP($D1055&amp;"_"&amp;H$52,$B$14:$B$36&amp;"_"&amp;$C$14:$C$36,$D$14:$D$36)*$E1055,18)</f>
        <v>13.3601</v>
      </c>
      <c r="I1055" s="95" cm="1">
        <f ca="1" t="array" ref="I1055">MIN(30-SUM(J1055:L1055),6-L1055,_xlfn.XLOOKUP($D1055&amp;"_"&amp;I$52,$B$14:$B$36&amp;"_"&amp;$C$14:$C$36,$D$14:$D$36)*$E1055)</f>
        <v>0.57675</v>
      </c>
      <c r="J1055" s="95" cm="1">
        <f ca="1" t="array" ref="J1055">MIN(8,_xlfn.XLOOKUP($D1055&amp;"_"&amp;J$52,$B$14:$B$36&amp;"_"&amp;$C$14:$C$36,$D$14:$D$36)*$E1055)</f>
        <v>7.7475</v>
      </c>
      <c r="K1055" s="95" cm="1">
        <f ca="1" t="array" ref="K1055">MIN(18,_xlfn.XLOOKUP($D1055&amp;"_"&amp;K$52,$B$14:$B$36&amp;"_"&amp;$C$14:$C$36,$D$14:$D$36)*$E1055)</f>
        <v>2.8924</v>
      </c>
      <c r="L1055" s="95" cm="1">
        <f ca="1" t="array" ref="L1055">MIN(6,_xlfn.XLOOKUP($D1055&amp;"_"&amp;L$52,$B$14:$B$36&amp;"_"&amp;$C$14:$C$36,$D$14:$D$36)*$E1055)</f>
        <v>5.42325</v>
      </c>
      <c r="M1055" s="95" cm="1">
        <f ca="1" t="array" ref="M1055">(1+SUMPRODUCT(G1055:H1055,OFFSET($H$40:$I$40,D1055,0)))*(1+OFFSET($J$40,D1055,0))^I1055*(1+OFFSET($K$40,D1055,0))^J1055*(1+OFFSET($L$40,D1055,0))^K1055*(1+OFFSET($M$40,D1055,0))^L1055</f>
        <v>274.075887099713</v>
      </c>
      <c r="N1055" s="95">
        <f ca="1">MAX(MAX($N$53:N1054),OFFSET($C$52,MATCH(M1055*1.07,$M$53:$M$2052,1),0)-C1055)</f>
        <v>10440</v>
      </c>
    </row>
    <row r="1056" spans="2:14">
      <c r="B1056" s="95">
        <v>1004</v>
      </c>
      <c r="C1056" s="95">
        <f t="shared" si="82"/>
        <v>361440</v>
      </c>
      <c r="D1056" s="95">
        <f ca="1">_xlfn.XLOOKUP(总览!$B$44,$B$40:$B$45,$C$40:$C$45)</f>
        <v>5</v>
      </c>
      <c r="E1056" s="95">
        <f ca="1" t="shared" si="78"/>
        <v>1034</v>
      </c>
      <c r="F1056" s="95">
        <f ca="1" t="shared" si="83"/>
        <v>0</v>
      </c>
      <c r="G1056" s="95">
        <f ca="1" t="shared" si="84"/>
        <v>0</v>
      </c>
      <c r="H1056" s="95" cm="1">
        <f ca="1" t="array" ref="H1056">MIN(30-SUM(I1056:L1056),_xlfn.XLOOKUP($D1056&amp;"_"&amp;H$52,$B$14:$B$36&amp;"_"&amp;$C$14:$C$36,$D$14:$D$36)*$E1056,18)</f>
        <v>13.3498</v>
      </c>
      <c r="I1056" s="95" cm="1">
        <f ca="1" t="array" ref="I1056">MIN(30-SUM(J1056:L1056),6-L1056,_xlfn.XLOOKUP($D1056&amp;"_"&amp;I$52,$B$14:$B$36&amp;"_"&amp;$C$14:$C$36,$D$14:$D$36)*$E1056)</f>
        <v>0.571499999999999</v>
      </c>
      <c r="J1056" s="95" cm="1">
        <f ca="1" t="array" ref="J1056">MIN(8,_xlfn.XLOOKUP($D1056&amp;"_"&amp;J$52,$B$14:$B$36&amp;"_"&amp;$C$14:$C$36,$D$14:$D$36)*$E1056)</f>
        <v>7.755</v>
      </c>
      <c r="K1056" s="95" cm="1">
        <f ca="1" t="array" ref="K1056">MIN(18,_xlfn.XLOOKUP($D1056&amp;"_"&amp;K$52,$B$14:$B$36&amp;"_"&amp;$C$14:$C$36,$D$14:$D$36)*$E1056)</f>
        <v>2.8952</v>
      </c>
      <c r="L1056" s="95" cm="1">
        <f ca="1" t="array" ref="L1056">MIN(6,_xlfn.XLOOKUP($D1056&amp;"_"&amp;L$52,$B$14:$B$36&amp;"_"&amp;$C$14:$C$36,$D$14:$D$36)*$E1056)</f>
        <v>5.4285</v>
      </c>
      <c r="M1056" s="95" cm="1">
        <f ca="1" t="array" ref="M1056">(1+SUMPRODUCT(G1056:H1056,OFFSET($H$40:$I$40,D1056,0)))*(1+OFFSET($J$40,D1056,0))^I1056*(1+OFFSET($K$40,D1056,0))^J1056*(1+OFFSET($L$40,D1056,0))^K1056*(1+OFFSET($M$40,D1056,0))^L1056</f>
        <v>274.711834323393</v>
      </c>
      <c r="N1056" s="95">
        <f ca="1">MAX(MAX($N$53:N1055),OFFSET($C$52,MATCH(M1056*1.07,$M$53:$M$2052,1),0)-C1056)</f>
        <v>10440</v>
      </c>
    </row>
    <row r="1057" spans="2:14">
      <c r="B1057" s="95">
        <v>1005</v>
      </c>
      <c r="C1057" s="95">
        <f t="shared" si="82"/>
        <v>361800</v>
      </c>
      <c r="D1057" s="95">
        <f ca="1">_xlfn.XLOOKUP(总览!$B$44,$B$40:$B$45,$C$40:$C$45)</f>
        <v>5</v>
      </c>
      <c r="E1057" s="95">
        <f ca="1" t="shared" si="78"/>
        <v>1035</v>
      </c>
      <c r="F1057" s="95">
        <f ca="1" t="shared" si="83"/>
        <v>0</v>
      </c>
      <c r="G1057" s="95">
        <f ca="1" t="shared" si="84"/>
        <v>0</v>
      </c>
      <c r="H1057" s="95" cm="1">
        <f ca="1" t="array" ref="H1057">MIN(30-SUM(I1057:L1057),_xlfn.XLOOKUP($D1057&amp;"_"&amp;H$52,$B$14:$B$36&amp;"_"&amp;$C$14:$C$36,$D$14:$D$36)*$E1057,18)</f>
        <v>13.3395</v>
      </c>
      <c r="I1057" s="95" cm="1">
        <f ca="1" t="array" ref="I1057">MIN(30-SUM(J1057:L1057),6-L1057,_xlfn.XLOOKUP($D1057&amp;"_"&amp;I$52,$B$14:$B$36&amp;"_"&amp;$C$14:$C$36,$D$14:$D$36)*$E1057)</f>
        <v>0.566249999999999</v>
      </c>
      <c r="J1057" s="95" cm="1">
        <f ca="1" t="array" ref="J1057">MIN(8,_xlfn.XLOOKUP($D1057&amp;"_"&amp;J$52,$B$14:$B$36&amp;"_"&amp;$C$14:$C$36,$D$14:$D$36)*$E1057)</f>
        <v>7.7625</v>
      </c>
      <c r="K1057" s="95" cm="1">
        <f ca="1" t="array" ref="K1057">MIN(18,_xlfn.XLOOKUP($D1057&amp;"_"&amp;K$52,$B$14:$B$36&amp;"_"&amp;$C$14:$C$36,$D$14:$D$36)*$E1057)</f>
        <v>2.898</v>
      </c>
      <c r="L1057" s="95" cm="1">
        <f ca="1" t="array" ref="L1057">MIN(6,_xlfn.XLOOKUP($D1057&amp;"_"&amp;L$52,$B$14:$B$36&amp;"_"&amp;$C$14:$C$36,$D$14:$D$36)*$E1057)</f>
        <v>5.43375</v>
      </c>
      <c r="M1057" s="95" cm="1">
        <f ca="1" t="array" ref="M1057">(1+SUMPRODUCT(G1057:H1057,OFFSET($H$40:$I$40,D1057,0)))*(1+OFFSET($J$40,D1057,0))^I1057*(1+OFFSET($K$40,D1057,0))^J1057*(1+OFFSET($L$40,D1057,0))^K1057*(1+OFFSET($M$40,D1057,0))^L1057</f>
        <v>275.349170400933</v>
      </c>
      <c r="N1057" s="95">
        <f ca="1">MAX(MAX($N$53:N1056),OFFSET($C$52,MATCH(M1057*1.07,$M$53:$M$2052,1),0)-C1057)</f>
        <v>10440</v>
      </c>
    </row>
    <row r="1058" spans="2:14">
      <c r="B1058" s="95">
        <v>1006</v>
      </c>
      <c r="C1058" s="95">
        <f t="shared" si="82"/>
        <v>362160</v>
      </c>
      <c r="D1058" s="95">
        <f ca="1">_xlfn.XLOOKUP(总览!$B$44,$B$40:$B$45,$C$40:$C$45)</f>
        <v>5</v>
      </c>
      <c r="E1058" s="95">
        <f ca="1" t="shared" si="78"/>
        <v>1036</v>
      </c>
      <c r="F1058" s="95">
        <f ca="1" t="shared" si="83"/>
        <v>0</v>
      </c>
      <c r="G1058" s="95">
        <f ca="1" t="shared" si="84"/>
        <v>0</v>
      </c>
      <c r="H1058" s="95" cm="1">
        <f ca="1" t="array" ref="H1058">MIN(30-SUM(I1058:L1058),_xlfn.XLOOKUP($D1058&amp;"_"&amp;H$52,$B$14:$B$36&amp;"_"&amp;$C$14:$C$36,$D$14:$D$36)*$E1058,18)</f>
        <v>13.3292</v>
      </c>
      <c r="I1058" s="95" cm="1">
        <f ca="1" t="array" ref="I1058">MIN(30-SUM(J1058:L1058),6-L1058,_xlfn.XLOOKUP($D1058&amp;"_"&amp;I$52,$B$14:$B$36&amp;"_"&amp;$C$14:$C$36,$D$14:$D$36)*$E1058)</f>
        <v>0.561</v>
      </c>
      <c r="J1058" s="95" cm="1">
        <f ca="1" t="array" ref="J1058">MIN(8,_xlfn.XLOOKUP($D1058&amp;"_"&amp;J$52,$B$14:$B$36&amp;"_"&amp;$C$14:$C$36,$D$14:$D$36)*$E1058)</f>
        <v>7.77</v>
      </c>
      <c r="K1058" s="95" cm="1">
        <f ca="1" t="array" ref="K1058">MIN(18,_xlfn.XLOOKUP($D1058&amp;"_"&amp;K$52,$B$14:$B$36&amp;"_"&amp;$C$14:$C$36,$D$14:$D$36)*$E1058)</f>
        <v>2.9008</v>
      </c>
      <c r="L1058" s="95" cm="1">
        <f ca="1" t="array" ref="L1058">MIN(6,_xlfn.XLOOKUP($D1058&amp;"_"&amp;L$52,$B$14:$B$36&amp;"_"&amp;$C$14:$C$36,$D$14:$D$36)*$E1058)</f>
        <v>5.439</v>
      </c>
      <c r="M1058" s="95" cm="1">
        <f ca="1" t="array" ref="M1058">(1+SUMPRODUCT(G1058:H1058,OFFSET($H$40:$I$40,D1058,0)))*(1+OFFSET($J$40,D1058,0))^I1058*(1+OFFSET($K$40,D1058,0))^J1058*(1+OFFSET($L$40,D1058,0))^K1058*(1+OFFSET($M$40,D1058,0))^L1058</f>
        <v>275.987898054712</v>
      </c>
      <c r="N1058" s="95">
        <f ca="1">MAX(MAX($N$53:N1057),OFFSET($C$52,MATCH(M1058*1.07,$M$53:$M$2052,1),0)-C1058)</f>
        <v>10440</v>
      </c>
    </row>
    <row r="1059" spans="2:14">
      <c r="B1059" s="95">
        <v>1007</v>
      </c>
      <c r="C1059" s="95">
        <f t="shared" si="82"/>
        <v>362520</v>
      </c>
      <c r="D1059" s="95">
        <f ca="1">_xlfn.XLOOKUP(总览!$B$44,$B$40:$B$45,$C$40:$C$45)</f>
        <v>5</v>
      </c>
      <c r="E1059" s="95">
        <f ca="1" t="shared" si="78"/>
        <v>1037</v>
      </c>
      <c r="F1059" s="95">
        <f ca="1" t="shared" si="83"/>
        <v>0</v>
      </c>
      <c r="G1059" s="95">
        <f ca="1" t="shared" si="84"/>
        <v>0</v>
      </c>
      <c r="H1059" s="95" cm="1">
        <f ca="1" t="array" ref="H1059">MIN(30-SUM(I1059:L1059),_xlfn.XLOOKUP($D1059&amp;"_"&amp;H$52,$B$14:$B$36&amp;"_"&amp;$C$14:$C$36,$D$14:$D$36)*$E1059,18)</f>
        <v>13.3189</v>
      </c>
      <c r="I1059" s="95" cm="1">
        <f ca="1" t="array" ref="I1059">MIN(30-SUM(J1059:L1059),6-L1059,_xlfn.XLOOKUP($D1059&amp;"_"&amp;I$52,$B$14:$B$36&amp;"_"&amp;$C$14:$C$36,$D$14:$D$36)*$E1059)</f>
        <v>0.55575</v>
      </c>
      <c r="J1059" s="95" cm="1">
        <f ca="1" t="array" ref="J1059">MIN(8,_xlfn.XLOOKUP($D1059&amp;"_"&amp;J$52,$B$14:$B$36&amp;"_"&amp;$C$14:$C$36,$D$14:$D$36)*$E1059)</f>
        <v>7.7775</v>
      </c>
      <c r="K1059" s="95" cm="1">
        <f ca="1" t="array" ref="K1059">MIN(18,_xlfn.XLOOKUP($D1059&amp;"_"&amp;K$52,$B$14:$B$36&amp;"_"&amp;$C$14:$C$36,$D$14:$D$36)*$E1059)</f>
        <v>2.9036</v>
      </c>
      <c r="L1059" s="95" cm="1">
        <f ca="1" t="array" ref="L1059">MIN(6,_xlfn.XLOOKUP($D1059&amp;"_"&amp;L$52,$B$14:$B$36&amp;"_"&amp;$C$14:$C$36,$D$14:$D$36)*$E1059)</f>
        <v>5.44425</v>
      </c>
      <c r="M1059" s="95" cm="1">
        <f ca="1" t="array" ref="M1059">(1+SUMPRODUCT(G1059:H1059,OFFSET($H$40:$I$40,D1059,0)))*(1+OFFSET($J$40,D1059,0))^I1059*(1+OFFSET($K$40,D1059,0))^J1059*(1+OFFSET($L$40,D1059,0))^K1059*(1+OFFSET($M$40,D1059,0))^L1059</f>
        <v>276.628020011266</v>
      </c>
      <c r="N1059" s="95">
        <f ca="1">MAX(MAX($N$53:N1058),OFFSET($C$52,MATCH(M1059*1.07,$M$53:$M$2052,1),0)-C1059)</f>
        <v>10440</v>
      </c>
    </row>
    <row r="1060" spans="2:14">
      <c r="B1060" s="95">
        <v>1008</v>
      </c>
      <c r="C1060" s="95">
        <f t="shared" si="82"/>
        <v>362880</v>
      </c>
      <c r="D1060" s="95">
        <f ca="1">_xlfn.XLOOKUP(总览!$B$44,$B$40:$B$45,$C$40:$C$45)</f>
        <v>5</v>
      </c>
      <c r="E1060" s="95">
        <f ca="1" t="shared" si="78"/>
        <v>1038</v>
      </c>
      <c r="F1060" s="95">
        <f ca="1" t="shared" si="83"/>
        <v>0</v>
      </c>
      <c r="G1060" s="95">
        <f ca="1" t="shared" si="84"/>
        <v>0</v>
      </c>
      <c r="H1060" s="95" cm="1">
        <f ca="1" t="array" ref="H1060">MIN(30-SUM(I1060:L1060),_xlfn.XLOOKUP($D1060&amp;"_"&amp;H$52,$B$14:$B$36&amp;"_"&amp;$C$14:$C$36,$D$14:$D$36)*$E1060,18)</f>
        <v>13.3086</v>
      </c>
      <c r="I1060" s="95" cm="1">
        <f ca="1" t="array" ref="I1060">MIN(30-SUM(J1060:L1060),6-L1060,_xlfn.XLOOKUP($D1060&amp;"_"&amp;I$52,$B$14:$B$36&amp;"_"&amp;$C$14:$C$36,$D$14:$D$36)*$E1060)</f>
        <v>0.5505</v>
      </c>
      <c r="J1060" s="95" cm="1">
        <f ca="1" t="array" ref="J1060">MIN(8,_xlfn.XLOOKUP($D1060&amp;"_"&amp;J$52,$B$14:$B$36&amp;"_"&amp;$C$14:$C$36,$D$14:$D$36)*$E1060)</f>
        <v>7.785</v>
      </c>
      <c r="K1060" s="95" cm="1">
        <f ca="1" t="array" ref="K1060">MIN(18,_xlfn.XLOOKUP($D1060&amp;"_"&amp;K$52,$B$14:$B$36&amp;"_"&amp;$C$14:$C$36,$D$14:$D$36)*$E1060)</f>
        <v>2.9064</v>
      </c>
      <c r="L1060" s="95" cm="1">
        <f ca="1" t="array" ref="L1060">MIN(6,_xlfn.XLOOKUP($D1060&amp;"_"&amp;L$52,$B$14:$B$36&amp;"_"&amp;$C$14:$C$36,$D$14:$D$36)*$E1060)</f>
        <v>5.4495</v>
      </c>
      <c r="M1060" s="95" cm="1">
        <f ca="1" t="array" ref="M1060">(1+SUMPRODUCT(G1060:H1060,OFFSET($H$40:$I$40,D1060,0)))*(1+OFFSET($J$40,D1060,0))^I1060*(1+OFFSET($K$40,D1060,0))^J1060*(1+OFFSET($L$40,D1060,0))^K1060*(1+OFFSET($M$40,D1060,0))^L1060</f>
        <v>277.269539001284</v>
      </c>
      <c r="N1060" s="95">
        <f ca="1">MAX(MAX($N$53:N1059),OFFSET($C$52,MATCH(M1060*1.07,$M$53:$M$2052,1),0)-C1060)</f>
        <v>10800</v>
      </c>
    </row>
    <row r="1061" spans="2:14">
      <c r="B1061" s="95">
        <v>1009</v>
      </c>
      <c r="C1061" s="95">
        <f t="shared" si="82"/>
        <v>363240</v>
      </c>
      <c r="D1061" s="95">
        <f ca="1">_xlfn.XLOOKUP(总览!$B$44,$B$40:$B$45,$C$40:$C$45)</f>
        <v>5</v>
      </c>
      <c r="E1061" s="95">
        <f ca="1" t="shared" si="78"/>
        <v>1039</v>
      </c>
      <c r="F1061" s="95">
        <f ca="1" t="shared" si="83"/>
        <v>0</v>
      </c>
      <c r="G1061" s="95">
        <f ca="1" t="shared" si="84"/>
        <v>0</v>
      </c>
      <c r="H1061" s="95" cm="1">
        <f ca="1" t="array" ref="H1061">MIN(30-SUM(I1061:L1061),_xlfn.XLOOKUP($D1061&amp;"_"&amp;H$52,$B$14:$B$36&amp;"_"&amp;$C$14:$C$36,$D$14:$D$36)*$E1061,18)</f>
        <v>13.2983</v>
      </c>
      <c r="I1061" s="95" cm="1">
        <f ca="1" t="array" ref="I1061">MIN(30-SUM(J1061:L1061),6-L1061,_xlfn.XLOOKUP($D1061&amp;"_"&amp;I$52,$B$14:$B$36&amp;"_"&amp;$C$14:$C$36,$D$14:$D$36)*$E1061)</f>
        <v>0.545249999999999</v>
      </c>
      <c r="J1061" s="95" cm="1">
        <f ca="1" t="array" ref="J1061">MIN(8,_xlfn.XLOOKUP($D1061&amp;"_"&amp;J$52,$B$14:$B$36&amp;"_"&amp;$C$14:$C$36,$D$14:$D$36)*$E1061)</f>
        <v>7.7925</v>
      </c>
      <c r="K1061" s="95" cm="1">
        <f ca="1" t="array" ref="K1061">MIN(18,_xlfn.XLOOKUP($D1061&amp;"_"&amp;K$52,$B$14:$B$36&amp;"_"&amp;$C$14:$C$36,$D$14:$D$36)*$E1061)</f>
        <v>2.9092</v>
      </c>
      <c r="L1061" s="95" cm="1">
        <f ca="1" t="array" ref="L1061">MIN(6,_xlfn.XLOOKUP($D1061&amp;"_"&amp;L$52,$B$14:$B$36&amp;"_"&amp;$C$14:$C$36,$D$14:$D$36)*$E1061)</f>
        <v>5.45475</v>
      </c>
      <c r="M1061" s="95" cm="1">
        <f ca="1" t="array" ref="M1061">(1+SUMPRODUCT(G1061:H1061,OFFSET($H$40:$I$40,D1061,0)))*(1+OFFSET($J$40,D1061,0))^I1061*(1+OFFSET($K$40,D1061,0))^J1061*(1+OFFSET($L$40,D1061,0))^K1061*(1+OFFSET($M$40,D1061,0))^L1061</f>
        <v>277.912457759613</v>
      </c>
      <c r="N1061" s="95">
        <f ca="1">MAX(MAX($N$53:N1060),OFFSET($C$52,MATCH(M1061*1.07,$M$53:$M$2052,1),0)-C1061)</f>
        <v>11880</v>
      </c>
    </row>
    <row r="1062" spans="2:14">
      <c r="B1062" s="95">
        <v>1010</v>
      </c>
      <c r="C1062" s="95">
        <f t="shared" si="82"/>
        <v>363600</v>
      </c>
      <c r="D1062" s="95">
        <f ca="1">_xlfn.XLOOKUP(总览!$B$44,$B$40:$B$45,$C$40:$C$45)</f>
        <v>5</v>
      </c>
      <c r="E1062" s="95">
        <f ca="1" t="shared" si="78"/>
        <v>1040</v>
      </c>
      <c r="F1062" s="95">
        <f ca="1" t="shared" si="83"/>
        <v>0</v>
      </c>
      <c r="G1062" s="95">
        <f ca="1" t="shared" si="84"/>
        <v>0</v>
      </c>
      <c r="H1062" s="95" cm="1">
        <f ca="1" t="array" ref="H1062">MIN(30-SUM(I1062:L1062),_xlfn.XLOOKUP($D1062&amp;"_"&amp;H$52,$B$14:$B$36&amp;"_"&amp;$C$14:$C$36,$D$14:$D$36)*$E1062,18)</f>
        <v>13.288</v>
      </c>
      <c r="I1062" s="95" cm="1">
        <f ca="1" t="array" ref="I1062">MIN(30-SUM(J1062:L1062),6-L1062,_xlfn.XLOOKUP($D1062&amp;"_"&amp;I$52,$B$14:$B$36&amp;"_"&amp;$C$14:$C$36,$D$14:$D$36)*$E1062)</f>
        <v>0.54</v>
      </c>
      <c r="J1062" s="95" cm="1">
        <f ca="1" t="array" ref="J1062">MIN(8,_xlfn.XLOOKUP($D1062&amp;"_"&amp;J$52,$B$14:$B$36&amp;"_"&amp;$C$14:$C$36,$D$14:$D$36)*$E1062)</f>
        <v>7.8</v>
      </c>
      <c r="K1062" s="95" cm="1">
        <f ca="1" t="array" ref="K1062">MIN(18,_xlfn.XLOOKUP($D1062&amp;"_"&amp;K$52,$B$14:$B$36&amp;"_"&amp;$C$14:$C$36,$D$14:$D$36)*$E1062)</f>
        <v>2.912</v>
      </c>
      <c r="L1062" s="95" cm="1">
        <f ca="1" t="array" ref="L1062">MIN(6,_xlfn.XLOOKUP($D1062&amp;"_"&amp;L$52,$B$14:$B$36&amp;"_"&amp;$C$14:$C$36,$D$14:$D$36)*$E1062)</f>
        <v>5.46</v>
      </c>
      <c r="M1062" s="95" cm="1">
        <f ca="1" t="array" ref="M1062">(1+SUMPRODUCT(G1062:H1062,OFFSET($H$40:$I$40,D1062,0)))*(1+OFFSET($J$40,D1062,0))^I1062*(1+OFFSET($K$40,D1062,0))^J1062*(1+OFFSET($L$40,D1062,0))^K1062*(1+OFFSET($M$40,D1062,0))^L1062</f>
        <v>278.556779025256</v>
      </c>
      <c r="N1062" s="95">
        <f ca="1">MAX(MAX($N$53:N1061),OFFSET($C$52,MATCH(M1062*1.07,$M$53:$M$2052,1),0)-C1062)</f>
        <v>12960</v>
      </c>
    </row>
    <row r="1063" spans="2:14">
      <c r="B1063" s="95">
        <v>1011</v>
      </c>
      <c r="C1063" s="95">
        <f t="shared" si="82"/>
        <v>363960</v>
      </c>
      <c r="D1063" s="95">
        <f ca="1">_xlfn.XLOOKUP(总览!$B$44,$B$40:$B$45,$C$40:$C$45)</f>
        <v>5</v>
      </c>
      <c r="E1063" s="95">
        <f ca="1" t="shared" si="78"/>
        <v>1041</v>
      </c>
      <c r="F1063" s="95">
        <f ca="1" t="shared" si="83"/>
        <v>0</v>
      </c>
      <c r="G1063" s="95">
        <f ca="1" t="shared" si="84"/>
        <v>0</v>
      </c>
      <c r="H1063" s="95" cm="1">
        <f ca="1" t="array" ref="H1063">MIN(30-SUM(I1063:L1063),_xlfn.XLOOKUP($D1063&amp;"_"&amp;H$52,$B$14:$B$36&amp;"_"&amp;$C$14:$C$36,$D$14:$D$36)*$E1063,18)</f>
        <v>13.2777</v>
      </c>
      <c r="I1063" s="95" cm="1">
        <f ca="1" t="array" ref="I1063">MIN(30-SUM(J1063:L1063),6-L1063,_xlfn.XLOOKUP($D1063&amp;"_"&amp;I$52,$B$14:$B$36&amp;"_"&amp;$C$14:$C$36,$D$14:$D$36)*$E1063)</f>
        <v>0.53475</v>
      </c>
      <c r="J1063" s="95" cm="1">
        <f ca="1" t="array" ref="J1063">MIN(8,_xlfn.XLOOKUP($D1063&amp;"_"&amp;J$52,$B$14:$B$36&amp;"_"&amp;$C$14:$C$36,$D$14:$D$36)*$E1063)</f>
        <v>7.8075</v>
      </c>
      <c r="K1063" s="95" cm="1">
        <f ca="1" t="array" ref="K1063">MIN(18,_xlfn.XLOOKUP($D1063&amp;"_"&amp;K$52,$B$14:$B$36&amp;"_"&amp;$C$14:$C$36,$D$14:$D$36)*$E1063)</f>
        <v>2.9148</v>
      </c>
      <c r="L1063" s="95" cm="1">
        <f ca="1" t="array" ref="L1063">MIN(6,_xlfn.XLOOKUP($D1063&amp;"_"&amp;L$52,$B$14:$B$36&amp;"_"&amp;$C$14:$C$36,$D$14:$D$36)*$E1063)</f>
        <v>5.46525</v>
      </c>
      <c r="M1063" s="95" cm="1">
        <f ca="1" t="array" ref="M1063">(1+SUMPRODUCT(G1063:H1063,OFFSET($H$40:$I$40,D1063,0)))*(1+OFFSET($J$40,D1063,0))^I1063*(1+OFFSET($K$40,D1063,0))^J1063*(1+OFFSET($L$40,D1063,0))^K1063*(1+OFFSET($M$40,D1063,0))^L1063</f>
        <v>279.202505541375</v>
      </c>
      <c r="N1063" s="95">
        <f ca="1">MAX(MAX($N$53:N1062),OFFSET($C$52,MATCH(M1063*1.07,$M$53:$M$2052,1),0)-C1063)</f>
        <v>13680</v>
      </c>
    </row>
    <row r="1064" spans="2:14">
      <c r="B1064" s="95">
        <v>1012</v>
      </c>
      <c r="C1064" s="95">
        <f t="shared" si="82"/>
        <v>364320</v>
      </c>
      <c r="D1064" s="95">
        <f ca="1">_xlfn.XLOOKUP(总览!$B$44,$B$40:$B$45,$C$40:$C$45)</f>
        <v>5</v>
      </c>
      <c r="E1064" s="95">
        <f ca="1" t="shared" si="78"/>
        <v>1042</v>
      </c>
      <c r="F1064" s="95">
        <f ca="1" t="shared" si="83"/>
        <v>0</v>
      </c>
      <c r="G1064" s="95">
        <f ca="1" t="shared" si="84"/>
        <v>0</v>
      </c>
      <c r="H1064" s="95" cm="1">
        <f ca="1" t="array" ref="H1064">MIN(30-SUM(I1064:L1064),_xlfn.XLOOKUP($D1064&amp;"_"&amp;H$52,$B$14:$B$36&amp;"_"&amp;$C$14:$C$36,$D$14:$D$36)*$E1064,18)</f>
        <v>13.2674</v>
      </c>
      <c r="I1064" s="95" cm="1">
        <f ca="1" t="array" ref="I1064">MIN(30-SUM(J1064:L1064),6-L1064,_xlfn.XLOOKUP($D1064&amp;"_"&amp;I$52,$B$14:$B$36&amp;"_"&amp;$C$14:$C$36,$D$14:$D$36)*$E1064)</f>
        <v>0.5295</v>
      </c>
      <c r="J1064" s="95" cm="1">
        <f ca="1" t="array" ref="J1064">MIN(8,_xlfn.XLOOKUP($D1064&amp;"_"&amp;J$52,$B$14:$B$36&amp;"_"&amp;$C$14:$C$36,$D$14:$D$36)*$E1064)</f>
        <v>7.815</v>
      </c>
      <c r="K1064" s="95" cm="1">
        <f ca="1" t="array" ref="K1064">MIN(18,_xlfn.XLOOKUP($D1064&amp;"_"&amp;K$52,$B$14:$B$36&amp;"_"&amp;$C$14:$C$36,$D$14:$D$36)*$E1064)</f>
        <v>2.9176</v>
      </c>
      <c r="L1064" s="95" cm="1">
        <f ca="1" t="array" ref="L1064">MIN(6,_xlfn.XLOOKUP($D1064&amp;"_"&amp;L$52,$B$14:$B$36&amp;"_"&amp;$C$14:$C$36,$D$14:$D$36)*$E1064)</f>
        <v>5.4705</v>
      </c>
      <c r="M1064" s="95" cm="1">
        <f ca="1" t="array" ref="M1064">(1+SUMPRODUCT(G1064:H1064,OFFSET($H$40:$I$40,D1064,0)))*(1+OFFSET($J$40,D1064,0))^I1064*(1+OFFSET($K$40,D1064,0))^J1064*(1+OFFSET($L$40,D1064,0))^K1064*(1+OFFSET($M$40,D1064,0))^L1064</f>
        <v>279.849640055293</v>
      </c>
      <c r="N1064" s="95">
        <f ca="1">MAX(MAX($N$53:N1063),OFFSET($C$52,MATCH(M1064*1.07,$M$53:$M$2052,1),0)-C1064)</f>
        <v>14760</v>
      </c>
    </row>
    <row r="1065" spans="2:14">
      <c r="B1065" s="95">
        <v>1013</v>
      </c>
      <c r="C1065" s="95">
        <f t="shared" si="82"/>
        <v>364680</v>
      </c>
      <c r="D1065" s="95">
        <f ca="1">_xlfn.XLOOKUP(总览!$B$44,$B$40:$B$45,$C$40:$C$45)</f>
        <v>5</v>
      </c>
      <c r="E1065" s="95">
        <f ca="1" t="shared" si="78"/>
        <v>1043</v>
      </c>
      <c r="F1065" s="95">
        <f ca="1" t="shared" si="83"/>
        <v>0</v>
      </c>
      <c r="G1065" s="95">
        <f ca="1" t="shared" si="84"/>
        <v>0</v>
      </c>
      <c r="H1065" s="95" cm="1">
        <f ca="1" t="array" ref="H1065">MIN(30-SUM(I1065:L1065),_xlfn.XLOOKUP($D1065&amp;"_"&amp;H$52,$B$14:$B$36&amp;"_"&amp;$C$14:$C$36,$D$14:$D$36)*$E1065,18)</f>
        <v>13.2571</v>
      </c>
      <c r="I1065" s="95" cm="1">
        <f ca="1" t="array" ref="I1065">MIN(30-SUM(J1065:L1065),6-L1065,_xlfn.XLOOKUP($D1065&amp;"_"&amp;I$52,$B$14:$B$36&amp;"_"&amp;$C$14:$C$36,$D$14:$D$36)*$E1065)</f>
        <v>0.524249999999999</v>
      </c>
      <c r="J1065" s="95" cm="1">
        <f ca="1" t="array" ref="J1065">MIN(8,_xlfn.XLOOKUP($D1065&amp;"_"&amp;J$52,$B$14:$B$36&amp;"_"&amp;$C$14:$C$36,$D$14:$D$36)*$E1065)</f>
        <v>7.8225</v>
      </c>
      <c r="K1065" s="95" cm="1">
        <f ca="1" t="array" ref="K1065">MIN(18,_xlfn.XLOOKUP($D1065&amp;"_"&amp;K$52,$B$14:$B$36&amp;"_"&amp;$C$14:$C$36,$D$14:$D$36)*$E1065)</f>
        <v>2.9204</v>
      </c>
      <c r="L1065" s="95" cm="1">
        <f ca="1" t="array" ref="L1065">MIN(6,_xlfn.XLOOKUP($D1065&amp;"_"&amp;L$52,$B$14:$B$36&amp;"_"&amp;$C$14:$C$36,$D$14:$D$36)*$E1065)</f>
        <v>5.47575</v>
      </c>
      <c r="M1065" s="95" cm="1">
        <f ca="1" t="array" ref="M1065">(1+SUMPRODUCT(G1065:H1065,OFFSET($H$40:$I$40,D1065,0)))*(1+OFFSET($J$40,D1065,0))^I1065*(1+OFFSET($K$40,D1065,0))^J1065*(1+OFFSET($L$40,D1065,0))^K1065*(1+OFFSET($M$40,D1065,0))^L1065</f>
        <v>280.498185318493</v>
      </c>
      <c r="N1065" s="95">
        <f ca="1">MAX(MAX($N$53:N1064),OFFSET($C$52,MATCH(M1065*1.07,$M$53:$M$2052,1),0)-C1065)</f>
        <v>15480</v>
      </c>
    </row>
    <row r="1066" spans="2:14">
      <c r="B1066" s="95">
        <v>1014</v>
      </c>
      <c r="C1066" s="95">
        <f t="shared" si="82"/>
        <v>365040</v>
      </c>
      <c r="D1066" s="95">
        <f ca="1">_xlfn.XLOOKUP(总览!$B$44,$B$40:$B$45,$C$40:$C$45)</f>
        <v>5</v>
      </c>
      <c r="E1066" s="95">
        <f ca="1" t="shared" si="78"/>
        <v>1044</v>
      </c>
      <c r="F1066" s="95">
        <f ca="1" t="shared" si="83"/>
        <v>0</v>
      </c>
      <c r="G1066" s="95">
        <f ca="1" t="shared" si="84"/>
        <v>0</v>
      </c>
      <c r="H1066" s="95" cm="1">
        <f ca="1" t="array" ref="H1066">MIN(30-SUM(I1066:L1066),_xlfn.XLOOKUP($D1066&amp;"_"&amp;H$52,$B$14:$B$36&amp;"_"&amp;$C$14:$C$36,$D$14:$D$36)*$E1066,18)</f>
        <v>13.2468</v>
      </c>
      <c r="I1066" s="95" cm="1">
        <f ca="1" t="array" ref="I1066">MIN(30-SUM(J1066:L1066),6-L1066,_xlfn.XLOOKUP($D1066&amp;"_"&amp;I$52,$B$14:$B$36&amp;"_"&amp;$C$14:$C$36,$D$14:$D$36)*$E1066)</f>
        <v>0.518999999999999</v>
      </c>
      <c r="J1066" s="95" cm="1">
        <f ca="1" t="array" ref="J1066">MIN(8,_xlfn.XLOOKUP($D1066&amp;"_"&amp;J$52,$B$14:$B$36&amp;"_"&amp;$C$14:$C$36,$D$14:$D$36)*$E1066)</f>
        <v>7.83</v>
      </c>
      <c r="K1066" s="95" cm="1">
        <f ca="1" t="array" ref="K1066">MIN(18,_xlfn.XLOOKUP($D1066&amp;"_"&amp;K$52,$B$14:$B$36&amp;"_"&amp;$C$14:$C$36,$D$14:$D$36)*$E1066)</f>
        <v>2.9232</v>
      </c>
      <c r="L1066" s="95" cm="1">
        <f ca="1" t="array" ref="L1066">MIN(6,_xlfn.XLOOKUP($D1066&amp;"_"&amp;L$52,$B$14:$B$36&amp;"_"&amp;$C$14:$C$36,$D$14:$D$36)*$E1066)</f>
        <v>5.481</v>
      </c>
      <c r="M1066" s="95" cm="1">
        <f ca="1" t="array" ref="M1066">(1+SUMPRODUCT(G1066:H1066,OFFSET($H$40:$I$40,D1066,0)))*(1+OFFSET($J$40,D1066,0))^I1066*(1+OFFSET($K$40,D1066,0))^J1066*(1+OFFSET($L$40,D1066,0))^K1066*(1+OFFSET($M$40,D1066,0))^L1066</f>
        <v>281.148144086621</v>
      </c>
      <c r="N1066" s="95">
        <f ca="1">MAX(MAX($N$53:N1065),OFFSET($C$52,MATCH(M1066*1.07,$M$53:$M$2052,1),0)-C1066)</f>
        <v>16560</v>
      </c>
    </row>
    <row r="1067" spans="2:14">
      <c r="B1067" s="95">
        <v>1015</v>
      </c>
      <c r="C1067" s="95">
        <f t="shared" si="82"/>
        <v>365400</v>
      </c>
      <c r="D1067" s="95">
        <f ca="1">_xlfn.XLOOKUP(总览!$B$44,$B$40:$B$45,$C$40:$C$45)</f>
        <v>5</v>
      </c>
      <c r="E1067" s="95">
        <f ca="1" t="shared" si="78"/>
        <v>1045</v>
      </c>
      <c r="F1067" s="95">
        <f ca="1" t="shared" si="83"/>
        <v>0</v>
      </c>
      <c r="G1067" s="95">
        <f ca="1" t="shared" si="84"/>
        <v>0</v>
      </c>
      <c r="H1067" s="95" cm="1">
        <f ca="1" t="array" ref="H1067">MIN(30-SUM(I1067:L1067),_xlfn.XLOOKUP($D1067&amp;"_"&amp;H$52,$B$14:$B$36&amp;"_"&amp;$C$14:$C$36,$D$14:$D$36)*$E1067,18)</f>
        <v>13.2365</v>
      </c>
      <c r="I1067" s="95" cm="1">
        <f ca="1" t="array" ref="I1067">MIN(30-SUM(J1067:L1067),6-L1067,_xlfn.XLOOKUP($D1067&amp;"_"&amp;I$52,$B$14:$B$36&amp;"_"&amp;$C$14:$C$36,$D$14:$D$36)*$E1067)</f>
        <v>0.51375</v>
      </c>
      <c r="J1067" s="95" cm="1">
        <f ca="1" t="array" ref="J1067">MIN(8,_xlfn.XLOOKUP($D1067&amp;"_"&amp;J$52,$B$14:$B$36&amp;"_"&amp;$C$14:$C$36,$D$14:$D$36)*$E1067)</f>
        <v>7.8375</v>
      </c>
      <c r="K1067" s="95" cm="1">
        <f ca="1" t="array" ref="K1067">MIN(18,_xlfn.XLOOKUP($D1067&amp;"_"&amp;K$52,$B$14:$B$36&amp;"_"&amp;$C$14:$C$36,$D$14:$D$36)*$E1067)</f>
        <v>2.926</v>
      </c>
      <c r="L1067" s="95" cm="1">
        <f ca="1" t="array" ref="L1067">MIN(6,_xlfn.XLOOKUP($D1067&amp;"_"&amp;L$52,$B$14:$B$36&amp;"_"&amp;$C$14:$C$36,$D$14:$D$36)*$E1067)</f>
        <v>5.48625</v>
      </c>
      <c r="M1067" s="95" cm="1">
        <f ca="1" t="array" ref="M1067">(1+SUMPRODUCT(G1067:H1067,OFFSET($H$40:$I$40,D1067,0)))*(1+OFFSET($J$40,D1067,0))^I1067*(1+OFFSET($K$40,D1067,0))^J1067*(1+OFFSET($L$40,D1067,0))^K1067*(1+OFFSET($M$40,D1067,0))^L1067</f>
        <v>281.799519119486</v>
      </c>
      <c r="N1067" s="95">
        <f ca="1">MAX(MAX($N$53:N1066),OFFSET($C$52,MATCH(M1067*1.07,$M$53:$M$2052,1),0)-C1067)</f>
        <v>17640</v>
      </c>
    </row>
    <row r="1068" spans="2:14">
      <c r="B1068" s="95">
        <v>1016</v>
      </c>
      <c r="C1068" s="95">
        <f t="shared" si="82"/>
        <v>365760</v>
      </c>
      <c r="D1068" s="95">
        <f ca="1">_xlfn.XLOOKUP(总览!$B$44,$B$40:$B$45,$C$40:$C$45)</f>
        <v>5</v>
      </c>
      <c r="E1068" s="95">
        <f ca="1" t="shared" si="78"/>
        <v>1046</v>
      </c>
      <c r="F1068" s="95">
        <f ca="1" t="shared" si="83"/>
        <v>0</v>
      </c>
      <c r="G1068" s="95">
        <f ca="1" t="shared" si="84"/>
        <v>0</v>
      </c>
      <c r="H1068" s="95" cm="1">
        <f ca="1" t="array" ref="H1068">MIN(30-SUM(I1068:L1068),_xlfn.XLOOKUP($D1068&amp;"_"&amp;H$52,$B$14:$B$36&amp;"_"&amp;$C$14:$C$36,$D$14:$D$36)*$E1068,18)</f>
        <v>13.2262</v>
      </c>
      <c r="I1068" s="95" cm="1">
        <f ca="1" t="array" ref="I1068">MIN(30-SUM(J1068:L1068),6-L1068,_xlfn.XLOOKUP($D1068&amp;"_"&amp;I$52,$B$14:$B$36&amp;"_"&amp;$C$14:$C$36,$D$14:$D$36)*$E1068)</f>
        <v>0.5085</v>
      </c>
      <c r="J1068" s="95" cm="1">
        <f ca="1" t="array" ref="J1068">MIN(8,_xlfn.XLOOKUP($D1068&amp;"_"&amp;J$52,$B$14:$B$36&amp;"_"&amp;$C$14:$C$36,$D$14:$D$36)*$E1068)</f>
        <v>7.845</v>
      </c>
      <c r="K1068" s="95" cm="1">
        <f ca="1" t="array" ref="K1068">MIN(18,_xlfn.XLOOKUP($D1068&amp;"_"&amp;K$52,$B$14:$B$36&amp;"_"&amp;$C$14:$C$36,$D$14:$D$36)*$E1068)</f>
        <v>2.9288</v>
      </c>
      <c r="L1068" s="95" cm="1">
        <f ca="1" t="array" ref="L1068">MIN(6,_xlfn.XLOOKUP($D1068&amp;"_"&amp;L$52,$B$14:$B$36&amp;"_"&amp;$C$14:$C$36,$D$14:$D$36)*$E1068)</f>
        <v>5.4915</v>
      </c>
      <c r="M1068" s="95" cm="1">
        <f ca="1" t="array" ref="M1068">(1+SUMPRODUCT(G1068:H1068,OFFSET($H$40:$I$40,D1068,0)))*(1+OFFSET($J$40,D1068,0))^I1068*(1+OFFSET($K$40,D1068,0))^J1068*(1+OFFSET($L$40,D1068,0))^K1068*(1+OFFSET($M$40,D1068,0))^L1068</f>
        <v>282.452313181063</v>
      </c>
      <c r="N1068" s="95">
        <f ca="1">MAX(MAX($N$53:N1067),OFFSET($C$52,MATCH(M1068*1.07,$M$53:$M$2052,1),0)-C1068)</f>
        <v>18360</v>
      </c>
    </row>
    <row r="1069" spans="2:14">
      <c r="B1069" s="95">
        <v>1017</v>
      </c>
      <c r="C1069" s="95">
        <f t="shared" si="82"/>
        <v>366120</v>
      </c>
      <c r="D1069" s="95">
        <f ca="1">_xlfn.XLOOKUP(总览!$B$44,$B$40:$B$45,$C$40:$C$45)</f>
        <v>5</v>
      </c>
      <c r="E1069" s="95">
        <f ca="1" t="shared" si="78"/>
        <v>1047</v>
      </c>
      <c r="F1069" s="95">
        <f ca="1" t="shared" si="83"/>
        <v>0</v>
      </c>
      <c r="G1069" s="95">
        <f ca="1" t="shared" si="84"/>
        <v>0</v>
      </c>
      <c r="H1069" s="95" cm="1">
        <f ca="1" t="array" ref="H1069">MIN(30-SUM(I1069:L1069),_xlfn.XLOOKUP($D1069&amp;"_"&amp;H$52,$B$14:$B$36&amp;"_"&amp;$C$14:$C$36,$D$14:$D$36)*$E1069,18)</f>
        <v>13.2159</v>
      </c>
      <c r="I1069" s="95" cm="1">
        <f ca="1" t="array" ref="I1069">MIN(30-SUM(J1069:L1069),6-L1069,_xlfn.XLOOKUP($D1069&amp;"_"&amp;I$52,$B$14:$B$36&amp;"_"&amp;$C$14:$C$36,$D$14:$D$36)*$E1069)</f>
        <v>0.50325</v>
      </c>
      <c r="J1069" s="95" cm="1">
        <f ca="1" t="array" ref="J1069">MIN(8,_xlfn.XLOOKUP($D1069&amp;"_"&amp;J$52,$B$14:$B$36&amp;"_"&amp;$C$14:$C$36,$D$14:$D$36)*$E1069)</f>
        <v>7.8525</v>
      </c>
      <c r="K1069" s="95" cm="1">
        <f ca="1" t="array" ref="K1069">MIN(18,_xlfn.XLOOKUP($D1069&amp;"_"&amp;K$52,$B$14:$B$36&amp;"_"&amp;$C$14:$C$36,$D$14:$D$36)*$E1069)</f>
        <v>2.9316</v>
      </c>
      <c r="L1069" s="95" cm="1">
        <f ca="1" t="array" ref="L1069">MIN(6,_xlfn.XLOOKUP($D1069&amp;"_"&amp;L$52,$B$14:$B$36&amp;"_"&amp;$C$14:$C$36,$D$14:$D$36)*$E1069)</f>
        <v>5.49675</v>
      </c>
      <c r="M1069" s="95" cm="1">
        <f ca="1" t="array" ref="M1069">(1+SUMPRODUCT(G1069:H1069,OFFSET($H$40:$I$40,D1069,0)))*(1+OFFSET($J$40,D1069,0))^I1069*(1+OFFSET($K$40,D1069,0))^J1069*(1+OFFSET($L$40,D1069,0))^K1069*(1+OFFSET($M$40,D1069,0))^L1069</f>
        <v>283.10652903949</v>
      </c>
      <c r="N1069" s="95">
        <f ca="1">MAX(MAX($N$53:N1068),OFFSET($C$52,MATCH(M1069*1.07,$M$53:$M$2052,1),0)-C1069)</f>
        <v>19440</v>
      </c>
    </row>
    <row r="1070" spans="2:14">
      <c r="B1070" s="95">
        <v>1018</v>
      </c>
      <c r="C1070" s="95">
        <f t="shared" si="82"/>
        <v>366480</v>
      </c>
      <c r="D1070" s="95">
        <f ca="1">_xlfn.XLOOKUP(总览!$B$44,$B$40:$B$45,$C$40:$C$45)</f>
        <v>5</v>
      </c>
      <c r="E1070" s="95">
        <f ca="1" t="shared" si="78"/>
        <v>1048</v>
      </c>
      <c r="F1070" s="95">
        <f ca="1" t="shared" si="83"/>
        <v>0</v>
      </c>
      <c r="G1070" s="95">
        <f ca="1" t="shared" si="84"/>
        <v>0</v>
      </c>
      <c r="H1070" s="95" cm="1">
        <f ca="1" t="array" ref="H1070">MIN(30-SUM(I1070:L1070),_xlfn.XLOOKUP($D1070&amp;"_"&amp;H$52,$B$14:$B$36&amp;"_"&amp;$C$14:$C$36,$D$14:$D$36)*$E1070,18)</f>
        <v>13.2056</v>
      </c>
      <c r="I1070" s="95" cm="1">
        <f ca="1" t="array" ref="I1070">MIN(30-SUM(J1070:L1070),6-L1070,_xlfn.XLOOKUP($D1070&amp;"_"&amp;I$52,$B$14:$B$36&amp;"_"&amp;$C$14:$C$36,$D$14:$D$36)*$E1070)</f>
        <v>0.497999999999999</v>
      </c>
      <c r="J1070" s="95" cm="1">
        <f ca="1" t="array" ref="J1070">MIN(8,_xlfn.XLOOKUP($D1070&amp;"_"&amp;J$52,$B$14:$B$36&amp;"_"&amp;$C$14:$C$36,$D$14:$D$36)*$E1070)</f>
        <v>7.86</v>
      </c>
      <c r="K1070" s="95" cm="1">
        <f ca="1" t="array" ref="K1070">MIN(18,_xlfn.XLOOKUP($D1070&amp;"_"&amp;K$52,$B$14:$B$36&amp;"_"&amp;$C$14:$C$36,$D$14:$D$36)*$E1070)</f>
        <v>2.9344</v>
      </c>
      <c r="L1070" s="95" cm="1">
        <f ca="1" t="array" ref="L1070">MIN(6,_xlfn.XLOOKUP($D1070&amp;"_"&amp;L$52,$B$14:$B$36&amp;"_"&amp;$C$14:$C$36,$D$14:$D$36)*$E1070)</f>
        <v>5.502</v>
      </c>
      <c r="M1070" s="95" cm="1">
        <f ca="1" t="array" ref="M1070">(1+SUMPRODUCT(G1070:H1070,OFFSET($H$40:$I$40,D1070,0)))*(1+OFFSET($J$40,D1070,0))^I1070*(1+OFFSET($K$40,D1070,0))^J1070*(1+OFFSET($L$40,D1070,0))^K1070*(1+OFFSET($M$40,D1070,0))^L1070</f>
        <v>283.762169467075</v>
      </c>
      <c r="N1070" s="95">
        <f ca="1">MAX(MAX($N$53:N1069),OFFSET($C$52,MATCH(M1070*1.07,$M$53:$M$2052,1),0)-C1070)</f>
        <v>20160</v>
      </c>
    </row>
    <row r="1071" spans="2:14">
      <c r="B1071" s="95">
        <v>1019</v>
      </c>
      <c r="C1071" s="95">
        <f t="shared" si="82"/>
        <v>366840</v>
      </c>
      <c r="D1071" s="95">
        <f ca="1">_xlfn.XLOOKUP(总览!$B$44,$B$40:$B$45,$C$40:$C$45)</f>
        <v>5</v>
      </c>
      <c r="E1071" s="95">
        <f ca="1" t="shared" si="78"/>
        <v>1049</v>
      </c>
      <c r="F1071" s="95">
        <f ca="1" t="shared" si="83"/>
        <v>0</v>
      </c>
      <c r="G1071" s="95">
        <f ca="1" t="shared" si="84"/>
        <v>0</v>
      </c>
      <c r="H1071" s="95" cm="1">
        <f ca="1" t="array" ref="H1071">MIN(30-SUM(I1071:L1071),_xlfn.XLOOKUP($D1071&amp;"_"&amp;H$52,$B$14:$B$36&amp;"_"&amp;$C$14:$C$36,$D$14:$D$36)*$E1071,18)</f>
        <v>13.1953</v>
      </c>
      <c r="I1071" s="95" cm="1">
        <f ca="1" t="array" ref="I1071">MIN(30-SUM(J1071:L1071),6-L1071,_xlfn.XLOOKUP($D1071&amp;"_"&amp;I$52,$B$14:$B$36&amp;"_"&amp;$C$14:$C$36,$D$14:$D$36)*$E1071)</f>
        <v>0.49275</v>
      </c>
      <c r="J1071" s="95" cm="1">
        <f ca="1" t="array" ref="J1071">MIN(8,_xlfn.XLOOKUP($D1071&amp;"_"&amp;J$52,$B$14:$B$36&amp;"_"&amp;$C$14:$C$36,$D$14:$D$36)*$E1071)</f>
        <v>7.8675</v>
      </c>
      <c r="K1071" s="95" cm="1">
        <f ca="1" t="array" ref="K1071">MIN(18,_xlfn.XLOOKUP($D1071&amp;"_"&amp;K$52,$B$14:$B$36&amp;"_"&amp;$C$14:$C$36,$D$14:$D$36)*$E1071)</f>
        <v>2.9372</v>
      </c>
      <c r="L1071" s="95" cm="1">
        <f ca="1" t="array" ref="L1071">MIN(6,_xlfn.XLOOKUP($D1071&amp;"_"&amp;L$52,$B$14:$B$36&amp;"_"&amp;$C$14:$C$36,$D$14:$D$36)*$E1071)</f>
        <v>5.50725</v>
      </c>
      <c r="M1071" s="95" cm="1">
        <f ca="1" t="array" ref="M1071">(1+SUMPRODUCT(G1071:H1071,OFFSET($H$40:$I$40,D1071,0)))*(1+OFFSET($J$40,D1071,0))^I1071*(1+OFFSET($K$40,D1071,0))^J1071*(1+OFFSET($L$40,D1071,0))^K1071*(1+OFFSET($M$40,D1071,0))^L1071</f>
        <v>284.41923724029</v>
      </c>
      <c r="N1071" s="95">
        <f ca="1">MAX(MAX($N$53:N1070),OFFSET($C$52,MATCH(M1071*1.07,$M$53:$M$2052,1),0)-C1071)</f>
        <v>21240</v>
      </c>
    </row>
    <row r="1072" spans="2:14">
      <c r="B1072" s="95">
        <v>1020</v>
      </c>
      <c r="C1072" s="95">
        <f t="shared" si="82"/>
        <v>367200</v>
      </c>
      <c r="D1072" s="95">
        <f ca="1">_xlfn.XLOOKUP(总览!$B$44,$B$40:$B$45,$C$40:$C$45)</f>
        <v>5</v>
      </c>
      <c r="E1072" s="95">
        <f ca="1" t="shared" si="78"/>
        <v>1050</v>
      </c>
      <c r="F1072" s="95">
        <f ca="1" t="shared" si="83"/>
        <v>0</v>
      </c>
      <c r="G1072" s="95">
        <f ca="1" t="shared" si="84"/>
        <v>0</v>
      </c>
      <c r="H1072" s="95" cm="1">
        <f ca="1" t="array" ref="H1072">MIN(30-SUM(I1072:L1072),_xlfn.XLOOKUP($D1072&amp;"_"&amp;H$52,$B$14:$B$36&amp;"_"&amp;$C$14:$C$36,$D$14:$D$36)*$E1072,18)</f>
        <v>13.185</v>
      </c>
      <c r="I1072" s="95" cm="1">
        <f ca="1" t="array" ref="I1072">MIN(30-SUM(J1072:L1072),6-L1072,_xlfn.XLOOKUP($D1072&amp;"_"&amp;I$52,$B$14:$B$36&amp;"_"&amp;$C$14:$C$36,$D$14:$D$36)*$E1072)</f>
        <v>0.4875</v>
      </c>
      <c r="J1072" s="95" cm="1">
        <f ca="1" t="array" ref="J1072">MIN(8,_xlfn.XLOOKUP($D1072&amp;"_"&amp;J$52,$B$14:$B$36&amp;"_"&amp;$C$14:$C$36,$D$14:$D$36)*$E1072)</f>
        <v>7.875</v>
      </c>
      <c r="K1072" s="95" cm="1">
        <f ca="1" t="array" ref="K1072">MIN(18,_xlfn.XLOOKUP($D1072&amp;"_"&amp;K$52,$B$14:$B$36&amp;"_"&amp;$C$14:$C$36,$D$14:$D$36)*$E1072)</f>
        <v>2.94</v>
      </c>
      <c r="L1072" s="95" cm="1">
        <f ca="1" t="array" ref="L1072">MIN(6,_xlfn.XLOOKUP($D1072&amp;"_"&amp;L$52,$B$14:$B$36&amp;"_"&amp;$C$14:$C$36,$D$14:$D$36)*$E1072)</f>
        <v>5.5125</v>
      </c>
      <c r="M1072" s="95" cm="1">
        <f ca="1" t="array" ref="M1072">(1+SUMPRODUCT(G1072:H1072,OFFSET($H$40:$I$40,D1072,0)))*(1+OFFSET($J$40,D1072,0))^I1072*(1+OFFSET($K$40,D1072,0))^J1072*(1+OFFSET($L$40,D1072,0))^K1072*(1+OFFSET($M$40,D1072,0))^L1072</f>
        <v>285.07773513978</v>
      </c>
      <c r="N1072" s="95">
        <f ca="1">MAX(MAX($N$53:N1071),OFFSET($C$52,MATCH(M1072*1.07,$M$53:$M$2052,1),0)-C1072)</f>
        <v>22320</v>
      </c>
    </row>
    <row r="1073" spans="2:14">
      <c r="B1073" s="95">
        <v>1021</v>
      </c>
      <c r="C1073" s="95">
        <f t="shared" si="82"/>
        <v>367560</v>
      </c>
      <c r="D1073" s="95">
        <f ca="1">_xlfn.XLOOKUP(总览!$B$44,$B$40:$B$45,$C$40:$C$45)</f>
        <v>5</v>
      </c>
      <c r="E1073" s="95">
        <f ca="1" t="shared" si="78"/>
        <v>1051</v>
      </c>
      <c r="F1073" s="95">
        <f ca="1" t="shared" si="83"/>
        <v>0</v>
      </c>
      <c r="G1073" s="95">
        <f ca="1" t="shared" si="84"/>
        <v>0</v>
      </c>
      <c r="H1073" s="95" cm="1">
        <f ca="1" t="array" ref="H1073">MIN(30-SUM(I1073:L1073),_xlfn.XLOOKUP($D1073&amp;"_"&amp;H$52,$B$14:$B$36&amp;"_"&amp;$C$14:$C$36,$D$14:$D$36)*$E1073,18)</f>
        <v>13.1747</v>
      </c>
      <c r="I1073" s="95" cm="1">
        <f ca="1" t="array" ref="I1073">MIN(30-SUM(J1073:L1073),6-L1073,_xlfn.XLOOKUP($D1073&amp;"_"&amp;I$52,$B$14:$B$36&amp;"_"&amp;$C$14:$C$36,$D$14:$D$36)*$E1073)</f>
        <v>0.48225</v>
      </c>
      <c r="J1073" s="95" cm="1">
        <f ca="1" t="array" ref="J1073">MIN(8,_xlfn.XLOOKUP($D1073&amp;"_"&amp;J$52,$B$14:$B$36&amp;"_"&amp;$C$14:$C$36,$D$14:$D$36)*$E1073)</f>
        <v>7.8825</v>
      </c>
      <c r="K1073" s="95" cm="1">
        <f ca="1" t="array" ref="K1073">MIN(18,_xlfn.XLOOKUP($D1073&amp;"_"&amp;K$52,$B$14:$B$36&amp;"_"&amp;$C$14:$C$36,$D$14:$D$36)*$E1073)</f>
        <v>2.9428</v>
      </c>
      <c r="L1073" s="95" cm="1">
        <f ca="1" t="array" ref="L1073">MIN(6,_xlfn.XLOOKUP($D1073&amp;"_"&amp;L$52,$B$14:$B$36&amp;"_"&amp;$C$14:$C$36,$D$14:$D$36)*$E1073)</f>
        <v>5.51775</v>
      </c>
      <c r="M1073" s="95" cm="1">
        <f ca="1" t="array" ref="M1073">(1+SUMPRODUCT(G1073:H1073,OFFSET($H$40:$I$40,D1073,0)))*(1+OFFSET($J$40,D1073,0))^I1073*(1+OFFSET($K$40,D1073,0))^J1073*(1+OFFSET($L$40,D1073,0))^K1073*(1+OFFSET($M$40,D1073,0))^L1073</f>
        <v>285.737665950356</v>
      </c>
      <c r="N1073" s="95">
        <f ca="1">MAX(MAX($N$53:N1072),OFFSET($C$52,MATCH(M1073*1.07,$M$53:$M$2052,1),0)-C1073)</f>
        <v>23040</v>
      </c>
    </row>
    <row r="1074" spans="2:14">
      <c r="B1074" s="95">
        <v>1022</v>
      </c>
      <c r="C1074" s="95">
        <f t="shared" si="82"/>
        <v>367920</v>
      </c>
      <c r="D1074" s="95">
        <f ca="1">_xlfn.XLOOKUP(总览!$B$44,$B$40:$B$45,$C$40:$C$45)</f>
        <v>5</v>
      </c>
      <c r="E1074" s="95">
        <f ca="1" t="shared" si="78"/>
        <v>1052</v>
      </c>
      <c r="F1074" s="95">
        <f ca="1" t="shared" si="83"/>
        <v>0</v>
      </c>
      <c r="G1074" s="95">
        <f ca="1" t="shared" si="84"/>
        <v>0</v>
      </c>
      <c r="H1074" s="95" cm="1">
        <f ca="1" t="array" ref="H1074">MIN(30-SUM(I1074:L1074),_xlfn.XLOOKUP($D1074&amp;"_"&amp;H$52,$B$14:$B$36&amp;"_"&amp;$C$14:$C$36,$D$14:$D$36)*$E1074,18)</f>
        <v>13.1644</v>
      </c>
      <c r="I1074" s="95" cm="1">
        <f ca="1" t="array" ref="I1074">MIN(30-SUM(J1074:L1074),6-L1074,_xlfn.XLOOKUP($D1074&amp;"_"&amp;I$52,$B$14:$B$36&amp;"_"&amp;$C$14:$C$36,$D$14:$D$36)*$E1074)</f>
        <v>0.476999999999999</v>
      </c>
      <c r="J1074" s="95" cm="1">
        <f ca="1" t="array" ref="J1074">MIN(8,_xlfn.XLOOKUP($D1074&amp;"_"&amp;J$52,$B$14:$B$36&amp;"_"&amp;$C$14:$C$36,$D$14:$D$36)*$E1074)</f>
        <v>7.89</v>
      </c>
      <c r="K1074" s="95" cm="1">
        <f ca="1" t="array" ref="K1074">MIN(18,_xlfn.XLOOKUP($D1074&amp;"_"&amp;K$52,$B$14:$B$36&amp;"_"&amp;$C$14:$C$36,$D$14:$D$36)*$E1074)</f>
        <v>2.9456</v>
      </c>
      <c r="L1074" s="95" cm="1">
        <f ca="1" t="array" ref="L1074">MIN(6,_xlfn.XLOOKUP($D1074&amp;"_"&amp;L$52,$B$14:$B$36&amp;"_"&amp;$C$14:$C$36,$D$14:$D$36)*$E1074)</f>
        <v>5.523</v>
      </c>
      <c r="M1074" s="95" cm="1">
        <f ca="1" t="array" ref="M1074">(1+SUMPRODUCT(G1074:H1074,OFFSET($H$40:$I$40,D1074,0)))*(1+OFFSET($J$40,D1074,0))^I1074*(1+OFFSET($K$40,D1074,0))^J1074*(1+OFFSET($L$40,D1074,0))^K1074*(1+OFFSET($M$40,D1074,0))^L1074</f>
        <v>286.399032461001</v>
      </c>
      <c r="N1074" s="95">
        <f ca="1">MAX(MAX($N$53:N1073),OFFSET($C$52,MATCH(M1074*1.07,$M$53:$M$2052,1),0)-C1074)</f>
        <v>24120</v>
      </c>
    </row>
    <row r="1075" spans="2:14">
      <c r="B1075" s="95">
        <v>1023</v>
      </c>
      <c r="C1075" s="95">
        <f t="shared" si="82"/>
        <v>368280</v>
      </c>
      <c r="D1075" s="95">
        <f ca="1">_xlfn.XLOOKUP(总览!$B$44,$B$40:$B$45,$C$40:$C$45)</f>
        <v>5</v>
      </c>
      <c r="E1075" s="95">
        <f ca="1" t="shared" si="78"/>
        <v>1053</v>
      </c>
      <c r="F1075" s="95">
        <f ca="1" t="shared" si="83"/>
        <v>0</v>
      </c>
      <c r="G1075" s="95">
        <f ca="1" t="shared" si="84"/>
        <v>0</v>
      </c>
      <c r="H1075" s="95" cm="1">
        <f ca="1" t="array" ref="H1075">MIN(30-SUM(I1075:L1075),_xlfn.XLOOKUP($D1075&amp;"_"&amp;H$52,$B$14:$B$36&amp;"_"&amp;$C$14:$C$36,$D$14:$D$36)*$E1075,18)</f>
        <v>13.1541</v>
      </c>
      <c r="I1075" s="95" cm="1">
        <f ca="1" t="array" ref="I1075">MIN(30-SUM(J1075:L1075),6-L1075,_xlfn.XLOOKUP($D1075&amp;"_"&amp;I$52,$B$14:$B$36&amp;"_"&amp;$C$14:$C$36,$D$14:$D$36)*$E1075)</f>
        <v>0.471749999999999</v>
      </c>
      <c r="J1075" s="95" cm="1">
        <f ca="1" t="array" ref="J1075">MIN(8,_xlfn.XLOOKUP($D1075&amp;"_"&amp;J$52,$B$14:$B$36&amp;"_"&amp;$C$14:$C$36,$D$14:$D$36)*$E1075)</f>
        <v>7.8975</v>
      </c>
      <c r="K1075" s="95" cm="1">
        <f ca="1" t="array" ref="K1075">MIN(18,_xlfn.XLOOKUP($D1075&amp;"_"&amp;K$52,$B$14:$B$36&amp;"_"&amp;$C$14:$C$36,$D$14:$D$36)*$E1075)</f>
        <v>2.9484</v>
      </c>
      <c r="L1075" s="95" cm="1">
        <f ca="1" t="array" ref="L1075">MIN(6,_xlfn.XLOOKUP($D1075&amp;"_"&amp;L$52,$B$14:$B$36&amp;"_"&amp;$C$14:$C$36,$D$14:$D$36)*$E1075)</f>
        <v>5.52825</v>
      </c>
      <c r="M1075" s="95" cm="1">
        <f ca="1" t="array" ref="M1075">(1+SUMPRODUCT(G1075:H1075,OFFSET($H$40:$I$40,D1075,0)))*(1+OFFSET($J$40,D1075,0))^I1075*(1+OFFSET($K$40,D1075,0))^J1075*(1+OFFSET($L$40,D1075,0))^K1075*(1+OFFSET($M$40,D1075,0))^L1075</f>
        <v>287.06183746487</v>
      </c>
      <c r="N1075" s="95">
        <f ca="1">MAX(MAX($N$53:N1074),OFFSET($C$52,MATCH(M1075*1.07,$M$53:$M$2052,1),0)-C1075)</f>
        <v>25200</v>
      </c>
    </row>
    <row r="1076" spans="2:14">
      <c r="B1076" s="95">
        <v>1024</v>
      </c>
      <c r="C1076" s="95">
        <f t="shared" si="82"/>
        <v>368640</v>
      </c>
      <c r="D1076" s="95">
        <f ca="1">_xlfn.XLOOKUP(总览!$B$44,$B$40:$B$45,$C$40:$C$45)</f>
        <v>5</v>
      </c>
      <c r="E1076" s="95">
        <f ca="1" t="shared" si="78"/>
        <v>1054</v>
      </c>
      <c r="F1076" s="95">
        <f ca="1" t="shared" si="83"/>
        <v>0</v>
      </c>
      <c r="G1076" s="95">
        <f ca="1" t="shared" si="84"/>
        <v>0</v>
      </c>
      <c r="H1076" s="95" cm="1">
        <f ca="1" t="array" ref="H1076">MIN(30-SUM(I1076:L1076),_xlfn.XLOOKUP($D1076&amp;"_"&amp;H$52,$B$14:$B$36&amp;"_"&amp;$C$14:$C$36,$D$14:$D$36)*$E1076,18)</f>
        <v>13.1438</v>
      </c>
      <c r="I1076" s="95" cm="1">
        <f ca="1" t="array" ref="I1076">MIN(30-SUM(J1076:L1076),6-L1076,_xlfn.XLOOKUP($D1076&amp;"_"&amp;I$52,$B$14:$B$36&amp;"_"&amp;$C$14:$C$36,$D$14:$D$36)*$E1076)</f>
        <v>0.4665</v>
      </c>
      <c r="J1076" s="95" cm="1">
        <f ca="1" t="array" ref="J1076">MIN(8,_xlfn.XLOOKUP($D1076&amp;"_"&amp;J$52,$B$14:$B$36&amp;"_"&amp;$C$14:$C$36,$D$14:$D$36)*$E1076)</f>
        <v>7.905</v>
      </c>
      <c r="K1076" s="95" cm="1">
        <f ca="1" t="array" ref="K1076">MIN(18,_xlfn.XLOOKUP($D1076&amp;"_"&amp;K$52,$B$14:$B$36&amp;"_"&amp;$C$14:$C$36,$D$14:$D$36)*$E1076)</f>
        <v>2.9512</v>
      </c>
      <c r="L1076" s="95" cm="1">
        <f ca="1" t="array" ref="L1076">MIN(6,_xlfn.XLOOKUP($D1076&amp;"_"&amp;L$52,$B$14:$B$36&amp;"_"&amp;$C$14:$C$36,$D$14:$D$36)*$E1076)</f>
        <v>5.5335</v>
      </c>
      <c r="M1076" s="95" cm="1">
        <f ca="1" t="array" ref="M1076">(1+SUMPRODUCT(G1076:H1076,OFFSET($H$40:$I$40,D1076,0)))*(1+OFFSET($J$40,D1076,0))^I1076*(1+OFFSET($K$40,D1076,0))^J1076*(1+OFFSET($L$40,D1076,0))^K1076*(1+OFFSET($M$40,D1076,0))^L1076</f>
        <v>287.726083759289</v>
      </c>
      <c r="N1076" s="95">
        <f ca="1">MAX(MAX($N$53:N1075),OFFSET($C$52,MATCH(M1076*1.07,$M$53:$M$2052,1),0)-C1076)</f>
        <v>25920</v>
      </c>
    </row>
    <row r="1077" spans="2:14">
      <c r="B1077" s="95">
        <v>1025</v>
      </c>
      <c r="C1077" s="95">
        <f t="shared" si="82"/>
        <v>369000</v>
      </c>
      <c r="D1077" s="95">
        <f ca="1">_xlfn.XLOOKUP(总览!$B$44,$B$40:$B$45,$C$40:$C$45)</f>
        <v>5</v>
      </c>
      <c r="E1077" s="95">
        <f ca="1" t="shared" si="78"/>
        <v>1055</v>
      </c>
      <c r="F1077" s="95">
        <f ca="1" t="shared" si="83"/>
        <v>0</v>
      </c>
      <c r="G1077" s="95">
        <f ca="1" t="shared" si="84"/>
        <v>0</v>
      </c>
      <c r="H1077" s="95" cm="1">
        <f ca="1" t="array" ref="H1077">MIN(30-SUM(I1077:L1077),_xlfn.XLOOKUP($D1077&amp;"_"&amp;H$52,$B$14:$B$36&amp;"_"&amp;$C$14:$C$36,$D$14:$D$36)*$E1077,18)</f>
        <v>13.1335</v>
      </c>
      <c r="I1077" s="95" cm="1">
        <f ca="1" t="array" ref="I1077">MIN(30-SUM(J1077:L1077),6-L1077,_xlfn.XLOOKUP($D1077&amp;"_"&amp;I$52,$B$14:$B$36&amp;"_"&amp;$C$14:$C$36,$D$14:$D$36)*$E1077)</f>
        <v>0.46125</v>
      </c>
      <c r="J1077" s="95" cm="1">
        <f ca="1" t="array" ref="J1077">MIN(8,_xlfn.XLOOKUP($D1077&amp;"_"&amp;J$52,$B$14:$B$36&amp;"_"&amp;$C$14:$C$36,$D$14:$D$36)*$E1077)</f>
        <v>7.9125</v>
      </c>
      <c r="K1077" s="95" cm="1">
        <f ca="1" t="array" ref="K1077">MIN(18,_xlfn.XLOOKUP($D1077&amp;"_"&amp;K$52,$B$14:$B$36&amp;"_"&amp;$C$14:$C$36,$D$14:$D$36)*$E1077)</f>
        <v>2.954</v>
      </c>
      <c r="L1077" s="95" cm="1">
        <f ca="1" t="array" ref="L1077">MIN(6,_xlfn.XLOOKUP($D1077&amp;"_"&amp;L$52,$B$14:$B$36&amp;"_"&amp;$C$14:$C$36,$D$14:$D$36)*$E1077)</f>
        <v>5.53875</v>
      </c>
      <c r="M1077" s="95" cm="1">
        <f ca="1" t="array" ref="M1077">(1+SUMPRODUCT(G1077:H1077,OFFSET($H$40:$I$40,D1077,0)))*(1+OFFSET($J$40,D1077,0))^I1077*(1+OFFSET($K$40,D1077,0))^J1077*(1+OFFSET($L$40,D1077,0))^K1077*(1+OFFSET($M$40,D1077,0))^L1077</f>
        <v>288.391774145759</v>
      </c>
      <c r="N1077" s="95">
        <f ca="1">MAX(MAX($N$53:N1076),OFFSET($C$52,MATCH(M1077*1.07,$M$53:$M$2052,1),0)-C1077)</f>
        <v>27000</v>
      </c>
    </row>
    <row r="1078" spans="2:14">
      <c r="B1078" s="95">
        <v>1026</v>
      </c>
      <c r="C1078" s="95">
        <f t="shared" si="82"/>
        <v>369360</v>
      </c>
      <c r="D1078" s="95">
        <f ca="1">_xlfn.XLOOKUP(总览!$B$44,$B$40:$B$45,$C$40:$C$45)</f>
        <v>5</v>
      </c>
      <c r="E1078" s="95">
        <f ca="1" t="shared" ref="E1078:E1141" si="85">INT(C1078/_xlfn.XLOOKUP(D1078,$N$5:$N$16,$O$5:$O$16))+OFFSET($R$40,D1078,0)</f>
        <v>1056</v>
      </c>
      <c r="F1078" s="95">
        <f ca="1" t="shared" si="83"/>
        <v>0</v>
      </c>
      <c r="G1078" s="95">
        <f ca="1" t="shared" si="84"/>
        <v>0</v>
      </c>
      <c r="H1078" s="95" cm="1">
        <f ca="1" t="array" ref="H1078">MIN(30-SUM(I1078:L1078),_xlfn.XLOOKUP($D1078&amp;"_"&amp;H$52,$B$14:$B$36&amp;"_"&amp;$C$14:$C$36,$D$14:$D$36)*$E1078,18)</f>
        <v>13.1232</v>
      </c>
      <c r="I1078" s="95" cm="1">
        <f ca="1" t="array" ref="I1078">MIN(30-SUM(J1078:L1078),6-L1078,_xlfn.XLOOKUP($D1078&amp;"_"&amp;I$52,$B$14:$B$36&amp;"_"&amp;$C$14:$C$36,$D$14:$D$36)*$E1078)</f>
        <v>0.456</v>
      </c>
      <c r="J1078" s="95" cm="1">
        <f ca="1" t="array" ref="J1078">MIN(8,_xlfn.XLOOKUP($D1078&amp;"_"&amp;J$52,$B$14:$B$36&amp;"_"&amp;$C$14:$C$36,$D$14:$D$36)*$E1078)</f>
        <v>7.92</v>
      </c>
      <c r="K1078" s="95" cm="1">
        <f ca="1" t="array" ref="K1078">MIN(18,_xlfn.XLOOKUP($D1078&amp;"_"&amp;K$52,$B$14:$B$36&amp;"_"&amp;$C$14:$C$36,$D$14:$D$36)*$E1078)</f>
        <v>2.9568</v>
      </c>
      <c r="L1078" s="95" cm="1">
        <f ca="1" t="array" ref="L1078">MIN(6,_xlfn.XLOOKUP($D1078&amp;"_"&amp;L$52,$B$14:$B$36&amp;"_"&amp;$C$14:$C$36,$D$14:$D$36)*$E1078)</f>
        <v>5.544</v>
      </c>
      <c r="M1078" s="95" cm="1">
        <f ca="1" t="array" ref="M1078">(1+SUMPRODUCT(G1078:H1078,OFFSET($H$40:$I$40,D1078,0)))*(1+OFFSET($J$40,D1078,0))^I1078*(1+OFFSET($K$40,D1078,0))^J1078*(1+OFFSET($L$40,D1078,0))^K1078*(1+OFFSET($M$40,D1078,0))^L1078</f>
        <v>289.058911429954</v>
      </c>
      <c r="N1078" s="95">
        <f ca="1">MAX(MAX($N$53:N1077),OFFSET($C$52,MATCH(M1078*1.07,$M$53:$M$2052,1),0)-C1078)</f>
        <v>27720</v>
      </c>
    </row>
    <row r="1079" spans="2:14">
      <c r="B1079" s="95">
        <v>1027</v>
      </c>
      <c r="C1079" s="95">
        <f t="shared" si="82"/>
        <v>369720</v>
      </c>
      <c r="D1079" s="95">
        <f ca="1">_xlfn.XLOOKUP(总览!$B$44,$B$40:$B$45,$C$40:$C$45)</f>
        <v>5</v>
      </c>
      <c r="E1079" s="95">
        <f ca="1" t="shared" si="85"/>
        <v>1057</v>
      </c>
      <c r="F1079" s="95">
        <f ca="1" t="shared" si="83"/>
        <v>0</v>
      </c>
      <c r="G1079" s="95">
        <f ca="1" t="shared" si="84"/>
        <v>0</v>
      </c>
      <c r="H1079" s="95" cm="1">
        <f ca="1" t="array" ref="H1079">MIN(30-SUM(I1079:L1079),_xlfn.XLOOKUP($D1079&amp;"_"&amp;H$52,$B$14:$B$36&amp;"_"&amp;$C$14:$C$36,$D$14:$D$36)*$E1079,18)</f>
        <v>13.1129</v>
      </c>
      <c r="I1079" s="95" cm="1">
        <f ca="1" t="array" ref="I1079">MIN(30-SUM(J1079:L1079),6-L1079,_xlfn.XLOOKUP($D1079&amp;"_"&amp;I$52,$B$14:$B$36&amp;"_"&amp;$C$14:$C$36,$D$14:$D$36)*$E1079)</f>
        <v>0.450749999999999</v>
      </c>
      <c r="J1079" s="95" cm="1">
        <f ca="1" t="array" ref="J1079">MIN(8,_xlfn.XLOOKUP($D1079&amp;"_"&amp;J$52,$B$14:$B$36&amp;"_"&amp;$C$14:$C$36,$D$14:$D$36)*$E1079)</f>
        <v>7.9275</v>
      </c>
      <c r="K1079" s="95" cm="1">
        <f ca="1" t="array" ref="K1079">MIN(18,_xlfn.XLOOKUP($D1079&amp;"_"&amp;K$52,$B$14:$B$36&amp;"_"&amp;$C$14:$C$36,$D$14:$D$36)*$E1079)</f>
        <v>2.9596</v>
      </c>
      <c r="L1079" s="95" cm="1">
        <f ca="1" t="array" ref="L1079">MIN(6,_xlfn.XLOOKUP($D1079&amp;"_"&amp;L$52,$B$14:$B$36&amp;"_"&amp;$C$14:$C$36,$D$14:$D$36)*$E1079)</f>
        <v>5.54925</v>
      </c>
      <c r="M1079" s="95" cm="1">
        <f ca="1" t="array" ref="M1079">(1+SUMPRODUCT(G1079:H1079,OFFSET($H$40:$I$40,D1079,0)))*(1+OFFSET($J$40,D1079,0))^I1079*(1+OFFSET($K$40,D1079,0))^J1079*(1+OFFSET($L$40,D1079,0))^K1079*(1+OFFSET($M$40,D1079,0))^L1079</f>
        <v>289.727498421722</v>
      </c>
      <c r="N1079" s="95">
        <f ca="1">MAX(MAX($N$53:N1078),OFFSET($C$52,MATCH(M1079*1.07,$M$53:$M$2052,1),0)-C1079)</f>
        <v>28800</v>
      </c>
    </row>
    <row r="1080" spans="2:14">
      <c r="B1080" s="95">
        <v>1028</v>
      </c>
      <c r="C1080" s="95">
        <f t="shared" si="82"/>
        <v>370080</v>
      </c>
      <c r="D1080" s="95">
        <f ca="1">_xlfn.XLOOKUP(总览!$B$44,$B$40:$B$45,$C$40:$C$45)</f>
        <v>5</v>
      </c>
      <c r="E1080" s="95">
        <f ca="1" t="shared" si="85"/>
        <v>1058</v>
      </c>
      <c r="F1080" s="95">
        <f ca="1" t="shared" si="83"/>
        <v>0</v>
      </c>
      <c r="G1080" s="95">
        <f ca="1" t="shared" si="84"/>
        <v>0</v>
      </c>
      <c r="H1080" s="95" cm="1">
        <f ca="1" t="array" ref="H1080">MIN(30-SUM(I1080:L1080),_xlfn.XLOOKUP($D1080&amp;"_"&amp;H$52,$B$14:$B$36&amp;"_"&amp;$C$14:$C$36,$D$14:$D$36)*$E1080,18)</f>
        <v>13.1026</v>
      </c>
      <c r="I1080" s="95" cm="1">
        <f ca="1" t="array" ref="I1080">MIN(30-SUM(J1080:L1080),6-L1080,_xlfn.XLOOKUP($D1080&amp;"_"&amp;I$52,$B$14:$B$36&amp;"_"&amp;$C$14:$C$36,$D$14:$D$36)*$E1080)</f>
        <v>0.4455</v>
      </c>
      <c r="J1080" s="95" cm="1">
        <f ca="1" t="array" ref="J1080">MIN(8,_xlfn.XLOOKUP($D1080&amp;"_"&amp;J$52,$B$14:$B$36&amp;"_"&amp;$C$14:$C$36,$D$14:$D$36)*$E1080)</f>
        <v>7.935</v>
      </c>
      <c r="K1080" s="95" cm="1">
        <f ca="1" t="array" ref="K1080">MIN(18,_xlfn.XLOOKUP($D1080&amp;"_"&amp;K$52,$B$14:$B$36&amp;"_"&amp;$C$14:$C$36,$D$14:$D$36)*$E1080)</f>
        <v>2.9624</v>
      </c>
      <c r="L1080" s="95" cm="1">
        <f ca="1" t="array" ref="L1080">MIN(6,_xlfn.XLOOKUP($D1080&amp;"_"&amp;L$52,$B$14:$B$36&amp;"_"&amp;$C$14:$C$36,$D$14:$D$36)*$E1080)</f>
        <v>5.5545</v>
      </c>
      <c r="M1080" s="95" cm="1">
        <f ca="1" t="array" ref="M1080">(1+SUMPRODUCT(G1080:H1080,OFFSET($H$40:$I$40,D1080,0)))*(1+OFFSET($J$40,D1080,0))^I1080*(1+OFFSET($K$40,D1080,0))^J1080*(1+OFFSET($L$40,D1080,0))^K1080*(1+OFFSET($M$40,D1080,0))^L1080</f>
        <v>290.397537935089</v>
      </c>
      <c r="N1080" s="95">
        <f ca="1">MAX(MAX($N$53:N1079),OFFSET($C$52,MATCH(M1080*1.07,$M$53:$M$2052,1),0)-C1080)</f>
        <v>29880</v>
      </c>
    </row>
    <row r="1081" spans="2:14">
      <c r="B1081" s="95">
        <v>1029</v>
      </c>
      <c r="C1081" s="95">
        <f t="shared" si="82"/>
        <v>370440</v>
      </c>
      <c r="D1081" s="95">
        <f ca="1">_xlfn.XLOOKUP(总览!$B$44,$B$40:$B$45,$C$40:$C$45)</f>
        <v>5</v>
      </c>
      <c r="E1081" s="95">
        <f ca="1" t="shared" si="85"/>
        <v>1059</v>
      </c>
      <c r="F1081" s="95">
        <f ca="1" t="shared" si="83"/>
        <v>0</v>
      </c>
      <c r="G1081" s="95">
        <f ca="1" t="shared" si="84"/>
        <v>0</v>
      </c>
      <c r="H1081" s="95" cm="1">
        <f ca="1" t="array" ref="H1081">MIN(30-SUM(I1081:L1081),_xlfn.XLOOKUP($D1081&amp;"_"&amp;H$52,$B$14:$B$36&amp;"_"&amp;$C$14:$C$36,$D$14:$D$36)*$E1081,18)</f>
        <v>13.0923</v>
      </c>
      <c r="I1081" s="95" cm="1">
        <f ca="1" t="array" ref="I1081">MIN(30-SUM(J1081:L1081),6-L1081,_xlfn.XLOOKUP($D1081&amp;"_"&amp;I$52,$B$14:$B$36&amp;"_"&amp;$C$14:$C$36,$D$14:$D$36)*$E1081)</f>
        <v>0.44025</v>
      </c>
      <c r="J1081" s="95" cm="1">
        <f ca="1" t="array" ref="J1081">MIN(8,_xlfn.XLOOKUP($D1081&amp;"_"&amp;J$52,$B$14:$B$36&amp;"_"&amp;$C$14:$C$36,$D$14:$D$36)*$E1081)</f>
        <v>7.9425</v>
      </c>
      <c r="K1081" s="95" cm="1">
        <f ca="1" t="array" ref="K1081">MIN(18,_xlfn.XLOOKUP($D1081&amp;"_"&amp;K$52,$B$14:$B$36&amp;"_"&amp;$C$14:$C$36,$D$14:$D$36)*$E1081)</f>
        <v>2.9652</v>
      </c>
      <c r="L1081" s="95" cm="1">
        <f ca="1" t="array" ref="L1081">MIN(6,_xlfn.XLOOKUP($D1081&amp;"_"&amp;L$52,$B$14:$B$36&amp;"_"&amp;$C$14:$C$36,$D$14:$D$36)*$E1081)</f>
        <v>5.55975</v>
      </c>
      <c r="M1081" s="95" cm="1">
        <f ca="1" t="array" ref="M1081">(1+SUMPRODUCT(G1081:H1081,OFFSET($H$40:$I$40,D1081,0)))*(1+OFFSET($J$40,D1081,0))^I1081*(1+OFFSET($K$40,D1081,0))^J1081*(1+OFFSET($L$40,D1081,0))^K1081*(1+OFFSET($M$40,D1081,0))^L1081</f>
        <v>291.069032788254</v>
      </c>
      <c r="N1081" s="95">
        <f ca="1">MAX(MAX($N$53:N1080),OFFSET($C$52,MATCH(M1081*1.07,$M$53:$M$2052,1),0)-C1081)</f>
        <v>31320</v>
      </c>
    </row>
    <row r="1082" spans="2:14">
      <c r="B1082" s="95">
        <v>1030</v>
      </c>
      <c r="C1082" s="95">
        <f t="shared" si="82"/>
        <v>370800</v>
      </c>
      <c r="D1082" s="95">
        <f ca="1">_xlfn.XLOOKUP(总览!$B$44,$B$40:$B$45,$C$40:$C$45)</f>
        <v>5</v>
      </c>
      <c r="E1082" s="95">
        <f ca="1" t="shared" si="85"/>
        <v>1060</v>
      </c>
      <c r="F1082" s="95">
        <f ca="1" t="shared" si="83"/>
        <v>0</v>
      </c>
      <c r="G1082" s="95">
        <f ca="1" t="shared" si="84"/>
        <v>0</v>
      </c>
      <c r="H1082" s="95" cm="1">
        <f ca="1" t="array" ref="H1082">MIN(30-SUM(I1082:L1082),_xlfn.XLOOKUP($D1082&amp;"_"&amp;H$52,$B$14:$B$36&amp;"_"&amp;$C$14:$C$36,$D$14:$D$36)*$E1082,18)</f>
        <v>13.082</v>
      </c>
      <c r="I1082" s="95" cm="1">
        <f ca="1" t="array" ref="I1082">MIN(30-SUM(J1082:L1082),6-L1082,_xlfn.XLOOKUP($D1082&amp;"_"&amp;I$52,$B$14:$B$36&amp;"_"&amp;$C$14:$C$36,$D$14:$D$36)*$E1082)</f>
        <v>0.435</v>
      </c>
      <c r="J1082" s="95" cm="1">
        <f ca="1" t="array" ref="J1082">MIN(8,_xlfn.XLOOKUP($D1082&amp;"_"&amp;J$52,$B$14:$B$36&amp;"_"&amp;$C$14:$C$36,$D$14:$D$36)*$E1082)</f>
        <v>7.95</v>
      </c>
      <c r="K1082" s="95" cm="1">
        <f ca="1" t="array" ref="K1082">MIN(18,_xlfn.XLOOKUP($D1082&amp;"_"&amp;K$52,$B$14:$B$36&amp;"_"&amp;$C$14:$C$36,$D$14:$D$36)*$E1082)</f>
        <v>2.968</v>
      </c>
      <c r="L1082" s="95" cm="1">
        <f ca="1" t="array" ref="L1082">MIN(6,_xlfn.XLOOKUP($D1082&amp;"_"&amp;L$52,$B$14:$B$36&amp;"_"&amp;$C$14:$C$36,$D$14:$D$36)*$E1082)</f>
        <v>5.565</v>
      </c>
      <c r="M1082" s="95" cm="1">
        <f ca="1" t="array" ref="M1082">(1+SUMPRODUCT(G1082:H1082,OFFSET($H$40:$I$40,D1082,0)))*(1+OFFSET($J$40,D1082,0))^I1082*(1+OFFSET($K$40,D1082,0))^J1082*(1+OFFSET($L$40,D1082,0))^K1082*(1+OFFSET($M$40,D1082,0))^L1082</f>
        <v>291.741985803596</v>
      </c>
      <c r="N1082" s="95">
        <f ca="1">MAX(MAX($N$53:N1081),OFFSET($C$52,MATCH(M1082*1.07,$M$53:$M$2052,1),0)-C1082)</f>
        <v>33120</v>
      </c>
    </row>
    <row r="1083" spans="2:14">
      <c r="B1083" s="95">
        <v>1031</v>
      </c>
      <c r="C1083" s="95">
        <f t="shared" si="82"/>
        <v>371160</v>
      </c>
      <c r="D1083" s="95">
        <f ca="1">_xlfn.XLOOKUP(总览!$B$44,$B$40:$B$45,$C$40:$C$45)</f>
        <v>5</v>
      </c>
      <c r="E1083" s="95">
        <f ca="1" t="shared" si="85"/>
        <v>1061</v>
      </c>
      <c r="F1083" s="95">
        <f ca="1" t="shared" si="83"/>
        <v>0</v>
      </c>
      <c r="G1083" s="95">
        <f ca="1" t="shared" si="84"/>
        <v>0</v>
      </c>
      <c r="H1083" s="95" cm="1">
        <f ca="1" t="array" ref="H1083">MIN(30-SUM(I1083:L1083),_xlfn.XLOOKUP($D1083&amp;"_"&amp;H$52,$B$14:$B$36&amp;"_"&amp;$C$14:$C$36,$D$14:$D$36)*$E1083,18)</f>
        <v>13.0717</v>
      </c>
      <c r="I1083" s="95" cm="1">
        <f ca="1" t="array" ref="I1083">MIN(30-SUM(J1083:L1083),6-L1083,_xlfn.XLOOKUP($D1083&amp;"_"&amp;I$52,$B$14:$B$36&amp;"_"&amp;$C$14:$C$36,$D$14:$D$36)*$E1083)</f>
        <v>0.429749999999999</v>
      </c>
      <c r="J1083" s="95" cm="1">
        <f ca="1" t="array" ref="J1083">MIN(8,_xlfn.XLOOKUP($D1083&amp;"_"&amp;J$52,$B$14:$B$36&amp;"_"&amp;$C$14:$C$36,$D$14:$D$36)*$E1083)</f>
        <v>7.9575</v>
      </c>
      <c r="K1083" s="95" cm="1">
        <f ca="1" t="array" ref="K1083">MIN(18,_xlfn.XLOOKUP($D1083&amp;"_"&amp;K$52,$B$14:$B$36&amp;"_"&amp;$C$14:$C$36,$D$14:$D$36)*$E1083)</f>
        <v>2.9708</v>
      </c>
      <c r="L1083" s="95" cm="1">
        <f ca="1" t="array" ref="L1083">MIN(6,_xlfn.XLOOKUP($D1083&amp;"_"&amp;L$52,$B$14:$B$36&amp;"_"&amp;$C$14:$C$36,$D$14:$D$36)*$E1083)</f>
        <v>5.57025</v>
      </c>
      <c r="M1083" s="95" cm="1">
        <f ca="1" t="array" ref="M1083">(1+SUMPRODUCT(G1083:H1083,OFFSET($H$40:$I$40,D1083,0)))*(1+OFFSET($J$40,D1083,0))^I1083*(1+OFFSET($K$40,D1083,0))^J1083*(1+OFFSET($L$40,D1083,0))^K1083*(1+OFFSET($M$40,D1083,0))^L1083</f>
        <v>292.41639980767</v>
      </c>
      <c r="N1083" s="95">
        <f ca="1">MAX(MAX($N$53:N1082),OFFSET($C$52,MATCH(M1083*1.07,$M$53:$M$2052,1),0)-C1083)</f>
        <v>35280</v>
      </c>
    </row>
    <row r="1084" spans="2:14">
      <c r="B1084" s="95">
        <v>1032</v>
      </c>
      <c r="C1084" s="95">
        <f t="shared" si="82"/>
        <v>371520</v>
      </c>
      <c r="D1084" s="95">
        <f ca="1">_xlfn.XLOOKUP(总览!$B$44,$B$40:$B$45,$C$40:$C$45)</f>
        <v>5</v>
      </c>
      <c r="E1084" s="95">
        <f ca="1" t="shared" si="85"/>
        <v>1062</v>
      </c>
      <c r="F1084" s="95">
        <f ca="1" t="shared" si="83"/>
        <v>0</v>
      </c>
      <c r="G1084" s="95">
        <f ca="1" t="shared" si="84"/>
        <v>0</v>
      </c>
      <c r="H1084" s="95" cm="1">
        <f ca="1" t="array" ref="H1084">MIN(30-SUM(I1084:L1084),_xlfn.XLOOKUP($D1084&amp;"_"&amp;H$52,$B$14:$B$36&amp;"_"&amp;$C$14:$C$36,$D$14:$D$36)*$E1084,18)</f>
        <v>13.0614</v>
      </c>
      <c r="I1084" s="95" cm="1">
        <f ca="1" t="array" ref="I1084">MIN(30-SUM(J1084:L1084),6-L1084,_xlfn.XLOOKUP($D1084&amp;"_"&amp;I$52,$B$14:$B$36&amp;"_"&amp;$C$14:$C$36,$D$14:$D$36)*$E1084)</f>
        <v>0.424499999999999</v>
      </c>
      <c r="J1084" s="95" cm="1">
        <f ca="1" t="array" ref="J1084">MIN(8,_xlfn.XLOOKUP($D1084&amp;"_"&amp;J$52,$B$14:$B$36&amp;"_"&amp;$C$14:$C$36,$D$14:$D$36)*$E1084)</f>
        <v>7.965</v>
      </c>
      <c r="K1084" s="95" cm="1">
        <f ca="1" t="array" ref="K1084">MIN(18,_xlfn.XLOOKUP($D1084&amp;"_"&amp;K$52,$B$14:$B$36&amp;"_"&amp;$C$14:$C$36,$D$14:$D$36)*$E1084)</f>
        <v>2.9736</v>
      </c>
      <c r="L1084" s="95" cm="1">
        <f ca="1" t="array" ref="L1084">MIN(6,_xlfn.XLOOKUP($D1084&amp;"_"&amp;L$52,$B$14:$B$36&amp;"_"&amp;$C$14:$C$36,$D$14:$D$36)*$E1084)</f>
        <v>5.5755</v>
      </c>
      <c r="M1084" s="95" cm="1">
        <f ca="1" t="array" ref="M1084">(1+SUMPRODUCT(G1084:H1084,OFFSET($H$40:$I$40,D1084,0)))*(1+OFFSET($J$40,D1084,0))^I1084*(1+OFFSET($K$40,D1084,0))^J1084*(1+OFFSET($L$40,D1084,0))^K1084*(1+OFFSET($M$40,D1084,0))^L1084</f>
        <v>293.09227763121</v>
      </c>
      <c r="N1084" s="95">
        <f ca="1">MAX(MAX($N$53:N1083),OFFSET($C$52,MATCH(M1084*1.07,$M$53:$M$2052,1),0)-C1084)</f>
        <v>37080</v>
      </c>
    </row>
    <row r="1085" spans="2:14">
      <c r="B1085" s="95">
        <v>1033</v>
      </c>
      <c r="C1085" s="95">
        <f t="shared" ref="C1085:C1116" si="86">C1084+360</f>
        <v>371880</v>
      </c>
      <c r="D1085" s="95">
        <f ca="1">_xlfn.XLOOKUP(总览!$B$44,$B$40:$B$45,$C$40:$C$45)</f>
        <v>5</v>
      </c>
      <c r="E1085" s="95">
        <f ca="1" t="shared" si="85"/>
        <v>1063</v>
      </c>
      <c r="F1085" s="95">
        <f ca="1" t="shared" ref="F1085:F1116" si="87">30-SUM(G1085:L1085)</f>
        <v>0</v>
      </c>
      <c r="G1085" s="95">
        <f ca="1" t="shared" ref="G1085:G1116" si="88">30-SUM(H1085:L1085)</f>
        <v>0</v>
      </c>
      <c r="H1085" s="95" cm="1">
        <f ca="1" t="array" ref="H1085">MIN(30-SUM(I1085:L1085),_xlfn.XLOOKUP($D1085&amp;"_"&amp;H$52,$B$14:$B$36&amp;"_"&amp;$C$14:$C$36,$D$14:$D$36)*$E1085,18)</f>
        <v>13.0511</v>
      </c>
      <c r="I1085" s="95" cm="1">
        <f ca="1" t="array" ref="I1085">MIN(30-SUM(J1085:L1085),6-L1085,_xlfn.XLOOKUP($D1085&amp;"_"&amp;I$52,$B$14:$B$36&amp;"_"&amp;$C$14:$C$36,$D$14:$D$36)*$E1085)</f>
        <v>0.41925</v>
      </c>
      <c r="J1085" s="95" cm="1">
        <f ca="1" t="array" ref="J1085">MIN(8,_xlfn.XLOOKUP($D1085&amp;"_"&amp;J$52,$B$14:$B$36&amp;"_"&amp;$C$14:$C$36,$D$14:$D$36)*$E1085)</f>
        <v>7.9725</v>
      </c>
      <c r="K1085" s="95" cm="1">
        <f ca="1" t="array" ref="K1085">MIN(18,_xlfn.XLOOKUP($D1085&amp;"_"&amp;K$52,$B$14:$B$36&amp;"_"&amp;$C$14:$C$36,$D$14:$D$36)*$E1085)</f>
        <v>2.9764</v>
      </c>
      <c r="L1085" s="95" cm="1">
        <f ca="1" t="array" ref="L1085">MIN(6,_xlfn.XLOOKUP($D1085&amp;"_"&amp;L$52,$B$14:$B$36&amp;"_"&amp;$C$14:$C$36,$D$14:$D$36)*$E1085)</f>
        <v>5.58075</v>
      </c>
      <c r="M1085" s="95" cm="1">
        <f ca="1" t="array" ref="M1085">(1+SUMPRODUCT(G1085:H1085,OFFSET($H$40:$I$40,D1085,0)))*(1+OFFSET($J$40,D1085,0))^I1085*(1+OFFSET($K$40,D1085,0))^J1085*(1+OFFSET($L$40,D1085,0))^K1085*(1+OFFSET($M$40,D1085,0))^L1085</f>
        <v>293.769622109128</v>
      </c>
      <c r="N1085" s="95">
        <f ca="1">MAX(MAX($N$53:N1084),OFFSET($C$52,MATCH(M1085*1.07,$M$53:$M$2052,1),0)-C1085)</f>
        <v>39240</v>
      </c>
    </row>
    <row r="1086" spans="2:14">
      <c r="B1086" s="95">
        <v>1034</v>
      </c>
      <c r="C1086" s="95">
        <f t="shared" si="86"/>
        <v>372240</v>
      </c>
      <c r="D1086" s="95">
        <f ca="1">_xlfn.XLOOKUP(总览!$B$44,$B$40:$B$45,$C$40:$C$45)</f>
        <v>5</v>
      </c>
      <c r="E1086" s="95">
        <f ca="1" t="shared" si="85"/>
        <v>1064</v>
      </c>
      <c r="F1086" s="95">
        <f ca="1" t="shared" si="87"/>
        <v>0</v>
      </c>
      <c r="G1086" s="95">
        <f ca="1" t="shared" si="88"/>
        <v>0</v>
      </c>
      <c r="H1086" s="95" cm="1">
        <f ca="1" t="array" ref="H1086">MIN(30-SUM(I1086:L1086),_xlfn.XLOOKUP($D1086&amp;"_"&amp;H$52,$B$14:$B$36&amp;"_"&amp;$C$14:$C$36,$D$14:$D$36)*$E1086,18)</f>
        <v>13.0408</v>
      </c>
      <c r="I1086" s="95" cm="1">
        <f ca="1" t="array" ref="I1086">MIN(30-SUM(J1086:L1086),6-L1086,_xlfn.XLOOKUP($D1086&amp;"_"&amp;I$52,$B$14:$B$36&amp;"_"&amp;$C$14:$C$36,$D$14:$D$36)*$E1086)</f>
        <v>0.414</v>
      </c>
      <c r="J1086" s="95" cm="1">
        <f ca="1" t="array" ref="J1086">MIN(8,_xlfn.XLOOKUP($D1086&amp;"_"&amp;J$52,$B$14:$B$36&amp;"_"&amp;$C$14:$C$36,$D$14:$D$36)*$E1086)</f>
        <v>7.98</v>
      </c>
      <c r="K1086" s="95" cm="1">
        <f ca="1" t="array" ref="K1086">MIN(18,_xlfn.XLOOKUP($D1086&amp;"_"&amp;K$52,$B$14:$B$36&amp;"_"&amp;$C$14:$C$36,$D$14:$D$36)*$E1086)</f>
        <v>2.9792</v>
      </c>
      <c r="L1086" s="95" cm="1">
        <f ca="1" t="array" ref="L1086">MIN(6,_xlfn.XLOOKUP($D1086&amp;"_"&amp;L$52,$B$14:$B$36&amp;"_"&amp;$C$14:$C$36,$D$14:$D$36)*$E1086)</f>
        <v>5.586</v>
      </c>
      <c r="M1086" s="95" cm="1">
        <f ca="1" t="array" ref="M1086">(1+SUMPRODUCT(G1086:H1086,OFFSET($H$40:$I$40,D1086,0)))*(1+OFFSET($J$40,D1086,0))^I1086*(1+OFFSET($K$40,D1086,0))^J1086*(1+OFFSET($L$40,D1086,0))^K1086*(1+OFFSET($M$40,D1086,0))^L1086</f>
        <v>294.448436080515</v>
      </c>
      <c r="N1086" s="95">
        <f ca="1">MAX(MAX($N$53:N1085),OFFSET($C$52,MATCH(M1086*1.07,$M$53:$M$2052,1),0)-C1086)</f>
        <v>41040</v>
      </c>
    </row>
    <row r="1087" spans="2:14">
      <c r="B1087" s="95">
        <v>1035</v>
      </c>
      <c r="C1087" s="95">
        <f t="shared" si="86"/>
        <v>372600</v>
      </c>
      <c r="D1087" s="95">
        <f ca="1">_xlfn.XLOOKUP(总览!$B$44,$B$40:$B$45,$C$40:$C$45)</f>
        <v>5</v>
      </c>
      <c r="E1087" s="95">
        <f ca="1" t="shared" si="85"/>
        <v>1065</v>
      </c>
      <c r="F1087" s="95">
        <f ca="1" t="shared" si="87"/>
        <v>0</v>
      </c>
      <c r="G1087" s="95">
        <f ca="1" t="shared" si="88"/>
        <v>0</v>
      </c>
      <c r="H1087" s="95" cm="1">
        <f ca="1" t="array" ref="H1087">MIN(30-SUM(I1087:L1087),_xlfn.XLOOKUP($D1087&amp;"_"&amp;H$52,$B$14:$B$36&amp;"_"&amp;$C$14:$C$36,$D$14:$D$36)*$E1087,18)</f>
        <v>13.0305</v>
      </c>
      <c r="I1087" s="95" cm="1">
        <f ca="1" t="array" ref="I1087">MIN(30-SUM(J1087:L1087),6-L1087,_xlfn.XLOOKUP($D1087&amp;"_"&amp;I$52,$B$14:$B$36&amp;"_"&amp;$C$14:$C$36,$D$14:$D$36)*$E1087)</f>
        <v>0.40875</v>
      </c>
      <c r="J1087" s="95" cm="1">
        <f ca="1" t="array" ref="J1087">MIN(8,_xlfn.XLOOKUP($D1087&amp;"_"&amp;J$52,$B$14:$B$36&amp;"_"&amp;$C$14:$C$36,$D$14:$D$36)*$E1087)</f>
        <v>7.9875</v>
      </c>
      <c r="K1087" s="95" cm="1">
        <f ca="1" t="array" ref="K1087">MIN(18,_xlfn.XLOOKUP($D1087&amp;"_"&amp;K$52,$B$14:$B$36&amp;"_"&amp;$C$14:$C$36,$D$14:$D$36)*$E1087)</f>
        <v>2.982</v>
      </c>
      <c r="L1087" s="95" cm="1">
        <f ca="1" t="array" ref="L1087">MIN(6,_xlfn.XLOOKUP($D1087&amp;"_"&amp;L$52,$B$14:$B$36&amp;"_"&amp;$C$14:$C$36,$D$14:$D$36)*$E1087)</f>
        <v>5.59125</v>
      </c>
      <c r="M1087" s="95" cm="1">
        <f ca="1" t="array" ref="M1087">(1+SUMPRODUCT(G1087:H1087,OFFSET($H$40:$I$40,D1087,0)))*(1+OFFSET($J$40,D1087,0))^I1087*(1+OFFSET($K$40,D1087,0))^J1087*(1+OFFSET($L$40,D1087,0))^K1087*(1+OFFSET($M$40,D1087,0))^L1087</f>
        <v>295.128722388645</v>
      </c>
      <c r="N1087" s="95">
        <f ca="1">MAX(MAX($N$53:N1086),OFFSET($C$52,MATCH(M1087*1.07,$M$53:$M$2052,1),0)-C1087)</f>
        <v>43200</v>
      </c>
    </row>
    <row r="1088" spans="2:14">
      <c r="B1088" s="95">
        <v>1036</v>
      </c>
      <c r="C1088" s="95">
        <f t="shared" si="86"/>
        <v>372960</v>
      </c>
      <c r="D1088" s="95">
        <f ca="1">_xlfn.XLOOKUP(总览!$B$44,$B$40:$B$45,$C$40:$C$45)</f>
        <v>5</v>
      </c>
      <c r="E1088" s="95">
        <f ca="1" t="shared" si="85"/>
        <v>1066</v>
      </c>
      <c r="F1088" s="95">
        <f ca="1" t="shared" si="87"/>
        <v>0</v>
      </c>
      <c r="G1088" s="95">
        <f ca="1" t="shared" si="88"/>
        <v>0</v>
      </c>
      <c r="H1088" s="95" cm="1">
        <f ca="1" t="array" ref="H1088">MIN(30-SUM(I1088:L1088),_xlfn.XLOOKUP($D1088&amp;"_"&amp;H$52,$B$14:$B$36&amp;"_"&amp;$C$14:$C$36,$D$14:$D$36)*$E1088,18)</f>
        <v>13.0202</v>
      </c>
      <c r="I1088" s="95" cm="1">
        <f ca="1" t="array" ref="I1088">MIN(30-SUM(J1088:L1088),6-L1088,_xlfn.XLOOKUP($D1088&amp;"_"&amp;I$52,$B$14:$B$36&amp;"_"&amp;$C$14:$C$36,$D$14:$D$36)*$E1088)</f>
        <v>0.403499999999999</v>
      </c>
      <c r="J1088" s="95" cm="1">
        <f ca="1" t="array" ref="J1088">MIN(8,_xlfn.XLOOKUP($D1088&amp;"_"&amp;J$52,$B$14:$B$36&amp;"_"&amp;$C$14:$C$36,$D$14:$D$36)*$E1088)</f>
        <v>7.995</v>
      </c>
      <c r="K1088" s="95" cm="1">
        <f ca="1" t="array" ref="K1088">MIN(18,_xlfn.XLOOKUP($D1088&amp;"_"&amp;K$52,$B$14:$B$36&amp;"_"&amp;$C$14:$C$36,$D$14:$D$36)*$E1088)</f>
        <v>2.9848</v>
      </c>
      <c r="L1088" s="95" cm="1">
        <f ca="1" t="array" ref="L1088">MIN(6,_xlfn.XLOOKUP($D1088&amp;"_"&amp;L$52,$B$14:$B$36&amp;"_"&amp;$C$14:$C$36,$D$14:$D$36)*$E1088)</f>
        <v>5.5965</v>
      </c>
      <c r="M1088" s="95" cm="1">
        <f ca="1" t="array" ref="M1088">(1+SUMPRODUCT(G1088:H1088,OFFSET($H$40:$I$40,D1088,0)))*(1+OFFSET($J$40,D1088,0))^I1088*(1+OFFSET($K$40,D1088,0))^J1088*(1+OFFSET($L$40,D1088,0))^K1088*(1+OFFSET($M$40,D1088,0))^L1088</f>
        <v>295.81048388097</v>
      </c>
      <c r="N1088" s="95">
        <f ca="1">MAX(MAX($N$53:N1087),OFFSET($C$52,MATCH(M1088*1.07,$M$53:$M$2052,1),0)-C1088)</f>
        <v>45360</v>
      </c>
    </row>
    <row r="1089" spans="2:14">
      <c r="B1089" s="95">
        <v>1037</v>
      </c>
      <c r="C1089" s="95">
        <f t="shared" si="86"/>
        <v>373320</v>
      </c>
      <c r="D1089" s="95">
        <f ca="1">_xlfn.XLOOKUP(总览!$B$44,$B$40:$B$45,$C$40:$C$45)</f>
        <v>5</v>
      </c>
      <c r="E1089" s="95">
        <f ca="1" t="shared" si="85"/>
        <v>1067</v>
      </c>
      <c r="F1089" s="95">
        <f ca="1" t="shared" si="87"/>
        <v>0</v>
      </c>
      <c r="G1089" s="95">
        <f ca="1" t="shared" si="88"/>
        <v>0</v>
      </c>
      <c r="H1089" s="95" cm="1">
        <f ca="1" t="array" ref="H1089">MIN(30-SUM(I1089:L1089),_xlfn.XLOOKUP($D1089&amp;"_"&amp;H$52,$B$14:$B$36&amp;"_"&amp;$C$14:$C$36,$D$14:$D$36)*$E1089,18)</f>
        <v>13.0124</v>
      </c>
      <c r="I1089" s="95" cm="1">
        <f ca="1" t="array" ref="I1089">MIN(30-SUM(J1089:L1089),6-L1089,_xlfn.XLOOKUP($D1089&amp;"_"&amp;I$52,$B$14:$B$36&amp;"_"&amp;$C$14:$C$36,$D$14:$D$36)*$E1089)</f>
        <v>0.39825</v>
      </c>
      <c r="J1089" s="95" cm="1">
        <f ca="1" t="array" ref="J1089">MIN(8,_xlfn.XLOOKUP($D1089&amp;"_"&amp;J$52,$B$14:$B$36&amp;"_"&amp;$C$14:$C$36,$D$14:$D$36)*$E1089)</f>
        <v>8</v>
      </c>
      <c r="K1089" s="95" cm="1">
        <f ca="1" t="array" ref="K1089">MIN(18,_xlfn.XLOOKUP($D1089&amp;"_"&amp;K$52,$B$14:$B$36&amp;"_"&amp;$C$14:$C$36,$D$14:$D$36)*$E1089)</f>
        <v>2.9876</v>
      </c>
      <c r="L1089" s="95" cm="1">
        <f ca="1" t="array" ref="L1089">MIN(6,_xlfn.XLOOKUP($D1089&amp;"_"&amp;L$52,$B$14:$B$36&amp;"_"&amp;$C$14:$C$36,$D$14:$D$36)*$E1089)</f>
        <v>5.60175</v>
      </c>
      <c r="M1089" s="95" cm="1">
        <f ca="1" t="array" ref="M1089">(1+SUMPRODUCT(G1089:H1089,OFFSET($H$40:$I$40,D1089,0)))*(1+OFFSET($J$40,D1089,0))^I1089*(1+OFFSET($K$40,D1089,0))^J1089*(1+OFFSET($L$40,D1089,0))^K1089*(1+OFFSET($M$40,D1089,0))^L1089</f>
        <v>296.329133132738</v>
      </c>
      <c r="N1089" s="95">
        <f ca="1">MAX(MAX($N$53:N1088),OFFSET($C$52,MATCH(M1089*1.07,$M$53:$M$2052,1),0)-C1089)</f>
        <v>46800</v>
      </c>
    </row>
    <row r="1090" spans="2:14">
      <c r="B1090" s="95">
        <v>1038</v>
      </c>
      <c r="C1090" s="95">
        <f t="shared" si="86"/>
        <v>373680</v>
      </c>
      <c r="D1090" s="95">
        <f ca="1">_xlfn.XLOOKUP(总览!$B$44,$B$40:$B$45,$C$40:$C$45)</f>
        <v>5</v>
      </c>
      <c r="E1090" s="95">
        <f ca="1" t="shared" si="85"/>
        <v>1068</v>
      </c>
      <c r="F1090" s="95">
        <f ca="1" t="shared" si="87"/>
        <v>0</v>
      </c>
      <c r="G1090" s="95">
        <f ca="1" t="shared" si="88"/>
        <v>0</v>
      </c>
      <c r="H1090" s="95" cm="1">
        <f ca="1" t="array" ref="H1090">MIN(30-SUM(I1090:L1090),_xlfn.XLOOKUP($D1090&amp;"_"&amp;H$52,$B$14:$B$36&amp;"_"&amp;$C$14:$C$36,$D$14:$D$36)*$E1090,18)</f>
        <v>13.0096</v>
      </c>
      <c r="I1090" s="95" cm="1">
        <f ca="1" t="array" ref="I1090">MIN(30-SUM(J1090:L1090),6-L1090,_xlfn.XLOOKUP($D1090&amp;"_"&amp;I$52,$B$14:$B$36&amp;"_"&amp;$C$14:$C$36,$D$14:$D$36)*$E1090)</f>
        <v>0.393</v>
      </c>
      <c r="J1090" s="95" cm="1">
        <f ca="1" t="array" ref="J1090">MIN(8,_xlfn.XLOOKUP($D1090&amp;"_"&amp;J$52,$B$14:$B$36&amp;"_"&amp;$C$14:$C$36,$D$14:$D$36)*$E1090)</f>
        <v>8</v>
      </c>
      <c r="K1090" s="95" cm="1">
        <f ca="1" t="array" ref="K1090">MIN(18,_xlfn.XLOOKUP($D1090&amp;"_"&amp;K$52,$B$14:$B$36&amp;"_"&amp;$C$14:$C$36,$D$14:$D$36)*$E1090)</f>
        <v>2.9904</v>
      </c>
      <c r="L1090" s="95" cm="1">
        <f ca="1" t="array" ref="L1090">MIN(6,_xlfn.XLOOKUP($D1090&amp;"_"&amp;L$52,$B$14:$B$36&amp;"_"&amp;$C$14:$C$36,$D$14:$D$36)*$E1090)</f>
        <v>5.607</v>
      </c>
      <c r="M1090" s="95" cm="1">
        <f ca="1" t="array" ref="M1090">(1+SUMPRODUCT(G1090:H1090,OFFSET($H$40:$I$40,D1090,0)))*(1+OFFSET($J$40,D1090,0))^I1090*(1+OFFSET($K$40,D1090,0))^J1090*(1+OFFSET($L$40,D1090,0))^K1090*(1+OFFSET($M$40,D1090,0))^L1090</f>
        <v>296.519171474201</v>
      </c>
      <c r="N1090" s="95">
        <f ca="1">MAX(MAX($N$53:N1089),OFFSET($C$52,MATCH(M1090*1.07,$M$53:$M$2052,1),0)-C1090)</f>
        <v>46800</v>
      </c>
    </row>
    <row r="1091" spans="2:14">
      <c r="B1091" s="95">
        <v>1039</v>
      </c>
      <c r="C1091" s="95">
        <f t="shared" si="86"/>
        <v>374040</v>
      </c>
      <c r="D1091" s="95">
        <f ca="1">_xlfn.XLOOKUP(总览!$B$44,$B$40:$B$45,$C$40:$C$45)</f>
        <v>5</v>
      </c>
      <c r="E1091" s="95">
        <f ca="1" t="shared" si="85"/>
        <v>1069</v>
      </c>
      <c r="F1091" s="95">
        <f ca="1" t="shared" si="87"/>
        <v>0</v>
      </c>
      <c r="G1091" s="95">
        <f ca="1" t="shared" si="88"/>
        <v>0</v>
      </c>
      <c r="H1091" s="95" cm="1">
        <f ca="1" t="array" ref="H1091">MIN(30-SUM(I1091:L1091),_xlfn.XLOOKUP($D1091&amp;"_"&amp;H$52,$B$14:$B$36&amp;"_"&amp;$C$14:$C$36,$D$14:$D$36)*$E1091,18)</f>
        <v>13.0068</v>
      </c>
      <c r="I1091" s="95" cm="1">
        <f ca="1" t="array" ref="I1091">MIN(30-SUM(J1091:L1091),6-L1091,_xlfn.XLOOKUP($D1091&amp;"_"&amp;I$52,$B$14:$B$36&amp;"_"&amp;$C$14:$C$36,$D$14:$D$36)*$E1091)</f>
        <v>0.38775</v>
      </c>
      <c r="J1091" s="95" cm="1">
        <f ca="1" t="array" ref="J1091">MIN(8,_xlfn.XLOOKUP($D1091&amp;"_"&amp;J$52,$B$14:$B$36&amp;"_"&amp;$C$14:$C$36,$D$14:$D$36)*$E1091)</f>
        <v>8</v>
      </c>
      <c r="K1091" s="95" cm="1">
        <f ca="1" t="array" ref="K1091">MIN(18,_xlfn.XLOOKUP($D1091&amp;"_"&amp;K$52,$B$14:$B$36&amp;"_"&amp;$C$14:$C$36,$D$14:$D$36)*$E1091)</f>
        <v>2.9932</v>
      </c>
      <c r="L1091" s="95" cm="1">
        <f ca="1" t="array" ref="L1091">MIN(6,_xlfn.XLOOKUP($D1091&amp;"_"&amp;L$52,$B$14:$B$36&amp;"_"&amp;$C$14:$C$36,$D$14:$D$36)*$E1091)</f>
        <v>5.61225</v>
      </c>
      <c r="M1091" s="95" cm="1">
        <f ca="1" t="array" ref="M1091">(1+SUMPRODUCT(G1091:H1091,OFFSET($H$40:$I$40,D1091,0)))*(1+OFFSET($J$40,D1091,0))^I1091*(1+OFFSET($K$40,D1091,0))^J1091*(1+OFFSET($L$40,D1091,0))^K1091*(1+OFFSET($M$40,D1091,0))^L1091</f>
        <v>296.709324516855</v>
      </c>
      <c r="N1091" s="95">
        <f ca="1">MAX(MAX($N$53:N1090),OFFSET($C$52,MATCH(M1091*1.07,$M$53:$M$2052,1),0)-C1091)</f>
        <v>47160</v>
      </c>
    </row>
    <row r="1092" spans="2:14">
      <c r="B1092" s="95">
        <v>1040</v>
      </c>
      <c r="C1092" s="95">
        <f t="shared" si="86"/>
        <v>374400</v>
      </c>
      <c r="D1092" s="95">
        <f ca="1">_xlfn.XLOOKUP(总览!$B$44,$B$40:$B$45,$C$40:$C$45)</f>
        <v>5</v>
      </c>
      <c r="E1092" s="95">
        <f ca="1" t="shared" si="85"/>
        <v>1070</v>
      </c>
      <c r="F1092" s="95">
        <f ca="1" t="shared" si="87"/>
        <v>0</v>
      </c>
      <c r="G1092" s="95">
        <f ca="1" t="shared" si="88"/>
        <v>0</v>
      </c>
      <c r="H1092" s="95" cm="1">
        <f ca="1" t="array" ref="H1092">MIN(30-SUM(I1092:L1092),_xlfn.XLOOKUP($D1092&amp;"_"&amp;H$52,$B$14:$B$36&amp;"_"&amp;$C$14:$C$36,$D$14:$D$36)*$E1092,18)</f>
        <v>13.004</v>
      </c>
      <c r="I1092" s="95" cm="1">
        <f ca="1" t="array" ref="I1092">MIN(30-SUM(J1092:L1092),6-L1092,_xlfn.XLOOKUP($D1092&amp;"_"&amp;I$52,$B$14:$B$36&amp;"_"&amp;$C$14:$C$36,$D$14:$D$36)*$E1092)</f>
        <v>0.382499999999999</v>
      </c>
      <c r="J1092" s="95" cm="1">
        <f ca="1" t="array" ref="J1092">MIN(8,_xlfn.XLOOKUP($D1092&amp;"_"&amp;J$52,$B$14:$B$36&amp;"_"&amp;$C$14:$C$36,$D$14:$D$36)*$E1092)</f>
        <v>8</v>
      </c>
      <c r="K1092" s="95" cm="1">
        <f ca="1" t="array" ref="K1092">MIN(18,_xlfn.XLOOKUP($D1092&amp;"_"&amp;K$52,$B$14:$B$36&amp;"_"&amp;$C$14:$C$36,$D$14:$D$36)*$E1092)</f>
        <v>2.996</v>
      </c>
      <c r="L1092" s="95" cm="1">
        <f ca="1" t="array" ref="L1092">MIN(6,_xlfn.XLOOKUP($D1092&amp;"_"&amp;L$52,$B$14:$B$36&amp;"_"&amp;$C$14:$C$36,$D$14:$D$36)*$E1092)</f>
        <v>5.6175</v>
      </c>
      <c r="M1092" s="95" cm="1">
        <f ca="1" t="array" ref="M1092">(1+SUMPRODUCT(G1092:H1092,OFFSET($H$40:$I$40,D1092,0)))*(1+OFFSET($J$40,D1092,0))^I1092*(1+OFFSET($K$40,D1092,0))^J1092*(1+OFFSET($L$40,D1092,0))^K1092*(1+OFFSET($M$40,D1092,0))^L1092</f>
        <v>296.899592322827</v>
      </c>
      <c r="N1092" s="95">
        <f ca="1">MAX(MAX($N$53:N1091),OFFSET($C$52,MATCH(M1092*1.07,$M$53:$M$2052,1),0)-C1092)</f>
        <v>47520</v>
      </c>
    </row>
    <row r="1093" spans="2:14">
      <c r="B1093" s="95">
        <v>1041</v>
      </c>
      <c r="C1093" s="95">
        <f t="shared" si="86"/>
        <v>374760</v>
      </c>
      <c r="D1093" s="95">
        <f ca="1">_xlfn.XLOOKUP(总览!$B$44,$B$40:$B$45,$C$40:$C$45)</f>
        <v>5</v>
      </c>
      <c r="E1093" s="95">
        <f ca="1" t="shared" si="85"/>
        <v>1071</v>
      </c>
      <c r="F1093" s="95">
        <f ca="1" t="shared" si="87"/>
        <v>0</v>
      </c>
      <c r="G1093" s="95">
        <f ca="1" t="shared" si="88"/>
        <v>0</v>
      </c>
      <c r="H1093" s="95" cm="1">
        <f ca="1" t="array" ref="H1093">MIN(30-SUM(I1093:L1093),_xlfn.XLOOKUP($D1093&amp;"_"&amp;H$52,$B$14:$B$36&amp;"_"&amp;$C$14:$C$36,$D$14:$D$36)*$E1093,18)</f>
        <v>13.0012</v>
      </c>
      <c r="I1093" s="95" cm="1">
        <f ca="1" t="array" ref="I1093">MIN(30-SUM(J1093:L1093),6-L1093,_xlfn.XLOOKUP($D1093&amp;"_"&amp;I$52,$B$14:$B$36&amp;"_"&amp;$C$14:$C$36,$D$14:$D$36)*$E1093)</f>
        <v>0.37725</v>
      </c>
      <c r="J1093" s="95" cm="1">
        <f ca="1" t="array" ref="J1093">MIN(8,_xlfn.XLOOKUP($D1093&amp;"_"&amp;J$52,$B$14:$B$36&amp;"_"&amp;$C$14:$C$36,$D$14:$D$36)*$E1093)</f>
        <v>8</v>
      </c>
      <c r="K1093" s="95" cm="1">
        <f ca="1" t="array" ref="K1093">MIN(18,_xlfn.XLOOKUP($D1093&amp;"_"&amp;K$52,$B$14:$B$36&amp;"_"&amp;$C$14:$C$36,$D$14:$D$36)*$E1093)</f>
        <v>2.9988</v>
      </c>
      <c r="L1093" s="95" cm="1">
        <f ca="1" t="array" ref="L1093">MIN(6,_xlfn.XLOOKUP($D1093&amp;"_"&amp;L$52,$B$14:$B$36&amp;"_"&amp;$C$14:$C$36,$D$14:$D$36)*$E1093)</f>
        <v>5.62275</v>
      </c>
      <c r="M1093" s="95" cm="1">
        <f ca="1" t="array" ref="M1093">(1+SUMPRODUCT(G1093:H1093,OFFSET($H$40:$I$40,D1093,0)))*(1+OFFSET($J$40,D1093,0))^I1093*(1+OFFSET($K$40,D1093,0))^J1093*(1+OFFSET($L$40,D1093,0))^K1093*(1+OFFSET($M$40,D1093,0))^L1093</f>
        <v>297.089974954273</v>
      </c>
      <c r="N1093" s="95">
        <f ca="1">MAX(MAX($N$53:N1092),OFFSET($C$52,MATCH(M1093*1.07,$M$53:$M$2052,1),0)-C1093)</f>
        <v>47880</v>
      </c>
    </row>
    <row r="1094" spans="2:14">
      <c r="B1094" s="95">
        <v>1042</v>
      </c>
      <c r="C1094" s="95">
        <f t="shared" si="86"/>
        <v>375120</v>
      </c>
      <c r="D1094" s="95">
        <f ca="1">_xlfn.XLOOKUP(总览!$B$44,$B$40:$B$45,$C$40:$C$45)</f>
        <v>5</v>
      </c>
      <c r="E1094" s="95">
        <f ca="1" t="shared" si="85"/>
        <v>1072</v>
      </c>
      <c r="F1094" s="95">
        <f ca="1" t="shared" si="87"/>
        <v>0</v>
      </c>
      <c r="G1094" s="95">
        <f ca="1" t="shared" si="88"/>
        <v>0</v>
      </c>
      <c r="H1094" s="95" cm="1">
        <f ca="1" t="array" ref="H1094">MIN(30-SUM(I1094:L1094),_xlfn.XLOOKUP($D1094&amp;"_"&amp;H$52,$B$14:$B$36&amp;"_"&amp;$C$14:$C$36,$D$14:$D$36)*$E1094,18)</f>
        <v>12.9984</v>
      </c>
      <c r="I1094" s="95" cm="1">
        <f ca="1" t="array" ref="I1094">MIN(30-SUM(J1094:L1094),6-L1094,_xlfn.XLOOKUP($D1094&amp;"_"&amp;I$52,$B$14:$B$36&amp;"_"&amp;$C$14:$C$36,$D$14:$D$36)*$E1094)</f>
        <v>0.372</v>
      </c>
      <c r="J1094" s="95" cm="1">
        <f ca="1" t="array" ref="J1094">MIN(8,_xlfn.XLOOKUP($D1094&amp;"_"&amp;J$52,$B$14:$B$36&amp;"_"&amp;$C$14:$C$36,$D$14:$D$36)*$E1094)</f>
        <v>8</v>
      </c>
      <c r="K1094" s="95" cm="1">
        <f ca="1" t="array" ref="K1094">MIN(18,_xlfn.XLOOKUP($D1094&amp;"_"&amp;K$52,$B$14:$B$36&amp;"_"&amp;$C$14:$C$36,$D$14:$D$36)*$E1094)</f>
        <v>3.0016</v>
      </c>
      <c r="L1094" s="95" cm="1">
        <f ca="1" t="array" ref="L1094">MIN(6,_xlfn.XLOOKUP($D1094&amp;"_"&amp;L$52,$B$14:$B$36&amp;"_"&amp;$C$14:$C$36,$D$14:$D$36)*$E1094)</f>
        <v>5.628</v>
      </c>
      <c r="M1094" s="95" cm="1">
        <f ca="1" t="array" ref="M1094">(1+SUMPRODUCT(G1094:H1094,OFFSET($H$40:$I$40,D1094,0)))*(1+OFFSET($J$40,D1094,0))^I1094*(1+OFFSET($K$40,D1094,0))^J1094*(1+OFFSET($L$40,D1094,0))^K1094*(1+OFFSET($M$40,D1094,0))^L1094</f>
        <v>297.280472473373</v>
      </c>
      <c r="N1094" s="95">
        <f ca="1">MAX(MAX($N$53:N1093),OFFSET($C$52,MATCH(M1094*1.07,$M$53:$M$2052,1),0)-C1094)</f>
        <v>48240</v>
      </c>
    </row>
    <row r="1095" spans="2:14">
      <c r="B1095" s="95">
        <v>1043</v>
      </c>
      <c r="C1095" s="95">
        <f t="shared" si="86"/>
        <v>375480</v>
      </c>
      <c r="D1095" s="95">
        <f ca="1">_xlfn.XLOOKUP(总览!$B$44,$B$40:$B$45,$C$40:$C$45)</f>
        <v>5</v>
      </c>
      <c r="E1095" s="95">
        <f ca="1" t="shared" si="85"/>
        <v>1073</v>
      </c>
      <c r="F1095" s="95">
        <f ca="1" t="shared" si="87"/>
        <v>0</v>
      </c>
      <c r="G1095" s="95">
        <f ca="1" t="shared" si="88"/>
        <v>0</v>
      </c>
      <c r="H1095" s="95" cm="1">
        <f ca="1" t="array" ref="H1095">MIN(30-SUM(I1095:L1095),_xlfn.XLOOKUP($D1095&amp;"_"&amp;H$52,$B$14:$B$36&amp;"_"&amp;$C$14:$C$36,$D$14:$D$36)*$E1095,18)</f>
        <v>12.9956</v>
      </c>
      <c r="I1095" s="95" cm="1">
        <f ca="1" t="array" ref="I1095">MIN(30-SUM(J1095:L1095),6-L1095,_xlfn.XLOOKUP($D1095&amp;"_"&amp;I$52,$B$14:$B$36&amp;"_"&amp;$C$14:$C$36,$D$14:$D$36)*$E1095)</f>
        <v>0.36675</v>
      </c>
      <c r="J1095" s="95" cm="1">
        <f ca="1" t="array" ref="J1095">MIN(8,_xlfn.XLOOKUP($D1095&amp;"_"&amp;J$52,$B$14:$B$36&amp;"_"&amp;$C$14:$C$36,$D$14:$D$36)*$E1095)</f>
        <v>8</v>
      </c>
      <c r="K1095" s="95" cm="1">
        <f ca="1" t="array" ref="K1095">MIN(18,_xlfn.XLOOKUP($D1095&amp;"_"&amp;K$52,$B$14:$B$36&amp;"_"&amp;$C$14:$C$36,$D$14:$D$36)*$E1095)</f>
        <v>3.0044</v>
      </c>
      <c r="L1095" s="95" cm="1">
        <f ca="1" t="array" ref="L1095">MIN(6,_xlfn.XLOOKUP($D1095&amp;"_"&amp;L$52,$B$14:$B$36&amp;"_"&amp;$C$14:$C$36,$D$14:$D$36)*$E1095)</f>
        <v>5.63325</v>
      </c>
      <c r="M1095" s="95" cm="1">
        <f ca="1" t="array" ref="M1095">(1+SUMPRODUCT(G1095:H1095,OFFSET($H$40:$I$40,D1095,0)))*(1+OFFSET($J$40,D1095,0))^I1095*(1+OFFSET($K$40,D1095,0))^J1095*(1+OFFSET($L$40,D1095,0))^K1095*(1+OFFSET($M$40,D1095,0))^L1095</f>
        <v>297.471084942334</v>
      </c>
      <c r="N1095" s="95">
        <f ca="1">MAX(MAX($N$53:N1094),OFFSET($C$52,MATCH(M1095*1.07,$M$53:$M$2052,1),0)-C1095)</f>
        <v>48240</v>
      </c>
    </row>
    <row r="1096" spans="2:14">
      <c r="B1096" s="95">
        <v>1044</v>
      </c>
      <c r="C1096" s="95">
        <f t="shared" si="86"/>
        <v>375840</v>
      </c>
      <c r="D1096" s="95">
        <f ca="1">_xlfn.XLOOKUP(总览!$B$44,$B$40:$B$45,$C$40:$C$45)</f>
        <v>5</v>
      </c>
      <c r="E1096" s="95">
        <f ca="1" t="shared" si="85"/>
        <v>1074</v>
      </c>
      <c r="F1096" s="95">
        <f ca="1" t="shared" si="87"/>
        <v>0</v>
      </c>
      <c r="G1096" s="95">
        <f ca="1" t="shared" si="88"/>
        <v>0</v>
      </c>
      <c r="H1096" s="95" cm="1">
        <f ca="1" t="array" ref="H1096">MIN(30-SUM(I1096:L1096),_xlfn.XLOOKUP($D1096&amp;"_"&amp;H$52,$B$14:$B$36&amp;"_"&amp;$C$14:$C$36,$D$14:$D$36)*$E1096,18)</f>
        <v>12.9928</v>
      </c>
      <c r="I1096" s="95" cm="1">
        <f ca="1" t="array" ref="I1096">MIN(30-SUM(J1096:L1096),6-L1096,_xlfn.XLOOKUP($D1096&amp;"_"&amp;I$52,$B$14:$B$36&amp;"_"&amp;$C$14:$C$36,$D$14:$D$36)*$E1096)</f>
        <v>0.361499999999999</v>
      </c>
      <c r="J1096" s="95" cm="1">
        <f ca="1" t="array" ref="J1096">MIN(8,_xlfn.XLOOKUP($D1096&amp;"_"&amp;J$52,$B$14:$B$36&amp;"_"&amp;$C$14:$C$36,$D$14:$D$36)*$E1096)</f>
        <v>8</v>
      </c>
      <c r="K1096" s="95" cm="1">
        <f ca="1" t="array" ref="K1096">MIN(18,_xlfn.XLOOKUP($D1096&amp;"_"&amp;K$52,$B$14:$B$36&amp;"_"&amp;$C$14:$C$36,$D$14:$D$36)*$E1096)</f>
        <v>3.0072</v>
      </c>
      <c r="L1096" s="95" cm="1">
        <f ca="1" t="array" ref="L1096">MIN(6,_xlfn.XLOOKUP($D1096&amp;"_"&amp;L$52,$B$14:$B$36&amp;"_"&amp;$C$14:$C$36,$D$14:$D$36)*$E1096)</f>
        <v>5.6385</v>
      </c>
      <c r="M1096" s="95" cm="1">
        <f ca="1" t="array" ref="M1096">(1+SUMPRODUCT(G1096:H1096,OFFSET($H$40:$I$40,D1096,0)))*(1+OFFSET($J$40,D1096,0))^I1096*(1+OFFSET($K$40,D1096,0))^J1096*(1+OFFSET($L$40,D1096,0))^K1096*(1+OFFSET($M$40,D1096,0))^L1096</f>
        <v>297.661812423388</v>
      </c>
      <c r="N1096" s="95">
        <f ca="1">MAX(MAX($N$53:N1095),OFFSET($C$52,MATCH(M1096*1.07,$M$53:$M$2052,1),0)-C1096)</f>
        <v>48600</v>
      </c>
    </row>
    <row r="1097" spans="2:14">
      <c r="B1097" s="95">
        <v>1045</v>
      </c>
      <c r="C1097" s="95">
        <f t="shared" si="86"/>
        <v>376200</v>
      </c>
      <c r="D1097" s="95">
        <f ca="1">_xlfn.XLOOKUP(总览!$B$44,$B$40:$B$45,$C$40:$C$45)</f>
        <v>5</v>
      </c>
      <c r="E1097" s="95">
        <f ca="1" t="shared" si="85"/>
        <v>1075</v>
      </c>
      <c r="F1097" s="95">
        <f ca="1" t="shared" si="87"/>
        <v>0</v>
      </c>
      <c r="G1097" s="95">
        <f ca="1" t="shared" si="88"/>
        <v>0</v>
      </c>
      <c r="H1097" s="95" cm="1">
        <f ca="1" t="array" ref="H1097">MIN(30-SUM(I1097:L1097),_xlfn.XLOOKUP($D1097&amp;"_"&amp;H$52,$B$14:$B$36&amp;"_"&amp;$C$14:$C$36,$D$14:$D$36)*$E1097,18)</f>
        <v>12.99</v>
      </c>
      <c r="I1097" s="95" cm="1">
        <f ca="1" t="array" ref="I1097">MIN(30-SUM(J1097:L1097),6-L1097,_xlfn.XLOOKUP($D1097&amp;"_"&amp;I$52,$B$14:$B$36&amp;"_"&amp;$C$14:$C$36,$D$14:$D$36)*$E1097)</f>
        <v>0.356249999999999</v>
      </c>
      <c r="J1097" s="95" cm="1">
        <f ca="1" t="array" ref="J1097">MIN(8,_xlfn.XLOOKUP($D1097&amp;"_"&amp;J$52,$B$14:$B$36&amp;"_"&amp;$C$14:$C$36,$D$14:$D$36)*$E1097)</f>
        <v>8</v>
      </c>
      <c r="K1097" s="95" cm="1">
        <f ca="1" t="array" ref="K1097">MIN(18,_xlfn.XLOOKUP($D1097&amp;"_"&amp;K$52,$B$14:$B$36&amp;"_"&amp;$C$14:$C$36,$D$14:$D$36)*$E1097)</f>
        <v>3.01</v>
      </c>
      <c r="L1097" s="95" cm="1">
        <f ca="1" t="array" ref="L1097">MIN(6,_xlfn.XLOOKUP($D1097&amp;"_"&amp;L$52,$B$14:$B$36&amp;"_"&amp;$C$14:$C$36,$D$14:$D$36)*$E1097)</f>
        <v>5.64375</v>
      </c>
      <c r="M1097" s="95" cm="1">
        <f ca="1" t="array" ref="M1097">(1+SUMPRODUCT(G1097:H1097,OFFSET($H$40:$I$40,D1097,0)))*(1+OFFSET($J$40,D1097,0))^I1097*(1+OFFSET($K$40,D1097,0))^J1097*(1+OFFSET($L$40,D1097,0))^K1097*(1+OFFSET($M$40,D1097,0))^L1097</f>
        <v>297.852654978797</v>
      </c>
      <c r="N1097" s="95">
        <f ca="1">MAX(MAX($N$53:N1096),OFFSET($C$52,MATCH(M1097*1.07,$M$53:$M$2052,1),0)-C1097)</f>
        <v>48960</v>
      </c>
    </row>
    <row r="1098" spans="2:14">
      <c r="B1098" s="95">
        <v>1046</v>
      </c>
      <c r="C1098" s="95">
        <f t="shared" si="86"/>
        <v>376560</v>
      </c>
      <c r="D1098" s="95">
        <f ca="1">_xlfn.XLOOKUP(总览!$B$44,$B$40:$B$45,$C$40:$C$45)</f>
        <v>5</v>
      </c>
      <c r="E1098" s="95">
        <f ca="1" t="shared" si="85"/>
        <v>1076</v>
      </c>
      <c r="F1098" s="95">
        <f ca="1" t="shared" si="87"/>
        <v>0</v>
      </c>
      <c r="G1098" s="95">
        <f ca="1" t="shared" si="88"/>
        <v>0</v>
      </c>
      <c r="H1098" s="95" cm="1">
        <f ca="1" t="array" ref="H1098">MIN(30-SUM(I1098:L1098),_xlfn.XLOOKUP($D1098&amp;"_"&amp;H$52,$B$14:$B$36&amp;"_"&amp;$C$14:$C$36,$D$14:$D$36)*$E1098,18)</f>
        <v>12.9872</v>
      </c>
      <c r="I1098" s="95" cm="1">
        <f ca="1" t="array" ref="I1098">MIN(30-SUM(J1098:L1098),6-L1098,_xlfn.XLOOKUP($D1098&amp;"_"&amp;I$52,$B$14:$B$36&amp;"_"&amp;$C$14:$C$36,$D$14:$D$36)*$E1098)</f>
        <v>0.351</v>
      </c>
      <c r="J1098" s="95" cm="1">
        <f ca="1" t="array" ref="J1098">MIN(8,_xlfn.XLOOKUP($D1098&amp;"_"&amp;J$52,$B$14:$B$36&amp;"_"&amp;$C$14:$C$36,$D$14:$D$36)*$E1098)</f>
        <v>8</v>
      </c>
      <c r="K1098" s="95" cm="1">
        <f ca="1" t="array" ref="K1098">MIN(18,_xlfn.XLOOKUP($D1098&amp;"_"&amp;K$52,$B$14:$B$36&amp;"_"&amp;$C$14:$C$36,$D$14:$D$36)*$E1098)</f>
        <v>3.0128</v>
      </c>
      <c r="L1098" s="95" cm="1">
        <f ca="1" t="array" ref="L1098">MIN(6,_xlfn.XLOOKUP($D1098&amp;"_"&amp;L$52,$B$14:$B$36&amp;"_"&amp;$C$14:$C$36,$D$14:$D$36)*$E1098)</f>
        <v>5.649</v>
      </c>
      <c r="M1098" s="95" cm="1">
        <f ca="1" t="array" ref="M1098">(1+SUMPRODUCT(G1098:H1098,OFFSET($H$40:$I$40,D1098,0)))*(1+OFFSET($J$40,D1098,0))^I1098*(1+OFFSET($K$40,D1098,0))^J1098*(1+OFFSET($L$40,D1098,0))^K1098*(1+OFFSET($M$40,D1098,0))^L1098</f>
        <v>298.043612670844</v>
      </c>
      <c r="N1098" s="95">
        <f ca="1">MAX(MAX($N$53:N1097),OFFSET($C$52,MATCH(M1098*1.07,$M$53:$M$2052,1),0)-C1098)</f>
        <v>49320</v>
      </c>
    </row>
    <row r="1099" spans="2:14">
      <c r="B1099" s="95">
        <v>1047</v>
      </c>
      <c r="C1099" s="95">
        <f t="shared" si="86"/>
        <v>376920</v>
      </c>
      <c r="D1099" s="95">
        <f ca="1">_xlfn.XLOOKUP(总览!$B$44,$B$40:$B$45,$C$40:$C$45)</f>
        <v>5</v>
      </c>
      <c r="E1099" s="95">
        <f ca="1" t="shared" si="85"/>
        <v>1077</v>
      </c>
      <c r="F1099" s="95">
        <f ca="1" t="shared" si="87"/>
        <v>0</v>
      </c>
      <c r="G1099" s="95">
        <f ca="1" t="shared" si="88"/>
        <v>0</v>
      </c>
      <c r="H1099" s="95" cm="1">
        <f ca="1" t="array" ref="H1099">MIN(30-SUM(I1099:L1099),_xlfn.XLOOKUP($D1099&amp;"_"&amp;H$52,$B$14:$B$36&amp;"_"&amp;$C$14:$C$36,$D$14:$D$36)*$E1099,18)</f>
        <v>12.9844</v>
      </c>
      <c r="I1099" s="95" cm="1">
        <f ca="1" t="array" ref="I1099">MIN(30-SUM(J1099:L1099),6-L1099,_xlfn.XLOOKUP($D1099&amp;"_"&amp;I$52,$B$14:$B$36&amp;"_"&amp;$C$14:$C$36,$D$14:$D$36)*$E1099)</f>
        <v>0.34575</v>
      </c>
      <c r="J1099" s="95" cm="1">
        <f ca="1" t="array" ref="J1099">MIN(8,_xlfn.XLOOKUP($D1099&amp;"_"&amp;J$52,$B$14:$B$36&amp;"_"&amp;$C$14:$C$36,$D$14:$D$36)*$E1099)</f>
        <v>8</v>
      </c>
      <c r="K1099" s="95" cm="1">
        <f ca="1" t="array" ref="K1099">MIN(18,_xlfn.XLOOKUP($D1099&amp;"_"&amp;K$52,$B$14:$B$36&amp;"_"&amp;$C$14:$C$36,$D$14:$D$36)*$E1099)</f>
        <v>3.0156</v>
      </c>
      <c r="L1099" s="95" cm="1">
        <f ca="1" t="array" ref="L1099">MIN(6,_xlfn.XLOOKUP($D1099&amp;"_"&amp;L$52,$B$14:$B$36&amp;"_"&amp;$C$14:$C$36,$D$14:$D$36)*$E1099)</f>
        <v>5.65425</v>
      </c>
      <c r="M1099" s="95" cm="1">
        <f ca="1" t="array" ref="M1099">(1+SUMPRODUCT(G1099:H1099,OFFSET($H$40:$I$40,D1099,0)))*(1+OFFSET($J$40,D1099,0))^I1099*(1+OFFSET($K$40,D1099,0))^J1099*(1+OFFSET($L$40,D1099,0))^K1099*(1+OFFSET($M$40,D1099,0))^L1099</f>
        <v>298.234685561843</v>
      </c>
      <c r="N1099" s="95">
        <f ca="1">MAX(MAX($N$53:N1098),OFFSET($C$52,MATCH(M1099*1.07,$M$53:$M$2052,1),0)-C1099)</f>
        <v>49680</v>
      </c>
    </row>
    <row r="1100" spans="2:14">
      <c r="B1100" s="95">
        <v>1048</v>
      </c>
      <c r="C1100" s="95">
        <f t="shared" si="86"/>
        <v>377280</v>
      </c>
      <c r="D1100" s="95">
        <f ca="1">_xlfn.XLOOKUP(总览!$B$44,$B$40:$B$45,$C$40:$C$45)</f>
        <v>5</v>
      </c>
      <c r="E1100" s="95">
        <f ca="1" t="shared" si="85"/>
        <v>1078</v>
      </c>
      <c r="F1100" s="95">
        <f ca="1" t="shared" si="87"/>
        <v>0</v>
      </c>
      <c r="G1100" s="95">
        <f ca="1" t="shared" si="88"/>
        <v>0</v>
      </c>
      <c r="H1100" s="95" cm="1">
        <f ca="1" t="array" ref="H1100">MIN(30-SUM(I1100:L1100),_xlfn.XLOOKUP($D1100&amp;"_"&amp;H$52,$B$14:$B$36&amp;"_"&amp;$C$14:$C$36,$D$14:$D$36)*$E1100,18)</f>
        <v>12.9816</v>
      </c>
      <c r="I1100" s="95" cm="1">
        <f ca="1" t="array" ref="I1100">MIN(30-SUM(J1100:L1100),6-L1100,_xlfn.XLOOKUP($D1100&amp;"_"&amp;I$52,$B$14:$B$36&amp;"_"&amp;$C$14:$C$36,$D$14:$D$36)*$E1100)</f>
        <v>0.3405</v>
      </c>
      <c r="J1100" s="95" cm="1">
        <f ca="1" t="array" ref="J1100">MIN(8,_xlfn.XLOOKUP($D1100&amp;"_"&amp;J$52,$B$14:$B$36&amp;"_"&amp;$C$14:$C$36,$D$14:$D$36)*$E1100)</f>
        <v>8</v>
      </c>
      <c r="K1100" s="95" cm="1">
        <f ca="1" t="array" ref="K1100">MIN(18,_xlfn.XLOOKUP($D1100&amp;"_"&amp;K$52,$B$14:$B$36&amp;"_"&amp;$C$14:$C$36,$D$14:$D$36)*$E1100)</f>
        <v>3.0184</v>
      </c>
      <c r="L1100" s="95" cm="1">
        <f ca="1" t="array" ref="L1100">MIN(6,_xlfn.XLOOKUP($D1100&amp;"_"&amp;L$52,$B$14:$B$36&amp;"_"&amp;$C$14:$C$36,$D$14:$D$36)*$E1100)</f>
        <v>5.6595</v>
      </c>
      <c r="M1100" s="95" cm="1">
        <f ca="1" t="array" ref="M1100">(1+SUMPRODUCT(G1100:H1100,OFFSET($H$40:$I$40,D1100,0)))*(1+OFFSET($J$40,D1100,0))^I1100*(1+OFFSET($K$40,D1100,0))^J1100*(1+OFFSET($L$40,D1100,0))^K1100*(1+OFFSET($M$40,D1100,0))^L1100</f>
        <v>298.425873714129</v>
      </c>
      <c r="N1100" s="95">
        <f ca="1">MAX(MAX($N$53:N1099),OFFSET($C$52,MATCH(M1100*1.07,$M$53:$M$2052,1),0)-C1100)</f>
        <v>50040</v>
      </c>
    </row>
    <row r="1101" spans="2:14">
      <c r="B1101" s="95">
        <v>1049</v>
      </c>
      <c r="C1101" s="95">
        <f t="shared" si="86"/>
        <v>377640</v>
      </c>
      <c r="D1101" s="95">
        <f ca="1">_xlfn.XLOOKUP(总览!$B$44,$B$40:$B$45,$C$40:$C$45)</f>
        <v>5</v>
      </c>
      <c r="E1101" s="95">
        <f ca="1" t="shared" si="85"/>
        <v>1079</v>
      </c>
      <c r="F1101" s="95">
        <f ca="1" t="shared" si="87"/>
        <v>0</v>
      </c>
      <c r="G1101" s="95">
        <f ca="1" t="shared" si="88"/>
        <v>0</v>
      </c>
      <c r="H1101" s="95" cm="1">
        <f ca="1" t="array" ref="H1101">MIN(30-SUM(I1101:L1101),_xlfn.XLOOKUP($D1101&amp;"_"&amp;H$52,$B$14:$B$36&amp;"_"&amp;$C$14:$C$36,$D$14:$D$36)*$E1101,18)</f>
        <v>12.9788</v>
      </c>
      <c r="I1101" s="95" cm="1">
        <f ca="1" t="array" ref="I1101">MIN(30-SUM(J1101:L1101),6-L1101,_xlfn.XLOOKUP($D1101&amp;"_"&amp;I$52,$B$14:$B$36&amp;"_"&amp;$C$14:$C$36,$D$14:$D$36)*$E1101)</f>
        <v>0.335249999999999</v>
      </c>
      <c r="J1101" s="95" cm="1">
        <f ca="1" t="array" ref="J1101">MIN(8,_xlfn.XLOOKUP($D1101&amp;"_"&amp;J$52,$B$14:$B$36&amp;"_"&amp;$C$14:$C$36,$D$14:$D$36)*$E1101)</f>
        <v>8</v>
      </c>
      <c r="K1101" s="95" cm="1">
        <f ca="1" t="array" ref="K1101">MIN(18,_xlfn.XLOOKUP($D1101&amp;"_"&amp;K$52,$B$14:$B$36&amp;"_"&amp;$C$14:$C$36,$D$14:$D$36)*$E1101)</f>
        <v>3.0212</v>
      </c>
      <c r="L1101" s="95" cm="1">
        <f ca="1" t="array" ref="L1101">MIN(6,_xlfn.XLOOKUP($D1101&amp;"_"&amp;L$52,$B$14:$B$36&amp;"_"&amp;$C$14:$C$36,$D$14:$D$36)*$E1101)</f>
        <v>5.66475</v>
      </c>
      <c r="M1101" s="95" cm="1">
        <f ca="1" t="array" ref="M1101">(1+SUMPRODUCT(G1101:H1101,OFFSET($H$40:$I$40,D1101,0)))*(1+OFFSET($J$40,D1101,0))^I1101*(1+OFFSET($K$40,D1101,0))^J1101*(1+OFFSET($L$40,D1101,0))^K1101*(1+OFFSET($M$40,D1101,0))^L1101</f>
        <v>298.617177190069</v>
      </c>
      <c r="N1101" s="95">
        <f ca="1">MAX(MAX($N$53:N1100),OFFSET($C$52,MATCH(M1101*1.07,$M$53:$M$2052,1),0)-C1101)</f>
        <v>50040</v>
      </c>
    </row>
    <row r="1102" spans="2:14">
      <c r="B1102" s="95">
        <v>1050</v>
      </c>
      <c r="C1102" s="95">
        <f t="shared" si="86"/>
        <v>378000</v>
      </c>
      <c r="D1102" s="95">
        <f ca="1">_xlfn.XLOOKUP(总览!$B$44,$B$40:$B$45,$C$40:$C$45)</f>
        <v>5</v>
      </c>
      <c r="E1102" s="95">
        <f ca="1" t="shared" si="85"/>
        <v>1080</v>
      </c>
      <c r="F1102" s="95">
        <f ca="1" t="shared" si="87"/>
        <v>0</v>
      </c>
      <c r="G1102" s="95">
        <f ca="1" t="shared" si="88"/>
        <v>0</v>
      </c>
      <c r="H1102" s="95" cm="1">
        <f ca="1" t="array" ref="H1102">MIN(30-SUM(I1102:L1102),_xlfn.XLOOKUP($D1102&amp;"_"&amp;H$52,$B$14:$B$36&amp;"_"&amp;$C$14:$C$36,$D$14:$D$36)*$E1102,18)</f>
        <v>12.976</v>
      </c>
      <c r="I1102" s="95" cm="1">
        <f ca="1" t="array" ref="I1102">MIN(30-SUM(J1102:L1102),6-L1102,_xlfn.XLOOKUP($D1102&amp;"_"&amp;I$52,$B$14:$B$36&amp;"_"&amp;$C$14:$C$36,$D$14:$D$36)*$E1102)</f>
        <v>0.33</v>
      </c>
      <c r="J1102" s="95" cm="1">
        <f ca="1" t="array" ref="J1102">MIN(8,_xlfn.XLOOKUP($D1102&amp;"_"&amp;J$52,$B$14:$B$36&amp;"_"&amp;$C$14:$C$36,$D$14:$D$36)*$E1102)</f>
        <v>8</v>
      </c>
      <c r="K1102" s="95" cm="1">
        <f ca="1" t="array" ref="K1102">MIN(18,_xlfn.XLOOKUP($D1102&amp;"_"&amp;K$52,$B$14:$B$36&amp;"_"&amp;$C$14:$C$36,$D$14:$D$36)*$E1102)</f>
        <v>3.024</v>
      </c>
      <c r="L1102" s="95" cm="1">
        <f ca="1" t="array" ref="L1102">MIN(6,_xlfn.XLOOKUP($D1102&amp;"_"&amp;L$52,$B$14:$B$36&amp;"_"&amp;$C$14:$C$36,$D$14:$D$36)*$E1102)</f>
        <v>5.67</v>
      </c>
      <c r="M1102" s="95" cm="1">
        <f ca="1" t="array" ref="M1102">(1+SUMPRODUCT(G1102:H1102,OFFSET($H$40:$I$40,D1102,0)))*(1+OFFSET($J$40,D1102,0))^I1102*(1+OFFSET($K$40,D1102,0))^J1102*(1+OFFSET($L$40,D1102,0))^K1102*(1+OFFSET($M$40,D1102,0))^L1102</f>
        <v>298.808596052051</v>
      </c>
      <c r="N1102" s="95">
        <f ca="1">MAX(MAX($N$53:N1101),OFFSET($C$52,MATCH(M1102*1.07,$M$53:$M$2052,1),0)-C1102)</f>
        <v>50400</v>
      </c>
    </row>
    <row r="1103" spans="2:14">
      <c r="B1103" s="95">
        <v>1051</v>
      </c>
      <c r="C1103" s="95">
        <f t="shared" si="86"/>
        <v>378360</v>
      </c>
      <c r="D1103" s="95">
        <f ca="1">_xlfn.XLOOKUP(总览!$B$44,$B$40:$B$45,$C$40:$C$45)</f>
        <v>5</v>
      </c>
      <c r="E1103" s="95">
        <f ca="1" t="shared" si="85"/>
        <v>1081</v>
      </c>
      <c r="F1103" s="95">
        <f ca="1" t="shared" si="87"/>
        <v>0</v>
      </c>
      <c r="G1103" s="95">
        <f ca="1" t="shared" si="88"/>
        <v>0</v>
      </c>
      <c r="H1103" s="95" cm="1">
        <f ca="1" t="array" ref="H1103">MIN(30-SUM(I1103:L1103),_xlfn.XLOOKUP($D1103&amp;"_"&amp;H$52,$B$14:$B$36&amp;"_"&amp;$C$14:$C$36,$D$14:$D$36)*$E1103,18)</f>
        <v>12.9732</v>
      </c>
      <c r="I1103" s="95" cm="1">
        <f ca="1" t="array" ref="I1103">MIN(30-SUM(J1103:L1103),6-L1103,_xlfn.XLOOKUP($D1103&amp;"_"&amp;I$52,$B$14:$B$36&amp;"_"&amp;$C$14:$C$36,$D$14:$D$36)*$E1103)</f>
        <v>0.32475</v>
      </c>
      <c r="J1103" s="95" cm="1">
        <f ca="1" t="array" ref="J1103">MIN(8,_xlfn.XLOOKUP($D1103&amp;"_"&amp;J$52,$B$14:$B$36&amp;"_"&amp;$C$14:$C$36,$D$14:$D$36)*$E1103)</f>
        <v>8</v>
      </c>
      <c r="K1103" s="95" cm="1">
        <f ca="1" t="array" ref="K1103">MIN(18,_xlfn.XLOOKUP($D1103&amp;"_"&amp;K$52,$B$14:$B$36&amp;"_"&amp;$C$14:$C$36,$D$14:$D$36)*$E1103)</f>
        <v>3.0268</v>
      </c>
      <c r="L1103" s="95" cm="1">
        <f ca="1" t="array" ref="L1103">MIN(6,_xlfn.XLOOKUP($D1103&amp;"_"&amp;L$52,$B$14:$B$36&amp;"_"&amp;$C$14:$C$36,$D$14:$D$36)*$E1103)</f>
        <v>5.67525</v>
      </c>
      <c r="M1103" s="95" cm="1">
        <f ca="1" t="array" ref="M1103">(1+SUMPRODUCT(G1103:H1103,OFFSET($H$40:$I$40,D1103,0)))*(1+OFFSET($J$40,D1103,0))^I1103*(1+OFFSET($K$40,D1103,0))^J1103*(1+OFFSET($L$40,D1103,0))^K1103*(1+OFFSET($M$40,D1103,0))^L1103</f>
        <v>299.000130362493</v>
      </c>
      <c r="N1103" s="95">
        <f ca="1">MAX(MAX($N$53:N1102),OFFSET($C$52,MATCH(M1103*1.07,$M$53:$M$2052,1),0)-C1103)</f>
        <v>50760</v>
      </c>
    </row>
    <row r="1104" spans="2:14">
      <c r="B1104" s="95">
        <v>1052</v>
      </c>
      <c r="C1104" s="95">
        <f t="shared" si="86"/>
        <v>378720</v>
      </c>
      <c r="D1104" s="95">
        <f ca="1">_xlfn.XLOOKUP(总览!$B$44,$B$40:$B$45,$C$40:$C$45)</f>
        <v>5</v>
      </c>
      <c r="E1104" s="95">
        <f ca="1" t="shared" si="85"/>
        <v>1082</v>
      </c>
      <c r="F1104" s="95">
        <f ca="1" t="shared" si="87"/>
        <v>0</v>
      </c>
      <c r="G1104" s="95">
        <f ca="1" t="shared" si="88"/>
        <v>0</v>
      </c>
      <c r="H1104" s="95" cm="1">
        <f ca="1" t="array" ref="H1104">MIN(30-SUM(I1104:L1104),_xlfn.XLOOKUP($D1104&amp;"_"&amp;H$52,$B$14:$B$36&amp;"_"&amp;$C$14:$C$36,$D$14:$D$36)*$E1104,18)</f>
        <v>12.9704</v>
      </c>
      <c r="I1104" s="95" cm="1">
        <f ca="1" t="array" ref="I1104">MIN(30-SUM(J1104:L1104),6-L1104,_xlfn.XLOOKUP($D1104&amp;"_"&amp;I$52,$B$14:$B$36&amp;"_"&amp;$C$14:$C$36,$D$14:$D$36)*$E1104)</f>
        <v>0.3195</v>
      </c>
      <c r="J1104" s="95" cm="1">
        <f ca="1" t="array" ref="J1104">MIN(8,_xlfn.XLOOKUP($D1104&amp;"_"&amp;J$52,$B$14:$B$36&amp;"_"&amp;$C$14:$C$36,$D$14:$D$36)*$E1104)</f>
        <v>8</v>
      </c>
      <c r="K1104" s="95" cm="1">
        <f ca="1" t="array" ref="K1104">MIN(18,_xlfn.XLOOKUP($D1104&amp;"_"&amp;K$52,$B$14:$B$36&amp;"_"&amp;$C$14:$C$36,$D$14:$D$36)*$E1104)</f>
        <v>3.0296</v>
      </c>
      <c r="L1104" s="95" cm="1">
        <f ca="1" t="array" ref="L1104">MIN(6,_xlfn.XLOOKUP($D1104&amp;"_"&amp;L$52,$B$14:$B$36&amp;"_"&amp;$C$14:$C$36,$D$14:$D$36)*$E1104)</f>
        <v>5.6805</v>
      </c>
      <c r="M1104" s="95" cm="1">
        <f ca="1" t="array" ref="M1104">(1+SUMPRODUCT(G1104:H1104,OFFSET($H$40:$I$40,D1104,0)))*(1+OFFSET($J$40,D1104,0))^I1104*(1+OFFSET($K$40,D1104,0))^J1104*(1+OFFSET($L$40,D1104,0))^K1104*(1+OFFSET($M$40,D1104,0))^L1104</f>
        <v>299.191780183838</v>
      </c>
      <c r="N1104" s="95">
        <f ca="1">MAX(MAX($N$53:N1103),OFFSET($C$52,MATCH(M1104*1.07,$M$53:$M$2052,1),0)-C1104)</f>
        <v>51120</v>
      </c>
    </row>
    <row r="1105" spans="2:14">
      <c r="B1105" s="95">
        <v>1053</v>
      </c>
      <c r="C1105" s="95">
        <f t="shared" si="86"/>
        <v>379080</v>
      </c>
      <c r="D1105" s="95">
        <f ca="1">_xlfn.XLOOKUP(总览!$B$44,$B$40:$B$45,$C$40:$C$45)</f>
        <v>5</v>
      </c>
      <c r="E1105" s="95">
        <f ca="1" t="shared" si="85"/>
        <v>1083</v>
      </c>
      <c r="F1105" s="95">
        <f ca="1" t="shared" si="87"/>
        <v>0</v>
      </c>
      <c r="G1105" s="95">
        <f ca="1" t="shared" si="88"/>
        <v>0</v>
      </c>
      <c r="H1105" s="95" cm="1">
        <f ca="1" t="array" ref="H1105">MIN(30-SUM(I1105:L1105),_xlfn.XLOOKUP($D1105&amp;"_"&amp;H$52,$B$14:$B$36&amp;"_"&amp;$C$14:$C$36,$D$14:$D$36)*$E1105,18)</f>
        <v>12.9676</v>
      </c>
      <c r="I1105" s="95" cm="1">
        <f ca="1" t="array" ref="I1105">MIN(30-SUM(J1105:L1105),6-L1105,_xlfn.XLOOKUP($D1105&amp;"_"&amp;I$52,$B$14:$B$36&amp;"_"&amp;$C$14:$C$36,$D$14:$D$36)*$E1105)</f>
        <v>0.314249999999999</v>
      </c>
      <c r="J1105" s="95" cm="1">
        <f ca="1" t="array" ref="J1105">MIN(8,_xlfn.XLOOKUP($D1105&amp;"_"&amp;J$52,$B$14:$B$36&amp;"_"&amp;$C$14:$C$36,$D$14:$D$36)*$E1105)</f>
        <v>8</v>
      </c>
      <c r="K1105" s="95" cm="1">
        <f ca="1" t="array" ref="K1105">MIN(18,_xlfn.XLOOKUP($D1105&amp;"_"&amp;K$52,$B$14:$B$36&amp;"_"&amp;$C$14:$C$36,$D$14:$D$36)*$E1105)</f>
        <v>3.0324</v>
      </c>
      <c r="L1105" s="95" cm="1">
        <f ca="1" t="array" ref="L1105">MIN(6,_xlfn.XLOOKUP($D1105&amp;"_"&amp;L$52,$B$14:$B$36&amp;"_"&amp;$C$14:$C$36,$D$14:$D$36)*$E1105)</f>
        <v>5.68575</v>
      </c>
      <c r="M1105" s="95" cm="1">
        <f ca="1" t="array" ref="M1105">(1+SUMPRODUCT(G1105:H1105,OFFSET($H$40:$I$40,D1105,0)))*(1+OFFSET($J$40,D1105,0))^I1105*(1+OFFSET($K$40,D1105,0))^J1105*(1+OFFSET($L$40,D1105,0))^K1105*(1+OFFSET($M$40,D1105,0))^L1105</f>
        <v>299.383545578553</v>
      </c>
      <c r="N1105" s="95">
        <f ca="1">MAX(MAX($N$53:N1104),OFFSET($C$52,MATCH(M1105*1.07,$M$53:$M$2052,1),0)-C1105)</f>
        <v>51480</v>
      </c>
    </row>
    <row r="1106" spans="2:14">
      <c r="B1106" s="95">
        <v>1054</v>
      </c>
      <c r="C1106" s="95">
        <f t="shared" si="86"/>
        <v>379440</v>
      </c>
      <c r="D1106" s="95">
        <f ca="1">_xlfn.XLOOKUP(总览!$B$44,$B$40:$B$45,$C$40:$C$45)</f>
        <v>5</v>
      </c>
      <c r="E1106" s="95">
        <f ca="1" t="shared" si="85"/>
        <v>1084</v>
      </c>
      <c r="F1106" s="95">
        <f ca="1" t="shared" si="87"/>
        <v>0</v>
      </c>
      <c r="G1106" s="95">
        <f ca="1" t="shared" si="88"/>
        <v>0</v>
      </c>
      <c r="H1106" s="95" cm="1">
        <f ca="1" t="array" ref="H1106">MIN(30-SUM(I1106:L1106),_xlfn.XLOOKUP($D1106&amp;"_"&amp;H$52,$B$14:$B$36&amp;"_"&amp;$C$14:$C$36,$D$14:$D$36)*$E1106,18)</f>
        <v>12.9648</v>
      </c>
      <c r="I1106" s="95" cm="1">
        <f ca="1" t="array" ref="I1106">MIN(30-SUM(J1106:L1106),6-L1106,_xlfn.XLOOKUP($D1106&amp;"_"&amp;I$52,$B$14:$B$36&amp;"_"&amp;$C$14:$C$36,$D$14:$D$36)*$E1106)</f>
        <v>0.308999999999999</v>
      </c>
      <c r="J1106" s="95" cm="1">
        <f ca="1" t="array" ref="J1106">MIN(8,_xlfn.XLOOKUP($D1106&amp;"_"&amp;J$52,$B$14:$B$36&amp;"_"&amp;$C$14:$C$36,$D$14:$D$36)*$E1106)</f>
        <v>8</v>
      </c>
      <c r="K1106" s="95" cm="1">
        <f ca="1" t="array" ref="K1106">MIN(18,_xlfn.XLOOKUP($D1106&amp;"_"&amp;K$52,$B$14:$B$36&amp;"_"&amp;$C$14:$C$36,$D$14:$D$36)*$E1106)</f>
        <v>3.0352</v>
      </c>
      <c r="L1106" s="95" cm="1">
        <f ca="1" t="array" ref="L1106">MIN(6,_xlfn.XLOOKUP($D1106&amp;"_"&amp;L$52,$B$14:$B$36&amp;"_"&amp;$C$14:$C$36,$D$14:$D$36)*$E1106)</f>
        <v>5.691</v>
      </c>
      <c r="M1106" s="95" cm="1">
        <f ca="1" t="array" ref="M1106">(1+SUMPRODUCT(G1106:H1106,OFFSET($H$40:$I$40,D1106,0)))*(1+OFFSET($J$40,D1106,0))^I1106*(1+OFFSET($K$40,D1106,0))^J1106*(1+OFFSET($L$40,D1106,0))^K1106*(1+OFFSET($M$40,D1106,0))^L1106</f>
        <v>299.575426609135</v>
      </c>
      <c r="N1106" s="95">
        <f ca="1">MAX(MAX($N$53:N1105),OFFSET($C$52,MATCH(M1106*1.07,$M$53:$M$2052,1),0)-C1106)</f>
        <v>51840</v>
      </c>
    </row>
    <row r="1107" spans="2:14">
      <c r="B1107" s="95">
        <v>1055</v>
      </c>
      <c r="C1107" s="95">
        <f t="shared" si="86"/>
        <v>379800</v>
      </c>
      <c r="D1107" s="95">
        <f ca="1">_xlfn.XLOOKUP(总览!$B$44,$B$40:$B$45,$C$40:$C$45)</f>
        <v>5</v>
      </c>
      <c r="E1107" s="95">
        <f ca="1" t="shared" si="85"/>
        <v>1085</v>
      </c>
      <c r="F1107" s="95">
        <f ca="1" t="shared" si="87"/>
        <v>0</v>
      </c>
      <c r="G1107" s="95">
        <f ca="1" t="shared" si="88"/>
        <v>0</v>
      </c>
      <c r="H1107" s="95" cm="1">
        <f ca="1" t="array" ref="H1107">MIN(30-SUM(I1107:L1107),_xlfn.XLOOKUP($D1107&amp;"_"&amp;H$52,$B$14:$B$36&amp;"_"&amp;$C$14:$C$36,$D$14:$D$36)*$E1107,18)</f>
        <v>12.962</v>
      </c>
      <c r="I1107" s="95" cm="1">
        <f ca="1" t="array" ref="I1107">MIN(30-SUM(J1107:L1107),6-L1107,_xlfn.XLOOKUP($D1107&amp;"_"&amp;I$52,$B$14:$B$36&amp;"_"&amp;$C$14:$C$36,$D$14:$D$36)*$E1107)</f>
        <v>0.30375</v>
      </c>
      <c r="J1107" s="95" cm="1">
        <f ca="1" t="array" ref="J1107">MIN(8,_xlfn.XLOOKUP($D1107&amp;"_"&amp;J$52,$B$14:$B$36&amp;"_"&amp;$C$14:$C$36,$D$14:$D$36)*$E1107)</f>
        <v>8</v>
      </c>
      <c r="K1107" s="95" cm="1">
        <f ca="1" t="array" ref="K1107">MIN(18,_xlfn.XLOOKUP($D1107&amp;"_"&amp;K$52,$B$14:$B$36&amp;"_"&amp;$C$14:$C$36,$D$14:$D$36)*$E1107)</f>
        <v>3.038</v>
      </c>
      <c r="L1107" s="95" cm="1">
        <f ca="1" t="array" ref="L1107">MIN(6,_xlfn.XLOOKUP($D1107&amp;"_"&amp;L$52,$B$14:$B$36&amp;"_"&amp;$C$14:$C$36,$D$14:$D$36)*$E1107)</f>
        <v>5.69625</v>
      </c>
      <c r="M1107" s="95" cm="1">
        <f ca="1" t="array" ref="M1107">(1+SUMPRODUCT(G1107:H1107,OFFSET($H$40:$I$40,D1107,0)))*(1+OFFSET($J$40,D1107,0))^I1107*(1+OFFSET($K$40,D1107,0))^J1107*(1+OFFSET($L$40,D1107,0))^K1107*(1+OFFSET($M$40,D1107,0))^L1107</f>
        <v>299.767423338105</v>
      </c>
      <c r="N1107" s="95">
        <f ca="1">MAX(MAX($N$53:N1106),OFFSET($C$52,MATCH(M1107*1.07,$M$53:$M$2052,1),0)-C1107)</f>
        <v>51840</v>
      </c>
    </row>
    <row r="1108" spans="2:14">
      <c r="B1108" s="95">
        <v>1056</v>
      </c>
      <c r="C1108" s="95">
        <f t="shared" si="86"/>
        <v>380160</v>
      </c>
      <c r="D1108" s="95">
        <f ca="1">_xlfn.XLOOKUP(总览!$B$44,$B$40:$B$45,$C$40:$C$45)</f>
        <v>5</v>
      </c>
      <c r="E1108" s="95">
        <f ca="1" t="shared" si="85"/>
        <v>1086</v>
      </c>
      <c r="F1108" s="95">
        <f ca="1" t="shared" si="87"/>
        <v>0</v>
      </c>
      <c r="G1108" s="95">
        <f ca="1" t="shared" si="88"/>
        <v>0</v>
      </c>
      <c r="H1108" s="95" cm="1">
        <f ca="1" t="array" ref="H1108">MIN(30-SUM(I1108:L1108),_xlfn.XLOOKUP($D1108&amp;"_"&amp;H$52,$B$14:$B$36&amp;"_"&amp;$C$14:$C$36,$D$14:$D$36)*$E1108,18)</f>
        <v>12.9592</v>
      </c>
      <c r="I1108" s="95" cm="1">
        <f ca="1" t="array" ref="I1108">MIN(30-SUM(J1108:L1108),6-L1108,_xlfn.XLOOKUP($D1108&amp;"_"&amp;I$52,$B$14:$B$36&amp;"_"&amp;$C$14:$C$36,$D$14:$D$36)*$E1108)</f>
        <v>0.2985</v>
      </c>
      <c r="J1108" s="95" cm="1">
        <f ca="1" t="array" ref="J1108">MIN(8,_xlfn.XLOOKUP($D1108&amp;"_"&amp;J$52,$B$14:$B$36&amp;"_"&amp;$C$14:$C$36,$D$14:$D$36)*$E1108)</f>
        <v>8</v>
      </c>
      <c r="K1108" s="95" cm="1">
        <f ca="1" t="array" ref="K1108">MIN(18,_xlfn.XLOOKUP($D1108&amp;"_"&amp;K$52,$B$14:$B$36&amp;"_"&amp;$C$14:$C$36,$D$14:$D$36)*$E1108)</f>
        <v>3.0408</v>
      </c>
      <c r="L1108" s="95" cm="1">
        <f ca="1" t="array" ref="L1108">MIN(6,_xlfn.XLOOKUP($D1108&amp;"_"&amp;L$52,$B$14:$B$36&amp;"_"&amp;$C$14:$C$36,$D$14:$D$36)*$E1108)</f>
        <v>5.7015</v>
      </c>
      <c r="M1108" s="95" cm="1">
        <f ca="1" t="array" ref="M1108">(1+SUMPRODUCT(G1108:H1108,OFFSET($H$40:$I$40,D1108,0)))*(1+OFFSET($J$40,D1108,0))^I1108*(1+OFFSET($K$40,D1108,0))^J1108*(1+OFFSET($L$40,D1108,0))^K1108*(1+OFFSET($M$40,D1108,0))^L1108</f>
        <v>299.959535828009</v>
      </c>
      <c r="N1108" s="95">
        <f ca="1">MAX(MAX($N$53:N1107),OFFSET($C$52,MATCH(M1108*1.07,$M$53:$M$2052,1),0)-C1108)</f>
        <v>52200</v>
      </c>
    </row>
    <row r="1109" spans="2:14">
      <c r="B1109" s="95">
        <v>1057</v>
      </c>
      <c r="C1109" s="95">
        <f t="shared" si="86"/>
        <v>380520</v>
      </c>
      <c r="D1109" s="95">
        <f ca="1">_xlfn.XLOOKUP(总览!$B$44,$B$40:$B$45,$C$40:$C$45)</f>
        <v>5</v>
      </c>
      <c r="E1109" s="95">
        <f ca="1" t="shared" si="85"/>
        <v>1087</v>
      </c>
      <c r="F1109" s="95">
        <f ca="1" t="shared" si="87"/>
        <v>0</v>
      </c>
      <c r="G1109" s="95">
        <f ca="1" t="shared" si="88"/>
        <v>0</v>
      </c>
      <c r="H1109" s="95" cm="1">
        <f ca="1" t="array" ref="H1109">MIN(30-SUM(I1109:L1109),_xlfn.XLOOKUP($D1109&amp;"_"&amp;H$52,$B$14:$B$36&amp;"_"&amp;$C$14:$C$36,$D$14:$D$36)*$E1109,18)</f>
        <v>12.9564</v>
      </c>
      <c r="I1109" s="95" cm="1">
        <f ca="1" t="array" ref="I1109">MIN(30-SUM(J1109:L1109),6-L1109,_xlfn.XLOOKUP($D1109&amp;"_"&amp;I$52,$B$14:$B$36&amp;"_"&amp;$C$14:$C$36,$D$14:$D$36)*$E1109)</f>
        <v>0.29325</v>
      </c>
      <c r="J1109" s="95" cm="1">
        <f ca="1" t="array" ref="J1109">MIN(8,_xlfn.XLOOKUP($D1109&amp;"_"&amp;J$52,$B$14:$B$36&amp;"_"&amp;$C$14:$C$36,$D$14:$D$36)*$E1109)</f>
        <v>8</v>
      </c>
      <c r="K1109" s="95" cm="1">
        <f ca="1" t="array" ref="K1109">MIN(18,_xlfn.XLOOKUP($D1109&amp;"_"&amp;K$52,$B$14:$B$36&amp;"_"&amp;$C$14:$C$36,$D$14:$D$36)*$E1109)</f>
        <v>3.0436</v>
      </c>
      <c r="L1109" s="95" cm="1">
        <f ca="1" t="array" ref="L1109">MIN(6,_xlfn.XLOOKUP($D1109&amp;"_"&amp;L$52,$B$14:$B$36&amp;"_"&amp;$C$14:$C$36,$D$14:$D$36)*$E1109)</f>
        <v>5.70675</v>
      </c>
      <c r="M1109" s="95" cm="1">
        <f ca="1" t="array" ref="M1109">(1+SUMPRODUCT(G1109:H1109,OFFSET($H$40:$I$40,D1109,0)))*(1+OFFSET($J$40,D1109,0))^I1109*(1+OFFSET($K$40,D1109,0))^J1109*(1+OFFSET($L$40,D1109,0))^K1109*(1+OFFSET($M$40,D1109,0))^L1109</f>
        <v>300.151764141423</v>
      </c>
      <c r="N1109" s="95">
        <f ca="1">MAX(MAX($N$53:N1108),OFFSET($C$52,MATCH(M1109*1.07,$M$53:$M$2052,1),0)-C1109)</f>
        <v>52560</v>
      </c>
    </row>
    <row r="1110" spans="2:14">
      <c r="B1110" s="95">
        <v>1058</v>
      </c>
      <c r="C1110" s="95">
        <f t="shared" si="86"/>
        <v>380880</v>
      </c>
      <c r="D1110" s="95">
        <f ca="1">_xlfn.XLOOKUP(总览!$B$44,$B$40:$B$45,$C$40:$C$45)</f>
        <v>5</v>
      </c>
      <c r="E1110" s="95">
        <f ca="1" t="shared" si="85"/>
        <v>1088</v>
      </c>
      <c r="F1110" s="95">
        <f ca="1" t="shared" si="87"/>
        <v>0</v>
      </c>
      <c r="G1110" s="95">
        <f ca="1" t="shared" si="88"/>
        <v>0</v>
      </c>
      <c r="H1110" s="95" cm="1">
        <f ca="1" t="array" ref="H1110">MIN(30-SUM(I1110:L1110),_xlfn.XLOOKUP($D1110&amp;"_"&amp;H$52,$B$14:$B$36&amp;"_"&amp;$C$14:$C$36,$D$14:$D$36)*$E1110,18)</f>
        <v>12.9536</v>
      </c>
      <c r="I1110" s="95" cm="1">
        <f ca="1" t="array" ref="I1110">MIN(30-SUM(J1110:L1110),6-L1110,_xlfn.XLOOKUP($D1110&amp;"_"&amp;I$52,$B$14:$B$36&amp;"_"&amp;$C$14:$C$36,$D$14:$D$36)*$E1110)</f>
        <v>0.287999999999999</v>
      </c>
      <c r="J1110" s="95" cm="1">
        <f ca="1" t="array" ref="J1110">MIN(8,_xlfn.XLOOKUP($D1110&amp;"_"&amp;J$52,$B$14:$B$36&amp;"_"&amp;$C$14:$C$36,$D$14:$D$36)*$E1110)</f>
        <v>8</v>
      </c>
      <c r="K1110" s="95" cm="1">
        <f ca="1" t="array" ref="K1110">MIN(18,_xlfn.XLOOKUP($D1110&amp;"_"&amp;K$52,$B$14:$B$36&amp;"_"&amp;$C$14:$C$36,$D$14:$D$36)*$E1110)</f>
        <v>3.0464</v>
      </c>
      <c r="L1110" s="95" cm="1">
        <f ca="1" t="array" ref="L1110">MIN(6,_xlfn.XLOOKUP($D1110&amp;"_"&amp;L$52,$B$14:$B$36&amp;"_"&amp;$C$14:$C$36,$D$14:$D$36)*$E1110)</f>
        <v>5.712</v>
      </c>
      <c r="M1110" s="95" cm="1">
        <f ca="1" t="array" ref="M1110">(1+SUMPRODUCT(G1110:H1110,OFFSET($H$40:$I$40,D1110,0)))*(1+OFFSET($J$40,D1110,0))^I1110*(1+OFFSET($K$40,D1110,0))^J1110*(1+OFFSET($L$40,D1110,0))^K1110*(1+OFFSET($M$40,D1110,0))^L1110</f>
        <v>300.344108340946</v>
      </c>
      <c r="N1110" s="95">
        <f ca="1">MAX(MAX($N$53:N1109),OFFSET($C$52,MATCH(M1110*1.07,$M$53:$M$2052,1),0)-C1110)</f>
        <v>52920</v>
      </c>
    </row>
    <row r="1111" spans="2:14">
      <c r="B1111" s="95">
        <v>1059</v>
      </c>
      <c r="C1111" s="95">
        <f t="shared" si="86"/>
        <v>381240</v>
      </c>
      <c r="D1111" s="95">
        <f ca="1">_xlfn.XLOOKUP(总览!$B$44,$B$40:$B$45,$C$40:$C$45)</f>
        <v>5</v>
      </c>
      <c r="E1111" s="95">
        <f ca="1" t="shared" si="85"/>
        <v>1089</v>
      </c>
      <c r="F1111" s="95">
        <f ca="1" t="shared" si="87"/>
        <v>0</v>
      </c>
      <c r="G1111" s="95">
        <f ca="1" t="shared" si="88"/>
        <v>0</v>
      </c>
      <c r="H1111" s="95" cm="1">
        <f ca="1" t="array" ref="H1111">MIN(30-SUM(I1111:L1111),_xlfn.XLOOKUP($D1111&amp;"_"&amp;H$52,$B$14:$B$36&amp;"_"&amp;$C$14:$C$36,$D$14:$D$36)*$E1111,18)</f>
        <v>12.9508</v>
      </c>
      <c r="I1111" s="95" cm="1">
        <f ca="1" t="array" ref="I1111">MIN(30-SUM(J1111:L1111),6-L1111,_xlfn.XLOOKUP($D1111&amp;"_"&amp;I$52,$B$14:$B$36&amp;"_"&amp;$C$14:$C$36,$D$14:$D$36)*$E1111)</f>
        <v>0.28275</v>
      </c>
      <c r="J1111" s="95" cm="1">
        <f ca="1" t="array" ref="J1111">MIN(8,_xlfn.XLOOKUP($D1111&amp;"_"&amp;J$52,$B$14:$B$36&amp;"_"&amp;$C$14:$C$36,$D$14:$D$36)*$E1111)</f>
        <v>8</v>
      </c>
      <c r="K1111" s="95" cm="1">
        <f ca="1" t="array" ref="K1111">MIN(18,_xlfn.XLOOKUP($D1111&amp;"_"&amp;K$52,$B$14:$B$36&amp;"_"&amp;$C$14:$C$36,$D$14:$D$36)*$E1111)</f>
        <v>3.0492</v>
      </c>
      <c r="L1111" s="95" cm="1">
        <f ca="1" t="array" ref="L1111">MIN(6,_xlfn.XLOOKUP($D1111&amp;"_"&amp;L$52,$B$14:$B$36&amp;"_"&amp;$C$14:$C$36,$D$14:$D$36)*$E1111)</f>
        <v>5.71725</v>
      </c>
      <c r="M1111" s="95" cm="1">
        <f ca="1" t="array" ref="M1111">(1+SUMPRODUCT(G1111:H1111,OFFSET($H$40:$I$40,D1111,0)))*(1+OFFSET($J$40,D1111,0))^I1111*(1+OFFSET($K$40,D1111,0))^J1111*(1+OFFSET($L$40,D1111,0))^K1111*(1+OFFSET($M$40,D1111,0))^L1111</f>
        <v>300.536568489204</v>
      </c>
      <c r="N1111" s="95">
        <f ca="1">MAX(MAX($N$53:N1110),OFFSET($C$52,MATCH(M1111*1.07,$M$53:$M$2052,1),0)-C1111)</f>
        <v>53280</v>
      </c>
    </row>
    <row r="1112" spans="2:14">
      <c r="B1112" s="95">
        <v>1060</v>
      </c>
      <c r="C1112" s="95">
        <f t="shared" si="86"/>
        <v>381600</v>
      </c>
      <c r="D1112" s="95">
        <f ca="1">_xlfn.XLOOKUP(总览!$B$44,$B$40:$B$45,$C$40:$C$45)</f>
        <v>5</v>
      </c>
      <c r="E1112" s="95">
        <f ca="1" t="shared" si="85"/>
        <v>1090</v>
      </c>
      <c r="F1112" s="95">
        <f ca="1" t="shared" si="87"/>
        <v>0</v>
      </c>
      <c r="G1112" s="95">
        <f ca="1" t="shared" si="88"/>
        <v>0</v>
      </c>
      <c r="H1112" s="95" cm="1">
        <f ca="1" t="array" ref="H1112">MIN(30-SUM(I1112:L1112),_xlfn.XLOOKUP($D1112&amp;"_"&amp;H$52,$B$14:$B$36&amp;"_"&amp;$C$14:$C$36,$D$14:$D$36)*$E1112,18)</f>
        <v>12.948</v>
      </c>
      <c r="I1112" s="95" cm="1">
        <f ca="1" t="array" ref="I1112">MIN(30-SUM(J1112:L1112),6-L1112,_xlfn.XLOOKUP($D1112&amp;"_"&amp;I$52,$B$14:$B$36&amp;"_"&amp;$C$14:$C$36,$D$14:$D$36)*$E1112)</f>
        <v>0.2775</v>
      </c>
      <c r="J1112" s="95" cm="1">
        <f ca="1" t="array" ref="J1112">MIN(8,_xlfn.XLOOKUP($D1112&amp;"_"&amp;J$52,$B$14:$B$36&amp;"_"&amp;$C$14:$C$36,$D$14:$D$36)*$E1112)</f>
        <v>8</v>
      </c>
      <c r="K1112" s="95" cm="1">
        <f ca="1" t="array" ref="K1112">MIN(18,_xlfn.XLOOKUP($D1112&amp;"_"&amp;K$52,$B$14:$B$36&amp;"_"&amp;$C$14:$C$36,$D$14:$D$36)*$E1112)</f>
        <v>3.052</v>
      </c>
      <c r="L1112" s="95" cm="1">
        <f ca="1" t="array" ref="L1112">MIN(6,_xlfn.XLOOKUP($D1112&amp;"_"&amp;L$52,$B$14:$B$36&amp;"_"&amp;$C$14:$C$36,$D$14:$D$36)*$E1112)</f>
        <v>5.7225</v>
      </c>
      <c r="M1112" s="95" cm="1">
        <f ca="1" t="array" ref="M1112">(1+SUMPRODUCT(G1112:H1112,OFFSET($H$40:$I$40,D1112,0)))*(1+OFFSET($J$40,D1112,0))^I1112*(1+OFFSET($K$40,D1112,0))^J1112*(1+OFFSET($L$40,D1112,0))^K1112*(1+OFFSET($M$40,D1112,0))^L1112</f>
        <v>300.729144648849</v>
      </c>
      <c r="N1112" s="95">
        <f ca="1">MAX(MAX($N$53:N1111),OFFSET($C$52,MATCH(M1112*1.07,$M$53:$M$2052,1),0)-C1112)</f>
        <v>53280</v>
      </c>
    </row>
    <row r="1113" spans="2:14">
      <c r="B1113" s="95">
        <v>1061</v>
      </c>
      <c r="C1113" s="95">
        <f t="shared" si="86"/>
        <v>381960</v>
      </c>
      <c r="D1113" s="95">
        <f ca="1">_xlfn.XLOOKUP(总览!$B$44,$B$40:$B$45,$C$40:$C$45)</f>
        <v>5</v>
      </c>
      <c r="E1113" s="95">
        <f ca="1" t="shared" si="85"/>
        <v>1091</v>
      </c>
      <c r="F1113" s="95">
        <f ca="1" t="shared" si="87"/>
        <v>0</v>
      </c>
      <c r="G1113" s="95">
        <f ca="1" t="shared" si="88"/>
        <v>0</v>
      </c>
      <c r="H1113" s="95" cm="1">
        <f ca="1" t="array" ref="H1113">MIN(30-SUM(I1113:L1113),_xlfn.XLOOKUP($D1113&amp;"_"&amp;H$52,$B$14:$B$36&amp;"_"&amp;$C$14:$C$36,$D$14:$D$36)*$E1113,18)</f>
        <v>12.9452</v>
      </c>
      <c r="I1113" s="95" cm="1">
        <f ca="1" t="array" ref="I1113">MIN(30-SUM(J1113:L1113),6-L1113,_xlfn.XLOOKUP($D1113&amp;"_"&amp;I$52,$B$14:$B$36&amp;"_"&amp;$C$14:$C$36,$D$14:$D$36)*$E1113)</f>
        <v>0.27225</v>
      </c>
      <c r="J1113" s="95" cm="1">
        <f ca="1" t="array" ref="J1113">MIN(8,_xlfn.XLOOKUP($D1113&amp;"_"&amp;J$52,$B$14:$B$36&amp;"_"&amp;$C$14:$C$36,$D$14:$D$36)*$E1113)</f>
        <v>8</v>
      </c>
      <c r="K1113" s="95" cm="1">
        <f ca="1" t="array" ref="K1113">MIN(18,_xlfn.XLOOKUP($D1113&amp;"_"&amp;K$52,$B$14:$B$36&amp;"_"&amp;$C$14:$C$36,$D$14:$D$36)*$E1113)</f>
        <v>3.0548</v>
      </c>
      <c r="L1113" s="95" cm="1">
        <f ca="1" t="array" ref="L1113">MIN(6,_xlfn.XLOOKUP($D1113&amp;"_"&amp;L$52,$B$14:$B$36&amp;"_"&amp;$C$14:$C$36,$D$14:$D$36)*$E1113)</f>
        <v>5.72775</v>
      </c>
      <c r="M1113" s="95" cm="1">
        <f ca="1" t="array" ref="M1113">(1+SUMPRODUCT(G1113:H1113,OFFSET($H$40:$I$40,D1113,0)))*(1+OFFSET($J$40,D1113,0))^I1113*(1+OFFSET($K$40,D1113,0))^J1113*(1+OFFSET($L$40,D1113,0))^K1113*(1+OFFSET($M$40,D1113,0))^L1113</f>
        <v>300.921836882561</v>
      </c>
      <c r="N1113" s="95">
        <f ca="1">MAX(MAX($N$53:N1112),OFFSET($C$52,MATCH(M1113*1.07,$M$53:$M$2052,1),0)-C1113)</f>
        <v>53640</v>
      </c>
    </row>
    <row r="1114" spans="2:14">
      <c r="B1114" s="95">
        <v>1062</v>
      </c>
      <c r="C1114" s="95">
        <f t="shared" si="86"/>
        <v>382320</v>
      </c>
      <c r="D1114" s="95">
        <f ca="1">_xlfn.XLOOKUP(总览!$B$44,$B$40:$B$45,$C$40:$C$45)</f>
        <v>5</v>
      </c>
      <c r="E1114" s="95">
        <f ca="1" t="shared" si="85"/>
        <v>1092</v>
      </c>
      <c r="F1114" s="95">
        <f ca="1" t="shared" si="87"/>
        <v>0</v>
      </c>
      <c r="G1114" s="95">
        <f ca="1" t="shared" si="88"/>
        <v>0</v>
      </c>
      <c r="H1114" s="95" cm="1">
        <f ca="1" t="array" ref="H1114">MIN(30-SUM(I1114:L1114),_xlfn.XLOOKUP($D1114&amp;"_"&amp;H$52,$B$14:$B$36&amp;"_"&amp;$C$14:$C$36,$D$14:$D$36)*$E1114,18)</f>
        <v>12.9424</v>
      </c>
      <c r="I1114" s="95" cm="1">
        <f ca="1" t="array" ref="I1114">MIN(30-SUM(J1114:L1114),6-L1114,_xlfn.XLOOKUP($D1114&amp;"_"&amp;I$52,$B$14:$B$36&amp;"_"&amp;$C$14:$C$36,$D$14:$D$36)*$E1114)</f>
        <v>0.266999999999999</v>
      </c>
      <c r="J1114" s="95" cm="1">
        <f ca="1" t="array" ref="J1114">MIN(8,_xlfn.XLOOKUP($D1114&amp;"_"&amp;J$52,$B$14:$B$36&amp;"_"&amp;$C$14:$C$36,$D$14:$D$36)*$E1114)</f>
        <v>8</v>
      </c>
      <c r="K1114" s="95" cm="1">
        <f ca="1" t="array" ref="K1114">MIN(18,_xlfn.XLOOKUP($D1114&amp;"_"&amp;K$52,$B$14:$B$36&amp;"_"&amp;$C$14:$C$36,$D$14:$D$36)*$E1114)</f>
        <v>3.0576</v>
      </c>
      <c r="L1114" s="95" cm="1">
        <f ca="1" t="array" ref="L1114">MIN(6,_xlfn.XLOOKUP($D1114&amp;"_"&amp;L$52,$B$14:$B$36&amp;"_"&amp;$C$14:$C$36,$D$14:$D$36)*$E1114)</f>
        <v>5.733</v>
      </c>
      <c r="M1114" s="95" cm="1">
        <f ca="1" t="array" ref="M1114">(1+SUMPRODUCT(G1114:H1114,OFFSET($H$40:$I$40,D1114,0)))*(1+OFFSET($J$40,D1114,0))^I1114*(1+OFFSET($K$40,D1114,0))^J1114*(1+OFFSET($L$40,D1114,0))^K1114*(1+OFFSET($M$40,D1114,0))^L1114</f>
        <v>301.114645253044</v>
      </c>
      <c r="N1114" s="95">
        <f ca="1">MAX(MAX($N$53:N1113),OFFSET($C$52,MATCH(M1114*1.07,$M$53:$M$2052,1),0)-C1114)</f>
        <v>54000</v>
      </c>
    </row>
    <row r="1115" spans="2:14">
      <c r="B1115" s="95">
        <v>1063</v>
      </c>
      <c r="C1115" s="95">
        <f t="shared" si="86"/>
        <v>382680</v>
      </c>
      <c r="D1115" s="95">
        <f ca="1">_xlfn.XLOOKUP(总览!$B$44,$B$40:$B$45,$C$40:$C$45)</f>
        <v>5</v>
      </c>
      <c r="E1115" s="95">
        <f ca="1" t="shared" si="85"/>
        <v>1093</v>
      </c>
      <c r="F1115" s="95">
        <f ca="1" t="shared" si="87"/>
        <v>0</v>
      </c>
      <c r="G1115" s="95">
        <f ca="1" t="shared" si="88"/>
        <v>0</v>
      </c>
      <c r="H1115" s="95" cm="1">
        <f ca="1" t="array" ref="H1115">MIN(30-SUM(I1115:L1115),_xlfn.XLOOKUP($D1115&amp;"_"&amp;H$52,$B$14:$B$36&amp;"_"&amp;$C$14:$C$36,$D$14:$D$36)*$E1115,18)</f>
        <v>12.9396</v>
      </c>
      <c r="I1115" s="95" cm="1">
        <f ca="1" t="array" ref="I1115">MIN(30-SUM(J1115:L1115),6-L1115,_xlfn.XLOOKUP($D1115&amp;"_"&amp;I$52,$B$14:$B$36&amp;"_"&amp;$C$14:$C$36,$D$14:$D$36)*$E1115)</f>
        <v>0.261749999999999</v>
      </c>
      <c r="J1115" s="95" cm="1">
        <f ca="1" t="array" ref="J1115">MIN(8,_xlfn.XLOOKUP($D1115&amp;"_"&amp;J$52,$B$14:$B$36&amp;"_"&amp;$C$14:$C$36,$D$14:$D$36)*$E1115)</f>
        <v>8</v>
      </c>
      <c r="K1115" s="95" cm="1">
        <f ca="1" t="array" ref="K1115">MIN(18,_xlfn.XLOOKUP($D1115&amp;"_"&amp;K$52,$B$14:$B$36&amp;"_"&amp;$C$14:$C$36,$D$14:$D$36)*$E1115)</f>
        <v>3.0604</v>
      </c>
      <c r="L1115" s="95" cm="1">
        <f ca="1" t="array" ref="L1115">MIN(6,_xlfn.XLOOKUP($D1115&amp;"_"&amp;L$52,$B$14:$B$36&amp;"_"&amp;$C$14:$C$36,$D$14:$D$36)*$E1115)</f>
        <v>5.73825</v>
      </c>
      <c r="M1115" s="95" cm="1">
        <f ca="1" t="array" ref="M1115">(1+SUMPRODUCT(G1115:H1115,OFFSET($H$40:$I$40,D1115,0)))*(1+OFFSET($J$40,D1115,0))^I1115*(1+OFFSET($K$40,D1115,0))^J1115*(1+OFFSET($L$40,D1115,0))^K1115*(1+OFFSET($M$40,D1115,0))^L1115</f>
        <v>301.307569823029</v>
      </c>
      <c r="N1115" s="95">
        <f ca="1">MAX(MAX($N$53:N1114),OFFSET($C$52,MATCH(M1115*1.07,$M$53:$M$2052,1),0)-C1115)</f>
        <v>54360</v>
      </c>
    </row>
    <row r="1116" spans="2:14">
      <c r="B1116" s="95">
        <v>1064</v>
      </c>
      <c r="C1116" s="95">
        <f t="shared" si="86"/>
        <v>383040</v>
      </c>
      <c r="D1116" s="95">
        <f ca="1">_xlfn.XLOOKUP(总览!$B$44,$B$40:$B$45,$C$40:$C$45)</f>
        <v>5</v>
      </c>
      <c r="E1116" s="95">
        <f ca="1" t="shared" si="85"/>
        <v>1094</v>
      </c>
      <c r="F1116" s="95">
        <f ca="1" t="shared" si="87"/>
        <v>0</v>
      </c>
      <c r="G1116" s="95">
        <f ca="1" t="shared" si="88"/>
        <v>0</v>
      </c>
      <c r="H1116" s="95" cm="1">
        <f ca="1" t="array" ref="H1116">MIN(30-SUM(I1116:L1116),_xlfn.XLOOKUP($D1116&amp;"_"&amp;H$52,$B$14:$B$36&amp;"_"&amp;$C$14:$C$36,$D$14:$D$36)*$E1116,18)</f>
        <v>12.9368</v>
      </c>
      <c r="I1116" s="95" cm="1">
        <f ca="1" t="array" ref="I1116">MIN(30-SUM(J1116:L1116),6-L1116,_xlfn.XLOOKUP($D1116&amp;"_"&amp;I$52,$B$14:$B$36&amp;"_"&amp;$C$14:$C$36,$D$14:$D$36)*$E1116)</f>
        <v>0.2565</v>
      </c>
      <c r="J1116" s="95" cm="1">
        <f ca="1" t="array" ref="J1116">MIN(8,_xlfn.XLOOKUP($D1116&amp;"_"&amp;J$52,$B$14:$B$36&amp;"_"&amp;$C$14:$C$36,$D$14:$D$36)*$E1116)</f>
        <v>8</v>
      </c>
      <c r="K1116" s="95" cm="1">
        <f ca="1" t="array" ref="K1116">MIN(18,_xlfn.XLOOKUP($D1116&amp;"_"&amp;K$52,$B$14:$B$36&amp;"_"&amp;$C$14:$C$36,$D$14:$D$36)*$E1116)</f>
        <v>3.0632</v>
      </c>
      <c r="L1116" s="95" cm="1">
        <f ca="1" t="array" ref="L1116">MIN(6,_xlfn.XLOOKUP($D1116&amp;"_"&amp;L$52,$B$14:$B$36&amp;"_"&amp;$C$14:$C$36,$D$14:$D$36)*$E1116)</f>
        <v>5.7435</v>
      </c>
      <c r="M1116" s="95" cm="1">
        <f ca="1" t="array" ref="M1116">(1+SUMPRODUCT(G1116:H1116,OFFSET($H$40:$I$40,D1116,0)))*(1+OFFSET($J$40,D1116,0))^I1116*(1+OFFSET($K$40,D1116,0))^J1116*(1+OFFSET($L$40,D1116,0))^K1116*(1+OFFSET($M$40,D1116,0))^L1116</f>
        <v>301.500610655274</v>
      </c>
      <c r="N1116" s="95">
        <f ca="1">MAX(MAX($N$53:N1115),OFFSET($C$52,MATCH(M1116*1.07,$M$53:$M$2052,1),0)-C1116)</f>
        <v>54720</v>
      </c>
    </row>
    <row r="1117" spans="2:14">
      <c r="B1117" s="95">
        <v>1065</v>
      </c>
      <c r="C1117" s="95">
        <f t="shared" ref="C1117:C1148" si="89">C1116+360</f>
        <v>383400</v>
      </c>
      <c r="D1117" s="95">
        <f ca="1">_xlfn.XLOOKUP(总览!$B$44,$B$40:$B$45,$C$40:$C$45)</f>
        <v>5</v>
      </c>
      <c r="E1117" s="95">
        <f ca="1" t="shared" si="85"/>
        <v>1095</v>
      </c>
      <c r="F1117" s="95">
        <f ca="1" t="shared" ref="F1117:F1148" si="90">30-SUM(G1117:L1117)</f>
        <v>0</v>
      </c>
      <c r="G1117" s="95">
        <f ca="1" t="shared" ref="G1117:G1148" si="91">30-SUM(H1117:L1117)</f>
        <v>0</v>
      </c>
      <c r="H1117" s="95" cm="1">
        <f ca="1" t="array" ref="H1117">MIN(30-SUM(I1117:L1117),_xlfn.XLOOKUP($D1117&amp;"_"&amp;H$52,$B$14:$B$36&amp;"_"&amp;$C$14:$C$36,$D$14:$D$36)*$E1117,18)</f>
        <v>12.934</v>
      </c>
      <c r="I1117" s="95" cm="1">
        <f ca="1" t="array" ref="I1117">MIN(30-SUM(J1117:L1117),6-L1117,_xlfn.XLOOKUP($D1117&amp;"_"&amp;I$52,$B$14:$B$36&amp;"_"&amp;$C$14:$C$36,$D$14:$D$36)*$E1117)</f>
        <v>0.25125</v>
      </c>
      <c r="J1117" s="95" cm="1">
        <f ca="1" t="array" ref="J1117">MIN(8,_xlfn.XLOOKUP($D1117&amp;"_"&amp;J$52,$B$14:$B$36&amp;"_"&amp;$C$14:$C$36,$D$14:$D$36)*$E1117)</f>
        <v>8</v>
      </c>
      <c r="K1117" s="95" cm="1">
        <f ca="1" t="array" ref="K1117">MIN(18,_xlfn.XLOOKUP($D1117&amp;"_"&amp;K$52,$B$14:$B$36&amp;"_"&amp;$C$14:$C$36,$D$14:$D$36)*$E1117)</f>
        <v>3.066</v>
      </c>
      <c r="L1117" s="95" cm="1">
        <f ca="1" t="array" ref="L1117">MIN(6,_xlfn.XLOOKUP($D1117&amp;"_"&amp;L$52,$B$14:$B$36&amp;"_"&amp;$C$14:$C$36,$D$14:$D$36)*$E1117)</f>
        <v>5.74875</v>
      </c>
      <c r="M1117" s="95" cm="1">
        <f ca="1" t="array" ref="M1117">(1+SUMPRODUCT(G1117:H1117,OFFSET($H$40:$I$40,D1117,0)))*(1+OFFSET($J$40,D1117,0))^I1117*(1+OFFSET($K$40,D1117,0))^J1117*(1+OFFSET($L$40,D1117,0))^K1117*(1+OFFSET($M$40,D1117,0))^L1117</f>
        <v>301.693767812562</v>
      </c>
      <c r="N1117" s="95">
        <f ca="1">MAX(MAX($N$53:N1116),OFFSET($C$52,MATCH(M1117*1.07,$M$53:$M$2052,1),0)-C1117)</f>
        <v>55080</v>
      </c>
    </row>
    <row r="1118" spans="2:14">
      <c r="B1118" s="95">
        <v>1066</v>
      </c>
      <c r="C1118" s="95">
        <f t="shared" si="89"/>
        <v>383760</v>
      </c>
      <c r="D1118" s="95">
        <f ca="1">_xlfn.XLOOKUP(总览!$B$44,$B$40:$B$45,$C$40:$C$45)</f>
        <v>5</v>
      </c>
      <c r="E1118" s="95">
        <f ca="1" t="shared" si="85"/>
        <v>1096</v>
      </c>
      <c r="F1118" s="95">
        <f ca="1" t="shared" si="90"/>
        <v>0</v>
      </c>
      <c r="G1118" s="95">
        <f ca="1" t="shared" si="91"/>
        <v>0</v>
      </c>
      <c r="H1118" s="95" cm="1">
        <f ca="1" t="array" ref="H1118">MIN(30-SUM(I1118:L1118),_xlfn.XLOOKUP($D1118&amp;"_"&amp;H$52,$B$14:$B$36&amp;"_"&amp;$C$14:$C$36,$D$14:$D$36)*$E1118,18)</f>
        <v>12.9312</v>
      </c>
      <c r="I1118" s="95" cm="1">
        <f ca="1" t="array" ref="I1118">MIN(30-SUM(J1118:L1118),6-L1118,_xlfn.XLOOKUP($D1118&amp;"_"&amp;I$52,$B$14:$B$36&amp;"_"&amp;$C$14:$C$36,$D$14:$D$36)*$E1118)</f>
        <v>0.246</v>
      </c>
      <c r="J1118" s="95" cm="1">
        <f ca="1" t="array" ref="J1118">MIN(8,_xlfn.XLOOKUP($D1118&amp;"_"&amp;J$52,$B$14:$B$36&amp;"_"&amp;$C$14:$C$36,$D$14:$D$36)*$E1118)</f>
        <v>8</v>
      </c>
      <c r="K1118" s="95" cm="1">
        <f ca="1" t="array" ref="K1118">MIN(18,_xlfn.XLOOKUP($D1118&amp;"_"&amp;K$52,$B$14:$B$36&amp;"_"&amp;$C$14:$C$36,$D$14:$D$36)*$E1118)</f>
        <v>3.0688</v>
      </c>
      <c r="L1118" s="95" cm="1">
        <f ca="1" t="array" ref="L1118">MIN(6,_xlfn.XLOOKUP($D1118&amp;"_"&amp;L$52,$B$14:$B$36&amp;"_"&amp;$C$14:$C$36,$D$14:$D$36)*$E1118)</f>
        <v>5.754</v>
      </c>
      <c r="M1118" s="95" cm="1">
        <f ca="1" t="array" ref="M1118">(1+SUMPRODUCT(G1118:H1118,OFFSET($H$40:$I$40,D1118,0)))*(1+OFFSET($J$40,D1118,0))^I1118*(1+OFFSET($K$40,D1118,0))^J1118*(1+OFFSET($L$40,D1118,0))^K1118*(1+OFFSET($M$40,D1118,0))^L1118</f>
        <v>301.887041357703</v>
      </c>
      <c r="N1118" s="95">
        <f ca="1">MAX(MAX($N$53:N1117),OFFSET($C$52,MATCH(M1118*1.07,$M$53:$M$2052,1),0)-C1118)</f>
        <v>55080</v>
      </c>
    </row>
    <row r="1119" spans="2:14">
      <c r="B1119" s="95">
        <v>1067</v>
      </c>
      <c r="C1119" s="95">
        <f t="shared" si="89"/>
        <v>384120</v>
      </c>
      <c r="D1119" s="95">
        <f ca="1">_xlfn.XLOOKUP(总览!$B$44,$B$40:$B$45,$C$40:$C$45)</f>
        <v>5</v>
      </c>
      <c r="E1119" s="95">
        <f ca="1" t="shared" si="85"/>
        <v>1097</v>
      </c>
      <c r="F1119" s="95">
        <f ca="1" t="shared" si="90"/>
        <v>0</v>
      </c>
      <c r="G1119" s="95">
        <f ca="1" t="shared" si="91"/>
        <v>0</v>
      </c>
      <c r="H1119" s="95" cm="1">
        <f ca="1" t="array" ref="H1119">MIN(30-SUM(I1119:L1119),_xlfn.XLOOKUP($D1119&amp;"_"&amp;H$52,$B$14:$B$36&amp;"_"&amp;$C$14:$C$36,$D$14:$D$36)*$E1119,18)</f>
        <v>12.9284</v>
      </c>
      <c r="I1119" s="95" cm="1">
        <f ca="1" t="array" ref="I1119">MIN(30-SUM(J1119:L1119),6-L1119,_xlfn.XLOOKUP($D1119&amp;"_"&amp;I$52,$B$14:$B$36&amp;"_"&amp;$C$14:$C$36,$D$14:$D$36)*$E1119)</f>
        <v>0.240749999999999</v>
      </c>
      <c r="J1119" s="95" cm="1">
        <f ca="1" t="array" ref="J1119">MIN(8,_xlfn.XLOOKUP($D1119&amp;"_"&amp;J$52,$B$14:$B$36&amp;"_"&amp;$C$14:$C$36,$D$14:$D$36)*$E1119)</f>
        <v>8</v>
      </c>
      <c r="K1119" s="95" cm="1">
        <f ca="1" t="array" ref="K1119">MIN(18,_xlfn.XLOOKUP($D1119&amp;"_"&amp;K$52,$B$14:$B$36&amp;"_"&amp;$C$14:$C$36,$D$14:$D$36)*$E1119)</f>
        <v>3.0716</v>
      </c>
      <c r="L1119" s="95" cm="1">
        <f ca="1" t="array" ref="L1119">MIN(6,_xlfn.XLOOKUP($D1119&amp;"_"&amp;L$52,$B$14:$B$36&amp;"_"&amp;$C$14:$C$36,$D$14:$D$36)*$E1119)</f>
        <v>5.75925</v>
      </c>
      <c r="M1119" s="95" cm="1">
        <f ca="1" t="array" ref="M1119">(1+SUMPRODUCT(G1119:H1119,OFFSET($H$40:$I$40,D1119,0)))*(1+OFFSET($J$40,D1119,0))^I1119*(1+OFFSET($K$40,D1119,0))^J1119*(1+OFFSET($L$40,D1119,0))^K1119*(1+OFFSET($M$40,D1119,0))^L1119</f>
        <v>302.080431353532</v>
      </c>
      <c r="N1119" s="95">
        <f ca="1">MAX(MAX($N$53:N1118),OFFSET($C$52,MATCH(M1119*1.07,$M$53:$M$2052,1),0)-C1119)</f>
        <v>55440</v>
      </c>
    </row>
    <row r="1120" spans="2:14">
      <c r="B1120" s="95">
        <v>1068</v>
      </c>
      <c r="C1120" s="95">
        <f t="shared" si="89"/>
        <v>384480</v>
      </c>
      <c r="D1120" s="95">
        <f ca="1">_xlfn.XLOOKUP(总览!$B$44,$B$40:$B$45,$C$40:$C$45)</f>
        <v>5</v>
      </c>
      <c r="E1120" s="95">
        <f ca="1" t="shared" si="85"/>
        <v>1098</v>
      </c>
      <c r="F1120" s="95">
        <f ca="1" t="shared" si="90"/>
        <v>0</v>
      </c>
      <c r="G1120" s="95">
        <f ca="1" t="shared" si="91"/>
        <v>0</v>
      </c>
      <c r="H1120" s="95" cm="1">
        <f ca="1" t="array" ref="H1120">MIN(30-SUM(I1120:L1120),_xlfn.XLOOKUP($D1120&amp;"_"&amp;H$52,$B$14:$B$36&amp;"_"&amp;$C$14:$C$36,$D$14:$D$36)*$E1120,18)</f>
        <v>12.9256</v>
      </c>
      <c r="I1120" s="95" cm="1">
        <f ca="1" t="array" ref="I1120">MIN(30-SUM(J1120:L1120),6-L1120,_xlfn.XLOOKUP($D1120&amp;"_"&amp;I$52,$B$14:$B$36&amp;"_"&amp;$C$14:$C$36,$D$14:$D$36)*$E1120)</f>
        <v>0.2355</v>
      </c>
      <c r="J1120" s="95" cm="1">
        <f ca="1" t="array" ref="J1120">MIN(8,_xlfn.XLOOKUP($D1120&amp;"_"&amp;J$52,$B$14:$B$36&amp;"_"&amp;$C$14:$C$36,$D$14:$D$36)*$E1120)</f>
        <v>8</v>
      </c>
      <c r="K1120" s="95" cm="1">
        <f ca="1" t="array" ref="K1120">MIN(18,_xlfn.XLOOKUP($D1120&amp;"_"&amp;K$52,$B$14:$B$36&amp;"_"&amp;$C$14:$C$36,$D$14:$D$36)*$E1120)</f>
        <v>3.0744</v>
      </c>
      <c r="L1120" s="95" cm="1">
        <f ca="1" t="array" ref="L1120">MIN(6,_xlfn.XLOOKUP($D1120&amp;"_"&amp;L$52,$B$14:$B$36&amp;"_"&amp;$C$14:$C$36,$D$14:$D$36)*$E1120)</f>
        <v>5.7645</v>
      </c>
      <c r="M1120" s="95" cm="1">
        <f ca="1" t="array" ref="M1120">(1+SUMPRODUCT(G1120:H1120,OFFSET($H$40:$I$40,D1120,0)))*(1+OFFSET($J$40,D1120,0))^I1120*(1+OFFSET($K$40,D1120,0))^J1120*(1+OFFSET($L$40,D1120,0))^K1120*(1+OFFSET($M$40,D1120,0))^L1120</f>
        <v>302.273937862913</v>
      </c>
      <c r="N1120" s="95">
        <f ca="1">MAX(MAX($N$53:N1119),OFFSET($C$52,MATCH(M1120*1.07,$M$53:$M$2052,1),0)-C1120)</f>
        <v>55800</v>
      </c>
    </row>
    <row r="1121" spans="2:14">
      <c r="B1121" s="95">
        <v>1069</v>
      </c>
      <c r="C1121" s="95">
        <f t="shared" si="89"/>
        <v>384840</v>
      </c>
      <c r="D1121" s="95">
        <f ca="1">_xlfn.XLOOKUP(总览!$B$44,$B$40:$B$45,$C$40:$C$45)</f>
        <v>5</v>
      </c>
      <c r="E1121" s="95">
        <f ca="1" t="shared" si="85"/>
        <v>1099</v>
      </c>
      <c r="F1121" s="95">
        <f ca="1" t="shared" si="90"/>
        <v>0</v>
      </c>
      <c r="G1121" s="95">
        <f ca="1" t="shared" si="91"/>
        <v>0</v>
      </c>
      <c r="H1121" s="95" cm="1">
        <f ca="1" t="array" ref="H1121">MIN(30-SUM(I1121:L1121),_xlfn.XLOOKUP($D1121&amp;"_"&amp;H$52,$B$14:$B$36&amp;"_"&amp;$C$14:$C$36,$D$14:$D$36)*$E1121,18)</f>
        <v>12.9228</v>
      </c>
      <c r="I1121" s="95" cm="1">
        <f ca="1" t="array" ref="I1121">MIN(30-SUM(J1121:L1121),6-L1121,_xlfn.XLOOKUP($D1121&amp;"_"&amp;I$52,$B$14:$B$36&amp;"_"&amp;$C$14:$C$36,$D$14:$D$36)*$E1121)</f>
        <v>0.23025</v>
      </c>
      <c r="J1121" s="95" cm="1">
        <f ca="1" t="array" ref="J1121">MIN(8,_xlfn.XLOOKUP($D1121&amp;"_"&amp;J$52,$B$14:$B$36&amp;"_"&amp;$C$14:$C$36,$D$14:$D$36)*$E1121)</f>
        <v>8</v>
      </c>
      <c r="K1121" s="95" cm="1">
        <f ca="1" t="array" ref="K1121">MIN(18,_xlfn.XLOOKUP($D1121&amp;"_"&amp;K$52,$B$14:$B$36&amp;"_"&amp;$C$14:$C$36,$D$14:$D$36)*$E1121)</f>
        <v>3.0772</v>
      </c>
      <c r="L1121" s="95" cm="1">
        <f ca="1" t="array" ref="L1121">MIN(6,_xlfn.XLOOKUP($D1121&amp;"_"&amp;L$52,$B$14:$B$36&amp;"_"&amp;$C$14:$C$36,$D$14:$D$36)*$E1121)</f>
        <v>5.76975</v>
      </c>
      <c r="M1121" s="95" cm="1">
        <f ca="1" t="array" ref="M1121">(1+SUMPRODUCT(G1121:H1121,OFFSET($H$40:$I$40,D1121,0)))*(1+OFFSET($J$40,D1121,0))^I1121*(1+OFFSET($K$40,D1121,0))^J1121*(1+OFFSET($L$40,D1121,0))^K1121*(1+OFFSET($M$40,D1121,0))^L1121</f>
        <v>302.467560948734</v>
      </c>
      <c r="N1121" s="95">
        <f ca="1">MAX(MAX($N$53:N1120),OFFSET($C$52,MATCH(M1121*1.07,$M$53:$M$2052,1),0)-C1121)</f>
        <v>56160</v>
      </c>
    </row>
    <row r="1122" spans="2:14">
      <c r="B1122" s="95">
        <v>1070</v>
      </c>
      <c r="C1122" s="95">
        <f t="shared" si="89"/>
        <v>385200</v>
      </c>
      <c r="D1122" s="95">
        <f ca="1">_xlfn.XLOOKUP(总览!$B$44,$B$40:$B$45,$C$40:$C$45)</f>
        <v>5</v>
      </c>
      <c r="E1122" s="95">
        <f ca="1" t="shared" si="85"/>
        <v>1100</v>
      </c>
      <c r="F1122" s="95">
        <f ca="1" t="shared" si="90"/>
        <v>0</v>
      </c>
      <c r="G1122" s="95">
        <f ca="1" t="shared" si="91"/>
        <v>0</v>
      </c>
      <c r="H1122" s="95" cm="1">
        <f ca="1" t="array" ref="H1122">MIN(30-SUM(I1122:L1122),_xlfn.XLOOKUP($D1122&amp;"_"&amp;H$52,$B$14:$B$36&amp;"_"&amp;$C$14:$C$36,$D$14:$D$36)*$E1122,18)</f>
        <v>12.92</v>
      </c>
      <c r="I1122" s="95" cm="1">
        <f ca="1" t="array" ref="I1122">MIN(30-SUM(J1122:L1122),6-L1122,_xlfn.XLOOKUP($D1122&amp;"_"&amp;I$52,$B$14:$B$36&amp;"_"&amp;$C$14:$C$36,$D$14:$D$36)*$E1122)</f>
        <v>0.225</v>
      </c>
      <c r="J1122" s="95" cm="1">
        <f ca="1" t="array" ref="J1122">MIN(8,_xlfn.XLOOKUP($D1122&amp;"_"&amp;J$52,$B$14:$B$36&amp;"_"&amp;$C$14:$C$36,$D$14:$D$36)*$E1122)</f>
        <v>8</v>
      </c>
      <c r="K1122" s="95" cm="1">
        <f ca="1" t="array" ref="K1122">MIN(18,_xlfn.XLOOKUP($D1122&amp;"_"&amp;K$52,$B$14:$B$36&amp;"_"&amp;$C$14:$C$36,$D$14:$D$36)*$E1122)</f>
        <v>3.08</v>
      </c>
      <c r="L1122" s="95" cm="1">
        <f ca="1" t="array" ref="L1122">MIN(6,_xlfn.XLOOKUP($D1122&amp;"_"&amp;L$52,$B$14:$B$36&amp;"_"&amp;$C$14:$C$36,$D$14:$D$36)*$E1122)</f>
        <v>5.775</v>
      </c>
      <c r="M1122" s="95" cm="1">
        <f ca="1" t="array" ref="M1122">(1+SUMPRODUCT(G1122:H1122,OFFSET($H$40:$I$40,D1122,0)))*(1+OFFSET($J$40,D1122,0))^I1122*(1+OFFSET($K$40,D1122,0))^J1122*(1+OFFSET($L$40,D1122,0))^K1122*(1+OFFSET($M$40,D1122,0))^L1122</f>
        <v>302.661300673909</v>
      </c>
      <c r="N1122" s="95">
        <f ca="1">MAX(MAX($N$53:N1121),OFFSET($C$52,MATCH(M1122*1.07,$M$53:$M$2052,1),0)-C1122)</f>
        <v>56520</v>
      </c>
    </row>
    <row r="1123" spans="2:14">
      <c r="B1123" s="95">
        <v>1071</v>
      </c>
      <c r="C1123" s="95">
        <f t="shared" si="89"/>
        <v>385560</v>
      </c>
      <c r="D1123" s="95">
        <f ca="1">_xlfn.XLOOKUP(总览!$B$44,$B$40:$B$45,$C$40:$C$45)</f>
        <v>5</v>
      </c>
      <c r="E1123" s="95">
        <f ca="1" t="shared" si="85"/>
        <v>1101</v>
      </c>
      <c r="F1123" s="95">
        <f ca="1" t="shared" si="90"/>
        <v>0</v>
      </c>
      <c r="G1123" s="95">
        <f ca="1" t="shared" si="91"/>
        <v>0</v>
      </c>
      <c r="H1123" s="95" cm="1">
        <f ca="1" t="array" ref="H1123">MIN(30-SUM(I1123:L1123),_xlfn.XLOOKUP($D1123&amp;"_"&amp;H$52,$B$14:$B$36&amp;"_"&amp;$C$14:$C$36,$D$14:$D$36)*$E1123,18)</f>
        <v>12.9172</v>
      </c>
      <c r="I1123" s="95" cm="1">
        <f ca="1" t="array" ref="I1123">MIN(30-SUM(J1123:L1123),6-L1123,_xlfn.XLOOKUP($D1123&amp;"_"&amp;I$52,$B$14:$B$36&amp;"_"&amp;$C$14:$C$36,$D$14:$D$36)*$E1123)</f>
        <v>0.219749999999999</v>
      </c>
      <c r="J1123" s="95" cm="1">
        <f ca="1" t="array" ref="J1123">MIN(8,_xlfn.XLOOKUP($D1123&amp;"_"&amp;J$52,$B$14:$B$36&amp;"_"&amp;$C$14:$C$36,$D$14:$D$36)*$E1123)</f>
        <v>8</v>
      </c>
      <c r="K1123" s="95" cm="1">
        <f ca="1" t="array" ref="K1123">MIN(18,_xlfn.XLOOKUP($D1123&amp;"_"&amp;K$52,$B$14:$B$36&amp;"_"&amp;$C$14:$C$36,$D$14:$D$36)*$E1123)</f>
        <v>3.0828</v>
      </c>
      <c r="L1123" s="95" cm="1">
        <f ca="1" t="array" ref="L1123">MIN(6,_xlfn.XLOOKUP($D1123&amp;"_"&amp;L$52,$B$14:$B$36&amp;"_"&amp;$C$14:$C$36,$D$14:$D$36)*$E1123)</f>
        <v>5.78025</v>
      </c>
      <c r="M1123" s="95" cm="1">
        <f ca="1" t="array" ref="M1123">(1+SUMPRODUCT(G1123:H1123,OFFSET($H$40:$I$40,D1123,0)))*(1+OFFSET($J$40,D1123,0))^I1123*(1+OFFSET($K$40,D1123,0))^J1123*(1+OFFSET($L$40,D1123,0))^K1123*(1+OFFSET($M$40,D1123,0))^L1123</f>
        <v>302.85515710138</v>
      </c>
      <c r="N1123" s="95">
        <f ca="1">MAX(MAX($N$53:N1122),OFFSET($C$52,MATCH(M1123*1.07,$M$53:$M$2052,1),0)-C1123)</f>
        <v>56880</v>
      </c>
    </row>
    <row r="1124" spans="2:14">
      <c r="B1124" s="95">
        <v>1072</v>
      </c>
      <c r="C1124" s="95">
        <f t="shared" si="89"/>
        <v>385920</v>
      </c>
      <c r="D1124" s="95">
        <f ca="1">_xlfn.XLOOKUP(总览!$B$44,$B$40:$B$45,$C$40:$C$45)</f>
        <v>5</v>
      </c>
      <c r="E1124" s="95">
        <f ca="1" t="shared" si="85"/>
        <v>1102</v>
      </c>
      <c r="F1124" s="95">
        <f ca="1" t="shared" si="90"/>
        <v>0</v>
      </c>
      <c r="G1124" s="95">
        <f ca="1" t="shared" si="91"/>
        <v>0</v>
      </c>
      <c r="H1124" s="95" cm="1">
        <f ca="1" t="array" ref="H1124">MIN(30-SUM(I1124:L1124),_xlfn.XLOOKUP($D1124&amp;"_"&amp;H$52,$B$14:$B$36&amp;"_"&amp;$C$14:$C$36,$D$14:$D$36)*$E1124,18)</f>
        <v>12.9144</v>
      </c>
      <c r="I1124" s="95" cm="1">
        <f ca="1" t="array" ref="I1124">MIN(30-SUM(J1124:L1124),6-L1124,_xlfn.XLOOKUP($D1124&amp;"_"&amp;I$52,$B$14:$B$36&amp;"_"&amp;$C$14:$C$36,$D$14:$D$36)*$E1124)</f>
        <v>0.214499999999999</v>
      </c>
      <c r="J1124" s="95" cm="1">
        <f ca="1" t="array" ref="J1124">MIN(8,_xlfn.XLOOKUP($D1124&amp;"_"&amp;J$52,$B$14:$B$36&amp;"_"&amp;$C$14:$C$36,$D$14:$D$36)*$E1124)</f>
        <v>8</v>
      </c>
      <c r="K1124" s="95" cm="1">
        <f ca="1" t="array" ref="K1124">MIN(18,_xlfn.XLOOKUP($D1124&amp;"_"&amp;K$52,$B$14:$B$36&amp;"_"&amp;$C$14:$C$36,$D$14:$D$36)*$E1124)</f>
        <v>3.0856</v>
      </c>
      <c r="L1124" s="95" cm="1">
        <f ca="1" t="array" ref="L1124">MIN(6,_xlfn.XLOOKUP($D1124&amp;"_"&amp;L$52,$B$14:$B$36&amp;"_"&amp;$C$14:$C$36,$D$14:$D$36)*$E1124)</f>
        <v>5.7855</v>
      </c>
      <c r="M1124" s="95" cm="1">
        <f ca="1" t="array" ref="M1124">(1+SUMPRODUCT(G1124:H1124,OFFSET($H$40:$I$40,D1124,0)))*(1+OFFSET($J$40,D1124,0))^I1124*(1+OFFSET($K$40,D1124,0))^J1124*(1+OFFSET($L$40,D1124,0))^K1124*(1+OFFSET($M$40,D1124,0))^L1124</f>
        <v>303.049130294114</v>
      </c>
      <c r="N1124" s="95">
        <f ca="1">MAX(MAX($N$53:N1123),OFFSET($C$52,MATCH(M1124*1.07,$M$53:$M$2052,1),0)-C1124)</f>
        <v>56880</v>
      </c>
    </row>
    <row r="1125" spans="2:14">
      <c r="B1125" s="95">
        <v>1073</v>
      </c>
      <c r="C1125" s="95">
        <f t="shared" si="89"/>
        <v>386280</v>
      </c>
      <c r="D1125" s="95">
        <f ca="1">_xlfn.XLOOKUP(总览!$B$44,$B$40:$B$45,$C$40:$C$45)</f>
        <v>5</v>
      </c>
      <c r="E1125" s="95">
        <f ca="1" t="shared" si="85"/>
        <v>1103</v>
      </c>
      <c r="F1125" s="95">
        <f ca="1" t="shared" si="90"/>
        <v>0</v>
      </c>
      <c r="G1125" s="95">
        <f ca="1" t="shared" si="91"/>
        <v>0</v>
      </c>
      <c r="H1125" s="95" cm="1">
        <f ca="1" t="array" ref="H1125">MIN(30-SUM(I1125:L1125),_xlfn.XLOOKUP($D1125&amp;"_"&amp;H$52,$B$14:$B$36&amp;"_"&amp;$C$14:$C$36,$D$14:$D$36)*$E1125,18)</f>
        <v>12.9116</v>
      </c>
      <c r="I1125" s="95" cm="1">
        <f ca="1" t="array" ref="I1125">MIN(30-SUM(J1125:L1125),6-L1125,_xlfn.XLOOKUP($D1125&amp;"_"&amp;I$52,$B$14:$B$36&amp;"_"&amp;$C$14:$C$36,$D$14:$D$36)*$E1125)</f>
        <v>0.20925</v>
      </c>
      <c r="J1125" s="95" cm="1">
        <f ca="1" t="array" ref="J1125">MIN(8,_xlfn.XLOOKUP($D1125&amp;"_"&amp;J$52,$B$14:$B$36&amp;"_"&amp;$C$14:$C$36,$D$14:$D$36)*$E1125)</f>
        <v>8</v>
      </c>
      <c r="K1125" s="95" cm="1">
        <f ca="1" t="array" ref="K1125">MIN(18,_xlfn.XLOOKUP($D1125&amp;"_"&amp;K$52,$B$14:$B$36&amp;"_"&amp;$C$14:$C$36,$D$14:$D$36)*$E1125)</f>
        <v>3.0884</v>
      </c>
      <c r="L1125" s="95" cm="1">
        <f ca="1" t="array" ref="L1125">MIN(6,_xlfn.XLOOKUP($D1125&amp;"_"&amp;L$52,$B$14:$B$36&amp;"_"&amp;$C$14:$C$36,$D$14:$D$36)*$E1125)</f>
        <v>5.79075</v>
      </c>
      <c r="M1125" s="95" cm="1">
        <f ca="1" t="array" ref="M1125">(1+SUMPRODUCT(G1125:H1125,OFFSET($H$40:$I$40,D1125,0)))*(1+OFFSET($J$40,D1125,0))^I1125*(1+OFFSET($K$40,D1125,0))^J1125*(1+OFFSET($L$40,D1125,0))^K1125*(1+OFFSET($M$40,D1125,0))^L1125</f>
        <v>303.243220315103</v>
      </c>
      <c r="N1125" s="95">
        <f ca="1">MAX(MAX($N$53:N1124),OFFSET($C$52,MATCH(M1125*1.07,$M$53:$M$2052,1),0)-C1125)</f>
        <v>57240</v>
      </c>
    </row>
    <row r="1126" spans="2:14">
      <c r="B1126" s="95">
        <v>1074</v>
      </c>
      <c r="C1126" s="95">
        <f t="shared" si="89"/>
        <v>386640</v>
      </c>
      <c r="D1126" s="95">
        <f ca="1">_xlfn.XLOOKUP(总览!$B$44,$B$40:$B$45,$C$40:$C$45)</f>
        <v>5</v>
      </c>
      <c r="E1126" s="95">
        <f ca="1" t="shared" si="85"/>
        <v>1104</v>
      </c>
      <c r="F1126" s="95">
        <f ca="1" t="shared" si="90"/>
        <v>0</v>
      </c>
      <c r="G1126" s="95">
        <f ca="1" t="shared" si="91"/>
        <v>0</v>
      </c>
      <c r="H1126" s="95" cm="1">
        <f ca="1" t="array" ref="H1126">MIN(30-SUM(I1126:L1126),_xlfn.XLOOKUP($D1126&amp;"_"&amp;H$52,$B$14:$B$36&amp;"_"&amp;$C$14:$C$36,$D$14:$D$36)*$E1126,18)</f>
        <v>12.9088</v>
      </c>
      <c r="I1126" s="95" cm="1">
        <f ca="1" t="array" ref="I1126">MIN(30-SUM(J1126:L1126),6-L1126,_xlfn.XLOOKUP($D1126&amp;"_"&amp;I$52,$B$14:$B$36&amp;"_"&amp;$C$14:$C$36,$D$14:$D$36)*$E1126)</f>
        <v>0.204</v>
      </c>
      <c r="J1126" s="95" cm="1">
        <f ca="1" t="array" ref="J1126">MIN(8,_xlfn.XLOOKUP($D1126&amp;"_"&amp;J$52,$B$14:$B$36&amp;"_"&amp;$C$14:$C$36,$D$14:$D$36)*$E1126)</f>
        <v>8</v>
      </c>
      <c r="K1126" s="95" cm="1">
        <f ca="1" t="array" ref="K1126">MIN(18,_xlfn.XLOOKUP($D1126&amp;"_"&amp;K$52,$B$14:$B$36&amp;"_"&amp;$C$14:$C$36,$D$14:$D$36)*$E1126)</f>
        <v>3.0912</v>
      </c>
      <c r="L1126" s="95" cm="1">
        <f ca="1" t="array" ref="L1126">MIN(6,_xlfn.XLOOKUP($D1126&amp;"_"&amp;L$52,$B$14:$B$36&amp;"_"&amp;$C$14:$C$36,$D$14:$D$36)*$E1126)</f>
        <v>5.796</v>
      </c>
      <c r="M1126" s="95" cm="1">
        <f ca="1" t="array" ref="M1126">(1+SUMPRODUCT(G1126:H1126,OFFSET($H$40:$I$40,D1126,0)))*(1+OFFSET($J$40,D1126,0))^I1126*(1+OFFSET($K$40,D1126,0))^J1126*(1+OFFSET($L$40,D1126,0))^K1126*(1+OFFSET($M$40,D1126,0))^L1126</f>
        <v>303.437427227369</v>
      </c>
      <c r="N1126" s="95">
        <f ca="1">MAX(MAX($N$53:N1125),OFFSET($C$52,MATCH(M1126*1.07,$M$53:$M$2052,1),0)-C1126)</f>
        <v>57600</v>
      </c>
    </row>
    <row r="1127" spans="2:14">
      <c r="B1127" s="95">
        <v>1075</v>
      </c>
      <c r="C1127" s="95">
        <f t="shared" si="89"/>
        <v>387000</v>
      </c>
      <c r="D1127" s="95">
        <f ca="1">_xlfn.XLOOKUP(总览!$B$44,$B$40:$B$45,$C$40:$C$45)</f>
        <v>5</v>
      </c>
      <c r="E1127" s="95">
        <f ca="1" t="shared" si="85"/>
        <v>1105</v>
      </c>
      <c r="F1127" s="95">
        <f ca="1" t="shared" si="90"/>
        <v>0</v>
      </c>
      <c r="G1127" s="95">
        <f ca="1" t="shared" si="91"/>
        <v>0</v>
      </c>
      <c r="H1127" s="95" cm="1">
        <f ca="1" t="array" ref="H1127">MIN(30-SUM(I1127:L1127),_xlfn.XLOOKUP($D1127&amp;"_"&amp;H$52,$B$14:$B$36&amp;"_"&amp;$C$14:$C$36,$D$14:$D$36)*$E1127,18)</f>
        <v>12.906</v>
      </c>
      <c r="I1127" s="95" cm="1">
        <f ca="1" t="array" ref="I1127">MIN(30-SUM(J1127:L1127),6-L1127,_xlfn.XLOOKUP($D1127&amp;"_"&amp;I$52,$B$14:$B$36&amp;"_"&amp;$C$14:$C$36,$D$14:$D$36)*$E1127)</f>
        <v>0.19875</v>
      </c>
      <c r="J1127" s="95" cm="1">
        <f ca="1" t="array" ref="J1127">MIN(8,_xlfn.XLOOKUP($D1127&amp;"_"&amp;J$52,$B$14:$B$36&amp;"_"&amp;$C$14:$C$36,$D$14:$D$36)*$E1127)</f>
        <v>8</v>
      </c>
      <c r="K1127" s="95" cm="1">
        <f ca="1" t="array" ref="K1127">MIN(18,_xlfn.XLOOKUP($D1127&amp;"_"&amp;K$52,$B$14:$B$36&amp;"_"&amp;$C$14:$C$36,$D$14:$D$36)*$E1127)</f>
        <v>3.094</v>
      </c>
      <c r="L1127" s="95" cm="1">
        <f ca="1" t="array" ref="L1127">MIN(6,_xlfn.XLOOKUP($D1127&amp;"_"&amp;L$52,$B$14:$B$36&amp;"_"&amp;$C$14:$C$36,$D$14:$D$36)*$E1127)</f>
        <v>5.80125</v>
      </c>
      <c r="M1127" s="95" cm="1">
        <f ca="1" t="array" ref="M1127">(1+SUMPRODUCT(G1127:H1127,OFFSET($H$40:$I$40,D1127,0)))*(1+OFFSET($J$40,D1127,0))^I1127*(1+OFFSET($K$40,D1127,0))^J1127*(1+OFFSET($L$40,D1127,0))^K1127*(1+OFFSET($M$40,D1127,0))^L1127</f>
        <v>303.631751093957</v>
      </c>
      <c r="N1127" s="95">
        <f ca="1">MAX(MAX($N$53:N1126),OFFSET($C$52,MATCH(M1127*1.07,$M$53:$M$2052,1),0)-C1127)</f>
        <v>57960</v>
      </c>
    </row>
    <row r="1128" spans="2:14">
      <c r="B1128" s="95">
        <v>1076</v>
      </c>
      <c r="C1128" s="95">
        <f t="shared" si="89"/>
        <v>387360</v>
      </c>
      <c r="D1128" s="95">
        <f ca="1">_xlfn.XLOOKUP(总览!$B$44,$B$40:$B$45,$C$40:$C$45)</f>
        <v>5</v>
      </c>
      <c r="E1128" s="95">
        <f ca="1" t="shared" si="85"/>
        <v>1106</v>
      </c>
      <c r="F1128" s="95">
        <f ca="1" t="shared" si="90"/>
        <v>0</v>
      </c>
      <c r="G1128" s="95">
        <f ca="1" t="shared" si="91"/>
        <v>0</v>
      </c>
      <c r="H1128" s="95" cm="1">
        <f ca="1" t="array" ref="H1128">MIN(30-SUM(I1128:L1128),_xlfn.XLOOKUP($D1128&amp;"_"&amp;H$52,$B$14:$B$36&amp;"_"&amp;$C$14:$C$36,$D$14:$D$36)*$E1128,18)</f>
        <v>12.9032</v>
      </c>
      <c r="I1128" s="95" cm="1">
        <f ca="1" t="array" ref="I1128">MIN(30-SUM(J1128:L1128),6-L1128,_xlfn.XLOOKUP($D1128&amp;"_"&amp;I$52,$B$14:$B$36&amp;"_"&amp;$C$14:$C$36,$D$14:$D$36)*$E1128)</f>
        <v>0.193499999999999</v>
      </c>
      <c r="J1128" s="95" cm="1">
        <f ca="1" t="array" ref="J1128">MIN(8,_xlfn.XLOOKUP($D1128&amp;"_"&amp;J$52,$B$14:$B$36&amp;"_"&amp;$C$14:$C$36,$D$14:$D$36)*$E1128)</f>
        <v>8</v>
      </c>
      <c r="K1128" s="95" cm="1">
        <f ca="1" t="array" ref="K1128">MIN(18,_xlfn.XLOOKUP($D1128&amp;"_"&amp;K$52,$B$14:$B$36&amp;"_"&amp;$C$14:$C$36,$D$14:$D$36)*$E1128)</f>
        <v>3.0968</v>
      </c>
      <c r="L1128" s="95" cm="1">
        <f ca="1" t="array" ref="L1128">MIN(6,_xlfn.XLOOKUP($D1128&amp;"_"&amp;L$52,$B$14:$B$36&amp;"_"&amp;$C$14:$C$36,$D$14:$D$36)*$E1128)</f>
        <v>5.8065</v>
      </c>
      <c r="M1128" s="95" cm="1">
        <f ca="1" t="array" ref="M1128">(1+SUMPRODUCT(G1128:H1128,OFFSET($H$40:$I$40,D1128,0)))*(1+OFFSET($J$40,D1128,0))^I1128*(1+OFFSET($K$40,D1128,0))^J1128*(1+OFFSET($L$40,D1128,0))^K1128*(1+OFFSET($M$40,D1128,0))^L1128</f>
        <v>303.826191977939</v>
      </c>
      <c r="N1128" s="95">
        <f ca="1">MAX(MAX($N$53:N1127),OFFSET($C$52,MATCH(M1128*1.07,$M$53:$M$2052,1),0)-C1128)</f>
        <v>58320</v>
      </c>
    </row>
    <row r="1129" spans="2:14">
      <c r="B1129" s="95">
        <v>1077</v>
      </c>
      <c r="C1129" s="95">
        <f t="shared" si="89"/>
        <v>387720</v>
      </c>
      <c r="D1129" s="95">
        <f ca="1">_xlfn.XLOOKUP(总览!$B$44,$B$40:$B$45,$C$40:$C$45)</f>
        <v>5</v>
      </c>
      <c r="E1129" s="95">
        <f ca="1" t="shared" si="85"/>
        <v>1107</v>
      </c>
      <c r="F1129" s="95">
        <f ca="1" t="shared" si="90"/>
        <v>0</v>
      </c>
      <c r="G1129" s="95">
        <f ca="1" t="shared" si="91"/>
        <v>0</v>
      </c>
      <c r="H1129" s="95" cm="1">
        <f ca="1" t="array" ref="H1129">MIN(30-SUM(I1129:L1129),_xlfn.XLOOKUP($D1129&amp;"_"&amp;H$52,$B$14:$B$36&amp;"_"&amp;$C$14:$C$36,$D$14:$D$36)*$E1129,18)</f>
        <v>12.9004</v>
      </c>
      <c r="I1129" s="95" cm="1">
        <f ca="1" t="array" ref="I1129">MIN(30-SUM(J1129:L1129),6-L1129,_xlfn.XLOOKUP($D1129&amp;"_"&amp;I$52,$B$14:$B$36&amp;"_"&amp;$C$14:$C$36,$D$14:$D$36)*$E1129)</f>
        <v>0.18825</v>
      </c>
      <c r="J1129" s="95" cm="1">
        <f ca="1" t="array" ref="J1129">MIN(8,_xlfn.XLOOKUP($D1129&amp;"_"&amp;J$52,$B$14:$B$36&amp;"_"&amp;$C$14:$C$36,$D$14:$D$36)*$E1129)</f>
        <v>8</v>
      </c>
      <c r="K1129" s="95" cm="1">
        <f ca="1" t="array" ref="K1129">MIN(18,_xlfn.XLOOKUP($D1129&amp;"_"&amp;K$52,$B$14:$B$36&amp;"_"&amp;$C$14:$C$36,$D$14:$D$36)*$E1129)</f>
        <v>3.0996</v>
      </c>
      <c r="L1129" s="95" cm="1">
        <f ca="1" t="array" ref="L1129">MIN(6,_xlfn.XLOOKUP($D1129&amp;"_"&amp;L$52,$B$14:$B$36&amp;"_"&amp;$C$14:$C$36,$D$14:$D$36)*$E1129)</f>
        <v>5.81175</v>
      </c>
      <c r="M1129" s="95" cm="1">
        <f ca="1" t="array" ref="M1129">(1+SUMPRODUCT(G1129:H1129,OFFSET($H$40:$I$40,D1129,0)))*(1+OFFSET($J$40,D1129,0))^I1129*(1+OFFSET($K$40,D1129,0))^J1129*(1+OFFSET($L$40,D1129,0))^K1129*(1+OFFSET($M$40,D1129,0))^L1129</f>
        <v>304.020749942413</v>
      </c>
      <c r="N1129" s="95">
        <f ca="1">MAX(MAX($N$53:N1128),OFFSET($C$52,MATCH(M1129*1.07,$M$53:$M$2052,1),0)-C1129)</f>
        <v>58680</v>
      </c>
    </row>
    <row r="1130" spans="2:14">
      <c r="B1130" s="95">
        <v>1078</v>
      </c>
      <c r="C1130" s="95">
        <f t="shared" si="89"/>
        <v>388080</v>
      </c>
      <c r="D1130" s="95">
        <f ca="1">_xlfn.XLOOKUP(总览!$B$44,$B$40:$B$45,$C$40:$C$45)</f>
        <v>5</v>
      </c>
      <c r="E1130" s="95">
        <f ca="1" t="shared" si="85"/>
        <v>1108</v>
      </c>
      <c r="F1130" s="95">
        <f ca="1" t="shared" si="90"/>
        <v>0</v>
      </c>
      <c r="G1130" s="95">
        <f ca="1" t="shared" si="91"/>
        <v>0</v>
      </c>
      <c r="H1130" s="95" cm="1">
        <f ca="1" t="array" ref="H1130">MIN(30-SUM(I1130:L1130),_xlfn.XLOOKUP($D1130&amp;"_"&amp;H$52,$B$14:$B$36&amp;"_"&amp;$C$14:$C$36,$D$14:$D$36)*$E1130,18)</f>
        <v>12.8976</v>
      </c>
      <c r="I1130" s="95" cm="1">
        <f ca="1" t="array" ref="I1130">MIN(30-SUM(J1130:L1130),6-L1130,_xlfn.XLOOKUP($D1130&amp;"_"&amp;I$52,$B$14:$B$36&amp;"_"&amp;$C$14:$C$36,$D$14:$D$36)*$E1130)</f>
        <v>0.183</v>
      </c>
      <c r="J1130" s="95" cm="1">
        <f ca="1" t="array" ref="J1130">MIN(8,_xlfn.XLOOKUP($D1130&amp;"_"&amp;J$52,$B$14:$B$36&amp;"_"&amp;$C$14:$C$36,$D$14:$D$36)*$E1130)</f>
        <v>8</v>
      </c>
      <c r="K1130" s="95" cm="1">
        <f ca="1" t="array" ref="K1130">MIN(18,_xlfn.XLOOKUP($D1130&amp;"_"&amp;K$52,$B$14:$B$36&amp;"_"&amp;$C$14:$C$36,$D$14:$D$36)*$E1130)</f>
        <v>3.1024</v>
      </c>
      <c r="L1130" s="95" cm="1">
        <f ca="1" t="array" ref="L1130">MIN(6,_xlfn.XLOOKUP($D1130&amp;"_"&amp;L$52,$B$14:$B$36&amp;"_"&amp;$C$14:$C$36,$D$14:$D$36)*$E1130)</f>
        <v>5.817</v>
      </c>
      <c r="M1130" s="95" cm="1">
        <f ca="1" t="array" ref="M1130">(1+SUMPRODUCT(G1130:H1130,OFFSET($H$40:$I$40,D1130,0)))*(1+OFFSET($J$40,D1130,0))^I1130*(1+OFFSET($K$40,D1130,0))^J1130*(1+OFFSET($L$40,D1130,0))^K1130*(1+OFFSET($M$40,D1130,0))^L1130</f>
        <v>304.215425050505</v>
      </c>
      <c r="N1130" s="95">
        <f ca="1">MAX(MAX($N$53:N1129),OFFSET($C$52,MATCH(M1130*1.07,$M$53:$M$2052,1),0)-C1130)</f>
        <v>58680</v>
      </c>
    </row>
    <row r="1131" spans="2:14">
      <c r="B1131" s="95">
        <v>1079</v>
      </c>
      <c r="C1131" s="95">
        <f t="shared" si="89"/>
        <v>388440</v>
      </c>
      <c r="D1131" s="95">
        <f ca="1">_xlfn.XLOOKUP(总览!$B$44,$B$40:$B$45,$C$40:$C$45)</f>
        <v>5</v>
      </c>
      <c r="E1131" s="95">
        <f ca="1" t="shared" si="85"/>
        <v>1109</v>
      </c>
      <c r="F1131" s="95">
        <f ca="1" t="shared" si="90"/>
        <v>0</v>
      </c>
      <c r="G1131" s="95">
        <f ca="1" t="shared" si="91"/>
        <v>0</v>
      </c>
      <c r="H1131" s="95" cm="1">
        <f ca="1" t="array" ref="H1131">MIN(30-SUM(I1131:L1131),_xlfn.XLOOKUP($D1131&amp;"_"&amp;H$52,$B$14:$B$36&amp;"_"&amp;$C$14:$C$36,$D$14:$D$36)*$E1131,18)</f>
        <v>12.8948</v>
      </c>
      <c r="I1131" s="95" cm="1">
        <f ca="1" t="array" ref="I1131">MIN(30-SUM(J1131:L1131),6-L1131,_xlfn.XLOOKUP($D1131&amp;"_"&amp;I$52,$B$14:$B$36&amp;"_"&amp;$C$14:$C$36,$D$14:$D$36)*$E1131)</f>
        <v>0.17775</v>
      </c>
      <c r="J1131" s="95" cm="1">
        <f ca="1" t="array" ref="J1131">MIN(8,_xlfn.XLOOKUP($D1131&amp;"_"&amp;J$52,$B$14:$B$36&amp;"_"&amp;$C$14:$C$36,$D$14:$D$36)*$E1131)</f>
        <v>8</v>
      </c>
      <c r="K1131" s="95" cm="1">
        <f ca="1" t="array" ref="K1131">MIN(18,_xlfn.XLOOKUP($D1131&amp;"_"&amp;K$52,$B$14:$B$36&amp;"_"&amp;$C$14:$C$36,$D$14:$D$36)*$E1131)</f>
        <v>3.1052</v>
      </c>
      <c r="L1131" s="95" cm="1">
        <f ca="1" t="array" ref="L1131">MIN(6,_xlfn.XLOOKUP($D1131&amp;"_"&amp;L$52,$B$14:$B$36&amp;"_"&amp;$C$14:$C$36,$D$14:$D$36)*$E1131)</f>
        <v>5.82225</v>
      </c>
      <c r="M1131" s="95" cm="1">
        <f ca="1" t="array" ref="M1131">(1+SUMPRODUCT(G1131:H1131,OFFSET($H$40:$I$40,D1131,0)))*(1+OFFSET($J$40,D1131,0))^I1131*(1+OFFSET($K$40,D1131,0))^J1131*(1+OFFSET($L$40,D1131,0))^K1131*(1+OFFSET($M$40,D1131,0))^L1131</f>
        <v>304.410217365365</v>
      </c>
      <c r="N1131" s="95">
        <f ca="1">MAX(MAX($N$53:N1130),OFFSET($C$52,MATCH(M1131*1.07,$M$53:$M$2052,1),0)-C1131)</f>
        <v>59040</v>
      </c>
    </row>
    <row r="1132" spans="2:14">
      <c r="B1132" s="95">
        <v>1080</v>
      </c>
      <c r="C1132" s="95">
        <f t="shared" si="89"/>
        <v>388800</v>
      </c>
      <c r="D1132" s="95">
        <f ca="1">_xlfn.XLOOKUP(总览!$B$44,$B$40:$B$45,$C$40:$C$45)</f>
        <v>5</v>
      </c>
      <c r="E1132" s="95">
        <f ca="1" t="shared" si="85"/>
        <v>1110</v>
      </c>
      <c r="F1132" s="95">
        <f ca="1" t="shared" si="90"/>
        <v>0</v>
      </c>
      <c r="G1132" s="95">
        <f ca="1" t="shared" si="91"/>
        <v>0</v>
      </c>
      <c r="H1132" s="95" cm="1">
        <f ca="1" t="array" ref="H1132">MIN(30-SUM(I1132:L1132),_xlfn.XLOOKUP($D1132&amp;"_"&amp;H$52,$B$14:$B$36&amp;"_"&amp;$C$14:$C$36,$D$14:$D$36)*$E1132,18)</f>
        <v>12.892</v>
      </c>
      <c r="I1132" s="95" cm="1">
        <f ca="1" t="array" ref="I1132">MIN(30-SUM(J1132:L1132),6-L1132,_xlfn.XLOOKUP($D1132&amp;"_"&amp;I$52,$B$14:$B$36&amp;"_"&amp;$C$14:$C$36,$D$14:$D$36)*$E1132)</f>
        <v>0.172499999999999</v>
      </c>
      <c r="J1132" s="95" cm="1">
        <f ca="1" t="array" ref="J1132">MIN(8,_xlfn.XLOOKUP($D1132&amp;"_"&amp;J$52,$B$14:$B$36&amp;"_"&amp;$C$14:$C$36,$D$14:$D$36)*$E1132)</f>
        <v>8</v>
      </c>
      <c r="K1132" s="95" cm="1">
        <f ca="1" t="array" ref="K1132">MIN(18,_xlfn.XLOOKUP($D1132&amp;"_"&amp;K$52,$B$14:$B$36&amp;"_"&amp;$C$14:$C$36,$D$14:$D$36)*$E1132)</f>
        <v>3.108</v>
      </c>
      <c r="L1132" s="95" cm="1">
        <f ca="1" t="array" ref="L1132">MIN(6,_xlfn.XLOOKUP($D1132&amp;"_"&amp;L$52,$B$14:$B$36&amp;"_"&amp;$C$14:$C$36,$D$14:$D$36)*$E1132)</f>
        <v>5.8275</v>
      </c>
      <c r="M1132" s="95" cm="1">
        <f ca="1" t="array" ref="M1132">(1+SUMPRODUCT(G1132:H1132,OFFSET($H$40:$I$40,D1132,0)))*(1+OFFSET($J$40,D1132,0))^I1132*(1+OFFSET($K$40,D1132,0))^J1132*(1+OFFSET($L$40,D1132,0))^K1132*(1+OFFSET($M$40,D1132,0))^L1132</f>
        <v>304.605126950171</v>
      </c>
      <c r="N1132" s="95">
        <f ca="1">MAX(MAX($N$53:N1131),OFFSET($C$52,MATCH(M1132*1.07,$M$53:$M$2052,1),0)-C1132)</f>
        <v>59400</v>
      </c>
    </row>
    <row r="1133" spans="2:14">
      <c r="B1133" s="95">
        <v>1081</v>
      </c>
      <c r="C1133" s="95">
        <f t="shared" si="89"/>
        <v>389160</v>
      </c>
      <c r="D1133" s="95">
        <f ca="1">_xlfn.XLOOKUP(总览!$B$44,$B$40:$B$45,$C$40:$C$45)</f>
        <v>5</v>
      </c>
      <c r="E1133" s="95">
        <f ca="1" t="shared" si="85"/>
        <v>1111</v>
      </c>
      <c r="F1133" s="95">
        <f ca="1" t="shared" si="90"/>
        <v>0</v>
      </c>
      <c r="G1133" s="95">
        <f ca="1" t="shared" si="91"/>
        <v>0</v>
      </c>
      <c r="H1133" s="95" cm="1">
        <f ca="1" t="array" ref="H1133">MIN(30-SUM(I1133:L1133),_xlfn.XLOOKUP($D1133&amp;"_"&amp;H$52,$B$14:$B$36&amp;"_"&amp;$C$14:$C$36,$D$14:$D$36)*$E1133,18)</f>
        <v>12.8892</v>
      </c>
      <c r="I1133" s="95" cm="1">
        <f ca="1" t="array" ref="I1133">MIN(30-SUM(J1133:L1133),6-L1133,_xlfn.XLOOKUP($D1133&amp;"_"&amp;I$52,$B$14:$B$36&amp;"_"&amp;$C$14:$C$36,$D$14:$D$36)*$E1133)</f>
        <v>0.167249999999999</v>
      </c>
      <c r="J1133" s="95" cm="1">
        <f ca="1" t="array" ref="J1133">MIN(8,_xlfn.XLOOKUP($D1133&amp;"_"&amp;J$52,$B$14:$B$36&amp;"_"&amp;$C$14:$C$36,$D$14:$D$36)*$E1133)</f>
        <v>8</v>
      </c>
      <c r="K1133" s="95" cm="1">
        <f ca="1" t="array" ref="K1133">MIN(18,_xlfn.XLOOKUP($D1133&amp;"_"&amp;K$52,$B$14:$B$36&amp;"_"&amp;$C$14:$C$36,$D$14:$D$36)*$E1133)</f>
        <v>3.1108</v>
      </c>
      <c r="L1133" s="95" cm="1">
        <f ca="1" t="array" ref="L1133">MIN(6,_xlfn.XLOOKUP($D1133&amp;"_"&amp;L$52,$B$14:$B$36&amp;"_"&amp;$C$14:$C$36,$D$14:$D$36)*$E1133)</f>
        <v>5.83275</v>
      </c>
      <c r="M1133" s="95" cm="1">
        <f ca="1" t="array" ref="M1133">(1+SUMPRODUCT(G1133:H1133,OFFSET($H$40:$I$40,D1133,0)))*(1+OFFSET($J$40,D1133,0))^I1133*(1+OFFSET($K$40,D1133,0))^J1133*(1+OFFSET($L$40,D1133,0))^K1133*(1+OFFSET($M$40,D1133,0))^L1133</f>
        <v>304.800153868126</v>
      </c>
      <c r="N1133" s="95">
        <f ca="1">MAX(MAX($N$53:N1132),OFFSET($C$52,MATCH(M1133*1.07,$M$53:$M$2052,1),0)-C1133)</f>
        <v>59760</v>
      </c>
    </row>
    <row r="1134" spans="2:14">
      <c r="B1134" s="95">
        <v>1082</v>
      </c>
      <c r="C1134" s="95">
        <f t="shared" si="89"/>
        <v>389520</v>
      </c>
      <c r="D1134" s="95">
        <f ca="1">_xlfn.XLOOKUP(总览!$B$44,$B$40:$B$45,$C$40:$C$45)</f>
        <v>5</v>
      </c>
      <c r="E1134" s="95">
        <f ca="1" t="shared" si="85"/>
        <v>1112</v>
      </c>
      <c r="F1134" s="95">
        <f ca="1" t="shared" si="90"/>
        <v>0</v>
      </c>
      <c r="G1134" s="95">
        <f ca="1" t="shared" si="91"/>
        <v>0</v>
      </c>
      <c r="H1134" s="95" cm="1">
        <f ca="1" t="array" ref="H1134">MIN(30-SUM(I1134:L1134),_xlfn.XLOOKUP($D1134&amp;"_"&amp;H$52,$B$14:$B$36&amp;"_"&amp;$C$14:$C$36,$D$14:$D$36)*$E1134,18)</f>
        <v>12.8864</v>
      </c>
      <c r="I1134" s="95" cm="1">
        <f ca="1" t="array" ref="I1134">MIN(30-SUM(J1134:L1134),6-L1134,_xlfn.XLOOKUP($D1134&amp;"_"&amp;I$52,$B$14:$B$36&amp;"_"&amp;$C$14:$C$36,$D$14:$D$36)*$E1134)</f>
        <v>0.162</v>
      </c>
      <c r="J1134" s="95" cm="1">
        <f ca="1" t="array" ref="J1134">MIN(8,_xlfn.XLOOKUP($D1134&amp;"_"&amp;J$52,$B$14:$B$36&amp;"_"&amp;$C$14:$C$36,$D$14:$D$36)*$E1134)</f>
        <v>8</v>
      </c>
      <c r="K1134" s="95" cm="1">
        <f ca="1" t="array" ref="K1134">MIN(18,_xlfn.XLOOKUP($D1134&amp;"_"&amp;K$52,$B$14:$B$36&amp;"_"&amp;$C$14:$C$36,$D$14:$D$36)*$E1134)</f>
        <v>3.1136</v>
      </c>
      <c r="L1134" s="95" cm="1">
        <f ca="1" t="array" ref="L1134">MIN(6,_xlfn.XLOOKUP($D1134&amp;"_"&amp;L$52,$B$14:$B$36&amp;"_"&amp;$C$14:$C$36,$D$14:$D$36)*$E1134)</f>
        <v>5.838</v>
      </c>
      <c r="M1134" s="95" cm="1">
        <f ca="1" t="array" ref="M1134">(1+SUMPRODUCT(G1134:H1134,OFFSET($H$40:$I$40,D1134,0)))*(1+OFFSET($J$40,D1134,0))^I1134*(1+OFFSET($K$40,D1134,0))^J1134*(1+OFFSET($L$40,D1134,0))^K1134*(1+OFFSET($M$40,D1134,0))^L1134</f>
        <v>304.99529818246</v>
      </c>
      <c r="N1134" s="95">
        <f ca="1">MAX(MAX($N$53:N1133),OFFSET($C$52,MATCH(M1134*1.07,$M$53:$M$2052,1),0)-C1134)</f>
        <v>60120</v>
      </c>
    </row>
    <row r="1135" spans="2:14">
      <c r="B1135" s="95">
        <v>1083</v>
      </c>
      <c r="C1135" s="95">
        <f t="shared" si="89"/>
        <v>389880</v>
      </c>
      <c r="D1135" s="95">
        <f ca="1">_xlfn.XLOOKUP(总览!$B$44,$B$40:$B$45,$C$40:$C$45)</f>
        <v>5</v>
      </c>
      <c r="E1135" s="95">
        <f ca="1" t="shared" si="85"/>
        <v>1113</v>
      </c>
      <c r="F1135" s="95">
        <f ca="1" t="shared" si="90"/>
        <v>0</v>
      </c>
      <c r="G1135" s="95">
        <f ca="1" t="shared" si="91"/>
        <v>0</v>
      </c>
      <c r="H1135" s="95" cm="1">
        <f ca="1" t="array" ref="H1135">MIN(30-SUM(I1135:L1135),_xlfn.XLOOKUP($D1135&amp;"_"&amp;H$52,$B$14:$B$36&amp;"_"&amp;$C$14:$C$36,$D$14:$D$36)*$E1135,18)</f>
        <v>12.8836</v>
      </c>
      <c r="I1135" s="95" cm="1">
        <f ca="1" t="array" ref="I1135">MIN(30-SUM(J1135:L1135),6-L1135,_xlfn.XLOOKUP($D1135&amp;"_"&amp;I$52,$B$14:$B$36&amp;"_"&amp;$C$14:$C$36,$D$14:$D$36)*$E1135)</f>
        <v>0.15675</v>
      </c>
      <c r="J1135" s="95" cm="1">
        <f ca="1" t="array" ref="J1135">MIN(8,_xlfn.XLOOKUP($D1135&amp;"_"&amp;J$52,$B$14:$B$36&amp;"_"&amp;$C$14:$C$36,$D$14:$D$36)*$E1135)</f>
        <v>8</v>
      </c>
      <c r="K1135" s="95" cm="1">
        <f ca="1" t="array" ref="K1135">MIN(18,_xlfn.XLOOKUP($D1135&amp;"_"&amp;K$52,$B$14:$B$36&amp;"_"&amp;$C$14:$C$36,$D$14:$D$36)*$E1135)</f>
        <v>3.1164</v>
      </c>
      <c r="L1135" s="95" cm="1">
        <f ca="1" t="array" ref="L1135">MIN(6,_xlfn.XLOOKUP($D1135&amp;"_"&amp;L$52,$B$14:$B$36&amp;"_"&amp;$C$14:$C$36,$D$14:$D$36)*$E1135)</f>
        <v>5.84325</v>
      </c>
      <c r="M1135" s="95" cm="1">
        <f ca="1" t="array" ref="M1135">(1+SUMPRODUCT(G1135:H1135,OFFSET($H$40:$I$40,D1135,0)))*(1+OFFSET($J$40,D1135,0))^I1135*(1+OFFSET($K$40,D1135,0))^J1135*(1+OFFSET($L$40,D1135,0))^K1135*(1+OFFSET($M$40,D1135,0))^L1135</f>
        <v>305.19055995643</v>
      </c>
      <c r="N1135" s="95">
        <f ca="1">MAX(MAX($N$53:N1134),OFFSET($C$52,MATCH(M1135*1.07,$M$53:$M$2052,1),0)-C1135)</f>
        <v>60480</v>
      </c>
    </row>
    <row r="1136" spans="2:14">
      <c r="B1136" s="95">
        <v>1084</v>
      </c>
      <c r="C1136" s="95">
        <f t="shared" si="89"/>
        <v>390240</v>
      </c>
      <c r="D1136" s="95">
        <f ca="1">_xlfn.XLOOKUP(总览!$B$44,$B$40:$B$45,$C$40:$C$45)</f>
        <v>5</v>
      </c>
      <c r="E1136" s="95">
        <f ca="1" t="shared" si="85"/>
        <v>1114</v>
      </c>
      <c r="F1136" s="95">
        <f ca="1" t="shared" si="90"/>
        <v>0</v>
      </c>
      <c r="G1136" s="95">
        <f ca="1" t="shared" si="91"/>
        <v>0</v>
      </c>
      <c r="H1136" s="95" cm="1">
        <f ca="1" t="array" ref="H1136">MIN(30-SUM(I1136:L1136),_xlfn.XLOOKUP($D1136&amp;"_"&amp;H$52,$B$14:$B$36&amp;"_"&amp;$C$14:$C$36,$D$14:$D$36)*$E1136,18)</f>
        <v>12.8808</v>
      </c>
      <c r="I1136" s="95" cm="1">
        <f ca="1" t="array" ref="I1136">MIN(30-SUM(J1136:L1136),6-L1136,_xlfn.XLOOKUP($D1136&amp;"_"&amp;I$52,$B$14:$B$36&amp;"_"&amp;$C$14:$C$36,$D$14:$D$36)*$E1136)</f>
        <v>0.1515</v>
      </c>
      <c r="J1136" s="95" cm="1">
        <f ca="1" t="array" ref="J1136">MIN(8,_xlfn.XLOOKUP($D1136&amp;"_"&amp;J$52,$B$14:$B$36&amp;"_"&amp;$C$14:$C$36,$D$14:$D$36)*$E1136)</f>
        <v>8</v>
      </c>
      <c r="K1136" s="95" cm="1">
        <f ca="1" t="array" ref="K1136">MIN(18,_xlfn.XLOOKUP($D1136&amp;"_"&amp;K$52,$B$14:$B$36&amp;"_"&amp;$C$14:$C$36,$D$14:$D$36)*$E1136)</f>
        <v>3.1192</v>
      </c>
      <c r="L1136" s="95" cm="1">
        <f ca="1" t="array" ref="L1136">MIN(6,_xlfn.XLOOKUP($D1136&amp;"_"&amp;L$52,$B$14:$B$36&amp;"_"&amp;$C$14:$C$36,$D$14:$D$36)*$E1136)</f>
        <v>5.8485</v>
      </c>
      <c r="M1136" s="95" cm="1">
        <f ca="1" t="array" ref="M1136">(1+SUMPRODUCT(G1136:H1136,OFFSET($H$40:$I$40,D1136,0)))*(1+OFFSET($J$40,D1136,0))^I1136*(1+OFFSET($K$40,D1136,0))^J1136*(1+OFFSET($L$40,D1136,0))^K1136*(1+OFFSET($M$40,D1136,0))^L1136</f>
        <v>305.385939253316</v>
      </c>
      <c r="N1136" s="95">
        <f ca="1">MAX(MAX($N$53:N1135),OFFSET($C$52,MATCH(M1136*1.07,$M$53:$M$2052,1),0)-C1136)</f>
        <v>60480</v>
      </c>
    </row>
    <row r="1137" spans="2:14">
      <c r="B1137" s="95">
        <v>1085</v>
      </c>
      <c r="C1137" s="95">
        <f t="shared" si="89"/>
        <v>390600</v>
      </c>
      <c r="D1137" s="95">
        <f ca="1">_xlfn.XLOOKUP(总览!$B$44,$B$40:$B$45,$C$40:$C$45)</f>
        <v>5</v>
      </c>
      <c r="E1137" s="95">
        <f ca="1" t="shared" si="85"/>
        <v>1115</v>
      </c>
      <c r="F1137" s="95">
        <f ca="1" t="shared" si="90"/>
        <v>0</v>
      </c>
      <c r="G1137" s="95">
        <f ca="1" t="shared" si="91"/>
        <v>0</v>
      </c>
      <c r="H1137" s="95" cm="1">
        <f ca="1" t="array" ref="H1137">MIN(30-SUM(I1137:L1137),_xlfn.XLOOKUP($D1137&amp;"_"&amp;H$52,$B$14:$B$36&amp;"_"&amp;$C$14:$C$36,$D$14:$D$36)*$E1137,18)</f>
        <v>12.878</v>
      </c>
      <c r="I1137" s="95" cm="1">
        <f ca="1" t="array" ref="I1137">MIN(30-SUM(J1137:L1137),6-L1137,_xlfn.XLOOKUP($D1137&amp;"_"&amp;I$52,$B$14:$B$36&amp;"_"&amp;$C$14:$C$36,$D$14:$D$36)*$E1137)</f>
        <v>0.146249999999999</v>
      </c>
      <c r="J1137" s="95" cm="1">
        <f ca="1" t="array" ref="J1137">MIN(8,_xlfn.XLOOKUP($D1137&amp;"_"&amp;J$52,$B$14:$B$36&amp;"_"&amp;$C$14:$C$36,$D$14:$D$36)*$E1137)</f>
        <v>8</v>
      </c>
      <c r="K1137" s="95" cm="1">
        <f ca="1" t="array" ref="K1137">MIN(18,_xlfn.XLOOKUP($D1137&amp;"_"&amp;K$52,$B$14:$B$36&amp;"_"&amp;$C$14:$C$36,$D$14:$D$36)*$E1137)</f>
        <v>3.122</v>
      </c>
      <c r="L1137" s="95" cm="1">
        <f ca="1" t="array" ref="L1137">MIN(6,_xlfn.XLOOKUP($D1137&amp;"_"&amp;L$52,$B$14:$B$36&amp;"_"&amp;$C$14:$C$36,$D$14:$D$36)*$E1137)</f>
        <v>5.85375</v>
      </c>
      <c r="M1137" s="95" cm="1">
        <f ca="1" t="array" ref="M1137">(1+SUMPRODUCT(G1137:H1137,OFFSET($H$40:$I$40,D1137,0)))*(1+OFFSET($J$40,D1137,0))^I1137*(1+OFFSET($K$40,D1137,0))^J1137*(1+OFFSET($L$40,D1137,0))^K1137*(1+OFFSET($M$40,D1137,0))^L1137</f>
        <v>305.581436136429</v>
      </c>
      <c r="N1137" s="95">
        <f ca="1">MAX(MAX($N$53:N1136),OFFSET($C$52,MATCH(M1137*1.07,$M$53:$M$2052,1),0)-C1137)</f>
        <v>60840</v>
      </c>
    </row>
    <row r="1138" spans="2:14">
      <c r="B1138" s="95">
        <v>1086</v>
      </c>
      <c r="C1138" s="95">
        <f t="shared" si="89"/>
        <v>390960</v>
      </c>
      <c r="D1138" s="95">
        <f ca="1">_xlfn.XLOOKUP(总览!$B$44,$B$40:$B$45,$C$40:$C$45)</f>
        <v>5</v>
      </c>
      <c r="E1138" s="95">
        <f ca="1" t="shared" si="85"/>
        <v>1116</v>
      </c>
      <c r="F1138" s="95">
        <f ca="1" t="shared" si="90"/>
        <v>0</v>
      </c>
      <c r="G1138" s="95">
        <f ca="1" t="shared" si="91"/>
        <v>0</v>
      </c>
      <c r="H1138" s="95" cm="1">
        <f ca="1" t="array" ref="H1138">MIN(30-SUM(I1138:L1138),_xlfn.XLOOKUP($D1138&amp;"_"&amp;H$52,$B$14:$B$36&amp;"_"&amp;$C$14:$C$36,$D$14:$D$36)*$E1138,18)</f>
        <v>12.8752</v>
      </c>
      <c r="I1138" s="95" cm="1">
        <f ca="1" t="array" ref="I1138">MIN(30-SUM(J1138:L1138),6-L1138,_xlfn.XLOOKUP($D1138&amp;"_"&amp;I$52,$B$14:$B$36&amp;"_"&amp;$C$14:$C$36,$D$14:$D$36)*$E1138)</f>
        <v>0.141</v>
      </c>
      <c r="J1138" s="95" cm="1">
        <f ca="1" t="array" ref="J1138">MIN(8,_xlfn.XLOOKUP($D1138&amp;"_"&amp;J$52,$B$14:$B$36&amp;"_"&amp;$C$14:$C$36,$D$14:$D$36)*$E1138)</f>
        <v>8</v>
      </c>
      <c r="K1138" s="95" cm="1">
        <f ca="1" t="array" ref="K1138">MIN(18,_xlfn.XLOOKUP($D1138&amp;"_"&amp;K$52,$B$14:$B$36&amp;"_"&amp;$C$14:$C$36,$D$14:$D$36)*$E1138)</f>
        <v>3.1248</v>
      </c>
      <c r="L1138" s="95" cm="1">
        <f ca="1" t="array" ref="L1138">MIN(6,_xlfn.XLOOKUP($D1138&amp;"_"&amp;L$52,$B$14:$B$36&amp;"_"&amp;$C$14:$C$36,$D$14:$D$36)*$E1138)</f>
        <v>5.859</v>
      </c>
      <c r="M1138" s="95" cm="1">
        <f ca="1" t="array" ref="M1138">(1+SUMPRODUCT(G1138:H1138,OFFSET($H$40:$I$40,D1138,0)))*(1+OFFSET($J$40,D1138,0))^I1138*(1+OFFSET($K$40,D1138,0))^J1138*(1+OFFSET($L$40,D1138,0))^K1138*(1+OFFSET($M$40,D1138,0))^L1138</f>
        <v>305.777050669102</v>
      </c>
      <c r="N1138" s="95">
        <f ca="1">MAX(MAX($N$53:N1137),OFFSET($C$52,MATCH(M1138*1.07,$M$53:$M$2052,1),0)-C1138)</f>
        <v>61200</v>
      </c>
    </row>
    <row r="1139" spans="2:14">
      <c r="B1139" s="95">
        <v>1087</v>
      </c>
      <c r="C1139" s="95">
        <f t="shared" si="89"/>
        <v>391320</v>
      </c>
      <c r="D1139" s="95">
        <f ca="1">_xlfn.XLOOKUP(总览!$B$44,$B$40:$B$45,$C$40:$C$45)</f>
        <v>5</v>
      </c>
      <c r="E1139" s="95">
        <f ca="1" t="shared" si="85"/>
        <v>1117</v>
      </c>
      <c r="F1139" s="95">
        <f ca="1" t="shared" si="90"/>
        <v>0</v>
      </c>
      <c r="G1139" s="95">
        <f ca="1" t="shared" si="91"/>
        <v>0</v>
      </c>
      <c r="H1139" s="95" cm="1">
        <f ca="1" t="array" ref="H1139">MIN(30-SUM(I1139:L1139),_xlfn.XLOOKUP($D1139&amp;"_"&amp;H$52,$B$14:$B$36&amp;"_"&amp;$C$14:$C$36,$D$14:$D$36)*$E1139,18)</f>
        <v>12.8724</v>
      </c>
      <c r="I1139" s="95" cm="1">
        <f ca="1" t="array" ref="I1139">MIN(30-SUM(J1139:L1139),6-L1139,_xlfn.XLOOKUP($D1139&amp;"_"&amp;I$52,$B$14:$B$36&amp;"_"&amp;$C$14:$C$36,$D$14:$D$36)*$E1139)</f>
        <v>0.13575</v>
      </c>
      <c r="J1139" s="95" cm="1">
        <f ca="1" t="array" ref="J1139">MIN(8,_xlfn.XLOOKUP($D1139&amp;"_"&amp;J$52,$B$14:$B$36&amp;"_"&amp;$C$14:$C$36,$D$14:$D$36)*$E1139)</f>
        <v>8</v>
      </c>
      <c r="K1139" s="95" cm="1">
        <f ca="1" t="array" ref="K1139">MIN(18,_xlfn.XLOOKUP($D1139&amp;"_"&amp;K$52,$B$14:$B$36&amp;"_"&amp;$C$14:$C$36,$D$14:$D$36)*$E1139)</f>
        <v>3.1276</v>
      </c>
      <c r="L1139" s="95" cm="1">
        <f ca="1" t="array" ref="L1139">MIN(6,_xlfn.XLOOKUP($D1139&amp;"_"&amp;L$52,$B$14:$B$36&amp;"_"&amp;$C$14:$C$36,$D$14:$D$36)*$E1139)</f>
        <v>5.86425</v>
      </c>
      <c r="M1139" s="95" cm="1">
        <f ca="1" t="array" ref="M1139">(1+SUMPRODUCT(G1139:H1139,OFFSET($H$40:$I$40,D1139,0)))*(1+OFFSET($J$40,D1139,0))^I1139*(1+OFFSET($K$40,D1139,0))^J1139*(1+OFFSET($L$40,D1139,0))^K1139*(1+OFFSET($M$40,D1139,0))^L1139</f>
        <v>305.972782914697</v>
      </c>
      <c r="N1139" s="95">
        <f ca="1">MAX(MAX($N$53:N1138),OFFSET($C$52,MATCH(M1139*1.07,$M$53:$M$2052,1),0)-C1139)</f>
        <v>61560</v>
      </c>
    </row>
    <row r="1140" spans="2:14">
      <c r="B1140" s="95">
        <v>1088</v>
      </c>
      <c r="C1140" s="95">
        <f t="shared" si="89"/>
        <v>391680</v>
      </c>
      <c r="D1140" s="95">
        <f ca="1">_xlfn.XLOOKUP(总览!$B$44,$B$40:$B$45,$C$40:$C$45)</f>
        <v>5</v>
      </c>
      <c r="E1140" s="95">
        <f ca="1" t="shared" si="85"/>
        <v>1118</v>
      </c>
      <c r="F1140" s="95">
        <f ca="1" t="shared" si="90"/>
        <v>0</v>
      </c>
      <c r="G1140" s="95">
        <f ca="1" t="shared" si="91"/>
        <v>0</v>
      </c>
      <c r="H1140" s="95" cm="1">
        <f ca="1" t="array" ref="H1140">MIN(30-SUM(I1140:L1140),_xlfn.XLOOKUP($D1140&amp;"_"&amp;H$52,$B$14:$B$36&amp;"_"&amp;$C$14:$C$36,$D$14:$D$36)*$E1140,18)</f>
        <v>12.8696</v>
      </c>
      <c r="I1140" s="95" cm="1">
        <f ca="1" t="array" ref="I1140">MIN(30-SUM(J1140:L1140),6-L1140,_xlfn.XLOOKUP($D1140&amp;"_"&amp;I$52,$B$14:$B$36&amp;"_"&amp;$C$14:$C$36,$D$14:$D$36)*$E1140)</f>
        <v>0.1305</v>
      </c>
      <c r="J1140" s="95" cm="1">
        <f ca="1" t="array" ref="J1140">MIN(8,_xlfn.XLOOKUP($D1140&amp;"_"&amp;J$52,$B$14:$B$36&amp;"_"&amp;$C$14:$C$36,$D$14:$D$36)*$E1140)</f>
        <v>8</v>
      </c>
      <c r="K1140" s="95" cm="1">
        <f ca="1" t="array" ref="K1140">MIN(18,_xlfn.XLOOKUP($D1140&amp;"_"&amp;K$52,$B$14:$B$36&amp;"_"&amp;$C$14:$C$36,$D$14:$D$36)*$E1140)</f>
        <v>3.1304</v>
      </c>
      <c r="L1140" s="95" cm="1">
        <f ca="1" t="array" ref="L1140">MIN(6,_xlfn.XLOOKUP($D1140&amp;"_"&amp;L$52,$B$14:$B$36&amp;"_"&amp;$C$14:$C$36,$D$14:$D$36)*$E1140)</f>
        <v>5.8695</v>
      </c>
      <c r="M1140" s="95" cm="1">
        <f ca="1" t="array" ref="M1140">(1+SUMPRODUCT(G1140:H1140,OFFSET($H$40:$I$40,D1140,0)))*(1+OFFSET($J$40,D1140,0))^I1140*(1+OFFSET($K$40,D1140,0))^J1140*(1+OFFSET($L$40,D1140,0))^K1140*(1+OFFSET($M$40,D1140,0))^L1140</f>
        <v>306.168632936601</v>
      </c>
      <c r="N1140" s="95">
        <f ca="1">MAX(MAX($N$53:N1139),OFFSET($C$52,MATCH(M1140*1.07,$M$53:$M$2052,1),0)-C1140)</f>
        <v>61920</v>
      </c>
    </row>
    <row r="1141" spans="2:14">
      <c r="B1141" s="95">
        <v>1089</v>
      </c>
      <c r="C1141" s="95">
        <f t="shared" si="89"/>
        <v>392040</v>
      </c>
      <c r="D1141" s="95">
        <f ca="1">_xlfn.XLOOKUP(总览!$B$44,$B$40:$B$45,$C$40:$C$45)</f>
        <v>5</v>
      </c>
      <c r="E1141" s="95">
        <f ca="1" t="shared" si="85"/>
        <v>1119</v>
      </c>
      <c r="F1141" s="95">
        <f ca="1" t="shared" si="90"/>
        <v>0</v>
      </c>
      <c r="G1141" s="95">
        <f ca="1" t="shared" si="91"/>
        <v>0</v>
      </c>
      <c r="H1141" s="95" cm="1">
        <f ca="1" t="array" ref="H1141">MIN(30-SUM(I1141:L1141),_xlfn.XLOOKUP($D1141&amp;"_"&amp;H$52,$B$14:$B$36&amp;"_"&amp;$C$14:$C$36,$D$14:$D$36)*$E1141,18)</f>
        <v>12.8668</v>
      </c>
      <c r="I1141" s="95" cm="1">
        <f ca="1" t="array" ref="I1141">MIN(30-SUM(J1141:L1141),6-L1141,_xlfn.XLOOKUP($D1141&amp;"_"&amp;I$52,$B$14:$B$36&amp;"_"&amp;$C$14:$C$36,$D$14:$D$36)*$E1141)</f>
        <v>0.125249999999999</v>
      </c>
      <c r="J1141" s="95" cm="1">
        <f ca="1" t="array" ref="J1141">MIN(8,_xlfn.XLOOKUP($D1141&amp;"_"&amp;J$52,$B$14:$B$36&amp;"_"&amp;$C$14:$C$36,$D$14:$D$36)*$E1141)</f>
        <v>8</v>
      </c>
      <c r="K1141" s="95" cm="1">
        <f ca="1" t="array" ref="K1141">MIN(18,_xlfn.XLOOKUP($D1141&amp;"_"&amp;K$52,$B$14:$B$36&amp;"_"&amp;$C$14:$C$36,$D$14:$D$36)*$E1141)</f>
        <v>3.1332</v>
      </c>
      <c r="L1141" s="95" cm="1">
        <f ca="1" t="array" ref="L1141">MIN(6,_xlfn.XLOOKUP($D1141&amp;"_"&amp;L$52,$B$14:$B$36&amp;"_"&amp;$C$14:$C$36,$D$14:$D$36)*$E1141)</f>
        <v>5.87475</v>
      </c>
      <c r="M1141" s="95" cm="1">
        <f ca="1" t="array" ref="M1141">(1+SUMPRODUCT(G1141:H1141,OFFSET($H$40:$I$40,D1141,0)))*(1+OFFSET($J$40,D1141,0))^I1141*(1+OFFSET($K$40,D1141,0))^J1141*(1+OFFSET($L$40,D1141,0))^K1141*(1+OFFSET($M$40,D1141,0))^L1141</f>
        <v>306.364600798229</v>
      </c>
      <c r="N1141" s="95">
        <f ca="1">MAX(MAX($N$53:N1140),OFFSET($C$52,MATCH(M1141*1.07,$M$53:$M$2052,1),0)-C1141)</f>
        <v>62280</v>
      </c>
    </row>
    <row r="1142" spans="2:14">
      <c r="B1142" s="95">
        <v>1090</v>
      </c>
      <c r="C1142" s="95">
        <f t="shared" si="89"/>
        <v>392400</v>
      </c>
      <c r="D1142" s="95">
        <f ca="1">_xlfn.XLOOKUP(总览!$B$44,$B$40:$B$45,$C$40:$C$45)</f>
        <v>5</v>
      </c>
      <c r="E1142" s="95">
        <f ca="1" t="shared" ref="E1142:E1205" si="92">INT(C1142/_xlfn.XLOOKUP(D1142,$N$5:$N$16,$O$5:$O$16))+OFFSET($R$40,D1142,0)</f>
        <v>1120</v>
      </c>
      <c r="F1142" s="95">
        <f ca="1" t="shared" si="90"/>
        <v>0</v>
      </c>
      <c r="G1142" s="95">
        <f ca="1" t="shared" si="91"/>
        <v>0</v>
      </c>
      <c r="H1142" s="95" cm="1">
        <f ca="1" t="array" ref="H1142">MIN(30-SUM(I1142:L1142),_xlfn.XLOOKUP($D1142&amp;"_"&amp;H$52,$B$14:$B$36&amp;"_"&amp;$C$14:$C$36,$D$14:$D$36)*$E1142,18)</f>
        <v>12.864</v>
      </c>
      <c r="I1142" s="95" cm="1">
        <f ca="1" t="array" ref="I1142">MIN(30-SUM(J1142:L1142),6-L1142,_xlfn.XLOOKUP($D1142&amp;"_"&amp;I$52,$B$14:$B$36&amp;"_"&amp;$C$14:$C$36,$D$14:$D$36)*$E1142)</f>
        <v>0.119999999999999</v>
      </c>
      <c r="J1142" s="95" cm="1">
        <f ca="1" t="array" ref="J1142">MIN(8,_xlfn.XLOOKUP($D1142&amp;"_"&amp;J$52,$B$14:$B$36&amp;"_"&amp;$C$14:$C$36,$D$14:$D$36)*$E1142)</f>
        <v>8</v>
      </c>
      <c r="K1142" s="95" cm="1">
        <f ca="1" t="array" ref="K1142">MIN(18,_xlfn.XLOOKUP($D1142&amp;"_"&amp;K$52,$B$14:$B$36&amp;"_"&amp;$C$14:$C$36,$D$14:$D$36)*$E1142)</f>
        <v>3.136</v>
      </c>
      <c r="L1142" s="95" cm="1">
        <f ca="1" t="array" ref="L1142">MIN(6,_xlfn.XLOOKUP($D1142&amp;"_"&amp;L$52,$B$14:$B$36&amp;"_"&amp;$C$14:$C$36,$D$14:$D$36)*$E1142)</f>
        <v>5.88</v>
      </c>
      <c r="M1142" s="95" cm="1">
        <f ca="1" t="array" ref="M1142">(1+SUMPRODUCT(G1142:H1142,OFFSET($H$40:$I$40,D1142,0)))*(1+OFFSET($J$40,D1142,0))^I1142*(1+OFFSET($K$40,D1142,0))^J1142*(1+OFFSET($L$40,D1142,0))^K1142*(1+OFFSET($M$40,D1142,0))^L1142</f>
        <v>306.560686563019</v>
      </c>
      <c r="N1142" s="95">
        <f ca="1">MAX(MAX($N$53:N1141),OFFSET($C$52,MATCH(M1142*1.07,$M$53:$M$2052,1),0)-C1142)</f>
        <v>62280</v>
      </c>
    </row>
    <row r="1143" spans="2:14">
      <c r="B1143" s="95">
        <v>1091</v>
      </c>
      <c r="C1143" s="95">
        <f t="shared" si="89"/>
        <v>392760</v>
      </c>
      <c r="D1143" s="95">
        <f ca="1">_xlfn.XLOOKUP(总览!$B$44,$B$40:$B$45,$C$40:$C$45)</f>
        <v>5</v>
      </c>
      <c r="E1143" s="95">
        <f ca="1" t="shared" si="92"/>
        <v>1121</v>
      </c>
      <c r="F1143" s="95">
        <f ca="1" t="shared" si="90"/>
        <v>0</v>
      </c>
      <c r="G1143" s="95">
        <f ca="1" t="shared" si="91"/>
        <v>0</v>
      </c>
      <c r="H1143" s="95" cm="1">
        <f ca="1" t="array" ref="H1143">MIN(30-SUM(I1143:L1143),_xlfn.XLOOKUP($D1143&amp;"_"&amp;H$52,$B$14:$B$36&amp;"_"&amp;$C$14:$C$36,$D$14:$D$36)*$E1143,18)</f>
        <v>12.8612</v>
      </c>
      <c r="I1143" s="95" cm="1">
        <f ca="1" t="array" ref="I1143">MIN(30-SUM(J1143:L1143),6-L1143,_xlfn.XLOOKUP($D1143&amp;"_"&amp;I$52,$B$14:$B$36&amp;"_"&amp;$C$14:$C$36,$D$14:$D$36)*$E1143)</f>
        <v>0.11475</v>
      </c>
      <c r="J1143" s="95" cm="1">
        <f ca="1" t="array" ref="J1143">MIN(8,_xlfn.XLOOKUP($D1143&amp;"_"&amp;J$52,$B$14:$B$36&amp;"_"&amp;$C$14:$C$36,$D$14:$D$36)*$E1143)</f>
        <v>8</v>
      </c>
      <c r="K1143" s="95" cm="1">
        <f ca="1" t="array" ref="K1143">MIN(18,_xlfn.XLOOKUP($D1143&amp;"_"&amp;K$52,$B$14:$B$36&amp;"_"&amp;$C$14:$C$36,$D$14:$D$36)*$E1143)</f>
        <v>3.1388</v>
      </c>
      <c r="L1143" s="95" cm="1">
        <f ca="1" t="array" ref="L1143">MIN(6,_xlfn.XLOOKUP($D1143&amp;"_"&amp;L$52,$B$14:$B$36&amp;"_"&amp;$C$14:$C$36,$D$14:$D$36)*$E1143)</f>
        <v>5.88525</v>
      </c>
      <c r="M1143" s="95" cm="1">
        <f ca="1" t="array" ref="M1143">(1+SUMPRODUCT(G1143:H1143,OFFSET($H$40:$I$40,D1143,0)))*(1+OFFSET($J$40,D1143,0))^I1143*(1+OFFSET($K$40,D1143,0))^J1143*(1+OFFSET($L$40,D1143,0))^K1143*(1+OFFSET($M$40,D1143,0))^L1143</f>
        <v>306.756890294439</v>
      </c>
      <c r="N1143" s="95">
        <f ca="1">MAX(MAX($N$53:N1142),OFFSET($C$52,MATCH(M1143*1.07,$M$53:$M$2052,1),0)-C1143)</f>
        <v>62640</v>
      </c>
    </row>
    <row r="1144" spans="2:14">
      <c r="B1144" s="95">
        <v>1092</v>
      </c>
      <c r="C1144" s="95">
        <f t="shared" si="89"/>
        <v>393120</v>
      </c>
      <c r="D1144" s="95">
        <f ca="1">_xlfn.XLOOKUP(总览!$B$44,$B$40:$B$45,$C$40:$C$45)</f>
        <v>5</v>
      </c>
      <c r="E1144" s="95">
        <f ca="1" t="shared" si="92"/>
        <v>1122</v>
      </c>
      <c r="F1144" s="95">
        <f ca="1" t="shared" si="90"/>
        <v>0</v>
      </c>
      <c r="G1144" s="95">
        <f ca="1" t="shared" si="91"/>
        <v>0</v>
      </c>
      <c r="H1144" s="95" cm="1">
        <f ca="1" t="array" ref="H1144">MIN(30-SUM(I1144:L1144),_xlfn.XLOOKUP($D1144&amp;"_"&amp;H$52,$B$14:$B$36&amp;"_"&amp;$C$14:$C$36,$D$14:$D$36)*$E1144,18)</f>
        <v>12.8584</v>
      </c>
      <c r="I1144" s="95" cm="1">
        <f ca="1" t="array" ref="I1144">MIN(30-SUM(J1144:L1144),6-L1144,_xlfn.XLOOKUP($D1144&amp;"_"&amp;I$52,$B$14:$B$36&amp;"_"&amp;$C$14:$C$36,$D$14:$D$36)*$E1144)</f>
        <v>0.1095</v>
      </c>
      <c r="J1144" s="95" cm="1">
        <f ca="1" t="array" ref="J1144">MIN(8,_xlfn.XLOOKUP($D1144&amp;"_"&amp;J$52,$B$14:$B$36&amp;"_"&amp;$C$14:$C$36,$D$14:$D$36)*$E1144)</f>
        <v>8</v>
      </c>
      <c r="K1144" s="95" cm="1">
        <f ca="1" t="array" ref="K1144">MIN(18,_xlfn.XLOOKUP($D1144&amp;"_"&amp;K$52,$B$14:$B$36&amp;"_"&amp;$C$14:$C$36,$D$14:$D$36)*$E1144)</f>
        <v>3.1416</v>
      </c>
      <c r="L1144" s="95" cm="1">
        <f ca="1" t="array" ref="L1144">MIN(6,_xlfn.XLOOKUP($D1144&amp;"_"&amp;L$52,$B$14:$B$36&amp;"_"&amp;$C$14:$C$36,$D$14:$D$36)*$E1144)</f>
        <v>5.8905</v>
      </c>
      <c r="M1144" s="95" cm="1">
        <f ca="1" t="array" ref="M1144">(1+SUMPRODUCT(G1144:H1144,OFFSET($H$40:$I$40,D1144,0)))*(1+OFFSET($J$40,D1144,0))^I1144*(1+OFFSET($K$40,D1144,0))^J1144*(1+OFFSET($L$40,D1144,0))^K1144*(1+OFFSET($M$40,D1144,0))^L1144</f>
        <v>306.95321205598</v>
      </c>
      <c r="N1144" s="95">
        <f ca="1">MAX(MAX($N$53:N1143),OFFSET($C$52,MATCH(M1144*1.07,$M$53:$M$2052,1),0)-C1144)</f>
        <v>63000</v>
      </c>
    </row>
    <row r="1145" spans="2:14">
      <c r="B1145" s="95">
        <v>1093</v>
      </c>
      <c r="C1145" s="95">
        <f t="shared" si="89"/>
        <v>393480</v>
      </c>
      <c r="D1145" s="95">
        <f ca="1">_xlfn.XLOOKUP(总览!$B$44,$B$40:$B$45,$C$40:$C$45)</f>
        <v>5</v>
      </c>
      <c r="E1145" s="95">
        <f ca="1" t="shared" si="92"/>
        <v>1123</v>
      </c>
      <c r="F1145" s="95">
        <f ca="1" t="shared" si="90"/>
        <v>0</v>
      </c>
      <c r="G1145" s="95">
        <f ca="1" t="shared" si="91"/>
        <v>0</v>
      </c>
      <c r="H1145" s="95" cm="1">
        <f ca="1" t="array" ref="H1145">MIN(30-SUM(I1145:L1145),_xlfn.XLOOKUP($D1145&amp;"_"&amp;H$52,$B$14:$B$36&amp;"_"&amp;$C$14:$C$36,$D$14:$D$36)*$E1145,18)</f>
        <v>12.8556</v>
      </c>
      <c r="I1145" s="95" cm="1">
        <f ca="1" t="array" ref="I1145">MIN(30-SUM(J1145:L1145),6-L1145,_xlfn.XLOOKUP($D1145&amp;"_"&amp;I$52,$B$14:$B$36&amp;"_"&amp;$C$14:$C$36,$D$14:$D$36)*$E1145)</f>
        <v>0.10425</v>
      </c>
      <c r="J1145" s="95" cm="1">
        <f ca="1" t="array" ref="J1145">MIN(8,_xlfn.XLOOKUP($D1145&amp;"_"&amp;J$52,$B$14:$B$36&amp;"_"&amp;$C$14:$C$36,$D$14:$D$36)*$E1145)</f>
        <v>8</v>
      </c>
      <c r="K1145" s="95" cm="1">
        <f ca="1" t="array" ref="K1145">MIN(18,_xlfn.XLOOKUP($D1145&amp;"_"&amp;K$52,$B$14:$B$36&amp;"_"&amp;$C$14:$C$36,$D$14:$D$36)*$E1145)</f>
        <v>3.1444</v>
      </c>
      <c r="L1145" s="95" cm="1">
        <f ca="1" t="array" ref="L1145">MIN(6,_xlfn.XLOOKUP($D1145&amp;"_"&amp;L$52,$B$14:$B$36&amp;"_"&amp;$C$14:$C$36,$D$14:$D$36)*$E1145)</f>
        <v>5.89575</v>
      </c>
      <c r="M1145" s="95" cm="1">
        <f ca="1" t="array" ref="M1145">(1+SUMPRODUCT(G1145:H1145,OFFSET($H$40:$I$40,D1145,0)))*(1+OFFSET($J$40,D1145,0))^I1145*(1+OFFSET($K$40,D1145,0))^J1145*(1+OFFSET($L$40,D1145,0))^K1145*(1+OFFSET($M$40,D1145,0))^L1145</f>
        <v>307.149651911162</v>
      </c>
      <c r="N1145" s="95">
        <f ca="1">MAX(MAX($N$53:N1144),OFFSET($C$52,MATCH(M1145*1.07,$M$53:$M$2052,1),0)-C1145)</f>
        <v>63360</v>
      </c>
    </row>
    <row r="1146" spans="2:14">
      <c r="B1146" s="95">
        <v>1094</v>
      </c>
      <c r="C1146" s="95">
        <f t="shared" si="89"/>
        <v>393840</v>
      </c>
      <c r="D1146" s="95">
        <f ca="1">_xlfn.XLOOKUP(总览!$B$44,$B$40:$B$45,$C$40:$C$45)</f>
        <v>5</v>
      </c>
      <c r="E1146" s="95">
        <f ca="1" t="shared" si="92"/>
        <v>1124</v>
      </c>
      <c r="F1146" s="95">
        <f ca="1" t="shared" si="90"/>
        <v>0</v>
      </c>
      <c r="G1146" s="95">
        <f ca="1" t="shared" si="91"/>
        <v>0</v>
      </c>
      <c r="H1146" s="95" cm="1">
        <f ca="1" t="array" ref="H1146">MIN(30-SUM(I1146:L1146),_xlfn.XLOOKUP($D1146&amp;"_"&amp;H$52,$B$14:$B$36&amp;"_"&amp;$C$14:$C$36,$D$14:$D$36)*$E1146,18)</f>
        <v>12.8528</v>
      </c>
      <c r="I1146" s="95" cm="1">
        <f ca="1" t="array" ref="I1146">MIN(30-SUM(J1146:L1146),6-L1146,_xlfn.XLOOKUP($D1146&amp;"_"&amp;I$52,$B$14:$B$36&amp;"_"&amp;$C$14:$C$36,$D$14:$D$36)*$E1146)</f>
        <v>0.0989999999999993</v>
      </c>
      <c r="J1146" s="95" cm="1">
        <f ca="1" t="array" ref="J1146">MIN(8,_xlfn.XLOOKUP($D1146&amp;"_"&amp;J$52,$B$14:$B$36&amp;"_"&amp;$C$14:$C$36,$D$14:$D$36)*$E1146)</f>
        <v>8</v>
      </c>
      <c r="K1146" s="95" cm="1">
        <f ca="1" t="array" ref="K1146">MIN(18,_xlfn.XLOOKUP($D1146&amp;"_"&amp;K$52,$B$14:$B$36&amp;"_"&amp;$C$14:$C$36,$D$14:$D$36)*$E1146)</f>
        <v>3.1472</v>
      </c>
      <c r="L1146" s="95" cm="1">
        <f ca="1" t="array" ref="L1146">MIN(6,_xlfn.XLOOKUP($D1146&amp;"_"&amp;L$52,$B$14:$B$36&amp;"_"&amp;$C$14:$C$36,$D$14:$D$36)*$E1146)</f>
        <v>5.901</v>
      </c>
      <c r="M1146" s="95" cm="1">
        <f ca="1" t="array" ref="M1146">(1+SUMPRODUCT(G1146:H1146,OFFSET($H$40:$I$40,D1146,0)))*(1+OFFSET($J$40,D1146,0))^I1146*(1+OFFSET($K$40,D1146,0))^J1146*(1+OFFSET($L$40,D1146,0))^K1146*(1+OFFSET($M$40,D1146,0))^L1146</f>
        <v>307.346209923529</v>
      </c>
      <c r="N1146" s="95">
        <f ca="1">MAX(MAX($N$53:N1145),OFFSET($C$52,MATCH(M1146*1.07,$M$53:$M$2052,1),0)-C1146)</f>
        <v>63720</v>
      </c>
    </row>
    <row r="1147" spans="2:14">
      <c r="B1147" s="95">
        <v>1095</v>
      </c>
      <c r="C1147" s="95">
        <f t="shared" si="89"/>
        <v>394200</v>
      </c>
      <c r="D1147" s="95">
        <f ca="1">_xlfn.XLOOKUP(总览!$B$44,$B$40:$B$45,$C$40:$C$45)</f>
        <v>5</v>
      </c>
      <c r="E1147" s="95">
        <f ca="1" t="shared" si="92"/>
        <v>1125</v>
      </c>
      <c r="F1147" s="95">
        <f ca="1" t="shared" si="90"/>
        <v>0</v>
      </c>
      <c r="G1147" s="95">
        <f ca="1" t="shared" si="91"/>
        <v>0</v>
      </c>
      <c r="H1147" s="95" cm="1">
        <f ca="1" t="array" ref="H1147">MIN(30-SUM(I1147:L1147),_xlfn.XLOOKUP($D1147&amp;"_"&amp;H$52,$B$14:$B$36&amp;"_"&amp;$C$14:$C$36,$D$14:$D$36)*$E1147,18)</f>
        <v>12.85</v>
      </c>
      <c r="I1147" s="95" cm="1">
        <f ca="1" t="array" ref="I1147">MIN(30-SUM(J1147:L1147),6-L1147,_xlfn.XLOOKUP($D1147&amp;"_"&amp;I$52,$B$14:$B$36&amp;"_"&amp;$C$14:$C$36,$D$14:$D$36)*$E1147)</f>
        <v>0.09375</v>
      </c>
      <c r="J1147" s="95" cm="1">
        <f ca="1" t="array" ref="J1147">MIN(8,_xlfn.XLOOKUP($D1147&amp;"_"&amp;J$52,$B$14:$B$36&amp;"_"&amp;$C$14:$C$36,$D$14:$D$36)*$E1147)</f>
        <v>8</v>
      </c>
      <c r="K1147" s="95" cm="1">
        <f ca="1" t="array" ref="K1147">MIN(18,_xlfn.XLOOKUP($D1147&amp;"_"&amp;K$52,$B$14:$B$36&amp;"_"&amp;$C$14:$C$36,$D$14:$D$36)*$E1147)</f>
        <v>3.15</v>
      </c>
      <c r="L1147" s="95" cm="1">
        <f ca="1" t="array" ref="L1147">MIN(6,_xlfn.XLOOKUP($D1147&amp;"_"&amp;L$52,$B$14:$B$36&amp;"_"&amp;$C$14:$C$36,$D$14:$D$36)*$E1147)</f>
        <v>5.90625</v>
      </c>
      <c r="M1147" s="95" cm="1">
        <f ca="1" t="array" ref="M1147">(1+SUMPRODUCT(G1147:H1147,OFFSET($H$40:$I$40,D1147,0)))*(1+OFFSET($J$40,D1147,0))^I1147*(1+OFFSET($K$40,D1147,0))^J1147*(1+OFFSET($L$40,D1147,0))^K1147*(1+OFFSET($M$40,D1147,0))^L1147</f>
        <v>307.542886156653</v>
      </c>
      <c r="N1147" s="95">
        <f ca="1">MAX(MAX($N$53:N1146),OFFSET($C$52,MATCH(M1147*1.07,$M$53:$M$2052,1),0)-C1147)</f>
        <v>64080</v>
      </c>
    </row>
    <row r="1148" spans="2:14">
      <c r="B1148" s="95">
        <v>1096</v>
      </c>
      <c r="C1148" s="95">
        <f t="shared" si="89"/>
        <v>394560</v>
      </c>
      <c r="D1148" s="95">
        <f ca="1">_xlfn.XLOOKUP(总览!$B$44,$B$40:$B$45,$C$40:$C$45)</f>
        <v>5</v>
      </c>
      <c r="E1148" s="95">
        <f ca="1" t="shared" si="92"/>
        <v>1126</v>
      </c>
      <c r="F1148" s="95">
        <f ca="1" t="shared" si="90"/>
        <v>0</v>
      </c>
      <c r="G1148" s="95">
        <f ca="1" t="shared" si="91"/>
        <v>0</v>
      </c>
      <c r="H1148" s="95" cm="1">
        <f ca="1" t="array" ref="H1148">MIN(30-SUM(I1148:L1148),_xlfn.XLOOKUP($D1148&amp;"_"&amp;H$52,$B$14:$B$36&amp;"_"&amp;$C$14:$C$36,$D$14:$D$36)*$E1148,18)</f>
        <v>12.8472</v>
      </c>
      <c r="I1148" s="95" cm="1">
        <f ca="1" t="array" ref="I1148">MIN(30-SUM(J1148:L1148),6-L1148,_xlfn.XLOOKUP($D1148&amp;"_"&amp;I$52,$B$14:$B$36&amp;"_"&amp;$C$14:$C$36,$D$14:$D$36)*$E1148)</f>
        <v>0.0884999999999998</v>
      </c>
      <c r="J1148" s="95" cm="1">
        <f ca="1" t="array" ref="J1148">MIN(8,_xlfn.XLOOKUP($D1148&amp;"_"&amp;J$52,$B$14:$B$36&amp;"_"&amp;$C$14:$C$36,$D$14:$D$36)*$E1148)</f>
        <v>8</v>
      </c>
      <c r="K1148" s="95" cm="1">
        <f ca="1" t="array" ref="K1148">MIN(18,_xlfn.XLOOKUP($D1148&amp;"_"&amp;K$52,$B$14:$B$36&amp;"_"&amp;$C$14:$C$36,$D$14:$D$36)*$E1148)</f>
        <v>3.1528</v>
      </c>
      <c r="L1148" s="95" cm="1">
        <f ca="1" t="array" ref="L1148">MIN(6,_xlfn.XLOOKUP($D1148&amp;"_"&amp;L$52,$B$14:$B$36&amp;"_"&amp;$C$14:$C$36,$D$14:$D$36)*$E1148)</f>
        <v>5.9115</v>
      </c>
      <c r="M1148" s="95" cm="1">
        <f ca="1" t="array" ref="M1148">(1+SUMPRODUCT(G1148:H1148,OFFSET($H$40:$I$40,D1148,0)))*(1+OFFSET($J$40,D1148,0))^I1148*(1+OFFSET($K$40,D1148,0))^J1148*(1+OFFSET($L$40,D1148,0))^K1148*(1+OFFSET($M$40,D1148,0))^L1148</f>
        <v>307.739680674131</v>
      </c>
      <c r="N1148" s="95">
        <f ca="1">MAX(MAX($N$53:N1147),OFFSET($C$52,MATCH(M1148*1.07,$M$53:$M$2052,1),0)-C1148)</f>
        <v>64080</v>
      </c>
    </row>
    <row r="1149" spans="2:14">
      <c r="B1149" s="95">
        <v>1097</v>
      </c>
      <c r="C1149" s="95">
        <f t="shared" ref="C1149:C1180" si="93">C1148+360</f>
        <v>394920</v>
      </c>
      <c r="D1149" s="95">
        <f ca="1">_xlfn.XLOOKUP(总览!$B$44,$B$40:$B$45,$C$40:$C$45)</f>
        <v>5</v>
      </c>
      <c r="E1149" s="95">
        <f ca="1" t="shared" si="92"/>
        <v>1127</v>
      </c>
      <c r="F1149" s="95">
        <f ca="1" t="shared" ref="F1149:F1180" si="94">30-SUM(G1149:L1149)</f>
        <v>0</v>
      </c>
      <c r="G1149" s="95">
        <f ca="1" t="shared" ref="G1149:G1180" si="95">30-SUM(H1149:L1149)</f>
        <v>0</v>
      </c>
      <c r="H1149" s="95" cm="1">
        <f ca="1" t="array" ref="H1149">MIN(30-SUM(I1149:L1149),_xlfn.XLOOKUP($D1149&amp;"_"&amp;H$52,$B$14:$B$36&amp;"_"&amp;$C$14:$C$36,$D$14:$D$36)*$E1149,18)</f>
        <v>12.8444</v>
      </c>
      <c r="I1149" s="95" cm="1">
        <f ca="1" t="array" ref="I1149">MIN(30-SUM(J1149:L1149),6-L1149,_xlfn.XLOOKUP($D1149&amp;"_"&amp;I$52,$B$14:$B$36&amp;"_"&amp;$C$14:$C$36,$D$14:$D$36)*$E1149)</f>
        <v>0.0832499999999996</v>
      </c>
      <c r="J1149" s="95" cm="1">
        <f ca="1" t="array" ref="J1149">MIN(8,_xlfn.XLOOKUP($D1149&amp;"_"&amp;J$52,$B$14:$B$36&amp;"_"&amp;$C$14:$C$36,$D$14:$D$36)*$E1149)</f>
        <v>8</v>
      </c>
      <c r="K1149" s="95" cm="1">
        <f ca="1" t="array" ref="K1149">MIN(18,_xlfn.XLOOKUP($D1149&amp;"_"&amp;K$52,$B$14:$B$36&amp;"_"&amp;$C$14:$C$36,$D$14:$D$36)*$E1149)</f>
        <v>3.1556</v>
      </c>
      <c r="L1149" s="95" cm="1">
        <f ca="1" t="array" ref="L1149">MIN(6,_xlfn.XLOOKUP($D1149&amp;"_"&amp;L$52,$B$14:$B$36&amp;"_"&amp;$C$14:$C$36,$D$14:$D$36)*$E1149)</f>
        <v>5.91675</v>
      </c>
      <c r="M1149" s="95" cm="1">
        <f ca="1" t="array" ref="M1149">(1+SUMPRODUCT(G1149:H1149,OFFSET($H$40:$I$40,D1149,0)))*(1+OFFSET($J$40,D1149,0))^I1149*(1+OFFSET($K$40,D1149,0))^J1149*(1+OFFSET($L$40,D1149,0))^K1149*(1+OFFSET($M$40,D1149,0))^L1149</f>
        <v>307.936593539588</v>
      </c>
      <c r="N1149" s="95">
        <f ca="1">MAX(MAX($N$53:N1148),OFFSET($C$52,MATCH(M1149*1.07,$M$53:$M$2052,1),0)-C1149)</f>
        <v>64440</v>
      </c>
    </row>
    <row r="1150" spans="2:14">
      <c r="B1150" s="95">
        <v>1098</v>
      </c>
      <c r="C1150" s="95">
        <f t="shared" si="93"/>
        <v>395280</v>
      </c>
      <c r="D1150" s="95">
        <f ca="1">_xlfn.XLOOKUP(总览!$B$44,$B$40:$B$45,$C$40:$C$45)</f>
        <v>5</v>
      </c>
      <c r="E1150" s="95">
        <f ca="1" t="shared" si="92"/>
        <v>1128</v>
      </c>
      <c r="F1150" s="95">
        <f ca="1" t="shared" si="94"/>
        <v>0</v>
      </c>
      <c r="G1150" s="95">
        <f ca="1" t="shared" si="95"/>
        <v>0</v>
      </c>
      <c r="H1150" s="95" cm="1">
        <f ca="1" t="array" ref="H1150">MIN(30-SUM(I1150:L1150),_xlfn.XLOOKUP($D1150&amp;"_"&amp;H$52,$B$14:$B$36&amp;"_"&amp;$C$14:$C$36,$D$14:$D$36)*$E1150,18)</f>
        <v>12.8416</v>
      </c>
      <c r="I1150" s="95" cm="1">
        <f ca="1" t="array" ref="I1150">MIN(30-SUM(J1150:L1150),6-L1150,_xlfn.XLOOKUP($D1150&amp;"_"&amp;I$52,$B$14:$B$36&amp;"_"&amp;$C$14:$C$36,$D$14:$D$36)*$E1150)</f>
        <v>0.0779999999999994</v>
      </c>
      <c r="J1150" s="95" cm="1">
        <f ca="1" t="array" ref="J1150">MIN(8,_xlfn.XLOOKUP($D1150&amp;"_"&amp;J$52,$B$14:$B$36&amp;"_"&amp;$C$14:$C$36,$D$14:$D$36)*$E1150)</f>
        <v>8</v>
      </c>
      <c r="K1150" s="95" cm="1">
        <f ca="1" t="array" ref="K1150">MIN(18,_xlfn.XLOOKUP($D1150&amp;"_"&amp;K$52,$B$14:$B$36&amp;"_"&amp;$C$14:$C$36,$D$14:$D$36)*$E1150)</f>
        <v>3.1584</v>
      </c>
      <c r="L1150" s="95" cm="1">
        <f ca="1" t="array" ref="L1150">MIN(6,_xlfn.XLOOKUP($D1150&amp;"_"&amp;L$52,$B$14:$B$36&amp;"_"&amp;$C$14:$C$36,$D$14:$D$36)*$E1150)</f>
        <v>5.922</v>
      </c>
      <c r="M1150" s="95" cm="1">
        <f ca="1" t="array" ref="M1150">(1+SUMPRODUCT(G1150:H1150,OFFSET($H$40:$I$40,D1150,0)))*(1+OFFSET($J$40,D1150,0))^I1150*(1+OFFSET($K$40,D1150,0))^J1150*(1+OFFSET($L$40,D1150,0))^K1150*(1+OFFSET($M$40,D1150,0))^L1150</f>
        <v>308.133624816674</v>
      </c>
      <c r="N1150" s="95">
        <f ca="1">MAX(MAX($N$53:N1149),OFFSET($C$52,MATCH(M1150*1.07,$M$53:$M$2052,1),0)-C1150)</f>
        <v>64800</v>
      </c>
    </row>
    <row r="1151" spans="2:14">
      <c r="B1151" s="95">
        <v>1099</v>
      </c>
      <c r="C1151" s="95">
        <f t="shared" si="93"/>
        <v>395640</v>
      </c>
      <c r="D1151" s="95">
        <f ca="1">_xlfn.XLOOKUP(总览!$B$44,$B$40:$B$45,$C$40:$C$45)</f>
        <v>5</v>
      </c>
      <c r="E1151" s="95">
        <f ca="1" t="shared" si="92"/>
        <v>1129</v>
      </c>
      <c r="F1151" s="95">
        <f ca="1" t="shared" si="94"/>
        <v>0</v>
      </c>
      <c r="G1151" s="95">
        <f ca="1" t="shared" si="95"/>
        <v>0</v>
      </c>
      <c r="H1151" s="95" cm="1">
        <f ca="1" t="array" ref="H1151">MIN(30-SUM(I1151:L1151),_xlfn.XLOOKUP($D1151&amp;"_"&amp;H$52,$B$14:$B$36&amp;"_"&amp;$C$14:$C$36,$D$14:$D$36)*$E1151,18)</f>
        <v>12.8388</v>
      </c>
      <c r="I1151" s="95" cm="1">
        <f ca="1" t="array" ref="I1151">MIN(30-SUM(J1151:L1151),6-L1151,_xlfn.XLOOKUP($D1151&amp;"_"&amp;I$52,$B$14:$B$36&amp;"_"&amp;$C$14:$C$36,$D$14:$D$36)*$E1151)</f>
        <v>0.0727499999999992</v>
      </c>
      <c r="J1151" s="95" cm="1">
        <f ca="1" t="array" ref="J1151">MIN(8,_xlfn.XLOOKUP($D1151&amp;"_"&amp;J$52,$B$14:$B$36&amp;"_"&amp;$C$14:$C$36,$D$14:$D$36)*$E1151)</f>
        <v>8</v>
      </c>
      <c r="K1151" s="95" cm="1">
        <f ca="1" t="array" ref="K1151">MIN(18,_xlfn.XLOOKUP($D1151&amp;"_"&amp;K$52,$B$14:$B$36&amp;"_"&amp;$C$14:$C$36,$D$14:$D$36)*$E1151)</f>
        <v>3.1612</v>
      </c>
      <c r="L1151" s="95" cm="1">
        <f ca="1" t="array" ref="L1151">MIN(6,_xlfn.XLOOKUP($D1151&amp;"_"&amp;L$52,$B$14:$B$36&amp;"_"&amp;$C$14:$C$36,$D$14:$D$36)*$E1151)</f>
        <v>5.92725</v>
      </c>
      <c r="M1151" s="95" cm="1">
        <f ca="1" t="array" ref="M1151">(1+SUMPRODUCT(G1151:H1151,OFFSET($H$40:$I$40,D1151,0)))*(1+OFFSET($J$40,D1151,0))^I1151*(1+OFFSET($K$40,D1151,0))^J1151*(1+OFFSET($L$40,D1151,0))^K1151*(1+OFFSET($M$40,D1151,0))^L1151</f>
        <v>308.330774569065</v>
      </c>
      <c r="N1151" s="95">
        <f ca="1">MAX(MAX($N$53:N1150),OFFSET($C$52,MATCH(M1151*1.07,$M$53:$M$2052,1),0)-C1151)</f>
        <v>65160</v>
      </c>
    </row>
    <row r="1152" spans="2:14">
      <c r="B1152" s="95">
        <v>1100</v>
      </c>
      <c r="C1152" s="95">
        <f t="shared" si="93"/>
        <v>396000</v>
      </c>
      <c r="D1152" s="95">
        <f ca="1">_xlfn.XLOOKUP(总览!$B$44,$B$40:$B$45,$C$40:$C$45)</f>
        <v>5</v>
      </c>
      <c r="E1152" s="95">
        <f ca="1" t="shared" si="92"/>
        <v>1130</v>
      </c>
      <c r="F1152" s="95">
        <f ca="1" t="shared" si="94"/>
        <v>0</v>
      </c>
      <c r="G1152" s="95">
        <f ca="1" t="shared" si="95"/>
        <v>0</v>
      </c>
      <c r="H1152" s="95" cm="1">
        <f ca="1" t="array" ref="H1152">MIN(30-SUM(I1152:L1152),_xlfn.XLOOKUP($D1152&amp;"_"&amp;H$52,$B$14:$B$36&amp;"_"&amp;$C$14:$C$36,$D$14:$D$36)*$E1152,18)</f>
        <v>12.836</v>
      </c>
      <c r="I1152" s="95" cm="1">
        <f ca="1" t="array" ref="I1152">MIN(30-SUM(J1152:L1152),6-L1152,_xlfn.XLOOKUP($D1152&amp;"_"&amp;I$52,$B$14:$B$36&amp;"_"&amp;$C$14:$C$36,$D$14:$D$36)*$E1152)</f>
        <v>0.0674999999999999</v>
      </c>
      <c r="J1152" s="95" cm="1">
        <f ca="1" t="array" ref="J1152">MIN(8,_xlfn.XLOOKUP($D1152&amp;"_"&amp;J$52,$B$14:$B$36&amp;"_"&amp;$C$14:$C$36,$D$14:$D$36)*$E1152)</f>
        <v>8</v>
      </c>
      <c r="K1152" s="95" cm="1">
        <f ca="1" t="array" ref="K1152">MIN(18,_xlfn.XLOOKUP($D1152&amp;"_"&amp;K$52,$B$14:$B$36&amp;"_"&amp;$C$14:$C$36,$D$14:$D$36)*$E1152)</f>
        <v>3.164</v>
      </c>
      <c r="L1152" s="95" cm="1">
        <f ca="1" t="array" ref="L1152">MIN(6,_xlfn.XLOOKUP($D1152&amp;"_"&amp;L$52,$B$14:$B$36&amp;"_"&amp;$C$14:$C$36,$D$14:$D$36)*$E1152)</f>
        <v>5.9325</v>
      </c>
      <c r="M1152" s="95" cm="1">
        <f ca="1" t="array" ref="M1152">(1+SUMPRODUCT(G1152:H1152,OFFSET($H$40:$I$40,D1152,0)))*(1+OFFSET($J$40,D1152,0))^I1152*(1+OFFSET($K$40,D1152,0))^J1152*(1+OFFSET($L$40,D1152,0))^K1152*(1+OFFSET($M$40,D1152,0))^L1152</f>
        <v>308.528042860463</v>
      </c>
      <c r="N1152" s="95">
        <f ca="1">MAX(MAX($N$53:N1151),OFFSET($C$52,MATCH(M1152*1.07,$M$53:$M$2052,1),0)-C1152)</f>
        <v>65520</v>
      </c>
    </row>
    <row r="1153" spans="2:14">
      <c r="B1153" s="95">
        <v>1101</v>
      </c>
      <c r="C1153" s="95">
        <f t="shared" si="93"/>
        <v>396360</v>
      </c>
      <c r="D1153" s="95">
        <f ca="1">_xlfn.XLOOKUP(总览!$B$44,$B$40:$B$45,$C$40:$C$45)</f>
        <v>5</v>
      </c>
      <c r="E1153" s="95">
        <f ca="1" t="shared" si="92"/>
        <v>1131</v>
      </c>
      <c r="F1153" s="95">
        <f ca="1" t="shared" si="94"/>
        <v>0</v>
      </c>
      <c r="G1153" s="95">
        <f ca="1" t="shared" si="95"/>
        <v>0</v>
      </c>
      <c r="H1153" s="95" cm="1">
        <f ca="1" t="array" ref="H1153">MIN(30-SUM(I1153:L1153),_xlfn.XLOOKUP($D1153&amp;"_"&amp;H$52,$B$14:$B$36&amp;"_"&amp;$C$14:$C$36,$D$14:$D$36)*$E1153,18)</f>
        <v>12.8332</v>
      </c>
      <c r="I1153" s="95" cm="1">
        <f ca="1" t="array" ref="I1153">MIN(30-SUM(J1153:L1153),6-L1153,_xlfn.XLOOKUP($D1153&amp;"_"&amp;I$52,$B$14:$B$36&amp;"_"&amp;$C$14:$C$36,$D$14:$D$36)*$E1153)</f>
        <v>0.0622499999999997</v>
      </c>
      <c r="J1153" s="95" cm="1">
        <f ca="1" t="array" ref="J1153">MIN(8,_xlfn.XLOOKUP($D1153&amp;"_"&amp;J$52,$B$14:$B$36&amp;"_"&amp;$C$14:$C$36,$D$14:$D$36)*$E1153)</f>
        <v>8</v>
      </c>
      <c r="K1153" s="95" cm="1">
        <f ca="1" t="array" ref="K1153">MIN(18,_xlfn.XLOOKUP($D1153&amp;"_"&amp;K$52,$B$14:$B$36&amp;"_"&amp;$C$14:$C$36,$D$14:$D$36)*$E1153)</f>
        <v>3.1668</v>
      </c>
      <c r="L1153" s="95" cm="1">
        <f ca="1" t="array" ref="L1153">MIN(6,_xlfn.XLOOKUP($D1153&amp;"_"&amp;L$52,$B$14:$B$36&amp;"_"&amp;$C$14:$C$36,$D$14:$D$36)*$E1153)</f>
        <v>5.93775</v>
      </c>
      <c r="M1153" s="95" cm="1">
        <f ca="1" t="array" ref="M1153">(1+SUMPRODUCT(G1153:H1153,OFFSET($H$40:$I$40,D1153,0)))*(1+OFFSET($J$40,D1153,0))^I1153*(1+OFFSET($K$40,D1153,0))^J1153*(1+OFFSET($L$40,D1153,0))^K1153*(1+OFFSET($M$40,D1153,0))^L1153</f>
        <v>308.725429754599</v>
      </c>
      <c r="N1153" s="95">
        <f ca="1">MAX(MAX($N$53:N1152),OFFSET($C$52,MATCH(M1153*1.07,$M$53:$M$2052,1),0)-C1153)</f>
        <v>65520</v>
      </c>
    </row>
    <row r="1154" spans="2:14">
      <c r="B1154" s="95">
        <v>1102</v>
      </c>
      <c r="C1154" s="95">
        <f t="shared" si="93"/>
        <v>396720</v>
      </c>
      <c r="D1154" s="95">
        <f ca="1">_xlfn.XLOOKUP(总览!$B$44,$B$40:$B$45,$C$40:$C$45)</f>
        <v>5</v>
      </c>
      <c r="E1154" s="95">
        <f ca="1" t="shared" si="92"/>
        <v>1132</v>
      </c>
      <c r="F1154" s="95">
        <f ca="1" t="shared" si="94"/>
        <v>0</v>
      </c>
      <c r="G1154" s="95">
        <f ca="1" t="shared" si="95"/>
        <v>0</v>
      </c>
      <c r="H1154" s="95" cm="1">
        <f ca="1" t="array" ref="H1154">MIN(30-SUM(I1154:L1154),_xlfn.XLOOKUP($D1154&amp;"_"&amp;H$52,$B$14:$B$36&amp;"_"&amp;$C$14:$C$36,$D$14:$D$36)*$E1154,18)</f>
        <v>12.8304</v>
      </c>
      <c r="I1154" s="95" cm="1">
        <f ca="1" t="array" ref="I1154">MIN(30-SUM(J1154:L1154),6-L1154,_xlfn.XLOOKUP($D1154&amp;"_"&amp;I$52,$B$14:$B$36&amp;"_"&amp;$C$14:$C$36,$D$14:$D$36)*$E1154)</f>
        <v>0.0569999999999995</v>
      </c>
      <c r="J1154" s="95" cm="1">
        <f ca="1" t="array" ref="J1154">MIN(8,_xlfn.XLOOKUP($D1154&amp;"_"&amp;J$52,$B$14:$B$36&amp;"_"&amp;$C$14:$C$36,$D$14:$D$36)*$E1154)</f>
        <v>8</v>
      </c>
      <c r="K1154" s="95" cm="1">
        <f ca="1" t="array" ref="K1154">MIN(18,_xlfn.XLOOKUP($D1154&amp;"_"&amp;K$52,$B$14:$B$36&amp;"_"&amp;$C$14:$C$36,$D$14:$D$36)*$E1154)</f>
        <v>3.1696</v>
      </c>
      <c r="L1154" s="95" cm="1">
        <f ca="1" t="array" ref="L1154">MIN(6,_xlfn.XLOOKUP($D1154&amp;"_"&amp;L$52,$B$14:$B$36&amp;"_"&amp;$C$14:$C$36,$D$14:$D$36)*$E1154)</f>
        <v>5.943</v>
      </c>
      <c r="M1154" s="95" cm="1">
        <f ca="1" t="array" ref="M1154">(1+SUMPRODUCT(G1154:H1154,OFFSET($H$40:$I$40,D1154,0)))*(1+OFFSET($J$40,D1154,0))^I1154*(1+OFFSET($K$40,D1154,0))^J1154*(1+OFFSET($L$40,D1154,0))^K1154*(1+OFFSET($M$40,D1154,0))^L1154</f>
        <v>308.922935315227</v>
      </c>
      <c r="N1154" s="95">
        <f ca="1">MAX(MAX($N$53:N1153),OFFSET($C$52,MATCH(M1154*1.07,$M$53:$M$2052,1),0)-C1154)</f>
        <v>65880</v>
      </c>
    </row>
    <row r="1155" spans="2:14">
      <c r="B1155" s="95">
        <v>1103</v>
      </c>
      <c r="C1155" s="95">
        <f t="shared" si="93"/>
        <v>397080</v>
      </c>
      <c r="D1155" s="95">
        <f ca="1">_xlfn.XLOOKUP(总览!$B$44,$B$40:$B$45,$C$40:$C$45)</f>
        <v>5</v>
      </c>
      <c r="E1155" s="95">
        <f ca="1" t="shared" si="92"/>
        <v>1133</v>
      </c>
      <c r="F1155" s="95">
        <f ca="1" t="shared" si="94"/>
        <v>0</v>
      </c>
      <c r="G1155" s="95">
        <f ca="1" t="shared" si="95"/>
        <v>0</v>
      </c>
      <c r="H1155" s="95" cm="1">
        <f ca="1" t="array" ref="H1155">MIN(30-SUM(I1155:L1155),_xlfn.XLOOKUP($D1155&amp;"_"&amp;H$52,$B$14:$B$36&amp;"_"&amp;$C$14:$C$36,$D$14:$D$36)*$E1155,18)</f>
        <v>12.8276</v>
      </c>
      <c r="I1155" s="95" cm="1">
        <f ca="1" t="array" ref="I1155">MIN(30-SUM(J1155:L1155),6-L1155,_xlfn.XLOOKUP($D1155&amp;"_"&amp;I$52,$B$14:$B$36&amp;"_"&amp;$C$14:$C$36,$D$14:$D$36)*$E1155)</f>
        <v>0.0517499999999993</v>
      </c>
      <c r="J1155" s="95" cm="1">
        <f ca="1" t="array" ref="J1155">MIN(8,_xlfn.XLOOKUP($D1155&amp;"_"&amp;J$52,$B$14:$B$36&amp;"_"&amp;$C$14:$C$36,$D$14:$D$36)*$E1155)</f>
        <v>8</v>
      </c>
      <c r="K1155" s="95" cm="1">
        <f ca="1" t="array" ref="K1155">MIN(18,_xlfn.XLOOKUP($D1155&amp;"_"&amp;K$52,$B$14:$B$36&amp;"_"&amp;$C$14:$C$36,$D$14:$D$36)*$E1155)</f>
        <v>3.1724</v>
      </c>
      <c r="L1155" s="95" cm="1">
        <f ca="1" t="array" ref="L1155">MIN(6,_xlfn.XLOOKUP($D1155&amp;"_"&amp;L$52,$B$14:$B$36&amp;"_"&amp;$C$14:$C$36,$D$14:$D$36)*$E1155)</f>
        <v>5.94825</v>
      </c>
      <c r="M1155" s="95" cm="1">
        <f ca="1" t="array" ref="M1155">(1+SUMPRODUCT(G1155:H1155,OFFSET($H$40:$I$40,D1155,0)))*(1+OFFSET($J$40,D1155,0))^I1155*(1+OFFSET($K$40,D1155,0))^J1155*(1+OFFSET($L$40,D1155,0))^K1155*(1+OFFSET($M$40,D1155,0))^L1155</f>
        <v>309.12055960613</v>
      </c>
      <c r="N1155" s="95">
        <f ca="1">MAX(MAX($N$53:N1154),OFFSET($C$52,MATCH(M1155*1.07,$M$53:$M$2052,1),0)-C1155)</f>
        <v>66240</v>
      </c>
    </row>
    <row r="1156" spans="2:14">
      <c r="B1156" s="95">
        <v>1104</v>
      </c>
      <c r="C1156" s="95">
        <f t="shared" si="93"/>
        <v>397440</v>
      </c>
      <c r="D1156" s="95">
        <f ca="1">_xlfn.XLOOKUP(总览!$B$44,$B$40:$B$45,$C$40:$C$45)</f>
        <v>5</v>
      </c>
      <c r="E1156" s="95">
        <f ca="1" t="shared" si="92"/>
        <v>1134</v>
      </c>
      <c r="F1156" s="95">
        <f ca="1" t="shared" si="94"/>
        <v>0</v>
      </c>
      <c r="G1156" s="95">
        <f ca="1" t="shared" si="95"/>
        <v>0</v>
      </c>
      <c r="H1156" s="95" cm="1">
        <f ca="1" t="array" ref="H1156">MIN(30-SUM(I1156:L1156),_xlfn.XLOOKUP($D1156&amp;"_"&amp;H$52,$B$14:$B$36&amp;"_"&amp;$C$14:$C$36,$D$14:$D$36)*$E1156,18)</f>
        <v>12.8248</v>
      </c>
      <c r="I1156" s="95" cm="1">
        <f ca="1" t="array" ref="I1156">MIN(30-SUM(J1156:L1156),6-L1156,_xlfn.XLOOKUP($D1156&amp;"_"&amp;I$52,$B$14:$B$36&amp;"_"&amp;$C$14:$C$36,$D$14:$D$36)*$E1156)</f>
        <v>0.0465</v>
      </c>
      <c r="J1156" s="95" cm="1">
        <f ca="1" t="array" ref="J1156">MIN(8,_xlfn.XLOOKUP($D1156&amp;"_"&amp;J$52,$B$14:$B$36&amp;"_"&amp;$C$14:$C$36,$D$14:$D$36)*$E1156)</f>
        <v>8</v>
      </c>
      <c r="K1156" s="95" cm="1">
        <f ca="1" t="array" ref="K1156">MIN(18,_xlfn.XLOOKUP($D1156&amp;"_"&amp;K$52,$B$14:$B$36&amp;"_"&amp;$C$14:$C$36,$D$14:$D$36)*$E1156)</f>
        <v>3.1752</v>
      </c>
      <c r="L1156" s="95" cm="1">
        <f ca="1" t="array" ref="L1156">MIN(6,_xlfn.XLOOKUP($D1156&amp;"_"&amp;L$52,$B$14:$B$36&amp;"_"&amp;$C$14:$C$36,$D$14:$D$36)*$E1156)</f>
        <v>5.9535</v>
      </c>
      <c r="M1156" s="95" cm="1">
        <f ca="1" t="array" ref="M1156">(1+SUMPRODUCT(G1156:H1156,OFFSET($H$40:$I$40,D1156,0)))*(1+OFFSET($J$40,D1156,0))^I1156*(1+OFFSET($K$40,D1156,0))^J1156*(1+OFFSET($L$40,D1156,0))^K1156*(1+OFFSET($M$40,D1156,0))^L1156</f>
        <v>309.318302691114</v>
      </c>
      <c r="N1156" s="95">
        <f ca="1">MAX(MAX($N$53:N1155),OFFSET($C$52,MATCH(M1156*1.07,$M$53:$M$2052,1),0)-C1156)</f>
        <v>66600</v>
      </c>
    </row>
    <row r="1157" spans="2:14">
      <c r="B1157" s="95">
        <v>1105</v>
      </c>
      <c r="C1157" s="95">
        <f t="shared" si="93"/>
        <v>397800</v>
      </c>
      <c r="D1157" s="95">
        <f ca="1">_xlfn.XLOOKUP(总览!$B$44,$B$40:$B$45,$C$40:$C$45)</f>
        <v>5</v>
      </c>
      <c r="E1157" s="95">
        <f ca="1" t="shared" si="92"/>
        <v>1135</v>
      </c>
      <c r="F1157" s="95">
        <f ca="1" t="shared" si="94"/>
        <v>0</v>
      </c>
      <c r="G1157" s="95">
        <f ca="1" t="shared" si="95"/>
        <v>0</v>
      </c>
      <c r="H1157" s="95" cm="1">
        <f ca="1" t="array" ref="H1157">MIN(30-SUM(I1157:L1157),_xlfn.XLOOKUP($D1157&amp;"_"&amp;H$52,$B$14:$B$36&amp;"_"&amp;$C$14:$C$36,$D$14:$D$36)*$E1157,18)</f>
        <v>12.822</v>
      </c>
      <c r="I1157" s="95" cm="1">
        <f ca="1" t="array" ref="I1157">MIN(30-SUM(J1157:L1157),6-L1157,_xlfn.XLOOKUP($D1157&amp;"_"&amp;I$52,$B$14:$B$36&amp;"_"&amp;$C$14:$C$36,$D$14:$D$36)*$E1157)</f>
        <v>0.0412499999999998</v>
      </c>
      <c r="J1157" s="95" cm="1">
        <f ca="1" t="array" ref="J1157">MIN(8,_xlfn.XLOOKUP($D1157&amp;"_"&amp;J$52,$B$14:$B$36&amp;"_"&amp;$C$14:$C$36,$D$14:$D$36)*$E1157)</f>
        <v>8</v>
      </c>
      <c r="K1157" s="95" cm="1">
        <f ca="1" t="array" ref="K1157">MIN(18,_xlfn.XLOOKUP($D1157&amp;"_"&amp;K$52,$B$14:$B$36&amp;"_"&amp;$C$14:$C$36,$D$14:$D$36)*$E1157)</f>
        <v>3.178</v>
      </c>
      <c r="L1157" s="95" cm="1">
        <f ca="1" t="array" ref="L1157">MIN(6,_xlfn.XLOOKUP($D1157&amp;"_"&amp;L$52,$B$14:$B$36&amp;"_"&amp;$C$14:$C$36,$D$14:$D$36)*$E1157)</f>
        <v>5.95875</v>
      </c>
      <c r="M1157" s="95" cm="1">
        <f ca="1" t="array" ref="M1157">(1+SUMPRODUCT(G1157:H1157,OFFSET($H$40:$I$40,D1157,0)))*(1+OFFSET($J$40,D1157,0))^I1157*(1+OFFSET($K$40,D1157,0))^J1157*(1+OFFSET($L$40,D1157,0))^K1157*(1+OFFSET($M$40,D1157,0))^L1157</f>
        <v>309.516164634015</v>
      </c>
      <c r="N1157" s="95">
        <f ca="1">MAX(MAX($N$53:N1156),OFFSET($C$52,MATCH(M1157*1.07,$M$53:$M$2052,1),0)-C1157)</f>
        <v>66960</v>
      </c>
    </row>
    <row r="1158" spans="2:14">
      <c r="B1158" s="95">
        <v>1106</v>
      </c>
      <c r="C1158" s="95">
        <f t="shared" si="93"/>
        <v>398160</v>
      </c>
      <c r="D1158" s="95">
        <f ca="1">_xlfn.XLOOKUP(总览!$B$44,$B$40:$B$45,$C$40:$C$45)</f>
        <v>5</v>
      </c>
      <c r="E1158" s="95">
        <f ca="1" t="shared" si="92"/>
        <v>1136</v>
      </c>
      <c r="F1158" s="95">
        <f ca="1" t="shared" si="94"/>
        <v>0</v>
      </c>
      <c r="G1158" s="95">
        <f ca="1" t="shared" si="95"/>
        <v>0</v>
      </c>
      <c r="H1158" s="95" cm="1">
        <f ca="1" t="array" ref="H1158">MIN(30-SUM(I1158:L1158),_xlfn.XLOOKUP($D1158&amp;"_"&amp;H$52,$B$14:$B$36&amp;"_"&amp;$C$14:$C$36,$D$14:$D$36)*$E1158,18)</f>
        <v>12.8192</v>
      </c>
      <c r="I1158" s="95" cm="1">
        <f ca="1" t="array" ref="I1158">MIN(30-SUM(J1158:L1158),6-L1158,_xlfn.XLOOKUP($D1158&amp;"_"&amp;I$52,$B$14:$B$36&amp;"_"&amp;$C$14:$C$36,$D$14:$D$36)*$E1158)</f>
        <v>0.0359999999999996</v>
      </c>
      <c r="J1158" s="95" cm="1">
        <f ca="1" t="array" ref="J1158">MIN(8,_xlfn.XLOOKUP($D1158&amp;"_"&amp;J$52,$B$14:$B$36&amp;"_"&amp;$C$14:$C$36,$D$14:$D$36)*$E1158)</f>
        <v>8</v>
      </c>
      <c r="K1158" s="95" cm="1">
        <f ca="1" t="array" ref="K1158">MIN(18,_xlfn.XLOOKUP($D1158&amp;"_"&amp;K$52,$B$14:$B$36&amp;"_"&amp;$C$14:$C$36,$D$14:$D$36)*$E1158)</f>
        <v>3.1808</v>
      </c>
      <c r="L1158" s="95" cm="1">
        <f ca="1" t="array" ref="L1158">MIN(6,_xlfn.XLOOKUP($D1158&amp;"_"&amp;L$52,$B$14:$B$36&amp;"_"&amp;$C$14:$C$36,$D$14:$D$36)*$E1158)</f>
        <v>5.964</v>
      </c>
      <c r="M1158" s="95" cm="1">
        <f ca="1" t="array" ref="M1158">(1+SUMPRODUCT(G1158:H1158,OFFSET($H$40:$I$40,D1158,0)))*(1+OFFSET($J$40,D1158,0))^I1158*(1+OFFSET($K$40,D1158,0))^J1158*(1+OFFSET($L$40,D1158,0))^K1158*(1+OFFSET($M$40,D1158,0))^L1158</f>
        <v>309.714145498692</v>
      </c>
      <c r="N1158" s="95">
        <f ca="1">MAX(MAX($N$53:N1157),OFFSET($C$52,MATCH(M1158*1.07,$M$53:$M$2052,1),0)-C1158)</f>
        <v>67320</v>
      </c>
    </row>
    <row r="1159" spans="2:14">
      <c r="B1159" s="95">
        <v>1107</v>
      </c>
      <c r="C1159" s="95">
        <f t="shared" si="93"/>
        <v>398520</v>
      </c>
      <c r="D1159" s="95">
        <f ca="1">_xlfn.XLOOKUP(总览!$B$44,$B$40:$B$45,$C$40:$C$45)</f>
        <v>5</v>
      </c>
      <c r="E1159" s="95">
        <f ca="1" t="shared" si="92"/>
        <v>1137</v>
      </c>
      <c r="F1159" s="95">
        <f ca="1" t="shared" si="94"/>
        <v>0</v>
      </c>
      <c r="G1159" s="95">
        <f ca="1" t="shared" si="95"/>
        <v>0</v>
      </c>
      <c r="H1159" s="95" cm="1">
        <f ca="1" t="array" ref="H1159">MIN(30-SUM(I1159:L1159),_xlfn.XLOOKUP($D1159&amp;"_"&amp;H$52,$B$14:$B$36&amp;"_"&amp;$C$14:$C$36,$D$14:$D$36)*$E1159,18)</f>
        <v>12.8164</v>
      </c>
      <c r="I1159" s="95" cm="1">
        <f ca="1" t="array" ref="I1159">MIN(30-SUM(J1159:L1159),6-L1159,_xlfn.XLOOKUP($D1159&amp;"_"&amp;I$52,$B$14:$B$36&amp;"_"&amp;$C$14:$C$36,$D$14:$D$36)*$E1159)</f>
        <v>0.0307499999999994</v>
      </c>
      <c r="J1159" s="95" cm="1">
        <f ca="1" t="array" ref="J1159">MIN(8,_xlfn.XLOOKUP($D1159&amp;"_"&amp;J$52,$B$14:$B$36&amp;"_"&amp;$C$14:$C$36,$D$14:$D$36)*$E1159)</f>
        <v>8</v>
      </c>
      <c r="K1159" s="95" cm="1">
        <f ca="1" t="array" ref="K1159">MIN(18,_xlfn.XLOOKUP($D1159&amp;"_"&amp;K$52,$B$14:$B$36&amp;"_"&amp;$C$14:$C$36,$D$14:$D$36)*$E1159)</f>
        <v>3.1836</v>
      </c>
      <c r="L1159" s="95" cm="1">
        <f ca="1" t="array" ref="L1159">MIN(6,_xlfn.XLOOKUP($D1159&amp;"_"&amp;L$52,$B$14:$B$36&amp;"_"&amp;$C$14:$C$36,$D$14:$D$36)*$E1159)</f>
        <v>5.96925</v>
      </c>
      <c r="M1159" s="95" cm="1">
        <f ca="1" t="array" ref="M1159">(1+SUMPRODUCT(G1159:H1159,OFFSET($H$40:$I$40,D1159,0)))*(1+OFFSET($J$40,D1159,0))^I1159*(1+OFFSET($K$40,D1159,0))^J1159*(1+OFFSET($L$40,D1159,0))^K1159*(1+OFFSET($M$40,D1159,0))^L1159</f>
        <v>309.912245349034</v>
      </c>
      <c r="N1159" s="95">
        <f ca="1">MAX(MAX($N$53:N1158),OFFSET($C$52,MATCH(M1159*1.07,$M$53:$M$2052,1),0)-C1159)</f>
        <v>67680</v>
      </c>
    </row>
    <row r="1160" spans="2:14">
      <c r="B1160" s="95">
        <v>1108</v>
      </c>
      <c r="C1160" s="95">
        <f t="shared" si="93"/>
        <v>398880</v>
      </c>
      <c r="D1160" s="95">
        <f ca="1">_xlfn.XLOOKUP(总览!$B$44,$B$40:$B$45,$C$40:$C$45)</f>
        <v>5</v>
      </c>
      <c r="E1160" s="95">
        <f ca="1" t="shared" si="92"/>
        <v>1138</v>
      </c>
      <c r="F1160" s="95">
        <f ca="1" t="shared" si="94"/>
        <v>0</v>
      </c>
      <c r="G1160" s="95">
        <f ca="1" t="shared" si="95"/>
        <v>0</v>
      </c>
      <c r="H1160" s="95" cm="1">
        <f ca="1" t="array" ref="H1160">MIN(30-SUM(I1160:L1160),_xlfn.XLOOKUP($D1160&amp;"_"&amp;H$52,$B$14:$B$36&amp;"_"&amp;$C$14:$C$36,$D$14:$D$36)*$E1160,18)</f>
        <v>12.8136</v>
      </c>
      <c r="I1160" s="95" cm="1">
        <f ca="1" t="array" ref="I1160">MIN(30-SUM(J1160:L1160),6-L1160,_xlfn.XLOOKUP($D1160&amp;"_"&amp;I$52,$B$14:$B$36&amp;"_"&amp;$C$14:$C$36,$D$14:$D$36)*$E1160)</f>
        <v>0.0254999999999992</v>
      </c>
      <c r="J1160" s="95" cm="1">
        <f ca="1" t="array" ref="J1160">MIN(8,_xlfn.XLOOKUP($D1160&amp;"_"&amp;J$52,$B$14:$B$36&amp;"_"&amp;$C$14:$C$36,$D$14:$D$36)*$E1160)</f>
        <v>8</v>
      </c>
      <c r="K1160" s="95" cm="1">
        <f ca="1" t="array" ref="K1160">MIN(18,_xlfn.XLOOKUP($D1160&amp;"_"&amp;K$52,$B$14:$B$36&amp;"_"&amp;$C$14:$C$36,$D$14:$D$36)*$E1160)</f>
        <v>3.1864</v>
      </c>
      <c r="L1160" s="95" cm="1">
        <f ca="1" t="array" ref="L1160">MIN(6,_xlfn.XLOOKUP($D1160&amp;"_"&amp;L$52,$B$14:$B$36&amp;"_"&amp;$C$14:$C$36,$D$14:$D$36)*$E1160)</f>
        <v>5.9745</v>
      </c>
      <c r="M1160" s="95" cm="1">
        <f ca="1" t="array" ref="M1160">(1+SUMPRODUCT(G1160:H1160,OFFSET($H$40:$I$40,D1160,0)))*(1+OFFSET($J$40,D1160,0))^I1160*(1+OFFSET($K$40,D1160,0))^J1160*(1+OFFSET($L$40,D1160,0))^K1160*(1+OFFSET($M$40,D1160,0))^L1160</f>
        <v>310.110464248952</v>
      </c>
      <c r="N1160" s="95">
        <f ca="1">MAX(MAX($N$53:N1159),OFFSET($C$52,MATCH(M1160*1.07,$M$53:$M$2052,1),0)-C1160)</f>
        <v>67680</v>
      </c>
    </row>
    <row r="1161" spans="2:14">
      <c r="B1161" s="95">
        <v>1109</v>
      </c>
      <c r="C1161" s="95">
        <f t="shared" si="93"/>
        <v>399240</v>
      </c>
      <c r="D1161" s="95">
        <f ca="1">_xlfn.XLOOKUP(总览!$B$44,$B$40:$B$45,$C$40:$C$45)</f>
        <v>5</v>
      </c>
      <c r="E1161" s="95">
        <f ca="1" t="shared" si="92"/>
        <v>1139</v>
      </c>
      <c r="F1161" s="95">
        <f ca="1" t="shared" si="94"/>
        <v>0</v>
      </c>
      <c r="G1161" s="95">
        <f ca="1" t="shared" si="95"/>
        <v>0</v>
      </c>
      <c r="H1161" s="95" cm="1">
        <f ca="1" t="array" ref="H1161">MIN(30-SUM(I1161:L1161),_xlfn.XLOOKUP($D1161&amp;"_"&amp;H$52,$B$14:$B$36&amp;"_"&amp;$C$14:$C$36,$D$14:$D$36)*$E1161,18)</f>
        <v>12.8108</v>
      </c>
      <c r="I1161" s="95" cm="1">
        <f ca="1" t="array" ref="I1161">MIN(30-SUM(J1161:L1161),6-L1161,_xlfn.XLOOKUP($D1161&amp;"_"&amp;I$52,$B$14:$B$36&amp;"_"&amp;$C$14:$C$36,$D$14:$D$36)*$E1161)</f>
        <v>0.0202499999999999</v>
      </c>
      <c r="J1161" s="95" cm="1">
        <f ca="1" t="array" ref="J1161">MIN(8,_xlfn.XLOOKUP($D1161&amp;"_"&amp;J$52,$B$14:$B$36&amp;"_"&amp;$C$14:$C$36,$D$14:$D$36)*$E1161)</f>
        <v>8</v>
      </c>
      <c r="K1161" s="95" cm="1">
        <f ca="1" t="array" ref="K1161">MIN(18,_xlfn.XLOOKUP($D1161&amp;"_"&amp;K$52,$B$14:$B$36&amp;"_"&amp;$C$14:$C$36,$D$14:$D$36)*$E1161)</f>
        <v>3.1892</v>
      </c>
      <c r="L1161" s="95" cm="1">
        <f ca="1" t="array" ref="L1161">MIN(6,_xlfn.XLOOKUP($D1161&amp;"_"&amp;L$52,$B$14:$B$36&amp;"_"&amp;$C$14:$C$36,$D$14:$D$36)*$E1161)</f>
        <v>5.97975</v>
      </c>
      <c r="M1161" s="95" cm="1">
        <f ca="1" t="array" ref="M1161">(1+SUMPRODUCT(G1161:H1161,OFFSET($H$40:$I$40,D1161,0)))*(1+OFFSET($J$40,D1161,0))^I1161*(1+OFFSET($K$40,D1161,0))^J1161*(1+OFFSET($L$40,D1161,0))^K1161*(1+OFFSET($M$40,D1161,0))^L1161</f>
        <v>310.308802262387</v>
      </c>
      <c r="N1161" s="95">
        <f ca="1">MAX(MAX($N$53:N1160),OFFSET($C$52,MATCH(M1161*1.07,$M$53:$M$2052,1),0)-C1161)</f>
        <v>68040</v>
      </c>
    </row>
    <row r="1162" spans="2:14">
      <c r="B1162" s="95">
        <v>1110</v>
      </c>
      <c r="C1162" s="95">
        <f t="shared" si="93"/>
        <v>399600</v>
      </c>
      <c r="D1162" s="95">
        <f ca="1">_xlfn.XLOOKUP(总览!$B$44,$B$40:$B$45,$C$40:$C$45)</f>
        <v>5</v>
      </c>
      <c r="E1162" s="95">
        <f ca="1" t="shared" si="92"/>
        <v>1140</v>
      </c>
      <c r="F1162" s="95">
        <f ca="1" t="shared" si="94"/>
        <v>0</v>
      </c>
      <c r="G1162" s="95">
        <f ca="1" t="shared" si="95"/>
        <v>0</v>
      </c>
      <c r="H1162" s="95" cm="1">
        <f ca="1" t="array" ref="H1162">MIN(30-SUM(I1162:L1162),_xlfn.XLOOKUP($D1162&amp;"_"&amp;H$52,$B$14:$B$36&amp;"_"&amp;$C$14:$C$36,$D$14:$D$36)*$E1162,18)</f>
        <v>12.808</v>
      </c>
      <c r="I1162" s="95" cm="1">
        <f ca="1" t="array" ref="I1162">MIN(30-SUM(J1162:L1162),6-L1162,_xlfn.XLOOKUP($D1162&amp;"_"&amp;I$52,$B$14:$B$36&amp;"_"&amp;$C$14:$C$36,$D$14:$D$36)*$E1162)</f>
        <v>0.0149999999999997</v>
      </c>
      <c r="J1162" s="95" cm="1">
        <f ca="1" t="array" ref="J1162">MIN(8,_xlfn.XLOOKUP($D1162&amp;"_"&amp;J$52,$B$14:$B$36&amp;"_"&amp;$C$14:$C$36,$D$14:$D$36)*$E1162)</f>
        <v>8</v>
      </c>
      <c r="K1162" s="95" cm="1">
        <f ca="1" t="array" ref="K1162">MIN(18,_xlfn.XLOOKUP($D1162&amp;"_"&amp;K$52,$B$14:$B$36&amp;"_"&amp;$C$14:$C$36,$D$14:$D$36)*$E1162)</f>
        <v>3.192</v>
      </c>
      <c r="L1162" s="95" cm="1">
        <f ca="1" t="array" ref="L1162">MIN(6,_xlfn.XLOOKUP($D1162&amp;"_"&amp;L$52,$B$14:$B$36&amp;"_"&amp;$C$14:$C$36,$D$14:$D$36)*$E1162)</f>
        <v>5.985</v>
      </c>
      <c r="M1162" s="95" cm="1">
        <f ca="1" t="array" ref="M1162">(1+SUMPRODUCT(G1162:H1162,OFFSET($H$40:$I$40,D1162,0)))*(1+OFFSET($J$40,D1162,0))^I1162*(1+OFFSET($K$40,D1162,0))^J1162*(1+OFFSET($L$40,D1162,0))^K1162*(1+OFFSET($M$40,D1162,0))^L1162</f>
        <v>310.507259453304</v>
      </c>
      <c r="N1162" s="95">
        <f ca="1">MAX(MAX($N$53:N1161),OFFSET($C$52,MATCH(M1162*1.07,$M$53:$M$2052,1),0)-C1162)</f>
        <v>68400</v>
      </c>
    </row>
    <row r="1163" spans="2:14">
      <c r="B1163" s="95">
        <v>1111</v>
      </c>
      <c r="C1163" s="95">
        <f t="shared" si="93"/>
        <v>399960</v>
      </c>
      <c r="D1163" s="95">
        <f ca="1">_xlfn.XLOOKUP(总览!$B$44,$B$40:$B$45,$C$40:$C$45)</f>
        <v>5</v>
      </c>
      <c r="E1163" s="95">
        <f ca="1" t="shared" si="92"/>
        <v>1141</v>
      </c>
      <c r="F1163" s="95">
        <f ca="1" t="shared" si="94"/>
        <v>0</v>
      </c>
      <c r="G1163" s="95">
        <f ca="1" t="shared" si="95"/>
        <v>0</v>
      </c>
      <c r="H1163" s="95" cm="1">
        <f ca="1" t="array" ref="H1163">MIN(30-SUM(I1163:L1163),_xlfn.XLOOKUP($D1163&amp;"_"&amp;H$52,$B$14:$B$36&amp;"_"&amp;$C$14:$C$36,$D$14:$D$36)*$E1163,18)</f>
        <v>12.8052</v>
      </c>
      <c r="I1163" s="95" cm="1">
        <f ca="1" t="array" ref="I1163">MIN(30-SUM(J1163:L1163),6-L1163,_xlfn.XLOOKUP($D1163&amp;"_"&amp;I$52,$B$14:$B$36&amp;"_"&amp;$C$14:$C$36,$D$14:$D$36)*$E1163)</f>
        <v>0.00974999999999948</v>
      </c>
      <c r="J1163" s="95" cm="1">
        <f ca="1" t="array" ref="J1163">MIN(8,_xlfn.XLOOKUP($D1163&amp;"_"&amp;J$52,$B$14:$B$36&amp;"_"&amp;$C$14:$C$36,$D$14:$D$36)*$E1163)</f>
        <v>8</v>
      </c>
      <c r="K1163" s="95" cm="1">
        <f ca="1" t="array" ref="K1163">MIN(18,_xlfn.XLOOKUP($D1163&amp;"_"&amp;K$52,$B$14:$B$36&amp;"_"&amp;$C$14:$C$36,$D$14:$D$36)*$E1163)</f>
        <v>3.1948</v>
      </c>
      <c r="L1163" s="95" cm="1">
        <f ca="1" t="array" ref="L1163">MIN(6,_xlfn.XLOOKUP($D1163&amp;"_"&amp;L$52,$B$14:$B$36&amp;"_"&amp;$C$14:$C$36,$D$14:$D$36)*$E1163)</f>
        <v>5.99025</v>
      </c>
      <c r="M1163" s="95" cm="1">
        <f ca="1" t="array" ref="M1163">(1+SUMPRODUCT(G1163:H1163,OFFSET($H$40:$I$40,D1163,0)))*(1+OFFSET($J$40,D1163,0))^I1163*(1+OFFSET($K$40,D1163,0))^J1163*(1+OFFSET($L$40,D1163,0))^K1163*(1+OFFSET($M$40,D1163,0))^L1163</f>
        <v>310.705835885695</v>
      </c>
      <c r="N1163" s="95">
        <f ca="1">MAX(MAX($N$53:N1162),OFFSET($C$52,MATCH(M1163*1.07,$M$53:$M$2052,1),0)-C1163)</f>
        <v>68760</v>
      </c>
    </row>
    <row r="1164" spans="2:14">
      <c r="B1164" s="95">
        <v>1112</v>
      </c>
      <c r="C1164" s="95">
        <f t="shared" si="93"/>
        <v>400320</v>
      </c>
      <c r="D1164" s="95">
        <f ca="1">_xlfn.XLOOKUP(总览!$B$44,$B$40:$B$45,$C$40:$C$45)</f>
        <v>5</v>
      </c>
      <c r="E1164" s="95">
        <f ca="1" t="shared" si="92"/>
        <v>1142</v>
      </c>
      <c r="F1164" s="95">
        <f ca="1" t="shared" si="94"/>
        <v>0</v>
      </c>
      <c r="G1164" s="95">
        <f ca="1" t="shared" si="95"/>
        <v>0</v>
      </c>
      <c r="H1164" s="95" cm="1">
        <f ca="1" t="array" ref="H1164">MIN(30-SUM(I1164:L1164),_xlfn.XLOOKUP($D1164&amp;"_"&amp;H$52,$B$14:$B$36&amp;"_"&amp;$C$14:$C$36,$D$14:$D$36)*$E1164,18)</f>
        <v>12.8024</v>
      </c>
      <c r="I1164" s="95" cm="1">
        <f ca="1" t="array" ref="I1164">MIN(30-SUM(J1164:L1164),6-L1164,_xlfn.XLOOKUP($D1164&amp;"_"&amp;I$52,$B$14:$B$36&amp;"_"&amp;$C$14:$C$36,$D$14:$D$36)*$E1164)</f>
        <v>0.00449999999999928</v>
      </c>
      <c r="J1164" s="95" cm="1">
        <f ca="1" t="array" ref="J1164">MIN(8,_xlfn.XLOOKUP($D1164&amp;"_"&amp;J$52,$B$14:$B$36&amp;"_"&amp;$C$14:$C$36,$D$14:$D$36)*$E1164)</f>
        <v>8</v>
      </c>
      <c r="K1164" s="95" cm="1">
        <f ca="1" t="array" ref="K1164">MIN(18,_xlfn.XLOOKUP($D1164&amp;"_"&amp;K$52,$B$14:$B$36&amp;"_"&amp;$C$14:$C$36,$D$14:$D$36)*$E1164)</f>
        <v>3.1976</v>
      </c>
      <c r="L1164" s="95" cm="1">
        <f ca="1" t="array" ref="L1164">MIN(6,_xlfn.XLOOKUP($D1164&amp;"_"&amp;L$52,$B$14:$B$36&amp;"_"&amp;$C$14:$C$36,$D$14:$D$36)*$E1164)</f>
        <v>5.9955</v>
      </c>
      <c r="M1164" s="95" cm="1">
        <f ca="1" t="array" ref="M1164">(1+SUMPRODUCT(G1164:H1164,OFFSET($H$40:$I$40,D1164,0)))*(1+OFFSET($J$40,D1164,0))^I1164*(1+OFFSET($K$40,D1164,0))^J1164*(1+OFFSET($L$40,D1164,0))^K1164*(1+OFFSET($M$40,D1164,0))^L1164</f>
        <v>310.904531623579</v>
      </c>
      <c r="N1164" s="95">
        <f ca="1">MAX(MAX($N$53:N1163),OFFSET($C$52,MATCH(M1164*1.07,$M$53:$M$2052,1),0)-C1164)</f>
        <v>69120</v>
      </c>
    </row>
    <row r="1165" spans="2:14">
      <c r="B1165" s="95">
        <v>1113</v>
      </c>
      <c r="C1165" s="95">
        <f t="shared" si="93"/>
        <v>400680</v>
      </c>
      <c r="D1165" s="95">
        <f ca="1">_xlfn.XLOOKUP(总览!$B$44,$B$40:$B$45,$C$40:$C$45)</f>
        <v>5</v>
      </c>
      <c r="E1165" s="95">
        <f ca="1" t="shared" si="92"/>
        <v>1143</v>
      </c>
      <c r="F1165" s="95">
        <f ca="1" t="shared" si="94"/>
        <v>0</v>
      </c>
      <c r="G1165" s="95">
        <f ca="1" t="shared" si="95"/>
        <v>0</v>
      </c>
      <c r="H1165" s="95" cm="1">
        <f ca="1" t="array" ref="H1165">MIN(30-SUM(I1165:L1165),_xlfn.XLOOKUP($D1165&amp;"_"&amp;H$52,$B$14:$B$36&amp;"_"&amp;$C$14:$C$36,$D$14:$D$36)*$E1165,18)</f>
        <v>12.7996</v>
      </c>
      <c r="I1165" s="95" cm="1">
        <f ca="1" t="array" ref="I1165">MIN(30-SUM(J1165:L1165),6-L1165,_xlfn.XLOOKUP($D1165&amp;"_"&amp;I$52,$B$14:$B$36&amp;"_"&amp;$C$14:$C$36,$D$14:$D$36)*$E1165)</f>
        <v>0</v>
      </c>
      <c r="J1165" s="95" cm="1">
        <f ca="1" t="array" ref="J1165">MIN(8,_xlfn.XLOOKUP($D1165&amp;"_"&amp;J$52,$B$14:$B$36&amp;"_"&amp;$C$14:$C$36,$D$14:$D$36)*$E1165)</f>
        <v>8</v>
      </c>
      <c r="K1165" s="95" cm="1">
        <f ca="1" t="array" ref="K1165">MIN(18,_xlfn.XLOOKUP($D1165&amp;"_"&amp;K$52,$B$14:$B$36&amp;"_"&amp;$C$14:$C$36,$D$14:$D$36)*$E1165)</f>
        <v>3.2004</v>
      </c>
      <c r="L1165" s="95" cm="1">
        <f ca="1" t="array" ref="L1165">MIN(6,_xlfn.XLOOKUP($D1165&amp;"_"&amp;L$52,$B$14:$B$36&amp;"_"&amp;$C$14:$C$36,$D$14:$D$36)*$E1165)</f>
        <v>6</v>
      </c>
      <c r="M1165" s="95" cm="1">
        <f ca="1" t="array" ref="M1165">(1+SUMPRODUCT(G1165:H1165,OFFSET($H$40:$I$40,D1165,0)))*(1+OFFSET($J$40,D1165,0))^I1165*(1+OFFSET($K$40,D1165,0))^J1165*(1+OFFSET($L$40,D1165,0))^K1165*(1+OFFSET($M$40,D1165,0))^L1165</f>
        <v>311.090633398176</v>
      </c>
      <c r="N1165" s="95">
        <f ca="1">MAX(MAX($N$53:N1164),OFFSET($C$52,MATCH(M1165*1.07,$M$53:$M$2052,1),0)-C1165)</f>
        <v>69120</v>
      </c>
    </row>
    <row r="1166" spans="2:14">
      <c r="B1166" s="95">
        <v>1114</v>
      </c>
      <c r="C1166" s="95">
        <f t="shared" si="93"/>
        <v>401040</v>
      </c>
      <c r="D1166" s="95">
        <f ca="1">_xlfn.XLOOKUP(总览!$B$44,$B$40:$B$45,$C$40:$C$45)</f>
        <v>5</v>
      </c>
      <c r="E1166" s="95">
        <f ca="1" t="shared" si="92"/>
        <v>1144</v>
      </c>
      <c r="F1166" s="95">
        <f ca="1" t="shared" si="94"/>
        <v>0</v>
      </c>
      <c r="G1166" s="95">
        <f ca="1" t="shared" si="95"/>
        <v>0</v>
      </c>
      <c r="H1166" s="95" cm="1">
        <f ca="1" t="array" ref="H1166">MIN(30-SUM(I1166:L1166),_xlfn.XLOOKUP($D1166&amp;"_"&amp;H$52,$B$14:$B$36&amp;"_"&amp;$C$14:$C$36,$D$14:$D$36)*$E1166,18)</f>
        <v>12.7968</v>
      </c>
      <c r="I1166" s="95" cm="1">
        <f ca="1" t="array" ref="I1166">MIN(30-SUM(J1166:L1166),6-L1166,_xlfn.XLOOKUP($D1166&amp;"_"&amp;I$52,$B$14:$B$36&amp;"_"&amp;$C$14:$C$36,$D$14:$D$36)*$E1166)</f>
        <v>0</v>
      </c>
      <c r="J1166" s="95" cm="1">
        <f ca="1" t="array" ref="J1166">MIN(8,_xlfn.XLOOKUP($D1166&amp;"_"&amp;J$52,$B$14:$B$36&amp;"_"&amp;$C$14:$C$36,$D$14:$D$36)*$E1166)</f>
        <v>8</v>
      </c>
      <c r="K1166" s="95" cm="1">
        <f ca="1" t="array" ref="K1166">MIN(18,_xlfn.XLOOKUP($D1166&amp;"_"&amp;K$52,$B$14:$B$36&amp;"_"&amp;$C$14:$C$36,$D$14:$D$36)*$E1166)</f>
        <v>3.2032</v>
      </c>
      <c r="L1166" s="95" cm="1">
        <f ca="1" t="array" ref="L1166">MIN(6,_xlfn.XLOOKUP($D1166&amp;"_"&amp;L$52,$B$14:$B$36&amp;"_"&amp;$C$14:$C$36,$D$14:$D$36)*$E1166)</f>
        <v>6</v>
      </c>
      <c r="M1166" s="95" cm="1">
        <f ca="1" t="array" ref="M1166">(1+SUMPRODUCT(G1166:H1166,OFFSET($H$40:$I$40,D1166,0)))*(1+OFFSET($J$40,D1166,0))^I1166*(1+OFFSET($K$40,D1166,0))^J1166*(1+OFFSET($L$40,D1166,0))^K1166*(1+OFFSET($M$40,D1166,0))^L1166</f>
        <v>311.200524128336</v>
      </c>
      <c r="N1166" s="95">
        <f ca="1">MAX(MAX($N$53:N1165),OFFSET($C$52,MATCH(M1166*1.07,$M$53:$M$2052,1),0)-C1166)</f>
        <v>69120</v>
      </c>
    </row>
    <row r="1167" spans="2:14">
      <c r="B1167" s="95">
        <v>1115</v>
      </c>
      <c r="C1167" s="95">
        <f t="shared" si="93"/>
        <v>401400</v>
      </c>
      <c r="D1167" s="95">
        <f ca="1">_xlfn.XLOOKUP(总览!$B$44,$B$40:$B$45,$C$40:$C$45)</f>
        <v>5</v>
      </c>
      <c r="E1167" s="95">
        <f ca="1" t="shared" si="92"/>
        <v>1145</v>
      </c>
      <c r="F1167" s="95">
        <f ca="1" t="shared" si="94"/>
        <v>0</v>
      </c>
      <c r="G1167" s="95">
        <f ca="1" t="shared" si="95"/>
        <v>0</v>
      </c>
      <c r="H1167" s="95" cm="1">
        <f ca="1" t="array" ref="H1167">MIN(30-SUM(I1167:L1167),_xlfn.XLOOKUP($D1167&amp;"_"&amp;H$52,$B$14:$B$36&amp;"_"&amp;$C$14:$C$36,$D$14:$D$36)*$E1167,18)</f>
        <v>12.794</v>
      </c>
      <c r="I1167" s="95" cm="1">
        <f ca="1" t="array" ref="I1167">MIN(30-SUM(J1167:L1167),6-L1167,_xlfn.XLOOKUP($D1167&amp;"_"&amp;I$52,$B$14:$B$36&amp;"_"&amp;$C$14:$C$36,$D$14:$D$36)*$E1167)</f>
        <v>0</v>
      </c>
      <c r="J1167" s="95" cm="1">
        <f ca="1" t="array" ref="J1167">MIN(8,_xlfn.XLOOKUP($D1167&amp;"_"&amp;J$52,$B$14:$B$36&amp;"_"&amp;$C$14:$C$36,$D$14:$D$36)*$E1167)</f>
        <v>8</v>
      </c>
      <c r="K1167" s="95" cm="1">
        <f ca="1" t="array" ref="K1167">MIN(18,_xlfn.XLOOKUP($D1167&amp;"_"&amp;K$52,$B$14:$B$36&amp;"_"&amp;$C$14:$C$36,$D$14:$D$36)*$E1167)</f>
        <v>3.206</v>
      </c>
      <c r="L1167" s="95" cm="1">
        <f ca="1" t="array" ref="L1167">MIN(6,_xlfn.XLOOKUP($D1167&amp;"_"&amp;L$52,$B$14:$B$36&amp;"_"&amp;$C$14:$C$36,$D$14:$D$36)*$E1167)</f>
        <v>6</v>
      </c>
      <c r="M1167" s="95" cm="1">
        <f ca="1" t="array" ref="M1167">(1+SUMPRODUCT(G1167:H1167,OFFSET($H$40:$I$40,D1167,0)))*(1+OFFSET($J$40,D1167,0))^I1167*(1+OFFSET($K$40,D1167,0))^J1167*(1+OFFSET($L$40,D1167,0))^K1167*(1+OFFSET($M$40,D1167,0))^L1167</f>
        <v>311.310445970732</v>
      </c>
      <c r="N1167" s="95">
        <f ca="1">MAX(MAX($N$53:N1166),OFFSET($C$52,MATCH(M1167*1.07,$M$53:$M$2052,1),0)-C1167)</f>
        <v>69120</v>
      </c>
    </row>
    <row r="1168" spans="2:14">
      <c r="B1168" s="95">
        <v>1116</v>
      </c>
      <c r="C1168" s="95">
        <f t="shared" si="93"/>
        <v>401760</v>
      </c>
      <c r="D1168" s="95">
        <f ca="1">_xlfn.XLOOKUP(总览!$B$44,$B$40:$B$45,$C$40:$C$45)</f>
        <v>5</v>
      </c>
      <c r="E1168" s="95">
        <f ca="1" t="shared" si="92"/>
        <v>1146</v>
      </c>
      <c r="F1168" s="95">
        <f ca="1" t="shared" si="94"/>
        <v>0</v>
      </c>
      <c r="G1168" s="95">
        <f ca="1" t="shared" si="95"/>
        <v>0</v>
      </c>
      <c r="H1168" s="95" cm="1">
        <f ca="1" t="array" ref="H1168">MIN(30-SUM(I1168:L1168),_xlfn.XLOOKUP($D1168&amp;"_"&amp;H$52,$B$14:$B$36&amp;"_"&amp;$C$14:$C$36,$D$14:$D$36)*$E1168,18)</f>
        <v>12.7912</v>
      </c>
      <c r="I1168" s="95" cm="1">
        <f ca="1" t="array" ref="I1168">MIN(30-SUM(J1168:L1168),6-L1168,_xlfn.XLOOKUP($D1168&amp;"_"&amp;I$52,$B$14:$B$36&amp;"_"&amp;$C$14:$C$36,$D$14:$D$36)*$E1168)</f>
        <v>0</v>
      </c>
      <c r="J1168" s="95" cm="1">
        <f ca="1" t="array" ref="J1168">MIN(8,_xlfn.XLOOKUP($D1168&amp;"_"&amp;J$52,$B$14:$B$36&amp;"_"&amp;$C$14:$C$36,$D$14:$D$36)*$E1168)</f>
        <v>8</v>
      </c>
      <c r="K1168" s="95" cm="1">
        <f ca="1" t="array" ref="K1168">MIN(18,_xlfn.XLOOKUP($D1168&amp;"_"&amp;K$52,$B$14:$B$36&amp;"_"&amp;$C$14:$C$36,$D$14:$D$36)*$E1168)</f>
        <v>3.2088</v>
      </c>
      <c r="L1168" s="95" cm="1">
        <f ca="1" t="array" ref="L1168">MIN(6,_xlfn.XLOOKUP($D1168&amp;"_"&amp;L$52,$B$14:$B$36&amp;"_"&amp;$C$14:$C$36,$D$14:$D$36)*$E1168)</f>
        <v>6</v>
      </c>
      <c r="M1168" s="95" cm="1">
        <f ca="1" t="array" ref="M1168">(1+SUMPRODUCT(G1168:H1168,OFFSET($H$40:$I$40,D1168,0)))*(1+OFFSET($J$40,D1168,0))^I1168*(1+OFFSET($K$40,D1168,0))^J1168*(1+OFFSET($L$40,D1168,0))^K1168*(1+OFFSET($M$40,D1168,0))^L1168</f>
        <v>311.420398928484</v>
      </c>
      <c r="N1168" s="95">
        <f ca="1">MAX(MAX($N$53:N1167),OFFSET($C$52,MATCH(M1168*1.07,$M$53:$M$2052,1),0)-C1168)</f>
        <v>69120</v>
      </c>
    </row>
    <row r="1169" spans="2:14">
      <c r="B1169" s="95">
        <v>1117</v>
      </c>
      <c r="C1169" s="95">
        <f t="shared" si="93"/>
        <v>402120</v>
      </c>
      <c r="D1169" s="95">
        <f ca="1">_xlfn.XLOOKUP(总览!$B$44,$B$40:$B$45,$C$40:$C$45)</f>
        <v>5</v>
      </c>
      <c r="E1169" s="95">
        <f ca="1" t="shared" si="92"/>
        <v>1147</v>
      </c>
      <c r="F1169" s="95">
        <f ca="1" t="shared" si="94"/>
        <v>0</v>
      </c>
      <c r="G1169" s="95">
        <f ca="1" t="shared" si="95"/>
        <v>0</v>
      </c>
      <c r="H1169" s="95" cm="1">
        <f ca="1" t="array" ref="H1169">MIN(30-SUM(I1169:L1169),_xlfn.XLOOKUP($D1169&amp;"_"&amp;H$52,$B$14:$B$36&amp;"_"&amp;$C$14:$C$36,$D$14:$D$36)*$E1169,18)</f>
        <v>12.7884</v>
      </c>
      <c r="I1169" s="95" cm="1">
        <f ca="1" t="array" ref="I1169">MIN(30-SUM(J1169:L1169),6-L1169,_xlfn.XLOOKUP($D1169&amp;"_"&amp;I$52,$B$14:$B$36&amp;"_"&amp;$C$14:$C$36,$D$14:$D$36)*$E1169)</f>
        <v>0</v>
      </c>
      <c r="J1169" s="95" cm="1">
        <f ca="1" t="array" ref="J1169">MIN(8,_xlfn.XLOOKUP($D1169&amp;"_"&amp;J$52,$B$14:$B$36&amp;"_"&amp;$C$14:$C$36,$D$14:$D$36)*$E1169)</f>
        <v>8</v>
      </c>
      <c r="K1169" s="95" cm="1">
        <f ca="1" t="array" ref="K1169">MIN(18,_xlfn.XLOOKUP($D1169&amp;"_"&amp;K$52,$B$14:$B$36&amp;"_"&amp;$C$14:$C$36,$D$14:$D$36)*$E1169)</f>
        <v>3.2116</v>
      </c>
      <c r="L1169" s="95" cm="1">
        <f ca="1" t="array" ref="L1169">MIN(6,_xlfn.XLOOKUP($D1169&amp;"_"&amp;L$52,$B$14:$B$36&amp;"_"&amp;$C$14:$C$36,$D$14:$D$36)*$E1169)</f>
        <v>6</v>
      </c>
      <c r="M1169" s="95" cm="1">
        <f ca="1" t="array" ref="M1169">(1+SUMPRODUCT(G1169:H1169,OFFSET($H$40:$I$40,D1169,0)))*(1+OFFSET($J$40,D1169,0))^I1169*(1+OFFSET($K$40,D1169,0))^J1169*(1+OFFSET($L$40,D1169,0))^K1169*(1+OFFSET($M$40,D1169,0))^L1169</f>
        <v>311.530383004708</v>
      </c>
      <c r="N1169" s="95">
        <f ca="1">MAX(MAX($N$53:N1168),OFFSET($C$52,MATCH(M1169*1.07,$M$53:$M$2052,1),0)-C1169)</f>
        <v>69120</v>
      </c>
    </row>
    <row r="1170" spans="2:14">
      <c r="B1170" s="95">
        <v>1118</v>
      </c>
      <c r="C1170" s="95">
        <f t="shared" si="93"/>
        <v>402480</v>
      </c>
      <c r="D1170" s="95">
        <f ca="1">_xlfn.XLOOKUP(总览!$B$44,$B$40:$B$45,$C$40:$C$45)</f>
        <v>5</v>
      </c>
      <c r="E1170" s="95">
        <f ca="1" t="shared" si="92"/>
        <v>1148</v>
      </c>
      <c r="F1170" s="95">
        <f ca="1" t="shared" si="94"/>
        <v>0</v>
      </c>
      <c r="G1170" s="95">
        <f ca="1" t="shared" si="95"/>
        <v>0</v>
      </c>
      <c r="H1170" s="95" cm="1">
        <f ca="1" t="array" ref="H1170">MIN(30-SUM(I1170:L1170),_xlfn.XLOOKUP($D1170&amp;"_"&amp;H$52,$B$14:$B$36&amp;"_"&amp;$C$14:$C$36,$D$14:$D$36)*$E1170,18)</f>
        <v>12.7856</v>
      </c>
      <c r="I1170" s="95" cm="1">
        <f ca="1" t="array" ref="I1170">MIN(30-SUM(J1170:L1170),6-L1170,_xlfn.XLOOKUP($D1170&amp;"_"&amp;I$52,$B$14:$B$36&amp;"_"&amp;$C$14:$C$36,$D$14:$D$36)*$E1170)</f>
        <v>0</v>
      </c>
      <c r="J1170" s="95" cm="1">
        <f ca="1" t="array" ref="J1170">MIN(8,_xlfn.XLOOKUP($D1170&amp;"_"&amp;J$52,$B$14:$B$36&amp;"_"&amp;$C$14:$C$36,$D$14:$D$36)*$E1170)</f>
        <v>8</v>
      </c>
      <c r="K1170" s="95" cm="1">
        <f ca="1" t="array" ref="K1170">MIN(18,_xlfn.XLOOKUP($D1170&amp;"_"&amp;K$52,$B$14:$B$36&amp;"_"&amp;$C$14:$C$36,$D$14:$D$36)*$E1170)</f>
        <v>3.2144</v>
      </c>
      <c r="L1170" s="95" cm="1">
        <f ca="1" t="array" ref="L1170">MIN(6,_xlfn.XLOOKUP($D1170&amp;"_"&amp;L$52,$B$14:$B$36&amp;"_"&amp;$C$14:$C$36,$D$14:$D$36)*$E1170)</f>
        <v>6</v>
      </c>
      <c r="M1170" s="95" cm="1">
        <f ca="1" t="array" ref="M1170">(1+SUMPRODUCT(G1170:H1170,OFFSET($H$40:$I$40,D1170,0)))*(1+OFFSET($J$40,D1170,0))^I1170*(1+OFFSET($K$40,D1170,0))^J1170*(1+OFFSET($L$40,D1170,0))^K1170*(1+OFFSET($M$40,D1170,0))^L1170</f>
        <v>311.640398202514</v>
      </c>
      <c r="N1170" s="95">
        <f ca="1">MAX(MAX($N$53:N1169),OFFSET($C$52,MATCH(M1170*1.07,$M$53:$M$2052,1),0)-C1170)</f>
        <v>69120</v>
      </c>
    </row>
    <row r="1171" spans="2:14">
      <c r="B1171" s="95">
        <v>1119</v>
      </c>
      <c r="C1171" s="95">
        <f t="shared" si="93"/>
        <v>402840</v>
      </c>
      <c r="D1171" s="95">
        <f ca="1">_xlfn.XLOOKUP(总览!$B$44,$B$40:$B$45,$C$40:$C$45)</f>
        <v>5</v>
      </c>
      <c r="E1171" s="95">
        <f ca="1" t="shared" si="92"/>
        <v>1149</v>
      </c>
      <c r="F1171" s="95">
        <f ca="1" t="shared" si="94"/>
        <v>0</v>
      </c>
      <c r="G1171" s="95">
        <f ca="1" t="shared" si="95"/>
        <v>0</v>
      </c>
      <c r="H1171" s="95" cm="1">
        <f ca="1" t="array" ref="H1171">MIN(30-SUM(I1171:L1171),_xlfn.XLOOKUP($D1171&amp;"_"&amp;H$52,$B$14:$B$36&amp;"_"&amp;$C$14:$C$36,$D$14:$D$36)*$E1171,18)</f>
        <v>12.7828</v>
      </c>
      <c r="I1171" s="95" cm="1">
        <f ca="1" t="array" ref="I1171">MIN(30-SUM(J1171:L1171),6-L1171,_xlfn.XLOOKUP($D1171&amp;"_"&amp;I$52,$B$14:$B$36&amp;"_"&amp;$C$14:$C$36,$D$14:$D$36)*$E1171)</f>
        <v>0</v>
      </c>
      <c r="J1171" s="95" cm="1">
        <f ca="1" t="array" ref="J1171">MIN(8,_xlfn.XLOOKUP($D1171&amp;"_"&amp;J$52,$B$14:$B$36&amp;"_"&amp;$C$14:$C$36,$D$14:$D$36)*$E1171)</f>
        <v>8</v>
      </c>
      <c r="K1171" s="95" cm="1">
        <f ca="1" t="array" ref="K1171">MIN(18,_xlfn.XLOOKUP($D1171&amp;"_"&amp;K$52,$B$14:$B$36&amp;"_"&amp;$C$14:$C$36,$D$14:$D$36)*$E1171)</f>
        <v>3.2172</v>
      </c>
      <c r="L1171" s="95" cm="1">
        <f ca="1" t="array" ref="L1171">MIN(6,_xlfn.XLOOKUP($D1171&amp;"_"&amp;L$52,$B$14:$B$36&amp;"_"&amp;$C$14:$C$36,$D$14:$D$36)*$E1171)</f>
        <v>6</v>
      </c>
      <c r="M1171" s="95" cm="1">
        <f ca="1" t="array" ref="M1171">(1+SUMPRODUCT(G1171:H1171,OFFSET($H$40:$I$40,D1171,0)))*(1+OFFSET($J$40,D1171,0))^I1171*(1+OFFSET($K$40,D1171,0))^J1171*(1+OFFSET($L$40,D1171,0))^K1171*(1+OFFSET($M$40,D1171,0))^L1171</f>
        <v>311.750444525008</v>
      </c>
      <c r="N1171" s="95">
        <f ca="1">MAX(MAX($N$53:N1170),OFFSET($C$52,MATCH(M1171*1.07,$M$53:$M$2052,1),0)-C1171)</f>
        <v>69120</v>
      </c>
    </row>
    <row r="1172" spans="2:14">
      <c r="B1172" s="95">
        <v>1120</v>
      </c>
      <c r="C1172" s="95">
        <f t="shared" si="93"/>
        <v>403200</v>
      </c>
      <c r="D1172" s="95">
        <f ca="1">_xlfn.XLOOKUP(总览!$B$44,$B$40:$B$45,$C$40:$C$45)</f>
        <v>5</v>
      </c>
      <c r="E1172" s="95">
        <f ca="1" t="shared" si="92"/>
        <v>1150</v>
      </c>
      <c r="F1172" s="95">
        <f ca="1" t="shared" si="94"/>
        <v>0</v>
      </c>
      <c r="G1172" s="95">
        <f ca="1" t="shared" si="95"/>
        <v>0</v>
      </c>
      <c r="H1172" s="95" cm="1">
        <f ca="1" t="array" ref="H1172">MIN(30-SUM(I1172:L1172),_xlfn.XLOOKUP($D1172&amp;"_"&amp;H$52,$B$14:$B$36&amp;"_"&amp;$C$14:$C$36,$D$14:$D$36)*$E1172,18)</f>
        <v>12.78</v>
      </c>
      <c r="I1172" s="95" cm="1">
        <f ca="1" t="array" ref="I1172">MIN(30-SUM(J1172:L1172),6-L1172,_xlfn.XLOOKUP($D1172&amp;"_"&amp;I$52,$B$14:$B$36&amp;"_"&amp;$C$14:$C$36,$D$14:$D$36)*$E1172)</f>
        <v>0</v>
      </c>
      <c r="J1172" s="95" cm="1">
        <f ca="1" t="array" ref="J1172">MIN(8,_xlfn.XLOOKUP($D1172&amp;"_"&amp;J$52,$B$14:$B$36&amp;"_"&amp;$C$14:$C$36,$D$14:$D$36)*$E1172)</f>
        <v>8</v>
      </c>
      <c r="K1172" s="95" cm="1">
        <f ca="1" t="array" ref="K1172">MIN(18,_xlfn.XLOOKUP($D1172&amp;"_"&amp;K$52,$B$14:$B$36&amp;"_"&amp;$C$14:$C$36,$D$14:$D$36)*$E1172)</f>
        <v>3.22</v>
      </c>
      <c r="L1172" s="95" cm="1">
        <f ca="1" t="array" ref="L1172">MIN(6,_xlfn.XLOOKUP($D1172&amp;"_"&amp;L$52,$B$14:$B$36&amp;"_"&amp;$C$14:$C$36,$D$14:$D$36)*$E1172)</f>
        <v>6</v>
      </c>
      <c r="M1172" s="95" cm="1">
        <f ca="1" t="array" ref="M1172">(1+SUMPRODUCT(G1172:H1172,OFFSET($H$40:$I$40,D1172,0)))*(1+OFFSET($J$40,D1172,0))^I1172*(1+OFFSET($K$40,D1172,0))^J1172*(1+OFFSET($L$40,D1172,0))^K1172*(1+OFFSET($M$40,D1172,0))^L1172</f>
        <v>311.860521975291</v>
      </c>
      <c r="N1172" s="95">
        <f ca="1">MAX(MAX($N$53:N1171),OFFSET($C$52,MATCH(M1172*1.07,$M$53:$M$2052,1),0)-C1172)</f>
        <v>69120</v>
      </c>
    </row>
    <row r="1173" spans="2:14">
      <c r="B1173" s="95">
        <v>1121</v>
      </c>
      <c r="C1173" s="95">
        <f t="shared" si="93"/>
        <v>403560</v>
      </c>
      <c r="D1173" s="95">
        <f ca="1">_xlfn.XLOOKUP(总览!$B$44,$B$40:$B$45,$C$40:$C$45)</f>
        <v>5</v>
      </c>
      <c r="E1173" s="95">
        <f ca="1" t="shared" si="92"/>
        <v>1151</v>
      </c>
      <c r="F1173" s="95">
        <f ca="1" t="shared" si="94"/>
        <v>0</v>
      </c>
      <c r="G1173" s="95">
        <f ca="1" t="shared" si="95"/>
        <v>0</v>
      </c>
      <c r="H1173" s="95" cm="1">
        <f ca="1" t="array" ref="H1173">MIN(30-SUM(I1173:L1173),_xlfn.XLOOKUP($D1173&amp;"_"&amp;H$52,$B$14:$B$36&amp;"_"&amp;$C$14:$C$36,$D$14:$D$36)*$E1173,18)</f>
        <v>12.7772</v>
      </c>
      <c r="I1173" s="95" cm="1">
        <f ca="1" t="array" ref="I1173">MIN(30-SUM(J1173:L1173),6-L1173,_xlfn.XLOOKUP($D1173&amp;"_"&amp;I$52,$B$14:$B$36&amp;"_"&amp;$C$14:$C$36,$D$14:$D$36)*$E1173)</f>
        <v>0</v>
      </c>
      <c r="J1173" s="95" cm="1">
        <f ca="1" t="array" ref="J1173">MIN(8,_xlfn.XLOOKUP($D1173&amp;"_"&amp;J$52,$B$14:$B$36&amp;"_"&amp;$C$14:$C$36,$D$14:$D$36)*$E1173)</f>
        <v>8</v>
      </c>
      <c r="K1173" s="95" cm="1">
        <f ca="1" t="array" ref="K1173">MIN(18,_xlfn.XLOOKUP($D1173&amp;"_"&amp;K$52,$B$14:$B$36&amp;"_"&amp;$C$14:$C$36,$D$14:$D$36)*$E1173)</f>
        <v>3.2228</v>
      </c>
      <c r="L1173" s="95" cm="1">
        <f ca="1" t="array" ref="L1173">MIN(6,_xlfn.XLOOKUP($D1173&amp;"_"&amp;L$52,$B$14:$B$36&amp;"_"&amp;$C$14:$C$36,$D$14:$D$36)*$E1173)</f>
        <v>6</v>
      </c>
      <c r="M1173" s="95" cm="1">
        <f ca="1" t="array" ref="M1173">(1+SUMPRODUCT(G1173:H1173,OFFSET($H$40:$I$40,D1173,0)))*(1+OFFSET($J$40,D1173,0))^I1173*(1+OFFSET($K$40,D1173,0))^J1173*(1+OFFSET($L$40,D1173,0))^K1173*(1+OFFSET($M$40,D1173,0))^L1173</f>
        <v>311.970630556457</v>
      </c>
      <c r="N1173" s="95">
        <f ca="1">MAX(MAX($N$53:N1172),OFFSET($C$52,MATCH(M1173*1.07,$M$53:$M$2052,1),0)-C1173)</f>
        <v>69480</v>
      </c>
    </row>
    <row r="1174" spans="2:14">
      <c r="B1174" s="95">
        <v>1122</v>
      </c>
      <c r="C1174" s="95">
        <f t="shared" si="93"/>
        <v>403920</v>
      </c>
      <c r="D1174" s="95">
        <f ca="1">_xlfn.XLOOKUP(总览!$B$44,$B$40:$B$45,$C$40:$C$45)</f>
        <v>5</v>
      </c>
      <c r="E1174" s="95">
        <f ca="1" t="shared" si="92"/>
        <v>1152</v>
      </c>
      <c r="F1174" s="95">
        <f ca="1" t="shared" si="94"/>
        <v>0</v>
      </c>
      <c r="G1174" s="95">
        <f ca="1" t="shared" si="95"/>
        <v>0</v>
      </c>
      <c r="H1174" s="95" cm="1">
        <f ca="1" t="array" ref="H1174">MIN(30-SUM(I1174:L1174),_xlfn.XLOOKUP($D1174&amp;"_"&amp;H$52,$B$14:$B$36&amp;"_"&amp;$C$14:$C$36,$D$14:$D$36)*$E1174,18)</f>
        <v>12.7744</v>
      </c>
      <c r="I1174" s="95" cm="1">
        <f ca="1" t="array" ref="I1174">MIN(30-SUM(J1174:L1174),6-L1174,_xlfn.XLOOKUP($D1174&amp;"_"&amp;I$52,$B$14:$B$36&amp;"_"&amp;$C$14:$C$36,$D$14:$D$36)*$E1174)</f>
        <v>0</v>
      </c>
      <c r="J1174" s="95" cm="1">
        <f ca="1" t="array" ref="J1174">MIN(8,_xlfn.XLOOKUP($D1174&amp;"_"&amp;J$52,$B$14:$B$36&amp;"_"&amp;$C$14:$C$36,$D$14:$D$36)*$E1174)</f>
        <v>8</v>
      </c>
      <c r="K1174" s="95" cm="1">
        <f ca="1" t="array" ref="K1174">MIN(18,_xlfn.XLOOKUP($D1174&amp;"_"&amp;K$52,$B$14:$B$36&amp;"_"&amp;$C$14:$C$36,$D$14:$D$36)*$E1174)</f>
        <v>3.2256</v>
      </c>
      <c r="L1174" s="95" cm="1">
        <f ca="1" t="array" ref="L1174">MIN(6,_xlfn.XLOOKUP($D1174&amp;"_"&amp;L$52,$B$14:$B$36&amp;"_"&amp;$C$14:$C$36,$D$14:$D$36)*$E1174)</f>
        <v>6</v>
      </c>
      <c r="M1174" s="95" cm="1">
        <f ca="1" t="array" ref="M1174">(1+SUMPRODUCT(G1174:H1174,OFFSET($H$40:$I$40,D1174,0)))*(1+OFFSET($J$40,D1174,0))^I1174*(1+OFFSET($K$40,D1174,0))^J1174*(1+OFFSET($L$40,D1174,0))^K1174*(1+OFFSET($M$40,D1174,0))^L1174</f>
        <v>312.080770271599</v>
      </c>
      <c r="N1174" s="95">
        <f ca="1">MAX(MAX($N$53:N1173),OFFSET($C$52,MATCH(M1174*1.07,$M$53:$M$2052,1),0)-C1174)</f>
        <v>69480</v>
      </c>
    </row>
    <row r="1175" spans="2:14">
      <c r="B1175" s="95">
        <v>1123</v>
      </c>
      <c r="C1175" s="95">
        <f t="shared" si="93"/>
        <v>404280</v>
      </c>
      <c r="D1175" s="95">
        <f ca="1">_xlfn.XLOOKUP(总览!$B$44,$B$40:$B$45,$C$40:$C$45)</f>
        <v>5</v>
      </c>
      <c r="E1175" s="95">
        <f ca="1" t="shared" si="92"/>
        <v>1153</v>
      </c>
      <c r="F1175" s="95">
        <f ca="1" t="shared" si="94"/>
        <v>0</v>
      </c>
      <c r="G1175" s="95">
        <f ca="1" t="shared" si="95"/>
        <v>0</v>
      </c>
      <c r="H1175" s="95" cm="1">
        <f ca="1" t="array" ref="H1175">MIN(30-SUM(I1175:L1175),_xlfn.XLOOKUP($D1175&amp;"_"&amp;H$52,$B$14:$B$36&amp;"_"&amp;$C$14:$C$36,$D$14:$D$36)*$E1175,18)</f>
        <v>12.7716</v>
      </c>
      <c r="I1175" s="95" cm="1">
        <f ca="1" t="array" ref="I1175">MIN(30-SUM(J1175:L1175),6-L1175,_xlfn.XLOOKUP($D1175&amp;"_"&amp;I$52,$B$14:$B$36&amp;"_"&amp;$C$14:$C$36,$D$14:$D$36)*$E1175)</f>
        <v>0</v>
      </c>
      <c r="J1175" s="95" cm="1">
        <f ca="1" t="array" ref="J1175">MIN(8,_xlfn.XLOOKUP($D1175&amp;"_"&amp;J$52,$B$14:$B$36&amp;"_"&amp;$C$14:$C$36,$D$14:$D$36)*$E1175)</f>
        <v>8</v>
      </c>
      <c r="K1175" s="95" cm="1">
        <f ca="1" t="array" ref="K1175">MIN(18,_xlfn.XLOOKUP($D1175&amp;"_"&amp;K$52,$B$14:$B$36&amp;"_"&amp;$C$14:$C$36,$D$14:$D$36)*$E1175)</f>
        <v>3.2284</v>
      </c>
      <c r="L1175" s="95" cm="1">
        <f ca="1" t="array" ref="L1175">MIN(6,_xlfn.XLOOKUP($D1175&amp;"_"&amp;L$52,$B$14:$B$36&amp;"_"&amp;$C$14:$C$36,$D$14:$D$36)*$E1175)</f>
        <v>6</v>
      </c>
      <c r="M1175" s="95" cm="1">
        <f ca="1" t="array" ref="M1175">(1+SUMPRODUCT(G1175:H1175,OFFSET($H$40:$I$40,D1175,0)))*(1+OFFSET($J$40,D1175,0))^I1175*(1+OFFSET($K$40,D1175,0))^J1175*(1+OFFSET($L$40,D1175,0))^K1175*(1+OFFSET($M$40,D1175,0))^L1175</f>
        <v>312.190941123801</v>
      </c>
      <c r="N1175" s="95">
        <f ca="1">MAX(MAX($N$53:N1174),OFFSET($C$52,MATCH(M1175*1.07,$M$53:$M$2052,1),0)-C1175)</f>
        <v>69480</v>
      </c>
    </row>
    <row r="1176" spans="2:14">
      <c r="B1176" s="95">
        <v>1124</v>
      </c>
      <c r="C1176" s="95">
        <f t="shared" si="93"/>
        <v>404640</v>
      </c>
      <c r="D1176" s="95">
        <f ca="1">_xlfn.XLOOKUP(总览!$B$44,$B$40:$B$45,$C$40:$C$45)</f>
        <v>5</v>
      </c>
      <c r="E1176" s="95">
        <f ca="1" t="shared" si="92"/>
        <v>1154</v>
      </c>
      <c r="F1176" s="95">
        <f ca="1" t="shared" si="94"/>
        <v>0</v>
      </c>
      <c r="G1176" s="95">
        <f ca="1" t="shared" si="95"/>
        <v>0</v>
      </c>
      <c r="H1176" s="95" cm="1">
        <f ca="1" t="array" ref="H1176">MIN(30-SUM(I1176:L1176),_xlfn.XLOOKUP($D1176&amp;"_"&amp;H$52,$B$14:$B$36&amp;"_"&amp;$C$14:$C$36,$D$14:$D$36)*$E1176,18)</f>
        <v>12.7688</v>
      </c>
      <c r="I1176" s="95" cm="1">
        <f ca="1" t="array" ref="I1176">MIN(30-SUM(J1176:L1176),6-L1176,_xlfn.XLOOKUP($D1176&amp;"_"&amp;I$52,$B$14:$B$36&amp;"_"&amp;$C$14:$C$36,$D$14:$D$36)*$E1176)</f>
        <v>0</v>
      </c>
      <c r="J1176" s="95" cm="1">
        <f ca="1" t="array" ref="J1176">MIN(8,_xlfn.XLOOKUP($D1176&amp;"_"&amp;J$52,$B$14:$B$36&amp;"_"&amp;$C$14:$C$36,$D$14:$D$36)*$E1176)</f>
        <v>8</v>
      </c>
      <c r="K1176" s="95" cm="1">
        <f ca="1" t="array" ref="K1176">MIN(18,_xlfn.XLOOKUP($D1176&amp;"_"&amp;K$52,$B$14:$B$36&amp;"_"&amp;$C$14:$C$36,$D$14:$D$36)*$E1176)</f>
        <v>3.2312</v>
      </c>
      <c r="L1176" s="95" cm="1">
        <f ca="1" t="array" ref="L1176">MIN(6,_xlfn.XLOOKUP($D1176&amp;"_"&amp;L$52,$B$14:$B$36&amp;"_"&amp;$C$14:$C$36,$D$14:$D$36)*$E1176)</f>
        <v>6</v>
      </c>
      <c r="M1176" s="95" cm="1">
        <f ca="1" t="array" ref="M1176">(1+SUMPRODUCT(G1176:H1176,OFFSET($H$40:$I$40,D1176,0)))*(1+OFFSET($J$40,D1176,0))^I1176*(1+OFFSET($K$40,D1176,0))^J1176*(1+OFFSET($L$40,D1176,0))^K1176*(1+OFFSET($M$40,D1176,0))^L1176</f>
        <v>312.301143116146</v>
      </c>
      <c r="N1176" s="95">
        <f ca="1">MAX(MAX($N$53:N1175),OFFSET($C$52,MATCH(M1176*1.07,$M$53:$M$2052,1),0)-C1176)</f>
        <v>69480</v>
      </c>
    </row>
    <row r="1177" spans="2:14">
      <c r="B1177" s="95">
        <v>1125</v>
      </c>
      <c r="C1177" s="95">
        <f t="shared" si="93"/>
        <v>405000</v>
      </c>
      <c r="D1177" s="95">
        <f ca="1">_xlfn.XLOOKUP(总览!$B$44,$B$40:$B$45,$C$40:$C$45)</f>
        <v>5</v>
      </c>
      <c r="E1177" s="95">
        <f ca="1" t="shared" si="92"/>
        <v>1155</v>
      </c>
      <c r="F1177" s="95">
        <f ca="1" t="shared" si="94"/>
        <v>0</v>
      </c>
      <c r="G1177" s="95">
        <f ca="1" t="shared" si="95"/>
        <v>0</v>
      </c>
      <c r="H1177" s="95" cm="1">
        <f ca="1" t="array" ref="H1177">MIN(30-SUM(I1177:L1177),_xlfn.XLOOKUP($D1177&amp;"_"&amp;H$52,$B$14:$B$36&amp;"_"&amp;$C$14:$C$36,$D$14:$D$36)*$E1177,18)</f>
        <v>12.766</v>
      </c>
      <c r="I1177" s="95" cm="1">
        <f ca="1" t="array" ref="I1177">MIN(30-SUM(J1177:L1177),6-L1177,_xlfn.XLOOKUP($D1177&amp;"_"&amp;I$52,$B$14:$B$36&amp;"_"&amp;$C$14:$C$36,$D$14:$D$36)*$E1177)</f>
        <v>0</v>
      </c>
      <c r="J1177" s="95" cm="1">
        <f ca="1" t="array" ref="J1177">MIN(8,_xlfn.XLOOKUP($D1177&amp;"_"&amp;J$52,$B$14:$B$36&amp;"_"&amp;$C$14:$C$36,$D$14:$D$36)*$E1177)</f>
        <v>8</v>
      </c>
      <c r="K1177" s="95" cm="1">
        <f ca="1" t="array" ref="K1177">MIN(18,_xlfn.XLOOKUP($D1177&amp;"_"&amp;K$52,$B$14:$B$36&amp;"_"&amp;$C$14:$C$36,$D$14:$D$36)*$E1177)</f>
        <v>3.234</v>
      </c>
      <c r="L1177" s="95" cm="1">
        <f ca="1" t="array" ref="L1177">MIN(6,_xlfn.XLOOKUP($D1177&amp;"_"&amp;L$52,$B$14:$B$36&amp;"_"&amp;$C$14:$C$36,$D$14:$D$36)*$E1177)</f>
        <v>6</v>
      </c>
      <c r="M1177" s="95" cm="1">
        <f ca="1" t="array" ref="M1177">(1+SUMPRODUCT(G1177:H1177,OFFSET($H$40:$I$40,D1177,0)))*(1+OFFSET($J$40,D1177,0))^I1177*(1+OFFSET($K$40,D1177,0))^J1177*(1+OFFSET($L$40,D1177,0))^K1177*(1+OFFSET($M$40,D1177,0))^L1177</f>
        <v>312.411376251707</v>
      </c>
      <c r="N1177" s="95">
        <f ca="1">MAX(MAX($N$53:N1176),OFFSET($C$52,MATCH(M1177*1.07,$M$53:$M$2052,1),0)-C1177)</f>
        <v>69480</v>
      </c>
    </row>
    <row r="1178" spans="2:14">
      <c r="B1178" s="95">
        <v>1126</v>
      </c>
      <c r="C1178" s="95">
        <f t="shared" si="93"/>
        <v>405360</v>
      </c>
      <c r="D1178" s="95">
        <f ca="1">_xlfn.XLOOKUP(总览!$B$44,$B$40:$B$45,$C$40:$C$45)</f>
        <v>5</v>
      </c>
      <c r="E1178" s="95">
        <f ca="1" t="shared" si="92"/>
        <v>1156</v>
      </c>
      <c r="F1178" s="95">
        <f ca="1" t="shared" si="94"/>
        <v>0</v>
      </c>
      <c r="G1178" s="95">
        <f ca="1" t="shared" si="95"/>
        <v>0</v>
      </c>
      <c r="H1178" s="95" cm="1">
        <f ca="1" t="array" ref="H1178">MIN(30-SUM(I1178:L1178),_xlfn.XLOOKUP($D1178&amp;"_"&amp;H$52,$B$14:$B$36&amp;"_"&amp;$C$14:$C$36,$D$14:$D$36)*$E1178,18)</f>
        <v>12.7632</v>
      </c>
      <c r="I1178" s="95" cm="1">
        <f ca="1" t="array" ref="I1178">MIN(30-SUM(J1178:L1178),6-L1178,_xlfn.XLOOKUP($D1178&amp;"_"&amp;I$52,$B$14:$B$36&amp;"_"&amp;$C$14:$C$36,$D$14:$D$36)*$E1178)</f>
        <v>0</v>
      </c>
      <c r="J1178" s="95" cm="1">
        <f ca="1" t="array" ref="J1178">MIN(8,_xlfn.XLOOKUP($D1178&amp;"_"&amp;J$52,$B$14:$B$36&amp;"_"&amp;$C$14:$C$36,$D$14:$D$36)*$E1178)</f>
        <v>8</v>
      </c>
      <c r="K1178" s="95" cm="1">
        <f ca="1" t="array" ref="K1178">MIN(18,_xlfn.XLOOKUP($D1178&amp;"_"&amp;K$52,$B$14:$B$36&amp;"_"&amp;$C$14:$C$36,$D$14:$D$36)*$E1178)</f>
        <v>3.2368</v>
      </c>
      <c r="L1178" s="95" cm="1">
        <f ca="1" t="array" ref="L1178">MIN(6,_xlfn.XLOOKUP($D1178&amp;"_"&amp;L$52,$B$14:$B$36&amp;"_"&amp;$C$14:$C$36,$D$14:$D$36)*$E1178)</f>
        <v>6</v>
      </c>
      <c r="M1178" s="95" cm="1">
        <f ca="1" t="array" ref="M1178">(1+SUMPRODUCT(G1178:H1178,OFFSET($H$40:$I$40,D1178,0)))*(1+OFFSET($J$40,D1178,0))^I1178*(1+OFFSET($K$40,D1178,0))^J1178*(1+OFFSET($L$40,D1178,0))^K1178*(1+OFFSET($M$40,D1178,0))^L1178</f>
        <v>312.521640533558</v>
      </c>
      <c r="N1178" s="95">
        <f ca="1">MAX(MAX($N$53:N1177),OFFSET($C$52,MATCH(M1178*1.07,$M$53:$M$2052,1),0)-C1178)</f>
        <v>69480</v>
      </c>
    </row>
    <row r="1179" spans="2:14">
      <c r="B1179" s="95">
        <v>1127</v>
      </c>
      <c r="C1179" s="95">
        <f t="shared" si="93"/>
        <v>405720</v>
      </c>
      <c r="D1179" s="95">
        <f ca="1">_xlfn.XLOOKUP(总览!$B$44,$B$40:$B$45,$C$40:$C$45)</f>
        <v>5</v>
      </c>
      <c r="E1179" s="95">
        <f ca="1" t="shared" si="92"/>
        <v>1157</v>
      </c>
      <c r="F1179" s="95">
        <f ca="1" t="shared" si="94"/>
        <v>0</v>
      </c>
      <c r="G1179" s="95">
        <f ca="1" t="shared" si="95"/>
        <v>0</v>
      </c>
      <c r="H1179" s="95" cm="1">
        <f ca="1" t="array" ref="H1179">MIN(30-SUM(I1179:L1179),_xlfn.XLOOKUP($D1179&amp;"_"&amp;H$52,$B$14:$B$36&amp;"_"&amp;$C$14:$C$36,$D$14:$D$36)*$E1179,18)</f>
        <v>12.7604</v>
      </c>
      <c r="I1179" s="95" cm="1">
        <f ca="1" t="array" ref="I1179">MIN(30-SUM(J1179:L1179),6-L1179,_xlfn.XLOOKUP($D1179&amp;"_"&amp;I$52,$B$14:$B$36&amp;"_"&amp;$C$14:$C$36,$D$14:$D$36)*$E1179)</f>
        <v>0</v>
      </c>
      <c r="J1179" s="95" cm="1">
        <f ca="1" t="array" ref="J1179">MIN(8,_xlfn.XLOOKUP($D1179&amp;"_"&amp;J$52,$B$14:$B$36&amp;"_"&amp;$C$14:$C$36,$D$14:$D$36)*$E1179)</f>
        <v>8</v>
      </c>
      <c r="K1179" s="95" cm="1">
        <f ca="1" t="array" ref="K1179">MIN(18,_xlfn.XLOOKUP($D1179&amp;"_"&amp;K$52,$B$14:$B$36&amp;"_"&amp;$C$14:$C$36,$D$14:$D$36)*$E1179)</f>
        <v>3.2396</v>
      </c>
      <c r="L1179" s="95" cm="1">
        <f ca="1" t="array" ref="L1179">MIN(6,_xlfn.XLOOKUP($D1179&amp;"_"&amp;L$52,$B$14:$B$36&amp;"_"&amp;$C$14:$C$36,$D$14:$D$36)*$E1179)</f>
        <v>6</v>
      </c>
      <c r="M1179" s="95" cm="1">
        <f ca="1" t="array" ref="M1179">(1+SUMPRODUCT(G1179:H1179,OFFSET($H$40:$I$40,D1179,0)))*(1+OFFSET($J$40,D1179,0))^I1179*(1+OFFSET($K$40,D1179,0))^J1179*(1+OFFSET($L$40,D1179,0))^K1179*(1+OFFSET($M$40,D1179,0))^L1179</f>
        <v>312.631935964762</v>
      </c>
      <c r="N1179" s="95">
        <f ca="1">MAX(MAX($N$53:N1178),OFFSET($C$52,MATCH(M1179*1.07,$M$53:$M$2052,1),0)-C1179)</f>
        <v>69480</v>
      </c>
    </row>
    <row r="1180" spans="2:14">
      <c r="B1180" s="95">
        <v>1128</v>
      </c>
      <c r="C1180" s="95">
        <f t="shared" si="93"/>
        <v>406080</v>
      </c>
      <c r="D1180" s="95">
        <f ca="1">_xlfn.XLOOKUP(总览!$B$44,$B$40:$B$45,$C$40:$C$45)</f>
        <v>5</v>
      </c>
      <c r="E1180" s="95">
        <f ca="1" t="shared" si="92"/>
        <v>1158</v>
      </c>
      <c r="F1180" s="95">
        <f ca="1" t="shared" si="94"/>
        <v>0</v>
      </c>
      <c r="G1180" s="95">
        <f ca="1" t="shared" si="95"/>
        <v>0</v>
      </c>
      <c r="H1180" s="95" cm="1">
        <f ca="1" t="array" ref="H1180">MIN(30-SUM(I1180:L1180),_xlfn.XLOOKUP($D1180&amp;"_"&amp;H$52,$B$14:$B$36&amp;"_"&amp;$C$14:$C$36,$D$14:$D$36)*$E1180,18)</f>
        <v>12.7576</v>
      </c>
      <c r="I1180" s="95" cm="1">
        <f ca="1" t="array" ref="I1180">MIN(30-SUM(J1180:L1180),6-L1180,_xlfn.XLOOKUP($D1180&amp;"_"&amp;I$52,$B$14:$B$36&amp;"_"&amp;$C$14:$C$36,$D$14:$D$36)*$E1180)</f>
        <v>0</v>
      </c>
      <c r="J1180" s="95" cm="1">
        <f ca="1" t="array" ref="J1180">MIN(8,_xlfn.XLOOKUP($D1180&amp;"_"&amp;J$52,$B$14:$B$36&amp;"_"&amp;$C$14:$C$36,$D$14:$D$36)*$E1180)</f>
        <v>8</v>
      </c>
      <c r="K1180" s="95" cm="1">
        <f ca="1" t="array" ref="K1180">MIN(18,_xlfn.XLOOKUP($D1180&amp;"_"&amp;K$52,$B$14:$B$36&amp;"_"&amp;$C$14:$C$36,$D$14:$D$36)*$E1180)</f>
        <v>3.2424</v>
      </c>
      <c r="L1180" s="95" cm="1">
        <f ca="1" t="array" ref="L1180">MIN(6,_xlfn.XLOOKUP($D1180&amp;"_"&amp;L$52,$B$14:$B$36&amp;"_"&amp;$C$14:$C$36,$D$14:$D$36)*$E1180)</f>
        <v>6</v>
      </c>
      <c r="M1180" s="95" cm="1">
        <f ca="1" t="array" ref="M1180">(1+SUMPRODUCT(G1180:H1180,OFFSET($H$40:$I$40,D1180,0)))*(1+OFFSET($J$40,D1180,0))^I1180*(1+OFFSET($K$40,D1180,0))^J1180*(1+OFFSET($L$40,D1180,0))^K1180*(1+OFFSET($M$40,D1180,0))^L1180</f>
        <v>312.742262548382</v>
      </c>
      <c r="N1180" s="95">
        <f ca="1">MAX(MAX($N$53:N1179),OFFSET($C$52,MATCH(M1180*1.07,$M$53:$M$2052,1),0)-C1180)</f>
        <v>69480</v>
      </c>
    </row>
    <row r="1181" spans="2:14">
      <c r="B1181" s="95">
        <v>1129</v>
      </c>
      <c r="C1181" s="95">
        <f t="shared" ref="C1181:C1212" si="96">C1180+360</f>
        <v>406440</v>
      </c>
      <c r="D1181" s="95">
        <f ca="1">_xlfn.XLOOKUP(总览!$B$44,$B$40:$B$45,$C$40:$C$45)</f>
        <v>5</v>
      </c>
      <c r="E1181" s="95">
        <f ca="1" t="shared" si="92"/>
        <v>1159</v>
      </c>
      <c r="F1181" s="95">
        <f ca="1" t="shared" ref="F1181:F1212" si="97">30-SUM(G1181:L1181)</f>
        <v>0</v>
      </c>
      <c r="G1181" s="95">
        <f ca="1" t="shared" ref="G1181:G1212" si="98">30-SUM(H1181:L1181)</f>
        <v>0</v>
      </c>
      <c r="H1181" s="95" cm="1">
        <f ca="1" t="array" ref="H1181">MIN(30-SUM(I1181:L1181),_xlfn.XLOOKUP($D1181&amp;"_"&amp;H$52,$B$14:$B$36&amp;"_"&amp;$C$14:$C$36,$D$14:$D$36)*$E1181,18)</f>
        <v>12.7548</v>
      </c>
      <c r="I1181" s="95" cm="1">
        <f ca="1" t="array" ref="I1181">MIN(30-SUM(J1181:L1181),6-L1181,_xlfn.XLOOKUP($D1181&amp;"_"&amp;I$52,$B$14:$B$36&amp;"_"&amp;$C$14:$C$36,$D$14:$D$36)*$E1181)</f>
        <v>0</v>
      </c>
      <c r="J1181" s="95" cm="1">
        <f ca="1" t="array" ref="J1181">MIN(8,_xlfn.XLOOKUP($D1181&amp;"_"&amp;J$52,$B$14:$B$36&amp;"_"&amp;$C$14:$C$36,$D$14:$D$36)*$E1181)</f>
        <v>8</v>
      </c>
      <c r="K1181" s="95" cm="1">
        <f ca="1" t="array" ref="K1181">MIN(18,_xlfn.XLOOKUP($D1181&amp;"_"&amp;K$52,$B$14:$B$36&amp;"_"&amp;$C$14:$C$36,$D$14:$D$36)*$E1181)</f>
        <v>3.2452</v>
      </c>
      <c r="L1181" s="95" cm="1">
        <f ca="1" t="array" ref="L1181">MIN(6,_xlfn.XLOOKUP($D1181&amp;"_"&amp;L$52,$B$14:$B$36&amp;"_"&amp;$C$14:$C$36,$D$14:$D$36)*$E1181)</f>
        <v>6</v>
      </c>
      <c r="M1181" s="95" cm="1">
        <f ca="1" t="array" ref="M1181">(1+SUMPRODUCT(G1181:H1181,OFFSET($H$40:$I$40,D1181,0)))*(1+OFFSET($J$40,D1181,0))^I1181*(1+OFFSET($K$40,D1181,0))^J1181*(1+OFFSET($L$40,D1181,0))^K1181*(1+OFFSET($M$40,D1181,0))^L1181</f>
        <v>312.852620287473</v>
      </c>
      <c r="N1181" s="95">
        <f ca="1">MAX(MAX($N$53:N1180),OFFSET($C$52,MATCH(M1181*1.07,$M$53:$M$2052,1),0)-C1181)</f>
        <v>69480</v>
      </c>
    </row>
    <row r="1182" spans="2:14">
      <c r="B1182" s="95">
        <v>1130</v>
      </c>
      <c r="C1182" s="95">
        <f t="shared" si="96"/>
        <v>406800</v>
      </c>
      <c r="D1182" s="95">
        <f ca="1">_xlfn.XLOOKUP(总览!$B$44,$B$40:$B$45,$C$40:$C$45)</f>
        <v>5</v>
      </c>
      <c r="E1182" s="95">
        <f ca="1" t="shared" si="92"/>
        <v>1160</v>
      </c>
      <c r="F1182" s="95">
        <f ca="1" t="shared" si="97"/>
        <v>0</v>
      </c>
      <c r="G1182" s="95">
        <f ca="1" t="shared" si="98"/>
        <v>0</v>
      </c>
      <c r="H1182" s="95" cm="1">
        <f ca="1" t="array" ref="H1182">MIN(30-SUM(I1182:L1182),_xlfn.XLOOKUP($D1182&amp;"_"&amp;H$52,$B$14:$B$36&amp;"_"&amp;$C$14:$C$36,$D$14:$D$36)*$E1182,18)</f>
        <v>12.752</v>
      </c>
      <c r="I1182" s="95" cm="1">
        <f ca="1" t="array" ref="I1182">MIN(30-SUM(J1182:L1182),6-L1182,_xlfn.XLOOKUP($D1182&amp;"_"&amp;I$52,$B$14:$B$36&amp;"_"&amp;$C$14:$C$36,$D$14:$D$36)*$E1182)</f>
        <v>0</v>
      </c>
      <c r="J1182" s="95" cm="1">
        <f ca="1" t="array" ref="J1182">MIN(8,_xlfn.XLOOKUP($D1182&amp;"_"&amp;J$52,$B$14:$B$36&amp;"_"&amp;$C$14:$C$36,$D$14:$D$36)*$E1182)</f>
        <v>8</v>
      </c>
      <c r="K1182" s="95" cm="1">
        <f ca="1" t="array" ref="K1182">MIN(18,_xlfn.XLOOKUP($D1182&amp;"_"&amp;K$52,$B$14:$B$36&amp;"_"&amp;$C$14:$C$36,$D$14:$D$36)*$E1182)</f>
        <v>3.248</v>
      </c>
      <c r="L1182" s="95" cm="1">
        <f ca="1" t="array" ref="L1182">MIN(6,_xlfn.XLOOKUP($D1182&amp;"_"&amp;L$52,$B$14:$B$36&amp;"_"&amp;$C$14:$C$36,$D$14:$D$36)*$E1182)</f>
        <v>6</v>
      </c>
      <c r="M1182" s="95" cm="1">
        <f ca="1" t="array" ref="M1182">(1+SUMPRODUCT(G1182:H1182,OFFSET($H$40:$I$40,D1182,0)))*(1+OFFSET($J$40,D1182,0))^I1182*(1+OFFSET($K$40,D1182,0))^J1182*(1+OFFSET($L$40,D1182,0))^K1182*(1+OFFSET($M$40,D1182,0))^L1182</f>
        <v>312.963009185086</v>
      </c>
      <c r="N1182" s="95">
        <f ca="1">MAX(MAX($N$53:N1181),OFFSET($C$52,MATCH(M1182*1.07,$M$53:$M$2052,1),0)-C1182)</f>
        <v>69480</v>
      </c>
    </row>
    <row r="1183" spans="2:14">
      <c r="B1183" s="95">
        <v>1131</v>
      </c>
      <c r="C1183" s="95">
        <f t="shared" si="96"/>
        <v>407160</v>
      </c>
      <c r="D1183" s="95">
        <f ca="1">_xlfn.XLOOKUP(总览!$B$44,$B$40:$B$45,$C$40:$C$45)</f>
        <v>5</v>
      </c>
      <c r="E1183" s="95">
        <f ca="1" t="shared" si="92"/>
        <v>1161</v>
      </c>
      <c r="F1183" s="95">
        <f ca="1" t="shared" si="97"/>
        <v>0</v>
      </c>
      <c r="G1183" s="95">
        <f ca="1" t="shared" si="98"/>
        <v>0</v>
      </c>
      <c r="H1183" s="95" cm="1">
        <f ca="1" t="array" ref="H1183">MIN(30-SUM(I1183:L1183),_xlfn.XLOOKUP($D1183&amp;"_"&amp;H$52,$B$14:$B$36&amp;"_"&amp;$C$14:$C$36,$D$14:$D$36)*$E1183,18)</f>
        <v>12.7492</v>
      </c>
      <c r="I1183" s="95" cm="1">
        <f ca="1" t="array" ref="I1183">MIN(30-SUM(J1183:L1183),6-L1183,_xlfn.XLOOKUP($D1183&amp;"_"&amp;I$52,$B$14:$B$36&amp;"_"&amp;$C$14:$C$36,$D$14:$D$36)*$E1183)</f>
        <v>0</v>
      </c>
      <c r="J1183" s="95" cm="1">
        <f ca="1" t="array" ref="J1183">MIN(8,_xlfn.XLOOKUP($D1183&amp;"_"&amp;J$52,$B$14:$B$36&amp;"_"&amp;$C$14:$C$36,$D$14:$D$36)*$E1183)</f>
        <v>8</v>
      </c>
      <c r="K1183" s="95" cm="1">
        <f ca="1" t="array" ref="K1183">MIN(18,_xlfn.XLOOKUP($D1183&amp;"_"&amp;K$52,$B$14:$B$36&amp;"_"&amp;$C$14:$C$36,$D$14:$D$36)*$E1183)</f>
        <v>3.2508</v>
      </c>
      <c r="L1183" s="95" cm="1">
        <f ca="1" t="array" ref="L1183">MIN(6,_xlfn.XLOOKUP($D1183&amp;"_"&amp;L$52,$B$14:$B$36&amp;"_"&amp;$C$14:$C$36,$D$14:$D$36)*$E1183)</f>
        <v>6</v>
      </c>
      <c r="M1183" s="95" cm="1">
        <f ca="1" t="array" ref="M1183">(1+SUMPRODUCT(G1183:H1183,OFFSET($H$40:$I$40,D1183,0)))*(1+OFFSET($J$40,D1183,0))^I1183*(1+OFFSET($K$40,D1183,0))^J1183*(1+OFFSET($L$40,D1183,0))^K1183*(1+OFFSET($M$40,D1183,0))^L1183</f>
        <v>313.073429244267</v>
      </c>
      <c r="N1183" s="95">
        <f ca="1">MAX(MAX($N$53:N1182),OFFSET($C$52,MATCH(M1183*1.07,$M$53:$M$2052,1),0)-C1183)</f>
        <v>69480</v>
      </c>
    </row>
    <row r="1184" spans="2:14">
      <c r="B1184" s="95">
        <v>1132</v>
      </c>
      <c r="C1184" s="95">
        <f t="shared" si="96"/>
        <v>407520</v>
      </c>
      <c r="D1184" s="95">
        <f ca="1">_xlfn.XLOOKUP(总览!$B$44,$B$40:$B$45,$C$40:$C$45)</f>
        <v>5</v>
      </c>
      <c r="E1184" s="95">
        <f ca="1" t="shared" si="92"/>
        <v>1162</v>
      </c>
      <c r="F1184" s="95">
        <f ca="1" t="shared" si="97"/>
        <v>0</v>
      </c>
      <c r="G1184" s="95">
        <f ca="1" t="shared" si="98"/>
        <v>0</v>
      </c>
      <c r="H1184" s="95" cm="1">
        <f ca="1" t="array" ref="H1184">MIN(30-SUM(I1184:L1184),_xlfn.XLOOKUP($D1184&amp;"_"&amp;H$52,$B$14:$B$36&amp;"_"&amp;$C$14:$C$36,$D$14:$D$36)*$E1184,18)</f>
        <v>12.7464</v>
      </c>
      <c r="I1184" s="95" cm="1">
        <f ca="1" t="array" ref="I1184">MIN(30-SUM(J1184:L1184),6-L1184,_xlfn.XLOOKUP($D1184&amp;"_"&amp;I$52,$B$14:$B$36&amp;"_"&amp;$C$14:$C$36,$D$14:$D$36)*$E1184)</f>
        <v>0</v>
      </c>
      <c r="J1184" s="95" cm="1">
        <f ca="1" t="array" ref="J1184">MIN(8,_xlfn.XLOOKUP($D1184&amp;"_"&amp;J$52,$B$14:$B$36&amp;"_"&amp;$C$14:$C$36,$D$14:$D$36)*$E1184)</f>
        <v>8</v>
      </c>
      <c r="K1184" s="95" cm="1">
        <f ca="1" t="array" ref="K1184">MIN(18,_xlfn.XLOOKUP($D1184&amp;"_"&amp;K$52,$B$14:$B$36&amp;"_"&amp;$C$14:$C$36,$D$14:$D$36)*$E1184)</f>
        <v>3.2536</v>
      </c>
      <c r="L1184" s="95" cm="1">
        <f ca="1" t="array" ref="L1184">MIN(6,_xlfn.XLOOKUP($D1184&amp;"_"&amp;L$52,$B$14:$B$36&amp;"_"&amp;$C$14:$C$36,$D$14:$D$36)*$E1184)</f>
        <v>6</v>
      </c>
      <c r="M1184" s="95" cm="1">
        <f ca="1" t="array" ref="M1184">(1+SUMPRODUCT(G1184:H1184,OFFSET($H$40:$I$40,D1184,0)))*(1+OFFSET($J$40,D1184,0))^I1184*(1+OFFSET($K$40,D1184,0))^J1184*(1+OFFSET($L$40,D1184,0))^K1184*(1+OFFSET($M$40,D1184,0))^L1184</f>
        <v>313.183880468057</v>
      </c>
      <c r="N1184" s="95">
        <f ca="1">MAX(MAX($N$53:N1183),OFFSET($C$52,MATCH(M1184*1.07,$M$53:$M$2052,1),0)-C1184)</f>
        <v>69480</v>
      </c>
    </row>
    <row r="1185" spans="2:14">
      <c r="B1185" s="95">
        <v>1133</v>
      </c>
      <c r="C1185" s="95">
        <f t="shared" si="96"/>
        <v>407880</v>
      </c>
      <c r="D1185" s="95">
        <f ca="1">_xlfn.XLOOKUP(总览!$B$44,$B$40:$B$45,$C$40:$C$45)</f>
        <v>5</v>
      </c>
      <c r="E1185" s="95">
        <f ca="1" t="shared" si="92"/>
        <v>1163</v>
      </c>
      <c r="F1185" s="95">
        <f ca="1" t="shared" si="97"/>
        <v>0</v>
      </c>
      <c r="G1185" s="95">
        <f ca="1" t="shared" si="98"/>
        <v>0</v>
      </c>
      <c r="H1185" s="95" cm="1">
        <f ca="1" t="array" ref="H1185">MIN(30-SUM(I1185:L1185),_xlfn.XLOOKUP($D1185&amp;"_"&amp;H$52,$B$14:$B$36&amp;"_"&amp;$C$14:$C$36,$D$14:$D$36)*$E1185,18)</f>
        <v>12.7436</v>
      </c>
      <c r="I1185" s="95" cm="1">
        <f ca="1" t="array" ref="I1185">MIN(30-SUM(J1185:L1185),6-L1185,_xlfn.XLOOKUP($D1185&amp;"_"&amp;I$52,$B$14:$B$36&amp;"_"&amp;$C$14:$C$36,$D$14:$D$36)*$E1185)</f>
        <v>0</v>
      </c>
      <c r="J1185" s="95" cm="1">
        <f ca="1" t="array" ref="J1185">MIN(8,_xlfn.XLOOKUP($D1185&amp;"_"&amp;J$52,$B$14:$B$36&amp;"_"&amp;$C$14:$C$36,$D$14:$D$36)*$E1185)</f>
        <v>8</v>
      </c>
      <c r="K1185" s="95" cm="1">
        <f ca="1" t="array" ref="K1185">MIN(18,_xlfn.XLOOKUP($D1185&amp;"_"&amp;K$52,$B$14:$B$36&amp;"_"&amp;$C$14:$C$36,$D$14:$D$36)*$E1185)</f>
        <v>3.2564</v>
      </c>
      <c r="L1185" s="95" cm="1">
        <f ca="1" t="array" ref="L1185">MIN(6,_xlfn.XLOOKUP($D1185&amp;"_"&amp;L$52,$B$14:$B$36&amp;"_"&amp;$C$14:$C$36,$D$14:$D$36)*$E1185)</f>
        <v>6</v>
      </c>
      <c r="M1185" s="95" cm="1">
        <f ca="1" t="array" ref="M1185">(1+SUMPRODUCT(G1185:H1185,OFFSET($H$40:$I$40,D1185,0)))*(1+OFFSET($J$40,D1185,0))^I1185*(1+OFFSET($K$40,D1185,0))^J1185*(1+OFFSET($L$40,D1185,0))^K1185*(1+OFFSET($M$40,D1185,0))^L1185</f>
        <v>313.294362859492</v>
      </c>
      <c r="N1185" s="95">
        <f ca="1">MAX(MAX($N$53:N1184),OFFSET($C$52,MATCH(M1185*1.07,$M$53:$M$2052,1),0)-C1185)</f>
        <v>69480</v>
      </c>
    </row>
    <row r="1186" spans="2:14">
      <c r="B1186" s="95">
        <v>1134</v>
      </c>
      <c r="C1186" s="95">
        <f t="shared" si="96"/>
        <v>408240</v>
      </c>
      <c r="D1186" s="95">
        <f ca="1">_xlfn.XLOOKUP(总览!$B$44,$B$40:$B$45,$C$40:$C$45)</f>
        <v>5</v>
      </c>
      <c r="E1186" s="95">
        <f ca="1" t="shared" si="92"/>
        <v>1164</v>
      </c>
      <c r="F1186" s="95">
        <f ca="1" t="shared" si="97"/>
        <v>0</v>
      </c>
      <c r="G1186" s="95">
        <f ca="1" t="shared" si="98"/>
        <v>0</v>
      </c>
      <c r="H1186" s="95" cm="1">
        <f ca="1" t="array" ref="H1186">MIN(30-SUM(I1186:L1186),_xlfn.XLOOKUP($D1186&amp;"_"&amp;H$52,$B$14:$B$36&amp;"_"&amp;$C$14:$C$36,$D$14:$D$36)*$E1186,18)</f>
        <v>12.7408</v>
      </c>
      <c r="I1186" s="95" cm="1">
        <f ca="1" t="array" ref="I1186">MIN(30-SUM(J1186:L1186),6-L1186,_xlfn.XLOOKUP($D1186&amp;"_"&amp;I$52,$B$14:$B$36&amp;"_"&amp;$C$14:$C$36,$D$14:$D$36)*$E1186)</f>
        <v>0</v>
      </c>
      <c r="J1186" s="95" cm="1">
        <f ca="1" t="array" ref="J1186">MIN(8,_xlfn.XLOOKUP($D1186&amp;"_"&amp;J$52,$B$14:$B$36&amp;"_"&amp;$C$14:$C$36,$D$14:$D$36)*$E1186)</f>
        <v>8</v>
      </c>
      <c r="K1186" s="95" cm="1">
        <f ca="1" t="array" ref="K1186">MIN(18,_xlfn.XLOOKUP($D1186&amp;"_"&amp;K$52,$B$14:$B$36&amp;"_"&amp;$C$14:$C$36,$D$14:$D$36)*$E1186)</f>
        <v>3.2592</v>
      </c>
      <c r="L1186" s="95" cm="1">
        <f ca="1" t="array" ref="L1186">MIN(6,_xlfn.XLOOKUP($D1186&amp;"_"&amp;L$52,$B$14:$B$36&amp;"_"&amp;$C$14:$C$36,$D$14:$D$36)*$E1186)</f>
        <v>6</v>
      </c>
      <c r="M1186" s="95" cm="1">
        <f ca="1" t="array" ref="M1186">(1+SUMPRODUCT(G1186:H1186,OFFSET($H$40:$I$40,D1186,0)))*(1+OFFSET($J$40,D1186,0))^I1186*(1+OFFSET($K$40,D1186,0))^J1186*(1+OFFSET($L$40,D1186,0))^K1186*(1+OFFSET($M$40,D1186,0))^L1186</f>
        <v>313.404876421602</v>
      </c>
      <c r="N1186" s="95">
        <f ca="1">MAX(MAX($N$53:N1185),OFFSET($C$52,MATCH(M1186*1.07,$M$53:$M$2052,1),0)-C1186)</f>
        <v>69480</v>
      </c>
    </row>
    <row r="1187" spans="2:14">
      <c r="B1187" s="95">
        <v>1135</v>
      </c>
      <c r="C1187" s="95">
        <f t="shared" si="96"/>
        <v>408600</v>
      </c>
      <c r="D1187" s="95">
        <f ca="1">_xlfn.XLOOKUP(总览!$B$44,$B$40:$B$45,$C$40:$C$45)</f>
        <v>5</v>
      </c>
      <c r="E1187" s="95">
        <f ca="1" t="shared" si="92"/>
        <v>1165</v>
      </c>
      <c r="F1187" s="95">
        <f ca="1" t="shared" si="97"/>
        <v>0</v>
      </c>
      <c r="G1187" s="95">
        <f ca="1" t="shared" si="98"/>
        <v>0</v>
      </c>
      <c r="H1187" s="95" cm="1">
        <f ca="1" t="array" ref="H1187">MIN(30-SUM(I1187:L1187),_xlfn.XLOOKUP($D1187&amp;"_"&amp;H$52,$B$14:$B$36&amp;"_"&amp;$C$14:$C$36,$D$14:$D$36)*$E1187,18)</f>
        <v>12.738</v>
      </c>
      <c r="I1187" s="95" cm="1">
        <f ca="1" t="array" ref="I1187">MIN(30-SUM(J1187:L1187),6-L1187,_xlfn.XLOOKUP($D1187&amp;"_"&amp;I$52,$B$14:$B$36&amp;"_"&amp;$C$14:$C$36,$D$14:$D$36)*$E1187)</f>
        <v>0</v>
      </c>
      <c r="J1187" s="95" cm="1">
        <f ca="1" t="array" ref="J1187">MIN(8,_xlfn.XLOOKUP($D1187&amp;"_"&amp;J$52,$B$14:$B$36&amp;"_"&amp;$C$14:$C$36,$D$14:$D$36)*$E1187)</f>
        <v>8</v>
      </c>
      <c r="K1187" s="95" cm="1">
        <f ca="1" t="array" ref="K1187">MIN(18,_xlfn.XLOOKUP($D1187&amp;"_"&amp;K$52,$B$14:$B$36&amp;"_"&amp;$C$14:$C$36,$D$14:$D$36)*$E1187)</f>
        <v>3.262</v>
      </c>
      <c r="L1187" s="95" cm="1">
        <f ca="1" t="array" ref="L1187">MIN(6,_xlfn.XLOOKUP($D1187&amp;"_"&amp;L$52,$B$14:$B$36&amp;"_"&amp;$C$14:$C$36,$D$14:$D$36)*$E1187)</f>
        <v>6</v>
      </c>
      <c r="M1187" s="95" cm="1">
        <f ca="1" t="array" ref="M1187">(1+SUMPRODUCT(G1187:H1187,OFFSET($H$40:$I$40,D1187,0)))*(1+OFFSET($J$40,D1187,0))^I1187*(1+OFFSET($K$40,D1187,0))^J1187*(1+OFFSET($L$40,D1187,0))^K1187*(1+OFFSET($M$40,D1187,0))^L1187</f>
        <v>313.515421157414</v>
      </c>
      <c r="N1187" s="95">
        <f ca="1">MAX(MAX($N$53:N1186),OFFSET($C$52,MATCH(M1187*1.07,$M$53:$M$2052,1),0)-C1187)</f>
        <v>69480</v>
      </c>
    </row>
    <row r="1188" spans="2:14">
      <c r="B1188" s="95">
        <v>1136</v>
      </c>
      <c r="C1188" s="95">
        <f t="shared" si="96"/>
        <v>408960</v>
      </c>
      <c r="D1188" s="95">
        <f ca="1">_xlfn.XLOOKUP(总览!$B$44,$B$40:$B$45,$C$40:$C$45)</f>
        <v>5</v>
      </c>
      <c r="E1188" s="95">
        <f ca="1" t="shared" si="92"/>
        <v>1166</v>
      </c>
      <c r="F1188" s="95">
        <f ca="1" t="shared" si="97"/>
        <v>0</v>
      </c>
      <c r="G1188" s="95">
        <f ca="1" t="shared" si="98"/>
        <v>0</v>
      </c>
      <c r="H1188" s="95" cm="1">
        <f ca="1" t="array" ref="H1188">MIN(30-SUM(I1188:L1188),_xlfn.XLOOKUP($D1188&amp;"_"&amp;H$52,$B$14:$B$36&amp;"_"&amp;$C$14:$C$36,$D$14:$D$36)*$E1188,18)</f>
        <v>12.7352</v>
      </c>
      <c r="I1188" s="95" cm="1">
        <f ca="1" t="array" ref="I1188">MIN(30-SUM(J1188:L1188),6-L1188,_xlfn.XLOOKUP($D1188&amp;"_"&amp;I$52,$B$14:$B$36&amp;"_"&amp;$C$14:$C$36,$D$14:$D$36)*$E1188)</f>
        <v>0</v>
      </c>
      <c r="J1188" s="95" cm="1">
        <f ca="1" t="array" ref="J1188">MIN(8,_xlfn.XLOOKUP($D1188&amp;"_"&amp;J$52,$B$14:$B$36&amp;"_"&amp;$C$14:$C$36,$D$14:$D$36)*$E1188)</f>
        <v>8</v>
      </c>
      <c r="K1188" s="95" cm="1">
        <f ca="1" t="array" ref="K1188">MIN(18,_xlfn.XLOOKUP($D1188&amp;"_"&amp;K$52,$B$14:$B$36&amp;"_"&amp;$C$14:$C$36,$D$14:$D$36)*$E1188)</f>
        <v>3.2648</v>
      </c>
      <c r="L1188" s="95" cm="1">
        <f ca="1" t="array" ref="L1188">MIN(6,_xlfn.XLOOKUP($D1188&amp;"_"&amp;L$52,$B$14:$B$36&amp;"_"&amp;$C$14:$C$36,$D$14:$D$36)*$E1188)</f>
        <v>6</v>
      </c>
      <c r="M1188" s="95" cm="1">
        <f ca="1" t="array" ref="M1188">(1+SUMPRODUCT(G1188:H1188,OFFSET($H$40:$I$40,D1188,0)))*(1+OFFSET($J$40,D1188,0))^I1188*(1+OFFSET($K$40,D1188,0))^J1188*(1+OFFSET($L$40,D1188,0))^K1188*(1+OFFSET($M$40,D1188,0))^L1188</f>
        <v>313.625997069948</v>
      </c>
      <c r="N1188" s="95">
        <f ca="1">MAX(MAX($N$53:N1187),OFFSET($C$52,MATCH(M1188*1.07,$M$53:$M$2052,1),0)-C1188)</f>
        <v>69480</v>
      </c>
    </row>
    <row r="1189" spans="2:14">
      <c r="B1189" s="95">
        <v>1137</v>
      </c>
      <c r="C1189" s="95">
        <f t="shared" si="96"/>
        <v>409320</v>
      </c>
      <c r="D1189" s="95">
        <f ca="1">_xlfn.XLOOKUP(总览!$B$44,$B$40:$B$45,$C$40:$C$45)</f>
        <v>5</v>
      </c>
      <c r="E1189" s="95">
        <f ca="1" t="shared" si="92"/>
        <v>1167</v>
      </c>
      <c r="F1189" s="95">
        <f ca="1" t="shared" si="97"/>
        <v>0</v>
      </c>
      <c r="G1189" s="95">
        <f ca="1" t="shared" si="98"/>
        <v>0</v>
      </c>
      <c r="H1189" s="95" cm="1">
        <f ca="1" t="array" ref="H1189">MIN(30-SUM(I1189:L1189),_xlfn.XLOOKUP($D1189&amp;"_"&amp;H$52,$B$14:$B$36&amp;"_"&amp;$C$14:$C$36,$D$14:$D$36)*$E1189,18)</f>
        <v>12.7324</v>
      </c>
      <c r="I1189" s="95" cm="1">
        <f ca="1" t="array" ref="I1189">MIN(30-SUM(J1189:L1189),6-L1189,_xlfn.XLOOKUP($D1189&amp;"_"&amp;I$52,$B$14:$B$36&amp;"_"&amp;$C$14:$C$36,$D$14:$D$36)*$E1189)</f>
        <v>0</v>
      </c>
      <c r="J1189" s="95" cm="1">
        <f ca="1" t="array" ref="J1189">MIN(8,_xlfn.XLOOKUP($D1189&amp;"_"&amp;J$52,$B$14:$B$36&amp;"_"&amp;$C$14:$C$36,$D$14:$D$36)*$E1189)</f>
        <v>8</v>
      </c>
      <c r="K1189" s="95" cm="1">
        <f ca="1" t="array" ref="K1189">MIN(18,_xlfn.XLOOKUP($D1189&amp;"_"&amp;K$52,$B$14:$B$36&amp;"_"&amp;$C$14:$C$36,$D$14:$D$36)*$E1189)</f>
        <v>3.2676</v>
      </c>
      <c r="L1189" s="95" cm="1">
        <f ca="1" t="array" ref="L1189">MIN(6,_xlfn.XLOOKUP($D1189&amp;"_"&amp;L$52,$B$14:$B$36&amp;"_"&amp;$C$14:$C$36,$D$14:$D$36)*$E1189)</f>
        <v>6</v>
      </c>
      <c r="M1189" s="95" cm="1">
        <f ca="1" t="array" ref="M1189">(1+SUMPRODUCT(G1189:H1189,OFFSET($H$40:$I$40,D1189,0)))*(1+OFFSET($J$40,D1189,0))^I1189*(1+OFFSET($K$40,D1189,0))^J1189*(1+OFFSET($L$40,D1189,0))^K1189*(1+OFFSET($M$40,D1189,0))^L1189</f>
        <v>313.73660416222</v>
      </c>
      <c r="N1189" s="95">
        <f ca="1">MAX(MAX($N$53:N1188),OFFSET($C$52,MATCH(M1189*1.07,$M$53:$M$2052,1),0)-C1189)</f>
        <v>69480</v>
      </c>
    </row>
    <row r="1190" spans="2:14">
      <c r="B1190" s="95">
        <v>1138</v>
      </c>
      <c r="C1190" s="95">
        <f t="shared" si="96"/>
        <v>409680</v>
      </c>
      <c r="D1190" s="95">
        <f ca="1">_xlfn.XLOOKUP(总览!$B$44,$B$40:$B$45,$C$40:$C$45)</f>
        <v>5</v>
      </c>
      <c r="E1190" s="95">
        <f ca="1" t="shared" si="92"/>
        <v>1168</v>
      </c>
      <c r="F1190" s="95">
        <f ca="1" t="shared" si="97"/>
        <v>0</v>
      </c>
      <c r="G1190" s="95">
        <f ca="1" t="shared" si="98"/>
        <v>0</v>
      </c>
      <c r="H1190" s="95" cm="1">
        <f ca="1" t="array" ref="H1190">MIN(30-SUM(I1190:L1190),_xlfn.XLOOKUP($D1190&amp;"_"&amp;H$52,$B$14:$B$36&amp;"_"&amp;$C$14:$C$36,$D$14:$D$36)*$E1190,18)</f>
        <v>12.7296</v>
      </c>
      <c r="I1190" s="95" cm="1">
        <f ca="1" t="array" ref="I1190">MIN(30-SUM(J1190:L1190),6-L1190,_xlfn.XLOOKUP($D1190&amp;"_"&amp;I$52,$B$14:$B$36&amp;"_"&amp;$C$14:$C$36,$D$14:$D$36)*$E1190)</f>
        <v>0</v>
      </c>
      <c r="J1190" s="95" cm="1">
        <f ca="1" t="array" ref="J1190">MIN(8,_xlfn.XLOOKUP($D1190&amp;"_"&amp;J$52,$B$14:$B$36&amp;"_"&amp;$C$14:$C$36,$D$14:$D$36)*$E1190)</f>
        <v>8</v>
      </c>
      <c r="K1190" s="95" cm="1">
        <f ca="1" t="array" ref="K1190">MIN(18,_xlfn.XLOOKUP($D1190&amp;"_"&amp;K$52,$B$14:$B$36&amp;"_"&amp;$C$14:$C$36,$D$14:$D$36)*$E1190)</f>
        <v>3.2704</v>
      </c>
      <c r="L1190" s="95" cm="1">
        <f ca="1" t="array" ref="L1190">MIN(6,_xlfn.XLOOKUP($D1190&amp;"_"&amp;L$52,$B$14:$B$36&amp;"_"&amp;$C$14:$C$36,$D$14:$D$36)*$E1190)</f>
        <v>6</v>
      </c>
      <c r="M1190" s="95" cm="1">
        <f ca="1" t="array" ref="M1190">(1+SUMPRODUCT(G1190:H1190,OFFSET($H$40:$I$40,D1190,0)))*(1+OFFSET($J$40,D1190,0))^I1190*(1+OFFSET($K$40,D1190,0))^J1190*(1+OFFSET($L$40,D1190,0))^K1190*(1+OFFSET($M$40,D1190,0))^L1190</f>
        <v>313.84724243724</v>
      </c>
      <c r="N1190" s="95">
        <f ca="1">MAX(MAX($N$53:N1189),OFFSET($C$52,MATCH(M1190*1.07,$M$53:$M$2052,1),0)-C1190)</f>
        <v>69480</v>
      </c>
    </row>
    <row r="1191" spans="2:14">
      <c r="B1191" s="95">
        <v>1139</v>
      </c>
      <c r="C1191" s="95">
        <f t="shared" si="96"/>
        <v>410040</v>
      </c>
      <c r="D1191" s="95">
        <f ca="1">_xlfn.XLOOKUP(总览!$B$44,$B$40:$B$45,$C$40:$C$45)</f>
        <v>5</v>
      </c>
      <c r="E1191" s="95">
        <f ca="1" t="shared" si="92"/>
        <v>1169</v>
      </c>
      <c r="F1191" s="95">
        <f ca="1" t="shared" si="97"/>
        <v>0</v>
      </c>
      <c r="G1191" s="95">
        <f ca="1" t="shared" si="98"/>
        <v>0</v>
      </c>
      <c r="H1191" s="95" cm="1">
        <f ca="1" t="array" ref="H1191">MIN(30-SUM(I1191:L1191),_xlfn.XLOOKUP($D1191&amp;"_"&amp;H$52,$B$14:$B$36&amp;"_"&amp;$C$14:$C$36,$D$14:$D$36)*$E1191,18)</f>
        <v>12.7268</v>
      </c>
      <c r="I1191" s="95" cm="1">
        <f ca="1" t="array" ref="I1191">MIN(30-SUM(J1191:L1191),6-L1191,_xlfn.XLOOKUP($D1191&amp;"_"&amp;I$52,$B$14:$B$36&amp;"_"&amp;$C$14:$C$36,$D$14:$D$36)*$E1191)</f>
        <v>0</v>
      </c>
      <c r="J1191" s="95" cm="1">
        <f ca="1" t="array" ref="J1191">MIN(8,_xlfn.XLOOKUP($D1191&amp;"_"&amp;J$52,$B$14:$B$36&amp;"_"&amp;$C$14:$C$36,$D$14:$D$36)*$E1191)</f>
        <v>8</v>
      </c>
      <c r="K1191" s="95" cm="1">
        <f ca="1" t="array" ref="K1191">MIN(18,_xlfn.XLOOKUP($D1191&amp;"_"&amp;K$52,$B$14:$B$36&amp;"_"&amp;$C$14:$C$36,$D$14:$D$36)*$E1191)</f>
        <v>3.2732</v>
      </c>
      <c r="L1191" s="95" cm="1">
        <f ca="1" t="array" ref="L1191">MIN(6,_xlfn.XLOOKUP($D1191&amp;"_"&amp;L$52,$B$14:$B$36&amp;"_"&amp;$C$14:$C$36,$D$14:$D$36)*$E1191)</f>
        <v>6</v>
      </c>
      <c r="M1191" s="95" cm="1">
        <f ca="1" t="array" ref="M1191">(1+SUMPRODUCT(G1191:H1191,OFFSET($H$40:$I$40,D1191,0)))*(1+OFFSET($J$40,D1191,0))^I1191*(1+OFFSET($K$40,D1191,0))^J1191*(1+OFFSET($L$40,D1191,0))^K1191*(1+OFFSET($M$40,D1191,0))^L1191</f>
        <v>313.957911898015</v>
      </c>
      <c r="N1191" s="95">
        <f ca="1">MAX(MAX($N$53:N1190),OFFSET($C$52,MATCH(M1191*1.07,$M$53:$M$2052,1),0)-C1191)</f>
        <v>69480</v>
      </c>
    </row>
    <row r="1192" spans="2:14">
      <c r="B1192" s="95">
        <v>1140</v>
      </c>
      <c r="C1192" s="95">
        <f t="shared" si="96"/>
        <v>410400</v>
      </c>
      <c r="D1192" s="95">
        <f ca="1">_xlfn.XLOOKUP(总览!$B$44,$B$40:$B$45,$C$40:$C$45)</f>
        <v>5</v>
      </c>
      <c r="E1192" s="95">
        <f ca="1" t="shared" si="92"/>
        <v>1170</v>
      </c>
      <c r="F1192" s="95">
        <f ca="1" t="shared" si="97"/>
        <v>0</v>
      </c>
      <c r="G1192" s="95">
        <f ca="1" t="shared" si="98"/>
        <v>0</v>
      </c>
      <c r="H1192" s="95" cm="1">
        <f ca="1" t="array" ref="H1192">MIN(30-SUM(I1192:L1192),_xlfn.XLOOKUP($D1192&amp;"_"&amp;H$52,$B$14:$B$36&amp;"_"&amp;$C$14:$C$36,$D$14:$D$36)*$E1192,18)</f>
        <v>12.724</v>
      </c>
      <c r="I1192" s="95" cm="1">
        <f ca="1" t="array" ref="I1192">MIN(30-SUM(J1192:L1192),6-L1192,_xlfn.XLOOKUP($D1192&amp;"_"&amp;I$52,$B$14:$B$36&amp;"_"&amp;$C$14:$C$36,$D$14:$D$36)*$E1192)</f>
        <v>0</v>
      </c>
      <c r="J1192" s="95" cm="1">
        <f ca="1" t="array" ref="J1192">MIN(8,_xlfn.XLOOKUP($D1192&amp;"_"&amp;J$52,$B$14:$B$36&amp;"_"&amp;$C$14:$C$36,$D$14:$D$36)*$E1192)</f>
        <v>8</v>
      </c>
      <c r="K1192" s="95" cm="1">
        <f ca="1" t="array" ref="K1192">MIN(18,_xlfn.XLOOKUP($D1192&amp;"_"&amp;K$52,$B$14:$B$36&amp;"_"&amp;$C$14:$C$36,$D$14:$D$36)*$E1192)</f>
        <v>3.276</v>
      </c>
      <c r="L1192" s="95" cm="1">
        <f ca="1" t="array" ref="L1192">MIN(6,_xlfn.XLOOKUP($D1192&amp;"_"&amp;L$52,$B$14:$B$36&amp;"_"&amp;$C$14:$C$36,$D$14:$D$36)*$E1192)</f>
        <v>6</v>
      </c>
      <c r="M1192" s="95" cm="1">
        <f ca="1" t="array" ref="M1192">(1+SUMPRODUCT(G1192:H1192,OFFSET($H$40:$I$40,D1192,0)))*(1+OFFSET($J$40,D1192,0))^I1192*(1+OFFSET($K$40,D1192,0))^J1192*(1+OFFSET($L$40,D1192,0))^K1192*(1+OFFSET($M$40,D1192,0))^L1192</f>
        <v>314.068612547545</v>
      </c>
      <c r="N1192" s="95">
        <f ca="1">MAX(MAX($N$53:N1191),OFFSET($C$52,MATCH(M1192*1.07,$M$53:$M$2052,1),0)-C1192)</f>
        <v>69480</v>
      </c>
    </row>
    <row r="1193" spans="2:14">
      <c r="B1193" s="95">
        <v>1141</v>
      </c>
      <c r="C1193" s="95">
        <f t="shared" si="96"/>
        <v>410760</v>
      </c>
      <c r="D1193" s="95">
        <f ca="1">_xlfn.XLOOKUP(总览!$B$44,$B$40:$B$45,$C$40:$C$45)</f>
        <v>5</v>
      </c>
      <c r="E1193" s="95">
        <f ca="1" t="shared" si="92"/>
        <v>1171</v>
      </c>
      <c r="F1193" s="95">
        <f ca="1" t="shared" si="97"/>
        <v>0</v>
      </c>
      <c r="G1193" s="95">
        <f ca="1" t="shared" si="98"/>
        <v>0</v>
      </c>
      <c r="H1193" s="95" cm="1">
        <f ca="1" t="array" ref="H1193">MIN(30-SUM(I1193:L1193),_xlfn.XLOOKUP($D1193&amp;"_"&amp;H$52,$B$14:$B$36&amp;"_"&amp;$C$14:$C$36,$D$14:$D$36)*$E1193,18)</f>
        <v>12.7212</v>
      </c>
      <c r="I1193" s="95" cm="1">
        <f ca="1" t="array" ref="I1193">MIN(30-SUM(J1193:L1193),6-L1193,_xlfn.XLOOKUP($D1193&amp;"_"&amp;I$52,$B$14:$B$36&amp;"_"&amp;$C$14:$C$36,$D$14:$D$36)*$E1193)</f>
        <v>0</v>
      </c>
      <c r="J1193" s="95" cm="1">
        <f ca="1" t="array" ref="J1193">MIN(8,_xlfn.XLOOKUP($D1193&amp;"_"&amp;J$52,$B$14:$B$36&amp;"_"&amp;$C$14:$C$36,$D$14:$D$36)*$E1193)</f>
        <v>8</v>
      </c>
      <c r="K1193" s="95" cm="1">
        <f ca="1" t="array" ref="K1193">MIN(18,_xlfn.XLOOKUP($D1193&amp;"_"&amp;K$52,$B$14:$B$36&amp;"_"&amp;$C$14:$C$36,$D$14:$D$36)*$E1193)</f>
        <v>3.2788</v>
      </c>
      <c r="L1193" s="95" cm="1">
        <f ca="1" t="array" ref="L1193">MIN(6,_xlfn.XLOOKUP($D1193&amp;"_"&amp;L$52,$B$14:$B$36&amp;"_"&amp;$C$14:$C$36,$D$14:$D$36)*$E1193)</f>
        <v>6</v>
      </c>
      <c r="M1193" s="95" cm="1">
        <f ca="1" t="array" ref="M1193">(1+SUMPRODUCT(G1193:H1193,OFFSET($H$40:$I$40,D1193,0)))*(1+OFFSET($J$40,D1193,0))^I1193*(1+OFFSET($K$40,D1193,0))^J1193*(1+OFFSET($L$40,D1193,0))^K1193*(1+OFFSET($M$40,D1193,0))^L1193</f>
        <v>314.179344388825</v>
      </c>
      <c r="N1193" s="95">
        <f ca="1">MAX(MAX($N$53:N1192),OFFSET($C$52,MATCH(M1193*1.07,$M$53:$M$2052,1),0)-C1193)</f>
        <v>69480</v>
      </c>
    </row>
    <row r="1194" spans="2:14">
      <c r="B1194" s="95">
        <v>1142</v>
      </c>
      <c r="C1194" s="95">
        <f t="shared" si="96"/>
        <v>411120</v>
      </c>
      <c r="D1194" s="95">
        <f ca="1">_xlfn.XLOOKUP(总览!$B$44,$B$40:$B$45,$C$40:$C$45)</f>
        <v>5</v>
      </c>
      <c r="E1194" s="95">
        <f ca="1" t="shared" si="92"/>
        <v>1172</v>
      </c>
      <c r="F1194" s="95">
        <f ca="1" t="shared" si="97"/>
        <v>0</v>
      </c>
      <c r="G1194" s="95">
        <f ca="1" t="shared" si="98"/>
        <v>0</v>
      </c>
      <c r="H1194" s="95" cm="1">
        <f ca="1" t="array" ref="H1194">MIN(30-SUM(I1194:L1194),_xlfn.XLOOKUP($D1194&amp;"_"&amp;H$52,$B$14:$B$36&amp;"_"&amp;$C$14:$C$36,$D$14:$D$36)*$E1194,18)</f>
        <v>12.7184</v>
      </c>
      <c r="I1194" s="95" cm="1">
        <f ca="1" t="array" ref="I1194">MIN(30-SUM(J1194:L1194),6-L1194,_xlfn.XLOOKUP($D1194&amp;"_"&amp;I$52,$B$14:$B$36&amp;"_"&amp;$C$14:$C$36,$D$14:$D$36)*$E1194)</f>
        <v>0</v>
      </c>
      <c r="J1194" s="95" cm="1">
        <f ca="1" t="array" ref="J1194">MIN(8,_xlfn.XLOOKUP($D1194&amp;"_"&amp;J$52,$B$14:$B$36&amp;"_"&amp;$C$14:$C$36,$D$14:$D$36)*$E1194)</f>
        <v>8</v>
      </c>
      <c r="K1194" s="95" cm="1">
        <f ca="1" t="array" ref="K1194">MIN(18,_xlfn.XLOOKUP($D1194&amp;"_"&amp;K$52,$B$14:$B$36&amp;"_"&amp;$C$14:$C$36,$D$14:$D$36)*$E1194)</f>
        <v>3.2816</v>
      </c>
      <c r="L1194" s="95" cm="1">
        <f ca="1" t="array" ref="L1194">MIN(6,_xlfn.XLOOKUP($D1194&amp;"_"&amp;L$52,$B$14:$B$36&amp;"_"&amp;$C$14:$C$36,$D$14:$D$36)*$E1194)</f>
        <v>6</v>
      </c>
      <c r="M1194" s="95" cm="1">
        <f ca="1" t="array" ref="M1194">(1+SUMPRODUCT(G1194:H1194,OFFSET($H$40:$I$40,D1194,0)))*(1+OFFSET($J$40,D1194,0))^I1194*(1+OFFSET($K$40,D1194,0))^J1194*(1+OFFSET($L$40,D1194,0))^K1194*(1+OFFSET($M$40,D1194,0))^L1194</f>
        <v>314.290107424846</v>
      </c>
      <c r="N1194" s="95">
        <f ca="1">MAX(MAX($N$53:N1193),OFFSET($C$52,MATCH(M1194*1.07,$M$53:$M$2052,1),0)-C1194)</f>
        <v>69480</v>
      </c>
    </row>
    <row r="1195" spans="2:14">
      <c r="B1195" s="95">
        <v>1143</v>
      </c>
      <c r="C1195" s="95">
        <f t="shared" si="96"/>
        <v>411480</v>
      </c>
      <c r="D1195" s="95">
        <f ca="1">_xlfn.XLOOKUP(总览!$B$44,$B$40:$B$45,$C$40:$C$45)</f>
        <v>5</v>
      </c>
      <c r="E1195" s="95">
        <f ca="1" t="shared" si="92"/>
        <v>1173</v>
      </c>
      <c r="F1195" s="95">
        <f ca="1" t="shared" si="97"/>
        <v>0</v>
      </c>
      <c r="G1195" s="95">
        <f ca="1" t="shared" si="98"/>
        <v>0</v>
      </c>
      <c r="H1195" s="95" cm="1">
        <f ca="1" t="array" ref="H1195">MIN(30-SUM(I1195:L1195),_xlfn.XLOOKUP($D1195&amp;"_"&amp;H$52,$B$14:$B$36&amp;"_"&amp;$C$14:$C$36,$D$14:$D$36)*$E1195,18)</f>
        <v>12.7156</v>
      </c>
      <c r="I1195" s="95" cm="1">
        <f ca="1" t="array" ref="I1195">MIN(30-SUM(J1195:L1195),6-L1195,_xlfn.XLOOKUP($D1195&amp;"_"&amp;I$52,$B$14:$B$36&amp;"_"&amp;$C$14:$C$36,$D$14:$D$36)*$E1195)</f>
        <v>0</v>
      </c>
      <c r="J1195" s="95" cm="1">
        <f ca="1" t="array" ref="J1195">MIN(8,_xlfn.XLOOKUP($D1195&amp;"_"&amp;J$52,$B$14:$B$36&amp;"_"&amp;$C$14:$C$36,$D$14:$D$36)*$E1195)</f>
        <v>8</v>
      </c>
      <c r="K1195" s="95" cm="1">
        <f ca="1" t="array" ref="K1195">MIN(18,_xlfn.XLOOKUP($D1195&amp;"_"&amp;K$52,$B$14:$B$36&amp;"_"&amp;$C$14:$C$36,$D$14:$D$36)*$E1195)</f>
        <v>3.2844</v>
      </c>
      <c r="L1195" s="95" cm="1">
        <f ca="1" t="array" ref="L1195">MIN(6,_xlfn.XLOOKUP($D1195&amp;"_"&amp;L$52,$B$14:$B$36&amp;"_"&amp;$C$14:$C$36,$D$14:$D$36)*$E1195)</f>
        <v>6</v>
      </c>
      <c r="M1195" s="95" cm="1">
        <f ca="1" t="array" ref="M1195">(1+SUMPRODUCT(G1195:H1195,OFFSET($H$40:$I$40,D1195,0)))*(1+OFFSET($J$40,D1195,0))^I1195*(1+OFFSET($K$40,D1195,0))^J1195*(1+OFFSET($L$40,D1195,0))^K1195*(1+OFFSET($M$40,D1195,0))^L1195</f>
        <v>314.400901658593</v>
      </c>
      <c r="N1195" s="95">
        <f ca="1">MAX(MAX($N$53:N1194),OFFSET($C$52,MATCH(M1195*1.07,$M$53:$M$2052,1),0)-C1195)</f>
        <v>69480</v>
      </c>
    </row>
    <row r="1196" spans="2:14">
      <c r="B1196" s="95">
        <v>1144</v>
      </c>
      <c r="C1196" s="95">
        <f t="shared" si="96"/>
        <v>411840</v>
      </c>
      <c r="D1196" s="95">
        <f ca="1">_xlfn.XLOOKUP(总览!$B$44,$B$40:$B$45,$C$40:$C$45)</f>
        <v>5</v>
      </c>
      <c r="E1196" s="95">
        <f ca="1" t="shared" si="92"/>
        <v>1174</v>
      </c>
      <c r="F1196" s="95">
        <f ca="1" t="shared" si="97"/>
        <v>0</v>
      </c>
      <c r="G1196" s="95">
        <f ca="1" t="shared" si="98"/>
        <v>0</v>
      </c>
      <c r="H1196" s="95" cm="1">
        <f ca="1" t="array" ref="H1196">MIN(30-SUM(I1196:L1196),_xlfn.XLOOKUP($D1196&amp;"_"&amp;H$52,$B$14:$B$36&amp;"_"&amp;$C$14:$C$36,$D$14:$D$36)*$E1196,18)</f>
        <v>12.7128</v>
      </c>
      <c r="I1196" s="95" cm="1">
        <f ca="1" t="array" ref="I1196">MIN(30-SUM(J1196:L1196),6-L1196,_xlfn.XLOOKUP($D1196&amp;"_"&amp;I$52,$B$14:$B$36&amp;"_"&amp;$C$14:$C$36,$D$14:$D$36)*$E1196)</f>
        <v>0</v>
      </c>
      <c r="J1196" s="95" cm="1">
        <f ca="1" t="array" ref="J1196">MIN(8,_xlfn.XLOOKUP($D1196&amp;"_"&amp;J$52,$B$14:$B$36&amp;"_"&amp;$C$14:$C$36,$D$14:$D$36)*$E1196)</f>
        <v>8</v>
      </c>
      <c r="K1196" s="95" cm="1">
        <f ca="1" t="array" ref="K1196">MIN(18,_xlfn.XLOOKUP($D1196&amp;"_"&amp;K$52,$B$14:$B$36&amp;"_"&amp;$C$14:$C$36,$D$14:$D$36)*$E1196)</f>
        <v>3.2872</v>
      </c>
      <c r="L1196" s="95" cm="1">
        <f ca="1" t="array" ref="L1196">MIN(6,_xlfn.XLOOKUP($D1196&amp;"_"&amp;L$52,$B$14:$B$36&amp;"_"&amp;$C$14:$C$36,$D$14:$D$36)*$E1196)</f>
        <v>6</v>
      </c>
      <c r="M1196" s="95" cm="1">
        <f ca="1" t="array" ref="M1196">(1+SUMPRODUCT(G1196:H1196,OFFSET($H$40:$I$40,D1196,0)))*(1+OFFSET($J$40,D1196,0))^I1196*(1+OFFSET($K$40,D1196,0))^J1196*(1+OFFSET($L$40,D1196,0))^K1196*(1+OFFSET($M$40,D1196,0))^L1196</f>
        <v>314.511727093047</v>
      </c>
      <c r="N1196" s="95">
        <f ca="1">MAX(MAX($N$53:N1195),OFFSET($C$52,MATCH(M1196*1.07,$M$53:$M$2052,1),0)-C1196)</f>
        <v>69480</v>
      </c>
    </row>
    <row r="1197" spans="2:14">
      <c r="B1197" s="95">
        <v>1145</v>
      </c>
      <c r="C1197" s="95">
        <f t="shared" si="96"/>
        <v>412200</v>
      </c>
      <c r="D1197" s="95">
        <f ca="1">_xlfn.XLOOKUP(总览!$B$44,$B$40:$B$45,$C$40:$C$45)</f>
        <v>5</v>
      </c>
      <c r="E1197" s="95">
        <f ca="1" t="shared" si="92"/>
        <v>1175</v>
      </c>
      <c r="F1197" s="95">
        <f ca="1" t="shared" si="97"/>
        <v>0</v>
      </c>
      <c r="G1197" s="95">
        <f ca="1" t="shared" si="98"/>
        <v>0</v>
      </c>
      <c r="H1197" s="95" cm="1">
        <f ca="1" t="array" ref="H1197">MIN(30-SUM(I1197:L1197),_xlfn.XLOOKUP($D1197&amp;"_"&amp;H$52,$B$14:$B$36&amp;"_"&amp;$C$14:$C$36,$D$14:$D$36)*$E1197,18)</f>
        <v>12.71</v>
      </c>
      <c r="I1197" s="95" cm="1">
        <f ca="1" t="array" ref="I1197">MIN(30-SUM(J1197:L1197),6-L1197,_xlfn.XLOOKUP($D1197&amp;"_"&amp;I$52,$B$14:$B$36&amp;"_"&amp;$C$14:$C$36,$D$14:$D$36)*$E1197)</f>
        <v>0</v>
      </c>
      <c r="J1197" s="95" cm="1">
        <f ca="1" t="array" ref="J1197">MIN(8,_xlfn.XLOOKUP($D1197&amp;"_"&amp;J$52,$B$14:$B$36&amp;"_"&amp;$C$14:$C$36,$D$14:$D$36)*$E1197)</f>
        <v>8</v>
      </c>
      <c r="K1197" s="95" cm="1">
        <f ca="1" t="array" ref="K1197">MIN(18,_xlfn.XLOOKUP($D1197&amp;"_"&amp;K$52,$B$14:$B$36&amp;"_"&amp;$C$14:$C$36,$D$14:$D$36)*$E1197)</f>
        <v>3.29</v>
      </c>
      <c r="L1197" s="95" cm="1">
        <f ca="1" t="array" ref="L1197">MIN(6,_xlfn.XLOOKUP($D1197&amp;"_"&amp;L$52,$B$14:$B$36&amp;"_"&amp;$C$14:$C$36,$D$14:$D$36)*$E1197)</f>
        <v>6</v>
      </c>
      <c r="M1197" s="95" cm="1">
        <f ca="1" t="array" ref="M1197">(1+SUMPRODUCT(G1197:H1197,OFFSET($H$40:$I$40,D1197,0)))*(1+OFFSET($J$40,D1197,0))^I1197*(1+OFFSET($K$40,D1197,0))^J1197*(1+OFFSET($L$40,D1197,0))^K1197*(1+OFFSET($M$40,D1197,0))^L1197</f>
        <v>314.622583731182</v>
      </c>
      <c r="N1197" s="95">
        <f ca="1">MAX(MAX($N$53:N1196),OFFSET($C$52,MATCH(M1197*1.07,$M$53:$M$2052,1),0)-C1197)</f>
        <v>69480</v>
      </c>
    </row>
    <row r="1198" spans="2:14">
      <c r="B1198" s="95">
        <v>1146</v>
      </c>
      <c r="C1198" s="95">
        <f t="shared" si="96"/>
        <v>412560</v>
      </c>
      <c r="D1198" s="95">
        <f ca="1">_xlfn.XLOOKUP(总览!$B$44,$B$40:$B$45,$C$40:$C$45)</f>
        <v>5</v>
      </c>
      <c r="E1198" s="95">
        <f ca="1" t="shared" si="92"/>
        <v>1176</v>
      </c>
      <c r="F1198" s="95">
        <f ca="1" t="shared" si="97"/>
        <v>0</v>
      </c>
      <c r="G1198" s="95">
        <f ca="1" t="shared" si="98"/>
        <v>0</v>
      </c>
      <c r="H1198" s="95" cm="1">
        <f ca="1" t="array" ref="H1198">MIN(30-SUM(I1198:L1198),_xlfn.XLOOKUP($D1198&amp;"_"&amp;H$52,$B$14:$B$36&amp;"_"&amp;$C$14:$C$36,$D$14:$D$36)*$E1198,18)</f>
        <v>12.7072</v>
      </c>
      <c r="I1198" s="95" cm="1">
        <f ca="1" t="array" ref="I1198">MIN(30-SUM(J1198:L1198),6-L1198,_xlfn.XLOOKUP($D1198&amp;"_"&amp;I$52,$B$14:$B$36&amp;"_"&amp;$C$14:$C$36,$D$14:$D$36)*$E1198)</f>
        <v>0</v>
      </c>
      <c r="J1198" s="95" cm="1">
        <f ca="1" t="array" ref="J1198">MIN(8,_xlfn.XLOOKUP($D1198&amp;"_"&amp;J$52,$B$14:$B$36&amp;"_"&amp;$C$14:$C$36,$D$14:$D$36)*$E1198)</f>
        <v>8</v>
      </c>
      <c r="K1198" s="95" cm="1">
        <f ca="1" t="array" ref="K1198">MIN(18,_xlfn.XLOOKUP($D1198&amp;"_"&amp;K$52,$B$14:$B$36&amp;"_"&amp;$C$14:$C$36,$D$14:$D$36)*$E1198)</f>
        <v>3.2928</v>
      </c>
      <c r="L1198" s="95" cm="1">
        <f ca="1" t="array" ref="L1198">MIN(6,_xlfn.XLOOKUP($D1198&amp;"_"&amp;L$52,$B$14:$B$36&amp;"_"&amp;$C$14:$C$36,$D$14:$D$36)*$E1198)</f>
        <v>6</v>
      </c>
      <c r="M1198" s="95" cm="1">
        <f ca="1" t="array" ref="M1198">(1+SUMPRODUCT(G1198:H1198,OFFSET($H$40:$I$40,D1198,0)))*(1+OFFSET($J$40,D1198,0))^I1198*(1+OFFSET($K$40,D1198,0))^J1198*(1+OFFSET($L$40,D1198,0))^K1198*(1+OFFSET($M$40,D1198,0))^L1198</f>
        <v>314.733471575969</v>
      </c>
      <c r="N1198" s="95">
        <f ca="1">MAX(MAX($N$53:N1197),OFFSET($C$52,MATCH(M1198*1.07,$M$53:$M$2052,1),0)-C1198)</f>
        <v>69480</v>
      </c>
    </row>
    <row r="1199" spans="2:14">
      <c r="B1199" s="95">
        <v>1147</v>
      </c>
      <c r="C1199" s="95">
        <f t="shared" si="96"/>
        <v>412920</v>
      </c>
      <c r="D1199" s="95">
        <f ca="1">_xlfn.XLOOKUP(总览!$B$44,$B$40:$B$45,$C$40:$C$45)</f>
        <v>5</v>
      </c>
      <c r="E1199" s="95">
        <f ca="1" t="shared" si="92"/>
        <v>1177</v>
      </c>
      <c r="F1199" s="95">
        <f ca="1" t="shared" si="97"/>
        <v>0</v>
      </c>
      <c r="G1199" s="95">
        <f ca="1" t="shared" si="98"/>
        <v>0</v>
      </c>
      <c r="H1199" s="95" cm="1">
        <f ca="1" t="array" ref="H1199">MIN(30-SUM(I1199:L1199),_xlfn.XLOOKUP($D1199&amp;"_"&amp;H$52,$B$14:$B$36&amp;"_"&amp;$C$14:$C$36,$D$14:$D$36)*$E1199,18)</f>
        <v>12.7044</v>
      </c>
      <c r="I1199" s="95" cm="1">
        <f ca="1" t="array" ref="I1199">MIN(30-SUM(J1199:L1199),6-L1199,_xlfn.XLOOKUP($D1199&amp;"_"&amp;I$52,$B$14:$B$36&amp;"_"&amp;$C$14:$C$36,$D$14:$D$36)*$E1199)</f>
        <v>0</v>
      </c>
      <c r="J1199" s="95" cm="1">
        <f ca="1" t="array" ref="J1199">MIN(8,_xlfn.XLOOKUP($D1199&amp;"_"&amp;J$52,$B$14:$B$36&amp;"_"&amp;$C$14:$C$36,$D$14:$D$36)*$E1199)</f>
        <v>8</v>
      </c>
      <c r="K1199" s="95" cm="1">
        <f ca="1" t="array" ref="K1199">MIN(18,_xlfn.XLOOKUP($D1199&amp;"_"&amp;K$52,$B$14:$B$36&amp;"_"&amp;$C$14:$C$36,$D$14:$D$36)*$E1199)</f>
        <v>3.2956</v>
      </c>
      <c r="L1199" s="95" cm="1">
        <f ca="1" t="array" ref="L1199">MIN(6,_xlfn.XLOOKUP($D1199&amp;"_"&amp;L$52,$B$14:$B$36&amp;"_"&amp;$C$14:$C$36,$D$14:$D$36)*$E1199)</f>
        <v>6</v>
      </c>
      <c r="M1199" s="95" cm="1">
        <f ca="1" t="array" ref="M1199">(1+SUMPRODUCT(G1199:H1199,OFFSET($H$40:$I$40,D1199,0)))*(1+OFFSET($J$40,D1199,0))^I1199*(1+OFFSET($K$40,D1199,0))^J1199*(1+OFFSET($L$40,D1199,0))^K1199*(1+OFFSET($M$40,D1199,0))^L1199</f>
        <v>314.844390630372</v>
      </c>
      <c r="N1199" s="95">
        <f ca="1">MAX(MAX($N$53:N1198),OFFSET($C$52,MATCH(M1199*1.07,$M$53:$M$2052,1),0)-C1199)</f>
        <v>69480</v>
      </c>
    </row>
    <row r="1200" spans="2:14">
      <c r="B1200" s="95">
        <v>1148</v>
      </c>
      <c r="C1200" s="95">
        <f t="shared" si="96"/>
        <v>413280</v>
      </c>
      <c r="D1200" s="95">
        <f ca="1">_xlfn.XLOOKUP(总览!$B$44,$B$40:$B$45,$C$40:$C$45)</f>
        <v>5</v>
      </c>
      <c r="E1200" s="95">
        <f ca="1" t="shared" si="92"/>
        <v>1178</v>
      </c>
      <c r="F1200" s="95">
        <f ca="1" t="shared" si="97"/>
        <v>0</v>
      </c>
      <c r="G1200" s="95">
        <f ca="1" t="shared" si="98"/>
        <v>0</v>
      </c>
      <c r="H1200" s="95" cm="1">
        <f ca="1" t="array" ref="H1200">MIN(30-SUM(I1200:L1200),_xlfn.XLOOKUP($D1200&amp;"_"&amp;H$52,$B$14:$B$36&amp;"_"&amp;$C$14:$C$36,$D$14:$D$36)*$E1200,18)</f>
        <v>12.7016</v>
      </c>
      <c r="I1200" s="95" cm="1">
        <f ca="1" t="array" ref="I1200">MIN(30-SUM(J1200:L1200),6-L1200,_xlfn.XLOOKUP($D1200&amp;"_"&amp;I$52,$B$14:$B$36&amp;"_"&amp;$C$14:$C$36,$D$14:$D$36)*$E1200)</f>
        <v>0</v>
      </c>
      <c r="J1200" s="95" cm="1">
        <f ca="1" t="array" ref="J1200">MIN(8,_xlfn.XLOOKUP($D1200&amp;"_"&amp;J$52,$B$14:$B$36&amp;"_"&amp;$C$14:$C$36,$D$14:$D$36)*$E1200)</f>
        <v>8</v>
      </c>
      <c r="K1200" s="95" cm="1">
        <f ca="1" t="array" ref="K1200">MIN(18,_xlfn.XLOOKUP($D1200&amp;"_"&amp;K$52,$B$14:$B$36&amp;"_"&amp;$C$14:$C$36,$D$14:$D$36)*$E1200)</f>
        <v>3.2984</v>
      </c>
      <c r="L1200" s="95" cm="1">
        <f ca="1" t="array" ref="L1200">MIN(6,_xlfn.XLOOKUP($D1200&amp;"_"&amp;L$52,$B$14:$B$36&amp;"_"&amp;$C$14:$C$36,$D$14:$D$36)*$E1200)</f>
        <v>6</v>
      </c>
      <c r="M1200" s="95" cm="1">
        <f ca="1" t="array" ref="M1200">(1+SUMPRODUCT(G1200:H1200,OFFSET($H$40:$I$40,D1200,0)))*(1+OFFSET($J$40,D1200,0))^I1200*(1+OFFSET($K$40,D1200,0))^J1200*(1+OFFSET($L$40,D1200,0))^K1200*(1+OFFSET($M$40,D1200,0))^L1200</f>
        <v>314.955340897352</v>
      </c>
      <c r="N1200" s="95">
        <f ca="1">MAX(MAX($N$53:N1199),OFFSET($C$52,MATCH(M1200*1.07,$M$53:$M$2052,1),0)-C1200)</f>
        <v>69480</v>
      </c>
    </row>
    <row r="1201" spans="2:14">
      <c r="B1201" s="95">
        <v>1149</v>
      </c>
      <c r="C1201" s="95">
        <f t="shared" si="96"/>
        <v>413640</v>
      </c>
      <c r="D1201" s="95">
        <f ca="1">_xlfn.XLOOKUP(总览!$B$44,$B$40:$B$45,$C$40:$C$45)</f>
        <v>5</v>
      </c>
      <c r="E1201" s="95">
        <f ca="1" t="shared" si="92"/>
        <v>1179</v>
      </c>
      <c r="F1201" s="95">
        <f ca="1" t="shared" si="97"/>
        <v>0</v>
      </c>
      <c r="G1201" s="95">
        <f ca="1" t="shared" si="98"/>
        <v>0</v>
      </c>
      <c r="H1201" s="95" cm="1">
        <f ca="1" t="array" ref="H1201">MIN(30-SUM(I1201:L1201),_xlfn.XLOOKUP($D1201&amp;"_"&amp;H$52,$B$14:$B$36&amp;"_"&amp;$C$14:$C$36,$D$14:$D$36)*$E1201,18)</f>
        <v>12.6988</v>
      </c>
      <c r="I1201" s="95" cm="1">
        <f ca="1" t="array" ref="I1201">MIN(30-SUM(J1201:L1201),6-L1201,_xlfn.XLOOKUP($D1201&amp;"_"&amp;I$52,$B$14:$B$36&amp;"_"&amp;$C$14:$C$36,$D$14:$D$36)*$E1201)</f>
        <v>0</v>
      </c>
      <c r="J1201" s="95" cm="1">
        <f ca="1" t="array" ref="J1201">MIN(8,_xlfn.XLOOKUP($D1201&amp;"_"&amp;J$52,$B$14:$B$36&amp;"_"&amp;$C$14:$C$36,$D$14:$D$36)*$E1201)</f>
        <v>8</v>
      </c>
      <c r="K1201" s="95" cm="1">
        <f ca="1" t="array" ref="K1201">MIN(18,_xlfn.XLOOKUP($D1201&amp;"_"&amp;K$52,$B$14:$B$36&amp;"_"&amp;$C$14:$C$36,$D$14:$D$36)*$E1201)</f>
        <v>3.3012</v>
      </c>
      <c r="L1201" s="95" cm="1">
        <f ca="1" t="array" ref="L1201">MIN(6,_xlfn.XLOOKUP($D1201&amp;"_"&amp;L$52,$B$14:$B$36&amp;"_"&amp;$C$14:$C$36,$D$14:$D$36)*$E1201)</f>
        <v>6</v>
      </c>
      <c r="M1201" s="95" cm="1">
        <f ca="1" t="array" ref="M1201">(1+SUMPRODUCT(G1201:H1201,OFFSET($H$40:$I$40,D1201,0)))*(1+OFFSET($J$40,D1201,0))^I1201*(1+OFFSET($K$40,D1201,0))^J1201*(1+OFFSET($L$40,D1201,0))^K1201*(1+OFFSET($M$40,D1201,0))^L1201</f>
        <v>315.066322379863</v>
      </c>
      <c r="N1201" s="95">
        <f ca="1">MAX(MAX($N$53:N1200),OFFSET($C$52,MATCH(M1201*1.07,$M$53:$M$2052,1),0)-C1201)</f>
        <v>69480</v>
      </c>
    </row>
    <row r="1202" spans="2:14">
      <c r="B1202" s="95">
        <v>1150</v>
      </c>
      <c r="C1202" s="95">
        <f t="shared" si="96"/>
        <v>414000</v>
      </c>
      <c r="D1202" s="95">
        <f ca="1">_xlfn.XLOOKUP(总览!$B$44,$B$40:$B$45,$C$40:$C$45)</f>
        <v>5</v>
      </c>
      <c r="E1202" s="95">
        <f ca="1" t="shared" si="92"/>
        <v>1180</v>
      </c>
      <c r="F1202" s="95">
        <f ca="1" t="shared" si="97"/>
        <v>0</v>
      </c>
      <c r="G1202" s="95">
        <f ca="1" t="shared" si="98"/>
        <v>0</v>
      </c>
      <c r="H1202" s="95" cm="1">
        <f ca="1" t="array" ref="H1202">MIN(30-SUM(I1202:L1202),_xlfn.XLOOKUP($D1202&amp;"_"&amp;H$52,$B$14:$B$36&amp;"_"&amp;$C$14:$C$36,$D$14:$D$36)*$E1202,18)</f>
        <v>12.696</v>
      </c>
      <c r="I1202" s="95" cm="1">
        <f ca="1" t="array" ref="I1202">MIN(30-SUM(J1202:L1202),6-L1202,_xlfn.XLOOKUP($D1202&amp;"_"&amp;I$52,$B$14:$B$36&amp;"_"&amp;$C$14:$C$36,$D$14:$D$36)*$E1202)</f>
        <v>0</v>
      </c>
      <c r="J1202" s="95" cm="1">
        <f ca="1" t="array" ref="J1202">MIN(8,_xlfn.XLOOKUP($D1202&amp;"_"&amp;J$52,$B$14:$B$36&amp;"_"&amp;$C$14:$C$36,$D$14:$D$36)*$E1202)</f>
        <v>8</v>
      </c>
      <c r="K1202" s="95" cm="1">
        <f ca="1" t="array" ref="K1202">MIN(18,_xlfn.XLOOKUP($D1202&amp;"_"&amp;K$52,$B$14:$B$36&amp;"_"&amp;$C$14:$C$36,$D$14:$D$36)*$E1202)</f>
        <v>3.304</v>
      </c>
      <c r="L1202" s="95" cm="1">
        <f ca="1" t="array" ref="L1202">MIN(6,_xlfn.XLOOKUP($D1202&amp;"_"&amp;L$52,$B$14:$B$36&amp;"_"&amp;$C$14:$C$36,$D$14:$D$36)*$E1202)</f>
        <v>6</v>
      </c>
      <c r="M1202" s="95" cm="1">
        <f ca="1" t="array" ref="M1202">(1+SUMPRODUCT(G1202:H1202,OFFSET($H$40:$I$40,D1202,0)))*(1+OFFSET($J$40,D1202,0))^I1202*(1+OFFSET($K$40,D1202,0))^J1202*(1+OFFSET($L$40,D1202,0))^K1202*(1+OFFSET($M$40,D1202,0))^L1202</f>
        <v>315.177335080856</v>
      </c>
      <c r="N1202" s="95">
        <f ca="1">MAX(MAX($N$53:N1201),OFFSET($C$52,MATCH(M1202*1.07,$M$53:$M$2052,1),0)-C1202)</f>
        <v>69480</v>
      </c>
    </row>
    <row r="1203" spans="2:14">
      <c r="B1203" s="95">
        <v>1151</v>
      </c>
      <c r="C1203" s="95">
        <f t="shared" si="96"/>
        <v>414360</v>
      </c>
      <c r="D1203" s="95">
        <f ca="1">_xlfn.XLOOKUP(总览!$B$44,$B$40:$B$45,$C$40:$C$45)</f>
        <v>5</v>
      </c>
      <c r="E1203" s="95">
        <f ca="1" t="shared" si="92"/>
        <v>1181</v>
      </c>
      <c r="F1203" s="95">
        <f ca="1" t="shared" si="97"/>
        <v>0</v>
      </c>
      <c r="G1203" s="95">
        <f ca="1" t="shared" si="98"/>
        <v>0</v>
      </c>
      <c r="H1203" s="95" cm="1">
        <f ca="1" t="array" ref="H1203">MIN(30-SUM(I1203:L1203),_xlfn.XLOOKUP($D1203&amp;"_"&amp;H$52,$B$14:$B$36&amp;"_"&amp;$C$14:$C$36,$D$14:$D$36)*$E1203,18)</f>
        <v>12.6932</v>
      </c>
      <c r="I1203" s="95" cm="1">
        <f ca="1" t="array" ref="I1203">MIN(30-SUM(J1203:L1203),6-L1203,_xlfn.XLOOKUP($D1203&amp;"_"&amp;I$52,$B$14:$B$36&amp;"_"&amp;$C$14:$C$36,$D$14:$D$36)*$E1203)</f>
        <v>0</v>
      </c>
      <c r="J1203" s="95" cm="1">
        <f ca="1" t="array" ref="J1203">MIN(8,_xlfn.XLOOKUP($D1203&amp;"_"&amp;J$52,$B$14:$B$36&amp;"_"&amp;$C$14:$C$36,$D$14:$D$36)*$E1203)</f>
        <v>8</v>
      </c>
      <c r="K1203" s="95" cm="1">
        <f ca="1" t="array" ref="K1203">MIN(18,_xlfn.XLOOKUP($D1203&amp;"_"&amp;K$52,$B$14:$B$36&amp;"_"&amp;$C$14:$C$36,$D$14:$D$36)*$E1203)</f>
        <v>3.3068</v>
      </c>
      <c r="L1203" s="95" cm="1">
        <f ca="1" t="array" ref="L1203">MIN(6,_xlfn.XLOOKUP($D1203&amp;"_"&amp;L$52,$B$14:$B$36&amp;"_"&amp;$C$14:$C$36,$D$14:$D$36)*$E1203)</f>
        <v>6</v>
      </c>
      <c r="M1203" s="95" cm="1">
        <f ca="1" t="array" ref="M1203">(1+SUMPRODUCT(G1203:H1203,OFFSET($H$40:$I$40,D1203,0)))*(1+OFFSET($J$40,D1203,0))^I1203*(1+OFFSET($K$40,D1203,0))^J1203*(1+OFFSET($L$40,D1203,0))^K1203*(1+OFFSET($M$40,D1203,0))^L1203</f>
        <v>315.288379003273</v>
      </c>
      <c r="N1203" s="95">
        <f ca="1">MAX(MAX($N$53:N1202),OFFSET($C$52,MATCH(M1203*1.07,$M$53:$M$2052,1),0)-C1203)</f>
        <v>69480</v>
      </c>
    </row>
    <row r="1204" spans="2:14">
      <c r="B1204" s="95">
        <v>1152</v>
      </c>
      <c r="C1204" s="95">
        <f t="shared" si="96"/>
        <v>414720</v>
      </c>
      <c r="D1204" s="95">
        <f ca="1">_xlfn.XLOOKUP(总览!$B$44,$B$40:$B$45,$C$40:$C$45)</f>
        <v>5</v>
      </c>
      <c r="E1204" s="95">
        <f ca="1" t="shared" si="92"/>
        <v>1182</v>
      </c>
      <c r="F1204" s="95">
        <f ca="1" t="shared" si="97"/>
        <v>0</v>
      </c>
      <c r="G1204" s="95">
        <f ca="1" t="shared" si="98"/>
        <v>0</v>
      </c>
      <c r="H1204" s="95" cm="1">
        <f ca="1" t="array" ref="H1204">MIN(30-SUM(I1204:L1204),_xlfn.XLOOKUP($D1204&amp;"_"&amp;H$52,$B$14:$B$36&amp;"_"&amp;$C$14:$C$36,$D$14:$D$36)*$E1204,18)</f>
        <v>12.6904</v>
      </c>
      <c r="I1204" s="95" cm="1">
        <f ca="1" t="array" ref="I1204">MIN(30-SUM(J1204:L1204),6-L1204,_xlfn.XLOOKUP($D1204&amp;"_"&amp;I$52,$B$14:$B$36&amp;"_"&amp;$C$14:$C$36,$D$14:$D$36)*$E1204)</f>
        <v>0</v>
      </c>
      <c r="J1204" s="95" cm="1">
        <f ca="1" t="array" ref="J1204">MIN(8,_xlfn.XLOOKUP($D1204&amp;"_"&amp;J$52,$B$14:$B$36&amp;"_"&amp;$C$14:$C$36,$D$14:$D$36)*$E1204)</f>
        <v>8</v>
      </c>
      <c r="K1204" s="95" cm="1">
        <f ca="1" t="array" ref="K1204">MIN(18,_xlfn.XLOOKUP($D1204&amp;"_"&amp;K$52,$B$14:$B$36&amp;"_"&amp;$C$14:$C$36,$D$14:$D$36)*$E1204)</f>
        <v>3.3096</v>
      </c>
      <c r="L1204" s="95" cm="1">
        <f ca="1" t="array" ref="L1204">MIN(6,_xlfn.XLOOKUP($D1204&amp;"_"&amp;L$52,$B$14:$B$36&amp;"_"&amp;$C$14:$C$36,$D$14:$D$36)*$E1204)</f>
        <v>6</v>
      </c>
      <c r="M1204" s="95" cm="1">
        <f ca="1" t="array" ref="M1204">(1+SUMPRODUCT(G1204:H1204,OFFSET($H$40:$I$40,D1204,0)))*(1+OFFSET($J$40,D1204,0))^I1204*(1+OFFSET($K$40,D1204,0))^J1204*(1+OFFSET($L$40,D1204,0))^K1204*(1+OFFSET($M$40,D1204,0))^L1204</f>
        <v>315.399454150056</v>
      </c>
      <c r="N1204" s="95">
        <f ca="1">MAX(MAX($N$53:N1203),OFFSET($C$52,MATCH(M1204*1.07,$M$53:$M$2052,1),0)-C1204)</f>
        <v>69480</v>
      </c>
    </row>
    <row r="1205" spans="2:14">
      <c r="B1205" s="95">
        <v>1153</v>
      </c>
      <c r="C1205" s="95">
        <f t="shared" si="96"/>
        <v>415080</v>
      </c>
      <c r="D1205" s="95">
        <f ca="1">_xlfn.XLOOKUP(总览!$B$44,$B$40:$B$45,$C$40:$C$45)</f>
        <v>5</v>
      </c>
      <c r="E1205" s="95">
        <f ca="1" t="shared" si="92"/>
        <v>1183</v>
      </c>
      <c r="F1205" s="95">
        <f ca="1" t="shared" si="97"/>
        <v>0</v>
      </c>
      <c r="G1205" s="95">
        <f ca="1" t="shared" si="98"/>
        <v>0</v>
      </c>
      <c r="H1205" s="95" cm="1">
        <f ca="1" t="array" ref="H1205">MIN(30-SUM(I1205:L1205),_xlfn.XLOOKUP($D1205&amp;"_"&amp;H$52,$B$14:$B$36&amp;"_"&amp;$C$14:$C$36,$D$14:$D$36)*$E1205,18)</f>
        <v>12.6876</v>
      </c>
      <c r="I1205" s="95" cm="1">
        <f ca="1" t="array" ref="I1205">MIN(30-SUM(J1205:L1205),6-L1205,_xlfn.XLOOKUP($D1205&amp;"_"&amp;I$52,$B$14:$B$36&amp;"_"&amp;$C$14:$C$36,$D$14:$D$36)*$E1205)</f>
        <v>0</v>
      </c>
      <c r="J1205" s="95" cm="1">
        <f ca="1" t="array" ref="J1205">MIN(8,_xlfn.XLOOKUP($D1205&amp;"_"&amp;J$52,$B$14:$B$36&amp;"_"&amp;$C$14:$C$36,$D$14:$D$36)*$E1205)</f>
        <v>8</v>
      </c>
      <c r="K1205" s="95" cm="1">
        <f ca="1" t="array" ref="K1205">MIN(18,_xlfn.XLOOKUP($D1205&amp;"_"&amp;K$52,$B$14:$B$36&amp;"_"&amp;$C$14:$C$36,$D$14:$D$36)*$E1205)</f>
        <v>3.3124</v>
      </c>
      <c r="L1205" s="95" cm="1">
        <f ca="1" t="array" ref="L1205">MIN(6,_xlfn.XLOOKUP($D1205&amp;"_"&amp;L$52,$B$14:$B$36&amp;"_"&amp;$C$14:$C$36,$D$14:$D$36)*$E1205)</f>
        <v>6</v>
      </c>
      <c r="M1205" s="95" cm="1">
        <f ca="1" t="array" ref="M1205">(1+SUMPRODUCT(G1205:H1205,OFFSET($H$40:$I$40,D1205,0)))*(1+OFFSET($J$40,D1205,0))^I1205*(1+OFFSET($K$40,D1205,0))^J1205*(1+OFFSET($L$40,D1205,0))^K1205*(1+OFFSET($M$40,D1205,0))^L1205</f>
        <v>315.510560524137</v>
      </c>
      <c r="N1205" s="95">
        <f ca="1">MAX(MAX($N$53:N1204),OFFSET($C$52,MATCH(M1205*1.07,$M$53:$M$2052,1),0)-C1205)</f>
        <v>69480</v>
      </c>
    </row>
    <row r="1206" spans="2:14">
      <c r="B1206" s="95">
        <v>1154</v>
      </c>
      <c r="C1206" s="95">
        <f t="shared" si="96"/>
        <v>415440</v>
      </c>
      <c r="D1206" s="95">
        <f ca="1">_xlfn.XLOOKUP(总览!$B$44,$B$40:$B$45,$C$40:$C$45)</f>
        <v>5</v>
      </c>
      <c r="E1206" s="95">
        <f ca="1" t="shared" ref="E1206:E1269" si="99">INT(C1206/_xlfn.XLOOKUP(D1206,$N$5:$N$16,$O$5:$O$16))+OFFSET($R$40,D1206,0)</f>
        <v>1184</v>
      </c>
      <c r="F1206" s="95">
        <f ca="1" t="shared" si="97"/>
        <v>0</v>
      </c>
      <c r="G1206" s="95">
        <f ca="1" t="shared" si="98"/>
        <v>0</v>
      </c>
      <c r="H1206" s="95" cm="1">
        <f ca="1" t="array" ref="H1206">MIN(30-SUM(I1206:L1206),_xlfn.XLOOKUP($D1206&amp;"_"&amp;H$52,$B$14:$B$36&amp;"_"&amp;$C$14:$C$36,$D$14:$D$36)*$E1206,18)</f>
        <v>12.6848</v>
      </c>
      <c r="I1206" s="95" cm="1">
        <f ca="1" t="array" ref="I1206">MIN(30-SUM(J1206:L1206),6-L1206,_xlfn.XLOOKUP($D1206&amp;"_"&amp;I$52,$B$14:$B$36&amp;"_"&amp;$C$14:$C$36,$D$14:$D$36)*$E1206)</f>
        <v>0</v>
      </c>
      <c r="J1206" s="95" cm="1">
        <f ca="1" t="array" ref="J1206">MIN(8,_xlfn.XLOOKUP($D1206&amp;"_"&amp;J$52,$B$14:$B$36&amp;"_"&amp;$C$14:$C$36,$D$14:$D$36)*$E1206)</f>
        <v>8</v>
      </c>
      <c r="K1206" s="95" cm="1">
        <f ca="1" t="array" ref="K1206">MIN(18,_xlfn.XLOOKUP($D1206&amp;"_"&amp;K$52,$B$14:$B$36&amp;"_"&amp;$C$14:$C$36,$D$14:$D$36)*$E1206)</f>
        <v>3.3152</v>
      </c>
      <c r="L1206" s="95" cm="1">
        <f ca="1" t="array" ref="L1206">MIN(6,_xlfn.XLOOKUP($D1206&amp;"_"&amp;L$52,$B$14:$B$36&amp;"_"&amp;$C$14:$C$36,$D$14:$D$36)*$E1206)</f>
        <v>6</v>
      </c>
      <c r="M1206" s="95" cm="1">
        <f ca="1" t="array" ref="M1206">(1+SUMPRODUCT(G1206:H1206,OFFSET($H$40:$I$40,D1206,0)))*(1+OFFSET($J$40,D1206,0))^I1206*(1+OFFSET($K$40,D1206,0))^J1206*(1+OFFSET($L$40,D1206,0))^K1206*(1+OFFSET($M$40,D1206,0))^L1206</f>
        <v>315.621698128447</v>
      </c>
      <c r="N1206" s="95">
        <f ca="1">MAX(MAX($N$53:N1205),OFFSET($C$52,MATCH(M1206*1.07,$M$53:$M$2052,1),0)-C1206)</f>
        <v>69480</v>
      </c>
    </row>
    <row r="1207" spans="2:14">
      <c r="B1207" s="95">
        <v>1155</v>
      </c>
      <c r="C1207" s="95">
        <f t="shared" si="96"/>
        <v>415800</v>
      </c>
      <c r="D1207" s="95">
        <f ca="1">_xlfn.XLOOKUP(总览!$B$44,$B$40:$B$45,$C$40:$C$45)</f>
        <v>5</v>
      </c>
      <c r="E1207" s="95">
        <f ca="1" t="shared" si="99"/>
        <v>1185</v>
      </c>
      <c r="F1207" s="95">
        <f ca="1" t="shared" si="97"/>
        <v>0</v>
      </c>
      <c r="G1207" s="95">
        <f ca="1" t="shared" si="98"/>
        <v>0</v>
      </c>
      <c r="H1207" s="95" cm="1">
        <f ca="1" t="array" ref="H1207">MIN(30-SUM(I1207:L1207),_xlfn.XLOOKUP($D1207&amp;"_"&amp;H$52,$B$14:$B$36&amp;"_"&amp;$C$14:$C$36,$D$14:$D$36)*$E1207,18)</f>
        <v>12.682</v>
      </c>
      <c r="I1207" s="95" cm="1">
        <f ca="1" t="array" ref="I1207">MIN(30-SUM(J1207:L1207),6-L1207,_xlfn.XLOOKUP($D1207&amp;"_"&amp;I$52,$B$14:$B$36&amp;"_"&amp;$C$14:$C$36,$D$14:$D$36)*$E1207)</f>
        <v>0</v>
      </c>
      <c r="J1207" s="95" cm="1">
        <f ca="1" t="array" ref="J1207">MIN(8,_xlfn.XLOOKUP($D1207&amp;"_"&amp;J$52,$B$14:$B$36&amp;"_"&amp;$C$14:$C$36,$D$14:$D$36)*$E1207)</f>
        <v>8</v>
      </c>
      <c r="K1207" s="95" cm="1">
        <f ca="1" t="array" ref="K1207">MIN(18,_xlfn.XLOOKUP($D1207&amp;"_"&amp;K$52,$B$14:$B$36&amp;"_"&amp;$C$14:$C$36,$D$14:$D$36)*$E1207)</f>
        <v>3.318</v>
      </c>
      <c r="L1207" s="95" cm="1">
        <f ca="1" t="array" ref="L1207">MIN(6,_xlfn.XLOOKUP($D1207&amp;"_"&amp;L$52,$B$14:$B$36&amp;"_"&amp;$C$14:$C$36,$D$14:$D$36)*$E1207)</f>
        <v>6</v>
      </c>
      <c r="M1207" s="95" cm="1">
        <f ca="1" t="array" ref="M1207">(1+SUMPRODUCT(G1207:H1207,OFFSET($H$40:$I$40,D1207,0)))*(1+OFFSET($J$40,D1207,0))^I1207*(1+OFFSET($K$40,D1207,0))^J1207*(1+OFFSET($L$40,D1207,0))^K1207*(1+OFFSET($M$40,D1207,0))^L1207</f>
        <v>315.732866965908</v>
      </c>
      <c r="N1207" s="95">
        <f ca="1">MAX(MAX($N$53:N1206),OFFSET($C$52,MATCH(M1207*1.07,$M$53:$M$2052,1),0)-C1207)</f>
        <v>69480</v>
      </c>
    </row>
    <row r="1208" spans="2:14">
      <c r="B1208" s="95">
        <v>1156</v>
      </c>
      <c r="C1208" s="95">
        <f t="shared" si="96"/>
        <v>416160</v>
      </c>
      <c r="D1208" s="95">
        <f ca="1">_xlfn.XLOOKUP(总览!$B$44,$B$40:$B$45,$C$40:$C$45)</f>
        <v>5</v>
      </c>
      <c r="E1208" s="95">
        <f ca="1" t="shared" si="99"/>
        <v>1186</v>
      </c>
      <c r="F1208" s="95">
        <f ca="1" t="shared" si="97"/>
        <v>0</v>
      </c>
      <c r="G1208" s="95">
        <f ca="1" t="shared" si="98"/>
        <v>0</v>
      </c>
      <c r="H1208" s="95" cm="1">
        <f ca="1" t="array" ref="H1208">MIN(30-SUM(I1208:L1208),_xlfn.XLOOKUP($D1208&amp;"_"&amp;H$52,$B$14:$B$36&amp;"_"&amp;$C$14:$C$36,$D$14:$D$36)*$E1208,18)</f>
        <v>12.6792</v>
      </c>
      <c r="I1208" s="95" cm="1">
        <f ca="1" t="array" ref="I1208">MIN(30-SUM(J1208:L1208),6-L1208,_xlfn.XLOOKUP($D1208&amp;"_"&amp;I$52,$B$14:$B$36&amp;"_"&amp;$C$14:$C$36,$D$14:$D$36)*$E1208)</f>
        <v>0</v>
      </c>
      <c r="J1208" s="95" cm="1">
        <f ca="1" t="array" ref="J1208">MIN(8,_xlfn.XLOOKUP($D1208&amp;"_"&amp;J$52,$B$14:$B$36&amp;"_"&amp;$C$14:$C$36,$D$14:$D$36)*$E1208)</f>
        <v>8</v>
      </c>
      <c r="K1208" s="95" cm="1">
        <f ca="1" t="array" ref="K1208">MIN(18,_xlfn.XLOOKUP($D1208&amp;"_"&amp;K$52,$B$14:$B$36&amp;"_"&amp;$C$14:$C$36,$D$14:$D$36)*$E1208)</f>
        <v>3.3208</v>
      </c>
      <c r="L1208" s="95" cm="1">
        <f ca="1" t="array" ref="L1208">MIN(6,_xlfn.XLOOKUP($D1208&amp;"_"&amp;L$52,$B$14:$B$36&amp;"_"&amp;$C$14:$C$36,$D$14:$D$36)*$E1208)</f>
        <v>6</v>
      </c>
      <c r="M1208" s="95" cm="1">
        <f ca="1" t="array" ref="M1208">(1+SUMPRODUCT(G1208:H1208,OFFSET($H$40:$I$40,D1208,0)))*(1+OFFSET($J$40,D1208,0))^I1208*(1+OFFSET($K$40,D1208,0))^J1208*(1+OFFSET($L$40,D1208,0))^K1208*(1+OFFSET($M$40,D1208,0))^L1208</f>
        <v>315.844067039441</v>
      </c>
      <c r="N1208" s="95">
        <f ca="1">MAX(MAX($N$53:N1207),OFFSET($C$52,MATCH(M1208*1.07,$M$53:$M$2052,1),0)-C1208)</f>
        <v>69480</v>
      </c>
    </row>
    <row r="1209" spans="2:14">
      <c r="B1209" s="95">
        <v>1157</v>
      </c>
      <c r="C1209" s="95">
        <f t="shared" si="96"/>
        <v>416520</v>
      </c>
      <c r="D1209" s="95">
        <f ca="1">_xlfn.XLOOKUP(总览!$B$44,$B$40:$B$45,$C$40:$C$45)</f>
        <v>5</v>
      </c>
      <c r="E1209" s="95">
        <f ca="1" t="shared" si="99"/>
        <v>1187</v>
      </c>
      <c r="F1209" s="95">
        <f ca="1" t="shared" si="97"/>
        <v>0</v>
      </c>
      <c r="G1209" s="95">
        <f ca="1" t="shared" si="98"/>
        <v>0</v>
      </c>
      <c r="H1209" s="95" cm="1">
        <f ca="1" t="array" ref="H1209">MIN(30-SUM(I1209:L1209),_xlfn.XLOOKUP($D1209&amp;"_"&amp;H$52,$B$14:$B$36&amp;"_"&amp;$C$14:$C$36,$D$14:$D$36)*$E1209,18)</f>
        <v>12.6764</v>
      </c>
      <c r="I1209" s="95" cm="1">
        <f ca="1" t="array" ref="I1209">MIN(30-SUM(J1209:L1209),6-L1209,_xlfn.XLOOKUP($D1209&amp;"_"&amp;I$52,$B$14:$B$36&amp;"_"&amp;$C$14:$C$36,$D$14:$D$36)*$E1209)</f>
        <v>0</v>
      </c>
      <c r="J1209" s="95" cm="1">
        <f ca="1" t="array" ref="J1209">MIN(8,_xlfn.XLOOKUP($D1209&amp;"_"&amp;J$52,$B$14:$B$36&amp;"_"&amp;$C$14:$C$36,$D$14:$D$36)*$E1209)</f>
        <v>8</v>
      </c>
      <c r="K1209" s="95" cm="1">
        <f ca="1" t="array" ref="K1209">MIN(18,_xlfn.XLOOKUP($D1209&amp;"_"&amp;K$52,$B$14:$B$36&amp;"_"&amp;$C$14:$C$36,$D$14:$D$36)*$E1209)</f>
        <v>3.3236</v>
      </c>
      <c r="L1209" s="95" cm="1">
        <f ca="1" t="array" ref="L1209">MIN(6,_xlfn.XLOOKUP($D1209&amp;"_"&amp;L$52,$B$14:$B$36&amp;"_"&amp;$C$14:$C$36,$D$14:$D$36)*$E1209)</f>
        <v>6</v>
      </c>
      <c r="M1209" s="95" cm="1">
        <f ca="1" t="array" ref="M1209">(1+SUMPRODUCT(G1209:H1209,OFFSET($H$40:$I$40,D1209,0)))*(1+OFFSET($J$40,D1209,0))^I1209*(1+OFFSET($K$40,D1209,0))^J1209*(1+OFFSET($L$40,D1209,0))^K1209*(1+OFFSET($M$40,D1209,0))^L1209</f>
        <v>315.955298351958</v>
      </c>
      <c r="N1209" s="95">
        <f ca="1">MAX(MAX($N$53:N1208),OFFSET($C$52,MATCH(M1209*1.07,$M$53:$M$2052,1),0)-C1209)</f>
        <v>69480</v>
      </c>
    </row>
    <row r="1210" spans="2:14">
      <c r="B1210" s="95">
        <v>1158</v>
      </c>
      <c r="C1210" s="95">
        <f t="shared" si="96"/>
        <v>416880</v>
      </c>
      <c r="D1210" s="95">
        <f ca="1">_xlfn.XLOOKUP(总览!$B$44,$B$40:$B$45,$C$40:$C$45)</f>
        <v>5</v>
      </c>
      <c r="E1210" s="95">
        <f ca="1" t="shared" si="99"/>
        <v>1188</v>
      </c>
      <c r="F1210" s="95">
        <f ca="1" t="shared" si="97"/>
        <v>0</v>
      </c>
      <c r="G1210" s="95">
        <f ca="1" t="shared" si="98"/>
        <v>0</v>
      </c>
      <c r="H1210" s="95" cm="1">
        <f ca="1" t="array" ref="H1210">MIN(30-SUM(I1210:L1210),_xlfn.XLOOKUP($D1210&amp;"_"&amp;H$52,$B$14:$B$36&amp;"_"&amp;$C$14:$C$36,$D$14:$D$36)*$E1210,18)</f>
        <v>12.6736</v>
      </c>
      <c r="I1210" s="95" cm="1">
        <f ca="1" t="array" ref="I1210">MIN(30-SUM(J1210:L1210),6-L1210,_xlfn.XLOOKUP($D1210&amp;"_"&amp;I$52,$B$14:$B$36&amp;"_"&amp;$C$14:$C$36,$D$14:$D$36)*$E1210)</f>
        <v>0</v>
      </c>
      <c r="J1210" s="95" cm="1">
        <f ca="1" t="array" ref="J1210">MIN(8,_xlfn.XLOOKUP($D1210&amp;"_"&amp;J$52,$B$14:$B$36&amp;"_"&amp;$C$14:$C$36,$D$14:$D$36)*$E1210)</f>
        <v>8</v>
      </c>
      <c r="K1210" s="95" cm="1">
        <f ca="1" t="array" ref="K1210">MIN(18,_xlfn.XLOOKUP($D1210&amp;"_"&amp;K$52,$B$14:$B$36&amp;"_"&amp;$C$14:$C$36,$D$14:$D$36)*$E1210)</f>
        <v>3.3264</v>
      </c>
      <c r="L1210" s="95" cm="1">
        <f ca="1" t="array" ref="L1210">MIN(6,_xlfn.XLOOKUP($D1210&amp;"_"&amp;L$52,$B$14:$B$36&amp;"_"&amp;$C$14:$C$36,$D$14:$D$36)*$E1210)</f>
        <v>6</v>
      </c>
      <c r="M1210" s="95" cm="1">
        <f ca="1" t="array" ref="M1210">(1+SUMPRODUCT(G1210:H1210,OFFSET($H$40:$I$40,D1210,0)))*(1+OFFSET($J$40,D1210,0))^I1210*(1+OFFSET($K$40,D1210,0))^J1210*(1+OFFSET($L$40,D1210,0))^K1210*(1+OFFSET($M$40,D1210,0))^L1210</f>
        <v>316.066560906368</v>
      </c>
      <c r="N1210" s="95">
        <f ca="1">MAX(MAX($N$53:N1209),OFFSET($C$52,MATCH(M1210*1.07,$M$53:$M$2052,1),0)-C1210)</f>
        <v>69480</v>
      </c>
    </row>
    <row r="1211" spans="2:14">
      <c r="B1211" s="95">
        <v>1159</v>
      </c>
      <c r="C1211" s="95">
        <f t="shared" si="96"/>
        <v>417240</v>
      </c>
      <c r="D1211" s="95">
        <f ca="1">_xlfn.XLOOKUP(总览!$B$44,$B$40:$B$45,$C$40:$C$45)</f>
        <v>5</v>
      </c>
      <c r="E1211" s="95">
        <f ca="1" t="shared" si="99"/>
        <v>1189</v>
      </c>
      <c r="F1211" s="95">
        <f ca="1" t="shared" si="97"/>
        <v>0</v>
      </c>
      <c r="G1211" s="95">
        <f ca="1" t="shared" si="98"/>
        <v>0</v>
      </c>
      <c r="H1211" s="95" cm="1">
        <f ca="1" t="array" ref="H1211">MIN(30-SUM(I1211:L1211),_xlfn.XLOOKUP($D1211&amp;"_"&amp;H$52,$B$14:$B$36&amp;"_"&amp;$C$14:$C$36,$D$14:$D$36)*$E1211,18)</f>
        <v>12.6708</v>
      </c>
      <c r="I1211" s="95" cm="1">
        <f ca="1" t="array" ref="I1211">MIN(30-SUM(J1211:L1211),6-L1211,_xlfn.XLOOKUP($D1211&amp;"_"&amp;I$52,$B$14:$B$36&amp;"_"&amp;$C$14:$C$36,$D$14:$D$36)*$E1211)</f>
        <v>0</v>
      </c>
      <c r="J1211" s="95" cm="1">
        <f ca="1" t="array" ref="J1211">MIN(8,_xlfn.XLOOKUP($D1211&amp;"_"&amp;J$52,$B$14:$B$36&amp;"_"&amp;$C$14:$C$36,$D$14:$D$36)*$E1211)</f>
        <v>8</v>
      </c>
      <c r="K1211" s="95" cm="1">
        <f ca="1" t="array" ref="K1211">MIN(18,_xlfn.XLOOKUP($D1211&amp;"_"&amp;K$52,$B$14:$B$36&amp;"_"&amp;$C$14:$C$36,$D$14:$D$36)*$E1211)</f>
        <v>3.3292</v>
      </c>
      <c r="L1211" s="95" cm="1">
        <f ca="1" t="array" ref="L1211">MIN(6,_xlfn.XLOOKUP($D1211&amp;"_"&amp;L$52,$B$14:$B$36&amp;"_"&amp;$C$14:$C$36,$D$14:$D$36)*$E1211)</f>
        <v>6</v>
      </c>
      <c r="M1211" s="95" cm="1">
        <f ca="1" t="array" ref="M1211">(1+SUMPRODUCT(G1211:H1211,OFFSET($H$40:$I$40,D1211,0)))*(1+OFFSET($J$40,D1211,0))^I1211*(1+OFFSET($K$40,D1211,0))^J1211*(1+OFFSET($L$40,D1211,0))^K1211*(1+OFFSET($M$40,D1211,0))^L1211</f>
        <v>316.177854705574</v>
      </c>
      <c r="N1211" s="95">
        <f ca="1">MAX(MAX($N$53:N1210),OFFSET($C$52,MATCH(M1211*1.07,$M$53:$M$2052,1),0)-C1211)</f>
        <v>69480</v>
      </c>
    </row>
    <row r="1212" spans="2:14">
      <c r="B1212" s="95">
        <v>1160</v>
      </c>
      <c r="C1212" s="95">
        <f t="shared" si="96"/>
        <v>417600</v>
      </c>
      <c r="D1212" s="95">
        <f ca="1">_xlfn.XLOOKUP(总览!$B$44,$B$40:$B$45,$C$40:$C$45)</f>
        <v>5</v>
      </c>
      <c r="E1212" s="95">
        <f ca="1" t="shared" si="99"/>
        <v>1190</v>
      </c>
      <c r="F1212" s="95">
        <f ca="1" t="shared" si="97"/>
        <v>0</v>
      </c>
      <c r="G1212" s="95">
        <f ca="1" t="shared" si="98"/>
        <v>0</v>
      </c>
      <c r="H1212" s="95" cm="1">
        <f ca="1" t="array" ref="H1212">MIN(30-SUM(I1212:L1212),_xlfn.XLOOKUP($D1212&amp;"_"&amp;H$52,$B$14:$B$36&amp;"_"&amp;$C$14:$C$36,$D$14:$D$36)*$E1212,18)</f>
        <v>12.668</v>
      </c>
      <c r="I1212" s="95" cm="1">
        <f ca="1" t="array" ref="I1212">MIN(30-SUM(J1212:L1212),6-L1212,_xlfn.XLOOKUP($D1212&amp;"_"&amp;I$52,$B$14:$B$36&amp;"_"&amp;$C$14:$C$36,$D$14:$D$36)*$E1212)</f>
        <v>0</v>
      </c>
      <c r="J1212" s="95" cm="1">
        <f ca="1" t="array" ref="J1212">MIN(8,_xlfn.XLOOKUP($D1212&amp;"_"&amp;J$52,$B$14:$B$36&amp;"_"&amp;$C$14:$C$36,$D$14:$D$36)*$E1212)</f>
        <v>8</v>
      </c>
      <c r="K1212" s="95" cm="1">
        <f ca="1" t="array" ref="K1212">MIN(18,_xlfn.XLOOKUP($D1212&amp;"_"&amp;K$52,$B$14:$B$36&amp;"_"&amp;$C$14:$C$36,$D$14:$D$36)*$E1212)</f>
        <v>3.332</v>
      </c>
      <c r="L1212" s="95" cm="1">
        <f ca="1" t="array" ref="L1212">MIN(6,_xlfn.XLOOKUP($D1212&amp;"_"&amp;L$52,$B$14:$B$36&amp;"_"&amp;$C$14:$C$36,$D$14:$D$36)*$E1212)</f>
        <v>6</v>
      </c>
      <c r="M1212" s="95" cm="1">
        <f ca="1" t="array" ref="M1212">(1+SUMPRODUCT(G1212:H1212,OFFSET($H$40:$I$40,D1212,0)))*(1+OFFSET($J$40,D1212,0))^I1212*(1+OFFSET($K$40,D1212,0))^J1212*(1+OFFSET($L$40,D1212,0))^K1212*(1+OFFSET($M$40,D1212,0))^L1212</f>
        <v>316.289179752474</v>
      </c>
      <c r="N1212" s="95">
        <f ca="1">MAX(MAX($N$53:N1211),OFFSET($C$52,MATCH(M1212*1.07,$M$53:$M$2052,1),0)-C1212)</f>
        <v>69480</v>
      </c>
    </row>
    <row r="1213" spans="2:14">
      <c r="B1213" s="95">
        <v>1161</v>
      </c>
      <c r="C1213" s="95">
        <f t="shared" ref="C1213:C1252" si="100">C1212+360</f>
        <v>417960</v>
      </c>
      <c r="D1213" s="95">
        <f ca="1">_xlfn.XLOOKUP(总览!$B$44,$B$40:$B$45,$C$40:$C$45)</f>
        <v>5</v>
      </c>
      <c r="E1213" s="95">
        <f ca="1" t="shared" si="99"/>
        <v>1191</v>
      </c>
      <c r="F1213" s="95">
        <f ca="1" t="shared" ref="F1213:F1252" si="101">30-SUM(G1213:L1213)</f>
        <v>0</v>
      </c>
      <c r="G1213" s="95">
        <f ca="1" t="shared" ref="G1213:G1252" si="102">30-SUM(H1213:L1213)</f>
        <v>0</v>
      </c>
      <c r="H1213" s="95" cm="1">
        <f ca="1" t="array" ref="H1213">MIN(30-SUM(I1213:L1213),_xlfn.XLOOKUP($D1213&amp;"_"&amp;H$52,$B$14:$B$36&amp;"_"&amp;$C$14:$C$36,$D$14:$D$36)*$E1213,18)</f>
        <v>12.6652</v>
      </c>
      <c r="I1213" s="95" cm="1">
        <f ca="1" t="array" ref="I1213">MIN(30-SUM(J1213:L1213),6-L1213,_xlfn.XLOOKUP($D1213&amp;"_"&amp;I$52,$B$14:$B$36&amp;"_"&amp;$C$14:$C$36,$D$14:$D$36)*$E1213)</f>
        <v>0</v>
      </c>
      <c r="J1213" s="95" cm="1">
        <f ca="1" t="array" ref="J1213">MIN(8,_xlfn.XLOOKUP($D1213&amp;"_"&amp;J$52,$B$14:$B$36&amp;"_"&amp;$C$14:$C$36,$D$14:$D$36)*$E1213)</f>
        <v>8</v>
      </c>
      <c r="K1213" s="95" cm="1">
        <f ca="1" t="array" ref="K1213">MIN(18,_xlfn.XLOOKUP($D1213&amp;"_"&amp;K$52,$B$14:$B$36&amp;"_"&amp;$C$14:$C$36,$D$14:$D$36)*$E1213)</f>
        <v>3.3348</v>
      </c>
      <c r="L1213" s="95" cm="1">
        <f ca="1" t="array" ref="L1213">MIN(6,_xlfn.XLOOKUP($D1213&amp;"_"&amp;L$52,$B$14:$B$36&amp;"_"&amp;$C$14:$C$36,$D$14:$D$36)*$E1213)</f>
        <v>6</v>
      </c>
      <c r="M1213" s="95" cm="1">
        <f ca="1" t="array" ref="M1213">(1+SUMPRODUCT(G1213:H1213,OFFSET($H$40:$I$40,D1213,0)))*(1+OFFSET($J$40,D1213,0))^I1213*(1+OFFSET($K$40,D1213,0))^J1213*(1+OFFSET($L$40,D1213,0))^K1213*(1+OFFSET($M$40,D1213,0))^L1213</f>
        <v>316.400536049961</v>
      </c>
      <c r="N1213" s="95">
        <f ca="1">MAX(MAX($N$53:N1212),OFFSET($C$52,MATCH(M1213*1.07,$M$53:$M$2052,1),0)-C1213)</f>
        <v>69480</v>
      </c>
    </row>
    <row r="1214" spans="2:14">
      <c r="B1214" s="95">
        <v>1162</v>
      </c>
      <c r="C1214" s="95">
        <f t="shared" si="100"/>
        <v>418320</v>
      </c>
      <c r="D1214" s="95">
        <f ca="1">_xlfn.XLOOKUP(总览!$B$44,$B$40:$B$45,$C$40:$C$45)</f>
        <v>5</v>
      </c>
      <c r="E1214" s="95">
        <f ca="1" t="shared" si="99"/>
        <v>1192</v>
      </c>
      <c r="F1214" s="95">
        <f ca="1" t="shared" si="101"/>
        <v>0</v>
      </c>
      <c r="G1214" s="95">
        <f ca="1" t="shared" si="102"/>
        <v>0</v>
      </c>
      <c r="H1214" s="95" cm="1">
        <f ca="1" t="array" ref="H1214">MIN(30-SUM(I1214:L1214),_xlfn.XLOOKUP($D1214&amp;"_"&amp;H$52,$B$14:$B$36&amp;"_"&amp;$C$14:$C$36,$D$14:$D$36)*$E1214,18)</f>
        <v>12.6624</v>
      </c>
      <c r="I1214" s="95" cm="1">
        <f ca="1" t="array" ref="I1214">MIN(30-SUM(J1214:L1214),6-L1214,_xlfn.XLOOKUP($D1214&amp;"_"&amp;I$52,$B$14:$B$36&amp;"_"&amp;$C$14:$C$36,$D$14:$D$36)*$E1214)</f>
        <v>0</v>
      </c>
      <c r="J1214" s="95" cm="1">
        <f ca="1" t="array" ref="J1214">MIN(8,_xlfn.XLOOKUP($D1214&amp;"_"&amp;J$52,$B$14:$B$36&amp;"_"&amp;$C$14:$C$36,$D$14:$D$36)*$E1214)</f>
        <v>8</v>
      </c>
      <c r="K1214" s="95" cm="1">
        <f ca="1" t="array" ref="K1214">MIN(18,_xlfn.XLOOKUP($D1214&amp;"_"&amp;K$52,$B$14:$B$36&amp;"_"&amp;$C$14:$C$36,$D$14:$D$36)*$E1214)</f>
        <v>3.3376</v>
      </c>
      <c r="L1214" s="95" cm="1">
        <f ca="1" t="array" ref="L1214">MIN(6,_xlfn.XLOOKUP($D1214&amp;"_"&amp;L$52,$B$14:$B$36&amp;"_"&amp;$C$14:$C$36,$D$14:$D$36)*$E1214)</f>
        <v>6</v>
      </c>
      <c r="M1214" s="95" cm="1">
        <f ca="1" t="array" ref="M1214">(1+SUMPRODUCT(G1214:H1214,OFFSET($H$40:$I$40,D1214,0)))*(1+OFFSET($J$40,D1214,0))^I1214*(1+OFFSET($K$40,D1214,0))^J1214*(1+OFFSET($L$40,D1214,0))^K1214*(1+OFFSET($M$40,D1214,0))^L1214</f>
        <v>316.511923600924</v>
      </c>
      <c r="N1214" s="95">
        <f ca="1">MAX(MAX($N$53:N1213),OFFSET($C$52,MATCH(M1214*1.07,$M$53:$M$2052,1),0)-C1214)</f>
        <v>69480</v>
      </c>
    </row>
    <row r="1215" spans="2:14">
      <c r="B1215" s="95">
        <v>1163</v>
      </c>
      <c r="C1215" s="95">
        <f t="shared" si="100"/>
        <v>418680</v>
      </c>
      <c r="D1215" s="95">
        <f ca="1">_xlfn.XLOOKUP(总览!$B$44,$B$40:$B$45,$C$40:$C$45)</f>
        <v>5</v>
      </c>
      <c r="E1215" s="95">
        <f ca="1" t="shared" si="99"/>
        <v>1193</v>
      </c>
      <c r="F1215" s="95">
        <f ca="1" t="shared" si="101"/>
        <v>0</v>
      </c>
      <c r="G1215" s="95">
        <f ca="1" t="shared" si="102"/>
        <v>0</v>
      </c>
      <c r="H1215" s="95" cm="1">
        <f ca="1" t="array" ref="H1215">MIN(30-SUM(I1215:L1215),_xlfn.XLOOKUP($D1215&amp;"_"&amp;H$52,$B$14:$B$36&amp;"_"&amp;$C$14:$C$36,$D$14:$D$36)*$E1215,18)</f>
        <v>12.6596</v>
      </c>
      <c r="I1215" s="95" cm="1">
        <f ca="1" t="array" ref="I1215">MIN(30-SUM(J1215:L1215),6-L1215,_xlfn.XLOOKUP($D1215&amp;"_"&amp;I$52,$B$14:$B$36&amp;"_"&amp;$C$14:$C$36,$D$14:$D$36)*$E1215)</f>
        <v>0</v>
      </c>
      <c r="J1215" s="95" cm="1">
        <f ca="1" t="array" ref="J1215">MIN(8,_xlfn.XLOOKUP($D1215&amp;"_"&amp;J$52,$B$14:$B$36&amp;"_"&amp;$C$14:$C$36,$D$14:$D$36)*$E1215)</f>
        <v>8</v>
      </c>
      <c r="K1215" s="95" cm="1">
        <f ca="1" t="array" ref="K1215">MIN(18,_xlfn.XLOOKUP($D1215&amp;"_"&amp;K$52,$B$14:$B$36&amp;"_"&amp;$C$14:$C$36,$D$14:$D$36)*$E1215)</f>
        <v>3.3404</v>
      </c>
      <c r="L1215" s="95" cm="1">
        <f ca="1" t="array" ref="L1215">MIN(6,_xlfn.XLOOKUP($D1215&amp;"_"&amp;L$52,$B$14:$B$36&amp;"_"&amp;$C$14:$C$36,$D$14:$D$36)*$E1215)</f>
        <v>6</v>
      </c>
      <c r="M1215" s="95" cm="1">
        <f ca="1" t="array" ref="M1215">(1+SUMPRODUCT(G1215:H1215,OFFSET($H$40:$I$40,D1215,0)))*(1+OFFSET($J$40,D1215,0))^I1215*(1+OFFSET($K$40,D1215,0))^J1215*(1+OFFSET($L$40,D1215,0))^K1215*(1+OFFSET($M$40,D1215,0))^L1215</f>
        <v>316.623342408244</v>
      </c>
      <c r="N1215" s="95">
        <f ca="1">MAX(MAX($N$53:N1214),OFFSET($C$52,MATCH(M1215*1.07,$M$53:$M$2052,1),0)-C1215)</f>
        <v>69480</v>
      </c>
    </row>
    <row r="1216" spans="2:14">
      <c r="B1216" s="95">
        <v>1164</v>
      </c>
      <c r="C1216" s="95">
        <f t="shared" si="100"/>
        <v>419040</v>
      </c>
      <c r="D1216" s="95">
        <f ca="1">_xlfn.XLOOKUP(总览!$B$44,$B$40:$B$45,$C$40:$C$45)</f>
        <v>5</v>
      </c>
      <c r="E1216" s="95">
        <f ca="1" t="shared" si="99"/>
        <v>1194</v>
      </c>
      <c r="F1216" s="95">
        <f ca="1" t="shared" si="101"/>
        <v>0</v>
      </c>
      <c r="G1216" s="95">
        <f ca="1" t="shared" si="102"/>
        <v>0</v>
      </c>
      <c r="H1216" s="95" cm="1">
        <f ca="1" t="array" ref="H1216">MIN(30-SUM(I1216:L1216),_xlfn.XLOOKUP($D1216&amp;"_"&amp;H$52,$B$14:$B$36&amp;"_"&amp;$C$14:$C$36,$D$14:$D$36)*$E1216,18)</f>
        <v>12.6568</v>
      </c>
      <c r="I1216" s="95" cm="1">
        <f ca="1" t="array" ref="I1216">MIN(30-SUM(J1216:L1216),6-L1216,_xlfn.XLOOKUP($D1216&amp;"_"&amp;I$52,$B$14:$B$36&amp;"_"&amp;$C$14:$C$36,$D$14:$D$36)*$E1216)</f>
        <v>0</v>
      </c>
      <c r="J1216" s="95" cm="1">
        <f ca="1" t="array" ref="J1216">MIN(8,_xlfn.XLOOKUP($D1216&amp;"_"&amp;J$52,$B$14:$B$36&amp;"_"&amp;$C$14:$C$36,$D$14:$D$36)*$E1216)</f>
        <v>8</v>
      </c>
      <c r="K1216" s="95" cm="1">
        <f ca="1" t="array" ref="K1216">MIN(18,_xlfn.XLOOKUP($D1216&amp;"_"&amp;K$52,$B$14:$B$36&amp;"_"&amp;$C$14:$C$36,$D$14:$D$36)*$E1216)</f>
        <v>3.3432</v>
      </c>
      <c r="L1216" s="95" cm="1">
        <f ca="1" t="array" ref="L1216">MIN(6,_xlfn.XLOOKUP($D1216&amp;"_"&amp;L$52,$B$14:$B$36&amp;"_"&amp;$C$14:$C$36,$D$14:$D$36)*$E1216)</f>
        <v>6</v>
      </c>
      <c r="M1216" s="95" cm="1">
        <f ca="1" t="array" ref="M1216">(1+SUMPRODUCT(G1216:H1216,OFFSET($H$40:$I$40,D1216,0)))*(1+OFFSET($J$40,D1216,0))^I1216*(1+OFFSET($K$40,D1216,0))^J1216*(1+OFFSET($L$40,D1216,0))^K1216*(1+OFFSET($M$40,D1216,0))^L1216</f>
        <v>316.734792474798</v>
      </c>
      <c r="N1216" s="95">
        <f ca="1">MAX(MAX($N$53:N1215),OFFSET($C$52,MATCH(M1216*1.07,$M$53:$M$2052,1),0)-C1216)</f>
        <v>69480</v>
      </c>
    </row>
    <row r="1217" spans="2:14">
      <c r="B1217" s="95">
        <v>1165</v>
      </c>
      <c r="C1217" s="95">
        <f t="shared" si="100"/>
        <v>419400</v>
      </c>
      <c r="D1217" s="95">
        <f ca="1">_xlfn.XLOOKUP(总览!$B$44,$B$40:$B$45,$C$40:$C$45)</f>
        <v>5</v>
      </c>
      <c r="E1217" s="95">
        <f ca="1" t="shared" si="99"/>
        <v>1195</v>
      </c>
      <c r="F1217" s="95">
        <f ca="1" t="shared" si="101"/>
        <v>0</v>
      </c>
      <c r="G1217" s="95">
        <f ca="1" t="shared" si="102"/>
        <v>0</v>
      </c>
      <c r="H1217" s="95" cm="1">
        <f ca="1" t="array" ref="H1217">MIN(30-SUM(I1217:L1217),_xlfn.XLOOKUP($D1217&amp;"_"&amp;H$52,$B$14:$B$36&amp;"_"&amp;$C$14:$C$36,$D$14:$D$36)*$E1217,18)</f>
        <v>12.654</v>
      </c>
      <c r="I1217" s="95" cm="1">
        <f ca="1" t="array" ref="I1217">MIN(30-SUM(J1217:L1217),6-L1217,_xlfn.XLOOKUP($D1217&amp;"_"&amp;I$52,$B$14:$B$36&amp;"_"&amp;$C$14:$C$36,$D$14:$D$36)*$E1217)</f>
        <v>0</v>
      </c>
      <c r="J1217" s="95" cm="1">
        <f ca="1" t="array" ref="J1217">MIN(8,_xlfn.XLOOKUP($D1217&amp;"_"&amp;J$52,$B$14:$B$36&amp;"_"&amp;$C$14:$C$36,$D$14:$D$36)*$E1217)</f>
        <v>8</v>
      </c>
      <c r="K1217" s="95" cm="1">
        <f ca="1" t="array" ref="K1217">MIN(18,_xlfn.XLOOKUP($D1217&amp;"_"&amp;K$52,$B$14:$B$36&amp;"_"&amp;$C$14:$C$36,$D$14:$D$36)*$E1217)</f>
        <v>3.346</v>
      </c>
      <c r="L1217" s="95" cm="1">
        <f ca="1" t="array" ref="L1217">MIN(6,_xlfn.XLOOKUP($D1217&amp;"_"&amp;L$52,$B$14:$B$36&amp;"_"&amp;$C$14:$C$36,$D$14:$D$36)*$E1217)</f>
        <v>6</v>
      </c>
      <c r="M1217" s="95" cm="1">
        <f ca="1" t="array" ref="M1217">(1+SUMPRODUCT(G1217:H1217,OFFSET($H$40:$I$40,D1217,0)))*(1+OFFSET($J$40,D1217,0))^I1217*(1+OFFSET($K$40,D1217,0))^J1217*(1+OFFSET($L$40,D1217,0))^K1217*(1+OFFSET($M$40,D1217,0))^L1217</f>
        <v>316.846273803459</v>
      </c>
      <c r="N1217" s="95">
        <f ca="1">MAX(MAX($N$53:N1216),OFFSET($C$52,MATCH(M1217*1.07,$M$53:$M$2052,1),0)-C1217)</f>
        <v>69480</v>
      </c>
    </row>
    <row r="1218" spans="2:14">
      <c r="B1218" s="95">
        <v>1166</v>
      </c>
      <c r="C1218" s="95">
        <f t="shared" si="100"/>
        <v>419760</v>
      </c>
      <c r="D1218" s="95">
        <f ca="1">_xlfn.XLOOKUP(总览!$B$44,$B$40:$B$45,$C$40:$C$45)</f>
        <v>5</v>
      </c>
      <c r="E1218" s="95">
        <f ca="1" t="shared" si="99"/>
        <v>1196</v>
      </c>
      <c r="F1218" s="95">
        <f ca="1" t="shared" si="101"/>
        <v>0</v>
      </c>
      <c r="G1218" s="95">
        <f ca="1" t="shared" si="102"/>
        <v>0</v>
      </c>
      <c r="H1218" s="95" cm="1">
        <f ca="1" t="array" ref="H1218">MIN(30-SUM(I1218:L1218),_xlfn.XLOOKUP($D1218&amp;"_"&amp;H$52,$B$14:$B$36&amp;"_"&amp;$C$14:$C$36,$D$14:$D$36)*$E1218,18)</f>
        <v>12.6512</v>
      </c>
      <c r="I1218" s="95" cm="1">
        <f ca="1" t="array" ref="I1218">MIN(30-SUM(J1218:L1218),6-L1218,_xlfn.XLOOKUP($D1218&amp;"_"&amp;I$52,$B$14:$B$36&amp;"_"&amp;$C$14:$C$36,$D$14:$D$36)*$E1218)</f>
        <v>0</v>
      </c>
      <c r="J1218" s="95" cm="1">
        <f ca="1" t="array" ref="J1218">MIN(8,_xlfn.XLOOKUP($D1218&amp;"_"&amp;J$52,$B$14:$B$36&amp;"_"&amp;$C$14:$C$36,$D$14:$D$36)*$E1218)</f>
        <v>8</v>
      </c>
      <c r="K1218" s="95" cm="1">
        <f ca="1" t="array" ref="K1218">MIN(18,_xlfn.XLOOKUP($D1218&amp;"_"&amp;K$52,$B$14:$B$36&amp;"_"&amp;$C$14:$C$36,$D$14:$D$36)*$E1218)</f>
        <v>3.3488</v>
      </c>
      <c r="L1218" s="95" cm="1">
        <f ca="1" t="array" ref="L1218">MIN(6,_xlfn.XLOOKUP($D1218&amp;"_"&amp;L$52,$B$14:$B$36&amp;"_"&amp;$C$14:$C$36,$D$14:$D$36)*$E1218)</f>
        <v>6</v>
      </c>
      <c r="M1218" s="95" cm="1">
        <f ca="1" t="array" ref="M1218">(1+SUMPRODUCT(G1218:H1218,OFFSET($H$40:$I$40,D1218,0)))*(1+OFFSET($J$40,D1218,0))^I1218*(1+OFFSET($K$40,D1218,0))^J1218*(1+OFFSET($L$40,D1218,0))^K1218*(1+OFFSET($M$40,D1218,0))^L1218</f>
        <v>316.957786397094</v>
      </c>
      <c r="N1218" s="95">
        <f ca="1">MAX(MAX($N$53:N1217),OFFSET($C$52,MATCH(M1218*1.07,$M$53:$M$2052,1),0)-C1218)</f>
        <v>69480</v>
      </c>
    </row>
    <row r="1219" spans="2:14">
      <c r="B1219" s="95">
        <v>1167</v>
      </c>
      <c r="C1219" s="95">
        <f t="shared" si="100"/>
        <v>420120</v>
      </c>
      <c r="D1219" s="95">
        <f ca="1">_xlfn.XLOOKUP(总览!$B$44,$B$40:$B$45,$C$40:$C$45)</f>
        <v>5</v>
      </c>
      <c r="E1219" s="95">
        <f ca="1" t="shared" si="99"/>
        <v>1197</v>
      </c>
      <c r="F1219" s="95">
        <f ca="1" t="shared" si="101"/>
        <v>0</v>
      </c>
      <c r="G1219" s="95">
        <f ca="1" t="shared" si="102"/>
        <v>0</v>
      </c>
      <c r="H1219" s="95" cm="1">
        <f ca="1" t="array" ref="H1219">MIN(30-SUM(I1219:L1219),_xlfn.XLOOKUP($D1219&amp;"_"&amp;H$52,$B$14:$B$36&amp;"_"&amp;$C$14:$C$36,$D$14:$D$36)*$E1219,18)</f>
        <v>12.6484</v>
      </c>
      <c r="I1219" s="95" cm="1">
        <f ca="1" t="array" ref="I1219">MIN(30-SUM(J1219:L1219),6-L1219,_xlfn.XLOOKUP($D1219&amp;"_"&amp;I$52,$B$14:$B$36&amp;"_"&amp;$C$14:$C$36,$D$14:$D$36)*$E1219)</f>
        <v>0</v>
      </c>
      <c r="J1219" s="95" cm="1">
        <f ca="1" t="array" ref="J1219">MIN(8,_xlfn.XLOOKUP($D1219&amp;"_"&amp;J$52,$B$14:$B$36&amp;"_"&amp;$C$14:$C$36,$D$14:$D$36)*$E1219)</f>
        <v>8</v>
      </c>
      <c r="K1219" s="95" cm="1">
        <f ca="1" t="array" ref="K1219">MIN(18,_xlfn.XLOOKUP($D1219&amp;"_"&amp;K$52,$B$14:$B$36&amp;"_"&amp;$C$14:$C$36,$D$14:$D$36)*$E1219)</f>
        <v>3.3516</v>
      </c>
      <c r="L1219" s="95" cm="1">
        <f ca="1" t="array" ref="L1219">MIN(6,_xlfn.XLOOKUP($D1219&amp;"_"&amp;L$52,$B$14:$B$36&amp;"_"&amp;$C$14:$C$36,$D$14:$D$36)*$E1219)</f>
        <v>6</v>
      </c>
      <c r="M1219" s="95" cm="1">
        <f ca="1" t="array" ref="M1219">(1+SUMPRODUCT(G1219:H1219,OFFSET($H$40:$I$40,D1219,0)))*(1+OFFSET($J$40,D1219,0))^I1219*(1+OFFSET($K$40,D1219,0))^J1219*(1+OFFSET($L$40,D1219,0))^K1219*(1+OFFSET($M$40,D1219,0))^L1219</f>
        <v>317.069330258565</v>
      </c>
      <c r="N1219" s="95">
        <f ca="1">MAX(MAX($N$53:N1218),OFFSET($C$52,MATCH(M1219*1.07,$M$53:$M$2052,1),0)-C1219)</f>
        <v>69480</v>
      </c>
    </row>
    <row r="1220" spans="2:14">
      <c r="B1220" s="95">
        <v>1168</v>
      </c>
      <c r="C1220" s="95">
        <f t="shared" si="100"/>
        <v>420480</v>
      </c>
      <c r="D1220" s="95">
        <f ca="1">_xlfn.XLOOKUP(总览!$B$44,$B$40:$B$45,$C$40:$C$45)</f>
        <v>5</v>
      </c>
      <c r="E1220" s="95">
        <f ca="1" t="shared" si="99"/>
        <v>1198</v>
      </c>
      <c r="F1220" s="95">
        <f ca="1" t="shared" si="101"/>
        <v>0</v>
      </c>
      <c r="G1220" s="95">
        <f ca="1" t="shared" si="102"/>
        <v>0</v>
      </c>
      <c r="H1220" s="95" cm="1">
        <f ca="1" t="array" ref="H1220">MIN(30-SUM(I1220:L1220),_xlfn.XLOOKUP($D1220&amp;"_"&amp;H$52,$B$14:$B$36&amp;"_"&amp;$C$14:$C$36,$D$14:$D$36)*$E1220,18)</f>
        <v>12.6456</v>
      </c>
      <c r="I1220" s="95" cm="1">
        <f ca="1" t="array" ref="I1220">MIN(30-SUM(J1220:L1220),6-L1220,_xlfn.XLOOKUP($D1220&amp;"_"&amp;I$52,$B$14:$B$36&amp;"_"&amp;$C$14:$C$36,$D$14:$D$36)*$E1220)</f>
        <v>0</v>
      </c>
      <c r="J1220" s="95" cm="1">
        <f ca="1" t="array" ref="J1220">MIN(8,_xlfn.XLOOKUP($D1220&amp;"_"&amp;J$52,$B$14:$B$36&amp;"_"&amp;$C$14:$C$36,$D$14:$D$36)*$E1220)</f>
        <v>8</v>
      </c>
      <c r="K1220" s="95" cm="1">
        <f ca="1" t="array" ref="K1220">MIN(18,_xlfn.XLOOKUP($D1220&amp;"_"&amp;K$52,$B$14:$B$36&amp;"_"&amp;$C$14:$C$36,$D$14:$D$36)*$E1220)</f>
        <v>3.3544</v>
      </c>
      <c r="L1220" s="95" cm="1">
        <f ca="1" t="array" ref="L1220">MIN(6,_xlfn.XLOOKUP($D1220&amp;"_"&amp;L$52,$B$14:$B$36&amp;"_"&amp;$C$14:$C$36,$D$14:$D$36)*$E1220)</f>
        <v>6</v>
      </c>
      <c r="M1220" s="95" cm="1">
        <f ca="1" t="array" ref="M1220">(1+SUMPRODUCT(G1220:H1220,OFFSET($H$40:$I$40,D1220,0)))*(1+OFFSET($J$40,D1220,0))^I1220*(1+OFFSET($K$40,D1220,0))^J1220*(1+OFFSET($L$40,D1220,0))^K1220*(1+OFFSET($M$40,D1220,0))^L1220</f>
        <v>317.180905390727</v>
      </c>
      <c r="N1220" s="95">
        <f ca="1">MAX(MAX($N$53:N1219),OFFSET($C$52,MATCH(M1220*1.07,$M$53:$M$2052,1),0)-C1220)</f>
        <v>69480</v>
      </c>
    </row>
    <row r="1221" spans="2:14">
      <c r="B1221" s="95">
        <v>1169</v>
      </c>
      <c r="C1221" s="95">
        <f t="shared" si="100"/>
        <v>420840</v>
      </c>
      <c r="D1221" s="95">
        <f ca="1">_xlfn.XLOOKUP(总览!$B$44,$B$40:$B$45,$C$40:$C$45)</f>
        <v>5</v>
      </c>
      <c r="E1221" s="95">
        <f ca="1" t="shared" si="99"/>
        <v>1199</v>
      </c>
      <c r="F1221" s="95">
        <f ca="1" t="shared" si="101"/>
        <v>0</v>
      </c>
      <c r="G1221" s="95">
        <f ca="1" t="shared" si="102"/>
        <v>0</v>
      </c>
      <c r="H1221" s="95" cm="1">
        <f ca="1" t="array" ref="H1221">MIN(30-SUM(I1221:L1221),_xlfn.XLOOKUP($D1221&amp;"_"&amp;H$52,$B$14:$B$36&amp;"_"&amp;$C$14:$C$36,$D$14:$D$36)*$E1221,18)</f>
        <v>12.6428</v>
      </c>
      <c r="I1221" s="95" cm="1">
        <f ca="1" t="array" ref="I1221">MIN(30-SUM(J1221:L1221),6-L1221,_xlfn.XLOOKUP($D1221&amp;"_"&amp;I$52,$B$14:$B$36&amp;"_"&amp;$C$14:$C$36,$D$14:$D$36)*$E1221)</f>
        <v>0</v>
      </c>
      <c r="J1221" s="95" cm="1">
        <f ca="1" t="array" ref="J1221">MIN(8,_xlfn.XLOOKUP($D1221&amp;"_"&amp;J$52,$B$14:$B$36&amp;"_"&amp;$C$14:$C$36,$D$14:$D$36)*$E1221)</f>
        <v>8</v>
      </c>
      <c r="K1221" s="95" cm="1">
        <f ca="1" t="array" ref="K1221">MIN(18,_xlfn.XLOOKUP($D1221&amp;"_"&amp;K$52,$B$14:$B$36&amp;"_"&amp;$C$14:$C$36,$D$14:$D$36)*$E1221)</f>
        <v>3.3572</v>
      </c>
      <c r="L1221" s="95" cm="1">
        <f ca="1" t="array" ref="L1221">MIN(6,_xlfn.XLOOKUP($D1221&amp;"_"&amp;L$52,$B$14:$B$36&amp;"_"&amp;$C$14:$C$36,$D$14:$D$36)*$E1221)</f>
        <v>6</v>
      </c>
      <c r="M1221" s="95" cm="1">
        <f ca="1" t="array" ref="M1221">(1+SUMPRODUCT(G1221:H1221,OFFSET($H$40:$I$40,D1221,0)))*(1+OFFSET($J$40,D1221,0))^I1221*(1+OFFSET($K$40,D1221,0))^J1221*(1+OFFSET($L$40,D1221,0))^K1221*(1+OFFSET($M$40,D1221,0))^L1221</f>
        <v>317.292511796432</v>
      </c>
      <c r="N1221" s="95">
        <f ca="1">MAX(MAX($N$53:N1220),OFFSET($C$52,MATCH(M1221*1.07,$M$53:$M$2052,1),0)-C1221)</f>
        <v>69480</v>
      </c>
    </row>
    <row r="1222" spans="2:14">
      <c r="B1222" s="95">
        <v>1170</v>
      </c>
      <c r="C1222" s="95">
        <f t="shared" si="100"/>
        <v>421200</v>
      </c>
      <c r="D1222" s="95">
        <f ca="1">_xlfn.XLOOKUP(总览!$B$44,$B$40:$B$45,$C$40:$C$45)</f>
        <v>5</v>
      </c>
      <c r="E1222" s="95">
        <f ca="1" t="shared" si="99"/>
        <v>1200</v>
      </c>
      <c r="F1222" s="95">
        <f ca="1" t="shared" si="101"/>
        <v>0</v>
      </c>
      <c r="G1222" s="95">
        <f ca="1" t="shared" si="102"/>
        <v>0</v>
      </c>
      <c r="H1222" s="95" cm="1">
        <f ca="1" t="array" ref="H1222">MIN(30-SUM(I1222:L1222),_xlfn.XLOOKUP($D1222&amp;"_"&amp;H$52,$B$14:$B$36&amp;"_"&amp;$C$14:$C$36,$D$14:$D$36)*$E1222,18)</f>
        <v>12.64</v>
      </c>
      <c r="I1222" s="95" cm="1">
        <f ca="1" t="array" ref="I1222">MIN(30-SUM(J1222:L1222),6-L1222,_xlfn.XLOOKUP($D1222&amp;"_"&amp;I$52,$B$14:$B$36&amp;"_"&amp;$C$14:$C$36,$D$14:$D$36)*$E1222)</f>
        <v>0</v>
      </c>
      <c r="J1222" s="95" cm="1">
        <f ca="1" t="array" ref="J1222">MIN(8,_xlfn.XLOOKUP($D1222&amp;"_"&amp;J$52,$B$14:$B$36&amp;"_"&amp;$C$14:$C$36,$D$14:$D$36)*$E1222)</f>
        <v>8</v>
      </c>
      <c r="K1222" s="95" cm="1">
        <f ca="1" t="array" ref="K1222">MIN(18,_xlfn.XLOOKUP($D1222&amp;"_"&amp;K$52,$B$14:$B$36&amp;"_"&amp;$C$14:$C$36,$D$14:$D$36)*$E1222)</f>
        <v>3.36</v>
      </c>
      <c r="L1222" s="95" cm="1">
        <f ca="1" t="array" ref="L1222">MIN(6,_xlfn.XLOOKUP($D1222&amp;"_"&amp;L$52,$B$14:$B$36&amp;"_"&amp;$C$14:$C$36,$D$14:$D$36)*$E1222)</f>
        <v>6</v>
      </c>
      <c r="M1222" s="95" cm="1">
        <f ca="1" t="array" ref="M1222">(1+SUMPRODUCT(G1222:H1222,OFFSET($H$40:$I$40,D1222,0)))*(1+OFFSET($J$40,D1222,0))^I1222*(1+OFFSET($K$40,D1222,0))^J1222*(1+OFFSET($L$40,D1222,0))^K1222*(1+OFFSET($M$40,D1222,0))^L1222</f>
        <v>317.404149478526</v>
      </c>
      <c r="N1222" s="95">
        <f ca="1">MAX(MAX($N$53:N1221),OFFSET($C$52,MATCH(M1222*1.07,$M$53:$M$2052,1),0)-C1222)</f>
        <v>69480</v>
      </c>
    </row>
    <row r="1223" spans="2:14">
      <c r="B1223" s="95">
        <v>1171</v>
      </c>
      <c r="C1223" s="95">
        <f t="shared" si="100"/>
        <v>421560</v>
      </c>
      <c r="D1223" s="95">
        <f ca="1">_xlfn.XLOOKUP(总览!$B$44,$B$40:$B$45,$C$40:$C$45)</f>
        <v>5</v>
      </c>
      <c r="E1223" s="95">
        <f ca="1" t="shared" si="99"/>
        <v>1201</v>
      </c>
      <c r="F1223" s="95">
        <f ca="1" t="shared" si="101"/>
        <v>0</v>
      </c>
      <c r="G1223" s="95">
        <f ca="1" t="shared" si="102"/>
        <v>0</v>
      </c>
      <c r="H1223" s="95" cm="1">
        <f ca="1" t="array" ref="H1223">MIN(30-SUM(I1223:L1223),_xlfn.XLOOKUP($D1223&amp;"_"&amp;H$52,$B$14:$B$36&amp;"_"&amp;$C$14:$C$36,$D$14:$D$36)*$E1223,18)</f>
        <v>12.6372</v>
      </c>
      <c r="I1223" s="95" cm="1">
        <f ca="1" t="array" ref="I1223">MIN(30-SUM(J1223:L1223),6-L1223,_xlfn.XLOOKUP($D1223&amp;"_"&amp;I$52,$B$14:$B$36&amp;"_"&amp;$C$14:$C$36,$D$14:$D$36)*$E1223)</f>
        <v>0</v>
      </c>
      <c r="J1223" s="95" cm="1">
        <f ca="1" t="array" ref="J1223">MIN(8,_xlfn.XLOOKUP($D1223&amp;"_"&amp;J$52,$B$14:$B$36&amp;"_"&amp;$C$14:$C$36,$D$14:$D$36)*$E1223)</f>
        <v>8</v>
      </c>
      <c r="K1223" s="95" cm="1">
        <f ca="1" t="array" ref="K1223">MIN(18,_xlfn.XLOOKUP($D1223&amp;"_"&amp;K$52,$B$14:$B$36&amp;"_"&amp;$C$14:$C$36,$D$14:$D$36)*$E1223)</f>
        <v>3.3628</v>
      </c>
      <c r="L1223" s="95" cm="1">
        <f ca="1" t="array" ref="L1223">MIN(6,_xlfn.XLOOKUP($D1223&amp;"_"&amp;L$52,$B$14:$B$36&amp;"_"&amp;$C$14:$C$36,$D$14:$D$36)*$E1223)</f>
        <v>6</v>
      </c>
      <c r="M1223" s="95" cm="1">
        <f ca="1" t="array" ref="M1223">(1+SUMPRODUCT(G1223:H1223,OFFSET($H$40:$I$40,D1223,0)))*(1+OFFSET($J$40,D1223,0))^I1223*(1+OFFSET($K$40,D1223,0))^J1223*(1+OFFSET($L$40,D1223,0))^K1223*(1+OFFSET($M$40,D1223,0))^L1223</f>
        <v>317.51581843985</v>
      </c>
      <c r="N1223" s="95">
        <f ca="1">MAX(MAX($N$53:N1222),OFFSET($C$52,MATCH(M1223*1.07,$M$53:$M$2052,1),0)-C1223)</f>
        <v>69480</v>
      </c>
    </row>
    <row r="1224" spans="2:14">
      <c r="B1224" s="95">
        <v>1172</v>
      </c>
      <c r="C1224" s="95">
        <f t="shared" si="100"/>
        <v>421920</v>
      </c>
      <c r="D1224" s="95">
        <f ca="1">_xlfn.XLOOKUP(总览!$B$44,$B$40:$B$45,$C$40:$C$45)</f>
        <v>5</v>
      </c>
      <c r="E1224" s="95">
        <f ca="1" t="shared" si="99"/>
        <v>1202</v>
      </c>
      <c r="F1224" s="95">
        <f ca="1" t="shared" si="101"/>
        <v>0</v>
      </c>
      <c r="G1224" s="95">
        <f ca="1" t="shared" si="102"/>
        <v>0</v>
      </c>
      <c r="H1224" s="95" cm="1">
        <f ca="1" t="array" ref="H1224">MIN(30-SUM(I1224:L1224),_xlfn.XLOOKUP($D1224&amp;"_"&amp;H$52,$B$14:$B$36&amp;"_"&amp;$C$14:$C$36,$D$14:$D$36)*$E1224,18)</f>
        <v>12.6344</v>
      </c>
      <c r="I1224" s="95" cm="1">
        <f ca="1" t="array" ref="I1224">MIN(30-SUM(J1224:L1224),6-L1224,_xlfn.XLOOKUP($D1224&amp;"_"&amp;I$52,$B$14:$B$36&amp;"_"&amp;$C$14:$C$36,$D$14:$D$36)*$E1224)</f>
        <v>0</v>
      </c>
      <c r="J1224" s="95" cm="1">
        <f ca="1" t="array" ref="J1224">MIN(8,_xlfn.XLOOKUP($D1224&amp;"_"&amp;J$52,$B$14:$B$36&amp;"_"&amp;$C$14:$C$36,$D$14:$D$36)*$E1224)</f>
        <v>8</v>
      </c>
      <c r="K1224" s="95" cm="1">
        <f ca="1" t="array" ref="K1224">MIN(18,_xlfn.XLOOKUP($D1224&amp;"_"&amp;K$52,$B$14:$B$36&amp;"_"&amp;$C$14:$C$36,$D$14:$D$36)*$E1224)</f>
        <v>3.3656</v>
      </c>
      <c r="L1224" s="95" cm="1">
        <f ca="1" t="array" ref="L1224">MIN(6,_xlfn.XLOOKUP($D1224&amp;"_"&amp;L$52,$B$14:$B$36&amp;"_"&amp;$C$14:$C$36,$D$14:$D$36)*$E1224)</f>
        <v>6</v>
      </c>
      <c r="M1224" s="95" cm="1">
        <f ca="1" t="array" ref="M1224">(1+SUMPRODUCT(G1224:H1224,OFFSET($H$40:$I$40,D1224,0)))*(1+OFFSET($J$40,D1224,0))^I1224*(1+OFFSET($K$40,D1224,0))^J1224*(1+OFFSET($L$40,D1224,0))^K1224*(1+OFFSET($M$40,D1224,0))^L1224</f>
        <v>317.627518683239</v>
      </c>
      <c r="N1224" s="95">
        <f ca="1">MAX(MAX($N$53:N1223),OFFSET($C$52,MATCH(M1224*1.07,$M$53:$M$2052,1),0)-C1224)</f>
        <v>69480</v>
      </c>
    </row>
    <row r="1225" spans="2:14">
      <c r="B1225" s="95">
        <v>1173</v>
      </c>
      <c r="C1225" s="95">
        <f t="shared" si="100"/>
        <v>422280</v>
      </c>
      <c r="D1225" s="95">
        <f ca="1">_xlfn.XLOOKUP(总览!$B$44,$B$40:$B$45,$C$40:$C$45)</f>
        <v>5</v>
      </c>
      <c r="E1225" s="95">
        <f ca="1" t="shared" si="99"/>
        <v>1203</v>
      </c>
      <c r="F1225" s="95">
        <f ca="1" t="shared" si="101"/>
        <v>0</v>
      </c>
      <c r="G1225" s="95">
        <f ca="1" t="shared" si="102"/>
        <v>0</v>
      </c>
      <c r="H1225" s="95" cm="1">
        <f ca="1" t="array" ref="H1225">MIN(30-SUM(I1225:L1225),_xlfn.XLOOKUP($D1225&amp;"_"&amp;H$52,$B$14:$B$36&amp;"_"&amp;$C$14:$C$36,$D$14:$D$36)*$E1225,18)</f>
        <v>12.6316</v>
      </c>
      <c r="I1225" s="95" cm="1">
        <f ca="1" t="array" ref="I1225">MIN(30-SUM(J1225:L1225),6-L1225,_xlfn.XLOOKUP($D1225&amp;"_"&amp;I$52,$B$14:$B$36&amp;"_"&amp;$C$14:$C$36,$D$14:$D$36)*$E1225)</f>
        <v>0</v>
      </c>
      <c r="J1225" s="95" cm="1">
        <f ca="1" t="array" ref="J1225">MIN(8,_xlfn.XLOOKUP($D1225&amp;"_"&amp;J$52,$B$14:$B$36&amp;"_"&amp;$C$14:$C$36,$D$14:$D$36)*$E1225)</f>
        <v>8</v>
      </c>
      <c r="K1225" s="95" cm="1">
        <f ca="1" t="array" ref="K1225">MIN(18,_xlfn.XLOOKUP($D1225&amp;"_"&amp;K$52,$B$14:$B$36&amp;"_"&amp;$C$14:$C$36,$D$14:$D$36)*$E1225)</f>
        <v>3.3684</v>
      </c>
      <c r="L1225" s="95" cm="1">
        <f ca="1" t="array" ref="L1225">MIN(6,_xlfn.XLOOKUP($D1225&amp;"_"&amp;L$52,$B$14:$B$36&amp;"_"&amp;$C$14:$C$36,$D$14:$D$36)*$E1225)</f>
        <v>6</v>
      </c>
      <c r="M1225" s="95" cm="1">
        <f ca="1" t="array" ref="M1225">(1+SUMPRODUCT(G1225:H1225,OFFSET($H$40:$I$40,D1225,0)))*(1+OFFSET($J$40,D1225,0))^I1225*(1+OFFSET($K$40,D1225,0))^J1225*(1+OFFSET($L$40,D1225,0))^K1225*(1+OFFSET($M$40,D1225,0))^L1225</f>
        <v>317.739250211523</v>
      </c>
      <c r="N1225" s="95">
        <f ca="1">MAX(MAX($N$53:N1224),OFFSET($C$52,MATCH(M1225*1.07,$M$53:$M$2052,1),0)-C1225)</f>
        <v>69480</v>
      </c>
    </row>
    <row r="1226" spans="2:14">
      <c r="B1226" s="95">
        <v>1174</v>
      </c>
      <c r="C1226" s="95">
        <f t="shared" si="100"/>
        <v>422640</v>
      </c>
      <c r="D1226" s="95">
        <f ca="1">_xlfn.XLOOKUP(总览!$B$44,$B$40:$B$45,$C$40:$C$45)</f>
        <v>5</v>
      </c>
      <c r="E1226" s="95">
        <f ca="1" t="shared" si="99"/>
        <v>1204</v>
      </c>
      <c r="F1226" s="95">
        <f ca="1" t="shared" si="101"/>
        <v>0</v>
      </c>
      <c r="G1226" s="95">
        <f ca="1" t="shared" si="102"/>
        <v>0</v>
      </c>
      <c r="H1226" s="95" cm="1">
        <f ca="1" t="array" ref="H1226">MIN(30-SUM(I1226:L1226),_xlfn.XLOOKUP($D1226&amp;"_"&amp;H$52,$B$14:$B$36&amp;"_"&amp;$C$14:$C$36,$D$14:$D$36)*$E1226,18)</f>
        <v>12.6288</v>
      </c>
      <c r="I1226" s="95" cm="1">
        <f ca="1" t="array" ref="I1226">MIN(30-SUM(J1226:L1226),6-L1226,_xlfn.XLOOKUP($D1226&amp;"_"&amp;I$52,$B$14:$B$36&amp;"_"&amp;$C$14:$C$36,$D$14:$D$36)*$E1226)</f>
        <v>0</v>
      </c>
      <c r="J1226" s="95" cm="1">
        <f ca="1" t="array" ref="J1226">MIN(8,_xlfn.XLOOKUP($D1226&amp;"_"&amp;J$52,$B$14:$B$36&amp;"_"&amp;$C$14:$C$36,$D$14:$D$36)*$E1226)</f>
        <v>8</v>
      </c>
      <c r="K1226" s="95" cm="1">
        <f ca="1" t="array" ref="K1226">MIN(18,_xlfn.XLOOKUP($D1226&amp;"_"&amp;K$52,$B$14:$B$36&amp;"_"&amp;$C$14:$C$36,$D$14:$D$36)*$E1226)</f>
        <v>3.3712</v>
      </c>
      <c r="L1226" s="95" cm="1">
        <f ca="1" t="array" ref="L1226">MIN(6,_xlfn.XLOOKUP($D1226&amp;"_"&amp;L$52,$B$14:$B$36&amp;"_"&amp;$C$14:$C$36,$D$14:$D$36)*$E1226)</f>
        <v>6</v>
      </c>
      <c r="M1226" s="95" cm="1">
        <f ca="1" t="array" ref="M1226">(1+SUMPRODUCT(G1226:H1226,OFFSET($H$40:$I$40,D1226,0)))*(1+OFFSET($J$40,D1226,0))^I1226*(1+OFFSET($K$40,D1226,0))^J1226*(1+OFFSET($L$40,D1226,0))^K1226*(1+OFFSET($M$40,D1226,0))^L1226</f>
        <v>317.851013027527</v>
      </c>
      <c r="N1226" s="95">
        <f ca="1">MAX(MAX($N$53:N1225),OFFSET($C$52,MATCH(M1226*1.07,$M$53:$M$2052,1),0)-C1226)</f>
        <v>69480</v>
      </c>
    </row>
    <row r="1227" spans="2:14">
      <c r="B1227" s="95">
        <v>1175</v>
      </c>
      <c r="C1227" s="95">
        <f t="shared" si="100"/>
        <v>423000</v>
      </c>
      <c r="D1227" s="95">
        <f ca="1">_xlfn.XLOOKUP(总览!$B$44,$B$40:$B$45,$C$40:$C$45)</f>
        <v>5</v>
      </c>
      <c r="E1227" s="95">
        <f ca="1" t="shared" si="99"/>
        <v>1205</v>
      </c>
      <c r="F1227" s="95">
        <f ca="1" t="shared" si="101"/>
        <v>0</v>
      </c>
      <c r="G1227" s="95">
        <f ca="1" t="shared" si="102"/>
        <v>0</v>
      </c>
      <c r="H1227" s="95" cm="1">
        <f ca="1" t="array" ref="H1227">MIN(30-SUM(I1227:L1227),_xlfn.XLOOKUP($D1227&amp;"_"&amp;H$52,$B$14:$B$36&amp;"_"&amp;$C$14:$C$36,$D$14:$D$36)*$E1227,18)</f>
        <v>12.626</v>
      </c>
      <c r="I1227" s="95" cm="1">
        <f ca="1" t="array" ref="I1227">MIN(30-SUM(J1227:L1227),6-L1227,_xlfn.XLOOKUP($D1227&amp;"_"&amp;I$52,$B$14:$B$36&amp;"_"&amp;$C$14:$C$36,$D$14:$D$36)*$E1227)</f>
        <v>0</v>
      </c>
      <c r="J1227" s="95" cm="1">
        <f ca="1" t="array" ref="J1227">MIN(8,_xlfn.XLOOKUP($D1227&amp;"_"&amp;J$52,$B$14:$B$36&amp;"_"&amp;$C$14:$C$36,$D$14:$D$36)*$E1227)</f>
        <v>8</v>
      </c>
      <c r="K1227" s="95" cm="1">
        <f ca="1" t="array" ref="K1227">MIN(18,_xlfn.XLOOKUP($D1227&amp;"_"&amp;K$52,$B$14:$B$36&amp;"_"&amp;$C$14:$C$36,$D$14:$D$36)*$E1227)</f>
        <v>3.374</v>
      </c>
      <c r="L1227" s="95" cm="1">
        <f ca="1" t="array" ref="L1227">MIN(6,_xlfn.XLOOKUP($D1227&amp;"_"&amp;L$52,$B$14:$B$36&amp;"_"&amp;$C$14:$C$36,$D$14:$D$36)*$E1227)</f>
        <v>6</v>
      </c>
      <c r="M1227" s="95" cm="1">
        <f ca="1" t="array" ref="M1227">(1+SUMPRODUCT(G1227:H1227,OFFSET($H$40:$I$40,D1227,0)))*(1+OFFSET($J$40,D1227,0))^I1227*(1+OFFSET($K$40,D1227,0))^J1227*(1+OFFSET($L$40,D1227,0))^K1227*(1+OFFSET($M$40,D1227,0))^L1227</f>
        <v>317.962807134071</v>
      </c>
      <c r="N1227" s="95">
        <f ca="1">MAX(MAX($N$53:N1226),OFFSET($C$52,MATCH(M1227*1.07,$M$53:$M$2052,1),0)-C1227)</f>
        <v>69480</v>
      </c>
    </row>
    <row r="1228" spans="2:14">
      <c r="B1228" s="95">
        <v>1176</v>
      </c>
      <c r="C1228" s="95">
        <f t="shared" si="100"/>
        <v>423360</v>
      </c>
      <c r="D1228" s="95">
        <f ca="1">_xlfn.XLOOKUP(总览!$B$44,$B$40:$B$45,$C$40:$C$45)</f>
        <v>5</v>
      </c>
      <c r="E1228" s="95">
        <f ca="1" t="shared" si="99"/>
        <v>1206</v>
      </c>
      <c r="F1228" s="95">
        <f ca="1" t="shared" si="101"/>
        <v>0</v>
      </c>
      <c r="G1228" s="95">
        <f ca="1" t="shared" si="102"/>
        <v>0</v>
      </c>
      <c r="H1228" s="95" cm="1">
        <f ca="1" t="array" ref="H1228">MIN(30-SUM(I1228:L1228),_xlfn.XLOOKUP($D1228&amp;"_"&amp;H$52,$B$14:$B$36&amp;"_"&amp;$C$14:$C$36,$D$14:$D$36)*$E1228,18)</f>
        <v>12.6232</v>
      </c>
      <c r="I1228" s="95" cm="1">
        <f ca="1" t="array" ref="I1228">MIN(30-SUM(J1228:L1228),6-L1228,_xlfn.XLOOKUP($D1228&amp;"_"&amp;I$52,$B$14:$B$36&amp;"_"&amp;$C$14:$C$36,$D$14:$D$36)*$E1228)</f>
        <v>0</v>
      </c>
      <c r="J1228" s="95" cm="1">
        <f ca="1" t="array" ref="J1228">MIN(8,_xlfn.XLOOKUP($D1228&amp;"_"&amp;J$52,$B$14:$B$36&amp;"_"&amp;$C$14:$C$36,$D$14:$D$36)*$E1228)</f>
        <v>8</v>
      </c>
      <c r="K1228" s="95" cm="1">
        <f ca="1" t="array" ref="K1228">MIN(18,_xlfn.XLOOKUP($D1228&amp;"_"&amp;K$52,$B$14:$B$36&amp;"_"&amp;$C$14:$C$36,$D$14:$D$36)*$E1228)</f>
        <v>3.3768</v>
      </c>
      <c r="L1228" s="95" cm="1">
        <f ca="1" t="array" ref="L1228">MIN(6,_xlfn.XLOOKUP($D1228&amp;"_"&amp;L$52,$B$14:$B$36&amp;"_"&amp;$C$14:$C$36,$D$14:$D$36)*$E1228)</f>
        <v>6</v>
      </c>
      <c r="M1228" s="95" cm="1">
        <f ca="1" t="array" ref="M1228">(1+SUMPRODUCT(G1228:H1228,OFFSET($H$40:$I$40,D1228,0)))*(1+OFFSET($J$40,D1228,0))^I1228*(1+OFFSET($K$40,D1228,0))^J1228*(1+OFFSET($L$40,D1228,0))^K1228*(1+OFFSET($M$40,D1228,0))^L1228</f>
        <v>318.074632533969</v>
      </c>
      <c r="N1228" s="95">
        <f ca="1">MAX(MAX($N$53:N1227),OFFSET($C$52,MATCH(M1228*1.07,$M$53:$M$2052,1),0)-C1228)</f>
        <v>69480</v>
      </c>
    </row>
    <row r="1229" spans="2:14">
      <c r="B1229" s="95">
        <v>1177</v>
      </c>
      <c r="C1229" s="95">
        <f t="shared" si="100"/>
        <v>423720</v>
      </c>
      <c r="D1229" s="95">
        <f ca="1">_xlfn.XLOOKUP(总览!$B$44,$B$40:$B$45,$C$40:$C$45)</f>
        <v>5</v>
      </c>
      <c r="E1229" s="95">
        <f ca="1" t="shared" si="99"/>
        <v>1207</v>
      </c>
      <c r="F1229" s="95">
        <f ca="1" t="shared" si="101"/>
        <v>0</v>
      </c>
      <c r="G1229" s="95">
        <f ca="1" t="shared" si="102"/>
        <v>0</v>
      </c>
      <c r="H1229" s="95" cm="1">
        <f ca="1" t="array" ref="H1229">MIN(30-SUM(I1229:L1229),_xlfn.XLOOKUP($D1229&amp;"_"&amp;H$52,$B$14:$B$36&amp;"_"&amp;$C$14:$C$36,$D$14:$D$36)*$E1229,18)</f>
        <v>12.6204</v>
      </c>
      <c r="I1229" s="95" cm="1">
        <f ca="1" t="array" ref="I1229">MIN(30-SUM(J1229:L1229),6-L1229,_xlfn.XLOOKUP($D1229&amp;"_"&amp;I$52,$B$14:$B$36&amp;"_"&amp;$C$14:$C$36,$D$14:$D$36)*$E1229)</f>
        <v>0</v>
      </c>
      <c r="J1229" s="95" cm="1">
        <f ca="1" t="array" ref="J1229">MIN(8,_xlfn.XLOOKUP($D1229&amp;"_"&amp;J$52,$B$14:$B$36&amp;"_"&amp;$C$14:$C$36,$D$14:$D$36)*$E1229)</f>
        <v>8</v>
      </c>
      <c r="K1229" s="95" cm="1">
        <f ca="1" t="array" ref="K1229">MIN(18,_xlfn.XLOOKUP($D1229&amp;"_"&amp;K$52,$B$14:$B$36&amp;"_"&amp;$C$14:$C$36,$D$14:$D$36)*$E1229)</f>
        <v>3.3796</v>
      </c>
      <c r="L1229" s="95" cm="1">
        <f ca="1" t="array" ref="L1229">MIN(6,_xlfn.XLOOKUP($D1229&amp;"_"&amp;L$52,$B$14:$B$36&amp;"_"&amp;$C$14:$C$36,$D$14:$D$36)*$E1229)</f>
        <v>6</v>
      </c>
      <c r="M1229" s="95" cm="1">
        <f ca="1" t="array" ref="M1229">(1+SUMPRODUCT(G1229:H1229,OFFSET($H$40:$I$40,D1229,0)))*(1+OFFSET($J$40,D1229,0))^I1229*(1+OFFSET($K$40,D1229,0))^J1229*(1+OFFSET($L$40,D1229,0))^K1229*(1+OFFSET($M$40,D1229,0))^L1229</f>
        <v>318.186489230031</v>
      </c>
      <c r="N1229" s="95">
        <f ca="1">MAX(MAX($N$53:N1228),OFFSET($C$52,MATCH(M1229*1.07,$M$53:$M$2052,1),0)-C1229)</f>
        <v>69480</v>
      </c>
    </row>
    <row r="1230" spans="2:14">
      <c r="B1230" s="95">
        <v>1178</v>
      </c>
      <c r="C1230" s="95">
        <f t="shared" si="100"/>
        <v>424080</v>
      </c>
      <c r="D1230" s="95">
        <f ca="1">_xlfn.XLOOKUP(总览!$B$44,$B$40:$B$45,$C$40:$C$45)</f>
        <v>5</v>
      </c>
      <c r="E1230" s="95">
        <f ca="1" t="shared" si="99"/>
        <v>1208</v>
      </c>
      <c r="F1230" s="95">
        <f ca="1" t="shared" si="101"/>
        <v>0</v>
      </c>
      <c r="G1230" s="95">
        <f ca="1" t="shared" si="102"/>
        <v>0</v>
      </c>
      <c r="H1230" s="95" cm="1">
        <f ca="1" t="array" ref="H1230">MIN(30-SUM(I1230:L1230),_xlfn.XLOOKUP($D1230&amp;"_"&amp;H$52,$B$14:$B$36&amp;"_"&amp;$C$14:$C$36,$D$14:$D$36)*$E1230,18)</f>
        <v>12.6176</v>
      </c>
      <c r="I1230" s="95" cm="1">
        <f ca="1" t="array" ref="I1230">MIN(30-SUM(J1230:L1230),6-L1230,_xlfn.XLOOKUP($D1230&amp;"_"&amp;I$52,$B$14:$B$36&amp;"_"&amp;$C$14:$C$36,$D$14:$D$36)*$E1230)</f>
        <v>0</v>
      </c>
      <c r="J1230" s="95" cm="1">
        <f ca="1" t="array" ref="J1230">MIN(8,_xlfn.XLOOKUP($D1230&amp;"_"&amp;J$52,$B$14:$B$36&amp;"_"&amp;$C$14:$C$36,$D$14:$D$36)*$E1230)</f>
        <v>8</v>
      </c>
      <c r="K1230" s="95" cm="1">
        <f ca="1" t="array" ref="K1230">MIN(18,_xlfn.XLOOKUP($D1230&amp;"_"&amp;K$52,$B$14:$B$36&amp;"_"&amp;$C$14:$C$36,$D$14:$D$36)*$E1230)</f>
        <v>3.3824</v>
      </c>
      <c r="L1230" s="95" cm="1">
        <f ca="1" t="array" ref="L1230">MIN(6,_xlfn.XLOOKUP($D1230&amp;"_"&amp;L$52,$B$14:$B$36&amp;"_"&amp;$C$14:$C$36,$D$14:$D$36)*$E1230)</f>
        <v>6</v>
      </c>
      <c r="M1230" s="95" cm="1">
        <f ca="1" t="array" ref="M1230">(1+SUMPRODUCT(G1230:H1230,OFFSET($H$40:$I$40,D1230,0)))*(1+OFFSET($J$40,D1230,0))^I1230*(1+OFFSET($K$40,D1230,0))^J1230*(1+OFFSET($L$40,D1230,0))^K1230*(1+OFFSET($M$40,D1230,0))^L1230</f>
        <v>318.298377225059</v>
      </c>
      <c r="N1230" s="95">
        <f ca="1">MAX(MAX($N$53:N1229),OFFSET($C$52,MATCH(M1230*1.07,$M$53:$M$2052,1),0)-C1230)</f>
        <v>69480</v>
      </c>
    </row>
    <row r="1231" spans="2:14">
      <c r="B1231" s="95">
        <v>1179</v>
      </c>
      <c r="C1231" s="95">
        <f t="shared" si="100"/>
        <v>424440</v>
      </c>
      <c r="D1231" s="95">
        <f ca="1">_xlfn.XLOOKUP(总览!$B$44,$B$40:$B$45,$C$40:$C$45)</f>
        <v>5</v>
      </c>
      <c r="E1231" s="95">
        <f ca="1" t="shared" si="99"/>
        <v>1209</v>
      </c>
      <c r="F1231" s="95">
        <f ca="1" t="shared" si="101"/>
        <v>0</v>
      </c>
      <c r="G1231" s="95">
        <f ca="1" t="shared" si="102"/>
        <v>0</v>
      </c>
      <c r="H1231" s="95" cm="1">
        <f ca="1" t="array" ref="H1231">MIN(30-SUM(I1231:L1231),_xlfn.XLOOKUP($D1231&amp;"_"&amp;H$52,$B$14:$B$36&amp;"_"&amp;$C$14:$C$36,$D$14:$D$36)*$E1231,18)</f>
        <v>12.6148</v>
      </c>
      <c r="I1231" s="95" cm="1">
        <f ca="1" t="array" ref="I1231">MIN(30-SUM(J1231:L1231),6-L1231,_xlfn.XLOOKUP($D1231&amp;"_"&amp;I$52,$B$14:$B$36&amp;"_"&amp;$C$14:$C$36,$D$14:$D$36)*$E1231)</f>
        <v>0</v>
      </c>
      <c r="J1231" s="95" cm="1">
        <f ca="1" t="array" ref="J1231">MIN(8,_xlfn.XLOOKUP($D1231&amp;"_"&amp;J$52,$B$14:$B$36&amp;"_"&amp;$C$14:$C$36,$D$14:$D$36)*$E1231)</f>
        <v>8</v>
      </c>
      <c r="K1231" s="95" cm="1">
        <f ca="1" t="array" ref="K1231">MIN(18,_xlfn.XLOOKUP($D1231&amp;"_"&amp;K$52,$B$14:$B$36&amp;"_"&amp;$C$14:$C$36,$D$14:$D$36)*$E1231)</f>
        <v>3.3852</v>
      </c>
      <c r="L1231" s="95" cm="1">
        <f ca="1" t="array" ref="L1231">MIN(6,_xlfn.XLOOKUP($D1231&amp;"_"&amp;L$52,$B$14:$B$36&amp;"_"&amp;$C$14:$C$36,$D$14:$D$36)*$E1231)</f>
        <v>6</v>
      </c>
      <c r="M1231" s="95" cm="1">
        <f ca="1" t="array" ref="M1231">(1+SUMPRODUCT(G1231:H1231,OFFSET($H$40:$I$40,D1231,0)))*(1+OFFSET($J$40,D1231,0))^I1231*(1+OFFSET($K$40,D1231,0))^J1231*(1+OFFSET($L$40,D1231,0))^K1231*(1+OFFSET($M$40,D1231,0))^L1231</f>
        <v>318.410296521853</v>
      </c>
      <c r="N1231" s="95">
        <f ca="1">MAX(MAX($N$53:N1230),OFFSET($C$52,MATCH(M1231*1.07,$M$53:$M$2052,1),0)-C1231)</f>
        <v>69480</v>
      </c>
    </row>
    <row r="1232" spans="2:14">
      <c r="B1232" s="95">
        <v>1180</v>
      </c>
      <c r="C1232" s="95">
        <f t="shared" si="100"/>
        <v>424800</v>
      </c>
      <c r="D1232" s="95">
        <f ca="1">_xlfn.XLOOKUP(总览!$B$44,$B$40:$B$45,$C$40:$C$45)</f>
        <v>5</v>
      </c>
      <c r="E1232" s="95">
        <f ca="1" t="shared" si="99"/>
        <v>1210</v>
      </c>
      <c r="F1232" s="95">
        <f ca="1" t="shared" si="101"/>
        <v>0</v>
      </c>
      <c r="G1232" s="95">
        <f ca="1" t="shared" si="102"/>
        <v>0</v>
      </c>
      <c r="H1232" s="95" cm="1">
        <f ca="1" t="array" ref="H1232">MIN(30-SUM(I1232:L1232),_xlfn.XLOOKUP($D1232&amp;"_"&amp;H$52,$B$14:$B$36&amp;"_"&amp;$C$14:$C$36,$D$14:$D$36)*$E1232,18)</f>
        <v>12.612</v>
      </c>
      <c r="I1232" s="95" cm="1">
        <f ca="1" t="array" ref="I1232">MIN(30-SUM(J1232:L1232),6-L1232,_xlfn.XLOOKUP($D1232&amp;"_"&amp;I$52,$B$14:$B$36&amp;"_"&amp;$C$14:$C$36,$D$14:$D$36)*$E1232)</f>
        <v>0</v>
      </c>
      <c r="J1232" s="95" cm="1">
        <f ca="1" t="array" ref="J1232">MIN(8,_xlfn.XLOOKUP($D1232&amp;"_"&amp;J$52,$B$14:$B$36&amp;"_"&amp;$C$14:$C$36,$D$14:$D$36)*$E1232)</f>
        <v>8</v>
      </c>
      <c r="K1232" s="95" cm="1">
        <f ca="1" t="array" ref="K1232">MIN(18,_xlfn.XLOOKUP($D1232&amp;"_"&amp;K$52,$B$14:$B$36&amp;"_"&amp;$C$14:$C$36,$D$14:$D$36)*$E1232)</f>
        <v>3.388</v>
      </c>
      <c r="L1232" s="95" cm="1">
        <f ca="1" t="array" ref="L1232">MIN(6,_xlfn.XLOOKUP($D1232&amp;"_"&amp;L$52,$B$14:$B$36&amp;"_"&amp;$C$14:$C$36,$D$14:$D$36)*$E1232)</f>
        <v>6</v>
      </c>
      <c r="M1232" s="95" cm="1">
        <f ca="1" t="array" ref="M1232">(1+SUMPRODUCT(G1232:H1232,OFFSET($H$40:$I$40,D1232,0)))*(1+OFFSET($J$40,D1232,0))^I1232*(1+OFFSET($K$40,D1232,0))^J1232*(1+OFFSET($L$40,D1232,0))^K1232*(1+OFFSET($M$40,D1232,0))^L1232</f>
        <v>318.522247123206</v>
      </c>
      <c r="N1232" s="95">
        <f ca="1">MAX(MAX($N$53:N1231),OFFSET($C$52,MATCH(M1232*1.07,$M$53:$M$2052,1),0)-C1232)</f>
        <v>69480</v>
      </c>
    </row>
    <row r="1233" spans="2:14">
      <c r="B1233" s="95">
        <v>1181</v>
      </c>
      <c r="C1233" s="95">
        <f t="shared" si="100"/>
        <v>425160</v>
      </c>
      <c r="D1233" s="95">
        <f ca="1">_xlfn.XLOOKUP(总览!$B$44,$B$40:$B$45,$C$40:$C$45)</f>
        <v>5</v>
      </c>
      <c r="E1233" s="95">
        <f ca="1" t="shared" si="99"/>
        <v>1211</v>
      </c>
      <c r="F1233" s="95">
        <f ca="1" t="shared" si="101"/>
        <v>0</v>
      </c>
      <c r="G1233" s="95">
        <f ca="1" t="shared" si="102"/>
        <v>0</v>
      </c>
      <c r="H1233" s="95" cm="1">
        <f ca="1" t="array" ref="H1233">MIN(30-SUM(I1233:L1233),_xlfn.XLOOKUP($D1233&amp;"_"&amp;H$52,$B$14:$B$36&amp;"_"&amp;$C$14:$C$36,$D$14:$D$36)*$E1233,18)</f>
        <v>12.6092</v>
      </c>
      <c r="I1233" s="95" cm="1">
        <f ca="1" t="array" ref="I1233">MIN(30-SUM(J1233:L1233),6-L1233,_xlfn.XLOOKUP($D1233&amp;"_"&amp;I$52,$B$14:$B$36&amp;"_"&amp;$C$14:$C$36,$D$14:$D$36)*$E1233)</f>
        <v>0</v>
      </c>
      <c r="J1233" s="95" cm="1">
        <f ca="1" t="array" ref="J1233">MIN(8,_xlfn.XLOOKUP($D1233&amp;"_"&amp;J$52,$B$14:$B$36&amp;"_"&amp;$C$14:$C$36,$D$14:$D$36)*$E1233)</f>
        <v>8</v>
      </c>
      <c r="K1233" s="95" cm="1">
        <f ca="1" t="array" ref="K1233">MIN(18,_xlfn.XLOOKUP($D1233&amp;"_"&amp;K$52,$B$14:$B$36&amp;"_"&amp;$C$14:$C$36,$D$14:$D$36)*$E1233)</f>
        <v>3.3908</v>
      </c>
      <c r="L1233" s="95" cm="1">
        <f ca="1" t="array" ref="L1233">MIN(6,_xlfn.XLOOKUP($D1233&amp;"_"&amp;L$52,$B$14:$B$36&amp;"_"&amp;$C$14:$C$36,$D$14:$D$36)*$E1233)</f>
        <v>6</v>
      </c>
      <c r="M1233" s="95" cm="1">
        <f ca="1" t="array" ref="M1233">(1+SUMPRODUCT(G1233:H1233,OFFSET($H$40:$I$40,D1233,0)))*(1+OFFSET($J$40,D1233,0))^I1233*(1+OFFSET($K$40,D1233,0))^J1233*(1+OFFSET($L$40,D1233,0))^K1233*(1+OFFSET($M$40,D1233,0))^L1233</f>
        <v>318.634229031906</v>
      </c>
      <c r="N1233" s="95">
        <f ca="1">MAX(MAX($N$53:N1232),OFFSET($C$52,MATCH(M1233*1.07,$M$53:$M$2052,1),0)-C1233)</f>
        <v>69480</v>
      </c>
    </row>
    <row r="1234" spans="2:14">
      <c r="B1234" s="95">
        <v>1182</v>
      </c>
      <c r="C1234" s="95">
        <f t="shared" si="100"/>
        <v>425520</v>
      </c>
      <c r="D1234" s="95">
        <f ca="1">_xlfn.XLOOKUP(总览!$B$44,$B$40:$B$45,$C$40:$C$45)</f>
        <v>5</v>
      </c>
      <c r="E1234" s="95">
        <f ca="1" t="shared" si="99"/>
        <v>1212</v>
      </c>
      <c r="F1234" s="95">
        <f ca="1" t="shared" si="101"/>
        <v>0</v>
      </c>
      <c r="G1234" s="95">
        <f ca="1" t="shared" si="102"/>
        <v>0</v>
      </c>
      <c r="H1234" s="95" cm="1">
        <f ca="1" t="array" ref="H1234">MIN(30-SUM(I1234:L1234),_xlfn.XLOOKUP($D1234&amp;"_"&amp;H$52,$B$14:$B$36&amp;"_"&amp;$C$14:$C$36,$D$14:$D$36)*$E1234,18)</f>
        <v>12.6064</v>
      </c>
      <c r="I1234" s="95" cm="1">
        <f ca="1" t="array" ref="I1234">MIN(30-SUM(J1234:L1234),6-L1234,_xlfn.XLOOKUP($D1234&amp;"_"&amp;I$52,$B$14:$B$36&amp;"_"&amp;$C$14:$C$36,$D$14:$D$36)*$E1234)</f>
        <v>0</v>
      </c>
      <c r="J1234" s="95" cm="1">
        <f ca="1" t="array" ref="J1234">MIN(8,_xlfn.XLOOKUP($D1234&amp;"_"&amp;J$52,$B$14:$B$36&amp;"_"&amp;$C$14:$C$36,$D$14:$D$36)*$E1234)</f>
        <v>8</v>
      </c>
      <c r="K1234" s="95" cm="1">
        <f ca="1" t="array" ref="K1234">MIN(18,_xlfn.XLOOKUP($D1234&amp;"_"&amp;K$52,$B$14:$B$36&amp;"_"&amp;$C$14:$C$36,$D$14:$D$36)*$E1234)</f>
        <v>3.3936</v>
      </c>
      <c r="L1234" s="95" cm="1">
        <f ca="1" t="array" ref="L1234">MIN(6,_xlfn.XLOOKUP($D1234&amp;"_"&amp;L$52,$B$14:$B$36&amp;"_"&amp;$C$14:$C$36,$D$14:$D$36)*$E1234)</f>
        <v>6</v>
      </c>
      <c r="M1234" s="95" cm="1">
        <f ca="1" t="array" ref="M1234">(1+SUMPRODUCT(G1234:H1234,OFFSET($H$40:$I$40,D1234,0)))*(1+OFFSET($J$40,D1234,0))^I1234*(1+OFFSET($K$40,D1234,0))^J1234*(1+OFFSET($L$40,D1234,0))^K1234*(1+OFFSET($M$40,D1234,0))^L1234</f>
        <v>318.746242250734</v>
      </c>
      <c r="N1234" s="95">
        <f ca="1">MAX(MAX($N$53:N1233),OFFSET($C$52,MATCH(M1234*1.07,$M$53:$M$2052,1),0)-C1234)</f>
        <v>69480</v>
      </c>
    </row>
    <row r="1235" spans="2:14">
      <c r="B1235" s="95">
        <v>1183</v>
      </c>
      <c r="C1235" s="95">
        <f t="shared" si="100"/>
        <v>425880</v>
      </c>
      <c r="D1235" s="95">
        <f ca="1">_xlfn.XLOOKUP(总览!$B$44,$B$40:$B$45,$C$40:$C$45)</f>
        <v>5</v>
      </c>
      <c r="E1235" s="95">
        <f ca="1" t="shared" si="99"/>
        <v>1213</v>
      </c>
      <c r="F1235" s="95">
        <f ca="1" t="shared" si="101"/>
        <v>0</v>
      </c>
      <c r="G1235" s="95">
        <f ca="1" t="shared" si="102"/>
        <v>0</v>
      </c>
      <c r="H1235" s="95" cm="1">
        <f ca="1" t="array" ref="H1235">MIN(30-SUM(I1235:L1235),_xlfn.XLOOKUP($D1235&amp;"_"&amp;H$52,$B$14:$B$36&amp;"_"&amp;$C$14:$C$36,$D$14:$D$36)*$E1235,18)</f>
        <v>12.6036</v>
      </c>
      <c r="I1235" s="95" cm="1">
        <f ca="1" t="array" ref="I1235">MIN(30-SUM(J1235:L1235),6-L1235,_xlfn.XLOOKUP($D1235&amp;"_"&amp;I$52,$B$14:$B$36&amp;"_"&amp;$C$14:$C$36,$D$14:$D$36)*$E1235)</f>
        <v>0</v>
      </c>
      <c r="J1235" s="95" cm="1">
        <f ca="1" t="array" ref="J1235">MIN(8,_xlfn.XLOOKUP($D1235&amp;"_"&amp;J$52,$B$14:$B$36&amp;"_"&amp;$C$14:$C$36,$D$14:$D$36)*$E1235)</f>
        <v>8</v>
      </c>
      <c r="K1235" s="95" cm="1">
        <f ca="1" t="array" ref="K1235">MIN(18,_xlfn.XLOOKUP($D1235&amp;"_"&amp;K$52,$B$14:$B$36&amp;"_"&amp;$C$14:$C$36,$D$14:$D$36)*$E1235)</f>
        <v>3.3964</v>
      </c>
      <c r="L1235" s="95" cm="1">
        <f ca="1" t="array" ref="L1235">MIN(6,_xlfn.XLOOKUP($D1235&amp;"_"&amp;L$52,$B$14:$B$36&amp;"_"&amp;$C$14:$C$36,$D$14:$D$36)*$E1235)</f>
        <v>6</v>
      </c>
      <c r="M1235" s="95" cm="1">
        <f ca="1" t="array" ref="M1235">(1+SUMPRODUCT(G1235:H1235,OFFSET($H$40:$I$40,D1235,0)))*(1+OFFSET($J$40,D1235,0))^I1235*(1+OFFSET($K$40,D1235,0))^J1235*(1+OFFSET($L$40,D1235,0))^K1235*(1+OFFSET($M$40,D1235,0))^L1235</f>
        <v>318.85828678247</v>
      </c>
      <c r="N1235" s="95">
        <f ca="1">MAX(MAX($N$53:N1234),OFFSET($C$52,MATCH(M1235*1.07,$M$53:$M$2052,1),0)-C1235)</f>
        <v>69480</v>
      </c>
    </row>
    <row r="1236" spans="2:14">
      <c r="B1236" s="95">
        <v>1184</v>
      </c>
      <c r="C1236" s="95">
        <f t="shared" si="100"/>
        <v>426240</v>
      </c>
      <c r="D1236" s="95">
        <f ca="1">_xlfn.XLOOKUP(总览!$B$44,$B$40:$B$45,$C$40:$C$45)</f>
        <v>5</v>
      </c>
      <c r="E1236" s="95">
        <f ca="1" t="shared" si="99"/>
        <v>1214</v>
      </c>
      <c r="F1236" s="95">
        <f ca="1" t="shared" si="101"/>
        <v>0</v>
      </c>
      <c r="G1236" s="95">
        <f ca="1" t="shared" si="102"/>
        <v>0</v>
      </c>
      <c r="H1236" s="95" cm="1">
        <f ca="1" t="array" ref="H1236">MIN(30-SUM(I1236:L1236),_xlfn.XLOOKUP($D1236&amp;"_"&amp;H$52,$B$14:$B$36&amp;"_"&amp;$C$14:$C$36,$D$14:$D$36)*$E1236,18)</f>
        <v>12.6008</v>
      </c>
      <c r="I1236" s="95" cm="1">
        <f ca="1" t="array" ref="I1236">MIN(30-SUM(J1236:L1236),6-L1236,_xlfn.XLOOKUP($D1236&amp;"_"&amp;I$52,$B$14:$B$36&amp;"_"&amp;$C$14:$C$36,$D$14:$D$36)*$E1236)</f>
        <v>0</v>
      </c>
      <c r="J1236" s="95" cm="1">
        <f ca="1" t="array" ref="J1236">MIN(8,_xlfn.XLOOKUP($D1236&amp;"_"&amp;J$52,$B$14:$B$36&amp;"_"&amp;$C$14:$C$36,$D$14:$D$36)*$E1236)</f>
        <v>8</v>
      </c>
      <c r="K1236" s="95" cm="1">
        <f ca="1" t="array" ref="K1236">MIN(18,_xlfn.XLOOKUP($D1236&amp;"_"&amp;K$52,$B$14:$B$36&amp;"_"&amp;$C$14:$C$36,$D$14:$D$36)*$E1236)</f>
        <v>3.3992</v>
      </c>
      <c r="L1236" s="95" cm="1">
        <f ca="1" t="array" ref="L1236">MIN(6,_xlfn.XLOOKUP($D1236&amp;"_"&amp;L$52,$B$14:$B$36&amp;"_"&amp;$C$14:$C$36,$D$14:$D$36)*$E1236)</f>
        <v>6</v>
      </c>
      <c r="M1236" s="95" cm="1">
        <f ca="1" t="array" ref="M1236">(1+SUMPRODUCT(G1236:H1236,OFFSET($H$40:$I$40,D1236,0)))*(1+OFFSET($J$40,D1236,0))^I1236*(1+OFFSET($K$40,D1236,0))^J1236*(1+OFFSET($L$40,D1236,0))^K1236*(1+OFFSET($M$40,D1236,0))^L1236</f>
        <v>318.970362629883</v>
      </c>
      <c r="N1236" s="95">
        <f ca="1">MAX(MAX($N$53:N1235),OFFSET($C$52,MATCH(M1236*1.07,$M$53:$M$2052,1),0)-C1236)</f>
        <v>69480</v>
      </c>
    </row>
    <row r="1237" spans="2:14">
      <c r="B1237" s="95">
        <v>1185</v>
      </c>
      <c r="C1237" s="95">
        <f t="shared" si="100"/>
        <v>426600</v>
      </c>
      <c r="D1237" s="95">
        <f ca="1">_xlfn.XLOOKUP(总览!$B$44,$B$40:$B$45,$C$40:$C$45)</f>
        <v>5</v>
      </c>
      <c r="E1237" s="95">
        <f ca="1" t="shared" si="99"/>
        <v>1215</v>
      </c>
      <c r="F1237" s="95">
        <f ca="1" t="shared" si="101"/>
        <v>0</v>
      </c>
      <c r="G1237" s="95">
        <f ca="1" t="shared" si="102"/>
        <v>0</v>
      </c>
      <c r="H1237" s="95" cm="1">
        <f ca="1" t="array" ref="H1237">MIN(30-SUM(I1237:L1237),_xlfn.XLOOKUP($D1237&amp;"_"&amp;H$52,$B$14:$B$36&amp;"_"&amp;$C$14:$C$36,$D$14:$D$36)*$E1237,18)</f>
        <v>12.598</v>
      </c>
      <c r="I1237" s="95" cm="1">
        <f ca="1" t="array" ref="I1237">MIN(30-SUM(J1237:L1237),6-L1237,_xlfn.XLOOKUP($D1237&amp;"_"&amp;I$52,$B$14:$B$36&amp;"_"&amp;$C$14:$C$36,$D$14:$D$36)*$E1237)</f>
        <v>0</v>
      </c>
      <c r="J1237" s="95" cm="1">
        <f ca="1" t="array" ref="J1237">MIN(8,_xlfn.XLOOKUP($D1237&amp;"_"&amp;J$52,$B$14:$B$36&amp;"_"&amp;$C$14:$C$36,$D$14:$D$36)*$E1237)</f>
        <v>8</v>
      </c>
      <c r="K1237" s="95" cm="1">
        <f ca="1" t="array" ref="K1237">MIN(18,_xlfn.XLOOKUP($D1237&amp;"_"&amp;K$52,$B$14:$B$36&amp;"_"&amp;$C$14:$C$36,$D$14:$D$36)*$E1237)</f>
        <v>3.402</v>
      </c>
      <c r="L1237" s="95" cm="1">
        <f ca="1" t="array" ref="L1237">MIN(6,_xlfn.XLOOKUP($D1237&amp;"_"&amp;L$52,$B$14:$B$36&amp;"_"&amp;$C$14:$C$36,$D$14:$D$36)*$E1237)</f>
        <v>6</v>
      </c>
      <c r="M1237" s="95" cm="1">
        <f ca="1" t="array" ref="M1237">(1+SUMPRODUCT(G1237:H1237,OFFSET($H$40:$I$40,D1237,0)))*(1+OFFSET($J$40,D1237,0))^I1237*(1+OFFSET($K$40,D1237,0))^J1237*(1+OFFSET($L$40,D1237,0))^K1237*(1+OFFSET($M$40,D1237,0))^L1237</f>
        <v>319.082469795742</v>
      </c>
      <c r="N1237" s="95">
        <f ca="1">MAX(MAX($N$53:N1236),OFFSET($C$52,MATCH(M1237*1.07,$M$53:$M$2052,1),0)-C1237)</f>
        <v>69480</v>
      </c>
    </row>
    <row r="1238" spans="2:14">
      <c r="B1238" s="95">
        <v>1186</v>
      </c>
      <c r="C1238" s="95">
        <f t="shared" si="100"/>
        <v>426960</v>
      </c>
      <c r="D1238" s="95">
        <f ca="1">_xlfn.XLOOKUP(总览!$B$44,$B$40:$B$45,$C$40:$C$45)</f>
        <v>5</v>
      </c>
      <c r="E1238" s="95">
        <f ca="1" t="shared" si="99"/>
        <v>1216</v>
      </c>
      <c r="F1238" s="95">
        <f ca="1" t="shared" si="101"/>
        <v>0</v>
      </c>
      <c r="G1238" s="95">
        <f ca="1" t="shared" si="102"/>
        <v>0</v>
      </c>
      <c r="H1238" s="95" cm="1">
        <f ca="1" t="array" ref="H1238">MIN(30-SUM(I1238:L1238),_xlfn.XLOOKUP($D1238&amp;"_"&amp;H$52,$B$14:$B$36&amp;"_"&amp;$C$14:$C$36,$D$14:$D$36)*$E1238,18)</f>
        <v>12.5952</v>
      </c>
      <c r="I1238" s="95" cm="1">
        <f ca="1" t="array" ref="I1238">MIN(30-SUM(J1238:L1238),6-L1238,_xlfn.XLOOKUP($D1238&amp;"_"&amp;I$52,$B$14:$B$36&amp;"_"&amp;$C$14:$C$36,$D$14:$D$36)*$E1238)</f>
        <v>0</v>
      </c>
      <c r="J1238" s="95" cm="1">
        <f ca="1" t="array" ref="J1238">MIN(8,_xlfn.XLOOKUP($D1238&amp;"_"&amp;J$52,$B$14:$B$36&amp;"_"&amp;$C$14:$C$36,$D$14:$D$36)*$E1238)</f>
        <v>8</v>
      </c>
      <c r="K1238" s="95" cm="1">
        <f ca="1" t="array" ref="K1238">MIN(18,_xlfn.XLOOKUP($D1238&amp;"_"&amp;K$52,$B$14:$B$36&amp;"_"&amp;$C$14:$C$36,$D$14:$D$36)*$E1238)</f>
        <v>3.4048</v>
      </c>
      <c r="L1238" s="95" cm="1">
        <f ca="1" t="array" ref="L1238">MIN(6,_xlfn.XLOOKUP($D1238&amp;"_"&amp;L$52,$B$14:$B$36&amp;"_"&amp;$C$14:$C$36,$D$14:$D$36)*$E1238)</f>
        <v>6</v>
      </c>
      <c r="M1238" s="95" cm="1">
        <f ca="1" t="array" ref="M1238">(1+SUMPRODUCT(G1238:H1238,OFFSET($H$40:$I$40,D1238,0)))*(1+OFFSET($J$40,D1238,0))^I1238*(1+OFFSET($K$40,D1238,0))^J1238*(1+OFFSET($L$40,D1238,0))^K1238*(1+OFFSET($M$40,D1238,0))^L1238</f>
        <v>319.194608282807</v>
      </c>
      <c r="N1238" s="95">
        <f ca="1">MAX(MAX($N$53:N1237),OFFSET($C$52,MATCH(M1238*1.07,$M$53:$M$2052,1),0)-C1238)</f>
        <v>69480</v>
      </c>
    </row>
    <row r="1239" spans="2:14">
      <c r="B1239" s="95">
        <v>1187</v>
      </c>
      <c r="C1239" s="95">
        <f t="shared" si="100"/>
        <v>427320</v>
      </c>
      <c r="D1239" s="95">
        <f ca="1">_xlfn.XLOOKUP(总览!$B$44,$B$40:$B$45,$C$40:$C$45)</f>
        <v>5</v>
      </c>
      <c r="E1239" s="95">
        <f ca="1" t="shared" si="99"/>
        <v>1217</v>
      </c>
      <c r="F1239" s="95">
        <f ca="1" t="shared" si="101"/>
        <v>0</v>
      </c>
      <c r="G1239" s="95">
        <f ca="1" t="shared" si="102"/>
        <v>0</v>
      </c>
      <c r="H1239" s="95" cm="1">
        <f ca="1" t="array" ref="H1239">MIN(30-SUM(I1239:L1239),_xlfn.XLOOKUP($D1239&amp;"_"&amp;H$52,$B$14:$B$36&amp;"_"&amp;$C$14:$C$36,$D$14:$D$36)*$E1239,18)</f>
        <v>12.5924</v>
      </c>
      <c r="I1239" s="95" cm="1">
        <f ca="1" t="array" ref="I1239">MIN(30-SUM(J1239:L1239),6-L1239,_xlfn.XLOOKUP($D1239&amp;"_"&amp;I$52,$B$14:$B$36&amp;"_"&amp;$C$14:$C$36,$D$14:$D$36)*$E1239)</f>
        <v>0</v>
      </c>
      <c r="J1239" s="95" cm="1">
        <f ca="1" t="array" ref="J1239">MIN(8,_xlfn.XLOOKUP($D1239&amp;"_"&amp;J$52,$B$14:$B$36&amp;"_"&amp;$C$14:$C$36,$D$14:$D$36)*$E1239)</f>
        <v>8</v>
      </c>
      <c r="K1239" s="95" cm="1">
        <f ca="1" t="array" ref="K1239">MIN(18,_xlfn.XLOOKUP($D1239&amp;"_"&amp;K$52,$B$14:$B$36&amp;"_"&amp;$C$14:$C$36,$D$14:$D$36)*$E1239)</f>
        <v>3.4076</v>
      </c>
      <c r="L1239" s="95" cm="1">
        <f ca="1" t="array" ref="L1239">MIN(6,_xlfn.XLOOKUP($D1239&amp;"_"&amp;L$52,$B$14:$B$36&amp;"_"&amp;$C$14:$C$36,$D$14:$D$36)*$E1239)</f>
        <v>6</v>
      </c>
      <c r="M1239" s="95" cm="1">
        <f ca="1" t="array" ref="M1239">(1+SUMPRODUCT(G1239:H1239,OFFSET($H$40:$I$40,D1239,0)))*(1+OFFSET($J$40,D1239,0))^I1239*(1+OFFSET($K$40,D1239,0))^J1239*(1+OFFSET($L$40,D1239,0))^K1239*(1+OFFSET($M$40,D1239,0))^L1239</f>
        <v>319.306778093834</v>
      </c>
      <c r="N1239" s="95">
        <f ca="1">MAX(MAX($N$53:N1238),OFFSET($C$52,MATCH(M1239*1.07,$M$53:$M$2052,1),0)-C1239)</f>
        <v>69480</v>
      </c>
    </row>
    <row r="1240" spans="2:14">
      <c r="B1240" s="95">
        <v>1188</v>
      </c>
      <c r="C1240" s="95">
        <f t="shared" si="100"/>
        <v>427680</v>
      </c>
      <c r="D1240" s="95">
        <f ca="1">_xlfn.XLOOKUP(总览!$B$44,$B$40:$B$45,$C$40:$C$45)</f>
        <v>5</v>
      </c>
      <c r="E1240" s="95">
        <f ca="1" t="shared" si="99"/>
        <v>1218</v>
      </c>
      <c r="F1240" s="95">
        <f ca="1" t="shared" si="101"/>
        <v>0</v>
      </c>
      <c r="G1240" s="95">
        <f ca="1" t="shared" si="102"/>
        <v>0</v>
      </c>
      <c r="H1240" s="95" cm="1">
        <f ca="1" t="array" ref="H1240">MIN(30-SUM(I1240:L1240),_xlfn.XLOOKUP($D1240&amp;"_"&amp;H$52,$B$14:$B$36&amp;"_"&amp;$C$14:$C$36,$D$14:$D$36)*$E1240,18)</f>
        <v>12.5896</v>
      </c>
      <c r="I1240" s="95" cm="1">
        <f ca="1" t="array" ref="I1240">MIN(30-SUM(J1240:L1240),6-L1240,_xlfn.XLOOKUP($D1240&amp;"_"&amp;I$52,$B$14:$B$36&amp;"_"&amp;$C$14:$C$36,$D$14:$D$36)*$E1240)</f>
        <v>0</v>
      </c>
      <c r="J1240" s="95" cm="1">
        <f ca="1" t="array" ref="J1240">MIN(8,_xlfn.XLOOKUP($D1240&amp;"_"&amp;J$52,$B$14:$B$36&amp;"_"&amp;$C$14:$C$36,$D$14:$D$36)*$E1240)</f>
        <v>8</v>
      </c>
      <c r="K1240" s="95" cm="1">
        <f ca="1" t="array" ref="K1240">MIN(18,_xlfn.XLOOKUP($D1240&amp;"_"&amp;K$52,$B$14:$B$36&amp;"_"&amp;$C$14:$C$36,$D$14:$D$36)*$E1240)</f>
        <v>3.4104</v>
      </c>
      <c r="L1240" s="95" cm="1">
        <f ca="1" t="array" ref="L1240">MIN(6,_xlfn.XLOOKUP($D1240&amp;"_"&amp;L$52,$B$14:$B$36&amp;"_"&amp;$C$14:$C$36,$D$14:$D$36)*$E1240)</f>
        <v>6</v>
      </c>
      <c r="M1240" s="95" cm="1">
        <f ca="1" t="array" ref="M1240">(1+SUMPRODUCT(G1240:H1240,OFFSET($H$40:$I$40,D1240,0)))*(1+OFFSET($J$40,D1240,0))^I1240*(1+OFFSET($K$40,D1240,0))^J1240*(1+OFFSET($L$40,D1240,0))^K1240*(1+OFFSET($M$40,D1240,0))^L1240</f>
        <v>319.418979231573</v>
      </c>
      <c r="N1240" s="95">
        <f ca="1">MAX(MAX($N$53:N1239),OFFSET($C$52,MATCH(M1240*1.07,$M$53:$M$2052,1),0)-C1240)</f>
        <v>69480</v>
      </c>
    </row>
    <row r="1241" spans="2:14">
      <c r="B1241" s="95">
        <v>1189</v>
      </c>
      <c r="C1241" s="95">
        <f t="shared" si="100"/>
        <v>428040</v>
      </c>
      <c r="D1241" s="95">
        <f ca="1">_xlfn.XLOOKUP(总览!$B$44,$B$40:$B$45,$C$40:$C$45)</f>
        <v>5</v>
      </c>
      <c r="E1241" s="95">
        <f ca="1" t="shared" si="99"/>
        <v>1219</v>
      </c>
      <c r="F1241" s="95">
        <f ca="1" t="shared" si="101"/>
        <v>0</v>
      </c>
      <c r="G1241" s="95">
        <f ca="1" t="shared" si="102"/>
        <v>0</v>
      </c>
      <c r="H1241" s="95" cm="1">
        <f ca="1" t="array" ref="H1241">MIN(30-SUM(I1241:L1241),_xlfn.XLOOKUP($D1241&amp;"_"&amp;H$52,$B$14:$B$36&amp;"_"&amp;$C$14:$C$36,$D$14:$D$36)*$E1241,18)</f>
        <v>12.5868</v>
      </c>
      <c r="I1241" s="95" cm="1">
        <f ca="1" t="array" ref="I1241">MIN(30-SUM(J1241:L1241),6-L1241,_xlfn.XLOOKUP($D1241&amp;"_"&amp;I$52,$B$14:$B$36&amp;"_"&amp;$C$14:$C$36,$D$14:$D$36)*$E1241)</f>
        <v>0</v>
      </c>
      <c r="J1241" s="95" cm="1">
        <f ca="1" t="array" ref="J1241">MIN(8,_xlfn.XLOOKUP($D1241&amp;"_"&amp;J$52,$B$14:$B$36&amp;"_"&amp;$C$14:$C$36,$D$14:$D$36)*$E1241)</f>
        <v>8</v>
      </c>
      <c r="K1241" s="95" cm="1">
        <f ca="1" t="array" ref="K1241">MIN(18,_xlfn.XLOOKUP($D1241&amp;"_"&amp;K$52,$B$14:$B$36&amp;"_"&amp;$C$14:$C$36,$D$14:$D$36)*$E1241)</f>
        <v>3.4132</v>
      </c>
      <c r="L1241" s="95" cm="1">
        <f ca="1" t="array" ref="L1241">MIN(6,_xlfn.XLOOKUP($D1241&amp;"_"&amp;L$52,$B$14:$B$36&amp;"_"&amp;$C$14:$C$36,$D$14:$D$36)*$E1241)</f>
        <v>6</v>
      </c>
      <c r="M1241" s="95" cm="1">
        <f ca="1" t="array" ref="M1241">(1+SUMPRODUCT(G1241:H1241,OFFSET($H$40:$I$40,D1241,0)))*(1+OFFSET($J$40,D1241,0))^I1241*(1+OFFSET($K$40,D1241,0))^J1241*(1+OFFSET($L$40,D1241,0))^K1241*(1+OFFSET($M$40,D1241,0))^L1241</f>
        <v>319.531211698771</v>
      </c>
      <c r="N1241" s="95">
        <f ca="1">MAX(MAX($N$53:N1240),OFFSET($C$52,MATCH(M1241*1.07,$M$53:$M$2052,1),0)-C1241)</f>
        <v>69480</v>
      </c>
    </row>
    <row r="1242" spans="2:14">
      <c r="B1242" s="95">
        <v>1190</v>
      </c>
      <c r="C1242" s="95">
        <f t="shared" si="100"/>
        <v>428400</v>
      </c>
      <c r="D1242" s="95">
        <f ca="1">_xlfn.XLOOKUP(总览!$B$44,$B$40:$B$45,$C$40:$C$45)</f>
        <v>5</v>
      </c>
      <c r="E1242" s="95">
        <f ca="1" t="shared" si="99"/>
        <v>1220</v>
      </c>
      <c r="F1242" s="95">
        <f ca="1" t="shared" si="101"/>
        <v>0</v>
      </c>
      <c r="G1242" s="95">
        <f ca="1" t="shared" si="102"/>
        <v>0</v>
      </c>
      <c r="H1242" s="95" cm="1">
        <f ca="1" t="array" ref="H1242">MIN(30-SUM(I1242:L1242),_xlfn.XLOOKUP($D1242&amp;"_"&amp;H$52,$B$14:$B$36&amp;"_"&amp;$C$14:$C$36,$D$14:$D$36)*$E1242,18)</f>
        <v>12.584</v>
      </c>
      <c r="I1242" s="95" cm="1">
        <f ca="1" t="array" ref="I1242">MIN(30-SUM(J1242:L1242),6-L1242,_xlfn.XLOOKUP($D1242&amp;"_"&amp;I$52,$B$14:$B$36&amp;"_"&amp;$C$14:$C$36,$D$14:$D$36)*$E1242)</f>
        <v>0</v>
      </c>
      <c r="J1242" s="95" cm="1">
        <f ca="1" t="array" ref="J1242">MIN(8,_xlfn.XLOOKUP($D1242&amp;"_"&amp;J$52,$B$14:$B$36&amp;"_"&amp;$C$14:$C$36,$D$14:$D$36)*$E1242)</f>
        <v>8</v>
      </c>
      <c r="K1242" s="95" cm="1">
        <f ca="1" t="array" ref="K1242">MIN(18,_xlfn.XLOOKUP($D1242&amp;"_"&amp;K$52,$B$14:$B$36&amp;"_"&amp;$C$14:$C$36,$D$14:$D$36)*$E1242)</f>
        <v>3.416</v>
      </c>
      <c r="L1242" s="95" cm="1">
        <f ca="1" t="array" ref="L1242">MIN(6,_xlfn.XLOOKUP($D1242&amp;"_"&amp;L$52,$B$14:$B$36&amp;"_"&amp;$C$14:$C$36,$D$14:$D$36)*$E1242)</f>
        <v>6</v>
      </c>
      <c r="M1242" s="95" cm="1">
        <f ca="1" t="array" ref="M1242">(1+SUMPRODUCT(G1242:H1242,OFFSET($H$40:$I$40,D1242,0)))*(1+OFFSET($J$40,D1242,0))^I1242*(1+OFFSET($K$40,D1242,0))^J1242*(1+OFFSET($L$40,D1242,0))^K1242*(1+OFFSET($M$40,D1242,0))^L1242</f>
        <v>319.643475498166</v>
      </c>
      <c r="N1242" s="95">
        <f ca="1">MAX(MAX($N$53:N1241),OFFSET($C$52,MATCH(M1242*1.07,$M$53:$M$2052,1),0)-C1242)</f>
        <v>69840</v>
      </c>
    </row>
    <row r="1243" spans="2:14">
      <c r="B1243" s="95">
        <v>1191</v>
      </c>
      <c r="C1243" s="95">
        <f t="shared" si="100"/>
        <v>428760</v>
      </c>
      <c r="D1243" s="95">
        <f ca="1">_xlfn.XLOOKUP(总览!$B$44,$B$40:$B$45,$C$40:$C$45)</f>
        <v>5</v>
      </c>
      <c r="E1243" s="95">
        <f ca="1" t="shared" si="99"/>
        <v>1221</v>
      </c>
      <c r="F1243" s="95">
        <f ca="1" t="shared" si="101"/>
        <v>0</v>
      </c>
      <c r="G1243" s="95">
        <f ca="1" t="shared" si="102"/>
        <v>0</v>
      </c>
      <c r="H1243" s="95" cm="1">
        <f ca="1" t="array" ref="H1243">MIN(30-SUM(I1243:L1243),_xlfn.XLOOKUP($D1243&amp;"_"&amp;H$52,$B$14:$B$36&amp;"_"&amp;$C$14:$C$36,$D$14:$D$36)*$E1243,18)</f>
        <v>12.5812</v>
      </c>
      <c r="I1243" s="95" cm="1">
        <f ca="1" t="array" ref="I1243">MIN(30-SUM(J1243:L1243),6-L1243,_xlfn.XLOOKUP($D1243&amp;"_"&amp;I$52,$B$14:$B$36&amp;"_"&amp;$C$14:$C$36,$D$14:$D$36)*$E1243)</f>
        <v>0</v>
      </c>
      <c r="J1243" s="95" cm="1">
        <f ca="1" t="array" ref="J1243">MIN(8,_xlfn.XLOOKUP($D1243&amp;"_"&amp;J$52,$B$14:$B$36&amp;"_"&amp;$C$14:$C$36,$D$14:$D$36)*$E1243)</f>
        <v>8</v>
      </c>
      <c r="K1243" s="95" cm="1">
        <f ca="1" t="array" ref="K1243">MIN(18,_xlfn.XLOOKUP($D1243&amp;"_"&amp;K$52,$B$14:$B$36&amp;"_"&amp;$C$14:$C$36,$D$14:$D$36)*$E1243)</f>
        <v>3.4188</v>
      </c>
      <c r="L1243" s="95" cm="1">
        <f ca="1" t="array" ref="L1243">MIN(6,_xlfn.XLOOKUP($D1243&amp;"_"&amp;L$52,$B$14:$B$36&amp;"_"&amp;$C$14:$C$36,$D$14:$D$36)*$E1243)</f>
        <v>6</v>
      </c>
      <c r="M1243" s="95" cm="1">
        <f ca="1" t="array" ref="M1243">(1+SUMPRODUCT(G1243:H1243,OFFSET($H$40:$I$40,D1243,0)))*(1+OFFSET($J$40,D1243,0))^I1243*(1+OFFSET($K$40,D1243,0))^J1243*(1+OFFSET($L$40,D1243,0))^K1243*(1+OFFSET($M$40,D1243,0))^L1243</f>
        <v>319.755770632493</v>
      </c>
      <c r="N1243" s="95">
        <f ca="1">MAX(MAX($N$53:N1242),OFFSET($C$52,MATCH(M1243*1.07,$M$53:$M$2052,1),0)-C1243)</f>
        <v>69840</v>
      </c>
    </row>
    <row r="1244" spans="2:14">
      <c r="B1244" s="95">
        <v>1192</v>
      </c>
      <c r="C1244" s="95">
        <f t="shared" si="100"/>
        <v>429120</v>
      </c>
      <c r="D1244" s="95">
        <f ca="1">_xlfn.XLOOKUP(总览!$B$44,$B$40:$B$45,$C$40:$C$45)</f>
        <v>5</v>
      </c>
      <c r="E1244" s="95">
        <f ca="1" t="shared" si="99"/>
        <v>1222</v>
      </c>
      <c r="F1244" s="95">
        <f ca="1" t="shared" si="101"/>
        <v>0</v>
      </c>
      <c r="G1244" s="95">
        <f ca="1" t="shared" si="102"/>
        <v>0</v>
      </c>
      <c r="H1244" s="95" cm="1">
        <f ca="1" t="array" ref="H1244">MIN(30-SUM(I1244:L1244),_xlfn.XLOOKUP($D1244&amp;"_"&amp;H$52,$B$14:$B$36&amp;"_"&amp;$C$14:$C$36,$D$14:$D$36)*$E1244,18)</f>
        <v>12.5784</v>
      </c>
      <c r="I1244" s="95" cm="1">
        <f ca="1" t="array" ref="I1244">MIN(30-SUM(J1244:L1244),6-L1244,_xlfn.XLOOKUP($D1244&amp;"_"&amp;I$52,$B$14:$B$36&amp;"_"&amp;$C$14:$C$36,$D$14:$D$36)*$E1244)</f>
        <v>0</v>
      </c>
      <c r="J1244" s="95" cm="1">
        <f ca="1" t="array" ref="J1244">MIN(8,_xlfn.XLOOKUP($D1244&amp;"_"&amp;J$52,$B$14:$B$36&amp;"_"&amp;$C$14:$C$36,$D$14:$D$36)*$E1244)</f>
        <v>8</v>
      </c>
      <c r="K1244" s="95" cm="1">
        <f ca="1" t="array" ref="K1244">MIN(18,_xlfn.XLOOKUP($D1244&amp;"_"&amp;K$52,$B$14:$B$36&amp;"_"&amp;$C$14:$C$36,$D$14:$D$36)*$E1244)</f>
        <v>3.4216</v>
      </c>
      <c r="L1244" s="95" cm="1">
        <f ca="1" t="array" ref="L1244">MIN(6,_xlfn.XLOOKUP($D1244&amp;"_"&amp;L$52,$B$14:$B$36&amp;"_"&amp;$C$14:$C$36,$D$14:$D$36)*$E1244)</f>
        <v>6</v>
      </c>
      <c r="M1244" s="95" cm="1">
        <f ca="1" t="array" ref="M1244">(1+SUMPRODUCT(G1244:H1244,OFFSET($H$40:$I$40,D1244,0)))*(1+OFFSET($J$40,D1244,0))^I1244*(1+OFFSET($K$40,D1244,0))^J1244*(1+OFFSET($L$40,D1244,0))^K1244*(1+OFFSET($M$40,D1244,0))^L1244</f>
        <v>319.868097104482</v>
      </c>
      <c r="N1244" s="95">
        <f ca="1">MAX(MAX($N$53:N1243),OFFSET($C$52,MATCH(M1244*1.07,$M$53:$M$2052,1),0)-C1244)</f>
        <v>69840</v>
      </c>
    </row>
    <row r="1245" spans="2:14">
      <c r="B1245" s="95">
        <v>1193</v>
      </c>
      <c r="C1245" s="95">
        <f t="shared" si="100"/>
        <v>429480</v>
      </c>
      <c r="D1245" s="95">
        <f ca="1">_xlfn.XLOOKUP(总览!$B$44,$B$40:$B$45,$C$40:$C$45)</f>
        <v>5</v>
      </c>
      <c r="E1245" s="95">
        <f ca="1" t="shared" si="99"/>
        <v>1223</v>
      </c>
      <c r="F1245" s="95">
        <f ca="1" t="shared" si="101"/>
        <v>0</v>
      </c>
      <c r="G1245" s="95">
        <f ca="1" t="shared" si="102"/>
        <v>0</v>
      </c>
      <c r="H1245" s="95" cm="1">
        <f ca="1" t="array" ref="H1245">MIN(30-SUM(I1245:L1245),_xlfn.XLOOKUP($D1245&amp;"_"&amp;H$52,$B$14:$B$36&amp;"_"&amp;$C$14:$C$36,$D$14:$D$36)*$E1245,18)</f>
        <v>12.5756</v>
      </c>
      <c r="I1245" s="95" cm="1">
        <f ca="1" t="array" ref="I1245">MIN(30-SUM(J1245:L1245),6-L1245,_xlfn.XLOOKUP($D1245&amp;"_"&amp;I$52,$B$14:$B$36&amp;"_"&amp;$C$14:$C$36,$D$14:$D$36)*$E1245)</f>
        <v>0</v>
      </c>
      <c r="J1245" s="95" cm="1">
        <f ca="1" t="array" ref="J1245">MIN(8,_xlfn.XLOOKUP($D1245&amp;"_"&amp;J$52,$B$14:$B$36&amp;"_"&amp;$C$14:$C$36,$D$14:$D$36)*$E1245)</f>
        <v>8</v>
      </c>
      <c r="K1245" s="95" cm="1">
        <f ca="1" t="array" ref="K1245">MIN(18,_xlfn.XLOOKUP($D1245&amp;"_"&amp;K$52,$B$14:$B$36&amp;"_"&amp;$C$14:$C$36,$D$14:$D$36)*$E1245)</f>
        <v>3.4244</v>
      </c>
      <c r="L1245" s="95" cm="1">
        <f ca="1" t="array" ref="L1245">MIN(6,_xlfn.XLOOKUP($D1245&amp;"_"&amp;L$52,$B$14:$B$36&amp;"_"&amp;$C$14:$C$36,$D$14:$D$36)*$E1245)</f>
        <v>6</v>
      </c>
      <c r="M1245" s="95" cm="1">
        <f ca="1" t="array" ref="M1245">(1+SUMPRODUCT(G1245:H1245,OFFSET($H$40:$I$40,D1245,0)))*(1+OFFSET($J$40,D1245,0))^I1245*(1+OFFSET($K$40,D1245,0))^J1245*(1+OFFSET($L$40,D1245,0))^K1245*(1+OFFSET($M$40,D1245,0))^L1245</f>
        <v>319.980454916855</v>
      </c>
      <c r="N1245" s="95">
        <f ca="1">MAX(MAX($N$53:N1244),OFFSET($C$52,MATCH(M1245*1.07,$M$53:$M$2052,1),0)-C1245)</f>
        <v>69840</v>
      </c>
    </row>
    <row r="1246" spans="2:14">
      <c r="B1246" s="95">
        <v>1194</v>
      </c>
      <c r="C1246" s="95">
        <f t="shared" si="100"/>
        <v>429840</v>
      </c>
      <c r="D1246" s="95">
        <f ca="1">_xlfn.XLOOKUP(总览!$B$44,$B$40:$B$45,$C$40:$C$45)</f>
        <v>5</v>
      </c>
      <c r="E1246" s="95">
        <f ca="1" t="shared" si="99"/>
        <v>1224</v>
      </c>
      <c r="F1246" s="95">
        <f ca="1" t="shared" si="101"/>
        <v>0</v>
      </c>
      <c r="G1246" s="95">
        <f ca="1" t="shared" si="102"/>
        <v>0</v>
      </c>
      <c r="H1246" s="95" cm="1">
        <f ca="1" t="array" ref="H1246">MIN(30-SUM(I1246:L1246),_xlfn.XLOOKUP($D1246&amp;"_"&amp;H$52,$B$14:$B$36&amp;"_"&amp;$C$14:$C$36,$D$14:$D$36)*$E1246,18)</f>
        <v>12.5728</v>
      </c>
      <c r="I1246" s="95" cm="1">
        <f ca="1" t="array" ref="I1246">MIN(30-SUM(J1246:L1246),6-L1246,_xlfn.XLOOKUP($D1246&amp;"_"&amp;I$52,$B$14:$B$36&amp;"_"&amp;$C$14:$C$36,$D$14:$D$36)*$E1246)</f>
        <v>0</v>
      </c>
      <c r="J1246" s="95" cm="1">
        <f ca="1" t="array" ref="J1246">MIN(8,_xlfn.XLOOKUP($D1246&amp;"_"&amp;J$52,$B$14:$B$36&amp;"_"&amp;$C$14:$C$36,$D$14:$D$36)*$E1246)</f>
        <v>8</v>
      </c>
      <c r="K1246" s="95" cm="1">
        <f ca="1" t="array" ref="K1246">MIN(18,_xlfn.XLOOKUP($D1246&amp;"_"&amp;K$52,$B$14:$B$36&amp;"_"&amp;$C$14:$C$36,$D$14:$D$36)*$E1246)</f>
        <v>3.4272</v>
      </c>
      <c r="L1246" s="95" cm="1">
        <f ca="1" t="array" ref="L1246">MIN(6,_xlfn.XLOOKUP($D1246&amp;"_"&amp;L$52,$B$14:$B$36&amp;"_"&amp;$C$14:$C$36,$D$14:$D$36)*$E1246)</f>
        <v>6</v>
      </c>
      <c r="M1246" s="95" cm="1">
        <f ca="1" t="array" ref="M1246">(1+SUMPRODUCT(G1246:H1246,OFFSET($H$40:$I$40,D1246,0)))*(1+OFFSET($J$40,D1246,0))^I1246*(1+OFFSET($K$40,D1246,0))^J1246*(1+OFFSET($L$40,D1246,0))^K1246*(1+OFFSET($M$40,D1246,0))^L1246</f>
        <v>320.092844072332</v>
      </c>
      <c r="N1246" s="95">
        <f ca="1">MAX(MAX($N$53:N1245),OFFSET($C$52,MATCH(M1246*1.07,$M$53:$M$2052,1),0)-C1246)</f>
        <v>69840</v>
      </c>
    </row>
    <row r="1247" spans="2:14">
      <c r="B1247" s="95">
        <v>1195</v>
      </c>
      <c r="C1247" s="95">
        <f t="shared" si="100"/>
        <v>430200</v>
      </c>
      <c r="D1247" s="95">
        <f ca="1">_xlfn.XLOOKUP(总览!$B$44,$B$40:$B$45,$C$40:$C$45)</f>
        <v>5</v>
      </c>
      <c r="E1247" s="95">
        <f ca="1" t="shared" si="99"/>
        <v>1225</v>
      </c>
      <c r="F1247" s="95">
        <f ca="1" t="shared" si="101"/>
        <v>0</v>
      </c>
      <c r="G1247" s="95">
        <f ca="1" t="shared" si="102"/>
        <v>0</v>
      </c>
      <c r="H1247" s="95" cm="1">
        <f ca="1" t="array" ref="H1247">MIN(30-SUM(I1247:L1247),_xlfn.XLOOKUP($D1247&amp;"_"&amp;H$52,$B$14:$B$36&amp;"_"&amp;$C$14:$C$36,$D$14:$D$36)*$E1247,18)</f>
        <v>12.57</v>
      </c>
      <c r="I1247" s="95" cm="1">
        <f ca="1" t="array" ref="I1247">MIN(30-SUM(J1247:L1247),6-L1247,_xlfn.XLOOKUP($D1247&amp;"_"&amp;I$52,$B$14:$B$36&amp;"_"&amp;$C$14:$C$36,$D$14:$D$36)*$E1247)</f>
        <v>0</v>
      </c>
      <c r="J1247" s="95" cm="1">
        <f ca="1" t="array" ref="J1247">MIN(8,_xlfn.XLOOKUP($D1247&amp;"_"&amp;J$52,$B$14:$B$36&amp;"_"&amp;$C$14:$C$36,$D$14:$D$36)*$E1247)</f>
        <v>8</v>
      </c>
      <c r="K1247" s="95" cm="1">
        <f ca="1" t="array" ref="K1247">MIN(18,_xlfn.XLOOKUP($D1247&amp;"_"&amp;K$52,$B$14:$B$36&amp;"_"&amp;$C$14:$C$36,$D$14:$D$36)*$E1247)</f>
        <v>3.43</v>
      </c>
      <c r="L1247" s="95" cm="1">
        <f ca="1" t="array" ref="L1247">MIN(6,_xlfn.XLOOKUP($D1247&amp;"_"&amp;L$52,$B$14:$B$36&amp;"_"&amp;$C$14:$C$36,$D$14:$D$36)*$E1247)</f>
        <v>6</v>
      </c>
      <c r="M1247" s="95" cm="1">
        <f ca="1" t="array" ref="M1247">(1+SUMPRODUCT(G1247:H1247,OFFSET($H$40:$I$40,D1247,0)))*(1+OFFSET($J$40,D1247,0))^I1247*(1+OFFSET($K$40,D1247,0))^J1247*(1+OFFSET($L$40,D1247,0))^K1247*(1+OFFSET($M$40,D1247,0))^L1247</f>
        <v>320.205264573625</v>
      </c>
      <c r="N1247" s="95">
        <f ca="1">MAX(MAX($N$53:N1246),OFFSET($C$52,MATCH(M1247*1.07,$M$53:$M$2052,1),0)-C1247)</f>
        <v>69840</v>
      </c>
    </row>
    <row r="1248" spans="2:14">
      <c r="B1248" s="95">
        <v>1196</v>
      </c>
      <c r="C1248" s="95">
        <f t="shared" si="100"/>
        <v>430560</v>
      </c>
      <c r="D1248" s="95">
        <f ca="1">_xlfn.XLOOKUP(总览!$B$44,$B$40:$B$45,$C$40:$C$45)</f>
        <v>5</v>
      </c>
      <c r="E1248" s="95">
        <f ca="1" t="shared" si="99"/>
        <v>1226</v>
      </c>
      <c r="F1248" s="95">
        <f ca="1" t="shared" si="101"/>
        <v>0</v>
      </c>
      <c r="G1248" s="95">
        <f ca="1" t="shared" si="102"/>
        <v>0</v>
      </c>
      <c r="H1248" s="95" cm="1">
        <f ca="1" t="array" ref="H1248">MIN(30-SUM(I1248:L1248),_xlfn.XLOOKUP($D1248&amp;"_"&amp;H$52,$B$14:$B$36&amp;"_"&amp;$C$14:$C$36,$D$14:$D$36)*$E1248,18)</f>
        <v>12.5672</v>
      </c>
      <c r="I1248" s="95" cm="1">
        <f ca="1" t="array" ref="I1248">MIN(30-SUM(J1248:L1248),6-L1248,_xlfn.XLOOKUP($D1248&amp;"_"&amp;I$52,$B$14:$B$36&amp;"_"&amp;$C$14:$C$36,$D$14:$D$36)*$E1248)</f>
        <v>0</v>
      </c>
      <c r="J1248" s="95" cm="1">
        <f ca="1" t="array" ref="J1248">MIN(8,_xlfn.XLOOKUP($D1248&amp;"_"&amp;J$52,$B$14:$B$36&amp;"_"&amp;$C$14:$C$36,$D$14:$D$36)*$E1248)</f>
        <v>8</v>
      </c>
      <c r="K1248" s="95" cm="1">
        <f ca="1" t="array" ref="K1248">MIN(18,_xlfn.XLOOKUP($D1248&amp;"_"&amp;K$52,$B$14:$B$36&amp;"_"&amp;$C$14:$C$36,$D$14:$D$36)*$E1248)</f>
        <v>3.4328</v>
      </c>
      <c r="L1248" s="95" cm="1">
        <f ca="1" t="array" ref="L1248">MIN(6,_xlfn.XLOOKUP($D1248&amp;"_"&amp;L$52,$B$14:$B$36&amp;"_"&amp;$C$14:$C$36,$D$14:$D$36)*$E1248)</f>
        <v>6</v>
      </c>
      <c r="M1248" s="95" cm="1">
        <f ca="1" t="array" ref="M1248">(1+SUMPRODUCT(G1248:H1248,OFFSET($H$40:$I$40,D1248,0)))*(1+OFFSET($J$40,D1248,0))^I1248*(1+OFFSET($K$40,D1248,0))^J1248*(1+OFFSET($L$40,D1248,0))^K1248*(1+OFFSET($M$40,D1248,0))^L1248</f>
        <v>320.317716423441</v>
      </c>
      <c r="N1248" s="95">
        <f ca="1">MAX(MAX($N$53:N1247),OFFSET($C$52,MATCH(M1248*1.07,$M$53:$M$2052,1),0)-C1248)</f>
        <v>69840</v>
      </c>
    </row>
    <row r="1249" spans="2:14">
      <c r="B1249" s="95">
        <v>1197</v>
      </c>
      <c r="C1249" s="95">
        <f t="shared" si="100"/>
        <v>430920</v>
      </c>
      <c r="D1249" s="95">
        <f ca="1">_xlfn.XLOOKUP(总览!$B$44,$B$40:$B$45,$C$40:$C$45)</f>
        <v>5</v>
      </c>
      <c r="E1249" s="95">
        <f ca="1" t="shared" si="99"/>
        <v>1227</v>
      </c>
      <c r="F1249" s="95">
        <f ca="1" t="shared" si="101"/>
        <v>0</v>
      </c>
      <c r="G1249" s="95">
        <f ca="1" t="shared" si="102"/>
        <v>0</v>
      </c>
      <c r="H1249" s="95" cm="1">
        <f ca="1" t="array" ref="H1249">MIN(30-SUM(I1249:L1249),_xlfn.XLOOKUP($D1249&amp;"_"&amp;H$52,$B$14:$B$36&amp;"_"&amp;$C$14:$C$36,$D$14:$D$36)*$E1249,18)</f>
        <v>12.5644</v>
      </c>
      <c r="I1249" s="95" cm="1">
        <f ca="1" t="array" ref="I1249">MIN(30-SUM(J1249:L1249),6-L1249,_xlfn.XLOOKUP($D1249&amp;"_"&amp;I$52,$B$14:$B$36&amp;"_"&amp;$C$14:$C$36,$D$14:$D$36)*$E1249)</f>
        <v>0</v>
      </c>
      <c r="J1249" s="95" cm="1">
        <f ca="1" t="array" ref="J1249">MIN(8,_xlfn.XLOOKUP($D1249&amp;"_"&amp;J$52,$B$14:$B$36&amp;"_"&amp;$C$14:$C$36,$D$14:$D$36)*$E1249)</f>
        <v>8</v>
      </c>
      <c r="K1249" s="95" cm="1">
        <f ca="1" t="array" ref="K1249">MIN(18,_xlfn.XLOOKUP($D1249&amp;"_"&amp;K$52,$B$14:$B$36&amp;"_"&amp;$C$14:$C$36,$D$14:$D$36)*$E1249)</f>
        <v>3.4356</v>
      </c>
      <c r="L1249" s="95" cm="1">
        <f ca="1" t="array" ref="L1249">MIN(6,_xlfn.XLOOKUP($D1249&amp;"_"&amp;L$52,$B$14:$B$36&amp;"_"&amp;$C$14:$C$36,$D$14:$D$36)*$E1249)</f>
        <v>6</v>
      </c>
      <c r="M1249" s="95" cm="1">
        <f ca="1" t="array" ref="M1249">(1+SUMPRODUCT(G1249:H1249,OFFSET($H$40:$I$40,D1249,0)))*(1+OFFSET($J$40,D1249,0))^I1249*(1+OFFSET($K$40,D1249,0))^J1249*(1+OFFSET($L$40,D1249,0))^K1249*(1+OFFSET($M$40,D1249,0))^L1249</f>
        <v>320.430199624483</v>
      </c>
      <c r="N1249" s="95">
        <f ca="1">MAX(MAX($N$53:N1248),OFFSET($C$52,MATCH(M1249*1.07,$M$53:$M$2052,1),0)-C1249)</f>
        <v>69840</v>
      </c>
    </row>
    <row r="1250" spans="2:14">
      <c r="B1250" s="95">
        <v>1198</v>
      </c>
      <c r="C1250" s="95">
        <f t="shared" si="100"/>
        <v>431280</v>
      </c>
      <c r="D1250" s="95">
        <f ca="1">_xlfn.XLOOKUP(总览!$B$44,$B$40:$B$45,$C$40:$C$45)</f>
        <v>5</v>
      </c>
      <c r="E1250" s="95">
        <f ca="1" t="shared" si="99"/>
        <v>1228</v>
      </c>
      <c r="F1250" s="95">
        <f ca="1" t="shared" si="101"/>
        <v>0</v>
      </c>
      <c r="G1250" s="95">
        <f ca="1" t="shared" si="102"/>
        <v>0</v>
      </c>
      <c r="H1250" s="95" cm="1">
        <f ca="1" t="array" ref="H1250">MIN(30-SUM(I1250:L1250),_xlfn.XLOOKUP($D1250&amp;"_"&amp;H$52,$B$14:$B$36&amp;"_"&amp;$C$14:$C$36,$D$14:$D$36)*$E1250,18)</f>
        <v>12.5616</v>
      </c>
      <c r="I1250" s="95" cm="1">
        <f ca="1" t="array" ref="I1250">MIN(30-SUM(J1250:L1250),6-L1250,_xlfn.XLOOKUP($D1250&amp;"_"&amp;I$52,$B$14:$B$36&amp;"_"&amp;$C$14:$C$36,$D$14:$D$36)*$E1250)</f>
        <v>0</v>
      </c>
      <c r="J1250" s="95" cm="1">
        <f ca="1" t="array" ref="J1250">MIN(8,_xlfn.XLOOKUP($D1250&amp;"_"&amp;J$52,$B$14:$B$36&amp;"_"&amp;$C$14:$C$36,$D$14:$D$36)*$E1250)</f>
        <v>8</v>
      </c>
      <c r="K1250" s="95" cm="1">
        <f ca="1" t="array" ref="K1250">MIN(18,_xlfn.XLOOKUP($D1250&amp;"_"&amp;K$52,$B$14:$B$36&amp;"_"&amp;$C$14:$C$36,$D$14:$D$36)*$E1250)</f>
        <v>3.4384</v>
      </c>
      <c r="L1250" s="95" cm="1">
        <f ca="1" t="array" ref="L1250">MIN(6,_xlfn.XLOOKUP($D1250&amp;"_"&amp;L$52,$B$14:$B$36&amp;"_"&amp;$C$14:$C$36,$D$14:$D$36)*$E1250)</f>
        <v>6</v>
      </c>
      <c r="M1250" s="95" cm="1">
        <f ca="1" t="array" ref="M1250">(1+SUMPRODUCT(G1250:H1250,OFFSET($H$40:$I$40,D1250,0)))*(1+OFFSET($J$40,D1250,0))^I1250*(1+OFFSET($K$40,D1250,0))^J1250*(1+OFFSET($L$40,D1250,0))^K1250*(1+OFFSET($M$40,D1250,0))^L1250</f>
        <v>320.542714179448</v>
      </c>
      <c r="N1250" s="95">
        <f ca="1">MAX(MAX($N$53:N1249),OFFSET($C$52,MATCH(M1250*1.07,$M$53:$M$2052,1),0)-C1250)</f>
        <v>69840</v>
      </c>
    </row>
    <row r="1251" spans="2:14">
      <c r="B1251" s="95">
        <v>1199</v>
      </c>
      <c r="C1251" s="95">
        <f t="shared" si="100"/>
        <v>431640</v>
      </c>
      <c r="D1251" s="95">
        <f ca="1">_xlfn.XLOOKUP(总览!$B$44,$B$40:$B$45,$C$40:$C$45)</f>
        <v>5</v>
      </c>
      <c r="E1251" s="95">
        <f ca="1" t="shared" si="99"/>
        <v>1229</v>
      </c>
      <c r="F1251" s="95">
        <f ca="1" t="shared" si="101"/>
        <v>0</v>
      </c>
      <c r="G1251" s="95">
        <f ca="1" t="shared" si="102"/>
        <v>0</v>
      </c>
      <c r="H1251" s="95" cm="1">
        <f ca="1" t="array" ref="H1251">MIN(30-SUM(I1251:L1251),_xlfn.XLOOKUP($D1251&amp;"_"&amp;H$52,$B$14:$B$36&amp;"_"&amp;$C$14:$C$36,$D$14:$D$36)*$E1251,18)</f>
        <v>12.5588</v>
      </c>
      <c r="I1251" s="95" cm="1">
        <f ca="1" t="array" ref="I1251">MIN(30-SUM(J1251:L1251),6-L1251,_xlfn.XLOOKUP($D1251&amp;"_"&amp;I$52,$B$14:$B$36&amp;"_"&amp;$C$14:$C$36,$D$14:$D$36)*$E1251)</f>
        <v>0</v>
      </c>
      <c r="J1251" s="95" cm="1">
        <f ca="1" t="array" ref="J1251">MIN(8,_xlfn.XLOOKUP($D1251&amp;"_"&amp;J$52,$B$14:$B$36&amp;"_"&amp;$C$14:$C$36,$D$14:$D$36)*$E1251)</f>
        <v>8</v>
      </c>
      <c r="K1251" s="95" cm="1">
        <f ca="1" t="array" ref="K1251">MIN(18,_xlfn.XLOOKUP($D1251&amp;"_"&amp;K$52,$B$14:$B$36&amp;"_"&amp;$C$14:$C$36,$D$14:$D$36)*$E1251)</f>
        <v>3.4412</v>
      </c>
      <c r="L1251" s="95" cm="1">
        <f ca="1" t="array" ref="L1251">MIN(6,_xlfn.XLOOKUP($D1251&amp;"_"&amp;L$52,$B$14:$B$36&amp;"_"&amp;$C$14:$C$36,$D$14:$D$36)*$E1251)</f>
        <v>6</v>
      </c>
      <c r="M1251" s="95" cm="1">
        <f ca="1" t="array" ref="M1251">(1+SUMPRODUCT(G1251:H1251,OFFSET($H$40:$I$40,D1251,0)))*(1+OFFSET($J$40,D1251,0))^I1251*(1+OFFSET($K$40,D1251,0))^J1251*(1+OFFSET($L$40,D1251,0))^K1251*(1+OFFSET($M$40,D1251,0))^L1251</f>
        <v>320.655260091026</v>
      </c>
      <c r="N1251" s="95">
        <f ca="1">MAX(MAX($N$53:N1250),OFFSET($C$52,MATCH(M1251*1.07,$M$53:$M$2052,1),0)-C1251)</f>
        <v>69840</v>
      </c>
    </row>
    <row r="1252" spans="2:14">
      <c r="B1252" s="95">
        <v>1200</v>
      </c>
      <c r="C1252" s="95">
        <f t="shared" si="100"/>
        <v>432000</v>
      </c>
      <c r="D1252" s="95">
        <f ca="1">_xlfn.XLOOKUP(总览!$B$44,$B$40:$B$45,$C$40:$C$45)</f>
        <v>5</v>
      </c>
      <c r="E1252" s="95">
        <f ca="1" t="shared" si="99"/>
        <v>1230</v>
      </c>
      <c r="F1252" s="95">
        <f ca="1" t="shared" si="101"/>
        <v>0</v>
      </c>
      <c r="G1252" s="95">
        <f ca="1" t="shared" si="102"/>
        <v>0</v>
      </c>
      <c r="H1252" s="95" cm="1">
        <f ca="1" t="array" ref="H1252">MIN(30-SUM(I1252:L1252),_xlfn.XLOOKUP($D1252&amp;"_"&amp;H$52,$B$14:$B$36&amp;"_"&amp;$C$14:$C$36,$D$14:$D$36)*$E1252,18)</f>
        <v>12.556</v>
      </c>
      <c r="I1252" s="95" cm="1">
        <f ca="1" t="array" ref="I1252">MIN(30-SUM(J1252:L1252),6-L1252,_xlfn.XLOOKUP($D1252&amp;"_"&amp;I$52,$B$14:$B$36&amp;"_"&amp;$C$14:$C$36,$D$14:$D$36)*$E1252)</f>
        <v>0</v>
      </c>
      <c r="J1252" s="95" cm="1">
        <f ca="1" t="array" ref="J1252">MIN(8,_xlfn.XLOOKUP($D1252&amp;"_"&amp;J$52,$B$14:$B$36&amp;"_"&amp;$C$14:$C$36,$D$14:$D$36)*$E1252)</f>
        <v>8</v>
      </c>
      <c r="K1252" s="95" cm="1">
        <f ca="1" t="array" ref="K1252">MIN(18,_xlfn.XLOOKUP($D1252&amp;"_"&amp;K$52,$B$14:$B$36&amp;"_"&amp;$C$14:$C$36,$D$14:$D$36)*$E1252)</f>
        <v>3.444</v>
      </c>
      <c r="L1252" s="95" cm="1">
        <f ca="1" t="array" ref="L1252">MIN(6,_xlfn.XLOOKUP($D1252&amp;"_"&amp;L$52,$B$14:$B$36&amp;"_"&amp;$C$14:$C$36,$D$14:$D$36)*$E1252)</f>
        <v>6</v>
      </c>
      <c r="M1252" s="95" cm="1">
        <f ca="1" t="array" ref="M1252">(1+SUMPRODUCT(G1252:H1252,OFFSET($H$40:$I$40,D1252,0)))*(1+OFFSET($J$40,D1252,0))^I1252*(1+OFFSET($K$40,D1252,0))^J1252*(1+OFFSET($L$40,D1252,0))^K1252*(1+OFFSET($M$40,D1252,0))^L1252</f>
        <v>320.767837361904</v>
      </c>
      <c r="N1252" s="95">
        <f ca="1">MAX(MAX($N$53:N1251),OFFSET($C$52,MATCH(M1252*1.07,$M$53:$M$2052,1),0)-C1252)</f>
        <v>69840</v>
      </c>
    </row>
    <row r="1253" spans="2:14">
      <c r="B1253" s="95">
        <v>1201</v>
      </c>
      <c r="C1253" s="95">
        <f t="shared" ref="C1253:C1316" si="103">C1252+360</f>
        <v>432360</v>
      </c>
      <c r="D1253" s="95">
        <f ca="1">_xlfn.XLOOKUP(总览!$B$44,$B$40:$B$45,$C$40:$C$45)</f>
        <v>5</v>
      </c>
      <c r="E1253" s="95">
        <f ca="1" t="shared" si="99"/>
        <v>1231</v>
      </c>
      <c r="F1253" s="95">
        <f ca="1" t="shared" ref="F1253:F1316" si="104">30-SUM(G1253:L1253)</f>
        <v>0</v>
      </c>
      <c r="G1253" s="95">
        <f ca="1" t="shared" ref="G1253:G1316" si="105">30-SUM(H1253:L1253)</f>
        <v>0</v>
      </c>
      <c r="H1253" s="95" cm="1">
        <f ca="1" t="array" ref="H1253">MIN(30-SUM(I1253:L1253),_xlfn.XLOOKUP($D1253&amp;"_"&amp;H$52,$B$14:$B$36&amp;"_"&amp;$C$14:$C$36,$D$14:$D$36)*$E1253,18)</f>
        <v>12.5532</v>
      </c>
      <c r="I1253" s="95" cm="1">
        <f ca="1" t="array" ref="I1253">MIN(30-SUM(J1253:L1253),6-L1253,_xlfn.XLOOKUP($D1253&amp;"_"&amp;I$52,$B$14:$B$36&amp;"_"&amp;$C$14:$C$36,$D$14:$D$36)*$E1253)</f>
        <v>0</v>
      </c>
      <c r="J1253" s="95" cm="1">
        <f ca="1" t="array" ref="J1253">MIN(8,_xlfn.XLOOKUP($D1253&amp;"_"&amp;J$52,$B$14:$B$36&amp;"_"&amp;$C$14:$C$36,$D$14:$D$36)*$E1253)</f>
        <v>8</v>
      </c>
      <c r="K1253" s="95" cm="1">
        <f ca="1" t="array" ref="K1253">MIN(18,_xlfn.XLOOKUP($D1253&amp;"_"&amp;K$52,$B$14:$B$36&amp;"_"&amp;$C$14:$C$36,$D$14:$D$36)*$E1253)</f>
        <v>3.4468</v>
      </c>
      <c r="L1253" s="95" cm="1">
        <f ca="1" t="array" ref="L1253">MIN(6,_xlfn.XLOOKUP($D1253&amp;"_"&amp;L$52,$B$14:$B$36&amp;"_"&amp;$C$14:$C$36,$D$14:$D$36)*$E1253)</f>
        <v>6</v>
      </c>
      <c r="M1253" s="95" cm="1">
        <f ca="1" t="array" ref="M1253">(1+SUMPRODUCT(G1253:H1253,OFFSET($H$40:$I$40,D1253,0)))*(1+OFFSET($J$40,D1253,0))^I1253*(1+OFFSET($K$40,D1253,0))^J1253*(1+OFFSET($L$40,D1253,0))^K1253*(1+OFFSET($M$40,D1253,0))^L1253</f>
        <v>320.880445994762</v>
      </c>
      <c r="N1253" s="95">
        <f ca="1">MAX(MAX($N$53:N1252),OFFSET($C$52,MATCH(M1253*1.07,$M$53:$M$2052,1),0)-C1253)</f>
        <v>69840</v>
      </c>
    </row>
    <row r="1254" spans="2:14">
      <c r="B1254" s="95">
        <v>1202</v>
      </c>
      <c r="C1254" s="95">
        <f t="shared" si="103"/>
        <v>432720</v>
      </c>
      <c r="D1254" s="95">
        <f ca="1">_xlfn.XLOOKUP(总览!$B$44,$B$40:$B$45,$C$40:$C$45)</f>
        <v>5</v>
      </c>
      <c r="E1254" s="95">
        <f ca="1" t="shared" si="99"/>
        <v>1232</v>
      </c>
      <c r="F1254" s="95">
        <f ca="1" t="shared" si="104"/>
        <v>0</v>
      </c>
      <c r="G1254" s="95">
        <f ca="1" t="shared" si="105"/>
        <v>0</v>
      </c>
      <c r="H1254" s="95" cm="1">
        <f ca="1" t="array" ref="H1254">MIN(30-SUM(I1254:L1254),_xlfn.XLOOKUP($D1254&amp;"_"&amp;H$52,$B$14:$B$36&amp;"_"&amp;$C$14:$C$36,$D$14:$D$36)*$E1254,18)</f>
        <v>12.5504</v>
      </c>
      <c r="I1254" s="95" cm="1">
        <f ca="1" t="array" ref="I1254">MIN(30-SUM(J1254:L1254),6-L1254,_xlfn.XLOOKUP($D1254&amp;"_"&amp;I$52,$B$14:$B$36&amp;"_"&amp;$C$14:$C$36,$D$14:$D$36)*$E1254)</f>
        <v>0</v>
      </c>
      <c r="J1254" s="95" cm="1">
        <f ca="1" t="array" ref="J1254">MIN(8,_xlfn.XLOOKUP($D1254&amp;"_"&amp;J$52,$B$14:$B$36&amp;"_"&amp;$C$14:$C$36,$D$14:$D$36)*$E1254)</f>
        <v>8</v>
      </c>
      <c r="K1254" s="95" cm="1">
        <f ca="1" t="array" ref="K1254">MIN(18,_xlfn.XLOOKUP($D1254&amp;"_"&amp;K$52,$B$14:$B$36&amp;"_"&amp;$C$14:$C$36,$D$14:$D$36)*$E1254)</f>
        <v>3.4496</v>
      </c>
      <c r="L1254" s="95" cm="1">
        <f ca="1" t="array" ref="L1254">MIN(6,_xlfn.XLOOKUP($D1254&amp;"_"&amp;L$52,$B$14:$B$36&amp;"_"&amp;$C$14:$C$36,$D$14:$D$36)*$E1254)</f>
        <v>6</v>
      </c>
      <c r="M1254" s="95" cm="1">
        <f ca="1" t="array" ref="M1254">(1+SUMPRODUCT(G1254:H1254,OFFSET($H$40:$I$40,D1254,0)))*(1+OFFSET($J$40,D1254,0))^I1254*(1+OFFSET($K$40,D1254,0))^J1254*(1+OFFSET($L$40,D1254,0))^K1254*(1+OFFSET($M$40,D1254,0))^L1254</f>
        <v>320.993085992274</v>
      </c>
      <c r="N1254" s="95">
        <f ca="1">MAX(MAX($N$53:N1253),OFFSET($C$52,MATCH(M1254*1.07,$M$53:$M$2052,1),0)-C1254)</f>
        <v>69840</v>
      </c>
    </row>
    <row r="1255" spans="2:14">
      <c r="B1255" s="95">
        <v>1203</v>
      </c>
      <c r="C1255" s="95">
        <f t="shared" si="103"/>
        <v>433080</v>
      </c>
      <c r="D1255" s="95">
        <f ca="1">_xlfn.XLOOKUP(总览!$B$44,$B$40:$B$45,$C$40:$C$45)</f>
        <v>5</v>
      </c>
      <c r="E1255" s="95">
        <f ca="1" t="shared" si="99"/>
        <v>1233</v>
      </c>
      <c r="F1255" s="95">
        <f ca="1" t="shared" si="104"/>
        <v>0</v>
      </c>
      <c r="G1255" s="95">
        <f ca="1" t="shared" si="105"/>
        <v>0</v>
      </c>
      <c r="H1255" s="95" cm="1">
        <f ca="1" t="array" ref="H1255">MIN(30-SUM(I1255:L1255),_xlfn.XLOOKUP($D1255&amp;"_"&amp;H$52,$B$14:$B$36&amp;"_"&amp;$C$14:$C$36,$D$14:$D$36)*$E1255,18)</f>
        <v>12.5476</v>
      </c>
      <c r="I1255" s="95" cm="1">
        <f ca="1" t="array" ref="I1255">MIN(30-SUM(J1255:L1255),6-L1255,_xlfn.XLOOKUP($D1255&amp;"_"&amp;I$52,$B$14:$B$36&amp;"_"&amp;$C$14:$C$36,$D$14:$D$36)*$E1255)</f>
        <v>0</v>
      </c>
      <c r="J1255" s="95" cm="1">
        <f ca="1" t="array" ref="J1255">MIN(8,_xlfn.XLOOKUP($D1255&amp;"_"&amp;J$52,$B$14:$B$36&amp;"_"&amp;$C$14:$C$36,$D$14:$D$36)*$E1255)</f>
        <v>8</v>
      </c>
      <c r="K1255" s="95" cm="1">
        <f ca="1" t="array" ref="K1255">MIN(18,_xlfn.XLOOKUP($D1255&amp;"_"&amp;K$52,$B$14:$B$36&amp;"_"&amp;$C$14:$C$36,$D$14:$D$36)*$E1255)</f>
        <v>3.4524</v>
      </c>
      <c r="L1255" s="95" cm="1">
        <f ca="1" t="array" ref="L1255">MIN(6,_xlfn.XLOOKUP($D1255&amp;"_"&amp;L$52,$B$14:$B$36&amp;"_"&amp;$C$14:$C$36,$D$14:$D$36)*$E1255)</f>
        <v>6</v>
      </c>
      <c r="M1255" s="95" cm="1">
        <f ca="1" t="array" ref="M1255">(1+SUMPRODUCT(G1255:H1255,OFFSET($H$40:$I$40,D1255,0)))*(1+OFFSET($J$40,D1255,0))^I1255*(1+OFFSET($K$40,D1255,0))^J1255*(1+OFFSET($L$40,D1255,0))^K1255*(1+OFFSET($M$40,D1255,0))^L1255</f>
        <v>321.105757357111</v>
      </c>
      <c r="N1255" s="95">
        <f ca="1">MAX(MAX($N$53:N1254),OFFSET($C$52,MATCH(M1255*1.07,$M$53:$M$2052,1),0)-C1255)</f>
        <v>69840</v>
      </c>
    </row>
    <row r="1256" spans="2:14">
      <c r="B1256" s="95">
        <v>1204</v>
      </c>
      <c r="C1256" s="95">
        <f t="shared" si="103"/>
        <v>433440</v>
      </c>
      <c r="D1256" s="95">
        <f ca="1">_xlfn.XLOOKUP(总览!$B$44,$B$40:$B$45,$C$40:$C$45)</f>
        <v>5</v>
      </c>
      <c r="E1256" s="95">
        <f ca="1" t="shared" si="99"/>
        <v>1234</v>
      </c>
      <c r="F1256" s="95">
        <f ca="1" t="shared" si="104"/>
        <v>0</v>
      </c>
      <c r="G1256" s="95">
        <f ca="1" t="shared" si="105"/>
        <v>0</v>
      </c>
      <c r="H1256" s="95" cm="1">
        <f ca="1" t="array" ref="H1256">MIN(30-SUM(I1256:L1256),_xlfn.XLOOKUP($D1256&amp;"_"&amp;H$52,$B$14:$B$36&amp;"_"&amp;$C$14:$C$36,$D$14:$D$36)*$E1256,18)</f>
        <v>12.5448</v>
      </c>
      <c r="I1256" s="95" cm="1">
        <f ca="1" t="array" ref="I1256">MIN(30-SUM(J1256:L1256),6-L1256,_xlfn.XLOOKUP($D1256&amp;"_"&amp;I$52,$B$14:$B$36&amp;"_"&amp;$C$14:$C$36,$D$14:$D$36)*$E1256)</f>
        <v>0</v>
      </c>
      <c r="J1256" s="95" cm="1">
        <f ca="1" t="array" ref="J1256">MIN(8,_xlfn.XLOOKUP($D1256&amp;"_"&amp;J$52,$B$14:$B$36&amp;"_"&amp;$C$14:$C$36,$D$14:$D$36)*$E1256)</f>
        <v>8</v>
      </c>
      <c r="K1256" s="95" cm="1">
        <f ca="1" t="array" ref="K1256">MIN(18,_xlfn.XLOOKUP($D1256&amp;"_"&amp;K$52,$B$14:$B$36&amp;"_"&amp;$C$14:$C$36,$D$14:$D$36)*$E1256)</f>
        <v>3.4552</v>
      </c>
      <c r="L1256" s="95" cm="1">
        <f ca="1" t="array" ref="L1256">MIN(6,_xlfn.XLOOKUP($D1256&amp;"_"&amp;L$52,$B$14:$B$36&amp;"_"&amp;$C$14:$C$36,$D$14:$D$36)*$E1256)</f>
        <v>6</v>
      </c>
      <c r="M1256" s="95" cm="1">
        <f ca="1" t="array" ref="M1256">(1+SUMPRODUCT(G1256:H1256,OFFSET($H$40:$I$40,D1256,0)))*(1+OFFSET($J$40,D1256,0))^I1256*(1+OFFSET($K$40,D1256,0))^J1256*(1+OFFSET($L$40,D1256,0))^K1256*(1+OFFSET($M$40,D1256,0))^L1256</f>
        <v>321.218460091937</v>
      </c>
      <c r="N1256" s="95">
        <f ca="1">MAX(MAX($N$53:N1255),OFFSET($C$52,MATCH(M1256*1.07,$M$53:$M$2052,1),0)-C1256)</f>
        <v>69840</v>
      </c>
    </row>
    <row r="1257" spans="2:14">
      <c r="B1257" s="95">
        <v>1205</v>
      </c>
      <c r="C1257" s="95">
        <f t="shared" si="103"/>
        <v>433800</v>
      </c>
      <c r="D1257" s="95">
        <f ca="1">_xlfn.XLOOKUP(总览!$B$44,$B$40:$B$45,$C$40:$C$45)</f>
        <v>5</v>
      </c>
      <c r="E1257" s="95">
        <f ca="1" t="shared" si="99"/>
        <v>1235</v>
      </c>
      <c r="F1257" s="95">
        <f ca="1" t="shared" si="104"/>
        <v>0</v>
      </c>
      <c r="G1257" s="95">
        <f ca="1" t="shared" si="105"/>
        <v>0</v>
      </c>
      <c r="H1257" s="95" cm="1">
        <f ca="1" t="array" ref="H1257">MIN(30-SUM(I1257:L1257),_xlfn.XLOOKUP($D1257&amp;"_"&amp;H$52,$B$14:$B$36&amp;"_"&amp;$C$14:$C$36,$D$14:$D$36)*$E1257,18)</f>
        <v>12.542</v>
      </c>
      <c r="I1257" s="95" cm="1">
        <f ca="1" t="array" ref="I1257">MIN(30-SUM(J1257:L1257),6-L1257,_xlfn.XLOOKUP($D1257&amp;"_"&amp;I$52,$B$14:$B$36&amp;"_"&amp;$C$14:$C$36,$D$14:$D$36)*$E1257)</f>
        <v>0</v>
      </c>
      <c r="J1257" s="95" cm="1">
        <f ca="1" t="array" ref="J1257">MIN(8,_xlfn.XLOOKUP($D1257&amp;"_"&amp;J$52,$B$14:$B$36&amp;"_"&amp;$C$14:$C$36,$D$14:$D$36)*$E1257)</f>
        <v>8</v>
      </c>
      <c r="K1257" s="95" cm="1">
        <f ca="1" t="array" ref="K1257">MIN(18,_xlfn.XLOOKUP($D1257&amp;"_"&amp;K$52,$B$14:$B$36&amp;"_"&amp;$C$14:$C$36,$D$14:$D$36)*$E1257)</f>
        <v>3.458</v>
      </c>
      <c r="L1257" s="95" cm="1">
        <f ca="1" t="array" ref="L1257">MIN(6,_xlfn.XLOOKUP($D1257&amp;"_"&amp;L$52,$B$14:$B$36&amp;"_"&amp;$C$14:$C$36,$D$14:$D$36)*$E1257)</f>
        <v>6</v>
      </c>
      <c r="M1257" s="95" cm="1">
        <f ca="1" t="array" ref="M1257">(1+SUMPRODUCT(G1257:H1257,OFFSET($H$40:$I$40,D1257,0)))*(1+OFFSET($J$40,D1257,0))^I1257*(1+OFFSET($K$40,D1257,0))^J1257*(1+OFFSET($L$40,D1257,0))^K1257*(1+OFFSET($M$40,D1257,0))^L1257</f>
        <v>321.33119419941</v>
      </c>
      <c r="N1257" s="95">
        <f ca="1">MAX(MAX($N$53:N1256),OFFSET($C$52,MATCH(M1257*1.07,$M$53:$M$2052,1),0)-C1257)</f>
        <v>69840</v>
      </c>
    </row>
    <row r="1258" spans="2:14">
      <c r="B1258" s="95">
        <v>1206</v>
      </c>
      <c r="C1258" s="95">
        <f t="shared" si="103"/>
        <v>434160</v>
      </c>
      <c r="D1258" s="95">
        <f ca="1">_xlfn.XLOOKUP(总览!$B$44,$B$40:$B$45,$C$40:$C$45)</f>
        <v>5</v>
      </c>
      <c r="E1258" s="95">
        <f ca="1" t="shared" si="99"/>
        <v>1236</v>
      </c>
      <c r="F1258" s="95">
        <f ca="1" t="shared" si="104"/>
        <v>0</v>
      </c>
      <c r="G1258" s="95">
        <f ca="1" t="shared" si="105"/>
        <v>0</v>
      </c>
      <c r="H1258" s="95" cm="1">
        <f ca="1" t="array" ref="H1258">MIN(30-SUM(I1258:L1258),_xlfn.XLOOKUP($D1258&amp;"_"&amp;H$52,$B$14:$B$36&amp;"_"&amp;$C$14:$C$36,$D$14:$D$36)*$E1258,18)</f>
        <v>12.5392</v>
      </c>
      <c r="I1258" s="95" cm="1">
        <f ca="1" t="array" ref="I1258">MIN(30-SUM(J1258:L1258),6-L1258,_xlfn.XLOOKUP($D1258&amp;"_"&amp;I$52,$B$14:$B$36&amp;"_"&amp;$C$14:$C$36,$D$14:$D$36)*$E1258)</f>
        <v>0</v>
      </c>
      <c r="J1258" s="95" cm="1">
        <f ca="1" t="array" ref="J1258">MIN(8,_xlfn.XLOOKUP($D1258&amp;"_"&amp;J$52,$B$14:$B$36&amp;"_"&amp;$C$14:$C$36,$D$14:$D$36)*$E1258)</f>
        <v>8</v>
      </c>
      <c r="K1258" s="95" cm="1">
        <f ca="1" t="array" ref="K1258">MIN(18,_xlfn.XLOOKUP($D1258&amp;"_"&amp;K$52,$B$14:$B$36&amp;"_"&amp;$C$14:$C$36,$D$14:$D$36)*$E1258)</f>
        <v>3.4608</v>
      </c>
      <c r="L1258" s="95" cm="1">
        <f ca="1" t="array" ref="L1258">MIN(6,_xlfn.XLOOKUP($D1258&amp;"_"&amp;L$52,$B$14:$B$36&amp;"_"&amp;$C$14:$C$36,$D$14:$D$36)*$E1258)</f>
        <v>6</v>
      </c>
      <c r="M1258" s="95" cm="1">
        <f ca="1" t="array" ref="M1258">(1+SUMPRODUCT(G1258:H1258,OFFSET($H$40:$I$40,D1258,0)))*(1+OFFSET($J$40,D1258,0))^I1258*(1+OFFSET($K$40,D1258,0))^J1258*(1+OFFSET($L$40,D1258,0))^K1258*(1+OFFSET($M$40,D1258,0))^L1258</f>
        <v>321.443959682182</v>
      </c>
      <c r="N1258" s="95">
        <f ca="1">MAX(MAX($N$53:N1257),OFFSET($C$52,MATCH(M1258*1.07,$M$53:$M$2052,1),0)-C1258)</f>
        <v>69840</v>
      </c>
    </row>
    <row r="1259" spans="2:14">
      <c r="B1259" s="95">
        <v>1207</v>
      </c>
      <c r="C1259" s="95">
        <f t="shared" si="103"/>
        <v>434520</v>
      </c>
      <c r="D1259" s="95">
        <f ca="1">_xlfn.XLOOKUP(总览!$B$44,$B$40:$B$45,$C$40:$C$45)</f>
        <v>5</v>
      </c>
      <c r="E1259" s="95">
        <f ca="1" t="shared" si="99"/>
        <v>1237</v>
      </c>
      <c r="F1259" s="95">
        <f ca="1" t="shared" si="104"/>
        <v>0</v>
      </c>
      <c r="G1259" s="95">
        <f ca="1" t="shared" si="105"/>
        <v>0</v>
      </c>
      <c r="H1259" s="95" cm="1">
        <f ca="1" t="array" ref="H1259">MIN(30-SUM(I1259:L1259),_xlfn.XLOOKUP($D1259&amp;"_"&amp;H$52,$B$14:$B$36&amp;"_"&amp;$C$14:$C$36,$D$14:$D$36)*$E1259,18)</f>
        <v>12.5364</v>
      </c>
      <c r="I1259" s="95" cm="1">
        <f ca="1" t="array" ref="I1259">MIN(30-SUM(J1259:L1259),6-L1259,_xlfn.XLOOKUP($D1259&amp;"_"&amp;I$52,$B$14:$B$36&amp;"_"&amp;$C$14:$C$36,$D$14:$D$36)*$E1259)</f>
        <v>0</v>
      </c>
      <c r="J1259" s="95" cm="1">
        <f ca="1" t="array" ref="J1259">MIN(8,_xlfn.XLOOKUP($D1259&amp;"_"&amp;J$52,$B$14:$B$36&amp;"_"&amp;$C$14:$C$36,$D$14:$D$36)*$E1259)</f>
        <v>8</v>
      </c>
      <c r="K1259" s="95" cm="1">
        <f ca="1" t="array" ref="K1259">MIN(18,_xlfn.XLOOKUP($D1259&amp;"_"&amp;K$52,$B$14:$B$36&amp;"_"&amp;$C$14:$C$36,$D$14:$D$36)*$E1259)</f>
        <v>3.4636</v>
      </c>
      <c r="L1259" s="95" cm="1">
        <f ca="1" t="array" ref="L1259">MIN(6,_xlfn.XLOOKUP($D1259&amp;"_"&amp;L$52,$B$14:$B$36&amp;"_"&amp;$C$14:$C$36,$D$14:$D$36)*$E1259)</f>
        <v>6</v>
      </c>
      <c r="M1259" s="95" cm="1">
        <f ca="1" t="array" ref="M1259">(1+SUMPRODUCT(G1259:H1259,OFFSET($H$40:$I$40,D1259,0)))*(1+OFFSET($J$40,D1259,0))^I1259*(1+OFFSET($K$40,D1259,0))^J1259*(1+OFFSET($L$40,D1259,0))^K1259*(1+OFFSET($M$40,D1259,0))^L1259</f>
        <v>321.556756542903</v>
      </c>
      <c r="N1259" s="95">
        <f ca="1">MAX(MAX($N$53:N1258),OFFSET($C$52,MATCH(M1259*1.07,$M$53:$M$2052,1),0)-C1259)</f>
        <v>69840</v>
      </c>
    </row>
    <row r="1260" spans="2:14">
      <c r="B1260" s="95">
        <v>1208</v>
      </c>
      <c r="C1260" s="95">
        <f t="shared" si="103"/>
        <v>434880</v>
      </c>
      <c r="D1260" s="95">
        <f ca="1">_xlfn.XLOOKUP(总览!$B$44,$B$40:$B$45,$C$40:$C$45)</f>
        <v>5</v>
      </c>
      <c r="E1260" s="95">
        <f ca="1" t="shared" si="99"/>
        <v>1238</v>
      </c>
      <c r="F1260" s="95">
        <f ca="1" t="shared" si="104"/>
        <v>0</v>
      </c>
      <c r="G1260" s="95">
        <f ca="1" t="shared" si="105"/>
        <v>0</v>
      </c>
      <c r="H1260" s="95" cm="1">
        <f ca="1" t="array" ref="H1260">MIN(30-SUM(I1260:L1260),_xlfn.XLOOKUP($D1260&amp;"_"&amp;H$52,$B$14:$B$36&amp;"_"&amp;$C$14:$C$36,$D$14:$D$36)*$E1260,18)</f>
        <v>12.5336</v>
      </c>
      <c r="I1260" s="95" cm="1">
        <f ca="1" t="array" ref="I1260">MIN(30-SUM(J1260:L1260),6-L1260,_xlfn.XLOOKUP($D1260&amp;"_"&amp;I$52,$B$14:$B$36&amp;"_"&amp;$C$14:$C$36,$D$14:$D$36)*$E1260)</f>
        <v>0</v>
      </c>
      <c r="J1260" s="95" cm="1">
        <f ca="1" t="array" ref="J1260">MIN(8,_xlfn.XLOOKUP($D1260&amp;"_"&amp;J$52,$B$14:$B$36&amp;"_"&amp;$C$14:$C$36,$D$14:$D$36)*$E1260)</f>
        <v>8</v>
      </c>
      <c r="K1260" s="95" cm="1">
        <f ca="1" t="array" ref="K1260">MIN(18,_xlfn.XLOOKUP($D1260&amp;"_"&amp;K$52,$B$14:$B$36&amp;"_"&amp;$C$14:$C$36,$D$14:$D$36)*$E1260)</f>
        <v>3.4664</v>
      </c>
      <c r="L1260" s="95" cm="1">
        <f ca="1" t="array" ref="L1260">MIN(6,_xlfn.XLOOKUP($D1260&amp;"_"&amp;L$52,$B$14:$B$36&amp;"_"&amp;$C$14:$C$36,$D$14:$D$36)*$E1260)</f>
        <v>6</v>
      </c>
      <c r="M1260" s="95" cm="1">
        <f ca="1" t="array" ref="M1260">(1+SUMPRODUCT(G1260:H1260,OFFSET($H$40:$I$40,D1260,0)))*(1+OFFSET($J$40,D1260,0))^I1260*(1+OFFSET($K$40,D1260,0))^J1260*(1+OFFSET($L$40,D1260,0))^K1260*(1+OFFSET($M$40,D1260,0))^L1260</f>
        <v>321.669584784214</v>
      </c>
      <c r="N1260" s="95">
        <f ca="1">MAX(MAX($N$53:N1259),OFFSET($C$52,MATCH(M1260*1.07,$M$53:$M$2052,1),0)-C1260)</f>
        <v>69840</v>
      </c>
    </row>
    <row r="1261" spans="2:14">
      <c r="B1261" s="95">
        <v>1209</v>
      </c>
      <c r="C1261" s="95">
        <f t="shared" si="103"/>
        <v>435240</v>
      </c>
      <c r="D1261" s="95">
        <f ca="1">_xlfn.XLOOKUP(总览!$B$44,$B$40:$B$45,$C$40:$C$45)</f>
        <v>5</v>
      </c>
      <c r="E1261" s="95">
        <f ca="1" t="shared" si="99"/>
        <v>1239</v>
      </c>
      <c r="F1261" s="95">
        <f ca="1" t="shared" si="104"/>
        <v>0</v>
      </c>
      <c r="G1261" s="95">
        <f ca="1" t="shared" si="105"/>
        <v>0</v>
      </c>
      <c r="H1261" s="95" cm="1">
        <f ca="1" t="array" ref="H1261">MIN(30-SUM(I1261:L1261),_xlfn.XLOOKUP($D1261&amp;"_"&amp;H$52,$B$14:$B$36&amp;"_"&amp;$C$14:$C$36,$D$14:$D$36)*$E1261,18)</f>
        <v>12.5308</v>
      </c>
      <c r="I1261" s="95" cm="1">
        <f ca="1" t="array" ref="I1261">MIN(30-SUM(J1261:L1261),6-L1261,_xlfn.XLOOKUP($D1261&amp;"_"&amp;I$52,$B$14:$B$36&amp;"_"&amp;$C$14:$C$36,$D$14:$D$36)*$E1261)</f>
        <v>0</v>
      </c>
      <c r="J1261" s="95" cm="1">
        <f ca="1" t="array" ref="J1261">MIN(8,_xlfn.XLOOKUP($D1261&amp;"_"&amp;J$52,$B$14:$B$36&amp;"_"&amp;$C$14:$C$36,$D$14:$D$36)*$E1261)</f>
        <v>8</v>
      </c>
      <c r="K1261" s="95" cm="1">
        <f ca="1" t="array" ref="K1261">MIN(18,_xlfn.XLOOKUP($D1261&amp;"_"&amp;K$52,$B$14:$B$36&amp;"_"&amp;$C$14:$C$36,$D$14:$D$36)*$E1261)</f>
        <v>3.4692</v>
      </c>
      <c r="L1261" s="95" cm="1">
        <f ca="1" t="array" ref="L1261">MIN(6,_xlfn.XLOOKUP($D1261&amp;"_"&amp;L$52,$B$14:$B$36&amp;"_"&amp;$C$14:$C$36,$D$14:$D$36)*$E1261)</f>
        <v>6</v>
      </c>
      <c r="M1261" s="95" cm="1">
        <f ca="1" t="array" ref="M1261">(1+SUMPRODUCT(G1261:H1261,OFFSET($H$40:$I$40,D1261,0)))*(1+OFFSET($J$40,D1261,0))^I1261*(1+OFFSET($K$40,D1261,0))^J1261*(1+OFFSET($L$40,D1261,0))^K1261*(1+OFFSET($M$40,D1261,0))^L1261</f>
        <v>321.782444408752</v>
      </c>
      <c r="N1261" s="95">
        <f ca="1">MAX(MAX($N$53:N1260),OFFSET($C$52,MATCH(M1261*1.07,$M$53:$M$2052,1),0)-C1261)</f>
        <v>69840</v>
      </c>
    </row>
    <row r="1262" spans="2:14">
      <c r="B1262" s="95">
        <v>1210</v>
      </c>
      <c r="C1262" s="95">
        <f t="shared" si="103"/>
        <v>435600</v>
      </c>
      <c r="D1262" s="95">
        <f ca="1">_xlfn.XLOOKUP(总览!$B$44,$B$40:$B$45,$C$40:$C$45)</f>
        <v>5</v>
      </c>
      <c r="E1262" s="95">
        <f ca="1" t="shared" si="99"/>
        <v>1240</v>
      </c>
      <c r="F1262" s="95">
        <f ca="1" t="shared" si="104"/>
        <v>0</v>
      </c>
      <c r="G1262" s="95">
        <f ca="1" t="shared" si="105"/>
        <v>0</v>
      </c>
      <c r="H1262" s="95" cm="1">
        <f ca="1" t="array" ref="H1262">MIN(30-SUM(I1262:L1262),_xlfn.XLOOKUP($D1262&amp;"_"&amp;H$52,$B$14:$B$36&amp;"_"&amp;$C$14:$C$36,$D$14:$D$36)*$E1262,18)</f>
        <v>12.528</v>
      </c>
      <c r="I1262" s="95" cm="1">
        <f ca="1" t="array" ref="I1262">MIN(30-SUM(J1262:L1262),6-L1262,_xlfn.XLOOKUP($D1262&amp;"_"&amp;I$52,$B$14:$B$36&amp;"_"&amp;$C$14:$C$36,$D$14:$D$36)*$E1262)</f>
        <v>0</v>
      </c>
      <c r="J1262" s="95" cm="1">
        <f ca="1" t="array" ref="J1262">MIN(8,_xlfn.XLOOKUP($D1262&amp;"_"&amp;J$52,$B$14:$B$36&amp;"_"&amp;$C$14:$C$36,$D$14:$D$36)*$E1262)</f>
        <v>8</v>
      </c>
      <c r="K1262" s="95" cm="1">
        <f ca="1" t="array" ref="K1262">MIN(18,_xlfn.XLOOKUP($D1262&amp;"_"&amp;K$52,$B$14:$B$36&amp;"_"&amp;$C$14:$C$36,$D$14:$D$36)*$E1262)</f>
        <v>3.472</v>
      </c>
      <c r="L1262" s="95" cm="1">
        <f ca="1" t="array" ref="L1262">MIN(6,_xlfn.XLOOKUP($D1262&amp;"_"&amp;L$52,$B$14:$B$36&amp;"_"&amp;$C$14:$C$36,$D$14:$D$36)*$E1262)</f>
        <v>6</v>
      </c>
      <c r="M1262" s="95" cm="1">
        <f ca="1" t="array" ref="M1262">(1+SUMPRODUCT(G1262:H1262,OFFSET($H$40:$I$40,D1262,0)))*(1+OFFSET($J$40,D1262,0))^I1262*(1+OFFSET($K$40,D1262,0))^J1262*(1+OFFSET($L$40,D1262,0))^K1262*(1+OFFSET($M$40,D1262,0))^L1262</f>
        <v>321.895335419147</v>
      </c>
      <c r="N1262" s="95">
        <f ca="1">MAX(MAX($N$53:N1261),OFFSET($C$52,MATCH(M1262*1.07,$M$53:$M$2052,1),0)-C1262)</f>
        <v>69840</v>
      </c>
    </row>
    <row r="1263" spans="2:14">
      <c r="B1263" s="95">
        <v>1211</v>
      </c>
      <c r="C1263" s="95">
        <f t="shared" si="103"/>
        <v>435960</v>
      </c>
      <c r="D1263" s="95">
        <f ca="1">_xlfn.XLOOKUP(总览!$B$44,$B$40:$B$45,$C$40:$C$45)</f>
        <v>5</v>
      </c>
      <c r="E1263" s="95">
        <f ca="1" t="shared" si="99"/>
        <v>1241</v>
      </c>
      <c r="F1263" s="95">
        <f ca="1" t="shared" si="104"/>
        <v>0</v>
      </c>
      <c r="G1263" s="95">
        <f ca="1" t="shared" si="105"/>
        <v>0</v>
      </c>
      <c r="H1263" s="95" cm="1">
        <f ca="1" t="array" ref="H1263">MIN(30-SUM(I1263:L1263),_xlfn.XLOOKUP($D1263&amp;"_"&amp;H$52,$B$14:$B$36&amp;"_"&amp;$C$14:$C$36,$D$14:$D$36)*$E1263,18)</f>
        <v>12.5252</v>
      </c>
      <c r="I1263" s="95" cm="1">
        <f ca="1" t="array" ref="I1263">MIN(30-SUM(J1263:L1263),6-L1263,_xlfn.XLOOKUP($D1263&amp;"_"&amp;I$52,$B$14:$B$36&amp;"_"&amp;$C$14:$C$36,$D$14:$D$36)*$E1263)</f>
        <v>0</v>
      </c>
      <c r="J1263" s="95" cm="1">
        <f ca="1" t="array" ref="J1263">MIN(8,_xlfn.XLOOKUP($D1263&amp;"_"&amp;J$52,$B$14:$B$36&amp;"_"&amp;$C$14:$C$36,$D$14:$D$36)*$E1263)</f>
        <v>8</v>
      </c>
      <c r="K1263" s="95" cm="1">
        <f ca="1" t="array" ref="K1263">MIN(18,_xlfn.XLOOKUP($D1263&amp;"_"&amp;K$52,$B$14:$B$36&amp;"_"&amp;$C$14:$C$36,$D$14:$D$36)*$E1263)</f>
        <v>3.4748</v>
      </c>
      <c r="L1263" s="95" cm="1">
        <f ca="1" t="array" ref="L1263">MIN(6,_xlfn.XLOOKUP($D1263&amp;"_"&amp;L$52,$B$14:$B$36&amp;"_"&amp;$C$14:$C$36,$D$14:$D$36)*$E1263)</f>
        <v>6</v>
      </c>
      <c r="M1263" s="95" cm="1">
        <f ca="1" t="array" ref="M1263">(1+SUMPRODUCT(G1263:H1263,OFFSET($H$40:$I$40,D1263,0)))*(1+OFFSET($J$40,D1263,0))^I1263*(1+OFFSET($K$40,D1263,0))^J1263*(1+OFFSET($L$40,D1263,0))^K1263*(1+OFFSET($M$40,D1263,0))^L1263</f>
        <v>322.008257818027</v>
      </c>
      <c r="N1263" s="95">
        <f ca="1">MAX(MAX($N$53:N1262),OFFSET($C$52,MATCH(M1263*1.07,$M$53:$M$2052,1),0)-C1263)</f>
        <v>69840</v>
      </c>
    </row>
    <row r="1264" spans="2:14">
      <c r="B1264" s="95">
        <v>1212</v>
      </c>
      <c r="C1264" s="95">
        <f t="shared" si="103"/>
        <v>436320</v>
      </c>
      <c r="D1264" s="95">
        <f ca="1">_xlfn.XLOOKUP(总览!$B$44,$B$40:$B$45,$C$40:$C$45)</f>
        <v>5</v>
      </c>
      <c r="E1264" s="95">
        <f ca="1" t="shared" si="99"/>
        <v>1242</v>
      </c>
      <c r="F1264" s="95">
        <f ca="1" t="shared" si="104"/>
        <v>0</v>
      </c>
      <c r="G1264" s="95">
        <f ca="1" t="shared" si="105"/>
        <v>0</v>
      </c>
      <c r="H1264" s="95" cm="1">
        <f ca="1" t="array" ref="H1264">MIN(30-SUM(I1264:L1264),_xlfn.XLOOKUP($D1264&amp;"_"&amp;H$52,$B$14:$B$36&amp;"_"&amp;$C$14:$C$36,$D$14:$D$36)*$E1264,18)</f>
        <v>12.5224</v>
      </c>
      <c r="I1264" s="95" cm="1">
        <f ca="1" t="array" ref="I1264">MIN(30-SUM(J1264:L1264),6-L1264,_xlfn.XLOOKUP($D1264&amp;"_"&amp;I$52,$B$14:$B$36&amp;"_"&amp;$C$14:$C$36,$D$14:$D$36)*$E1264)</f>
        <v>0</v>
      </c>
      <c r="J1264" s="95" cm="1">
        <f ca="1" t="array" ref="J1264">MIN(8,_xlfn.XLOOKUP($D1264&amp;"_"&amp;J$52,$B$14:$B$36&amp;"_"&amp;$C$14:$C$36,$D$14:$D$36)*$E1264)</f>
        <v>8</v>
      </c>
      <c r="K1264" s="95" cm="1">
        <f ca="1" t="array" ref="K1264">MIN(18,_xlfn.XLOOKUP($D1264&amp;"_"&amp;K$52,$B$14:$B$36&amp;"_"&amp;$C$14:$C$36,$D$14:$D$36)*$E1264)</f>
        <v>3.4776</v>
      </c>
      <c r="L1264" s="95" cm="1">
        <f ca="1" t="array" ref="L1264">MIN(6,_xlfn.XLOOKUP($D1264&amp;"_"&amp;L$52,$B$14:$B$36&amp;"_"&amp;$C$14:$C$36,$D$14:$D$36)*$E1264)</f>
        <v>6</v>
      </c>
      <c r="M1264" s="95" cm="1">
        <f ca="1" t="array" ref="M1264">(1+SUMPRODUCT(G1264:H1264,OFFSET($H$40:$I$40,D1264,0)))*(1+OFFSET($J$40,D1264,0))^I1264*(1+OFFSET($K$40,D1264,0))^J1264*(1+OFFSET($L$40,D1264,0))^K1264*(1+OFFSET($M$40,D1264,0))^L1264</f>
        <v>322.12121160801</v>
      </c>
      <c r="N1264" s="95">
        <f ca="1">MAX(MAX($N$53:N1263),OFFSET($C$52,MATCH(M1264*1.07,$M$53:$M$2052,1),0)-C1264)</f>
        <v>69840</v>
      </c>
    </row>
    <row r="1265" spans="2:14">
      <c r="B1265" s="95">
        <v>1213</v>
      </c>
      <c r="C1265" s="95">
        <f t="shared" si="103"/>
        <v>436680</v>
      </c>
      <c r="D1265" s="95">
        <f ca="1">_xlfn.XLOOKUP(总览!$B$44,$B$40:$B$45,$C$40:$C$45)</f>
        <v>5</v>
      </c>
      <c r="E1265" s="95">
        <f ca="1" t="shared" si="99"/>
        <v>1243</v>
      </c>
      <c r="F1265" s="95">
        <f ca="1" t="shared" si="104"/>
        <v>0</v>
      </c>
      <c r="G1265" s="95">
        <f ca="1" t="shared" si="105"/>
        <v>0</v>
      </c>
      <c r="H1265" s="95" cm="1">
        <f ca="1" t="array" ref="H1265">MIN(30-SUM(I1265:L1265),_xlfn.XLOOKUP($D1265&amp;"_"&amp;H$52,$B$14:$B$36&amp;"_"&amp;$C$14:$C$36,$D$14:$D$36)*$E1265,18)</f>
        <v>12.5196</v>
      </c>
      <c r="I1265" s="95" cm="1">
        <f ca="1" t="array" ref="I1265">MIN(30-SUM(J1265:L1265),6-L1265,_xlfn.XLOOKUP($D1265&amp;"_"&amp;I$52,$B$14:$B$36&amp;"_"&amp;$C$14:$C$36,$D$14:$D$36)*$E1265)</f>
        <v>0</v>
      </c>
      <c r="J1265" s="95" cm="1">
        <f ca="1" t="array" ref="J1265">MIN(8,_xlfn.XLOOKUP($D1265&amp;"_"&amp;J$52,$B$14:$B$36&amp;"_"&amp;$C$14:$C$36,$D$14:$D$36)*$E1265)</f>
        <v>8</v>
      </c>
      <c r="K1265" s="95" cm="1">
        <f ca="1" t="array" ref="K1265">MIN(18,_xlfn.XLOOKUP($D1265&amp;"_"&amp;K$52,$B$14:$B$36&amp;"_"&amp;$C$14:$C$36,$D$14:$D$36)*$E1265)</f>
        <v>3.4804</v>
      </c>
      <c r="L1265" s="95" cm="1">
        <f ca="1" t="array" ref="L1265">MIN(6,_xlfn.XLOOKUP($D1265&amp;"_"&amp;L$52,$B$14:$B$36&amp;"_"&amp;$C$14:$C$36,$D$14:$D$36)*$E1265)</f>
        <v>6</v>
      </c>
      <c r="M1265" s="95" cm="1">
        <f ca="1" t="array" ref="M1265">(1+SUMPRODUCT(G1265:H1265,OFFSET($H$40:$I$40,D1265,0)))*(1+OFFSET($J$40,D1265,0))^I1265*(1+OFFSET($K$40,D1265,0))^J1265*(1+OFFSET($L$40,D1265,0))^K1265*(1+OFFSET($M$40,D1265,0))^L1265</f>
        <v>322.234196791712</v>
      </c>
      <c r="N1265" s="95">
        <f ca="1">MAX(MAX($N$53:N1264),OFFSET($C$52,MATCH(M1265*1.07,$M$53:$M$2052,1),0)-C1265)</f>
        <v>69840</v>
      </c>
    </row>
    <row r="1266" spans="2:14">
      <c r="B1266" s="95">
        <v>1214</v>
      </c>
      <c r="C1266" s="95">
        <f t="shared" si="103"/>
        <v>437040</v>
      </c>
      <c r="D1266" s="95">
        <f ca="1">_xlfn.XLOOKUP(总览!$B$44,$B$40:$B$45,$C$40:$C$45)</f>
        <v>5</v>
      </c>
      <c r="E1266" s="95">
        <f ca="1" t="shared" si="99"/>
        <v>1244</v>
      </c>
      <c r="F1266" s="95">
        <f ca="1" t="shared" si="104"/>
        <v>0</v>
      </c>
      <c r="G1266" s="95">
        <f ca="1" t="shared" si="105"/>
        <v>0</v>
      </c>
      <c r="H1266" s="95" cm="1">
        <f ca="1" t="array" ref="H1266">MIN(30-SUM(I1266:L1266),_xlfn.XLOOKUP($D1266&amp;"_"&amp;H$52,$B$14:$B$36&amp;"_"&amp;$C$14:$C$36,$D$14:$D$36)*$E1266,18)</f>
        <v>12.5168</v>
      </c>
      <c r="I1266" s="95" cm="1">
        <f ca="1" t="array" ref="I1266">MIN(30-SUM(J1266:L1266),6-L1266,_xlfn.XLOOKUP($D1266&amp;"_"&amp;I$52,$B$14:$B$36&amp;"_"&amp;$C$14:$C$36,$D$14:$D$36)*$E1266)</f>
        <v>0</v>
      </c>
      <c r="J1266" s="95" cm="1">
        <f ca="1" t="array" ref="J1266">MIN(8,_xlfn.XLOOKUP($D1266&amp;"_"&amp;J$52,$B$14:$B$36&amp;"_"&amp;$C$14:$C$36,$D$14:$D$36)*$E1266)</f>
        <v>8</v>
      </c>
      <c r="K1266" s="95" cm="1">
        <f ca="1" t="array" ref="K1266">MIN(18,_xlfn.XLOOKUP($D1266&amp;"_"&amp;K$52,$B$14:$B$36&amp;"_"&amp;$C$14:$C$36,$D$14:$D$36)*$E1266)</f>
        <v>3.4832</v>
      </c>
      <c r="L1266" s="95" cm="1">
        <f ca="1" t="array" ref="L1266">MIN(6,_xlfn.XLOOKUP($D1266&amp;"_"&amp;L$52,$B$14:$B$36&amp;"_"&amp;$C$14:$C$36,$D$14:$D$36)*$E1266)</f>
        <v>6</v>
      </c>
      <c r="M1266" s="95" cm="1">
        <f ca="1" t="array" ref="M1266">(1+SUMPRODUCT(G1266:H1266,OFFSET($H$40:$I$40,D1266,0)))*(1+OFFSET($J$40,D1266,0))^I1266*(1+OFFSET($K$40,D1266,0))^J1266*(1+OFFSET($L$40,D1266,0))^K1266*(1+OFFSET($M$40,D1266,0))^L1266</f>
        <v>322.347213371742</v>
      </c>
      <c r="N1266" s="95">
        <f ca="1">MAX(MAX($N$53:N1265),OFFSET($C$52,MATCH(M1266*1.07,$M$53:$M$2052,1),0)-C1266)</f>
        <v>69840</v>
      </c>
    </row>
    <row r="1267" spans="2:14">
      <c r="B1267" s="95">
        <v>1215</v>
      </c>
      <c r="C1267" s="95">
        <f t="shared" si="103"/>
        <v>437400</v>
      </c>
      <c r="D1267" s="95">
        <f ca="1">_xlfn.XLOOKUP(总览!$B$44,$B$40:$B$45,$C$40:$C$45)</f>
        <v>5</v>
      </c>
      <c r="E1267" s="95">
        <f ca="1" t="shared" si="99"/>
        <v>1245</v>
      </c>
      <c r="F1267" s="95">
        <f ca="1" t="shared" si="104"/>
        <v>0</v>
      </c>
      <c r="G1267" s="95">
        <f ca="1" t="shared" si="105"/>
        <v>0</v>
      </c>
      <c r="H1267" s="95" cm="1">
        <f ca="1" t="array" ref="H1267">MIN(30-SUM(I1267:L1267),_xlfn.XLOOKUP($D1267&amp;"_"&amp;H$52,$B$14:$B$36&amp;"_"&amp;$C$14:$C$36,$D$14:$D$36)*$E1267,18)</f>
        <v>12.514</v>
      </c>
      <c r="I1267" s="95" cm="1">
        <f ca="1" t="array" ref="I1267">MIN(30-SUM(J1267:L1267),6-L1267,_xlfn.XLOOKUP($D1267&amp;"_"&amp;I$52,$B$14:$B$36&amp;"_"&amp;$C$14:$C$36,$D$14:$D$36)*$E1267)</f>
        <v>0</v>
      </c>
      <c r="J1267" s="95" cm="1">
        <f ca="1" t="array" ref="J1267">MIN(8,_xlfn.XLOOKUP($D1267&amp;"_"&amp;J$52,$B$14:$B$36&amp;"_"&amp;$C$14:$C$36,$D$14:$D$36)*$E1267)</f>
        <v>8</v>
      </c>
      <c r="K1267" s="95" cm="1">
        <f ca="1" t="array" ref="K1267">MIN(18,_xlfn.XLOOKUP($D1267&amp;"_"&amp;K$52,$B$14:$B$36&amp;"_"&amp;$C$14:$C$36,$D$14:$D$36)*$E1267)</f>
        <v>3.486</v>
      </c>
      <c r="L1267" s="95" cm="1">
        <f ca="1" t="array" ref="L1267">MIN(6,_xlfn.XLOOKUP($D1267&amp;"_"&amp;L$52,$B$14:$B$36&amp;"_"&amp;$C$14:$C$36,$D$14:$D$36)*$E1267)</f>
        <v>6</v>
      </c>
      <c r="M1267" s="95" cm="1">
        <f ca="1" t="array" ref="M1267">(1+SUMPRODUCT(G1267:H1267,OFFSET($H$40:$I$40,D1267,0)))*(1+OFFSET($J$40,D1267,0))^I1267*(1+OFFSET($K$40,D1267,0))^J1267*(1+OFFSET($L$40,D1267,0))^K1267*(1+OFFSET($M$40,D1267,0))^L1267</f>
        <v>322.460261350704</v>
      </c>
      <c r="N1267" s="95">
        <f ca="1">MAX(MAX($N$53:N1266),OFFSET($C$52,MATCH(M1267*1.07,$M$53:$M$2052,1),0)-C1267)</f>
        <v>69840</v>
      </c>
    </row>
    <row r="1268" spans="2:14">
      <c r="B1268" s="95">
        <v>1216</v>
      </c>
      <c r="C1268" s="95">
        <f t="shared" si="103"/>
        <v>437760</v>
      </c>
      <c r="D1268" s="95">
        <f ca="1">_xlfn.XLOOKUP(总览!$B$44,$B$40:$B$45,$C$40:$C$45)</f>
        <v>5</v>
      </c>
      <c r="E1268" s="95">
        <f ca="1" t="shared" si="99"/>
        <v>1246</v>
      </c>
      <c r="F1268" s="95">
        <f ca="1" t="shared" si="104"/>
        <v>0</v>
      </c>
      <c r="G1268" s="95">
        <f ca="1" t="shared" si="105"/>
        <v>0</v>
      </c>
      <c r="H1268" s="95" cm="1">
        <f ca="1" t="array" ref="H1268">MIN(30-SUM(I1268:L1268),_xlfn.XLOOKUP($D1268&amp;"_"&amp;H$52,$B$14:$B$36&amp;"_"&amp;$C$14:$C$36,$D$14:$D$36)*$E1268,18)</f>
        <v>12.5112</v>
      </c>
      <c r="I1268" s="95" cm="1">
        <f ca="1" t="array" ref="I1268">MIN(30-SUM(J1268:L1268),6-L1268,_xlfn.XLOOKUP($D1268&amp;"_"&amp;I$52,$B$14:$B$36&amp;"_"&amp;$C$14:$C$36,$D$14:$D$36)*$E1268)</f>
        <v>0</v>
      </c>
      <c r="J1268" s="95" cm="1">
        <f ca="1" t="array" ref="J1268">MIN(8,_xlfn.XLOOKUP($D1268&amp;"_"&amp;J$52,$B$14:$B$36&amp;"_"&amp;$C$14:$C$36,$D$14:$D$36)*$E1268)</f>
        <v>8</v>
      </c>
      <c r="K1268" s="95" cm="1">
        <f ca="1" t="array" ref="K1268">MIN(18,_xlfn.XLOOKUP($D1268&amp;"_"&amp;K$52,$B$14:$B$36&amp;"_"&amp;$C$14:$C$36,$D$14:$D$36)*$E1268)</f>
        <v>3.4888</v>
      </c>
      <c r="L1268" s="95" cm="1">
        <f ca="1" t="array" ref="L1268">MIN(6,_xlfn.XLOOKUP($D1268&amp;"_"&amp;L$52,$B$14:$B$36&amp;"_"&amp;$C$14:$C$36,$D$14:$D$36)*$E1268)</f>
        <v>6</v>
      </c>
      <c r="M1268" s="95" cm="1">
        <f ca="1" t="array" ref="M1268">(1+SUMPRODUCT(G1268:H1268,OFFSET($H$40:$I$40,D1268,0)))*(1+OFFSET($J$40,D1268,0))^I1268*(1+OFFSET($K$40,D1268,0))^J1268*(1+OFFSET($L$40,D1268,0))^K1268*(1+OFFSET($M$40,D1268,0))^L1268</f>
        <v>322.573340731196</v>
      </c>
      <c r="N1268" s="95">
        <f ca="1">MAX(MAX($N$53:N1267),OFFSET($C$52,MATCH(M1268*1.07,$M$53:$M$2052,1),0)-C1268)</f>
        <v>69840</v>
      </c>
    </row>
    <row r="1269" spans="2:14">
      <c r="B1269" s="95">
        <v>1217</v>
      </c>
      <c r="C1269" s="95">
        <f t="shared" si="103"/>
        <v>438120</v>
      </c>
      <c r="D1269" s="95">
        <f ca="1">_xlfn.XLOOKUP(总览!$B$44,$B$40:$B$45,$C$40:$C$45)</f>
        <v>5</v>
      </c>
      <c r="E1269" s="95">
        <f ca="1" t="shared" si="99"/>
        <v>1247</v>
      </c>
      <c r="F1269" s="95">
        <f ca="1" t="shared" si="104"/>
        <v>0</v>
      </c>
      <c r="G1269" s="95">
        <f ca="1" t="shared" si="105"/>
        <v>0</v>
      </c>
      <c r="H1269" s="95" cm="1">
        <f ca="1" t="array" ref="H1269">MIN(30-SUM(I1269:L1269),_xlfn.XLOOKUP($D1269&amp;"_"&amp;H$52,$B$14:$B$36&amp;"_"&amp;$C$14:$C$36,$D$14:$D$36)*$E1269,18)</f>
        <v>12.5084</v>
      </c>
      <c r="I1269" s="95" cm="1">
        <f ca="1" t="array" ref="I1269">MIN(30-SUM(J1269:L1269),6-L1269,_xlfn.XLOOKUP($D1269&amp;"_"&amp;I$52,$B$14:$B$36&amp;"_"&amp;$C$14:$C$36,$D$14:$D$36)*$E1269)</f>
        <v>0</v>
      </c>
      <c r="J1269" s="95" cm="1">
        <f ca="1" t="array" ref="J1269">MIN(8,_xlfn.XLOOKUP($D1269&amp;"_"&amp;J$52,$B$14:$B$36&amp;"_"&amp;$C$14:$C$36,$D$14:$D$36)*$E1269)</f>
        <v>8</v>
      </c>
      <c r="K1269" s="95" cm="1">
        <f ca="1" t="array" ref="K1269">MIN(18,_xlfn.XLOOKUP($D1269&amp;"_"&amp;K$52,$B$14:$B$36&amp;"_"&amp;$C$14:$C$36,$D$14:$D$36)*$E1269)</f>
        <v>3.4916</v>
      </c>
      <c r="L1269" s="95" cm="1">
        <f ca="1" t="array" ref="L1269">MIN(6,_xlfn.XLOOKUP($D1269&amp;"_"&amp;L$52,$B$14:$B$36&amp;"_"&amp;$C$14:$C$36,$D$14:$D$36)*$E1269)</f>
        <v>6</v>
      </c>
      <c r="M1269" s="95" cm="1">
        <f ca="1" t="array" ref="M1269">(1+SUMPRODUCT(G1269:H1269,OFFSET($H$40:$I$40,D1269,0)))*(1+OFFSET($J$40,D1269,0))^I1269*(1+OFFSET($K$40,D1269,0))^J1269*(1+OFFSET($L$40,D1269,0))^K1269*(1+OFFSET($M$40,D1269,0))^L1269</f>
        <v>322.686451515809</v>
      </c>
      <c r="N1269" s="95">
        <f ca="1">MAX(MAX($N$53:N1268),OFFSET($C$52,MATCH(M1269*1.07,$M$53:$M$2052,1),0)-C1269)</f>
        <v>69840</v>
      </c>
    </row>
    <row r="1270" spans="2:14">
      <c r="B1270" s="95">
        <v>1218</v>
      </c>
      <c r="C1270" s="95">
        <f t="shared" si="103"/>
        <v>438480</v>
      </c>
      <c r="D1270" s="95">
        <f ca="1">_xlfn.XLOOKUP(总览!$B$44,$B$40:$B$45,$C$40:$C$45)</f>
        <v>5</v>
      </c>
      <c r="E1270" s="95">
        <f ca="1" t="shared" ref="E1270:E1333" si="106">INT(C1270/_xlfn.XLOOKUP(D1270,$N$5:$N$16,$O$5:$O$16))+OFFSET($R$40,D1270,0)</f>
        <v>1248</v>
      </c>
      <c r="F1270" s="95">
        <f ca="1" t="shared" si="104"/>
        <v>0</v>
      </c>
      <c r="G1270" s="95">
        <f ca="1" t="shared" si="105"/>
        <v>0</v>
      </c>
      <c r="H1270" s="95" cm="1">
        <f ca="1" t="array" ref="H1270">MIN(30-SUM(I1270:L1270),_xlfn.XLOOKUP($D1270&amp;"_"&amp;H$52,$B$14:$B$36&amp;"_"&amp;$C$14:$C$36,$D$14:$D$36)*$E1270,18)</f>
        <v>12.5056</v>
      </c>
      <c r="I1270" s="95" cm="1">
        <f ca="1" t="array" ref="I1270">MIN(30-SUM(J1270:L1270),6-L1270,_xlfn.XLOOKUP($D1270&amp;"_"&amp;I$52,$B$14:$B$36&amp;"_"&amp;$C$14:$C$36,$D$14:$D$36)*$E1270)</f>
        <v>0</v>
      </c>
      <c r="J1270" s="95" cm="1">
        <f ca="1" t="array" ref="J1270">MIN(8,_xlfn.XLOOKUP($D1270&amp;"_"&amp;J$52,$B$14:$B$36&amp;"_"&amp;$C$14:$C$36,$D$14:$D$36)*$E1270)</f>
        <v>8</v>
      </c>
      <c r="K1270" s="95" cm="1">
        <f ca="1" t="array" ref="K1270">MIN(18,_xlfn.XLOOKUP($D1270&amp;"_"&amp;K$52,$B$14:$B$36&amp;"_"&amp;$C$14:$C$36,$D$14:$D$36)*$E1270)</f>
        <v>3.4944</v>
      </c>
      <c r="L1270" s="95" cm="1">
        <f ca="1" t="array" ref="L1270">MIN(6,_xlfn.XLOOKUP($D1270&amp;"_"&amp;L$52,$B$14:$B$36&amp;"_"&amp;$C$14:$C$36,$D$14:$D$36)*$E1270)</f>
        <v>6</v>
      </c>
      <c r="M1270" s="95" cm="1">
        <f ca="1" t="array" ref="M1270">(1+SUMPRODUCT(G1270:H1270,OFFSET($H$40:$I$40,D1270,0)))*(1+OFFSET($J$40,D1270,0))^I1270*(1+OFFSET($K$40,D1270,0))^J1270*(1+OFFSET($L$40,D1270,0))^K1270*(1+OFFSET($M$40,D1270,0))^L1270</f>
        <v>322.799593707133</v>
      </c>
      <c r="N1270" s="95">
        <f ca="1">MAX(MAX($N$53:N1269),OFFSET($C$52,MATCH(M1270*1.07,$M$53:$M$2052,1),0)-C1270)</f>
        <v>69840</v>
      </c>
    </row>
    <row r="1271" spans="2:14">
      <c r="B1271" s="95">
        <v>1219</v>
      </c>
      <c r="C1271" s="95">
        <f t="shared" si="103"/>
        <v>438840</v>
      </c>
      <c r="D1271" s="95">
        <f ca="1">_xlfn.XLOOKUP(总览!$B$44,$B$40:$B$45,$C$40:$C$45)</f>
        <v>5</v>
      </c>
      <c r="E1271" s="95">
        <f ca="1" t="shared" si="106"/>
        <v>1249</v>
      </c>
      <c r="F1271" s="95">
        <f ca="1" t="shared" si="104"/>
        <v>0</v>
      </c>
      <c r="G1271" s="95">
        <f ca="1" t="shared" si="105"/>
        <v>0</v>
      </c>
      <c r="H1271" s="95" cm="1">
        <f ca="1" t="array" ref="H1271">MIN(30-SUM(I1271:L1271),_xlfn.XLOOKUP($D1271&amp;"_"&amp;H$52,$B$14:$B$36&amp;"_"&amp;$C$14:$C$36,$D$14:$D$36)*$E1271,18)</f>
        <v>12.5028</v>
      </c>
      <c r="I1271" s="95" cm="1">
        <f ca="1" t="array" ref="I1271">MIN(30-SUM(J1271:L1271),6-L1271,_xlfn.XLOOKUP($D1271&amp;"_"&amp;I$52,$B$14:$B$36&amp;"_"&amp;$C$14:$C$36,$D$14:$D$36)*$E1271)</f>
        <v>0</v>
      </c>
      <c r="J1271" s="95" cm="1">
        <f ca="1" t="array" ref="J1271">MIN(8,_xlfn.XLOOKUP($D1271&amp;"_"&amp;J$52,$B$14:$B$36&amp;"_"&amp;$C$14:$C$36,$D$14:$D$36)*$E1271)</f>
        <v>8</v>
      </c>
      <c r="K1271" s="95" cm="1">
        <f ca="1" t="array" ref="K1271">MIN(18,_xlfn.XLOOKUP($D1271&amp;"_"&amp;K$52,$B$14:$B$36&amp;"_"&amp;$C$14:$C$36,$D$14:$D$36)*$E1271)</f>
        <v>3.4972</v>
      </c>
      <c r="L1271" s="95" cm="1">
        <f ca="1" t="array" ref="L1271">MIN(6,_xlfn.XLOOKUP($D1271&amp;"_"&amp;L$52,$B$14:$B$36&amp;"_"&amp;$C$14:$C$36,$D$14:$D$36)*$E1271)</f>
        <v>6</v>
      </c>
      <c r="M1271" s="95" cm="1">
        <f ca="1" t="array" ref="M1271">(1+SUMPRODUCT(G1271:H1271,OFFSET($H$40:$I$40,D1271,0)))*(1+OFFSET($J$40,D1271,0))^I1271*(1+OFFSET($K$40,D1271,0))^J1271*(1+OFFSET($L$40,D1271,0))^K1271*(1+OFFSET($M$40,D1271,0))^L1271</f>
        <v>322.912767307747</v>
      </c>
      <c r="N1271" s="95">
        <f ca="1">MAX(MAX($N$53:N1270),OFFSET($C$52,MATCH(M1271*1.07,$M$53:$M$2052,1),0)-C1271)</f>
        <v>69840</v>
      </c>
    </row>
    <row r="1272" spans="2:14">
      <c r="B1272" s="95">
        <v>1220</v>
      </c>
      <c r="C1272" s="95">
        <f t="shared" si="103"/>
        <v>439200</v>
      </c>
      <c r="D1272" s="95">
        <f ca="1">_xlfn.XLOOKUP(总览!$B$44,$B$40:$B$45,$C$40:$C$45)</f>
        <v>5</v>
      </c>
      <c r="E1272" s="95">
        <f ca="1" t="shared" si="106"/>
        <v>1250</v>
      </c>
      <c r="F1272" s="95">
        <f ca="1" t="shared" si="104"/>
        <v>0</v>
      </c>
      <c r="G1272" s="95">
        <f ca="1" t="shared" si="105"/>
        <v>0</v>
      </c>
      <c r="H1272" s="95" cm="1">
        <f ca="1" t="array" ref="H1272">MIN(30-SUM(I1272:L1272),_xlfn.XLOOKUP($D1272&amp;"_"&amp;H$52,$B$14:$B$36&amp;"_"&amp;$C$14:$C$36,$D$14:$D$36)*$E1272,18)</f>
        <v>12.5</v>
      </c>
      <c r="I1272" s="95" cm="1">
        <f ca="1" t="array" ref="I1272">MIN(30-SUM(J1272:L1272),6-L1272,_xlfn.XLOOKUP($D1272&amp;"_"&amp;I$52,$B$14:$B$36&amp;"_"&amp;$C$14:$C$36,$D$14:$D$36)*$E1272)</f>
        <v>0</v>
      </c>
      <c r="J1272" s="95" cm="1">
        <f ca="1" t="array" ref="J1272">MIN(8,_xlfn.XLOOKUP($D1272&amp;"_"&amp;J$52,$B$14:$B$36&amp;"_"&amp;$C$14:$C$36,$D$14:$D$36)*$E1272)</f>
        <v>8</v>
      </c>
      <c r="K1272" s="95" cm="1">
        <f ca="1" t="array" ref="K1272">MIN(18,_xlfn.XLOOKUP($D1272&amp;"_"&amp;K$52,$B$14:$B$36&amp;"_"&amp;$C$14:$C$36,$D$14:$D$36)*$E1272)</f>
        <v>3.5</v>
      </c>
      <c r="L1272" s="95" cm="1">
        <f ca="1" t="array" ref="L1272">MIN(6,_xlfn.XLOOKUP($D1272&amp;"_"&amp;L$52,$B$14:$B$36&amp;"_"&amp;$C$14:$C$36,$D$14:$D$36)*$E1272)</f>
        <v>6</v>
      </c>
      <c r="M1272" s="95" cm="1">
        <f ca="1" t="array" ref="M1272">(1+SUMPRODUCT(G1272:H1272,OFFSET($H$40:$I$40,D1272,0)))*(1+OFFSET($J$40,D1272,0))^I1272*(1+OFFSET($K$40,D1272,0))^J1272*(1+OFFSET($L$40,D1272,0))^K1272*(1+OFFSET($M$40,D1272,0))^L1272</f>
        <v>323.025972320228</v>
      </c>
      <c r="N1272" s="95">
        <f ca="1">MAX(MAX($N$53:N1271),OFFSET($C$52,MATCH(M1272*1.07,$M$53:$M$2052,1),0)-C1272)</f>
        <v>69840</v>
      </c>
    </row>
    <row r="1273" spans="2:14">
      <c r="B1273" s="95">
        <v>1221</v>
      </c>
      <c r="C1273" s="95">
        <f t="shared" si="103"/>
        <v>439560</v>
      </c>
      <c r="D1273" s="95">
        <f ca="1">_xlfn.XLOOKUP(总览!$B$44,$B$40:$B$45,$C$40:$C$45)</f>
        <v>5</v>
      </c>
      <c r="E1273" s="95">
        <f ca="1" t="shared" si="106"/>
        <v>1251</v>
      </c>
      <c r="F1273" s="95">
        <f ca="1" t="shared" si="104"/>
        <v>0</v>
      </c>
      <c r="G1273" s="95">
        <f ca="1" t="shared" si="105"/>
        <v>0</v>
      </c>
      <c r="H1273" s="95" cm="1">
        <f ca="1" t="array" ref="H1273">MIN(30-SUM(I1273:L1273),_xlfn.XLOOKUP($D1273&amp;"_"&amp;H$52,$B$14:$B$36&amp;"_"&amp;$C$14:$C$36,$D$14:$D$36)*$E1273,18)</f>
        <v>12.4972</v>
      </c>
      <c r="I1273" s="95" cm="1">
        <f ca="1" t="array" ref="I1273">MIN(30-SUM(J1273:L1273),6-L1273,_xlfn.XLOOKUP($D1273&amp;"_"&amp;I$52,$B$14:$B$36&amp;"_"&amp;$C$14:$C$36,$D$14:$D$36)*$E1273)</f>
        <v>0</v>
      </c>
      <c r="J1273" s="95" cm="1">
        <f ca="1" t="array" ref="J1273">MIN(8,_xlfn.XLOOKUP($D1273&amp;"_"&amp;J$52,$B$14:$B$36&amp;"_"&amp;$C$14:$C$36,$D$14:$D$36)*$E1273)</f>
        <v>8</v>
      </c>
      <c r="K1273" s="95" cm="1">
        <f ca="1" t="array" ref="K1273">MIN(18,_xlfn.XLOOKUP($D1273&amp;"_"&amp;K$52,$B$14:$B$36&amp;"_"&amp;$C$14:$C$36,$D$14:$D$36)*$E1273)</f>
        <v>3.5028</v>
      </c>
      <c r="L1273" s="95" cm="1">
        <f ca="1" t="array" ref="L1273">MIN(6,_xlfn.XLOOKUP($D1273&amp;"_"&amp;L$52,$B$14:$B$36&amp;"_"&amp;$C$14:$C$36,$D$14:$D$36)*$E1273)</f>
        <v>6</v>
      </c>
      <c r="M1273" s="95" cm="1">
        <f ca="1" t="array" ref="M1273">(1+SUMPRODUCT(G1273:H1273,OFFSET($H$40:$I$40,D1273,0)))*(1+OFFSET($J$40,D1273,0))^I1273*(1+OFFSET($K$40,D1273,0))^J1273*(1+OFFSET($L$40,D1273,0))^K1273*(1+OFFSET($M$40,D1273,0))^L1273</f>
        <v>323.139208747147</v>
      </c>
      <c r="N1273" s="95">
        <f ca="1">MAX(MAX($N$53:N1272),OFFSET($C$52,MATCH(M1273*1.07,$M$53:$M$2052,1),0)-C1273)</f>
        <v>69840</v>
      </c>
    </row>
    <row r="1274" spans="2:14">
      <c r="B1274" s="95">
        <v>1222</v>
      </c>
      <c r="C1274" s="95">
        <f t="shared" si="103"/>
        <v>439920</v>
      </c>
      <c r="D1274" s="95">
        <f ca="1">_xlfn.XLOOKUP(总览!$B$44,$B$40:$B$45,$C$40:$C$45)</f>
        <v>5</v>
      </c>
      <c r="E1274" s="95">
        <f ca="1" t="shared" si="106"/>
        <v>1252</v>
      </c>
      <c r="F1274" s="95">
        <f ca="1" t="shared" si="104"/>
        <v>0</v>
      </c>
      <c r="G1274" s="95">
        <f ca="1" t="shared" si="105"/>
        <v>0</v>
      </c>
      <c r="H1274" s="95" cm="1">
        <f ca="1" t="array" ref="H1274">MIN(30-SUM(I1274:L1274),_xlfn.XLOOKUP($D1274&amp;"_"&amp;H$52,$B$14:$B$36&amp;"_"&amp;$C$14:$C$36,$D$14:$D$36)*$E1274,18)</f>
        <v>12.4944</v>
      </c>
      <c r="I1274" s="95" cm="1">
        <f ca="1" t="array" ref="I1274">MIN(30-SUM(J1274:L1274),6-L1274,_xlfn.XLOOKUP($D1274&amp;"_"&amp;I$52,$B$14:$B$36&amp;"_"&amp;$C$14:$C$36,$D$14:$D$36)*$E1274)</f>
        <v>0</v>
      </c>
      <c r="J1274" s="95" cm="1">
        <f ca="1" t="array" ref="J1274">MIN(8,_xlfn.XLOOKUP($D1274&amp;"_"&amp;J$52,$B$14:$B$36&amp;"_"&amp;$C$14:$C$36,$D$14:$D$36)*$E1274)</f>
        <v>8</v>
      </c>
      <c r="K1274" s="95" cm="1">
        <f ca="1" t="array" ref="K1274">MIN(18,_xlfn.XLOOKUP($D1274&amp;"_"&amp;K$52,$B$14:$B$36&amp;"_"&amp;$C$14:$C$36,$D$14:$D$36)*$E1274)</f>
        <v>3.5056</v>
      </c>
      <c r="L1274" s="95" cm="1">
        <f ca="1" t="array" ref="L1274">MIN(6,_xlfn.XLOOKUP($D1274&amp;"_"&amp;L$52,$B$14:$B$36&amp;"_"&amp;$C$14:$C$36,$D$14:$D$36)*$E1274)</f>
        <v>6</v>
      </c>
      <c r="M1274" s="95" cm="1">
        <f ca="1" t="array" ref="M1274">(1+SUMPRODUCT(G1274:H1274,OFFSET($H$40:$I$40,D1274,0)))*(1+OFFSET($J$40,D1274,0))^I1274*(1+OFFSET($K$40,D1274,0))^J1274*(1+OFFSET($L$40,D1274,0))^K1274*(1+OFFSET($M$40,D1274,0))^L1274</f>
        <v>323.252476591068</v>
      </c>
      <c r="N1274" s="95">
        <f ca="1">MAX(MAX($N$53:N1273),OFFSET($C$52,MATCH(M1274*1.07,$M$53:$M$2052,1),0)-C1274)</f>
        <v>69840</v>
      </c>
    </row>
    <row r="1275" spans="2:14">
      <c r="B1275" s="95">
        <v>1223</v>
      </c>
      <c r="C1275" s="95">
        <f t="shared" si="103"/>
        <v>440280</v>
      </c>
      <c r="D1275" s="95">
        <f ca="1">_xlfn.XLOOKUP(总览!$B$44,$B$40:$B$45,$C$40:$C$45)</f>
        <v>5</v>
      </c>
      <c r="E1275" s="95">
        <f ca="1" t="shared" si="106"/>
        <v>1253</v>
      </c>
      <c r="F1275" s="95">
        <f ca="1" t="shared" si="104"/>
        <v>0</v>
      </c>
      <c r="G1275" s="95">
        <f ca="1" t="shared" si="105"/>
        <v>0</v>
      </c>
      <c r="H1275" s="95" cm="1">
        <f ca="1" t="array" ref="H1275">MIN(30-SUM(I1275:L1275),_xlfn.XLOOKUP($D1275&amp;"_"&amp;H$52,$B$14:$B$36&amp;"_"&amp;$C$14:$C$36,$D$14:$D$36)*$E1275,18)</f>
        <v>12.4916</v>
      </c>
      <c r="I1275" s="95" cm="1">
        <f ca="1" t="array" ref="I1275">MIN(30-SUM(J1275:L1275),6-L1275,_xlfn.XLOOKUP($D1275&amp;"_"&amp;I$52,$B$14:$B$36&amp;"_"&amp;$C$14:$C$36,$D$14:$D$36)*$E1275)</f>
        <v>0</v>
      </c>
      <c r="J1275" s="95" cm="1">
        <f ca="1" t="array" ref="J1275">MIN(8,_xlfn.XLOOKUP($D1275&amp;"_"&amp;J$52,$B$14:$B$36&amp;"_"&amp;$C$14:$C$36,$D$14:$D$36)*$E1275)</f>
        <v>8</v>
      </c>
      <c r="K1275" s="95" cm="1">
        <f ca="1" t="array" ref="K1275">MIN(18,_xlfn.XLOOKUP($D1275&amp;"_"&amp;K$52,$B$14:$B$36&amp;"_"&amp;$C$14:$C$36,$D$14:$D$36)*$E1275)</f>
        <v>3.5084</v>
      </c>
      <c r="L1275" s="95" cm="1">
        <f ca="1" t="array" ref="L1275">MIN(6,_xlfn.XLOOKUP($D1275&amp;"_"&amp;L$52,$B$14:$B$36&amp;"_"&amp;$C$14:$C$36,$D$14:$D$36)*$E1275)</f>
        <v>6</v>
      </c>
      <c r="M1275" s="95" cm="1">
        <f ca="1" t="array" ref="M1275">(1+SUMPRODUCT(G1275:H1275,OFFSET($H$40:$I$40,D1275,0)))*(1+OFFSET($J$40,D1275,0))^I1275*(1+OFFSET($K$40,D1275,0))^J1275*(1+OFFSET($L$40,D1275,0))^K1275*(1+OFFSET($M$40,D1275,0))^L1275</f>
        <v>323.36577585455</v>
      </c>
      <c r="N1275" s="95">
        <f ca="1">MAX(MAX($N$53:N1274),OFFSET($C$52,MATCH(M1275*1.07,$M$53:$M$2052,1),0)-C1275)</f>
        <v>69840</v>
      </c>
    </row>
    <row r="1276" spans="2:14">
      <c r="B1276" s="95">
        <v>1224</v>
      </c>
      <c r="C1276" s="95">
        <f t="shared" si="103"/>
        <v>440640</v>
      </c>
      <c r="D1276" s="95">
        <f ca="1">_xlfn.XLOOKUP(总览!$B$44,$B$40:$B$45,$C$40:$C$45)</f>
        <v>5</v>
      </c>
      <c r="E1276" s="95">
        <f ca="1" t="shared" si="106"/>
        <v>1254</v>
      </c>
      <c r="F1276" s="95">
        <f ca="1" t="shared" si="104"/>
        <v>0</v>
      </c>
      <c r="G1276" s="95">
        <f ca="1" t="shared" si="105"/>
        <v>0</v>
      </c>
      <c r="H1276" s="95" cm="1">
        <f ca="1" t="array" ref="H1276">MIN(30-SUM(I1276:L1276),_xlfn.XLOOKUP($D1276&amp;"_"&amp;H$52,$B$14:$B$36&amp;"_"&amp;$C$14:$C$36,$D$14:$D$36)*$E1276,18)</f>
        <v>12.4888</v>
      </c>
      <c r="I1276" s="95" cm="1">
        <f ca="1" t="array" ref="I1276">MIN(30-SUM(J1276:L1276),6-L1276,_xlfn.XLOOKUP($D1276&amp;"_"&amp;I$52,$B$14:$B$36&amp;"_"&amp;$C$14:$C$36,$D$14:$D$36)*$E1276)</f>
        <v>0</v>
      </c>
      <c r="J1276" s="95" cm="1">
        <f ca="1" t="array" ref="J1276">MIN(8,_xlfn.XLOOKUP($D1276&amp;"_"&amp;J$52,$B$14:$B$36&amp;"_"&amp;$C$14:$C$36,$D$14:$D$36)*$E1276)</f>
        <v>8</v>
      </c>
      <c r="K1276" s="95" cm="1">
        <f ca="1" t="array" ref="K1276">MIN(18,_xlfn.XLOOKUP($D1276&amp;"_"&amp;K$52,$B$14:$B$36&amp;"_"&amp;$C$14:$C$36,$D$14:$D$36)*$E1276)</f>
        <v>3.5112</v>
      </c>
      <c r="L1276" s="95" cm="1">
        <f ca="1" t="array" ref="L1276">MIN(6,_xlfn.XLOOKUP($D1276&amp;"_"&amp;L$52,$B$14:$B$36&amp;"_"&amp;$C$14:$C$36,$D$14:$D$36)*$E1276)</f>
        <v>6</v>
      </c>
      <c r="M1276" s="95" cm="1">
        <f ca="1" t="array" ref="M1276">(1+SUMPRODUCT(G1276:H1276,OFFSET($H$40:$I$40,D1276,0)))*(1+OFFSET($J$40,D1276,0))^I1276*(1+OFFSET($K$40,D1276,0))^J1276*(1+OFFSET($L$40,D1276,0))^K1276*(1+OFFSET($M$40,D1276,0))^L1276</f>
        <v>323.479106540148</v>
      </c>
      <c r="N1276" s="95">
        <f ca="1">MAX(MAX($N$53:N1275),OFFSET($C$52,MATCH(M1276*1.07,$M$53:$M$2052,1),0)-C1276)</f>
        <v>69840</v>
      </c>
    </row>
    <row r="1277" spans="2:14">
      <c r="B1277" s="95">
        <v>1225</v>
      </c>
      <c r="C1277" s="95">
        <f t="shared" si="103"/>
        <v>441000</v>
      </c>
      <c r="D1277" s="95">
        <f ca="1">_xlfn.XLOOKUP(总览!$B$44,$B$40:$B$45,$C$40:$C$45)</f>
        <v>5</v>
      </c>
      <c r="E1277" s="95">
        <f ca="1" t="shared" si="106"/>
        <v>1255</v>
      </c>
      <c r="F1277" s="95">
        <f ca="1" t="shared" si="104"/>
        <v>0</v>
      </c>
      <c r="G1277" s="95">
        <f ca="1" t="shared" si="105"/>
        <v>0</v>
      </c>
      <c r="H1277" s="95" cm="1">
        <f ca="1" t="array" ref="H1277">MIN(30-SUM(I1277:L1277),_xlfn.XLOOKUP($D1277&amp;"_"&amp;H$52,$B$14:$B$36&amp;"_"&amp;$C$14:$C$36,$D$14:$D$36)*$E1277,18)</f>
        <v>12.486</v>
      </c>
      <c r="I1277" s="95" cm="1">
        <f ca="1" t="array" ref="I1277">MIN(30-SUM(J1277:L1277),6-L1277,_xlfn.XLOOKUP($D1277&amp;"_"&amp;I$52,$B$14:$B$36&amp;"_"&amp;$C$14:$C$36,$D$14:$D$36)*$E1277)</f>
        <v>0</v>
      </c>
      <c r="J1277" s="95" cm="1">
        <f ca="1" t="array" ref="J1277">MIN(8,_xlfn.XLOOKUP($D1277&amp;"_"&amp;J$52,$B$14:$B$36&amp;"_"&amp;$C$14:$C$36,$D$14:$D$36)*$E1277)</f>
        <v>8</v>
      </c>
      <c r="K1277" s="95" cm="1">
        <f ca="1" t="array" ref="K1277">MIN(18,_xlfn.XLOOKUP($D1277&amp;"_"&amp;K$52,$B$14:$B$36&amp;"_"&amp;$C$14:$C$36,$D$14:$D$36)*$E1277)</f>
        <v>3.514</v>
      </c>
      <c r="L1277" s="95" cm="1">
        <f ca="1" t="array" ref="L1277">MIN(6,_xlfn.XLOOKUP($D1277&amp;"_"&amp;L$52,$B$14:$B$36&amp;"_"&amp;$C$14:$C$36,$D$14:$D$36)*$E1277)</f>
        <v>6</v>
      </c>
      <c r="M1277" s="95" cm="1">
        <f ca="1" t="array" ref="M1277">(1+SUMPRODUCT(G1277:H1277,OFFSET($H$40:$I$40,D1277,0)))*(1+OFFSET($J$40,D1277,0))^I1277*(1+OFFSET($K$40,D1277,0))^J1277*(1+OFFSET($L$40,D1277,0))^K1277*(1+OFFSET($M$40,D1277,0))^L1277</f>
        <v>323.592468650409</v>
      </c>
      <c r="N1277" s="95">
        <f ca="1">MAX(MAX($N$53:N1276),OFFSET($C$52,MATCH(M1277*1.07,$M$53:$M$2052,1),0)-C1277)</f>
        <v>69840</v>
      </c>
    </row>
    <row r="1278" spans="2:14">
      <c r="B1278" s="95">
        <v>1226</v>
      </c>
      <c r="C1278" s="95">
        <f t="shared" si="103"/>
        <v>441360</v>
      </c>
      <c r="D1278" s="95">
        <f ca="1">_xlfn.XLOOKUP(总览!$B$44,$B$40:$B$45,$C$40:$C$45)</f>
        <v>5</v>
      </c>
      <c r="E1278" s="95">
        <f ca="1" t="shared" si="106"/>
        <v>1256</v>
      </c>
      <c r="F1278" s="95">
        <f ca="1" t="shared" si="104"/>
        <v>0</v>
      </c>
      <c r="G1278" s="95">
        <f ca="1" t="shared" si="105"/>
        <v>0</v>
      </c>
      <c r="H1278" s="95" cm="1">
        <f ca="1" t="array" ref="H1278">MIN(30-SUM(I1278:L1278),_xlfn.XLOOKUP($D1278&amp;"_"&amp;H$52,$B$14:$B$36&amp;"_"&amp;$C$14:$C$36,$D$14:$D$36)*$E1278,18)</f>
        <v>12.4832</v>
      </c>
      <c r="I1278" s="95" cm="1">
        <f ca="1" t="array" ref="I1278">MIN(30-SUM(J1278:L1278),6-L1278,_xlfn.XLOOKUP($D1278&amp;"_"&amp;I$52,$B$14:$B$36&amp;"_"&amp;$C$14:$C$36,$D$14:$D$36)*$E1278)</f>
        <v>0</v>
      </c>
      <c r="J1278" s="95" cm="1">
        <f ca="1" t="array" ref="J1278">MIN(8,_xlfn.XLOOKUP($D1278&amp;"_"&amp;J$52,$B$14:$B$36&amp;"_"&amp;$C$14:$C$36,$D$14:$D$36)*$E1278)</f>
        <v>8</v>
      </c>
      <c r="K1278" s="95" cm="1">
        <f ca="1" t="array" ref="K1278">MIN(18,_xlfn.XLOOKUP($D1278&amp;"_"&amp;K$52,$B$14:$B$36&amp;"_"&amp;$C$14:$C$36,$D$14:$D$36)*$E1278)</f>
        <v>3.5168</v>
      </c>
      <c r="L1278" s="95" cm="1">
        <f ca="1" t="array" ref="L1278">MIN(6,_xlfn.XLOOKUP($D1278&amp;"_"&amp;L$52,$B$14:$B$36&amp;"_"&amp;$C$14:$C$36,$D$14:$D$36)*$E1278)</f>
        <v>6</v>
      </c>
      <c r="M1278" s="95" cm="1">
        <f ca="1" t="array" ref="M1278">(1+SUMPRODUCT(G1278:H1278,OFFSET($H$40:$I$40,D1278,0)))*(1+OFFSET($J$40,D1278,0))^I1278*(1+OFFSET($K$40,D1278,0))^J1278*(1+OFFSET($L$40,D1278,0))^K1278*(1+OFFSET($M$40,D1278,0))^L1278</f>
        <v>323.705862187876</v>
      </c>
      <c r="N1278" s="95">
        <f ca="1">MAX(MAX($N$53:N1277),OFFSET($C$52,MATCH(M1278*1.07,$M$53:$M$2052,1),0)-C1278)</f>
        <v>69840</v>
      </c>
    </row>
    <row r="1279" spans="2:14">
      <c r="B1279" s="95">
        <v>1227</v>
      </c>
      <c r="C1279" s="95">
        <f t="shared" si="103"/>
        <v>441720</v>
      </c>
      <c r="D1279" s="95">
        <f ca="1">_xlfn.XLOOKUP(总览!$B$44,$B$40:$B$45,$C$40:$C$45)</f>
        <v>5</v>
      </c>
      <c r="E1279" s="95">
        <f ca="1" t="shared" si="106"/>
        <v>1257</v>
      </c>
      <c r="F1279" s="95">
        <f ca="1" t="shared" si="104"/>
        <v>0</v>
      </c>
      <c r="G1279" s="95">
        <f ca="1" t="shared" si="105"/>
        <v>0</v>
      </c>
      <c r="H1279" s="95" cm="1">
        <f ca="1" t="array" ref="H1279">MIN(30-SUM(I1279:L1279),_xlfn.XLOOKUP($D1279&amp;"_"&amp;H$52,$B$14:$B$36&amp;"_"&amp;$C$14:$C$36,$D$14:$D$36)*$E1279,18)</f>
        <v>12.4804</v>
      </c>
      <c r="I1279" s="95" cm="1">
        <f ca="1" t="array" ref="I1279">MIN(30-SUM(J1279:L1279),6-L1279,_xlfn.XLOOKUP($D1279&amp;"_"&amp;I$52,$B$14:$B$36&amp;"_"&amp;$C$14:$C$36,$D$14:$D$36)*$E1279)</f>
        <v>0</v>
      </c>
      <c r="J1279" s="95" cm="1">
        <f ca="1" t="array" ref="J1279">MIN(8,_xlfn.XLOOKUP($D1279&amp;"_"&amp;J$52,$B$14:$B$36&amp;"_"&amp;$C$14:$C$36,$D$14:$D$36)*$E1279)</f>
        <v>8</v>
      </c>
      <c r="K1279" s="95" cm="1">
        <f ca="1" t="array" ref="K1279">MIN(18,_xlfn.XLOOKUP($D1279&amp;"_"&amp;K$52,$B$14:$B$36&amp;"_"&amp;$C$14:$C$36,$D$14:$D$36)*$E1279)</f>
        <v>3.5196</v>
      </c>
      <c r="L1279" s="95" cm="1">
        <f ca="1" t="array" ref="L1279">MIN(6,_xlfn.XLOOKUP($D1279&amp;"_"&amp;L$52,$B$14:$B$36&amp;"_"&amp;$C$14:$C$36,$D$14:$D$36)*$E1279)</f>
        <v>6</v>
      </c>
      <c r="M1279" s="95" cm="1">
        <f ca="1" t="array" ref="M1279">(1+SUMPRODUCT(G1279:H1279,OFFSET($H$40:$I$40,D1279,0)))*(1+OFFSET($J$40,D1279,0))^I1279*(1+OFFSET($K$40,D1279,0))^J1279*(1+OFFSET($L$40,D1279,0))^K1279*(1+OFFSET($M$40,D1279,0))^L1279</f>
        <v>323.819287155086</v>
      </c>
      <c r="N1279" s="95">
        <f ca="1">MAX(MAX($N$53:N1278),OFFSET($C$52,MATCH(M1279*1.07,$M$53:$M$2052,1),0)-C1279)</f>
        <v>69840</v>
      </c>
    </row>
    <row r="1280" spans="2:14">
      <c r="B1280" s="95">
        <v>1228</v>
      </c>
      <c r="C1280" s="95">
        <f t="shared" si="103"/>
        <v>442080</v>
      </c>
      <c r="D1280" s="95">
        <f ca="1">_xlfn.XLOOKUP(总览!$B$44,$B$40:$B$45,$C$40:$C$45)</f>
        <v>5</v>
      </c>
      <c r="E1280" s="95">
        <f ca="1" t="shared" si="106"/>
        <v>1258</v>
      </c>
      <c r="F1280" s="95">
        <f ca="1" t="shared" si="104"/>
        <v>0</v>
      </c>
      <c r="G1280" s="95">
        <f ca="1" t="shared" si="105"/>
        <v>0</v>
      </c>
      <c r="H1280" s="95" cm="1">
        <f ca="1" t="array" ref="H1280">MIN(30-SUM(I1280:L1280),_xlfn.XLOOKUP($D1280&amp;"_"&amp;H$52,$B$14:$B$36&amp;"_"&amp;$C$14:$C$36,$D$14:$D$36)*$E1280,18)</f>
        <v>12.4776</v>
      </c>
      <c r="I1280" s="95" cm="1">
        <f ca="1" t="array" ref="I1280">MIN(30-SUM(J1280:L1280),6-L1280,_xlfn.XLOOKUP($D1280&amp;"_"&amp;I$52,$B$14:$B$36&amp;"_"&amp;$C$14:$C$36,$D$14:$D$36)*$E1280)</f>
        <v>0</v>
      </c>
      <c r="J1280" s="95" cm="1">
        <f ca="1" t="array" ref="J1280">MIN(8,_xlfn.XLOOKUP($D1280&amp;"_"&amp;J$52,$B$14:$B$36&amp;"_"&amp;$C$14:$C$36,$D$14:$D$36)*$E1280)</f>
        <v>8</v>
      </c>
      <c r="K1280" s="95" cm="1">
        <f ca="1" t="array" ref="K1280">MIN(18,_xlfn.XLOOKUP($D1280&amp;"_"&amp;K$52,$B$14:$B$36&amp;"_"&amp;$C$14:$C$36,$D$14:$D$36)*$E1280)</f>
        <v>3.5224</v>
      </c>
      <c r="L1280" s="95" cm="1">
        <f ca="1" t="array" ref="L1280">MIN(6,_xlfn.XLOOKUP($D1280&amp;"_"&amp;L$52,$B$14:$B$36&amp;"_"&amp;$C$14:$C$36,$D$14:$D$36)*$E1280)</f>
        <v>6</v>
      </c>
      <c r="M1280" s="95" cm="1">
        <f ca="1" t="array" ref="M1280">(1+SUMPRODUCT(G1280:H1280,OFFSET($H$40:$I$40,D1280,0)))*(1+OFFSET($J$40,D1280,0))^I1280*(1+OFFSET($K$40,D1280,0))^J1280*(1+OFFSET($L$40,D1280,0))^K1280*(1+OFFSET($M$40,D1280,0))^L1280</f>
        <v>323.93274355457</v>
      </c>
      <c r="N1280" s="95">
        <f ca="1">MAX(MAX($N$53:N1279),OFFSET($C$52,MATCH(M1280*1.07,$M$53:$M$2052,1),0)-C1280)</f>
        <v>69840</v>
      </c>
    </row>
    <row r="1281" spans="2:14">
      <c r="B1281" s="95">
        <v>1229</v>
      </c>
      <c r="C1281" s="95">
        <f t="shared" si="103"/>
        <v>442440</v>
      </c>
      <c r="D1281" s="95">
        <f ca="1">_xlfn.XLOOKUP(总览!$B$44,$B$40:$B$45,$C$40:$C$45)</f>
        <v>5</v>
      </c>
      <c r="E1281" s="95">
        <f ca="1" t="shared" si="106"/>
        <v>1259</v>
      </c>
      <c r="F1281" s="95">
        <f ca="1" t="shared" si="104"/>
        <v>0</v>
      </c>
      <c r="G1281" s="95">
        <f ca="1" t="shared" si="105"/>
        <v>0</v>
      </c>
      <c r="H1281" s="95" cm="1">
        <f ca="1" t="array" ref="H1281">MIN(30-SUM(I1281:L1281),_xlfn.XLOOKUP($D1281&amp;"_"&amp;H$52,$B$14:$B$36&amp;"_"&amp;$C$14:$C$36,$D$14:$D$36)*$E1281,18)</f>
        <v>12.4748</v>
      </c>
      <c r="I1281" s="95" cm="1">
        <f ca="1" t="array" ref="I1281">MIN(30-SUM(J1281:L1281),6-L1281,_xlfn.XLOOKUP($D1281&amp;"_"&amp;I$52,$B$14:$B$36&amp;"_"&amp;$C$14:$C$36,$D$14:$D$36)*$E1281)</f>
        <v>0</v>
      </c>
      <c r="J1281" s="95" cm="1">
        <f ca="1" t="array" ref="J1281">MIN(8,_xlfn.XLOOKUP($D1281&amp;"_"&amp;J$52,$B$14:$B$36&amp;"_"&amp;$C$14:$C$36,$D$14:$D$36)*$E1281)</f>
        <v>8</v>
      </c>
      <c r="K1281" s="95" cm="1">
        <f ca="1" t="array" ref="K1281">MIN(18,_xlfn.XLOOKUP($D1281&amp;"_"&amp;K$52,$B$14:$B$36&amp;"_"&amp;$C$14:$C$36,$D$14:$D$36)*$E1281)</f>
        <v>3.5252</v>
      </c>
      <c r="L1281" s="95" cm="1">
        <f ca="1" t="array" ref="L1281">MIN(6,_xlfn.XLOOKUP($D1281&amp;"_"&amp;L$52,$B$14:$B$36&amp;"_"&amp;$C$14:$C$36,$D$14:$D$36)*$E1281)</f>
        <v>6</v>
      </c>
      <c r="M1281" s="95" cm="1">
        <f ca="1" t="array" ref="M1281">(1+SUMPRODUCT(G1281:H1281,OFFSET($H$40:$I$40,D1281,0)))*(1+OFFSET($J$40,D1281,0))^I1281*(1+OFFSET($K$40,D1281,0))^J1281*(1+OFFSET($L$40,D1281,0))^K1281*(1+OFFSET($M$40,D1281,0))^L1281</f>
        <v>324.046231388854</v>
      </c>
      <c r="N1281" s="95">
        <f ca="1">MAX(MAX($N$53:N1280),OFFSET($C$52,MATCH(M1281*1.07,$M$53:$M$2052,1),0)-C1281)</f>
        <v>69840</v>
      </c>
    </row>
    <row r="1282" spans="2:14">
      <c r="B1282" s="95">
        <v>1230</v>
      </c>
      <c r="C1282" s="95">
        <f t="shared" si="103"/>
        <v>442800</v>
      </c>
      <c r="D1282" s="95">
        <f ca="1">_xlfn.XLOOKUP(总览!$B$44,$B$40:$B$45,$C$40:$C$45)</f>
        <v>5</v>
      </c>
      <c r="E1282" s="95">
        <f ca="1" t="shared" si="106"/>
        <v>1260</v>
      </c>
      <c r="F1282" s="95">
        <f ca="1" t="shared" si="104"/>
        <v>0</v>
      </c>
      <c r="G1282" s="95">
        <f ca="1" t="shared" si="105"/>
        <v>0</v>
      </c>
      <c r="H1282" s="95" cm="1">
        <f ca="1" t="array" ref="H1282">MIN(30-SUM(I1282:L1282),_xlfn.XLOOKUP($D1282&amp;"_"&amp;H$52,$B$14:$B$36&amp;"_"&amp;$C$14:$C$36,$D$14:$D$36)*$E1282,18)</f>
        <v>12.472</v>
      </c>
      <c r="I1282" s="95" cm="1">
        <f ca="1" t="array" ref="I1282">MIN(30-SUM(J1282:L1282),6-L1282,_xlfn.XLOOKUP($D1282&amp;"_"&amp;I$52,$B$14:$B$36&amp;"_"&amp;$C$14:$C$36,$D$14:$D$36)*$E1282)</f>
        <v>0</v>
      </c>
      <c r="J1282" s="95" cm="1">
        <f ca="1" t="array" ref="J1282">MIN(8,_xlfn.XLOOKUP($D1282&amp;"_"&amp;J$52,$B$14:$B$36&amp;"_"&amp;$C$14:$C$36,$D$14:$D$36)*$E1282)</f>
        <v>8</v>
      </c>
      <c r="K1282" s="95" cm="1">
        <f ca="1" t="array" ref="K1282">MIN(18,_xlfn.XLOOKUP($D1282&amp;"_"&amp;K$52,$B$14:$B$36&amp;"_"&amp;$C$14:$C$36,$D$14:$D$36)*$E1282)</f>
        <v>3.528</v>
      </c>
      <c r="L1282" s="95" cm="1">
        <f ca="1" t="array" ref="L1282">MIN(6,_xlfn.XLOOKUP($D1282&amp;"_"&amp;L$52,$B$14:$B$36&amp;"_"&amp;$C$14:$C$36,$D$14:$D$36)*$E1282)</f>
        <v>6</v>
      </c>
      <c r="M1282" s="95" cm="1">
        <f ca="1" t="array" ref="M1282">(1+SUMPRODUCT(G1282:H1282,OFFSET($H$40:$I$40,D1282,0)))*(1+OFFSET($J$40,D1282,0))^I1282*(1+OFFSET($K$40,D1282,0))^J1282*(1+OFFSET($L$40,D1282,0))^K1282*(1+OFFSET($M$40,D1282,0))^L1282</f>
        <v>324.159750660458</v>
      </c>
      <c r="N1282" s="95">
        <f ca="1">MAX(MAX($N$53:N1281),OFFSET($C$52,MATCH(M1282*1.07,$M$53:$M$2052,1),0)-C1282)</f>
        <v>69840</v>
      </c>
    </row>
    <row r="1283" spans="2:14">
      <c r="B1283" s="95">
        <v>1231</v>
      </c>
      <c r="C1283" s="95">
        <f t="shared" si="103"/>
        <v>443160</v>
      </c>
      <c r="D1283" s="95">
        <f ca="1">_xlfn.XLOOKUP(总览!$B$44,$B$40:$B$45,$C$40:$C$45)</f>
        <v>5</v>
      </c>
      <c r="E1283" s="95">
        <f ca="1" t="shared" si="106"/>
        <v>1261</v>
      </c>
      <c r="F1283" s="95">
        <f ca="1" t="shared" si="104"/>
        <v>0</v>
      </c>
      <c r="G1283" s="95">
        <f ca="1" t="shared" si="105"/>
        <v>0</v>
      </c>
      <c r="H1283" s="95" cm="1">
        <f ca="1" t="array" ref="H1283">MIN(30-SUM(I1283:L1283),_xlfn.XLOOKUP($D1283&amp;"_"&amp;H$52,$B$14:$B$36&amp;"_"&amp;$C$14:$C$36,$D$14:$D$36)*$E1283,18)</f>
        <v>12.4692</v>
      </c>
      <c r="I1283" s="95" cm="1">
        <f ca="1" t="array" ref="I1283">MIN(30-SUM(J1283:L1283),6-L1283,_xlfn.XLOOKUP($D1283&amp;"_"&amp;I$52,$B$14:$B$36&amp;"_"&amp;$C$14:$C$36,$D$14:$D$36)*$E1283)</f>
        <v>0</v>
      </c>
      <c r="J1283" s="95" cm="1">
        <f ca="1" t="array" ref="J1283">MIN(8,_xlfn.XLOOKUP($D1283&amp;"_"&amp;J$52,$B$14:$B$36&amp;"_"&amp;$C$14:$C$36,$D$14:$D$36)*$E1283)</f>
        <v>8</v>
      </c>
      <c r="K1283" s="95" cm="1">
        <f ca="1" t="array" ref="K1283">MIN(18,_xlfn.XLOOKUP($D1283&amp;"_"&amp;K$52,$B$14:$B$36&amp;"_"&amp;$C$14:$C$36,$D$14:$D$36)*$E1283)</f>
        <v>3.5308</v>
      </c>
      <c r="L1283" s="95" cm="1">
        <f ca="1" t="array" ref="L1283">MIN(6,_xlfn.XLOOKUP($D1283&amp;"_"&amp;L$52,$B$14:$B$36&amp;"_"&amp;$C$14:$C$36,$D$14:$D$36)*$E1283)</f>
        <v>6</v>
      </c>
      <c r="M1283" s="95" cm="1">
        <f ca="1" t="array" ref="M1283">(1+SUMPRODUCT(G1283:H1283,OFFSET($H$40:$I$40,D1283,0)))*(1+OFFSET($J$40,D1283,0))^I1283*(1+OFFSET($K$40,D1283,0))^J1283*(1+OFFSET($L$40,D1283,0))^K1283*(1+OFFSET($M$40,D1283,0))^L1283</f>
        <v>324.273301371896</v>
      </c>
      <c r="N1283" s="95">
        <f ca="1">MAX(MAX($N$53:N1282),OFFSET($C$52,MATCH(M1283*1.07,$M$53:$M$2052,1),0)-C1283)</f>
        <v>69840</v>
      </c>
    </row>
    <row r="1284" spans="2:14">
      <c r="B1284" s="95">
        <v>1232</v>
      </c>
      <c r="C1284" s="95">
        <f t="shared" si="103"/>
        <v>443520</v>
      </c>
      <c r="D1284" s="95">
        <f ca="1">_xlfn.XLOOKUP(总览!$B$44,$B$40:$B$45,$C$40:$C$45)</f>
        <v>5</v>
      </c>
      <c r="E1284" s="95">
        <f ca="1" t="shared" si="106"/>
        <v>1262</v>
      </c>
      <c r="F1284" s="95">
        <f ca="1" t="shared" si="104"/>
        <v>0</v>
      </c>
      <c r="G1284" s="95">
        <f ca="1" t="shared" si="105"/>
        <v>0</v>
      </c>
      <c r="H1284" s="95" cm="1">
        <f ca="1" t="array" ref="H1284">MIN(30-SUM(I1284:L1284),_xlfn.XLOOKUP($D1284&amp;"_"&amp;H$52,$B$14:$B$36&amp;"_"&amp;$C$14:$C$36,$D$14:$D$36)*$E1284,18)</f>
        <v>12.4664</v>
      </c>
      <c r="I1284" s="95" cm="1">
        <f ca="1" t="array" ref="I1284">MIN(30-SUM(J1284:L1284),6-L1284,_xlfn.XLOOKUP($D1284&amp;"_"&amp;I$52,$B$14:$B$36&amp;"_"&amp;$C$14:$C$36,$D$14:$D$36)*$E1284)</f>
        <v>0</v>
      </c>
      <c r="J1284" s="95" cm="1">
        <f ca="1" t="array" ref="J1284">MIN(8,_xlfn.XLOOKUP($D1284&amp;"_"&amp;J$52,$B$14:$B$36&amp;"_"&amp;$C$14:$C$36,$D$14:$D$36)*$E1284)</f>
        <v>8</v>
      </c>
      <c r="K1284" s="95" cm="1">
        <f ca="1" t="array" ref="K1284">MIN(18,_xlfn.XLOOKUP($D1284&amp;"_"&amp;K$52,$B$14:$B$36&amp;"_"&amp;$C$14:$C$36,$D$14:$D$36)*$E1284)</f>
        <v>3.5336</v>
      </c>
      <c r="L1284" s="95" cm="1">
        <f ca="1" t="array" ref="L1284">MIN(6,_xlfn.XLOOKUP($D1284&amp;"_"&amp;L$52,$B$14:$B$36&amp;"_"&amp;$C$14:$C$36,$D$14:$D$36)*$E1284)</f>
        <v>6</v>
      </c>
      <c r="M1284" s="95" cm="1">
        <f ca="1" t="array" ref="M1284">(1+SUMPRODUCT(G1284:H1284,OFFSET($H$40:$I$40,D1284,0)))*(1+OFFSET($J$40,D1284,0))^I1284*(1+OFFSET($K$40,D1284,0))^J1284*(1+OFFSET($L$40,D1284,0))^K1284*(1+OFFSET($M$40,D1284,0))^L1284</f>
        <v>324.386883525678</v>
      </c>
      <c r="N1284" s="95">
        <f ca="1">MAX(MAX($N$53:N1283),OFFSET($C$52,MATCH(M1284*1.07,$M$53:$M$2052,1),0)-C1284)</f>
        <v>69840</v>
      </c>
    </row>
    <row r="1285" spans="2:14">
      <c r="B1285" s="95">
        <v>1233</v>
      </c>
      <c r="C1285" s="95">
        <f t="shared" si="103"/>
        <v>443880</v>
      </c>
      <c r="D1285" s="95">
        <f ca="1">_xlfn.XLOOKUP(总览!$B$44,$B$40:$B$45,$C$40:$C$45)</f>
        <v>5</v>
      </c>
      <c r="E1285" s="95">
        <f ca="1" t="shared" si="106"/>
        <v>1263</v>
      </c>
      <c r="F1285" s="95">
        <f ca="1" t="shared" si="104"/>
        <v>0</v>
      </c>
      <c r="G1285" s="95">
        <f ca="1" t="shared" si="105"/>
        <v>0</v>
      </c>
      <c r="H1285" s="95" cm="1">
        <f ca="1" t="array" ref="H1285">MIN(30-SUM(I1285:L1285),_xlfn.XLOOKUP($D1285&amp;"_"&amp;H$52,$B$14:$B$36&amp;"_"&amp;$C$14:$C$36,$D$14:$D$36)*$E1285,18)</f>
        <v>12.4636</v>
      </c>
      <c r="I1285" s="95" cm="1">
        <f ca="1" t="array" ref="I1285">MIN(30-SUM(J1285:L1285),6-L1285,_xlfn.XLOOKUP($D1285&amp;"_"&amp;I$52,$B$14:$B$36&amp;"_"&amp;$C$14:$C$36,$D$14:$D$36)*$E1285)</f>
        <v>0</v>
      </c>
      <c r="J1285" s="95" cm="1">
        <f ca="1" t="array" ref="J1285">MIN(8,_xlfn.XLOOKUP($D1285&amp;"_"&amp;J$52,$B$14:$B$36&amp;"_"&amp;$C$14:$C$36,$D$14:$D$36)*$E1285)</f>
        <v>8</v>
      </c>
      <c r="K1285" s="95" cm="1">
        <f ca="1" t="array" ref="K1285">MIN(18,_xlfn.XLOOKUP($D1285&amp;"_"&amp;K$52,$B$14:$B$36&amp;"_"&amp;$C$14:$C$36,$D$14:$D$36)*$E1285)</f>
        <v>3.5364</v>
      </c>
      <c r="L1285" s="95" cm="1">
        <f ca="1" t="array" ref="L1285">MIN(6,_xlfn.XLOOKUP($D1285&amp;"_"&amp;L$52,$B$14:$B$36&amp;"_"&amp;$C$14:$C$36,$D$14:$D$36)*$E1285)</f>
        <v>6</v>
      </c>
      <c r="M1285" s="95" cm="1">
        <f ca="1" t="array" ref="M1285">(1+SUMPRODUCT(G1285:H1285,OFFSET($H$40:$I$40,D1285,0)))*(1+OFFSET($J$40,D1285,0))^I1285*(1+OFFSET($K$40,D1285,0))^J1285*(1+OFFSET($L$40,D1285,0))^K1285*(1+OFFSET($M$40,D1285,0))^L1285</f>
        <v>324.500497124306</v>
      </c>
      <c r="N1285" s="95">
        <f ca="1">MAX(MAX($N$53:N1284),OFFSET($C$52,MATCH(M1285*1.07,$M$53:$M$2052,1),0)-C1285)</f>
        <v>69840</v>
      </c>
    </row>
    <row r="1286" spans="2:14">
      <c r="B1286" s="95">
        <v>1234</v>
      </c>
      <c r="C1286" s="95">
        <f t="shared" si="103"/>
        <v>444240</v>
      </c>
      <c r="D1286" s="95">
        <f ca="1">_xlfn.XLOOKUP(总览!$B$44,$B$40:$B$45,$C$40:$C$45)</f>
        <v>5</v>
      </c>
      <c r="E1286" s="95">
        <f ca="1" t="shared" si="106"/>
        <v>1264</v>
      </c>
      <c r="F1286" s="95">
        <f ca="1" t="shared" si="104"/>
        <v>0</v>
      </c>
      <c r="G1286" s="95">
        <f ca="1" t="shared" si="105"/>
        <v>0</v>
      </c>
      <c r="H1286" s="95" cm="1">
        <f ca="1" t="array" ref="H1286">MIN(30-SUM(I1286:L1286),_xlfn.XLOOKUP($D1286&amp;"_"&amp;H$52,$B$14:$B$36&amp;"_"&amp;$C$14:$C$36,$D$14:$D$36)*$E1286,18)</f>
        <v>12.4608</v>
      </c>
      <c r="I1286" s="95" cm="1">
        <f ca="1" t="array" ref="I1286">MIN(30-SUM(J1286:L1286),6-L1286,_xlfn.XLOOKUP($D1286&amp;"_"&amp;I$52,$B$14:$B$36&amp;"_"&amp;$C$14:$C$36,$D$14:$D$36)*$E1286)</f>
        <v>0</v>
      </c>
      <c r="J1286" s="95" cm="1">
        <f ca="1" t="array" ref="J1286">MIN(8,_xlfn.XLOOKUP($D1286&amp;"_"&amp;J$52,$B$14:$B$36&amp;"_"&amp;$C$14:$C$36,$D$14:$D$36)*$E1286)</f>
        <v>8</v>
      </c>
      <c r="K1286" s="95" cm="1">
        <f ca="1" t="array" ref="K1286">MIN(18,_xlfn.XLOOKUP($D1286&amp;"_"&amp;K$52,$B$14:$B$36&amp;"_"&amp;$C$14:$C$36,$D$14:$D$36)*$E1286)</f>
        <v>3.5392</v>
      </c>
      <c r="L1286" s="95" cm="1">
        <f ca="1" t="array" ref="L1286">MIN(6,_xlfn.XLOOKUP($D1286&amp;"_"&amp;L$52,$B$14:$B$36&amp;"_"&amp;$C$14:$C$36,$D$14:$D$36)*$E1286)</f>
        <v>6</v>
      </c>
      <c r="M1286" s="95" cm="1">
        <f ca="1" t="array" ref="M1286">(1+SUMPRODUCT(G1286:H1286,OFFSET($H$40:$I$40,D1286,0)))*(1+OFFSET($J$40,D1286,0))^I1286*(1+OFFSET($K$40,D1286,0))^J1286*(1+OFFSET($L$40,D1286,0))^K1286*(1+OFFSET($M$40,D1286,0))^L1286</f>
        <v>324.614142170279</v>
      </c>
      <c r="N1286" s="95">
        <f ca="1">MAX(MAX($N$53:N1285),OFFSET($C$52,MATCH(M1286*1.07,$M$53:$M$2052,1),0)-C1286)</f>
        <v>69840</v>
      </c>
    </row>
    <row r="1287" spans="2:14">
      <c r="B1287" s="95">
        <v>1235</v>
      </c>
      <c r="C1287" s="95">
        <f t="shared" si="103"/>
        <v>444600</v>
      </c>
      <c r="D1287" s="95">
        <f ca="1">_xlfn.XLOOKUP(总览!$B$44,$B$40:$B$45,$C$40:$C$45)</f>
        <v>5</v>
      </c>
      <c r="E1287" s="95">
        <f ca="1" t="shared" si="106"/>
        <v>1265</v>
      </c>
      <c r="F1287" s="95">
        <f ca="1" t="shared" si="104"/>
        <v>0</v>
      </c>
      <c r="G1287" s="95">
        <f ca="1" t="shared" si="105"/>
        <v>0</v>
      </c>
      <c r="H1287" s="95" cm="1">
        <f ca="1" t="array" ref="H1287">MIN(30-SUM(I1287:L1287),_xlfn.XLOOKUP($D1287&amp;"_"&amp;H$52,$B$14:$B$36&amp;"_"&amp;$C$14:$C$36,$D$14:$D$36)*$E1287,18)</f>
        <v>12.458</v>
      </c>
      <c r="I1287" s="95" cm="1">
        <f ca="1" t="array" ref="I1287">MIN(30-SUM(J1287:L1287),6-L1287,_xlfn.XLOOKUP($D1287&amp;"_"&amp;I$52,$B$14:$B$36&amp;"_"&amp;$C$14:$C$36,$D$14:$D$36)*$E1287)</f>
        <v>0</v>
      </c>
      <c r="J1287" s="95" cm="1">
        <f ca="1" t="array" ref="J1287">MIN(8,_xlfn.XLOOKUP($D1287&amp;"_"&amp;J$52,$B$14:$B$36&amp;"_"&amp;$C$14:$C$36,$D$14:$D$36)*$E1287)</f>
        <v>8</v>
      </c>
      <c r="K1287" s="95" cm="1">
        <f ca="1" t="array" ref="K1287">MIN(18,_xlfn.XLOOKUP($D1287&amp;"_"&amp;K$52,$B$14:$B$36&amp;"_"&amp;$C$14:$C$36,$D$14:$D$36)*$E1287)</f>
        <v>3.542</v>
      </c>
      <c r="L1287" s="95" cm="1">
        <f ca="1" t="array" ref="L1287">MIN(6,_xlfn.XLOOKUP($D1287&amp;"_"&amp;L$52,$B$14:$B$36&amp;"_"&amp;$C$14:$C$36,$D$14:$D$36)*$E1287)</f>
        <v>6</v>
      </c>
      <c r="M1287" s="95" cm="1">
        <f ca="1" t="array" ref="M1287">(1+SUMPRODUCT(G1287:H1287,OFFSET($H$40:$I$40,D1287,0)))*(1+OFFSET($J$40,D1287,0))^I1287*(1+OFFSET($K$40,D1287,0))^J1287*(1+OFFSET($L$40,D1287,0))^K1287*(1+OFFSET($M$40,D1287,0))^L1287</f>
        <v>324.727818666087</v>
      </c>
      <c r="N1287" s="95">
        <f ca="1">MAX(MAX($N$53:N1286),OFFSET($C$52,MATCH(M1287*1.07,$M$53:$M$2052,1),0)-C1287)</f>
        <v>69840</v>
      </c>
    </row>
    <row r="1288" spans="2:14">
      <c r="B1288" s="95">
        <v>1236</v>
      </c>
      <c r="C1288" s="95">
        <f t="shared" si="103"/>
        <v>444960</v>
      </c>
      <c r="D1288" s="95">
        <f ca="1">_xlfn.XLOOKUP(总览!$B$44,$B$40:$B$45,$C$40:$C$45)</f>
        <v>5</v>
      </c>
      <c r="E1288" s="95">
        <f ca="1" t="shared" si="106"/>
        <v>1266</v>
      </c>
      <c r="F1288" s="95">
        <f ca="1" t="shared" si="104"/>
        <v>0</v>
      </c>
      <c r="G1288" s="95">
        <f ca="1" t="shared" si="105"/>
        <v>0</v>
      </c>
      <c r="H1288" s="95" cm="1">
        <f ca="1" t="array" ref="H1288">MIN(30-SUM(I1288:L1288),_xlfn.XLOOKUP($D1288&amp;"_"&amp;H$52,$B$14:$B$36&amp;"_"&amp;$C$14:$C$36,$D$14:$D$36)*$E1288,18)</f>
        <v>12.4552</v>
      </c>
      <c r="I1288" s="95" cm="1">
        <f ca="1" t="array" ref="I1288">MIN(30-SUM(J1288:L1288),6-L1288,_xlfn.XLOOKUP($D1288&amp;"_"&amp;I$52,$B$14:$B$36&amp;"_"&amp;$C$14:$C$36,$D$14:$D$36)*$E1288)</f>
        <v>0</v>
      </c>
      <c r="J1288" s="95" cm="1">
        <f ca="1" t="array" ref="J1288">MIN(8,_xlfn.XLOOKUP($D1288&amp;"_"&amp;J$52,$B$14:$B$36&amp;"_"&amp;$C$14:$C$36,$D$14:$D$36)*$E1288)</f>
        <v>8</v>
      </c>
      <c r="K1288" s="95" cm="1">
        <f ca="1" t="array" ref="K1288">MIN(18,_xlfn.XLOOKUP($D1288&amp;"_"&amp;K$52,$B$14:$B$36&amp;"_"&amp;$C$14:$C$36,$D$14:$D$36)*$E1288)</f>
        <v>3.5448</v>
      </c>
      <c r="L1288" s="95" cm="1">
        <f ca="1" t="array" ref="L1288">MIN(6,_xlfn.XLOOKUP($D1288&amp;"_"&amp;L$52,$B$14:$B$36&amp;"_"&amp;$C$14:$C$36,$D$14:$D$36)*$E1288)</f>
        <v>6</v>
      </c>
      <c r="M1288" s="95" cm="1">
        <f ca="1" t="array" ref="M1288">(1+SUMPRODUCT(G1288:H1288,OFFSET($H$40:$I$40,D1288,0)))*(1+OFFSET($J$40,D1288,0))^I1288*(1+OFFSET($K$40,D1288,0))^J1288*(1+OFFSET($L$40,D1288,0))^K1288*(1+OFFSET($M$40,D1288,0))^L1288</f>
        <v>324.841526614218</v>
      </c>
      <c r="N1288" s="95">
        <f ca="1">MAX(MAX($N$53:N1287),OFFSET($C$52,MATCH(M1288*1.07,$M$53:$M$2052,1),0)-C1288)</f>
        <v>69840</v>
      </c>
    </row>
    <row r="1289" spans="2:14">
      <c r="B1289" s="95">
        <v>1237</v>
      </c>
      <c r="C1289" s="95">
        <f t="shared" si="103"/>
        <v>445320</v>
      </c>
      <c r="D1289" s="95">
        <f ca="1">_xlfn.XLOOKUP(总览!$B$44,$B$40:$B$45,$C$40:$C$45)</f>
        <v>5</v>
      </c>
      <c r="E1289" s="95">
        <f ca="1" t="shared" si="106"/>
        <v>1267</v>
      </c>
      <c r="F1289" s="95">
        <f ca="1" t="shared" si="104"/>
        <v>0</v>
      </c>
      <c r="G1289" s="95">
        <f ca="1" t="shared" si="105"/>
        <v>0</v>
      </c>
      <c r="H1289" s="95" cm="1">
        <f ca="1" t="array" ref="H1289">MIN(30-SUM(I1289:L1289),_xlfn.XLOOKUP($D1289&amp;"_"&amp;H$52,$B$14:$B$36&amp;"_"&amp;$C$14:$C$36,$D$14:$D$36)*$E1289,18)</f>
        <v>12.4524</v>
      </c>
      <c r="I1289" s="95" cm="1">
        <f ca="1" t="array" ref="I1289">MIN(30-SUM(J1289:L1289),6-L1289,_xlfn.XLOOKUP($D1289&amp;"_"&amp;I$52,$B$14:$B$36&amp;"_"&amp;$C$14:$C$36,$D$14:$D$36)*$E1289)</f>
        <v>0</v>
      </c>
      <c r="J1289" s="95" cm="1">
        <f ca="1" t="array" ref="J1289">MIN(8,_xlfn.XLOOKUP($D1289&amp;"_"&amp;J$52,$B$14:$B$36&amp;"_"&amp;$C$14:$C$36,$D$14:$D$36)*$E1289)</f>
        <v>8</v>
      </c>
      <c r="K1289" s="95" cm="1">
        <f ca="1" t="array" ref="K1289">MIN(18,_xlfn.XLOOKUP($D1289&amp;"_"&amp;K$52,$B$14:$B$36&amp;"_"&amp;$C$14:$C$36,$D$14:$D$36)*$E1289)</f>
        <v>3.5476</v>
      </c>
      <c r="L1289" s="95" cm="1">
        <f ca="1" t="array" ref="L1289">MIN(6,_xlfn.XLOOKUP($D1289&amp;"_"&amp;L$52,$B$14:$B$36&amp;"_"&amp;$C$14:$C$36,$D$14:$D$36)*$E1289)</f>
        <v>6</v>
      </c>
      <c r="M1289" s="95" cm="1">
        <f ca="1" t="array" ref="M1289">(1+SUMPRODUCT(G1289:H1289,OFFSET($H$40:$I$40,D1289,0)))*(1+OFFSET($J$40,D1289,0))^I1289*(1+OFFSET($K$40,D1289,0))^J1289*(1+OFFSET($L$40,D1289,0))^K1289*(1+OFFSET($M$40,D1289,0))^L1289</f>
        <v>324.955266017152</v>
      </c>
      <c r="N1289" s="95">
        <f ca="1">MAX(MAX($N$53:N1288),OFFSET($C$52,MATCH(M1289*1.07,$M$53:$M$2052,1),0)-C1289)</f>
        <v>69840</v>
      </c>
    </row>
    <row r="1290" spans="2:14">
      <c r="B1290" s="95">
        <v>1238</v>
      </c>
      <c r="C1290" s="95">
        <f t="shared" si="103"/>
        <v>445680</v>
      </c>
      <c r="D1290" s="95">
        <f ca="1">_xlfn.XLOOKUP(总览!$B$44,$B$40:$B$45,$C$40:$C$45)</f>
        <v>5</v>
      </c>
      <c r="E1290" s="95">
        <f ca="1" t="shared" si="106"/>
        <v>1268</v>
      </c>
      <c r="F1290" s="95">
        <f ca="1" t="shared" si="104"/>
        <v>0</v>
      </c>
      <c r="G1290" s="95">
        <f ca="1" t="shared" si="105"/>
        <v>0</v>
      </c>
      <c r="H1290" s="95" cm="1">
        <f ca="1" t="array" ref="H1290">MIN(30-SUM(I1290:L1290),_xlfn.XLOOKUP($D1290&amp;"_"&amp;H$52,$B$14:$B$36&amp;"_"&amp;$C$14:$C$36,$D$14:$D$36)*$E1290,18)</f>
        <v>12.4496</v>
      </c>
      <c r="I1290" s="95" cm="1">
        <f ca="1" t="array" ref="I1290">MIN(30-SUM(J1290:L1290),6-L1290,_xlfn.XLOOKUP($D1290&amp;"_"&amp;I$52,$B$14:$B$36&amp;"_"&amp;$C$14:$C$36,$D$14:$D$36)*$E1290)</f>
        <v>0</v>
      </c>
      <c r="J1290" s="95" cm="1">
        <f ca="1" t="array" ref="J1290">MIN(8,_xlfn.XLOOKUP($D1290&amp;"_"&amp;J$52,$B$14:$B$36&amp;"_"&amp;$C$14:$C$36,$D$14:$D$36)*$E1290)</f>
        <v>8</v>
      </c>
      <c r="K1290" s="95" cm="1">
        <f ca="1" t="array" ref="K1290">MIN(18,_xlfn.XLOOKUP($D1290&amp;"_"&amp;K$52,$B$14:$B$36&amp;"_"&amp;$C$14:$C$36,$D$14:$D$36)*$E1290)</f>
        <v>3.5504</v>
      </c>
      <c r="L1290" s="95" cm="1">
        <f ca="1" t="array" ref="L1290">MIN(6,_xlfn.XLOOKUP($D1290&amp;"_"&amp;L$52,$B$14:$B$36&amp;"_"&amp;$C$14:$C$36,$D$14:$D$36)*$E1290)</f>
        <v>6</v>
      </c>
      <c r="M1290" s="95" cm="1">
        <f ca="1" t="array" ref="M1290">(1+SUMPRODUCT(G1290:H1290,OFFSET($H$40:$I$40,D1290,0)))*(1+OFFSET($J$40,D1290,0))^I1290*(1+OFFSET($K$40,D1290,0))^J1290*(1+OFFSET($L$40,D1290,0))^K1290*(1+OFFSET($M$40,D1290,0))^L1290</f>
        <v>325.069036877363</v>
      </c>
      <c r="N1290" s="95">
        <f ca="1">MAX(MAX($N$53:N1289),OFFSET($C$52,MATCH(M1290*1.07,$M$53:$M$2052,1),0)-C1290)</f>
        <v>69840</v>
      </c>
    </row>
    <row r="1291" spans="2:14">
      <c r="B1291" s="95">
        <v>1239</v>
      </c>
      <c r="C1291" s="95">
        <f t="shared" si="103"/>
        <v>446040</v>
      </c>
      <c r="D1291" s="95">
        <f ca="1">_xlfn.XLOOKUP(总览!$B$44,$B$40:$B$45,$C$40:$C$45)</f>
        <v>5</v>
      </c>
      <c r="E1291" s="95">
        <f ca="1" t="shared" si="106"/>
        <v>1269</v>
      </c>
      <c r="F1291" s="95">
        <f ca="1" t="shared" si="104"/>
        <v>0</v>
      </c>
      <c r="G1291" s="95">
        <f ca="1" t="shared" si="105"/>
        <v>0</v>
      </c>
      <c r="H1291" s="95" cm="1">
        <f ca="1" t="array" ref="H1291">MIN(30-SUM(I1291:L1291),_xlfn.XLOOKUP($D1291&amp;"_"&amp;H$52,$B$14:$B$36&amp;"_"&amp;$C$14:$C$36,$D$14:$D$36)*$E1291,18)</f>
        <v>12.4468</v>
      </c>
      <c r="I1291" s="95" cm="1">
        <f ca="1" t="array" ref="I1291">MIN(30-SUM(J1291:L1291),6-L1291,_xlfn.XLOOKUP($D1291&amp;"_"&amp;I$52,$B$14:$B$36&amp;"_"&amp;$C$14:$C$36,$D$14:$D$36)*$E1291)</f>
        <v>0</v>
      </c>
      <c r="J1291" s="95" cm="1">
        <f ca="1" t="array" ref="J1291">MIN(8,_xlfn.XLOOKUP($D1291&amp;"_"&amp;J$52,$B$14:$B$36&amp;"_"&amp;$C$14:$C$36,$D$14:$D$36)*$E1291)</f>
        <v>8</v>
      </c>
      <c r="K1291" s="95" cm="1">
        <f ca="1" t="array" ref="K1291">MIN(18,_xlfn.XLOOKUP($D1291&amp;"_"&amp;K$52,$B$14:$B$36&amp;"_"&amp;$C$14:$C$36,$D$14:$D$36)*$E1291)</f>
        <v>3.5532</v>
      </c>
      <c r="L1291" s="95" cm="1">
        <f ca="1" t="array" ref="L1291">MIN(6,_xlfn.XLOOKUP($D1291&amp;"_"&amp;L$52,$B$14:$B$36&amp;"_"&amp;$C$14:$C$36,$D$14:$D$36)*$E1291)</f>
        <v>6</v>
      </c>
      <c r="M1291" s="95" cm="1">
        <f ca="1" t="array" ref="M1291">(1+SUMPRODUCT(G1291:H1291,OFFSET($H$40:$I$40,D1291,0)))*(1+OFFSET($J$40,D1291,0))^I1291*(1+OFFSET($K$40,D1291,0))^J1291*(1+OFFSET($L$40,D1291,0))^K1291*(1+OFFSET($M$40,D1291,0))^L1291</f>
        <v>325.182839197322</v>
      </c>
      <c r="N1291" s="95">
        <f ca="1">MAX(MAX($N$53:N1290),OFFSET($C$52,MATCH(M1291*1.07,$M$53:$M$2052,1),0)-C1291)</f>
        <v>69840</v>
      </c>
    </row>
    <row r="1292" spans="2:14">
      <c r="B1292" s="95">
        <v>1240</v>
      </c>
      <c r="C1292" s="95">
        <f t="shared" si="103"/>
        <v>446400</v>
      </c>
      <c r="D1292" s="95">
        <f ca="1">_xlfn.XLOOKUP(总览!$B$44,$B$40:$B$45,$C$40:$C$45)</f>
        <v>5</v>
      </c>
      <c r="E1292" s="95">
        <f ca="1" t="shared" si="106"/>
        <v>1270</v>
      </c>
      <c r="F1292" s="95">
        <f ca="1" t="shared" si="104"/>
        <v>0</v>
      </c>
      <c r="G1292" s="95">
        <f ca="1" t="shared" si="105"/>
        <v>0</v>
      </c>
      <c r="H1292" s="95" cm="1">
        <f ca="1" t="array" ref="H1292">MIN(30-SUM(I1292:L1292),_xlfn.XLOOKUP($D1292&amp;"_"&amp;H$52,$B$14:$B$36&amp;"_"&amp;$C$14:$C$36,$D$14:$D$36)*$E1292,18)</f>
        <v>12.444</v>
      </c>
      <c r="I1292" s="95" cm="1">
        <f ca="1" t="array" ref="I1292">MIN(30-SUM(J1292:L1292),6-L1292,_xlfn.XLOOKUP($D1292&amp;"_"&amp;I$52,$B$14:$B$36&amp;"_"&amp;$C$14:$C$36,$D$14:$D$36)*$E1292)</f>
        <v>0</v>
      </c>
      <c r="J1292" s="95" cm="1">
        <f ca="1" t="array" ref="J1292">MIN(8,_xlfn.XLOOKUP($D1292&amp;"_"&amp;J$52,$B$14:$B$36&amp;"_"&amp;$C$14:$C$36,$D$14:$D$36)*$E1292)</f>
        <v>8</v>
      </c>
      <c r="K1292" s="95" cm="1">
        <f ca="1" t="array" ref="K1292">MIN(18,_xlfn.XLOOKUP($D1292&amp;"_"&amp;K$52,$B$14:$B$36&amp;"_"&amp;$C$14:$C$36,$D$14:$D$36)*$E1292)</f>
        <v>3.556</v>
      </c>
      <c r="L1292" s="95" cm="1">
        <f ca="1" t="array" ref="L1292">MIN(6,_xlfn.XLOOKUP($D1292&amp;"_"&amp;L$52,$B$14:$B$36&amp;"_"&amp;$C$14:$C$36,$D$14:$D$36)*$E1292)</f>
        <v>6</v>
      </c>
      <c r="M1292" s="95" cm="1">
        <f ca="1" t="array" ref="M1292">(1+SUMPRODUCT(G1292:H1292,OFFSET($H$40:$I$40,D1292,0)))*(1+OFFSET($J$40,D1292,0))^I1292*(1+OFFSET($K$40,D1292,0))^J1292*(1+OFFSET($L$40,D1292,0))^K1292*(1+OFFSET($M$40,D1292,0))^L1292</f>
        <v>325.296672979492</v>
      </c>
      <c r="N1292" s="95">
        <f ca="1">MAX(MAX($N$53:N1291),OFFSET($C$52,MATCH(M1292*1.07,$M$53:$M$2052,1),0)-C1292)</f>
        <v>69840</v>
      </c>
    </row>
    <row r="1293" spans="2:14">
      <c r="B1293" s="95">
        <v>1241</v>
      </c>
      <c r="C1293" s="95">
        <f t="shared" si="103"/>
        <v>446760</v>
      </c>
      <c r="D1293" s="95">
        <f ca="1">_xlfn.XLOOKUP(总览!$B$44,$B$40:$B$45,$C$40:$C$45)</f>
        <v>5</v>
      </c>
      <c r="E1293" s="95">
        <f ca="1" t="shared" si="106"/>
        <v>1271</v>
      </c>
      <c r="F1293" s="95">
        <f ca="1" t="shared" si="104"/>
        <v>0</v>
      </c>
      <c r="G1293" s="95">
        <f ca="1" t="shared" si="105"/>
        <v>0</v>
      </c>
      <c r="H1293" s="95" cm="1">
        <f ca="1" t="array" ref="H1293">MIN(30-SUM(I1293:L1293),_xlfn.XLOOKUP($D1293&amp;"_"&amp;H$52,$B$14:$B$36&amp;"_"&amp;$C$14:$C$36,$D$14:$D$36)*$E1293,18)</f>
        <v>12.4412</v>
      </c>
      <c r="I1293" s="95" cm="1">
        <f ca="1" t="array" ref="I1293">MIN(30-SUM(J1293:L1293),6-L1293,_xlfn.XLOOKUP($D1293&amp;"_"&amp;I$52,$B$14:$B$36&amp;"_"&amp;$C$14:$C$36,$D$14:$D$36)*$E1293)</f>
        <v>0</v>
      </c>
      <c r="J1293" s="95" cm="1">
        <f ca="1" t="array" ref="J1293">MIN(8,_xlfn.XLOOKUP($D1293&amp;"_"&amp;J$52,$B$14:$B$36&amp;"_"&amp;$C$14:$C$36,$D$14:$D$36)*$E1293)</f>
        <v>8</v>
      </c>
      <c r="K1293" s="95" cm="1">
        <f ca="1" t="array" ref="K1293">MIN(18,_xlfn.XLOOKUP($D1293&amp;"_"&amp;K$52,$B$14:$B$36&amp;"_"&amp;$C$14:$C$36,$D$14:$D$36)*$E1293)</f>
        <v>3.5588</v>
      </c>
      <c r="L1293" s="95" cm="1">
        <f ca="1" t="array" ref="L1293">MIN(6,_xlfn.XLOOKUP($D1293&amp;"_"&amp;L$52,$B$14:$B$36&amp;"_"&amp;$C$14:$C$36,$D$14:$D$36)*$E1293)</f>
        <v>6</v>
      </c>
      <c r="M1293" s="95" cm="1">
        <f ca="1" t="array" ref="M1293">(1+SUMPRODUCT(G1293:H1293,OFFSET($H$40:$I$40,D1293,0)))*(1+OFFSET($J$40,D1293,0))^I1293*(1+OFFSET($K$40,D1293,0))^J1293*(1+OFFSET($L$40,D1293,0))^K1293*(1+OFFSET($M$40,D1293,0))^L1293</f>
        <v>325.41053822633</v>
      </c>
      <c r="N1293" s="95">
        <f ca="1">MAX(MAX($N$53:N1292),OFFSET($C$52,MATCH(M1293*1.07,$M$53:$M$2052,1),0)-C1293)</f>
        <v>69840</v>
      </c>
    </row>
    <row r="1294" spans="2:14">
      <c r="B1294" s="95">
        <v>1242</v>
      </c>
      <c r="C1294" s="95">
        <f t="shared" si="103"/>
        <v>447120</v>
      </c>
      <c r="D1294" s="95">
        <f ca="1">_xlfn.XLOOKUP(总览!$B$44,$B$40:$B$45,$C$40:$C$45)</f>
        <v>5</v>
      </c>
      <c r="E1294" s="95">
        <f ca="1" t="shared" si="106"/>
        <v>1272</v>
      </c>
      <c r="F1294" s="95">
        <f ca="1" t="shared" si="104"/>
        <v>0</v>
      </c>
      <c r="G1294" s="95">
        <f ca="1" t="shared" si="105"/>
        <v>0</v>
      </c>
      <c r="H1294" s="95" cm="1">
        <f ca="1" t="array" ref="H1294">MIN(30-SUM(I1294:L1294),_xlfn.XLOOKUP($D1294&amp;"_"&amp;H$52,$B$14:$B$36&amp;"_"&amp;$C$14:$C$36,$D$14:$D$36)*$E1294,18)</f>
        <v>12.4384</v>
      </c>
      <c r="I1294" s="95" cm="1">
        <f ca="1" t="array" ref="I1294">MIN(30-SUM(J1294:L1294),6-L1294,_xlfn.XLOOKUP($D1294&amp;"_"&amp;I$52,$B$14:$B$36&amp;"_"&amp;$C$14:$C$36,$D$14:$D$36)*$E1294)</f>
        <v>0</v>
      </c>
      <c r="J1294" s="95" cm="1">
        <f ca="1" t="array" ref="J1294">MIN(8,_xlfn.XLOOKUP($D1294&amp;"_"&amp;J$52,$B$14:$B$36&amp;"_"&amp;$C$14:$C$36,$D$14:$D$36)*$E1294)</f>
        <v>8</v>
      </c>
      <c r="K1294" s="95" cm="1">
        <f ca="1" t="array" ref="K1294">MIN(18,_xlfn.XLOOKUP($D1294&amp;"_"&amp;K$52,$B$14:$B$36&amp;"_"&amp;$C$14:$C$36,$D$14:$D$36)*$E1294)</f>
        <v>3.5616</v>
      </c>
      <c r="L1294" s="95" cm="1">
        <f ca="1" t="array" ref="L1294">MIN(6,_xlfn.XLOOKUP($D1294&amp;"_"&amp;L$52,$B$14:$B$36&amp;"_"&amp;$C$14:$C$36,$D$14:$D$36)*$E1294)</f>
        <v>6</v>
      </c>
      <c r="M1294" s="95" cm="1">
        <f ca="1" t="array" ref="M1294">(1+SUMPRODUCT(G1294:H1294,OFFSET($H$40:$I$40,D1294,0)))*(1+OFFSET($J$40,D1294,0))^I1294*(1+OFFSET($K$40,D1294,0))^J1294*(1+OFFSET($L$40,D1294,0))^K1294*(1+OFFSET($M$40,D1294,0))^L1294</f>
        <v>325.524434940289</v>
      </c>
      <c r="N1294" s="95">
        <f ca="1">MAX(MAX($N$53:N1293),OFFSET($C$52,MATCH(M1294*1.07,$M$53:$M$2052,1),0)-C1294)</f>
        <v>69840</v>
      </c>
    </row>
    <row r="1295" spans="2:14">
      <c r="B1295" s="95">
        <v>1243</v>
      </c>
      <c r="C1295" s="95">
        <f t="shared" si="103"/>
        <v>447480</v>
      </c>
      <c r="D1295" s="95">
        <f ca="1">_xlfn.XLOOKUP(总览!$B$44,$B$40:$B$45,$C$40:$C$45)</f>
        <v>5</v>
      </c>
      <c r="E1295" s="95">
        <f ca="1" t="shared" si="106"/>
        <v>1273</v>
      </c>
      <c r="F1295" s="95">
        <f ca="1" t="shared" si="104"/>
        <v>0</v>
      </c>
      <c r="G1295" s="95">
        <f ca="1" t="shared" si="105"/>
        <v>0</v>
      </c>
      <c r="H1295" s="95" cm="1">
        <f ca="1" t="array" ref="H1295">MIN(30-SUM(I1295:L1295),_xlfn.XLOOKUP($D1295&amp;"_"&amp;H$52,$B$14:$B$36&amp;"_"&amp;$C$14:$C$36,$D$14:$D$36)*$E1295,18)</f>
        <v>12.4356</v>
      </c>
      <c r="I1295" s="95" cm="1">
        <f ca="1" t="array" ref="I1295">MIN(30-SUM(J1295:L1295),6-L1295,_xlfn.XLOOKUP($D1295&amp;"_"&amp;I$52,$B$14:$B$36&amp;"_"&amp;$C$14:$C$36,$D$14:$D$36)*$E1295)</f>
        <v>0</v>
      </c>
      <c r="J1295" s="95" cm="1">
        <f ca="1" t="array" ref="J1295">MIN(8,_xlfn.XLOOKUP($D1295&amp;"_"&amp;J$52,$B$14:$B$36&amp;"_"&amp;$C$14:$C$36,$D$14:$D$36)*$E1295)</f>
        <v>8</v>
      </c>
      <c r="K1295" s="95" cm="1">
        <f ca="1" t="array" ref="K1295">MIN(18,_xlfn.XLOOKUP($D1295&amp;"_"&amp;K$52,$B$14:$B$36&amp;"_"&amp;$C$14:$C$36,$D$14:$D$36)*$E1295)</f>
        <v>3.5644</v>
      </c>
      <c r="L1295" s="95" cm="1">
        <f ca="1" t="array" ref="L1295">MIN(6,_xlfn.XLOOKUP($D1295&amp;"_"&amp;L$52,$B$14:$B$36&amp;"_"&amp;$C$14:$C$36,$D$14:$D$36)*$E1295)</f>
        <v>6</v>
      </c>
      <c r="M1295" s="95" cm="1">
        <f ca="1" t="array" ref="M1295">(1+SUMPRODUCT(G1295:H1295,OFFSET($H$40:$I$40,D1295,0)))*(1+OFFSET($J$40,D1295,0))^I1295*(1+OFFSET($K$40,D1295,0))^J1295*(1+OFFSET($L$40,D1295,0))^K1295*(1+OFFSET($M$40,D1295,0))^L1295</f>
        <v>325.638363123815</v>
      </c>
      <c r="N1295" s="95">
        <f ca="1">MAX(MAX($N$53:N1294),OFFSET($C$52,MATCH(M1295*1.07,$M$53:$M$2052,1),0)-C1295)</f>
        <v>69840</v>
      </c>
    </row>
    <row r="1296" spans="2:14">
      <c r="B1296" s="95">
        <v>1244</v>
      </c>
      <c r="C1296" s="95">
        <f t="shared" si="103"/>
        <v>447840</v>
      </c>
      <c r="D1296" s="95">
        <f ca="1">_xlfn.XLOOKUP(总览!$B$44,$B$40:$B$45,$C$40:$C$45)</f>
        <v>5</v>
      </c>
      <c r="E1296" s="95">
        <f ca="1" t="shared" si="106"/>
        <v>1274</v>
      </c>
      <c r="F1296" s="95">
        <f ca="1" t="shared" si="104"/>
        <v>0</v>
      </c>
      <c r="G1296" s="95">
        <f ca="1" t="shared" si="105"/>
        <v>0</v>
      </c>
      <c r="H1296" s="95" cm="1">
        <f ca="1" t="array" ref="H1296">MIN(30-SUM(I1296:L1296),_xlfn.XLOOKUP($D1296&amp;"_"&amp;H$52,$B$14:$B$36&amp;"_"&amp;$C$14:$C$36,$D$14:$D$36)*$E1296,18)</f>
        <v>12.4328</v>
      </c>
      <c r="I1296" s="95" cm="1">
        <f ca="1" t="array" ref="I1296">MIN(30-SUM(J1296:L1296),6-L1296,_xlfn.XLOOKUP($D1296&amp;"_"&amp;I$52,$B$14:$B$36&amp;"_"&amp;$C$14:$C$36,$D$14:$D$36)*$E1296)</f>
        <v>0</v>
      </c>
      <c r="J1296" s="95" cm="1">
        <f ca="1" t="array" ref="J1296">MIN(8,_xlfn.XLOOKUP($D1296&amp;"_"&amp;J$52,$B$14:$B$36&amp;"_"&amp;$C$14:$C$36,$D$14:$D$36)*$E1296)</f>
        <v>8</v>
      </c>
      <c r="K1296" s="95" cm="1">
        <f ca="1" t="array" ref="K1296">MIN(18,_xlfn.XLOOKUP($D1296&amp;"_"&amp;K$52,$B$14:$B$36&amp;"_"&amp;$C$14:$C$36,$D$14:$D$36)*$E1296)</f>
        <v>3.5672</v>
      </c>
      <c r="L1296" s="95" cm="1">
        <f ca="1" t="array" ref="L1296">MIN(6,_xlfn.XLOOKUP($D1296&amp;"_"&amp;L$52,$B$14:$B$36&amp;"_"&amp;$C$14:$C$36,$D$14:$D$36)*$E1296)</f>
        <v>6</v>
      </c>
      <c r="M1296" s="95" cm="1">
        <f ca="1" t="array" ref="M1296">(1+SUMPRODUCT(G1296:H1296,OFFSET($H$40:$I$40,D1296,0)))*(1+OFFSET($J$40,D1296,0))^I1296*(1+OFFSET($K$40,D1296,0))^J1296*(1+OFFSET($L$40,D1296,0))^K1296*(1+OFFSET($M$40,D1296,0))^L1296</f>
        <v>325.75232277935</v>
      </c>
      <c r="N1296" s="95">
        <f ca="1">MAX(MAX($N$53:N1295),OFFSET($C$52,MATCH(M1296*1.07,$M$53:$M$2052,1),0)-C1296)</f>
        <v>69840</v>
      </c>
    </row>
    <row r="1297" spans="2:14">
      <c r="B1297" s="95">
        <v>1245</v>
      </c>
      <c r="C1297" s="95">
        <f t="shared" si="103"/>
        <v>448200</v>
      </c>
      <c r="D1297" s="95">
        <f ca="1">_xlfn.XLOOKUP(总览!$B$44,$B$40:$B$45,$C$40:$C$45)</f>
        <v>5</v>
      </c>
      <c r="E1297" s="95">
        <f ca="1" t="shared" si="106"/>
        <v>1275</v>
      </c>
      <c r="F1297" s="95">
        <f ca="1" t="shared" si="104"/>
        <v>0</v>
      </c>
      <c r="G1297" s="95">
        <f ca="1" t="shared" si="105"/>
        <v>0</v>
      </c>
      <c r="H1297" s="95" cm="1">
        <f ca="1" t="array" ref="H1297">MIN(30-SUM(I1297:L1297),_xlfn.XLOOKUP($D1297&amp;"_"&amp;H$52,$B$14:$B$36&amp;"_"&amp;$C$14:$C$36,$D$14:$D$36)*$E1297,18)</f>
        <v>12.43</v>
      </c>
      <c r="I1297" s="95" cm="1">
        <f ca="1" t="array" ref="I1297">MIN(30-SUM(J1297:L1297),6-L1297,_xlfn.XLOOKUP($D1297&amp;"_"&amp;I$52,$B$14:$B$36&amp;"_"&amp;$C$14:$C$36,$D$14:$D$36)*$E1297)</f>
        <v>0</v>
      </c>
      <c r="J1297" s="95" cm="1">
        <f ca="1" t="array" ref="J1297">MIN(8,_xlfn.XLOOKUP($D1297&amp;"_"&amp;J$52,$B$14:$B$36&amp;"_"&amp;$C$14:$C$36,$D$14:$D$36)*$E1297)</f>
        <v>8</v>
      </c>
      <c r="K1297" s="95" cm="1">
        <f ca="1" t="array" ref="K1297">MIN(18,_xlfn.XLOOKUP($D1297&amp;"_"&amp;K$52,$B$14:$B$36&amp;"_"&amp;$C$14:$C$36,$D$14:$D$36)*$E1297)</f>
        <v>3.57</v>
      </c>
      <c r="L1297" s="95" cm="1">
        <f ca="1" t="array" ref="L1297">MIN(6,_xlfn.XLOOKUP($D1297&amp;"_"&amp;L$52,$B$14:$B$36&amp;"_"&amp;$C$14:$C$36,$D$14:$D$36)*$E1297)</f>
        <v>6</v>
      </c>
      <c r="M1297" s="95" cm="1">
        <f ca="1" t="array" ref="M1297">(1+SUMPRODUCT(G1297:H1297,OFFSET($H$40:$I$40,D1297,0)))*(1+OFFSET($J$40,D1297,0))^I1297*(1+OFFSET($K$40,D1297,0))^J1297*(1+OFFSET($L$40,D1297,0))^K1297*(1+OFFSET($M$40,D1297,0))^L1297</f>
        <v>325.866313909328</v>
      </c>
      <c r="N1297" s="95">
        <f ca="1">MAX(MAX($N$53:N1296),OFFSET($C$52,MATCH(M1297*1.07,$M$53:$M$2052,1),0)-C1297)</f>
        <v>69840</v>
      </c>
    </row>
    <row r="1298" spans="2:14">
      <c r="B1298" s="95">
        <v>1246</v>
      </c>
      <c r="C1298" s="95">
        <f t="shared" si="103"/>
        <v>448560</v>
      </c>
      <c r="D1298" s="95">
        <f ca="1">_xlfn.XLOOKUP(总览!$B$44,$B$40:$B$45,$C$40:$C$45)</f>
        <v>5</v>
      </c>
      <c r="E1298" s="95">
        <f ca="1" t="shared" si="106"/>
        <v>1276</v>
      </c>
      <c r="F1298" s="95">
        <f ca="1" t="shared" si="104"/>
        <v>0</v>
      </c>
      <c r="G1298" s="95">
        <f ca="1" t="shared" si="105"/>
        <v>0</v>
      </c>
      <c r="H1298" s="95" cm="1">
        <f ca="1" t="array" ref="H1298">MIN(30-SUM(I1298:L1298),_xlfn.XLOOKUP($D1298&amp;"_"&amp;H$52,$B$14:$B$36&amp;"_"&amp;$C$14:$C$36,$D$14:$D$36)*$E1298,18)</f>
        <v>12.4272</v>
      </c>
      <c r="I1298" s="95" cm="1">
        <f ca="1" t="array" ref="I1298">MIN(30-SUM(J1298:L1298),6-L1298,_xlfn.XLOOKUP($D1298&amp;"_"&amp;I$52,$B$14:$B$36&amp;"_"&amp;$C$14:$C$36,$D$14:$D$36)*$E1298)</f>
        <v>0</v>
      </c>
      <c r="J1298" s="95" cm="1">
        <f ca="1" t="array" ref="J1298">MIN(8,_xlfn.XLOOKUP($D1298&amp;"_"&amp;J$52,$B$14:$B$36&amp;"_"&amp;$C$14:$C$36,$D$14:$D$36)*$E1298)</f>
        <v>8</v>
      </c>
      <c r="K1298" s="95" cm="1">
        <f ca="1" t="array" ref="K1298">MIN(18,_xlfn.XLOOKUP($D1298&amp;"_"&amp;K$52,$B$14:$B$36&amp;"_"&amp;$C$14:$C$36,$D$14:$D$36)*$E1298)</f>
        <v>3.5728</v>
      </c>
      <c r="L1298" s="95" cm="1">
        <f ca="1" t="array" ref="L1298">MIN(6,_xlfn.XLOOKUP($D1298&amp;"_"&amp;L$52,$B$14:$B$36&amp;"_"&amp;$C$14:$C$36,$D$14:$D$36)*$E1298)</f>
        <v>6</v>
      </c>
      <c r="M1298" s="95" cm="1">
        <f ca="1" t="array" ref="M1298">(1+SUMPRODUCT(G1298:H1298,OFFSET($H$40:$I$40,D1298,0)))*(1+OFFSET($J$40,D1298,0))^I1298*(1+OFFSET($K$40,D1298,0))^J1298*(1+OFFSET($L$40,D1298,0))^K1298*(1+OFFSET($M$40,D1298,0))^L1298</f>
        <v>325.980336516179</v>
      </c>
      <c r="N1298" s="95">
        <f ca="1">MAX(MAX($N$53:N1297),OFFSET($C$52,MATCH(M1298*1.07,$M$53:$M$2052,1),0)-C1298)</f>
        <v>69840</v>
      </c>
    </row>
    <row r="1299" spans="2:14">
      <c r="B1299" s="95">
        <v>1247</v>
      </c>
      <c r="C1299" s="95">
        <f t="shared" si="103"/>
        <v>448920</v>
      </c>
      <c r="D1299" s="95">
        <f ca="1">_xlfn.XLOOKUP(总览!$B$44,$B$40:$B$45,$C$40:$C$45)</f>
        <v>5</v>
      </c>
      <c r="E1299" s="95">
        <f ca="1" t="shared" si="106"/>
        <v>1277</v>
      </c>
      <c r="F1299" s="95">
        <f ca="1" t="shared" si="104"/>
        <v>0</v>
      </c>
      <c r="G1299" s="95">
        <f ca="1" t="shared" si="105"/>
        <v>0</v>
      </c>
      <c r="H1299" s="95" cm="1">
        <f ca="1" t="array" ref="H1299">MIN(30-SUM(I1299:L1299),_xlfn.XLOOKUP($D1299&amp;"_"&amp;H$52,$B$14:$B$36&amp;"_"&amp;$C$14:$C$36,$D$14:$D$36)*$E1299,18)</f>
        <v>12.4244</v>
      </c>
      <c r="I1299" s="95" cm="1">
        <f ca="1" t="array" ref="I1299">MIN(30-SUM(J1299:L1299),6-L1299,_xlfn.XLOOKUP($D1299&amp;"_"&amp;I$52,$B$14:$B$36&amp;"_"&amp;$C$14:$C$36,$D$14:$D$36)*$E1299)</f>
        <v>0</v>
      </c>
      <c r="J1299" s="95" cm="1">
        <f ca="1" t="array" ref="J1299">MIN(8,_xlfn.XLOOKUP($D1299&amp;"_"&amp;J$52,$B$14:$B$36&amp;"_"&amp;$C$14:$C$36,$D$14:$D$36)*$E1299)</f>
        <v>8</v>
      </c>
      <c r="K1299" s="95" cm="1">
        <f ca="1" t="array" ref="K1299">MIN(18,_xlfn.XLOOKUP($D1299&amp;"_"&amp;K$52,$B$14:$B$36&amp;"_"&amp;$C$14:$C$36,$D$14:$D$36)*$E1299)</f>
        <v>3.5756</v>
      </c>
      <c r="L1299" s="95" cm="1">
        <f ca="1" t="array" ref="L1299">MIN(6,_xlfn.XLOOKUP($D1299&amp;"_"&amp;L$52,$B$14:$B$36&amp;"_"&amp;$C$14:$C$36,$D$14:$D$36)*$E1299)</f>
        <v>6</v>
      </c>
      <c r="M1299" s="95" cm="1">
        <f ca="1" t="array" ref="M1299">(1+SUMPRODUCT(G1299:H1299,OFFSET($H$40:$I$40,D1299,0)))*(1+OFFSET($J$40,D1299,0))^I1299*(1+OFFSET($K$40,D1299,0))^J1299*(1+OFFSET($L$40,D1299,0))^K1299*(1+OFFSET($M$40,D1299,0))^L1299</f>
        <v>326.094390602325</v>
      </c>
      <c r="N1299" s="95">
        <f ca="1">MAX(MAX($N$53:N1298),OFFSET($C$52,MATCH(M1299*1.07,$M$53:$M$2052,1),0)-C1299)</f>
        <v>69840</v>
      </c>
    </row>
    <row r="1300" spans="2:14">
      <c r="B1300" s="95">
        <v>1248</v>
      </c>
      <c r="C1300" s="95">
        <f t="shared" si="103"/>
        <v>449280</v>
      </c>
      <c r="D1300" s="95">
        <f ca="1">_xlfn.XLOOKUP(总览!$B$44,$B$40:$B$45,$C$40:$C$45)</f>
        <v>5</v>
      </c>
      <c r="E1300" s="95">
        <f ca="1" t="shared" si="106"/>
        <v>1278</v>
      </c>
      <c r="F1300" s="95">
        <f ca="1" t="shared" si="104"/>
        <v>0</v>
      </c>
      <c r="G1300" s="95">
        <f ca="1" t="shared" si="105"/>
        <v>0</v>
      </c>
      <c r="H1300" s="95" cm="1">
        <f ca="1" t="array" ref="H1300">MIN(30-SUM(I1300:L1300),_xlfn.XLOOKUP($D1300&amp;"_"&amp;H$52,$B$14:$B$36&amp;"_"&amp;$C$14:$C$36,$D$14:$D$36)*$E1300,18)</f>
        <v>12.4216</v>
      </c>
      <c r="I1300" s="95" cm="1">
        <f ca="1" t="array" ref="I1300">MIN(30-SUM(J1300:L1300),6-L1300,_xlfn.XLOOKUP($D1300&amp;"_"&amp;I$52,$B$14:$B$36&amp;"_"&amp;$C$14:$C$36,$D$14:$D$36)*$E1300)</f>
        <v>0</v>
      </c>
      <c r="J1300" s="95" cm="1">
        <f ca="1" t="array" ref="J1300">MIN(8,_xlfn.XLOOKUP($D1300&amp;"_"&amp;J$52,$B$14:$B$36&amp;"_"&amp;$C$14:$C$36,$D$14:$D$36)*$E1300)</f>
        <v>8</v>
      </c>
      <c r="K1300" s="95" cm="1">
        <f ca="1" t="array" ref="K1300">MIN(18,_xlfn.XLOOKUP($D1300&amp;"_"&amp;K$52,$B$14:$B$36&amp;"_"&amp;$C$14:$C$36,$D$14:$D$36)*$E1300)</f>
        <v>3.5784</v>
      </c>
      <c r="L1300" s="95" cm="1">
        <f ca="1" t="array" ref="L1300">MIN(6,_xlfn.XLOOKUP($D1300&amp;"_"&amp;L$52,$B$14:$B$36&amp;"_"&amp;$C$14:$C$36,$D$14:$D$36)*$E1300)</f>
        <v>6</v>
      </c>
      <c r="M1300" s="95" cm="1">
        <f ca="1" t="array" ref="M1300">(1+SUMPRODUCT(G1300:H1300,OFFSET($H$40:$I$40,D1300,0)))*(1+OFFSET($J$40,D1300,0))^I1300*(1+OFFSET($K$40,D1300,0))^J1300*(1+OFFSET($L$40,D1300,0))^K1300*(1+OFFSET($M$40,D1300,0))^L1300</f>
        <v>326.208476170186</v>
      </c>
      <c r="N1300" s="95">
        <f ca="1">MAX(MAX($N$53:N1299),OFFSET($C$52,MATCH(M1300*1.07,$M$53:$M$2052,1),0)-C1300)</f>
        <v>69840</v>
      </c>
    </row>
    <row r="1301" spans="2:14">
      <c r="B1301" s="95">
        <v>1249</v>
      </c>
      <c r="C1301" s="95">
        <f t="shared" si="103"/>
        <v>449640</v>
      </c>
      <c r="D1301" s="95">
        <f ca="1">_xlfn.XLOOKUP(总览!$B$44,$B$40:$B$45,$C$40:$C$45)</f>
        <v>5</v>
      </c>
      <c r="E1301" s="95">
        <f ca="1" t="shared" si="106"/>
        <v>1279</v>
      </c>
      <c r="F1301" s="95">
        <f ca="1" t="shared" si="104"/>
        <v>0</v>
      </c>
      <c r="G1301" s="95">
        <f ca="1" t="shared" si="105"/>
        <v>0</v>
      </c>
      <c r="H1301" s="95" cm="1">
        <f ca="1" t="array" ref="H1301">MIN(30-SUM(I1301:L1301),_xlfn.XLOOKUP($D1301&amp;"_"&amp;H$52,$B$14:$B$36&amp;"_"&amp;$C$14:$C$36,$D$14:$D$36)*$E1301,18)</f>
        <v>12.4188</v>
      </c>
      <c r="I1301" s="95" cm="1">
        <f ca="1" t="array" ref="I1301">MIN(30-SUM(J1301:L1301),6-L1301,_xlfn.XLOOKUP($D1301&amp;"_"&amp;I$52,$B$14:$B$36&amp;"_"&amp;$C$14:$C$36,$D$14:$D$36)*$E1301)</f>
        <v>0</v>
      </c>
      <c r="J1301" s="95" cm="1">
        <f ca="1" t="array" ref="J1301">MIN(8,_xlfn.XLOOKUP($D1301&amp;"_"&amp;J$52,$B$14:$B$36&amp;"_"&amp;$C$14:$C$36,$D$14:$D$36)*$E1301)</f>
        <v>8</v>
      </c>
      <c r="K1301" s="95" cm="1">
        <f ca="1" t="array" ref="K1301">MIN(18,_xlfn.XLOOKUP($D1301&amp;"_"&amp;K$52,$B$14:$B$36&amp;"_"&amp;$C$14:$C$36,$D$14:$D$36)*$E1301)</f>
        <v>3.5812</v>
      </c>
      <c r="L1301" s="95" cm="1">
        <f ca="1" t="array" ref="L1301">MIN(6,_xlfn.XLOOKUP($D1301&amp;"_"&amp;L$52,$B$14:$B$36&amp;"_"&amp;$C$14:$C$36,$D$14:$D$36)*$E1301)</f>
        <v>6</v>
      </c>
      <c r="M1301" s="95" cm="1">
        <f ca="1" t="array" ref="M1301">(1+SUMPRODUCT(G1301:H1301,OFFSET($H$40:$I$40,D1301,0)))*(1+OFFSET($J$40,D1301,0))^I1301*(1+OFFSET($K$40,D1301,0))^J1301*(1+OFFSET($L$40,D1301,0))^K1301*(1+OFFSET($M$40,D1301,0))^L1301</f>
        <v>326.322593222174</v>
      </c>
      <c r="N1301" s="95">
        <f ca="1">MAX(MAX($N$53:N1300),OFFSET($C$52,MATCH(M1301*1.07,$M$53:$M$2052,1),0)-C1301)</f>
        <v>69840</v>
      </c>
    </row>
    <row r="1302" spans="2:14">
      <c r="B1302" s="95">
        <v>1250</v>
      </c>
      <c r="C1302" s="95">
        <f t="shared" si="103"/>
        <v>450000</v>
      </c>
      <c r="D1302" s="95">
        <f ca="1">_xlfn.XLOOKUP(总览!$B$44,$B$40:$B$45,$C$40:$C$45)</f>
        <v>5</v>
      </c>
      <c r="E1302" s="95">
        <f ca="1" t="shared" si="106"/>
        <v>1280</v>
      </c>
      <c r="F1302" s="95">
        <f ca="1" t="shared" si="104"/>
        <v>0</v>
      </c>
      <c r="G1302" s="95">
        <f ca="1" t="shared" si="105"/>
        <v>0</v>
      </c>
      <c r="H1302" s="95" cm="1">
        <f ca="1" t="array" ref="H1302">MIN(30-SUM(I1302:L1302),_xlfn.XLOOKUP($D1302&amp;"_"&amp;H$52,$B$14:$B$36&amp;"_"&amp;$C$14:$C$36,$D$14:$D$36)*$E1302,18)</f>
        <v>12.416</v>
      </c>
      <c r="I1302" s="95" cm="1">
        <f ca="1" t="array" ref="I1302">MIN(30-SUM(J1302:L1302),6-L1302,_xlfn.XLOOKUP($D1302&amp;"_"&amp;I$52,$B$14:$B$36&amp;"_"&amp;$C$14:$C$36,$D$14:$D$36)*$E1302)</f>
        <v>0</v>
      </c>
      <c r="J1302" s="95" cm="1">
        <f ca="1" t="array" ref="J1302">MIN(8,_xlfn.XLOOKUP($D1302&amp;"_"&amp;J$52,$B$14:$B$36&amp;"_"&amp;$C$14:$C$36,$D$14:$D$36)*$E1302)</f>
        <v>8</v>
      </c>
      <c r="K1302" s="95" cm="1">
        <f ca="1" t="array" ref="K1302">MIN(18,_xlfn.XLOOKUP($D1302&amp;"_"&amp;K$52,$B$14:$B$36&amp;"_"&amp;$C$14:$C$36,$D$14:$D$36)*$E1302)</f>
        <v>3.584</v>
      </c>
      <c r="L1302" s="95" cm="1">
        <f ca="1" t="array" ref="L1302">MIN(6,_xlfn.XLOOKUP($D1302&amp;"_"&amp;L$52,$B$14:$B$36&amp;"_"&amp;$C$14:$C$36,$D$14:$D$36)*$E1302)</f>
        <v>6</v>
      </c>
      <c r="M1302" s="95" cm="1">
        <f ca="1" t="array" ref="M1302">(1+SUMPRODUCT(G1302:H1302,OFFSET($H$40:$I$40,D1302,0)))*(1+OFFSET($J$40,D1302,0))^I1302*(1+OFFSET($K$40,D1302,0))^J1302*(1+OFFSET($L$40,D1302,0))^K1302*(1+OFFSET($M$40,D1302,0))^L1302</f>
        <v>326.436741760694</v>
      </c>
      <c r="N1302" s="95">
        <f ca="1">MAX(MAX($N$53:N1301),OFFSET($C$52,MATCH(M1302*1.07,$M$53:$M$2052,1),0)-C1302)</f>
        <v>69840</v>
      </c>
    </row>
    <row r="1303" spans="2:14">
      <c r="B1303" s="95">
        <v>1251</v>
      </c>
      <c r="C1303" s="95">
        <f t="shared" si="103"/>
        <v>450360</v>
      </c>
      <c r="D1303" s="95">
        <f ca="1">_xlfn.XLOOKUP(总览!$B$44,$B$40:$B$45,$C$40:$C$45)</f>
        <v>5</v>
      </c>
      <c r="E1303" s="95">
        <f ca="1" t="shared" si="106"/>
        <v>1281</v>
      </c>
      <c r="F1303" s="95">
        <f ca="1" t="shared" si="104"/>
        <v>0</v>
      </c>
      <c r="G1303" s="95">
        <f ca="1" t="shared" si="105"/>
        <v>0</v>
      </c>
      <c r="H1303" s="95" cm="1">
        <f ca="1" t="array" ref="H1303">MIN(30-SUM(I1303:L1303),_xlfn.XLOOKUP($D1303&amp;"_"&amp;H$52,$B$14:$B$36&amp;"_"&amp;$C$14:$C$36,$D$14:$D$36)*$E1303,18)</f>
        <v>12.4132</v>
      </c>
      <c r="I1303" s="95" cm="1">
        <f ca="1" t="array" ref="I1303">MIN(30-SUM(J1303:L1303),6-L1303,_xlfn.XLOOKUP($D1303&amp;"_"&amp;I$52,$B$14:$B$36&amp;"_"&amp;$C$14:$C$36,$D$14:$D$36)*$E1303)</f>
        <v>0</v>
      </c>
      <c r="J1303" s="95" cm="1">
        <f ca="1" t="array" ref="J1303">MIN(8,_xlfn.XLOOKUP($D1303&amp;"_"&amp;J$52,$B$14:$B$36&amp;"_"&amp;$C$14:$C$36,$D$14:$D$36)*$E1303)</f>
        <v>8</v>
      </c>
      <c r="K1303" s="95" cm="1">
        <f ca="1" t="array" ref="K1303">MIN(18,_xlfn.XLOOKUP($D1303&amp;"_"&amp;K$52,$B$14:$B$36&amp;"_"&amp;$C$14:$C$36,$D$14:$D$36)*$E1303)</f>
        <v>3.5868</v>
      </c>
      <c r="L1303" s="95" cm="1">
        <f ca="1" t="array" ref="L1303">MIN(6,_xlfn.XLOOKUP($D1303&amp;"_"&amp;L$52,$B$14:$B$36&amp;"_"&amp;$C$14:$C$36,$D$14:$D$36)*$E1303)</f>
        <v>6</v>
      </c>
      <c r="M1303" s="95" cm="1">
        <f ca="1" t="array" ref="M1303">(1+SUMPRODUCT(G1303:H1303,OFFSET($H$40:$I$40,D1303,0)))*(1+OFFSET($J$40,D1303,0))^I1303*(1+OFFSET($K$40,D1303,0))^J1303*(1+OFFSET($L$40,D1303,0))^K1303*(1+OFFSET($M$40,D1303,0))^L1303</f>
        <v>326.550921788148</v>
      </c>
      <c r="N1303" s="95">
        <f ca="1">MAX(MAX($N$53:N1302),OFFSET($C$52,MATCH(M1303*1.07,$M$53:$M$2052,1),0)-C1303)</f>
        <v>69840</v>
      </c>
    </row>
    <row r="1304" spans="2:14">
      <c r="B1304" s="95">
        <v>1252</v>
      </c>
      <c r="C1304" s="95">
        <f t="shared" si="103"/>
        <v>450720</v>
      </c>
      <c r="D1304" s="95">
        <f ca="1">_xlfn.XLOOKUP(总览!$B$44,$B$40:$B$45,$C$40:$C$45)</f>
        <v>5</v>
      </c>
      <c r="E1304" s="95">
        <f ca="1" t="shared" si="106"/>
        <v>1282</v>
      </c>
      <c r="F1304" s="95">
        <f ca="1" t="shared" si="104"/>
        <v>0</v>
      </c>
      <c r="G1304" s="95">
        <f ca="1" t="shared" si="105"/>
        <v>0</v>
      </c>
      <c r="H1304" s="95" cm="1">
        <f ca="1" t="array" ref="H1304">MIN(30-SUM(I1304:L1304),_xlfn.XLOOKUP($D1304&amp;"_"&amp;H$52,$B$14:$B$36&amp;"_"&amp;$C$14:$C$36,$D$14:$D$36)*$E1304,18)</f>
        <v>12.4104</v>
      </c>
      <c r="I1304" s="95" cm="1">
        <f ca="1" t="array" ref="I1304">MIN(30-SUM(J1304:L1304),6-L1304,_xlfn.XLOOKUP($D1304&amp;"_"&amp;I$52,$B$14:$B$36&amp;"_"&amp;$C$14:$C$36,$D$14:$D$36)*$E1304)</f>
        <v>0</v>
      </c>
      <c r="J1304" s="95" cm="1">
        <f ca="1" t="array" ref="J1304">MIN(8,_xlfn.XLOOKUP($D1304&amp;"_"&amp;J$52,$B$14:$B$36&amp;"_"&amp;$C$14:$C$36,$D$14:$D$36)*$E1304)</f>
        <v>8</v>
      </c>
      <c r="K1304" s="95" cm="1">
        <f ca="1" t="array" ref="K1304">MIN(18,_xlfn.XLOOKUP($D1304&amp;"_"&amp;K$52,$B$14:$B$36&amp;"_"&amp;$C$14:$C$36,$D$14:$D$36)*$E1304)</f>
        <v>3.5896</v>
      </c>
      <c r="L1304" s="95" cm="1">
        <f ca="1" t="array" ref="L1304">MIN(6,_xlfn.XLOOKUP($D1304&amp;"_"&amp;L$52,$B$14:$B$36&amp;"_"&amp;$C$14:$C$36,$D$14:$D$36)*$E1304)</f>
        <v>6</v>
      </c>
      <c r="M1304" s="95" cm="1">
        <f ca="1" t="array" ref="M1304">(1+SUMPRODUCT(G1304:H1304,OFFSET($H$40:$I$40,D1304,0)))*(1+OFFSET($J$40,D1304,0))^I1304*(1+OFFSET($K$40,D1304,0))^J1304*(1+OFFSET($L$40,D1304,0))^K1304*(1+OFFSET($M$40,D1304,0))^L1304</f>
        <v>326.66513330693</v>
      </c>
      <c r="N1304" s="95">
        <f ca="1">MAX(MAX($N$53:N1303),OFFSET($C$52,MATCH(M1304*1.07,$M$53:$M$2052,1),0)-C1304)</f>
        <v>69840</v>
      </c>
    </row>
    <row r="1305" spans="2:14">
      <c r="B1305" s="95">
        <v>1253</v>
      </c>
      <c r="C1305" s="95">
        <f t="shared" si="103"/>
        <v>451080</v>
      </c>
      <c r="D1305" s="95">
        <f ca="1">_xlfn.XLOOKUP(总览!$B$44,$B$40:$B$45,$C$40:$C$45)</f>
        <v>5</v>
      </c>
      <c r="E1305" s="95">
        <f ca="1" t="shared" si="106"/>
        <v>1283</v>
      </c>
      <c r="F1305" s="95">
        <f ca="1" t="shared" si="104"/>
        <v>0</v>
      </c>
      <c r="G1305" s="95">
        <f ca="1" t="shared" si="105"/>
        <v>0</v>
      </c>
      <c r="H1305" s="95" cm="1">
        <f ca="1" t="array" ref="H1305">MIN(30-SUM(I1305:L1305),_xlfn.XLOOKUP($D1305&amp;"_"&amp;H$52,$B$14:$B$36&amp;"_"&amp;$C$14:$C$36,$D$14:$D$36)*$E1305,18)</f>
        <v>12.4076</v>
      </c>
      <c r="I1305" s="95" cm="1">
        <f ca="1" t="array" ref="I1305">MIN(30-SUM(J1305:L1305),6-L1305,_xlfn.XLOOKUP($D1305&amp;"_"&amp;I$52,$B$14:$B$36&amp;"_"&amp;$C$14:$C$36,$D$14:$D$36)*$E1305)</f>
        <v>0</v>
      </c>
      <c r="J1305" s="95" cm="1">
        <f ca="1" t="array" ref="J1305">MIN(8,_xlfn.XLOOKUP($D1305&amp;"_"&amp;J$52,$B$14:$B$36&amp;"_"&amp;$C$14:$C$36,$D$14:$D$36)*$E1305)</f>
        <v>8</v>
      </c>
      <c r="K1305" s="95" cm="1">
        <f ca="1" t="array" ref="K1305">MIN(18,_xlfn.XLOOKUP($D1305&amp;"_"&amp;K$52,$B$14:$B$36&amp;"_"&amp;$C$14:$C$36,$D$14:$D$36)*$E1305)</f>
        <v>3.5924</v>
      </c>
      <c r="L1305" s="95" cm="1">
        <f ca="1" t="array" ref="L1305">MIN(6,_xlfn.XLOOKUP($D1305&amp;"_"&amp;L$52,$B$14:$B$36&amp;"_"&amp;$C$14:$C$36,$D$14:$D$36)*$E1305)</f>
        <v>6</v>
      </c>
      <c r="M1305" s="95" cm="1">
        <f ca="1" t="array" ref="M1305">(1+SUMPRODUCT(G1305:H1305,OFFSET($H$40:$I$40,D1305,0)))*(1+OFFSET($J$40,D1305,0))^I1305*(1+OFFSET($K$40,D1305,0))^J1305*(1+OFFSET($L$40,D1305,0))^K1305*(1+OFFSET($M$40,D1305,0))^L1305</f>
        <v>326.779376319429</v>
      </c>
      <c r="N1305" s="95">
        <f ca="1">MAX(MAX($N$53:N1304),OFFSET($C$52,MATCH(M1305*1.07,$M$53:$M$2052,1),0)-C1305)</f>
        <v>69840</v>
      </c>
    </row>
    <row r="1306" spans="2:14">
      <c r="B1306" s="95">
        <v>1254</v>
      </c>
      <c r="C1306" s="95">
        <f t="shared" si="103"/>
        <v>451440</v>
      </c>
      <c r="D1306" s="95">
        <f ca="1">_xlfn.XLOOKUP(总览!$B$44,$B$40:$B$45,$C$40:$C$45)</f>
        <v>5</v>
      </c>
      <c r="E1306" s="95">
        <f ca="1" t="shared" si="106"/>
        <v>1284</v>
      </c>
      <c r="F1306" s="95">
        <f ca="1" t="shared" si="104"/>
        <v>0</v>
      </c>
      <c r="G1306" s="95">
        <f ca="1" t="shared" si="105"/>
        <v>0</v>
      </c>
      <c r="H1306" s="95" cm="1">
        <f ca="1" t="array" ref="H1306">MIN(30-SUM(I1306:L1306),_xlfn.XLOOKUP($D1306&amp;"_"&amp;H$52,$B$14:$B$36&amp;"_"&amp;$C$14:$C$36,$D$14:$D$36)*$E1306,18)</f>
        <v>12.4048</v>
      </c>
      <c r="I1306" s="95" cm="1">
        <f ca="1" t="array" ref="I1306">MIN(30-SUM(J1306:L1306),6-L1306,_xlfn.XLOOKUP($D1306&amp;"_"&amp;I$52,$B$14:$B$36&amp;"_"&amp;$C$14:$C$36,$D$14:$D$36)*$E1306)</f>
        <v>0</v>
      </c>
      <c r="J1306" s="95" cm="1">
        <f ca="1" t="array" ref="J1306">MIN(8,_xlfn.XLOOKUP($D1306&amp;"_"&amp;J$52,$B$14:$B$36&amp;"_"&amp;$C$14:$C$36,$D$14:$D$36)*$E1306)</f>
        <v>8</v>
      </c>
      <c r="K1306" s="95" cm="1">
        <f ca="1" t="array" ref="K1306">MIN(18,_xlfn.XLOOKUP($D1306&amp;"_"&amp;K$52,$B$14:$B$36&amp;"_"&amp;$C$14:$C$36,$D$14:$D$36)*$E1306)</f>
        <v>3.5952</v>
      </c>
      <c r="L1306" s="95" cm="1">
        <f ca="1" t="array" ref="L1306">MIN(6,_xlfn.XLOOKUP($D1306&amp;"_"&amp;L$52,$B$14:$B$36&amp;"_"&amp;$C$14:$C$36,$D$14:$D$36)*$E1306)</f>
        <v>6</v>
      </c>
      <c r="M1306" s="95" cm="1">
        <f ca="1" t="array" ref="M1306">(1+SUMPRODUCT(G1306:H1306,OFFSET($H$40:$I$40,D1306,0)))*(1+OFFSET($J$40,D1306,0))^I1306*(1+OFFSET($K$40,D1306,0))^J1306*(1+OFFSET($L$40,D1306,0))^K1306*(1+OFFSET($M$40,D1306,0))^L1306</f>
        <v>326.89365082803</v>
      </c>
      <c r="N1306" s="95">
        <f ca="1">MAX(MAX($N$53:N1305),OFFSET($C$52,MATCH(M1306*1.07,$M$53:$M$2052,1),0)-C1306)</f>
        <v>69840</v>
      </c>
    </row>
    <row r="1307" spans="2:14">
      <c r="B1307" s="95">
        <v>1255</v>
      </c>
      <c r="C1307" s="95">
        <f t="shared" si="103"/>
        <v>451800</v>
      </c>
      <c r="D1307" s="95">
        <f ca="1">_xlfn.XLOOKUP(总览!$B$44,$B$40:$B$45,$C$40:$C$45)</f>
        <v>5</v>
      </c>
      <c r="E1307" s="95">
        <f ca="1" t="shared" si="106"/>
        <v>1285</v>
      </c>
      <c r="F1307" s="95">
        <f ca="1" t="shared" si="104"/>
        <v>0</v>
      </c>
      <c r="G1307" s="95">
        <f ca="1" t="shared" si="105"/>
        <v>0</v>
      </c>
      <c r="H1307" s="95" cm="1">
        <f ca="1" t="array" ref="H1307">MIN(30-SUM(I1307:L1307),_xlfn.XLOOKUP($D1307&amp;"_"&amp;H$52,$B$14:$B$36&amp;"_"&amp;$C$14:$C$36,$D$14:$D$36)*$E1307,18)</f>
        <v>12.402</v>
      </c>
      <c r="I1307" s="95" cm="1">
        <f ca="1" t="array" ref="I1307">MIN(30-SUM(J1307:L1307),6-L1307,_xlfn.XLOOKUP($D1307&amp;"_"&amp;I$52,$B$14:$B$36&amp;"_"&amp;$C$14:$C$36,$D$14:$D$36)*$E1307)</f>
        <v>0</v>
      </c>
      <c r="J1307" s="95" cm="1">
        <f ca="1" t="array" ref="J1307">MIN(8,_xlfn.XLOOKUP($D1307&amp;"_"&amp;J$52,$B$14:$B$36&amp;"_"&amp;$C$14:$C$36,$D$14:$D$36)*$E1307)</f>
        <v>8</v>
      </c>
      <c r="K1307" s="95" cm="1">
        <f ca="1" t="array" ref="K1307">MIN(18,_xlfn.XLOOKUP($D1307&amp;"_"&amp;K$52,$B$14:$B$36&amp;"_"&amp;$C$14:$C$36,$D$14:$D$36)*$E1307)</f>
        <v>3.598</v>
      </c>
      <c r="L1307" s="95" cm="1">
        <f ca="1" t="array" ref="L1307">MIN(6,_xlfn.XLOOKUP($D1307&amp;"_"&amp;L$52,$B$14:$B$36&amp;"_"&amp;$C$14:$C$36,$D$14:$D$36)*$E1307)</f>
        <v>6</v>
      </c>
      <c r="M1307" s="95" cm="1">
        <f ca="1" t="array" ref="M1307">(1+SUMPRODUCT(G1307:H1307,OFFSET($H$40:$I$40,D1307,0)))*(1+OFFSET($J$40,D1307,0))^I1307*(1+OFFSET($K$40,D1307,0))^J1307*(1+OFFSET($L$40,D1307,0))^K1307*(1+OFFSET($M$40,D1307,0))^L1307</f>
        <v>327.007956835109</v>
      </c>
      <c r="N1307" s="95">
        <f ca="1">MAX(MAX($N$53:N1306),OFFSET($C$52,MATCH(M1307*1.07,$M$53:$M$2052,1),0)-C1307)</f>
        <v>69840</v>
      </c>
    </row>
    <row r="1308" spans="2:14">
      <c r="B1308" s="95">
        <v>1256</v>
      </c>
      <c r="C1308" s="95">
        <f t="shared" si="103"/>
        <v>452160</v>
      </c>
      <c r="D1308" s="95">
        <f ca="1">_xlfn.XLOOKUP(总览!$B$44,$B$40:$B$45,$C$40:$C$45)</f>
        <v>5</v>
      </c>
      <c r="E1308" s="95">
        <f ca="1" t="shared" si="106"/>
        <v>1286</v>
      </c>
      <c r="F1308" s="95">
        <f ca="1" t="shared" si="104"/>
        <v>0</v>
      </c>
      <c r="G1308" s="95">
        <f ca="1" t="shared" si="105"/>
        <v>0</v>
      </c>
      <c r="H1308" s="95" cm="1">
        <f ca="1" t="array" ref="H1308">MIN(30-SUM(I1308:L1308),_xlfn.XLOOKUP($D1308&amp;"_"&amp;H$52,$B$14:$B$36&amp;"_"&amp;$C$14:$C$36,$D$14:$D$36)*$E1308,18)</f>
        <v>12.3992</v>
      </c>
      <c r="I1308" s="95" cm="1">
        <f ca="1" t="array" ref="I1308">MIN(30-SUM(J1308:L1308),6-L1308,_xlfn.XLOOKUP($D1308&amp;"_"&amp;I$52,$B$14:$B$36&amp;"_"&amp;$C$14:$C$36,$D$14:$D$36)*$E1308)</f>
        <v>0</v>
      </c>
      <c r="J1308" s="95" cm="1">
        <f ca="1" t="array" ref="J1308">MIN(8,_xlfn.XLOOKUP($D1308&amp;"_"&amp;J$52,$B$14:$B$36&amp;"_"&amp;$C$14:$C$36,$D$14:$D$36)*$E1308)</f>
        <v>8</v>
      </c>
      <c r="K1308" s="95" cm="1">
        <f ca="1" t="array" ref="K1308">MIN(18,_xlfn.XLOOKUP($D1308&amp;"_"&amp;K$52,$B$14:$B$36&amp;"_"&amp;$C$14:$C$36,$D$14:$D$36)*$E1308)</f>
        <v>3.6008</v>
      </c>
      <c r="L1308" s="95" cm="1">
        <f ca="1" t="array" ref="L1308">MIN(6,_xlfn.XLOOKUP($D1308&amp;"_"&amp;L$52,$B$14:$B$36&amp;"_"&amp;$C$14:$C$36,$D$14:$D$36)*$E1308)</f>
        <v>6</v>
      </c>
      <c r="M1308" s="95" cm="1">
        <f ca="1" t="array" ref="M1308">(1+SUMPRODUCT(G1308:H1308,OFFSET($H$40:$I$40,D1308,0)))*(1+OFFSET($J$40,D1308,0))^I1308*(1+OFFSET($K$40,D1308,0))^J1308*(1+OFFSET($L$40,D1308,0))^K1308*(1+OFFSET($M$40,D1308,0))^L1308</f>
        <v>327.122294343039</v>
      </c>
      <c r="N1308" s="95">
        <f ca="1">MAX(MAX($N$53:N1307),OFFSET($C$52,MATCH(M1308*1.07,$M$53:$M$2052,1),0)-C1308)</f>
        <v>69840</v>
      </c>
    </row>
    <row r="1309" spans="2:14">
      <c r="B1309" s="95">
        <v>1257</v>
      </c>
      <c r="C1309" s="95">
        <f t="shared" si="103"/>
        <v>452520</v>
      </c>
      <c r="D1309" s="95">
        <f ca="1">_xlfn.XLOOKUP(总览!$B$44,$B$40:$B$45,$C$40:$C$45)</f>
        <v>5</v>
      </c>
      <c r="E1309" s="95">
        <f ca="1" t="shared" si="106"/>
        <v>1287</v>
      </c>
      <c r="F1309" s="95">
        <f ca="1" t="shared" si="104"/>
        <v>0</v>
      </c>
      <c r="G1309" s="95">
        <f ca="1" t="shared" si="105"/>
        <v>0</v>
      </c>
      <c r="H1309" s="95" cm="1">
        <f ca="1" t="array" ref="H1309">MIN(30-SUM(I1309:L1309),_xlfn.XLOOKUP($D1309&amp;"_"&amp;H$52,$B$14:$B$36&amp;"_"&amp;$C$14:$C$36,$D$14:$D$36)*$E1309,18)</f>
        <v>12.3964</v>
      </c>
      <c r="I1309" s="95" cm="1">
        <f ca="1" t="array" ref="I1309">MIN(30-SUM(J1309:L1309),6-L1309,_xlfn.XLOOKUP($D1309&amp;"_"&amp;I$52,$B$14:$B$36&amp;"_"&amp;$C$14:$C$36,$D$14:$D$36)*$E1309)</f>
        <v>0</v>
      </c>
      <c r="J1309" s="95" cm="1">
        <f ca="1" t="array" ref="J1309">MIN(8,_xlfn.XLOOKUP($D1309&amp;"_"&amp;J$52,$B$14:$B$36&amp;"_"&amp;$C$14:$C$36,$D$14:$D$36)*$E1309)</f>
        <v>8</v>
      </c>
      <c r="K1309" s="95" cm="1">
        <f ca="1" t="array" ref="K1309">MIN(18,_xlfn.XLOOKUP($D1309&amp;"_"&amp;K$52,$B$14:$B$36&amp;"_"&amp;$C$14:$C$36,$D$14:$D$36)*$E1309)</f>
        <v>3.6036</v>
      </c>
      <c r="L1309" s="95" cm="1">
        <f ca="1" t="array" ref="L1309">MIN(6,_xlfn.XLOOKUP($D1309&amp;"_"&amp;L$52,$B$14:$B$36&amp;"_"&amp;$C$14:$C$36,$D$14:$D$36)*$E1309)</f>
        <v>6</v>
      </c>
      <c r="M1309" s="95" cm="1">
        <f ca="1" t="array" ref="M1309">(1+SUMPRODUCT(G1309:H1309,OFFSET($H$40:$I$40,D1309,0)))*(1+OFFSET($J$40,D1309,0))^I1309*(1+OFFSET($K$40,D1309,0))^J1309*(1+OFFSET($L$40,D1309,0))^K1309*(1+OFFSET($M$40,D1309,0))^L1309</f>
        <v>327.236663354184</v>
      </c>
      <c r="N1309" s="95">
        <f ca="1">MAX(MAX($N$53:N1308),OFFSET($C$52,MATCH(M1309*1.07,$M$53:$M$2052,1),0)-C1309)</f>
        <v>69840</v>
      </c>
    </row>
    <row r="1310" spans="2:14">
      <c r="B1310" s="95">
        <v>1258</v>
      </c>
      <c r="C1310" s="95">
        <f t="shared" si="103"/>
        <v>452880</v>
      </c>
      <c r="D1310" s="95">
        <f ca="1">_xlfn.XLOOKUP(总览!$B$44,$B$40:$B$45,$C$40:$C$45)</f>
        <v>5</v>
      </c>
      <c r="E1310" s="95">
        <f ca="1" t="shared" si="106"/>
        <v>1288</v>
      </c>
      <c r="F1310" s="95">
        <f ca="1" t="shared" si="104"/>
        <v>0</v>
      </c>
      <c r="G1310" s="95">
        <f ca="1" t="shared" si="105"/>
        <v>0</v>
      </c>
      <c r="H1310" s="95" cm="1">
        <f ca="1" t="array" ref="H1310">MIN(30-SUM(I1310:L1310),_xlfn.XLOOKUP($D1310&amp;"_"&amp;H$52,$B$14:$B$36&amp;"_"&amp;$C$14:$C$36,$D$14:$D$36)*$E1310,18)</f>
        <v>12.3936</v>
      </c>
      <c r="I1310" s="95" cm="1">
        <f ca="1" t="array" ref="I1310">MIN(30-SUM(J1310:L1310),6-L1310,_xlfn.XLOOKUP($D1310&amp;"_"&amp;I$52,$B$14:$B$36&amp;"_"&amp;$C$14:$C$36,$D$14:$D$36)*$E1310)</f>
        <v>0</v>
      </c>
      <c r="J1310" s="95" cm="1">
        <f ca="1" t="array" ref="J1310">MIN(8,_xlfn.XLOOKUP($D1310&amp;"_"&amp;J$52,$B$14:$B$36&amp;"_"&amp;$C$14:$C$36,$D$14:$D$36)*$E1310)</f>
        <v>8</v>
      </c>
      <c r="K1310" s="95" cm="1">
        <f ca="1" t="array" ref="K1310">MIN(18,_xlfn.XLOOKUP($D1310&amp;"_"&amp;K$52,$B$14:$B$36&amp;"_"&amp;$C$14:$C$36,$D$14:$D$36)*$E1310)</f>
        <v>3.6064</v>
      </c>
      <c r="L1310" s="95" cm="1">
        <f ca="1" t="array" ref="L1310">MIN(6,_xlfn.XLOOKUP($D1310&amp;"_"&amp;L$52,$B$14:$B$36&amp;"_"&amp;$C$14:$C$36,$D$14:$D$36)*$E1310)</f>
        <v>6</v>
      </c>
      <c r="M1310" s="95" cm="1">
        <f ca="1" t="array" ref="M1310">(1+SUMPRODUCT(G1310:H1310,OFFSET($H$40:$I$40,D1310,0)))*(1+OFFSET($J$40,D1310,0))^I1310*(1+OFFSET($K$40,D1310,0))^J1310*(1+OFFSET($L$40,D1310,0))^K1310*(1+OFFSET($M$40,D1310,0))^L1310</f>
        <v>327.351063870907</v>
      </c>
      <c r="N1310" s="95">
        <f ca="1">MAX(MAX($N$53:N1309),OFFSET($C$52,MATCH(M1310*1.07,$M$53:$M$2052,1),0)-C1310)</f>
        <v>70200</v>
      </c>
    </row>
    <row r="1311" spans="2:14">
      <c r="B1311" s="95">
        <v>1259</v>
      </c>
      <c r="C1311" s="95">
        <f t="shared" si="103"/>
        <v>453240</v>
      </c>
      <c r="D1311" s="95">
        <f ca="1">_xlfn.XLOOKUP(总览!$B$44,$B$40:$B$45,$C$40:$C$45)</f>
        <v>5</v>
      </c>
      <c r="E1311" s="95">
        <f ca="1" t="shared" si="106"/>
        <v>1289</v>
      </c>
      <c r="F1311" s="95">
        <f ca="1" t="shared" si="104"/>
        <v>0</v>
      </c>
      <c r="G1311" s="95">
        <f ca="1" t="shared" si="105"/>
        <v>0</v>
      </c>
      <c r="H1311" s="95" cm="1">
        <f ca="1" t="array" ref="H1311">MIN(30-SUM(I1311:L1311),_xlfn.XLOOKUP($D1311&amp;"_"&amp;H$52,$B$14:$B$36&amp;"_"&amp;$C$14:$C$36,$D$14:$D$36)*$E1311,18)</f>
        <v>12.3908</v>
      </c>
      <c r="I1311" s="95" cm="1">
        <f ca="1" t="array" ref="I1311">MIN(30-SUM(J1311:L1311),6-L1311,_xlfn.XLOOKUP($D1311&amp;"_"&amp;I$52,$B$14:$B$36&amp;"_"&amp;$C$14:$C$36,$D$14:$D$36)*$E1311)</f>
        <v>0</v>
      </c>
      <c r="J1311" s="95" cm="1">
        <f ca="1" t="array" ref="J1311">MIN(8,_xlfn.XLOOKUP($D1311&amp;"_"&amp;J$52,$B$14:$B$36&amp;"_"&amp;$C$14:$C$36,$D$14:$D$36)*$E1311)</f>
        <v>8</v>
      </c>
      <c r="K1311" s="95" cm="1">
        <f ca="1" t="array" ref="K1311">MIN(18,_xlfn.XLOOKUP($D1311&amp;"_"&amp;K$52,$B$14:$B$36&amp;"_"&amp;$C$14:$C$36,$D$14:$D$36)*$E1311)</f>
        <v>3.6092</v>
      </c>
      <c r="L1311" s="95" cm="1">
        <f ca="1" t="array" ref="L1311">MIN(6,_xlfn.XLOOKUP($D1311&amp;"_"&amp;L$52,$B$14:$B$36&amp;"_"&amp;$C$14:$C$36,$D$14:$D$36)*$E1311)</f>
        <v>6</v>
      </c>
      <c r="M1311" s="95" cm="1">
        <f ca="1" t="array" ref="M1311">(1+SUMPRODUCT(G1311:H1311,OFFSET($H$40:$I$40,D1311,0)))*(1+OFFSET($J$40,D1311,0))^I1311*(1+OFFSET($K$40,D1311,0))^J1311*(1+OFFSET($L$40,D1311,0))^K1311*(1+OFFSET($M$40,D1311,0))^L1311</f>
        <v>327.46549589556</v>
      </c>
      <c r="N1311" s="95">
        <f ca="1">MAX(MAX($N$53:N1310),OFFSET($C$52,MATCH(M1311*1.07,$M$53:$M$2052,1),0)-C1311)</f>
        <v>70200</v>
      </c>
    </row>
    <row r="1312" spans="2:14">
      <c r="B1312" s="95">
        <v>1260</v>
      </c>
      <c r="C1312" s="95">
        <f t="shared" si="103"/>
        <v>453600</v>
      </c>
      <c r="D1312" s="95">
        <f ca="1">_xlfn.XLOOKUP(总览!$B$44,$B$40:$B$45,$C$40:$C$45)</f>
        <v>5</v>
      </c>
      <c r="E1312" s="95">
        <f ca="1" t="shared" si="106"/>
        <v>1290</v>
      </c>
      <c r="F1312" s="95">
        <f ca="1" t="shared" si="104"/>
        <v>0</v>
      </c>
      <c r="G1312" s="95">
        <f ca="1" t="shared" si="105"/>
        <v>0</v>
      </c>
      <c r="H1312" s="95" cm="1">
        <f ca="1" t="array" ref="H1312">MIN(30-SUM(I1312:L1312),_xlfn.XLOOKUP($D1312&amp;"_"&amp;H$52,$B$14:$B$36&amp;"_"&amp;$C$14:$C$36,$D$14:$D$36)*$E1312,18)</f>
        <v>12.388</v>
      </c>
      <c r="I1312" s="95" cm="1">
        <f ca="1" t="array" ref="I1312">MIN(30-SUM(J1312:L1312),6-L1312,_xlfn.XLOOKUP($D1312&amp;"_"&amp;I$52,$B$14:$B$36&amp;"_"&amp;$C$14:$C$36,$D$14:$D$36)*$E1312)</f>
        <v>0</v>
      </c>
      <c r="J1312" s="95" cm="1">
        <f ca="1" t="array" ref="J1312">MIN(8,_xlfn.XLOOKUP($D1312&amp;"_"&amp;J$52,$B$14:$B$36&amp;"_"&amp;$C$14:$C$36,$D$14:$D$36)*$E1312)</f>
        <v>8</v>
      </c>
      <c r="K1312" s="95" cm="1">
        <f ca="1" t="array" ref="K1312">MIN(18,_xlfn.XLOOKUP($D1312&amp;"_"&amp;K$52,$B$14:$B$36&amp;"_"&amp;$C$14:$C$36,$D$14:$D$36)*$E1312)</f>
        <v>3.612</v>
      </c>
      <c r="L1312" s="95" cm="1">
        <f ca="1" t="array" ref="L1312">MIN(6,_xlfn.XLOOKUP($D1312&amp;"_"&amp;L$52,$B$14:$B$36&amp;"_"&amp;$C$14:$C$36,$D$14:$D$36)*$E1312)</f>
        <v>6</v>
      </c>
      <c r="M1312" s="95" cm="1">
        <f ca="1" t="array" ref="M1312">(1+SUMPRODUCT(G1312:H1312,OFFSET($H$40:$I$40,D1312,0)))*(1+OFFSET($J$40,D1312,0))^I1312*(1+OFFSET($K$40,D1312,0))^J1312*(1+OFFSET($L$40,D1312,0))^K1312*(1+OFFSET($M$40,D1312,0))^L1312</f>
        <v>327.579959430494</v>
      </c>
      <c r="N1312" s="95">
        <f ca="1">MAX(MAX($N$53:N1311),OFFSET($C$52,MATCH(M1312*1.07,$M$53:$M$2052,1),0)-C1312)</f>
        <v>70200</v>
      </c>
    </row>
    <row r="1313" spans="2:14">
      <c r="B1313" s="95">
        <v>1261</v>
      </c>
      <c r="C1313" s="95">
        <f t="shared" si="103"/>
        <v>453960</v>
      </c>
      <c r="D1313" s="95">
        <f ca="1">_xlfn.XLOOKUP(总览!$B$44,$B$40:$B$45,$C$40:$C$45)</f>
        <v>5</v>
      </c>
      <c r="E1313" s="95">
        <f ca="1" t="shared" si="106"/>
        <v>1291</v>
      </c>
      <c r="F1313" s="95">
        <f ca="1" t="shared" si="104"/>
        <v>0</v>
      </c>
      <c r="G1313" s="95">
        <f ca="1" t="shared" si="105"/>
        <v>0</v>
      </c>
      <c r="H1313" s="95" cm="1">
        <f ca="1" t="array" ref="H1313">MIN(30-SUM(I1313:L1313),_xlfn.XLOOKUP($D1313&amp;"_"&amp;H$52,$B$14:$B$36&amp;"_"&amp;$C$14:$C$36,$D$14:$D$36)*$E1313,18)</f>
        <v>12.3852</v>
      </c>
      <c r="I1313" s="95" cm="1">
        <f ca="1" t="array" ref="I1313">MIN(30-SUM(J1313:L1313),6-L1313,_xlfn.XLOOKUP($D1313&amp;"_"&amp;I$52,$B$14:$B$36&amp;"_"&amp;$C$14:$C$36,$D$14:$D$36)*$E1313)</f>
        <v>0</v>
      </c>
      <c r="J1313" s="95" cm="1">
        <f ca="1" t="array" ref="J1313">MIN(8,_xlfn.XLOOKUP($D1313&amp;"_"&amp;J$52,$B$14:$B$36&amp;"_"&amp;$C$14:$C$36,$D$14:$D$36)*$E1313)</f>
        <v>8</v>
      </c>
      <c r="K1313" s="95" cm="1">
        <f ca="1" t="array" ref="K1313">MIN(18,_xlfn.XLOOKUP($D1313&amp;"_"&amp;K$52,$B$14:$B$36&amp;"_"&amp;$C$14:$C$36,$D$14:$D$36)*$E1313)</f>
        <v>3.6148</v>
      </c>
      <c r="L1313" s="95" cm="1">
        <f ca="1" t="array" ref="L1313">MIN(6,_xlfn.XLOOKUP($D1313&amp;"_"&amp;L$52,$B$14:$B$36&amp;"_"&amp;$C$14:$C$36,$D$14:$D$36)*$E1313)</f>
        <v>6</v>
      </c>
      <c r="M1313" s="95" cm="1">
        <f ca="1" t="array" ref="M1313">(1+SUMPRODUCT(G1313:H1313,OFFSET($H$40:$I$40,D1313,0)))*(1+OFFSET($J$40,D1313,0))^I1313*(1+OFFSET($K$40,D1313,0))^J1313*(1+OFFSET($L$40,D1313,0))^K1313*(1+OFFSET($M$40,D1313,0))^L1313</f>
        <v>327.694454478049</v>
      </c>
      <c r="N1313" s="95">
        <f ca="1">MAX(MAX($N$53:N1312),OFFSET($C$52,MATCH(M1313*1.07,$M$53:$M$2052,1),0)-C1313)</f>
        <v>70200</v>
      </c>
    </row>
    <row r="1314" spans="2:14">
      <c r="B1314" s="95">
        <v>1262</v>
      </c>
      <c r="C1314" s="95">
        <f t="shared" si="103"/>
        <v>454320</v>
      </c>
      <c r="D1314" s="95">
        <f ca="1">_xlfn.XLOOKUP(总览!$B$44,$B$40:$B$45,$C$40:$C$45)</f>
        <v>5</v>
      </c>
      <c r="E1314" s="95">
        <f ca="1" t="shared" si="106"/>
        <v>1292</v>
      </c>
      <c r="F1314" s="95">
        <f ca="1" t="shared" si="104"/>
        <v>0</v>
      </c>
      <c r="G1314" s="95">
        <f ca="1" t="shared" si="105"/>
        <v>0</v>
      </c>
      <c r="H1314" s="95" cm="1">
        <f ca="1" t="array" ref="H1314">MIN(30-SUM(I1314:L1314),_xlfn.XLOOKUP($D1314&amp;"_"&amp;H$52,$B$14:$B$36&amp;"_"&amp;$C$14:$C$36,$D$14:$D$36)*$E1314,18)</f>
        <v>12.3824</v>
      </c>
      <c r="I1314" s="95" cm="1">
        <f ca="1" t="array" ref="I1314">MIN(30-SUM(J1314:L1314),6-L1314,_xlfn.XLOOKUP($D1314&amp;"_"&amp;I$52,$B$14:$B$36&amp;"_"&amp;$C$14:$C$36,$D$14:$D$36)*$E1314)</f>
        <v>0</v>
      </c>
      <c r="J1314" s="95" cm="1">
        <f ca="1" t="array" ref="J1314">MIN(8,_xlfn.XLOOKUP($D1314&amp;"_"&amp;J$52,$B$14:$B$36&amp;"_"&amp;$C$14:$C$36,$D$14:$D$36)*$E1314)</f>
        <v>8</v>
      </c>
      <c r="K1314" s="95" cm="1">
        <f ca="1" t="array" ref="K1314">MIN(18,_xlfn.XLOOKUP($D1314&amp;"_"&amp;K$52,$B$14:$B$36&amp;"_"&amp;$C$14:$C$36,$D$14:$D$36)*$E1314)</f>
        <v>3.6176</v>
      </c>
      <c r="L1314" s="95" cm="1">
        <f ca="1" t="array" ref="L1314">MIN(6,_xlfn.XLOOKUP($D1314&amp;"_"&amp;L$52,$B$14:$B$36&amp;"_"&amp;$C$14:$C$36,$D$14:$D$36)*$E1314)</f>
        <v>6</v>
      </c>
      <c r="M1314" s="95" cm="1">
        <f ca="1" t="array" ref="M1314">(1+SUMPRODUCT(G1314:H1314,OFFSET($H$40:$I$40,D1314,0)))*(1+OFFSET($J$40,D1314,0))^I1314*(1+OFFSET($K$40,D1314,0))^J1314*(1+OFFSET($L$40,D1314,0))^K1314*(1+OFFSET($M$40,D1314,0))^L1314</f>
        <v>327.808981040565</v>
      </c>
      <c r="N1314" s="95">
        <f ca="1">MAX(MAX($N$53:N1313),OFFSET($C$52,MATCH(M1314*1.07,$M$53:$M$2052,1),0)-C1314)</f>
        <v>70200</v>
      </c>
    </row>
    <row r="1315" spans="2:14">
      <c r="B1315" s="95">
        <v>1263</v>
      </c>
      <c r="C1315" s="95">
        <f t="shared" si="103"/>
        <v>454680</v>
      </c>
      <c r="D1315" s="95">
        <f ca="1">_xlfn.XLOOKUP(总览!$B$44,$B$40:$B$45,$C$40:$C$45)</f>
        <v>5</v>
      </c>
      <c r="E1315" s="95">
        <f ca="1" t="shared" si="106"/>
        <v>1293</v>
      </c>
      <c r="F1315" s="95">
        <f ca="1" t="shared" si="104"/>
        <v>0</v>
      </c>
      <c r="G1315" s="95">
        <f ca="1" t="shared" si="105"/>
        <v>0</v>
      </c>
      <c r="H1315" s="95" cm="1">
        <f ca="1" t="array" ref="H1315">MIN(30-SUM(I1315:L1315),_xlfn.XLOOKUP($D1315&amp;"_"&amp;H$52,$B$14:$B$36&amp;"_"&amp;$C$14:$C$36,$D$14:$D$36)*$E1315,18)</f>
        <v>12.3796</v>
      </c>
      <c r="I1315" s="95" cm="1">
        <f ca="1" t="array" ref="I1315">MIN(30-SUM(J1315:L1315),6-L1315,_xlfn.XLOOKUP($D1315&amp;"_"&amp;I$52,$B$14:$B$36&amp;"_"&amp;$C$14:$C$36,$D$14:$D$36)*$E1315)</f>
        <v>0</v>
      </c>
      <c r="J1315" s="95" cm="1">
        <f ca="1" t="array" ref="J1315">MIN(8,_xlfn.XLOOKUP($D1315&amp;"_"&amp;J$52,$B$14:$B$36&amp;"_"&amp;$C$14:$C$36,$D$14:$D$36)*$E1315)</f>
        <v>8</v>
      </c>
      <c r="K1315" s="95" cm="1">
        <f ca="1" t="array" ref="K1315">MIN(18,_xlfn.XLOOKUP($D1315&amp;"_"&amp;K$52,$B$14:$B$36&amp;"_"&amp;$C$14:$C$36,$D$14:$D$36)*$E1315)</f>
        <v>3.6204</v>
      </c>
      <c r="L1315" s="95" cm="1">
        <f ca="1" t="array" ref="L1315">MIN(6,_xlfn.XLOOKUP($D1315&amp;"_"&amp;L$52,$B$14:$B$36&amp;"_"&amp;$C$14:$C$36,$D$14:$D$36)*$E1315)</f>
        <v>6</v>
      </c>
      <c r="M1315" s="95" cm="1">
        <f ca="1" t="array" ref="M1315">(1+SUMPRODUCT(G1315:H1315,OFFSET($H$40:$I$40,D1315,0)))*(1+OFFSET($J$40,D1315,0))^I1315*(1+OFFSET($K$40,D1315,0))^J1315*(1+OFFSET($L$40,D1315,0))^K1315*(1+OFFSET($M$40,D1315,0))^L1315</f>
        <v>327.92353912037</v>
      </c>
      <c r="N1315" s="95">
        <f ca="1">MAX(MAX($N$53:N1314),OFFSET($C$52,MATCH(M1315*1.07,$M$53:$M$2052,1),0)-C1315)</f>
        <v>70200</v>
      </c>
    </row>
    <row r="1316" spans="2:14">
      <c r="B1316" s="95">
        <v>1264</v>
      </c>
      <c r="C1316" s="95">
        <f t="shared" si="103"/>
        <v>455040</v>
      </c>
      <c r="D1316" s="95">
        <f ca="1">_xlfn.XLOOKUP(总览!$B$44,$B$40:$B$45,$C$40:$C$45)</f>
        <v>5</v>
      </c>
      <c r="E1316" s="95">
        <f ca="1" t="shared" si="106"/>
        <v>1294</v>
      </c>
      <c r="F1316" s="95">
        <f ca="1" t="shared" si="104"/>
        <v>0</v>
      </c>
      <c r="G1316" s="95">
        <f ca="1" t="shared" si="105"/>
        <v>0</v>
      </c>
      <c r="H1316" s="95" cm="1">
        <f ca="1" t="array" ref="H1316">MIN(30-SUM(I1316:L1316),_xlfn.XLOOKUP($D1316&amp;"_"&amp;H$52,$B$14:$B$36&amp;"_"&amp;$C$14:$C$36,$D$14:$D$36)*$E1316,18)</f>
        <v>12.3768</v>
      </c>
      <c r="I1316" s="95" cm="1">
        <f ca="1" t="array" ref="I1316">MIN(30-SUM(J1316:L1316),6-L1316,_xlfn.XLOOKUP($D1316&amp;"_"&amp;I$52,$B$14:$B$36&amp;"_"&amp;$C$14:$C$36,$D$14:$D$36)*$E1316)</f>
        <v>0</v>
      </c>
      <c r="J1316" s="95" cm="1">
        <f ca="1" t="array" ref="J1316">MIN(8,_xlfn.XLOOKUP($D1316&amp;"_"&amp;J$52,$B$14:$B$36&amp;"_"&amp;$C$14:$C$36,$D$14:$D$36)*$E1316)</f>
        <v>8</v>
      </c>
      <c r="K1316" s="95" cm="1">
        <f ca="1" t="array" ref="K1316">MIN(18,_xlfn.XLOOKUP($D1316&amp;"_"&amp;K$52,$B$14:$B$36&amp;"_"&amp;$C$14:$C$36,$D$14:$D$36)*$E1316)</f>
        <v>3.6232</v>
      </c>
      <c r="L1316" s="95" cm="1">
        <f ca="1" t="array" ref="L1316">MIN(6,_xlfn.XLOOKUP($D1316&amp;"_"&amp;L$52,$B$14:$B$36&amp;"_"&amp;$C$14:$C$36,$D$14:$D$36)*$E1316)</f>
        <v>6</v>
      </c>
      <c r="M1316" s="95" cm="1">
        <f ca="1" t="array" ref="M1316">(1+SUMPRODUCT(G1316:H1316,OFFSET($H$40:$I$40,D1316,0)))*(1+OFFSET($J$40,D1316,0))^I1316*(1+OFFSET($K$40,D1316,0))^J1316*(1+OFFSET($L$40,D1316,0))^K1316*(1+OFFSET($M$40,D1316,0))^L1316</f>
        <v>328.038128719792</v>
      </c>
      <c r="N1316" s="95">
        <f ca="1">MAX(MAX($N$53:N1315),OFFSET($C$52,MATCH(M1316*1.07,$M$53:$M$2052,1),0)-C1316)</f>
        <v>70200</v>
      </c>
    </row>
    <row r="1317" spans="2:14">
      <c r="B1317" s="95">
        <v>1265</v>
      </c>
      <c r="C1317" s="95">
        <f t="shared" ref="C1317:C1380" si="107">C1316+360</f>
        <v>455400</v>
      </c>
      <c r="D1317" s="95">
        <f ca="1">_xlfn.XLOOKUP(总览!$B$44,$B$40:$B$45,$C$40:$C$45)</f>
        <v>5</v>
      </c>
      <c r="E1317" s="95">
        <f ca="1" t="shared" si="106"/>
        <v>1295</v>
      </c>
      <c r="F1317" s="95">
        <f ca="1" t="shared" ref="F1317:F1380" si="108">30-SUM(G1317:L1317)</f>
        <v>0</v>
      </c>
      <c r="G1317" s="95">
        <f ca="1" t="shared" ref="G1317:G1380" si="109">30-SUM(H1317:L1317)</f>
        <v>0</v>
      </c>
      <c r="H1317" s="95" cm="1">
        <f ca="1" t="array" ref="H1317">MIN(30-SUM(I1317:L1317),_xlfn.XLOOKUP($D1317&amp;"_"&amp;H$52,$B$14:$B$36&amp;"_"&amp;$C$14:$C$36,$D$14:$D$36)*$E1317,18)</f>
        <v>12.374</v>
      </c>
      <c r="I1317" s="95" cm="1">
        <f ca="1" t="array" ref="I1317">MIN(30-SUM(J1317:L1317),6-L1317,_xlfn.XLOOKUP($D1317&amp;"_"&amp;I$52,$B$14:$B$36&amp;"_"&amp;$C$14:$C$36,$D$14:$D$36)*$E1317)</f>
        <v>0</v>
      </c>
      <c r="J1317" s="95" cm="1">
        <f ca="1" t="array" ref="J1317">MIN(8,_xlfn.XLOOKUP($D1317&amp;"_"&amp;J$52,$B$14:$B$36&amp;"_"&amp;$C$14:$C$36,$D$14:$D$36)*$E1317)</f>
        <v>8</v>
      </c>
      <c r="K1317" s="95" cm="1">
        <f ca="1" t="array" ref="K1317">MIN(18,_xlfn.XLOOKUP($D1317&amp;"_"&amp;K$52,$B$14:$B$36&amp;"_"&amp;$C$14:$C$36,$D$14:$D$36)*$E1317)</f>
        <v>3.626</v>
      </c>
      <c r="L1317" s="95" cm="1">
        <f ca="1" t="array" ref="L1317">MIN(6,_xlfn.XLOOKUP($D1317&amp;"_"&amp;L$52,$B$14:$B$36&amp;"_"&amp;$C$14:$C$36,$D$14:$D$36)*$E1317)</f>
        <v>6</v>
      </c>
      <c r="M1317" s="95" cm="1">
        <f ca="1" t="array" ref="M1317">(1+SUMPRODUCT(G1317:H1317,OFFSET($H$40:$I$40,D1317,0)))*(1+OFFSET($J$40,D1317,0))^I1317*(1+OFFSET($K$40,D1317,0))^J1317*(1+OFFSET($L$40,D1317,0))^K1317*(1+OFFSET($M$40,D1317,0))^L1317</f>
        <v>328.152749841149</v>
      </c>
      <c r="N1317" s="95">
        <f ca="1">MAX(MAX($N$53:N1316),OFFSET($C$52,MATCH(M1317*1.07,$M$53:$M$2052,1),0)-C1317)</f>
        <v>70200</v>
      </c>
    </row>
    <row r="1318" spans="2:14">
      <c r="B1318" s="95">
        <v>1266</v>
      </c>
      <c r="C1318" s="95">
        <f t="shared" si="107"/>
        <v>455760</v>
      </c>
      <c r="D1318" s="95">
        <f ca="1">_xlfn.XLOOKUP(总览!$B$44,$B$40:$B$45,$C$40:$C$45)</f>
        <v>5</v>
      </c>
      <c r="E1318" s="95">
        <f ca="1" t="shared" si="106"/>
        <v>1296</v>
      </c>
      <c r="F1318" s="95">
        <f ca="1" t="shared" si="108"/>
        <v>0</v>
      </c>
      <c r="G1318" s="95">
        <f ca="1" t="shared" si="109"/>
        <v>0</v>
      </c>
      <c r="H1318" s="95" cm="1">
        <f ca="1" t="array" ref="H1318">MIN(30-SUM(I1318:L1318),_xlfn.XLOOKUP($D1318&amp;"_"&amp;H$52,$B$14:$B$36&amp;"_"&amp;$C$14:$C$36,$D$14:$D$36)*$E1318,18)</f>
        <v>12.3712</v>
      </c>
      <c r="I1318" s="95" cm="1">
        <f ca="1" t="array" ref="I1318">MIN(30-SUM(J1318:L1318),6-L1318,_xlfn.XLOOKUP($D1318&amp;"_"&amp;I$52,$B$14:$B$36&amp;"_"&amp;$C$14:$C$36,$D$14:$D$36)*$E1318)</f>
        <v>0</v>
      </c>
      <c r="J1318" s="95" cm="1">
        <f ca="1" t="array" ref="J1318">MIN(8,_xlfn.XLOOKUP($D1318&amp;"_"&amp;J$52,$B$14:$B$36&amp;"_"&amp;$C$14:$C$36,$D$14:$D$36)*$E1318)</f>
        <v>8</v>
      </c>
      <c r="K1318" s="95" cm="1">
        <f ca="1" t="array" ref="K1318">MIN(18,_xlfn.XLOOKUP($D1318&amp;"_"&amp;K$52,$B$14:$B$36&amp;"_"&amp;$C$14:$C$36,$D$14:$D$36)*$E1318)</f>
        <v>3.6288</v>
      </c>
      <c r="L1318" s="95" cm="1">
        <f ca="1" t="array" ref="L1318">MIN(6,_xlfn.XLOOKUP($D1318&amp;"_"&amp;L$52,$B$14:$B$36&amp;"_"&amp;$C$14:$C$36,$D$14:$D$36)*$E1318)</f>
        <v>6</v>
      </c>
      <c r="M1318" s="95" cm="1">
        <f ca="1" t="array" ref="M1318">(1+SUMPRODUCT(G1318:H1318,OFFSET($H$40:$I$40,D1318,0)))*(1+OFFSET($J$40,D1318,0))^I1318*(1+OFFSET($K$40,D1318,0))^J1318*(1+OFFSET($L$40,D1318,0))^K1318*(1+OFFSET($M$40,D1318,0))^L1318</f>
        <v>328.267402486755</v>
      </c>
      <c r="N1318" s="95">
        <f ca="1">MAX(MAX($N$53:N1317),OFFSET($C$52,MATCH(M1318*1.07,$M$53:$M$2052,1),0)-C1318)</f>
        <v>70200</v>
      </c>
    </row>
    <row r="1319" spans="2:14">
      <c r="B1319" s="95">
        <v>1267</v>
      </c>
      <c r="C1319" s="95">
        <f t="shared" si="107"/>
        <v>456120</v>
      </c>
      <c r="D1319" s="95">
        <f ca="1">_xlfn.XLOOKUP(总览!$B$44,$B$40:$B$45,$C$40:$C$45)</f>
        <v>5</v>
      </c>
      <c r="E1319" s="95">
        <f ca="1" t="shared" si="106"/>
        <v>1297</v>
      </c>
      <c r="F1319" s="95">
        <f ca="1" t="shared" si="108"/>
        <v>0</v>
      </c>
      <c r="G1319" s="95">
        <f ca="1" t="shared" si="109"/>
        <v>0</v>
      </c>
      <c r="H1319" s="95" cm="1">
        <f ca="1" t="array" ref="H1319">MIN(30-SUM(I1319:L1319),_xlfn.XLOOKUP($D1319&amp;"_"&amp;H$52,$B$14:$B$36&amp;"_"&amp;$C$14:$C$36,$D$14:$D$36)*$E1319,18)</f>
        <v>12.3684</v>
      </c>
      <c r="I1319" s="95" cm="1">
        <f ca="1" t="array" ref="I1319">MIN(30-SUM(J1319:L1319),6-L1319,_xlfn.XLOOKUP($D1319&amp;"_"&amp;I$52,$B$14:$B$36&amp;"_"&amp;$C$14:$C$36,$D$14:$D$36)*$E1319)</f>
        <v>0</v>
      </c>
      <c r="J1319" s="95" cm="1">
        <f ca="1" t="array" ref="J1319">MIN(8,_xlfn.XLOOKUP($D1319&amp;"_"&amp;J$52,$B$14:$B$36&amp;"_"&amp;$C$14:$C$36,$D$14:$D$36)*$E1319)</f>
        <v>8</v>
      </c>
      <c r="K1319" s="95" cm="1">
        <f ca="1" t="array" ref="K1319">MIN(18,_xlfn.XLOOKUP($D1319&amp;"_"&amp;K$52,$B$14:$B$36&amp;"_"&amp;$C$14:$C$36,$D$14:$D$36)*$E1319)</f>
        <v>3.6316</v>
      </c>
      <c r="L1319" s="95" cm="1">
        <f ca="1" t="array" ref="L1319">MIN(6,_xlfn.XLOOKUP($D1319&amp;"_"&amp;L$52,$B$14:$B$36&amp;"_"&amp;$C$14:$C$36,$D$14:$D$36)*$E1319)</f>
        <v>6</v>
      </c>
      <c r="M1319" s="95" cm="1">
        <f ca="1" t="array" ref="M1319">(1+SUMPRODUCT(G1319:H1319,OFFSET($H$40:$I$40,D1319,0)))*(1+OFFSET($J$40,D1319,0))^I1319*(1+OFFSET($K$40,D1319,0))^J1319*(1+OFFSET($L$40,D1319,0))^K1319*(1+OFFSET($M$40,D1319,0))^L1319</f>
        <v>328.382086658918</v>
      </c>
      <c r="N1319" s="95">
        <f ca="1">MAX(MAX($N$53:N1318),OFFSET($C$52,MATCH(M1319*1.07,$M$53:$M$2052,1),0)-C1319)</f>
        <v>70200</v>
      </c>
    </row>
    <row r="1320" spans="2:14">
      <c r="B1320" s="95">
        <v>1268</v>
      </c>
      <c r="C1320" s="95">
        <f t="shared" si="107"/>
        <v>456480</v>
      </c>
      <c r="D1320" s="95">
        <f ca="1">_xlfn.XLOOKUP(总览!$B$44,$B$40:$B$45,$C$40:$C$45)</f>
        <v>5</v>
      </c>
      <c r="E1320" s="95">
        <f ca="1" t="shared" si="106"/>
        <v>1298</v>
      </c>
      <c r="F1320" s="95">
        <f ca="1" t="shared" si="108"/>
        <v>0</v>
      </c>
      <c r="G1320" s="95">
        <f ca="1" t="shared" si="109"/>
        <v>0</v>
      </c>
      <c r="H1320" s="95" cm="1">
        <f ca="1" t="array" ref="H1320">MIN(30-SUM(I1320:L1320),_xlfn.XLOOKUP($D1320&amp;"_"&amp;H$52,$B$14:$B$36&amp;"_"&amp;$C$14:$C$36,$D$14:$D$36)*$E1320,18)</f>
        <v>12.3656</v>
      </c>
      <c r="I1320" s="95" cm="1">
        <f ca="1" t="array" ref="I1320">MIN(30-SUM(J1320:L1320),6-L1320,_xlfn.XLOOKUP($D1320&amp;"_"&amp;I$52,$B$14:$B$36&amp;"_"&amp;$C$14:$C$36,$D$14:$D$36)*$E1320)</f>
        <v>0</v>
      </c>
      <c r="J1320" s="95" cm="1">
        <f ca="1" t="array" ref="J1320">MIN(8,_xlfn.XLOOKUP($D1320&amp;"_"&amp;J$52,$B$14:$B$36&amp;"_"&amp;$C$14:$C$36,$D$14:$D$36)*$E1320)</f>
        <v>8</v>
      </c>
      <c r="K1320" s="95" cm="1">
        <f ca="1" t="array" ref="K1320">MIN(18,_xlfn.XLOOKUP($D1320&amp;"_"&amp;K$52,$B$14:$B$36&amp;"_"&amp;$C$14:$C$36,$D$14:$D$36)*$E1320)</f>
        <v>3.6344</v>
      </c>
      <c r="L1320" s="95" cm="1">
        <f ca="1" t="array" ref="L1320">MIN(6,_xlfn.XLOOKUP($D1320&amp;"_"&amp;L$52,$B$14:$B$36&amp;"_"&amp;$C$14:$C$36,$D$14:$D$36)*$E1320)</f>
        <v>6</v>
      </c>
      <c r="M1320" s="95" cm="1">
        <f ca="1" t="array" ref="M1320">(1+SUMPRODUCT(G1320:H1320,OFFSET($H$40:$I$40,D1320,0)))*(1+OFFSET($J$40,D1320,0))^I1320*(1+OFFSET($K$40,D1320,0))^J1320*(1+OFFSET($L$40,D1320,0))^K1320*(1+OFFSET($M$40,D1320,0))^L1320</f>
        <v>328.496802359939</v>
      </c>
      <c r="N1320" s="95">
        <f ca="1">MAX(MAX($N$53:N1319),OFFSET($C$52,MATCH(M1320*1.07,$M$53:$M$2052,1),0)-C1320)</f>
        <v>70200</v>
      </c>
    </row>
    <row r="1321" spans="2:14">
      <c r="B1321" s="95">
        <v>1269</v>
      </c>
      <c r="C1321" s="95">
        <f t="shared" si="107"/>
        <v>456840</v>
      </c>
      <c r="D1321" s="95">
        <f ca="1">_xlfn.XLOOKUP(总览!$B$44,$B$40:$B$45,$C$40:$C$45)</f>
        <v>5</v>
      </c>
      <c r="E1321" s="95">
        <f ca="1" t="shared" si="106"/>
        <v>1299</v>
      </c>
      <c r="F1321" s="95">
        <f ca="1" t="shared" si="108"/>
        <v>0</v>
      </c>
      <c r="G1321" s="95">
        <f ca="1" t="shared" si="109"/>
        <v>0</v>
      </c>
      <c r="H1321" s="95" cm="1">
        <f ca="1" t="array" ref="H1321">MIN(30-SUM(I1321:L1321),_xlfn.XLOOKUP($D1321&amp;"_"&amp;H$52,$B$14:$B$36&amp;"_"&amp;$C$14:$C$36,$D$14:$D$36)*$E1321,18)</f>
        <v>12.3628</v>
      </c>
      <c r="I1321" s="95" cm="1">
        <f ca="1" t="array" ref="I1321">MIN(30-SUM(J1321:L1321),6-L1321,_xlfn.XLOOKUP($D1321&amp;"_"&amp;I$52,$B$14:$B$36&amp;"_"&amp;$C$14:$C$36,$D$14:$D$36)*$E1321)</f>
        <v>0</v>
      </c>
      <c r="J1321" s="95" cm="1">
        <f ca="1" t="array" ref="J1321">MIN(8,_xlfn.XLOOKUP($D1321&amp;"_"&amp;J$52,$B$14:$B$36&amp;"_"&amp;$C$14:$C$36,$D$14:$D$36)*$E1321)</f>
        <v>8</v>
      </c>
      <c r="K1321" s="95" cm="1">
        <f ca="1" t="array" ref="K1321">MIN(18,_xlfn.XLOOKUP($D1321&amp;"_"&amp;K$52,$B$14:$B$36&amp;"_"&amp;$C$14:$C$36,$D$14:$D$36)*$E1321)</f>
        <v>3.6372</v>
      </c>
      <c r="L1321" s="95" cm="1">
        <f ca="1" t="array" ref="L1321">MIN(6,_xlfn.XLOOKUP($D1321&amp;"_"&amp;L$52,$B$14:$B$36&amp;"_"&amp;$C$14:$C$36,$D$14:$D$36)*$E1321)</f>
        <v>6</v>
      </c>
      <c r="M1321" s="95" cm="1">
        <f ca="1" t="array" ref="M1321">(1+SUMPRODUCT(G1321:H1321,OFFSET($H$40:$I$40,D1321,0)))*(1+OFFSET($J$40,D1321,0))^I1321*(1+OFFSET($K$40,D1321,0))^J1321*(1+OFFSET($L$40,D1321,0))^K1321*(1+OFFSET($M$40,D1321,0))^L1321</f>
        <v>328.611549592115</v>
      </c>
      <c r="N1321" s="95">
        <f ca="1">MAX(MAX($N$53:N1320),OFFSET($C$52,MATCH(M1321*1.07,$M$53:$M$2052,1),0)-C1321)</f>
        <v>70200</v>
      </c>
    </row>
    <row r="1322" spans="2:14">
      <c r="B1322" s="95">
        <v>1270</v>
      </c>
      <c r="C1322" s="95">
        <f t="shared" si="107"/>
        <v>457200</v>
      </c>
      <c r="D1322" s="95">
        <f ca="1">_xlfn.XLOOKUP(总览!$B$44,$B$40:$B$45,$C$40:$C$45)</f>
        <v>5</v>
      </c>
      <c r="E1322" s="95">
        <f ca="1" t="shared" si="106"/>
        <v>1300</v>
      </c>
      <c r="F1322" s="95">
        <f ca="1" t="shared" si="108"/>
        <v>0</v>
      </c>
      <c r="G1322" s="95">
        <f ca="1" t="shared" si="109"/>
        <v>0</v>
      </c>
      <c r="H1322" s="95" cm="1">
        <f ca="1" t="array" ref="H1322">MIN(30-SUM(I1322:L1322),_xlfn.XLOOKUP($D1322&amp;"_"&amp;H$52,$B$14:$B$36&amp;"_"&amp;$C$14:$C$36,$D$14:$D$36)*$E1322,18)</f>
        <v>12.36</v>
      </c>
      <c r="I1322" s="95" cm="1">
        <f ca="1" t="array" ref="I1322">MIN(30-SUM(J1322:L1322),6-L1322,_xlfn.XLOOKUP($D1322&amp;"_"&amp;I$52,$B$14:$B$36&amp;"_"&amp;$C$14:$C$36,$D$14:$D$36)*$E1322)</f>
        <v>0</v>
      </c>
      <c r="J1322" s="95" cm="1">
        <f ca="1" t="array" ref="J1322">MIN(8,_xlfn.XLOOKUP($D1322&amp;"_"&amp;J$52,$B$14:$B$36&amp;"_"&amp;$C$14:$C$36,$D$14:$D$36)*$E1322)</f>
        <v>8</v>
      </c>
      <c r="K1322" s="95" cm="1">
        <f ca="1" t="array" ref="K1322">MIN(18,_xlfn.XLOOKUP($D1322&amp;"_"&amp;K$52,$B$14:$B$36&amp;"_"&amp;$C$14:$C$36,$D$14:$D$36)*$E1322)</f>
        <v>3.64</v>
      </c>
      <c r="L1322" s="95" cm="1">
        <f ca="1" t="array" ref="L1322">MIN(6,_xlfn.XLOOKUP($D1322&amp;"_"&amp;L$52,$B$14:$B$36&amp;"_"&amp;$C$14:$C$36,$D$14:$D$36)*$E1322)</f>
        <v>6</v>
      </c>
      <c r="M1322" s="95" cm="1">
        <f ca="1" t="array" ref="M1322">(1+SUMPRODUCT(G1322:H1322,OFFSET($H$40:$I$40,D1322,0)))*(1+OFFSET($J$40,D1322,0))^I1322*(1+OFFSET($K$40,D1322,0))^J1322*(1+OFFSET($L$40,D1322,0))^K1322*(1+OFFSET($M$40,D1322,0))^L1322</f>
        <v>328.726328357737</v>
      </c>
      <c r="N1322" s="95">
        <f ca="1">MAX(MAX($N$53:N1321),OFFSET($C$52,MATCH(M1322*1.07,$M$53:$M$2052,1),0)-C1322)</f>
        <v>70200</v>
      </c>
    </row>
    <row r="1323" spans="2:14">
      <c r="B1323" s="95">
        <v>1271</v>
      </c>
      <c r="C1323" s="95">
        <f t="shared" si="107"/>
        <v>457560</v>
      </c>
      <c r="D1323" s="95">
        <f ca="1">_xlfn.XLOOKUP(总览!$B$44,$B$40:$B$45,$C$40:$C$45)</f>
        <v>5</v>
      </c>
      <c r="E1323" s="95">
        <f ca="1" t="shared" si="106"/>
        <v>1301</v>
      </c>
      <c r="F1323" s="95">
        <f ca="1" t="shared" si="108"/>
        <v>0</v>
      </c>
      <c r="G1323" s="95">
        <f ca="1" t="shared" si="109"/>
        <v>0</v>
      </c>
      <c r="H1323" s="95" cm="1">
        <f ca="1" t="array" ref="H1323">MIN(30-SUM(I1323:L1323),_xlfn.XLOOKUP($D1323&amp;"_"&amp;H$52,$B$14:$B$36&amp;"_"&amp;$C$14:$C$36,$D$14:$D$36)*$E1323,18)</f>
        <v>12.3572</v>
      </c>
      <c r="I1323" s="95" cm="1">
        <f ca="1" t="array" ref="I1323">MIN(30-SUM(J1323:L1323),6-L1323,_xlfn.XLOOKUP($D1323&amp;"_"&amp;I$52,$B$14:$B$36&amp;"_"&amp;$C$14:$C$36,$D$14:$D$36)*$E1323)</f>
        <v>0</v>
      </c>
      <c r="J1323" s="95" cm="1">
        <f ca="1" t="array" ref="J1323">MIN(8,_xlfn.XLOOKUP($D1323&amp;"_"&amp;J$52,$B$14:$B$36&amp;"_"&amp;$C$14:$C$36,$D$14:$D$36)*$E1323)</f>
        <v>8</v>
      </c>
      <c r="K1323" s="95" cm="1">
        <f ca="1" t="array" ref="K1323">MIN(18,_xlfn.XLOOKUP($D1323&amp;"_"&amp;K$52,$B$14:$B$36&amp;"_"&amp;$C$14:$C$36,$D$14:$D$36)*$E1323)</f>
        <v>3.6428</v>
      </c>
      <c r="L1323" s="95" cm="1">
        <f ca="1" t="array" ref="L1323">MIN(6,_xlfn.XLOOKUP($D1323&amp;"_"&amp;L$52,$B$14:$B$36&amp;"_"&amp;$C$14:$C$36,$D$14:$D$36)*$E1323)</f>
        <v>6</v>
      </c>
      <c r="M1323" s="95" cm="1">
        <f ca="1" t="array" ref="M1323">(1+SUMPRODUCT(G1323:H1323,OFFSET($H$40:$I$40,D1323,0)))*(1+OFFSET($J$40,D1323,0))^I1323*(1+OFFSET($K$40,D1323,0))^J1323*(1+OFFSET($L$40,D1323,0))^K1323*(1+OFFSET($M$40,D1323,0))^L1323</f>
        <v>328.841138659087</v>
      </c>
      <c r="N1323" s="95">
        <f ca="1">MAX(MAX($N$53:N1322),OFFSET($C$52,MATCH(M1323*1.07,$M$53:$M$2052,1),0)-C1323)</f>
        <v>70200</v>
      </c>
    </row>
    <row r="1324" spans="2:14">
      <c r="B1324" s="95">
        <v>1272</v>
      </c>
      <c r="C1324" s="95">
        <f t="shared" si="107"/>
        <v>457920</v>
      </c>
      <c r="D1324" s="95">
        <f ca="1">_xlfn.XLOOKUP(总览!$B$44,$B$40:$B$45,$C$40:$C$45)</f>
        <v>5</v>
      </c>
      <c r="E1324" s="95">
        <f ca="1" t="shared" si="106"/>
        <v>1302</v>
      </c>
      <c r="F1324" s="95">
        <f ca="1" t="shared" si="108"/>
        <v>0</v>
      </c>
      <c r="G1324" s="95">
        <f ca="1" t="shared" si="109"/>
        <v>0</v>
      </c>
      <c r="H1324" s="95" cm="1">
        <f ca="1" t="array" ref="H1324">MIN(30-SUM(I1324:L1324),_xlfn.XLOOKUP($D1324&amp;"_"&amp;H$52,$B$14:$B$36&amp;"_"&amp;$C$14:$C$36,$D$14:$D$36)*$E1324,18)</f>
        <v>12.3544</v>
      </c>
      <c r="I1324" s="95" cm="1">
        <f ca="1" t="array" ref="I1324">MIN(30-SUM(J1324:L1324),6-L1324,_xlfn.XLOOKUP($D1324&amp;"_"&amp;I$52,$B$14:$B$36&amp;"_"&amp;$C$14:$C$36,$D$14:$D$36)*$E1324)</f>
        <v>0</v>
      </c>
      <c r="J1324" s="95" cm="1">
        <f ca="1" t="array" ref="J1324">MIN(8,_xlfn.XLOOKUP($D1324&amp;"_"&amp;J$52,$B$14:$B$36&amp;"_"&amp;$C$14:$C$36,$D$14:$D$36)*$E1324)</f>
        <v>8</v>
      </c>
      <c r="K1324" s="95" cm="1">
        <f ca="1" t="array" ref="K1324">MIN(18,_xlfn.XLOOKUP($D1324&amp;"_"&amp;K$52,$B$14:$B$36&amp;"_"&amp;$C$14:$C$36,$D$14:$D$36)*$E1324)</f>
        <v>3.6456</v>
      </c>
      <c r="L1324" s="95" cm="1">
        <f ca="1" t="array" ref="L1324">MIN(6,_xlfn.XLOOKUP($D1324&amp;"_"&amp;L$52,$B$14:$B$36&amp;"_"&amp;$C$14:$C$36,$D$14:$D$36)*$E1324)</f>
        <v>6</v>
      </c>
      <c r="M1324" s="95" cm="1">
        <f ca="1" t="array" ref="M1324">(1+SUMPRODUCT(G1324:H1324,OFFSET($H$40:$I$40,D1324,0)))*(1+OFFSET($J$40,D1324,0))^I1324*(1+OFFSET($K$40,D1324,0))^J1324*(1+OFFSET($L$40,D1324,0))^K1324*(1+OFFSET($M$40,D1324,0))^L1324</f>
        <v>328.955980498444</v>
      </c>
      <c r="N1324" s="95">
        <f ca="1">MAX(MAX($N$53:N1323),OFFSET($C$52,MATCH(M1324*1.07,$M$53:$M$2052,1),0)-C1324)</f>
        <v>70200</v>
      </c>
    </row>
    <row r="1325" spans="2:14">
      <c r="B1325" s="95">
        <v>1273</v>
      </c>
      <c r="C1325" s="95">
        <f t="shared" si="107"/>
        <v>458280</v>
      </c>
      <c r="D1325" s="95">
        <f ca="1">_xlfn.XLOOKUP(总览!$B$44,$B$40:$B$45,$C$40:$C$45)</f>
        <v>5</v>
      </c>
      <c r="E1325" s="95">
        <f ca="1" t="shared" si="106"/>
        <v>1303</v>
      </c>
      <c r="F1325" s="95">
        <f ca="1" t="shared" si="108"/>
        <v>0</v>
      </c>
      <c r="G1325" s="95">
        <f ca="1" t="shared" si="109"/>
        <v>0</v>
      </c>
      <c r="H1325" s="95" cm="1">
        <f ca="1" t="array" ref="H1325">MIN(30-SUM(I1325:L1325),_xlfn.XLOOKUP($D1325&amp;"_"&amp;H$52,$B$14:$B$36&amp;"_"&amp;$C$14:$C$36,$D$14:$D$36)*$E1325,18)</f>
        <v>12.3516</v>
      </c>
      <c r="I1325" s="95" cm="1">
        <f ca="1" t="array" ref="I1325">MIN(30-SUM(J1325:L1325),6-L1325,_xlfn.XLOOKUP($D1325&amp;"_"&amp;I$52,$B$14:$B$36&amp;"_"&amp;$C$14:$C$36,$D$14:$D$36)*$E1325)</f>
        <v>0</v>
      </c>
      <c r="J1325" s="95" cm="1">
        <f ca="1" t="array" ref="J1325">MIN(8,_xlfn.XLOOKUP($D1325&amp;"_"&amp;J$52,$B$14:$B$36&amp;"_"&amp;$C$14:$C$36,$D$14:$D$36)*$E1325)</f>
        <v>8</v>
      </c>
      <c r="K1325" s="95" cm="1">
        <f ca="1" t="array" ref="K1325">MIN(18,_xlfn.XLOOKUP($D1325&amp;"_"&amp;K$52,$B$14:$B$36&amp;"_"&amp;$C$14:$C$36,$D$14:$D$36)*$E1325)</f>
        <v>3.6484</v>
      </c>
      <c r="L1325" s="95" cm="1">
        <f ca="1" t="array" ref="L1325">MIN(6,_xlfn.XLOOKUP($D1325&amp;"_"&amp;L$52,$B$14:$B$36&amp;"_"&amp;$C$14:$C$36,$D$14:$D$36)*$E1325)</f>
        <v>6</v>
      </c>
      <c r="M1325" s="95" cm="1">
        <f ca="1" t="array" ref="M1325">(1+SUMPRODUCT(G1325:H1325,OFFSET($H$40:$I$40,D1325,0)))*(1+OFFSET($J$40,D1325,0))^I1325*(1+OFFSET($K$40,D1325,0))^J1325*(1+OFFSET($L$40,D1325,0))^K1325*(1+OFFSET($M$40,D1325,0))^L1325</f>
        <v>329.070853878082</v>
      </c>
      <c r="N1325" s="95">
        <f ca="1">MAX(MAX($N$53:N1324),OFFSET($C$52,MATCH(M1325*1.07,$M$53:$M$2052,1),0)-C1325)</f>
        <v>70200</v>
      </c>
    </row>
    <row r="1326" spans="2:14">
      <c r="B1326" s="95">
        <v>1274</v>
      </c>
      <c r="C1326" s="95">
        <f t="shared" si="107"/>
        <v>458640</v>
      </c>
      <c r="D1326" s="95">
        <f ca="1">_xlfn.XLOOKUP(总览!$B$44,$B$40:$B$45,$C$40:$C$45)</f>
        <v>5</v>
      </c>
      <c r="E1326" s="95">
        <f ca="1" t="shared" si="106"/>
        <v>1304</v>
      </c>
      <c r="F1326" s="95">
        <f ca="1" t="shared" si="108"/>
        <v>0</v>
      </c>
      <c r="G1326" s="95">
        <f ca="1" t="shared" si="109"/>
        <v>0</v>
      </c>
      <c r="H1326" s="95" cm="1">
        <f ca="1" t="array" ref="H1326">MIN(30-SUM(I1326:L1326),_xlfn.XLOOKUP($D1326&amp;"_"&amp;H$52,$B$14:$B$36&amp;"_"&amp;$C$14:$C$36,$D$14:$D$36)*$E1326,18)</f>
        <v>12.3488</v>
      </c>
      <c r="I1326" s="95" cm="1">
        <f ca="1" t="array" ref="I1326">MIN(30-SUM(J1326:L1326),6-L1326,_xlfn.XLOOKUP($D1326&amp;"_"&amp;I$52,$B$14:$B$36&amp;"_"&amp;$C$14:$C$36,$D$14:$D$36)*$E1326)</f>
        <v>0</v>
      </c>
      <c r="J1326" s="95" cm="1">
        <f ca="1" t="array" ref="J1326">MIN(8,_xlfn.XLOOKUP($D1326&amp;"_"&amp;J$52,$B$14:$B$36&amp;"_"&amp;$C$14:$C$36,$D$14:$D$36)*$E1326)</f>
        <v>8</v>
      </c>
      <c r="K1326" s="95" cm="1">
        <f ca="1" t="array" ref="K1326">MIN(18,_xlfn.XLOOKUP($D1326&amp;"_"&amp;K$52,$B$14:$B$36&amp;"_"&amp;$C$14:$C$36,$D$14:$D$36)*$E1326)</f>
        <v>3.6512</v>
      </c>
      <c r="L1326" s="95" cm="1">
        <f ca="1" t="array" ref="L1326">MIN(6,_xlfn.XLOOKUP($D1326&amp;"_"&amp;L$52,$B$14:$B$36&amp;"_"&amp;$C$14:$C$36,$D$14:$D$36)*$E1326)</f>
        <v>6</v>
      </c>
      <c r="M1326" s="95" cm="1">
        <f ca="1" t="array" ref="M1326">(1+SUMPRODUCT(G1326:H1326,OFFSET($H$40:$I$40,D1326,0)))*(1+OFFSET($J$40,D1326,0))^I1326*(1+OFFSET($K$40,D1326,0))^J1326*(1+OFFSET($L$40,D1326,0))^K1326*(1+OFFSET($M$40,D1326,0))^L1326</f>
        <v>329.185758800266</v>
      </c>
      <c r="N1326" s="95">
        <f ca="1">MAX(MAX($N$53:N1325),OFFSET($C$52,MATCH(M1326*1.07,$M$53:$M$2052,1),0)-C1326)</f>
        <v>70200</v>
      </c>
    </row>
    <row r="1327" spans="2:14">
      <c r="B1327" s="95">
        <v>1275</v>
      </c>
      <c r="C1327" s="95">
        <f t="shared" si="107"/>
        <v>459000</v>
      </c>
      <c r="D1327" s="95">
        <f ca="1">_xlfn.XLOOKUP(总览!$B$44,$B$40:$B$45,$C$40:$C$45)</f>
        <v>5</v>
      </c>
      <c r="E1327" s="95">
        <f ca="1" t="shared" si="106"/>
        <v>1305</v>
      </c>
      <c r="F1327" s="95">
        <f ca="1" t="shared" si="108"/>
        <v>0</v>
      </c>
      <c r="G1327" s="95">
        <f ca="1" t="shared" si="109"/>
        <v>0</v>
      </c>
      <c r="H1327" s="95" cm="1">
        <f ca="1" t="array" ref="H1327">MIN(30-SUM(I1327:L1327),_xlfn.XLOOKUP($D1327&amp;"_"&amp;H$52,$B$14:$B$36&amp;"_"&amp;$C$14:$C$36,$D$14:$D$36)*$E1327,18)</f>
        <v>12.346</v>
      </c>
      <c r="I1327" s="95" cm="1">
        <f ca="1" t="array" ref="I1327">MIN(30-SUM(J1327:L1327),6-L1327,_xlfn.XLOOKUP($D1327&amp;"_"&amp;I$52,$B$14:$B$36&amp;"_"&amp;$C$14:$C$36,$D$14:$D$36)*$E1327)</f>
        <v>0</v>
      </c>
      <c r="J1327" s="95" cm="1">
        <f ca="1" t="array" ref="J1327">MIN(8,_xlfn.XLOOKUP($D1327&amp;"_"&amp;J$52,$B$14:$B$36&amp;"_"&amp;$C$14:$C$36,$D$14:$D$36)*$E1327)</f>
        <v>8</v>
      </c>
      <c r="K1327" s="95" cm="1">
        <f ca="1" t="array" ref="K1327">MIN(18,_xlfn.XLOOKUP($D1327&amp;"_"&amp;K$52,$B$14:$B$36&amp;"_"&amp;$C$14:$C$36,$D$14:$D$36)*$E1327)</f>
        <v>3.654</v>
      </c>
      <c r="L1327" s="95" cm="1">
        <f ca="1" t="array" ref="L1327">MIN(6,_xlfn.XLOOKUP($D1327&amp;"_"&amp;L$52,$B$14:$B$36&amp;"_"&amp;$C$14:$C$36,$D$14:$D$36)*$E1327)</f>
        <v>6</v>
      </c>
      <c r="M1327" s="95" cm="1">
        <f ca="1" t="array" ref="M1327">(1+SUMPRODUCT(G1327:H1327,OFFSET($H$40:$I$40,D1327,0)))*(1+OFFSET($J$40,D1327,0))^I1327*(1+OFFSET($K$40,D1327,0))^J1327*(1+OFFSET($L$40,D1327,0))^K1327*(1+OFFSET($M$40,D1327,0))^L1327</f>
        <v>329.300695267258</v>
      </c>
      <c r="N1327" s="95">
        <f ca="1">MAX(MAX($N$53:N1326),OFFSET($C$52,MATCH(M1327*1.07,$M$53:$M$2052,1),0)-C1327)</f>
        <v>70200</v>
      </c>
    </row>
    <row r="1328" spans="2:14">
      <c r="B1328" s="95">
        <v>1276</v>
      </c>
      <c r="C1328" s="95">
        <f t="shared" si="107"/>
        <v>459360</v>
      </c>
      <c r="D1328" s="95">
        <f ca="1">_xlfn.XLOOKUP(总览!$B$44,$B$40:$B$45,$C$40:$C$45)</f>
        <v>5</v>
      </c>
      <c r="E1328" s="95">
        <f ca="1" t="shared" si="106"/>
        <v>1306</v>
      </c>
      <c r="F1328" s="95">
        <f ca="1" t="shared" si="108"/>
        <v>0</v>
      </c>
      <c r="G1328" s="95">
        <f ca="1" t="shared" si="109"/>
        <v>0</v>
      </c>
      <c r="H1328" s="95" cm="1">
        <f ca="1" t="array" ref="H1328">MIN(30-SUM(I1328:L1328),_xlfn.XLOOKUP($D1328&amp;"_"&amp;H$52,$B$14:$B$36&amp;"_"&amp;$C$14:$C$36,$D$14:$D$36)*$E1328,18)</f>
        <v>12.3432</v>
      </c>
      <c r="I1328" s="95" cm="1">
        <f ca="1" t="array" ref="I1328">MIN(30-SUM(J1328:L1328),6-L1328,_xlfn.XLOOKUP($D1328&amp;"_"&amp;I$52,$B$14:$B$36&amp;"_"&amp;$C$14:$C$36,$D$14:$D$36)*$E1328)</f>
        <v>0</v>
      </c>
      <c r="J1328" s="95" cm="1">
        <f ca="1" t="array" ref="J1328">MIN(8,_xlfn.XLOOKUP($D1328&amp;"_"&amp;J$52,$B$14:$B$36&amp;"_"&amp;$C$14:$C$36,$D$14:$D$36)*$E1328)</f>
        <v>8</v>
      </c>
      <c r="K1328" s="95" cm="1">
        <f ca="1" t="array" ref="K1328">MIN(18,_xlfn.XLOOKUP($D1328&amp;"_"&amp;K$52,$B$14:$B$36&amp;"_"&amp;$C$14:$C$36,$D$14:$D$36)*$E1328)</f>
        <v>3.6568</v>
      </c>
      <c r="L1328" s="95" cm="1">
        <f ca="1" t="array" ref="L1328">MIN(6,_xlfn.XLOOKUP($D1328&amp;"_"&amp;L$52,$B$14:$B$36&amp;"_"&amp;$C$14:$C$36,$D$14:$D$36)*$E1328)</f>
        <v>6</v>
      </c>
      <c r="M1328" s="95" cm="1">
        <f ca="1" t="array" ref="M1328">(1+SUMPRODUCT(G1328:H1328,OFFSET($H$40:$I$40,D1328,0)))*(1+OFFSET($J$40,D1328,0))^I1328*(1+OFFSET($K$40,D1328,0))^J1328*(1+OFFSET($L$40,D1328,0))^K1328*(1+OFFSET($M$40,D1328,0))^L1328</f>
        <v>329.415663281311</v>
      </c>
      <c r="N1328" s="95">
        <f ca="1">MAX(MAX($N$53:N1327),OFFSET($C$52,MATCH(M1328*1.07,$M$53:$M$2052,1),0)-C1328)</f>
        <v>70200</v>
      </c>
    </row>
    <row r="1329" spans="2:14">
      <c r="B1329" s="95">
        <v>1277</v>
      </c>
      <c r="C1329" s="95">
        <f t="shared" si="107"/>
        <v>459720</v>
      </c>
      <c r="D1329" s="95">
        <f ca="1">_xlfn.XLOOKUP(总览!$B$44,$B$40:$B$45,$C$40:$C$45)</f>
        <v>5</v>
      </c>
      <c r="E1329" s="95">
        <f ca="1" t="shared" si="106"/>
        <v>1307</v>
      </c>
      <c r="F1329" s="95">
        <f ca="1" t="shared" si="108"/>
        <v>0</v>
      </c>
      <c r="G1329" s="95">
        <f ca="1" t="shared" si="109"/>
        <v>0</v>
      </c>
      <c r="H1329" s="95" cm="1">
        <f ca="1" t="array" ref="H1329">MIN(30-SUM(I1329:L1329),_xlfn.XLOOKUP($D1329&amp;"_"&amp;H$52,$B$14:$B$36&amp;"_"&amp;$C$14:$C$36,$D$14:$D$36)*$E1329,18)</f>
        <v>12.3404</v>
      </c>
      <c r="I1329" s="95" cm="1">
        <f ca="1" t="array" ref="I1329">MIN(30-SUM(J1329:L1329),6-L1329,_xlfn.XLOOKUP($D1329&amp;"_"&amp;I$52,$B$14:$B$36&amp;"_"&amp;$C$14:$C$36,$D$14:$D$36)*$E1329)</f>
        <v>0</v>
      </c>
      <c r="J1329" s="95" cm="1">
        <f ca="1" t="array" ref="J1329">MIN(8,_xlfn.XLOOKUP($D1329&amp;"_"&amp;J$52,$B$14:$B$36&amp;"_"&amp;$C$14:$C$36,$D$14:$D$36)*$E1329)</f>
        <v>8</v>
      </c>
      <c r="K1329" s="95" cm="1">
        <f ca="1" t="array" ref="K1329">MIN(18,_xlfn.XLOOKUP($D1329&amp;"_"&amp;K$52,$B$14:$B$36&amp;"_"&amp;$C$14:$C$36,$D$14:$D$36)*$E1329)</f>
        <v>3.6596</v>
      </c>
      <c r="L1329" s="95" cm="1">
        <f ca="1" t="array" ref="L1329">MIN(6,_xlfn.XLOOKUP($D1329&amp;"_"&amp;L$52,$B$14:$B$36&amp;"_"&amp;$C$14:$C$36,$D$14:$D$36)*$E1329)</f>
        <v>6</v>
      </c>
      <c r="M1329" s="95" cm="1">
        <f ca="1" t="array" ref="M1329">(1+SUMPRODUCT(G1329:H1329,OFFSET($H$40:$I$40,D1329,0)))*(1+OFFSET($J$40,D1329,0))^I1329*(1+OFFSET($K$40,D1329,0))^J1329*(1+OFFSET($L$40,D1329,0))^K1329*(1+OFFSET($M$40,D1329,0))^L1329</f>
        <v>329.530662844676</v>
      </c>
      <c r="N1329" s="95">
        <f ca="1">MAX(MAX($N$53:N1328),OFFSET($C$52,MATCH(M1329*1.07,$M$53:$M$2052,1),0)-C1329)</f>
        <v>70200</v>
      </c>
    </row>
    <row r="1330" spans="2:14">
      <c r="B1330" s="95">
        <v>1278</v>
      </c>
      <c r="C1330" s="95">
        <f t="shared" si="107"/>
        <v>460080</v>
      </c>
      <c r="D1330" s="95">
        <f ca="1">_xlfn.XLOOKUP(总览!$B$44,$B$40:$B$45,$C$40:$C$45)</f>
        <v>5</v>
      </c>
      <c r="E1330" s="95">
        <f ca="1" t="shared" si="106"/>
        <v>1308</v>
      </c>
      <c r="F1330" s="95">
        <f ca="1" t="shared" si="108"/>
        <v>0</v>
      </c>
      <c r="G1330" s="95">
        <f ca="1" t="shared" si="109"/>
        <v>0</v>
      </c>
      <c r="H1330" s="95" cm="1">
        <f ca="1" t="array" ref="H1330">MIN(30-SUM(I1330:L1330),_xlfn.XLOOKUP($D1330&amp;"_"&amp;H$52,$B$14:$B$36&amp;"_"&amp;$C$14:$C$36,$D$14:$D$36)*$E1330,18)</f>
        <v>12.3376</v>
      </c>
      <c r="I1330" s="95" cm="1">
        <f ca="1" t="array" ref="I1330">MIN(30-SUM(J1330:L1330),6-L1330,_xlfn.XLOOKUP($D1330&amp;"_"&amp;I$52,$B$14:$B$36&amp;"_"&amp;$C$14:$C$36,$D$14:$D$36)*$E1330)</f>
        <v>0</v>
      </c>
      <c r="J1330" s="95" cm="1">
        <f ca="1" t="array" ref="J1330">MIN(8,_xlfn.XLOOKUP($D1330&amp;"_"&amp;J$52,$B$14:$B$36&amp;"_"&amp;$C$14:$C$36,$D$14:$D$36)*$E1330)</f>
        <v>8</v>
      </c>
      <c r="K1330" s="95" cm="1">
        <f ca="1" t="array" ref="K1330">MIN(18,_xlfn.XLOOKUP($D1330&amp;"_"&amp;K$52,$B$14:$B$36&amp;"_"&amp;$C$14:$C$36,$D$14:$D$36)*$E1330)</f>
        <v>3.6624</v>
      </c>
      <c r="L1330" s="95" cm="1">
        <f ca="1" t="array" ref="L1330">MIN(6,_xlfn.XLOOKUP($D1330&amp;"_"&amp;L$52,$B$14:$B$36&amp;"_"&amp;$C$14:$C$36,$D$14:$D$36)*$E1330)</f>
        <v>6</v>
      </c>
      <c r="M1330" s="95" cm="1">
        <f ca="1" t="array" ref="M1330">(1+SUMPRODUCT(G1330:H1330,OFFSET($H$40:$I$40,D1330,0)))*(1+OFFSET($J$40,D1330,0))^I1330*(1+OFFSET($K$40,D1330,0))^J1330*(1+OFFSET($L$40,D1330,0))^K1330*(1+OFFSET($M$40,D1330,0))^L1330</f>
        <v>329.645693959594</v>
      </c>
      <c r="N1330" s="95">
        <f ca="1">MAX(MAX($N$53:N1329),OFFSET($C$52,MATCH(M1330*1.07,$M$53:$M$2052,1),0)-C1330)</f>
        <v>70200</v>
      </c>
    </row>
    <row r="1331" spans="2:14">
      <c r="B1331" s="95">
        <v>1279</v>
      </c>
      <c r="C1331" s="95">
        <f t="shared" si="107"/>
        <v>460440</v>
      </c>
      <c r="D1331" s="95">
        <f ca="1">_xlfn.XLOOKUP(总览!$B$44,$B$40:$B$45,$C$40:$C$45)</f>
        <v>5</v>
      </c>
      <c r="E1331" s="95">
        <f ca="1" t="shared" si="106"/>
        <v>1309</v>
      </c>
      <c r="F1331" s="95">
        <f ca="1" t="shared" si="108"/>
        <v>0</v>
      </c>
      <c r="G1331" s="95">
        <f ca="1" t="shared" si="109"/>
        <v>0</v>
      </c>
      <c r="H1331" s="95" cm="1">
        <f ca="1" t="array" ref="H1331">MIN(30-SUM(I1331:L1331),_xlfn.XLOOKUP($D1331&amp;"_"&amp;H$52,$B$14:$B$36&amp;"_"&amp;$C$14:$C$36,$D$14:$D$36)*$E1331,18)</f>
        <v>12.3348</v>
      </c>
      <c r="I1331" s="95" cm="1">
        <f ca="1" t="array" ref="I1331">MIN(30-SUM(J1331:L1331),6-L1331,_xlfn.XLOOKUP($D1331&amp;"_"&amp;I$52,$B$14:$B$36&amp;"_"&amp;$C$14:$C$36,$D$14:$D$36)*$E1331)</f>
        <v>0</v>
      </c>
      <c r="J1331" s="95" cm="1">
        <f ca="1" t="array" ref="J1331">MIN(8,_xlfn.XLOOKUP($D1331&amp;"_"&amp;J$52,$B$14:$B$36&amp;"_"&amp;$C$14:$C$36,$D$14:$D$36)*$E1331)</f>
        <v>8</v>
      </c>
      <c r="K1331" s="95" cm="1">
        <f ca="1" t="array" ref="K1331">MIN(18,_xlfn.XLOOKUP($D1331&amp;"_"&amp;K$52,$B$14:$B$36&amp;"_"&amp;$C$14:$C$36,$D$14:$D$36)*$E1331)</f>
        <v>3.6652</v>
      </c>
      <c r="L1331" s="95" cm="1">
        <f ca="1" t="array" ref="L1331">MIN(6,_xlfn.XLOOKUP($D1331&amp;"_"&amp;L$52,$B$14:$B$36&amp;"_"&amp;$C$14:$C$36,$D$14:$D$36)*$E1331)</f>
        <v>6</v>
      </c>
      <c r="M1331" s="95" cm="1">
        <f ca="1" t="array" ref="M1331">(1+SUMPRODUCT(G1331:H1331,OFFSET($H$40:$I$40,D1331,0)))*(1+OFFSET($J$40,D1331,0))^I1331*(1+OFFSET($K$40,D1331,0))^J1331*(1+OFFSET($L$40,D1331,0))^K1331*(1+OFFSET($M$40,D1331,0))^L1331</f>
        <v>329.760756628303</v>
      </c>
      <c r="N1331" s="95">
        <f ca="1">MAX(MAX($N$53:N1330),OFFSET($C$52,MATCH(M1331*1.07,$M$53:$M$2052,1),0)-C1331)</f>
        <v>70200</v>
      </c>
    </row>
    <row r="1332" spans="2:14">
      <c r="B1332" s="95">
        <v>1280</v>
      </c>
      <c r="C1332" s="95">
        <f t="shared" si="107"/>
        <v>460800</v>
      </c>
      <c r="D1332" s="95">
        <f ca="1">_xlfn.XLOOKUP(总览!$B$44,$B$40:$B$45,$C$40:$C$45)</f>
        <v>5</v>
      </c>
      <c r="E1332" s="95">
        <f ca="1" t="shared" si="106"/>
        <v>1310</v>
      </c>
      <c r="F1332" s="95">
        <f ca="1" t="shared" si="108"/>
        <v>0</v>
      </c>
      <c r="G1332" s="95">
        <f ca="1" t="shared" si="109"/>
        <v>0</v>
      </c>
      <c r="H1332" s="95" cm="1">
        <f ca="1" t="array" ref="H1332">MIN(30-SUM(I1332:L1332),_xlfn.XLOOKUP($D1332&amp;"_"&amp;H$52,$B$14:$B$36&amp;"_"&amp;$C$14:$C$36,$D$14:$D$36)*$E1332,18)</f>
        <v>12.332</v>
      </c>
      <c r="I1332" s="95" cm="1">
        <f ca="1" t="array" ref="I1332">MIN(30-SUM(J1332:L1332),6-L1332,_xlfn.XLOOKUP($D1332&amp;"_"&amp;I$52,$B$14:$B$36&amp;"_"&amp;$C$14:$C$36,$D$14:$D$36)*$E1332)</f>
        <v>0</v>
      </c>
      <c r="J1332" s="95" cm="1">
        <f ca="1" t="array" ref="J1332">MIN(8,_xlfn.XLOOKUP($D1332&amp;"_"&amp;J$52,$B$14:$B$36&amp;"_"&amp;$C$14:$C$36,$D$14:$D$36)*$E1332)</f>
        <v>8</v>
      </c>
      <c r="K1332" s="95" cm="1">
        <f ca="1" t="array" ref="K1332">MIN(18,_xlfn.XLOOKUP($D1332&amp;"_"&amp;K$52,$B$14:$B$36&amp;"_"&amp;$C$14:$C$36,$D$14:$D$36)*$E1332)</f>
        <v>3.668</v>
      </c>
      <c r="L1332" s="95" cm="1">
        <f ca="1" t="array" ref="L1332">MIN(6,_xlfn.XLOOKUP($D1332&amp;"_"&amp;L$52,$B$14:$B$36&amp;"_"&amp;$C$14:$C$36,$D$14:$D$36)*$E1332)</f>
        <v>6</v>
      </c>
      <c r="M1332" s="95" cm="1">
        <f ca="1" t="array" ref="M1332">(1+SUMPRODUCT(G1332:H1332,OFFSET($H$40:$I$40,D1332,0)))*(1+OFFSET($J$40,D1332,0))^I1332*(1+OFFSET($K$40,D1332,0))^J1332*(1+OFFSET($L$40,D1332,0))^K1332*(1+OFFSET($M$40,D1332,0))^L1332</f>
        <v>329.875850853033</v>
      </c>
      <c r="N1332" s="95">
        <f ca="1">MAX(MAX($N$53:N1331),OFFSET($C$52,MATCH(M1332*1.07,$M$53:$M$2052,1),0)-C1332)</f>
        <v>70200</v>
      </c>
    </row>
    <row r="1333" spans="2:14">
      <c r="B1333" s="95">
        <v>1281</v>
      </c>
      <c r="C1333" s="95">
        <f t="shared" si="107"/>
        <v>461160</v>
      </c>
      <c r="D1333" s="95">
        <f ca="1">_xlfn.XLOOKUP(总览!$B$44,$B$40:$B$45,$C$40:$C$45)</f>
        <v>5</v>
      </c>
      <c r="E1333" s="95">
        <f ca="1" t="shared" si="106"/>
        <v>1311</v>
      </c>
      <c r="F1333" s="95">
        <f ca="1" t="shared" si="108"/>
        <v>0</v>
      </c>
      <c r="G1333" s="95">
        <f ca="1" t="shared" si="109"/>
        <v>0</v>
      </c>
      <c r="H1333" s="95" cm="1">
        <f ca="1" t="array" ref="H1333">MIN(30-SUM(I1333:L1333),_xlfn.XLOOKUP($D1333&amp;"_"&amp;H$52,$B$14:$B$36&amp;"_"&amp;$C$14:$C$36,$D$14:$D$36)*$E1333,18)</f>
        <v>12.3292</v>
      </c>
      <c r="I1333" s="95" cm="1">
        <f ca="1" t="array" ref="I1333">MIN(30-SUM(J1333:L1333),6-L1333,_xlfn.XLOOKUP($D1333&amp;"_"&amp;I$52,$B$14:$B$36&amp;"_"&amp;$C$14:$C$36,$D$14:$D$36)*$E1333)</f>
        <v>0</v>
      </c>
      <c r="J1333" s="95" cm="1">
        <f ca="1" t="array" ref="J1333">MIN(8,_xlfn.XLOOKUP($D1333&amp;"_"&amp;J$52,$B$14:$B$36&amp;"_"&amp;$C$14:$C$36,$D$14:$D$36)*$E1333)</f>
        <v>8</v>
      </c>
      <c r="K1333" s="95" cm="1">
        <f ca="1" t="array" ref="K1333">MIN(18,_xlfn.XLOOKUP($D1333&amp;"_"&amp;K$52,$B$14:$B$36&amp;"_"&amp;$C$14:$C$36,$D$14:$D$36)*$E1333)</f>
        <v>3.6708</v>
      </c>
      <c r="L1333" s="95" cm="1">
        <f ca="1" t="array" ref="L1333">MIN(6,_xlfn.XLOOKUP($D1333&amp;"_"&amp;L$52,$B$14:$B$36&amp;"_"&amp;$C$14:$C$36,$D$14:$D$36)*$E1333)</f>
        <v>6</v>
      </c>
      <c r="M1333" s="95" cm="1">
        <f ca="1" t="array" ref="M1333">(1+SUMPRODUCT(G1333:H1333,OFFSET($H$40:$I$40,D1333,0)))*(1+OFFSET($J$40,D1333,0))^I1333*(1+OFFSET($K$40,D1333,0))^J1333*(1+OFFSET($L$40,D1333,0))^K1333*(1+OFFSET($M$40,D1333,0))^L1333</f>
        <v>329.990976636011</v>
      </c>
      <c r="N1333" s="95">
        <f ca="1">MAX(MAX($N$53:N1332),OFFSET($C$52,MATCH(M1333*1.07,$M$53:$M$2052,1),0)-C1333)</f>
        <v>70200</v>
      </c>
    </row>
    <row r="1334" spans="2:14">
      <c r="B1334" s="95">
        <v>1282</v>
      </c>
      <c r="C1334" s="95">
        <f t="shared" si="107"/>
        <v>461520</v>
      </c>
      <c r="D1334" s="95">
        <f ca="1">_xlfn.XLOOKUP(总览!$B$44,$B$40:$B$45,$C$40:$C$45)</f>
        <v>5</v>
      </c>
      <c r="E1334" s="95">
        <f ca="1" t="shared" ref="E1334:E1397" si="110">INT(C1334/_xlfn.XLOOKUP(D1334,$N$5:$N$16,$O$5:$O$16))+OFFSET($R$40,D1334,0)</f>
        <v>1312</v>
      </c>
      <c r="F1334" s="95">
        <f ca="1" t="shared" si="108"/>
        <v>0</v>
      </c>
      <c r="G1334" s="95">
        <f ca="1" t="shared" si="109"/>
        <v>0</v>
      </c>
      <c r="H1334" s="95" cm="1">
        <f ca="1" t="array" ref="H1334">MIN(30-SUM(I1334:L1334),_xlfn.XLOOKUP($D1334&amp;"_"&amp;H$52,$B$14:$B$36&amp;"_"&amp;$C$14:$C$36,$D$14:$D$36)*$E1334,18)</f>
        <v>12.3264</v>
      </c>
      <c r="I1334" s="95" cm="1">
        <f ca="1" t="array" ref="I1334">MIN(30-SUM(J1334:L1334),6-L1334,_xlfn.XLOOKUP($D1334&amp;"_"&amp;I$52,$B$14:$B$36&amp;"_"&amp;$C$14:$C$36,$D$14:$D$36)*$E1334)</f>
        <v>0</v>
      </c>
      <c r="J1334" s="95" cm="1">
        <f ca="1" t="array" ref="J1334">MIN(8,_xlfn.XLOOKUP($D1334&amp;"_"&amp;J$52,$B$14:$B$36&amp;"_"&amp;$C$14:$C$36,$D$14:$D$36)*$E1334)</f>
        <v>8</v>
      </c>
      <c r="K1334" s="95" cm="1">
        <f ca="1" t="array" ref="K1334">MIN(18,_xlfn.XLOOKUP($D1334&amp;"_"&amp;K$52,$B$14:$B$36&amp;"_"&amp;$C$14:$C$36,$D$14:$D$36)*$E1334)</f>
        <v>3.6736</v>
      </c>
      <c r="L1334" s="95" cm="1">
        <f ca="1" t="array" ref="L1334">MIN(6,_xlfn.XLOOKUP($D1334&amp;"_"&amp;L$52,$B$14:$B$36&amp;"_"&amp;$C$14:$C$36,$D$14:$D$36)*$E1334)</f>
        <v>6</v>
      </c>
      <c r="M1334" s="95" cm="1">
        <f ca="1" t="array" ref="M1334">(1+SUMPRODUCT(G1334:H1334,OFFSET($H$40:$I$40,D1334,0)))*(1+OFFSET($J$40,D1334,0))^I1334*(1+OFFSET($K$40,D1334,0))^J1334*(1+OFFSET($L$40,D1334,0))^K1334*(1+OFFSET($M$40,D1334,0))^L1334</f>
        <v>330.106133979454</v>
      </c>
      <c r="N1334" s="95">
        <f ca="1">MAX(MAX($N$53:N1333),OFFSET($C$52,MATCH(M1334*1.07,$M$53:$M$2052,1),0)-C1334)</f>
        <v>70200</v>
      </c>
    </row>
    <row r="1335" spans="2:14">
      <c r="B1335" s="95">
        <v>1283</v>
      </c>
      <c r="C1335" s="95">
        <f t="shared" si="107"/>
        <v>461880</v>
      </c>
      <c r="D1335" s="95">
        <f ca="1">_xlfn.XLOOKUP(总览!$B$44,$B$40:$B$45,$C$40:$C$45)</f>
        <v>5</v>
      </c>
      <c r="E1335" s="95">
        <f ca="1" t="shared" si="110"/>
        <v>1313</v>
      </c>
      <c r="F1335" s="95">
        <f ca="1" t="shared" si="108"/>
        <v>0</v>
      </c>
      <c r="G1335" s="95">
        <f ca="1" t="shared" si="109"/>
        <v>0</v>
      </c>
      <c r="H1335" s="95" cm="1">
        <f ca="1" t="array" ref="H1335">MIN(30-SUM(I1335:L1335),_xlfn.XLOOKUP($D1335&amp;"_"&amp;H$52,$B$14:$B$36&amp;"_"&amp;$C$14:$C$36,$D$14:$D$36)*$E1335,18)</f>
        <v>12.3236</v>
      </c>
      <c r="I1335" s="95" cm="1">
        <f ca="1" t="array" ref="I1335">MIN(30-SUM(J1335:L1335),6-L1335,_xlfn.XLOOKUP($D1335&amp;"_"&amp;I$52,$B$14:$B$36&amp;"_"&amp;$C$14:$C$36,$D$14:$D$36)*$E1335)</f>
        <v>0</v>
      </c>
      <c r="J1335" s="95" cm="1">
        <f ca="1" t="array" ref="J1335">MIN(8,_xlfn.XLOOKUP($D1335&amp;"_"&amp;J$52,$B$14:$B$36&amp;"_"&amp;$C$14:$C$36,$D$14:$D$36)*$E1335)</f>
        <v>8</v>
      </c>
      <c r="K1335" s="95" cm="1">
        <f ca="1" t="array" ref="K1335">MIN(18,_xlfn.XLOOKUP($D1335&amp;"_"&amp;K$52,$B$14:$B$36&amp;"_"&amp;$C$14:$C$36,$D$14:$D$36)*$E1335)</f>
        <v>3.6764</v>
      </c>
      <c r="L1335" s="95" cm="1">
        <f ca="1" t="array" ref="L1335">MIN(6,_xlfn.XLOOKUP($D1335&amp;"_"&amp;L$52,$B$14:$B$36&amp;"_"&amp;$C$14:$C$36,$D$14:$D$36)*$E1335)</f>
        <v>6</v>
      </c>
      <c r="M1335" s="95" cm="1">
        <f ca="1" t="array" ref="M1335">(1+SUMPRODUCT(G1335:H1335,OFFSET($H$40:$I$40,D1335,0)))*(1+OFFSET($J$40,D1335,0))^I1335*(1+OFFSET($K$40,D1335,0))^J1335*(1+OFFSET($L$40,D1335,0))^K1335*(1+OFFSET($M$40,D1335,0))^L1335</f>
        <v>330.221322885577</v>
      </c>
      <c r="N1335" s="95">
        <f ca="1">MAX(MAX($N$53:N1334),OFFSET($C$52,MATCH(M1335*1.07,$M$53:$M$2052,1),0)-C1335)</f>
        <v>70200</v>
      </c>
    </row>
    <row r="1336" spans="2:14">
      <c r="B1336" s="95">
        <v>1284</v>
      </c>
      <c r="C1336" s="95">
        <f t="shared" si="107"/>
        <v>462240</v>
      </c>
      <c r="D1336" s="95">
        <f ca="1">_xlfn.XLOOKUP(总览!$B$44,$B$40:$B$45,$C$40:$C$45)</f>
        <v>5</v>
      </c>
      <c r="E1336" s="95">
        <f ca="1" t="shared" si="110"/>
        <v>1314</v>
      </c>
      <c r="F1336" s="95">
        <f ca="1" t="shared" si="108"/>
        <v>0</v>
      </c>
      <c r="G1336" s="95">
        <f ca="1" t="shared" si="109"/>
        <v>0</v>
      </c>
      <c r="H1336" s="95" cm="1">
        <f ca="1" t="array" ref="H1336">MIN(30-SUM(I1336:L1336),_xlfn.XLOOKUP($D1336&amp;"_"&amp;H$52,$B$14:$B$36&amp;"_"&amp;$C$14:$C$36,$D$14:$D$36)*$E1336,18)</f>
        <v>12.3208</v>
      </c>
      <c r="I1336" s="95" cm="1">
        <f ca="1" t="array" ref="I1336">MIN(30-SUM(J1336:L1336),6-L1336,_xlfn.XLOOKUP($D1336&amp;"_"&amp;I$52,$B$14:$B$36&amp;"_"&amp;$C$14:$C$36,$D$14:$D$36)*$E1336)</f>
        <v>0</v>
      </c>
      <c r="J1336" s="95" cm="1">
        <f ca="1" t="array" ref="J1336">MIN(8,_xlfn.XLOOKUP($D1336&amp;"_"&amp;J$52,$B$14:$B$36&amp;"_"&amp;$C$14:$C$36,$D$14:$D$36)*$E1336)</f>
        <v>8</v>
      </c>
      <c r="K1336" s="95" cm="1">
        <f ca="1" t="array" ref="K1336">MIN(18,_xlfn.XLOOKUP($D1336&amp;"_"&amp;K$52,$B$14:$B$36&amp;"_"&amp;$C$14:$C$36,$D$14:$D$36)*$E1336)</f>
        <v>3.6792</v>
      </c>
      <c r="L1336" s="95" cm="1">
        <f ca="1" t="array" ref="L1336">MIN(6,_xlfn.XLOOKUP($D1336&amp;"_"&amp;L$52,$B$14:$B$36&amp;"_"&amp;$C$14:$C$36,$D$14:$D$36)*$E1336)</f>
        <v>6</v>
      </c>
      <c r="M1336" s="95" cm="1">
        <f ca="1" t="array" ref="M1336">(1+SUMPRODUCT(G1336:H1336,OFFSET($H$40:$I$40,D1336,0)))*(1+OFFSET($J$40,D1336,0))^I1336*(1+OFFSET($K$40,D1336,0))^J1336*(1+OFFSET($L$40,D1336,0))^K1336*(1+OFFSET($M$40,D1336,0))^L1336</f>
        <v>330.336543356585</v>
      </c>
      <c r="N1336" s="95">
        <f ca="1">MAX(MAX($N$53:N1335),OFFSET($C$52,MATCH(M1336*1.07,$M$53:$M$2052,1),0)-C1336)</f>
        <v>70200</v>
      </c>
    </row>
    <row r="1337" spans="2:14">
      <c r="B1337" s="95">
        <v>1285</v>
      </c>
      <c r="C1337" s="95">
        <f t="shared" si="107"/>
        <v>462600</v>
      </c>
      <c r="D1337" s="95">
        <f ca="1">_xlfn.XLOOKUP(总览!$B$44,$B$40:$B$45,$C$40:$C$45)</f>
        <v>5</v>
      </c>
      <c r="E1337" s="95">
        <f ca="1" t="shared" si="110"/>
        <v>1315</v>
      </c>
      <c r="F1337" s="95">
        <f ca="1" t="shared" si="108"/>
        <v>0</v>
      </c>
      <c r="G1337" s="95">
        <f ca="1" t="shared" si="109"/>
        <v>0</v>
      </c>
      <c r="H1337" s="95" cm="1">
        <f ca="1" t="array" ref="H1337">MIN(30-SUM(I1337:L1337),_xlfn.XLOOKUP($D1337&amp;"_"&amp;H$52,$B$14:$B$36&amp;"_"&amp;$C$14:$C$36,$D$14:$D$36)*$E1337,18)</f>
        <v>12.318</v>
      </c>
      <c r="I1337" s="95" cm="1">
        <f ca="1" t="array" ref="I1337">MIN(30-SUM(J1337:L1337),6-L1337,_xlfn.XLOOKUP($D1337&amp;"_"&amp;I$52,$B$14:$B$36&amp;"_"&amp;$C$14:$C$36,$D$14:$D$36)*$E1337)</f>
        <v>0</v>
      </c>
      <c r="J1337" s="95" cm="1">
        <f ca="1" t="array" ref="J1337">MIN(8,_xlfn.XLOOKUP($D1337&amp;"_"&amp;J$52,$B$14:$B$36&amp;"_"&amp;$C$14:$C$36,$D$14:$D$36)*$E1337)</f>
        <v>8</v>
      </c>
      <c r="K1337" s="95" cm="1">
        <f ca="1" t="array" ref="K1337">MIN(18,_xlfn.XLOOKUP($D1337&amp;"_"&amp;K$52,$B$14:$B$36&amp;"_"&amp;$C$14:$C$36,$D$14:$D$36)*$E1337)</f>
        <v>3.682</v>
      </c>
      <c r="L1337" s="95" cm="1">
        <f ca="1" t="array" ref="L1337">MIN(6,_xlfn.XLOOKUP($D1337&amp;"_"&amp;L$52,$B$14:$B$36&amp;"_"&amp;$C$14:$C$36,$D$14:$D$36)*$E1337)</f>
        <v>6</v>
      </c>
      <c r="M1337" s="95" cm="1">
        <f ca="1" t="array" ref="M1337">(1+SUMPRODUCT(G1337:H1337,OFFSET($H$40:$I$40,D1337,0)))*(1+OFFSET($J$40,D1337,0))^I1337*(1+OFFSET($K$40,D1337,0))^J1337*(1+OFFSET($L$40,D1337,0))^K1337*(1+OFFSET($M$40,D1337,0))^L1337</f>
        <v>330.451795394682</v>
      </c>
      <c r="N1337" s="95">
        <f ca="1">MAX(MAX($N$53:N1336),OFFSET($C$52,MATCH(M1337*1.07,$M$53:$M$2052,1),0)-C1337)</f>
        <v>70200</v>
      </c>
    </row>
    <row r="1338" spans="2:14">
      <c r="B1338" s="95">
        <v>1286</v>
      </c>
      <c r="C1338" s="95">
        <f t="shared" si="107"/>
        <v>462960</v>
      </c>
      <c r="D1338" s="95">
        <f ca="1">_xlfn.XLOOKUP(总览!$B$44,$B$40:$B$45,$C$40:$C$45)</f>
        <v>5</v>
      </c>
      <c r="E1338" s="95">
        <f ca="1" t="shared" si="110"/>
        <v>1316</v>
      </c>
      <c r="F1338" s="95">
        <f ca="1" t="shared" si="108"/>
        <v>0</v>
      </c>
      <c r="G1338" s="95">
        <f ca="1" t="shared" si="109"/>
        <v>0</v>
      </c>
      <c r="H1338" s="95" cm="1">
        <f ca="1" t="array" ref="H1338">MIN(30-SUM(I1338:L1338),_xlfn.XLOOKUP($D1338&amp;"_"&amp;H$52,$B$14:$B$36&amp;"_"&amp;$C$14:$C$36,$D$14:$D$36)*$E1338,18)</f>
        <v>12.3152</v>
      </c>
      <c r="I1338" s="95" cm="1">
        <f ca="1" t="array" ref="I1338">MIN(30-SUM(J1338:L1338),6-L1338,_xlfn.XLOOKUP($D1338&amp;"_"&amp;I$52,$B$14:$B$36&amp;"_"&amp;$C$14:$C$36,$D$14:$D$36)*$E1338)</f>
        <v>0</v>
      </c>
      <c r="J1338" s="95" cm="1">
        <f ca="1" t="array" ref="J1338">MIN(8,_xlfn.XLOOKUP($D1338&amp;"_"&amp;J$52,$B$14:$B$36&amp;"_"&amp;$C$14:$C$36,$D$14:$D$36)*$E1338)</f>
        <v>8</v>
      </c>
      <c r="K1338" s="95" cm="1">
        <f ca="1" t="array" ref="K1338">MIN(18,_xlfn.XLOOKUP($D1338&amp;"_"&amp;K$52,$B$14:$B$36&amp;"_"&amp;$C$14:$C$36,$D$14:$D$36)*$E1338)</f>
        <v>3.6848</v>
      </c>
      <c r="L1338" s="95" cm="1">
        <f ca="1" t="array" ref="L1338">MIN(6,_xlfn.XLOOKUP($D1338&amp;"_"&amp;L$52,$B$14:$B$36&amp;"_"&amp;$C$14:$C$36,$D$14:$D$36)*$E1338)</f>
        <v>6</v>
      </c>
      <c r="M1338" s="95" cm="1">
        <f ca="1" t="array" ref="M1338">(1+SUMPRODUCT(G1338:H1338,OFFSET($H$40:$I$40,D1338,0)))*(1+OFFSET($J$40,D1338,0))^I1338*(1+OFFSET($K$40,D1338,0))^J1338*(1+OFFSET($L$40,D1338,0))^K1338*(1+OFFSET($M$40,D1338,0))^L1338</f>
        <v>330.567079002061</v>
      </c>
      <c r="N1338" s="95">
        <f ca="1">MAX(MAX($N$53:N1337),OFFSET($C$52,MATCH(M1338*1.07,$M$53:$M$2052,1),0)-C1338)</f>
        <v>70200</v>
      </c>
    </row>
    <row r="1339" spans="2:14">
      <c r="B1339" s="95">
        <v>1287</v>
      </c>
      <c r="C1339" s="95">
        <f t="shared" si="107"/>
        <v>463320</v>
      </c>
      <c r="D1339" s="95">
        <f ca="1">_xlfn.XLOOKUP(总览!$B$44,$B$40:$B$45,$C$40:$C$45)</f>
        <v>5</v>
      </c>
      <c r="E1339" s="95">
        <f ca="1" t="shared" si="110"/>
        <v>1317</v>
      </c>
      <c r="F1339" s="95">
        <f ca="1" t="shared" si="108"/>
        <v>0</v>
      </c>
      <c r="G1339" s="95">
        <f ca="1" t="shared" si="109"/>
        <v>0</v>
      </c>
      <c r="H1339" s="95" cm="1">
        <f ca="1" t="array" ref="H1339">MIN(30-SUM(I1339:L1339),_xlfn.XLOOKUP($D1339&amp;"_"&amp;H$52,$B$14:$B$36&amp;"_"&amp;$C$14:$C$36,$D$14:$D$36)*$E1339,18)</f>
        <v>12.3124</v>
      </c>
      <c r="I1339" s="95" cm="1">
        <f ca="1" t="array" ref="I1339">MIN(30-SUM(J1339:L1339),6-L1339,_xlfn.XLOOKUP($D1339&amp;"_"&amp;I$52,$B$14:$B$36&amp;"_"&amp;$C$14:$C$36,$D$14:$D$36)*$E1339)</f>
        <v>0</v>
      </c>
      <c r="J1339" s="95" cm="1">
        <f ca="1" t="array" ref="J1339">MIN(8,_xlfn.XLOOKUP($D1339&amp;"_"&amp;J$52,$B$14:$B$36&amp;"_"&amp;$C$14:$C$36,$D$14:$D$36)*$E1339)</f>
        <v>8</v>
      </c>
      <c r="K1339" s="95" cm="1">
        <f ca="1" t="array" ref="K1339">MIN(18,_xlfn.XLOOKUP($D1339&amp;"_"&amp;K$52,$B$14:$B$36&amp;"_"&amp;$C$14:$C$36,$D$14:$D$36)*$E1339)</f>
        <v>3.6876</v>
      </c>
      <c r="L1339" s="95" cm="1">
        <f ca="1" t="array" ref="L1339">MIN(6,_xlfn.XLOOKUP($D1339&amp;"_"&amp;L$52,$B$14:$B$36&amp;"_"&amp;$C$14:$C$36,$D$14:$D$36)*$E1339)</f>
        <v>6</v>
      </c>
      <c r="M1339" s="95" cm="1">
        <f ca="1" t="array" ref="M1339">(1+SUMPRODUCT(G1339:H1339,OFFSET($H$40:$I$40,D1339,0)))*(1+OFFSET($J$40,D1339,0))^I1339*(1+OFFSET($K$40,D1339,0))^J1339*(1+OFFSET($L$40,D1339,0))^K1339*(1+OFFSET($M$40,D1339,0))^L1339</f>
        <v>330.682394180912</v>
      </c>
      <c r="N1339" s="95">
        <f ca="1">MAX(MAX($N$53:N1338),OFFSET($C$52,MATCH(M1339*1.07,$M$53:$M$2052,1),0)-C1339)</f>
        <v>70200</v>
      </c>
    </row>
    <row r="1340" spans="2:14">
      <c r="B1340" s="95">
        <v>1288</v>
      </c>
      <c r="C1340" s="95">
        <f t="shared" si="107"/>
        <v>463680</v>
      </c>
      <c r="D1340" s="95">
        <f ca="1">_xlfn.XLOOKUP(总览!$B$44,$B$40:$B$45,$C$40:$C$45)</f>
        <v>5</v>
      </c>
      <c r="E1340" s="95">
        <f ca="1" t="shared" si="110"/>
        <v>1318</v>
      </c>
      <c r="F1340" s="95">
        <f ca="1" t="shared" si="108"/>
        <v>0</v>
      </c>
      <c r="G1340" s="95">
        <f ca="1" t="shared" si="109"/>
        <v>0</v>
      </c>
      <c r="H1340" s="95" cm="1">
        <f ca="1" t="array" ref="H1340">MIN(30-SUM(I1340:L1340),_xlfn.XLOOKUP($D1340&amp;"_"&amp;H$52,$B$14:$B$36&amp;"_"&amp;$C$14:$C$36,$D$14:$D$36)*$E1340,18)</f>
        <v>12.3096</v>
      </c>
      <c r="I1340" s="95" cm="1">
        <f ca="1" t="array" ref="I1340">MIN(30-SUM(J1340:L1340),6-L1340,_xlfn.XLOOKUP($D1340&amp;"_"&amp;I$52,$B$14:$B$36&amp;"_"&amp;$C$14:$C$36,$D$14:$D$36)*$E1340)</f>
        <v>0</v>
      </c>
      <c r="J1340" s="95" cm="1">
        <f ca="1" t="array" ref="J1340">MIN(8,_xlfn.XLOOKUP($D1340&amp;"_"&amp;J$52,$B$14:$B$36&amp;"_"&amp;$C$14:$C$36,$D$14:$D$36)*$E1340)</f>
        <v>8</v>
      </c>
      <c r="K1340" s="95" cm="1">
        <f ca="1" t="array" ref="K1340">MIN(18,_xlfn.XLOOKUP($D1340&amp;"_"&amp;K$52,$B$14:$B$36&amp;"_"&amp;$C$14:$C$36,$D$14:$D$36)*$E1340)</f>
        <v>3.6904</v>
      </c>
      <c r="L1340" s="95" cm="1">
        <f ca="1" t="array" ref="L1340">MIN(6,_xlfn.XLOOKUP($D1340&amp;"_"&amp;L$52,$B$14:$B$36&amp;"_"&amp;$C$14:$C$36,$D$14:$D$36)*$E1340)</f>
        <v>6</v>
      </c>
      <c r="M1340" s="95" cm="1">
        <f ca="1" t="array" ref="M1340">(1+SUMPRODUCT(G1340:H1340,OFFSET($H$40:$I$40,D1340,0)))*(1+OFFSET($J$40,D1340,0))^I1340*(1+OFFSET($K$40,D1340,0))^J1340*(1+OFFSET($L$40,D1340,0))^K1340*(1+OFFSET($M$40,D1340,0))^L1340</f>
        <v>330.797740933418</v>
      </c>
      <c r="N1340" s="95">
        <f ca="1">MAX(MAX($N$53:N1339),OFFSET($C$52,MATCH(M1340*1.07,$M$53:$M$2052,1),0)-C1340)</f>
        <v>70200</v>
      </c>
    </row>
    <row r="1341" spans="2:14">
      <c r="B1341" s="95">
        <v>1289</v>
      </c>
      <c r="C1341" s="95">
        <f t="shared" si="107"/>
        <v>464040</v>
      </c>
      <c r="D1341" s="95">
        <f ca="1">_xlfn.XLOOKUP(总览!$B$44,$B$40:$B$45,$C$40:$C$45)</f>
        <v>5</v>
      </c>
      <c r="E1341" s="95">
        <f ca="1" t="shared" si="110"/>
        <v>1319</v>
      </c>
      <c r="F1341" s="95">
        <f ca="1" t="shared" si="108"/>
        <v>0</v>
      </c>
      <c r="G1341" s="95">
        <f ca="1" t="shared" si="109"/>
        <v>0</v>
      </c>
      <c r="H1341" s="95" cm="1">
        <f ca="1" t="array" ref="H1341">MIN(30-SUM(I1341:L1341),_xlfn.XLOOKUP($D1341&amp;"_"&amp;H$52,$B$14:$B$36&amp;"_"&amp;$C$14:$C$36,$D$14:$D$36)*$E1341,18)</f>
        <v>12.3068</v>
      </c>
      <c r="I1341" s="95" cm="1">
        <f ca="1" t="array" ref="I1341">MIN(30-SUM(J1341:L1341),6-L1341,_xlfn.XLOOKUP($D1341&amp;"_"&amp;I$52,$B$14:$B$36&amp;"_"&amp;$C$14:$C$36,$D$14:$D$36)*$E1341)</f>
        <v>0</v>
      </c>
      <c r="J1341" s="95" cm="1">
        <f ca="1" t="array" ref="J1341">MIN(8,_xlfn.XLOOKUP($D1341&amp;"_"&amp;J$52,$B$14:$B$36&amp;"_"&amp;$C$14:$C$36,$D$14:$D$36)*$E1341)</f>
        <v>8</v>
      </c>
      <c r="K1341" s="95" cm="1">
        <f ca="1" t="array" ref="K1341">MIN(18,_xlfn.XLOOKUP($D1341&amp;"_"&amp;K$52,$B$14:$B$36&amp;"_"&amp;$C$14:$C$36,$D$14:$D$36)*$E1341)</f>
        <v>3.6932</v>
      </c>
      <c r="L1341" s="95" cm="1">
        <f ca="1" t="array" ref="L1341">MIN(6,_xlfn.XLOOKUP($D1341&amp;"_"&amp;L$52,$B$14:$B$36&amp;"_"&amp;$C$14:$C$36,$D$14:$D$36)*$E1341)</f>
        <v>6</v>
      </c>
      <c r="M1341" s="95" cm="1">
        <f ca="1" t="array" ref="M1341">(1+SUMPRODUCT(G1341:H1341,OFFSET($H$40:$I$40,D1341,0)))*(1+OFFSET($J$40,D1341,0))^I1341*(1+OFFSET($K$40,D1341,0))^J1341*(1+OFFSET($L$40,D1341,0))^K1341*(1+OFFSET($M$40,D1341,0))^L1341</f>
        <v>330.913119261757</v>
      </c>
      <c r="N1341" s="95">
        <f ca="1">MAX(MAX($N$53:N1340),OFFSET($C$52,MATCH(M1341*1.07,$M$53:$M$2052,1),0)-C1341)</f>
        <v>70200</v>
      </c>
    </row>
    <row r="1342" spans="2:14">
      <c r="B1342" s="95">
        <v>1290</v>
      </c>
      <c r="C1342" s="95">
        <f t="shared" si="107"/>
        <v>464400</v>
      </c>
      <c r="D1342" s="95">
        <f ca="1">_xlfn.XLOOKUP(总览!$B$44,$B$40:$B$45,$C$40:$C$45)</f>
        <v>5</v>
      </c>
      <c r="E1342" s="95">
        <f ca="1" t="shared" si="110"/>
        <v>1320</v>
      </c>
      <c r="F1342" s="95">
        <f ca="1" t="shared" si="108"/>
        <v>0</v>
      </c>
      <c r="G1342" s="95">
        <f ca="1" t="shared" si="109"/>
        <v>0</v>
      </c>
      <c r="H1342" s="95" cm="1">
        <f ca="1" t="array" ref="H1342">MIN(30-SUM(I1342:L1342),_xlfn.XLOOKUP($D1342&amp;"_"&amp;H$52,$B$14:$B$36&amp;"_"&amp;$C$14:$C$36,$D$14:$D$36)*$E1342,18)</f>
        <v>12.304</v>
      </c>
      <c r="I1342" s="95" cm="1">
        <f ca="1" t="array" ref="I1342">MIN(30-SUM(J1342:L1342),6-L1342,_xlfn.XLOOKUP($D1342&amp;"_"&amp;I$52,$B$14:$B$36&amp;"_"&amp;$C$14:$C$36,$D$14:$D$36)*$E1342)</f>
        <v>0</v>
      </c>
      <c r="J1342" s="95" cm="1">
        <f ca="1" t="array" ref="J1342">MIN(8,_xlfn.XLOOKUP($D1342&amp;"_"&amp;J$52,$B$14:$B$36&amp;"_"&amp;$C$14:$C$36,$D$14:$D$36)*$E1342)</f>
        <v>8</v>
      </c>
      <c r="K1342" s="95" cm="1">
        <f ca="1" t="array" ref="K1342">MIN(18,_xlfn.XLOOKUP($D1342&amp;"_"&amp;K$52,$B$14:$B$36&amp;"_"&amp;$C$14:$C$36,$D$14:$D$36)*$E1342)</f>
        <v>3.696</v>
      </c>
      <c r="L1342" s="95" cm="1">
        <f ca="1" t="array" ref="L1342">MIN(6,_xlfn.XLOOKUP($D1342&amp;"_"&amp;L$52,$B$14:$B$36&amp;"_"&amp;$C$14:$C$36,$D$14:$D$36)*$E1342)</f>
        <v>6</v>
      </c>
      <c r="M1342" s="95" cm="1">
        <f ca="1" t="array" ref="M1342">(1+SUMPRODUCT(G1342:H1342,OFFSET($H$40:$I$40,D1342,0)))*(1+OFFSET($J$40,D1342,0))^I1342*(1+OFFSET($K$40,D1342,0))^J1342*(1+OFFSET($L$40,D1342,0))^K1342*(1+OFFSET($M$40,D1342,0))^L1342</f>
        <v>331.0285291681</v>
      </c>
      <c r="N1342" s="95">
        <f ca="1">MAX(MAX($N$53:N1341),OFFSET($C$52,MATCH(M1342*1.07,$M$53:$M$2052,1),0)-C1342)</f>
        <v>70200</v>
      </c>
    </row>
    <row r="1343" spans="2:14">
      <c r="B1343" s="95">
        <v>1291</v>
      </c>
      <c r="C1343" s="95">
        <f t="shared" si="107"/>
        <v>464760</v>
      </c>
      <c r="D1343" s="95">
        <f ca="1">_xlfn.XLOOKUP(总览!$B$44,$B$40:$B$45,$C$40:$C$45)</f>
        <v>5</v>
      </c>
      <c r="E1343" s="95">
        <f ca="1" t="shared" si="110"/>
        <v>1321</v>
      </c>
      <c r="F1343" s="95">
        <f ca="1" t="shared" si="108"/>
        <v>0</v>
      </c>
      <c r="G1343" s="95">
        <f ca="1" t="shared" si="109"/>
        <v>0</v>
      </c>
      <c r="H1343" s="95" cm="1">
        <f ca="1" t="array" ref="H1343">MIN(30-SUM(I1343:L1343),_xlfn.XLOOKUP($D1343&amp;"_"&amp;H$52,$B$14:$B$36&amp;"_"&amp;$C$14:$C$36,$D$14:$D$36)*$E1343,18)</f>
        <v>12.3012</v>
      </c>
      <c r="I1343" s="95" cm="1">
        <f ca="1" t="array" ref="I1343">MIN(30-SUM(J1343:L1343),6-L1343,_xlfn.XLOOKUP($D1343&amp;"_"&amp;I$52,$B$14:$B$36&amp;"_"&amp;$C$14:$C$36,$D$14:$D$36)*$E1343)</f>
        <v>0</v>
      </c>
      <c r="J1343" s="95" cm="1">
        <f ca="1" t="array" ref="J1343">MIN(8,_xlfn.XLOOKUP($D1343&amp;"_"&amp;J$52,$B$14:$B$36&amp;"_"&amp;$C$14:$C$36,$D$14:$D$36)*$E1343)</f>
        <v>8</v>
      </c>
      <c r="K1343" s="95" cm="1">
        <f ca="1" t="array" ref="K1343">MIN(18,_xlfn.XLOOKUP($D1343&amp;"_"&amp;K$52,$B$14:$B$36&amp;"_"&amp;$C$14:$C$36,$D$14:$D$36)*$E1343)</f>
        <v>3.6988</v>
      </c>
      <c r="L1343" s="95" cm="1">
        <f ca="1" t="array" ref="L1343">MIN(6,_xlfn.XLOOKUP($D1343&amp;"_"&amp;L$52,$B$14:$B$36&amp;"_"&amp;$C$14:$C$36,$D$14:$D$36)*$E1343)</f>
        <v>6</v>
      </c>
      <c r="M1343" s="95" cm="1">
        <f ca="1" t="array" ref="M1343">(1+SUMPRODUCT(G1343:H1343,OFFSET($H$40:$I$40,D1343,0)))*(1+OFFSET($J$40,D1343,0))^I1343*(1+OFFSET($K$40,D1343,0))^J1343*(1+OFFSET($L$40,D1343,0))^K1343*(1+OFFSET($M$40,D1343,0))^L1343</f>
        <v>331.143970654612</v>
      </c>
      <c r="N1343" s="95">
        <f ca="1">MAX(MAX($N$53:N1342),OFFSET($C$52,MATCH(M1343*1.07,$M$53:$M$2052,1),0)-C1343)</f>
        <v>70200</v>
      </c>
    </row>
    <row r="1344" spans="2:14">
      <c r="B1344" s="95">
        <v>1292</v>
      </c>
      <c r="C1344" s="95">
        <f t="shared" si="107"/>
        <v>465120</v>
      </c>
      <c r="D1344" s="95">
        <f ca="1">_xlfn.XLOOKUP(总览!$B$44,$B$40:$B$45,$C$40:$C$45)</f>
        <v>5</v>
      </c>
      <c r="E1344" s="95">
        <f ca="1" t="shared" si="110"/>
        <v>1322</v>
      </c>
      <c r="F1344" s="95">
        <f ca="1" t="shared" si="108"/>
        <v>0</v>
      </c>
      <c r="G1344" s="95">
        <f ca="1" t="shared" si="109"/>
        <v>0</v>
      </c>
      <c r="H1344" s="95" cm="1">
        <f ca="1" t="array" ref="H1344">MIN(30-SUM(I1344:L1344),_xlfn.XLOOKUP($D1344&amp;"_"&amp;H$52,$B$14:$B$36&amp;"_"&amp;$C$14:$C$36,$D$14:$D$36)*$E1344,18)</f>
        <v>12.2984</v>
      </c>
      <c r="I1344" s="95" cm="1">
        <f ca="1" t="array" ref="I1344">MIN(30-SUM(J1344:L1344),6-L1344,_xlfn.XLOOKUP($D1344&amp;"_"&amp;I$52,$B$14:$B$36&amp;"_"&amp;$C$14:$C$36,$D$14:$D$36)*$E1344)</f>
        <v>0</v>
      </c>
      <c r="J1344" s="95" cm="1">
        <f ca="1" t="array" ref="J1344">MIN(8,_xlfn.XLOOKUP($D1344&amp;"_"&amp;J$52,$B$14:$B$36&amp;"_"&amp;$C$14:$C$36,$D$14:$D$36)*$E1344)</f>
        <v>8</v>
      </c>
      <c r="K1344" s="95" cm="1">
        <f ca="1" t="array" ref="K1344">MIN(18,_xlfn.XLOOKUP($D1344&amp;"_"&amp;K$52,$B$14:$B$36&amp;"_"&amp;$C$14:$C$36,$D$14:$D$36)*$E1344)</f>
        <v>3.7016</v>
      </c>
      <c r="L1344" s="95" cm="1">
        <f ca="1" t="array" ref="L1344">MIN(6,_xlfn.XLOOKUP($D1344&amp;"_"&amp;L$52,$B$14:$B$36&amp;"_"&amp;$C$14:$C$36,$D$14:$D$36)*$E1344)</f>
        <v>6</v>
      </c>
      <c r="M1344" s="95" cm="1">
        <f ca="1" t="array" ref="M1344">(1+SUMPRODUCT(G1344:H1344,OFFSET($H$40:$I$40,D1344,0)))*(1+OFFSET($J$40,D1344,0))^I1344*(1+OFFSET($K$40,D1344,0))^J1344*(1+OFFSET($L$40,D1344,0))^K1344*(1+OFFSET($M$40,D1344,0))^L1344</f>
        <v>331.259443723452</v>
      </c>
      <c r="N1344" s="95">
        <f ca="1">MAX(MAX($N$53:N1343),OFFSET($C$52,MATCH(M1344*1.07,$M$53:$M$2052,1),0)-C1344)</f>
        <v>70200</v>
      </c>
    </row>
    <row r="1345" spans="2:14">
      <c r="B1345" s="95">
        <v>1293</v>
      </c>
      <c r="C1345" s="95">
        <f t="shared" si="107"/>
        <v>465480</v>
      </c>
      <c r="D1345" s="95">
        <f ca="1">_xlfn.XLOOKUP(总览!$B$44,$B$40:$B$45,$C$40:$C$45)</f>
        <v>5</v>
      </c>
      <c r="E1345" s="95">
        <f ca="1" t="shared" si="110"/>
        <v>1323</v>
      </c>
      <c r="F1345" s="95">
        <f ca="1" t="shared" si="108"/>
        <v>0</v>
      </c>
      <c r="G1345" s="95">
        <f ca="1" t="shared" si="109"/>
        <v>0</v>
      </c>
      <c r="H1345" s="95" cm="1">
        <f ca="1" t="array" ref="H1345">MIN(30-SUM(I1345:L1345),_xlfn.XLOOKUP($D1345&amp;"_"&amp;H$52,$B$14:$B$36&amp;"_"&amp;$C$14:$C$36,$D$14:$D$36)*$E1345,18)</f>
        <v>12.2956</v>
      </c>
      <c r="I1345" s="95" cm="1">
        <f ca="1" t="array" ref="I1345">MIN(30-SUM(J1345:L1345),6-L1345,_xlfn.XLOOKUP($D1345&amp;"_"&amp;I$52,$B$14:$B$36&amp;"_"&amp;$C$14:$C$36,$D$14:$D$36)*$E1345)</f>
        <v>0</v>
      </c>
      <c r="J1345" s="95" cm="1">
        <f ca="1" t="array" ref="J1345">MIN(8,_xlfn.XLOOKUP($D1345&amp;"_"&amp;J$52,$B$14:$B$36&amp;"_"&amp;$C$14:$C$36,$D$14:$D$36)*$E1345)</f>
        <v>8</v>
      </c>
      <c r="K1345" s="95" cm="1">
        <f ca="1" t="array" ref="K1345">MIN(18,_xlfn.XLOOKUP($D1345&amp;"_"&amp;K$52,$B$14:$B$36&amp;"_"&amp;$C$14:$C$36,$D$14:$D$36)*$E1345)</f>
        <v>3.7044</v>
      </c>
      <c r="L1345" s="95" cm="1">
        <f ca="1" t="array" ref="L1345">MIN(6,_xlfn.XLOOKUP($D1345&amp;"_"&amp;L$52,$B$14:$B$36&amp;"_"&amp;$C$14:$C$36,$D$14:$D$36)*$E1345)</f>
        <v>6</v>
      </c>
      <c r="M1345" s="95" cm="1">
        <f ca="1" t="array" ref="M1345">(1+SUMPRODUCT(G1345:H1345,OFFSET($H$40:$I$40,D1345,0)))*(1+OFFSET($J$40,D1345,0))^I1345*(1+OFFSET($K$40,D1345,0))^J1345*(1+OFFSET($L$40,D1345,0))^K1345*(1+OFFSET($M$40,D1345,0))^L1345</f>
        <v>331.374948376773</v>
      </c>
      <c r="N1345" s="95">
        <f ca="1">MAX(MAX($N$53:N1344),OFFSET($C$52,MATCH(M1345*1.07,$M$53:$M$2052,1),0)-C1345)</f>
        <v>70200</v>
      </c>
    </row>
    <row r="1346" spans="2:14">
      <c r="B1346" s="95">
        <v>1294</v>
      </c>
      <c r="C1346" s="95">
        <f t="shared" si="107"/>
        <v>465840</v>
      </c>
      <c r="D1346" s="95">
        <f ca="1">_xlfn.XLOOKUP(总览!$B$44,$B$40:$B$45,$C$40:$C$45)</f>
        <v>5</v>
      </c>
      <c r="E1346" s="95">
        <f ca="1" t="shared" si="110"/>
        <v>1324</v>
      </c>
      <c r="F1346" s="95">
        <f ca="1" t="shared" si="108"/>
        <v>0</v>
      </c>
      <c r="G1346" s="95">
        <f ca="1" t="shared" si="109"/>
        <v>0</v>
      </c>
      <c r="H1346" s="95" cm="1">
        <f ca="1" t="array" ref="H1346">MIN(30-SUM(I1346:L1346),_xlfn.XLOOKUP($D1346&amp;"_"&amp;H$52,$B$14:$B$36&amp;"_"&amp;$C$14:$C$36,$D$14:$D$36)*$E1346,18)</f>
        <v>12.2928</v>
      </c>
      <c r="I1346" s="95" cm="1">
        <f ca="1" t="array" ref="I1346">MIN(30-SUM(J1346:L1346),6-L1346,_xlfn.XLOOKUP($D1346&amp;"_"&amp;I$52,$B$14:$B$36&amp;"_"&amp;$C$14:$C$36,$D$14:$D$36)*$E1346)</f>
        <v>0</v>
      </c>
      <c r="J1346" s="95" cm="1">
        <f ca="1" t="array" ref="J1346">MIN(8,_xlfn.XLOOKUP($D1346&amp;"_"&amp;J$52,$B$14:$B$36&amp;"_"&amp;$C$14:$C$36,$D$14:$D$36)*$E1346)</f>
        <v>8</v>
      </c>
      <c r="K1346" s="95" cm="1">
        <f ca="1" t="array" ref="K1346">MIN(18,_xlfn.XLOOKUP($D1346&amp;"_"&amp;K$52,$B$14:$B$36&amp;"_"&amp;$C$14:$C$36,$D$14:$D$36)*$E1346)</f>
        <v>3.7072</v>
      </c>
      <c r="L1346" s="95" cm="1">
        <f ca="1" t="array" ref="L1346">MIN(6,_xlfn.XLOOKUP($D1346&amp;"_"&amp;L$52,$B$14:$B$36&amp;"_"&amp;$C$14:$C$36,$D$14:$D$36)*$E1346)</f>
        <v>6</v>
      </c>
      <c r="M1346" s="95" cm="1">
        <f ca="1" t="array" ref="M1346">(1+SUMPRODUCT(G1346:H1346,OFFSET($H$40:$I$40,D1346,0)))*(1+OFFSET($J$40,D1346,0))^I1346*(1+OFFSET($K$40,D1346,0))^J1346*(1+OFFSET($L$40,D1346,0))^K1346*(1+OFFSET($M$40,D1346,0))^L1346</f>
        <v>331.490484616722</v>
      </c>
      <c r="N1346" s="95">
        <f ca="1">MAX(MAX($N$53:N1345),OFFSET($C$52,MATCH(M1346*1.07,$M$53:$M$2052,1),0)-C1346)</f>
        <v>70200</v>
      </c>
    </row>
    <row r="1347" spans="2:14">
      <c r="B1347" s="95">
        <v>1295</v>
      </c>
      <c r="C1347" s="95">
        <f t="shared" si="107"/>
        <v>466200</v>
      </c>
      <c r="D1347" s="95">
        <f ca="1">_xlfn.XLOOKUP(总览!$B$44,$B$40:$B$45,$C$40:$C$45)</f>
        <v>5</v>
      </c>
      <c r="E1347" s="95">
        <f ca="1" t="shared" si="110"/>
        <v>1325</v>
      </c>
      <c r="F1347" s="95">
        <f ca="1" t="shared" si="108"/>
        <v>0</v>
      </c>
      <c r="G1347" s="95">
        <f ca="1" t="shared" si="109"/>
        <v>0</v>
      </c>
      <c r="H1347" s="95" cm="1">
        <f ca="1" t="array" ref="H1347">MIN(30-SUM(I1347:L1347),_xlfn.XLOOKUP($D1347&amp;"_"&amp;H$52,$B$14:$B$36&amp;"_"&amp;$C$14:$C$36,$D$14:$D$36)*$E1347,18)</f>
        <v>12.29</v>
      </c>
      <c r="I1347" s="95" cm="1">
        <f ca="1" t="array" ref="I1347">MIN(30-SUM(J1347:L1347),6-L1347,_xlfn.XLOOKUP($D1347&amp;"_"&amp;I$52,$B$14:$B$36&amp;"_"&amp;$C$14:$C$36,$D$14:$D$36)*$E1347)</f>
        <v>0</v>
      </c>
      <c r="J1347" s="95" cm="1">
        <f ca="1" t="array" ref="J1347">MIN(8,_xlfn.XLOOKUP($D1347&amp;"_"&amp;J$52,$B$14:$B$36&amp;"_"&amp;$C$14:$C$36,$D$14:$D$36)*$E1347)</f>
        <v>8</v>
      </c>
      <c r="K1347" s="95" cm="1">
        <f ca="1" t="array" ref="K1347">MIN(18,_xlfn.XLOOKUP($D1347&amp;"_"&amp;K$52,$B$14:$B$36&amp;"_"&amp;$C$14:$C$36,$D$14:$D$36)*$E1347)</f>
        <v>3.71</v>
      </c>
      <c r="L1347" s="95" cm="1">
        <f ca="1" t="array" ref="L1347">MIN(6,_xlfn.XLOOKUP($D1347&amp;"_"&amp;L$52,$B$14:$B$36&amp;"_"&amp;$C$14:$C$36,$D$14:$D$36)*$E1347)</f>
        <v>6</v>
      </c>
      <c r="M1347" s="95" cm="1">
        <f ca="1" t="array" ref="M1347">(1+SUMPRODUCT(G1347:H1347,OFFSET($H$40:$I$40,D1347,0)))*(1+OFFSET($J$40,D1347,0))^I1347*(1+OFFSET($K$40,D1347,0))^J1347*(1+OFFSET($L$40,D1347,0))^K1347*(1+OFFSET($M$40,D1347,0))^L1347</f>
        <v>331.606052445442</v>
      </c>
      <c r="N1347" s="95">
        <f ca="1">MAX(MAX($N$53:N1346),OFFSET($C$52,MATCH(M1347*1.07,$M$53:$M$2052,1),0)-C1347)</f>
        <v>70200</v>
      </c>
    </row>
    <row r="1348" spans="2:14">
      <c r="B1348" s="95">
        <v>1296</v>
      </c>
      <c r="C1348" s="95">
        <f t="shared" si="107"/>
        <v>466560</v>
      </c>
      <c r="D1348" s="95">
        <f ca="1">_xlfn.XLOOKUP(总览!$B$44,$B$40:$B$45,$C$40:$C$45)</f>
        <v>5</v>
      </c>
      <c r="E1348" s="95">
        <f ca="1" t="shared" si="110"/>
        <v>1326</v>
      </c>
      <c r="F1348" s="95">
        <f ca="1" t="shared" si="108"/>
        <v>0</v>
      </c>
      <c r="G1348" s="95">
        <f ca="1" t="shared" si="109"/>
        <v>0</v>
      </c>
      <c r="H1348" s="95" cm="1">
        <f ca="1" t="array" ref="H1348">MIN(30-SUM(I1348:L1348),_xlfn.XLOOKUP($D1348&amp;"_"&amp;H$52,$B$14:$B$36&amp;"_"&amp;$C$14:$C$36,$D$14:$D$36)*$E1348,18)</f>
        <v>12.2872</v>
      </c>
      <c r="I1348" s="95" cm="1">
        <f ca="1" t="array" ref="I1348">MIN(30-SUM(J1348:L1348),6-L1348,_xlfn.XLOOKUP($D1348&amp;"_"&amp;I$52,$B$14:$B$36&amp;"_"&amp;$C$14:$C$36,$D$14:$D$36)*$E1348)</f>
        <v>0</v>
      </c>
      <c r="J1348" s="95" cm="1">
        <f ca="1" t="array" ref="J1348">MIN(8,_xlfn.XLOOKUP($D1348&amp;"_"&amp;J$52,$B$14:$B$36&amp;"_"&amp;$C$14:$C$36,$D$14:$D$36)*$E1348)</f>
        <v>8</v>
      </c>
      <c r="K1348" s="95" cm="1">
        <f ca="1" t="array" ref="K1348">MIN(18,_xlfn.XLOOKUP($D1348&amp;"_"&amp;K$52,$B$14:$B$36&amp;"_"&amp;$C$14:$C$36,$D$14:$D$36)*$E1348)</f>
        <v>3.7128</v>
      </c>
      <c r="L1348" s="95" cm="1">
        <f ca="1" t="array" ref="L1348">MIN(6,_xlfn.XLOOKUP($D1348&amp;"_"&amp;L$52,$B$14:$B$36&amp;"_"&amp;$C$14:$C$36,$D$14:$D$36)*$E1348)</f>
        <v>6</v>
      </c>
      <c r="M1348" s="95" cm="1">
        <f ca="1" t="array" ref="M1348">(1+SUMPRODUCT(G1348:H1348,OFFSET($H$40:$I$40,D1348,0)))*(1+OFFSET($J$40,D1348,0))^I1348*(1+OFFSET($K$40,D1348,0))^J1348*(1+OFFSET($L$40,D1348,0))^K1348*(1+OFFSET($M$40,D1348,0))^L1348</f>
        <v>331.721651865065</v>
      </c>
      <c r="N1348" s="95">
        <f ca="1">MAX(MAX($N$53:N1347),OFFSET($C$52,MATCH(M1348*1.07,$M$53:$M$2052,1),0)-C1348)</f>
        <v>70200</v>
      </c>
    </row>
    <row r="1349" spans="2:14">
      <c r="B1349" s="95">
        <v>1297</v>
      </c>
      <c r="C1349" s="95">
        <f t="shared" si="107"/>
        <v>466920</v>
      </c>
      <c r="D1349" s="95">
        <f ca="1">_xlfn.XLOOKUP(总览!$B$44,$B$40:$B$45,$C$40:$C$45)</f>
        <v>5</v>
      </c>
      <c r="E1349" s="95">
        <f ca="1" t="shared" si="110"/>
        <v>1327</v>
      </c>
      <c r="F1349" s="95">
        <f ca="1" t="shared" si="108"/>
        <v>0</v>
      </c>
      <c r="G1349" s="95">
        <f ca="1" t="shared" si="109"/>
        <v>0</v>
      </c>
      <c r="H1349" s="95" cm="1">
        <f ca="1" t="array" ref="H1349">MIN(30-SUM(I1349:L1349),_xlfn.XLOOKUP($D1349&amp;"_"&amp;H$52,$B$14:$B$36&amp;"_"&amp;$C$14:$C$36,$D$14:$D$36)*$E1349,18)</f>
        <v>12.2844</v>
      </c>
      <c r="I1349" s="95" cm="1">
        <f ca="1" t="array" ref="I1349">MIN(30-SUM(J1349:L1349),6-L1349,_xlfn.XLOOKUP($D1349&amp;"_"&amp;I$52,$B$14:$B$36&amp;"_"&amp;$C$14:$C$36,$D$14:$D$36)*$E1349)</f>
        <v>0</v>
      </c>
      <c r="J1349" s="95" cm="1">
        <f ca="1" t="array" ref="J1349">MIN(8,_xlfn.XLOOKUP($D1349&amp;"_"&amp;J$52,$B$14:$B$36&amp;"_"&amp;$C$14:$C$36,$D$14:$D$36)*$E1349)</f>
        <v>8</v>
      </c>
      <c r="K1349" s="95" cm="1">
        <f ca="1" t="array" ref="K1349">MIN(18,_xlfn.XLOOKUP($D1349&amp;"_"&amp;K$52,$B$14:$B$36&amp;"_"&amp;$C$14:$C$36,$D$14:$D$36)*$E1349)</f>
        <v>3.7156</v>
      </c>
      <c r="L1349" s="95" cm="1">
        <f ca="1" t="array" ref="L1349">MIN(6,_xlfn.XLOOKUP($D1349&amp;"_"&amp;L$52,$B$14:$B$36&amp;"_"&amp;$C$14:$C$36,$D$14:$D$36)*$E1349)</f>
        <v>6</v>
      </c>
      <c r="M1349" s="95" cm="1">
        <f ca="1" t="array" ref="M1349">(1+SUMPRODUCT(G1349:H1349,OFFSET($H$40:$I$40,D1349,0)))*(1+OFFSET($J$40,D1349,0))^I1349*(1+OFFSET($K$40,D1349,0))^J1349*(1+OFFSET($L$40,D1349,0))^K1349*(1+OFFSET($M$40,D1349,0))^L1349</f>
        <v>331.837282877723</v>
      </c>
      <c r="N1349" s="95">
        <f ca="1">MAX(MAX($N$53:N1348),OFFSET($C$52,MATCH(M1349*1.07,$M$53:$M$2052,1),0)-C1349)</f>
        <v>70200</v>
      </c>
    </row>
    <row r="1350" spans="2:14">
      <c r="B1350" s="95">
        <v>1298</v>
      </c>
      <c r="C1350" s="95">
        <f t="shared" si="107"/>
        <v>467280</v>
      </c>
      <c r="D1350" s="95">
        <f ca="1">_xlfn.XLOOKUP(总览!$B$44,$B$40:$B$45,$C$40:$C$45)</f>
        <v>5</v>
      </c>
      <c r="E1350" s="95">
        <f ca="1" t="shared" si="110"/>
        <v>1328</v>
      </c>
      <c r="F1350" s="95">
        <f ca="1" t="shared" si="108"/>
        <v>0</v>
      </c>
      <c r="G1350" s="95">
        <f ca="1" t="shared" si="109"/>
        <v>0</v>
      </c>
      <c r="H1350" s="95" cm="1">
        <f ca="1" t="array" ref="H1350">MIN(30-SUM(I1350:L1350),_xlfn.XLOOKUP($D1350&amp;"_"&amp;H$52,$B$14:$B$36&amp;"_"&amp;$C$14:$C$36,$D$14:$D$36)*$E1350,18)</f>
        <v>12.2816</v>
      </c>
      <c r="I1350" s="95" cm="1">
        <f ca="1" t="array" ref="I1350">MIN(30-SUM(J1350:L1350),6-L1350,_xlfn.XLOOKUP($D1350&amp;"_"&amp;I$52,$B$14:$B$36&amp;"_"&amp;$C$14:$C$36,$D$14:$D$36)*$E1350)</f>
        <v>0</v>
      </c>
      <c r="J1350" s="95" cm="1">
        <f ca="1" t="array" ref="J1350">MIN(8,_xlfn.XLOOKUP($D1350&amp;"_"&amp;J$52,$B$14:$B$36&amp;"_"&amp;$C$14:$C$36,$D$14:$D$36)*$E1350)</f>
        <v>8</v>
      </c>
      <c r="K1350" s="95" cm="1">
        <f ca="1" t="array" ref="K1350">MIN(18,_xlfn.XLOOKUP($D1350&amp;"_"&amp;K$52,$B$14:$B$36&amp;"_"&amp;$C$14:$C$36,$D$14:$D$36)*$E1350)</f>
        <v>3.7184</v>
      </c>
      <c r="L1350" s="95" cm="1">
        <f ca="1" t="array" ref="L1350">MIN(6,_xlfn.XLOOKUP($D1350&amp;"_"&amp;L$52,$B$14:$B$36&amp;"_"&amp;$C$14:$C$36,$D$14:$D$36)*$E1350)</f>
        <v>6</v>
      </c>
      <c r="M1350" s="95" cm="1">
        <f ca="1" t="array" ref="M1350">(1+SUMPRODUCT(G1350:H1350,OFFSET($H$40:$I$40,D1350,0)))*(1+OFFSET($J$40,D1350,0))^I1350*(1+OFFSET($K$40,D1350,0))^J1350*(1+OFFSET($L$40,D1350,0))^K1350*(1+OFFSET($M$40,D1350,0))^L1350</f>
        <v>331.952945485537</v>
      </c>
      <c r="N1350" s="95">
        <f ca="1">MAX(MAX($N$53:N1349),OFFSET($C$52,MATCH(M1350*1.07,$M$53:$M$2052,1),0)-C1350)</f>
        <v>70200</v>
      </c>
    </row>
    <row r="1351" spans="2:14">
      <c r="B1351" s="95">
        <v>1299</v>
      </c>
      <c r="C1351" s="95">
        <f t="shared" si="107"/>
        <v>467640</v>
      </c>
      <c r="D1351" s="95">
        <f ca="1">_xlfn.XLOOKUP(总览!$B$44,$B$40:$B$45,$C$40:$C$45)</f>
        <v>5</v>
      </c>
      <c r="E1351" s="95">
        <f ca="1" t="shared" si="110"/>
        <v>1329</v>
      </c>
      <c r="F1351" s="95">
        <f ca="1" t="shared" si="108"/>
        <v>0</v>
      </c>
      <c r="G1351" s="95">
        <f ca="1" t="shared" si="109"/>
        <v>0</v>
      </c>
      <c r="H1351" s="95" cm="1">
        <f ca="1" t="array" ref="H1351">MIN(30-SUM(I1351:L1351),_xlfn.XLOOKUP($D1351&amp;"_"&amp;H$52,$B$14:$B$36&amp;"_"&amp;$C$14:$C$36,$D$14:$D$36)*$E1351,18)</f>
        <v>12.2788</v>
      </c>
      <c r="I1351" s="95" cm="1">
        <f ca="1" t="array" ref="I1351">MIN(30-SUM(J1351:L1351),6-L1351,_xlfn.XLOOKUP($D1351&amp;"_"&amp;I$52,$B$14:$B$36&amp;"_"&amp;$C$14:$C$36,$D$14:$D$36)*$E1351)</f>
        <v>0</v>
      </c>
      <c r="J1351" s="95" cm="1">
        <f ca="1" t="array" ref="J1351">MIN(8,_xlfn.XLOOKUP($D1351&amp;"_"&amp;J$52,$B$14:$B$36&amp;"_"&amp;$C$14:$C$36,$D$14:$D$36)*$E1351)</f>
        <v>8</v>
      </c>
      <c r="K1351" s="95" cm="1">
        <f ca="1" t="array" ref="K1351">MIN(18,_xlfn.XLOOKUP($D1351&amp;"_"&amp;K$52,$B$14:$B$36&amp;"_"&amp;$C$14:$C$36,$D$14:$D$36)*$E1351)</f>
        <v>3.7212</v>
      </c>
      <c r="L1351" s="95" cm="1">
        <f ca="1" t="array" ref="L1351">MIN(6,_xlfn.XLOOKUP($D1351&amp;"_"&amp;L$52,$B$14:$B$36&amp;"_"&amp;$C$14:$C$36,$D$14:$D$36)*$E1351)</f>
        <v>6</v>
      </c>
      <c r="M1351" s="95" cm="1">
        <f ca="1" t="array" ref="M1351">(1+SUMPRODUCT(G1351:H1351,OFFSET($H$40:$I$40,D1351,0)))*(1+OFFSET($J$40,D1351,0))^I1351*(1+OFFSET($K$40,D1351,0))^J1351*(1+OFFSET($L$40,D1351,0))^K1351*(1+OFFSET($M$40,D1351,0))^L1351</f>
        <v>332.068639690624</v>
      </c>
      <c r="N1351" s="95">
        <f ca="1">MAX(MAX($N$53:N1350),OFFSET($C$52,MATCH(M1351*1.07,$M$53:$M$2052,1),0)-C1351)</f>
        <v>70200</v>
      </c>
    </row>
    <row r="1352" spans="2:14">
      <c r="B1352" s="95">
        <v>1300</v>
      </c>
      <c r="C1352" s="95">
        <f t="shared" si="107"/>
        <v>468000</v>
      </c>
      <c r="D1352" s="95">
        <f ca="1">_xlfn.XLOOKUP(总览!$B$44,$B$40:$B$45,$C$40:$C$45)</f>
        <v>5</v>
      </c>
      <c r="E1352" s="95">
        <f ca="1" t="shared" si="110"/>
        <v>1330</v>
      </c>
      <c r="F1352" s="95">
        <f ca="1" t="shared" si="108"/>
        <v>0</v>
      </c>
      <c r="G1352" s="95">
        <f ca="1" t="shared" si="109"/>
        <v>0</v>
      </c>
      <c r="H1352" s="95" cm="1">
        <f ca="1" t="array" ref="H1352">MIN(30-SUM(I1352:L1352),_xlfn.XLOOKUP($D1352&amp;"_"&amp;H$52,$B$14:$B$36&amp;"_"&amp;$C$14:$C$36,$D$14:$D$36)*$E1352,18)</f>
        <v>12.276</v>
      </c>
      <c r="I1352" s="95" cm="1">
        <f ca="1" t="array" ref="I1352">MIN(30-SUM(J1352:L1352),6-L1352,_xlfn.XLOOKUP($D1352&amp;"_"&amp;I$52,$B$14:$B$36&amp;"_"&amp;$C$14:$C$36,$D$14:$D$36)*$E1352)</f>
        <v>0</v>
      </c>
      <c r="J1352" s="95" cm="1">
        <f ca="1" t="array" ref="J1352">MIN(8,_xlfn.XLOOKUP($D1352&amp;"_"&amp;J$52,$B$14:$B$36&amp;"_"&amp;$C$14:$C$36,$D$14:$D$36)*$E1352)</f>
        <v>8</v>
      </c>
      <c r="K1352" s="95" cm="1">
        <f ca="1" t="array" ref="K1352">MIN(18,_xlfn.XLOOKUP($D1352&amp;"_"&amp;K$52,$B$14:$B$36&amp;"_"&amp;$C$14:$C$36,$D$14:$D$36)*$E1352)</f>
        <v>3.724</v>
      </c>
      <c r="L1352" s="95" cm="1">
        <f ca="1" t="array" ref="L1352">MIN(6,_xlfn.XLOOKUP($D1352&amp;"_"&amp;L$52,$B$14:$B$36&amp;"_"&amp;$C$14:$C$36,$D$14:$D$36)*$E1352)</f>
        <v>6</v>
      </c>
      <c r="M1352" s="95" cm="1">
        <f ca="1" t="array" ref="M1352">(1+SUMPRODUCT(G1352:H1352,OFFSET($H$40:$I$40,D1352,0)))*(1+OFFSET($J$40,D1352,0))^I1352*(1+OFFSET($K$40,D1352,0))^J1352*(1+OFFSET($L$40,D1352,0))^K1352*(1+OFFSET($M$40,D1352,0))^L1352</f>
        <v>332.184365495096</v>
      </c>
      <c r="N1352" s="95">
        <f ca="1">MAX(MAX($N$53:N1351),OFFSET($C$52,MATCH(M1352*1.07,$M$53:$M$2052,1),0)-C1352)</f>
        <v>70200</v>
      </c>
    </row>
    <row r="1353" spans="2:14">
      <c r="B1353" s="95">
        <v>1301</v>
      </c>
      <c r="C1353" s="95">
        <f t="shared" si="107"/>
        <v>468360</v>
      </c>
      <c r="D1353" s="95">
        <f ca="1">_xlfn.XLOOKUP(总览!$B$44,$B$40:$B$45,$C$40:$C$45)</f>
        <v>5</v>
      </c>
      <c r="E1353" s="95">
        <f ca="1" t="shared" si="110"/>
        <v>1331</v>
      </c>
      <c r="F1353" s="95">
        <f ca="1" t="shared" si="108"/>
        <v>0</v>
      </c>
      <c r="G1353" s="95">
        <f ca="1" t="shared" si="109"/>
        <v>0</v>
      </c>
      <c r="H1353" s="95" cm="1">
        <f ca="1" t="array" ref="H1353">MIN(30-SUM(I1353:L1353),_xlfn.XLOOKUP($D1353&amp;"_"&amp;H$52,$B$14:$B$36&amp;"_"&amp;$C$14:$C$36,$D$14:$D$36)*$E1353,18)</f>
        <v>12.2732</v>
      </c>
      <c r="I1353" s="95" cm="1">
        <f ca="1" t="array" ref="I1353">MIN(30-SUM(J1353:L1353),6-L1353,_xlfn.XLOOKUP($D1353&amp;"_"&amp;I$52,$B$14:$B$36&amp;"_"&amp;$C$14:$C$36,$D$14:$D$36)*$E1353)</f>
        <v>0</v>
      </c>
      <c r="J1353" s="95" cm="1">
        <f ca="1" t="array" ref="J1353">MIN(8,_xlfn.XLOOKUP($D1353&amp;"_"&amp;J$52,$B$14:$B$36&amp;"_"&amp;$C$14:$C$36,$D$14:$D$36)*$E1353)</f>
        <v>8</v>
      </c>
      <c r="K1353" s="95" cm="1">
        <f ca="1" t="array" ref="K1353">MIN(18,_xlfn.XLOOKUP($D1353&amp;"_"&amp;K$52,$B$14:$B$36&amp;"_"&amp;$C$14:$C$36,$D$14:$D$36)*$E1353)</f>
        <v>3.7268</v>
      </c>
      <c r="L1353" s="95" cm="1">
        <f ca="1" t="array" ref="L1353">MIN(6,_xlfn.XLOOKUP($D1353&amp;"_"&amp;L$52,$B$14:$B$36&amp;"_"&amp;$C$14:$C$36,$D$14:$D$36)*$E1353)</f>
        <v>6</v>
      </c>
      <c r="M1353" s="95" cm="1">
        <f ca="1" t="array" ref="M1353">(1+SUMPRODUCT(G1353:H1353,OFFSET($H$40:$I$40,D1353,0)))*(1+OFFSET($J$40,D1353,0))^I1353*(1+OFFSET($K$40,D1353,0))^J1353*(1+OFFSET($L$40,D1353,0))^K1353*(1+OFFSET($M$40,D1353,0))^L1353</f>
        <v>332.300122901056</v>
      </c>
      <c r="N1353" s="95">
        <f ca="1">MAX(MAX($N$53:N1352),OFFSET($C$52,MATCH(M1353*1.07,$M$53:$M$2052,1),0)-C1353)</f>
        <v>70200</v>
      </c>
    </row>
    <row r="1354" spans="2:14">
      <c r="B1354" s="95">
        <v>1302</v>
      </c>
      <c r="C1354" s="95">
        <f t="shared" si="107"/>
        <v>468720</v>
      </c>
      <c r="D1354" s="95">
        <f ca="1">_xlfn.XLOOKUP(总览!$B$44,$B$40:$B$45,$C$40:$C$45)</f>
        <v>5</v>
      </c>
      <c r="E1354" s="95">
        <f ca="1" t="shared" si="110"/>
        <v>1332</v>
      </c>
      <c r="F1354" s="95">
        <f ca="1" t="shared" si="108"/>
        <v>0</v>
      </c>
      <c r="G1354" s="95">
        <f ca="1" t="shared" si="109"/>
        <v>0</v>
      </c>
      <c r="H1354" s="95" cm="1">
        <f ca="1" t="array" ref="H1354">MIN(30-SUM(I1354:L1354),_xlfn.XLOOKUP($D1354&amp;"_"&amp;H$52,$B$14:$B$36&amp;"_"&amp;$C$14:$C$36,$D$14:$D$36)*$E1354,18)</f>
        <v>12.2704</v>
      </c>
      <c r="I1354" s="95" cm="1">
        <f ca="1" t="array" ref="I1354">MIN(30-SUM(J1354:L1354),6-L1354,_xlfn.XLOOKUP($D1354&amp;"_"&amp;I$52,$B$14:$B$36&amp;"_"&amp;$C$14:$C$36,$D$14:$D$36)*$E1354)</f>
        <v>0</v>
      </c>
      <c r="J1354" s="95" cm="1">
        <f ca="1" t="array" ref="J1354">MIN(8,_xlfn.XLOOKUP($D1354&amp;"_"&amp;J$52,$B$14:$B$36&amp;"_"&amp;$C$14:$C$36,$D$14:$D$36)*$E1354)</f>
        <v>8</v>
      </c>
      <c r="K1354" s="95" cm="1">
        <f ca="1" t="array" ref="K1354">MIN(18,_xlfn.XLOOKUP($D1354&amp;"_"&amp;K$52,$B$14:$B$36&amp;"_"&amp;$C$14:$C$36,$D$14:$D$36)*$E1354)</f>
        <v>3.7296</v>
      </c>
      <c r="L1354" s="95" cm="1">
        <f ca="1" t="array" ref="L1354">MIN(6,_xlfn.XLOOKUP($D1354&amp;"_"&amp;L$52,$B$14:$B$36&amp;"_"&amp;$C$14:$C$36,$D$14:$D$36)*$E1354)</f>
        <v>6</v>
      </c>
      <c r="M1354" s="95" cm="1">
        <f ca="1" t="array" ref="M1354">(1+SUMPRODUCT(G1354:H1354,OFFSET($H$40:$I$40,D1354,0)))*(1+OFFSET($J$40,D1354,0))^I1354*(1+OFFSET($K$40,D1354,0))^J1354*(1+OFFSET($L$40,D1354,0))^K1354*(1+OFFSET($M$40,D1354,0))^L1354</f>
        <v>332.415911910604</v>
      </c>
      <c r="N1354" s="95">
        <f ca="1">MAX(MAX($N$53:N1353),OFFSET($C$52,MATCH(M1354*1.07,$M$53:$M$2052,1),0)-C1354)</f>
        <v>70200</v>
      </c>
    </row>
    <row r="1355" spans="2:14">
      <c r="B1355" s="95">
        <v>1303</v>
      </c>
      <c r="C1355" s="95">
        <f t="shared" si="107"/>
        <v>469080</v>
      </c>
      <c r="D1355" s="95">
        <f ca="1">_xlfn.XLOOKUP(总览!$B$44,$B$40:$B$45,$C$40:$C$45)</f>
        <v>5</v>
      </c>
      <c r="E1355" s="95">
        <f ca="1" t="shared" si="110"/>
        <v>1333</v>
      </c>
      <c r="F1355" s="95">
        <f ca="1" t="shared" si="108"/>
        <v>0</v>
      </c>
      <c r="G1355" s="95">
        <f ca="1" t="shared" si="109"/>
        <v>0</v>
      </c>
      <c r="H1355" s="95" cm="1">
        <f ca="1" t="array" ref="H1355">MIN(30-SUM(I1355:L1355),_xlfn.XLOOKUP($D1355&amp;"_"&amp;H$52,$B$14:$B$36&amp;"_"&amp;$C$14:$C$36,$D$14:$D$36)*$E1355,18)</f>
        <v>12.2676</v>
      </c>
      <c r="I1355" s="95" cm="1">
        <f ca="1" t="array" ref="I1355">MIN(30-SUM(J1355:L1355),6-L1355,_xlfn.XLOOKUP($D1355&amp;"_"&amp;I$52,$B$14:$B$36&amp;"_"&amp;$C$14:$C$36,$D$14:$D$36)*$E1355)</f>
        <v>0</v>
      </c>
      <c r="J1355" s="95" cm="1">
        <f ca="1" t="array" ref="J1355">MIN(8,_xlfn.XLOOKUP($D1355&amp;"_"&amp;J$52,$B$14:$B$36&amp;"_"&amp;$C$14:$C$36,$D$14:$D$36)*$E1355)</f>
        <v>8</v>
      </c>
      <c r="K1355" s="95" cm="1">
        <f ca="1" t="array" ref="K1355">MIN(18,_xlfn.XLOOKUP($D1355&amp;"_"&amp;K$52,$B$14:$B$36&amp;"_"&amp;$C$14:$C$36,$D$14:$D$36)*$E1355)</f>
        <v>3.7324</v>
      </c>
      <c r="L1355" s="95" cm="1">
        <f ca="1" t="array" ref="L1355">MIN(6,_xlfn.XLOOKUP($D1355&amp;"_"&amp;L$52,$B$14:$B$36&amp;"_"&amp;$C$14:$C$36,$D$14:$D$36)*$E1355)</f>
        <v>6</v>
      </c>
      <c r="M1355" s="95" cm="1">
        <f ca="1" t="array" ref="M1355">(1+SUMPRODUCT(G1355:H1355,OFFSET($H$40:$I$40,D1355,0)))*(1+OFFSET($J$40,D1355,0))^I1355*(1+OFFSET($K$40,D1355,0))^J1355*(1+OFFSET($L$40,D1355,0))^K1355*(1+OFFSET($M$40,D1355,0))^L1355</f>
        <v>332.531732525832</v>
      </c>
      <c r="N1355" s="95">
        <f ca="1">MAX(MAX($N$53:N1354),OFFSET($C$52,MATCH(M1355*1.07,$M$53:$M$2052,1),0)-C1355)</f>
        <v>70200</v>
      </c>
    </row>
    <row r="1356" spans="2:14">
      <c r="B1356" s="95">
        <v>1304</v>
      </c>
      <c r="C1356" s="95">
        <f t="shared" si="107"/>
        <v>469440</v>
      </c>
      <c r="D1356" s="95">
        <f ca="1">_xlfn.XLOOKUP(总览!$B$44,$B$40:$B$45,$C$40:$C$45)</f>
        <v>5</v>
      </c>
      <c r="E1356" s="95">
        <f ca="1" t="shared" si="110"/>
        <v>1334</v>
      </c>
      <c r="F1356" s="95">
        <f ca="1" t="shared" si="108"/>
        <v>0</v>
      </c>
      <c r="G1356" s="95">
        <f ca="1" t="shared" si="109"/>
        <v>0</v>
      </c>
      <c r="H1356" s="95" cm="1">
        <f ca="1" t="array" ref="H1356">MIN(30-SUM(I1356:L1356),_xlfn.XLOOKUP($D1356&amp;"_"&amp;H$52,$B$14:$B$36&amp;"_"&amp;$C$14:$C$36,$D$14:$D$36)*$E1356,18)</f>
        <v>12.2648</v>
      </c>
      <c r="I1356" s="95" cm="1">
        <f ca="1" t="array" ref="I1356">MIN(30-SUM(J1356:L1356),6-L1356,_xlfn.XLOOKUP($D1356&amp;"_"&amp;I$52,$B$14:$B$36&amp;"_"&amp;$C$14:$C$36,$D$14:$D$36)*$E1356)</f>
        <v>0</v>
      </c>
      <c r="J1356" s="95" cm="1">
        <f ca="1" t="array" ref="J1356">MIN(8,_xlfn.XLOOKUP($D1356&amp;"_"&amp;J$52,$B$14:$B$36&amp;"_"&amp;$C$14:$C$36,$D$14:$D$36)*$E1356)</f>
        <v>8</v>
      </c>
      <c r="K1356" s="95" cm="1">
        <f ca="1" t="array" ref="K1356">MIN(18,_xlfn.XLOOKUP($D1356&amp;"_"&amp;K$52,$B$14:$B$36&amp;"_"&amp;$C$14:$C$36,$D$14:$D$36)*$E1356)</f>
        <v>3.7352</v>
      </c>
      <c r="L1356" s="95" cm="1">
        <f ca="1" t="array" ref="L1356">MIN(6,_xlfn.XLOOKUP($D1356&amp;"_"&amp;L$52,$B$14:$B$36&amp;"_"&amp;$C$14:$C$36,$D$14:$D$36)*$E1356)</f>
        <v>6</v>
      </c>
      <c r="M1356" s="95" cm="1">
        <f ca="1" t="array" ref="M1356">(1+SUMPRODUCT(G1356:H1356,OFFSET($H$40:$I$40,D1356,0)))*(1+OFFSET($J$40,D1356,0))^I1356*(1+OFFSET($K$40,D1356,0))^J1356*(1+OFFSET($L$40,D1356,0))^K1356*(1+OFFSET($M$40,D1356,0))^L1356</f>
        <v>332.647584748826</v>
      </c>
      <c r="N1356" s="95">
        <f ca="1">MAX(MAX($N$53:N1355),OFFSET($C$52,MATCH(M1356*1.07,$M$53:$M$2052,1),0)-C1356)</f>
        <v>70200</v>
      </c>
    </row>
    <row r="1357" spans="2:14">
      <c r="B1357" s="95">
        <v>1305</v>
      </c>
      <c r="C1357" s="95">
        <f t="shared" si="107"/>
        <v>469800</v>
      </c>
      <c r="D1357" s="95">
        <f ca="1">_xlfn.XLOOKUP(总览!$B$44,$B$40:$B$45,$C$40:$C$45)</f>
        <v>5</v>
      </c>
      <c r="E1357" s="95">
        <f ca="1" t="shared" si="110"/>
        <v>1335</v>
      </c>
      <c r="F1357" s="95">
        <f ca="1" t="shared" si="108"/>
        <v>0</v>
      </c>
      <c r="G1357" s="95">
        <f ca="1" t="shared" si="109"/>
        <v>0</v>
      </c>
      <c r="H1357" s="95" cm="1">
        <f ca="1" t="array" ref="H1357">MIN(30-SUM(I1357:L1357),_xlfn.XLOOKUP($D1357&amp;"_"&amp;H$52,$B$14:$B$36&amp;"_"&amp;$C$14:$C$36,$D$14:$D$36)*$E1357,18)</f>
        <v>12.262</v>
      </c>
      <c r="I1357" s="95" cm="1">
        <f ca="1" t="array" ref="I1357">MIN(30-SUM(J1357:L1357),6-L1357,_xlfn.XLOOKUP($D1357&amp;"_"&amp;I$52,$B$14:$B$36&amp;"_"&amp;$C$14:$C$36,$D$14:$D$36)*$E1357)</f>
        <v>0</v>
      </c>
      <c r="J1357" s="95" cm="1">
        <f ca="1" t="array" ref="J1357">MIN(8,_xlfn.XLOOKUP($D1357&amp;"_"&amp;J$52,$B$14:$B$36&amp;"_"&amp;$C$14:$C$36,$D$14:$D$36)*$E1357)</f>
        <v>8</v>
      </c>
      <c r="K1357" s="95" cm="1">
        <f ca="1" t="array" ref="K1357">MIN(18,_xlfn.XLOOKUP($D1357&amp;"_"&amp;K$52,$B$14:$B$36&amp;"_"&amp;$C$14:$C$36,$D$14:$D$36)*$E1357)</f>
        <v>3.738</v>
      </c>
      <c r="L1357" s="95" cm="1">
        <f ca="1" t="array" ref="L1357">MIN(6,_xlfn.XLOOKUP($D1357&amp;"_"&amp;L$52,$B$14:$B$36&amp;"_"&amp;$C$14:$C$36,$D$14:$D$36)*$E1357)</f>
        <v>6</v>
      </c>
      <c r="M1357" s="95" cm="1">
        <f ca="1" t="array" ref="M1357">(1+SUMPRODUCT(G1357:H1357,OFFSET($H$40:$I$40,D1357,0)))*(1+OFFSET($J$40,D1357,0))^I1357*(1+OFFSET($K$40,D1357,0))^J1357*(1+OFFSET($L$40,D1357,0))^K1357*(1+OFFSET($M$40,D1357,0))^L1357</f>
        <v>332.763468581667</v>
      </c>
      <c r="N1357" s="95">
        <f ca="1">MAX(MAX($N$53:N1356),OFFSET($C$52,MATCH(M1357*1.07,$M$53:$M$2052,1),0)-C1357)</f>
        <v>70200</v>
      </c>
    </row>
    <row r="1358" spans="2:14">
      <c r="B1358" s="95">
        <v>1306</v>
      </c>
      <c r="C1358" s="95">
        <f t="shared" si="107"/>
        <v>470160</v>
      </c>
      <c r="D1358" s="95">
        <f ca="1">_xlfn.XLOOKUP(总览!$B$44,$B$40:$B$45,$C$40:$C$45)</f>
        <v>5</v>
      </c>
      <c r="E1358" s="95">
        <f ca="1" t="shared" si="110"/>
        <v>1336</v>
      </c>
      <c r="F1358" s="95">
        <f ca="1" t="shared" si="108"/>
        <v>0</v>
      </c>
      <c r="G1358" s="95">
        <f ca="1" t="shared" si="109"/>
        <v>0</v>
      </c>
      <c r="H1358" s="95" cm="1">
        <f ca="1" t="array" ref="H1358">MIN(30-SUM(I1358:L1358),_xlfn.XLOOKUP($D1358&amp;"_"&amp;H$52,$B$14:$B$36&amp;"_"&amp;$C$14:$C$36,$D$14:$D$36)*$E1358,18)</f>
        <v>12.2592</v>
      </c>
      <c r="I1358" s="95" cm="1">
        <f ca="1" t="array" ref="I1358">MIN(30-SUM(J1358:L1358),6-L1358,_xlfn.XLOOKUP($D1358&amp;"_"&amp;I$52,$B$14:$B$36&amp;"_"&amp;$C$14:$C$36,$D$14:$D$36)*$E1358)</f>
        <v>0</v>
      </c>
      <c r="J1358" s="95" cm="1">
        <f ca="1" t="array" ref="J1358">MIN(8,_xlfn.XLOOKUP($D1358&amp;"_"&amp;J$52,$B$14:$B$36&amp;"_"&amp;$C$14:$C$36,$D$14:$D$36)*$E1358)</f>
        <v>8</v>
      </c>
      <c r="K1358" s="95" cm="1">
        <f ca="1" t="array" ref="K1358">MIN(18,_xlfn.XLOOKUP($D1358&amp;"_"&amp;K$52,$B$14:$B$36&amp;"_"&amp;$C$14:$C$36,$D$14:$D$36)*$E1358)</f>
        <v>3.7408</v>
      </c>
      <c r="L1358" s="95" cm="1">
        <f ca="1" t="array" ref="L1358">MIN(6,_xlfn.XLOOKUP($D1358&amp;"_"&amp;L$52,$B$14:$B$36&amp;"_"&amp;$C$14:$C$36,$D$14:$D$36)*$E1358)</f>
        <v>6</v>
      </c>
      <c r="M1358" s="95" cm="1">
        <f ca="1" t="array" ref="M1358">(1+SUMPRODUCT(G1358:H1358,OFFSET($H$40:$I$40,D1358,0)))*(1+OFFSET($J$40,D1358,0))^I1358*(1+OFFSET($K$40,D1358,0))^J1358*(1+OFFSET($L$40,D1358,0))^K1358*(1+OFFSET($M$40,D1358,0))^L1358</f>
        <v>332.879384026429</v>
      </c>
      <c r="N1358" s="95">
        <f ca="1">MAX(MAX($N$53:N1357),OFFSET($C$52,MATCH(M1358*1.07,$M$53:$M$2052,1),0)-C1358)</f>
        <v>70200</v>
      </c>
    </row>
    <row r="1359" spans="2:14">
      <c r="B1359" s="95">
        <v>1307</v>
      </c>
      <c r="C1359" s="95">
        <f t="shared" si="107"/>
        <v>470520</v>
      </c>
      <c r="D1359" s="95">
        <f ca="1">_xlfn.XLOOKUP(总览!$B$44,$B$40:$B$45,$C$40:$C$45)</f>
        <v>5</v>
      </c>
      <c r="E1359" s="95">
        <f ca="1" t="shared" si="110"/>
        <v>1337</v>
      </c>
      <c r="F1359" s="95">
        <f ca="1" t="shared" si="108"/>
        <v>0</v>
      </c>
      <c r="G1359" s="95">
        <f ca="1" t="shared" si="109"/>
        <v>0</v>
      </c>
      <c r="H1359" s="95" cm="1">
        <f ca="1" t="array" ref="H1359">MIN(30-SUM(I1359:L1359),_xlfn.XLOOKUP($D1359&amp;"_"&amp;H$52,$B$14:$B$36&amp;"_"&amp;$C$14:$C$36,$D$14:$D$36)*$E1359,18)</f>
        <v>12.2564</v>
      </c>
      <c r="I1359" s="95" cm="1">
        <f ca="1" t="array" ref="I1359">MIN(30-SUM(J1359:L1359),6-L1359,_xlfn.XLOOKUP($D1359&amp;"_"&amp;I$52,$B$14:$B$36&amp;"_"&amp;$C$14:$C$36,$D$14:$D$36)*$E1359)</f>
        <v>0</v>
      </c>
      <c r="J1359" s="95" cm="1">
        <f ca="1" t="array" ref="J1359">MIN(8,_xlfn.XLOOKUP($D1359&amp;"_"&amp;J$52,$B$14:$B$36&amp;"_"&amp;$C$14:$C$36,$D$14:$D$36)*$E1359)</f>
        <v>8</v>
      </c>
      <c r="K1359" s="95" cm="1">
        <f ca="1" t="array" ref="K1359">MIN(18,_xlfn.XLOOKUP($D1359&amp;"_"&amp;K$52,$B$14:$B$36&amp;"_"&amp;$C$14:$C$36,$D$14:$D$36)*$E1359)</f>
        <v>3.7436</v>
      </c>
      <c r="L1359" s="95" cm="1">
        <f ca="1" t="array" ref="L1359">MIN(6,_xlfn.XLOOKUP($D1359&amp;"_"&amp;L$52,$B$14:$B$36&amp;"_"&amp;$C$14:$C$36,$D$14:$D$36)*$E1359)</f>
        <v>6</v>
      </c>
      <c r="M1359" s="95" cm="1">
        <f ca="1" t="array" ref="M1359">(1+SUMPRODUCT(G1359:H1359,OFFSET($H$40:$I$40,D1359,0)))*(1+OFFSET($J$40,D1359,0))^I1359*(1+OFFSET($K$40,D1359,0))^J1359*(1+OFFSET($L$40,D1359,0))^K1359*(1+OFFSET($M$40,D1359,0))^L1359</f>
        <v>332.99533108518</v>
      </c>
      <c r="N1359" s="95">
        <f ca="1">MAX(MAX($N$53:N1358),OFFSET($C$52,MATCH(M1359*1.07,$M$53:$M$2052,1),0)-C1359)</f>
        <v>70200</v>
      </c>
    </row>
    <row r="1360" spans="2:14">
      <c r="B1360" s="95">
        <v>1308</v>
      </c>
      <c r="C1360" s="95">
        <f t="shared" si="107"/>
        <v>470880</v>
      </c>
      <c r="D1360" s="95">
        <f ca="1">_xlfn.XLOOKUP(总览!$B$44,$B$40:$B$45,$C$40:$C$45)</f>
        <v>5</v>
      </c>
      <c r="E1360" s="95">
        <f ca="1" t="shared" si="110"/>
        <v>1338</v>
      </c>
      <c r="F1360" s="95">
        <f ca="1" t="shared" si="108"/>
        <v>0</v>
      </c>
      <c r="G1360" s="95">
        <f ca="1" t="shared" si="109"/>
        <v>0</v>
      </c>
      <c r="H1360" s="95" cm="1">
        <f ca="1" t="array" ref="H1360">MIN(30-SUM(I1360:L1360),_xlfn.XLOOKUP($D1360&amp;"_"&amp;H$52,$B$14:$B$36&amp;"_"&amp;$C$14:$C$36,$D$14:$D$36)*$E1360,18)</f>
        <v>12.2536</v>
      </c>
      <c r="I1360" s="95" cm="1">
        <f ca="1" t="array" ref="I1360">MIN(30-SUM(J1360:L1360),6-L1360,_xlfn.XLOOKUP($D1360&amp;"_"&amp;I$52,$B$14:$B$36&amp;"_"&amp;$C$14:$C$36,$D$14:$D$36)*$E1360)</f>
        <v>0</v>
      </c>
      <c r="J1360" s="95" cm="1">
        <f ca="1" t="array" ref="J1360">MIN(8,_xlfn.XLOOKUP($D1360&amp;"_"&amp;J$52,$B$14:$B$36&amp;"_"&amp;$C$14:$C$36,$D$14:$D$36)*$E1360)</f>
        <v>8</v>
      </c>
      <c r="K1360" s="95" cm="1">
        <f ca="1" t="array" ref="K1360">MIN(18,_xlfn.XLOOKUP($D1360&amp;"_"&amp;K$52,$B$14:$B$36&amp;"_"&amp;$C$14:$C$36,$D$14:$D$36)*$E1360)</f>
        <v>3.7464</v>
      </c>
      <c r="L1360" s="95" cm="1">
        <f ca="1" t="array" ref="L1360">MIN(6,_xlfn.XLOOKUP($D1360&amp;"_"&amp;L$52,$B$14:$B$36&amp;"_"&amp;$C$14:$C$36,$D$14:$D$36)*$E1360)</f>
        <v>6</v>
      </c>
      <c r="M1360" s="95" cm="1">
        <f ca="1" t="array" ref="M1360">(1+SUMPRODUCT(G1360:H1360,OFFSET($H$40:$I$40,D1360,0)))*(1+OFFSET($J$40,D1360,0))^I1360*(1+OFFSET($K$40,D1360,0))^J1360*(1+OFFSET($L$40,D1360,0))^K1360*(1+OFFSET($M$40,D1360,0))^L1360</f>
        <v>333.111309759981</v>
      </c>
      <c r="N1360" s="95">
        <f ca="1">MAX(MAX($N$53:N1359),OFFSET($C$52,MATCH(M1360*1.07,$M$53:$M$2052,1),0)-C1360)</f>
        <v>70200</v>
      </c>
    </row>
    <row r="1361" spans="2:14">
      <c r="B1361" s="95">
        <v>1309</v>
      </c>
      <c r="C1361" s="95">
        <f t="shared" si="107"/>
        <v>471240</v>
      </c>
      <c r="D1361" s="95">
        <f ca="1">_xlfn.XLOOKUP(总览!$B$44,$B$40:$B$45,$C$40:$C$45)</f>
        <v>5</v>
      </c>
      <c r="E1361" s="95">
        <f ca="1" t="shared" si="110"/>
        <v>1339</v>
      </c>
      <c r="F1361" s="95">
        <f ca="1" t="shared" si="108"/>
        <v>0</v>
      </c>
      <c r="G1361" s="95">
        <f ca="1" t="shared" si="109"/>
        <v>0</v>
      </c>
      <c r="H1361" s="95" cm="1">
        <f ca="1" t="array" ref="H1361">MIN(30-SUM(I1361:L1361),_xlfn.XLOOKUP($D1361&amp;"_"&amp;H$52,$B$14:$B$36&amp;"_"&amp;$C$14:$C$36,$D$14:$D$36)*$E1361,18)</f>
        <v>12.2508</v>
      </c>
      <c r="I1361" s="95" cm="1">
        <f ca="1" t="array" ref="I1361">MIN(30-SUM(J1361:L1361),6-L1361,_xlfn.XLOOKUP($D1361&amp;"_"&amp;I$52,$B$14:$B$36&amp;"_"&amp;$C$14:$C$36,$D$14:$D$36)*$E1361)</f>
        <v>0</v>
      </c>
      <c r="J1361" s="95" cm="1">
        <f ca="1" t="array" ref="J1361">MIN(8,_xlfn.XLOOKUP($D1361&amp;"_"&amp;J$52,$B$14:$B$36&amp;"_"&amp;$C$14:$C$36,$D$14:$D$36)*$E1361)</f>
        <v>8</v>
      </c>
      <c r="K1361" s="95" cm="1">
        <f ca="1" t="array" ref="K1361">MIN(18,_xlfn.XLOOKUP($D1361&amp;"_"&amp;K$52,$B$14:$B$36&amp;"_"&amp;$C$14:$C$36,$D$14:$D$36)*$E1361)</f>
        <v>3.7492</v>
      </c>
      <c r="L1361" s="95" cm="1">
        <f ca="1" t="array" ref="L1361">MIN(6,_xlfn.XLOOKUP($D1361&amp;"_"&amp;L$52,$B$14:$B$36&amp;"_"&amp;$C$14:$C$36,$D$14:$D$36)*$E1361)</f>
        <v>6</v>
      </c>
      <c r="M1361" s="95" cm="1">
        <f ca="1" t="array" ref="M1361">(1+SUMPRODUCT(G1361:H1361,OFFSET($H$40:$I$40,D1361,0)))*(1+OFFSET($J$40,D1361,0))^I1361*(1+OFFSET($K$40,D1361,0))^J1361*(1+OFFSET($L$40,D1361,0))^K1361*(1+OFFSET($M$40,D1361,0))^L1361</f>
        <v>333.227320052889</v>
      </c>
      <c r="N1361" s="95">
        <f ca="1">MAX(MAX($N$53:N1360),OFFSET($C$52,MATCH(M1361*1.07,$M$53:$M$2052,1),0)-C1361)</f>
        <v>70200</v>
      </c>
    </row>
    <row r="1362" spans="2:14">
      <c r="B1362" s="95">
        <v>1310</v>
      </c>
      <c r="C1362" s="95">
        <f t="shared" si="107"/>
        <v>471600</v>
      </c>
      <c r="D1362" s="95">
        <f ca="1">_xlfn.XLOOKUP(总览!$B$44,$B$40:$B$45,$C$40:$C$45)</f>
        <v>5</v>
      </c>
      <c r="E1362" s="95">
        <f ca="1" t="shared" si="110"/>
        <v>1340</v>
      </c>
      <c r="F1362" s="95">
        <f ca="1" t="shared" si="108"/>
        <v>0</v>
      </c>
      <c r="G1362" s="95">
        <f ca="1" t="shared" si="109"/>
        <v>0</v>
      </c>
      <c r="H1362" s="95" cm="1">
        <f ca="1" t="array" ref="H1362">MIN(30-SUM(I1362:L1362),_xlfn.XLOOKUP($D1362&amp;"_"&amp;H$52,$B$14:$B$36&amp;"_"&amp;$C$14:$C$36,$D$14:$D$36)*$E1362,18)</f>
        <v>12.248</v>
      </c>
      <c r="I1362" s="95" cm="1">
        <f ca="1" t="array" ref="I1362">MIN(30-SUM(J1362:L1362),6-L1362,_xlfn.XLOOKUP($D1362&amp;"_"&amp;I$52,$B$14:$B$36&amp;"_"&amp;$C$14:$C$36,$D$14:$D$36)*$E1362)</f>
        <v>0</v>
      </c>
      <c r="J1362" s="95" cm="1">
        <f ca="1" t="array" ref="J1362">MIN(8,_xlfn.XLOOKUP($D1362&amp;"_"&amp;J$52,$B$14:$B$36&amp;"_"&amp;$C$14:$C$36,$D$14:$D$36)*$E1362)</f>
        <v>8</v>
      </c>
      <c r="K1362" s="95" cm="1">
        <f ca="1" t="array" ref="K1362">MIN(18,_xlfn.XLOOKUP($D1362&amp;"_"&amp;K$52,$B$14:$B$36&amp;"_"&amp;$C$14:$C$36,$D$14:$D$36)*$E1362)</f>
        <v>3.752</v>
      </c>
      <c r="L1362" s="95" cm="1">
        <f ca="1" t="array" ref="L1362">MIN(6,_xlfn.XLOOKUP($D1362&amp;"_"&amp;L$52,$B$14:$B$36&amp;"_"&amp;$C$14:$C$36,$D$14:$D$36)*$E1362)</f>
        <v>6</v>
      </c>
      <c r="M1362" s="95" cm="1">
        <f ca="1" t="array" ref="M1362">(1+SUMPRODUCT(G1362:H1362,OFFSET($H$40:$I$40,D1362,0)))*(1+OFFSET($J$40,D1362,0))^I1362*(1+OFFSET($K$40,D1362,0))^J1362*(1+OFFSET($L$40,D1362,0))^K1362*(1+OFFSET($M$40,D1362,0))^L1362</f>
        <v>333.343361965954</v>
      </c>
      <c r="N1362" s="95">
        <f ca="1">MAX(MAX($N$53:N1361),OFFSET($C$52,MATCH(M1362*1.07,$M$53:$M$2052,1),0)-C1362)</f>
        <v>70200</v>
      </c>
    </row>
    <row r="1363" spans="2:14">
      <c r="B1363" s="95">
        <v>1311</v>
      </c>
      <c r="C1363" s="95">
        <f t="shared" si="107"/>
        <v>471960</v>
      </c>
      <c r="D1363" s="95">
        <f ca="1">_xlfn.XLOOKUP(总览!$B$44,$B$40:$B$45,$C$40:$C$45)</f>
        <v>5</v>
      </c>
      <c r="E1363" s="95">
        <f ca="1" t="shared" si="110"/>
        <v>1341</v>
      </c>
      <c r="F1363" s="95">
        <f ca="1" t="shared" si="108"/>
        <v>0</v>
      </c>
      <c r="G1363" s="95">
        <f ca="1" t="shared" si="109"/>
        <v>0</v>
      </c>
      <c r="H1363" s="95" cm="1">
        <f ca="1" t="array" ref="H1363">MIN(30-SUM(I1363:L1363),_xlfn.XLOOKUP($D1363&amp;"_"&amp;H$52,$B$14:$B$36&amp;"_"&amp;$C$14:$C$36,$D$14:$D$36)*$E1363,18)</f>
        <v>12.2452</v>
      </c>
      <c r="I1363" s="95" cm="1">
        <f ca="1" t="array" ref="I1363">MIN(30-SUM(J1363:L1363),6-L1363,_xlfn.XLOOKUP($D1363&amp;"_"&amp;I$52,$B$14:$B$36&amp;"_"&amp;$C$14:$C$36,$D$14:$D$36)*$E1363)</f>
        <v>0</v>
      </c>
      <c r="J1363" s="95" cm="1">
        <f ca="1" t="array" ref="J1363">MIN(8,_xlfn.XLOOKUP($D1363&amp;"_"&amp;J$52,$B$14:$B$36&amp;"_"&amp;$C$14:$C$36,$D$14:$D$36)*$E1363)</f>
        <v>8</v>
      </c>
      <c r="K1363" s="95" cm="1">
        <f ca="1" t="array" ref="K1363">MIN(18,_xlfn.XLOOKUP($D1363&amp;"_"&amp;K$52,$B$14:$B$36&amp;"_"&amp;$C$14:$C$36,$D$14:$D$36)*$E1363)</f>
        <v>3.7548</v>
      </c>
      <c r="L1363" s="95" cm="1">
        <f ca="1" t="array" ref="L1363">MIN(6,_xlfn.XLOOKUP($D1363&amp;"_"&amp;L$52,$B$14:$B$36&amp;"_"&amp;$C$14:$C$36,$D$14:$D$36)*$E1363)</f>
        <v>6</v>
      </c>
      <c r="M1363" s="95" cm="1">
        <f ca="1" t="array" ref="M1363">(1+SUMPRODUCT(G1363:H1363,OFFSET($H$40:$I$40,D1363,0)))*(1+OFFSET($J$40,D1363,0))^I1363*(1+OFFSET($K$40,D1363,0))^J1363*(1+OFFSET($L$40,D1363,0))^K1363*(1+OFFSET($M$40,D1363,0))^L1363</f>
        <v>333.459435501218</v>
      </c>
      <c r="N1363" s="95">
        <f ca="1">MAX(MAX($N$53:N1362),OFFSET($C$52,MATCH(M1363*1.07,$M$53:$M$2052,1),0)-C1363)</f>
        <v>70200</v>
      </c>
    </row>
    <row r="1364" spans="2:14">
      <c r="B1364" s="95">
        <v>1312</v>
      </c>
      <c r="C1364" s="95">
        <f t="shared" si="107"/>
        <v>472320</v>
      </c>
      <c r="D1364" s="95">
        <f ca="1">_xlfn.XLOOKUP(总览!$B$44,$B$40:$B$45,$C$40:$C$45)</f>
        <v>5</v>
      </c>
      <c r="E1364" s="95">
        <f ca="1" t="shared" si="110"/>
        <v>1342</v>
      </c>
      <c r="F1364" s="95">
        <f ca="1" t="shared" si="108"/>
        <v>0</v>
      </c>
      <c r="G1364" s="95">
        <f ca="1" t="shared" si="109"/>
        <v>0</v>
      </c>
      <c r="H1364" s="95" cm="1">
        <f ca="1" t="array" ref="H1364">MIN(30-SUM(I1364:L1364),_xlfn.XLOOKUP($D1364&amp;"_"&amp;H$52,$B$14:$B$36&amp;"_"&amp;$C$14:$C$36,$D$14:$D$36)*$E1364,18)</f>
        <v>12.2424</v>
      </c>
      <c r="I1364" s="95" cm="1">
        <f ca="1" t="array" ref="I1364">MIN(30-SUM(J1364:L1364),6-L1364,_xlfn.XLOOKUP($D1364&amp;"_"&amp;I$52,$B$14:$B$36&amp;"_"&amp;$C$14:$C$36,$D$14:$D$36)*$E1364)</f>
        <v>0</v>
      </c>
      <c r="J1364" s="95" cm="1">
        <f ca="1" t="array" ref="J1364">MIN(8,_xlfn.XLOOKUP($D1364&amp;"_"&amp;J$52,$B$14:$B$36&amp;"_"&amp;$C$14:$C$36,$D$14:$D$36)*$E1364)</f>
        <v>8</v>
      </c>
      <c r="K1364" s="95" cm="1">
        <f ca="1" t="array" ref="K1364">MIN(18,_xlfn.XLOOKUP($D1364&amp;"_"&amp;K$52,$B$14:$B$36&amp;"_"&amp;$C$14:$C$36,$D$14:$D$36)*$E1364)</f>
        <v>3.7576</v>
      </c>
      <c r="L1364" s="95" cm="1">
        <f ca="1" t="array" ref="L1364">MIN(6,_xlfn.XLOOKUP($D1364&amp;"_"&amp;L$52,$B$14:$B$36&amp;"_"&amp;$C$14:$C$36,$D$14:$D$36)*$E1364)</f>
        <v>6</v>
      </c>
      <c r="M1364" s="95" cm="1">
        <f ca="1" t="array" ref="M1364">(1+SUMPRODUCT(G1364:H1364,OFFSET($H$40:$I$40,D1364,0)))*(1+OFFSET($J$40,D1364,0))^I1364*(1+OFFSET($K$40,D1364,0))^J1364*(1+OFFSET($L$40,D1364,0))^K1364*(1+OFFSET($M$40,D1364,0))^L1364</f>
        <v>333.575540660719</v>
      </c>
      <c r="N1364" s="95">
        <f ca="1">MAX(MAX($N$53:N1363),OFFSET($C$52,MATCH(M1364*1.07,$M$53:$M$2052,1),0)-C1364)</f>
        <v>70200</v>
      </c>
    </row>
    <row r="1365" spans="2:14">
      <c r="B1365" s="95">
        <v>1313</v>
      </c>
      <c r="C1365" s="95">
        <f t="shared" si="107"/>
        <v>472680</v>
      </c>
      <c r="D1365" s="95">
        <f ca="1">_xlfn.XLOOKUP(总览!$B$44,$B$40:$B$45,$C$40:$C$45)</f>
        <v>5</v>
      </c>
      <c r="E1365" s="95">
        <f ca="1" t="shared" si="110"/>
        <v>1343</v>
      </c>
      <c r="F1365" s="95">
        <f ca="1" t="shared" si="108"/>
        <v>0</v>
      </c>
      <c r="G1365" s="95">
        <f ca="1" t="shared" si="109"/>
        <v>0</v>
      </c>
      <c r="H1365" s="95" cm="1">
        <f ca="1" t="array" ref="H1365">MIN(30-SUM(I1365:L1365),_xlfn.XLOOKUP($D1365&amp;"_"&amp;H$52,$B$14:$B$36&amp;"_"&amp;$C$14:$C$36,$D$14:$D$36)*$E1365,18)</f>
        <v>12.2396</v>
      </c>
      <c r="I1365" s="95" cm="1">
        <f ca="1" t="array" ref="I1365">MIN(30-SUM(J1365:L1365),6-L1365,_xlfn.XLOOKUP($D1365&amp;"_"&amp;I$52,$B$14:$B$36&amp;"_"&amp;$C$14:$C$36,$D$14:$D$36)*$E1365)</f>
        <v>0</v>
      </c>
      <c r="J1365" s="95" cm="1">
        <f ca="1" t="array" ref="J1365">MIN(8,_xlfn.XLOOKUP($D1365&amp;"_"&amp;J$52,$B$14:$B$36&amp;"_"&amp;$C$14:$C$36,$D$14:$D$36)*$E1365)</f>
        <v>8</v>
      </c>
      <c r="K1365" s="95" cm="1">
        <f ca="1" t="array" ref="K1365">MIN(18,_xlfn.XLOOKUP($D1365&amp;"_"&amp;K$52,$B$14:$B$36&amp;"_"&amp;$C$14:$C$36,$D$14:$D$36)*$E1365)</f>
        <v>3.7604</v>
      </c>
      <c r="L1365" s="95" cm="1">
        <f ca="1" t="array" ref="L1365">MIN(6,_xlfn.XLOOKUP($D1365&amp;"_"&amp;L$52,$B$14:$B$36&amp;"_"&amp;$C$14:$C$36,$D$14:$D$36)*$E1365)</f>
        <v>6</v>
      </c>
      <c r="M1365" s="95" cm="1">
        <f ca="1" t="array" ref="M1365">(1+SUMPRODUCT(G1365:H1365,OFFSET($H$40:$I$40,D1365,0)))*(1+OFFSET($J$40,D1365,0))^I1365*(1+OFFSET($K$40,D1365,0))^J1365*(1+OFFSET($L$40,D1365,0))^K1365*(1+OFFSET($M$40,D1365,0))^L1365</f>
        <v>333.691677446489</v>
      </c>
      <c r="N1365" s="95">
        <f ca="1">MAX(MAX($N$53:N1364),OFFSET($C$52,MATCH(M1365*1.07,$M$53:$M$2052,1),0)-C1365)</f>
        <v>70200</v>
      </c>
    </row>
    <row r="1366" spans="2:14">
      <c r="B1366" s="95">
        <v>1314</v>
      </c>
      <c r="C1366" s="95">
        <f t="shared" si="107"/>
        <v>473040</v>
      </c>
      <c r="D1366" s="95">
        <f ca="1">_xlfn.XLOOKUP(总览!$B$44,$B$40:$B$45,$C$40:$C$45)</f>
        <v>5</v>
      </c>
      <c r="E1366" s="95">
        <f ca="1" t="shared" si="110"/>
        <v>1344</v>
      </c>
      <c r="F1366" s="95">
        <f ca="1" t="shared" si="108"/>
        <v>0</v>
      </c>
      <c r="G1366" s="95">
        <f ca="1" t="shared" si="109"/>
        <v>0</v>
      </c>
      <c r="H1366" s="95" cm="1">
        <f ca="1" t="array" ref="H1366">MIN(30-SUM(I1366:L1366),_xlfn.XLOOKUP($D1366&amp;"_"&amp;H$52,$B$14:$B$36&amp;"_"&amp;$C$14:$C$36,$D$14:$D$36)*$E1366,18)</f>
        <v>12.2368</v>
      </c>
      <c r="I1366" s="95" cm="1">
        <f ca="1" t="array" ref="I1366">MIN(30-SUM(J1366:L1366),6-L1366,_xlfn.XLOOKUP($D1366&amp;"_"&amp;I$52,$B$14:$B$36&amp;"_"&amp;$C$14:$C$36,$D$14:$D$36)*$E1366)</f>
        <v>0</v>
      </c>
      <c r="J1366" s="95" cm="1">
        <f ca="1" t="array" ref="J1366">MIN(8,_xlfn.XLOOKUP($D1366&amp;"_"&amp;J$52,$B$14:$B$36&amp;"_"&amp;$C$14:$C$36,$D$14:$D$36)*$E1366)</f>
        <v>8</v>
      </c>
      <c r="K1366" s="95" cm="1">
        <f ca="1" t="array" ref="K1366">MIN(18,_xlfn.XLOOKUP($D1366&amp;"_"&amp;K$52,$B$14:$B$36&amp;"_"&amp;$C$14:$C$36,$D$14:$D$36)*$E1366)</f>
        <v>3.7632</v>
      </c>
      <c r="L1366" s="95" cm="1">
        <f ca="1" t="array" ref="L1366">MIN(6,_xlfn.XLOOKUP($D1366&amp;"_"&amp;L$52,$B$14:$B$36&amp;"_"&amp;$C$14:$C$36,$D$14:$D$36)*$E1366)</f>
        <v>6</v>
      </c>
      <c r="M1366" s="95" cm="1">
        <f ca="1" t="array" ref="M1366">(1+SUMPRODUCT(G1366:H1366,OFFSET($H$40:$I$40,D1366,0)))*(1+OFFSET($J$40,D1366,0))^I1366*(1+OFFSET($K$40,D1366,0))^J1366*(1+OFFSET($L$40,D1366,0))^K1366*(1+OFFSET($M$40,D1366,0))^L1366</f>
        <v>333.807845860552</v>
      </c>
      <c r="N1366" s="95">
        <f ca="1">MAX(MAX($N$53:N1365),OFFSET($C$52,MATCH(M1366*1.07,$M$53:$M$2052,1),0)-C1366)</f>
        <v>70200</v>
      </c>
    </row>
    <row r="1367" spans="2:14">
      <c r="B1367" s="95">
        <v>1315</v>
      </c>
      <c r="C1367" s="95">
        <f t="shared" si="107"/>
        <v>473400</v>
      </c>
      <c r="D1367" s="95">
        <f ca="1">_xlfn.XLOOKUP(总览!$B$44,$B$40:$B$45,$C$40:$C$45)</f>
        <v>5</v>
      </c>
      <c r="E1367" s="95">
        <f ca="1" t="shared" si="110"/>
        <v>1345</v>
      </c>
      <c r="F1367" s="95">
        <f ca="1" t="shared" si="108"/>
        <v>0</v>
      </c>
      <c r="G1367" s="95">
        <f ca="1" t="shared" si="109"/>
        <v>0</v>
      </c>
      <c r="H1367" s="95" cm="1">
        <f ca="1" t="array" ref="H1367">MIN(30-SUM(I1367:L1367),_xlfn.XLOOKUP($D1367&amp;"_"&amp;H$52,$B$14:$B$36&amp;"_"&amp;$C$14:$C$36,$D$14:$D$36)*$E1367,18)</f>
        <v>12.234</v>
      </c>
      <c r="I1367" s="95" cm="1">
        <f ca="1" t="array" ref="I1367">MIN(30-SUM(J1367:L1367),6-L1367,_xlfn.XLOOKUP($D1367&amp;"_"&amp;I$52,$B$14:$B$36&amp;"_"&amp;$C$14:$C$36,$D$14:$D$36)*$E1367)</f>
        <v>0</v>
      </c>
      <c r="J1367" s="95" cm="1">
        <f ca="1" t="array" ref="J1367">MIN(8,_xlfn.XLOOKUP($D1367&amp;"_"&amp;J$52,$B$14:$B$36&amp;"_"&amp;$C$14:$C$36,$D$14:$D$36)*$E1367)</f>
        <v>8</v>
      </c>
      <c r="K1367" s="95" cm="1">
        <f ca="1" t="array" ref="K1367">MIN(18,_xlfn.XLOOKUP($D1367&amp;"_"&amp;K$52,$B$14:$B$36&amp;"_"&amp;$C$14:$C$36,$D$14:$D$36)*$E1367)</f>
        <v>3.766</v>
      </c>
      <c r="L1367" s="95" cm="1">
        <f ca="1" t="array" ref="L1367">MIN(6,_xlfn.XLOOKUP($D1367&amp;"_"&amp;L$52,$B$14:$B$36&amp;"_"&amp;$C$14:$C$36,$D$14:$D$36)*$E1367)</f>
        <v>6</v>
      </c>
      <c r="M1367" s="95" cm="1">
        <f ca="1" t="array" ref="M1367">(1+SUMPRODUCT(G1367:H1367,OFFSET($H$40:$I$40,D1367,0)))*(1+OFFSET($J$40,D1367,0))^I1367*(1+OFFSET($K$40,D1367,0))^J1367*(1+OFFSET($L$40,D1367,0))^K1367*(1+OFFSET($M$40,D1367,0))^L1367</f>
        <v>333.924045904927</v>
      </c>
      <c r="N1367" s="95">
        <f ca="1">MAX(MAX($N$53:N1366),OFFSET($C$52,MATCH(M1367*1.07,$M$53:$M$2052,1),0)-C1367)</f>
        <v>70200</v>
      </c>
    </row>
    <row r="1368" spans="2:14">
      <c r="B1368" s="95">
        <v>1316</v>
      </c>
      <c r="C1368" s="95">
        <f t="shared" si="107"/>
        <v>473760</v>
      </c>
      <c r="D1368" s="95">
        <f ca="1">_xlfn.XLOOKUP(总览!$B$44,$B$40:$B$45,$C$40:$C$45)</f>
        <v>5</v>
      </c>
      <c r="E1368" s="95">
        <f ca="1" t="shared" si="110"/>
        <v>1346</v>
      </c>
      <c r="F1368" s="95">
        <f ca="1" t="shared" si="108"/>
        <v>0</v>
      </c>
      <c r="G1368" s="95">
        <f ca="1" t="shared" si="109"/>
        <v>0</v>
      </c>
      <c r="H1368" s="95" cm="1">
        <f ca="1" t="array" ref="H1368">MIN(30-SUM(I1368:L1368),_xlfn.XLOOKUP($D1368&amp;"_"&amp;H$52,$B$14:$B$36&amp;"_"&amp;$C$14:$C$36,$D$14:$D$36)*$E1368,18)</f>
        <v>12.2312</v>
      </c>
      <c r="I1368" s="95" cm="1">
        <f ca="1" t="array" ref="I1368">MIN(30-SUM(J1368:L1368),6-L1368,_xlfn.XLOOKUP($D1368&amp;"_"&amp;I$52,$B$14:$B$36&amp;"_"&amp;$C$14:$C$36,$D$14:$D$36)*$E1368)</f>
        <v>0</v>
      </c>
      <c r="J1368" s="95" cm="1">
        <f ca="1" t="array" ref="J1368">MIN(8,_xlfn.XLOOKUP($D1368&amp;"_"&amp;J$52,$B$14:$B$36&amp;"_"&amp;$C$14:$C$36,$D$14:$D$36)*$E1368)</f>
        <v>8</v>
      </c>
      <c r="K1368" s="95" cm="1">
        <f ca="1" t="array" ref="K1368">MIN(18,_xlfn.XLOOKUP($D1368&amp;"_"&amp;K$52,$B$14:$B$36&amp;"_"&amp;$C$14:$C$36,$D$14:$D$36)*$E1368)</f>
        <v>3.7688</v>
      </c>
      <c r="L1368" s="95" cm="1">
        <f ca="1" t="array" ref="L1368">MIN(6,_xlfn.XLOOKUP($D1368&amp;"_"&amp;L$52,$B$14:$B$36&amp;"_"&amp;$C$14:$C$36,$D$14:$D$36)*$E1368)</f>
        <v>6</v>
      </c>
      <c r="M1368" s="95" cm="1">
        <f ca="1" t="array" ref="M1368">(1+SUMPRODUCT(G1368:H1368,OFFSET($H$40:$I$40,D1368,0)))*(1+OFFSET($J$40,D1368,0))^I1368*(1+OFFSET($K$40,D1368,0))^J1368*(1+OFFSET($L$40,D1368,0))^K1368*(1+OFFSET($M$40,D1368,0))^L1368</f>
        <v>334.040277581626</v>
      </c>
      <c r="N1368" s="95">
        <f ca="1">MAX(MAX($N$53:N1367),OFFSET($C$52,MATCH(M1368*1.07,$M$53:$M$2052,1),0)-C1368)</f>
        <v>70200</v>
      </c>
    </row>
    <row r="1369" spans="2:14">
      <c r="B1369" s="95">
        <v>1317</v>
      </c>
      <c r="C1369" s="95">
        <f t="shared" si="107"/>
        <v>474120</v>
      </c>
      <c r="D1369" s="95">
        <f ca="1">_xlfn.XLOOKUP(总览!$B$44,$B$40:$B$45,$C$40:$C$45)</f>
        <v>5</v>
      </c>
      <c r="E1369" s="95">
        <f ca="1" t="shared" si="110"/>
        <v>1347</v>
      </c>
      <c r="F1369" s="95">
        <f ca="1" t="shared" si="108"/>
        <v>0</v>
      </c>
      <c r="G1369" s="95">
        <f ca="1" t="shared" si="109"/>
        <v>0</v>
      </c>
      <c r="H1369" s="95" cm="1">
        <f ca="1" t="array" ref="H1369">MIN(30-SUM(I1369:L1369),_xlfn.XLOOKUP($D1369&amp;"_"&amp;H$52,$B$14:$B$36&amp;"_"&amp;$C$14:$C$36,$D$14:$D$36)*$E1369,18)</f>
        <v>12.2284</v>
      </c>
      <c r="I1369" s="95" cm="1">
        <f ca="1" t="array" ref="I1369">MIN(30-SUM(J1369:L1369),6-L1369,_xlfn.XLOOKUP($D1369&amp;"_"&amp;I$52,$B$14:$B$36&amp;"_"&amp;$C$14:$C$36,$D$14:$D$36)*$E1369)</f>
        <v>0</v>
      </c>
      <c r="J1369" s="95" cm="1">
        <f ca="1" t="array" ref="J1369">MIN(8,_xlfn.XLOOKUP($D1369&amp;"_"&amp;J$52,$B$14:$B$36&amp;"_"&amp;$C$14:$C$36,$D$14:$D$36)*$E1369)</f>
        <v>8</v>
      </c>
      <c r="K1369" s="95" cm="1">
        <f ca="1" t="array" ref="K1369">MIN(18,_xlfn.XLOOKUP($D1369&amp;"_"&amp;K$52,$B$14:$B$36&amp;"_"&amp;$C$14:$C$36,$D$14:$D$36)*$E1369)</f>
        <v>3.7716</v>
      </c>
      <c r="L1369" s="95" cm="1">
        <f ca="1" t="array" ref="L1369">MIN(6,_xlfn.XLOOKUP($D1369&amp;"_"&amp;L$52,$B$14:$B$36&amp;"_"&amp;$C$14:$C$36,$D$14:$D$36)*$E1369)</f>
        <v>6</v>
      </c>
      <c r="M1369" s="95" cm="1">
        <f ca="1" t="array" ref="M1369">(1+SUMPRODUCT(G1369:H1369,OFFSET($H$40:$I$40,D1369,0)))*(1+OFFSET($J$40,D1369,0))^I1369*(1+OFFSET($K$40,D1369,0))^J1369*(1+OFFSET($L$40,D1369,0))^K1369*(1+OFFSET($M$40,D1369,0))^L1369</f>
        <v>334.156540892657</v>
      </c>
      <c r="N1369" s="95">
        <f ca="1">MAX(MAX($N$53:N1368),OFFSET($C$52,MATCH(M1369*1.07,$M$53:$M$2052,1),0)-C1369)</f>
        <v>70200</v>
      </c>
    </row>
    <row r="1370" spans="2:14">
      <c r="B1370" s="95">
        <v>1318</v>
      </c>
      <c r="C1370" s="95">
        <f t="shared" si="107"/>
        <v>474480</v>
      </c>
      <c r="D1370" s="95">
        <f ca="1">_xlfn.XLOOKUP(总览!$B$44,$B$40:$B$45,$C$40:$C$45)</f>
        <v>5</v>
      </c>
      <c r="E1370" s="95">
        <f ca="1" t="shared" si="110"/>
        <v>1348</v>
      </c>
      <c r="F1370" s="95">
        <f ca="1" t="shared" si="108"/>
        <v>0</v>
      </c>
      <c r="G1370" s="95">
        <f ca="1" t="shared" si="109"/>
        <v>0</v>
      </c>
      <c r="H1370" s="95" cm="1">
        <f ca="1" t="array" ref="H1370">MIN(30-SUM(I1370:L1370),_xlfn.XLOOKUP($D1370&amp;"_"&amp;H$52,$B$14:$B$36&amp;"_"&amp;$C$14:$C$36,$D$14:$D$36)*$E1370,18)</f>
        <v>12.2256</v>
      </c>
      <c r="I1370" s="95" cm="1">
        <f ca="1" t="array" ref="I1370">MIN(30-SUM(J1370:L1370),6-L1370,_xlfn.XLOOKUP($D1370&amp;"_"&amp;I$52,$B$14:$B$36&amp;"_"&amp;$C$14:$C$36,$D$14:$D$36)*$E1370)</f>
        <v>0</v>
      </c>
      <c r="J1370" s="95" cm="1">
        <f ca="1" t="array" ref="J1370">MIN(8,_xlfn.XLOOKUP($D1370&amp;"_"&amp;J$52,$B$14:$B$36&amp;"_"&amp;$C$14:$C$36,$D$14:$D$36)*$E1370)</f>
        <v>8</v>
      </c>
      <c r="K1370" s="95" cm="1">
        <f ca="1" t="array" ref="K1370">MIN(18,_xlfn.XLOOKUP($D1370&amp;"_"&amp;K$52,$B$14:$B$36&amp;"_"&amp;$C$14:$C$36,$D$14:$D$36)*$E1370)</f>
        <v>3.7744</v>
      </c>
      <c r="L1370" s="95" cm="1">
        <f ca="1" t="array" ref="L1370">MIN(6,_xlfn.XLOOKUP($D1370&amp;"_"&amp;L$52,$B$14:$B$36&amp;"_"&amp;$C$14:$C$36,$D$14:$D$36)*$E1370)</f>
        <v>6</v>
      </c>
      <c r="M1370" s="95" cm="1">
        <f ca="1" t="array" ref="M1370">(1+SUMPRODUCT(G1370:H1370,OFFSET($H$40:$I$40,D1370,0)))*(1+OFFSET($J$40,D1370,0))^I1370*(1+OFFSET($K$40,D1370,0))^J1370*(1+OFFSET($L$40,D1370,0))^K1370*(1+OFFSET($M$40,D1370,0))^L1370</f>
        <v>334.272835840019</v>
      </c>
      <c r="N1370" s="95">
        <f ca="1">MAX(MAX($N$53:N1369),OFFSET($C$52,MATCH(M1370*1.07,$M$53:$M$2052,1),0)-C1370)</f>
        <v>70200</v>
      </c>
    </row>
    <row r="1371" spans="2:14">
      <c r="B1371" s="95">
        <v>1319</v>
      </c>
      <c r="C1371" s="95">
        <f t="shared" si="107"/>
        <v>474840</v>
      </c>
      <c r="D1371" s="95">
        <f ca="1">_xlfn.XLOOKUP(总览!$B$44,$B$40:$B$45,$C$40:$C$45)</f>
        <v>5</v>
      </c>
      <c r="E1371" s="95">
        <f ca="1" t="shared" si="110"/>
        <v>1349</v>
      </c>
      <c r="F1371" s="95">
        <f ca="1" t="shared" si="108"/>
        <v>0</v>
      </c>
      <c r="G1371" s="95">
        <f ca="1" t="shared" si="109"/>
        <v>0</v>
      </c>
      <c r="H1371" s="95" cm="1">
        <f ca="1" t="array" ref="H1371">MIN(30-SUM(I1371:L1371),_xlfn.XLOOKUP($D1371&amp;"_"&amp;H$52,$B$14:$B$36&amp;"_"&amp;$C$14:$C$36,$D$14:$D$36)*$E1371,18)</f>
        <v>12.2228</v>
      </c>
      <c r="I1371" s="95" cm="1">
        <f ca="1" t="array" ref="I1371">MIN(30-SUM(J1371:L1371),6-L1371,_xlfn.XLOOKUP($D1371&amp;"_"&amp;I$52,$B$14:$B$36&amp;"_"&amp;$C$14:$C$36,$D$14:$D$36)*$E1371)</f>
        <v>0</v>
      </c>
      <c r="J1371" s="95" cm="1">
        <f ca="1" t="array" ref="J1371">MIN(8,_xlfn.XLOOKUP($D1371&amp;"_"&amp;J$52,$B$14:$B$36&amp;"_"&amp;$C$14:$C$36,$D$14:$D$36)*$E1371)</f>
        <v>8</v>
      </c>
      <c r="K1371" s="95" cm="1">
        <f ca="1" t="array" ref="K1371">MIN(18,_xlfn.XLOOKUP($D1371&amp;"_"&amp;K$52,$B$14:$B$36&amp;"_"&amp;$C$14:$C$36,$D$14:$D$36)*$E1371)</f>
        <v>3.7772</v>
      </c>
      <c r="L1371" s="95" cm="1">
        <f ca="1" t="array" ref="L1371">MIN(6,_xlfn.XLOOKUP($D1371&amp;"_"&amp;L$52,$B$14:$B$36&amp;"_"&amp;$C$14:$C$36,$D$14:$D$36)*$E1371)</f>
        <v>6</v>
      </c>
      <c r="M1371" s="95" cm="1">
        <f ca="1" t="array" ref="M1371">(1+SUMPRODUCT(G1371:H1371,OFFSET($H$40:$I$40,D1371,0)))*(1+OFFSET($J$40,D1371,0))^I1371*(1+OFFSET($K$40,D1371,0))^J1371*(1+OFFSET($L$40,D1371,0))^K1371*(1+OFFSET($M$40,D1371,0))^L1371</f>
        <v>334.389162425707</v>
      </c>
      <c r="N1371" s="95">
        <f ca="1">MAX(MAX($N$53:N1370),OFFSET($C$52,MATCH(M1371*1.07,$M$53:$M$2052,1),0)-C1371)</f>
        <v>70200</v>
      </c>
    </row>
    <row r="1372" spans="2:14">
      <c r="B1372" s="95">
        <v>1320</v>
      </c>
      <c r="C1372" s="95">
        <f t="shared" si="107"/>
        <v>475200</v>
      </c>
      <c r="D1372" s="95">
        <f ca="1">_xlfn.XLOOKUP(总览!$B$44,$B$40:$B$45,$C$40:$C$45)</f>
        <v>5</v>
      </c>
      <c r="E1372" s="95">
        <f ca="1" t="shared" si="110"/>
        <v>1350</v>
      </c>
      <c r="F1372" s="95">
        <f ca="1" t="shared" si="108"/>
        <v>0</v>
      </c>
      <c r="G1372" s="95">
        <f ca="1" t="shared" si="109"/>
        <v>0</v>
      </c>
      <c r="H1372" s="95" cm="1">
        <f ca="1" t="array" ref="H1372">MIN(30-SUM(I1372:L1372),_xlfn.XLOOKUP($D1372&amp;"_"&amp;H$52,$B$14:$B$36&amp;"_"&amp;$C$14:$C$36,$D$14:$D$36)*$E1372,18)</f>
        <v>12.22</v>
      </c>
      <c r="I1372" s="95" cm="1">
        <f ca="1" t="array" ref="I1372">MIN(30-SUM(J1372:L1372),6-L1372,_xlfn.XLOOKUP($D1372&amp;"_"&amp;I$52,$B$14:$B$36&amp;"_"&amp;$C$14:$C$36,$D$14:$D$36)*$E1372)</f>
        <v>0</v>
      </c>
      <c r="J1372" s="95" cm="1">
        <f ca="1" t="array" ref="J1372">MIN(8,_xlfn.XLOOKUP($D1372&amp;"_"&amp;J$52,$B$14:$B$36&amp;"_"&amp;$C$14:$C$36,$D$14:$D$36)*$E1372)</f>
        <v>8</v>
      </c>
      <c r="K1372" s="95" cm="1">
        <f ca="1" t="array" ref="K1372">MIN(18,_xlfn.XLOOKUP($D1372&amp;"_"&amp;K$52,$B$14:$B$36&amp;"_"&amp;$C$14:$C$36,$D$14:$D$36)*$E1372)</f>
        <v>3.78</v>
      </c>
      <c r="L1372" s="95" cm="1">
        <f ca="1" t="array" ref="L1372">MIN(6,_xlfn.XLOOKUP($D1372&amp;"_"&amp;L$52,$B$14:$B$36&amp;"_"&amp;$C$14:$C$36,$D$14:$D$36)*$E1372)</f>
        <v>6</v>
      </c>
      <c r="M1372" s="95" cm="1">
        <f ca="1" t="array" ref="M1372">(1+SUMPRODUCT(G1372:H1372,OFFSET($H$40:$I$40,D1372,0)))*(1+OFFSET($J$40,D1372,0))^I1372*(1+OFFSET($K$40,D1372,0))^J1372*(1+OFFSET($L$40,D1372,0))^K1372*(1+OFFSET($M$40,D1372,0))^L1372</f>
        <v>334.505520651707</v>
      </c>
      <c r="N1372" s="95">
        <f ca="1">MAX(MAX($N$53:N1371),OFFSET($C$52,MATCH(M1372*1.07,$M$53:$M$2052,1),0)-C1372)</f>
        <v>70200</v>
      </c>
    </row>
    <row r="1373" spans="2:14">
      <c r="B1373" s="95">
        <v>1321</v>
      </c>
      <c r="C1373" s="95">
        <f t="shared" si="107"/>
        <v>475560</v>
      </c>
      <c r="D1373" s="95">
        <f ca="1">_xlfn.XLOOKUP(总览!$B$44,$B$40:$B$45,$C$40:$C$45)</f>
        <v>5</v>
      </c>
      <c r="E1373" s="95">
        <f ca="1" t="shared" si="110"/>
        <v>1351</v>
      </c>
      <c r="F1373" s="95">
        <f ca="1" t="shared" si="108"/>
        <v>0</v>
      </c>
      <c r="G1373" s="95">
        <f ca="1" t="shared" si="109"/>
        <v>0</v>
      </c>
      <c r="H1373" s="95" cm="1">
        <f ca="1" t="array" ref="H1373">MIN(30-SUM(I1373:L1373),_xlfn.XLOOKUP($D1373&amp;"_"&amp;H$52,$B$14:$B$36&amp;"_"&amp;$C$14:$C$36,$D$14:$D$36)*$E1373,18)</f>
        <v>12.2172</v>
      </c>
      <c r="I1373" s="95" cm="1">
        <f ca="1" t="array" ref="I1373">MIN(30-SUM(J1373:L1373),6-L1373,_xlfn.XLOOKUP($D1373&amp;"_"&amp;I$52,$B$14:$B$36&amp;"_"&amp;$C$14:$C$36,$D$14:$D$36)*$E1373)</f>
        <v>0</v>
      </c>
      <c r="J1373" s="95" cm="1">
        <f ca="1" t="array" ref="J1373">MIN(8,_xlfn.XLOOKUP($D1373&amp;"_"&amp;J$52,$B$14:$B$36&amp;"_"&amp;$C$14:$C$36,$D$14:$D$36)*$E1373)</f>
        <v>8</v>
      </c>
      <c r="K1373" s="95" cm="1">
        <f ca="1" t="array" ref="K1373">MIN(18,_xlfn.XLOOKUP($D1373&amp;"_"&amp;K$52,$B$14:$B$36&amp;"_"&amp;$C$14:$C$36,$D$14:$D$36)*$E1373)</f>
        <v>3.7828</v>
      </c>
      <c r="L1373" s="95" cm="1">
        <f ca="1" t="array" ref="L1373">MIN(6,_xlfn.XLOOKUP($D1373&amp;"_"&amp;L$52,$B$14:$B$36&amp;"_"&amp;$C$14:$C$36,$D$14:$D$36)*$E1373)</f>
        <v>6</v>
      </c>
      <c r="M1373" s="95" cm="1">
        <f ca="1" t="array" ref="M1373">(1+SUMPRODUCT(G1373:H1373,OFFSET($H$40:$I$40,D1373,0)))*(1+OFFSET($J$40,D1373,0))^I1373*(1+OFFSET($K$40,D1373,0))^J1373*(1+OFFSET($L$40,D1373,0))^K1373*(1+OFFSET($M$40,D1373,0))^L1373</f>
        <v>334.621910520003</v>
      </c>
      <c r="N1373" s="95">
        <f ca="1">MAX(MAX($N$53:N1372),OFFSET($C$52,MATCH(M1373*1.07,$M$53:$M$2052,1),0)-C1373)</f>
        <v>70200</v>
      </c>
    </row>
    <row r="1374" spans="2:14">
      <c r="B1374" s="95">
        <v>1322</v>
      </c>
      <c r="C1374" s="95">
        <f t="shared" si="107"/>
        <v>475920</v>
      </c>
      <c r="D1374" s="95">
        <f ca="1">_xlfn.XLOOKUP(总览!$B$44,$B$40:$B$45,$C$40:$C$45)</f>
        <v>5</v>
      </c>
      <c r="E1374" s="95">
        <f ca="1" t="shared" si="110"/>
        <v>1352</v>
      </c>
      <c r="F1374" s="95">
        <f ca="1" t="shared" si="108"/>
        <v>0</v>
      </c>
      <c r="G1374" s="95">
        <f ca="1" t="shared" si="109"/>
        <v>0</v>
      </c>
      <c r="H1374" s="95" cm="1">
        <f ca="1" t="array" ref="H1374">MIN(30-SUM(I1374:L1374),_xlfn.XLOOKUP($D1374&amp;"_"&amp;H$52,$B$14:$B$36&amp;"_"&amp;$C$14:$C$36,$D$14:$D$36)*$E1374,18)</f>
        <v>12.2144</v>
      </c>
      <c r="I1374" s="95" cm="1">
        <f ca="1" t="array" ref="I1374">MIN(30-SUM(J1374:L1374),6-L1374,_xlfn.XLOOKUP($D1374&amp;"_"&amp;I$52,$B$14:$B$36&amp;"_"&amp;$C$14:$C$36,$D$14:$D$36)*$E1374)</f>
        <v>0</v>
      </c>
      <c r="J1374" s="95" cm="1">
        <f ca="1" t="array" ref="J1374">MIN(8,_xlfn.XLOOKUP($D1374&amp;"_"&amp;J$52,$B$14:$B$36&amp;"_"&amp;$C$14:$C$36,$D$14:$D$36)*$E1374)</f>
        <v>8</v>
      </c>
      <c r="K1374" s="95" cm="1">
        <f ca="1" t="array" ref="K1374">MIN(18,_xlfn.XLOOKUP($D1374&amp;"_"&amp;K$52,$B$14:$B$36&amp;"_"&amp;$C$14:$C$36,$D$14:$D$36)*$E1374)</f>
        <v>3.7856</v>
      </c>
      <c r="L1374" s="95" cm="1">
        <f ca="1" t="array" ref="L1374">MIN(6,_xlfn.XLOOKUP($D1374&amp;"_"&amp;L$52,$B$14:$B$36&amp;"_"&amp;$C$14:$C$36,$D$14:$D$36)*$E1374)</f>
        <v>6</v>
      </c>
      <c r="M1374" s="95" cm="1">
        <f ca="1" t="array" ref="M1374">(1+SUMPRODUCT(G1374:H1374,OFFSET($H$40:$I$40,D1374,0)))*(1+OFFSET($J$40,D1374,0))^I1374*(1+OFFSET($K$40,D1374,0))^J1374*(1+OFFSET($L$40,D1374,0))^K1374*(1+OFFSET($M$40,D1374,0))^L1374</f>
        <v>334.738332032569</v>
      </c>
      <c r="N1374" s="95">
        <f ca="1">MAX(MAX($N$53:N1373),OFFSET($C$52,MATCH(M1374*1.07,$M$53:$M$2052,1),0)-C1374)</f>
        <v>70560</v>
      </c>
    </row>
    <row r="1375" spans="2:14">
      <c r="B1375" s="95">
        <v>1323</v>
      </c>
      <c r="C1375" s="95">
        <f t="shared" si="107"/>
        <v>476280</v>
      </c>
      <c r="D1375" s="95">
        <f ca="1">_xlfn.XLOOKUP(总览!$B$44,$B$40:$B$45,$C$40:$C$45)</f>
        <v>5</v>
      </c>
      <c r="E1375" s="95">
        <f ca="1" t="shared" si="110"/>
        <v>1353</v>
      </c>
      <c r="F1375" s="95">
        <f ca="1" t="shared" si="108"/>
        <v>0</v>
      </c>
      <c r="G1375" s="95">
        <f ca="1" t="shared" si="109"/>
        <v>0</v>
      </c>
      <c r="H1375" s="95" cm="1">
        <f ca="1" t="array" ref="H1375">MIN(30-SUM(I1375:L1375),_xlfn.XLOOKUP($D1375&amp;"_"&amp;H$52,$B$14:$B$36&amp;"_"&amp;$C$14:$C$36,$D$14:$D$36)*$E1375,18)</f>
        <v>12.2116</v>
      </c>
      <c r="I1375" s="95" cm="1">
        <f ca="1" t="array" ref="I1375">MIN(30-SUM(J1375:L1375),6-L1375,_xlfn.XLOOKUP($D1375&amp;"_"&amp;I$52,$B$14:$B$36&amp;"_"&amp;$C$14:$C$36,$D$14:$D$36)*$E1375)</f>
        <v>0</v>
      </c>
      <c r="J1375" s="95" cm="1">
        <f ca="1" t="array" ref="J1375">MIN(8,_xlfn.XLOOKUP($D1375&amp;"_"&amp;J$52,$B$14:$B$36&amp;"_"&amp;$C$14:$C$36,$D$14:$D$36)*$E1375)</f>
        <v>8</v>
      </c>
      <c r="K1375" s="95" cm="1">
        <f ca="1" t="array" ref="K1375">MIN(18,_xlfn.XLOOKUP($D1375&amp;"_"&amp;K$52,$B$14:$B$36&amp;"_"&amp;$C$14:$C$36,$D$14:$D$36)*$E1375)</f>
        <v>3.7884</v>
      </c>
      <c r="L1375" s="95" cm="1">
        <f ca="1" t="array" ref="L1375">MIN(6,_xlfn.XLOOKUP($D1375&amp;"_"&amp;L$52,$B$14:$B$36&amp;"_"&amp;$C$14:$C$36,$D$14:$D$36)*$E1375)</f>
        <v>6</v>
      </c>
      <c r="M1375" s="95" cm="1">
        <f ca="1" t="array" ref="M1375">(1+SUMPRODUCT(G1375:H1375,OFFSET($H$40:$I$40,D1375,0)))*(1+OFFSET($J$40,D1375,0))^I1375*(1+OFFSET($K$40,D1375,0))^J1375*(1+OFFSET($L$40,D1375,0))^K1375*(1+OFFSET($M$40,D1375,0))^L1375</f>
        <v>334.854785191374</v>
      </c>
      <c r="N1375" s="95">
        <f ca="1">MAX(MAX($N$53:N1374),OFFSET($C$52,MATCH(M1375*1.07,$M$53:$M$2052,1),0)-C1375)</f>
        <v>70560</v>
      </c>
    </row>
    <row r="1376" spans="2:14">
      <c r="B1376" s="95">
        <v>1324</v>
      </c>
      <c r="C1376" s="95">
        <f t="shared" si="107"/>
        <v>476640</v>
      </c>
      <c r="D1376" s="95">
        <f ca="1">_xlfn.XLOOKUP(总览!$B$44,$B$40:$B$45,$C$40:$C$45)</f>
        <v>5</v>
      </c>
      <c r="E1376" s="95">
        <f ca="1" t="shared" si="110"/>
        <v>1354</v>
      </c>
      <c r="F1376" s="95">
        <f ca="1" t="shared" si="108"/>
        <v>0</v>
      </c>
      <c r="G1376" s="95">
        <f ca="1" t="shared" si="109"/>
        <v>0</v>
      </c>
      <c r="H1376" s="95" cm="1">
        <f ca="1" t="array" ref="H1376">MIN(30-SUM(I1376:L1376),_xlfn.XLOOKUP($D1376&amp;"_"&amp;H$52,$B$14:$B$36&amp;"_"&amp;$C$14:$C$36,$D$14:$D$36)*$E1376,18)</f>
        <v>12.2088</v>
      </c>
      <c r="I1376" s="95" cm="1">
        <f ca="1" t="array" ref="I1376">MIN(30-SUM(J1376:L1376),6-L1376,_xlfn.XLOOKUP($D1376&amp;"_"&amp;I$52,$B$14:$B$36&amp;"_"&amp;$C$14:$C$36,$D$14:$D$36)*$E1376)</f>
        <v>0</v>
      </c>
      <c r="J1376" s="95" cm="1">
        <f ca="1" t="array" ref="J1376">MIN(8,_xlfn.XLOOKUP($D1376&amp;"_"&amp;J$52,$B$14:$B$36&amp;"_"&amp;$C$14:$C$36,$D$14:$D$36)*$E1376)</f>
        <v>8</v>
      </c>
      <c r="K1376" s="95" cm="1">
        <f ca="1" t="array" ref="K1376">MIN(18,_xlfn.XLOOKUP($D1376&amp;"_"&amp;K$52,$B$14:$B$36&amp;"_"&amp;$C$14:$C$36,$D$14:$D$36)*$E1376)</f>
        <v>3.7912</v>
      </c>
      <c r="L1376" s="95" cm="1">
        <f ca="1" t="array" ref="L1376">MIN(6,_xlfn.XLOOKUP($D1376&amp;"_"&amp;L$52,$B$14:$B$36&amp;"_"&amp;$C$14:$C$36,$D$14:$D$36)*$E1376)</f>
        <v>6</v>
      </c>
      <c r="M1376" s="95" cm="1">
        <f ca="1" t="array" ref="M1376">(1+SUMPRODUCT(G1376:H1376,OFFSET($H$40:$I$40,D1376,0)))*(1+OFFSET($J$40,D1376,0))^I1376*(1+OFFSET($K$40,D1376,0))^J1376*(1+OFFSET($L$40,D1376,0))^K1376*(1+OFFSET($M$40,D1376,0))^L1376</f>
        <v>334.971269998382</v>
      </c>
      <c r="N1376" s="95">
        <f ca="1">MAX(MAX($N$53:N1375),OFFSET($C$52,MATCH(M1376*1.07,$M$53:$M$2052,1),0)-C1376)</f>
        <v>70560</v>
      </c>
    </row>
    <row r="1377" spans="2:14">
      <c r="B1377" s="95">
        <v>1325</v>
      </c>
      <c r="C1377" s="95">
        <f t="shared" si="107"/>
        <v>477000</v>
      </c>
      <c r="D1377" s="95">
        <f ca="1">_xlfn.XLOOKUP(总览!$B$44,$B$40:$B$45,$C$40:$C$45)</f>
        <v>5</v>
      </c>
      <c r="E1377" s="95">
        <f ca="1" t="shared" si="110"/>
        <v>1355</v>
      </c>
      <c r="F1377" s="95">
        <f ca="1" t="shared" si="108"/>
        <v>0</v>
      </c>
      <c r="G1377" s="95">
        <f ca="1" t="shared" si="109"/>
        <v>0</v>
      </c>
      <c r="H1377" s="95" cm="1">
        <f ca="1" t="array" ref="H1377">MIN(30-SUM(I1377:L1377),_xlfn.XLOOKUP($D1377&amp;"_"&amp;H$52,$B$14:$B$36&amp;"_"&amp;$C$14:$C$36,$D$14:$D$36)*$E1377,18)</f>
        <v>12.206</v>
      </c>
      <c r="I1377" s="95" cm="1">
        <f ca="1" t="array" ref="I1377">MIN(30-SUM(J1377:L1377),6-L1377,_xlfn.XLOOKUP($D1377&amp;"_"&amp;I$52,$B$14:$B$36&amp;"_"&amp;$C$14:$C$36,$D$14:$D$36)*$E1377)</f>
        <v>0</v>
      </c>
      <c r="J1377" s="95" cm="1">
        <f ca="1" t="array" ref="J1377">MIN(8,_xlfn.XLOOKUP($D1377&amp;"_"&amp;J$52,$B$14:$B$36&amp;"_"&amp;$C$14:$C$36,$D$14:$D$36)*$E1377)</f>
        <v>8</v>
      </c>
      <c r="K1377" s="95" cm="1">
        <f ca="1" t="array" ref="K1377">MIN(18,_xlfn.XLOOKUP($D1377&amp;"_"&amp;K$52,$B$14:$B$36&amp;"_"&amp;$C$14:$C$36,$D$14:$D$36)*$E1377)</f>
        <v>3.794</v>
      </c>
      <c r="L1377" s="95" cm="1">
        <f ca="1" t="array" ref="L1377">MIN(6,_xlfn.XLOOKUP($D1377&amp;"_"&amp;L$52,$B$14:$B$36&amp;"_"&amp;$C$14:$C$36,$D$14:$D$36)*$E1377)</f>
        <v>6</v>
      </c>
      <c r="M1377" s="95" cm="1">
        <f ca="1" t="array" ref="M1377">(1+SUMPRODUCT(G1377:H1377,OFFSET($H$40:$I$40,D1377,0)))*(1+OFFSET($J$40,D1377,0))^I1377*(1+OFFSET($K$40,D1377,0))^J1377*(1+OFFSET($L$40,D1377,0))^K1377*(1+OFFSET($M$40,D1377,0))^L1377</f>
        <v>335.087786455549</v>
      </c>
      <c r="N1377" s="95">
        <f ca="1">MAX(MAX($N$53:N1376),OFFSET($C$52,MATCH(M1377*1.07,$M$53:$M$2052,1),0)-C1377)</f>
        <v>70560</v>
      </c>
    </row>
    <row r="1378" spans="2:14">
      <c r="B1378" s="95">
        <v>1326</v>
      </c>
      <c r="C1378" s="95">
        <f t="shared" si="107"/>
        <v>477360</v>
      </c>
      <c r="D1378" s="95">
        <f ca="1">_xlfn.XLOOKUP(总览!$B$44,$B$40:$B$45,$C$40:$C$45)</f>
        <v>5</v>
      </c>
      <c r="E1378" s="95">
        <f ca="1" t="shared" si="110"/>
        <v>1356</v>
      </c>
      <c r="F1378" s="95">
        <f ca="1" t="shared" si="108"/>
        <v>0</v>
      </c>
      <c r="G1378" s="95">
        <f ca="1" t="shared" si="109"/>
        <v>0</v>
      </c>
      <c r="H1378" s="95" cm="1">
        <f ca="1" t="array" ref="H1378">MIN(30-SUM(I1378:L1378),_xlfn.XLOOKUP($D1378&amp;"_"&amp;H$52,$B$14:$B$36&amp;"_"&amp;$C$14:$C$36,$D$14:$D$36)*$E1378,18)</f>
        <v>12.2032</v>
      </c>
      <c r="I1378" s="95" cm="1">
        <f ca="1" t="array" ref="I1378">MIN(30-SUM(J1378:L1378),6-L1378,_xlfn.XLOOKUP($D1378&amp;"_"&amp;I$52,$B$14:$B$36&amp;"_"&amp;$C$14:$C$36,$D$14:$D$36)*$E1378)</f>
        <v>0</v>
      </c>
      <c r="J1378" s="95" cm="1">
        <f ca="1" t="array" ref="J1378">MIN(8,_xlfn.XLOOKUP($D1378&amp;"_"&amp;J$52,$B$14:$B$36&amp;"_"&amp;$C$14:$C$36,$D$14:$D$36)*$E1378)</f>
        <v>8</v>
      </c>
      <c r="K1378" s="95" cm="1">
        <f ca="1" t="array" ref="K1378">MIN(18,_xlfn.XLOOKUP($D1378&amp;"_"&amp;K$52,$B$14:$B$36&amp;"_"&amp;$C$14:$C$36,$D$14:$D$36)*$E1378)</f>
        <v>3.7968</v>
      </c>
      <c r="L1378" s="95" cm="1">
        <f ca="1" t="array" ref="L1378">MIN(6,_xlfn.XLOOKUP($D1378&amp;"_"&amp;L$52,$B$14:$B$36&amp;"_"&amp;$C$14:$C$36,$D$14:$D$36)*$E1378)</f>
        <v>6</v>
      </c>
      <c r="M1378" s="95" cm="1">
        <f ca="1" t="array" ref="M1378">(1+SUMPRODUCT(G1378:H1378,OFFSET($H$40:$I$40,D1378,0)))*(1+OFFSET($J$40,D1378,0))^I1378*(1+OFFSET($K$40,D1378,0))^J1378*(1+OFFSET($L$40,D1378,0))^K1378*(1+OFFSET($M$40,D1378,0))^L1378</f>
        <v>335.204334564825</v>
      </c>
      <c r="N1378" s="95">
        <f ca="1">MAX(MAX($N$53:N1377),OFFSET($C$52,MATCH(M1378*1.07,$M$53:$M$2052,1),0)-C1378)</f>
        <v>70560</v>
      </c>
    </row>
    <row r="1379" spans="2:14">
      <c r="B1379" s="95">
        <v>1327</v>
      </c>
      <c r="C1379" s="95">
        <f t="shared" si="107"/>
        <v>477720</v>
      </c>
      <c r="D1379" s="95">
        <f ca="1">_xlfn.XLOOKUP(总览!$B$44,$B$40:$B$45,$C$40:$C$45)</f>
        <v>5</v>
      </c>
      <c r="E1379" s="95">
        <f ca="1" t="shared" si="110"/>
        <v>1357</v>
      </c>
      <c r="F1379" s="95">
        <f ca="1" t="shared" si="108"/>
        <v>0</v>
      </c>
      <c r="G1379" s="95">
        <f ca="1" t="shared" si="109"/>
        <v>0</v>
      </c>
      <c r="H1379" s="95" cm="1">
        <f ca="1" t="array" ref="H1379">MIN(30-SUM(I1379:L1379),_xlfn.XLOOKUP($D1379&amp;"_"&amp;H$52,$B$14:$B$36&amp;"_"&amp;$C$14:$C$36,$D$14:$D$36)*$E1379,18)</f>
        <v>12.2004</v>
      </c>
      <c r="I1379" s="95" cm="1">
        <f ca="1" t="array" ref="I1379">MIN(30-SUM(J1379:L1379),6-L1379,_xlfn.XLOOKUP($D1379&amp;"_"&amp;I$52,$B$14:$B$36&amp;"_"&amp;$C$14:$C$36,$D$14:$D$36)*$E1379)</f>
        <v>0</v>
      </c>
      <c r="J1379" s="95" cm="1">
        <f ca="1" t="array" ref="J1379">MIN(8,_xlfn.XLOOKUP($D1379&amp;"_"&amp;J$52,$B$14:$B$36&amp;"_"&amp;$C$14:$C$36,$D$14:$D$36)*$E1379)</f>
        <v>8</v>
      </c>
      <c r="K1379" s="95" cm="1">
        <f ca="1" t="array" ref="K1379">MIN(18,_xlfn.XLOOKUP($D1379&amp;"_"&amp;K$52,$B$14:$B$36&amp;"_"&amp;$C$14:$C$36,$D$14:$D$36)*$E1379)</f>
        <v>3.7996</v>
      </c>
      <c r="L1379" s="95" cm="1">
        <f ca="1" t="array" ref="L1379">MIN(6,_xlfn.XLOOKUP($D1379&amp;"_"&amp;L$52,$B$14:$B$36&amp;"_"&amp;$C$14:$C$36,$D$14:$D$36)*$E1379)</f>
        <v>6</v>
      </c>
      <c r="M1379" s="95" cm="1">
        <f ca="1" t="array" ref="M1379">(1+SUMPRODUCT(G1379:H1379,OFFSET($H$40:$I$40,D1379,0)))*(1+OFFSET($J$40,D1379,0))^I1379*(1+OFFSET($K$40,D1379,0))^J1379*(1+OFFSET($L$40,D1379,0))^K1379*(1+OFFSET($M$40,D1379,0))^L1379</f>
        <v>335.320914328154</v>
      </c>
      <c r="N1379" s="95">
        <f ca="1">MAX(MAX($N$53:N1378),OFFSET($C$52,MATCH(M1379*1.07,$M$53:$M$2052,1),0)-C1379)</f>
        <v>70560</v>
      </c>
    </row>
    <row r="1380" spans="2:14">
      <c r="B1380" s="95">
        <v>1328</v>
      </c>
      <c r="C1380" s="95">
        <f t="shared" si="107"/>
        <v>478080</v>
      </c>
      <c r="D1380" s="95">
        <f ca="1">_xlfn.XLOOKUP(总览!$B$44,$B$40:$B$45,$C$40:$C$45)</f>
        <v>5</v>
      </c>
      <c r="E1380" s="95">
        <f ca="1" t="shared" si="110"/>
        <v>1358</v>
      </c>
      <c r="F1380" s="95">
        <f ca="1" t="shared" si="108"/>
        <v>0</v>
      </c>
      <c r="G1380" s="95">
        <f ca="1" t="shared" si="109"/>
        <v>0</v>
      </c>
      <c r="H1380" s="95" cm="1">
        <f ca="1" t="array" ref="H1380">MIN(30-SUM(I1380:L1380),_xlfn.XLOOKUP($D1380&amp;"_"&amp;H$52,$B$14:$B$36&amp;"_"&amp;$C$14:$C$36,$D$14:$D$36)*$E1380,18)</f>
        <v>12.1976</v>
      </c>
      <c r="I1380" s="95" cm="1">
        <f ca="1" t="array" ref="I1380">MIN(30-SUM(J1380:L1380),6-L1380,_xlfn.XLOOKUP($D1380&amp;"_"&amp;I$52,$B$14:$B$36&amp;"_"&amp;$C$14:$C$36,$D$14:$D$36)*$E1380)</f>
        <v>0</v>
      </c>
      <c r="J1380" s="95" cm="1">
        <f ca="1" t="array" ref="J1380">MIN(8,_xlfn.XLOOKUP($D1380&amp;"_"&amp;J$52,$B$14:$B$36&amp;"_"&amp;$C$14:$C$36,$D$14:$D$36)*$E1380)</f>
        <v>8</v>
      </c>
      <c r="K1380" s="95" cm="1">
        <f ca="1" t="array" ref="K1380">MIN(18,_xlfn.XLOOKUP($D1380&amp;"_"&amp;K$52,$B$14:$B$36&amp;"_"&amp;$C$14:$C$36,$D$14:$D$36)*$E1380)</f>
        <v>3.8024</v>
      </c>
      <c r="L1380" s="95" cm="1">
        <f ca="1" t="array" ref="L1380">MIN(6,_xlfn.XLOOKUP($D1380&amp;"_"&amp;L$52,$B$14:$B$36&amp;"_"&amp;$C$14:$C$36,$D$14:$D$36)*$E1380)</f>
        <v>6</v>
      </c>
      <c r="M1380" s="95" cm="1">
        <f ca="1" t="array" ref="M1380">(1+SUMPRODUCT(G1380:H1380,OFFSET($H$40:$I$40,D1380,0)))*(1+OFFSET($J$40,D1380,0))^I1380*(1+OFFSET($K$40,D1380,0))^J1380*(1+OFFSET($L$40,D1380,0))^K1380*(1+OFFSET($M$40,D1380,0))^L1380</f>
        <v>335.437525747475</v>
      </c>
      <c r="N1380" s="95">
        <f ca="1">MAX(MAX($N$53:N1379),OFFSET($C$52,MATCH(M1380*1.07,$M$53:$M$2052,1),0)-C1380)</f>
        <v>70560</v>
      </c>
    </row>
    <row r="1381" spans="2:14">
      <c r="B1381" s="95">
        <v>1329</v>
      </c>
      <c r="C1381" s="95">
        <f t="shared" ref="C1381:C1444" si="111">C1380+360</f>
        <v>478440</v>
      </c>
      <c r="D1381" s="95">
        <f ca="1">_xlfn.XLOOKUP(总览!$B$44,$B$40:$B$45,$C$40:$C$45)</f>
        <v>5</v>
      </c>
      <c r="E1381" s="95">
        <f ca="1" t="shared" si="110"/>
        <v>1359</v>
      </c>
      <c r="F1381" s="95">
        <f ca="1" t="shared" ref="F1381:F1444" si="112">30-SUM(G1381:L1381)</f>
        <v>0</v>
      </c>
      <c r="G1381" s="95">
        <f ca="1" t="shared" ref="G1381:G1444" si="113">30-SUM(H1381:L1381)</f>
        <v>0</v>
      </c>
      <c r="H1381" s="95" cm="1">
        <f ca="1" t="array" ref="H1381">MIN(30-SUM(I1381:L1381),_xlfn.XLOOKUP($D1381&amp;"_"&amp;H$52,$B$14:$B$36&amp;"_"&amp;$C$14:$C$36,$D$14:$D$36)*$E1381,18)</f>
        <v>12.1948</v>
      </c>
      <c r="I1381" s="95" cm="1">
        <f ca="1" t="array" ref="I1381">MIN(30-SUM(J1381:L1381),6-L1381,_xlfn.XLOOKUP($D1381&amp;"_"&amp;I$52,$B$14:$B$36&amp;"_"&amp;$C$14:$C$36,$D$14:$D$36)*$E1381)</f>
        <v>0</v>
      </c>
      <c r="J1381" s="95" cm="1">
        <f ca="1" t="array" ref="J1381">MIN(8,_xlfn.XLOOKUP($D1381&amp;"_"&amp;J$52,$B$14:$B$36&amp;"_"&amp;$C$14:$C$36,$D$14:$D$36)*$E1381)</f>
        <v>8</v>
      </c>
      <c r="K1381" s="95" cm="1">
        <f ca="1" t="array" ref="K1381">MIN(18,_xlfn.XLOOKUP($D1381&amp;"_"&amp;K$52,$B$14:$B$36&amp;"_"&amp;$C$14:$C$36,$D$14:$D$36)*$E1381)</f>
        <v>3.8052</v>
      </c>
      <c r="L1381" s="95" cm="1">
        <f ca="1" t="array" ref="L1381">MIN(6,_xlfn.XLOOKUP($D1381&amp;"_"&amp;L$52,$B$14:$B$36&amp;"_"&amp;$C$14:$C$36,$D$14:$D$36)*$E1381)</f>
        <v>6</v>
      </c>
      <c r="M1381" s="95" cm="1">
        <f ca="1" t="array" ref="M1381">(1+SUMPRODUCT(G1381:H1381,OFFSET($H$40:$I$40,D1381,0)))*(1+OFFSET($J$40,D1381,0))^I1381*(1+OFFSET($K$40,D1381,0))^J1381*(1+OFFSET($L$40,D1381,0))^K1381*(1+OFFSET($M$40,D1381,0))^L1381</f>
        <v>335.554168824719</v>
      </c>
      <c r="N1381" s="95">
        <f ca="1">MAX(MAX($N$53:N1380),OFFSET($C$52,MATCH(M1381*1.07,$M$53:$M$2052,1),0)-C1381)</f>
        <v>70560</v>
      </c>
    </row>
    <row r="1382" spans="2:14">
      <c r="B1382" s="95">
        <v>1330</v>
      </c>
      <c r="C1382" s="95">
        <f t="shared" si="111"/>
        <v>478800</v>
      </c>
      <c r="D1382" s="95">
        <f ca="1">_xlfn.XLOOKUP(总览!$B$44,$B$40:$B$45,$C$40:$C$45)</f>
        <v>5</v>
      </c>
      <c r="E1382" s="95">
        <f ca="1" t="shared" si="110"/>
        <v>1360</v>
      </c>
      <c r="F1382" s="95">
        <f ca="1" t="shared" si="112"/>
        <v>0</v>
      </c>
      <c r="G1382" s="95">
        <f ca="1" t="shared" si="113"/>
        <v>0</v>
      </c>
      <c r="H1382" s="95" cm="1">
        <f ca="1" t="array" ref="H1382">MIN(30-SUM(I1382:L1382),_xlfn.XLOOKUP($D1382&amp;"_"&amp;H$52,$B$14:$B$36&amp;"_"&amp;$C$14:$C$36,$D$14:$D$36)*$E1382,18)</f>
        <v>12.192</v>
      </c>
      <c r="I1382" s="95" cm="1">
        <f ca="1" t="array" ref="I1382">MIN(30-SUM(J1382:L1382),6-L1382,_xlfn.XLOOKUP($D1382&amp;"_"&amp;I$52,$B$14:$B$36&amp;"_"&amp;$C$14:$C$36,$D$14:$D$36)*$E1382)</f>
        <v>0</v>
      </c>
      <c r="J1382" s="95" cm="1">
        <f ca="1" t="array" ref="J1382">MIN(8,_xlfn.XLOOKUP($D1382&amp;"_"&amp;J$52,$B$14:$B$36&amp;"_"&amp;$C$14:$C$36,$D$14:$D$36)*$E1382)</f>
        <v>8</v>
      </c>
      <c r="K1382" s="95" cm="1">
        <f ca="1" t="array" ref="K1382">MIN(18,_xlfn.XLOOKUP($D1382&amp;"_"&amp;K$52,$B$14:$B$36&amp;"_"&amp;$C$14:$C$36,$D$14:$D$36)*$E1382)</f>
        <v>3.808</v>
      </c>
      <c r="L1382" s="95" cm="1">
        <f ca="1" t="array" ref="L1382">MIN(6,_xlfn.XLOOKUP($D1382&amp;"_"&amp;L$52,$B$14:$B$36&amp;"_"&amp;$C$14:$C$36,$D$14:$D$36)*$E1382)</f>
        <v>6</v>
      </c>
      <c r="M1382" s="95" cm="1">
        <f ca="1" t="array" ref="M1382">(1+SUMPRODUCT(G1382:H1382,OFFSET($H$40:$I$40,D1382,0)))*(1+OFFSET($J$40,D1382,0))^I1382*(1+OFFSET($K$40,D1382,0))^J1382*(1+OFFSET($L$40,D1382,0))^K1382*(1+OFFSET($M$40,D1382,0))^L1382</f>
        <v>335.670843561811</v>
      </c>
      <c r="N1382" s="95">
        <f ca="1">MAX(MAX($N$53:N1381),OFFSET($C$52,MATCH(M1382*1.07,$M$53:$M$2052,1),0)-C1382)</f>
        <v>70560</v>
      </c>
    </row>
    <row r="1383" spans="2:14">
      <c r="B1383" s="95">
        <v>1331</v>
      </c>
      <c r="C1383" s="95">
        <f t="shared" si="111"/>
        <v>479160</v>
      </c>
      <c r="D1383" s="95">
        <f ca="1">_xlfn.XLOOKUP(总览!$B$44,$B$40:$B$45,$C$40:$C$45)</f>
        <v>5</v>
      </c>
      <c r="E1383" s="95">
        <f ca="1" t="shared" si="110"/>
        <v>1361</v>
      </c>
      <c r="F1383" s="95">
        <f ca="1" t="shared" si="112"/>
        <v>0</v>
      </c>
      <c r="G1383" s="95">
        <f ca="1" t="shared" si="113"/>
        <v>0</v>
      </c>
      <c r="H1383" s="95" cm="1">
        <f ca="1" t="array" ref="H1383">MIN(30-SUM(I1383:L1383),_xlfn.XLOOKUP($D1383&amp;"_"&amp;H$52,$B$14:$B$36&amp;"_"&amp;$C$14:$C$36,$D$14:$D$36)*$E1383,18)</f>
        <v>12.1892</v>
      </c>
      <c r="I1383" s="95" cm="1">
        <f ca="1" t="array" ref="I1383">MIN(30-SUM(J1383:L1383),6-L1383,_xlfn.XLOOKUP($D1383&amp;"_"&amp;I$52,$B$14:$B$36&amp;"_"&amp;$C$14:$C$36,$D$14:$D$36)*$E1383)</f>
        <v>0</v>
      </c>
      <c r="J1383" s="95" cm="1">
        <f ca="1" t="array" ref="J1383">MIN(8,_xlfn.XLOOKUP($D1383&amp;"_"&amp;J$52,$B$14:$B$36&amp;"_"&amp;$C$14:$C$36,$D$14:$D$36)*$E1383)</f>
        <v>8</v>
      </c>
      <c r="K1383" s="95" cm="1">
        <f ca="1" t="array" ref="K1383">MIN(18,_xlfn.XLOOKUP($D1383&amp;"_"&amp;K$52,$B$14:$B$36&amp;"_"&amp;$C$14:$C$36,$D$14:$D$36)*$E1383)</f>
        <v>3.8108</v>
      </c>
      <c r="L1383" s="95" cm="1">
        <f ca="1" t="array" ref="L1383">MIN(6,_xlfn.XLOOKUP($D1383&amp;"_"&amp;L$52,$B$14:$B$36&amp;"_"&amp;$C$14:$C$36,$D$14:$D$36)*$E1383)</f>
        <v>6</v>
      </c>
      <c r="M1383" s="95" cm="1">
        <f ca="1" t="array" ref="M1383">(1+SUMPRODUCT(G1383:H1383,OFFSET($H$40:$I$40,D1383,0)))*(1+OFFSET($J$40,D1383,0))^I1383*(1+OFFSET($K$40,D1383,0))^J1383*(1+OFFSET($L$40,D1383,0))^K1383*(1+OFFSET($M$40,D1383,0))^L1383</f>
        <v>335.78754996067</v>
      </c>
      <c r="N1383" s="95">
        <f ca="1">MAX(MAX($N$53:N1382),OFFSET($C$52,MATCH(M1383*1.07,$M$53:$M$2052,1),0)-C1383)</f>
        <v>70560</v>
      </c>
    </row>
    <row r="1384" spans="2:14">
      <c r="B1384" s="95">
        <v>1332</v>
      </c>
      <c r="C1384" s="95">
        <f t="shared" si="111"/>
        <v>479520</v>
      </c>
      <c r="D1384" s="95">
        <f ca="1">_xlfn.XLOOKUP(总览!$B$44,$B$40:$B$45,$C$40:$C$45)</f>
        <v>5</v>
      </c>
      <c r="E1384" s="95">
        <f ca="1" t="shared" si="110"/>
        <v>1362</v>
      </c>
      <c r="F1384" s="95">
        <f ca="1" t="shared" si="112"/>
        <v>0</v>
      </c>
      <c r="G1384" s="95">
        <f ca="1" t="shared" si="113"/>
        <v>0</v>
      </c>
      <c r="H1384" s="95" cm="1">
        <f ca="1" t="array" ref="H1384">MIN(30-SUM(I1384:L1384),_xlfn.XLOOKUP($D1384&amp;"_"&amp;H$52,$B$14:$B$36&amp;"_"&amp;$C$14:$C$36,$D$14:$D$36)*$E1384,18)</f>
        <v>12.1864</v>
      </c>
      <c r="I1384" s="95" cm="1">
        <f ca="1" t="array" ref="I1384">MIN(30-SUM(J1384:L1384),6-L1384,_xlfn.XLOOKUP($D1384&amp;"_"&amp;I$52,$B$14:$B$36&amp;"_"&amp;$C$14:$C$36,$D$14:$D$36)*$E1384)</f>
        <v>0</v>
      </c>
      <c r="J1384" s="95" cm="1">
        <f ca="1" t="array" ref="J1384">MIN(8,_xlfn.XLOOKUP($D1384&amp;"_"&amp;J$52,$B$14:$B$36&amp;"_"&amp;$C$14:$C$36,$D$14:$D$36)*$E1384)</f>
        <v>8</v>
      </c>
      <c r="K1384" s="95" cm="1">
        <f ca="1" t="array" ref="K1384">MIN(18,_xlfn.XLOOKUP($D1384&amp;"_"&amp;K$52,$B$14:$B$36&amp;"_"&amp;$C$14:$C$36,$D$14:$D$36)*$E1384)</f>
        <v>3.8136</v>
      </c>
      <c r="L1384" s="95" cm="1">
        <f ca="1" t="array" ref="L1384">MIN(6,_xlfn.XLOOKUP($D1384&amp;"_"&amp;L$52,$B$14:$B$36&amp;"_"&amp;$C$14:$C$36,$D$14:$D$36)*$E1384)</f>
        <v>6</v>
      </c>
      <c r="M1384" s="95" cm="1">
        <f ca="1" t="array" ref="M1384">(1+SUMPRODUCT(G1384:H1384,OFFSET($H$40:$I$40,D1384,0)))*(1+OFFSET($J$40,D1384,0))^I1384*(1+OFFSET($K$40,D1384,0))^J1384*(1+OFFSET($L$40,D1384,0))^K1384*(1+OFFSET($M$40,D1384,0))^L1384</f>
        <v>335.90428802321</v>
      </c>
      <c r="N1384" s="95">
        <f ca="1">MAX(MAX($N$53:N1383),OFFSET($C$52,MATCH(M1384*1.07,$M$53:$M$2052,1),0)-C1384)</f>
        <v>70560</v>
      </c>
    </row>
    <row r="1385" spans="2:14">
      <c r="B1385" s="95">
        <v>1333</v>
      </c>
      <c r="C1385" s="95">
        <f t="shared" si="111"/>
        <v>479880</v>
      </c>
      <c r="D1385" s="95">
        <f ca="1">_xlfn.XLOOKUP(总览!$B$44,$B$40:$B$45,$C$40:$C$45)</f>
        <v>5</v>
      </c>
      <c r="E1385" s="95">
        <f ca="1" t="shared" si="110"/>
        <v>1363</v>
      </c>
      <c r="F1385" s="95">
        <f ca="1" t="shared" si="112"/>
        <v>0</v>
      </c>
      <c r="G1385" s="95">
        <f ca="1" t="shared" si="113"/>
        <v>0</v>
      </c>
      <c r="H1385" s="95" cm="1">
        <f ca="1" t="array" ref="H1385">MIN(30-SUM(I1385:L1385),_xlfn.XLOOKUP($D1385&amp;"_"&amp;H$52,$B$14:$B$36&amp;"_"&amp;$C$14:$C$36,$D$14:$D$36)*$E1385,18)</f>
        <v>12.1836</v>
      </c>
      <c r="I1385" s="95" cm="1">
        <f ca="1" t="array" ref="I1385">MIN(30-SUM(J1385:L1385),6-L1385,_xlfn.XLOOKUP($D1385&amp;"_"&amp;I$52,$B$14:$B$36&amp;"_"&amp;$C$14:$C$36,$D$14:$D$36)*$E1385)</f>
        <v>0</v>
      </c>
      <c r="J1385" s="95" cm="1">
        <f ca="1" t="array" ref="J1385">MIN(8,_xlfn.XLOOKUP($D1385&amp;"_"&amp;J$52,$B$14:$B$36&amp;"_"&amp;$C$14:$C$36,$D$14:$D$36)*$E1385)</f>
        <v>8</v>
      </c>
      <c r="K1385" s="95" cm="1">
        <f ca="1" t="array" ref="K1385">MIN(18,_xlfn.XLOOKUP($D1385&amp;"_"&amp;K$52,$B$14:$B$36&amp;"_"&amp;$C$14:$C$36,$D$14:$D$36)*$E1385)</f>
        <v>3.8164</v>
      </c>
      <c r="L1385" s="95" cm="1">
        <f ca="1" t="array" ref="L1385">MIN(6,_xlfn.XLOOKUP($D1385&amp;"_"&amp;L$52,$B$14:$B$36&amp;"_"&amp;$C$14:$C$36,$D$14:$D$36)*$E1385)</f>
        <v>6</v>
      </c>
      <c r="M1385" s="95" cm="1">
        <f ca="1" t="array" ref="M1385">(1+SUMPRODUCT(G1385:H1385,OFFSET($H$40:$I$40,D1385,0)))*(1+OFFSET($J$40,D1385,0))^I1385*(1+OFFSET($K$40,D1385,0))^J1385*(1+OFFSET($L$40,D1385,0))^K1385*(1+OFFSET($M$40,D1385,0))^L1385</f>
        <v>336.021057751336</v>
      </c>
      <c r="N1385" s="95">
        <f ca="1">MAX(MAX($N$53:N1384),OFFSET($C$52,MATCH(M1385*1.07,$M$53:$M$2052,1),0)-C1385)</f>
        <v>70560</v>
      </c>
    </row>
    <row r="1386" spans="2:14">
      <c r="B1386" s="95">
        <v>1334</v>
      </c>
      <c r="C1386" s="95">
        <f t="shared" si="111"/>
        <v>480240</v>
      </c>
      <c r="D1386" s="95">
        <f ca="1">_xlfn.XLOOKUP(总览!$B$44,$B$40:$B$45,$C$40:$C$45)</f>
        <v>5</v>
      </c>
      <c r="E1386" s="95">
        <f ca="1" t="shared" si="110"/>
        <v>1364</v>
      </c>
      <c r="F1386" s="95">
        <f ca="1" t="shared" si="112"/>
        <v>0</v>
      </c>
      <c r="G1386" s="95">
        <f ca="1" t="shared" si="113"/>
        <v>0</v>
      </c>
      <c r="H1386" s="95" cm="1">
        <f ca="1" t="array" ref="H1386">MIN(30-SUM(I1386:L1386),_xlfn.XLOOKUP($D1386&amp;"_"&amp;H$52,$B$14:$B$36&amp;"_"&amp;$C$14:$C$36,$D$14:$D$36)*$E1386,18)</f>
        <v>12.1808</v>
      </c>
      <c r="I1386" s="95" cm="1">
        <f ca="1" t="array" ref="I1386">MIN(30-SUM(J1386:L1386),6-L1386,_xlfn.XLOOKUP($D1386&amp;"_"&amp;I$52,$B$14:$B$36&amp;"_"&amp;$C$14:$C$36,$D$14:$D$36)*$E1386)</f>
        <v>0</v>
      </c>
      <c r="J1386" s="95" cm="1">
        <f ca="1" t="array" ref="J1386">MIN(8,_xlfn.XLOOKUP($D1386&amp;"_"&amp;J$52,$B$14:$B$36&amp;"_"&amp;$C$14:$C$36,$D$14:$D$36)*$E1386)</f>
        <v>8</v>
      </c>
      <c r="K1386" s="95" cm="1">
        <f ca="1" t="array" ref="K1386">MIN(18,_xlfn.XLOOKUP($D1386&amp;"_"&amp;K$52,$B$14:$B$36&amp;"_"&amp;$C$14:$C$36,$D$14:$D$36)*$E1386)</f>
        <v>3.8192</v>
      </c>
      <c r="L1386" s="95" cm="1">
        <f ca="1" t="array" ref="L1386">MIN(6,_xlfn.XLOOKUP($D1386&amp;"_"&amp;L$52,$B$14:$B$36&amp;"_"&amp;$C$14:$C$36,$D$14:$D$36)*$E1386)</f>
        <v>6</v>
      </c>
      <c r="M1386" s="95" cm="1">
        <f ca="1" t="array" ref="M1386">(1+SUMPRODUCT(G1386:H1386,OFFSET($H$40:$I$40,D1386,0)))*(1+OFFSET($J$40,D1386,0))^I1386*(1+OFFSET($K$40,D1386,0))^J1386*(1+OFFSET($L$40,D1386,0))^K1386*(1+OFFSET($M$40,D1386,0))^L1386</f>
        <v>336.137859146948</v>
      </c>
      <c r="N1386" s="95">
        <f ca="1">MAX(MAX($N$53:N1385),OFFSET($C$52,MATCH(M1386*1.07,$M$53:$M$2052,1),0)-C1386)</f>
        <v>70560</v>
      </c>
    </row>
    <row r="1387" spans="2:14">
      <c r="B1387" s="95">
        <v>1335</v>
      </c>
      <c r="C1387" s="95">
        <f t="shared" si="111"/>
        <v>480600</v>
      </c>
      <c r="D1387" s="95">
        <f ca="1">_xlfn.XLOOKUP(总览!$B$44,$B$40:$B$45,$C$40:$C$45)</f>
        <v>5</v>
      </c>
      <c r="E1387" s="95">
        <f ca="1" t="shared" si="110"/>
        <v>1365</v>
      </c>
      <c r="F1387" s="95">
        <f ca="1" t="shared" si="112"/>
        <v>0</v>
      </c>
      <c r="G1387" s="95">
        <f ca="1" t="shared" si="113"/>
        <v>0</v>
      </c>
      <c r="H1387" s="95" cm="1">
        <f ca="1" t="array" ref="H1387">MIN(30-SUM(I1387:L1387),_xlfn.XLOOKUP($D1387&amp;"_"&amp;H$52,$B$14:$B$36&amp;"_"&amp;$C$14:$C$36,$D$14:$D$36)*$E1387,18)</f>
        <v>12.178</v>
      </c>
      <c r="I1387" s="95" cm="1">
        <f ca="1" t="array" ref="I1387">MIN(30-SUM(J1387:L1387),6-L1387,_xlfn.XLOOKUP($D1387&amp;"_"&amp;I$52,$B$14:$B$36&amp;"_"&amp;$C$14:$C$36,$D$14:$D$36)*$E1387)</f>
        <v>0</v>
      </c>
      <c r="J1387" s="95" cm="1">
        <f ca="1" t="array" ref="J1387">MIN(8,_xlfn.XLOOKUP($D1387&amp;"_"&amp;J$52,$B$14:$B$36&amp;"_"&amp;$C$14:$C$36,$D$14:$D$36)*$E1387)</f>
        <v>8</v>
      </c>
      <c r="K1387" s="95" cm="1">
        <f ca="1" t="array" ref="K1387">MIN(18,_xlfn.XLOOKUP($D1387&amp;"_"&amp;K$52,$B$14:$B$36&amp;"_"&amp;$C$14:$C$36,$D$14:$D$36)*$E1387)</f>
        <v>3.822</v>
      </c>
      <c r="L1387" s="95" cm="1">
        <f ca="1" t="array" ref="L1387">MIN(6,_xlfn.XLOOKUP($D1387&amp;"_"&amp;L$52,$B$14:$B$36&amp;"_"&amp;$C$14:$C$36,$D$14:$D$36)*$E1387)</f>
        <v>6</v>
      </c>
      <c r="M1387" s="95" cm="1">
        <f ca="1" t="array" ref="M1387">(1+SUMPRODUCT(G1387:H1387,OFFSET($H$40:$I$40,D1387,0)))*(1+OFFSET($J$40,D1387,0))^I1387*(1+OFFSET($K$40,D1387,0))^J1387*(1+OFFSET($L$40,D1387,0))^K1387*(1+OFFSET($M$40,D1387,0))^L1387</f>
        <v>336.254692211942</v>
      </c>
      <c r="N1387" s="95">
        <f ca="1">MAX(MAX($N$53:N1386),OFFSET($C$52,MATCH(M1387*1.07,$M$53:$M$2052,1),0)-C1387)</f>
        <v>70560</v>
      </c>
    </row>
    <row r="1388" spans="2:14">
      <c r="B1388" s="95">
        <v>1336</v>
      </c>
      <c r="C1388" s="95">
        <f t="shared" si="111"/>
        <v>480960</v>
      </c>
      <c r="D1388" s="95">
        <f ca="1">_xlfn.XLOOKUP(总览!$B$44,$B$40:$B$45,$C$40:$C$45)</f>
        <v>5</v>
      </c>
      <c r="E1388" s="95">
        <f ca="1" t="shared" si="110"/>
        <v>1366</v>
      </c>
      <c r="F1388" s="95">
        <f ca="1" t="shared" si="112"/>
        <v>0</v>
      </c>
      <c r="G1388" s="95">
        <f ca="1" t="shared" si="113"/>
        <v>0</v>
      </c>
      <c r="H1388" s="95" cm="1">
        <f ca="1" t="array" ref="H1388">MIN(30-SUM(I1388:L1388),_xlfn.XLOOKUP($D1388&amp;"_"&amp;H$52,$B$14:$B$36&amp;"_"&amp;$C$14:$C$36,$D$14:$D$36)*$E1388,18)</f>
        <v>12.1752</v>
      </c>
      <c r="I1388" s="95" cm="1">
        <f ca="1" t="array" ref="I1388">MIN(30-SUM(J1388:L1388),6-L1388,_xlfn.XLOOKUP($D1388&amp;"_"&amp;I$52,$B$14:$B$36&amp;"_"&amp;$C$14:$C$36,$D$14:$D$36)*$E1388)</f>
        <v>0</v>
      </c>
      <c r="J1388" s="95" cm="1">
        <f ca="1" t="array" ref="J1388">MIN(8,_xlfn.XLOOKUP($D1388&amp;"_"&amp;J$52,$B$14:$B$36&amp;"_"&amp;$C$14:$C$36,$D$14:$D$36)*$E1388)</f>
        <v>8</v>
      </c>
      <c r="K1388" s="95" cm="1">
        <f ca="1" t="array" ref="K1388">MIN(18,_xlfn.XLOOKUP($D1388&amp;"_"&amp;K$52,$B$14:$B$36&amp;"_"&amp;$C$14:$C$36,$D$14:$D$36)*$E1388)</f>
        <v>3.8248</v>
      </c>
      <c r="L1388" s="95" cm="1">
        <f ca="1" t="array" ref="L1388">MIN(6,_xlfn.XLOOKUP($D1388&amp;"_"&amp;L$52,$B$14:$B$36&amp;"_"&amp;$C$14:$C$36,$D$14:$D$36)*$E1388)</f>
        <v>6</v>
      </c>
      <c r="M1388" s="95" cm="1">
        <f ca="1" t="array" ref="M1388">(1+SUMPRODUCT(G1388:H1388,OFFSET($H$40:$I$40,D1388,0)))*(1+OFFSET($J$40,D1388,0))^I1388*(1+OFFSET($K$40,D1388,0))^J1388*(1+OFFSET($L$40,D1388,0))^K1388*(1+OFFSET($M$40,D1388,0))^L1388</f>
        <v>336.371556948203</v>
      </c>
      <c r="N1388" s="95">
        <f ca="1">MAX(MAX($N$53:N1387),OFFSET($C$52,MATCH(M1388*1.07,$M$53:$M$2052,1),0)-C1388)</f>
        <v>70560</v>
      </c>
    </row>
    <row r="1389" spans="2:14">
      <c r="B1389" s="95">
        <v>1337</v>
      </c>
      <c r="C1389" s="95">
        <f t="shared" si="111"/>
        <v>481320</v>
      </c>
      <c r="D1389" s="95">
        <f ca="1">_xlfn.XLOOKUP(总览!$B$44,$B$40:$B$45,$C$40:$C$45)</f>
        <v>5</v>
      </c>
      <c r="E1389" s="95">
        <f ca="1" t="shared" si="110"/>
        <v>1367</v>
      </c>
      <c r="F1389" s="95">
        <f ca="1" t="shared" si="112"/>
        <v>0</v>
      </c>
      <c r="G1389" s="95">
        <f ca="1" t="shared" si="113"/>
        <v>0</v>
      </c>
      <c r="H1389" s="95" cm="1">
        <f ca="1" t="array" ref="H1389">MIN(30-SUM(I1389:L1389),_xlfn.XLOOKUP($D1389&amp;"_"&amp;H$52,$B$14:$B$36&amp;"_"&amp;$C$14:$C$36,$D$14:$D$36)*$E1389,18)</f>
        <v>12.1724</v>
      </c>
      <c r="I1389" s="95" cm="1">
        <f ca="1" t="array" ref="I1389">MIN(30-SUM(J1389:L1389),6-L1389,_xlfn.XLOOKUP($D1389&amp;"_"&amp;I$52,$B$14:$B$36&amp;"_"&amp;$C$14:$C$36,$D$14:$D$36)*$E1389)</f>
        <v>0</v>
      </c>
      <c r="J1389" s="95" cm="1">
        <f ca="1" t="array" ref="J1389">MIN(8,_xlfn.XLOOKUP($D1389&amp;"_"&amp;J$52,$B$14:$B$36&amp;"_"&amp;$C$14:$C$36,$D$14:$D$36)*$E1389)</f>
        <v>8</v>
      </c>
      <c r="K1389" s="95" cm="1">
        <f ca="1" t="array" ref="K1389">MIN(18,_xlfn.XLOOKUP($D1389&amp;"_"&amp;K$52,$B$14:$B$36&amp;"_"&amp;$C$14:$C$36,$D$14:$D$36)*$E1389)</f>
        <v>3.8276</v>
      </c>
      <c r="L1389" s="95" cm="1">
        <f ca="1" t="array" ref="L1389">MIN(6,_xlfn.XLOOKUP($D1389&amp;"_"&amp;L$52,$B$14:$B$36&amp;"_"&amp;$C$14:$C$36,$D$14:$D$36)*$E1389)</f>
        <v>6</v>
      </c>
      <c r="M1389" s="95" cm="1">
        <f ca="1" t="array" ref="M1389">(1+SUMPRODUCT(G1389:H1389,OFFSET($H$40:$I$40,D1389,0)))*(1+OFFSET($J$40,D1389,0))^I1389*(1+OFFSET($K$40,D1389,0))^J1389*(1+OFFSET($L$40,D1389,0))^K1389*(1+OFFSET($M$40,D1389,0))^L1389</f>
        <v>336.488453357613</v>
      </c>
      <c r="N1389" s="95">
        <f ca="1">MAX(MAX($N$53:N1388),OFFSET($C$52,MATCH(M1389*1.07,$M$53:$M$2052,1),0)-C1389)</f>
        <v>70560</v>
      </c>
    </row>
    <row r="1390" spans="2:14">
      <c r="B1390" s="95">
        <v>1338</v>
      </c>
      <c r="C1390" s="95">
        <f t="shared" si="111"/>
        <v>481680</v>
      </c>
      <c r="D1390" s="95">
        <f ca="1">_xlfn.XLOOKUP(总览!$B$44,$B$40:$B$45,$C$40:$C$45)</f>
        <v>5</v>
      </c>
      <c r="E1390" s="95">
        <f ca="1" t="shared" si="110"/>
        <v>1368</v>
      </c>
      <c r="F1390" s="95">
        <f ca="1" t="shared" si="112"/>
        <v>0</v>
      </c>
      <c r="G1390" s="95">
        <f ca="1" t="shared" si="113"/>
        <v>0</v>
      </c>
      <c r="H1390" s="95" cm="1">
        <f ca="1" t="array" ref="H1390">MIN(30-SUM(I1390:L1390),_xlfn.XLOOKUP($D1390&amp;"_"&amp;H$52,$B$14:$B$36&amp;"_"&amp;$C$14:$C$36,$D$14:$D$36)*$E1390,18)</f>
        <v>12.1696</v>
      </c>
      <c r="I1390" s="95" cm="1">
        <f ca="1" t="array" ref="I1390">MIN(30-SUM(J1390:L1390),6-L1390,_xlfn.XLOOKUP($D1390&amp;"_"&amp;I$52,$B$14:$B$36&amp;"_"&amp;$C$14:$C$36,$D$14:$D$36)*$E1390)</f>
        <v>0</v>
      </c>
      <c r="J1390" s="95" cm="1">
        <f ca="1" t="array" ref="J1390">MIN(8,_xlfn.XLOOKUP($D1390&amp;"_"&amp;J$52,$B$14:$B$36&amp;"_"&amp;$C$14:$C$36,$D$14:$D$36)*$E1390)</f>
        <v>8</v>
      </c>
      <c r="K1390" s="95" cm="1">
        <f ca="1" t="array" ref="K1390">MIN(18,_xlfn.XLOOKUP($D1390&amp;"_"&amp;K$52,$B$14:$B$36&amp;"_"&amp;$C$14:$C$36,$D$14:$D$36)*$E1390)</f>
        <v>3.8304</v>
      </c>
      <c r="L1390" s="95" cm="1">
        <f ca="1" t="array" ref="L1390">MIN(6,_xlfn.XLOOKUP($D1390&amp;"_"&amp;L$52,$B$14:$B$36&amp;"_"&amp;$C$14:$C$36,$D$14:$D$36)*$E1390)</f>
        <v>6</v>
      </c>
      <c r="M1390" s="95" cm="1">
        <f ca="1" t="array" ref="M1390">(1+SUMPRODUCT(G1390:H1390,OFFSET($H$40:$I$40,D1390,0)))*(1+OFFSET($J$40,D1390,0))^I1390*(1+OFFSET($K$40,D1390,0))^J1390*(1+OFFSET($L$40,D1390,0))^K1390*(1+OFFSET($M$40,D1390,0))^L1390</f>
        <v>336.605381442047</v>
      </c>
      <c r="N1390" s="95">
        <f ca="1">MAX(MAX($N$53:N1389),OFFSET($C$52,MATCH(M1390*1.07,$M$53:$M$2052,1),0)-C1390)</f>
        <v>70560</v>
      </c>
    </row>
    <row r="1391" spans="2:14">
      <c r="B1391" s="95">
        <v>1339</v>
      </c>
      <c r="C1391" s="95">
        <f t="shared" si="111"/>
        <v>482040</v>
      </c>
      <c r="D1391" s="95">
        <f ca="1">_xlfn.XLOOKUP(总览!$B$44,$B$40:$B$45,$C$40:$C$45)</f>
        <v>5</v>
      </c>
      <c r="E1391" s="95">
        <f ca="1" t="shared" si="110"/>
        <v>1369</v>
      </c>
      <c r="F1391" s="95">
        <f ca="1" t="shared" si="112"/>
        <v>0</v>
      </c>
      <c r="G1391" s="95">
        <f ca="1" t="shared" si="113"/>
        <v>0</v>
      </c>
      <c r="H1391" s="95" cm="1">
        <f ca="1" t="array" ref="H1391">MIN(30-SUM(I1391:L1391),_xlfn.XLOOKUP($D1391&amp;"_"&amp;H$52,$B$14:$B$36&amp;"_"&amp;$C$14:$C$36,$D$14:$D$36)*$E1391,18)</f>
        <v>12.1668</v>
      </c>
      <c r="I1391" s="95" cm="1">
        <f ca="1" t="array" ref="I1391">MIN(30-SUM(J1391:L1391),6-L1391,_xlfn.XLOOKUP($D1391&amp;"_"&amp;I$52,$B$14:$B$36&amp;"_"&amp;$C$14:$C$36,$D$14:$D$36)*$E1391)</f>
        <v>0</v>
      </c>
      <c r="J1391" s="95" cm="1">
        <f ca="1" t="array" ref="J1391">MIN(8,_xlfn.XLOOKUP($D1391&amp;"_"&amp;J$52,$B$14:$B$36&amp;"_"&amp;$C$14:$C$36,$D$14:$D$36)*$E1391)</f>
        <v>8</v>
      </c>
      <c r="K1391" s="95" cm="1">
        <f ca="1" t="array" ref="K1391">MIN(18,_xlfn.XLOOKUP($D1391&amp;"_"&amp;K$52,$B$14:$B$36&amp;"_"&amp;$C$14:$C$36,$D$14:$D$36)*$E1391)</f>
        <v>3.8332</v>
      </c>
      <c r="L1391" s="95" cm="1">
        <f ca="1" t="array" ref="L1391">MIN(6,_xlfn.XLOOKUP($D1391&amp;"_"&amp;L$52,$B$14:$B$36&amp;"_"&amp;$C$14:$C$36,$D$14:$D$36)*$E1391)</f>
        <v>6</v>
      </c>
      <c r="M1391" s="95" cm="1">
        <f ca="1" t="array" ref="M1391">(1+SUMPRODUCT(G1391:H1391,OFFSET($H$40:$I$40,D1391,0)))*(1+OFFSET($J$40,D1391,0))^I1391*(1+OFFSET($K$40,D1391,0))^J1391*(1+OFFSET($L$40,D1391,0))^K1391*(1+OFFSET($M$40,D1391,0))^L1391</f>
        <v>336.722341203373</v>
      </c>
      <c r="N1391" s="95">
        <f ca="1">MAX(MAX($N$53:N1390),OFFSET($C$52,MATCH(M1391*1.07,$M$53:$M$2052,1),0)-C1391)</f>
        <v>70560</v>
      </c>
    </row>
    <row r="1392" spans="2:14">
      <c r="B1392" s="95">
        <v>1340</v>
      </c>
      <c r="C1392" s="95">
        <f t="shared" si="111"/>
        <v>482400</v>
      </c>
      <c r="D1392" s="95">
        <f ca="1">_xlfn.XLOOKUP(总览!$B$44,$B$40:$B$45,$C$40:$C$45)</f>
        <v>5</v>
      </c>
      <c r="E1392" s="95">
        <f ca="1" t="shared" si="110"/>
        <v>1370</v>
      </c>
      <c r="F1392" s="95">
        <f ca="1" t="shared" si="112"/>
        <v>0</v>
      </c>
      <c r="G1392" s="95">
        <f ca="1" t="shared" si="113"/>
        <v>0</v>
      </c>
      <c r="H1392" s="95" cm="1">
        <f ca="1" t="array" ref="H1392">MIN(30-SUM(I1392:L1392),_xlfn.XLOOKUP($D1392&amp;"_"&amp;H$52,$B$14:$B$36&amp;"_"&amp;$C$14:$C$36,$D$14:$D$36)*$E1392,18)</f>
        <v>12.164</v>
      </c>
      <c r="I1392" s="95" cm="1">
        <f ca="1" t="array" ref="I1392">MIN(30-SUM(J1392:L1392),6-L1392,_xlfn.XLOOKUP($D1392&amp;"_"&amp;I$52,$B$14:$B$36&amp;"_"&amp;$C$14:$C$36,$D$14:$D$36)*$E1392)</f>
        <v>0</v>
      </c>
      <c r="J1392" s="95" cm="1">
        <f ca="1" t="array" ref="J1392">MIN(8,_xlfn.XLOOKUP($D1392&amp;"_"&amp;J$52,$B$14:$B$36&amp;"_"&amp;$C$14:$C$36,$D$14:$D$36)*$E1392)</f>
        <v>8</v>
      </c>
      <c r="K1392" s="95" cm="1">
        <f ca="1" t="array" ref="K1392">MIN(18,_xlfn.XLOOKUP($D1392&amp;"_"&amp;K$52,$B$14:$B$36&amp;"_"&amp;$C$14:$C$36,$D$14:$D$36)*$E1392)</f>
        <v>3.836</v>
      </c>
      <c r="L1392" s="95" cm="1">
        <f ca="1" t="array" ref="L1392">MIN(6,_xlfn.XLOOKUP($D1392&amp;"_"&amp;L$52,$B$14:$B$36&amp;"_"&amp;$C$14:$C$36,$D$14:$D$36)*$E1392)</f>
        <v>6</v>
      </c>
      <c r="M1392" s="95" cm="1">
        <f ca="1" t="array" ref="M1392">(1+SUMPRODUCT(G1392:H1392,OFFSET($H$40:$I$40,D1392,0)))*(1+OFFSET($J$40,D1392,0))^I1392*(1+OFFSET($K$40,D1392,0))^J1392*(1+OFFSET($L$40,D1392,0))^K1392*(1+OFFSET($M$40,D1392,0))^L1392</f>
        <v>336.839332643454</v>
      </c>
      <c r="N1392" s="95">
        <f ca="1">MAX(MAX($N$53:N1391),OFFSET($C$52,MATCH(M1392*1.07,$M$53:$M$2052,1),0)-C1392)</f>
        <v>70560</v>
      </c>
    </row>
    <row r="1393" spans="2:14">
      <c r="B1393" s="95">
        <v>1341</v>
      </c>
      <c r="C1393" s="95">
        <f t="shared" si="111"/>
        <v>482760</v>
      </c>
      <c r="D1393" s="95">
        <f ca="1">_xlfn.XLOOKUP(总览!$B$44,$B$40:$B$45,$C$40:$C$45)</f>
        <v>5</v>
      </c>
      <c r="E1393" s="95">
        <f ca="1" t="shared" si="110"/>
        <v>1371</v>
      </c>
      <c r="F1393" s="95">
        <f ca="1" t="shared" si="112"/>
        <v>0</v>
      </c>
      <c r="G1393" s="95">
        <f ca="1" t="shared" si="113"/>
        <v>0</v>
      </c>
      <c r="H1393" s="95" cm="1">
        <f ca="1" t="array" ref="H1393">MIN(30-SUM(I1393:L1393),_xlfn.XLOOKUP($D1393&amp;"_"&amp;H$52,$B$14:$B$36&amp;"_"&amp;$C$14:$C$36,$D$14:$D$36)*$E1393,18)</f>
        <v>12.1612</v>
      </c>
      <c r="I1393" s="95" cm="1">
        <f ca="1" t="array" ref="I1393">MIN(30-SUM(J1393:L1393),6-L1393,_xlfn.XLOOKUP($D1393&amp;"_"&amp;I$52,$B$14:$B$36&amp;"_"&amp;$C$14:$C$36,$D$14:$D$36)*$E1393)</f>
        <v>0</v>
      </c>
      <c r="J1393" s="95" cm="1">
        <f ca="1" t="array" ref="J1393">MIN(8,_xlfn.XLOOKUP($D1393&amp;"_"&amp;J$52,$B$14:$B$36&amp;"_"&amp;$C$14:$C$36,$D$14:$D$36)*$E1393)</f>
        <v>8</v>
      </c>
      <c r="K1393" s="95" cm="1">
        <f ca="1" t="array" ref="K1393">MIN(18,_xlfn.XLOOKUP($D1393&amp;"_"&amp;K$52,$B$14:$B$36&amp;"_"&amp;$C$14:$C$36,$D$14:$D$36)*$E1393)</f>
        <v>3.8388</v>
      </c>
      <c r="L1393" s="95" cm="1">
        <f ca="1" t="array" ref="L1393">MIN(6,_xlfn.XLOOKUP($D1393&amp;"_"&amp;L$52,$B$14:$B$36&amp;"_"&amp;$C$14:$C$36,$D$14:$D$36)*$E1393)</f>
        <v>6</v>
      </c>
      <c r="M1393" s="95" cm="1">
        <f ca="1" t="array" ref="M1393">(1+SUMPRODUCT(G1393:H1393,OFFSET($H$40:$I$40,D1393,0)))*(1+OFFSET($J$40,D1393,0))^I1393*(1+OFFSET($K$40,D1393,0))^J1393*(1+OFFSET($L$40,D1393,0))^K1393*(1+OFFSET($M$40,D1393,0))^L1393</f>
        <v>336.956355764146</v>
      </c>
      <c r="N1393" s="95">
        <f ca="1">MAX(MAX($N$53:N1392),OFFSET($C$52,MATCH(M1393*1.07,$M$53:$M$2052,1),0)-C1393)</f>
        <v>70560</v>
      </c>
    </row>
    <row r="1394" spans="2:14">
      <c r="B1394" s="95">
        <v>1342</v>
      </c>
      <c r="C1394" s="95">
        <f t="shared" si="111"/>
        <v>483120</v>
      </c>
      <c r="D1394" s="95">
        <f ca="1">_xlfn.XLOOKUP(总览!$B$44,$B$40:$B$45,$C$40:$C$45)</f>
        <v>5</v>
      </c>
      <c r="E1394" s="95">
        <f ca="1" t="shared" si="110"/>
        <v>1372</v>
      </c>
      <c r="F1394" s="95">
        <f ca="1" t="shared" si="112"/>
        <v>0</v>
      </c>
      <c r="G1394" s="95">
        <f ca="1" t="shared" si="113"/>
        <v>0</v>
      </c>
      <c r="H1394" s="95" cm="1">
        <f ca="1" t="array" ref="H1394">MIN(30-SUM(I1394:L1394),_xlfn.XLOOKUP($D1394&amp;"_"&amp;H$52,$B$14:$B$36&amp;"_"&amp;$C$14:$C$36,$D$14:$D$36)*$E1394,18)</f>
        <v>12.1584</v>
      </c>
      <c r="I1394" s="95" cm="1">
        <f ca="1" t="array" ref="I1394">MIN(30-SUM(J1394:L1394),6-L1394,_xlfn.XLOOKUP($D1394&amp;"_"&amp;I$52,$B$14:$B$36&amp;"_"&amp;$C$14:$C$36,$D$14:$D$36)*$E1394)</f>
        <v>0</v>
      </c>
      <c r="J1394" s="95" cm="1">
        <f ca="1" t="array" ref="J1394">MIN(8,_xlfn.XLOOKUP($D1394&amp;"_"&amp;J$52,$B$14:$B$36&amp;"_"&amp;$C$14:$C$36,$D$14:$D$36)*$E1394)</f>
        <v>8</v>
      </c>
      <c r="K1394" s="95" cm="1">
        <f ca="1" t="array" ref="K1394">MIN(18,_xlfn.XLOOKUP($D1394&amp;"_"&amp;K$52,$B$14:$B$36&amp;"_"&amp;$C$14:$C$36,$D$14:$D$36)*$E1394)</f>
        <v>3.8416</v>
      </c>
      <c r="L1394" s="95" cm="1">
        <f ca="1" t="array" ref="L1394">MIN(6,_xlfn.XLOOKUP($D1394&amp;"_"&amp;L$52,$B$14:$B$36&amp;"_"&amp;$C$14:$C$36,$D$14:$D$36)*$E1394)</f>
        <v>6</v>
      </c>
      <c r="M1394" s="95" cm="1">
        <f ca="1" t="array" ref="M1394">(1+SUMPRODUCT(G1394:H1394,OFFSET($H$40:$I$40,D1394,0)))*(1+OFFSET($J$40,D1394,0))^I1394*(1+OFFSET($K$40,D1394,0))^J1394*(1+OFFSET($L$40,D1394,0))^K1394*(1+OFFSET($M$40,D1394,0))^L1394</f>
        <v>337.073410567297</v>
      </c>
      <c r="N1394" s="95">
        <f ca="1">MAX(MAX($N$53:N1393),OFFSET($C$52,MATCH(M1394*1.07,$M$53:$M$2052,1),0)-C1394)</f>
        <v>70560</v>
      </c>
    </row>
    <row r="1395" spans="2:14">
      <c r="B1395" s="95">
        <v>1343</v>
      </c>
      <c r="C1395" s="95">
        <f t="shared" si="111"/>
        <v>483480</v>
      </c>
      <c r="D1395" s="95">
        <f ca="1">_xlfn.XLOOKUP(总览!$B$44,$B$40:$B$45,$C$40:$C$45)</f>
        <v>5</v>
      </c>
      <c r="E1395" s="95">
        <f ca="1" t="shared" si="110"/>
        <v>1373</v>
      </c>
      <c r="F1395" s="95">
        <f ca="1" t="shared" si="112"/>
        <v>0</v>
      </c>
      <c r="G1395" s="95">
        <f ca="1" t="shared" si="113"/>
        <v>0</v>
      </c>
      <c r="H1395" s="95" cm="1">
        <f ca="1" t="array" ref="H1395">MIN(30-SUM(I1395:L1395),_xlfn.XLOOKUP($D1395&amp;"_"&amp;H$52,$B$14:$B$36&amp;"_"&amp;$C$14:$C$36,$D$14:$D$36)*$E1395,18)</f>
        <v>12.1556</v>
      </c>
      <c r="I1395" s="95" cm="1">
        <f ca="1" t="array" ref="I1395">MIN(30-SUM(J1395:L1395),6-L1395,_xlfn.XLOOKUP($D1395&amp;"_"&amp;I$52,$B$14:$B$36&amp;"_"&amp;$C$14:$C$36,$D$14:$D$36)*$E1395)</f>
        <v>0</v>
      </c>
      <c r="J1395" s="95" cm="1">
        <f ca="1" t="array" ref="J1395">MIN(8,_xlfn.XLOOKUP($D1395&amp;"_"&amp;J$52,$B$14:$B$36&amp;"_"&amp;$C$14:$C$36,$D$14:$D$36)*$E1395)</f>
        <v>8</v>
      </c>
      <c r="K1395" s="95" cm="1">
        <f ca="1" t="array" ref="K1395">MIN(18,_xlfn.XLOOKUP($D1395&amp;"_"&amp;K$52,$B$14:$B$36&amp;"_"&amp;$C$14:$C$36,$D$14:$D$36)*$E1395)</f>
        <v>3.8444</v>
      </c>
      <c r="L1395" s="95" cm="1">
        <f ca="1" t="array" ref="L1395">MIN(6,_xlfn.XLOOKUP($D1395&amp;"_"&amp;L$52,$B$14:$B$36&amp;"_"&amp;$C$14:$C$36,$D$14:$D$36)*$E1395)</f>
        <v>6</v>
      </c>
      <c r="M1395" s="95" cm="1">
        <f ca="1" t="array" ref="M1395">(1+SUMPRODUCT(G1395:H1395,OFFSET($H$40:$I$40,D1395,0)))*(1+OFFSET($J$40,D1395,0))^I1395*(1+OFFSET($K$40,D1395,0))^J1395*(1+OFFSET($L$40,D1395,0))^K1395*(1+OFFSET($M$40,D1395,0))^L1395</f>
        <v>337.19049705475</v>
      </c>
      <c r="N1395" s="95">
        <f ca="1">MAX(MAX($N$53:N1394),OFFSET($C$52,MATCH(M1395*1.07,$M$53:$M$2052,1),0)-C1395)</f>
        <v>70560</v>
      </c>
    </row>
    <row r="1396" spans="2:14">
      <c r="B1396" s="95">
        <v>1344</v>
      </c>
      <c r="C1396" s="95">
        <f t="shared" si="111"/>
        <v>483840</v>
      </c>
      <c r="D1396" s="95">
        <f ca="1">_xlfn.XLOOKUP(总览!$B$44,$B$40:$B$45,$C$40:$C$45)</f>
        <v>5</v>
      </c>
      <c r="E1396" s="95">
        <f ca="1" t="shared" si="110"/>
        <v>1374</v>
      </c>
      <c r="F1396" s="95">
        <f ca="1" t="shared" si="112"/>
        <v>0</v>
      </c>
      <c r="G1396" s="95">
        <f ca="1" t="shared" si="113"/>
        <v>0</v>
      </c>
      <c r="H1396" s="95" cm="1">
        <f ca="1" t="array" ref="H1396">MIN(30-SUM(I1396:L1396),_xlfn.XLOOKUP($D1396&amp;"_"&amp;H$52,$B$14:$B$36&amp;"_"&amp;$C$14:$C$36,$D$14:$D$36)*$E1396,18)</f>
        <v>12.1528</v>
      </c>
      <c r="I1396" s="95" cm="1">
        <f ca="1" t="array" ref="I1396">MIN(30-SUM(J1396:L1396),6-L1396,_xlfn.XLOOKUP($D1396&amp;"_"&amp;I$52,$B$14:$B$36&amp;"_"&amp;$C$14:$C$36,$D$14:$D$36)*$E1396)</f>
        <v>0</v>
      </c>
      <c r="J1396" s="95" cm="1">
        <f ca="1" t="array" ref="J1396">MIN(8,_xlfn.XLOOKUP($D1396&amp;"_"&amp;J$52,$B$14:$B$36&amp;"_"&amp;$C$14:$C$36,$D$14:$D$36)*$E1396)</f>
        <v>8</v>
      </c>
      <c r="K1396" s="95" cm="1">
        <f ca="1" t="array" ref="K1396">MIN(18,_xlfn.XLOOKUP($D1396&amp;"_"&amp;K$52,$B$14:$B$36&amp;"_"&amp;$C$14:$C$36,$D$14:$D$36)*$E1396)</f>
        <v>3.8472</v>
      </c>
      <c r="L1396" s="95" cm="1">
        <f ca="1" t="array" ref="L1396">MIN(6,_xlfn.XLOOKUP($D1396&amp;"_"&amp;L$52,$B$14:$B$36&amp;"_"&amp;$C$14:$C$36,$D$14:$D$36)*$E1396)</f>
        <v>6</v>
      </c>
      <c r="M1396" s="95" cm="1">
        <f ca="1" t="array" ref="M1396">(1+SUMPRODUCT(G1396:H1396,OFFSET($H$40:$I$40,D1396,0)))*(1+OFFSET($J$40,D1396,0))^I1396*(1+OFFSET($K$40,D1396,0))^J1396*(1+OFFSET($L$40,D1396,0))^K1396*(1+OFFSET($M$40,D1396,0))^L1396</f>
        <v>337.307615228343</v>
      </c>
      <c r="N1396" s="95">
        <f ca="1">MAX(MAX($N$53:N1395),OFFSET($C$52,MATCH(M1396*1.07,$M$53:$M$2052,1),0)-C1396)</f>
        <v>70560</v>
      </c>
    </row>
    <row r="1397" spans="2:14">
      <c r="B1397" s="95">
        <v>1345</v>
      </c>
      <c r="C1397" s="95">
        <f t="shared" si="111"/>
        <v>484200</v>
      </c>
      <c r="D1397" s="95">
        <f ca="1">_xlfn.XLOOKUP(总览!$B$44,$B$40:$B$45,$C$40:$C$45)</f>
        <v>5</v>
      </c>
      <c r="E1397" s="95">
        <f ca="1" t="shared" si="110"/>
        <v>1375</v>
      </c>
      <c r="F1397" s="95">
        <f ca="1" t="shared" si="112"/>
        <v>0</v>
      </c>
      <c r="G1397" s="95">
        <f ca="1" t="shared" si="113"/>
        <v>0</v>
      </c>
      <c r="H1397" s="95" cm="1">
        <f ca="1" t="array" ref="H1397">MIN(30-SUM(I1397:L1397),_xlfn.XLOOKUP($D1397&amp;"_"&amp;H$52,$B$14:$B$36&amp;"_"&amp;$C$14:$C$36,$D$14:$D$36)*$E1397,18)</f>
        <v>12.15</v>
      </c>
      <c r="I1397" s="95" cm="1">
        <f ca="1" t="array" ref="I1397">MIN(30-SUM(J1397:L1397),6-L1397,_xlfn.XLOOKUP($D1397&amp;"_"&amp;I$52,$B$14:$B$36&amp;"_"&amp;$C$14:$C$36,$D$14:$D$36)*$E1397)</f>
        <v>0</v>
      </c>
      <c r="J1397" s="95" cm="1">
        <f ca="1" t="array" ref="J1397">MIN(8,_xlfn.XLOOKUP($D1397&amp;"_"&amp;J$52,$B$14:$B$36&amp;"_"&amp;$C$14:$C$36,$D$14:$D$36)*$E1397)</f>
        <v>8</v>
      </c>
      <c r="K1397" s="95" cm="1">
        <f ca="1" t="array" ref="K1397">MIN(18,_xlfn.XLOOKUP($D1397&amp;"_"&amp;K$52,$B$14:$B$36&amp;"_"&amp;$C$14:$C$36,$D$14:$D$36)*$E1397)</f>
        <v>3.85</v>
      </c>
      <c r="L1397" s="95" cm="1">
        <f ca="1" t="array" ref="L1397">MIN(6,_xlfn.XLOOKUP($D1397&amp;"_"&amp;L$52,$B$14:$B$36&amp;"_"&amp;$C$14:$C$36,$D$14:$D$36)*$E1397)</f>
        <v>6</v>
      </c>
      <c r="M1397" s="95" cm="1">
        <f ca="1" t="array" ref="M1397">(1+SUMPRODUCT(G1397:H1397,OFFSET($H$40:$I$40,D1397,0)))*(1+OFFSET($J$40,D1397,0))^I1397*(1+OFFSET($K$40,D1397,0))^J1397*(1+OFFSET($L$40,D1397,0))^K1397*(1+OFFSET($M$40,D1397,0))^L1397</f>
        <v>337.424765089906</v>
      </c>
      <c r="N1397" s="95">
        <f ca="1">MAX(MAX($N$53:N1396),OFFSET($C$52,MATCH(M1397*1.07,$M$53:$M$2052,1),0)-C1397)</f>
        <v>70560</v>
      </c>
    </row>
    <row r="1398" spans="2:14">
      <c r="B1398" s="95">
        <v>1346</v>
      </c>
      <c r="C1398" s="95">
        <f t="shared" si="111"/>
        <v>484560</v>
      </c>
      <c r="D1398" s="95">
        <f ca="1">_xlfn.XLOOKUP(总览!$B$44,$B$40:$B$45,$C$40:$C$45)</f>
        <v>5</v>
      </c>
      <c r="E1398" s="95">
        <f ca="1" t="shared" ref="E1398:E1461" si="114">INT(C1398/_xlfn.XLOOKUP(D1398,$N$5:$N$16,$O$5:$O$16))+OFFSET($R$40,D1398,0)</f>
        <v>1376</v>
      </c>
      <c r="F1398" s="95">
        <f ca="1" t="shared" si="112"/>
        <v>0</v>
      </c>
      <c r="G1398" s="95">
        <f ca="1" t="shared" si="113"/>
        <v>0</v>
      </c>
      <c r="H1398" s="95" cm="1">
        <f ca="1" t="array" ref="H1398">MIN(30-SUM(I1398:L1398),_xlfn.XLOOKUP($D1398&amp;"_"&amp;H$52,$B$14:$B$36&amp;"_"&amp;$C$14:$C$36,$D$14:$D$36)*$E1398,18)</f>
        <v>12.1472</v>
      </c>
      <c r="I1398" s="95" cm="1">
        <f ca="1" t="array" ref="I1398">MIN(30-SUM(J1398:L1398),6-L1398,_xlfn.XLOOKUP($D1398&amp;"_"&amp;I$52,$B$14:$B$36&amp;"_"&amp;$C$14:$C$36,$D$14:$D$36)*$E1398)</f>
        <v>0</v>
      </c>
      <c r="J1398" s="95" cm="1">
        <f ca="1" t="array" ref="J1398">MIN(8,_xlfn.XLOOKUP($D1398&amp;"_"&amp;J$52,$B$14:$B$36&amp;"_"&amp;$C$14:$C$36,$D$14:$D$36)*$E1398)</f>
        <v>8</v>
      </c>
      <c r="K1398" s="95" cm="1">
        <f ca="1" t="array" ref="K1398">MIN(18,_xlfn.XLOOKUP($D1398&amp;"_"&amp;K$52,$B$14:$B$36&amp;"_"&amp;$C$14:$C$36,$D$14:$D$36)*$E1398)</f>
        <v>3.8528</v>
      </c>
      <c r="L1398" s="95" cm="1">
        <f ca="1" t="array" ref="L1398">MIN(6,_xlfn.XLOOKUP($D1398&amp;"_"&amp;L$52,$B$14:$B$36&amp;"_"&amp;$C$14:$C$36,$D$14:$D$36)*$E1398)</f>
        <v>6</v>
      </c>
      <c r="M1398" s="95" cm="1">
        <f ca="1" t="array" ref="M1398">(1+SUMPRODUCT(G1398:H1398,OFFSET($H$40:$I$40,D1398,0)))*(1+OFFSET($J$40,D1398,0))^I1398*(1+OFFSET($K$40,D1398,0))^J1398*(1+OFFSET($L$40,D1398,0))^K1398*(1+OFFSET($M$40,D1398,0))^L1398</f>
        <v>337.541946641262</v>
      </c>
      <c r="N1398" s="95">
        <f ca="1">MAX(MAX($N$53:N1397),OFFSET($C$52,MATCH(M1398*1.07,$M$53:$M$2052,1),0)-C1398)</f>
        <v>70560</v>
      </c>
    </row>
    <row r="1399" spans="2:14">
      <c r="B1399" s="95">
        <v>1347</v>
      </c>
      <c r="C1399" s="95">
        <f t="shared" si="111"/>
        <v>484920</v>
      </c>
      <c r="D1399" s="95">
        <f ca="1">_xlfn.XLOOKUP(总览!$B$44,$B$40:$B$45,$C$40:$C$45)</f>
        <v>5</v>
      </c>
      <c r="E1399" s="95">
        <f ca="1" t="shared" si="114"/>
        <v>1377</v>
      </c>
      <c r="F1399" s="95">
        <f ca="1" t="shared" si="112"/>
        <v>0</v>
      </c>
      <c r="G1399" s="95">
        <f ca="1" t="shared" si="113"/>
        <v>0</v>
      </c>
      <c r="H1399" s="95" cm="1">
        <f ca="1" t="array" ref="H1399">MIN(30-SUM(I1399:L1399),_xlfn.XLOOKUP($D1399&amp;"_"&amp;H$52,$B$14:$B$36&amp;"_"&amp;$C$14:$C$36,$D$14:$D$36)*$E1399,18)</f>
        <v>12.1444</v>
      </c>
      <c r="I1399" s="95" cm="1">
        <f ca="1" t="array" ref="I1399">MIN(30-SUM(J1399:L1399),6-L1399,_xlfn.XLOOKUP($D1399&amp;"_"&amp;I$52,$B$14:$B$36&amp;"_"&amp;$C$14:$C$36,$D$14:$D$36)*$E1399)</f>
        <v>0</v>
      </c>
      <c r="J1399" s="95" cm="1">
        <f ca="1" t="array" ref="J1399">MIN(8,_xlfn.XLOOKUP($D1399&amp;"_"&amp;J$52,$B$14:$B$36&amp;"_"&amp;$C$14:$C$36,$D$14:$D$36)*$E1399)</f>
        <v>8</v>
      </c>
      <c r="K1399" s="95" cm="1">
        <f ca="1" t="array" ref="K1399">MIN(18,_xlfn.XLOOKUP($D1399&amp;"_"&amp;K$52,$B$14:$B$36&amp;"_"&amp;$C$14:$C$36,$D$14:$D$36)*$E1399)</f>
        <v>3.8556</v>
      </c>
      <c r="L1399" s="95" cm="1">
        <f ca="1" t="array" ref="L1399">MIN(6,_xlfn.XLOOKUP($D1399&amp;"_"&amp;L$52,$B$14:$B$36&amp;"_"&amp;$C$14:$C$36,$D$14:$D$36)*$E1399)</f>
        <v>6</v>
      </c>
      <c r="M1399" s="95" cm="1">
        <f ca="1" t="array" ref="M1399">(1+SUMPRODUCT(G1399:H1399,OFFSET($H$40:$I$40,D1399,0)))*(1+OFFSET($J$40,D1399,0))^I1399*(1+OFFSET($K$40,D1399,0))^J1399*(1+OFFSET($L$40,D1399,0))^K1399*(1+OFFSET($M$40,D1399,0))^L1399</f>
        <v>337.659159884229</v>
      </c>
      <c r="N1399" s="95">
        <f ca="1">MAX(MAX($N$53:N1398),OFFSET($C$52,MATCH(M1399*1.07,$M$53:$M$2052,1),0)-C1399)</f>
        <v>70560</v>
      </c>
    </row>
    <row r="1400" spans="2:14">
      <c r="B1400" s="95">
        <v>1348</v>
      </c>
      <c r="C1400" s="95">
        <f t="shared" si="111"/>
        <v>485280</v>
      </c>
      <c r="D1400" s="95">
        <f ca="1">_xlfn.XLOOKUP(总览!$B$44,$B$40:$B$45,$C$40:$C$45)</f>
        <v>5</v>
      </c>
      <c r="E1400" s="95">
        <f ca="1" t="shared" si="114"/>
        <v>1378</v>
      </c>
      <c r="F1400" s="95">
        <f ca="1" t="shared" si="112"/>
        <v>0</v>
      </c>
      <c r="G1400" s="95">
        <f ca="1" t="shared" si="113"/>
        <v>0</v>
      </c>
      <c r="H1400" s="95" cm="1">
        <f ca="1" t="array" ref="H1400">MIN(30-SUM(I1400:L1400),_xlfn.XLOOKUP($D1400&amp;"_"&amp;H$52,$B$14:$B$36&amp;"_"&amp;$C$14:$C$36,$D$14:$D$36)*$E1400,18)</f>
        <v>12.1416</v>
      </c>
      <c r="I1400" s="95" cm="1">
        <f ca="1" t="array" ref="I1400">MIN(30-SUM(J1400:L1400),6-L1400,_xlfn.XLOOKUP($D1400&amp;"_"&amp;I$52,$B$14:$B$36&amp;"_"&amp;$C$14:$C$36,$D$14:$D$36)*$E1400)</f>
        <v>0</v>
      </c>
      <c r="J1400" s="95" cm="1">
        <f ca="1" t="array" ref="J1400">MIN(8,_xlfn.XLOOKUP($D1400&amp;"_"&amp;J$52,$B$14:$B$36&amp;"_"&amp;$C$14:$C$36,$D$14:$D$36)*$E1400)</f>
        <v>8</v>
      </c>
      <c r="K1400" s="95" cm="1">
        <f ca="1" t="array" ref="K1400">MIN(18,_xlfn.XLOOKUP($D1400&amp;"_"&amp;K$52,$B$14:$B$36&amp;"_"&amp;$C$14:$C$36,$D$14:$D$36)*$E1400)</f>
        <v>3.8584</v>
      </c>
      <c r="L1400" s="95" cm="1">
        <f ca="1" t="array" ref="L1400">MIN(6,_xlfn.XLOOKUP($D1400&amp;"_"&amp;L$52,$B$14:$B$36&amp;"_"&amp;$C$14:$C$36,$D$14:$D$36)*$E1400)</f>
        <v>6</v>
      </c>
      <c r="M1400" s="95" cm="1">
        <f ca="1" t="array" ref="M1400">(1+SUMPRODUCT(G1400:H1400,OFFSET($H$40:$I$40,D1400,0)))*(1+OFFSET($J$40,D1400,0))^I1400*(1+OFFSET($K$40,D1400,0))^J1400*(1+OFFSET($L$40,D1400,0))^K1400*(1+OFFSET($M$40,D1400,0))^L1400</f>
        <v>337.776404820618</v>
      </c>
      <c r="N1400" s="95">
        <f ca="1">MAX(MAX($N$53:N1399),OFFSET($C$52,MATCH(M1400*1.07,$M$53:$M$2052,1),0)-C1400)</f>
        <v>70560</v>
      </c>
    </row>
    <row r="1401" spans="2:14">
      <c r="B1401" s="95">
        <v>1349</v>
      </c>
      <c r="C1401" s="95">
        <f t="shared" si="111"/>
        <v>485640</v>
      </c>
      <c r="D1401" s="95">
        <f ca="1">_xlfn.XLOOKUP(总览!$B$44,$B$40:$B$45,$C$40:$C$45)</f>
        <v>5</v>
      </c>
      <c r="E1401" s="95">
        <f ca="1" t="shared" si="114"/>
        <v>1379</v>
      </c>
      <c r="F1401" s="95">
        <f ca="1" t="shared" si="112"/>
        <v>0</v>
      </c>
      <c r="G1401" s="95">
        <f ca="1" t="shared" si="113"/>
        <v>0</v>
      </c>
      <c r="H1401" s="95" cm="1">
        <f ca="1" t="array" ref="H1401">MIN(30-SUM(I1401:L1401),_xlfn.XLOOKUP($D1401&amp;"_"&amp;H$52,$B$14:$B$36&amp;"_"&amp;$C$14:$C$36,$D$14:$D$36)*$E1401,18)</f>
        <v>12.1388</v>
      </c>
      <c r="I1401" s="95" cm="1">
        <f ca="1" t="array" ref="I1401">MIN(30-SUM(J1401:L1401),6-L1401,_xlfn.XLOOKUP($D1401&amp;"_"&amp;I$52,$B$14:$B$36&amp;"_"&amp;$C$14:$C$36,$D$14:$D$36)*$E1401)</f>
        <v>0</v>
      </c>
      <c r="J1401" s="95" cm="1">
        <f ca="1" t="array" ref="J1401">MIN(8,_xlfn.XLOOKUP($D1401&amp;"_"&amp;J$52,$B$14:$B$36&amp;"_"&amp;$C$14:$C$36,$D$14:$D$36)*$E1401)</f>
        <v>8</v>
      </c>
      <c r="K1401" s="95" cm="1">
        <f ca="1" t="array" ref="K1401">MIN(18,_xlfn.XLOOKUP($D1401&amp;"_"&amp;K$52,$B$14:$B$36&amp;"_"&amp;$C$14:$C$36,$D$14:$D$36)*$E1401)</f>
        <v>3.8612</v>
      </c>
      <c r="L1401" s="95" cm="1">
        <f ca="1" t="array" ref="L1401">MIN(6,_xlfn.XLOOKUP($D1401&amp;"_"&amp;L$52,$B$14:$B$36&amp;"_"&amp;$C$14:$C$36,$D$14:$D$36)*$E1401)</f>
        <v>6</v>
      </c>
      <c r="M1401" s="95" cm="1">
        <f ca="1" t="array" ref="M1401">(1+SUMPRODUCT(G1401:H1401,OFFSET($H$40:$I$40,D1401,0)))*(1+OFFSET($J$40,D1401,0))^I1401*(1+OFFSET($K$40,D1401,0))^J1401*(1+OFFSET($L$40,D1401,0))^K1401*(1+OFFSET($M$40,D1401,0))^L1401</f>
        <v>337.893681452234</v>
      </c>
      <c r="N1401" s="95">
        <f ca="1">MAX(MAX($N$53:N1400),OFFSET($C$52,MATCH(M1401*1.07,$M$53:$M$2052,1),0)-C1401)</f>
        <v>70560</v>
      </c>
    </row>
    <row r="1402" spans="2:14">
      <c r="B1402" s="95">
        <v>1350</v>
      </c>
      <c r="C1402" s="95">
        <f t="shared" si="111"/>
        <v>486000</v>
      </c>
      <c r="D1402" s="95">
        <f ca="1">_xlfn.XLOOKUP(总览!$B$44,$B$40:$B$45,$C$40:$C$45)</f>
        <v>5</v>
      </c>
      <c r="E1402" s="95">
        <f ca="1" t="shared" si="114"/>
        <v>1380</v>
      </c>
      <c r="F1402" s="95">
        <f ca="1" t="shared" si="112"/>
        <v>0</v>
      </c>
      <c r="G1402" s="95">
        <f ca="1" t="shared" si="113"/>
        <v>0</v>
      </c>
      <c r="H1402" s="95" cm="1">
        <f ca="1" t="array" ref="H1402">MIN(30-SUM(I1402:L1402),_xlfn.XLOOKUP($D1402&amp;"_"&amp;H$52,$B$14:$B$36&amp;"_"&amp;$C$14:$C$36,$D$14:$D$36)*$E1402,18)</f>
        <v>12.136</v>
      </c>
      <c r="I1402" s="95" cm="1">
        <f ca="1" t="array" ref="I1402">MIN(30-SUM(J1402:L1402),6-L1402,_xlfn.XLOOKUP($D1402&amp;"_"&amp;I$52,$B$14:$B$36&amp;"_"&amp;$C$14:$C$36,$D$14:$D$36)*$E1402)</f>
        <v>0</v>
      </c>
      <c r="J1402" s="95" cm="1">
        <f ca="1" t="array" ref="J1402">MIN(8,_xlfn.XLOOKUP($D1402&amp;"_"&amp;J$52,$B$14:$B$36&amp;"_"&amp;$C$14:$C$36,$D$14:$D$36)*$E1402)</f>
        <v>8</v>
      </c>
      <c r="K1402" s="95" cm="1">
        <f ca="1" t="array" ref="K1402">MIN(18,_xlfn.XLOOKUP($D1402&amp;"_"&amp;K$52,$B$14:$B$36&amp;"_"&amp;$C$14:$C$36,$D$14:$D$36)*$E1402)</f>
        <v>3.864</v>
      </c>
      <c r="L1402" s="95" cm="1">
        <f ca="1" t="array" ref="L1402">MIN(6,_xlfn.XLOOKUP($D1402&amp;"_"&amp;L$52,$B$14:$B$36&amp;"_"&amp;$C$14:$C$36,$D$14:$D$36)*$E1402)</f>
        <v>6</v>
      </c>
      <c r="M1402" s="95" cm="1">
        <f ca="1" t="array" ref="M1402">(1+SUMPRODUCT(G1402:H1402,OFFSET($H$40:$I$40,D1402,0)))*(1+OFFSET($J$40,D1402,0))^I1402*(1+OFFSET($K$40,D1402,0))^J1402*(1+OFFSET($L$40,D1402,0))^K1402*(1+OFFSET($M$40,D1402,0))^L1402</f>
        <v>338.010989780875</v>
      </c>
      <c r="N1402" s="95">
        <f ca="1">MAX(MAX($N$53:N1401),OFFSET($C$52,MATCH(M1402*1.07,$M$53:$M$2052,1),0)-C1402)</f>
        <v>70560</v>
      </c>
    </row>
    <row r="1403" spans="2:14">
      <c r="B1403" s="95">
        <v>1351</v>
      </c>
      <c r="C1403" s="95">
        <f t="shared" si="111"/>
        <v>486360</v>
      </c>
      <c r="D1403" s="95">
        <f ca="1">_xlfn.XLOOKUP(总览!$B$44,$B$40:$B$45,$C$40:$C$45)</f>
        <v>5</v>
      </c>
      <c r="E1403" s="95">
        <f ca="1" t="shared" si="114"/>
        <v>1381</v>
      </c>
      <c r="F1403" s="95">
        <f ca="1" t="shared" si="112"/>
        <v>0</v>
      </c>
      <c r="G1403" s="95">
        <f ca="1" t="shared" si="113"/>
        <v>0</v>
      </c>
      <c r="H1403" s="95" cm="1">
        <f ca="1" t="array" ref="H1403">MIN(30-SUM(I1403:L1403),_xlfn.XLOOKUP($D1403&amp;"_"&amp;H$52,$B$14:$B$36&amp;"_"&amp;$C$14:$C$36,$D$14:$D$36)*$E1403,18)</f>
        <v>12.1332</v>
      </c>
      <c r="I1403" s="95" cm="1">
        <f ca="1" t="array" ref="I1403">MIN(30-SUM(J1403:L1403),6-L1403,_xlfn.XLOOKUP($D1403&amp;"_"&amp;I$52,$B$14:$B$36&amp;"_"&amp;$C$14:$C$36,$D$14:$D$36)*$E1403)</f>
        <v>0</v>
      </c>
      <c r="J1403" s="95" cm="1">
        <f ca="1" t="array" ref="J1403">MIN(8,_xlfn.XLOOKUP($D1403&amp;"_"&amp;J$52,$B$14:$B$36&amp;"_"&amp;$C$14:$C$36,$D$14:$D$36)*$E1403)</f>
        <v>8</v>
      </c>
      <c r="K1403" s="95" cm="1">
        <f ca="1" t="array" ref="K1403">MIN(18,_xlfn.XLOOKUP($D1403&amp;"_"&amp;K$52,$B$14:$B$36&amp;"_"&amp;$C$14:$C$36,$D$14:$D$36)*$E1403)</f>
        <v>3.8668</v>
      </c>
      <c r="L1403" s="95" cm="1">
        <f ca="1" t="array" ref="L1403">MIN(6,_xlfn.XLOOKUP($D1403&amp;"_"&amp;L$52,$B$14:$B$36&amp;"_"&amp;$C$14:$C$36,$D$14:$D$36)*$E1403)</f>
        <v>6</v>
      </c>
      <c r="M1403" s="95" cm="1">
        <f ca="1" t="array" ref="M1403">(1+SUMPRODUCT(G1403:H1403,OFFSET($H$40:$I$40,D1403,0)))*(1+OFFSET($J$40,D1403,0))^I1403*(1+OFFSET($K$40,D1403,0))^J1403*(1+OFFSET($L$40,D1403,0))^K1403*(1+OFFSET($M$40,D1403,0))^L1403</f>
        <v>338.128329808333</v>
      </c>
      <c r="N1403" s="95">
        <f ca="1">MAX(MAX($N$53:N1402),OFFSET($C$52,MATCH(M1403*1.07,$M$53:$M$2052,1),0)-C1403)</f>
        <v>70560</v>
      </c>
    </row>
    <row r="1404" spans="2:14">
      <c r="B1404" s="95">
        <v>1352</v>
      </c>
      <c r="C1404" s="95">
        <f t="shared" si="111"/>
        <v>486720</v>
      </c>
      <c r="D1404" s="95">
        <f ca="1">_xlfn.XLOOKUP(总览!$B$44,$B$40:$B$45,$C$40:$C$45)</f>
        <v>5</v>
      </c>
      <c r="E1404" s="95">
        <f ca="1" t="shared" si="114"/>
        <v>1382</v>
      </c>
      <c r="F1404" s="95">
        <f ca="1" t="shared" si="112"/>
        <v>0</v>
      </c>
      <c r="G1404" s="95">
        <f ca="1" t="shared" si="113"/>
        <v>0</v>
      </c>
      <c r="H1404" s="95" cm="1">
        <f ca="1" t="array" ref="H1404">MIN(30-SUM(I1404:L1404),_xlfn.XLOOKUP($D1404&amp;"_"&amp;H$52,$B$14:$B$36&amp;"_"&amp;$C$14:$C$36,$D$14:$D$36)*$E1404,18)</f>
        <v>12.1304</v>
      </c>
      <c r="I1404" s="95" cm="1">
        <f ca="1" t="array" ref="I1404">MIN(30-SUM(J1404:L1404),6-L1404,_xlfn.XLOOKUP($D1404&amp;"_"&amp;I$52,$B$14:$B$36&amp;"_"&amp;$C$14:$C$36,$D$14:$D$36)*$E1404)</f>
        <v>0</v>
      </c>
      <c r="J1404" s="95" cm="1">
        <f ca="1" t="array" ref="J1404">MIN(8,_xlfn.XLOOKUP($D1404&amp;"_"&amp;J$52,$B$14:$B$36&amp;"_"&amp;$C$14:$C$36,$D$14:$D$36)*$E1404)</f>
        <v>8</v>
      </c>
      <c r="K1404" s="95" cm="1">
        <f ca="1" t="array" ref="K1404">MIN(18,_xlfn.XLOOKUP($D1404&amp;"_"&amp;K$52,$B$14:$B$36&amp;"_"&amp;$C$14:$C$36,$D$14:$D$36)*$E1404)</f>
        <v>3.8696</v>
      </c>
      <c r="L1404" s="95" cm="1">
        <f ca="1" t="array" ref="L1404">MIN(6,_xlfn.XLOOKUP($D1404&amp;"_"&amp;L$52,$B$14:$B$36&amp;"_"&amp;$C$14:$C$36,$D$14:$D$36)*$E1404)</f>
        <v>6</v>
      </c>
      <c r="M1404" s="95" cm="1">
        <f ca="1" t="array" ref="M1404">(1+SUMPRODUCT(G1404:H1404,OFFSET($H$40:$I$40,D1404,0)))*(1+OFFSET($J$40,D1404,0))^I1404*(1+OFFSET($K$40,D1404,0))^J1404*(1+OFFSET($L$40,D1404,0))^K1404*(1+OFFSET($M$40,D1404,0))^L1404</f>
        <v>338.245701536393</v>
      </c>
      <c r="N1404" s="95">
        <f ca="1">MAX(MAX($N$53:N1403),OFFSET($C$52,MATCH(M1404*1.07,$M$53:$M$2052,1),0)-C1404)</f>
        <v>70560</v>
      </c>
    </row>
    <row r="1405" spans="2:14">
      <c r="B1405" s="95">
        <v>1353</v>
      </c>
      <c r="C1405" s="95">
        <f t="shared" si="111"/>
        <v>487080</v>
      </c>
      <c r="D1405" s="95">
        <f ca="1">_xlfn.XLOOKUP(总览!$B$44,$B$40:$B$45,$C$40:$C$45)</f>
        <v>5</v>
      </c>
      <c r="E1405" s="95">
        <f ca="1" t="shared" si="114"/>
        <v>1383</v>
      </c>
      <c r="F1405" s="95">
        <f ca="1" t="shared" si="112"/>
        <v>0</v>
      </c>
      <c r="G1405" s="95">
        <f ca="1" t="shared" si="113"/>
        <v>0</v>
      </c>
      <c r="H1405" s="95" cm="1">
        <f ca="1" t="array" ref="H1405">MIN(30-SUM(I1405:L1405),_xlfn.XLOOKUP($D1405&amp;"_"&amp;H$52,$B$14:$B$36&amp;"_"&amp;$C$14:$C$36,$D$14:$D$36)*$E1405,18)</f>
        <v>12.1276</v>
      </c>
      <c r="I1405" s="95" cm="1">
        <f ca="1" t="array" ref="I1405">MIN(30-SUM(J1405:L1405),6-L1405,_xlfn.XLOOKUP($D1405&amp;"_"&amp;I$52,$B$14:$B$36&amp;"_"&amp;$C$14:$C$36,$D$14:$D$36)*$E1405)</f>
        <v>0</v>
      </c>
      <c r="J1405" s="95" cm="1">
        <f ca="1" t="array" ref="J1405">MIN(8,_xlfn.XLOOKUP($D1405&amp;"_"&amp;J$52,$B$14:$B$36&amp;"_"&amp;$C$14:$C$36,$D$14:$D$36)*$E1405)</f>
        <v>8</v>
      </c>
      <c r="K1405" s="95" cm="1">
        <f ca="1" t="array" ref="K1405">MIN(18,_xlfn.XLOOKUP($D1405&amp;"_"&amp;K$52,$B$14:$B$36&amp;"_"&amp;$C$14:$C$36,$D$14:$D$36)*$E1405)</f>
        <v>3.8724</v>
      </c>
      <c r="L1405" s="95" cm="1">
        <f ca="1" t="array" ref="L1405">MIN(6,_xlfn.XLOOKUP($D1405&amp;"_"&amp;L$52,$B$14:$B$36&amp;"_"&amp;$C$14:$C$36,$D$14:$D$36)*$E1405)</f>
        <v>6</v>
      </c>
      <c r="M1405" s="95" cm="1">
        <f ca="1" t="array" ref="M1405">(1+SUMPRODUCT(G1405:H1405,OFFSET($H$40:$I$40,D1405,0)))*(1+OFFSET($J$40,D1405,0))^I1405*(1+OFFSET($K$40,D1405,0))^J1405*(1+OFFSET($L$40,D1405,0))^K1405*(1+OFFSET($M$40,D1405,0))^L1405</f>
        <v>338.363104966833</v>
      </c>
      <c r="N1405" s="95">
        <f ca="1">MAX(MAX($N$53:N1404),OFFSET($C$52,MATCH(M1405*1.07,$M$53:$M$2052,1),0)-C1405)</f>
        <v>70560</v>
      </c>
    </row>
    <row r="1406" spans="2:14">
      <c r="B1406" s="95">
        <v>1354</v>
      </c>
      <c r="C1406" s="95">
        <f t="shared" si="111"/>
        <v>487440</v>
      </c>
      <c r="D1406" s="95">
        <f ca="1">_xlfn.XLOOKUP(总览!$B$44,$B$40:$B$45,$C$40:$C$45)</f>
        <v>5</v>
      </c>
      <c r="E1406" s="95">
        <f ca="1" t="shared" si="114"/>
        <v>1384</v>
      </c>
      <c r="F1406" s="95">
        <f ca="1" t="shared" si="112"/>
        <v>0</v>
      </c>
      <c r="G1406" s="95">
        <f ca="1" t="shared" si="113"/>
        <v>0</v>
      </c>
      <c r="H1406" s="95" cm="1">
        <f ca="1" t="array" ref="H1406">MIN(30-SUM(I1406:L1406),_xlfn.XLOOKUP($D1406&amp;"_"&amp;H$52,$B$14:$B$36&amp;"_"&amp;$C$14:$C$36,$D$14:$D$36)*$E1406,18)</f>
        <v>12.1248</v>
      </c>
      <c r="I1406" s="95" cm="1">
        <f ca="1" t="array" ref="I1406">MIN(30-SUM(J1406:L1406),6-L1406,_xlfn.XLOOKUP($D1406&amp;"_"&amp;I$52,$B$14:$B$36&amp;"_"&amp;$C$14:$C$36,$D$14:$D$36)*$E1406)</f>
        <v>0</v>
      </c>
      <c r="J1406" s="95" cm="1">
        <f ca="1" t="array" ref="J1406">MIN(8,_xlfn.XLOOKUP($D1406&amp;"_"&amp;J$52,$B$14:$B$36&amp;"_"&amp;$C$14:$C$36,$D$14:$D$36)*$E1406)</f>
        <v>8</v>
      </c>
      <c r="K1406" s="95" cm="1">
        <f ca="1" t="array" ref="K1406">MIN(18,_xlfn.XLOOKUP($D1406&amp;"_"&amp;K$52,$B$14:$B$36&amp;"_"&amp;$C$14:$C$36,$D$14:$D$36)*$E1406)</f>
        <v>3.8752</v>
      </c>
      <c r="L1406" s="95" cm="1">
        <f ca="1" t="array" ref="L1406">MIN(6,_xlfn.XLOOKUP($D1406&amp;"_"&amp;L$52,$B$14:$B$36&amp;"_"&amp;$C$14:$C$36,$D$14:$D$36)*$E1406)</f>
        <v>6</v>
      </c>
      <c r="M1406" s="95" cm="1">
        <f ca="1" t="array" ref="M1406">(1+SUMPRODUCT(G1406:H1406,OFFSET($H$40:$I$40,D1406,0)))*(1+OFFSET($J$40,D1406,0))^I1406*(1+OFFSET($K$40,D1406,0))^J1406*(1+OFFSET($L$40,D1406,0))^K1406*(1+OFFSET($M$40,D1406,0))^L1406</f>
        <v>338.480540101427</v>
      </c>
      <c r="N1406" s="95">
        <f ca="1">MAX(MAX($N$53:N1405),OFFSET($C$52,MATCH(M1406*1.07,$M$53:$M$2052,1),0)-C1406)</f>
        <v>70560</v>
      </c>
    </row>
    <row r="1407" spans="2:14">
      <c r="B1407" s="95">
        <v>1355</v>
      </c>
      <c r="C1407" s="95">
        <f t="shared" si="111"/>
        <v>487800</v>
      </c>
      <c r="D1407" s="95">
        <f ca="1">_xlfn.XLOOKUP(总览!$B$44,$B$40:$B$45,$C$40:$C$45)</f>
        <v>5</v>
      </c>
      <c r="E1407" s="95">
        <f ca="1" t="shared" si="114"/>
        <v>1385</v>
      </c>
      <c r="F1407" s="95">
        <f ca="1" t="shared" si="112"/>
        <v>0</v>
      </c>
      <c r="G1407" s="95">
        <f ca="1" t="shared" si="113"/>
        <v>0</v>
      </c>
      <c r="H1407" s="95" cm="1">
        <f ca="1" t="array" ref="H1407">MIN(30-SUM(I1407:L1407),_xlfn.XLOOKUP($D1407&amp;"_"&amp;H$52,$B$14:$B$36&amp;"_"&amp;$C$14:$C$36,$D$14:$D$36)*$E1407,18)</f>
        <v>12.122</v>
      </c>
      <c r="I1407" s="95" cm="1">
        <f ca="1" t="array" ref="I1407">MIN(30-SUM(J1407:L1407),6-L1407,_xlfn.XLOOKUP($D1407&amp;"_"&amp;I$52,$B$14:$B$36&amp;"_"&amp;$C$14:$C$36,$D$14:$D$36)*$E1407)</f>
        <v>0</v>
      </c>
      <c r="J1407" s="95" cm="1">
        <f ca="1" t="array" ref="J1407">MIN(8,_xlfn.XLOOKUP($D1407&amp;"_"&amp;J$52,$B$14:$B$36&amp;"_"&amp;$C$14:$C$36,$D$14:$D$36)*$E1407)</f>
        <v>8</v>
      </c>
      <c r="K1407" s="95" cm="1">
        <f ca="1" t="array" ref="K1407">MIN(18,_xlfn.XLOOKUP($D1407&amp;"_"&amp;K$52,$B$14:$B$36&amp;"_"&amp;$C$14:$C$36,$D$14:$D$36)*$E1407)</f>
        <v>3.878</v>
      </c>
      <c r="L1407" s="95" cm="1">
        <f ca="1" t="array" ref="L1407">MIN(6,_xlfn.XLOOKUP($D1407&amp;"_"&amp;L$52,$B$14:$B$36&amp;"_"&amp;$C$14:$C$36,$D$14:$D$36)*$E1407)</f>
        <v>6</v>
      </c>
      <c r="M1407" s="95" cm="1">
        <f ca="1" t="array" ref="M1407">(1+SUMPRODUCT(G1407:H1407,OFFSET($H$40:$I$40,D1407,0)))*(1+OFFSET($J$40,D1407,0))^I1407*(1+OFFSET($K$40,D1407,0))^J1407*(1+OFFSET($L$40,D1407,0))^K1407*(1+OFFSET($M$40,D1407,0))^L1407</f>
        <v>338.598006941941</v>
      </c>
      <c r="N1407" s="95">
        <f ca="1">MAX(MAX($N$53:N1406),OFFSET($C$52,MATCH(M1407*1.07,$M$53:$M$2052,1),0)-C1407)</f>
        <v>70560</v>
      </c>
    </row>
    <row r="1408" spans="2:14">
      <c r="B1408" s="95">
        <v>1356</v>
      </c>
      <c r="C1408" s="95">
        <f t="shared" si="111"/>
        <v>488160</v>
      </c>
      <c r="D1408" s="95">
        <f ca="1">_xlfn.XLOOKUP(总览!$B$44,$B$40:$B$45,$C$40:$C$45)</f>
        <v>5</v>
      </c>
      <c r="E1408" s="95">
        <f ca="1" t="shared" si="114"/>
        <v>1386</v>
      </c>
      <c r="F1408" s="95">
        <f ca="1" t="shared" si="112"/>
        <v>0</v>
      </c>
      <c r="G1408" s="95">
        <f ca="1" t="shared" si="113"/>
        <v>0</v>
      </c>
      <c r="H1408" s="95" cm="1">
        <f ca="1" t="array" ref="H1408">MIN(30-SUM(I1408:L1408),_xlfn.XLOOKUP($D1408&amp;"_"&amp;H$52,$B$14:$B$36&amp;"_"&amp;$C$14:$C$36,$D$14:$D$36)*$E1408,18)</f>
        <v>12.1192</v>
      </c>
      <c r="I1408" s="95" cm="1">
        <f ca="1" t="array" ref="I1408">MIN(30-SUM(J1408:L1408),6-L1408,_xlfn.XLOOKUP($D1408&amp;"_"&amp;I$52,$B$14:$B$36&amp;"_"&amp;$C$14:$C$36,$D$14:$D$36)*$E1408)</f>
        <v>0</v>
      </c>
      <c r="J1408" s="95" cm="1">
        <f ca="1" t="array" ref="J1408">MIN(8,_xlfn.XLOOKUP($D1408&amp;"_"&amp;J$52,$B$14:$B$36&amp;"_"&amp;$C$14:$C$36,$D$14:$D$36)*$E1408)</f>
        <v>8</v>
      </c>
      <c r="K1408" s="95" cm="1">
        <f ca="1" t="array" ref="K1408">MIN(18,_xlfn.XLOOKUP($D1408&amp;"_"&amp;K$52,$B$14:$B$36&amp;"_"&amp;$C$14:$C$36,$D$14:$D$36)*$E1408)</f>
        <v>3.8808</v>
      </c>
      <c r="L1408" s="95" cm="1">
        <f ca="1" t="array" ref="L1408">MIN(6,_xlfn.XLOOKUP($D1408&amp;"_"&amp;L$52,$B$14:$B$36&amp;"_"&amp;$C$14:$C$36,$D$14:$D$36)*$E1408)</f>
        <v>6</v>
      </c>
      <c r="M1408" s="95" cm="1">
        <f ca="1" t="array" ref="M1408">(1+SUMPRODUCT(G1408:H1408,OFFSET($H$40:$I$40,D1408,0)))*(1+OFFSET($J$40,D1408,0))^I1408*(1+OFFSET($K$40,D1408,0))^J1408*(1+OFFSET($L$40,D1408,0))^K1408*(1+OFFSET($M$40,D1408,0))^L1408</f>
        <v>338.715505490134</v>
      </c>
      <c r="N1408" s="95">
        <f ca="1">MAX(MAX($N$53:N1407),OFFSET($C$52,MATCH(M1408*1.07,$M$53:$M$2052,1),0)-C1408)</f>
        <v>70560</v>
      </c>
    </row>
    <row r="1409" spans="2:14">
      <c r="B1409" s="95">
        <v>1357</v>
      </c>
      <c r="C1409" s="95">
        <f t="shared" si="111"/>
        <v>488520</v>
      </c>
      <c r="D1409" s="95">
        <f ca="1">_xlfn.XLOOKUP(总览!$B$44,$B$40:$B$45,$C$40:$C$45)</f>
        <v>5</v>
      </c>
      <c r="E1409" s="95">
        <f ca="1" t="shared" si="114"/>
        <v>1387</v>
      </c>
      <c r="F1409" s="95">
        <f ca="1" t="shared" si="112"/>
        <v>0</v>
      </c>
      <c r="G1409" s="95">
        <f ca="1" t="shared" si="113"/>
        <v>0</v>
      </c>
      <c r="H1409" s="95" cm="1">
        <f ca="1" t="array" ref="H1409">MIN(30-SUM(I1409:L1409),_xlfn.XLOOKUP($D1409&amp;"_"&amp;H$52,$B$14:$B$36&amp;"_"&amp;$C$14:$C$36,$D$14:$D$36)*$E1409,18)</f>
        <v>12.1164</v>
      </c>
      <c r="I1409" s="95" cm="1">
        <f ca="1" t="array" ref="I1409">MIN(30-SUM(J1409:L1409),6-L1409,_xlfn.XLOOKUP($D1409&amp;"_"&amp;I$52,$B$14:$B$36&amp;"_"&amp;$C$14:$C$36,$D$14:$D$36)*$E1409)</f>
        <v>0</v>
      </c>
      <c r="J1409" s="95" cm="1">
        <f ca="1" t="array" ref="J1409">MIN(8,_xlfn.XLOOKUP($D1409&amp;"_"&amp;J$52,$B$14:$B$36&amp;"_"&amp;$C$14:$C$36,$D$14:$D$36)*$E1409)</f>
        <v>8</v>
      </c>
      <c r="K1409" s="95" cm="1">
        <f ca="1" t="array" ref="K1409">MIN(18,_xlfn.XLOOKUP($D1409&amp;"_"&amp;K$52,$B$14:$B$36&amp;"_"&amp;$C$14:$C$36,$D$14:$D$36)*$E1409)</f>
        <v>3.8836</v>
      </c>
      <c r="L1409" s="95" cm="1">
        <f ca="1" t="array" ref="L1409">MIN(6,_xlfn.XLOOKUP($D1409&amp;"_"&amp;L$52,$B$14:$B$36&amp;"_"&amp;$C$14:$C$36,$D$14:$D$36)*$E1409)</f>
        <v>6</v>
      </c>
      <c r="M1409" s="95" cm="1">
        <f ca="1" t="array" ref="M1409">(1+SUMPRODUCT(G1409:H1409,OFFSET($H$40:$I$40,D1409,0)))*(1+OFFSET($J$40,D1409,0))^I1409*(1+OFFSET($K$40,D1409,0))^J1409*(1+OFFSET($L$40,D1409,0))^K1409*(1+OFFSET($M$40,D1409,0))^L1409</f>
        <v>338.833035747759</v>
      </c>
      <c r="N1409" s="95">
        <f ca="1">MAX(MAX($N$53:N1408),OFFSET($C$52,MATCH(M1409*1.07,$M$53:$M$2052,1),0)-C1409)</f>
        <v>70560</v>
      </c>
    </row>
    <row r="1410" spans="2:14">
      <c r="B1410" s="95">
        <v>1358</v>
      </c>
      <c r="C1410" s="95">
        <f t="shared" si="111"/>
        <v>488880</v>
      </c>
      <c r="D1410" s="95">
        <f ca="1">_xlfn.XLOOKUP(总览!$B$44,$B$40:$B$45,$C$40:$C$45)</f>
        <v>5</v>
      </c>
      <c r="E1410" s="95">
        <f ca="1" t="shared" si="114"/>
        <v>1388</v>
      </c>
      <c r="F1410" s="95">
        <f ca="1" t="shared" si="112"/>
        <v>0</v>
      </c>
      <c r="G1410" s="95">
        <f ca="1" t="shared" si="113"/>
        <v>0</v>
      </c>
      <c r="H1410" s="95" cm="1">
        <f ca="1" t="array" ref="H1410">MIN(30-SUM(I1410:L1410),_xlfn.XLOOKUP($D1410&amp;"_"&amp;H$52,$B$14:$B$36&amp;"_"&amp;$C$14:$C$36,$D$14:$D$36)*$E1410,18)</f>
        <v>12.1136</v>
      </c>
      <c r="I1410" s="95" cm="1">
        <f ca="1" t="array" ref="I1410">MIN(30-SUM(J1410:L1410),6-L1410,_xlfn.XLOOKUP($D1410&amp;"_"&amp;I$52,$B$14:$B$36&amp;"_"&amp;$C$14:$C$36,$D$14:$D$36)*$E1410)</f>
        <v>0</v>
      </c>
      <c r="J1410" s="95" cm="1">
        <f ca="1" t="array" ref="J1410">MIN(8,_xlfn.XLOOKUP($D1410&amp;"_"&amp;J$52,$B$14:$B$36&amp;"_"&amp;$C$14:$C$36,$D$14:$D$36)*$E1410)</f>
        <v>8</v>
      </c>
      <c r="K1410" s="95" cm="1">
        <f ca="1" t="array" ref="K1410">MIN(18,_xlfn.XLOOKUP($D1410&amp;"_"&amp;K$52,$B$14:$B$36&amp;"_"&amp;$C$14:$C$36,$D$14:$D$36)*$E1410)</f>
        <v>3.8864</v>
      </c>
      <c r="L1410" s="95" cm="1">
        <f ca="1" t="array" ref="L1410">MIN(6,_xlfn.XLOOKUP($D1410&amp;"_"&amp;L$52,$B$14:$B$36&amp;"_"&amp;$C$14:$C$36,$D$14:$D$36)*$E1410)</f>
        <v>6</v>
      </c>
      <c r="M1410" s="95" cm="1">
        <f ca="1" t="array" ref="M1410">(1+SUMPRODUCT(G1410:H1410,OFFSET($H$40:$I$40,D1410,0)))*(1+OFFSET($J$40,D1410,0))^I1410*(1+OFFSET($K$40,D1410,0))^J1410*(1+OFFSET($L$40,D1410,0))^K1410*(1+OFFSET($M$40,D1410,0))^L1410</f>
        <v>338.950597716563</v>
      </c>
      <c r="N1410" s="95">
        <f ca="1">MAX(MAX($N$53:N1409),OFFSET($C$52,MATCH(M1410*1.07,$M$53:$M$2052,1),0)-C1410)</f>
        <v>70560</v>
      </c>
    </row>
    <row r="1411" spans="2:14">
      <c r="B1411" s="95">
        <v>1359</v>
      </c>
      <c r="C1411" s="95">
        <f t="shared" si="111"/>
        <v>489240</v>
      </c>
      <c r="D1411" s="95">
        <f ca="1">_xlfn.XLOOKUP(总览!$B$44,$B$40:$B$45,$C$40:$C$45)</f>
        <v>5</v>
      </c>
      <c r="E1411" s="95">
        <f ca="1" t="shared" si="114"/>
        <v>1389</v>
      </c>
      <c r="F1411" s="95">
        <f ca="1" t="shared" si="112"/>
        <v>0</v>
      </c>
      <c r="G1411" s="95">
        <f ca="1" t="shared" si="113"/>
        <v>0</v>
      </c>
      <c r="H1411" s="95" cm="1">
        <f ca="1" t="array" ref="H1411">MIN(30-SUM(I1411:L1411),_xlfn.XLOOKUP($D1411&amp;"_"&amp;H$52,$B$14:$B$36&amp;"_"&amp;$C$14:$C$36,$D$14:$D$36)*$E1411,18)</f>
        <v>12.1108</v>
      </c>
      <c r="I1411" s="95" cm="1">
        <f ca="1" t="array" ref="I1411">MIN(30-SUM(J1411:L1411),6-L1411,_xlfn.XLOOKUP($D1411&amp;"_"&amp;I$52,$B$14:$B$36&amp;"_"&amp;$C$14:$C$36,$D$14:$D$36)*$E1411)</f>
        <v>0</v>
      </c>
      <c r="J1411" s="95" cm="1">
        <f ca="1" t="array" ref="J1411">MIN(8,_xlfn.XLOOKUP($D1411&amp;"_"&amp;J$52,$B$14:$B$36&amp;"_"&amp;$C$14:$C$36,$D$14:$D$36)*$E1411)</f>
        <v>8</v>
      </c>
      <c r="K1411" s="95" cm="1">
        <f ca="1" t="array" ref="K1411">MIN(18,_xlfn.XLOOKUP($D1411&amp;"_"&amp;K$52,$B$14:$B$36&amp;"_"&amp;$C$14:$C$36,$D$14:$D$36)*$E1411)</f>
        <v>3.8892</v>
      </c>
      <c r="L1411" s="95" cm="1">
        <f ca="1" t="array" ref="L1411">MIN(6,_xlfn.XLOOKUP($D1411&amp;"_"&amp;L$52,$B$14:$B$36&amp;"_"&amp;$C$14:$C$36,$D$14:$D$36)*$E1411)</f>
        <v>6</v>
      </c>
      <c r="M1411" s="95" cm="1">
        <f ca="1" t="array" ref="M1411">(1+SUMPRODUCT(G1411:H1411,OFFSET($H$40:$I$40,D1411,0)))*(1+OFFSET($J$40,D1411,0))^I1411*(1+OFFSET($K$40,D1411,0))^J1411*(1+OFFSET($L$40,D1411,0))^K1411*(1+OFFSET($M$40,D1411,0))^L1411</f>
        <v>339.068191398286</v>
      </c>
      <c r="N1411" s="95">
        <f ca="1">MAX(MAX($N$53:N1410),OFFSET($C$52,MATCH(M1411*1.07,$M$53:$M$2052,1),0)-C1411)</f>
        <v>70560</v>
      </c>
    </row>
    <row r="1412" spans="2:14">
      <c r="B1412" s="95">
        <v>1360</v>
      </c>
      <c r="C1412" s="95">
        <f t="shared" si="111"/>
        <v>489600</v>
      </c>
      <c r="D1412" s="95">
        <f ca="1">_xlfn.XLOOKUP(总览!$B$44,$B$40:$B$45,$C$40:$C$45)</f>
        <v>5</v>
      </c>
      <c r="E1412" s="95">
        <f ca="1" t="shared" si="114"/>
        <v>1390</v>
      </c>
      <c r="F1412" s="95">
        <f ca="1" t="shared" si="112"/>
        <v>0</v>
      </c>
      <c r="G1412" s="95">
        <f ca="1" t="shared" si="113"/>
        <v>0</v>
      </c>
      <c r="H1412" s="95" cm="1">
        <f ca="1" t="array" ref="H1412">MIN(30-SUM(I1412:L1412),_xlfn.XLOOKUP($D1412&amp;"_"&amp;H$52,$B$14:$B$36&amp;"_"&amp;$C$14:$C$36,$D$14:$D$36)*$E1412,18)</f>
        <v>12.108</v>
      </c>
      <c r="I1412" s="95" cm="1">
        <f ca="1" t="array" ref="I1412">MIN(30-SUM(J1412:L1412),6-L1412,_xlfn.XLOOKUP($D1412&amp;"_"&amp;I$52,$B$14:$B$36&amp;"_"&amp;$C$14:$C$36,$D$14:$D$36)*$E1412)</f>
        <v>0</v>
      </c>
      <c r="J1412" s="95" cm="1">
        <f ca="1" t="array" ref="J1412">MIN(8,_xlfn.XLOOKUP($D1412&amp;"_"&amp;J$52,$B$14:$B$36&amp;"_"&amp;$C$14:$C$36,$D$14:$D$36)*$E1412)</f>
        <v>8</v>
      </c>
      <c r="K1412" s="95" cm="1">
        <f ca="1" t="array" ref="K1412">MIN(18,_xlfn.XLOOKUP($D1412&amp;"_"&amp;K$52,$B$14:$B$36&amp;"_"&amp;$C$14:$C$36,$D$14:$D$36)*$E1412)</f>
        <v>3.892</v>
      </c>
      <c r="L1412" s="95" cm="1">
        <f ca="1" t="array" ref="L1412">MIN(6,_xlfn.XLOOKUP($D1412&amp;"_"&amp;L$52,$B$14:$B$36&amp;"_"&amp;$C$14:$C$36,$D$14:$D$36)*$E1412)</f>
        <v>6</v>
      </c>
      <c r="M1412" s="95" cm="1">
        <f ca="1" t="array" ref="M1412">(1+SUMPRODUCT(G1412:H1412,OFFSET($H$40:$I$40,D1412,0)))*(1+OFFSET($J$40,D1412,0))^I1412*(1+OFFSET($K$40,D1412,0))^J1412*(1+OFFSET($L$40,D1412,0))^K1412*(1+OFFSET($M$40,D1412,0))^L1412</f>
        <v>339.185816794661</v>
      </c>
      <c r="N1412" s="95">
        <f ca="1">MAX(MAX($N$53:N1411),OFFSET($C$52,MATCH(M1412*1.07,$M$53:$M$2052,1),0)-C1412)</f>
        <v>70560</v>
      </c>
    </row>
    <row r="1413" spans="2:14">
      <c r="B1413" s="95">
        <v>1361</v>
      </c>
      <c r="C1413" s="95">
        <f t="shared" si="111"/>
        <v>489960</v>
      </c>
      <c r="D1413" s="95">
        <f ca="1">_xlfn.XLOOKUP(总览!$B$44,$B$40:$B$45,$C$40:$C$45)</f>
        <v>5</v>
      </c>
      <c r="E1413" s="95">
        <f ca="1" t="shared" si="114"/>
        <v>1391</v>
      </c>
      <c r="F1413" s="95">
        <f ca="1" t="shared" si="112"/>
        <v>0</v>
      </c>
      <c r="G1413" s="95">
        <f ca="1" t="shared" si="113"/>
        <v>0</v>
      </c>
      <c r="H1413" s="95" cm="1">
        <f ca="1" t="array" ref="H1413">MIN(30-SUM(I1413:L1413),_xlfn.XLOOKUP($D1413&amp;"_"&amp;H$52,$B$14:$B$36&amp;"_"&amp;$C$14:$C$36,$D$14:$D$36)*$E1413,18)</f>
        <v>12.1052</v>
      </c>
      <c r="I1413" s="95" cm="1">
        <f ca="1" t="array" ref="I1413">MIN(30-SUM(J1413:L1413),6-L1413,_xlfn.XLOOKUP($D1413&amp;"_"&amp;I$52,$B$14:$B$36&amp;"_"&amp;$C$14:$C$36,$D$14:$D$36)*$E1413)</f>
        <v>0</v>
      </c>
      <c r="J1413" s="95" cm="1">
        <f ca="1" t="array" ref="J1413">MIN(8,_xlfn.XLOOKUP($D1413&amp;"_"&amp;J$52,$B$14:$B$36&amp;"_"&amp;$C$14:$C$36,$D$14:$D$36)*$E1413)</f>
        <v>8</v>
      </c>
      <c r="K1413" s="95" cm="1">
        <f ca="1" t="array" ref="K1413">MIN(18,_xlfn.XLOOKUP($D1413&amp;"_"&amp;K$52,$B$14:$B$36&amp;"_"&amp;$C$14:$C$36,$D$14:$D$36)*$E1413)</f>
        <v>3.8948</v>
      </c>
      <c r="L1413" s="95" cm="1">
        <f ca="1" t="array" ref="L1413">MIN(6,_xlfn.XLOOKUP($D1413&amp;"_"&amp;L$52,$B$14:$B$36&amp;"_"&amp;$C$14:$C$36,$D$14:$D$36)*$E1413)</f>
        <v>6</v>
      </c>
      <c r="M1413" s="95" cm="1">
        <f ca="1" t="array" ref="M1413">(1+SUMPRODUCT(G1413:H1413,OFFSET($H$40:$I$40,D1413,0)))*(1+OFFSET($J$40,D1413,0))^I1413*(1+OFFSET($K$40,D1413,0))^J1413*(1+OFFSET($L$40,D1413,0))^K1413*(1+OFFSET($M$40,D1413,0))^L1413</f>
        <v>339.303473907416</v>
      </c>
      <c r="N1413" s="95">
        <f ca="1">MAX(MAX($N$53:N1412),OFFSET($C$52,MATCH(M1413*1.07,$M$53:$M$2052,1),0)-C1413)</f>
        <v>70560</v>
      </c>
    </row>
    <row r="1414" spans="2:14">
      <c r="B1414" s="95">
        <v>1362</v>
      </c>
      <c r="C1414" s="95">
        <f t="shared" si="111"/>
        <v>490320</v>
      </c>
      <c r="D1414" s="95">
        <f ca="1">_xlfn.XLOOKUP(总览!$B$44,$B$40:$B$45,$C$40:$C$45)</f>
        <v>5</v>
      </c>
      <c r="E1414" s="95">
        <f ca="1" t="shared" si="114"/>
        <v>1392</v>
      </c>
      <c r="F1414" s="95">
        <f ca="1" t="shared" si="112"/>
        <v>0</v>
      </c>
      <c r="G1414" s="95">
        <f ca="1" t="shared" si="113"/>
        <v>0</v>
      </c>
      <c r="H1414" s="95" cm="1">
        <f ca="1" t="array" ref="H1414">MIN(30-SUM(I1414:L1414),_xlfn.XLOOKUP($D1414&amp;"_"&amp;H$52,$B$14:$B$36&amp;"_"&amp;$C$14:$C$36,$D$14:$D$36)*$E1414,18)</f>
        <v>12.1024</v>
      </c>
      <c r="I1414" s="95" cm="1">
        <f ca="1" t="array" ref="I1414">MIN(30-SUM(J1414:L1414),6-L1414,_xlfn.XLOOKUP($D1414&amp;"_"&amp;I$52,$B$14:$B$36&amp;"_"&amp;$C$14:$C$36,$D$14:$D$36)*$E1414)</f>
        <v>0</v>
      </c>
      <c r="J1414" s="95" cm="1">
        <f ca="1" t="array" ref="J1414">MIN(8,_xlfn.XLOOKUP($D1414&amp;"_"&amp;J$52,$B$14:$B$36&amp;"_"&amp;$C$14:$C$36,$D$14:$D$36)*$E1414)</f>
        <v>8</v>
      </c>
      <c r="K1414" s="95" cm="1">
        <f ca="1" t="array" ref="K1414">MIN(18,_xlfn.XLOOKUP($D1414&amp;"_"&amp;K$52,$B$14:$B$36&amp;"_"&amp;$C$14:$C$36,$D$14:$D$36)*$E1414)</f>
        <v>3.8976</v>
      </c>
      <c r="L1414" s="95" cm="1">
        <f ca="1" t="array" ref="L1414">MIN(6,_xlfn.XLOOKUP($D1414&amp;"_"&amp;L$52,$B$14:$B$36&amp;"_"&amp;$C$14:$C$36,$D$14:$D$36)*$E1414)</f>
        <v>6</v>
      </c>
      <c r="M1414" s="95" cm="1">
        <f ca="1" t="array" ref="M1414">(1+SUMPRODUCT(G1414:H1414,OFFSET($H$40:$I$40,D1414,0)))*(1+OFFSET($J$40,D1414,0))^I1414*(1+OFFSET($K$40,D1414,0))^J1414*(1+OFFSET($L$40,D1414,0))^K1414*(1+OFFSET($M$40,D1414,0))^L1414</f>
        <v>339.421162738272</v>
      </c>
      <c r="N1414" s="95">
        <f ca="1">MAX(MAX($N$53:N1413),OFFSET($C$52,MATCH(M1414*1.07,$M$53:$M$2052,1),0)-C1414)</f>
        <v>70560</v>
      </c>
    </row>
    <row r="1415" spans="2:14">
      <c r="B1415" s="95">
        <v>1363</v>
      </c>
      <c r="C1415" s="95">
        <f t="shared" si="111"/>
        <v>490680</v>
      </c>
      <c r="D1415" s="95">
        <f ca="1">_xlfn.XLOOKUP(总览!$B$44,$B$40:$B$45,$C$40:$C$45)</f>
        <v>5</v>
      </c>
      <c r="E1415" s="95">
        <f ca="1" t="shared" si="114"/>
        <v>1393</v>
      </c>
      <c r="F1415" s="95">
        <f ca="1" t="shared" si="112"/>
        <v>0</v>
      </c>
      <c r="G1415" s="95">
        <f ca="1" t="shared" si="113"/>
        <v>0</v>
      </c>
      <c r="H1415" s="95" cm="1">
        <f ca="1" t="array" ref="H1415">MIN(30-SUM(I1415:L1415),_xlfn.XLOOKUP($D1415&amp;"_"&amp;H$52,$B$14:$B$36&amp;"_"&amp;$C$14:$C$36,$D$14:$D$36)*$E1415,18)</f>
        <v>12.0996</v>
      </c>
      <c r="I1415" s="95" cm="1">
        <f ca="1" t="array" ref="I1415">MIN(30-SUM(J1415:L1415),6-L1415,_xlfn.XLOOKUP($D1415&amp;"_"&amp;I$52,$B$14:$B$36&amp;"_"&amp;$C$14:$C$36,$D$14:$D$36)*$E1415)</f>
        <v>0</v>
      </c>
      <c r="J1415" s="95" cm="1">
        <f ca="1" t="array" ref="J1415">MIN(8,_xlfn.XLOOKUP($D1415&amp;"_"&amp;J$52,$B$14:$B$36&amp;"_"&amp;$C$14:$C$36,$D$14:$D$36)*$E1415)</f>
        <v>8</v>
      </c>
      <c r="K1415" s="95" cm="1">
        <f ca="1" t="array" ref="K1415">MIN(18,_xlfn.XLOOKUP($D1415&amp;"_"&amp;K$52,$B$14:$B$36&amp;"_"&amp;$C$14:$C$36,$D$14:$D$36)*$E1415)</f>
        <v>3.9004</v>
      </c>
      <c r="L1415" s="95" cm="1">
        <f ca="1" t="array" ref="L1415">MIN(6,_xlfn.XLOOKUP($D1415&amp;"_"&amp;L$52,$B$14:$B$36&amp;"_"&amp;$C$14:$C$36,$D$14:$D$36)*$E1415)</f>
        <v>6</v>
      </c>
      <c r="M1415" s="95" cm="1">
        <f ca="1" t="array" ref="M1415">(1+SUMPRODUCT(G1415:H1415,OFFSET($H$40:$I$40,D1415,0)))*(1+OFFSET($J$40,D1415,0))^I1415*(1+OFFSET($K$40,D1415,0))^J1415*(1+OFFSET($L$40,D1415,0))^K1415*(1+OFFSET($M$40,D1415,0))^L1415</f>
        <v>339.538883288942</v>
      </c>
      <c r="N1415" s="95">
        <f ca="1">MAX(MAX($N$53:N1414),OFFSET($C$52,MATCH(M1415*1.07,$M$53:$M$2052,1),0)-C1415)</f>
        <v>70560</v>
      </c>
    </row>
    <row r="1416" spans="2:14">
      <c r="B1416" s="95">
        <v>1364</v>
      </c>
      <c r="C1416" s="95">
        <f t="shared" si="111"/>
        <v>491040</v>
      </c>
      <c r="D1416" s="95">
        <f ca="1">_xlfn.XLOOKUP(总览!$B$44,$B$40:$B$45,$C$40:$C$45)</f>
        <v>5</v>
      </c>
      <c r="E1416" s="95">
        <f ca="1" t="shared" si="114"/>
        <v>1394</v>
      </c>
      <c r="F1416" s="95">
        <f ca="1" t="shared" si="112"/>
        <v>0</v>
      </c>
      <c r="G1416" s="95">
        <f ca="1" t="shared" si="113"/>
        <v>0</v>
      </c>
      <c r="H1416" s="95" cm="1">
        <f ca="1" t="array" ref="H1416">MIN(30-SUM(I1416:L1416),_xlfn.XLOOKUP($D1416&amp;"_"&amp;H$52,$B$14:$B$36&amp;"_"&amp;$C$14:$C$36,$D$14:$D$36)*$E1416,18)</f>
        <v>12.0968</v>
      </c>
      <c r="I1416" s="95" cm="1">
        <f ca="1" t="array" ref="I1416">MIN(30-SUM(J1416:L1416),6-L1416,_xlfn.XLOOKUP($D1416&amp;"_"&amp;I$52,$B$14:$B$36&amp;"_"&amp;$C$14:$C$36,$D$14:$D$36)*$E1416)</f>
        <v>0</v>
      </c>
      <c r="J1416" s="95" cm="1">
        <f ca="1" t="array" ref="J1416">MIN(8,_xlfn.XLOOKUP($D1416&amp;"_"&amp;J$52,$B$14:$B$36&amp;"_"&amp;$C$14:$C$36,$D$14:$D$36)*$E1416)</f>
        <v>8</v>
      </c>
      <c r="K1416" s="95" cm="1">
        <f ca="1" t="array" ref="K1416">MIN(18,_xlfn.XLOOKUP($D1416&amp;"_"&amp;K$52,$B$14:$B$36&amp;"_"&amp;$C$14:$C$36,$D$14:$D$36)*$E1416)</f>
        <v>3.9032</v>
      </c>
      <c r="L1416" s="95" cm="1">
        <f ca="1" t="array" ref="L1416">MIN(6,_xlfn.XLOOKUP($D1416&amp;"_"&amp;L$52,$B$14:$B$36&amp;"_"&amp;$C$14:$C$36,$D$14:$D$36)*$E1416)</f>
        <v>6</v>
      </c>
      <c r="M1416" s="95" cm="1">
        <f ca="1" t="array" ref="M1416">(1+SUMPRODUCT(G1416:H1416,OFFSET($H$40:$I$40,D1416,0)))*(1+OFFSET($J$40,D1416,0))^I1416*(1+OFFSET($K$40,D1416,0))^J1416*(1+OFFSET($L$40,D1416,0))^K1416*(1+OFFSET($M$40,D1416,0))^L1416</f>
        <v>339.656635561134</v>
      </c>
      <c r="N1416" s="95">
        <f ca="1">MAX(MAX($N$53:N1415),OFFSET($C$52,MATCH(M1416*1.07,$M$53:$M$2052,1),0)-C1416)</f>
        <v>70560</v>
      </c>
    </row>
    <row r="1417" spans="2:14">
      <c r="B1417" s="95">
        <v>1365</v>
      </c>
      <c r="C1417" s="95">
        <f t="shared" si="111"/>
        <v>491400</v>
      </c>
      <c r="D1417" s="95">
        <f ca="1">_xlfn.XLOOKUP(总览!$B$44,$B$40:$B$45,$C$40:$C$45)</f>
        <v>5</v>
      </c>
      <c r="E1417" s="95">
        <f ca="1" t="shared" si="114"/>
        <v>1395</v>
      </c>
      <c r="F1417" s="95">
        <f ca="1" t="shared" si="112"/>
        <v>0</v>
      </c>
      <c r="G1417" s="95">
        <f ca="1" t="shared" si="113"/>
        <v>0</v>
      </c>
      <c r="H1417" s="95" cm="1">
        <f ca="1" t="array" ref="H1417">MIN(30-SUM(I1417:L1417),_xlfn.XLOOKUP($D1417&amp;"_"&amp;H$52,$B$14:$B$36&amp;"_"&amp;$C$14:$C$36,$D$14:$D$36)*$E1417,18)</f>
        <v>12.094</v>
      </c>
      <c r="I1417" s="95" cm="1">
        <f ca="1" t="array" ref="I1417">MIN(30-SUM(J1417:L1417),6-L1417,_xlfn.XLOOKUP($D1417&amp;"_"&amp;I$52,$B$14:$B$36&amp;"_"&amp;$C$14:$C$36,$D$14:$D$36)*$E1417)</f>
        <v>0</v>
      </c>
      <c r="J1417" s="95" cm="1">
        <f ca="1" t="array" ref="J1417">MIN(8,_xlfn.XLOOKUP($D1417&amp;"_"&amp;J$52,$B$14:$B$36&amp;"_"&amp;$C$14:$C$36,$D$14:$D$36)*$E1417)</f>
        <v>8</v>
      </c>
      <c r="K1417" s="95" cm="1">
        <f ca="1" t="array" ref="K1417">MIN(18,_xlfn.XLOOKUP($D1417&amp;"_"&amp;K$52,$B$14:$B$36&amp;"_"&amp;$C$14:$C$36,$D$14:$D$36)*$E1417)</f>
        <v>3.906</v>
      </c>
      <c r="L1417" s="95" cm="1">
        <f ca="1" t="array" ref="L1417">MIN(6,_xlfn.XLOOKUP($D1417&amp;"_"&amp;L$52,$B$14:$B$36&amp;"_"&amp;$C$14:$C$36,$D$14:$D$36)*$E1417)</f>
        <v>6</v>
      </c>
      <c r="M1417" s="95" cm="1">
        <f ca="1" t="array" ref="M1417">(1+SUMPRODUCT(G1417:H1417,OFFSET($H$40:$I$40,D1417,0)))*(1+OFFSET($J$40,D1417,0))^I1417*(1+OFFSET($K$40,D1417,0))^J1417*(1+OFFSET($L$40,D1417,0))^K1417*(1+OFFSET($M$40,D1417,0))^L1417</f>
        <v>339.774419556549</v>
      </c>
      <c r="N1417" s="95">
        <f ca="1">MAX(MAX($N$53:N1416),OFFSET($C$52,MATCH(M1417*1.07,$M$53:$M$2052,1),0)-C1417)</f>
        <v>70560</v>
      </c>
    </row>
    <row r="1418" spans="2:14">
      <c r="B1418" s="95">
        <v>1366</v>
      </c>
      <c r="C1418" s="95">
        <f t="shared" si="111"/>
        <v>491760</v>
      </c>
      <c r="D1418" s="95">
        <f ca="1">_xlfn.XLOOKUP(总览!$B$44,$B$40:$B$45,$C$40:$C$45)</f>
        <v>5</v>
      </c>
      <c r="E1418" s="95">
        <f ca="1" t="shared" si="114"/>
        <v>1396</v>
      </c>
      <c r="F1418" s="95">
        <f ca="1" t="shared" si="112"/>
        <v>0</v>
      </c>
      <c r="G1418" s="95">
        <f ca="1" t="shared" si="113"/>
        <v>0</v>
      </c>
      <c r="H1418" s="95" cm="1">
        <f ca="1" t="array" ref="H1418">MIN(30-SUM(I1418:L1418),_xlfn.XLOOKUP($D1418&amp;"_"&amp;H$52,$B$14:$B$36&amp;"_"&amp;$C$14:$C$36,$D$14:$D$36)*$E1418,18)</f>
        <v>12.0912</v>
      </c>
      <c r="I1418" s="95" cm="1">
        <f ca="1" t="array" ref="I1418">MIN(30-SUM(J1418:L1418),6-L1418,_xlfn.XLOOKUP($D1418&amp;"_"&amp;I$52,$B$14:$B$36&amp;"_"&amp;$C$14:$C$36,$D$14:$D$36)*$E1418)</f>
        <v>0</v>
      </c>
      <c r="J1418" s="95" cm="1">
        <f ca="1" t="array" ref="J1418">MIN(8,_xlfn.XLOOKUP($D1418&amp;"_"&amp;J$52,$B$14:$B$36&amp;"_"&amp;$C$14:$C$36,$D$14:$D$36)*$E1418)</f>
        <v>8</v>
      </c>
      <c r="K1418" s="95" cm="1">
        <f ca="1" t="array" ref="K1418">MIN(18,_xlfn.XLOOKUP($D1418&amp;"_"&amp;K$52,$B$14:$B$36&amp;"_"&amp;$C$14:$C$36,$D$14:$D$36)*$E1418)</f>
        <v>3.9088</v>
      </c>
      <c r="L1418" s="95" cm="1">
        <f ca="1" t="array" ref="L1418">MIN(6,_xlfn.XLOOKUP($D1418&amp;"_"&amp;L$52,$B$14:$B$36&amp;"_"&amp;$C$14:$C$36,$D$14:$D$36)*$E1418)</f>
        <v>6</v>
      </c>
      <c r="M1418" s="95" cm="1">
        <f ca="1" t="array" ref="M1418">(1+SUMPRODUCT(G1418:H1418,OFFSET($H$40:$I$40,D1418,0)))*(1+OFFSET($J$40,D1418,0))^I1418*(1+OFFSET($K$40,D1418,0))^J1418*(1+OFFSET($L$40,D1418,0))^K1418*(1+OFFSET($M$40,D1418,0))^L1418</f>
        <v>339.892235276881</v>
      </c>
      <c r="N1418" s="95">
        <f ca="1">MAX(MAX($N$53:N1417),OFFSET($C$52,MATCH(M1418*1.07,$M$53:$M$2052,1),0)-C1418)</f>
        <v>70560</v>
      </c>
    </row>
    <row r="1419" spans="2:14">
      <c r="B1419" s="95">
        <v>1367</v>
      </c>
      <c r="C1419" s="95">
        <f t="shared" si="111"/>
        <v>492120</v>
      </c>
      <c r="D1419" s="95">
        <f ca="1">_xlfn.XLOOKUP(总览!$B$44,$B$40:$B$45,$C$40:$C$45)</f>
        <v>5</v>
      </c>
      <c r="E1419" s="95">
        <f ca="1" t="shared" si="114"/>
        <v>1397</v>
      </c>
      <c r="F1419" s="95">
        <f ca="1" t="shared" si="112"/>
        <v>0</v>
      </c>
      <c r="G1419" s="95">
        <f ca="1" t="shared" si="113"/>
        <v>0</v>
      </c>
      <c r="H1419" s="95" cm="1">
        <f ca="1" t="array" ref="H1419">MIN(30-SUM(I1419:L1419),_xlfn.XLOOKUP($D1419&amp;"_"&amp;H$52,$B$14:$B$36&amp;"_"&amp;$C$14:$C$36,$D$14:$D$36)*$E1419,18)</f>
        <v>12.0884</v>
      </c>
      <c r="I1419" s="95" cm="1">
        <f ca="1" t="array" ref="I1419">MIN(30-SUM(J1419:L1419),6-L1419,_xlfn.XLOOKUP($D1419&amp;"_"&amp;I$52,$B$14:$B$36&amp;"_"&amp;$C$14:$C$36,$D$14:$D$36)*$E1419)</f>
        <v>0</v>
      </c>
      <c r="J1419" s="95" cm="1">
        <f ca="1" t="array" ref="J1419">MIN(8,_xlfn.XLOOKUP($D1419&amp;"_"&amp;J$52,$B$14:$B$36&amp;"_"&amp;$C$14:$C$36,$D$14:$D$36)*$E1419)</f>
        <v>8</v>
      </c>
      <c r="K1419" s="95" cm="1">
        <f ca="1" t="array" ref="K1419">MIN(18,_xlfn.XLOOKUP($D1419&amp;"_"&amp;K$52,$B$14:$B$36&amp;"_"&amp;$C$14:$C$36,$D$14:$D$36)*$E1419)</f>
        <v>3.9116</v>
      </c>
      <c r="L1419" s="95" cm="1">
        <f ca="1" t="array" ref="L1419">MIN(6,_xlfn.XLOOKUP($D1419&amp;"_"&amp;L$52,$B$14:$B$36&amp;"_"&amp;$C$14:$C$36,$D$14:$D$36)*$E1419)</f>
        <v>6</v>
      </c>
      <c r="M1419" s="95" cm="1">
        <f ca="1" t="array" ref="M1419">(1+SUMPRODUCT(G1419:H1419,OFFSET($H$40:$I$40,D1419,0)))*(1+OFFSET($J$40,D1419,0))^I1419*(1+OFFSET($K$40,D1419,0))^J1419*(1+OFFSET($L$40,D1419,0))^K1419*(1+OFFSET($M$40,D1419,0))^L1419</f>
        <v>340.01008272382</v>
      </c>
      <c r="N1419" s="95">
        <f ca="1">MAX(MAX($N$53:N1418),OFFSET($C$52,MATCH(M1419*1.07,$M$53:$M$2052,1),0)-C1419)</f>
        <v>70560</v>
      </c>
    </row>
    <row r="1420" spans="2:14">
      <c r="B1420" s="95">
        <v>1368</v>
      </c>
      <c r="C1420" s="95">
        <f t="shared" si="111"/>
        <v>492480</v>
      </c>
      <c r="D1420" s="95">
        <f ca="1">_xlfn.XLOOKUP(总览!$B$44,$B$40:$B$45,$C$40:$C$45)</f>
        <v>5</v>
      </c>
      <c r="E1420" s="95">
        <f ca="1" t="shared" si="114"/>
        <v>1398</v>
      </c>
      <c r="F1420" s="95">
        <f ca="1" t="shared" si="112"/>
        <v>0</v>
      </c>
      <c r="G1420" s="95">
        <f ca="1" t="shared" si="113"/>
        <v>0</v>
      </c>
      <c r="H1420" s="95" cm="1">
        <f ca="1" t="array" ref="H1420">MIN(30-SUM(I1420:L1420),_xlfn.XLOOKUP($D1420&amp;"_"&amp;H$52,$B$14:$B$36&amp;"_"&amp;$C$14:$C$36,$D$14:$D$36)*$E1420,18)</f>
        <v>12.0856</v>
      </c>
      <c r="I1420" s="95" cm="1">
        <f ca="1" t="array" ref="I1420">MIN(30-SUM(J1420:L1420),6-L1420,_xlfn.XLOOKUP($D1420&amp;"_"&amp;I$52,$B$14:$B$36&amp;"_"&amp;$C$14:$C$36,$D$14:$D$36)*$E1420)</f>
        <v>0</v>
      </c>
      <c r="J1420" s="95" cm="1">
        <f ca="1" t="array" ref="J1420">MIN(8,_xlfn.XLOOKUP($D1420&amp;"_"&amp;J$52,$B$14:$B$36&amp;"_"&amp;$C$14:$C$36,$D$14:$D$36)*$E1420)</f>
        <v>8</v>
      </c>
      <c r="K1420" s="95" cm="1">
        <f ca="1" t="array" ref="K1420">MIN(18,_xlfn.XLOOKUP($D1420&amp;"_"&amp;K$52,$B$14:$B$36&amp;"_"&amp;$C$14:$C$36,$D$14:$D$36)*$E1420)</f>
        <v>3.9144</v>
      </c>
      <c r="L1420" s="95" cm="1">
        <f ca="1" t="array" ref="L1420">MIN(6,_xlfn.XLOOKUP($D1420&amp;"_"&amp;L$52,$B$14:$B$36&amp;"_"&amp;$C$14:$C$36,$D$14:$D$36)*$E1420)</f>
        <v>6</v>
      </c>
      <c r="M1420" s="95" cm="1">
        <f ca="1" t="array" ref="M1420">(1+SUMPRODUCT(G1420:H1420,OFFSET($H$40:$I$40,D1420,0)))*(1+OFFSET($J$40,D1420,0))^I1420*(1+OFFSET($K$40,D1420,0))^J1420*(1+OFFSET($L$40,D1420,0))^K1420*(1+OFFSET($M$40,D1420,0))^L1420</f>
        <v>340.127961899045</v>
      </c>
      <c r="N1420" s="95">
        <f ca="1">MAX(MAX($N$53:N1419),OFFSET($C$52,MATCH(M1420*1.07,$M$53:$M$2052,1),0)-C1420)</f>
        <v>70560</v>
      </c>
    </row>
    <row r="1421" spans="2:14">
      <c r="B1421" s="95">
        <v>1369</v>
      </c>
      <c r="C1421" s="95">
        <f t="shared" si="111"/>
        <v>492840</v>
      </c>
      <c r="D1421" s="95">
        <f ca="1">_xlfn.XLOOKUP(总览!$B$44,$B$40:$B$45,$C$40:$C$45)</f>
        <v>5</v>
      </c>
      <c r="E1421" s="95">
        <f ca="1" t="shared" si="114"/>
        <v>1399</v>
      </c>
      <c r="F1421" s="95">
        <f ca="1" t="shared" si="112"/>
        <v>0</v>
      </c>
      <c r="G1421" s="95">
        <f ca="1" t="shared" si="113"/>
        <v>0</v>
      </c>
      <c r="H1421" s="95" cm="1">
        <f ca="1" t="array" ref="H1421">MIN(30-SUM(I1421:L1421),_xlfn.XLOOKUP($D1421&amp;"_"&amp;H$52,$B$14:$B$36&amp;"_"&amp;$C$14:$C$36,$D$14:$D$36)*$E1421,18)</f>
        <v>12.0828</v>
      </c>
      <c r="I1421" s="95" cm="1">
        <f ca="1" t="array" ref="I1421">MIN(30-SUM(J1421:L1421),6-L1421,_xlfn.XLOOKUP($D1421&amp;"_"&amp;I$52,$B$14:$B$36&amp;"_"&amp;$C$14:$C$36,$D$14:$D$36)*$E1421)</f>
        <v>0</v>
      </c>
      <c r="J1421" s="95" cm="1">
        <f ca="1" t="array" ref="J1421">MIN(8,_xlfn.XLOOKUP($D1421&amp;"_"&amp;J$52,$B$14:$B$36&amp;"_"&amp;$C$14:$C$36,$D$14:$D$36)*$E1421)</f>
        <v>8</v>
      </c>
      <c r="K1421" s="95" cm="1">
        <f ca="1" t="array" ref="K1421">MIN(18,_xlfn.XLOOKUP($D1421&amp;"_"&amp;K$52,$B$14:$B$36&amp;"_"&amp;$C$14:$C$36,$D$14:$D$36)*$E1421)</f>
        <v>3.9172</v>
      </c>
      <c r="L1421" s="95" cm="1">
        <f ca="1" t="array" ref="L1421">MIN(6,_xlfn.XLOOKUP($D1421&amp;"_"&amp;L$52,$B$14:$B$36&amp;"_"&amp;$C$14:$C$36,$D$14:$D$36)*$E1421)</f>
        <v>6</v>
      </c>
      <c r="M1421" s="95" cm="1">
        <f ca="1" t="array" ref="M1421">(1+SUMPRODUCT(G1421:H1421,OFFSET($H$40:$I$40,D1421,0)))*(1+OFFSET($J$40,D1421,0))^I1421*(1+OFFSET($K$40,D1421,0))^J1421*(1+OFFSET($L$40,D1421,0))^K1421*(1+OFFSET($M$40,D1421,0))^L1421</f>
        <v>340.245872804233</v>
      </c>
      <c r="N1421" s="95">
        <f ca="1">MAX(MAX($N$53:N1420),OFFSET($C$52,MATCH(M1421*1.07,$M$53:$M$2052,1),0)-C1421)</f>
        <v>70560</v>
      </c>
    </row>
    <row r="1422" spans="2:14">
      <c r="B1422" s="95">
        <v>1370</v>
      </c>
      <c r="C1422" s="95">
        <f t="shared" si="111"/>
        <v>493200</v>
      </c>
      <c r="D1422" s="95">
        <f ca="1">_xlfn.XLOOKUP(总览!$B$44,$B$40:$B$45,$C$40:$C$45)</f>
        <v>5</v>
      </c>
      <c r="E1422" s="95">
        <f ca="1" t="shared" si="114"/>
        <v>1400</v>
      </c>
      <c r="F1422" s="95">
        <f ca="1" t="shared" si="112"/>
        <v>0</v>
      </c>
      <c r="G1422" s="95">
        <f ca="1" t="shared" si="113"/>
        <v>0</v>
      </c>
      <c r="H1422" s="95" cm="1">
        <f ca="1" t="array" ref="H1422">MIN(30-SUM(I1422:L1422),_xlfn.XLOOKUP($D1422&amp;"_"&amp;H$52,$B$14:$B$36&amp;"_"&amp;$C$14:$C$36,$D$14:$D$36)*$E1422,18)</f>
        <v>12.08</v>
      </c>
      <c r="I1422" s="95" cm="1">
        <f ca="1" t="array" ref="I1422">MIN(30-SUM(J1422:L1422),6-L1422,_xlfn.XLOOKUP($D1422&amp;"_"&amp;I$52,$B$14:$B$36&amp;"_"&amp;$C$14:$C$36,$D$14:$D$36)*$E1422)</f>
        <v>0</v>
      </c>
      <c r="J1422" s="95" cm="1">
        <f ca="1" t="array" ref="J1422">MIN(8,_xlfn.XLOOKUP($D1422&amp;"_"&amp;J$52,$B$14:$B$36&amp;"_"&amp;$C$14:$C$36,$D$14:$D$36)*$E1422)</f>
        <v>8</v>
      </c>
      <c r="K1422" s="95" cm="1">
        <f ca="1" t="array" ref="K1422">MIN(18,_xlfn.XLOOKUP($D1422&amp;"_"&amp;K$52,$B$14:$B$36&amp;"_"&amp;$C$14:$C$36,$D$14:$D$36)*$E1422)</f>
        <v>3.92</v>
      </c>
      <c r="L1422" s="95" cm="1">
        <f ca="1" t="array" ref="L1422">MIN(6,_xlfn.XLOOKUP($D1422&amp;"_"&amp;L$52,$B$14:$B$36&amp;"_"&amp;$C$14:$C$36,$D$14:$D$36)*$E1422)</f>
        <v>6</v>
      </c>
      <c r="M1422" s="95" cm="1">
        <f ca="1" t="array" ref="M1422">(1+SUMPRODUCT(G1422:H1422,OFFSET($H$40:$I$40,D1422,0)))*(1+OFFSET($J$40,D1422,0))^I1422*(1+OFFSET($K$40,D1422,0))^J1422*(1+OFFSET($L$40,D1422,0))^K1422*(1+OFFSET($M$40,D1422,0))^L1422</f>
        <v>340.363815441051</v>
      </c>
      <c r="N1422" s="95">
        <f ca="1">MAX(MAX($N$53:N1421),OFFSET($C$52,MATCH(M1422*1.07,$M$53:$M$2052,1),0)-C1422)</f>
        <v>70560</v>
      </c>
    </row>
    <row r="1423" spans="2:14">
      <c r="B1423" s="95">
        <v>1371</v>
      </c>
      <c r="C1423" s="95">
        <f t="shared" si="111"/>
        <v>493560</v>
      </c>
      <c r="D1423" s="95">
        <f ca="1">_xlfn.XLOOKUP(总览!$B$44,$B$40:$B$45,$C$40:$C$45)</f>
        <v>5</v>
      </c>
      <c r="E1423" s="95">
        <f ca="1" t="shared" si="114"/>
        <v>1401</v>
      </c>
      <c r="F1423" s="95">
        <f ca="1" t="shared" si="112"/>
        <v>0</v>
      </c>
      <c r="G1423" s="95">
        <f ca="1" t="shared" si="113"/>
        <v>0</v>
      </c>
      <c r="H1423" s="95" cm="1">
        <f ca="1" t="array" ref="H1423">MIN(30-SUM(I1423:L1423),_xlfn.XLOOKUP($D1423&amp;"_"&amp;H$52,$B$14:$B$36&amp;"_"&amp;$C$14:$C$36,$D$14:$D$36)*$E1423,18)</f>
        <v>12.0772</v>
      </c>
      <c r="I1423" s="95" cm="1">
        <f ca="1" t="array" ref="I1423">MIN(30-SUM(J1423:L1423),6-L1423,_xlfn.XLOOKUP($D1423&amp;"_"&amp;I$52,$B$14:$B$36&amp;"_"&amp;$C$14:$C$36,$D$14:$D$36)*$E1423)</f>
        <v>0</v>
      </c>
      <c r="J1423" s="95" cm="1">
        <f ca="1" t="array" ref="J1423">MIN(8,_xlfn.XLOOKUP($D1423&amp;"_"&amp;J$52,$B$14:$B$36&amp;"_"&amp;$C$14:$C$36,$D$14:$D$36)*$E1423)</f>
        <v>8</v>
      </c>
      <c r="K1423" s="95" cm="1">
        <f ca="1" t="array" ref="K1423">MIN(18,_xlfn.XLOOKUP($D1423&amp;"_"&amp;K$52,$B$14:$B$36&amp;"_"&amp;$C$14:$C$36,$D$14:$D$36)*$E1423)</f>
        <v>3.9228</v>
      </c>
      <c r="L1423" s="95" cm="1">
        <f ca="1" t="array" ref="L1423">MIN(6,_xlfn.XLOOKUP($D1423&amp;"_"&amp;L$52,$B$14:$B$36&amp;"_"&amp;$C$14:$C$36,$D$14:$D$36)*$E1423)</f>
        <v>6</v>
      </c>
      <c r="M1423" s="95" cm="1">
        <f ca="1" t="array" ref="M1423">(1+SUMPRODUCT(G1423:H1423,OFFSET($H$40:$I$40,D1423,0)))*(1+OFFSET($J$40,D1423,0))^I1423*(1+OFFSET($K$40,D1423,0))^J1423*(1+OFFSET($L$40,D1423,0))^K1423*(1+OFFSET($M$40,D1423,0))^L1423</f>
        <v>340.481789811161</v>
      </c>
      <c r="N1423" s="95">
        <f ca="1">MAX(MAX($N$53:N1422),OFFSET($C$52,MATCH(M1423*1.07,$M$53:$M$2052,1),0)-C1423)</f>
        <v>70560</v>
      </c>
    </row>
    <row r="1424" spans="2:14">
      <c r="B1424" s="95">
        <v>1372</v>
      </c>
      <c r="C1424" s="95">
        <f t="shared" si="111"/>
        <v>493920</v>
      </c>
      <c r="D1424" s="95">
        <f ca="1">_xlfn.XLOOKUP(总览!$B$44,$B$40:$B$45,$C$40:$C$45)</f>
        <v>5</v>
      </c>
      <c r="E1424" s="95">
        <f ca="1" t="shared" si="114"/>
        <v>1402</v>
      </c>
      <c r="F1424" s="95">
        <f ca="1" t="shared" si="112"/>
        <v>0</v>
      </c>
      <c r="G1424" s="95">
        <f ca="1" t="shared" si="113"/>
        <v>0</v>
      </c>
      <c r="H1424" s="95" cm="1">
        <f ca="1" t="array" ref="H1424">MIN(30-SUM(I1424:L1424),_xlfn.XLOOKUP($D1424&amp;"_"&amp;H$52,$B$14:$B$36&amp;"_"&amp;$C$14:$C$36,$D$14:$D$36)*$E1424,18)</f>
        <v>12.0744</v>
      </c>
      <c r="I1424" s="95" cm="1">
        <f ca="1" t="array" ref="I1424">MIN(30-SUM(J1424:L1424),6-L1424,_xlfn.XLOOKUP($D1424&amp;"_"&amp;I$52,$B$14:$B$36&amp;"_"&amp;$C$14:$C$36,$D$14:$D$36)*$E1424)</f>
        <v>0</v>
      </c>
      <c r="J1424" s="95" cm="1">
        <f ca="1" t="array" ref="J1424">MIN(8,_xlfn.XLOOKUP($D1424&amp;"_"&amp;J$52,$B$14:$B$36&amp;"_"&amp;$C$14:$C$36,$D$14:$D$36)*$E1424)</f>
        <v>8</v>
      </c>
      <c r="K1424" s="95" cm="1">
        <f ca="1" t="array" ref="K1424">MIN(18,_xlfn.XLOOKUP($D1424&amp;"_"&amp;K$52,$B$14:$B$36&amp;"_"&amp;$C$14:$C$36,$D$14:$D$36)*$E1424)</f>
        <v>3.9256</v>
      </c>
      <c r="L1424" s="95" cm="1">
        <f ca="1" t="array" ref="L1424">MIN(6,_xlfn.XLOOKUP($D1424&amp;"_"&amp;L$52,$B$14:$B$36&amp;"_"&amp;$C$14:$C$36,$D$14:$D$36)*$E1424)</f>
        <v>6</v>
      </c>
      <c r="M1424" s="95" cm="1">
        <f ca="1" t="array" ref="M1424">(1+SUMPRODUCT(G1424:H1424,OFFSET($H$40:$I$40,D1424,0)))*(1+OFFSET($J$40,D1424,0))^I1424*(1+OFFSET($K$40,D1424,0))^J1424*(1+OFFSET($L$40,D1424,0))^K1424*(1+OFFSET($M$40,D1424,0))^L1424</f>
        <v>340.599795916218</v>
      </c>
      <c r="N1424" s="95">
        <f ca="1">MAX(MAX($N$53:N1423),OFFSET($C$52,MATCH(M1424*1.07,$M$53:$M$2052,1),0)-C1424)</f>
        <v>70560</v>
      </c>
    </row>
    <row r="1425" spans="2:14">
      <c r="B1425" s="95">
        <v>1373</v>
      </c>
      <c r="C1425" s="95">
        <f t="shared" si="111"/>
        <v>494280</v>
      </c>
      <c r="D1425" s="95">
        <f ca="1">_xlfn.XLOOKUP(总览!$B$44,$B$40:$B$45,$C$40:$C$45)</f>
        <v>5</v>
      </c>
      <c r="E1425" s="95">
        <f ca="1" t="shared" si="114"/>
        <v>1403</v>
      </c>
      <c r="F1425" s="95">
        <f ca="1" t="shared" si="112"/>
        <v>0</v>
      </c>
      <c r="G1425" s="95">
        <f ca="1" t="shared" si="113"/>
        <v>0</v>
      </c>
      <c r="H1425" s="95" cm="1">
        <f ca="1" t="array" ref="H1425">MIN(30-SUM(I1425:L1425),_xlfn.XLOOKUP($D1425&amp;"_"&amp;H$52,$B$14:$B$36&amp;"_"&amp;$C$14:$C$36,$D$14:$D$36)*$E1425,18)</f>
        <v>12.0716</v>
      </c>
      <c r="I1425" s="95" cm="1">
        <f ca="1" t="array" ref="I1425">MIN(30-SUM(J1425:L1425),6-L1425,_xlfn.XLOOKUP($D1425&amp;"_"&amp;I$52,$B$14:$B$36&amp;"_"&amp;$C$14:$C$36,$D$14:$D$36)*$E1425)</f>
        <v>0</v>
      </c>
      <c r="J1425" s="95" cm="1">
        <f ca="1" t="array" ref="J1425">MIN(8,_xlfn.XLOOKUP($D1425&amp;"_"&amp;J$52,$B$14:$B$36&amp;"_"&amp;$C$14:$C$36,$D$14:$D$36)*$E1425)</f>
        <v>8</v>
      </c>
      <c r="K1425" s="95" cm="1">
        <f ca="1" t="array" ref="K1425">MIN(18,_xlfn.XLOOKUP($D1425&amp;"_"&amp;K$52,$B$14:$B$36&amp;"_"&amp;$C$14:$C$36,$D$14:$D$36)*$E1425)</f>
        <v>3.9284</v>
      </c>
      <c r="L1425" s="95" cm="1">
        <f ca="1" t="array" ref="L1425">MIN(6,_xlfn.XLOOKUP($D1425&amp;"_"&amp;L$52,$B$14:$B$36&amp;"_"&amp;$C$14:$C$36,$D$14:$D$36)*$E1425)</f>
        <v>6</v>
      </c>
      <c r="M1425" s="95" cm="1">
        <f ca="1" t="array" ref="M1425">(1+SUMPRODUCT(G1425:H1425,OFFSET($H$40:$I$40,D1425,0)))*(1+OFFSET($J$40,D1425,0))^I1425*(1+OFFSET($K$40,D1425,0))^J1425*(1+OFFSET($L$40,D1425,0))^K1425*(1+OFFSET($M$40,D1425,0))^L1425</f>
        <v>340.717833757871</v>
      </c>
      <c r="N1425" s="95">
        <f ca="1">MAX(MAX($N$53:N1424),OFFSET($C$52,MATCH(M1425*1.07,$M$53:$M$2052,1),0)-C1425)</f>
        <v>70560</v>
      </c>
    </row>
    <row r="1426" spans="2:14">
      <c r="B1426" s="95">
        <v>1374</v>
      </c>
      <c r="C1426" s="95">
        <f t="shared" si="111"/>
        <v>494640</v>
      </c>
      <c r="D1426" s="95">
        <f ca="1">_xlfn.XLOOKUP(总览!$B$44,$B$40:$B$45,$C$40:$C$45)</f>
        <v>5</v>
      </c>
      <c r="E1426" s="95">
        <f ca="1" t="shared" si="114"/>
        <v>1404</v>
      </c>
      <c r="F1426" s="95">
        <f ca="1" t="shared" si="112"/>
        <v>0</v>
      </c>
      <c r="G1426" s="95">
        <f ca="1" t="shared" si="113"/>
        <v>0</v>
      </c>
      <c r="H1426" s="95" cm="1">
        <f ca="1" t="array" ref="H1426">MIN(30-SUM(I1426:L1426),_xlfn.XLOOKUP($D1426&amp;"_"&amp;H$52,$B$14:$B$36&amp;"_"&amp;$C$14:$C$36,$D$14:$D$36)*$E1426,18)</f>
        <v>12.0688</v>
      </c>
      <c r="I1426" s="95" cm="1">
        <f ca="1" t="array" ref="I1426">MIN(30-SUM(J1426:L1426),6-L1426,_xlfn.XLOOKUP($D1426&amp;"_"&amp;I$52,$B$14:$B$36&amp;"_"&amp;$C$14:$C$36,$D$14:$D$36)*$E1426)</f>
        <v>0</v>
      </c>
      <c r="J1426" s="95" cm="1">
        <f ca="1" t="array" ref="J1426">MIN(8,_xlfn.XLOOKUP($D1426&amp;"_"&amp;J$52,$B$14:$B$36&amp;"_"&amp;$C$14:$C$36,$D$14:$D$36)*$E1426)</f>
        <v>8</v>
      </c>
      <c r="K1426" s="95" cm="1">
        <f ca="1" t="array" ref="K1426">MIN(18,_xlfn.XLOOKUP($D1426&amp;"_"&amp;K$52,$B$14:$B$36&amp;"_"&amp;$C$14:$C$36,$D$14:$D$36)*$E1426)</f>
        <v>3.9312</v>
      </c>
      <c r="L1426" s="95" cm="1">
        <f ca="1" t="array" ref="L1426">MIN(6,_xlfn.XLOOKUP($D1426&amp;"_"&amp;L$52,$B$14:$B$36&amp;"_"&amp;$C$14:$C$36,$D$14:$D$36)*$E1426)</f>
        <v>6</v>
      </c>
      <c r="M1426" s="95" cm="1">
        <f ca="1" t="array" ref="M1426">(1+SUMPRODUCT(G1426:H1426,OFFSET($H$40:$I$40,D1426,0)))*(1+OFFSET($J$40,D1426,0))^I1426*(1+OFFSET($K$40,D1426,0))^J1426*(1+OFFSET($L$40,D1426,0))^K1426*(1+OFFSET($M$40,D1426,0))^L1426</f>
        <v>340.835903337762</v>
      </c>
      <c r="N1426" s="95">
        <f ca="1">MAX(MAX($N$53:N1425),OFFSET($C$52,MATCH(M1426*1.07,$M$53:$M$2052,1),0)-C1426)</f>
        <v>70560</v>
      </c>
    </row>
    <row r="1427" spans="2:14">
      <c r="B1427" s="95">
        <v>1375</v>
      </c>
      <c r="C1427" s="95">
        <f t="shared" si="111"/>
        <v>495000</v>
      </c>
      <c r="D1427" s="95">
        <f ca="1">_xlfn.XLOOKUP(总览!$B$44,$B$40:$B$45,$C$40:$C$45)</f>
        <v>5</v>
      </c>
      <c r="E1427" s="95">
        <f ca="1" t="shared" si="114"/>
        <v>1405</v>
      </c>
      <c r="F1427" s="95">
        <f ca="1" t="shared" si="112"/>
        <v>0</v>
      </c>
      <c r="G1427" s="95">
        <f ca="1" t="shared" si="113"/>
        <v>0</v>
      </c>
      <c r="H1427" s="95" cm="1">
        <f ca="1" t="array" ref="H1427">MIN(30-SUM(I1427:L1427),_xlfn.XLOOKUP($D1427&amp;"_"&amp;H$52,$B$14:$B$36&amp;"_"&amp;$C$14:$C$36,$D$14:$D$36)*$E1427,18)</f>
        <v>12.066</v>
      </c>
      <c r="I1427" s="95" cm="1">
        <f ca="1" t="array" ref="I1427">MIN(30-SUM(J1427:L1427),6-L1427,_xlfn.XLOOKUP($D1427&amp;"_"&amp;I$52,$B$14:$B$36&amp;"_"&amp;$C$14:$C$36,$D$14:$D$36)*$E1427)</f>
        <v>0</v>
      </c>
      <c r="J1427" s="95" cm="1">
        <f ca="1" t="array" ref="J1427">MIN(8,_xlfn.XLOOKUP($D1427&amp;"_"&amp;J$52,$B$14:$B$36&amp;"_"&amp;$C$14:$C$36,$D$14:$D$36)*$E1427)</f>
        <v>8</v>
      </c>
      <c r="K1427" s="95" cm="1">
        <f ca="1" t="array" ref="K1427">MIN(18,_xlfn.XLOOKUP($D1427&amp;"_"&amp;K$52,$B$14:$B$36&amp;"_"&amp;$C$14:$C$36,$D$14:$D$36)*$E1427)</f>
        <v>3.934</v>
      </c>
      <c r="L1427" s="95" cm="1">
        <f ca="1" t="array" ref="L1427">MIN(6,_xlfn.XLOOKUP($D1427&amp;"_"&amp;L$52,$B$14:$B$36&amp;"_"&amp;$C$14:$C$36,$D$14:$D$36)*$E1427)</f>
        <v>6</v>
      </c>
      <c r="M1427" s="95" cm="1">
        <f ca="1" t="array" ref="M1427">(1+SUMPRODUCT(G1427:H1427,OFFSET($H$40:$I$40,D1427,0)))*(1+OFFSET($J$40,D1427,0))^I1427*(1+OFFSET($K$40,D1427,0))^J1427*(1+OFFSET($L$40,D1427,0))^K1427*(1+OFFSET($M$40,D1427,0))^L1427</f>
        <v>340.954004657526</v>
      </c>
      <c r="N1427" s="95">
        <f ca="1">MAX(MAX($N$53:N1426),OFFSET($C$52,MATCH(M1427*1.07,$M$53:$M$2052,1),0)-C1427)</f>
        <v>70560</v>
      </c>
    </row>
    <row r="1428" spans="2:14">
      <c r="B1428" s="95">
        <v>1376</v>
      </c>
      <c r="C1428" s="95">
        <f t="shared" si="111"/>
        <v>495360</v>
      </c>
      <c r="D1428" s="95">
        <f ca="1">_xlfn.XLOOKUP(总览!$B$44,$B$40:$B$45,$C$40:$C$45)</f>
        <v>5</v>
      </c>
      <c r="E1428" s="95">
        <f ca="1" t="shared" si="114"/>
        <v>1406</v>
      </c>
      <c r="F1428" s="95">
        <f ca="1" t="shared" si="112"/>
        <v>0</v>
      </c>
      <c r="G1428" s="95">
        <f ca="1" t="shared" si="113"/>
        <v>0</v>
      </c>
      <c r="H1428" s="95" cm="1">
        <f ca="1" t="array" ref="H1428">MIN(30-SUM(I1428:L1428),_xlfn.XLOOKUP($D1428&amp;"_"&amp;H$52,$B$14:$B$36&amp;"_"&amp;$C$14:$C$36,$D$14:$D$36)*$E1428,18)</f>
        <v>12.0632</v>
      </c>
      <c r="I1428" s="95" cm="1">
        <f ca="1" t="array" ref="I1428">MIN(30-SUM(J1428:L1428),6-L1428,_xlfn.XLOOKUP($D1428&amp;"_"&amp;I$52,$B$14:$B$36&amp;"_"&amp;$C$14:$C$36,$D$14:$D$36)*$E1428)</f>
        <v>0</v>
      </c>
      <c r="J1428" s="95" cm="1">
        <f ca="1" t="array" ref="J1428">MIN(8,_xlfn.XLOOKUP($D1428&amp;"_"&amp;J$52,$B$14:$B$36&amp;"_"&amp;$C$14:$C$36,$D$14:$D$36)*$E1428)</f>
        <v>8</v>
      </c>
      <c r="K1428" s="95" cm="1">
        <f ca="1" t="array" ref="K1428">MIN(18,_xlfn.XLOOKUP($D1428&amp;"_"&amp;K$52,$B$14:$B$36&amp;"_"&amp;$C$14:$C$36,$D$14:$D$36)*$E1428)</f>
        <v>3.9368</v>
      </c>
      <c r="L1428" s="95" cm="1">
        <f ca="1" t="array" ref="L1428">MIN(6,_xlfn.XLOOKUP($D1428&amp;"_"&amp;L$52,$B$14:$B$36&amp;"_"&amp;$C$14:$C$36,$D$14:$D$36)*$E1428)</f>
        <v>6</v>
      </c>
      <c r="M1428" s="95" cm="1">
        <f ca="1" t="array" ref="M1428">(1+SUMPRODUCT(G1428:H1428,OFFSET($H$40:$I$40,D1428,0)))*(1+OFFSET($J$40,D1428,0))^I1428*(1+OFFSET($K$40,D1428,0))^J1428*(1+OFFSET($L$40,D1428,0))^K1428*(1+OFFSET($M$40,D1428,0))^L1428</f>
        <v>341.072137718793</v>
      </c>
      <c r="N1428" s="95">
        <f ca="1">MAX(MAX($N$53:N1427),OFFSET($C$52,MATCH(M1428*1.07,$M$53:$M$2052,1),0)-C1428)</f>
        <v>70560</v>
      </c>
    </row>
    <row r="1429" spans="2:14">
      <c r="B1429" s="95">
        <v>1377</v>
      </c>
      <c r="C1429" s="95">
        <f t="shared" si="111"/>
        <v>495720</v>
      </c>
      <c r="D1429" s="95">
        <f ca="1">_xlfn.XLOOKUP(总览!$B$44,$B$40:$B$45,$C$40:$C$45)</f>
        <v>5</v>
      </c>
      <c r="E1429" s="95">
        <f ca="1" t="shared" si="114"/>
        <v>1407</v>
      </c>
      <c r="F1429" s="95">
        <f ca="1" t="shared" si="112"/>
        <v>0</v>
      </c>
      <c r="G1429" s="95">
        <f ca="1" t="shared" si="113"/>
        <v>0</v>
      </c>
      <c r="H1429" s="95" cm="1">
        <f ca="1" t="array" ref="H1429">MIN(30-SUM(I1429:L1429),_xlfn.XLOOKUP($D1429&amp;"_"&amp;H$52,$B$14:$B$36&amp;"_"&amp;$C$14:$C$36,$D$14:$D$36)*$E1429,18)</f>
        <v>12.0604</v>
      </c>
      <c r="I1429" s="95" cm="1">
        <f ca="1" t="array" ref="I1429">MIN(30-SUM(J1429:L1429),6-L1429,_xlfn.XLOOKUP($D1429&amp;"_"&amp;I$52,$B$14:$B$36&amp;"_"&amp;$C$14:$C$36,$D$14:$D$36)*$E1429)</f>
        <v>0</v>
      </c>
      <c r="J1429" s="95" cm="1">
        <f ca="1" t="array" ref="J1429">MIN(8,_xlfn.XLOOKUP($D1429&amp;"_"&amp;J$52,$B$14:$B$36&amp;"_"&amp;$C$14:$C$36,$D$14:$D$36)*$E1429)</f>
        <v>8</v>
      </c>
      <c r="K1429" s="95" cm="1">
        <f ca="1" t="array" ref="K1429">MIN(18,_xlfn.XLOOKUP($D1429&amp;"_"&amp;K$52,$B$14:$B$36&amp;"_"&amp;$C$14:$C$36,$D$14:$D$36)*$E1429)</f>
        <v>3.9396</v>
      </c>
      <c r="L1429" s="95" cm="1">
        <f ca="1" t="array" ref="L1429">MIN(6,_xlfn.XLOOKUP($D1429&amp;"_"&amp;L$52,$B$14:$B$36&amp;"_"&amp;$C$14:$C$36,$D$14:$D$36)*$E1429)</f>
        <v>6</v>
      </c>
      <c r="M1429" s="95" cm="1">
        <f ca="1" t="array" ref="M1429">(1+SUMPRODUCT(G1429:H1429,OFFSET($H$40:$I$40,D1429,0)))*(1+OFFSET($J$40,D1429,0))^I1429*(1+OFFSET($K$40,D1429,0))^J1429*(1+OFFSET($L$40,D1429,0))^K1429*(1+OFFSET($M$40,D1429,0))^L1429</f>
        <v>341.190302523184</v>
      </c>
      <c r="N1429" s="95">
        <f ca="1">MAX(MAX($N$53:N1428),OFFSET($C$52,MATCH(M1429*1.07,$M$53:$M$2052,1),0)-C1429)</f>
        <v>70560</v>
      </c>
    </row>
    <row r="1430" spans="2:14">
      <c r="B1430" s="95">
        <v>1378</v>
      </c>
      <c r="C1430" s="95">
        <f t="shared" si="111"/>
        <v>496080</v>
      </c>
      <c r="D1430" s="95">
        <f ca="1">_xlfn.XLOOKUP(总览!$B$44,$B$40:$B$45,$C$40:$C$45)</f>
        <v>5</v>
      </c>
      <c r="E1430" s="95">
        <f ca="1" t="shared" si="114"/>
        <v>1408</v>
      </c>
      <c r="F1430" s="95">
        <f ca="1" t="shared" si="112"/>
        <v>0</v>
      </c>
      <c r="G1430" s="95">
        <f ca="1" t="shared" si="113"/>
        <v>0</v>
      </c>
      <c r="H1430" s="95" cm="1">
        <f ca="1" t="array" ref="H1430">MIN(30-SUM(I1430:L1430),_xlfn.XLOOKUP($D1430&amp;"_"&amp;H$52,$B$14:$B$36&amp;"_"&amp;$C$14:$C$36,$D$14:$D$36)*$E1430,18)</f>
        <v>12.0576</v>
      </c>
      <c r="I1430" s="95" cm="1">
        <f ca="1" t="array" ref="I1430">MIN(30-SUM(J1430:L1430),6-L1430,_xlfn.XLOOKUP($D1430&amp;"_"&amp;I$52,$B$14:$B$36&amp;"_"&amp;$C$14:$C$36,$D$14:$D$36)*$E1430)</f>
        <v>0</v>
      </c>
      <c r="J1430" s="95" cm="1">
        <f ca="1" t="array" ref="J1430">MIN(8,_xlfn.XLOOKUP($D1430&amp;"_"&amp;J$52,$B$14:$B$36&amp;"_"&amp;$C$14:$C$36,$D$14:$D$36)*$E1430)</f>
        <v>8</v>
      </c>
      <c r="K1430" s="95" cm="1">
        <f ca="1" t="array" ref="K1430">MIN(18,_xlfn.XLOOKUP($D1430&amp;"_"&amp;K$52,$B$14:$B$36&amp;"_"&amp;$C$14:$C$36,$D$14:$D$36)*$E1430)</f>
        <v>3.9424</v>
      </c>
      <c r="L1430" s="95" cm="1">
        <f ca="1" t="array" ref="L1430">MIN(6,_xlfn.XLOOKUP($D1430&amp;"_"&amp;L$52,$B$14:$B$36&amp;"_"&amp;$C$14:$C$36,$D$14:$D$36)*$E1430)</f>
        <v>6</v>
      </c>
      <c r="M1430" s="95" cm="1">
        <f ca="1" t="array" ref="M1430">(1+SUMPRODUCT(G1430:H1430,OFFSET($H$40:$I$40,D1430,0)))*(1+OFFSET($J$40,D1430,0))^I1430*(1+OFFSET($K$40,D1430,0))^J1430*(1+OFFSET($L$40,D1430,0))^K1430*(1+OFFSET($M$40,D1430,0))^L1430</f>
        <v>341.308499072315</v>
      </c>
      <c r="N1430" s="95">
        <f ca="1">MAX(MAX($N$53:N1429),OFFSET($C$52,MATCH(M1430*1.07,$M$53:$M$2052,1),0)-C1430)</f>
        <v>70560</v>
      </c>
    </row>
    <row r="1431" spans="2:14">
      <c r="B1431" s="95">
        <v>1379</v>
      </c>
      <c r="C1431" s="95">
        <f t="shared" si="111"/>
        <v>496440</v>
      </c>
      <c r="D1431" s="95">
        <f ca="1">_xlfn.XLOOKUP(总览!$B$44,$B$40:$B$45,$C$40:$C$45)</f>
        <v>5</v>
      </c>
      <c r="E1431" s="95">
        <f ca="1" t="shared" si="114"/>
        <v>1409</v>
      </c>
      <c r="F1431" s="95">
        <f ca="1" t="shared" si="112"/>
        <v>0</v>
      </c>
      <c r="G1431" s="95">
        <f ca="1" t="shared" si="113"/>
        <v>0</v>
      </c>
      <c r="H1431" s="95" cm="1">
        <f ca="1" t="array" ref="H1431">MIN(30-SUM(I1431:L1431),_xlfn.XLOOKUP($D1431&amp;"_"&amp;H$52,$B$14:$B$36&amp;"_"&amp;$C$14:$C$36,$D$14:$D$36)*$E1431,18)</f>
        <v>12.0548</v>
      </c>
      <c r="I1431" s="95" cm="1">
        <f ca="1" t="array" ref="I1431">MIN(30-SUM(J1431:L1431),6-L1431,_xlfn.XLOOKUP($D1431&amp;"_"&amp;I$52,$B$14:$B$36&amp;"_"&amp;$C$14:$C$36,$D$14:$D$36)*$E1431)</f>
        <v>0</v>
      </c>
      <c r="J1431" s="95" cm="1">
        <f ca="1" t="array" ref="J1431">MIN(8,_xlfn.XLOOKUP($D1431&amp;"_"&amp;J$52,$B$14:$B$36&amp;"_"&amp;$C$14:$C$36,$D$14:$D$36)*$E1431)</f>
        <v>8</v>
      </c>
      <c r="K1431" s="95" cm="1">
        <f ca="1" t="array" ref="K1431">MIN(18,_xlfn.XLOOKUP($D1431&amp;"_"&amp;K$52,$B$14:$B$36&amp;"_"&amp;$C$14:$C$36,$D$14:$D$36)*$E1431)</f>
        <v>3.9452</v>
      </c>
      <c r="L1431" s="95" cm="1">
        <f ca="1" t="array" ref="L1431">MIN(6,_xlfn.XLOOKUP($D1431&amp;"_"&amp;L$52,$B$14:$B$36&amp;"_"&amp;$C$14:$C$36,$D$14:$D$36)*$E1431)</f>
        <v>6</v>
      </c>
      <c r="M1431" s="95" cm="1">
        <f ca="1" t="array" ref="M1431">(1+SUMPRODUCT(G1431:H1431,OFFSET($H$40:$I$40,D1431,0)))*(1+OFFSET($J$40,D1431,0))^I1431*(1+OFFSET($K$40,D1431,0))^J1431*(1+OFFSET($L$40,D1431,0))^K1431*(1+OFFSET($M$40,D1431,0))^L1431</f>
        <v>341.426727367794</v>
      </c>
      <c r="N1431" s="95">
        <f ca="1">MAX(MAX($N$53:N1430),OFFSET($C$52,MATCH(M1431*1.07,$M$53:$M$2052,1),0)-C1431)</f>
        <v>70560</v>
      </c>
    </row>
    <row r="1432" spans="2:14">
      <c r="B1432" s="95">
        <v>1380</v>
      </c>
      <c r="C1432" s="95">
        <f t="shared" si="111"/>
        <v>496800</v>
      </c>
      <c r="D1432" s="95">
        <f ca="1">_xlfn.XLOOKUP(总览!$B$44,$B$40:$B$45,$C$40:$C$45)</f>
        <v>5</v>
      </c>
      <c r="E1432" s="95">
        <f ca="1" t="shared" si="114"/>
        <v>1410</v>
      </c>
      <c r="F1432" s="95">
        <f ca="1" t="shared" si="112"/>
        <v>0</v>
      </c>
      <c r="G1432" s="95">
        <f ca="1" t="shared" si="113"/>
        <v>0</v>
      </c>
      <c r="H1432" s="95" cm="1">
        <f ca="1" t="array" ref="H1432">MIN(30-SUM(I1432:L1432),_xlfn.XLOOKUP($D1432&amp;"_"&amp;H$52,$B$14:$B$36&amp;"_"&amp;$C$14:$C$36,$D$14:$D$36)*$E1432,18)</f>
        <v>12.052</v>
      </c>
      <c r="I1432" s="95" cm="1">
        <f ca="1" t="array" ref="I1432">MIN(30-SUM(J1432:L1432),6-L1432,_xlfn.XLOOKUP($D1432&amp;"_"&amp;I$52,$B$14:$B$36&amp;"_"&amp;$C$14:$C$36,$D$14:$D$36)*$E1432)</f>
        <v>0</v>
      </c>
      <c r="J1432" s="95" cm="1">
        <f ca="1" t="array" ref="J1432">MIN(8,_xlfn.XLOOKUP($D1432&amp;"_"&amp;J$52,$B$14:$B$36&amp;"_"&amp;$C$14:$C$36,$D$14:$D$36)*$E1432)</f>
        <v>8</v>
      </c>
      <c r="K1432" s="95" cm="1">
        <f ca="1" t="array" ref="K1432">MIN(18,_xlfn.XLOOKUP($D1432&amp;"_"&amp;K$52,$B$14:$B$36&amp;"_"&amp;$C$14:$C$36,$D$14:$D$36)*$E1432)</f>
        <v>3.948</v>
      </c>
      <c r="L1432" s="95" cm="1">
        <f ca="1" t="array" ref="L1432">MIN(6,_xlfn.XLOOKUP($D1432&amp;"_"&amp;L$52,$B$14:$B$36&amp;"_"&amp;$C$14:$C$36,$D$14:$D$36)*$E1432)</f>
        <v>6</v>
      </c>
      <c r="M1432" s="95" cm="1">
        <f ca="1" t="array" ref="M1432">(1+SUMPRODUCT(G1432:H1432,OFFSET($H$40:$I$40,D1432,0)))*(1+OFFSET($J$40,D1432,0))^I1432*(1+OFFSET($K$40,D1432,0))^J1432*(1+OFFSET($L$40,D1432,0))^K1432*(1+OFFSET($M$40,D1432,0))^L1432</f>
        <v>341.544987411225</v>
      </c>
      <c r="N1432" s="95">
        <f ca="1">MAX(MAX($N$53:N1431),OFFSET($C$52,MATCH(M1432*1.07,$M$53:$M$2052,1),0)-C1432)</f>
        <v>70560</v>
      </c>
    </row>
    <row r="1433" spans="2:14">
      <c r="B1433" s="95">
        <v>1381</v>
      </c>
      <c r="C1433" s="95">
        <f t="shared" si="111"/>
        <v>497160</v>
      </c>
      <c r="D1433" s="95">
        <f ca="1">_xlfn.XLOOKUP(总览!$B$44,$B$40:$B$45,$C$40:$C$45)</f>
        <v>5</v>
      </c>
      <c r="E1433" s="95">
        <f ca="1" t="shared" si="114"/>
        <v>1411</v>
      </c>
      <c r="F1433" s="95">
        <f ca="1" t="shared" si="112"/>
        <v>0</v>
      </c>
      <c r="G1433" s="95">
        <f ca="1" t="shared" si="113"/>
        <v>0</v>
      </c>
      <c r="H1433" s="95" cm="1">
        <f ca="1" t="array" ref="H1433">MIN(30-SUM(I1433:L1433),_xlfn.XLOOKUP($D1433&amp;"_"&amp;H$52,$B$14:$B$36&amp;"_"&amp;$C$14:$C$36,$D$14:$D$36)*$E1433,18)</f>
        <v>12.0492</v>
      </c>
      <c r="I1433" s="95" cm="1">
        <f ca="1" t="array" ref="I1433">MIN(30-SUM(J1433:L1433),6-L1433,_xlfn.XLOOKUP($D1433&amp;"_"&amp;I$52,$B$14:$B$36&amp;"_"&amp;$C$14:$C$36,$D$14:$D$36)*$E1433)</f>
        <v>0</v>
      </c>
      <c r="J1433" s="95" cm="1">
        <f ca="1" t="array" ref="J1433">MIN(8,_xlfn.XLOOKUP($D1433&amp;"_"&amp;J$52,$B$14:$B$36&amp;"_"&amp;$C$14:$C$36,$D$14:$D$36)*$E1433)</f>
        <v>8</v>
      </c>
      <c r="K1433" s="95" cm="1">
        <f ca="1" t="array" ref="K1433">MIN(18,_xlfn.XLOOKUP($D1433&amp;"_"&amp;K$52,$B$14:$B$36&amp;"_"&amp;$C$14:$C$36,$D$14:$D$36)*$E1433)</f>
        <v>3.9508</v>
      </c>
      <c r="L1433" s="95" cm="1">
        <f ca="1" t="array" ref="L1433">MIN(6,_xlfn.XLOOKUP($D1433&amp;"_"&amp;L$52,$B$14:$B$36&amp;"_"&amp;$C$14:$C$36,$D$14:$D$36)*$E1433)</f>
        <v>6</v>
      </c>
      <c r="M1433" s="95" cm="1">
        <f ca="1" t="array" ref="M1433">(1+SUMPRODUCT(G1433:H1433,OFFSET($H$40:$I$40,D1433,0)))*(1+OFFSET($J$40,D1433,0))^I1433*(1+OFFSET($K$40,D1433,0))^J1433*(1+OFFSET($L$40,D1433,0))^K1433*(1+OFFSET($M$40,D1433,0))^L1433</f>
        <v>341.663279204202</v>
      </c>
      <c r="N1433" s="95">
        <f ca="1">MAX(MAX($N$53:N1432),OFFSET($C$52,MATCH(M1433*1.07,$M$53:$M$2052,1),0)-C1433)</f>
        <v>70560</v>
      </c>
    </row>
    <row r="1434" spans="2:14">
      <c r="B1434" s="95">
        <v>1382</v>
      </c>
      <c r="C1434" s="95">
        <f t="shared" si="111"/>
        <v>497520</v>
      </c>
      <c r="D1434" s="95">
        <f ca="1">_xlfn.XLOOKUP(总览!$B$44,$B$40:$B$45,$C$40:$C$45)</f>
        <v>5</v>
      </c>
      <c r="E1434" s="95">
        <f ca="1" t="shared" si="114"/>
        <v>1412</v>
      </c>
      <c r="F1434" s="95">
        <f ca="1" t="shared" si="112"/>
        <v>0</v>
      </c>
      <c r="G1434" s="95">
        <f ca="1" t="shared" si="113"/>
        <v>0</v>
      </c>
      <c r="H1434" s="95" cm="1">
        <f ca="1" t="array" ref="H1434">MIN(30-SUM(I1434:L1434),_xlfn.XLOOKUP($D1434&amp;"_"&amp;H$52,$B$14:$B$36&amp;"_"&amp;$C$14:$C$36,$D$14:$D$36)*$E1434,18)</f>
        <v>12.0464</v>
      </c>
      <c r="I1434" s="95" cm="1">
        <f ca="1" t="array" ref="I1434">MIN(30-SUM(J1434:L1434),6-L1434,_xlfn.XLOOKUP($D1434&amp;"_"&amp;I$52,$B$14:$B$36&amp;"_"&amp;$C$14:$C$36,$D$14:$D$36)*$E1434)</f>
        <v>0</v>
      </c>
      <c r="J1434" s="95" cm="1">
        <f ca="1" t="array" ref="J1434">MIN(8,_xlfn.XLOOKUP($D1434&amp;"_"&amp;J$52,$B$14:$B$36&amp;"_"&amp;$C$14:$C$36,$D$14:$D$36)*$E1434)</f>
        <v>8</v>
      </c>
      <c r="K1434" s="95" cm="1">
        <f ca="1" t="array" ref="K1434">MIN(18,_xlfn.XLOOKUP($D1434&amp;"_"&amp;K$52,$B$14:$B$36&amp;"_"&amp;$C$14:$C$36,$D$14:$D$36)*$E1434)</f>
        <v>3.9536</v>
      </c>
      <c r="L1434" s="95" cm="1">
        <f ca="1" t="array" ref="L1434">MIN(6,_xlfn.XLOOKUP($D1434&amp;"_"&amp;L$52,$B$14:$B$36&amp;"_"&amp;$C$14:$C$36,$D$14:$D$36)*$E1434)</f>
        <v>6</v>
      </c>
      <c r="M1434" s="95" cm="1">
        <f ca="1" t="array" ref="M1434">(1+SUMPRODUCT(G1434:H1434,OFFSET($H$40:$I$40,D1434,0)))*(1+OFFSET($J$40,D1434,0))^I1434*(1+OFFSET($K$40,D1434,0))^J1434*(1+OFFSET($L$40,D1434,0))^K1434*(1+OFFSET($M$40,D1434,0))^L1434</f>
        <v>341.781602748316</v>
      </c>
      <c r="N1434" s="95">
        <f ca="1">MAX(MAX($N$53:N1433),OFFSET($C$52,MATCH(M1434*1.07,$M$53:$M$2052,1),0)-C1434)</f>
        <v>70560</v>
      </c>
    </row>
    <row r="1435" spans="2:14">
      <c r="B1435" s="95">
        <v>1383</v>
      </c>
      <c r="C1435" s="95">
        <f t="shared" si="111"/>
        <v>497880</v>
      </c>
      <c r="D1435" s="95">
        <f ca="1">_xlfn.XLOOKUP(总览!$B$44,$B$40:$B$45,$C$40:$C$45)</f>
        <v>5</v>
      </c>
      <c r="E1435" s="95">
        <f ca="1" t="shared" si="114"/>
        <v>1413</v>
      </c>
      <c r="F1435" s="95">
        <f ca="1" t="shared" si="112"/>
        <v>0</v>
      </c>
      <c r="G1435" s="95">
        <f ca="1" t="shared" si="113"/>
        <v>0</v>
      </c>
      <c r="H1435" s="95" cm="1">
        <f ca="1" t="array" ref="H1435">MIN(30-SUM(I1435:L1435),_xlfn.XLOOKUP($D1435&amp;"_"&amp;H$52,$B$14:$B$36&amp;"_"&amp;$C$14:$C$36,$D$14:$D$36)*$E1435,18)</f>
        <v>12.0436</v>
      </c>
      <c r="I1435" s="95" cm="1">
        <f ca="1" t="array" ref="I1435">MIN(30-SUM(J1435:L1435),6-L1435,_xlfn.XLOOKUP($D1435&amp;"_"&amp;I$52,$B$14:$B$36&amp;"_"&amp;$C$14:$C$36,$D$14:$D$36)*$E1435)</f>
        <v>0</v>
      </c>
      <c r="J1435" s="95" cm="1">
        <f ca="1" t="array" ref="J1435">MIN(8,_xlfn.XLOOKUP($D1435&amp;"_"&amp;J$52,$B$14:$B$36&amp;"_"&amp;$C$14:$C$36,$D$14:$D$36)*$E1435)</f>
        <v>8</v>
      </c>
      <c r="K1435" s="95" cm="1">
        <f ca="1" t="array" ref="K1435">MIN(18,_xlfn.XLOOKUP($D1435&amp;"_"&amp;K$52,$B$14:$B$36&amp;"_"&amp;$C$14:$C$36,$D$14:$D$36)*$E1435)</f>
        <v>3.9564</v>
      </c>
      <c r="L1435" s="95" cm="1">
        <f ca="1" t="array" ref="L1435">MIN(6,_xlfn.XLOOKUP($D1435&amp;"_"&amp;L$52,$B$14:$B$36&amp;"_"&amp;$C$14:$C$36,$D$14:$D$36)*$E1435)</f>
        <v>6</v>
      </c>
      <c r="M1435" s="95" cm="1">
        <f ca="1" t="array" ref="M1435">(1+SUMPRODUCT(G1435:H1435,OFFSET($H$40:$I$40,D1435,0)))*(1+OFFSET($J$40,D1435,0))^I1435*(1+OFFSET($K$40,D1435,0))^J1435*(1+OFFSET($L$40,D1435,0))^K1435*(1+OFFSET($M$40,D1435,0))^L1435</f>
        <v>341.899958045148</v>
      </c>
      <c r="N1435" s="95">
        <f ca="1">MAX(MAX($N$53:N1434),OFFSET($C$52,MATCH(M1435*1.07,$M$53:$M$2052,1),0)-C1435)</f>
        <v>70560</v>
      </c>
    </row>
    <row r="1436" spans="2:14">
      <c r="B1436" s="95">
        <v>1384</v>
      </c>
      <c r="C1436" s="95">
        <f t="shared" si="111"/>
        <v>498240</v>
      </c>
      <c r="D1436" s="95">
        <f ca="1">_xlfn.XLOOKUP(总览!$B$44,$B$40:$B$45,$C$40:$C$45)</f>
        <v>5</v>
      </c>
      <c r="E1436" s="95">
        <f ca="1" t="shared" si="114"/>
        <v>1414</v>
      </c>
      <c r="F1436" s="95">
        <f ca="1" t="shared" si="112"/>
        <v>0</v>
      </c>
      <c r="G1436" s="95">
        <f ca="1" t="shared" si="113"/>
        <v>0</v>
      </c>
      <c r="H1436" s="95" cm="1">
        <f ca="1" t="array" ref="H1436">MIN(30-SUM(I1436:L1436),_xlfn.XLOOKUP($D1436&amp;"_"&amp;H$52,$B$14:$B$36&amp;"_"&amp;$C$14:$C$36,$D$14:$D$36)*$E1436,18)</f>
        <v>12.0408</v>
      </c>
      <c r="I1436" s="95" cm="1">
        <f ca="1" t="array" ref="I1436">MIN(30-SUM(J1436:L1436),6-L1436,_xlfn.XLOOKUP($D1436&amp;"_"&amp;I$52,$B$14:$B$36&amp;"_"&amp;$C$14:$C$36,$D$14:$D$36)*$E1436)</f>
        <v>0</v>
      </c>
      <c r="J1436" s="95" cm="1">
        <f ca="1" t="array" ref="J1436">MIN(8,_xlfn.XLOOKUP($D1436&amp;"_"&amp;J$52,$B$14:$B$36&amp;"_"&amp;$C$14:$C$36,$D$14:$D$36)*$E1436)</f>
        <v>8</v>
      </c>
      <c r="K1436" s="95" cm="1">
        <f ca="1" t="array" ref="K1436">MIN(18,_xlfn.XLOOKUP($D1436&amp;"_"&amp;K$52,$B$14:$B$36&amp;"_"&amp;$C$14:$C$36,$D$14:$D$36)*$E1436)</f>
        <v>3.9592</v>
      </c>
      <c r="L1436" s="95" cm="1">
        <f ca="1" t="array" ref="L1436">MIN(6,_xlfn.XLOOKUP($D1436&amp;"_"&amp;L$52,$B$14:$B$36&amp;"_"&amp;$C$14:$C$36,$D$14:$D$36)*$E1436)</f>
        <v>6</v>
      </c>
      <c r="M1436" s="95" cm="1">
        <f ca="1" t="array" ref="M1436">(1+SUMPRODUCT(G1436:H1436,OFFSET($H$40:$I$40,D1436,0)))*(1+OFFSET($J$40,D1436,0))^I1436*(1+OFFSET($K$40,D1436,0))^J1436*(1+OFFSET($L$40,D1436,0))^K1436*(1+OFFSET($M$40,D1436,0))^L1436</f>
        <v>342.018345096273</v>
      </c>
      <c r="N1436" s="95">
        <f ca="1">MAX(MAX($N$53:N1435),OFFSET($C$52,MATCH(M1436*1.07,$M$53:$M$2052,1),0)-C1436)</f>
        <v>70560</v>
      </c>
    </row>
    <row r="1437" spans="2:14">
      <c r="B1437" s="95">
        <v>1385</v>
      </c>
      <c r="C1437" s="95">
        <f t="shared" si="111"/>
        <v>498600</v>
      </c>
      <c r="D1437" s="95">
        <f ca="1">_xlfn.XLOOKUP(总览!$B$44,$B$40:$B$45,$C$40:$C$45)</f>
        <v>5</v>
      </c>
      <c r="E1437" s="95">
        <f ca="1" t="shared" si="114"/>
        <v>1415</v>
      </c>
      <c r="F1437" s="95">
        <f ca="1" t="shared" si="112"/>
        <v>0</v>
      </c>
      <c r="G1437" s="95">
        <f ca="1" t="shared" si="113"/>
        <v>0</v>
      </c>
      <c r="H1437" s="95" cm="1">
        <f ca="1" t="array" ref="H1437">MIN(30-SUM(I1437:L1437),_xlfn.XLOOKUP($D1437&amp;"_"&amp;H$52,$B$14:$B$36&amp;"_"&amp;$C$14:$C$36,$D$14:$D$36)*$E1437,18)</f>
        <v>12.038</v>
      </c>
      <c r="I1437" s="95" cm="1">
        <f ca="1" t="array" ref="I1437">MIN(30-SUM(J1437:L1437),6-L1437,_xlfn.XLOOKUP($D1437&amp;"_"&amp;I$52,$B$14:$B$36&amp;"_"&amp;$C$14:$C$36,$D$14:$D$36)*$E1437)</f>
        <v>0</v>
      </c>
      <c r="J1437" s="95" cm="1">
        <f ca="1" t="array" ref="J1437">MIN(8,_xlfn.XLOOKUP($D1437&amp;"_"&amp;J$52,$B$14:$B$36&amp;"_"&amp;$C$14:$C$36,$D$14:$D$36)*$E1437)</f>
        <v>8</v>
      </c>
      <c r="K1437" s="95" cm="1">
        <f ca="1" t="array" ref="K1437">MIN(18,_xlfn.XLOOKUP($D1437&amp;"_"&amp;K$52,$B$14:$B$36&amp;"_"&amp;$C$14:$C$36,$D$14:$D$36)*$E1437)</f>
        <v>3.962</v>
      </c>
      <c r="L1437" s="95" cm="1">
        <f ca="1" t="array" ref="L1437">MIN(6,_xlfn.XLOOKUP($D1437&amp;"_"&amp;L$52,$B$14:$B$36&amp;"_"&amp;$C$14:$C$36,$D$14:$D$36)*$E1437)</f>
        <v>6</v>
      </c>
      <c r="M1437" s="95" cm="1">
        <f ca="1" t="array" ref="M1437">(1+SUMPRODUCT(G1437:H1437,OFFSET($H$40:$I$40,D1437,0)))*(1+OFFSET($J$40,D1437,0))^I1437*(1+OFFSET($K$40,D1437,0))^J1437*(1+OFFSET($L$40,D1437,0))^K1437*(1+OFFSET($M$40,D1437,0))^L1437</f>
        <v>342.136763903262</v>
      </c>
      <c r="N1437" s="95">
        <f ca="1">MAX(MAX($N$53:N1436),OFFSET($C$52,MATCH(M1437*1.07,$M$53:$M$2052,1),0)-C1437)</f>
        <v>70920</v>
      </c>
    </row>
    <row r="1438" spans="2:14">
      <c r="B1438" s="95">
        <v>1386</v>
      </c>
      <c r="C1438" s="95">
        <f t="shared" si="111"/>
        <v>498960</v>
      </c>
      <c r="D1438" s="95">
        <f ca="1">_xlfn.XLOOKUP(总览!$B$44,$B$40:$B$45,$C$40:$C$45)</f>
        <v>5</v>
      </c>
      <c r="E1438" s="95">
        <f ca="1" t="shared" si="114"/>
        <v>1416</v>
      </c>
      <c r="F1438" s="95">
        <f ca="1" t="shared" si="112"/>
        <v>0</v>
      </c>
      <c r="G1438" s="95">
        <f ca="1" t="shared" si="113"/>
        <v>0</v>
      </c>
      <c r="H1438" s="95" cm="1">
        <f ca="1" t="array" ref="H1438">MIN(30-SUM(I1438:L1438),_xlfn.XLOOKUP($D1438&amp;"_"&amp;H$52,$B$14:$B$36&amp;"_"&amp;$C$14:$C$36,$D$14:$D$36)*$E1438,18)</f>
        <v>12.0352</v>
      </c>
      <c r="I1438" s="95" cm="1">
        <f ca="1" t="array" ref="I1438">MIN(30-SUM(J1438:L1438),6-L1438,_xlfn.XLOOKUP($D1438&amp;"_"&amp;I$52,$B$14:$B$36&amp;"_"&amp;$C$14:$C$36,$D$14:$D$36)*$E1438)</f>
        <v>0</v>
      </c>
      <c r="J1438" s="95" cm="1">
        <f ca="1" t="array" ref="J1438">MIN(8,_xlfn.XLOOKUP($D1438&amp;"_"&amp;J$52,$B$14:$B$36&amp;"_"&amp;$C$14:$C$36,$D$14:$D$36)*$E1438)</f>
        <v>8</v>
      </c>
      <c r="K1438" s="95" cm="1">
        <f ca="1" t="array" ref="K1438">MIN(18,_xlfn.XLOOKUP($D1438&amp;"_"&amp;K$52,$B$14:$B$36&amp;"_"&amp;$C$14:$C$36,$D$14:$D$36)*$E1438)</f>
        <v>3.9648</v>
      </c>
      <c r="L1438" s="95" cm="1">
        <f ca="1" t="array" ref="L1438">MIN(6,_xlfn.XLOOKUP($D1438&amp;"_"&amp;L$52,$B$14:$B$36&amp;"_"&amp;$C$14:$C$36,$D$14:$D$36)*$E1438)</f>
        <v>6</v>
      </c>
      <c r="M1438" s="95" cm="1">
        <f ca="1" t="array" ref="M1438">(1+SUMPRODUCT(G1438:H1438,OFFSET($H$40:$I$40,D1438,0)))*(1+OFFSET($J$40,D1438,0))^I1438*(1+OFFSET($K$40,D1438,0))^J1438*(1+OFFSET($L$40,D1438,0))^K1438*(1+OFFSET($M$40,D1438,0))^L1438</f>
        <v>342.255214467676</v>
      </c>
      <c r="N1438" s="95">
        <f ca="1">MAX(MAX($N$53:N1437),OFFSET($C$52,MATCH(M1438*1.07,$M$53:$M$2052,1),0)-C1438)</f>
        <v>70920</v>
      </c>
    </row>
    <row r="1439" spans="2:14">
      <c r="B1439" s="95">
        <v>1387</v>
      </c>
      <c r="C1439" s="95">
        <f t="shared" si="111"/>
        <v>499320</v>
      </c>
      <c r="D1439" s="95">
        <f ca="1">_xlfn.XLOOKUP(总览!$B$44,$B$40:$B$45,$C$40:$C$45)</f>
        <v>5</v>
      </c>
      <c r="E1439" s="95">
        <f ca="1" t="shared" si="114"/>
        <v>1417</v>
      </c>
      <c r="F1439" s="95">
        <f ca="1" t="shared" si="112"/>
        <v>0</v>
      </c>
      <c r="G1439" s="95">
        <f ca="1" t="shared" si="113"/>
        <v>0</v>
      </c>
      <c r="H1439" s="95" cm="1">
        <f ca="1" t="array" ref="H1439">MIN(30-SUM(I1439:L1439),_xlfn.XLOOKUP($D1439&amp;"_"&amp;H$52,$B$14:$B$36&amp;"_"&amp;$C$14:$C$36,$D$14:$D$36)*$E1439,18)</f>
        <v>12.0324</v>
      </c>
      <c r="I1439" s="95" cm="1">
        <f ca="1" t="array" ref="I1439">MIN(30-SUM(J1439:L1439),6-L1439,_xlfn.XLOOKUP($D1439&amp;"_"&amp;I$52,$B$14:$B$36&amp;"_"&amp;$C$14:$C$36,$D$14:$D$36)*$E1439)</f>
        <v>0</v>
      </c>
      <c r="J1439" s="95" cm="1">
        <f ca="1" t="array" ref="J1439">MIN(8,_xlfn.XLOOKUP($D1439&amp;"_"&amp;J$52,$B$14:$B$36&amp;"_"&amp;$C$14:$C$36,$D$14:$D$36)*$E1439)</f>
        <v>8</v>
      </c>
      <c r="K1439" s="95" cm="1">
        <f ca="1" t="array" ref="K1439">MIN(18,_xlfn.XLOOKUP($D1439&amp;"_"&amp;K$52,$B$14:$B$36&amp;"_"&amp;$C$14:$C$36,$D$14:$D$36)*$E1439)</f>
        <v>3.9676</v>
      </c>
      <c r="L1439" s="95" cm="1">
        <f ca="1" t="array" ref="L1439">MIN(6,_xlfn.XLOOKUP($D1439&amp;"_"&amp;L$52,$B$14:$B$36&amp;"_"&amp;$C$14:$C$36,$D$14:$D$36)*$E1439)</f>
        <v>6</v>
      </c>
      <c r="M1439" s="95" cm="1">
        <f ca="1" t="array" ref="M1439">(1+SUMPRODUCT(G1439:H1439,OFFSET($H$40:$I$40,D1439,0)))*(1+OFFSET($J$40,D1439,0))^I1439*(1+OFFSET($K$40,D1439,0))^J1439*(1+OFFSET($L$40,D1439,0))^K1439*(1+OFFSET($M$40,D1439,0))^L1439</f>
        <v>342.373696791071</v>
      </c>
      <c r="N1439" s="95">
        <f ca="1">MAX(MAX($N$53:N1438),OFFSET($C$52,MATCH(M1439*1.07,$M$53:$M$2052,1),0)-C1439)</f>
        <v>70920</v>
      </c>
    </row>
    <row r="1440" spans="2:14">
      <c r="B1440" s="95">
        <v>1388</v>
      </c>
      <c r="C1440" s="95">
        <f t="shared" si="111"/>
        <v>499680</v>
      </c>
      <c r="D1440" s="95">
        <f ca="1">_xlfn.XLOOKUP(总览!$B$44,$B$40:$B$45,$C$40:$C$45)</f>
        <v>5</v>
      </c>
      <c r="E1440" s="95">
        <f ca="1" t="shared" si="114"/>
        <v>1418</v>
      </c>
      <c r="F1440" s="95">
        <f ca="1" t="shared" si="112"/>
        <v>0</v>
      </c>
      <c r="G1440" s="95">
        <f ca="1" t="shared" si="113"/>
        <v>0</v>
      </c>
      <c r="H1440" s="95" cm="1">
        <f ca="1" t="array" ref="H1440">MIN(30-SUM(I1440:L1440),_xlfn.XLOOKUP($D1440&amp;"_"&amp;H$52,$B$14:$B$36&amp;"_"&amp;$C$14:$C$36,$D$14:$D$36)*$E1440,18)</f>
        <v>12.0296</v>
      </c>
      <c r="I1440" s="95" cm="1">
        <f ca="1" t="array" ref="I1440">MIN(30-SUM(J1440:L1440),6-L1440,_xlfn.XLOOKUP($D1440&amp;"_"&amp;I$52,$B$14:$B$36&amp;"_"&amp;$C$14:$C$36,$D$14:$D$36)*$E1440)</f>
        <v>0</v>
      </c>
      <c r="J1440" s="95" cm="1">
        <f ca="1" t="array" ref="J1440">MIN(8,_xlfn.XLOOKUP($D1440&amp;"_"&amp;J$52,$B$14:$B$36&amp;"_"&amp;$C$14:$C$36,$D$14:$D$36)*$E1440)</f>
        <v>8</v>
      </c>
      <c r="K1440" s="95" cm="1">
        <f ca="1" t="array" ref="K1440">MIN(18,_xlfn.XLOOKUP($D1440&amp;"_"&amp;K$52,$B$14:$B$36&amp;"_"&amp;$C$14:$C$36,$D$14:$D$36)*$E1440)</f>
        <v>3.9704</v>
      </c>
      <c r="L1440" s="95" cm="1">
        <f ca="1" t="array" ref="L1440">MIN(6,_xlfn.XLOOKUP($D1440&amp;"_"&amp;L$52,$B$14:$B$36&amp;"_"&amp;$C$14:$C$36,$D$14:$D$36)*$E1440)</f>
        <v>6</v>
      </c>
      <c r="M1440" s="95" cm="1">
        <f ca="1" t="array" ref="M1440">(1+SUMPRODUCT(G1440:H1440,OFFSET($H$40:$I$40,D1440,0)))*(1+OFFSET($J$40,D1440,0))^I1440*(1+OFFSET($K$40,D1440,0))^J1440*(1+OFFSET($L$40,D1440,0))^K1440*(1+OFFSET($M$40,D1440,0))^L1440</f>
        <v>342.492210874996</v>
      </c>
      <c r="N1440" s="95">
        <f ca="1">MAX(MAX($N$53:N1439),OFFSET($C$52,MATCH(M1440*1.07,$M$53:$M$2052,1),0)-C1440)</f>
        <v>70920</v>
      </c>
    </row>
    <row r="1441" spans="2:14">
      <c r="B1441" s="95">
        <v>1389</v>
      </c>
      <c r="C1441" s="95">
        <f t="shared" si="111"/>
        <v>500040</v>
      </c>
      <c r="D1441" s="95">
        <f ca="1">_xlfn.XLOOKUP(总览!$B$44,$B$40:$B$45,$C$40:$C$45)</f>
        <v>5</v>
      </c>
      <c r="E1441" s="95">
        <f ca="1" t="shared" si="114"/>
        <v>1419</v>
      </c>
      <c r="F1441" s="95">
        <f ca="1" t="shared" si="112"/>
        <v>0</v>
      </c>
      <c r="G1441" s="95">
        <f ca="1" t="shared" si="113"/>
        <v>0</v>
      </c>
      <c r="H1441" s="95" cm="1">
        <f ca="1" t="array" ref="H1441">MIN(30-SUM(I1441:L1441),_xlfn.XLOOKUP($D1441&amp;"_"&amp;H$52,$B$14:$B$36&amp;"_"&amp;$C$14:$C$36,$D$14:$D$36)*$E1441,18)</f>
        <v>12.0268</v>
      </c>
      <c r="I1441" s="95" cm="1">
        <f ca="1" t="array" ref="I1441">MIN(30-SUM(J1441:L1441),6-L1441,_xlfn.XLOOKUP($D1441&amp;"_"&amp;I$52,$B$14:$B$36&amp;"_"&amp;$C$14:$C$36,$D$14:$D$36)*$E1441)</f>
        <v>0</v>
      </c>
      <c r="J1441" s="95" cm="1">
        <f ca="1" t="array" ref="J1441">MIN(8,_xlfn.XLOOKUP($D1441&amp;"_"&amp;J$52,$B$14:$B$36&amp;"_"&amp;$C$14:$C$36,$D$14:$D$36)*$E1441)</f>
        <v>8</v>
      </c>
      <c r="K1441" s="95" cm="1">
        <f ca="1" t="array" ref="K1441">MIN(18,_xlfn.XLOOKUP($D1441&amp;"_"&amp;K$52,$B$14:$B$36&amp;"_"&amp;$C$14:$C$36,$D$14:$D$36)*$E1441)</f>
        <v>3.9732</v>
      </c>
      <c r="L1441" s="95" cm="1">
        <f ca="1" t="array" ref="L1441">MIN(6,_xlfn.XLOOKUP($D1441&amp;"_"&amp;L$52,$B$14:$B$36&amp;"_"&amp;$C$14:$C$36,$D$14:$D$36)*$E1441)</f>
        <v>6</v>
      </c>
      <c r="M1441" s="95" cm="1">
        <f ca="1" t="array" ref="M1441">(1+SUMPRODUCT(G1441:H1441,OFFSET($H$40:$I$40,D1441,0)))*(1+OFFSET($J$40,D1441,0))^I1441*(1+OFFSET($K$40,D1441,0))^J1441*(1+OFFSET($L$40,D1441,0))^K1441*(1+OFFSET($M$40,D1441,0))^L1441</f>
        <v>342.610756720993</v>
      </c>
      <c r="N1441" s="95">
        <f ca="1">MAX(MAX($N$53:N1440),OFFSET($C$52,MATCH(M1441*1.07,$M$53:$M$2052,1),0)-C1441)</f>
        <v>70920</v>
      </c>
    </row>
    <row r="1442" spans="2:14">
      <c r="B1442" s="95">
        <v>1390</v>
      </c>
      <c r="C1442" s="95">
        <f t="shared" si="111"/>
        <v>500400</v>
      </c>
      <c r="D1442" s="95">
        <f ca="1">_xlfn.XLOOKUP(总览!$B$44,$B$40:$B$45,$C$40:$C$45)</f>
        <v>5</v>
      </c>
      <c r="E1442" s="95">
        <f ca="1" t="shared" si="114"/>
        <v>1420</v>
      </c>
      <c r="F1442" s="95">
        <f ca="1" t="shared" si="112"/>
        <v>0</v>
      </c>
      <c r="G1442" s="95">
        <f ca="1" t="shared" si="113"/>
        <v>0</v>
      </c>
      <c r="H1442" s="95" cm="1">
        <f ca="1" t="array" ref="H1442">MIN(30-SUM(I1442:L1442),_xlfn.XLOOKUP($D1442&amp;"_"&amp;H$52,$B$14:$B$36&amp;"_"&amp;$C$14:$C$36,$D$14:$D$36)*$E1442,18)</f>
        <v>12.024</v>
      </c>
      <c r="I1442" s="95" cm="1">
        <f ca="1" t="array" ref="I1442">MIN(30-SUM(J1442:L1442),6-L1442,_xlfn.XLOOKUP($D1442&amp;"_"&amp;I$52,$B$14:$B$36&amp;"_"&amp;$C$14:$C$36,$D$14:$D$36)*$E1442)</f>
        <v>0</v>
      </c>
      <c r="J1442" s="95" cm="1">
        <f ca="1" t="array" ref="J1442">MIN(8,_xlfn.XLOOKUP($D1442&amp;"_"&amp;J$52,$B$14:$B$36&amp;"_"&amp;$C$14:$C$36,$D$14:$D$36)*$E1442)</f>
        <v>8</v>
      </c>
      <c r="K1442" s="95" cm="1">
        <f ca="1" t="array" ref="K1442">MIN(18,_xlfn.XLOOKUP($D1442&amp;"_"&amp;K$52,$B$14:$B$36&amp;"_"&amp;$C$14:$C$36,$D$14:$D$36)*$E1442)</f>
        <v>3.976</v>
      </c>
      <c r="L1442" s="95" cm="1">
        <f ca="1" t="array" ref="L1442">MIN(6,_xlfn.XLOOKUP($D1442&amp;"_"&amp;L$52,$B$14:$B$36&amp;"_"&amp;$C$14:$C$36,$D$14:$D$36)*$E1442)</f>
        <v>6</v>
      </c>
      <c r="M1442" s="95" cm="1">
        <f ca="1" t="array" ref="M1442">(1+SUMPRODUCT(G1442:H1442,OFFSET($H$40:$I$40,D1442,0)))*(1+OFFSET($J$40,D1442,0))^I1442*(1+OFFSET($K$40,D1442,0))^J1442*(1+OFFSET($L$40,D1442,0))^K1442*(1+OFFSET($M$40,D1442,0))^L1442</f>
        <v>342.729334330598</v>
      </c>
      <c r="N1442" s="95">
        <f ca="1">MAX(MAX($N$53:N1441),OFFSET($C$52,MATCH(M1442*1.07,$M$53:$M$2052,1),0)-C1442)</f>
        <v>70920</v>
      </c>
    </row>
    <row r="1443" spans="2:14">
      <c r="B1443" s="95">
        <v>1391</v>
      </c>
      <c r="C1443" s="95">
        <f t="shared" si="111"/>
        <v>500760</v>
      </c>
      <c r="D1443" s="95">
        <f ca="1">_xlfn.XLOOKUP(总览!$B$44,$B$40:$B$45,$C$40:$C$45)</f>
        <v>5</v>
      </c>
      <c r="E1443" s="95">
        <f ca="1" t="shared" si="114"/>
        <v>1421</v>
      </c>
      <c r="F1443" s="95">
        <f ca="1" t="shared" si="112"/>
        <v>0</v>
      </c>
      <c r="G1443" s="95">
        <f ca="1" t="shared" si="113"/>
        <v>0</v>
      </c>
      <c r="H1443" s="95" cm="1">
        <f ca="1" t="array" ref="H1443">MIN(30-SUM(I1443:L1443),_xlfn.XLOOKUP($D1443&amp;"_"&amp;H$52,$B$14:$B$36&amp;"_"&amp;$C$14:$C$36,$D$14:$D$36)*$E1443,18)</f>
        <v>12.0212</v>
      </c>
      <c r="I1443" s="95" cm="1">
        <f ca="1" t="array" ref="I1443">MIN(30-SUM(J1443:L1443),6-L1443,_xlfn.XLOOKUP($D1443&amp;"_"&amp;I$52,$B$14:$B$36&amp;"_"&amp;$C$14:$C$36,$D$14:$D$36)*$E1443)</f>
        <v>0</v>
      </c>
      <c r="J1443" s="95" cm="1">
        <f ca="1" t="array" ref="J1443">MIN(8,_xlfn.XLOOKUP($D1443&amp;"_"&amp;J$52,$B$14:$B$36&amp;"_"&amp;$C$14:$C$36,$D$14:$D$36)*$E1443)</f>
        <v>8</v>
      </c>
      <c r="K1443" s="95" cm="1">
        <f ca="1" t="array" ref="K1443">MIN(18,_xlfn.XLOOKUP($D1443&amp;"_"&amp;K$52,$B$14:$B$36&amp;"_"&amp;$C$14:$C$36,$D$14:$D$36)*$E1443)</f>
        <v>3.9788</v>
      </c>
      <c r="L1443" s="95" cm="1">
        <f ca="1" t="array" ref="L1443">MIN(6,_xlfn.XLOOKUP($D1443&amp;"_"&amp;L$52,$B$14:$B$36&amp;"_"&amp;$C$14:$C$36,$D$14:$D$36)*$E1443)</f>
        <v>6</v>
      </c>
      <c r="M1443" s="95" cm="1">
        <f ca="1" t="array" ref="M1443">(1+SUMPRODUCT(G1443:H1443,OFFSET($H$40:$I$40,D1443,0)))*(1+OFFSET($J$40,D1443,0))^I1443*(1+OFFSET($K$40,D1443,0))^J1443*(1+OFFSET($L$40,D1443,0))^K1443*(1+OFFSET($M$40,D1443,0))^L1443</f>
        <v>342.84794370534</v>
      </c>
      <c r="N1443" s="95">
        <f ca="1">MAX(MAX($N$53:N1442),OFFSET($C$52,MATCH(M1443*1.07,$M$53:$M$2052,1),0)-C1443)</f>
        <v>70920</v>
      </c>
    </row>
    <row r="1444" spans="2:14">
      <c r="B1444" s="95">
        <v>1392</v>
      </c>
      <c r="C1444" s="95">
        <f t="shared" si="111"/>
        <v>501120</v>
      </c>
      <c r="D1444" s="95">
        <f ca="1">_xlfn.XLOOKUP(总览!$B$44,$B$40:$B$45,$C$40:$C$45)</f>
        <v>5</v>
      </c>
      <c r="E1444" s="95">
        <f ca="1" t="shared" si="114"/>
        <v>1422</v>
      </c>
      <c r="F1444" s="95">
        <f ca="1" t="shared" si="112"/>
        <v>0</v>
      </c>
      <c r="G1444" s="95">
        <f ca="1" t="shared" si="113"/>
        <v>0</v>
      </c>
      <c r="H1444" s="95" cm="1">
        <f ca="1" t="array" ref="H1444">MIN(30-SUM(I1444:L1444),_xlfn.XLOOKUP($D1444&amp;"_"&amp;H$52,$B$14:$B$36&amp;"_"&amp;$C$14:$C$36,$D$14:$D$36)*$E1444,18)</f>
        <v>12.0184</v>
      </c>
      <c r="I1444" s="95" cm="1">
        <f ca="1" t="array" ref="I1444">MIN(30-SUM(J1444:L1444),6-L1444,_xlfn.XLOOKUP($D1444&amp;"_"&amp;I$52,$B$14:$B$36&amp;"_"&amp;$C$14:$C$36,$D$14:$D$36)*$E1444)</f>
        <v>0</v>
      </c>
      <c r="J1444" s="95" cm="1">
        <f ca="1" t="array" ref="J1444">MIN(8,_xlfn.XLOOKUP($D1444&amp;"_"&amp;J$52,$B$14:$B$36&amp;"_"&amp;$C$14:$C$36,$D$14:$D$36)*$E1444)</f>
        <v>8</v>
      </c>
      <c r="K1444" s="95" cm="1">
        <f ca="1" t="array" ref="K1444">MIN(18,_xlfn.XLOOKUP($D1444&amp;"_"&amp;K$52,$B$14:$B$36&amp;"_"&amp;$C$14:$C$36,$D$14:$D$36)*$E1444)</f>
        <v>3.9816</v>
      </c>
      <c r="L1444" s="95" cm="1">
        <f ca="1" t="array" ref="L1444">MIN(6,_xlfn.XLOOKUP($D1444&amp;"_"&amp;L$52,$B$14:$B$36&amp;"_"&amp;$C$14:$C$36,$D$14:$D$36)*$E1444)</f>
        <v>6</v>
      </c>
      <c r="M1444" s="95" cm="1">
        <f ca="1" t="array" ref="M1444">(1+SUMPRODUCT(G1444:H1444,OFFSET($H$40:$I$40,D1444,0)))*(1+OFFSET($J$40,D1444,0))^I1444*(1+OFFSET($K$40,D1444,0))^J1444*(1+OFFSET($L$40,D1444,0))^K1444*(1+OFFSET($M$40,D1444,0))^L1444</f>
        <v>342.96658484674</v>
      </c>
      <c r="N1444" s="95">
        <f ca="1">MAX(MAX($N$53:N1443),OFFSET($C$52,MATCH(M1444*1.07,$M$53:$M$2052,1),0)-C1444)</f>
        <v>70920</v>
      </c>
    </row>
    <row r="1445" spans="2:14">
      <c r="B1445" s="95">
        <v>1393</v>
      </c>
      <c r="C1445" s="95">
        <f t="shared" ref="C1445:C1508" si="115">C1444+360</f>
        <v>501480</v>
      </c>
      <c r="D1445" s="95">
        <f ca="1">_xlfn.XLOOKUP(总览!$B$44,$B$40:$B$45,$C$40:$C$45)</f>
        <v>5</v>
      </c>
      <c r="E1445" s="95">
        <f ca="1" t="shared" si="114"/>
        <v>1423</v>
      </c>
      <c r="F1445" s="95">
        <f ca="1" t="shared" ref="F1445:F1508" si="116">30-SUM(G1445:L1445)</f>
        <v>0</v>
      </c>
      <c r="G1445" s="95">
        <f ca="1" t="shared" ref="G1445:G1508" si="117">30-SUM(H1445:L1445)</f>
        <v>0</v>
      </c>
      <c r="H1445" s="95" cm="1">
        <f ca="1" t="array" ref="H1445">MIN(30-SUM(I1445:L1445),_xlfn.XLOOKUP($D1445&amp;"_"&amp;H$52,$B$14:$B$36&amp;"_"&amp;$C$14:$C$36,$D$14:$D$36)*$E1445,18)</f>
        <v>12.0156</v>
      </c>
      <c r="I1445" s="95" cm="1">
        <f ca="1" t="array" ref="I1445">MIN(30-SUM(J1445:L1445),6-L1445,_xlfn.XLOOKUP($D1445&amp;"_"&amp;I$52,$B$14:$B$36&amp;"_"&amp;$C$14:$C$36,$D$14:$D$36)*$E1445)</f>
        <v>0</v>
      </c>
      <c r="J1445" s="95" cm="1">
        <f ca="1" t="array" ref="J1445">MIN(8,_xlfn.XLOOKUP($D1445&amp;"_"&amp;J$52,$B$14:$B$36&amp;"_"&amp;$C$14:$C$36,$D$14:$D$36)*$E1445)</f>
        <v>8</v>
      </c>
      <c r="K1445" s="95" cm="1">
        <f ca="1" t="array" ref="K1445">MIN(18,_xlfn.XLOOKUP($D1445&amp;"_"&amp;K$52,$B$14:$B$36&amp;"_"&amp;$C$14:$C$36,$D$14:$D$36)*$E1445)</f>
        <v>3.9844</v>
      </c>
      <c r="L1445" s="95" cm="1">
        <f ca="1" t="array" ref="L1445">MIN(6,_xlfn.XLOOKUP($D1445&amp;"_"&amp;L$52,$B$14:$B$36&amp;"_"&amp;$C$14:$C$36,$D$14:$D$36)*$E1445)</f>
        <v>6</v>
      </c>
      <c r="M1445" s="95" cm="1">
        <f ca="1" t="array" ref="M1445">(1+SUMPRODUCT(G1445:H1445,OFFSET($H$40:$I$40,D1445,0)))*(1+OFFSET($J$40,D1445,0))^I1445*(1+OFFSET($K$40,D1445,0))^J1445*(1+OFFSET($L$40,D1445,0))^K1445*(1+OFFSET($M$40,D1445,0))^L1445</f>
        <v>343.085257756315</v>
      </c>
      <c r="N1445" s="95">
        <f ca="1">MAX(MAX($N$53:N1444),OFFSET($C$52,MATCH(M1445*1.07,$M$53:$M$2052,1),0)-C1445)</f>
        <v>70920</v>
      </c>
    </row>
    <row r="1446" spans="2:14">
      <c r="B1446" s="95">
        <v>1394</v>
      </c>
      <c r="C1446" s="95">
        <f t="shared" si="115"/>
        <v>501840</v>
      </c>
      <c r="D1446" s="95">
        <f ca="1">_xlfn.XLOOKUP(总览!$B$44,$B$40:$B$45,$C$40:$C$45)</f>
        <v>5</v>
      </c>
      <c r="E1446" s="95">
        <f ca="1" t="shared" si="114"/>
        <v>1424</v>
      </c>
      <c r="F1446" s="95">
        <f ca="1" t="shared" si="116"/>
        <v>0</v>
      </c>
      <c r="G1446" s="95">
        <f ca="1" t="shared" si="117"/>
        <v>0</v>
      </c>
      <c r="H1446" s="95" cm="1">
        <f ca="1" t="array" ref="H1446">MIN(30-SUM(I1446:L1446),_xlfn.XLOOKUP($D1446&amp;"_"&amp;H$52,$B$14:$B$36&amp;"_"&amp;$C$14:$C$36,$D$14:$D$36)*$E1446,18)</f>
        <v>12.0128</v>
      </c>
      <c r="I1446" s="95" cm="1">
        <f ca="1" t="array" ref="I1446">MIN(30-SUM(J1446:L1446),6-L1446,_xlfn.XLOOKUP($D1446&amp;"_"&amp;I$52,$B$14:$B$36&amp;"_"&amp;$C$14:$C$36,$D$14:$D$36)*$E1446)</f>
        <v>0</v>
      </c>
      <c r="J1446" s="95" cm="1">
        <f ca="1" t="array" ref="J1446">MIN(8,_xlfn.XLOOKUP($D1446&amp;"_"&amp;J$52,$B$14:$B$36&amp;"_"&amp;$C$14:$C$36,$D$14:$D$36)*$E1446)</f>
        <v>8</v>
      </c>
      <c r="K1446" s="95" cm="1">
        <f ca="1" t="array" ref="K1446">MIN(18,_xlfn.XLOOKUP($D1446&amp;"_"&amp;K$52,$B$14:$B$36&amp;"_"&amp;$C$14:$C$36,$D$14:$D$36)*$E1446)</f>
        <v>3.9872</v>
      </c>
      <c r="L1446" s="95" cm="1">
        <f ca="1" t="array" ref="L1446">MIN(6,_xlfn.XLOOKUP($D1446&amp;"_"&amp;L$52,$B$14:$B$36&amp;"_"&amp;$C$14:$C$36,$D$14:$D$36)*$E1446)</f>
        <v>6</v>
      </c>
      <c r="M1446" s="95" cm="1">
        <f ca="1" t="array" ref="M1446">(1+SUMPRODUCT(G1446:H1446,OFFSET($H$40:$I$40,D1446,0)))*(1+OFFSET($J$40,D1446,0))^I1446*(1+OFFSET($K$40,D1446,0))^J1446*(1+OFFSET($L$40,D1446,0))^K1446*(1+OFFSET($M$40,D1446,0))^L1446</f>
        <v>343.203962435573</v>
      </c>
      <c r="N1446" s="95">
        <f ca="1">MAX(MAX($N$53:N1445),OFFSET($C$52,MATCH(M1446*1.07,$M$53:$M$2052,1),0)-C1446)</f>
        <v>70920</v>
      </c>
    </row>
    <row r="1447" spans="2:14">
      <c r="B1447" s="95">
        <v>1395</v>
      </c>
      <c r="C1447" s="95">
        <f t="shared" si="115"/>
        <v>502200</v>
      </c>
      <c r="D1447" s="95">
        <f ca="1">_xlfn.XLOOKUP(总览!$B$44,$B$40:$B$45,$C$40:$C$45)</f>
        <v>5</v>
      </c>
      <c r="E1447" s="95">
        <f ca="1" t="shared" si="114"/>
        <v>1425</v>
      </c>
      <c r="F1447" s="95">
        <f ca="1" t="shared" si="116"/>
        <v>0</v>
      </c>
      <c r="G1447" s="95">
        <f ca="1" t="shared" si="117"/>
        <v>0</v>
      </c>
      <c r="H1447" s="95" cm="1">
        <f ca="1" t="array" ref="H1447">MIN(30-SUM(I1447:L1447),_xlfn.XLOOKUP($D1447&amp;"_"&amp;H$52,$B$14:$B$36&amp;"_"&amp;$C$14:$C$36,$D$14:$D$36)*$E1447,18)</f>
        <v>12.01</v>
      </c>
      <c r="I1447" s="95" cm="1">
        <f ca="1" t="array" ref="I1447">MIN(30-SUM(J1447:L1447),6-L1447,_xlfn.XLOOKUP($D1447&amp;"_"&amp;I$52,$B$14:$B$36&amp;"_"&amp;$C$14:$C$36,$D$14:$D$36)*$E1447)</f>
        <v>0</v>
      </c>
      <c r="J1447" s="95" cm="1">
        <f ca="1" t="array" ref="J1447">MIN(8,_xlfn.XLOOKUP($D1447&amp;"_"&amp;J$52,$B$14:$B$36&amp;"_"&amp;$C$14:$C$36,$D$14:$D$36)*$E1447)</f>
        <v>8</v>
      </c>
      <c r="K1447" s="95" cm="1">
        <f ca="1" t="array" ref="K1447">MIN(18,_xlfn.XLOOKUP($D1447&amp;"_"&amp;K$52,$B$14:$B$36&amp;"_"&amp;$C$14:$C$36,$D$14:$D$36)*$E1447)</f>
        <v>3.99</v>
      </c>
      <c r="L1447" s="95" cm="1">
        <f ca="1" t="array" ref="L1447">MIN(6,_xlfn.XLOOKUP($D1447&amp;"_"&amp;L$52,$B$14:$B$36&amp;"_"&amp;$C$14:$C$36,$D$14:$D$36)*$E1447)</f>
        <v>6</v>
      </c>
      <c r="M1447" s="95" cm="1">
        <f ca="1" t="array" ref="M1447">(1+SUMPRODUCT(G1447:H1447,OFFSET($H$40:$I$40,D1447,0)))*(1+OFFSET($J$40,D1447,0))^I1447*(1+OFFSET($K$40,D1447,0))^J1447*(1+OFFSET($L$40,D1447,0))^K1447*(1+OFFSET($M$40,D1447,0))^L1447</f>
        <v>343.322698886016</v>
      </c>
      <c r="N1447" s="95">
        <f ca="1">MAX(MAX($N$53:N1446),OFFSET($C$52,MATCH(M1447*1.07,$M$53:$M$2052,1),0)-C1447)</f>
        <v>70920</v>
      </c>
    </row>
    <row r="1448" spans="2:14">
      <c r="B1448" s="95">
        <v>1396</v>
      </c>
      <c r="C1448" s="95">
        <f t="shared" si="115"/>
        <v>502560</v>
      </c>
      <c r="D1448" s="95">
        <f ca="1">_xlfn.XLOOKUP(总览!$B$44,$B$40:$B$45,$C$40:$C$45)</f>
        <v>5</v>
      </c>
      <c r="E1448" s="95">
        <f ca="1" t="shared" si="114"/>
        <v>1426</v>
      </c>
      <c r="F1448" s="95">
        <f ca="1" t="shared" si="116"/>
        <v>0</v>
      </c>
      <c r="G1448" s="95">
        <f ca="1" t="shared" si="117"/>
        <v>0</v>
      </c>
      <c r="H1448" s="95" cm="1">
        <f ca="1" t="array" ref="H1448">MIN(30-SUM(I1448:L1448),_xlfn.XLOOKUP($D1448&amp;"_"&amp;H$52,$B$14:$B$36&amp;"_"&amp;$C$14:$C$36,$D$14:$D$36)*$E1448,18)</f>
        <v>12.0072</v>
      </c>
      <c r="I1448" s="95" cm="1">
        <f ca="1" t="array" ref="I1448">MIN(30-SUM(J1448:L1448),6-L1448,_xlfn.XLOOKUP($D1448&amp;"_"&amp;I$52,$B$14:$B$36&amp;"_"&amp;$C$14:$C$36,$D$14:$D$36)*$E1448)</f>
        <v>0</v>
      </c>
      <c r="J1448" s="95" cm="1">
        <f ca="1" t="array" ref="J1448">MIN(8,_xlfn.XLOOKUP($D1448&amp;"_"&amp;J$52,$B$14:$B$36&amp;"_"&amp;$C$14:$C$36,$D$14:$D$36)*$E1448)</f>
        <v>8</v>
      </c>
      <c r="K1448" s="95" cm="1">
        <f ca="1" t="array" ref="K1448">MIN(18,_xlfn.XLOOKUP($D1448&amp;"_"&amp;K$52,$B$14:$B$36&amp;"_"&amp;$C$14:$C$36,$D$14:$D$36)*$E1448)</f>
        <v>3.9928</v>
      </c>
      <c r="L1448" s="95" cm="1">
        <f ca="1" t="array" ref="L1448">MIN(6,_xlfn.XLOOKUP($D1448&amp;"_"&amp;L$52,$B$14:$B$36&amp;"_"&amp;$C$14:$C$36,$D$14:$D$36)*$E1448)</f>
        <v>6</v>
      </c>
      <c r="M1448" s="95" cm="1">
        <f ca="1" t="array" ref="M1448">(1+SUMPRODUCT(G1448:H1448,OFFSET($H$40:$I$40,D1448,0)))*(1+OFFSET($J$40,D1448,0))^I1448*(1+OFFSET($K$40,D1448,0))^J1448*(1+OFFSET($L$40,D1448,0))^K1448*(1+OFFSET($M$40,D1448,0))^L1448</f>
        <v>343.441467109138</v>
      </c>
      <c r="N1448" s="95">
        <f ca="1">MAX(MAX($N$53:N1447),OFFSET($C$52,MATCH(M1448*1.07,$M$53:$M$2052,1),0)-C1448)</f>
        <v>70920</v>
      </c>
    </row>
    <row r="1449" spans="2:14">
      <c r="B1449" s="95">
        <v>1397</v>
      </c>
      <c r="C1449" s="95">
        <f t="shared" si="115"/>
        <v>502920</v>
      </c>
      <c r="D1449" s="95">
        <f ca="1">_xlfn.XLOOKUP(总览!$B$44,$B$40:$B$45,$C$40:$C$45)</f>
        <v>5</v>
      </c>
      <c r="E1449" s="95">
        <f ca="1" t="shared" si="114"/>
        <v>1427</v>
      </c>
      <c r="F1449" s="95">
        <f ca="1" t="shared" si="116"/>
        <v>0</v>
      </c>
      <c r="G1449" s="95">
        <f ca="1" t="shared" si="117"/>
        <v>0</v>
      </c>
      <c r="H1449" s="95" cm="1">
        <f ca="1" t="array" ref="H1449">MIN(30-SUM(I1449:L1449),_xlfn.XLOOKUP($D1449&amp;"_"&amp;H$52,$B$14:$B$36&amp;"_"&amp;$C$14:$C$36,$D$14:$D$36)*$E1449,18)</f>
        <v>12.0044</v>
      </c>
      <c r="I1449" s="95" cm="1">
        <f ca="1" t="array" ref="I1449">MIN(30-SUM(J1449:L1449),6-L1449,_xlfn.XLOOKUP($D1449&amp;"_"&amp;I$52,$B$14:$B$36&amp;"_"&amp;$C$14:$C$36,$D$14:$D$36)*$E1449)</f>
        <v>0</v>
      </c>
      <c r="J1449" s="95" cm="1">
        <f ca="1" t="array" ref="J1449">MIN(8,_xlfn.XLOOKUP($D1449&amp;"_"&amp;J$52,$B$14:$B$36&amp;"_"&amp;$C$14:$C$36,$D$14:$D$36)*$E1449)</f>
        <v>8</v>
      </c>
      <c r="K1449" s="95" cm="1">
        <f ca="1" t="array" ref="K1449">MIN(18,_xlfn.XLOOKUP($D1449&amp;"_"&amp;K$52,$B$14:$B$36&amp;"_"&amp;$C$14:$C$36,$D$14:$D$36)*$E1449)</f>
        <v>3.9956</v>
      </c>
      <c r="L1449" s="95" cm="1">
        <f ca="1" t="array" ref="L1449">MIN(6,_xlfn.XLOOKUP($D1449&amp;"_"&amp;L$52,$B$14:$B$36&amp;"_"&amp;$C$14:$C$36,$D$14:$D$36)*$E1449)</f>
        <v>6</v>
      </c>
      <c r="M1449" s="95" cm="1">
        <f ca="1" t="array" ref="M1449">(1+SUMPRODUCT(G1449:H1449,OFFSET($H$40:$I$40,D1449,0)))*(1+OFFSET($J$40,D1449,0))^I1449*(1+OFFSET($K$40,D1449,0))^J1449*(1+OFFSET($L$40,D1449,0))^K1449*(1+OFFSET($M$40,D1449,0))^L1449</f>
        <v>343.56026710643</v>
      </c>
      <c r="N1449" s="95">
        <f ca="1">MAX(MAX($N$53:N1448),OFFSET($C$52,MATCH(M1449*1.07,$M$53:$M$2052,1),0)-C1449)</f>
        <v>70920</v>
      </c>
    </row>
    <row r="1450" spans="2:14">
      <c r="B1450" s="95">
        <v>1398</v>
      </c>
      <c r="C1450" s="95">
        <f t="shared" si="115"/>
        <v>503280</v>
      </c>
      <c r="D1450" s="95">
        <f ca="1">_xlfn.XLOOKUP(总览!$B$44,$B$40:$B$45,$C$40:$C$45)</f>
        <v>5</v>
      </c>
      <c r="E1450" s="95">
        <f ca="1" t="shared" si="114"/>
        <v>1428</v>
      </c>
      <c r="F1450" s="95">
        <f ca="1" t="shared" si="116"/>
        <v>0</v>
      </c>
      <c r="G1450" s="95">
        <f ca="1" t="shared" si="117"/>
        <v>0</v>
      </c>
      <c r="H1450" s="95" cm="1">
        <f ca="1" t="array" ref="H1450">MIN(30-SUM(I1450:L1450),_xlfn.XLOOKUP($D1450&amp;"_"&amp;H$52,$B$14:$B$36&amp;"_"&amp;$C$14:$C$36,$D$14:$D$36)*$E1450,18)</f>
        <v>12.0016</v>
      </c>
      <c r="I1450" s="95" cm="1">
        <f ca="1" t="array" ref="I1450">MIN(30-SUM(J1450:L1450),6-L1450,_xlfn.XLOOKUP($D1450&amp;"_"&amp;I$52,$B$14:$B$36&amp;"_"&amp;$C$14:$C$36,$D$14:$D$36)*$E1450)</f>
        <v>0</v>
      </c>
      <c r="J1450" s="95" cm="1">
        <f ca="1" t="array" ref="J1450">MIN(8,_xlfn.XLOOKUP($D1450&amp;"_"&amp;J$52,$B$14:$B$36&amp;"_"&amp;$C$14:$C$36,$D$14:$D$36)*$E1450)</f>
        <v>8</v>
      </c>
      <c r="K1450" s="95" cm="1">
        <f ca="1" t="array" ref="K1450">MIN(18,_xlfn.XLOOKUP($D1450&amp;"_"&amp;K$52,$B$14:$B$36&amp;"_"&amp;$C$14:$C$36,$D$14:$D$36)*$E1450)</f>
        <v>3.9984</v>
      </c>
      <c r="L1450" s="95" cm="1">
        <f ca="1" t="array" ref="L1450">MIN(6,_xlfn.XLOOKUP($D1450&amp;"_"&amp;L$52,$B$14:$B$36&amp;"_"&amp;$C$14:$C$36,$D$14:$D$36)*$E1450)</f>
        <v>6</v>
      </c>
      <c r="M1450" s="95" cm="1">
        <f ca="1" t="array" ref="M1450">(1+SUMPRODUCT(G1450:H1450,OFFSET($H$40:$I$40,D1450,0)))*(1+OFFSET($J$40,D1450,0))^I1450*(1+OFFSET($K$40,D1450,0))^J1450*(1+OFFSET($L$40,D1450,0))^K1450*(1+OFFSET($M$40,D1450,0))^L1450</f>
        <v>343.679098879371</v>
      </c>
      <c r="N1450" s="95">
        <f ca="1">MAX(MAX($N$53:N1449),OFFSET($C$52,MATCH(M1450*1.07,$M$53:$M$2052,1),0)-C1450)</f>
        <v>70920</v>
      </c>
    </row>
    <row r="1451" spans="2:14">
      <c r="B1451" s="95">
        <v>1399</v>
      </c>
      <c r="C1451" s="95">
        <f t="shared" si="115"/>
        <v>503640</v>
      </c>
      <c r="D1451" s="95">
        <f ca="1">_xlfn.XLOOKUP(总览!$B$44,$B$40:$B$45,$C$40:$C$45)</f>
        <v>5</v>
      </c>
      <c r="E1451" s="95">
        <f ca="1" t="shared" si="114"/>
        <v>1429</v>
      </c>
      <c r="F1451" s="95">
        <f ca="1" t="shared" si="116"/>
        <v>0</v>
      </c>
      <c r="G1451" s="95">
        <f ca="1" t="shared" si="117"/>
        <v>0</v>
      </c>
      <c r="H1451" s="95" cm="1">
        <f ca="1" t="array" ref="H1451">MIN(30-SUM(I1451:L1451),_xlfn.XLOOKUP($D1451&amp;"_"&amp;H$52,$B$14:$B$36&amp;"_"&amp;$C$14:$C$36,$D$14:$D$36)*$E1451,18)</f>
        <v>11.9988</v>
      </c>
      <c r="I1451" s="95" cm="1">
        <f ca="1" t="array" ref="I1451">MIN(30-SUM(J1451:L1451),6-L1451,_xlfn.XLOOKUP($D1451&amp;"_"&amp;I$52,$B$14:$B$36&amp;"_"&amp;$C$14:$C$36,$D$14:$D$36)*$E1451)</f>
        <v>0</v>
      </c>
      <c r="J1451" s="95" cm="1">
        <f ca="1" t="array" ref="J1451">MIN(8,_xlfn.XLOOKUP($D1451&amp;"_"&amp;J$52,$B$14:$B$36&amp;"_"&amp;$C$14:$C$36,$D$14:$D$36)*$E1451)</f>
        <v>8</v>
      </c>
      <c r="K1451" s="95" cm="1">
        <f ca="1" t="array" ref="K1451">MIN(18,_xlfn.XLOOKUP($D1451&amp;"_"&amp;K$52,$B$14:$B$36&amp;"_"&amp;$C$14:$C$36,$D$14:$D$36)*$E1451)</f>
        <v>4.0012</v>
      </c>
      <c r="L1451" s="95" cm="1">
        <f ca="1" t="array" ref="L1451">MIN(6,_xlfn.XLOOKUP($D1451&amp;"_"&amp;L$52,$B$14:$B$36&amp;"_"&amp;$C$14:$C$36,$D$14:$D$36)*$E1451)</f>
        <v>6</v>
      </c>
      <c r="M1451" s="95" cm="1">
        <f ca="1" t="array" ref="M1451">(1+SUMPRODUCT(G1451:H1451,OFFSET($H$40:$I$40,D1451,0)))*(1+OFFSET($J$40,D1451,0))^I1451*(1+OFFSET($K$40,D1451,0))^J1451*(1+OFFSET($L$40,D1451,0))^K1451*(1+OFFSET($M$40,D1451,0))^L1451</f>
        <v>343.797962429437</v>
      </c>
      <c r="N1451" s="95">
        <f ca="1">MAX(MAX($N$53:N1450),OFFSET($C$52,MATCH(M1451*1.07,$M$53:$M$2052,1),0)-C1451)</f>
        <v>70920</v>
      </c>
    </row>
    <row r="1452" spans="2:14">
      <c r="B1452" s="95">
        <v>1400</v>
      </c>
      <c r="C1452" s="95">
        <f t="shared" si="115"/>
        <v>504000</v>
      </c>
      <c r="D1452" s="95">
        <f ca="1">_xlfn.XLOOKUP(总览!$B$44,$B$40:$B$45,$C$40:$C$45)</f>
        <v>5</v>
      </c>
      <c r="E1452" s="95">
        <f ca="1" t="shared" si="114"/>
        <v>1430</v>
      </c>
      <c r="F1452" s="95">
        <f ca="1" t="shared" si="116"/>
        <v>0</v>
      </c>
      <c r="G1452" s="95">
        <f ca="1" t="shared" si="117"/>
        <v>0</v>
      </c>
      <c r="H1452" s="95" cm="1">
        <f ca="1" t="array" ref="H1452">MIN(30-SUM(I1452:L1452),_xlfn.XLOOKUP($D1452&amp;"_"&amp;H$52,$B$14:$B$36&amp;"_"&amp;$C$14:$C$36,$D$14:$D$36)*$E1452,18)</f>
        <v>11.996</v>
      </c>
      <c r="I1452" s="95" cm="1">
        <f ca="1" t="array" ref="I1452">MIN(30-SUM(J1452:L1452),6-L1452,_xlfn.XLOOKUP($D1452&amp;"_"&amp;I$52,$B$14:$B$36&amp;"_"&amp;$C$14:$C$36,$D$14:$D$36)*$E1452)</f>
        <v>0</v>
      </c>
      <c r="J1452" s="95" cm="1">
        <f ca="1" t="array" ref="J1452">MIN(8,_xlfn.XLOOKUP($D1452&amp;"_"&amp;J$52,$B$14:$B$36&amp;"_"&amp;$C$14:$C$36,$D$14:$D$36)*$E1452)</f>
        <v>8</v>
      </c>
      <c r="K1452" s="95" cm="1">
        <f ca="1" t="array" ref="K1452">MIN(18,_xlfn.XLOOKUP($D1452&amp;"_"&amp;K$52,$B$14:$B$36&amp;"_"&amp;$C$14:$C$36,$D$14:$D$36)*$E1452)</f>
        <v>4.004</v>
      </c>
      <c r="L1452" s="95" cm="1">
        <f ca="1" t="array" ref="L1452">MIN(6,_xlfn.XLOOKUP($D1452&amp;"_"&amp;L$52,$B$14:$B$36&amp;"_"&amp;$C$14:$C$36,$D$14:$D$36)*$E1452)</f>
        <v>6</v>
      </c>
      <c r="M1452" s="95" cm="1">
        <f ca="1" t="array" ref="M1452">(1+SUMPRODUCT(G1452:H1452,OFFSET($H$40:$I$40,D1452,0)))*(1+OFFSET($J$40,D1452,0))^I1452*(1+OFFSET($K$40,D1452,0))^J1452*(1+OFFSET($L$40,D1452,0))^K1452*(1+OFFSET($M$40,D1452,0))^L1452</f>
        <v>343.916857758097</v>
      </c>
      <c r="N1452" s="95">
        <f ca="1">MAX(MAX($N$53:N1451),OFFSET($C$52,MATCH(M1452*1.07,$M$53:$M$2052,1),0)-C1452)</f>
        <v>70920</v>
      </c>
    </row>
    <row r="1453" spans="2:14">
      <c r="B1453" s="95">
        <v>1401</v>
      </c>
      <c r="C1453" s="95">
        <f t="shared" si="115"/>
        <v>504360</v>
      </c>
      <c r="D1453" s="95">
        <f ca="1">_xlfn.XLOOKUP(总览!$B$44,$B$40:$B$45,$C$40:$C$45)</f>
        <v>5</v>
      </c>
      <c r="E1453" s="95">
        <f ca="1" t="shared" si="114"/>
        <v>1431</v>
      </c>
      <c r="F1453" s="95">
        <f ca="1" t="shared" si="116"/>
        <v>0</v>
      </c>
      <c r="G1453" s="95">
        <f ca="1" t="shared" si="117"/>
        <v>0</v>
      </c>
      <c r="H1453" s="95" cm="1">
        <f ca="1" t="array" ref="H1453">MIN(30-SUM(I1453:L1453),_xlfn.XLOOKUP($D1453&amp;"_"&amp;H$52,$B$14:$B$36&amp;"_"&amp;$C$14:$C$36,$D$14:$D$36)*$E1453,18)</f>
        <v>11.9932</v>
      </c>
      <c r="I1453" s="95" cm="1">
        <f ca="1" t="array" ref="I1453">MIN(30-SUM(J1453:L1453),6-L1453,_xlfn.XLOOKUP($D1453&amp;"_"&amp;I$52,$B$14:$B$36&amp;"_"&amp;$C$14:$C$36,$D$14:$D$36)*$E1453)</f>
        <v>0</v>
      </c>
      <c r="J1453" s="95" cm="1">
        <f ca="1" t="array" ref="J1453">MIN(8,_xlfn.XLOOKUP($D1453&amp;"_"&amp;J$52,$B$14:$B$36&amp;"_"&amp;$C$14:$C$36,$D$14:$D$36)*$E1453)</f>
        <v>8</v>
      </c>
      <c r="K1453" s="95" cm="1">
        <f ca="1" t="array" ref="K1453">MIN(18,_xlfn.XLOOKUP($D1453&amp;"_"&amp;K$52,$B$14:$B$36&amp;"_"&amp;$C$14:$C$36,$D$14:$D$36)*$E1453)</f>
        <v>4.0068</v>
      </c>
      <c r="L1453" s="95" cm="1">
        <f ca="1" t="array" ref="L1453">MIN(6,_xlfn.XLOOKUP($D1453&amp;"_"&amp;L$52,$B$14:$B$36&amp;"_"&amp;$C$14:$C$36,$D$14:$D$36)*$E1453)</f>
        <v>6</v>
      </c>
      <c r="M1453" s="95" cm="1">
        <f ca="1" t="array" ref="M1453">(1+SUMPRODUCT(G1453:H1453,OFFSET($H$40:$I$40,D1453,0)))*(1+OFFSET($J$40,D1453,0))^I1453*(1+OFFSET($K$40,D1453,0))^J1453*(1+OFFSET($L$40,D1453,0))^K1453*(1+OFFSET($M$40,D1453,0))^L1453</f>
        <v>344.035784866811</v>
      </c>
      <c r="N1453" s="95">
        <f ca="1">MAX(MAX($N$53:N1452),OFFSET($C$52,MATCH(M1453*1.07,$M$53:$M$2052,1),0)-C1453)</f>
        <v>70920</v>
      </c>
    </row>
    <row r="1454" spans="2:14">
      <c r="B1454" s="95">
        <v>1402</v>
      </c>
      <c r="C1454" s="95">
        <f t="shared" si="115"/>
        <v>504720</v>
      </c>
      <c r="D1454" s="95">
        <f ca="1">_xlfn.XLOOKUP(总览!$B$44,$B$40:$B$45,$C$40:$C$45)</f>
        <v>5</v>
      </c>
      <c r="E1454" s="95">
        <f ca="1" t="shared" si="114"/>
        <v>1432</v>
      </c>
      <c r="F1454" s="95">
        <f ca="1" t="shared" si="116"/>
        <v>0</v>
      </c>
      <c r="G1454" s="95">
        <f ca="1" t="shared" si="117"/>
        <v>0</v>
      </c>
      <c r="H1454" s="95" cm="1">
        <f ca="1" t="array" ref="H1454">MIN(30-SUM(I1454:L1454),_xlfn.XLOOKUP($D1454&amp;"_"&amp;H$52,$B$14:$B$36&amp;"_"&amp;$C$14:$C$36,$D$14:$D$36)*$E1454,18)</f>
        <v>11.9904</v>
      </c>
      <c r="I1454" s="95" cm="1">
        <f ca="1" t="array" ref="I1454">MIN(30-SUM(J1454:L1454),6-L1454,_xlfn.XLOOKUP($D1454&amp;"_"&amp;I$52,$B$14:$B$36&amp;"_"&amp;$C$14:$C$36,$D$14:$D$36)*$E1454)</f>
        <v>0</v>
      </c>
      <c r="J1454" s="95" cm="1">
        <f ca="1" t="array" ref="J1454">MIN(8,_xlfn.XLOOKUP($D1454&amp;"_"&amp;J$52,$B$14:$B$36&amp;"_"&amp;$C$14:$C$36,$D$14:$D$36)*$E1454)</f>
        <v>8</v>
      </c>
      <c r="K1454" s="95" cm="1">
        <f ca="1" t="array" ref="K1454">MIN(18,_xlfn.XLOOKUP($D1454&amp;"_"&amp;K$52,$B$14:$B$36&amp;"_"&amp;$C$14:$C$36,$D$14:$D$36)*$E1454)</f>
        <v>4.0096</v>
      </c>
      <c r="L1454" s="95" cm="1">
        <f ca="1" t="array" ref="L1454">MIN(6,_xlfn.XLOOKUP($D1454&amp;"_"&amp;L$52,$B$14:$B$36&amp;"_"&amp;$C$14:$C$36,$D$14:$D$36)*$E1454)</f>
        <v>6</v>
      </c>
      <c r="M1454" s="95" cm="1">
        <f ca="1" t="array" ref="M1454">(1+SUMPRODUCT(G1454:H1454,OFFSET($H$40:$I$40,D1454,0)))*(1+OFFSET($J$40,D1454,0))^I1454*(1+OFFSET($K$40,D1454,0))^J1454*(1+OFFSET($L$40,D1454,0))^K1454*(1+OFFSET($M$40,D1454,0))^L1454</f>
        <v>344.154743757034</v>
      </c>
      <c r="N1454" s="95">
        <f ca="1">MAX(MAX($N$53:N1453),OFFSET($C$52,MATCH(M1454*1.07,$M$53:$M$2052,1),0)-C1454)</f>
        <v>70920</v>
      </c>
    </row>
    <row r="1455" spans="2:14">
      <c r="B1455" s="95">
        <v>1403</v>
      </c>
      <c r="C1455" s="95">
        <f t="shared" si="115"/>
        <v>505080</v>
      </c>
      <c r="D1455" s="95">
        <f ca="1">_xlfn.XLOOKUP(总览!$B$44,$B$40:$B$45,$C$40:$C$45)</f>
        <v>5</v>
      </c>
      <c r="E1455" s="95">
        <f ca="1" t="shared" si="114"/>
        <v>1433</v>
      </c>
      <c r="F1455" s="95">
        <f ca="1" t="shared" si="116"/>
        <v>0</v>
      </c>
      <c r="G1455" s="95">
        <f ca="1" t="shared" si="117"/>
        <v>0</v>
      </c>
      <c r="H1455" s="95" cm="1">
        <f ca="1" t="array" ref="H1455">MIN(30-SUM(I1455:L1455),_xlfn.XLOOKUP($D1455&amp;"_"&amp;H$52,$B$14:$B$36&amp;"_"&amp;$C$14:$C$36,$D$14:$D$36)*$E1455,18)</f>
        <v>11.9876</v>
      </c>
      <c r="I1455" s="95" cm="1">
        <f ca="1" t="array" ref="I1455">MIN(30-SUM(J1455:L1455),6-L1455,_xlfn.XLOOKUP($D1455&amp;"_"&amp;I$52,$B$14:$B$36&amp;"_"&amp;$C$14:$C$36,$D$14:$D$36)*$E1455)</f>
        <v>0</v>
      </c>
      <c r="J1455" s="95" cm="1">
        <f ca="1" t="array" ref="J1455">MIN(8,_xlfn.XLOOKUP($D1455&amp;"_"&amp;J$52,$B$14:$B$36&amp;"_"&amp;$C$14:$C$36,$D$14:$D$36)*$E1455)</f>
        <v>8</v>
      </c>
      <c r="K1455" s="95" cm="1">
        <f ca="1" t="array" ref="K1455">MIN(18,_xlfn.XLOOKUP($D1455&amp;"_"&amp;K$52,$B$14:$B$36&amp;"_"&amp;$C$14:$C$36,$D$14:$D$36)*$E1455)</f>
        <v>4.0124</v>
      </c>
      <c r="L1455" s="95" cm="1">
        <f ca="1" t="array" ref="L1455">MIN(6,_xlfn.XLOOKUP($D1455&amp;"_"&amp;L$52,$B$14:$B$36&amp;"_"&amp;$C$14:$C$36,$D$14:$D$36)*$E1455)</f>
        <v>6</v>
      </c>
      <c r="M1455" s="95" cm="1">
        <f ca="1" t="array" ref="M1455">(1+SUMPRODUCT(G1455:H1455,OFFSET($H$40:$I$40,D1455,0)))*(1+OFFSET($J$40,D1455,0))^I1455*(1+OFFSET($K$40,D1455,0))^J1455*(1+OFFSET($L$40,D1455,0))^K1455*(1+OFFSET($M$40,D1455,0))^L1455</f>
        <v>344.273734430214</v>
      </c>
      <c r="N1455" s="95">
        <f ca="1">MAX(MAX($N$53:N1454),OFFSET($C$52,MATCH(M1455*1.07,$M$53:$M$2052,1),0)-C1455)</f>
        <v>70920</v>
      </c>
    </row>
    <row r="1456" spans="2:14">
      <c r="B1456" s="95">
        <v>1404</v>
      </c>
      <c r="C1456" s="95">
        <f t="shared" si="115"/>
        <v>505440</v>
      </c>
      <c r="D1456" s="95">
        <f ca="1">_xlfn.XLOOKUP(总览!$B$44,$B$40:$B$45,$C$40:$C$45)</f>
        <v>5</v>
      </c>
      <c r="E1456" s="95">
        <f ca="1" t="shared" si="114"/>
        <v>1434</v>
      </c>
      <c r="F1456" s="95">
        <f ca="1" t="shared" si="116"/>
        <v>0</v>
      </c>
      <c r="G1456" s="95">
        <f ca="1" t="shared" si="117"/>
        <v>0</v>
      </c>
      <c r="H1456" s="95" cm="1">
        <f ca="1" t="array" ref="H1456">MIN(30-SUM(I1456:L1456),_xlfn.XLOOKUP($D1456&amp;"_"&amp;H$52,$B$14:$B$36&amp;"_"&amp;$C$14:$C$36,$D$14:$D$36)*$E1456,18)</f>
        <v>11.9848</v>
      </c>
      <c r="I1456" s="95" cm="1">
        <f ca="1" t="array" ref="I1456">MIN(30-SUM(J1456:L1456),6-L1456,_xlfn.XLOOKUP($D1456&amp;"_"&amp;I$52,$B$14:$B$36&amp;"_"&amp;$C$14:$C$36,$D$14:$D$36)*$E1456)</f>
        <v>0</v>
      </c>
      <c r="J1456" s="95" cm="1">
        <f ca="1" t="array" ref="J1456">MIN(8,_xlfn.XLOOKUP($D1456&amp;"_"&amp;J$52,$B$14:$B$36&amp;"_"&amp;$C$14:$C$36,$D$14:$D$36)*$E1456)</f>
        <v>8</v>
      </c>
      <c r="K1456" s="95" cm="1">
        <f ca="1" t="array" ref="K1456">MIN(18,_xlfn.XLOOKUP($D1456&amp;"_"&amp;K$52,$B$14:$B$36&amp;"_"&amp;$C$14:$C$36,$D$14:$D$36)*$E1456)</f>
        <v>4.0152</v>
      </c>
      <c r="L1456" s="95" cm="1">
        <f ca="1" t="array" ref="L1456">MIN(6,_xlfn.XLOOKUP($D1456&amp;"_"&amp;L$52,$B$14:$B$36&amp;"_"&amp;$C$14:$C$36,$D$14:$D$36)*$E1456)</f>
        <v>6</v>
      </c>
      <c r="M1456" s="95" cm="1">
        <f ca="1" t="array" ref="M1456">(1+SUMPRODUCT(G1456:H1456,OFFSET($H$40:$I$40,D1456,0)))*(1+OFFSET($J$40,D1456,0))^I1456*(1+OFFSET($K$40,D1456,0))^J1456*(1+OFFSET($L$40,D1456,0))^K1456*(1+OFFSET($M$40,D1456,0))^L1456</f>
        <v>344.392756887792</v>
      </c>
      <c r="N1456" s="95">
        <f ca="1">MAX(MAX($N$53:N1455),OFFSET($C$52,MATCH(M1456*1.07,$M$53:$M$2052,1),0)-C1456)</f>
        <v>70920</v>
      </c>
    </row>
    <row r="1457" spans="2:14">
      <c r="B1457" s="95">
        <v>1405</v>
      </c>
      <c r="C1457" s="95">
        <f t="shared" si="115"/>
        <v>505800</v>
      </c>
      <c r="D1457" s="95">
        <f ca="1">_xlfn.XLOOKUP(总览!$B$44,$B$40:$B$45,$C$40:$C$45)</f>
        <v>5</v>
      </c>
      <c r="E1457" s="95">
        <f ca="1" t="shared" si="114"/>
        <v>1435</v>
      </c>
      <c r="F1457" s="95">
        <f ca="1" t="shared" si="116"/>
        <v>0</v>
      </c>
      <c r="G1457" s="95">
        <f ca="1" t="shared" si="117"/>
        <v>0</v>
      </c>
      <c r="H1457" s="95" cm="1">
        <f ca="1" t="array" ref="H1457">MIN(30-SUM(I1457:L1457),_xlfn.XLOOKUP($D1457&amp;"_"&amp;H$52,$B$14:$B$36&amp;"_"&amp;$C$14:$C$36,$D$14:$D$36)*$E1457,18)</f>
        <v>11.982</v>
      </c>
      <c r="I1457" s="95" cm="1">
        <f ca="1" t="array" ref="I1457">MIN(30-SUM(J1457:L1457),6-L1457,_xlfn.XLOOKUP($D1457&amp;"_"&amp;I$52,$B$14:$B$36&amp;"_"&amp;$C$14:$C$36,$D$14:$D$36)*$E1457)</f>
        <v>0</v>
      </c>
      <c r="J1457" s="95" cm="1">
        <f ca="1" t="array" ref="J1457">MIN(8,_xlfn.XLOOKUP($D1457&amp;"_"&amp;J$52,$B$14:$B$36&amp;"_"&amp;$C$14:$C$36,$D$14:$D$36)*$E1457)</f>
        <v>8</v>
      </c>
      <c r="K1457" s="95" cm="1">
        <f ca="1" t="array" ref="K1457">MIN(18,_xlfn.XLOOKUP($D1457&amp;"_"&amp;K$52,$B$14:$B$36&amp;"_"&amp;$C$14:$C$36,$D$14:$D$36)*$E1457)</f>
        <v>4.018</v>
      </c>
      <c r="L1457" s="95" cm="1">
        <f ca="1" t="array" ref="L1457">MIN(6,_xlfn.XLOOKUP($D1457&amp;"_"&amp;L$52,$B$14:$B$36&amp;"_"&amp;$C$14:$C$36,$D$14:$D$36)*$E1457)</f>
        <v>6</v>
      </c>
      <c r="M1457" s="95" cm="1">
        <f ca="1" t="array" ref="M1457">(1+SUMPRODUCT(G1457:H1457,OFFSET($H$40:$I$40,D1457,0)))*(1+OFFSET($J$40,D1457,0))^I1457*(1+OFFSET($K$40,D1457,0))^J1457*(1+OFFSET($L$40,D1457,0))^K1457*(1+OFFSET($M$40,D1457,0))^L1457</f>
        <v>344.511811131202</v>
      </c>
      <c r="N1457" s="95">
        <f ca="1">MAX(MAX($N$53:N1456),OFFSET($C$52,MATCH(M1457*1.07,$M$53:$M$2052,1),0)-C1457)</f>
        <v>70920</v>
      </c>
    </row>
    <row r="1458" spans="2:14">
      <c r="B1458" s="95">
        <v>1406</v>
      </c>
      <c r="C1458" s="95">
        <f t="shared" si="115"/>
        <v>506160</v>
      </c>
      <c r="D1458" s="95">
        <f ca="1">_xlfn.XLOOKUP(总览!$B$44,$B$40:$B$45,$C$40:$C$45)</f>
        <v>5</v>
      </c>
      <c r="E1458" s="95">
        <f ca="1" t="shared" si="114"/>
        <v>1436</v>
      </c>
      <c r="F1458" s="95">
        <f ca="1" t="shared" si="116"/>
        <v>0</v>
      </c>
      <c r="G1458" s="95">
        <f ca="1" t="shared" si="117"/>
        <v>0</v>
      </c>
      <c r="H1458" s="95" cm="1">
        <f ca="1" t="array" ref="H1458">MIN(30-SUM(I1458:L1458),_xlfn.XLOOKUP($D1458&amp;"_"&amp;H$52,$B$14:$B$36&amp;"_"&amp;$C$14:$C$36,$D$14:$D$36)*$E1458,18)</f>
        <v>11.9792</v>
      </c>
      <c r="I1458" s="95" cm="1">
        <f ca="1" t="array" ref="I1458">MIN(30-SUM(J1458:L1458),6-L1458,_xlfn.XLOOKUP($D1458&amp;"_"&amp;I$52,$B$14:$B$36&amp;"_"&amp;$C$14:$C$36,$D$14:$D$36)*$E1458)</f>
        <v>0</v>
      </c>
      <c r="J1458" s="95" cm="1">
        <f ca="1" t="array" ref="J1458">MIN(8,_xlfn.XLOOKUP($D1458&amp;"_"&amp;J$52,$B$14:$B$36&amp;"_"&amp;$C$14:$C$36,$D$14:$D$36)*$E1458)</f>
        <v>8</v>
      </c>
      <c r="K1458" s="95" cm="1">
        <f ca="1" t="array" ref="K1458">MIN(18,_xlfn.XLOOKUP($D1458&amp;"_"&amp;K$52,$B$14:$B$36&amp;"_"&amp;$C$14:$C$36,$D$14:$D$36)*$E1458)</f>
        <v>4.0208</v>
      </c>
      <c r="L1458" s="95" cm="1">
        <f ca="1" t="array" ref="L1458">MIN(6,_xlfn.XLOOKUP($D1458&amp;"_"&amp;L$52,$B$14:$B$36&amp;"_"&amp;$C$14:$C$36,$D$14:$D$36)*$E1458)</f>
        <v>6</v>
      </c>
      <c r="M1458" s="95" cm="1">
        <f ca="1" t="array" ref="M1458">(1+SUMPRODUCT(G1458:H1458,OFFSET($H$40:$I$40,D1458,0)))*(1+OFFSET($J$40,D1458,0))^I1458*(1+OFFSET($K$40,D1458,0))^J1458*(1+OFFSET($L$40,D1458,0))^K1458*(1+OFFSET($M$40,D1458,0))^L1458</f>
        <v>344.63089716187</v>
      </c>
      <c r="N1458" s="95">
        <f ca="1">MAX(MAX($N$53:N1457),OFFSET($C$52,MATCH(M1458*1.07,$M$53:$M$2052,1),0)-C1458)</f>
        <v>70920</v>
      </c>
    </row>
    <row r="1459" spans="2:14">
      <c r="B1459" s="95">
        <v>1407</v>
      </c>
      <c r="C1459" s="95">
        <f t="shared" si="115"/>
        <v>506520</v>
      </c>
      <c r="D1459" s="95">
        <f ca="1">_xlfn.XLOOKUP(总览!$B$44,$B$40:$B$45,$C$40:$C$45)</f>
        <v>5</v>
      </c>
      <c r="E1459" s="95">
        <f ca="1" t="shared" si="114"/>
        <v>1437</v>
      </c>
      <c r="F1459" s="95">
        <f ca="1" t="shared" si="116"/>
        <v>0</v>
      </c>
      <c r="G1459" s="95">
        <f ca="1" t="shared" si="117"/>
        <v>0</v>
      </c>
      <c r="H1459" s="95" cm="1">
        <f ca="1" t="array" ref="H1459">MIN(30-SUM(I1459:L1459),_xlfn.XLOOKUP($D1459&amp;"_"&amp;H$52,$B$14:$B$36&amp;"_"&amp;$C$14:$C$36,$D$14:$D$36)*$E1459,18)</f>
        <v>11.9764</v>
      </c>
      <c r="I1459" s="95" cm="1">
        <f ca="1" t="array" ref="I1459">MIN(30-SUM(J1459:L1459),6-L1459,_xlfn.XLOOKUP($D1459&amp;"_"&amp;I$52,$B$14:$B$36&amp;"_"&amp;$C$14:$C$36,$D$14:$D$36)*$E1459)</f>
        <v>0</v>
      </c>
      <c r="J1459" s="95" cm="1">
        <f ca="1" t="array" ref="J1459">MIN(8,_xlfn.XLOOKUP($D1459&amp;"_"&amp;J$52,$B$14:$B$36&amp;"_"&amp;$C$14:$C$36,$D$14:$D$36)*$E1459)</f>
        <v>8</v>
      </c>
      <c r="K1459" s="95" cm="1">
        <f ca="1" t="array" ref="K1459">MIN(18,_xlfn.XLOOKUP($D1459&amp;"_"&amp;K$52,$B$14:$B$36&amp;"_"&amp;$C$14:$C$36,$D$14:$D$36)*$E1459)</f>
        <v>4.0236</v>
      </c>
      <c r="L1459" s="95" cm="1">
        <f ca="1" t="array" ref="L1459">MIN(6,_xlfn.XLOOKUP($D1459&amp;"_"&amp;L$52,$B$14:$B$36&amp;"_"&amp;$C$14:$C$36,$D$14:$D$36)*$E1459)</f>
        <v>6</v>
      </c>
      <c r="M1459" s="95" cm="1">
        <f ca="1" t="array" ref="M1459">(1+SUMPRODUCT(G1459:H1459,OFFSET($H$40:$I$40,D1459,0)))*(1+OFFSET($J$40,D1459,0))^I1459*(1+OFFSET($K$40,D1459,0))^J1459*(1+OFFSET($L$40,D1459,0))^K1459*(1+OFFSET($M$40,D1459,0))^L1459</f>
        <v>344.750014981218</v>
      </c>
      <c r="N1459" s="95">
        <f ca="1">MAX(MAX($N$53:N1458),OFFSET($C$52,MATCH(M1459*1.07,$M$53:$M$2052,1),0)-C1459)</f>
        <v>70920</v>
      </c>
    </row>
    <row r="1460" spans="2:14">
      <c r="B1460" s="95">
        <v>1408</v>
      </c>
      <c r="C1460" s="95">
        <f t="shared" si="115"/>
        <v>506880</v>
      </c>
      <c r="D1460" s="95">
        <f ca="1">_xlfn.XLOOKUP(总览!$B$44,$B$40:$B$45,$C$40:$C$45)</f>
        <v>5</v>
      </c>
      <c r="E1460" s="95">
        <f ca="1" t="shared" si="114"/>
        <v>1438</v>
      </c>
      <c r="F1460" s="95">
        <f ca="1" t="shared" si="116"/>
        <v>0</v>
      </c>
      <c r="G1460" s="95">
        <f ca="1" t="shared" si="117"/>
        <v>0</v>
      </c>
      <c r="H1460" s="95" cm="1">
        <f ca="1" t="array" ref="H1460">MIN(30-SUM(I1460:L1460),_xlfn.XLOOKUP($D1460&amp;"_"&amp;H$52,$B$14:$B$36&amp;"_"&amp;$C$14:$C$36,$D$14:$D$36)*$E1460,18)</f>
        <v>11.9736</v>
      </c>
      <c r="I1460" s="95" cm="1">
        <f ca="1" t="array" ref="I1460">MIN(30-SUM(J1460:L1460),6-L1460,_xlfn.XLOOKUP($D1460&amp;"_"&amp;I$52,$B$14:$B$36&amp;"_"&amp;$C$14:$C$36,$D$14:$D$36)*$E1460)</f>
        <v>0</v>
      </c>
      <c r="J1460" s="95" cm="1">
        <f ca="1" t="array" ref="J1460">MIN(8,_xlfn.XLOOKUP($D1460&amp;"_"&amp;J$52,$B$14:$B$36&amp;"_"&amp;$C$14:$C$36,$D$14:$D$36)*$E1460)</f>
        <v>8</v>
      </c>
      <c r="K1460" s="95" cm="1">
        <f ca="1" t="array" ref="K1460">MIN(18,_xlfn.XLOOKUP($D1460&amp;"_"&amp;K$52,$B$14:$B$36&amp;"_"&amp;$C$14:$C$36,$D$14:$D$36)*$E1460)</f>
        <v>4.0264</v>
      </c>
      <c r="L1460" s="95" cm="1">
        <f ca="1" t="array" ref="L1460">MIN(6,_xlfn.XLOOKUP($D1460&amp;"_"&amp;L$52,$B$14:$B$36&amp;"_"&amp;$C$14:$C$36,$D$14:$D$36)*$E1460)</f>
        <v>6</v>
      </c>
      <c r="M1460" s="95" cm="1">
        <f ca="1" t="array" ref="M1460">(1+SUMPRODUCT(G1460:H1460,OFFSET($H$40:$I$40,D1460,0)))*(1+OFFSET($J$40,D1460,0))^I1460*(1+OFFSET($K$40,D1460,0))^J1460*(1+OFFSET($L$40,D1460,0))^K1460*(1+OFFSET($M$40,D1460,0))^L1460</f>
        <v>344.86916459066</v>
      </c>
      <c r="N1460" s="95">
        <f ca="1">MAX(MAX($N$53:N1459),OFFSET($C$52,MATCH(M1460*1.07,$M$53:$M$2052,1),0)-C1460)</f>
        <v>70920</v>
      </c>
    </row>
    <row r="1461" spans="2:14">
      <c r="B1461" s="95">
        <v>1409</v>
      </c>
      <c r="C1461" s="95">
        <f t="shared" si="115"/>
        <v>507240</v>
      </c>
      <c r="D1461" s="95">
        <f ca="1">_xlfn.XLOOKUP(总览!$B$44,$B$40:$B$45,$C$40:$C$45)</f>
        <v>5</v>
      </c>
      <c r="E1461" s="95">
        <f ca="1" t="shared" si="114"/>
        <v>1439</v>
      </c>
      <c r="F1461" s="95">
        <f ca="1" t="shared" si="116"/>
        <v>0</v>
      </c>
      <c r="G1461" s="95">
        <f ca="1" t="shared" si="117"/>
        <v>0</v>
      </c>
      <c r="H1461" s="95" cm="1">
        <f ca="1" t="array" ref="H1461">MIN(30-SUM(I1461:L1461),_xlfn.XLOOKUP($D1461&amp;"_"&amp;H$52,$B$14:$B$36&amp;"_"&amp;$C$14:$C$36,$D$14:$D$36)*$E1461,18)</f>
        <v>11.9708</v>
      </c>
      <c r="I1461" s="95" cm="1">
        <f ca="1" t="array" ref="I1461">MIN(30-SUM(J1461:L1461),6-L1461,_xlfn.XLOOKUP($D1461&amp;"_"&amp;I$52,$B$14:$B$36&amp;"_"&amp;$C$14:$C$36,$D$14:$D$36)*$E1461)</f>
        <v>0</v>
      </c>
      <c r="J1461" s="95" cm="1">
        <f ca="1" t="array" ref="J1461">MIN(8,_xlfn.XLOOKUP($D1461&amp;"_"&amp;J$52,$B$14:$B$36&amp;"_"&amp;$C$14:$C$36,$D$14:$D$36)*$E1461)</f>
        <v>8</v>
      </c>
      <c r="K1461" s="95" cm="1">
        <f ca="1" t="array" ref="K1461">MIN(18,_xlfn.XLOOKUP($D1461&amp;"_"&amp;K$52,$B$14:$B$36&amp;"_"&amp;$C$14:$C$36,$D$14:$D$36)*$E1461)</f>
        <v>4.0292</v>
      </c>
      <c r="L1461" s="95" cm="1">
        <f ca="1" t="array" ref="L1461">MIN(6,_xlfn.XLOOKUP($D1461&amp;"_"&amp;L$52,$B$14:$B$36&amp;"_"&amp;$C$14:$C$36,$D$14:$D$36)*$E1461)</f>
        <v>6</v>
      </c>
      <c r="M1461" s="95" cm="1">
        <f ca="1" t="array" ref="M1461">(1+SUMPRODUCT(G1461:H1461,OFFSET($H$40:$I$40,D1461,0)))*(1+OFFSET($J$40,D1461,0))^I1461*(1+OFFSET($K$40,D1461,0))^J1461*(1+OFFSET($L$40,D1461,0))^K1461*(1+OFFSET($M$40,D1461,0))^L1461</f>
        <v>344.988345991601</v>
      </c>
      <c r="N1461" s="95">
        <f ca="1">MAX(MAX($N$53:N1460),OFFSET($C$52,MATCH(M1461*1.07,$M$53:$M$2052,1),0)-C1461)</f>
        <v>70920</v>
      </c>
    </row>
    <row r="1462" spans="2:14">
      <c r="B1462" s="95">
        <v>1410</v>
      </c>
      <c r="C1462" s="95">
        <f t="shared" si="115"/>
        <v>507600</v>
      </c>
      <c r="D1462" s="95">
        <f ca="1">_xlfn.XLOOKUP(总览!$B$44,$B$40:$B$45,$C$40:$C$45)</f>
        <v>5</v>
      </c>
      <c r="E1462" s="95">
        <f ca="1" t="shared" ref="E1462:E1525" si="118">INT(C1462/_xlfn.XLOOKUP(D1462,$N$5:$N$16,$O$5:$O$16))+OFFSET($R$40,D1462,0)</f>
        <v>1440</v>
      </c>
      <c r="F1462" s="95">
        <f ca="1" t="shared" si="116"/>
        <v>0</v>
      </c>
      <c r="G1462" s="95">
        <f ca="1" t="shared" si="117"/>
        <v>0</v>
      </c>
      <c r="H1462" s="95" cm="1">
        <f ca="1" t="array" ref="H1462">MIN(30-SUM(I1462:L1462),_xlfn.XLOOKUP($D1462&amp;"_"&amp;H$52,$B$14:$B$36&amp;"_"&amp;$C$14:$C$36,$D$14:$D$36)*$E1462,18)</f>
        <v>11.968</v>
      </c>
      <c r="I1462" s="95" cm="1">
        <f ca="1" t="array" ref="I1462">MIN(30-SUM(J1462:L1462),6-L1462,_xlfn.XLOOKUP($D1462&amp;"_"&amp;I$52,$B$14:$B$36&amp;"_"&amp;$C$14:$C$36,$D$14:$D$36)*$E1462)</f>
        <v>0</v>
      </c>
      <c r="J1462" s="95" cm="1">
        <f ca="1" t="array" ref="J1462">MIN(8,_xlfn.XLOOKUP($D1462&amp;"_"&amp;J$52,$B$14:$B$36&amp;"_"&amp;$C$14:$C$36,$D$14:$D$36)*$E1462)</f>
        <v>8</v>
      </c>
      <c r="K1462" s="95" cm="1">
        <f ca="1" t="array" ref="K1462">MIN(18,_xlfn.XLOOKUP($D1462&amp;"_"&amp;K$52,$B$14:$B$36&amp;"_"&amp;$C$14:$C$36,$D$14:$D$36)*$E1462)</f>
        <v>4.032</v>
      </c>
      <c r="L1462" s="95" cm="1">
        <f ca="1" t="array" ref="L1462">MIN(6,_xlfn.XLOOKUP($D1462&amp;"_"&amp;L$52,$B$14:$B$36&amp;"_"&amp;$C$14:$C$36,$D$14:$D$36)*$E1462)</f>
        <v>6</v>
      </c>
      <c r="M1462" s="95" cm="1">
        <f ca="1" t="array" ref="M1462">(1+SUMPRODUCT(G1462:H1462,OFFSET($H$40:$I$40,D1462,0)))*(1+OFFSET($J$40,D1462,0))^I1462*(1+OFFSET($K$40,D1462,0))^J1462*(1+OFFSET($L$40,D1462,0))^K1462*(1+OFFSET($M$40,D1462,0))^L1462</f>
        <v>345.107559185442</v>
      </c>
      <c r="N1462" s="95">
        <f ca="1">MAX(MAX($N$53:N1461),OFFSET($C$52,MATCH(M1462*1.07,$M$53:$M$2052,1),0)-C1462)</f>
        <v>70920</v>
      </c>
    </row>
    <row r="1463" spans="2:14">
      <c r="B1463" s="95">
        <v>1411</v>
      </c>
      <c r="C1463" s="95">
        <f t="shared" si="115"/>
        <v>507960</v>
      </c>
      <c r="D1463" s="95">
        <f ca="1">_xlfn.XLOOKUP(总览!$B$44,$B$40:$B$45,$C$40:$C$45)</f>
        <v>5</v>
      </c>
      <c r="E1463" s="95">
        <f ca="1" t="shared" si="118"/>
        <v>1441</v>
      </c>
      <c r="F1463" s="95">
        <f ca="1" t="shared" si="116"/>
        <v>0</v>
      </c>
      <c r="G1463" s="95">
        <f ca="1" t="shared" si="117"/>
        <v>0</v>
      </c>
      <c r="H1463" s="95" cm="1">
        <f ca="1" t="array" ref="H1463">MIN(30-SUM(I1463:L1463),_xlfn.XLOOKUP($D1463&amp;"_"&amp;H$52,$B$14:$B$36&amp;"_"&amp;$C$14:$C$36,$D$14:$D$36)*$E1463,18)</f>
        <v>11.9652</v>
      </c>
      <c r="I1463" s="95" cm="1">
        <f ca="1" t="array" ref="I1463">MIN(30-SUM(J1463:L1463),6-L1463,_xlfn.XLOOKUP($D1463&amp;"_"&amp;I$52,$B$14:$B$36&amp;"_"&amp;$C$14:$C$36,$D$14:$D$36)*$E1463)</f>
        <v>0</v>
      </c>
      <c r="J1463" s="95" cm="1">
        <f ca="1" t="array" ref="J1463">MIN(8,_xlfn.XLOOKUP($D1463&amp;"_"&amp;J$52,$B$14:$B$36&amp;"_"&amp;$C$14:$C$36,$D$14:$D$36)*$E1463)</f>
        <v>8</v>
      </c>
      <c r="K1463" s="95" cm="1">
        <f ca="1" t="array" ref="K1463">MIN(18,_xlfn.XLOOKUP($D1463&amp;"_"&amp;K$52,$B$14:$B$36&amp;"_"&amp;$C$14:$C$36,$D$14:$D$36)*$E1463)</f>
        <v>4.0348</v>
      </c>
      <c r="L1463" s="95" cm="1">
        <f ca="1" t="array" ref="L1463">MIN(6,_xlfn.XLOOKUP($D1463&amp;"_"&amp;L$52,$B$14:$B$36&amp;"_"&amp;$C$14:$C$36,$D$14:$D$36)*$E1463)</f>
        <v>6</v>
      </c>
      <c r="M1463" s="95" cm="1">
        <f ca="1" t="array" ref="M1463">(1+SUMPRODUCT(G1463:H1463,OFFSET($H$40:$I$40,D1463,0)))*(1+OFFSET($J$40,D1463,0))^I1463*(1+OFFSET($K$40,D1463,0))^J1463*(1+OFFSET($L$40,D1463,0))^K1463*(1+OFFSET($M$40,D1463,0))^L1463</f>
        <v>345.226804173576</v>
      </c>
      <c r="N1463" s="95">
        <f ca="1">MAX(MAX($N$53:N1462),OFFSET($C$52,MATCH(M1463*1.07,$M$53:$M$2052,1),0)-C1463)</f>
        <v>70920</v>
      </c>
    </row>
    <row r="1464" spans="2:14">
      <c r="B1464" s="95">
        <v>1412</v>
      </c>
      <c r="C1464" s="95">
        <f t="shared" si="115"/>
        <v>508320</v>
      </c>
      <c r="D1464" s="95">
        <f ca="1">_xlfn.XLOOKUP(总览!$B$44,$B$40:$B$45,$C$40:$C$45)</f>
        <v>5</v>
      </c>
      <c r="E1464" s="95">
        <f ca="1" t="shared" si="118"/>
        <v>1442</v>
      </c>
      <c r="F1464" s="95">
        <f ca="1" t="shared" si="116"/>
        <v>0</v>
      </c>
      <c r="G1464" s="95">
        <f ca="1" t="shared" si="117"/>
        <v>0</v>
      </c>
      <c r="H1464" s="95" cm="1">
        <f ca="1" t="array" ref="H1464">MIN(30-SUM(I1464:L1464),_xlfn.XLOOKUP($D1464&amp;"_"&amp;H$52,$B$14:$B$36&amp;"_"&amp;$C$14:$C$36,$D$14:$D$36)*$E1464,18)</f>
        <v>11.9624</v>
      </c>
      <c r="I1464" s="95" cm="1">
        <f ca="1" t="array" ref="I1464">MIN(30-SUM(J1464:L1464),6-L1464,_xlfn.XLOOKUP($D1464&amp;"_"&amp;I$52,$B$14:$B$36&amp;"_"&amp;$C$14:$C$36,$D$14:$D$36)*$E1464)</f>
        <v>0</v>
      </c>
      <c r="J1464" s="95" cm="1">
        <f ca="1" t="array" ref="J1464">MIN(8,_xlfn.XLOOKUP($D1464&amp;"_"&amp;J$52,$B$14:$B$36&amp;"_"&amp;$C$14:$C$36,$D$14:$D$36)*$E1464)</f>
        <v>8</v>
      </c>
      <c r="K1464" s="95" cm="1">
        <f ca="1" t="array" ref="K1464">MIN(18,_xlfn.XLOOKUP($D1464&amp;"_"&amp;K$52,$B$14:$B$36&amp;"_"&amp;$C$14:$C$36,$D$14:$D$36)*$E1464)</f>
        <v>4.0376</v>
      </c>
      <c r="L1464" s="95" cm="1">
        <f ca="1" t="array" ref="L1464">MIN(6,_xlfn.XLOOKUP($D1464&amp;"_"&amp;L$52,$B$14:$B$36&amp;"_"&amp;$C$14:$C$36,$D$14:$D$36)*$E1464)</f>
        <v>6</v>
      </c>
      <c r="M1464" s="95" cm="1">
        <f ca="1" t="array" ref="M1464">(1+SUMPRODUCT(G1464:H1464,OFFSET($H$40:$I$40,D1464,0)))*(1+OFFSET($J$40,D1464,0))^I1464*(1+OFFSET($K$40,D1464,0))^J1464*(1+OFFSET($L$40,D1464,0))^K1464*(1+OFFSET($M$40,D1464,0))^L1464</f>
        <v>345.346080957389</v>
      </c>
      <c r="N1464" s="95">
        <f ca="1">MAX(MAX($N$53:N1463),OFFSET($C$52,MATCH(M1464*1.07,$M$53:$M$2052,1),0)-C1464)</f>
        <v>70920</v>
      </c>
    </row>
    <row r="1465" spans="2:14">
      <c r="B1465" s="95">
        <v>1413</v>
      </c>
      <c r="C1465" s="95">
        <f t="shared" si="115"/>
        <v>508680</v>
      </c>
      <c r="D1465" s="95">
        <f ca="1">_xlfn.XLOOKUP(总览!$B$44,$B$40:$B$45,$C$40:$C$45)</f>
        <v>5</v>
      </c>
      <c r="E1465" s="95">
        <f ca="1" t="shared" si="118"/>
        <v>1443</v>
      </c>
      <c r="F1465" s="95">
        <f ca="1" t="shared" si="116"/>
        <v>0</v>
      </c>
      <c r="G1465" s="95">
        <f ca="1" t="shared" si="117"/>
        <v>0</v>
      </c>
      <c r="H1465" s="95" cm="1">
        <f ca="1" t="array" ref="H1465">MIN(30-SUM(I1465:L1465),_xlfn.XLOOKUP($D1465&amp;"_"&amp;H$52,$B$14:$B$36&amp;"_"&amp;$C$14:$C$36,$D$14:$D$36)*$E1465,18)</f>
        <v>11.9596</v>
      </c>
      <c r="I1465" s="95" cm="1">
        <f ca="1" t="array" ref="I1465">MIN(30-SUM(J1465:L1465),6-L1465,_xlfn.XLOOKUP($D1465&amp;"_"&amp;I$52,$B$14:$B$36&amp;"_"&amp;$C$14:$C$36,$D$14:$D$36)*$E1465)</f>
        <v>0</v>
      </c>
      <c r="J1465" s="95" cm="1">
        <f ca="1" t="array" ref="J1465">MIN(8,_xlfn.XLOOKUP($D1465&amp;"_"&amp;J$52,$B$14:$B$36&amp;"_"&amp;$C$14:$C$36,$D$14:$D$36)*$E1465)</f>
        <v>8</v>
      </c>
      <c r="K1465" s="95" cm="1">
        <f ca="1" t="array" ref="K1465">MIN(18,_xlfn.XLOOKUP($D1465&amp;"_"&amp;K$52,$B$14:$B$36&amp;"_"&amp;$C$14:$C$36,$D$14:$D$36)*$E1465)</f>
        <v>4.0404</v>
      </c>
      <c r="L1465" s="95" cm="1">
        <f ca="1" t="array" ref="L1465">MIN(6,_xlfn.XLOOKUP($D1465&amp;"_"&amp;L$52,$B$14:$B$36&amp;"_"&amp;$C$14:$C$36,$D$14:$D$36)*$E1465)</f>
        <v>6</v>
      </c>
      <c r="M1465" s="95" cm="1">
        <f ca="1" t="array" ref="M1465">(1+SUMPRODUCT(G1465:H1465,OFFSET($H$40:$I$40,D1465,0)))*(1+OFFSET($J$40,D1465,0))^I1465*(1+OFFSET($K$40,D1465,0))^J1465*(1+OFFSET($L$40,D1465,0))^K1465*(1+OFFSET($M$40,D1465,0))^L1465</f>
        <v>345.465389538261</v>
      </c>
      <c r="N1465" s="95">
        <f ca="1">MAX(MAX($N$53:N1464),OFFSET($C$52,MATCH(M1465*1.07,$M$53:$M$2052,1),0)-C1465)</f>
        <v>70920</v>
      </c>
    </row>
    <row r="1466" spans="2:14">
      <c r="B1466" s="95">
        <v>1414</v>
      </c>
      <c r="C1466" s="95">
        <f t="shared" si="115"/>
        <v>509040</v>
      </c>
      <c r="D1466" s="95">
        <f ca="1">_xlfn.XLOOKUP(总览!$B$44,$B$40:$B$45,$C$40:$C$45)</f>
        <v>5</v>
      </c>
      <c r="E1466" s="95">
        <f ca="1" t="shared" si="118"/>
        <v>1444</v>
      </c>
      <c r="F1466" s="95">
        <f ca="1" t="shared" si="116"/>
        <v>0</v>
      </c>
      <c r="G1466" s="95">
        <f ca="1" t="shared" si="117"/>
        <v>0</v>
      </c>
      <c r="H1466" s="95" cm="1">
        <f ca="1" t="array" ref="H1466">MIN(30-SUM(I1466:L1466),_xlfn.XLOOKUP($D1466&amp;"_"&amp;H$52,$B$14:$B$36&amp;"_"&amp;$C$14:$C$36,$D$14:$D$36)*$E1466,18)</f>
        <v>11.9568</v>
      </c>
      <c r="I1466" s="95" cm="1">
        <f ca="1" t="array" ref="I1466">MIN(30-SUM(J1466:L1466),6-L1466,_xlfn.XLOOKUP($D1466&amp;"_"&amp;I$52,$B$14:$B$36&amp;"_"&amp;$C$14:$C$36,$D$14:$D$36)*$E1466)</f>
        <v>0</v>
      </c>
      <c r="J1466" s="95" cm="1">
        <f ca="1" t="array" ref="J1466">MIN(8,_xlfn.XLOOKUP($D1466&amp;"_"&amp;J$52,$B$14:$B$36&amp;"_"&amp;$C$14:$C$36,$D$14:$D$36)*$E1466)</f>
        <v>8</v>
      </c>
      <c r="K1466" s="95" cm="1">
        <f ca="1" t="array" ref="K1466">MIN(18,_xlfn.XLOOKUP($D1466&amp;"_"&amp;K$52,$B$14:$B$36&amp;"_"&amp;$C$14:$C$36,$D$14:$D$36)*$E1466)</f>
        <v>4.0432</v>
      </c>
      <c r="L1466" s="95" cm="1">
        <f ca="1" t="array" ref="L1466">MIN(6,_xlfn.XLOOKUP($D1466&amp;"_"&amp;L$52,$B$14:$B$36&amp;"_"&amp;$C$14:$C$36,$D$14:$D$36)*$E1466)</f>
        <v>6</v>
      </c>
      <c r="M1466" s="95" cm="1">
        <f ca="1" t="array" ref="M1466">(1+SUMPRODUCT(G1466:H1466,OFFSET($H$40:$I$40,D1466,0)))*(1+OFFSET($J$40,D1466,0))^I1466*(1+OFFSET($K$40,D1466,0))^J1466*(1+OFFSET($L$40,D1466,0))^K1466*(1+OFFSET($M$40,D1466,0))^L1466</f>
        <v>345.584729917563</v>
      </c>
      <c r="N1466" s="95">
        <f ca="1">MAX(MAX($N$53:N1465),OFFSET($C$52,MATCH(M1466*1.07,$M$53:$M$2052,1),0)-C1466)</f>
        <v>70920</v>
      </c>
    </row>
    <row r="1467" spans="2:14">
      <c r="B1467" s="95">
        <v>1415</v>
      </c>
      <c r="C1467" s="95">
        <f t="shared" si="115"/>
        <v>509400</v>
      </c>
      <c r="D1467" s="95">
        <f ca="1">_xlfn.XLOOKUP(总览!$B$44,$B$40:$B$45,$C$40:$C$45)</f>
        <v>5</v>
      </c>
      <c r="E1467" s="95">
        <f ca="1" t="shared" si="118"/>
        <v>1445</v>
      </c>
      <c r="F1467" s="95">
        <f ca="1" t="shared" si="116"/>
        <v>0</v>
      </c>
      <c r="G1467" s="95">
        <f ca="1" t="shared" si="117"/>
        <v>0</v>
      </c>
      <c r="H1467" s="95" cm="1">
        <f ca="1" t="array" ref="H1467">MIN(30-SUM(I1467:L1467),_xlfn.XLOOKUP($D1467&amp;"_"&amp;H$52,$B$14:$B$36&amp;"_"&amp;$C$14:$C$36,$D$14:$D$36)*$E1467,18)</f>
        <v>11.954</v>
      </c>
      <c r="I1467" s="95" cm="1">
        <f ca="1" t="array" ref="I1467">MIN(30-SUM(J1467:L1467),6-L1467,_xlfn.XLOOKUP($D1467&amp;"_"&amp;I$52,$B$14:$B$36&amp;"_"&amp;$C$14:$C$36,$D$14:$D$36)*$E1467)</f>
        <v>0</v>
      </c>
      <c r="J1467" s="95" cm="1">
        <f ca="1" t="array" ref="J1467">MIN(8,_xlfn.XLOOKUP($D1467&amp;"_"&amp;J$52,$B$14:$B$36&amp;"_"&amp;$C$14:$C$36,$D$14:$D$36)*$E1467)</f>
        <v>8</v>
      </c>
      <c r="K1467" s="95" cm="1">
        <f ca="1" t="array" ref="K1467">MIN(18,_xlfn.XLOOKUP($D1467&amp;"_"&amp;K$52,$B$14:$B$36&amp;"_"&amp;$C$14:$C$36,$D$14:$D$36)*$E1467)</f>
        <v>4.046</v>
      </c>
      <c r="L1467" s="95" cm="1">
        <f ca="1" t="array" ref="L1467">MIN(6,_xlfn.XLOOKUP($D1467&amp;"_"&amp;L$52,$B$14:$B$36&amp;"_"&amp;$C$14:$C$36,$D$14:$D$36)*$E1467)</f>
        <v>6</v>
      </c>
      <c r="M1467" s="95" cm="1">
        <f ca="1" t="array" ref="M1467">(1+SUMPRODUCT(G1467:H1467,OFFSET($H$40:$I$40,D1467,0)))*(1+OFFSET($J$40,D1467,0))^I1467*(1+OFFSET($K$40,D1467,0))^J1467*(1+OFFSET($L$40,D1467,0))^K1467*(1+OFFSET($M$40,D1467,0))^L1467</f>
        <v>345.704102096662</v>
      </c>
      <c r="N1467" s="95">
        <f ca="1">MAX(MAX($N$53:N1466),OFFSET($C$52,MATCH(M1467*1.07,$M$53:$M$2052,1),0)-C1467)</f>
        <v>70920</v>
      </c>
    </row>
    <row r="1468" spans="2:14">
      <c r="B1468" s="95">
        <v>1416</v>
      </c>
      <c r="C1468" s="95">
        <f t="shared" si="115"/>
        <v>509760</v>
      </c>
      <c r="D1468" s="95">
        <f ca="1">_xlfn.XLOOKUP(总览!$B$44,$B$40:$B$45,$C$40:$C$45)</f>
        <v>5</v>
      </c>
      <c r="E1468" s="95">
        <f ca="1" t="shared" si="118"/>
        <v>1446</v>
      </c>
      <c r="F1468" s="95">
        <f ca="1" t="shared" si="116"/>
        <v>0</v>
      </c>
      <c r="G1468" s="95">
        <f ca="1" t="shared" si="117"/>
        <v>0</v>
      </c>
      <c r="H1468" s="95" cm="1">
        <f ca="1" t="array" ref="H1468">MIN(30-SUM(I1468:L1468),_xlfn.XLOOKUP($D1468&amp;"_"&amp;H$52,$B$14:$B$36&amp;"_"&amp;$C$14:$C$36,$D$14:$D$36)*$E1468,18)</f>
        <v>11.9512</v>
      </c>
      <c r="I1468" s="95" cm="1">
        <f ca="1" t="array" ref="I1468">MIN(30-SUM(J1468:L1468),6-L1468,_xlfn.XLOOKUP($D1468&amp;"_"&amp;I$52,$B$14:$B$36&amp;"_"&amp;$C$14:$C$36,$D$14:$D$36)*$E1468)</f>
        <v>0</v>
      </c>
      <c r="J1468" s="95" cm="1">
        <f ca="1" t="array" ref="J1468">MIN(8,_xlfn.XLOOKUP($D1468&amp;"_"&amp;J$52,$B$14:$B$36&amp;"_"&amp;$C$14:$C$36,$D$14:$D$36)*$E1468)</f>
        <v>8</v>
      </c>
      <c r="K1468" s="95" cm="1">
        <f ca="1" t="array" ref="K1468">MIN(18,_xlfn.XLOOKUP($D1468&amp;"_"&amp;K$52,$B$14:$B$36&amp;"_"&amp;$C$14:$C$36,$D$14:$D$36)*$E1468)</f>
        <v>4.0488</v>
      </c>
      <c r="L1468" s="95" cm="1">
        <f ca="1" t="array" ref="L1468">MIN(6,_xlfn.XLOOKUP($D1468&amp;"_"&amp;L$52,$B$14:$B$36&amp;"_"&amp;$C$14:$C$36,$D$14:$D$36)*$E1468)</f>
        <v>6</v>
      </c>
      <c r="M1468" s="95" cm="1">
        <f ca="1" t="array" ref="M1468">(1+SUMPRODUCT(G1468:H1468,OFFSET($H$40:$I$40,D1468,0)))*(1+OFFSET($J$40,D1468,0))^I1468*(1+OFFSET($K$40,D1468,0))^J1468*(1+OFFSET($L$40,D1468,0))^K1468*(1+OFFSET($M$40,D1468,0))^L1468</f>
        <v>345.823506076916</v>
      </c>
      <c r="N1468" s="95">
        <f ca="1">MAX(MAX($N$53:N1467),OFFSET($C$52,MATCH(M1468*1.07,$M$53:$M$2052,1),0)-C1468)</f>
        <v>70920</v>
      </c>
    </row>
    <row r="1469" spans="2:14">
      <c r="B1469" s="95">
        <v>1417</v>
      </c>
      <c r="C1469" s="95">
        <f t="shared" si="115"/>
        <v>510120</v>
      </c>
      <c r="D1469" s="95">
        <f ca="1">_xlfn.XLOOKUP(总览!$B$44,$B$40:$B$45,$C$40:$C$45)</f>
        <v>5</v>
      </c>
      <c r="E1469" s="95">
        <f ca="1" t="shared" si="118"/>
        <v>1447</v>
      </c>
      <c r="F1469" s="95">
        <f ca="1" t="shared" si="116"/>
        <v>0</v>
      </c>
      <c r="G1469" s="95">
        <f ca="1" t="shared" si="117"/>
        <v>0</v>
      </c>
      <c r="H1469" s="95" cm="1">
        <f ca="1" t="array" ref="H1469">MIN(30-SUM(I1469:L1469),_xlfn.XLOOKUP($D1469&amp;"_"&amp;H$52,$B$14:$B$36&amp;"_"&amp;$C$14:$C$36,$D$14:$D$36)*$E1469,18)</f>
        <v>11.9484</v>
      </c>
      <c r="I1469" s="95" cm="1">
        <f ca="1" t="array" ref="I1469">MIN(30-SUM(J1469:L1469),6-L1469,_xlfn.XLOOKUP($D1469&amp;"_"&amp;I$52,$B$14:$B$36&amp;"_"&amp;$C$14:$C$36,$D$14:$D$36)*$E1469)</f>
        <v>0</v>
      </c>
      <c r="J1469" s="95" cm="1">
        <f ca="1" t="array" ref="J1469">MIN(8,_xlfn.XLOOKUP($D1469&amp;"_"&amp;J$52,$B$14:$B$36&amp;"_"&amp;$C$14:$C$36,$D$14:$D$36)*$E1469)</f>
        <v>8</v>
      </c>
      <c r="K1469" s="95" cm="1">
        <f ca="1" t="array" ref="K1469">MIN(18,_xlfn.XLOOKUP($D1469&amp;"_"&amp;K$52,$B$14:$B$36&amp;"_"&amp;$C$14:$C$36,$D$14:$D$36)*$E1469)</f>
        <v>4.0516</v>
      </c>
      <c r="L1469" s="95" cm="1">
        <f ca="1" t="array" ref="L1469">MIN(6,_xlfn.XLOOKUP($D1469&amp;"_"&amp;L$52,$B$14:$B$36&amp;"_"&amp;$C$14:$C$36,$D$14:$D$36)*$E1469)</f>
        <v>6</v>
      </c>
      <c r="M1469" s="95" cm="1">
        <f ca="1" t="array" ref="M1469">(1+SUMPRODUCT(G1469:H1469,OFFSET($H$40:$I$40,D1469,0)))*(1+OFFSET($J$40,D1469,0))^I1469*(1+OFFSET($K$40,D1469,0))^J1469*(1+OFFSET($L$40,D1469,0))^K1469*(1+OFFSET($M$40,D1469,0))^L1469</f>
        <v>345.942941859677</v>
      </c>
      <c r="N1469" s="95">
        <f ca="1">MAX(MAX($N$53:N1468),OFFSET($C$52,MATCH(M1469*1.07,$M$53:$M$2052,1),0)-C1469)</f>
        <v>70920</v>
      </c>
    </row>
    <row r="1470" spans="2:14">
      <c r="B1470" s="95">
        <v>1418</v>
      </c>
      <c r="C1470" s="95">
        <f t="shared" si="115"/>
        <v>510480</v>
      </c>
      <c r="D1470" s="95">
        <f ca="1">_xlfn.XLOOKUP(总览!$B$44,$B$40:$B$45,$C$40:$C$45)</f>
        <v>5</v>
      </c>
      <c r="E1470" s="95">
        <f ca="1" t="shared" si="118"/>
        <v>1448</v>
      </c>
      <c r="F1470" s="95">
        <f ca="1" t="shared" si="116"/>
        <v>0</v>
      </c>
      <c r="G1470" s="95">
        <f ca="1" t="shared" si="117"/>
        <v>0</v>
      </c>
      <c r="H1470" s="95" cm="1">
        <f ca="1" t="array" ref="H1470">MIN(30-SUM(I1470:L1470),_xlfn.XLOOKUP($D1470&amp;"_"&amp;H$52,$B$14:$B$36&amp;"_"&amp;$C$14:$C$36,$D$14:$D$36)*$E1470,18)</f>
        <v>11.9456</v>
      </c>
      <c r="I1470" s="95" cm="1">
        <f ca="1" t="array" ref="I1470">MIN(30-SUM(J1470:L1470),6-L1470,_xlfn.XLOOKUP($D1470&amp;"_"&amp;I$52,$B$14:$B$36&amp;"_"&amp;$C$14:$C$36,$D$14:$D$36)*$E1470)</f>
        <v>0</v>
      </c>
      <c r="J1470" s="95" cm="1">
        <f ca="1" t="array" ref="J1470">MIN(8,_xlfn.XLOOKUP($D1470&amp;"_"&amp;J$52,$B$14:$B$36&amp;"_"&amp;$C$14:$C$36,$D$14:$D$36)*$E1470)</f>
        <v>8</v>
      </c>
      <c r="K1470" s="95" cm="1">
        <f ca="1" t="array" ref="K1470">MIN(18,_xlfn.XLOOKUP($D1470&amp;"_"&amp;K$52,$B$14:$B$36&amp;"_"&amp;$C$14:$C$36,$D$14:$D$36)*$E1470)</f>
        <v>4.0544</v>
      </c>
      <c r="L1470" s="95" cm="1">
        <f ca="1" t="array" ref="L1470">MIN(6,_xlfn.XLOOKUP($D1470&amp;"_"&amp;L$52,$B$14:$B$36&amp;"_"&amp;$C$14:$C$36,$D$14:$D$36)*$E1470)</f>
        <v>6</v>
      </c>
      <c r="M1470" s="95" cm="1">
        <f ca="1" t="array" ref="M1470">(1+SUMPRODUCT(G1470:H1470,OFFSET($H$40:$I$40,D1470,0)))*(1+OFFSET($J$40,D1470,0))^I1470*(1+OFFSET($K$40,D1470,0))^J1470*(1+OFFSET($L$40,D1470,0))^K1470*(1+OFFSET($M$40,D1470,0))^L1470</f>
        <v>346.062409446289</v>
      </c>
      <c r="N1470" s="95">
        <f ca="1">MAX(MAX($N$53:N1469),OFFSET($C$52,MATCH(M1470*1.07,$M$53:$M$2052,1),0)-C1470)</f>
        <v>70920</v>
      </c>
    </row>
    <row r="1471" spans="2:14">
      <c r="B1471" s="95">
        <v>1419</v>
      </c>
      <c r="C1471" s="95">
        <f t="shared" si="115"/>
        <v>510840</v>
      </c>
      <c r="D1471" s="95">
        <f ca="1">_xlfn.XLOOKUP(总览!$B$44,$B$40:$B$45,$C$40:$C$45)</f>
        <v>5</v>
      </c>
      <c r="E1471" s="95">
        <f ca="1" t="shared" si="118"/>
        <v>1449</v>
      </c>
      <c r="F1471" s="95">
        <f ca="1" t="shared" si="116"/>
        <v>0</v>
      </c>
      <c r="G1471" s="95">
        <f ca="1" t="shared" si="117"/>
        <v>0</v>
      </c>
      <c r="H1471" s="95" cm="1">
        <f ca="1" t="array" ref="H1471">MIN(30-SUM(I1471:L1471),_xlfn.XLOOKUP($D1471&amp;"_"&amp;H$52,$B$14:$B$36&amp;"_"&amp;$C$14:$C$36,$D$14:$D$36)*$E1471,18)</f>
        <v>11.9428</v>
      </c>
      <c r="I1471" s="95" cm="1">
        <f ca="1" t="array" ref="I1471">MIN(30-SUM(J1471:L1471),6-L1471,_xlfn.XLOOKUP($D1471&amp;"_"&amp;I$52,$B$14:$B$36&amp;"_"&amp;$C$14:$C$36,$D$14:$D$36)*$E1471)</f>
        <v>0</v>
      </c>
      <c r="J1471" s="95" cm="1">
        <f ca="1" t="array" ref="J1471">MIN(8,_xlfn.XLOOKUP($D1471&amp;"_"&amp;J$52,$B$14:$B$36&amp;"_"&amp;$C$14:$C$36,$D$14:$D$36)*$E1471)</f>
        <v>8</v>
      </c>
      <c r="K1471" s="95" cm="1">
        <f ca="1" t="array" ref="K1471">MIN(18,_xlfn.XLOOKUP($D1471&amp;"_"&amp;K$52,$B$14:$B$36&amp;"_"&amp;$C$14:$C$36,$D$14:$D$36)*$E1471)</f>
        <v>4.0572</v>
      </c>
      <c r="L1471" s="95" cm="1">
        <f ca="1" t="array" ref="L1471">MIN(6,_xlfn.XLOOKUP($D1471&amp;"_"&amp;L$52,$B$14:$B$36&amp;"_"&amp;$C$14:$C$36,$D$14:$D$36)*$E1471)</f>
        <v>6</v>
      </c>
      <c r="M1471" s="95" cm="1">
        <f ca="1" t="array" ref="M1471">(1+SUMPRODUCT(G1471:H1471,OFFSET($H$40:$I$40,D1471,0)))*(1+OFFSET($J$40,D1471,0))^I1471*(1+OFFSET($K$40,D1471,0))^J1471*(1+OFFSET($L$40,D1471,0))^K1471*(1+OFFSET($M$40,D1471,0))^L1471</f>
        <v>346.181908838091</v>
      </c>
      <c r="N1471" s="95">
        <f ca="1">MAX(MAX($N$53:N1470),OFFSET($C$52,MATCH(M1471*1.07,$M$53:$M$2052,1),0)-C1471)</f>
        <v>70920</v>
      </c>
    </row>
    <row r="1472" spans="2:14">
      <c r="B1472" s="95">
        <v>1420</v>
      </c>
      <c r="C1472" s="95">
        <f t="shared" si="115"/>
        <v>511200</v>
      </c>
      <c r="D1472" s="95">
        <f ca="1">_xlfn.XLOOKUP(总览!$B$44,$B$40:$B$45,$C$40:$C$45)</f>
        <v>5</v>
      </c>
      <c r="E1472" s="95">
        <f ca="1" t="shared" si="118"/>
        <v>1450</v>
      </c>
      <c r="F1472" s="95">
        <f ca="1" t="shared" si="116"/>
        <v>0</v>
      </c>
      <c r="G1472" s="95">
        <f ca="1" t="shared" si="117"/>
        <v>0</v>
      </c>
      <c r="H1472" s="95" cm="1">
        <f ca="1" t="array" ref="H1472">MIN(30-SUM(I1472:L1472),_xlfn.XLOOKUP($D1472&amp;"_"&amp;H$52,$B$14:$B$36&amp;"_"&amp;$C$14:$C$36,$D$14:$D$36)*$E1472,18)</f>
        <v>11.94</v>
      </c>
      <c r="I1472" s="95" cm="1">
        <f ca="1" t="array" ref="I1472">MIN(30-SUM(J1472:L1472),6-L1472,_xlfn.XLOOKUP($D1472&amp;"_"&amp;I$52,$B$14:$B$36&amp;"_"&amp;$C$14:$C$36,$D$14:$D$36)*$E1472)</f>
        <v>0</v>
      </c>
      <c r="J1472" s="95" cm="1">
        <f ca="1" t="array" ref="J1472">MIN(8,_xlfn.XLOOKUP($D1472&amp;"_"&amp;J$52,$B$14:$B$36&amp;"_"&amp;$C$14:$C$36,$D$14:$D$36)*$E1472)</f>
        <v>8</v>
      </c>
      <c r="K1472" s="95" cm="1">
        <f ca="1" t="array" ref="K1472">MIN(18,_xlfn.XLOOKUP($D1472&amp;"_"&amp;K$52,$B$14:$B$36&amp;"_"&amp;$C$14:$C$36,$D$14:$D$36)*$E1472)</f>
        <v>4.06</v>
      </c>
      <c r="L1472" s="95" cm="1">
        <f ca="1" t="array" ref="L1472">MIN(6,_xlfn.XLOOKUP($D1472&amp;"_"&amp;L$52,$B$14:$B$36&amp;"_"&amp;$C$14:$C$36,$D$14:$D$36)*$E1472)</f>
        <v>6</v>
      </c>
      <c r="M1472" s="95" cm="1">
        <f ca="1" t="array" ref="M1472">(1+SUMPRODUCT(G1472:H1472,OFFSET($H$40:$I$40,D1472,0)))*(1+OFFSET($J$40,D1472,0))^I1472*(1+OFFSET($K$40,D1472,0))^J1472*(1+OFFSET($L$40,D1472,0))^K1472*(1+OFFSET($M$40,D1472,0))^L1472</f>
        <v>346.301440036413</v>
      </c>
      <c r="N1472" s="95">
        <f ca="1">MAX(MAX($N$53:N1471),OFFSET($C$52,MATCH(M1472*1.07,$M$53:$M$2052,1),0)-C1472)</f>
        <v>70920</v>
      </c>
    </row>
    <row r="1473" spans="2:14">
      <c r="B1473" s="95">
        <v>1421</v>
      </c>
      <c r="C1473" s="95">
        <f t="shared" si="115"/>
        <v>511560</v>
      </c>
      <c r="D1473" s="95">
        <f ca="1">_xlfn.XLOOKUP(总览!$B$44,$B$40:$B$45,$C$40:$C$45)</f>
        <v>5</v>
      </c>
      <c r="E1473" s="95">
        <f ca="1" t="shared" si="118"/>
        <v>1451</v>
      </c>
      <c r="F1473" s="95">
        <f ca="1" t="shared" si="116"/>
        <v>0</v>
      </c>
      <c r="G1473" s="95">
        <f ca="1" t="shared" si="117"/>
        <v>0</v>
      </c>
      <c r="H1473" s="95" cm="1">
        <f ca="1" t="array" ref="H1473">MIN(30-SUM(I1473:L1473),_xlfn.XLOOKUP($D1473&amp;"_"&amp;H$52,$B$14:$B$36&amp;"_"&amp;$C$14:$C$36,$D$14:$D$36)*$E1473,18)</f>
        <v>11.9372</v>
      </c>
      <c r="I1473" s="95" cm="1">
        <f ca="1" t="array" ref="I1473">MIN(30-SUM(J1473:L1473),6-L1473,_xlfn.XLOOKUP($D1473&amp;"_"&amp;I$52,$B$14:$B$36&amp;"_"&amp;$C$14:$C$36,$D$14:$D$36)*$E1473)</f>
        <v>0</v>
      </c>
      <c r="J1473" s="95" cm="1">
        <f ca="1" t="array" ref="J1473">MIN(8,_xlfn.XLOOKUP($D1473&amp;"_"&amp;J$52,$B$14:$B$36&amp;"_"&amp;$C$14:$C$36,$D$14:$D$36)*$E1473)</f>
        <v>8</v>
      </c>
      <c r="K1473" s="95" cm="1">
        <f ca="1" t="array" ref="K1473">MIN(18,_xlfn.XLOOKUP($D1473&amp;"_"&amp;K$52,$B$14:$B$36&amp;"_"&amp;$C$14:$C$36,$D$14:$D$36)*$E1473)</f>
        <v>4.0628</v>
      </c>
      <c r="L1473" s="95" cm="1">
        <f ca="1" t="array" ref="L1473">MIN(6,_xlfn.XLOOKUP($D1473&amp;"_"&amp;L$52,$B$14:$B$36&amp;"_"&amp;$C$14:$C$36,$D$14:$D$36)*$E1473)</f>
        <v>6</v>
      </c>
      <c r="M1473" s="95" cm="1">
        <f ca="1" t="array" ref="M1473">(1+SUMPRODUCT(G1473:H1473,OFFSET($H$40:$I$40,D1473,0)))*(1+OFFSET($J$40,D1473,0))^I1473*(1+OFFSET($K$40,D1473,0))^J1473*(1+OFFSET($L$40,D1473,0))^K1473*(1+OFFSET($M$40,D1473,0))^L1473</f>
        <v>346.421003042581</v>
      </c>
      <c r="N1473" s="95">
        <f ca="1">MAX(MAX($N$53:N1472),OFFSET($C$52,MATCH(M1473*1.07,$M$53:$M$2052,1),0)-C1473)</f>
        <v>70920</v>
      </c>
    </row>
    <row r="1474" spans="2:14">
      <c r="B1474" s="95">
        <v>1422</v>
      </c>
      <c r="C1474" s="95">
        <f t="shared" si="115"/>
        <v>511920</v>
      </c>
      <c r="D1474" s="95">
        <f ca="1">_xlfn.XLOOKUP(总览!$B$44,$B$40:$B$45,$C$40:$C$45)</f>
        <v>5</v>
      </c>
      <c r="E1474" s="95">
        <f ca="1" t="shared" si="118"/>
        <v>1452</v>
      </c>
      <c r="F1474" s="95">
        <f ca="1" t="shared" si="116"/>
        <v>0</v>
      </c>
      <c r="G1474" s="95">
        <f ca="1" t="shared" si="117"/>
        <v>0</v>
      </c>
      <c r="H1474" s="95" cm="1">
        <f ca="1" t="array" ref="H1474">MIN(30-SUM(I1474:L1474),_xlfn.XLOOKUP($D1474&amp;"_"&amp;H$52,$B$14:$B$36&amp;"_"&amp;$C$14:$C$36,$D$14:$D$36)*$E1474,18)</f>
        <v>11.9344</v>
      </c>
      <c r="I1474" s="95" cm="1">
        <f ca="1" t="array" ref="I1474">MIN(30-SUM(J1474:L1474),6-L1474,_xlfn.XLOOKUP($D1474&amp;"_"&amp;I$52,$B$14:$B$36&amp;"_"&amp;$C$14:$C$36,$D$14:$D$36)*$E1474)</f>
        <v>0</v>
      </c>
      <c r="J1474" s="95" cm="1">
        <f ca="1" t="array" ref="J1474">MIN(8,_xlfn.XLOOKUP($D1474&amp;"_"&amp;J$52,$B$14:$B$36&amp;"_"&amp;$C$14:$C$36,$D$14:$D$36)*$E1474)</f>
        <v>8</v>
      </c>
      <c r="K1474" s="95" cm="1">
        <f ca="1" t="array" ref="K1474">MIN(18,_xlfn.XLOOKUP($D1474&amp;"_"&amp;K$52,$B$14:$B$36&amp;"_"&amp;$C$14:$C$36,$D$14:$D$36)*$E1474)</f>
        <v>4.0656</v>
      </c>
      <c r="L1474" s="95" cm="1">
        <f ca="1" t="array" ref="L1474">MIN(6,_xlfn.XLOOKUP($D1474&amp;"_"&amp;L$52,$B$14:$B$36&amp;"_"&amp;$C$14:$C$36,$D$14:$D$36)*$E1474)</f>
        <v>6</v>
      </c>
      <c r="M1474" s="95" cm="1">
        <f ca="1" t="array" ref="M1474">(1+SUMPRODUCT(G1474:H1474,OFFSET($H$40:$I$40,D1474,0)))*(1+OFFSET($J$40,D1474,0))^I1474*(1+OFFSET($K$40,D1474,0))^J1474*(1+OFFSET($L$40,D1474,0))^K1474*(1+OFFSET($M$40,D1474,0))^L1474</f>
        <v>346.54059785791</v>
      </c>
      <c r="N1474" s="95">
        <f ca="1">MAX(MAX($N$53:N1473),OFFSET($C$52,MATCH(M1474*1.07,$M$53:$M$2052,1),0)-C1474)</f>
        <v>70920</v>
      </c>
    </row>
    <row r="1475" spans="2:14">
      <c r="B1475" s="95">
        <v>1423</v>
      </c>
      <c r="C1475" s="95">
        <f t="shared" si="115"/>
        <v>512280</v>
      </c>
      <c r="D1475" s="95">
        <f ca="1">_xlfn.XLOOKUP(总览!$B$44,$B$40:$B$45,$C$40:$C$45)</f>
        <v>5</v>
      </c>
      <c r="E1475" s="95">
        <f ca="1" t="shared" si="118"/>
        <v>1453</v>
      </c>
      <c r="F1475" s="95">
        <f ca="1" t="shared" si="116"/>
        <v>0</v>
      </c>
      <c r="G1475" s="95">
        <f ca="1" t="shared" si="117"/>
        <v>0</v>
      </c>
      <c r="H1475" s="95" cm="1">
        <f ca="1" t="array" ref="H1475">MIN(30-SUM(I1475:L1475),_xlfn.XLOOKUP($D1475&amp;"_"&amp;H$52,$B$14:$B$36&amp;"_"&amp;$C$14:$C$36,$D$14:$D$36)*$E1475,18)</f>
        <v>11.9316</v>
      </c>
      <c r="I1475" s="95" cm="1">
        <f ca="1" t="array" ref="I1475">MIN(30-SUM(J1475:L1475),6-L1475,_xlfn.XLOOKUP($D1475&amp;"_"&amp;I$52,$B$14:$B$36&amp;"_"&amp;$C$14:$C$36,$D$14:$D$36)*$E1475)</f>
        <v>0</v>
      </c>
      <c r="J1475" s="95" cm="1">
        <f ca="1" t="array" ref="J1475">MIN(8,_xlfn.XLOOKUP($D1475&amp;"_"&amp;J$52,$B$14:$B$36&amp;"_"&amp;$C$14:$C$36,$D$14:$D$36)*$E1475)</f>
        <v>8</v>
      </c>
      <c r="K1475" s="95" cm="1">
        <f ca="1" t="array" ref="K1475">MIN(18,_xlfn.XLOOKUP($D1475&amp;"_"&amp;K$52,$B$14:$B$36&amp;"_"&amp;$C$14:$C$36,$D$14:$D$36)*$E1475)</f>
        <v>4.0684</v>
      </c>
      <c r="L1475" s="95" cm="1">
        <f ca="1" t="array" ref="L1475">MIN(6,_xlfn.XLOOKUP($D1475&amp;"_"&amp;L$52,$B$14:$B$36&amp;"_"&amp;$C$14:$C$36,$D$14:$D$36)*$E1475)</f>
        <v>6</v>
      </c>
      <c r="M1475" s="95" cm="1">
        <f ca="1" t="array" ref="M1475">(1+SUMPRODUCT(G1475:H1475,OFFSET($H$40:$I$40,D1475,0)))*(1+OFFSET($J$40,D1475,0))^I1475*(1+OFFSET($K$40,D1475,0))^J1475*(1+OFFSET($L$40,D1475,0))^K1475*(1+OFFSET($M$40,D1475,0))^L1475</f>
        <v>346.66022448371</v>
      </c>
      <c r="N1475" s="95">
        <f ca="1">MAX(MAX($N$53:N1474),OFFSET($C$52,MATCH(M1475*1.07,$M$53:$M$2052,1),0)-C1475)</f>
        <v>70920</v>
      </c>
    </row>
    <row r="1476" spans="2:14">
      <c r="B1476" s="95">
        <v>1424</v>
      </c>
      <c r="C1476" s="95">
        <f t="shared" si="115"/>
        <v>512640</v>
      </c>
      <c r="D1476" s="95">
        <f ca="1">_xlfn.XLOOKUP(总览!$B$44,$B$40:$B$45,$C$40:$C$45)</f>
        <v>5</v>
      </c>
      <c r="E1476" s="95">
        <f ca="1" t="shared" si="118"/>
        <v>1454</v>
      </c>
      <c r="F1476" s="95">
        <f ca="1" t="shared" si="116"/>
        <v>0</v>
      </c>
      <c r="G1476" s="95">
        <f ca="1" t="shared" si="117"/>
        <v>0</v>
      </c>
      <c r="H1476" s="95" cm="1">
        <f ca="1" t="array" ref="H1476">MIN(30-SUM(I1476:L1476),_xlfn.XLOOKUP($D1476&amp;"_"&amp;H$52,$B$14:$B$36&amp;"_"&amp;$C$14:$C$36,$D$14:$D$36)*$E1476,18)</f>
        <v>11.9288</v>
      </c>
      <c r="I1476" s="95" cm="1">
        <f ca="1" t="array" ref="I1476">MIN(30-SUM(J1476:L1476),6-L1476,_xlfn.XLOOKUP($D1476&amp;"_"&amp;I$52,$B$14:$B$36&amp;"_"&amp;$C$14:$C$36,$D$14:$D$36)*$E1476)</f>
        <v>0</v>
      </c>
      <c r="J1476" s="95" cm="1">
        <f ca="1" t="array" ref="J1476">MIN(8,_xlfn.XLOOKUP($D1476&amp;"_"&amp;J$52,$B$14:$B$36&amp;"_"&amp;$C$14:$C$36,$D$14:$D$36)*$E1476)</f>
        <v>8</v>
      </c>
      <c r="K1476" s="95" cm="1">
        <f ca="1" t="array" ref="K1476">MIN(18,_xlfn.XLOOKUP($D1476&amp;"_"&amp;K$52,$B$14:$B$36&amp;"_"&amp;$C$14:$C$36,$D$14:$D$36)*$E1476)</f>
        <v>4.0712</v>
      </c>
      <c r="L1476" s="95" cm="1">
        <f ca="1" t="array" ref="L1476">MIN(6,_xlfn.XLOOKUP($D1476&amp;"_"&amp;L$52,$B$14:$B$36&amp;"_"&amp;$C$14:$C$36,$D$14:$D$36)*$E1476)</f>
        <v>6</v>
      </c>
      <c r="M1476" s="95" cm="1">
        <f ca="1" t="array" ref="M1476">(1+SUMPRODUCT(G1476:H1476,OFFSET($H$40:$I$40,D1476,0)))*(1+OFFSET($J$40,D1476,0))^I1476*(1+OFFSET($K$40,D1476,0))^J1476*(1+OFFSET($L$40,D1476,0))^K1476*(1+OFFSET($M$40,D1476,0))^L1476</f>
        <v>346.779882921286</v>
      </c>
      <c r="N1476" s="95">
        <f ca="1">MAX(MAX($N$53:N1475),OFFSET($C$52,MATCH(M1476*1.07,$M$53:$M$2052,1),0)-C1476)</f>
        <v>70920</v>
      </c>
    </row>
    <row r="1477" spans="2:14">
      <c r="B1477" s="95">
        <v>1425</v>
      </c>
      <c r="C1477" s="95">
        <f t="shared" si="115"/>
        <v>513000</v>
      </c>
      <c r="D1477" s="95">
        <f ca="1">_xlfn.XLOOKUP(总览!$B$44,$B$40:$B$45,$C$40:$C$45)</f>
        <v>5</v>
      </c>
      <c r="E1477" s="95">
        <f ca="1" t="shared" si="118"/>
        <v>1455</v>
      </c>
      <c r="F1477" s="95">
        <f ca="1" t="shared" si="116"/>
        <v>0</v>
      </c>
      <c r="G1477" s="95">
        <f ca="1" t="shared" si="117"/>
        <v>0</v>
      </c>
      <c r="H1477" s="95" cm="1">
        <f ca="1" t="array" ref="H1477">MIN(30-SUM(I1477:L1477),_xlfn.XLOOKUP($D1477&amp;"_"&amp;H$52,$B$14:$B$36&amp;"_"&amp;$C$14:$C$36,$D$14:$D$36)*$E1477,18)</f>
        <v>11.926</v>
      </c>
      <c r="I1477" s="95" cm="1">
        <f ca="1" t="array" ref="I1477">MIN(30-SUM(J1477:L1477),6-L1477,_xlfn.XLOOKUP($D1477&amp;"_"&amp;I$52,$B$14:$B$36&amp;"_"&amp;$C$14:$C$36,$D$14:$D$36)*$E1477)</f>
        <v>0</v>
      </c>
      <c r="J1477" s="95" cm="1">
        <f ca="1" t="array" ref="J1477">MIN(8,_xlfn.XLOOKUP($D1477&amp;"_"&amp;J$52,$B$14:$B$36&amp;"_"&amp;$C$14:$C$36,$D$14:$D$36)*$E1477)</f>
        <v>8</v>
      </c>
      <c r="K1477" s="95" cm="1">
        <f ca="1" t="array" ref="K1477">MIN(18,_xlfn.XLOOKUP($D1477&amp;"_"&amp;K$52,$B$14:$B$36&amp;"_"&amp;$C$14:$C$36,$D$14:$D$36)*$E1477)</f>
        <v>4.074</v>
      </c>
      <c r="L1477" s="95" cm="1">
        <f ca="1" t="array" ref="L1477">MIN(6,_xlfn.XLOOKUP($D1477&amp;"_"&amp;L$52,$B$14:$B$36&amp;"_"&amp;$C$14:$C$36,$D$14:$D$36)*$E1477)</f>
        <v>6</v>
      </c>
      <c r="M1477" s="95" cm="1">
        <f ca="1" t="array" ref="M1477">(1+SUMPRODUCT(G1477:H1477,OFFSET($H$40:$I$40,D1477,0)))*(1+OFFSET($J$40,D1477,0))^I1477*(1+OFFSET($K$40,D1477,0))^J1477*(1+OFFSET($L$40,D1477,0))^K1477*(1+OFFSET($M$40,D1477,0))^L1477</f>
        <v>346.899573171934</v>
      </c>
      <c r="N1477" s="95">
        <f ca="1">MAX(MAX($N$53:N1476),OFFSET($C$52,MATCH(M1477*1.07,$M$53:$M$2052,1),0)-C1477)</f>
        <v>70920</v>
      </c>
    </row>
    <row r="1478" spans="2:14">
      <c r="B1478" s="95">
        <v>1426</v>
      </c>
      <c r="C1478" s="95">
        <f t="shared" si="115"/>
        <v>513360</v>
      </c>
      <c r="D1478" s="95">
        <f ca="1">_xlfn.XLOOKUP(总览!$B$44,$B$40:$B$45,$C$40:$C$45)</f>
        <v>5</v>
      </c>
      <c r="E1478" s="95">
        <f ca="1" t="shared" si="118"/>
        <v>1456</v>
      </c>
      <c r="F1478" s="95">
        <f ca="1" t="shared" si="116"/>
        <v>0</v>
      </c>
      <c r="G1478" s="95">
        <f ca="1" t="shared" si="117"/>
        <v>0</v>
      </c>
      <c r="H1478" s="95" cm="1">
        <f ca="1" t="array" ref="H1478">MIN(30-SUM(I1478:L1478),_xlfn.XLOOKUP($D1478&amp;"_"&amp;H$52,$B$14:$B$36&amp;"_"&amp;$C$14:$C$36,$D$14:$D$36)*$E1478,18)</f>
        <v>11.9232</v>
      </c>
      <c r="I1478" s="95" cm="1">
        <f ca="1" t="array" ref="I1478">MIN(30-SUM(J1478:L1478),6-L1478,_xlfn.XLOOKUP($D1478&amp;"_"&amp;I$52,$B$14:$B$36&amp;"_"&amp;$C$14:$C$36,$D$14:$D$36)*$E1478)</f>
        <v>0</v>
      </c>
      <c r="J1478" s="95" cm="1">
        <f ca="1" t="array" ref="J1478">MIN(8,_xlfn.XLOOKUP($D1478&amp;"_"&amp;J$52,$B$14:$B$36&amp;"_"&amp;$C$14:$C$36,$D$14:$D$36)*$E1478)</f>
        <v>8</v>
      </c>
      <c r="K1478" s="95" cm="1">
        <f ca="1" t="array" ref="K1478">MIN(18,_xlfn.XLOOKUP($D1478&amp;"_"&amp;K$52,$B$14:$B$36&amp;"_"&amp;$C$14:$C$36,$D$14:$D$36)*$E1478)</f>
        <v>4.0768</v>
      </c>
      <c r="L1478" s="95" cm="1">
        <f ca="1" t="array" ref="L1478">MIN(6,_xlfn.XLOOKUP($D1478&amp;"_"&amp;L$52,$B$14:$B$36&amp;"_"&amp;$C$14:$C$36,$D$14:$D$36)*$E1478)</f>
        <v>6</v>
      </c>
      <c r="M1478" s="95" cm="1">
        <f ca="1" t="array" ref="M1478">(1+SUMPRODUCT(G1478:H1478,OFFSET($H$40:$I$40,D1478,0)))*(1+OFFSET($J$40,D1478,0))^I1478*(1+OFFSET($K$40,D1478,0))^J1478*(1+OFFSET($L$40,D1478,0))^K1478*(1+OFFSET($M$40,D1478,0))^L1478</f>
        <v>347.019295236942</v>
      </c>
      <c r="N1478" s="95">
        <f ca="1">MAX(MAX($N$53:N1477),OFFSET($C$52,MATCH(M1478*1.07,$M$53:$M$2052,1),0)-C1478)</f>
        <v>70920</v>
      </c>
    </row>
    <row r="1479" spans="2:14">
      <c r="B1479" s="95">
        <v>1427</v>
      </c>
      <c r="C1479" s="95">
        <f t="shared" si="115"/>
        <v>513720</v>
      </c>
      <c r="D1479" s="95">
        <f ca="1">_xlfn.XLOOKUP(总览!$B$44,$B$40:$B$45,$C$40:$C$45)</f>
        <v>5</v>
      </c>
      <c r="E1479" s="95">
        <f ca="1" t="shared" si="118"/>
        <v>1457</v>
      </c>
      <c r="F1479" s="95">
        <f ca="1" t="shared" si="116"/>
        <v>0</v>
      </c>
      <c r="G1479" s="95">
        <f ca="1" t="shared" si="117"/>
        <v>0</v>
      </c>
      <c r="H1479" s="95" cm="1">
        <f ca="1" t="array" ref="H1479">MIN(30-SUM(I1479:L1479),_xlfn.XLOOKUP($D1479&amp;"_"&amp;H$52,$B$14:$B$36&amp;"_"&amp;$C$14:$C$36,$D$14:$D$36)*$E1479,18)</f>
        <v>11.9204</v>
      </c>
      <c r="I1479" s="95" cm="1">
        <f ca="1" t="array" ref="I1479">MIN(30-SUM(J1479:L1479),6-L1479,_xlfn.XLOOKUP($D1479&amp;"_"&amp;I$52,$B$14:$B$36&amp;"_"&amp;$C$14:$C$36,$D$14:$D$36)*$E1479)</f>
        <v>0</v>
      </c>
      <c r="J1479" s="95" cm="1">
        <f ca="1" t="array" ref="J1479">MIN(8,_xlfn.XLOOKUP($D1479&amp;"_"&amp;J$52,$B$14:$B$36&amp;"_"&amp;$C$14:$C$36,$D$14:$D$36)*$E1479)</f>
        <v>8</v>
      </c>
      <c r="K1479" s="95" cm="1">
        <f ca="1" t="array" ref="K1479">MIN(18,_xlfn.XLOOKUP($D1479&amp;"_"&amp;K$52,$B$14:$B$36&amp;"_"&amp;$C$14:$C$36,$D$14:$D$36)*$E1479)</f>
        <v>4.0796</v>
      </c>
      <c r="L1479" s="95" cm="1">
        <f ca="1" t="array" ref="L1479">MIN(6,_xlfn.XLOOKUP($D1479&amp;"_"&amp;L$52,$B$14:$B$36&amp;"_"&amp;$C$14:$C$36,$D$14:$D$36)*$E1479)</f>
        <v>6</v>
      </c>
      <c r="M1479" s="95" cm="1">
        <f ca="1" t="array" ref="M1479">(1+SUMPRODUCT(G1479:H1479,OFFSET($H$40:$I$40,D1479,0)))*(1+OFFSET($J$40,D1479,0))^I1479*(1+OFFSET($K$40,D1479,0))^J1479*(1+OFFSET($L$40,D1479,0))^K1479*(1+OFFSET($M$40,D1479,0))^L1479</f>
        <v>347.139049117592</v>
      </c>
      <c r="N1479" s="95">
        <f ca="1">MAX(MAX($N$53:N1478),OFFSET($C$52,MATCH(M1479*1.07,$M$53:$M$2052,1),0)-C1479)</f>
        <v>70920</v>
      </c>
    </row>
    <row r="1480" spans="2:14">
      <c r="B1480" s="95">
        <v>1428</v>
      </c>
      <c r="C1480" s="95">
        <f t="shared" si="115"/>
        <v>514080</v>
      </c>
      <c r="D1480" s="95">
        <f ca="1">_xlfn.XLOOKUP(总览!$B$44,$B$40:$B$45,$C$40:$C$45)</f>
        <v>5</v>
      </c>
      <c r="E1480" s="95">
        <f ca="1" t="shared" si="118"/>
        <v>1458</v>
      </c>
      <c r="F1480" s="95">
        <f ca="1" t="shared" si="116"/>
        <v>0</v>
      </c>
      <c r="G1480" s="95">
        <f ca="1" t="shared" si="117"/>
        <v>0</v>
      </c>
      <c r="H1480" s="95" cm="1">
        <f ca="1" t="array" ref="H1480">MIN(30-SUM(I1480:L1480),_xlfn.XLOOKUP($D1480&amp;"_"&amp;H$52,$B$14:$B$36&amp;"_"&amp;$C$14:$C$36,$D$14:$D$36)*$E1480,18)</f>
        <v>11.9176</v>
      </c>
      <c r="I1480" s="95" cm="1">
        <f ca="1" t="array" ref="I1480">MIN(30-SUM(J1480:L1480),6-L1480,_xlfn.XLOOKUP($D1480&amp;"_"&amp;I$52,$B$14:$B$36&amp;"_"&amp;$C$14:$C$36,$D$14:$D$36)*$E1480)</f>
        <v>0</v>
      </c>
      <c r="J1480" s="95" cm="1">
        <f ca="1" t="array" ref="J1480">MIN(8,_xlfn.XLOOKUP($D1480&amp;"_"&amp;J$52,$B$14:$B$36&amp;"_"&amp;$C$14:$C$36,$D$14:$D$36)*$E1480)</f>
        <v>8</v>
      </c>
      <c r="K1480" s="95" cm="1">
        <f ca="1" t="array" ref="K1480">MIN(18,_xlfn.XLOOKUP($D1480&amp;"_"&amp;K$52,$B$14:$B$36&amp;"_"&amp;$C$14:$C$36,$D$14:$D$36)*$E1480)</f>
        <v>4.0824</v>
      </c>
      <c r="L1480" s="95" cm="1">
        <f ca="1" t="array" ref="L1480">MIN(6,_xlfn.XLOOKUP($D1480&amp;"_"&amp;L$52,$B$14:$B$36&amp;"_"&amp;$C$14:$C$36,$D$14:$D$36)*$E1480)</f>
        <v>6</v>
      </c>
      <c r="M1480" s="95" cm="1">
        <f ca="1" t="array" ref="M1480">(1+SUMPRODUCT(G1480:H1480,OFFSET($H$40:$I$40,D1480,0)))*(1+OFFSET($J$40,D1480,0))^I1480*(1+OFFSET($K$40,D1480,0))^J1480*(1+OFFSET($L$40,D1480,0))^K1480*(1+OFFSET($M$40,D1480,0))^L1480</f>
        <v>347.258834815162</v>
      </c>
      <c r="N1480" s="95">
        <f ca="1">MAX(MAX($N$53:N1479),OFFSET($C$52,MATCH(M1480*1.07,$M$53:$M$2052,1),0)-C1480)</f>
        <v>70920</v>
      </c>
    </row>
    <row r="1481" spans="2:14">
      <c r="B1481" s="95">
        <v>1429</v>
      </c>
      <c r="C1481" s="95">
        <f t="shared" si="115"/>
        <v>514440</v>
      </c>
      <c r="D1481" s="95">
        <f ca="1">_xlfn.XLOOKUP(总览!$B$44,$B$40:$B$45,$C$40:$C$45)</f>
        <v>5</v>
      </c>
      <c r="E1481" s="95">
        <f ca="1" t="shared" si="118"/>
        <v>1459</v>
      </c>
      <c r="F1481" s="95">
        <f ca="1" t="shared" si="116"/>
        <v>0</v>
      </c>
      <c r="G1481" s="95">
        <f ca="1" t="shared" si="117"/>
        <v>0</v>
      </c>
      <c r="H1481" s="95" cm="1">
        <f ca="1" t="array" ref="H1481">MIN(30-SUM(I1481:L1481),_xlfn.XLOOKUP($D1481&amp;"_"&amp;H$52,$B$14:$B$36&amp;"_"&amp;$C$14:$C$36,$D$14:$D$36)*$E1481,18)</f>
        <v>11.9148</v>
      </c>
      <c r="I1481" s="95" cm="1">
        <f ca="1" t="array" ref="I1481">MIN(30-SUM(J1481:L1481),6-L1481,_xlfn.XLOOKUP($D1481&amp;"_"&amp;I$52,$B$14:$B$36&amp;"_"&amp;$C$14:$C$36,$D$14:$D$36)*$E1481)</f>
        <v>0</v>
      </c>
      <c r="J1481" s="95" cm="1">
        <f ca="1" t="array" ref="J1481">MIN(8,_xlfn.XLOOKUP($D1481&amp;"_"&amp;J$52,$B$14:$B$36&amp;"_"&amp;$C$14:$C$36,$D$14:$D$36)*$E1481)</f>
        <v>8</v>
      </c>
      <c r="K1481" s="95" cm="1">
        <f ca="1" t="array" ref="K1481">MIN(18,_xlfn.XLOOKUP($D1481&amp;"_"&amp;K$52,$B$14:$B$36&amp;"_"&amp;$C$14:$C$36,$D$14:$D$36)*$E1481)</f>
        <v>4.0852</v>
      </c>
      <c r="L1481" s="95" cm="1">
        <f ca="1" t="array" ref="L1481">MIN(6,_xlfn.XLOOKUP($D1481&amp;"_"&amp;L$52,$B$14:$B$36&amp;"_"&amp;$C$14:$C$36,$D$14:$D$36)*$E1481)</f>
        <v>6</v>
      </c>
      <c r="M1481" s="95" cm="1">
        <f ca="1" t="array" ref="M1481">(1+SUMPRODUCT(G1481:H1481,OFFSET($H$40:$I$40,D1481,0)))*(1+OFFSET($J$40,D1481,0))^I1481*(1+OFFSET($K$40,D1481,0))^J1481*(1+OFFSET($L$40,D1481,0))^K1481*(1+OFFSET($M$40,D1481,0))^L1481</f>
        <v>347.378652330917</v>
      </c>
      <c r="N1481" s="95">
        <f ca="1">MAX(MAX($N$53:N1480),OFFSET($C$52,MATCH(M1481*1.07,$M$53:$M$2052,1),0)-C1481)</f>
        <v>70920</v>
      </c>
    </row>
    <row r="1482" spans="2:14">
      <c r="B1482" s="95">
        <v>1430</v>
      </c>
      <c r="C1482" s="95">
        <f t="shared" si="115"/>
        <v>514800</v>
      </c>
      <c r="D1482" s="95">
        <f ca="1">_xlfn.XLOOKUP(总览!$B$44,$B$40:$B$45,$C$40:$C$45)</f>
        <v>5</v>
      </c>
      <c r="E1482" s="95">
        <f ca="1" t="shared" si="118"/>
        <v>1460</v>
      </c>
      <c r="F1482" s="95">
        <f ca="1" t="shared" si="116"/>
        <v>0</v>
      </c>
      <c r="G1482" s="95">
        <f ca="1" t="shared" si="117"/>
        <v>0</v>
      </c>
      <c r="H1482" s="95" cm="1">
        <f ca="1" t="array" ref="H1482">MIN(30-SUM(I1482:L1482),_xlfn.XLOOKUP($D1482&amp;"_"&amp;H$52,$B$14:$B$36&amp;"_"&amp;$C$14:$C$36,$D$14:$D$36)*$E1482,18)</f>
        <v>11.912</v>
      </c>
      <c r="I1482" s="95" cm="1">
        <f ca="1" t="array" ref="I1482">MIN(30-SUM(J1482:L1482),6-L1482,_xlfn.XLOOKUP($D1482&amp;"_"&amp;I$52,$B$14:$B$36&amp;"_"&amp;$C$14:$C$36,$D$14:$D$36)*$E1482)</f>
        <v>0</v>
      </c>
      <c r="J1482" s="95" cm="1">
        <f ca="1" t="array" ref="J1482">MIN(8,_xlfn.XLOOKUP($D1482&amp;"_"&amp;J$52,$B$14:$B$36&amp;"_"&amp;$C$14:$C$36,$D$14:$D$36)*$E1482)</f>
        <v>8</v>
      </c>
      <c r="K1482" s="95" cm="1">
        <f ca="1" t="array" ref="K1482">MIN(18,_xlfn.XLOOKUP($D1482&amp;"_"&amp;K$52,$B$14:$B$36&amp;"_"&amp;$C$14:$C$36,$D$14:$D$36)*$E1482)</f>
        <v>4.088</v>
      </c>
      <c r="L1482" s="95" cm="1">
        <f ca="1" t="array" ref="L1482">MIN(6,_xlfn.XLOOKUP($D1482&amp;"_"&amp;L$52,$B$14:$B$36&amp;"_"&amp;$C$14:$C$36,$D$14:$D$36)*$E1482)</f>
        <v>6</v>
      </c>
      <c r="M1482" s="95" cm="1">
        <f ca="1" t="array" ref="M1482">(1+SUMPRODUCT(G1482:H1482,OFFSET($H$40:$I$40,D1482,0)))*(1+OFFSET($J$40,D1482,0))^I1482*(1+OFFSET($K$40,D1482,0))^J1482*(1+OFFSET($L$40,D1482,0))^K1482*(1+OFFSET($M$40,D1482,0))^L1482</f>
        <v>347.498501666121</v>
      </c>
      <c r="N1482" s="95">
        <f ca="1">MAX(MAX($N$53:N1481),OFFSET($C$52,MATCH(M1482*1.07,$M$53:$M$2052,1),0)-C1482)</f>
        <v>70920</v>
      </c>
    </row>
    <row r="1483" spans="2:14">
      <c r="B1483" s="95">
        <v>1431</v>
      </c>
      <c r="C1483" s="95">
        <f t="shared" si="115"/>
        <v>515160</v>
      </c>
      <c r="D1483" s="95">
        <f ca="1">_xlfn.XLOOKUP(总览!$B$44,$B$40:$B$45,$C$40:$C$45)</f>
        <v>5</v>
      </c>
      <c r="E1483" s="95">
        <f ca="1" t="shared" si="118"/>
        <v>1461</v>
      </c>
      <c r="F1483" s="95">
        <f ca="1" t="shared" si="116"/>
        <v>0</v>
      </c>
      <c r="G1483" s="95">
        <f ca="1" t="shared" si="117"/>
        <v>0</v>
      </c>
      <c r="H1483" s="95" cm="1">
        <f ca="1" t="array" ref="H1483">MIN(30-SUM(I1483:L1483),_xlfn.XLOOKUP($D1483&amp;"_"&amp;H$52,$B$14:$B$36&amp;"_"&amp;$C$14:$C$36,$D$14:$D$36)*$E1483,18)</f>
        <v>11.9092</v>
      </c>
      <c r="I1483" s="95" cm="1">
        <f ca="1" t="array" ref="I1483">MIN(30-SUM(J1483:L1483),6-L1483,_xlfn.XLOOKUP($D1483&amp;"_"&amp;I$52,$B$14:$B$36&amp;"_"&amp;$C$14:$C$36,$D$14:$D$36)*$E1483)</f>
        <v>0</v>
      </c>
      <c r="J1483" s="95" cm="1">
        <f ca="1" t="array" ref="J1483">MIN(8,_xlfn.XLOOKUP($D1483&amp;"_"&amp;J$52,$B$14:$B$36&amp;"_"&amp;$C$14:$C$36,$D$14:$D$36)*$E1483)</f>
        <v>8</v>
      </c>
      <c r="K1483" s="95" cm="1">
        <f ca="1" t="array" ref="K1483">MIN(18,_xlfn.XLOOKUP($D1483&amp;"_"&amp;K$52,$B$14:$B$36&amp;"_"&amp;$C$14:$C$36,$D$14:$D$36)*$E1483)</f>
        <v>4.0908</v>
      </c>
      <c r="L1483" s="95" cm="1">
        <f ca="1" t="array" ref="L1483">MIN(6,_xlfn.XLOOKUP($D1483&amp;"_"&amp;L$52,$B$14:$B$36&amp;"_"&amp;$C$14:$C$36,$D$14:$D$36)*$E1483)</f>
        <v>6</v>
      </c>
      <c r="M1483" s="95" cm="1">
        <f ca="1" t="array" ref="M1483">(1+SUMPRODUCT(G1483:H1483,OFFSET($H$40:$I$40,D1483,0)))*(1+OFFSET($J$40,D1483,0))^I1483*(1+OFFSET($K$40,D1483,0))^J1483*(1+OFFSET($L$40,D1483,0))^K1483*(1+OFFSET($M$40,D1483,0))^L1483</f>
        <v>347.618382822027</v>
      </c>
      <c r="N1483" s="95">
        <f ca="1">MAX(MAX($N$53:N1482),OFFSET($C$52,MATCH(M1483*1.07,$M$53:$M$2052,1),0)-C1483)</f>
        <v>70920</v>
      </c>
    </row>
    <row r="1484" spans="2:14">
      <c r="B1484" s="95">
        <v>1432</v>
      </c>
      <c r="C1484" s="95">
        <f t="shared" si="115"/>
        <v>515520</v>
      </c>
      <c r="D1484" s="95">
        <f ca="1">_xlfn.XLOOKUP(总览!$B$44,$B$40:$B$45,$C$40:$C$45)</f>
        <v>5</v>
      </c>
      <c r="E1484" s="95">
        <f ca="1" t="shared" si="118"/>
        <v>1462</v>
      </c>
      <c r="F1484" s="95">
        <f ca="1" t="shared" si="116"/>
        <v>0</v>
      </c>
      <c r="G1484" s="95">
        <f ca="1" t="shared" si="117"/>
        <v>0</v>
      </c>
      <c r="H1484" s="95" cm="1">
        <f ca="1" t="array" ref="H1484">MIN(30-SUM(I1484:L1484),_xlfn.XLOOKUP($D1484&amp;"_"&amp;H$52,$B$14:$B$36&amp;"_"&amp;$C$14:$C$36,$D$14:$D$36)*$E1484,18)</f>
        <v>11.9064</v>
      </c>
      <c r="I1484" s="95" cm="1">
        <f ca="1" t="array" ref="I1484">MIN(30-SUM(J1484:L1484),6-L1484,_xlfn.XLOOKUP($D1484&amp;"_"&amp;I$52,$B$14:$B$36&amp;"_"&amp;$C$14:$C$36,$D$14:$D$36)*$E1484)</f>
        <v>0</v>
      </c>
      <c r="J1484" s="95" cm="1">
        <f ca="1" t="array" ref="J1484">MIN(8,_xlfn.XLOOKUP($D1484&amp;"_"&amp;J$52,$B$14:$B$36&amp;"_"&amp;$C$14:$C$36,$D$14:$D$36)*$E1484)</f>
        <v>8</v>
      </c>
      <c r="K1484" s="95" cm="1">
        <f ca="1" t="array" ref="K1484">MIN(18,_xlfn.XLOOKUP($D1484&amp;"_"&amp;K$52,$B$14:$B$36&amp;"_"&amp;$C$14:$C$36,$D$14:$D$36)*$E1484)</f>
        <v>4.0936</v>
      </c>
      <c r="L1484" s="95" cm="1">
        <f ca="1" t="array" ref="L1484">MIN(6,_xlfn.XLOOKUP($D1484&amp;"_"&amp;L$52,$B$14:$B$36&amp;"_"&amp;$C$14:$C$36,$D$14:$D$36)*$E1484)</f>
        <v>6</v>
      </c>
      <c r="M1484" s="95" cm="1">
        <f ca="1" t="array" ref="M1484">(1+SUMPRODUCT(G1484:H1484,OFFSET($H$40:$I$40,D1484,0)))*(1+OFFSET($J$40,D1484,0))^I1484*(1+OFFSET($K$40,D1484,0))^J1484*(1+OFFSET($L$40,D1484,0))^K1484*(1+OFFSET($M$40,D1484,0))^L1484</f>
        <v>347.738295799882</v>
      </c>
      <c r="N1484" s="95">
        <f ca="1">MAX(MAX($N$53:N1483),OFFSET($C$52,MATCH(M1484*1.07,$M$53:$M$2052,1),0)-C1484)</f>
        <v>70920</v>
      </c>
    </row>
    <row r="1485" spans="2:14">
      <c r="B1485" s="95">
        <v>1433</v>
      </c>
      <c r="C1485" s="95">
        <f t="shared" si="115"/>
        <v>515880</v>
      </c>
      <c r="D1485" s="95">
        <f ca="1">_xlfn.XLOOKUP(总览!$B$44,$B$40:$B$45,$C$40:$C$45)</f>
        <v>5</v>
      </c>
      <c r="E1485" s="95">
        <f ca="1" t="shared" si="118"/>
        <v>1463</v>
      </c>
      <c r="F1485" s="95">
        <f ca="1" t="shared" si="116"/>
        <v>0</v>
      </c>
      <c r="G1485" s="95">
        <f ca="1" t="shared" si="117"/>
        <v>0</v>
      </c>
      <c r="H1485" s="95" cm="1">
        <f ca="1" t="array" ref="H1485">MIN(30-SUM(I1485:L1485),_xlfn.XLOOKUP($D1485&amp;"_"&amp;H$52,$B$14:$B$36&amp;"_"&amp;$C$14:$C$36,$D$14:$D$36)*$E1485,18)</f>
        <v>11.9036</v>
      </c>
      <c r="I1485" s="95" cm="1">
        <f ca="1" t="array" ref="I1485">MIN(30-SUM(J1485:L1485),6-L1485,_xlfn.XLOOKUP($D1485&amp;"_"&amp;I$52,$B$14:$B$36&amp;"_"&amp;$C$14:$C$36,$D$14:$D$36)*$E1485)</f>
        <v>0</v>
      </c>
      <c r="J1485" s="95" cm="1">
        <f ca="1" t="array" ref="J1485">MIN(8,_xlfn.XLOOKUP($D1485&amp;"_"&amp;J$52,$B$14:$B$36&amp;"_"&amp;$C$14:$C$36,$D$14:$D$36)*$E1485)</f>
        <v>8</v>
      </c>
      <c r="K1485" s="95" cm="1">
        <f ca="1" t="array" ref="K1485">MIN(18,_xlfn.XLOOKUP($D1485&amp;"_"&amp;K$52,$B$14:$B$36&amp;"_"&amp;$C$14:$C$36,$D$14:$D$36)*$E1485)</f>
        <v>4.0964</v>
      </c>
      <c r="L1485" s="95" cm="1">
        <f ca="1" t="array" ref="L1485">MIN(6,_xlfn.XLOOKUP($D1485&amp;"_"&amp;L$52,$B$14:$B$36&amp;"_"&amp;$C$14:$C$36,$D$14:$D$36)*$E1485)</f>
        <v>6</v>
      </c>
      <c r="M1485" s="95" cm="1">
        <f ca="1" t="array" ref="M1485">(1+SUMPRODUCT(G1485:H1485,OFFSET($H$40:$I$40,D1485,0)))*(1+OFFSET($J$40,D1485,0))^I1485*(1+OFFSET($K$40,D1485,0))^J1485*(1+OFFSET($L$40,D1485,0))^K1485*(1+OFFSET($M$40,D1485,0))^L1485</f>
        <v>347.858240600927</v>
      </c>
      <c r="N1485" s="95">
        <f ca="1">MAX(MAX($N$53:N1484),OFFSET($C$52,MATCH(M1485*1.07,$M$53:$M$2052,1),0)-C1485)</f>
        <v>70920</v>
      </c>
    </row>
    <row r="1486" spans="2:14">
      <c r="B1486" s="95">
        <v>1434</v>
      </c>
      <c r="C1486" s="95">
        <f t="shared" si="115"/>
        <v>516240</v>
      </c>
      <c r="D1486" s="95">
        <f ca="1">_xlfn.XLOOKUP(总览!$B$44,$B$40:$B$45,$C$40:$C$45)</f>
        <v>5</v>
      </c>
      <c r="E1486" s="95">
        <f ca="1" t="shared" si="118"/>
        <v>1464</v>
      </c>
      <c r="F1486" s="95">
        <f ca="1" t="shared" si="116"/>
        <v>0</v>
      </c>
      <c r="G1486" s="95">
        <f ca="1" t="shared" si="117"/>
        <v>0</v>
      </c>
      <c r="H1486" s="95" cm="1">
        <f ca="1" t="array" ref="H1486">MIN(30-SUM(I1486:L1486),_xlfn.XLOOKUP($D1486&amp;"_"&amp;H$52,$B$14:$B$36&amp;"_"&amp;$C$14:$C$36,$D$14:$D$36)*$E1486,18)</f>
        <v>11.9008</v>
      </c>
      <c r="I1486" s="95" cm="1">
        <f ca="1" t="array" ref="I1486">MIN(30-SUM(J1486:L1486),6-L1486,_xlfn.XLOOKUP($D1486&amp;"_"&amp;I$52,$B$14:$B$36&amp;"_"&amp;$C$14:$C$36,$D$14:$D$36)*$E1486)</f>
        <v>0</v>
      </c>
      <c r="J1486" s="95" cm="1">
        <f ca="1" t="array" ref="J1486">MIN(8,_xlfn.XLOOKUP($D1486&amp;"_"&amp;J$52,$B$14:$B$36&amp;"_"&amp;$C$14:$C$36,$D$14:$D$36)*$E1486)</f>
        <v>8</v>
      </c>
      <c r="K1486" s="95" cm="1">
        <f ca="1" t="array" ref="K1486">MIN(18,_xlfn.XLOOKUP($D1486&amp;"_"&amp;K$52,$B$14:$B$36&amp;"_"&amp;$C$14:$C$36,$D$14:$D$36)*$E1486)</f>
        <v>4.0992</v>
      </c>
      <c r="L1486" s="95" cm="1">
        <f ca="1" t="array" ref="L1486">MIN(6,_xlfn.XLOOKUP($D1486&amp;"_"&amp;L$52,$B$14:$B$36&amp;"_"&amp;$C$14:$C$36,$D$14:$D$36)*$E1486)</f>
        <v>6</v>
      </c>
      <c r="M1486" s="95" cm="1">
        <f ca="1" t="array" ref="M1486">(1+SUMPRODUCT(G1486:H1486,OFFSET($H$40:$I$40,D1486,0)))*(1+OFFSET($J$40,D1486,0))^I1486*(1+OFFSET($K$40,D1486,0))^J1486*(1+OFFSET($L$40,D1486,0))^K1486*(1+OFFSET($M$40,D1486,0))^L1486</f>
        <v>347.978217226395</v>
      </c>
      <c r="N1486" s="95">
        <f ca="1">MAX(MAX($N$53:N1485),OFFSET($C$52,MATCH(M1486*1.07,$M$53:$M$2052,1),0)-C1486)</f>
        <v>70920</v>
      </c>
    </row>
    <row r="1487" spans="2:14">
      <c r="B1487" s="95">
        <v>1435</v>
      </c>
      <c r="C1487" s="95">
        <f t="shared" si="115"/>
        <v>516600</v>
      </c>
      <c r="D1487" s="95">
        <f ca="1">_xlfn.XLOOKUP(总览!$B$44,$B$40:$B$45,$C$40:$C$45)</f>
        <v>5</v>
      </c>
      <c r="E1487" s="95">
        <f ca="1" t="shared" si="118"/>
        <v>1465</v>
      </c>
      <c r="F1487" s="95">
        <f ca="1" t="shared" si="116"/>
        <v>0</v>
      </c>
      <c r="G1487" s="95">
        <f ca="1" t="shared" si="117"/>
        <v>0</v>
      </c>
      <c r="H1487" s="95" cm="1">
        <f ca="1" t="array" ref="H1487">MIN(30-SUM(I1487:L1487),_xlfn.XLOOKUP($D1487&amp;"_"&amp;H$52,$B$14:$B$36&amp;"_"&amp;$C$14:$C$36,$D$14:$D$36)*$E1487,18)</f>
        <v>11.898</v>
      </c>
      <c r="I1487" s="95" cm="1">
        <f ca="1" t="array" ref="I1487">MIN(30-SUM(J1487:L1487),6-L1487,_xlfn.XLOOKUP($D1487&amp;"_"&amp;I$52,$B$14:$B$36&amp;"_"&amp;$C$14:$C$36,$D$14:$D$36)*$E1487)</f>
        <v>0</v>
      </c>
      <c r="J1487" s="95" cm="1">
        <f ca="1" t="array" ref="J1487">MIN(8,_xlfn.XLOOKUP($D1487&amp;"_"&amp;J$52,$B$14:$B$36&amp;"_"&amp;$C$14:$C$36,$D$14:$D$36)*$E1487)</f>
        <v>8</v>
      </c>
      <c r="K1487" s="95" cm="1">
        <f ca="1" t="array" ref="K1487">MIN(18,_xlfn.XLOOKUP($D1487&amp;"_"&amp;K$52,$B$14:$B$36&amp;"_"&amp;$C$14:$C$36,$D$14:$D$36)*$E1487)</f>
        <v>4.102</v>
      </c>
      <c r="L1487" s="95" cm="1">
        <f ca="1" t="array" ref="L1487">MIN(6,_xlfn.XLOOKUP($D1487&amp;"_"&amp;L$52,$B$14:$B$36&amp;"_"&amp;$C$14:$C$36,$D$14:$D$36)*$E1487)</f>
        <v>6</v>
      </c>
      <c r="M1487" s="95" cm="1">
        <f ca="1" t="array" ref="M1487">(1+SUMPRODUCT(G1487:H1487,OFFSET($H$40:$I$40,D1487,0)))*(1+OFFSET($J$40,D1487,0))^I1487*(1+OFFSET($K$40,D1487,0))^J1487*(1+OFFSET($L$40,D1487,0))^K1487*(1+OFFSET($M$40,D1487,0))^L1487</f>
        <v>348.098225677513</v>
      </c>
      <c r="N1487" s="95">
        <f ca="1">MAX(MAX($N$53:N1486),OFFSET($C$52,MATCH(M1487*1.07,$M$53:$M$2052,1),0)-C1487)</f>
        <v>70920</v>
      </c>
    </row>
    <row r="1488" spans="2:14">
      <c r="B1488" s="95">
        <v>1436</v>
      </c>
      <c r="C1488" s="95">
        <f t="shared" si="115"/>
        <v>516960</v>
      </c>
      <c r="D1488" s="95">
        <f ca="1">_xlfn.XLOOKUP(总览!$B$44,$B$40:$B$45,$C$40:$C$45)</f>
        <v>5</v>
      </c>
      <c r="E1488" s="95">
        <f ca="1" t="shared" si="118"/>
        <v>1466</v>
      </c>
      <c r="F1488" s="95">
        <f ca="1" t="shared" si="116"/>
        <v>0</v>
      </c>
      <c r="G1488" s="95">
        <f ca="1" t="shared" si="117"/>
        <v>0</v>
      </c>
      <c r="H1488" s="95" cm="1">
        <f ca="1" t="array" ref="H1488">MIN(30-SUM(I1488:L1488),_xlfn.XLOOKUP($D1488&amp;"_"&amp;H$52,$B$14:$B$36&amp;"_"&amp;$C$14:$C$36,$D$14:$D$36)*$E1488,18)</f>
        <v>11.8952</v>
      </c>
      <c r="I1488" s="95" cm="1">
        <f ca="1" t="array" ref="I1488">MIN(30-SUM(J1488:L1488),6-L1488,_xlfn.XLOOKUP($D1488&amp;"_"&amp;I$52,$B$14:$B$36&amp;"_"&amp;$C$14:$C$36,$D$14:$D$36)*$E1488)</f>
        <v>0</v>
      </c>
      <c r="J1488" s="95" cm="1">
        <f ca="1" t="array" ref="J1488">MIN(8,_xlfn.XLOOKUP($D1488&amp;"_"&amp;J$52,$B$14:$B$36&amp;"_"&amp;$C$14:$C$36,$D$14:$D$36)*$E1488)</f>
        <v>8</v>
      </c>
      <c r="K1488" s="95" cm="1">
        <f ca="1" t="array" ref="K1488">MIN(18,_xlfn.XLOOKUP($D1488&amp;"_"&amp;K$52,$B$14:$B$36&amp;"_"&amp;$C$14:$C$36,$D$14:$D$36)*$E1488)</f>
        <v>4.1048</v>
      </c>
      <c r="L1488" s="95" cm="1">
        <f ca="1" t="array" ref="L1488">MIN(6,_xlfn.XLOOKUP($D1488&amp;"_"&amp;L$52,$B$14:$B$36&amp;"_"&amp;$C$14:$C$36,$D$14:$D$36)*$E1488)</f>
        <v>6</v>
      </c>
      <c r="M1488" s="95" cm="1">
        <f ca="1" t="array" ref="M1488">(1+SUMPRODUCT(G1488:H1488,OFFSET($H$40:$I$40,D1488,0)))*(1+OFFSET($J$40,D1488,0))^I1488*(1+OFFSET($K$40,D1488,0))^J1488*(1+OFFSET($L$40,D1488,0))^K1488*(1+OFFSET($M$40,D1488,0))^L1488</f>
        <v>348.218265955499</v>
      </c>
      <c r="N1488" s="95">
        <f ca="1">MAX(MAX($N$53:N1487),OFFSET($C$52,MATCH(M1488*1.07,$M$53:$M$2052,1),0)-C1488)</f>
        <v>70920</v>
      </c>
    </row>
    <row r="1489" spans="2:14">
      <c r="B1489" s="95">
        <v>1437</v>
      </c>
      <c r="C1489" s="95">
        <f t="shared" si="115"/>
        <v>517320</v>
      </c>
      <c r="D1489" s="95">
        <f ca="1">_xlfn.XLOOKUP(总览!$B$44,$B$40:$B$45,$C$40:$C$45)</f>
        <v>5</v>
      </c>
      <c r="E1489" s="95">
        <f ca="1" t="shared" si="118"/>
        <v>1467</v>
      </c>
      <c r="F1489" s="95">
        <f ca="1" t="shared" si="116"/>
        <v>0</v>
      </c>
      <c r="G1489" s="95">
        <f ca="1" t="shared" si="117"/>
        <v>0</v>
      </c>
      <c r="H1489" s="95" cm="1">
        <f ca="1" t="array" ref="H1489">MIN(30-SUM(I1489:L1489),_xlfn.XLOOKUP($D1489&amp;"_"&amp;H$52,$B$14:$B$36&amp;"_"&amp;$C$14:$C$36,$D$14:$D$36)*$E1489,18)</f>
        <v>11.8924</v>
      </c>
      <c r="I1489" s="95" cm="1">
        <f ca="1" t="array" ref="I1489">MIN(30-SUM(J1489:L1489),6-L1489,_xlfn.XLOOKUP($D1489&amp;"_"&amp;I$52,$B$14:$B$36&amp;"_"&amp;$C$14:$C$36,$D$14:$D$36)*$E1489)</f>
        <v>0</v>
      </c>
      <c r="J1489" s="95" cm="1">
        <f ca="1" t="array" ref="J1489">MIN(8,_xlfn.XLOOKUP($D1489&amp;"_"&amp;J$52,$B$14:$B$36&amp;"_"&amp;$C$14:$C$36,$D$14:$D$36)*$E1489)</f>
        <v>8</v>
      </c>
      <c r="K1489" s="95" cm="1">
        <f ca="1" t="array" ref="K1489">MIN(18,_xlfn.XLOOKUP($D1489&amp;"_"&amp;K$52,$B$14:$B$36&amp;"_"&amp;$C$14:$C$36,$D$14:$D$36)*$E1489)</f>
        <v>4.1076</v>
      </c>
      <c r="L1489" s="95" cm="1">
        <f ca="1" t="array" ref="L1489">MIN(6,_xlfn.XLOOKUP($D1489&amp;"_"&amp;L$52,$B$14:$B$36&amp;"_"&amp;$C$14:$C$36,$D$14:$D$36)*$E1489)</f>
        <v>6</v>
      </c>
      <c r="M1489" s="95" cm="1">
        <f ca="1" t="array" ref="M1489">(1+SUMPRODUCT(G1489:H1489,OFFSET($H$40:$I$40,D1489,0)))*(1+OFFSET($J$40,D1489,0))^I1489*(1+OFFSET($K$40,D1489,0))^J1489*(1+OFFSET($L$40,D1489,0))^K1489*(1+OFFSET($M$40,D1489,0))^L1489</f>
        <v>348.338338061565</v>
      </c>
      <c r="N1489" s="95">
        <f ca="1">MAX(MAX($N$53:N1488),OFFSET($C$52,MATCH(M1489*1.07,$M$53:$M$2052,1),0)-C1489)</f>
        <v>70920</v>
      </c>
    </row>
    <row r="1490" spans="2:14">
      <c r="B1490" s="95">
        <v>1438</v>
      </c>
      <c r="C1490" s="95">
        <f t="shared" si="115"/>
        <v>517680</v>
      </c>
      <c r="D1490" s="95">
        <f ca="1">_xlfn.XLOOKUP(总览!$B$44,$B$40:$B$45,$C$40:$C$45)</f>
        <v>5</v>
      </c>
      <c r="E1490" s="95">
        <f ca="1" t="shared" si="118"/>
        <v>1468</v>
      </c>
      <c r="F1490" s="95">
        <f ca="1" t="shared" si="116"/>
        <v>0</v>
      </c>
      <c r="G1490" s="95">
        <f ca="1" t="shared" si="117"/>
        <v>0</v>
      </c>
      <c r="H1490" s="95" cm="1">
        <f ca="1" t="array" ref="H1490">MIN(30-SUM(I1490:L1490),_xlfn.XLOOKUP($D1490&amp;"_"&amp;H$52,$B$14:$B$36&amp;"_"&amp;$C$14:$C$36,$D$14:$D$36)*$E1490,18)</f>
        <v>11.8896</v>
      </c>
      <c r="I1490" s="95" cm="1">
        <f ca="1" t="array" ref="I1490">MIN(30-SUM(J1490:L1490),6-L1490,_xlfn.XLOOKUP($D1490&amp;"_"&amp;I$52,$B$14:$B$36&amp;"_"&amp;$C$14:$C$36,$D$14:$D$36)*$E1490)</f>
        <v>0</v>
      </c>
      <c r="J1490" s="95" cm="1">
        <f ca="1" t="array" ref="J1490">MIN(8,_xlfn.XLOOKUP($D1490&amp;"_"&amp;J$52,$B$14:$B$36&amp;"_"&amp;$C$14:$C$36,$D$14:$D$36)*$E1490)</f>
        <v>8</v>
      </c>
      <c r="K1490" s="95" cm="1">
        <f ca="1" t="array" ref="K1490">MIN(18,_xlfn.XLOOKUP($D1490&amp;"_"&amp;K$52,$B$14:$B$36&amp;"_"&amp;$C$14:$C$36,$D$14:$D$36)*$E1490)</f>
        <v>4.1104</v>
      </c>
      <c r="L1490" s="95" cm="1">
        <f ca="1" t="array" ref="L1490">MIN(6,_xlfn.XLOOKUP($D1490&amp;"_"&amp;L$52,$B$14:$B$36&amp;"_"&amp;$C$14:$C$36,$D$14:$D$36)*$E1490)</f>
        <v>6</v>
      </c>
      <c r="M1490" s="95" cm="1">
        <f ca="1" t="array" ref="M1490">(1+SUMPRODUCT(G1490:H1490,OFFSET($H$40:$I$40,D1490,0)))*(1+OFFSET($J$40,D1490,0))^I1490*(1+OFFSET($K$40,D1490,0))^J1490*(1+OFFSET($L$40,D1490,0))^K1490*(1+OFFSET($M$40,D1490,0))^L1490</f>
        <v>348.458441996917</v>
      </c>
      <c r="N1490" s="95">
        <f ca="1">MAX(MAX($N$53:N1489),OFFSET($C$52,MATCH(M1490*1.07,$M$53:$M$2052,1),0)-C1490)</f>
        <v>70920</v>
      </c>
    </row>
    <row r="1491" spans="2:14">
      <c r="B1491" s="95">
        <v>1439</v>
      </c>
      <c r="C1491" s="95">
        <f t="shared" si="115"/>
        <v>518040</v>
      </c>
      <c r="D1491" s="95">
        <f ca="1">_xlfn.XLOOKUP(总览!$B$44,$B$40:$B$45,$C$40:$C$45)</f>
        <v>5</v>
      </c>
      <c r="E1491" s="95">
        <f ca="1" t="shared" si="118"/>
        <v>1469</v>
      </c>
      <c r="F1491" s="95">
        <f ca="1" t="shared" si="116"/>
        <v>0</v>
      </c>
      <c r="G1491" s="95">
        <f ca="1" t="shared" si="117"/>
        <v>0</v>
      </c>
      <c r="H1491" s="95" cm="1">
        <f ca="1" t="array" ref="H1491">MIN(30-SUM(I1491:L1491),_xlfn.XLOOKUP($D1491&amp;"_"&amp;H$52,$B$14:$B$36&amp;"_"&amp;$C$14:$C$36,$D$14:$D$36)*$E1491,18)</f>
        <v>11.8868</v>
      </c>
      <c r="I1491" s="95" cm="1">
        <f ca="1" t="array" ref="I1491">MIN(30-SUM(J1491:L1491),6-L1491,_xlfn.XLOOKUP($D1491&amp;"_"&amp;I$52,$B$14:$B$36&amp;"_"&amp;$C$14:$C$36,$D$14:$D$36)*$E1491)</f>
        <v>0</v>
      </c>
      <c r="J1491" s="95" cm="1">
        <f ca="1" t="array" ref="J1491">MIN(8,_xlfn.XLOOKUP($D1491&amp;"_"&amp;J$52,$B$14:$B$36&amp;"_"&amp;$C$14:$C$36,$D$14:$D$36)*$E1491)</f>
        <v>8</v>
      </c>
      <c r="K1491" s="95" cm="1">
        <f ca="1" t="array" ref="K1491">MIN(18,_xlfn.XLOOKUP($D1491&amp;"_"&amp;K$52,$B$14:$B$36&amp;"_"&amp;$C$14:$C$36,$D$14:$D$36)*$E1491)</f>
        <v>4.1132</v>
      </c>
      <c r="L1491" s="95" cm="1">
        <f ca="1" t="array" ref="L1491">MIN(6,_xlfn.XLOOKUP($D1491&amp;"_"&amp;L$52,$B$14:$B$36&amp;"_"&amp;$C$14:$C$36,$D$14:$D$36)*$E1491)</f>
        <v>6</v>
      </c>
      <c r="M1491" s="95" cm="1">
        <f ca="1" t="array" ref="M1491">(1+SUMPRODUCT(G1491:H1491,OFFSET($H$40:$I$40,D1491,0)))*(1+OFFSET($J$40,D1491,0))^I1491*(1+OFFSET($K$40,D1491,0))^J1491*(1+OFFSET($L$40,D1491,0))^K1491*(1+OFFSET($M$40,D1491,0))^L1491</f>
        <v>348.578577762752</v>
      </c>
      <c r="N1491" s="95">
        <f ca="1">MAX(MAX($N$53:N1490),OFFSET($C$52,MATCH(M1491*1.07,$M$53:$M$2052,1),0)-C1491)</f>
        <v>70920</v>
      </c>
    </row>
    <row r="1492" spans="2:14">
      <c r="B1492" s="95">
        <v>1440</v>
      </c>
      <c r="C1492" s="95">
        <f t="shared" si="115"/>
        <v>518400</v>
      </c>
      <c r="D1492" s="95">
        <f ca="1">_xlfn.XLOOKUP(总览!$B$44,$B$40:$B$45,$C$40:$C$45)</f>
        <v>5</v>
      </c>
      <c r="E1492" s="95">
        <f ca="1" t="shared" si="118"/>
        <v>1470</v>
      </c>
      <c r="F1492" s="95">
        <f ca="1" t="shared" si="116"/>
        <v>0</v>
      </c>
      <c r="G1492" s="95">
        <f ca="1" t="shared" si="117"/>
        <v>0</v>
      </c>
      <c r="H1492" s="95" cm="1">
        <f ca="1" t="array" ref="H1492">MIN(30-SUM(I1492:L1492),_xlfn.XLOOKUP($D1492&amp;"_"&amp;H$52,$B$14:$B$36&amp;"_"&amp;$C$14:$C$36,$D$14:$D$36)*$E1492,18)</f>
        <v>11.884</v>
      </c>
      <c r="I1492" s="95" cm="1">
        <f ca="1" t="array" ref="I1492">MIN(30-SUM(J1492:L1492),6-L1492,_xlfn.XLOOKUP($D1492&amp;"_"&amp;I$52,$B$14:$B$36&amp;"_"&amp;$C$14:$C$36,$D$14:$D$36)*$E1492)</f>
        <v>0</v>
      </c>
      <c r="J1492" s="95" cm="1">
        <f ca="1" t="array" ref="J1492">MIN(8,_xlfn.XLOOKUP($D1492&amp;"_"&amp;J$52,$B$14:$B$36&amp;"_"&amp;$C$14:$C$36,$D$14:$D$36)*$E1492)</f>
        <v>8</v>
      </c>
      <c r="K1492" s="95" cm="1">
        <f ca="1" t="array" ref="K1492">MIN(18,_xlfn.XLOOKUP($D1492&amp;"_"&amp;K$52,$B$14:$B$36&amp;"_"&amp;$C$14:$C$36,$D$14:$D$36)*$E1492)</f>
        <v>4.116</v>
      </c>
      <c r="L1492" s="95" cm="1">
        <f ca="1" t="array" ref="L1492">MIN(6,_xlfn.XLOOKUP($D1492&amp;"_"&amp;L$52,$B$14:$B$36&amp;"_"&amp;$C$14:$C$36,$D$14:$D$36)*$E1492)</f>
        <v>6</v>
      </c>
      <c r="M1492" s="95" cm="1">
        <f ca="1" t="array" ref="M1492">(1+SUMPRODUCT(G1492:H1492,OFFSET($H$40:$I$40,D1492,0)))*(1+OFFSET($J$40,D1492,0))^I1492*(1+OFFSET($K$40,D1492,0))^J1492*(1+OFFSET($L$40,D1492,0))^K1492*(1+OFFSET($M$40,D1492,0))^L1492</f>
        <v>348.698745360261</v>
      </c>
      <c r="N1492" s="95">
        <f ca="1">MAX(MAX($N$53:N1491),OFFSET($C$52,MATCH(M1492*1.07,$M$53:$M$2052,1),0)-C1492)</f>
        <v>70920</v>
      </c>
    </row>
    <row r="1493" spans="2:14">
      <c r="B1493" s="95">
        <v>1441</v>
      </c>
      <c r="C1493" s="95">
        <f t="shared" si="115"/>
        <v>518760</v>
      </c>
      <c r="D1493" s="95">
        <f ca="1">_xlfn.XLOOKUP(总览!$B$44,$B$40:$B$45,$C$40:$C$45)</f>
        <v>5</v>
      </c>
      <c r="E1493" s="95">
        <f ca="1" t="shared" si="118"/>
        <v>1471</v>
      </c>
      <c r="F1493" s="95">
        <f ca="1" t="shared" si="116"/>
        <v>0</v>
      </c>
      <c r="G1493" s="95">
        <f ca="1" t="shared" si="117"/>
        <v>0</v>
      </c>
      <c r="H1493" s="95" cm="1">
        <f ca="1" t="array" ref="H1493">MIN(30-SUM(I1493:L1493),_xlfn.XLOOKUP($D1493&amp;"_"&amp;H$52,$B$14:$B$36&amp;"_"&amp;$C$14:$C$36,$D$14:$D$36)*$E1493,18)</f>
        <v>11.8812</v>
      </c>
      <c r="I1493" s="95" cm="1">
        <f ca="1" t="array" ref="I1493">MIN(30-SUM(J1493:L1493),6-L1493,_xlfn.XLOOKUP($D1493&amp;"_"&amp;I$52,$B$14:$B$36&amp;"_"&amp;$C$14:$C$36,$D$14:$D$36)*$E1493)</f>
        <v>0</v>
      </c>
      <c r="J1493" s="95" cm="1">
        <f ca="1" t="array" ref="J1493">MIN(8,_xlfn.XLOOKUP($D1493&amp;"_"&amp;J$52,$B$14:$B$36&amp;"_"&amp;$C$14:$C$36,$D$14:$D$36)*$E1493)</f>
        <v>8</v>
      </c>
      <c r="K1493" s="95" cm="1">
        <f ca="1" t="array" ref="K1493">MIN(18,_xlfn.XLOOKUP($D1493&amp;"_"&amp;K$52,$B$14:$B$36&amp;"_"&amp;$C$14:$C$36,$D$14:$D$36)*$E1493)</f>
        <v>4.1188</v>
      </c>
      <c r="L1493" s="95" cm="1">
        <f ca="1" t="array" ref="L1493">MIN(6,_xlfn.XLOOKUP($D1493&amp;"_"&amp;L$52,$B$14:$B$36&amp;"_"&amp;$C$14:$C$36,$D$14:$D$36)*$E1493)</f>
        <v>6</v>
      </c>
      <c r="M1493" s="95" cm="1">
        <f ca="1" t="array" ref="M1493">(1+SUMPRODUCT(G1493:H1493,OFFSET($H$40:$I$40,D1493,0)))*(1+OFFSET($J$40,D1493,0))^I1493*(1+OFFSET($K$40,D1493,0))^J1493*(1+OFFSET($L$40,D1493,0))^K1493*(1+OFFSET($M$40,D1493,0))^L1493</f>
        <v>348.818944790629</v>
      </c>
      <c r="N1493" s="95">
        <f ca="1">MAX(MAX($N$53:N1492),OFFSET($C$52,MATCH(M1493*1.07,$M$53:$M$2052,1),0)-C1493)</f>
        <v>70920</v>
      </c>
    </row>
    <row r="1494" spans="2:14">
      <c r="B1494" s="95">
        <v>1442</v>
      </c>
      <c r="C1494" s="95">
        <f t="shared" si="115"/>
        <v>519120</v>
      </c>
      <c r="D1494" s="95">
        <f ca="1">_xlfn.XLOOKUP(总览!$B$44,$B$40:$B$45,$C$40:$C$45)</f>
        <v>5</v>
      </c>
      <c r="E1494" s="95">
        <f ca="1" t="shared" si="118"/>
        <v>1472</v>
      </c>
      <c r="F1494" s="95">
        <f ca="1" t="shared" si="116"/>
        <v>0</v>
      </c>
      <c r="G1494" s="95">
        <f ca="1" t="shared" si="117"/>
        <v>0</v>
      </c>
      <c r="H1494" s="95" cm="1">
        <f ca="1" t="array" ref="H1494">MIN(30-SUM(I1494:L1494),_xlfn.XLOOKUP($D1494&amp;"_"&amp;H$52,$B$14:$B$36&amp;"_"&amp;$C$14:$C$36,$D$14:$D$36)*$E1494,18)</f>
        <v>11.8784</v>
      </c>
      <c r="I1494" s="95" cm="1">
        <f ca="1" t="array" ref="I1494">MIN(30-SUM(J1494:L1494),6-L1494,_xlfn.XLOOKUP($D1494&amp;"_"&amp;I$52,$B$14:$B$36&amp;"_"&amp;$C$14:$C$36,$D$14:$D$36)*$E1494)</f>
        <v>0</v>
      </c>
      <c r="J1494" s="95" cm="1">
        <f ca="1" t="array" ref="J1494">MIN(8,_xlfn.XLOOKUP($D1494&amp;"_"&amp;J$52,$B$14:$B$36&amp;"_"&amp;$C$14:$C$36,$D$14:$D$36)*$E1494)</f>
        <v>8</v>
      </c>
      <c r="K1494" s="95" cm="1">
        <f ca="1" t="array" ref="K1494">MIN(18,_xlfn.XLOOKUP($D1494&amp;"_"&amp;K$52,$B$14:$B$36&amp;"_"&amp;$C$14:$C$36,$D$14:$D$36)*$E1494)</f>
        <v>4.1216</v>
      </c>
      <c r="L1494" s="95" cm="1">
        <f ca="1" t="array" ref="L1494">MIN(6,_xlfn.XLOOKUP($D1494&amp;"_"&amp;L$52,$B$14:$B$36&amp;"_"&amp;$C$14:$C$36,$D$14:$D$36)*$E1494)</f>
        <v>6</v>
      </c>
      <c r="M1494" s="95" cm="1">
        <f ca="1" t="array" ref="M1494">(1+SUMPRODUCT(G1494:H1494,OFFSET($H$40:$I$40,D1494,0)))*(1+OFFSET($J$40,D1494,0))^I1494*(1+OFFSET($K$40,D1494,0))^J1494*(1+OFFSET($L$40,D1494,0))^K1494*(1+OFFSET($M$40,D1494,0))^L1494</f>
        <v>348.939176055032</v>
      </c>
      <c r="N1494" s="95">
        <f ca="1">MAX(MAX($N$53:N1493),OFFSET($C$52,MATCH(M1494*1.07,$M$53:$M$2052,1),0)-C1494)</f>
        <v>70920</v>
      </c>
    </row>
    <row r="1495" spans="2:14">
      <c r="B1495" s="95">
        <v>1443</v>
      </c>
      <c r="C1495" s="95">
        <f t="shared" si="115"/>
        <v>519480</v>
      </c>
      <c r="D1495" s="95">
        <f ca="1">_xlfn.XLOOKUP(总览!$B$44,$B$40:$B$45,$C$40:$C$45)</f>
        <v>5</v>
      </c>
      <c r="E1495" s="95">
        <f ca="1" t="shared" si="118"/>
        <v>1473</v>
      </c>
      <c r="F1495" s="95">
        <f ca="1" t="shared" si="116"/>
        <v>0</v>
      </c>
      <c r="G1495" s="95">
        <f ca="1" t="shared" si="117"/>
        <v>0</v>
      </c>
      <c r="H1495" s="95" cm="1">
        <f ca="1" t="array" ref="H1495">MIN(30-SUM(I1495:L1495),_xlfn.XLOOKUP($D1495&amp;"_"&amp;H$52,$B$14:$B$36&amp;"_"&amp;$C$14:$C$36,$D$14:$D$36)*$E1495,18)</f>
        <v>11.8756</v>
      </c>
      <c r="I1495" s="95" cm="1">
        <f ca="1" t="array" ref="I1495">MIN(30-SUM(J1495:L1495),6-L1495,_xlfn.XLOOKUP($D1495&amp;"_"&amp;I$52,$B$14:$B$36&amp;"_"&amp;$C$14:$C$36,$D$14:$D$36)*$E1495)</f>
        <v>0</v>
      </c>
      <c r="J1495" s="95" cm="1">
        <f ca="1" t="array" ref="J1495">MIN(8,_xlfn.XLOOKUP($D1495&amp;"_"&amp;J$52,$B$14:$B$36&amp;"_"&amp;$C$14:$C$36,$D$14:$D$36)*$E1495)</f>
        <v>8</v>
      </c>
      <c r="K1495" s="95" cm="1">
        <f ca="1" t="array" ref="K1495">MIN(18,_xlfn.XLOOKUP($D1495&amp;"_"&amp;K$52,$B$14:$B$36&amp;"_"&amp;$C$14:$C$36,$D$14:$D$36)*$E1495)</f>
        <v>4.1244</v>
      </c>
      <c r="L1495" s="95" cm="1">
        <f ca="1" t="array" ref="L1495">MIN(6,_xlfn.XLOOKUP($D1495&amp;"_"&amp;L$52,$B$14:$B$36&amp;"_"&amp;$C$14:$C$36,$D$14:$D$36)*$E1495)</f>
        <v>6</v>
      </c>
      <c r="M1495" s="95" cm="1">
        <f ca="1" t="array" ref="M1495">(1+SUMPRODUCT(G1495:H1495,OFFSET($H$40:$I$40,D1495,0)))*(1+OFFSET($J$40,D1495,0))^I1495*(1+OFFSET($K$40,D1495,0))^J1495*(1+OFFSET($L$40,D1495,0))^K1495*(1+OFFSET($M$40,D1495,0))^L1495</f>
        <v>349.05943915464</v>
      </c>
      <c r="N1495" s="95">
        <f ca="1">MAX(MAX($N$53:N1494),OFFSET($C$52,MATCH(M1495*1.07,$M$53:$M$2052,1),0)-C1495)</f>
        <v>70920</v>
      </c>
    </row>
    <row r="1496" spans="2:14">
      <c r="B1496" s="95">
        <v>1444</v>
      </c>
      <c r="C1496" s="95">
        <f t="shared" si="115"/>
        <v>519840</v>
      </c>
      <c r="D1496" s="95">
        <f ca="1">_xlfn.XLOOKUP(总览!$B$44,$B$40:$B$45,$C$40:$C$45)</f>
        <v>5</v>
      </c>
      <c r="E1496" s="95">
        <f ca="1" t="shared" si="118"/>
        <v>1474</v>
      </c>
      <c r="F1496" s="95">
        <f ca="1" t="shared" si="116"/>
        <v>0</v>
      </c>
      <c r="G1496" s="95">
        <f ca="1" t="shared" si="117"/>
        <v>0</v>
      </c>
      <c r="H1496" s="95" cm="1">
        <f ca="1" t="array" ref="H1496">MIN(30-SUM(I1496:L1496),_xlfn.XLOOKUP($D1496&amp;"_"&amp;H$52,$B$14:$B$36&amp;"_"&amp;$C$14:$C$36,$D$14:$D$36)*$E1496,18)</f>
        <v>11.8728</v>
      </c>
      <c r="I1496" s="95" cm="1">
        <f ca="1" t="array" ref="I1496">MIN(30-SUM(J1496:L1496),6-L1496,_xlfn.XLOOKUP($D1496&amp;"_"&amp;I$52,$B$14:$B$36&amp;"_"&amp;$C$14:$C$36,$D$14:$D$36)*$E1496)</f>
        <v>0</v>
      </c>
      <c r="J1496" s="95" cm="1">
        <f ca="1" t="array" ref="J1496">MIN(8,_xlfn.XLOOKUP($D1496&amp;"_"&amp;J$52,$B$14:$B$36&amp;"_"&amp;$C$14:$C$36,$D$14:$D$36)*$E1496)</f>
        <v>8</v>
      </c>
      <c r="K1496" s="95" cm="1">
        <f ca="1" t="array" ref="K1496">MIN(18,_xlfn.XLOOKUP($D1496&amp;"_"&amp;K$52,$B$14:$B$36&amp;"_"&amp;$C$14:$C$36,$D$14:$D$36)*$E1496)</f>
        <v>4.1272</v>
      </c>
      <c r="L1496" s="95" cm="1">
        <f ca="1" t="array" ref="L1496">MIN(6,_xlfn.XLOOKUP($D1496&amp;"_"&amp;L$52,$B$14:$B$36&amp;"_"&amp;$C$14:$C$36,$D$14:$D$36)*$E1496)</f>
        <v>6</v>
      </c>
      <c r="M1496" s="95" cm="1">
        <f ca="1" t="array" ref="M1496">(1+SUMPRODUCT(G1496:H1496,OFFSET($H$40:$I$40,D1496,0)))*(1+OFFSET($J$40,D1496,0))^I1496*(1+OFFSET($K$40,D1496,0))^J1496*(1+OFFSET($L$40,D1496,0))^K1496*(1+OFFSET($M$40,D1496,0))^L1496</f>
        <v>349.179734090614</v>
      </c>
      <c r="N1496" s="95">
        <f ca="1">MAX(MAX($N$53:N1495),OFFSET($C$52,MATCH(M1496*1.07,$M$53:$M$2052,1),0)-C1496)</f>
        <v>70920</v>
      </c>
    </row>
    <row r="1497" spans="2:14">
      <c r="B1497" s="95">
        <v>1445</v>
      </c>
      <c r="C1497" s="95">
        <f t="shared" si="115"/>
        <v>520200</v>
      </c>
      <c r="D1497" s="95">
        <f ca="1">_xlfn.XLOOKUP(总览!$B$44,$B$40:$B$45,$C$40:$C$45)</f>
        <v>5</v>
      </c>
      <c r="E1497" s="95">
        <f ca="1" t="shared" si="118"/>
        <v>1475</v>
      </c>
      <c r="F1497" s="95">
        <f ca="1" t="shared" si="116"/>
        <v>0</v>
      </c>
      <c r="G1497" s="95">
        <f ca="1" t="shared" si="117"/>
        <v>0</v>
      </c>
      <c r="H1497" s="95" cm="1">
        <f ca="1" t="array" ref="H1497">MIN(30-SUM(I1497:L1497),_xlfn.XLOOKUP($D1497&amp;"_"&amp;H$52,$B$14:$B$36&amp;"_"&amp;$C$14:$C$36,$D$14:$D$36)*$E1497,18)</f>
        <v>11.87</v>
      </c>
      <c r="I1497" s="95" cm="1">
        <f ca="1" t="array" ref="I1497">MIN(30-SUM(J1497:L1497),6-L1497,_xlfn.XLOOKUP($D1497&amp;"_"&amp;I$52,$B$14:$B$36&amp;"_"&amp;$C$14:$C$36,$D$14:$D$36)*$E1497)</f>
        <v>0</v>
      </c>
      <c r="J1497" s="95" cm="1">
        <f ca="1" t="array" ref="J1497">MIN(8,_xlfn.XLOOKUP($D1497&amp;"_"&amp;J$52,$B$14:$B$36&amp;"_"&amp;$C$14:$C$36,$D$14:$D$36)*$E1497)</f>
        <v>8</v>
      </c>
      <c r="K1497" s="95" cm="1">
        <f ca="1" t="array" ref="K1497">MIN(18,_xlfn.XLOOKUP($D1497&amp;"_"&amp;K$52,$B$14:$B$36&amp;"_"&amp;$C$14:$C$36,$D$14:$D$36)*$E1497)</f>
        <v>4.13</v>
      </c>
      <c r="L1497" s="95" cm="1">
        <f ca="1" t="array" ref="L1497">MIN(6,_xlfn.XLOOKUP($D1497&amp;"_"&amp;L$52,$B$14:$B$36&amp;"_"&amp;$C$14:$C$36,$D$14:$D$36)*$E1497)</f>
        <v>6</v>
      </c>
      <c r="M1497" s="95" cm="1">
        <f ca="1" t="array" ref="M1497">(1+SUMPRODUCT(G1497:H1497,OFFSET($H$40:$I$40,D1497,0)))*(1+OFFSET($J$40,D1497,0))^I1497*(1+OFFSET($K$40,D1497,0))^J1497*(1+OFFSET($L$40,D1497,0))^K1497*(1+OFFSET($M$40,D1497,0))^L1497</f>
        <v>349.300060864111</v>
      </c>
      <c r="N1497" s="95">
        <f ca="1">MAX(MAX($N$53:N1496),OFFSET($C$52,MATCH(M1497*1.07,$M$53:$M$2052,1),0)-C1497)</f>
        <v>70920</v>
      </c>
    </row>
    <row r="1498" spans="2:14">
      <c r="B1498" s="95">
        <v>1446</v>
      </c>
      <c r="C1498" s="95">
        <f t="shared" si="115"/>
        <v>520560</v>
      </c>
      <c r="D1498" s="95">
        <f ca="1">_xlfn.XLOOKUP(总览!$B$44,$B$40:$B$45,$C$40:$C$45)</f>
        <v>5</v>
      </c>
      <c r="E1498" s="95">
        <f ca="1" t="shared" si="118"/>
        <v>1476</v>
      </c>
      <c r="F1498" s="95">
        <f ca="1" t="shared" si="116"/>
        <v>0</v>
      </c>
      <c r="G1498" s="95">
        <f ca="1" t="shared" si="117"/>
        <v>0</v>
      </c>
      <c r="H1498" s="95" cm="1">
        <f ca="1" t="array" ref="H1498">MIN(30-SUM(I1498:L1498),_xlfn.XLOOKUP($D1498&amp;"_"&amp;H$52,$B$14:$B$36&amp;"_"&amp;$C$14:$C$36,$D$14:$D$36)*$E1498,18)</f>
        <v>11.8672</v>
      </c>
      <c r="I1498" s="95" cm="1">
        <f ca="1" t="array" ref="I1498">MIN(30-SUM(J1498:L1498),6-L1498,_xlfn.XLOOKUP($D1498&amp;"_"&amp;I$52,$B$14:$B$36&amp;"_"&amp;$C$14:$C$36,$D$14:$D$36)*$E1498)</f>
        <v>0</v>
      </c>
      <c r="J1498" s="95" cm="1">
        <f ca="1" t="array" ref="J1498">MIN(8,_xlfn.XLOOKUP($D1498&amp;"_"&amp;J$52,$B$14:$B$36&amp;"_"&amp;$C$14:$C$36,$D$14:$D$36)*$E1498)</f>
        <v>8</v>
      </c>
      <c r="K1498" s="95" cm="1">
        <f ca="1" t="array" ref="K1498">MIN(18,_xlfn.XLOOKUP($D1498&amp;"_"&amp;K$52,$B$14:$B$36&amp;"_"&amp;$C$14:$C$36,$D$14:$D$36)*$E1498)</f>
        <v>4.1328</v>
      </c>
      <c r="L1498" s="95" cm="1">
        <f ca="1" t="array" ref="L1498">MIN(6,_xlfn.XLOOKUP($D1498&amp;"_"&amp;L$52,$B$14:$B$36&amp;"_"&amp;$C$14:$C$36,$D$14:$D$36)*$E1498)</f>
        <v>6</v>
      </c>
      <c r="M1498" s="95" cm="1">
        <f ca="1" t="array" ref="M1498">(1+SUMPRODUCT(G1498:H1498,OFFSET($H$40:$I$40,D1498,0)))*(1+OFFSET($J$40,D1498,0))^I1498*(1+OFFSET($K$40,D1498,0))^J1498*(1+OFFSET($L$40,D1498,0))^K1498*(1+OFFSET($M$40,D1498,0))^L1498</f>
        <v>349.420419476279</v>
      </c>
      <c r="N1498" s="95">
        <f ca="1">MAX(MAX($N$53:N1497),OFFSET($C$52,MATCH(M1498*1.07,$M$53:$M$2052,1),0)-C1498)</f>
        <v>71280</v>
      </c>
    </row>
    <row r="1499" spans="2:14">
      <c r="B1499" s="95">
        <v>1447</v>
      </c>
      <c r="C1499" s="95">
        <f t="shared" si="115"/>
        <v>520920</v>
      </c>
      <c r="D1499" s="95">
        <f ca="1">_xlfn.XLOOKUP(总览!$B$44,$B$40:$B$45,$C$40:$C$45)</f>
        <v>5</v>
      </c>
      <c r="E1499" s="95">
        <f ca="1" t="shared" si="118"/>
        <v>1477</v>
      </c>
      <c r="F1499" s="95">
        <f ca="1" t="shared" si="116"/>
        <v>0</v>
      </c>
      <c r="G1499" s="95">
        <f ca="1" t="shared" si="117"/>
        <v>0</v>
      </c>
      <c r="H1499" s="95" cm="1">
        <f ca="1" t="array" ref="H1499">MIN(30-SUM(I1499:L1499),_xlfn.XLOOKUP($D1499&amp;"_"&amp;H$52,$B$14:$B$36&amp;"_"&amp;$C$14:$C$36,$D$14:$D$36)*$E1499,18)</f>
        <v>11.8644</v>
      </c>
      <c r="I1499" s="95" cm="1">
        <f ca="1" t="array" ref="I1499">MIN(30-SUM(J1499:L1499),6-L1499,_xlfn.XLOOKUP($D1499&amp;"_"&amp;I$52,$B$14:$B$36&amp;"_"&amp;$C$14:$C$36,$D$14:$D$36)*$E1499)</f>
        <v>0</v>
      </c>
      <c r="J1499" s="95" cm="1">
        <f ca="1" t="array" ref="J1499">MIN(8,_xlfn.XLOOKUP($D1499&amp;"_"&amp;J$52,$B$14:$B$36&amp;"_"&amp;$C$14:$C$36,$D$14:$D$36)*$E1499)</f>
        <v>8</v>
      </c>
      <c r="K1499" s="95" cm="1">
        <f ca="1" t="array" ref="K1499">MIN(18,_xlfn.XLOOKUP($D1499&amp;"_"&amp;K$52,$B$14:$B$36&amp;"_"&amp;$C$14:$C$36,$D$14:$D$36)*$E1499)</f>
        <v>4.1356</v>
      </c>
      <c r="L1499" s="95" cm="1">
        <f ca="1" t="array" ref="L1499">MIN(6,_xlfn.XLOOKUP($D1499&amp;"_"&amp;L$52,$B$14:$B$36&amp;"_"&amp;$C$14:$C$36,$D$14:$D$36)*$E1499)</f>
        <v>6</v>
      </c>
      <c r="M1499" s="95" cm="1">
        <f ca="1" t="array" ref="M1499">(1+SUMPRODUCT(G1499:H1499,OFFSET($H$40:$I$40,D1499,0)))*(1+OFFSET($J$40,D1499,0))^I1499*(1+OFFSET($K$40,D1499,0))^J1499*(1+OFFSET($L$40,D1499,0))^K1499*(1+OFFSET($M$40,D1499,0))^L1499</f>
        <v>349.540809928258</v>
      </c>
      <c r="N1499" s="95">
        <f ca="1">MAX(MAX($N$53:N1498),OFFSET($C$52,MATCH(M1499*1.07,$M$53:$M$2052,1),0)-C1499)</f>
        <v>71280</v>
      </c>
    </row>
    <row r="1500" spans="2:14">
      <c r="B1500" s="95">
        <v>1448</v>
      </c>
      <c r="C1500" s="95">
        <f t="shared" si="115"/>
        <v>521280</v>
      </c>
      <c r="D1500" s="95">
        <f ca="1">_xlfn.XLOOKUP(总览!$B$44,$B$40:$B$45,$C$40:$C$45)</f>
        <v>5</v>
      </c>
      <c r="E1500" s="95">
        <f ca="1" t="shared" si="118"/>
        <v>1478</v>
      </c>
      <c r="F1500" s="95">
        <f ca="1" t="shared" si="116"/>
        <v>0</v>
      </c>
      <c r="G1500" s="95">
        <f ca="1" t="shared" si="117"/>
        <v>0</v>
      </c>
      <c r="H1500" s="95" cm="1">
        <f ca="1" t="array" ref="H1500">MIN(30-SUM(I1500:L1500),_xlfn.XLOOKUP($D1500&amp;"_"&amp;H$52,$B$14:$B$36&amp;"_"&amp;$C$14:$C$36,$D$14:$D$36)*$E1500,18)</f>
        <v>11.8616</v>
      </c>
      <c r="I1500" s="95" cm="1">
        <f ca="1" t="array" ref="I1500">MIN(30-SUM(J1500:L1500),6-L1500,_xlfn.XLOOKUP($D1500&amp;"_"&amp;I$52,$B$14:$B$36&amp;"_"&amp;$C$14:$C$36,$D$14:$D$36)*$E1500)</f>
        <v>0</v>
      </c>
      <c r="J1500" s="95" cm="1">
        <f ca="1" t="array" ref="J1500">MIN(8,_xlfn.XLOOKUP($D1500&amp;"_"&amp;J$52,$B$14:$B$36&amp;"_"&amp;$C$14:$C$36,$D$14:$D$36)*$E1500)</f>
        <v>8</v>
      </c>
      <c r="K1500" s="95" cm="1">
        <f ca="1" t="array" ref="K1500">MIN(18,_xlfn.XLOOKUP($D1500&amp;"_"&amp;K$52,$B$14:$B$36&amp;"_"&amp;$C$14:$C$36,$D$14:$D$36)*$E1500)</f>
        <v>4.1384</v>
      </c>
      <c r="L1500" s="95" cm="1">
        <f ca="1" t="array" ref="L1500">MIN(6,_xlfn.XLOOKUP($D1500&amp;"_"&amp;L$52,$B$14:$B$36&amp;"_"&amp;$C$14:$C$36,$D$14:$D$36)*$E1500)</f>
        <v>6</v>
      </c>
      <c r="M1500" s="95" cm="1">
        <f ca="1" t="array" ref="M1500">(1+SUMPRODUCT(G1500:H1500,OFFSET($H$40:$I$40,D1500,0)))*(1+OFFSET($J$40,D1500,0))^I1500*(1+OFFSET($K$40,D1500,0))^J1500*(1+OFFSET($L$40,D1500,0))^K1500*(1+OFFSET($M$40,D1500,0))^L1500</f>
        <v>349.661232221184</v>
      </c>
      <c r="N1500" s="95">
        <f ca="1">MAX(MAX($N$53:N1499),OFFSET($C$52,MATCH(M1500*1.07,$M$53:$M$2052,1),0)-C1500)</f>
        <v>71280</v>
      </c>
    </row>
    <row r="1501" spans="2:14">
      <c r="B1501" s="95">
        <v>1449</v>
      </c>
      <c r="C1501" s="95">
        <f t="shared" si="115"/>
        <v>521640</v>
      </c>
      <c r="D1501" s="95">
        <f ca="1">_xlfn.XLOOKUP(总览!$B$44,$B$40:$B$45,$C$40:$C$45)</f>
        <v>5</v>
      </c>
      <c r="E1501" s="95">
        <f ca="1" t="shared" si="118"/>
        <v>1479</v>
      </c>
      <c r="F1501" s="95">
        <f ca="1" t="shared" si="116"/>
        <v>0</v>
      </c>
      <c r="G1501" s="95">
        <f ca="1" t="shared" si="117"/>
        <v>0</v>
      </c>
      <c r="H1501" s="95" cm="1">
        <f ca="1" t="array" ref="H1501">MIN(30-SUM(I1501:L1501),_xlfn.XLOOKUP($D1501&amp;"_"&amp;H$52,$B$14:$B$36&amp;"_"&amp;$C$14:$C$36,$D$14:$D$36)*$E1501,18)</f>
        <v>11.8588</v>
      </c>
      <c r="I1501" s="95" cm="1">
        <f ca="1" t="array" ref="I1501">MIN(30-SUM(J1501:L1501),6-L1501,_xlfn.XLOOKUP($D1501&amp;"_"&amp;I$52,$B$14:$B$36&amp;"_"&amp;$C$14:$C$36,$D$14:$D$36)*$E1501)</f>
        <v>0</v>
      </c>
      <c r="J1501" s="95" cm="1">
        <f ca="1" t="array" ref="J1501">MIN(8,_xlfn.XLOOKUP($D1501&amp;"_"&amp;J$52,$B$14:$B$36&amp;"_"&amp;$C$14:$C$36,$D$14:$D$36)*$E1501)</f>
        <v>8</v>
      </c>
      <c r="K1501" s="95" cm="1">
        <f ca="1" t="array" ref="K1501">MIN(18,_xlfn.XLOOKUP($D1501&amp;"_"&amp;K$52,$B$14:$B$36&amp;"_"&amp;$C$14:$C$36,$D$14:$D$36)*$E1501)</f>
        <v>4.1412</v>
      </c>
      <c r="L1501" s="95" cm="1">
        <f ca="1" t="array" ref="L1501">MIN(6,_xlfn.XLOOKUP($D1501&amp;"_"&amp;L$52,$B$14:$B$36&amp;"_"&amp;$C$14:$C$36,$D$14:$D$36)*$E1501)</f>
        <v>6</v>
      </c>
      <c r="M1501" s="95" cm="1">
        <f ca="1" t="array" ref="M1501">(1+SUMPRODUCT(G1501:H1501,OFFSET($H$40:$I$40,D1501,0)))*(1+OFFSET($J$40,D1501,0))^I1501*(1+OFFSET($K$40,D1501,0))^J1501*(1+OFFSET($L$40,D1501,0))^K1501*(1+OFFSET($M$40,D1501,0))^L1501</f>
        <v>349.781686356182</v>
      </c>
      <c r="N1501" s="95">
        <f ca="1">MAX(MAX($N$53:N1500),OFFSET($C$52,MATCH(M1501*1.07,$M$53:$M$2052,1),0)-C1501)</f>
        <v>71280</v>
      </c>
    </row>
    <row r="1502" spans="2:14">
      <c r="B1502" s="95">
        <v>1450</v>
      </c>
      <c r="C1502" s="95">
        <f t="shared" si="115"/>
        <v>522000</v>
      </c>
      <c r="D1502" s="95">
        <f ca="1">_xlfn.XLOOKUP(总览!$B$44,$B$40:$B$45,$C$40:$C$45)</f>
        <v>5</v>
      </c>
      <c r="E1502" s="95">
        <f ca="1" t="shared" si="118"/>
        <v>1480</v>
      </c>
      <c r="F1502" s="95">
        <f ca="1" t="shared" si="116"/>
        <v>0</v>
      </c>
      <c r="G1502" s="95">
        <f ca="1" t="shared" si="117"/>
        <v>0</v>
      </c>
      <c r="H1502" s="95" cm="1">
        <f ca="1" t="array" ref="H1502">MIN(30-SUM(I1502:L1502),_xlfn.XLOOKUP($D1502&amp;"_"&amp;H$52,$B$14:$B$36&amp;"_"&amp;$C$14:$C$36,$D$14:$D$36)*$E1502,18)</f>
        <v>11.856</v>
      </c>
      <c r="I1502" s="95" cm="1">
        <f ca="1" t="array" ref="I1502">MIN(30-SUM(J1502:L1502),6-L1502,_xlfn.XLOOKUP($D1502&amp;"_"&amp;I$52,$B$14:$B$36&amp;"_"&amp;$C$14:$C$36,$D$14:$D$36)*$E1502)</f>
        <v>0</v>
      </c>
      <c r="J1502" s="95" cm="1">
        <f ca="1" t="array" ref="J1502">MIN(8,_xlfn.XLOOKUP($D1502&amp;"_"&amp;J$52,$B$14:$B$36&amp;"_"&amp;$C$14:$C$36,$D$14:$D$36)*$E1502)</f>
        <v>8</v>
      </c>
      <c r="K1502" s="95" cm="1">
        <f ca="1" t="array" ref="K1502">MIN(18,_xlfn.XLOOKUP($D1502&amp;"_"&amp;K$52,$B$14:$B$36&amp;"_"&amp;$C$14:$C$36,$D$14:$D$36)*$E1502)</f>
        <v>4.144</v>
      </c>
      <c r="L1502" s="95" cm="1">
        <f ca="1" t="array" ref="L1502">MIN(6,_xlfn.XLOOKUP($D1502&amp;"_"&amp;L$52,$B$14:$B$36&amp;"_"&amp;$C$14:$C$36,$D$14:$D$36)*$E1502)</f>
        <v>6</v>
      </c>
      <c r="M1502" s="95" cm="1">
        <f ca="1" t="array" ref="M1502">(1+SUMPRODUCT(G1502:H1502,OFFSET($H$40:$I$40,D1502,0)))*(1+OFFSET($J$40,D1502,0))^I1502*(1+OFFSET($K$40,D1502,0))^J1502*(1+OFFSET($L$40,D1502,0))^K1502*(1+OFFSET($M$40,D1502,0))^L1502</f>
        <v>349.902172334373</v>
      </c>
      <c r="N1502" s="95">
        <f ca="1">MAX(MAX($N$53:N1501),OFFSET($C$52,MATCH(M1502*1.07,$M$53:$M$2052,1),0)-C1502)</f>
        <v>71280</v>
      </c>
    </row>
    <row r="1503" spans="2:14">
      <c r="B1503" s="95">
        <v>1451</v>
      </c>
      <c r="C1503" s="95">
        <f t="shared" si="115"/>
        <v>522360</v>
      </c>
      <c r="D1503" s="95">
        <f ca="1">_xlfn.XLOOKUP(总览!$B$44,$B$40:$B$45,$C$40:$C$45)</f>
        <v>5</v>
      </c>
      <c r="E1503" s="95">
        <f ca="1" t="shared" si="118"/>
        <v>1481</v>
      </c>
      <c r="F1503" s="95">
        <f ca="1" t="shared" si="116"/>
        <v>0</v>
      </c>
      <c r="G1503" s="95">
        <f ca="1" t="shared" si="117"/>
        <v>0</v>
      </c>
      <c r="H1503" s="95" cm="1">
        <f ca="1" t="array" ref="H1503">MIN(30-SUM(I1503:L1503),_xlfn.XLOOKUP($D1503&amp;"_"&amp;H$52,$B$14:$B$36&amp;"_"&amp;$C$14:$C$36,$D$14:$D$36)*$E1503,18)</f>
        <v>11.8532</v>
      </c>
      <c r="I1503" s="95" cm="1">
        <f ca="1" t="array" ref="I1503">MIN(30-SUM(J1503:L1503),6-L1503,_xlfn.XLOOKUP($D1503&amp;"_"&amp;I$52,$B$14:$B$36&amp;"_"&amp;$C$14:$C$36,$D$14:$D$36)*$E1503)</f>
        <v>0</v>
      </c>
      <c r="J1503" s="95" cm="1">
        <f ca="1" t="array" ref="J1503">MIN(8,_xlfn.XLOOKUP($D1503&amp;"_"&amp;J$52,$B$14:$B$36&amp;"_"&amp;$C$14:$C$36,$D$14:$D$36)*$E1503)</f>
        <v>8</v>
      </c>
      <c r="K1503" s="95" cm="1">
        <f ca="1" t="array" ref="K1503">MIN(18,_xlfn.XLOOKUP($D1503&amp;"_"&amp;K$52,$B$14:$B$36&amp;"_"&amp;$C$14:$C$36,$D$14:$D$36)*$E1503)</f>
        <v>4.1468</v>
      </c>
      <c r="L1503" s="95" cm="1">
        <f ca="1" t="array" ref="L1503">MIN(6,_xlfn.XLOOKUP($D1503&amp;"_"&amp;L$52,$B$14:$B$36&amp;"_"&amp;$C$14:$C$36,$D$14:$D$36)*$E1503)</f>
        <v>6</v>
      </c>
      <c r="M1503" s="95" cm="1">
        <f ca="1" t="array" ref="M1503">(1+SUMPRODUCT(G1503:H1503,OFFSET($H$40:$I$40,D1503,0)))*(1+OFFSET($J$40,D1503,0))^I1503*(1+OFFSET($K$40,D1503,0))^J1503*(1+OFFSET($L$40,D1503,0))^K1503*(1+OFFSET($M$40,D1503,0))^L1503</f>
        <v>350.022690156869</v>
      </c>
      <c r="N1503" s="95">
        <f ca="1">MAX(MAX($N$53:N1502),OFFSET($C$52,MATCH(M1503*1.07,$M$53:$M$2052,1),0)-C1503)</f>
        <v>71280</v>
      </c>
    </row>
    <row r="1504" spans="2:14">
      <c r="B1504" s="95">
        <v>1452</v>
      </c>
      <c r="C1504" s="95">
        <f t="shared" si="115"/>
        <v>522720</v>
      </c>
      <c r="D1504" s="95">
        <f ca="1">_xlfn.XLOOKUP(总览!$B$44,$B$40:$B$45,$C$40:$C$45)</f>
        <v>5</v>
      </c>
      <c r="E1504" s="95">
        <f ca="1" t="shared" si="118"/>
        <v>1482</v>
      </c>
      <c r="F1504" s="95">
        <f ca="1" t="shared" si="116"/>
        <v>0</v>
      </c>
      <c r="G1504" s="95">
        <f ca="1" t="shared" si="117"/>
        <v>0</v>
      </c>
      <c r="H1504" s="95" cm="1">
        <f ca="1" t="array" ref="H1504">MIN(30-SUM(I1504:L1504),_xlfn.XLOOKUP($D1504&amp;"_"&amp;H$52,$B$14:$B$36&amp;"_"&amp;$C$14:$C$36,$D$14:$D$36)*$E1504,18)</f>
        <v>11.8504</v>
      </c>
      <c r="I1504" s="95" cm="1">
        <f ca="1" t="array" ref="I1504">MIN(30-SUM(J1504:L1504),6-L1504,_xlfn.XLOOKUP($D1504&amp;"_"&amp;I$52,$B$14:$B$36&amp;"_"&amp;$C$14:$C$36,$D$14:$D$36)*$E1504)</f>
        <v>0</v>
      </c>
      <c r="J1504" s="95" cm="1">
        <f ca="1" t="array" ref="J1504">MIN(8,_xlfn.XLOOKUP($D1504&amp;"_"&amp;J$52,$B$14:$B$36&amp;"_"&amp;$C$14:$C$36,$D$14:$D$36)*$E1504)</f>
        <v>8</v>
      </c>
      <c r="K1504" s="95" cm="1">
        <f ca="1" t="array" ref="K1504">MIN(18,_xlfn.XLOOKUP($D1504&amp;"_"&amp;K$52,$B$14:$B$36&amp;"_"&amp;$C$14:$C$36,$D$14:$D$36)*$E1504)</f>
        <v>4.1496</v>
      </c>
      <c r="L1504" s="95" cm="1">
        <f ca="1" t="array" ref="L1504">MIN(6,_xlfn.XLOOKUP($D1504&amp;"_"&amp;L$52,$B$14:$B$36&amp;"_"&amp;$C$14:$C$36,$D$14:$D$36)*$E1504)</f>
        <v>6</v>
      </c>
      <c r="M1504" s="95" cm="1">
        <f ca="1" t="array" ref="M1504">(1+SUMPRODUCT(G1504:H1504,OFFSET($H$40:$I$40,D1504,0)))*(1+OFFSET($J$40,D1504,0))^I1504*(1+OFFSET($K$40,D1504,0))^J1504*(1+OFFSET($L$40,D1504,0))^K1504*(1+OFFSET($M$40,D1504,0))^L1504</f>
        <v>350.143239824776</v>
      </c>
      <c r="N1504" s="95">
        <f ca="1">MAX(MAX($N$53:N1503),OFFSET($C$52,MATCH(M1504*1.07,$M$53:$M$2052,1),0)-C1504)</f>
        <v>71280</v>
      </c>
    </row>
    <row r="1505" spans="2:14">
      <c r="B1505" s="95">
        <v>1453</v>
      </c>
      <c r="C1505" s="95">
        <f t="shared" si="115"/>
        <v>523080</v>
      </c>
      <c r="D1505" s="95">
        <f ca="1">_xlfn.XLOOKUP(总览!$B$44,$B$40:$B$45,$C$40:$C$45)</f>
        <v>5</v>
      </c>
      <c r="E1505" s="95">
        <f ca="1" t="shared" si="118"/>
        <v>1483</v>
      </c>
      <c r="F1505" s="95">
        <f ca="1" t="shared" si="116"/>
        <v>0</v>
      </c>
      <c r="G1505" s="95">
        <f ca="1" t="shared" si="117"/>
        <v>0</v>
      </c>
      <c r="H1505" s="95" cm="1">
        <f ca="1" t="array" ref="H1505">MIN(30-SUM(I1505:L1505),_xlfn.XLOOKUP($D1505&amp;"_"&amp;H$52,$B$14:$B$36&amp;"_"&amp;$C$14:$C$36,$D$14:$D$36)*$E1505,18)</f>
        <v>11.8476</v>
      </c>
      <c r="I1505" s="95" cm="1">
        <f ca="1" t="array" ref="I1505">MIN(30-SUM(J1505:L1505),6-L1505,_xlfn.XLOOKUP($D1505&amp;"_"&amp;I$52,$B$14:$B$36&amp;"_"&amp;$C$14:$C$36,$D$14:$D$36)*$E1505)</f>
        <v>0</v>
      </c>
      <c r="J1505" s="95" cm="1">
        <f ca="1" t="array" ref="J1505">MIN(8,_xlfn.XLOOKUP($D1505&amp;"_"&amp;J$52,$B$14:$B$36&amp;"_"&amp;$C$14:$C$36,$D$14:$D$36)*$E1505)</f>
        <v>8</v>
      </c>
      <c r="K1505" s="95" cm="1">
        <f ca="1" t="array" ref="K1505">MIN(18,_xlfn.XLOOKUP($D1505&amp;"_"&amp;K$52,$B$14:$B$36&amp;"_"&amp;$C$14:$C$36,$D$14:$D$36)*$E1505)</f>
        <v>4.1524</v>
      </c>
      <c r="L1505" s="95" cm="1">
        <f ca="1" t="array" ref="L1505">MIN(6,_xlfn.XLOOKUP($D1505&amp;"_"&amp;L$52,$B$14:$B$36&amp;"_"&amp;$C$14:$C$36,$D$14:$D$36)*$E1505)</f>
        <v>6</v>
      </c>
      <c r="M1505" s="95" cm="1">
        <f ca="1" t="array" ref="M1505">(1+SUMPRODUCT(G1505:H1505,OFFSET($H$40:$I$40,D1505,0)))*(1+OFFSET($J$40,D1505,0))^I1505*(1+OFFSET($K$40,D1505,0))^J1505*(1+OFFSET($L$40,D1505,0))^K1505*(1+OFFSET($M$40,D1505,0))^L1505</f>
        <v>350.263821339191</v>
      </c>
      <c r="N1505" s="95">
        <f ca="1">MAX(MAX($N$53:N1504),OFFSET($C$52,MATCH(M1505*1.07,$M$53:$M$2052,1),0)-C1505)</f>
        <v>71280</v>
      </c>
    </row>
    <row r="1506" spans="2:14">
      <c r="B1506" s="95">
        <v>1454</v>
      </c>
      <c r="C1506" s="95">
        <f t="shared" si="115"/>
        <v>523440</v>
      </c>
      <c r="D1506" s="95">
        <f ca="1">_xlfn.XLOOKUP(总览!$B$44,$B$40:$B$45,$C$40:$C$45)</f>
        <v>5</v>
      </c>
      <c r="E1506" s="95">
        <f ca="1" t="shared" si="118"/>
        <v>1484</v>
      </c>
      <c r="F1506" s="95">
        <f ca="1" t="shared" si="116"/>
        <v>0</v>
      </c>
      <c r="G1506" s="95">
        <f ca="1" t="shared" si="117"/>
        <v>0</v>
      </c>
      <c r="H1506" s="95" cm="1">
        <f ca="1" t="array" ref="H1506">MIN(30-SUM(I1506:L1506),_xlfn.XLOOKUP($D1506&amp;"_"&amp;H$52,$B$14:$B$36&amp;"_"&amp;$C$14:$C$36,$D$14:$D$36)*$E1506,18)</f>
        <v>11.8448</v>
      </c>
      <c r="I1506" s="95" cm="1">
        <f ca="1" t="array" ref="I1506">MIN(30-SUM(J1506:L1506),6-L1506,_xlfn.XLOOKUP($D1506&amp;"_"&amp;I$52,$B$14:$B$36&amp;"_"&amp;$C$14:$C$36,$D$14:$D$36)*$E1506)</f>
        <v>0</v>
      </c>
      <c r="J1506" s="95" cm="1">
        <f ca="1" t="array" ref="J1506">MIN(8,_xlfn.XLOOKUP($D1506&amp;"_"&amp;J$52,$B$14:$B$36&amp;"_"&amp;$C$14:$C$36,$D$14:$D$36)*$E1506)</f>
        <v>8</v>
      </c>
      <c r="K1506" s="95" cm="1">
        <f ca="1" t="array" ref="K1506">MIN(18,_xlfn.XLOOKUP($D1506&amp;"_"&amp;K$52,$B$14:$B$36&amp;"_"&amp;$C$14:$C$36,$D$14:$D$36)*$E1506)</f>
        <v>4.1552</v>
      </c>
      <c r="L1506" s="95" cm="1">
        <f ca="1" t="array" ref="L1506">MIN(6,_xlfn.XLOOKUP($D1506&amp;"_"&amp;L$52,$B$14:$B$36&amp;"_"&amp;$C$14:$C$36,$D$14:$D$36)*$E1506)</f>
        <v>6</v>
      </c>
      <c r="M1506" s="95" cm="1">
        <f ca="1" t="array" ref="M1506">(1+SUMPRODUCT(G1506:H1506,OFFSET($H$40:$I$40,D1506,0)))*(1+OFFSET($J$40,D1506,0))^I1506*(1+OFFSET($K$40,D1506,0))^J1506*(1+OFFSET($L$40,D1506,0))^K1506*(1+OFFSET($M$40,D1506,0))^L1506</f>
        <v>350.384434701207</v>
      </c>
      <c r="N1506" s="95">
        <f ca="1">MAX(MAX($N$53:N1505),OFFSET($C$52,MATCH(M1506*1.07,$M$53:$M$2052,1),0)-C1506)</f>
        <v>71280</v>
      </c>
    </row>
    <row r="1507" spans="2:14">
      <c r="B1507" s="95">
        <v>1455</v>
      </c>
      <c r="C1507" s="95">
        <f t="shared" si="115"/>
        <v>523800</v>
      </c>
      <c r="D1507" s="95">
        <f ca="1">_xlfn.XLOOKUP(总览!$B$44,$B$40:$B$45,$C$40:$C$45)</f>
        <v>5</v>
      </c>
      <c r="E1507" s="95">
        <f ca="1" t="shared" si="118"/>
        <v>1485</v>
      </c>
      <c r="F1507" s="95">
        <f ca="1" t="shared" si="116"/>
        <v>0</v>
      </c>
      <c r="G1507" s="95">
        <f ca="1" t="shared" si="117"/>
        <v>0</v>
      </c>
      <c r="H1507" s="95" cm="1">
        <f ca="1" t="array" ref="H1507">MIN(30-SUM(I1507:L1507),_xlfn.XLOOKUP($D1507&amp;"_"&amp;H$52,$B$14:$B$36&amp;"_"&amp;$C$14:$C$36,$D$14:$D$36)*$E1507,18)</f>
        <v>11.842</v>
      </c>
      <c r="I1507" s="95" cm="1">
        <f ca="1" t="array" ref="I1507">MIN(30-SUM(J1507:L1507),6-L1507,_xlfn.XLOOKUP($D1507&amp;"_"&amp;I$52,$B$14:$B$36&amp;"_"&amp;$C$14:$C$36,$D$14:$D$36)*$E1507)</f>
        <v>0</v>
      </c>
      <c r="J1507" s="95" cm="1">
        <f ca="1" t="array" ref="J1507">MIN(8,_xlfn.XLOOKUP($D1507&amp;"_"&amp;J$52,$B$14:$B$36&amp;"_"&amp;$C$14:$C$36,$D$14:$D$36)*$E1507)</f>
        <v>8</v>
      </c>
      <c r="K1507" s="95" cm="1">
        <f ca="1" t="array" ref="K1507">MIN(18,_xlfn.XLOOKUP($D1507&amp;"_"&amp;K$52,$B$14:$B$36&amp;"_"&amp;$C$14:$C$36,$D$14:$D$36)*$E1507)</f>
        <v>4.158</v>
      </c>
      <c r="L1507" s="95" cm="1">
        <f ca="1" t="array" ref="L1507">MIN(6,_xlfn.XLOOKUP($D1507&amp;"_"&amp;L$52,$B$14:$B$36&amp;"_"&amp;$C$14:$C$36,$D$14:$D$36)*$E1507)</f>
        <v>6</v>
      </c>
      <c r="M1507" s="95" cm="1">
        <f ca="1" t="array" ref="M1507">(1+SUMPRODUCT(G1507:H1507,OFFSET($H$40:$I$40,D1507,0)))*(1+OFFSET($J$40,D1507,0))^I1507*(1+OFFSET($K$40,D1507,0))^J1507*(1+OFFSET($L$40,D1507,0))^K1507*(1+OFFSET($M$40,D1507,0))^L1507</f>
        <v>350.505079911905</v>
      </c>
      <c r="N1507" s="95">
        <f ca="1">MAX(MAX($N$53:N1506),OFFSET($C$52,MATCH(M1507*1.07,$M$53:$M$2052,1),0)-C1507)</f>
        <v>71280</v>
      </c>
    </row>
    <row r="1508" spans="2:14">
      <c r="B1508" s="95">
        <v>1456</v>
      </c>
      <c r="C1508" s="95">
        <f t="shared" si="115"/>
        <v>524160</v>
      </c>
      <c r="D1508" s="95">
        <f ca="1">_xlfn.XLOOKUP(总览!$B$44,$B$40:$B$45,$C$40:$C$45)</f>
        <v>5</v>
      </c>
      <c r="E1508" s="95">
        <f ca="1" t="shared" si="118"/>
        <v>1486</v>
      </c>
      <c r="F1508" s="95">
        <f ca="1" t="shared" si="116"/>
        <v>0</v>
      </c>
      <c r="G1508" s="95">
        <f ca="1" t="shared" si="117"/>
        <v>0</v>
      </c>
      <c r="H1508" s="95" cm="1">
        <f ca="1" t="array" ref="H1508">MIN(30-SUM(I1508:L1508),_xlfn.XLOOKUP($D1508&amp;"_"&amp;H$52,$B$14:$B$36&amp;"_"&amp;$C$14:$C$36,$D$14:$D$36)*$E1508,18)</f>
        <v>11.8392</v>
      </c>
      <c r="I1508" s="95" cm="1">
        <f ca="1" t="array" ref="I1508">MIN(30-SUM(J1508:L1508),6-L1508,_xlfn.XLOOKUP($D1508&amp;"_"&amp;I$52,$B$14:$B$36&amp;"_"&amp;$C$14:$C$36,$D$14:$D$36)*$E1508)</f>
        <v>0</v>
      </c>
      <c r="J1508" s="95" cm="1">
        <f ca="1" t="array" ref="J1508">MIN(8,_xlfn.XLOOKUP($D1508&amp;"_"&amp;J$52,$B$14:$B$36&amp;"_"&amp;$C$14:$C$36,$D$14:$D$36)*$E1508)</f>
        <v>8</v>
      </c>
      <c r="K1508" s="95" cm="1">
        <f ca="1" t="array" ref="K1508">MIN(18,_xlfn.XLOOKUP($D1508&amp;"_"&amp;K$52,$B$14:$B$36&amp;"_"&amp;$C$14:$C$36,$D$14:$D$36)*$E1508)</f>
        <v>4.1608</v>
      </c>
      <c r="L1508" s="95" cm="1">
        <f ca="1" t="array" ref="L1508">MIN(6,_xlfn.XLOOKUP($D1508&amp;"_"&amp;L$52,$B$14:$B$36&amp;"_"&amp;$C$14:$C$36,$D$14:$D$36)*$E1508)</f>
        <v>6</v>
      </c>
      <c r="M1508" s="95" cm="1">
        <f ca="1" t="array" ref="M1508">(1+SUMPRODUCT(G1508:H1508,OFFSET($H$40:$I$40,D1508,0)))*(1+OFFSET($J$40,D1508,0))^I1508*(1+OFFSET($K$40,D1508,0))^J1508*(1+OFFSET($L$40,D1508,0))^K1508*(1+OFFSET($M$40,D1508,0))^L1508</f>
        <v>350.625756972365</v>
      </c>
      <c r="N1508" s="95">
        <f ca="1">MAX(MAX($N$53:N1507),OFFSET($C$52,MATCH(M1508*1.07,$M$53:$M$2052,1),0)-C1508)</f>
        <v>71280</v>
      </c>
    </row>
    <row r="1509" spans="2:14">
      <c r="B1509" s="95">
        <v>1457</v>
      </c>
      <c r="C1509" s="95">
        <f t="shared" ref="C1509:C1572" si="119">C1508+360</f>
        <v>524520</v>
      </c>
      <c r="D1509" s="95">
        <f ca="1">_xlfn.XLOOKUP(总览!$B$44,$B$40:$B$45,$C$40:$C$45)</f>
        <v>5</v>
      </c>
      <c r="E1509" s="95">
        <f ca="1" t="shared" si="118"/>
        <v>1487</v>
      </c>
      <c r="F1509" s="95">
        <f ca="1" t="shared" ref="F1509:F1572" si="120">30-SUM(G1509:L1509)</f>
        <v>0</v>
      </c>
      <c r="G1509" s="95">
        <f ca="1" t="shared" ref="G1509:G1572" si="121">30-SUM(H1509:L1509)</f>
        <v>0</v>
      </c>
      <c r="H1509" s="95" cm="1">
        <f ca="1" t="array" ref="H1509">MIN(30-SUM(I1509:L1509),_xlfn.XLOOKUP($D1509&amp;"_"&amp;H$52,$B$14:$B$36&amp;"_"&amp;$C$14:$C$36,$D$14:$D$36)*$E1509,18)</f>
        <v>11.8364</v>
      </c>
      <c r="I1509" s="95" cm="1">
        <f ca="1" t="array" ref="I1509">MIN(30-SUM(J1509:L1509),6-L1509,_xlfn.XLOOKUP($D1509&amp;"_"&amp;I$52,$B$14:$B$36&amp;"_"&amp;$C$14:$C$36,$D$14:$D$36)*$E1509)</f>
        <v>0</v>
      </c>
      <c r="J1509" s="95" cm="1">
        <f ca="1" t="array" ref="J1509">MIN(8,_xlfn.XLOOKUP($D1509&amp;"_"&amp;J$52,$B$14:$B$36&amp;"_"&amp;$C$14:$C$36,$D$14:$D$36)*$E1509)</f>
        <v>8</v>
      </c>
      <c r="K1509" s="95" cm="1">
        <f ca="1" t="array" ref="K1509">MIN(18,_xlfn.XLOOKUP($D1509&amp;"_"&amp;K$52,$B$14:$B$36&amp;"_"&amp;$C$14:$C$36,$D$14:$D$36)*$E1509)</f>
        <v>4.1636</v>
      </c>
      <c r="L1509" s="95" cm="1">
        <f ca="1" t="array" ref="L1509">MIN(6,_xlfn.XLOOKUP($D1509&amp;"_"&amp;L$52,$B$14:$B$36&amp;"_"&amp;$C$14:$C$36,$D$14:$D$36)*$E1509)</f>
        <v>6</v>
      </c>
      <c r="M1509" s="95" cm="1">
        <f ca="1" t="array" ref="M1509">(1+SUMPRODUCT(G1509:H1509,OFFSET($H$40:$I$40,D1509,0)))*(1+OFFSET($J$40,D1509,0))^I1509*(1+OFFSET($K$40,D1509,0))^J1509*(1+OFFSET($L$40,D1509,0))^K1509*(1+OFFSET($M$40,D1509,0))^L1509</f>
        <v>350.746465883653</v>
      </c>
      <c r="N1509" s="95">
        <f ca="1">MAX(MAX($N$53:N1508),OFFSET($C$52,MATCH(M1509*1.07,$M$53:$M$2052,1),0)-C1509)</f>
        <v>71280</v>
      </c>
    </row>
    <row r="1510" spans="2:14">
      <c r="B1510" s="95">
        <v>1458</v>
      </c>
      <c r="C1510" s="95">
        <f t="shared" si="119"/>
        <v>524880</v>
      </c>
      <c r="D1510" s="95">
        <f ca="1">_xlfn.XLOOKUP(总览!$B$44,$B$40:$B$45,$C$40:$C$45)</f>
        <v>5</v>
      </c>
      <c r="E1510" s="95">
        <f ca="1" t="shared" si="118"/>
        <v>1488</v>
      </c>
      <c r="F1510" s="95">
        <f ca="1" t="shared" si="120"/>
        <v>0</v>
      </c>
      <c r="G1510" s="95">
        <f ca="1" t="shared" si="121"/>
        <v>0</v>
      </c>
      <c r="H1510" s="95" cm="1">
        <f ca="1" t="array" ref="H1510">MIN(30-SUM(I1510:L1510),_xlfn.XLOOKUP($D1510&amp;"_"&amp;H$52,$B$14:$B$36&amp;"_"&amp;$C$14:$C$36,$D$14:$D$36)*$E1510,18)</f>
        <v>11.8336</v>
      </c>
      <c r="I1510" s="95" cm="1">
        <f ca="1" t="array" ref="I1510">MIN(30-SUM(J1510:L1510),6-L1510,_xlfn.XLOOKUP($D1510&amp;"_"&amp;I$52,$B$14:$B$36&amp;"_"&amp;$C$14:$C$36,$D$14:$D$36)*$E1510)</f>
        <v>0</v>
      </c>
      <c r="J1510" s="95" cm="1">
        <f ca="1" t="array" ref="J1510">MIN(8,_xlfn.XLOOKUP($D1510&amp;"_"&amp;J$52,$B$14:$B$36&amp;"_"&amp;$C$14:$C$36,$D$14:$D$36)*$E1510)</f>
        <v>8</v>
      </c>
      <c r="K1510" s="95" cm="1">
        <f ca="1" t="array" ref="K1510">MIN(18,_xlfn.XLOOKUP($D1510&amp;"_"&amp;K$52,$B$14:$B$36&amp;"_"&amp;$C$14:$C$36,$D$14:$D$36)*$E1510)</f>
        <v>4.1664</v>
      </c>
      <c r="L1510" s="95" cm="1">
        <f ca="1" t="array" ref="L1510">MIN(6,_xlfn.XLOOKUP($D1510&amp;"_"&amp;L$52,$B$14:$B$36&amp;"_"&amp;$C$14:$C$36,$D$14:$D$36)*$E1510)</f>
        <v>6</v>
      </c>
      <c r="M1510" s="95" cm="1">
        <f ca="1" t="array" ref="M1510">(1+SUMPRODUCT(G1510:H1510,OFFSET($H$40:$I$40,D1510,0)))*(1+OFFSET($J$40,D1510,0))^I1510*(1+OFFSET($K$40,D1510,0))^J1510*(1+OFFSET($L$40,D1510,0))^K1510*(1+OFFSET($M$40,D1510,0))^L1510</f>
        <v>350.867206646834</v>
      </c>
      <c r="N1510" s="95">
        <f ca="1">MAX(MAX($N$53:N1509),OFFSET($C$52,MATCH(M1510*1.07,$M$53:$M$2052,1),0)-C1510)</f>
        <v>71280</v>
      </c>
    </row>
    <row r="1511" spans="2:14">
      <c r="B1511" s="95">
        <v>1459</v>
      </c>
      <c r="C1511" s="95">
        <f t="shared" si="119"/>
        <v>525240</v>
      </c>
      <c r="D1511" s="95">
        <f ca="1">_xlfn.XLOOKUP(总览!$B$44,$B$40:$B$45,$C$40:$C$45)</f>
        <v>5</v>
      </c>
      <c r="E1511" s="95">
        <f ca="1" t="shared" si="118"/>
        <v>1489</v>
      </c>
      <c r="F1511" s="95">
        <f ca="1" t="shared" si="120"/>
        <v>0</v>
      </c>
      <c r="G1511" s="95">
        <f ca="1" t="shared" si="121"/>
        <v>0</v>
      </c>
      <c r="H1511" s="95" cm="1">
        <f ca="1" t="array" ref="H1511">MIN(30-SUM(I1511:L1511),_xlfn.XLOOKUP($D1511&amp;"_"&amp;H$52,$B$14:$B$36&amp;"_"&amp;$C$14:$C$36,$D$14:$D$36)*$E1511,18)</f>
        <v>11.8308</v>
      </c>
      <c r="I1511" s="95" cm="1">
        <f ca="1" t="array" ref="I1511">MIN(30-SUM(J1511:L1511),6-L1511,_xlfn.XLOOKUP($D1511&amp;"_"&amp;I$52,$B$14:$B$36&amp;"_"&amp;$C$14:$C$36,$D$14:$D$36)*$E1511)</f>
        <v>0</v>
      </c>
      <c r="J1511" s="95" cm="1">
        <f ca="1" t="array" ref="J1511">MIN(8,_xlfn.XLOOKUP($D1511&amp;"_"&amp;J$52,$B$14:$B$36&amp;"_"&amp;$C$14:$C$36,$D$14:$D$36)*$E1511)</f>
        <v>8</v>
      </c>
      <c r="K1511" s="95" cm="1">
        <f ca="1" t="array" ref="K1511">MIN(18,_xlfn.XLOOKUP($D1511&amp;"_"&amp;K$52,$B$14:$B$36&amp;"_"&amp;$C$14:$C$36,$D$14:$D$36)*$E1511)</f>
        <v>4.1692</v>
      </c>
      <c r="L1511" s="95" cm="1">
        <f ca="1" t="array" ref="L1511">MIN(6,_xlfn.XLOOKUP($D1511&amp;"_"&amp;L$52,$B$14:$B$36&amp;"_"&amp;$C$14:$C$36,$D$14:$D$36)*$E1511)</f>
        <v>6</v>
      </c>
      <c r="M1511" s="95" cm="1">
        <f ca="1" t="array" ref="M1511">(1+SUMPRODUCT(G1511:H1511,OFFSET($H$40:$I$40,D1511,0)))*(1+OFFSET($J$40,D1511,0))^I1511*(1+OFFSET($K$40,D1511,0))^J1511*(1+OFFSET($L$40,D1511,0))^K1511*(1+OFFSET($M$40,D1511,0))^L1511</f>
        <v>350.987979262962</v>
      </c>
      <c r="N1511" s="95">
        <f ca="1">MAX(MAX($N$53:N1510),OFFSET($C$52,MATCH(M1511*1.07,$M$53:$M$2052,1),0)-C1511)</f>
        <v>71280</v>
      </c>
    </row>
    <row r="1512" spans="2:14">
      <c r="B1512" s="95">
        <v>1460</v>
      </c>
      <c r="C1512" s="95">
        <f t="shared" si="119"/>
        <v>525600</v>
      </c>
      <c r="D1512" s="95">
        <f ca="1">_xlfn.XLOOKUP(总览!$B$44,$B$40:$B$45,$C$40:$C$45)</f>
        <v>5</v>
      </c>
      <c r="E1512" s="95">
        <f ca="1" t="shared" si="118"/>
        <v>1490</v>
      </c>
      <c r="F1512" s="95">
        <f ca="1" t="shared" si="120"/>
        <v>0</v>
      </c>
      <c r="G1512" s="95">
        <f ca="1" t="shared" si="121"/>
        <v>0</v>
      </c>
      <c r="H1512" s="95" cm="1">
        <f ca="1" t="array" ref="H1512">MIN(30-SUM(I1512:L1512),_xlfn.XLOOKUP($D1512&amp;"_"&amp;H$52,$B$14:$B$36&amp;"_"&amp;$C$14:$C$36,$D$14:$D$36)*$E1512,18)</f>
        <v>11.828</v>
      </c>
      <c r="I1512" s="95" cm="1">
        <f ca="1" t="array" ref="I1512">MIN(30-SUM(J1512:L1512),6-L1512,_xlfn.XLOOKUP($D1512&amp;"_"&amp;I$52,$B$14:$B$36&amp;"_"&amp;$C$14:$C$36,$D$14:$D$36)*$E1512)</f>
        <v>0</v>
      </c>
      <c r="J1512" s="95" cm="1">
        <f ca="1" t="array" ref="J1512">MIN(8,_xlfn.XLOOKUP($D1512&amp;"_"&amp;J$52,$B$14:$B$36&amp;"_"&amp;$C$14:$C$36,$D$14:$D$36)*$E1512)</f>
        <v>8</v>
      </c>
      <c r="K1512" s="95" cm="1">
        <f ca="1" t="array" ref="K1512">MIN(18,_xlfn.XLOOKUP($D1512&amp;"_"&amp;K$52,$B$14:$B$36&amp;"_"&amp;$C$14:$C$36,$D$14:$D$36)*$E1512)</f>
        <v>4.172</v>
      </c>
      <c r="L1512" s="95" cm="1">
        <f ca="1" t="array" ref="L1512">MIN(6,_xlfn.XLOOKUP($D1512&amp;"_"&amp;L$52,$B$14:$B$36&amp;"_"&amp;$C$14:$C$36,$D$14:$D$36)*$E1512)</f>
        <v>6</v>
      </c>
      <c r="M1512" s="95" cm="1">
        <f ca="1" t="array" ref="M1512">(1+SUMPRODUCT(G1512:H1512,OFFSET($H$40:$I$40,D1512,0)))*(1+OFFSET($J$40,D1512,0))^I1512*(1+OFFSET($K$40,D1512,0))^J1512*(1+OFFSET($L$40,D1512,0))^K1512*(1+OFFSET($M$40,D1512,0))^L1512</f>
        <v>351.108783733085</v>
      </c>
      <c r="N1512" s="95">
        <f ca="1">MAX(MAX($N$53:N1511),OFFSET($C$52,MATCH(M1512*1.07,$M$53:$M$2052,1),0)-C1512)</f>
        <v>71280</v>
      </c>
    </row>
    <row r="1513" spans="2:14">
      <c r="B1513" s="95">
        <v>1461</v>
      </c>
      <c r="C1513" s="95">
        <f t="shared" si="119"/>
        <v>525960</v>
      </c>
      <c r="D1513" s="95">
        <f ca="1">_xlfn.XLOOKUP(总览!$B$44,$B$40:$B$45,$C$40:$C$45)</f>
        <v>5</v>
      </c>
      <c r="E1513" s="95">
        <f ca="1" t="shared" si="118"/>
        <v>1491</v>
      </c>
      <c r="F1513" s="95">
        <f ca="1" t="shared" si="120"/>
        <v>0</v>
      </c>
      <c r="G1513" s="95">
        <f ca="1" t="shared" si="121"/>
        <v>0</v>
      </c>
      <c r="H1513" s="95" cm="1">
        <f ca="1" t="array" ref="H1513">MIN(30-SUM(I1513:L1513),_xlfn.XLOOKUP($D1513&amp;"_"&amp;H$52,$B$14:$B$36&amp;"_"&amp;$C$14:$C$36,$D$14:$D$36)*$E1513,18)</f>
        <v>11.8252</v>
      </c>
      <c r="I1513" s="95" cm="1">
        <f ca="1" t="array" ref="I1513">MIN(30-SUM(J1513:L1513),6-L1513,_xlfn.XLOOKUP($D1513&amp;"_"&amp;I$52,$B$14:$B$36&amp;"_"&amp;$C$14:$C$36,$D$14:$D$36)*$E1513)</f>
        <v>0</v>
      </c>
      <c r="J1513" s="95" cm="1">
        <f ca="1" t="array" ref="J1513">MIN(8,_xlfn.XLOOKUP($D1513&amp;"_"&amp;J$52,$B$14:$B$36&amp;"_"&amp;$C$14:$C$36,$D$14:$D$36)*$E1513)</f>
        <v>8</v>
      </c>
      <c r="K1513" s="95" cm="1">
        <f ca="1" t="array" ref="K1513">MIN(18,_xlfn.XLOOKUP($D1513&amp;"_"&amp;K$52,$B$14:$B$36&amp;"_"&amp;$C$14:$C$36,$D$14:$D$36)*$E1513)</f>
        <v>4.1748</v>
      </c>
      <c r="L1513" s="95" cm="1">
        <f ca="1" t="array" ref="L1513">MIN(6,_xlfn.XLOOKUP($D1513&amp;"_"&amp;L$52,$B$14:$B$36&amp;"_"&amp;$C$14:$C$36,$D$14:$D$36)*$E1513)</f>
        <v>6</v>
      </c>
      <c r="M1513" s="95" cm="1">
        <f ca="1" t="array" ref="M1513">(1+SUMPRODUCT(G1513:H1513,OFFSET($H$40:$I$40,D1513,0)))*(1+OFFSET($J$40,D1513,0))^I1513*(1+OFFSET($K$40,D1513,0))^J1513*(1+OFFSET($L$40,D1513,0))^K1513*(1+OFFSET($M$40,D1513,0))^L1513</f>
        <v>351.229620058243</v>
      </c>
      <c r="N1513" s="95">
        <f ca="1">MAX(MAX($N$53:N1512),OFFSET($C$52,MATCH(M1513*1.07,$M$53:$M$2052,1),0)-C1513)</f>
        <v>71280</v>
      </c>
    </row>
    <row r="1514" spans="2:14">
      <c r="B1514" s="95">
        <v>1462</v>
      </c>
      <c r="C1514" s="95">
        <f t="shared" si="119"/>
        <v>526320</v>
      </c>
      <c r="D1514" s="95">
        <f ca="1">_xlfn.XLOOKUP(总览!$B$44,$B$40:$B$45,$C$40:$C$45)</f>
        <v>5</v>
      </c>
      <c r="E1514" s="95">
        <f ca="1" t="shared" si="118"/>
        <v>1492</v>
      </c>
      <c r="F1514" s="95">
        <f ca="1" t="shared" si="120"/>
        <v>0</v>
      </c>
      <c r="G1514" s="95">
        <f ca="1" t="shared" si="121"/>
        <v>0</v>
      </c>
      <c r="H1514" s="95" cm="1">
        <f ca="1" t="array" ref="H1514">MIN(30-SUM(I1514:L1514),_xlfn.XLOOKUP($D1514&amp;"_"&amp;H$52,$B$14:$B$36&amp;"_"&amp;$C$14:$C$36,$D$14:$D$36)*$E1514,18)</f>
        <v>11.8224</v>
      </c>
      <c r="I1514" s="95" cm="1">
        <f ca="1" t="array" ref="I1514">MIN(30-SUM(J1514:L1514),6-L1514,_xlfn.XLOOKUP($D1514&amp;"_"&amp;I$52,$B$14:$B$36&amp;"_"&amp;$C$14:$C$36,$D$14:$D$36)*$E1514)</f>
        <v>0</v>
      </c>
      <c r="J1514" s="95" cm="1">
        <f ca="1" t="array" ref="J1514">MIN(8,_xlfn.XLOOKUP($D1514&amp;"_"&amp;J$52,$B$14:$B$36&amp;"_"&amp;$C$14:$C$36,$D$14:$D$36)*$E1514)</f>
        <v>8</v>
      </c>
      <c r="K1514" s="95" cm="1">
        <f ca="1" t="array" ref="K1514">MIN(18,_xlfn.XLOOKUP($D1514&amp;"_"&amp;K$52,$B$14:$B$36&amp;"_"&amp;$C$14:$C$36,$D$14:$D$36)*$E1514)</f>
        <v>4.1776</v>
      </c>
      <c r="L1514" s="95" cm="1">
        <f ca="1" t="array" ref="L1514">MIN(6,_xlfn.XLOOKUP($D1514&amp;"_"&amp;L$52,$B$14:$B$36&amp;"_"&amp;$C$14:$C$36,$D$14:$D$36)*$E1514)</f>
        <v>6</v>
      </c>
      <c r="M1514" s="95" cm="1">
        <f ca="1" t="array" ref="M1514">(1+SUMPRODUCT(G1514:H1514,OFFSET($H$40:$I$40,D1514,0)))*(1+OFFSET($J$40,D1514,0))^I1514*(1+OFFSET($K$40,D1514,0))^J1514*(1+OFFSET($L$40,D1514,0))^K1514*(1+OFFSET($M$40,D1514,0))^L1514</f>
        <v>351.350488239469</v>
      </c>
      <c r="N1514" s="95">
        <f ca="1">MAX(MAX($N$53:N1513),OFFSET($C$52,MATCH(M1514*1.07,$M$53:$M$2052,1),0)-C1514)</f>
        <v>71280</v>
      </c>
    </row>
    <row r="1515" spans="2:14">
      <c r="B1515" s="95">
        <v>1463</v>
      </c>
      <c r="C1515" s="95">
        <f t="shared" si="119"/>
        <v>526680</v>
      </c>
      <c r="D1515" s="95">
        <f ca="1">_xlfn.XLOOKUP(总览!$B$44,$B$40:$B$45,$C$40:$C$45)</f>
        <v>5</v>
      </c>
      <c r="E1515" s="95">
        <f ca="1" t="shared" si="118"/>
        <v>1493</v>
      </c>
      <c r="F1515" s="95">
        <f ca="1" t="shared" si="120"/>
        <v>0</v>
      </c>
      <c r="G1515" s="95">
        <f ca="1" t="shared" si="121"/>
        <v>0</v>
      </c>
      <c r="H1515" s="95" cm="1">
        <f ca="1" t="array" ref="H1515">MIN(30-SUM(I1515:L1515),_xlfn.XLOOKUP($D1515&amp;"_"&amp;H$52,$B$14:$B$36&amp;"_"&amp;$C$14:$C$36,$D$14:$D$36)*$E1515,18)</f>
        <v>11.8196</v>
      </c>
      <c r="I1515" s="95" cm="1">
        <f ca="1" t="array" ref="I1515">MIN(30-SUM(J1515:L1515),6-L1515,_xlfn.XLOOKUP($D1515&amp;"_"&amp;I$52,$B$14:$B$36&amp;"_"&amp;$C$14:$C$36,$D$14:$D$36)*$E1515)</f>
        <v>0</v>
      </c>
      <c r="J1515" s="95" cm="1">
        <f ca="1" t="array" ref="J1515">MIN(8,_xlfn.XLOOKUP($D1515&amp;"_"&amp;J$52,$B$14:$B$36&amp;"_"&amp;$C$14:$C$36,$D$14:$D$36)*$E1515)</f>
        <v>8</v>
      </c>
      <c r="K1515" s="95" cm="1">
        <f ca="1" t="array" ref="K1515">MIN(18,_xlfn.XLOOKUP($D1515&amp;"_"&amp;K$52,$B$14:$B$36&amp;"_"&amp;$C$14:$C$36,$D$14:$D$36)*$E1515)</f>
        <v>4.1804</v>
      </c>
      <c r="L1515" s="95" cm="1">
        <f ca="1" t="array" ref="L1515">MIN(6,_xlfn.XLOOKUP($D1515&amp;"_"&amp;L$52,$B$14:$B$36&amp;"_"&amp;$C$14:$C$36,$D$14:$D$36)*$E1515)</f>
        <v>6</v>
      </c>
      <c r="M1515" s="95" cm="1">
        <f ca="1" t="array" ref="M1515">(1+SUMPRODUCT(G1515:H1515,OFFSET($H$40:$I$40,D1515,0)))*(1+OFFSET($J$40,D1515,0))^I1515*(1+OFFSET($K$40,D1515,0))^J1515*(1+OFFSET($L$40,D1515,0))^K1515*(1+OFFSET($M$40,D1515,0))^L1515</f>
        <v>351.471388277791</v>
      </c>
      <c r="N1515" s="95">
        <f ca="1">MAX(MAX($N$53:N1514),OFFSET($C$52,MATCH(M1515*1.07,$M$53:$M$2052,1),0)-C1515)</f>
        <v>71280</v>
      </c>
    </row>
    <row r="1516" spans="2:14">
      <c r="B1516" s="95">
        <v>1464</v>
      </c>
      <c r="C1516" s="95">
        <f t="shared" si="119"/>
        <v>527040</v>
      </c>
      <c r="D1516" s="95">
        <f ca="1">_xlfn.XLOOKUP(总览!$B$44,$B$40:$B$45,$C$40:$C$45)</f>
        <v>5</v>
      </c>
      <c r="E1516" s="95">
        <f ca="1" t="shared" si="118"/>
        <v>1494</v>
      </c>
      <c r="F1516" s="95">
        <f ca="1" t="shared" si="120"/>
        <v>0</v>
      </c>
      <c r="G1516" s="95">
        <f ca="1" t="shared" si="121"/>
        <v>0</v>
      </c>
      <c r="H1516" s="95" cm="1">
        <f ca="1" t="array" ref="H1516">MIN(30-SUM(I1516:L1516),_xlfn.XLOOKUP($D1516&amp;"_"&amp;H$52,$B$14:$B$36&amp;"_"&amp;$C$14:$C$36,$D$14:$D$36)*$E1516,18)</f>
        <v>11.8168</v>
      </c>
      <c r="I1516" s="95" cm="1">
        <f ca="1" t="array" ref="I1516">MIN(30-SUM(J1516:L1516),6-L1516,_xlfn.XLOOKUP($D1516&amp;"_"&amp;I$52,$B$14:$B$36&amp;"_"&amp;$C$14:$C$36,$D$14:$D$36)*$E1516)</f>
        <v>0</v>
      </c>
      <c r="J1516" s="95" cm="1">
        <f ca="1" t="array" ref="J1516">MIN(8,_xlfn.XLOOKUP($D1516&amp;"_"&amp;J$52,$B$14:$B$36&amp;"_"&amp;$C$14:$C$36,$D$14:$D$36)*$E1516)</f>
        <v>8</v>
      </c>
      <c r="K1516" s="95" cm="1">
        <f ca="1" t="array" ref="K1516">MIN(18,_xlfn.XLOOKUP($D1516&amp;"_"&amp;K$52,$B$14:$B$36&amp;"_"&amp;$C$14:$C$36,$D$14:$D$36)*$E1516)</f>
        <v>4.1832</v>
      </c>
      <c r="L1516" s="95" cm="1">
        <f ca="1" t="array" ref="L1516">MIN(6,_xlfn.XLOOKUP($D1516&amp;"_"&amp;L$52,$B$14:$B$36&amp;"_"&amp;$C$14:$C$36,$D$14:$D$36)*$E1516)</f>
        <v>6</v>
      </c>
      <c r="M1516" s="95" cm="1">
        <f ca="1" t="array" ref="M1516">(1+SUMPRODUCT(G1516:H1516,OFFSET($H$40:$I$40,D1516,0)))*(1+OFFSET($J$40,D1516,0))^I1516*(1+OFFSET($K$40,D1516,0))^J1516*(1+OFFSET($L$40,D1516,0))^K1516*(1+OFFSET($M$40,D1516,0))^L1516</f>
        <v>351.592320174226</v>
      </c>
      <c r="N1516" s="95">
        <f ca="1">MAX(MAX($N$53:N1515),OFFSET($C$52,MATCH(M1516*1.07,$M$53:$M$2052,1),0)-C1516)</f>
        <v>71280</v>
      </c>
    </row>
    <row r="1517" spans="2:14">
      <c r="B1517" s="95">
        <v>1465</v>
      </c>
      <c r="C1517" s="95">
        <f t="shared" si="119"/>
        <v>527400</v>
      </c>
      <c r="D1517" s="95">
        <f ca="1">_xlfn.XLOOKUP(总览!$B$44,$B$40:$B$45,$C$40:$C$45)</f>
        <v>5</v>
      </c>
      <c r="E1517" s="95">
        <f ca="1" t="shared" si="118"/>
        <v>1495</v>
      </c>
      <c r="F1517" s="95">
        <f ca="1" t="shared" si="120"/>
        <v>0</v>
      </c>
      <c r="G1517" s="95">
        <f ca="1" t="shared" si="121"/>
        <v>0</v>
      </c>
      <c r="H1517" s="95" cm="1">
        <f ca="1" t="array" ref="H1517">MIN(30-SUM(I1517:L1517),_xlfn.XLOOKUP($D1517&amp;"_"&amp;H$52,$B$14:$B$36&amp;"_"&amp;$C$14:$C$36,$D$14:$D$36)*$E1517,18)</f>
        <v>11.814</v>
      </c>
      <c r="I1517" s="95" cm="1">
        <f ca="1" t="array" ref="I1517">MIN(30-SUM(J1517:L1517),6-L1517,_xlfn.XLOOKUP($D1517&amp;"_"&amp;I$52,$B$14:$B$36&amp;"_"&amp;$C$14:$C$36,$D$14:$D$36)*$E1517)</f>
        <v>0</v>
      </c>
      <c r="J1517" s="95" cm="1">
        <f ca="1" t="array" ref="J1517">MIN(8,_xlfn.XLOOKUP($D1517&amp;"_"&amp;J$52,$B$14:$B$36&amp;"_"&amp;$C$14:$C$36,$D$14:$D$36)*$E1517)</f>
        <v>8</v>
      </c>
      <c r="K1517" s="95" cm="1">
        <f ca="1" t="array" ref="K1517">MIN(18,_xlfn.XLOOKUP($D1517&amp;"_"&amp;K$52,$B$14:$B$36&amp;"_"&amp;$C$14:$C$36,$D$14:$D$36)*$E1517)</f>
        <v>4.186</v>
      </c>
      <c r="L1517" s="95" cm="1">
        <f ca="1" t="array" ref="L1517">MIN(6,_xlfn.XLOOKUP($D1517&amp;"_"&amp;L$52,$B$14:$B$36&amp;"_"&amp;$C$14:$C$36,$D$14:$D$36)*$E1517)</f>
        <v>6</v>
      </c>
      <c r="M1517" s="95" cm="1">
        <f ca="1" t="array" ref="M1517">(1+SUMPRODUCT(G1517:H1517,OFFSET($H$40:$I$40,D1517,0)))*(1+OFFSET($J$40,D1517,0))^I1517*(1+OFFSET($K$40,D1517,0))^J1517*(1+OFFSET($L$40,D1517,0))^K1517*(1+OFFSET($M$40,D1517,0))^L1517</f>
        <v>351.713283929786</v>
      </c>
      <c r="N1517" s="95">
        <f ca="1">MAX(MAX($N$53:N1516),OFFSET($C$52,MATCH(M1517*1.07,$M$53:$M$2052,1),0)-C1517)</f>
        <v>71280</v>
      </c>
    </row>
    <row r="1518" spans="2:14">
      <c r="B1518" s="95">
        <v>1466</v>
      </c>
      <c r="C1518" s="95">
        <f t="shared" si="119"/>
        <v>527760</v>
      </c>
      <c r="D1518" s="95">
        <f ca="1">_xlfn.XLOOKUP(总览!$B$44,$B$40:$B$45,$C$40:$C$45)</f>
        <v>5</v>
      </c>
      <c r="E1518" s="95">
        <f ca="1" t="shared" si="118"/>
        <v>1496</v>
      </c>
      <c r="F1518" s="95">
        <f ca="1" t="shared" si="120"/>
        <v>0</v>
      </c>
      <c r="G1518" s="95">
        <f ca="1" t="shared" si="121"/>
        <v>0</v>
      </c>
      <c r="H1518" s="95" cm="1">
        <f ca="1" t="array" ref="H1518">MIN(30-SUM(I1518:L1518),_xlfn.XLOOKUP($D1518&amp;"_"&amp;H$52,$B$14:$B$36&amp;"_"&amp;$C$14:$C$36,$D$14:$D$36)*$E1518,18)</f>
        <v>11.8112</v>
      </c>
      <c r="I1518" s="95" cm="1">
        <f ca="1" t="array" ref="I1518">MIN(30-SUM(J1518:L1518),6-L1518,_xlfn.XLOOKUP($D1518&amp;"_"&amp;I$52,$B$14:$B$36&amp;"_"&amp;$C$14:$C$36,$D$14:$D$36)*$E1518)</f>
        <v>0</v>
      </c>
      <c r="J1518" s="95" cm="1">
        <f ca="1" t="array" ref="J1518">MIN(8,_xlfn.XLOOKUP($D1518&amp;"_"&amp;J$52,$B$14:$B$36&amp;"_"&amp;$C$14:$C$36,$D$14:$D$36)*$E1518)</f>
        <v>8</v>
      </c>
      <c r="K1518" s="95" cm="1">
        <f ca="1" t="array" ref="K1518">MIN(18,_xlfn.XLOOKUP($D1518&amp;"_"&amp;K$52,$B$14:$B$36&amp;"_"&amp;$C$14:$C$36,$D$14:$D$36)*$E1518)</f>
        <v>4.1888</v>
      </c>
      <c r="L1518" s="95" cm="1">
        <f ca="1" t="array" ref="L1518">MIN(6,_xlfn.XLOOKUP($D1518&amp;"_"&amp;L$52,$B$14:$B$36&amp;"_"&amp;$C$14:$C$36,$D$14:$D$36)*$E1518)</f>
        <v>6</v>
      </c>
      <c r="M1518" s="95" cm="1">
        <f ca="1" t="array" ref="M1518">(1+SUMPRODUCT(G1518:H1518,OFFSET($H$40:$I$40,D1518,0)))*(1+OFFSET($J$40,D1518,0))^I1518*(1+OFFSET($K$40,D1518,0))^J1518*(1+OFFSET($L$40,D1518,0))^K1518*(1+OFFSET($M$40,D1518,0))^L1518</f>
        <v>351.834279545475</v>
      </c>
      <c r="N1518" s="95">
        <f ca="1">MAX(MAX($N$53:N1517),OFFSET($C$52,MATCH(M1518*1.07,$M$53:$M$2052,1),0)-C1518)</f>
        <v>71280</v>
      </c>
    </row>
    <row r="1519" spans="2:14">
      <c r="B1519" s="95">
        <v>1467</v>
      </c>
      <c r="C1519" s="95">
        <f t="shared" si="119"/>
        <v>528120</v>
      </c>
      <c r="D1519" s="95">
        <f ca="1">_xlfn.XLOOKUP(总览!$B$44,$B$40:$B$45,$C$40:$C$45)</f>
        <v>5</v>
      </c>
      <c r="E1519" s="95">
        <f ca="1" t="shared" si="118"/>
        <v>1497</v>
      </c>
      <c r="F1519" s="95">
        <f ca="1" t="shared" si="120"/>
        <v>0</v>
      </c>
      <c r="G1519" s="95">
        <f ca="1" t="shared" si="121"/>
        <v>0</v>
      </c>
      <c r="H1519" s="95" cm="1">
        <f ca="1" t="array" ref="H1519">MIN(30-SUM(I1519:L1519),_xlfn.XLOOKUP($D1519&amp;"_"&amp;H$52,$B$14:$B$36&amp;"_"&amp;$C$14:$C$36,$D$14:$D$36)*$E1519,18)</f>
        <v>11.8084</v>
      </c>
      <c r="I1519" s="95" cm="1">
        <f ca="1" t="array" ref="I1519">MIN(30-SUM(J1519:L1519),6-L1519,_xlfn.XLOOKUP($D1519&amp;"_"&amp;I$52,$B$14:$B$36&amp;"_"&amp;$C$14:$C$36,$D$14:$D$36)*$E1519)</f>
        <v>0</v>
      </c>
      <c r="J1519" s="95" cm="1">
        <f ca="1" t="array" ref="J1519">MIN(8,_xlfn.XLOOKUP($D1519&amp;"_"&amp;J$52,$B$14:$B$36&amp;"_"&amp;$C$14:$C$36,$D$14:$D$36)*$E1519)</f>
        <v>8</v>
      </c>
      <c r="K1519" s="95" cm="1">
        <f ca="1" t="array" ref="K1519">MIN(18,_xlfn.XLOOKUP($D1519&amp;"_"&amp;K$52,$B$14:$B$36&amp;"_"&amp;$C$14:$C$36,$D$14:$D$36)*$E1519)</f>
        <v>4.1916</v>
      </c>
      <c r="L1519" s="95" cm="1">
        <f ca="1" t="array" ref="L1519">MIN(6,_xlfn.XLOOKUP($D1519&amp;"_"&amp;L$52,$B$14:$B$36&amp;"_"&amp;$C$14:$C$36,$D$14:$D$36)*$E1519)</f>
        <v>6</v>
      </c>
      <c r="M1519" s="95" cm="1">
        <f ca="1" t="array" ref="M1519">(1+SUMPRODUCT(G1519:H1519,OFFSET($H$40:$I$40,D1519,0)))*(1+OFFSET($J$40,D1519,0))^I1519*(1+OFFSET($K$40,D1519,0))^J1519*(1+OFFSET($L$40,D1519,0))^K1519*(1+OFFSET($M$40,D1519,0))^L1519</f>
        <v>351.955307022291</v>
      </c>
      <c r="N1519" s="95">
        <f ca="1">MAX(MAX($N$53:N1518),OFFSET($C$52,MATCH(M1519*1.07,$M$53:$M$2052,1),0)-C1519)</f>
        <v>71280</v>
      </c>
    </row>
    <row r="1520" spans="2:14">
      <c r="B1520" s="95">
        <v>1468</v>
      </c>
      <c r="C1520" s="95">
        <f t="shared" si="119"/>
        <v>528480</v>
      </c>
      <c r="D1520" s="95">
        <f ca="1">_xlfn.XLOOKUP(总览!$B$44,$B$40:$B$45,$C$40:$C$45)</f>
        <v>5</v>
      </c>
      <c r="E1520" s="95">
        <f ca="1" t="shared" si="118"/>
        <v>1498</v>
      </c>
      <c r="F1520" s="95">
        <f ca="1" t="shared" si="120"/>
        <v>0</v>
      </c>
      <c r="G1520" s="95">
        <f ca="1" t="shared" si="121"/>
        <v>0</v>
      </c>
      <c r="H1520" s="95" cm="1">
        <f ca="1" t="array" ref="H1520">MIN(30-SUM(I1520:L1520),_xlfn.XLOOKUP($D1520&amp;"_"&amp;H$52,$B$14:$B$36&amp;"_"&amp;$C$14:$C$36,$D$14:$D$36)*$E1520,18)</f>
        <v>11.8056</v>
      </c>
      <c r="I1520" s="95" cm="1">
        <f ca="1" t="array" ref="I1520">MIN(30-SUM(J1520:L1520),6-L1520,_xlfn.XLOOKUP($D1520&amp;"_"&amp;I$52,$B$14:$B$36&amp;"_"&amp;$C$14:$C$36,$D$14:$D$36)*$E1520)</f>
        <v>0</v>
      </c>
      <c r="J1520" s="95" cm="1">
        <f ca="1" t="array" ref="J1520">MIN(8,_xlfn.XLOOKUP($D1520&amp;"_"&amp;J$52,$B$14:$B$36&amp;"_"&amp;$C$14:$C$36,$D$14:$D$36)*$E1520)</f>
        <v>8</v>
      </c>
      <c r="K1520" s="95" cm="1">
        <f ca="1" t="array" ref="K1520">MIN(18,_xlfn.XLOOKUP($D1520&amp;"_"&amp;K$52,$B$14:$B$36&amp;"_"&amp;$C$14:$C$36,$D$14:$D$36)*$E1520)</f>
        <v>4.1944</v>
      </c>
      <c r="L1520" s="95" cm="1">
        <f ca="1" t="array" ref="L1520">MIN(6,_xlfn.XLOOKUP($D1520&amp;"_"&amp;L$52,$B$14:$B$36&amp;"_"&amp;$C$14:$C$36,$D$14:$D$36)*$E1520)</f>
        <v>6</v>
      </c>
      <c r="M1520" s="95" cm="1">
        <f ca="1" t="array" ref="M1520">(1+SUMPRODUCT(G1520:H1520,OFFSET($H$40:$I$40,D1520,0)))*(1+OFFSET($J$40,D1520,0))^I1520*(1+OFFSET($K$40,D1520,0))^J1520*(1+OFFSET($L$40,D1520,0))^K1520*(1+OFFSET($M$40,D1520,0))^L1520</f>
        <v>352.076366361223</v>
      </c>
      <c r="N1520" s="95">
        <f ca="1">MAX(MAX($N$53:N1519),OFFSET($C$52,MATCH(M1520*1.07,$M$53:$M$2052,1),0)-C1520)</f>
        <v>71280</v>
      </c>
    </row>
    <row r="1521" spans="2:14">
      <c r="B1521" s="95">
        <v>1469</v>
      </c>
      <c r="C1521" s="95">
        <f t="shared" si="119"/>
        <v>528840</v>
      </c>
      <c r="D1521" s="95">
        <f ca="1">_xlfn.XLOOKUP(总览!$B$44,$B$40:$B$45,$C$40:$C$45)</f>
        <v>5</v>
      </c>
      <c r="E1521" s="95">
        <f ca="1" t="shared" si="118"/>
        <v>1499</v>
      </c>
      <c r="F1521" s="95">
        <f ca="1" t="shared" si="120"/>
        <v>0</v>
      </c>
      <c r="G1521" s="95">
        <f ca="1" t="shared" si="121"/>
        <v>0</v>
      </c>
      <c r="H1521" s="95" cm="1">
        <f ca="1" t="array" ref="H1521">MIN(30-SUM(I1521:L1521),_xlfn.XLOOKUP($D1521&amp;"_"&amp;H$52,$B$14:$B$36&amp;"_"&amp;$C$14:$C$36,$D$14:$D$36)*$E1521,18)</f>
        <v>11.8028</v>
      </c>
      <c r="I1521" s="95" cm="1">
        <f ca="1" t="array" ref="I1521">MIN(30-SUM(J1521:L1521),6-L1521,_xlfn.XLOOKUP($D1521&amp;"_"&amp;I$52,$B$14:$B$36&amp;"_"&amp;$C$14:$C$36,$D$14:$D$36)*$E1521)</f>
        <v>0</v>
      </c>
      <c r="J1521" s="95" cm="1">
        <f ca="1" t="array" ref="J1521">MIN(8,_xlfn.XLOOKUP($D1521&amp;"_"&amp;J$52,$B$14:$B$36&amp;"_"&amp;$C$14:$C$36,$D$14:$D$36)*$E1521)</f>
        <v>8</v>
      </c>
      <c r="K1521" s="95" cm="1">
        <f ca="1" t="array" ref="K1521">MIN(18,_xlfn.XLOOKUP($D1521&amp;"_"&amp;K$52,$B$14:$B$36&amp;"_"&amp;$C$14:$C$36,$D$14:$D$36)*$E1521)</f>
        <v>4.1972</v>
      </c>
      <c r="L1521" s="95" cm="1">
        <f ca="1" t="array" ref="L1521">MIN(6,_xlfn.XLOOKUP($D1521&amp;"_"&amp;L$52,$B$14:$B$36&amp;"_"&amp;$C$14:$C$36,$D$14:$D$36)*$E1521)</f>
        <v>6</v>
      </c>
      <c r="M1521" s="95" cm="1">
        <f ca="1" t="array" ref="M1521">(1+SUMPRODUCT(G1521:H1521,OFFSET($H$40:$I$40,D1521,0)))*(1+OFFSET($J$40,D1521,0))^I1521*(1+OFFSET($K$40,D1521,0))^J1521*(1+OFFSET($L$40,D1521,0))^K1521*(1+OFFSET($M$40,D1521,0))^L1521</f>
        <v>352.197457563253</v>
      </c>
      <c r="N1521" s="95">
        <f ca="1">MAX(MAX($N$53:N1520),OFFSET($C$52,MATCH(M1521*1.07,$M$53:$M$2052,1),0)-C1521)</f>
        <v>71280</v>
      </c>
    </row>
    <row r="1522" spans="2:14">
      <c r="B1522" s="95">
        <v>1470</v>
      </c>
      <c r="C1522" s="95">
        <f t="shared" si="119"/>
        <v>529200</v>
      </c>
      <c r="D1522" s="95">
        <f ca="1">_xlfn.XLOOKUP(总览!$B$44,$B$40:$B$45,$C$40:$C$45)</f>
        <v>5</v>
      </c>
      <c r="E1522" s="95">
        <f ca="1" t="shared" si="118"/>
        <v>1500</v>
      </c>
      <c r="F1522" s="95">
        <f ca="1" t="shared" si="120"/>
        <v>0</v>
      </c>
      <c r="G1522" s="95">
        <f ca="1" t="shared" si="121"/>
        <v>0</v>
      </c>
      <c r="H1522" s="95" cm="1">
        <f ca="1" t="array" ref="H1522">MIN(30-SUM(I1522:L1522),_xlfn.XLOOKUP($D1522&amp;"_"&amp;H$52,$B$14:$B$36&amp;"_"&amp;$C$14:$C$36,$D$14:$D$36)*$E1522,18)</f>
        <v>11.8</v>
      </c>
      <c r="I1522" s="95" cm="1">
        <f ca="1" t="array" ref="I1522">MIN(30-SUM(J1522:L1522),6-L1522,_xlfn.XLOOKUP($D1522&amp;"_"&amp;I$52,$B$14:$B$36&amp;"_"&amp;$C$14:$C$36,$D$14:$D$36)*$E1522)</f>
        <v>0</v>
      </c>
      <c r="J1522" s="95" cm="1">
        <f ca="1" t="array" ref="J1522">MIN(8,_xlfn.XLOOKUP($D1522&amp;"_"&amp;J$52,$B$14:$B$36&amp;"_"&amp;$C$14:$C$36,$D$14:$D$36)*$E1522)</f>
        <v>8</v>
      </c>
      <c r="K1522" s="95" cm="1">
        <f ca="1" t="array" ref="K1522">MIN(18,_xlfn.XLOOKUP($D1522&amp;"_"&amp;K$52,$B$14:$B$36&amp;"_"&amp;$C$14:$C$36,$D$14:$D$36)*$E1522)</f>
        <v>4.2</v>
      </c>
      <c r="L1522" s="95" cm="1">
        <f ca="1" t="array" ref="L1522">MIN(6,_xlfn.XLOOKUP($D1522&amp;"_"&amp;L$52,$B$14:$B$36&amp;"_"&amp;$C$14:$C$36,$D$14:$D$36)*$E1522)</f>
        <v>6</v>
      </c>
      <c r="M1522" s="95" cm="1">
        <f ca="1" t="array" ref="M1522">(1+SUMPRODUCT(G1522:H1522,OFFSET($H$40:$I$40,D1522,0)))*(1+OFFSET($J$40,D1522,0))^I1522*(1+OFFSET($K$40,D1522,0))^J1522*(1+OFFSET($L$40,D1522,0))^K1522*(1+OFFSET($M$40,D1522,0))^L1522</f>
        <v>352.318580629356</v>
      </c>
      <c r="N1522" s="95">
        <f ca="1">MAX(MAX($N$53:N1521),OFFSET($C$52,MATCH(M1522*1.07,$M$53:$M$2052,1),0)-C1522)</f>
        <v>71280</v>
      </c>
    </row>
    <row r="1523" spans="2:14">
      <c r="B1523" s="95">
        <v>1471</v>
      </c>
      <c r="C1523" s="95">
        <f t="shared" si="119"/>
        <v>529560</v>
      </c>
      <c r="D1523" s="95">
        <f ca="1">_xlfn.XLOOKUP(总览!$B$44,$B$40:$B$45,$C$40:$C$45)</f>
        <v>5</v>
      </c>
      <c r="E1523" s="95">
        <f ca="1" t="shared" si="118"/>
        <v>1501</v>
      </c>
      <c r="F1523" s="95">
        <f ca="1" t="shared" si="120"/>
        <v>0</v>
      </c>
      <c r="G1523" s="95">
        <f ca="1" t="shared" si="121"/>
        <v>0</v>
      </c>
      <c r="H1523" s="95" cm="1">
        <f ca="1" t="array" ref="H1523">MIN(30-SUM(I1523:L1523),_xlfn.XLOOKUP($D1523&amp;"_"&amp;H$52,$B$14:$B$36&amp;"_"&amp;$C$14:$C$36,$D$14:$D$36)*$E1523,18)</f>
        <v>11.7972</v>
      </c>
      <c r="I1523" s="95" cm="1">
        <f ca="1" t="array" ref="I1523">MIN(30-SUM(J1523:L1523),6-L1523,_xlfn.XLOOKUP($D1523&amp;"_"&amp;I$52,$B$14:$B$36&amp;"_"&amp;$C$14:$C$36,$D$14:$D$36)*$E1523)</f>
        <v>0</v>
      </c>
      <c r="J1523" s="95" cm="1">
        <f ca="1" t="array" ref="J1523">MIN(8,_xlfn.XLOOKUP($D1523&amp;"_"&amp;J$52,$B$14:$B$36&amp;"_"&amp;$C$14:$C$36,$D$14:$D$36)*$E1523)</f>
        <v>8</v>
      </c>
      <c r="K1523" s="95" cm="1">
        <f ca="1" t="array" ref="K1523">MIN(18,_xlfn.XLOOKUP($D1523&amp;"_"&amp;K$52,$B$14:$B$36&amp;"_"&amp;$C$14:$C$36,$D$14:$D$36)*$E1523)</f>
        <v>4.2028</v>
      </c>
      <c r="L1523" s="95" cm="1">
        <f ca="1" t="array" ref="L1523">MIN(6,_xlfn.XLOOKUP($D1523&amp;"_"&amp;L$52,$B$14:$B$36&amp;"_"&amp;$C$14:$C$36,$D$14:$D$36)*$E1523)</f>
        <v>6</v>
      </c>
      <c r="M1523" s="95" cm="1">
        <f ca="1" t="array" ref="M1523">(1+SUMPRODUCT(G1523:H1523,OFFSET($H$40:$I$40,D1523,0)))*(1+OFFSET($J$40,D1523,0))^I1523*(1+OFFSET($K$40,D1523,0))^J1523*(1+OFFSET($L$40,D1523,0))^K1523*(1+OFFSET($M$40,D1523,0))^L1523</f>
        <v>352.439735560501</v>
      </c>
      <c r="N1523" s="95">
        <f ca="1">MAX(MAX($N$53:N1522),OFFSET($C$52,MATCH(M1523*1.07,$M$53:$M$2052,1),0)-C1523)</f>
        <v>71280</v>
      </c>
    </row>
    <row r="1524" spans="2:14">
      <c r="B1524" s="95">
        <v>1472</v>
      </c>
      <c r="C1524" s="95">
        <f t="shared" si="119"/>
        <v>529920</v>
      </c>
      <c r="D1524" s="95">
        <f ca="1">_xlfn.XLOOKUP(总览!$B$44,$B$40:$B$45,$C$40:$C$45)</f>
        <v>5</v>
      </c>
      <c r="E1524" s="95">
        <f ca="1" t="shared" si="118"/>
        <v>1502</v>
      </c>
      <c r="F1524" s="95">
        <f ca="1" t="shared" si="120"/>
        <v>0</v>
      </c>
      <c r="G1524" s="95">
        <f ca="1" t="shared" si="121"/>
        <v>0</v>
      </c>
      <c r="H1524" s="95" cm="1">
        <f ca="1" t="array" ref="H1524">MIN(30-SUM(I1524:L1524),_xlfn.XLOOKUP($D1524&amp;"_"&amp;H$52,$B$14:$B$36&amp;"_"&amp;$C$14:$C$36,$D$14:$D$36)*$E1524,18)</f>
        <v>11.7944</v>
      </c>
      <c r="I1524" s="95" cm="1">
        <f ca="1" t="array" ref="I1524">MIN(30-SUM(J1524:L1524),6-L1524,_xlfn.XLOOKUP($D1524&amp;"_"&amp;I$52,$B$14:$B$36&amp;"_"&amp;$C$14:$C$36,$D$14:$D$36)*$E1524)</f>
        <v>0</v>
      </c>
      <c r="J1524" s="95" cm="1">
        <f ca="1" t="array" ref="J1524">MIN(8,_xlfn.XLOOKUP($D1524&amp;"_"&amp;J$52,$B$14:$B$36&amp;"_"&amp;$C$14:$C$36,$D$14:$D$36)*$E1524)</f>
        <v>8</v>
      </c>
      <c r="K1524" s="95" cm="1">
        <f ca="1" t="array" ref="K1524">MIN(18,_xlfn.XLOOKUP($D1524&amp;"_"&amp;K$52,$B$14:$B$36&amp;"_"&amp;$C$14:$C$36,$D$14:$D$36)*$E1524)</f>
        <v>4.2056</v>
      </c>
      <c r="L1524" s="95" cm="1">
        <f ca="1" t="array" ref="L1524">MIN(6,_xlfn.XLOOKUP($D1524&amp;"_"&amp;L$52,$B$14:$B$36&amp;"_"&amp;$C$14:$C$36,$D$14:$D$36)*$E1524)</f>
        <v>6</v>
      </c>
      <c r="M1524" s="95" cm="1">
        <f ca="1" t="array" ref="M1524">(1+SUMPRODUCT(G1524:H1524,OFFSET($H$40:$I$40,D1524,0)))*(1+OFFSET($J$40,D1524,0))^I1524*(1+OFFSET($K$40,D1524,0))^J1524*(1+OFFSET($L$40,D1524,0))^K1524*(1+OFFSET($M$40,D1524,0))^L1524</f>
        <v>352.560922357648</v>
      </c>
      <c r="N1524" s="95">
        <f ca="1">MAX(MAX($N$53:N1523),OFFSET($C$52,MATCH(M1524*1.07,$M$53:$M$2052,1),0)-C1524)</f>
        <v>71280</v>
      </c>
    </row>
    <row r="1525" spans="2:14">
      <c r="B1525" s="95">
        <v>1473</v>
      </c>
      <c r="C1525" s="95">
        <f t="shared" si="119"/>
        <v>530280</v>
      </c>
      <c r="D1525" s="95">
        <f ca="1">_xlfn.XLOOKUP(总览!$B$44,$B$40:$B$45,$C$40:$C$45)</f>
        <v>5</v>
      </c>
      <c r="E1525" s="95">
        <f ca="1" t="shared" si="118"/>
        <v>1503</v>
      </c>
      <c r="F1525" s="95">
        <f ca="1" t="shared" si="120"/>
        <v>0</v>
      </c>
      <c r="G1525" s="95">
        <f ca="1" t="shared" si="121"/>
        <v>0</v>
      </c>
      <c r="H1525" s="95" cm="1">
        <f ca="1" t="array" ref="H1525">MIN(30-SUM(I1525:L1525),_xlfn.XLOOKUP($D1525&amp;"_"&amp;H$52,$B$14:$B$36&amp;"_"&amp;$C$14:$C$36,$D$14:$D$36)*$E1525,18)</f>
        <v>11.7916</v>
      </c>
      <c r="I1525" s="95" cm="1">
        <f ca="1" t="array" ref="I1525">MIN(30-SUM(J1525:L1525),6-L1525,_xlfn.XLOOKUP($D1525&amp;"_"&amp;I$52,$B$14:$B$36&amp;"_"&amp;$C$14:$C$36,$D$14:$D$36)*$E1525)</f>
        <v>0</v>
      </c>
      <c r="J1525" s="95" cm="1">
        <f ca="1" t="array" ref="J1525">MIN(8,_xlfn.XLOOKUP($D1525&amp;"_"&amp;J$52,$B$14:$B$36&amp;"_"&amp;$C$14:$C$36,$D$14:$D$36)*$E1525)</f>
        <v>8</v>
      </c>
      <c r="K1525" s="95" cm="1">
        <f ca="1" t="array" ref="K1525">MIN(18,_xlfn.XLOOKUP($D1525&amp;"_"&amp;K$52,$B$14:$B$36&amp;"_"&amp;$C$14:$C$36,$D$14:$D$36)*$E1525)</f>
        <v>4.2084</v>
      </c>
      <c r="L1525" s="95" cm="1">
        <f ca="1" t="array" ref="L1525">MIN(6,_xlfn.XLOOKUP($D1525&amp;"_"&amp;L$52,$B$14:$B$36&amp;"_"&amp;$C$14:$C$36,$D$14:$D$36)*$E1525)</f>
        <v>6</v>
      </c>
      <c r="M1525" s="95" cm="1">
        <f ca="1" t="array" ref="M1525">(1+SUMPRODUCT(G1525:H1525,OFFSET($H$40:$I$40,D1525,0)))*(1+OFFSET($J$40,D1525,0))^I1525*(1+OFFSET($K$40,D1525,0))^J1525*(1+OFFSET($L$40,D1525,0))^K1525*(1+OFFSET($M$40,D1525,0))^L1525</f>
        <v>352.682141021749</v>
      </c>
      <c r="N1525" s="95">
        <f ca="1">MAX(MAX($N$53:N1524),OFFSET($C$52,MATCH(M1525*1.07,$M$53:$M$2052,1),0)-C1525)</f>
        <v>71280</v>
      </c>
    </row>
    <row r="1526" spans="2:14">
      <c r="B1526" s="95">
        <v>1474</v>
      </c>
      <c r="C1526" s="95">
        <f t="shared" si="119"/>
        <v>530640</v>
      </c>
      <c r="D1526" s="95">
        <f ca="1">_xlfn.XLOOKUP(总览!$B$44,$B$40:$B$45,$C$40:$C$45)</f>
        <v>5</v>
      </c>
      <c r="E1526" s="95">
        <f ca="1" t="shared" ref="E1526:E1589" si="122">INT(C1526/_xlfn.XLOOKUP(D1526,$N$5:$N$16,$O$5:$O$16))+OFFSET($R$40,D1526,0)</f>
        <v>1504</v>
      </c>
      <c r="F1526" s="95">
        <f ca="1" t="shared" si="120"/>
        <v>0</v>
      </c>
      <c r="G1526" s="95">
        <f ca="1" t="shared" si="121"/>
        <v>0</v>
      </c>
      <c r="H1526" s="95" cm="1">
        <f ca="1" t="array" ref="H1526">MIN(30-SUM(I1526:L1526),_xlfn.XLOOKUP($D1526&amp;"_"&amp;H$52,$B$14:$B$36&amp;"_"&amp;$C$14:$C$36,$D$14:$D$36)*$E1526,18)</f>
        <v>11.7888</v>
      </c>
      <c r="I1526" s="95" cm="1">
        <f ca="1" t="array" ref="I1526">MIN(30-SUM(J1526:L1526),6-L1526,_xlfn.XLOOKUP($D1526&amp;"_"&amp;I$52,$B$14:$B$36&amp;"_"&amp;$C$14:$C$36,$D$14:$D$36)*$E1526)</f>
        <v>0</v>
      </c>
      <c r="J1526" s="95" cm="1">
        <f ca="1" t="array" ref="J1526">MIN(8,_xlfn.XLOOKUP($D1526&amp;"_"&amp;J$52,$B$14:$B$36&amp;"_"&amp;$C$14:$C$36,$D$14:$D$36)*$E1526)</f>
        <v>8</v>
      </c>
      <c r="K1526" s="95" cm="1">
        <f ca="1" t="array" ref="K1526">MIN(18,_xlfn.XLOOKUP($D1526&amp;"_"&amp;K$52,$B$14:$B$36&amp;"_"&amp;$C$14:$C$36,$D$14:$D$36)*$E1526)</f>
        <v>4.2112</v>
      </c>
      <c r="L1526" s="95" cm="1">
        <f ca="1" t="array" ref="L1526">MIN(6,_xlfn.XLOOKUP($D1526&amp;"_"&amp;L$52,$B$14:$B$36&amp;"_"&amp;$C$14:$C$36,$D$14:$D$36)*$E1526)</f>
        <v>6</v>
      </c>
      <c r="M1526" s="95" cm="1">
        <f ca="1" t="array" ref="M1526">(1+SUMPRODUCT(G1526:H1526,OFFSET($H$40:$I$40,D1526,0)))*(1+OFFSET($J$40,D1526,0))^I1526*(1+OFFSET($K$40,D1526,0))^J1526*(1+OFFSET($L$40,D1526,0))^K1526*(1+OFFSET($M$40,D1526,0))^L1526</f>
        <v>352.803391553752</v>
      </c>
      <c r="N1526" s="95">
        <f ca="1">MAX(MAX($N$53:N1525),OFFSET($C$52,MATCH(M1526*1.07,$M$53:$M$2052,1),0)-C1526)</f>
        <v>71280</v>
      </c>
    </row>
    <row r="1527" spans="2:14">
      <c r="B1527" s="95">
        <v>1475</v>
      </c>
      <c r="C1527" s="95">
        <f t="shared" si="119"/>
        <v>531000</v>
      </c>
      <c r="D1527" s="95">
        <f ca="1">_xlfn.XLOOKUP(总览!$B$44,$B$40:$B$45,$C$40:$C$45)</f>
        <v>5</v>
      </c>
      <c r="E1527" s="95">
        <f ca="1" t="shared" si="122"/>
        <v>1505</v>
      </c>
      <c r="F1527" s="95">
        <f ca="1" t="shared" si="120"/>
        <v>0</v>
      </c>
      <c r="G1527" s="95">
        <f ca="1" t="shared" si="121"/>
        <v>0</v>
      </c>
      <c r="H1527" s="95" cm="1">
        <f ca="1" t="array" ref="H1527">MIN(30-SUM(I1527:L1527),_xlfn.XLOOKUP($D1527&amp;"_"&amp;H$52,$B$14:$B$36&amp;"_"&amp;$C$14:$C$36,$D$14:$D$36)*$E1527,18)</f>
        <v>11.786</v>
      </c>
      <c r="I1527" s="95" cm="1">
        <f ca="1" t="array" ref="I1527">MIN(30-SUM(J1527:L1527),6-L1527,_xlfn.XLOOKUP($D1527&amp;"_"&amp;I$52,$B$14:$B$36&amp;"_"&amp;$C$14:$C$36,$D$14:$D$36)*$E1527)</f>
        <v>0</v>
      </c>
      <c r="J1527" s="95" cm="1">
        <f ca="1" t="array" ref="J1527">MIN(8,_xlfn.XLOOKUP($D1527&amp;"_"&amp;J$52,$B$14:$B$36&amp;"_"&amp;$C$14:$C$36,$D$14:$D$36)*$E1527)</f>
        <v>8</v>
      </c>
      <c r="K1527" s="95" cm="1">
        <f ca="1" t="array" ref="K1527">MIN(18,_xlfn.XLOOKUP($D1527&amp;"_"&amp;K$52,$B$14:$B$36&amp;"_"&amp;$C$14:$C$36,$D$14:$D$36)*$E1527)</f>
        <v>4.214</v>
      </c>
      <c r="L1527" s="95" cm="1">
        <f ca="1" t="array" ref="L1527">MIN(6,_xlfn.XLOOKUP($D1527&amp;"_"&amp;L$52,$B$14:$B$36&amp;"_"&amp;$C$14:$C$36,$D$14:$D$36)*$E1527)</f>
        <v>6</v>
      </c>
      <c r="M1527" s="95" cm="1">
        <f ca="1" t="array" ref="M1527">(1+SUMPRODUCT(G1527:H1527,OFFSET($H$40:$I$40,D1527,0)))*(1+OFFSET($J$40,D1527,0))^I1527*(1+OFFSET($K$40,D1527,0))^J1527*(1+OFFSET($L$40,D1527,0))^K1527*(1+OFFSET($M$40,D1527,0))^L1527</f>
        <v>352.924673954593</v>
      </c>
      <c r="N1527" s="95">
        <f ca="1">MAX(MAX($N$53:N1526),OFFSET($C$52,MATCH(M1527*1.07,$M$53:$M$2052,1),0)-C1527)</f>
        <v>71280</v>
      </c>
    </row>
    <row r="1528" spans="2:14">
      <c r="B1528" s="95">
        <v>1476</v>
      </c>
      <c r="C1528" s="95">
        <f t="shared" si="119"/>
        <v>531360</v>
      </c>
      <c r="D1528" s="95">
        <f ca="1">_xlfn.XLOOKUP(总览!$B$44,$B$40:$B$45,$C$40:$C$45)</f>
        <v>5</v>
      </c>
      <c r="E1528" s="95">
        <f ca="1" t="shared" si="122"/>
        <v>1506</v>
      </c>
      <c r="F1528" s="95">
        <f ca="1" t="shared" si="120"/>
        <v>0</v>
      </c>
      <c r="G1528" s="95">
        <f ca="1" t="shared" si="121"/>
        <v>0</v>
      </c>
      <c r="H1528" s="95" cm="1">
        <f ca="1" t="array" ref="H1528">MIN(30-SUM(I1528:L1528),_xlfn.XLOOKUP($D1528&amp;"_"&amp;H$52,$B$14:$B$36&amp;"_"&amp;$C$14:$C$36,$D$14:$D$36)*$E1528,18)</f>
        <v>11.7832</v>
      </c>
      <c r="I1528" s="95" cm="1">
        <f ca="1" t="array" ref="I1528">MIN(30-SUM(J1528:L1528),6-L1528,_xlfn.XLOOKUP($D1528&amp;"_"&amp;I$52,$B$14:$B$36&amp;"_"&amp;$C$14:$C$36,$D$14:$D$36)*$E1528)</f>
        <v>0</v>
      </c>
      <c r="J1528" s="95" cm="1">
        <f ca="1" t="array" ref="J1528">MIN(8,_xlfn.XLOOKUP($D1528&amp;"_"&amp;J$52,$B$14:$B$36&amp;"_"&amp;$C$14:$C$36,$D$14:$D$36)*$E1528)</f>
        <v>8</v>
      </c>
      <c r="K1528" s="95" cm="1">
        <f ca="1" t="array" ref="K1528">MIN(18,_xlfn.XLOOKUP($D1528&amp;"_"&amp;K$52,$B$14:$B$36&amp;"_"&amp;$C$14:$C$36,$D$14:$D$36)*$E1528)</f>
        <v>4.2168</v>
      </c>
      <c r="L1528" s="95" cm="1">
        <f ca="1" t="array" ref="L1528">MIN(6,_xlfn.XLOOKUP($D1528&amp;"_"&amp;L$52,$B$14:$B$36&amp;"_"&amp;$C$14:$C$36,$D$14:$D$36)*$E1528)</f>
        <v>6</v>
      </c>
      <c r="M1528" s="95" cm="1">
        <f ca="1" t="array" ref="M1528">(1+SUMPRODUCT(G1528:H1528,OFFSET($H$40:$I$40,D1528,0)))*(1+OFFSET($J$40,D1528,0))^I1528*(1+OFFSET($K$40,D1528,0))^J1528*(1+OFFSET($L$40,D1528,0))^K1528*(1+OFFSET($M$40,D1528,0))^L1528</f>
        <v>353.045988225204</v>
      </c>
      <c r="N1528" s="95">
        <f ca="1">MAX(MAX($N$53:N1527),OFFSET($C$52,MATCH(M1528*1.07,$M$53:$M$2052,1),0)-C1528)</f>
        <v>71280</v>
      </c>
    </row>
    <row r="1529" spans="2:14">
      <c r="B1529" s="95">
        <v>1477</v>
      </c>
      <c r="C1529" s="95">
        <f t="shared" si="119"/>
        <v>531720</v>
      </c>
      <c r="D1529" s="95">
        <f ca="1">_xlfn.XLOOKUP(总览!$B$44,$B$40:$B$45,$C$40:$C$45)</f>
        <v>5</v>
      </c>
      <c r="E1529" s="95">
        <f ca="1" t="shared" si="122"/>
        <v>1507</v>
      </c>
      <c r="F1529" s="95">
        <f ca="1" t="shared" si="120"/>
        <v>0</v>
      </c>
      <c r="G1529" s="95">
        <f ca="1" t="shared" si="121"/>
        <v>0</v>
      </c>
      <c r="H1529" s="95" cm="1">
        <f ca="1" t="array" ref="H1529">MIN(30-SUM(I1529:L1529),_xlfn.XLOOKUP($D1529&amp;"_"&amp;H$52,$B$14:$B$36&amp;"_"&amp;$C$14:$C$36,$D$14:$D$36)*$E1529,18)</f>
        <v>11.7804</v>
      </c>
      <c r="I1529" s="95" cm="1">
        <f ca="1" t="array" ref="I1529">MIN(30-SUM(J1529:L1529),6-L1529,_xlfn.XLOOKUP($D1529&amp;"_"&amp;I$52,$B$14:$B$36&amp;"_"&amp;$C$14:$C$36,$D$14:$D$36)*$E1529)</f>
        <v>0</v>
      </c>
      <c r="J1529" s="95" cm="1">
        <f ca="1" t="array" ref="J1529">MIN(8,_xlfn.XLOOKUP($D1529&amp;"_"&amp;J$52,$B$14:$B$36&amp;"_"&amp;$C$14:$C$36,$D$14:$D$36)*$E1529)</f>
        <v>8</v>
      </c>
      <c r="K1529" s="95" cm="1">
        <f ca="1" t="array" ref="K1529">MIN(18,_xlfn.XLOOKUP($D1529&amp;"_"&amp;K$52,$B$14:$B$36&amp;"_"&amp;$C$14:$C$36,$D$14:$D$36)*$E1529)</f>
        <v>4.2196</v>
      </c>
      <c r="L1529" s="95" cm="1">
        <f ca="1" t="array" ref="L1529">MIN(6,_xlfn.XLOOKUP($D1529&amp;"_"&amp;L$52,$B$14:$B$36&amp;"_"&amp;$C$14:$C$36,$D$14:$D$36)*$E1529)</f>
        <v>6</v>
      </c>
      <c r="M1529" s="95" cm="1">
        <f ca="1" t="array" ref="M1529">(1+SUMPRODUCT(G1529:H1529,OFFSET($H$40:$I$40,D1529,0)))*(1+OFFSET($J$40,D1529,0))^I1529*(1+OFFSET($K$40,D1529,0))^J1529*(1+OFFSET($L$40,D1529,0))^K1529*(1+OFFSET($M$40,D1529,0))^L1529</f>
        <v>353.16733436651</v>
      </c>
      <c r="N1529" s="95">
        <f ca="1">MAX(MAX($N$53:N1528),OFFSET($C$52,MATCH(M1529*1.07,$M$53:$M$2052,1),0)-C1529)</f>
        <v>71280</v>
      </c>
    </row>
    <row r="1530" spans="2:14">
      <c r="B1530" s="95">
        <v>1478</v>
      </c>
      <c r="C1530" s="95">
        <f t="shared" si="119"/>
        <v>532080</v>
      </c>
      <c r="D1530" s="95">
        <f ca="1">_xlfn.XLOOKUP(总览!$B$44,$B$40:$B$45,$C$40:$C$45)</f>
        <v>5</v>
      </c>
      <c r="E1530" s="95">
        <f ca="1" t="shared" si="122"/>
        <v>1508</v>
      </c>
      <c r="F1530" s="95">
        <f ca="1" t="shared" si="120"/>
        <v>0</v>
      </c>
      <c r="G1530" s="95">
        <f ca="1" t="shared" si="121"/>
        <v>0</v>
      </c>
      <c r="H1530" s="95" cm="1">
        <f ca="1" t="array" ref="H1530">MIN(30-SUM(I1530:L1530),_xlfn.XLOOKUP($D1530&amp;"_"&amp;H$52,$B$14:$B$36&amp;"_"&amp;$C$14:$C$36,$D$14:$D$36)*$E1530,18)</f>
        <v>11.7776</v>
      </c>
      <c r="I1530" s="95" cm="1">
        <f ca="1" t="array" ref="I1530">MIN(30-SUM(J1530:L1530),6-L1530,_xlfn.XLOOKUP($D1530&amp;"_"&amp;I$52,$B$14:$B$36&amp;"_"&amp;$C$14:$C$36,$D$14:$D$36)*$E1530)</f>
        <v>0</v>
      </c>
      <c r="J1530" s="95" cm="1">
        <f ca="1" t="array" ref="J1530">MIN(8,_xlfn.XLOOKUP($D1530&amp;"_"&amp;J$52,$B$14:$B$36&amp;"_"&amp;$C$14:$C$36,$D$14:$D$36)*$E1530)</f>
        <v>8</v>
      </c>
      <c r="K1530" s="95" cm="1">
        <f ca="1" t="array" ref="K1530">MIN(18,_xlfn.XLOOKUP($D1530&amp;"_"&amp;K$52,$B$14:$B$36&amp;"_"&amp;$C$14:$C$36,$D$14:$D$36)*$E1530)</f>
        <v>4.2224</v>
      </c>
      <c r="L1530" s="95" cm="1">
        <f ca="1" t="array" ref="L1530">MIN(6,_xlfn.XLOOKUP($D1530&amp;"_"&amp;L$52,$B$14:$B$36&amp;"_"&amp;$C$14:$C$36,$D$14:$D$36)*$E1530)</f>
        <v>6</v>
      </c>
      <c r="M1530" s="95" cm="1">
        <f ca="1" t="array" ref="M1530">(1+SUMPRODUCT(G1530:H1530,OFFSET($H$40:$I$40,D1530,0)))*(1+OFFSET($J$40,D1530,0))^I1530*(1+OFFSET($K$40,D1530,0))^J1530*(1+OFFSET($L$40,D1530,0))^K1530*(1+OFFSET($M$40,D1530,0))^L1530</f>
        <v>353.288712379426</v>
      </c>
      <c r="N1530" s="95">
        <f ca="1">MAX(MAX($N$53:N1529),OFFSET($C$52,MATCH(M1530*1.07,$M$53:$M$2052,1),0)-C1530)</f>
        <v>71280</v>
      </c>
    </row>
    <row r="1531" spans="2:14">
      <c r="B1531" s="95">
        <v>1479</v>
      </c>
      <c r="C1531" s="95">
        <f t="shared" si="119"/>
        <v>532440</v>
      </c>
      <c r="D1531" s="95">
        <f ca="1">_xlfn.XLOOKUP(总览!$B$44,$B$40:$B$45,$C$40:$C$45)</f>
        <v>5</v>
      </c>
      <c r="E1531" s="95">
        <f ca="1" t="shared" si="122"/>
        <v>1509</v>
      </c>
      <c r="F1531" s="95">
        <f ca="1" t="shared" si="120"/>
        <v>0</v>
      </c>
      <c r="G1531" s="95">
        <f ca="1" t="shared" si="121"/>
        <v>0</v>
      </c>
      <c r="H1531" s="95" cm="1">
        <f ca="1" t="array" ref="H1531">MIN(30-SUM(I1531:L1531),_xlfn.XLOOKUP($D1531&amp;"_"&amp;H$52,$B$14:$B$36&amp;"_"&amp;$C$14:$C$36,$D$14:$D$36)*$E1531,18)</f>
        <v>11.7748</v>
      </c>
      <c r="I1531" s="95" cm="1">
        <f ca="1" t="array" ref="I1531">MIN(30-SUM(J1531:L1531),6-L1531,_xlfn.XLOOKUP($D1531&amp;"_"&amp;I$52,$B$14:$B$36&amp;"_"&amp;$C$14:$C$36,$D$14:$D$36)*$E1531)</f>
        <v>0</v>
      </c>
      <c r="J1531" s="95" cm="1">
        <f ca="1" t="array" ref="J1531">MIN(8,_xlfn.XLOOKUP($D1531&amp;"_"&amp;J$52,$B$14:$B$36&amp;"_"&amp;$C$14:$C$36,$D$14:$D$36)*$E1531)</f>
        <v>8</v>
      </c>
      <c r="K1531" s="95" cm="1">
        <f ca="1" t="array" ref="K1531">MIN(18,_xlfn.XLOOKUP($D1531&amp;"_"&amp;K$52,$B$14:$B$36&amp;"_"&amp;$C$14:$C$36,$D$14:$D$36)*$E1531)</f>
        <v>4.2252</v>
      </c>
      <c r="L1531" s="95" cm="1">
        <f ca="1" t="array" ref="L1531">MIN(6,_xlfn.XLOOKUP($D1531&amp;"_"&amp;L$52,$B$14:$B$36&amp;"_"&amp;$C$14:$C$36,$D$14:$D$36)*$E1531)</f>
        <v>6</v>
      </c>
      <c r="M1531" s="95" cm="1">
        <f ca="1" t="array" ref="M1531">(1+SUMPRODUCT(G1531:H1531,OFFSET($H$40:$I$40,D1531,0)))*(1+OFFSET($J$40,D1531,0))^I1531*(1+OFFSET($K$40,D1531,0))^J1531*(1+OFFSET($L$40,D1531,0))^K1531*(1+OFFSET($M$40,D1531,0))^L1531</f>
        <v>353.410122264861</v>
      </c>
      <c r="N1531" s="95">
        <f ca="1">MAX(MAX($N$53:N1530),OFFSET($C$52,MATCH(M1531*1.07,$M$53:$M$2052,1),0)-C1531)</f>
        <v>71280</v>
      </c>
    </row>
    <row r="1532" spans="2:14">
      <c r="B1532" s="95">
        <v>1480</v>
      </c>
      <c r="C1532" s="95">
        <f t="shared" si="119"/>
        <v>532800</v>
      </c>
      <c r="D1532" s="95">
        <f ca="1">_xlfn.XLOOKUP(总览!$B$44,$B$40:$B$45,$C$40:$C$45)</f>
        <v>5</v>
      </c>
      <c r="E1532" s="95">
        <f ca="1" t="shared" si="122"/>
        <v>1510</v>
      </c>
      <c r="F1532" s="95">
        <f ca="1" t="shared" si="120"/>
        <v>0</v>
      </c>
      <c r="G1532" s="95">
        <f ca="1" t="shared" si="121"/>
        <v>0</v>
      </c>
      <c r="H1532" s="95" cm="1">
        <f ca="1" t="array" ref="H1532">MIN(30-SUM(I1532:L1532),_xlfn.XLOOKUP($D1532&amp;"_"&amp;H$52,$B$14:$B$36&amp;"_"&amp;$C$14:$C$36,$D$14:$D$36)*$E1532,18)</f>
        <v>11.772</v>
      </c>
      <c r="I1532" s="95" cm="1">
        <f ca="1" t="array" ref="I1532">MIN(30-SUM(J1532:L1532),6-L1532,_xlfn.XLOOKUP($D1532&amp;"_"&amp;I$52,$B$14:$B$36&amp;"_"&amp;$C$14:$C$36,$D$14:$D$36)*$E1532)</f>
        <v>0</v>
      </c>
      <c r="J1532" s="95" cm="1">
        <f ca="1" t="array" ref="J1532">MIN(8,_xlfn.XLOOKUP($D1532&amp;"_"&amp;J$52,$B$14:$B$36&amp;"_"&amp;$C$14:$C$36,$D$14:$D$36)*$E1532)</f>
        <v>8</v>
      </c>
      <c r="K1532" s="95" cm="1">
        <f ca="1" t="array" ref="K1532">MIN(18,_xlfn.XLOOKUP($D1532&amp;"_"&amp;K$52,$B$14:$B$36&amp;"_"&amp;$C$14:$C$36,$D$14:$D$36)*$E1532)</f>
        <v>4.228</v>
      </c>
      <c r="L1532" s="95" cm="1">
        <f ca="1" t="array" ref="L1532">MIN(6,_xlfn.XLOOKUP($D1532&amp;"_"&amp;L$52,$B$14:$B$36&amp;"_"&amp;$C$14:$C$36,$D$14:$D$36)*$E1532)</f>
        <v>6</v>
      </c>
      <c r="M1532" s="95" cm="1">
        <f ca="1" t="array" ref="M1532">(1+SUMPRODUCT(G1532:H1532,OFFSET($H$40:$I$40,D1532,0)))*(1+OFFSET($J$40,D1532,0))^I1532*(1+OFFSET($K$40,D1532,0))^J1532*(1+OFFSET($L$40,D1532,0))^K1532*(1+OFFSET($M$40,D1532,0))^L1532</f>
        <v>353.531564023717</v>
      </c>
      <c r="N1532" s="95">
        <f ca="1">MAX(MAX($N$53:N1531),OFFSET($C$52,MATCH(M1532*1.07,$M$53:$M$2052,1),0)-C1532)</f>
        <v>71280</v>
      </c>
    </row>
    <row r="1533" spans="2:14">
      <c r="B1533" s="95">
        <v>1481</v>
      </c>
      <c r="C1533" s="95">
        <f t="shared" si="119"/>
        <v>533160</v>
      </c>
      <c r="D1533" s="95">
        <f ca="1">_xlfn.XLOOKUP(总览!$B$44,$B$40:$B$45,$C$40:$C$45)</f>
        <v>5</v>
      </c>
      <c r="E1533" s="95">
        <f ca="1" t="shared" si="122"/>
        <v>1511</v>
      </c>
      <c r="F1533" s="95">
        <f ca="1" t="shared" si="120"/>
        <v>0</v>
      </c>
      <c r="G1533" s="95">
        <f ca="1" t="shared" si="121"/>
        <v>0</v>
      </c>
      <c r="H1533" s="95" cm="1">
        <f ca="1" t="array" ref="H1533">MIN(30-SUM(I1533:L1533),_xlfn.XLOOKUP($D1533&amp;"_"&amp;H$52,$B$14:$B$36&amp;"_"&amp;$C$14:$C$36,$D$14:$D$36)*$E1533,18)</f>
        <v>11.7692</v>
      </c>
      <c r="I1533" s="95" cm="1">
        <f ca="1" t="array" ref="I1533">MIN(30-SUM(J1533:L1533),6-L1533,_xlfn.XLOOKUP($D1533&amp;"_"&amp;I$52,$B$14:$B$36&amp;"_"&amp;$C$14:$C$36,$D$14:$D$36)*$E1533)</f>
        <v>0</v>
      </c>
      <c r="J1533" s="95" cm="1">
        <f ca="1" t="array" ref="J1533">MIN(8,_xlfn.XLOOKUP($D1533&amp;"_"&amp;J$52,$B$14:$B$36&amp;"_"&amp;$C$14:$C$36,$D$14:$D$36)*$E1533)</f>
        <v>8</v>
      </c>
      <c r="K1533" s="95" cm="1">
        <f ca="1" t="array" ref="K1533">MIN(18,_xlfn.XLOOKUP($D1533&amp;"_"&amp;K$52,$B$14:$B$36&amp;"_"&amp;$C$14:$C$36,$D$14:$D$36)*$E1533)</f>
        <v>4.2308</v>
      </c>
      <c r="L1533" s="95" cm="1">
        <f ca="1" t="array" ref="L1533">MIN(6,_xlfn.XLOOKUP($D1533&amp;"_"&amp;L$52,$B$14:$B$36&amp;"_"&amp;$C$14:$C$36,$D$14:$D$36)*$E1533)</f>
        <v>6</v>
      </c>
      <c r="M1533" s="95" cm="1">
        <f ca="1" t="array" ref="M1533">(1+SUMPRODUCT(G1533:H1533,OFFSET($H$40:$I$40,D1533,0)))*(1+OFFSET($J$40,D1533,0))^I1533*(1+OFFSET($K$40,D1533,0))^J1533*(1+OFFSET($L$40,D1533,0))^K1533*(1+OFFSET($M$40,D1533,0))^L1533</f>
        <v>353.653037656888</v>
      </c>
      <c r="N1533" s="95">
        <f ca="1">MAX(MAX($N$53:N1532),OFFSET($C$52,MATCH(M1533*1.07,$M$53:$M$2052,1),0)-C1533)</f>
        <v>71280</v>
      </c>
    </row>
    <row r="1534" spans="2:14">
      <c r="B1534" s="95">
        <v>1482</v>
      </c>
      <c r="C1534" s="95">
        <f t="shared" si="119"/>
        <v>533520</v>
      </c>
      <c r="D1534" s="95">
        <f ca="1">_xlfn.XLOOKUP(总览!$B$44,$B$40:$B$45,$C$40:$C$45)</f>
        <v>5</v>
      </c>
      <c r="E1534" s="95">
        <f ca="1" t="shared" si="122"/>
        <v>1512</v>
      </c>
      <c r="F1534" s="95">
        <f ca="1" t="shared" si="120"/>
        <v>0</v>
      </c>
      <c r="G1534" s="95">
        <f ca="1" t="shared" si="121"/>
        <v>0</v>
      </c>
      <c r="H1534" s="95" cm="1">
        <f ca="1" t="array" ref="H1534">MIN(30-SUM(I1534:L1534),_xlfn.XLOOKUP($D1534&amp;"_"&amp;H$52,$B$14:$B$36&amp;"_"&amp;$C$14:$C$36,$D$14:$D$36)*$E1534,18)</f>
        <v>11.7664</v>
      </c>
      <c r="I1534" s="95" cm="1">
        <f ca="1" t="array" ref="I1534">MIN(30-SUM(J1534:L1534),6-L1534,_xlfn.XLOOKUP($D1534&amp;"_"&amp;I$52,$B$14:$B$36&amp;"_"&amp;$C$14:$C$36,$D$14:$D$36)*$E1534)</f>
        <v>0</v>
      </c>
      <c r="J1534" s="95" cm="1">
        <f ca="1" t="array" ref="J1534">MIN(8,_xlfn.XLOOKUP($D1534&amp;"_"&amp;J$52,$B$14:$B$36&amp;"_"&amp;$C$14:$C$36,$D$14:$D$36)*$E1534)</f>
        <v>8</v>
      </c>
      <c r="K1534" s="95" cm="1">
        <f ca="1" t="array" ref="K1534">MIN(18,_xlfn.XLOOKUP($D1534&amp;"_"&amp;K$52,$B$14:$B$36&amp;"_"&amp;$C$14:$C$36,$D$14:$D$36)*$E1534)</f>
        <v>4.2336</v>
      </c>
      <c r="L1534" s="95" cm="1">
        <f ca="1" t="array" ref="L1534">MIN(6,_xlfn.XLOOKUP($D1534&amp;"_"&amp;L$52,$B$14:$B$36&amp;"_"&amp;$C$14:$C$36,$D$14:$D$36)*$E1534)</f>
        <v>6</v>
      </c>
      <c r="M1534" s="95" cm="1">
        <f ca="1" t="array" ref="M1534">(1+SUMPRODUCT(G1534:H1534,OFFSET($H$40:$I$40,D1534,0)))*(1+OFFSET($J$40,D1534,0))^I1534*(1+OFFSET($K$40,D1534,0))^J1534*(1+OFFSET($L$40,D1534,0))^K1534*(1+OFFSET($M$40,D1534,0))^L1534</f>
        <v>353.774543165262</v>
      </c>
      <c r="N1534" s="95">
        <f ca="1">MAX(MAX($N$53:N1533),OFFSET($C$52,MATCH(M1534*1.07,$M$53:$M$2052,1),0)-C1534)</f>
        <v>71280</v>
      </c>
    </row>
    <row r="1535" spans="2:14">
      <c r="B1535" s="95">
        <v>1483</v>
      </c>
      <c r="C1535" s="95">
        <f t="shared" si="119"/>
        <v>533880</v>
      </c>
      <c r="D1535" s="95">
        <f ca="1">_xlfn.XLOOKUP(总览!$B$44,$B$40:$B$45,$C$40:$C$45)</f>
        <v>5</v>
      </c>
      <c r="E1535" s="95">
        <f ca="1" t="shared" si="122"/>
        <v>1513</v>
      </c>
      <c r="F1535" s="95">
        <f ca="1" t="shared" si="120"/>
        <v>0</v>
      </c>
      <c r="G1535" s="95">
        <f ca="1" t="shared" si="121"/>
        <v>0</v>
      </c>
      <c r="H1535" s="95" cm="1">
        <f ca="1" t="array" ref="H1535">MIN(30-SUM(I1535:L1535),_xlfn.XLOOKUP($D1535&amp;"_"&amp;H$52,$B$14:$B$36&amp;"_"&amp;$C$14:$C$36,$D$14:$D$36)*$E1535,18)</f>
        <v>11.7636</v>
      </c>
      <c r="I1535" s="95" cm="1">
        <f ca="1" t="array" ref="I1535">MIN(30-SUM(J1535:L1535),6-L1535,_xlfn.XLOOKUP($D1535&amp;"_"&amp;I$52,$B$14:$B$36&amp;"_"&amp;$C$14:$C$36,$D$14:$D$36)*$E1535)</f>
        <v>0</v>
      </c>
      <c r="J1535" s="95" cm="1">
        <f ca="1" t="array" ref="J1535">MIN(8,_xlfn.XLOOKUP($D1535&amp;"_"&amp;J$52,$B$14:$B$36&amp;"_"&amp;$C$14:$C$36,$D$14:$D$36)*$E1535)</f>
        <v>8</v>
      </c>
      <c r="K1535" s="95" cm="1">
        <f ca="1" t="array" ref="K1535">MIN(18,_xlfn.XLOOKUP($D1535&amp;"_"&amp;K$52,$B$14:$B$36&amp;"_"&amp;$C$14:$C$36,$D$14:$D$36)*$E1535)</f>
        <v>4.2364</v>
      </c>
      <c r="L1535" s="95" cm="1">
        <f ca="1" t="array" ref="L1535">MIN(6,_xlfn.XLOOKUP($D1535&amp;"_"&amp;L$52,$B$14:$B$36&amp;"_"&amp;$C$14:$C$36,$D$14:$D$36)*$E1535)</f>
        <v>6</v>
      </c>
      <c r="M1535" s="95" cm="1">
        <f ca="1" t="array" ref="M1535">(1+SUMPRODUCT(G1535:H1535,OFFSET($H$40:$I$40,D1535,0)))*(1+OFFSET($J$40,D1535,0))^I1535*(1+OFFSET($K$40,D1535,0))^J1535*(1+OFFSET($L$40,D1535,0))^K1535*(1+OFFSET($M$40,D1535,0))^L1535</f>
        <v>353.896080549717</v>
      </c>
      <c r="N1535" s="95">
        <f ca="1">MAX(MAX($N$53:N1534),OFFSET($C$52,MATCH(M1535*1.07,$M$53:$M$2052,1),0)-C1535)</f>
        <v>71280</v>
      </c>
    </row>
    <row r="1536" spans="2:14">
      <c r="B1536" s="95">
        <v>1484</v>
      </c>
      <c r="C1536" s="95">
        <f t="shared" si="119"/>
        <v>534240</v>
      </c>
      <c r="D1536" s="95">
        <f ca="1">_xlfn.XLOOKUP(总览!$B$44,$B$40:$B$45,$C$40:$C$45)</f>
        <v>5</v>
      </c>
      <c r="E1536" s="95">
        <f ca="1" t="shared" si="122"/>
        <v>1514</v>
      </c>
      <c r="F1536" s="95">
        <f ca="1" t="shared" si="120"/>
        <v>0</v>
      </c>
      <c r="G1536" s="95">
        <f ca="1" t="shared" si="121"/>
        <v>0</v>
      </c>
      <c r="H1536" s="95" cm="1">
        <f ca="1" t="array" ref="H1536">MIN(30-SUM(I1536:L1536),_xlfn.XLOOKUP($D1536&amp;"_"&amp;H$52,$B$14:$B$36&amp;"_"&amp;$C$14:$C$36,$D$14:$D$36)*$E1536,18)</f>
        <v>11.7608</v>
      </c>
      <c r="I1536" s="95" cm="1">
        <f ca="1" t="array" ref="I1536">MIN(30-SUM(J1536:L1536),6-L1536,_xlfn.XLOOKUP($D1536&amp;"_"&amp;I$52,$B$14:$B$36&amp;"_"&amp;$C$14:$C$36,$D$14:$D$36)*$E1536)</f>
        <v>0</v>
      </c>
      <c r="J1536" s="95" cm="1">
        <f ca="1" t="array" ref="J1536">MIN(8,_xlfn.XLOOKUP($D1536&amp;"_"&amp;J$52,$B$14:$B$36&amp;"_"&amp;$C$14:$C$36,$D$14:$D$36)*$E1536)</f>
        <v>8</v>
      </c>
      <c r="K1536" s="95" cm="1">
        <f ca="1" t="array" ref="K1536">MIN(18,_xlfn.XLOOKUP($D1536&amp;"_"&amp;K$52,$B$14:$B$36&amp;"_"&amp;$C$14:$C$36,$D$14:$D$36)*$E1536)</f>
        <v>4.2392</v>
      </c>
      <c r="L1536" s="95" cm="1">
        <f ca="1" t="array" ref="L1536">MIN(6,_xlfn.XLOOKUP($D1536&amp;"_"&amp;L$52,$B$14:$B$36&amp;"_"&amp;$C$14:$C$36,$D$14:$D$36)*$E1536)</f>
        <v>6</v>
      </c>
      <c r="M1536" s="95" cm="1">
        <f ca="1" t="array" ref="M1536">(1+SUMPRODUCT(G1536:H1536,OFFSET($H$40:$I$40,D1536,0)))*(1+OFFSET($J$40,D1536,0))^I1536*(1+OFFSET($K$40,D1536,0))^J1536*(1+OFFSET($L$40,D1536,0))^K1536*(1+OFFSET($M$40,D1536,0))^L1536</f>
        <v>354.017649811125</v>
      </c>
      <c r="N1536" s="95">
        <f ca="1">MAX(MAX($N$53:N1535),OFFSET($C$52,MATCH(M1536*1.07,$M$53:$M$2052,1),0)-C1536)</f>
        <v>71280</v>
      </c>
    </row>
    <row r="1537" spans="2:14">
      <c r="B1537" s="95">
        <v>1485</v>
      </c>
      <c r="C1537" s="95">
        <f t="shared" si="119"/>
        <v>534600</v>
      </c>
      <c r="D1537" s="95">
        <f ca="1">_xlfn.XLOOKUP(总览!$B$44,$B$40:$B$45,$C$40:$C$45)</f>
        <v>5</v>
      </c>
      <c r="E1537" s="95">
        <f ca="1" t="shared" si="122"/>
        <v>1515</v>
      </c>
      <c r="F1537" s="95">
        <f ca="1" t="shared" si="120"/>
        <v>0</v>
      </c>
      <c r="G1537" s="95">
        <f ca="1" t="shared" si="121"/>
        <v>0</v>
      </c>
      <c r="H1537" s="95" cm="1">
        <f ca="1" t="array" ref="H1537">MIN(30-SUM(I1537:L1537),_xlfn.XLOOKUP($D1537&amp;"_"&amp;H$52,$B$14:$B$36&amp;"_"&amp;$C$14:$C$36,$D$14:$D$36)*$E1537,18)</f>
        <v>11.758</v>
      </c>
      <c r="I1537" s="95" cm="1">
        <f ca="1" t="array" ref="I1537">MIN(30-SUM(J1537:L1537),6-L1537,_xlfn.XLOOKUP($D1537&amp;"_"&amp;I$52,$B$14:$B$36&amp;"_"&amp;$C$14:$C$36,$D$14:$D$36)*$E1537)</f>
        <v>0</v>
      </c>
      <c r="J1537" s="95" cm="1">
        <f ca="1" t="array" ref="J1537">MIN(8,_xlfn.XLOOKUP($D1537&amp;"_"&amp;J$52,$B$14:$B$36&amp;"_"&amp;$C$14:$C$36,$D$14:$D$36)*$E1537)</f>
        <v>8</v>
      </c>
      <c r="K1537" s="95" cm="1">
        <f ca="1" t="array" ref="K1537">MIN(18,_xlfn.XLOOKUP($D1537&amp;"_"&amp;K$52,$B$14:$B$36&amp;"_"&amp;$C$14:$C$36,$D$14:$D$36)*$E1537)</f>
        <v>4.242</v>
      </c>
      <c r="L1537" s="95" cm="1">
        <f ca="1" t="array" ref="L1537">MIN(6,_xlfn.XLOOKUP($D1537&amp;"_"&amp;L$52,$B$14:$B$36&amp;"_"&amp;$C$14:$C$36,$D$14:$D$36)*$E1537)</f>
        <v>6</v>
      </c>
      <c r="M1537" s="95" cm="1">
        <f ca="1" t="array" ref="M1537">(1+SUMPRODUCT(G1537:H1537,OFFSET($H$40:$I$40,D1537,0)))*(1+OFFSET($J$40,D1537,0))^I1537*(1+OFFSET($K$40,D1537,0))^J1537*(1+OFFSET($L$40,D1537,0))^K1537*(1+OFFSET($M$40,D1537,0))^L1537</f>
        <v>354.139250950351</v>
      </c>
      <c r="N1537" s="95">
        <f ca="1">MAX(MAX($N$53:N1536),OFFSET($C$52,MATCH(M1537*1.07,$M$53:$M$2052,1),0)-C1537)</f>
        <v>71280</v>
      </c>
    </row>
    <row r="1538" spans="2:14">
      <c r="B1538" s="95">
        <v>1486</v>
      </c>
      <c r="C1538" s="95">
        <f t="shared" si="119"/>
        <v>534960</v>
      </c>
      <c r="D1538" s="95">
        <f ca="1">_xlfn.XLOOKUP(总览!$B$44,$B$40:$B$45,$C$40:$C$45)</f>
        <v>5</v>
      </c>
      <c r="E1538" s="95">
        <f ca="1" t="shared" si="122"/>
        <v>1516</v>
      </c>
      <c r="F1538" s="95">
        <f ca="1" t="shared" si="120"/>
        <v>0</v>
      </c>
      <c r="G1538" s="95">
        <f ca="1" t="shared" si="121"/>
        <v>0</v>
      </c>
      <c r="H1538" s="95" cm="1">
        <f ca="1" t="array" ref="H1538">MIN(30-SUM(I1538:L1538),_xlfn.XLOOKUP($D1538&amp;"_"&amp;H$52,$B$14:$B$36&amp;"_"&amp;$C$14:$C$36,$D$14:$D$36)*$E1538,18)</f>
        <v>11.7552</v>
      </c>
      <c r="I1538" s="95" cm="1">
        <f ca="1" t="array" ref="I1538">MIN(30-SUM(J1538:L1538),6-L1538,_xlfn.XLOOKUP($D1538&amp;"_"&amp;I$52,$B$14:$B$36&amp;"_"&amp;$C$14:$C$36,$D$14:$D$36)*$E1538)</f>
        <v>0</v>
      </c>
      <c r="J1538" s="95" cm="1">
        <f ca="1" t="array" ref="J1538">MIN(8,_xlfn.XLOOKUP($D1538&amp;"_"&amp;J$52,$B$14:$B$36&amp;"_"&amp;$C$14:$C$36,$D$14:$D$36)*$E1538)</f>
        <v>8</v>
      </c>
      <c r="K1538" s="95" cm="1">
        <f ca="1" t="array" ref="K1538">MIN(18,_xlfn.XLOOKUP($D1538&amp;"_"&amp;K$52,$B$14:$B$36&amp;"_"&amp;$C$14:$C$36,$D$14:$D$36)*$E1538)</f>
        <v>4.2448</v>
      </c>
      <c r="L1538" s="95" cm="1">
        <f ca="1" t="array" ref="L1538">MIN(6,_xlfn.XLOOKUP($D1538&amp;"_"&amp;L$52,$B$14:$B$36&amp;"_"&amp;$C$14:$C$36,$D$14:$D$36)*$E1538)</f>
        <v>6</v>
      </c>
      <c r="M1538" s="95" cm="1">
        <f ca="1" t="array" ref="M1538">(1+SUMPRODUCT(G1538:H1538,OFFSET($H$40:$I$40,D1538,0)))*(1+OFFSET($J$40,D1538,0))^I1538*(1+OFFSET($K$40,D1538,0))^J1538*(1+OFFSET($L$40,D1538,0))^K1538*(1+OFFSET($M$40,D1538,0))^L1538</f>
        <v>354.260883968253</v>
      </c>
      <c r="N1538" s="95">
        <f ca="1">MAX(MAX($N$53:N1537),OFFSET($C$52,MATCH(M1538*1.07,$M$53:$M$2052,1),0)-C1538)</f>
        <v>71280</v>
      </c>
    </row>
    <row r="1539" spans="2:14">
      <c r="B1539" s="95">
        <v>1487</v>
      </c>
      <c r="C1539" s="95">
        <f t="shared" si="119"/>
        <v>535320</v>
      </c>
      <c r="D1539" s="95">
        <f ca="1">_xlfn.XLOOKUP(总览!$B$44,$B$40:$B$45,$C$40:$C$45)</f>
        <v>5</v>
      </c>
      <c r="E1539" s="95">
        <f ca="1" t="shared" si="122"/>
        <v>1517</v>
      </c>
      <c r="F1539" s="95">
        <f ca="1" t="shared" si="120"/>
        <v>0</v>
      </c>
      <c r="G1539" s="95">
        <f ca="1" t="shared" si="121"/>
        <v>0</v>
      </c>
      <c r="H1539" s="95" cm="1">
        <f ca="1" t="array" ref="H1539">MIN(30-SUM(I1539:L1539),_xlfn.XLOOKUP($D1539&amp;"_"&amp;H$52,$B$14:$B$36&amp;"_"&amp;$C$14:$C$36,$D$14:$D$36)*$E1539,18)</f>
        <v>11.7524</v>
      </c>
      <c r="I1539" s="95" cm="1">
        <f ca="1" t="array" ref="I1539">MIN(30-SUM(J1539:L1539),6-L1539,_xlfn.XLOOKUP($D1539&amp;"_"&amp;I$52,$B$14:$B$36&amp;"_"&amp;$C$14:$C$36,$D$14:$D$36)*$E1539)</f>
        <v>0</v>
      </c>
      <c r="J1539" s="95" cm="1">
        <f ca="1" t="array" ref="J1539">MIN(8,_xlfn.XLOOKUP($D1539&amp;"_"&amp;J$52,$B$14:$B$36&amp;"_"&amp;$C$14:$C$36,$D$14:$D$36)*$E1539)</f>
        <v>8</v>
      </c>
      <c r="K1539" s="95" cm="1">
        <f ca="1" t="array" ref="K1539">MIN(18,_xlfn.XLOOKUP($D1539&amp;"_"&amp;K$52,$B$14:$B$36&amp;"_"&amp;$C$14:$C$36,$D$14:$D$36)*$E1539)</f>
        <v>4.2476</v>
      </c>
      <c r="L1539" s="95" cm="1">
        <f ca="1" t="array" ref="L1539">MIN(6,_xlfn.XLOOKUP($D1539&amp;"_"&amp;L$52,$B$14:$B$36&amp;"_"&amp;$C$14:$C$36,$D$14:$D$36)*$E1539)</f>
        <v>6</v>
      </c>
      <c r="M1539" s="95" cm="1">
        <f ca="1" t="array" ref="M1539">(1+SUMPRODUCT(G1539:H1539,OFFSET($H$40:$I$40,D1539,0)))*(1+OFFSET($J$40,D1539,0))^I1539*(1+OFFSET($K$40,D1539,0))^J1539*(1+OFFSET($L$40,D1539,0))^K1539*(1+OFFSET($M$40,D1539,0))^L1539</f>
        <v>354.382548865679</v>
      </c>
      <c r="N1539" s="95">
        <f ca="1">MAX(MAX($N$53:N1538),OFFSET($C$52,MATCH(M1539*1.07,$M$53:$M$2052,1),0)-C1539)</f>
        <v>71280</v>
      </c>
    </row>
    <row r="1540" spans="2:14">
      <c r="B1540" s="95">
        <v>1488</v>
      </c>
      <c r="C1540" s="95">
        <f t="shared" si="119"/>
        <v>535680</v>
      </c>
      <c r="D1540" s="95">
        <f ca="1">_xlfn.XLOOKUP(总览!$B$44,$B$40:$B$45,$C$40:$C$45)</f>
        <v>5</v>
      </c>
      <c r="E1540" s="95">
        <f ca="1" t="shared" si="122"/>
        <v>1518</v>
      </c>
      <c r="F1540" s="95">
        <f ca="1" t="shared" si="120"/>
        <v>0</v>
      </c>
      <c r="G1540" s="95">
        <f ca="1" t="shared" si="121"/>
        <v>0</v>
      </c>
      <c r="H1540" s="95" cm="1">
        <f ca="1" t="array" ref="H1540">MIN(30-SUM(I1540:L1540),_xlfn.XLOOKUP($D1540&amp;"_"&amp;H$52,$B$14:$B$36&amp;"_"&amp;$C$14:$C$36,$D$14:$D$36)*$E1540,18)</f>
        <v>11.7496</v>
      </c>
      <c r="I1540" s="95" cm="1">
        <f ca="1" t="array" ref="I1540">MIN(30-SUM(J1540:L1540),6-L1540,_xlfn.XLOOKUP($D1540&amp;"_"&amp;I$52,$B$14:$B$36&amp;"_"&amp;$C$14:$C$36,$D$14:$D$36)*$E1540)</f>
        <v>0</v>
      </c>
      <c r="J1540" s="95" cm="1">
        <f ca="1" t="array" ref="J1540">MIN(8,_xlfn.XLOOKUP($D1540&amp;"_"&amp;J$52,$B$14:$B$36&amp;"_"&amp;$C$14:$C$36,$D$14:$D$36)*$E1540)</f>
        <v>8</v>
      </c>
      <c r="K1540" s="95" cm="1">
        <f ca="1" t="array" ref="K1540">MIN(18,_xlfn.XLOOKUP($D1540&amp;"_"&amp;K$52,$B$14:$B$36&amp;"_"&amp;$C$14:$C$36,$D$14:$D$36)*$E1540)</f>
        <v>4.2504</v>
      </c>
      <c r="L1540" s="95" cm="1">
        <f ca="1" t="array" ref="L1540">MIN(6,_xlfn.XLOOKUP($D1540&amp;"_"&amp;L$52,$B$14:$B$36&amp;"_"&amp;$C$14:$C$36,$D$14:$D$36)*$E1540)</f>
        <v>6</v>
      </c>
      <c r="M1540" s="95" cm="1">
        <f ca="1" t="array" ref="M1540">(1+SUMPRODUCT(G1540:H1540,OFFSET($H$40:$I$40,D1540,0)))*(1+OFFSET($J$40,D1540,0))^I1540*(1+OFFSET($K$40,D1540,0))^J1540*(1+OFFSET($L$40,D1540,0))^K1540*(1+OFFSET($M$40,D1540,0))^L1540</f>
        <v>354.504245643473</v>
      </c>
      <c r="N1540" s="95">
        <f ca="1">MAX(MAX($N$53:N1539),OFFSET($C$52,MATCH(M1540*1.07,$M$53:$M$2052,1),0)-C1540)</f>
        <v>71280</v>
      </c>
    </row>
    <row r="1541" spans="2:14">
      <c r="B1541" s="95">
        <v>1489</v>
      </c>
      <c r="C1541" s="95">
        <f t="shared" si="119"/>
        <v>536040</v>
      </c>
      <c r="D1541" s="95">
        <f ca="1">_xlfn.XLOOKUP(总览!$B$44,$B$40:$B$45,$C$40:$C$45)</f>
        <v>5</v>
      </c>
      <c r="E1541" s="95">
        <f ca="1" t="shared" si="122"/>
        <v>1519</v>
      </c>
      <c r="F1541" s="95">
        <f ca="1" t="shared" si="120"/>
        <v>0</v>
      </c>
      <c r="G1541" s="95">
        <f ca="1" t="shared" si="121"/>
        <v>0</v>
      </c>
      <c r="H1541" s="95" cm="1">
        <f ca="1" t="array" ref="H1541">MIN(30-SUM(I1541:L1541),_xlfn.XLOOKUP($D1541&amp;"_"&amp;H$52,$B$14:$B$36&amp;"_"&amp;$C$14:$C$36,$D$14:$D$36)*$E1541,18)</f>
        <v>11.7468</v>
      </c>
      <c r="I1541" s="95" cm="1">
        <f ca="1" t="array" ref="I1541">MIN(30-SUM(J1541:L1541),6-L1541,_xlfn.XLOOKUP($D1541&amp;"_"&amp;I$52,$B$14:$B$36&amp;"_"&amp;$C$14:$C$36,$D$14:$D$36)*$E1541)</f>
        <v>0</v>
      </c>
      <c r="J1541" s="95" cm="1">
        <f ca="1" t="array" ref="J1541">MIN(8,_xlfn.XLOOKUP($D1541&amp;"_"&amp;J$52,$B$14:$B$36&amp;"_"&amp;$C$14:$C$36,$D$14:$D$36)*$E1541)</f>
        <v>8</v>
      </c>
      <c r="K1541" s="95" cm="1">
        <f ca="1" t="array" ref="K1541">MIN(18,_xlfn.XLOOKUP($D1541&amp;"_"&amp;K$52,$B$14:$B$36&amp;"_"&amp;$C$14:$C$36,$D$14:$D$36)*$E1541)</f>
        <v>4.2532</v>
      </c>
      <c r="L1541" s="95" cm="1">
        <f ca="1" t="array" ref="L1541">MIN(6,_xlfn.XLOOKUP($D1541&amp;"_"&amp;L$52,$B$14:$B$36&amp;"_"&amp;$C$14:$C$36,$D$14:$D$36)*$E1541)</f>
        <v>6</v>
      </c>
      <c r="M1541" s="95" cm="1">
        <f ca="1" t="array" ref="M1541">(1+SUMPRODUCT(G1541:H1541,OFFSET($H$40:$I$40,D1541,0)))*(1+OFFSET($J$40,D1541,0))^I1541*(1+OFFSET($K$40,D1541,0))^J1541*(1+OFFSET($L$40,D1541,0))^K1541*(1+OFFSET($M$40,D1541,0))^L1541</f>
        <v>354.625974302469</v>
      </c>
      <c r="N1541" s="95">
        <f ca="1">MAX(MAX($N$53:N1540),OFFSET($C$52,MATCH(M1541*1.07,$M$53:$M$2052,1),0)-C1541)</f>
        <v>71280</v>
      </c>
    </row>
    <row r="1542" spans="2:14">
      <c r="B1542" s="95">
        <v>1490</v>
      </c>
      <c r="C1542" s="95">
        <f t="shared" si="119"/>
        <v>536400</v>
      </c>
      <c r="D1542" s="95">
        <f ca="1">_xlfn.XLOOKUP(总览!$B$44,$B$40:$B$45,$C$40:$C$45)</f>
        <v>5</v>
      </c>
      <c r="E1542" s="95">
        <f ca="1" t="shared" si="122"/>
        <v>1520</v>
      </c>
      <c r="F1542" s="95">
        <f ca="1" t="shared" si="120"/>
        <v>0</v>
      </c>
      <c r="G1542" s="95">
        <f ca="1" t="shared" si="121"/>
        <v>0</v>
      </c>
      <c r="H1542" s="95" cm="1">
        <f ca="1" t="array" ref="H1542">MIN(30-SUM(I1542:L1542),_xlfn.XLOOKUP($D1542&amp;"_"&amp;H$52,$B$14:$B$36&amp;"_"&amp;$C$14:$C$36,$D$14:$D$36)*$E1542,18)</f>
        <v>11.744</v>
      </c>
      <c r="I1542" s="95" cm="1">
        <f ca="1" t="array" ref="I1542">MIN(30-SUM(J1542:L1542),6-L1542,_xlfn.XLOOKUP($D1542&amp;"_"&amp;I$52,$B$14:$B$36&amp;"_"&amp;$C$14:$C$36,$D$14:$D$36)*$E1542)</f>
        <v>0</v>
      </c>
      <c r="J1542" s="95" cm="1">
        <f ca="1" t="array" ref="J1542">MIN(8,_xlfn.XLOOKUP($D1542&amp;"_"&amp;J$52,$B$14:$B$36&amp;"_"&amp;$C$14:$C$36,$D$14:$D$36)*$E1542)</f>
        <v>8</v>
      </c>
      <c r="K1542" s="95" cm="1">
        <f ca="1" t="array" ref="K1542">MIN(18,_xlfn.XLOOKUP($D1542&amp;"_"&amp;K$52,$B$14:$B$36&amp;"_"&amp;$C$14:$C$36,$D$14:$D$36)*$E1542)</f>
        <v>4.256</v>
      </c>
      <c r="L1542" s="95" cm="1">
        <f ca="1" t="array" ref="L1542">MIN(6,_xlfn.XLOOKUP($D1542&amp;"_"&amp;L$52,$B$14:$B$36&amp;"_"&amp;$C$14:$C$36,$D$14:$D$36)*$E1542)</f>
        <v>6</v>
      </c>
      <c r="M1542" s="95" cm="1">
        <f ca="1" t="array" ref="M1542">(1+SUMPRODUCT(G1542:H1542,OFFSET($H$40:$I$40,D1542,0)))*(1+OFFSET($J$40,D1542,0))^I1542*(1+OFFSET($K$40,D1542,0))^J1542*(1+OFFSET($L$40,D1542,0))^K1542*(1+OFFSET($M$40,D1542,0))^L1542</f>
        <v>354.747734843494</v>
      </c>
      <c r="N1542" s="95">
        <f ca="1">MAX(MAX($N$53:N1541),OFFSET($C$52,MATCH(M1542*1.07,$M$53:$M$2052,1),0)-C1542)</f>
        <v>71280</v>
      </c>
    </row>
    <row r="1543" spans="2:14">
      <c r="B1543" s="95">
        <v>1491</v>
      </c>
      <c r="C1543" s="95">
        <f t="shared" si="119"/>
        <v>536760</v>
      </c>
      <c r="D1543" s="95">
        <f ca="1">_xlfn.XLOOKUP(总览!$B$44,$B$40:$B$45,$C$40:$C$45)</f>
        <v>5</v>
      </c>
      <c r="E1543" s="95">
        <f ca="1" t="shared" si="122"/>
        <v>1521</v>
      </c>
      <c r="F1543" s="95">
        <f ca="1" t="shared" si="120"/>
        <v>0</v>
      </c>
      <c r="G1543" s="95">
        <f ca="1" t="shared" si="121"/>
        <v>0</v>
      </c>
      <c r="H1543" s="95" cm="1">
        <f ca="1" t="array" ref="H1543">MIN(30-SUM(I1543:L1543),_xlfn.XLOOKUP($D1543&amp;"_"&amp;H$52,$B$14:$B$36&amp;"_"&amp;$C$14:$C$36,$D$14:$D$36)*$E1543,18)</f>
        <v>11.7412</v>
      </c>
      <c r="I1543" s="95" cm="1">
        <f ca="1" t="array" ref="I1543">MIN(30-SUM(J1543:L1543),6-L1543,_xlfn.XLOOKUP($D1543&amp;"_"&amp;I$52,$B$14:$B$36&amp;"_"&amp;$C$14:$C$36,$D$14:$D$36)*$E1543)</f>
        <v>0</v>
      </c>
      <c r="J1543" s="95" cm="1">
        <f ca="1" t="array" ref="J1543">MIN(8,_xlfn.XLOOKUP($D1543&amp;"_"&amp;J$52,$B$14:$B$36&amp;"_"&amp;$C$14:$C$36,$D$14:$D$36)*$E1543)</f>
        <v>8</v>
      </c>
      <c r="K1543" s="95" cm="1">
        <f ca="1" t="array" ref="K1543">MIN(18,_xlfn.XLOOKUP($D1543&amp;"_"&amp;K$52,$B$14:$B$36&amp;"_"&amp;$C$14:$C$36,$D$14:$D$36)*$E1543)</f>
        <v>4.2588</v>
      </c>
      <c r="L1543" s="95" cm="1">
        <f ca="1" t="array" ref="L1543">MIN(6,_xlfn.XLOOKUP($D1543&amp;"_"&amp;L$52,$B$14:$B$36&amp;"_"&amp;$C$14:$C$36,$D$14:$D$36)*$E1543)</f>
        <v>6</v>
      </c>
      <c r="M1543" s="95" cm="1">
        <f ca="1" t="array" ref="M1543">(1+SUMPRODUCT(G1543:H1543,OFFSET($H$40:$I$40,D1543,0)))*(1+OFFSET($J$40,D1543,0))^I1543*(1+OFFSET($K$40,D1543,0))^J1543*(1+OFFSET($L$40,D1543,0))^K1543*(1+OFFSET($M$40,D1543,0))^L1543</f>
        <v>354.869527267369</v>
      </c>
      <c r="N1543" s="95">
        <f ca="1">MAX(MAX($N$53:N1542),OFFSET($C$52,MATCH(M1543*1.07,$M$53:$M$2052,1),0)-C1543)</f>
        <v>71280</v>
      </c>
    </row>
    <row r="1544" spans="2:14">
      <c r="B1544" s="95">
        <v>1492</v>
      </c>
      <c r="C1544" s="95">
        <f t="shared" si="119"/>
        <v>537120</v>
      </c>
      <c r="D1544" s="95">
        <f ca="1">_xlfn.XLOOKUP(总览!$B$44,$B$40:$B$45,$C$40:$C$45)</f>
        <v>5</v>
      </c>
      <c r="E1544" s="95">
        <f ca="1" t="shared" si="122"/>
        <v>1522</v>
      </c>
      <c r="F1544" s="95">
        <f ca="1" t="shared" si="120"/>
        <v>0</v>
      </c>
      <c r="G1544" s="95">
        <f ca="1" t="shared" si="121"/>
        <v>0</v>
      </c>
      <c r="H1544" s="95" cm="1">
        <f ca="1" t="array" ref="H1544">MIN(30-SUM(I1544:L1544),_xlfn.XLOOKUP($D1544&amp;"_"&amp;H$52,$B$14:$B$36&amp;"_"&amp;$C$14:$C$36,$D$14:$D$36)*$E1544,18)</f>
        <v>11.7384</v>
      </c>
      <c r="I1544" s="95" cm="1">
        <f ca="1" t="array" ref="I1544">MIN(30-SUM(J1544:L1544),6-L1544,_xlfn.XLOOKUP($D1544&amp;"_"&amp;I$52,$B$14:$B$36&amp;"_"&amp;$C$14:$C$36,$D$14:$D$36)*$E1544)</f>
        <v>0</v>
      </c>
      <c r="J1544" s="95" cm="1">
        <f ca="1" t="array" ref="J1544">MIN(8,_xlfn.XLOOKUP($D1544&amp;"_"&amp;J$52,$B$14:$B$36&amp;"_"&amp;$C$14:$C$36,$D$14:$D$36)*$E1544)</f>
        <v>8</v>
      </c>
      <c r="K1544" s="95" cm="1">
        <f ca="1" t="array" ref="K1544">MIN(18,_xlfn.XLOOKUP($D1544&amp;"_"&amp;K$52,$B$14:$B$36&amp;"_"&amp;$C$14:$C$36,$D$14:$D$36)*$E1544)</f>
        <v>4.2616</v>
      </c>
      <c r="L1544" s="95" cm="1">
        <f ca="1" t="array" ref="L1544">MIN(6,_xlfn.XLOOKUP($D1544&amp;"_"&amp;L$52,$B$14:$B$36&amp;"_"&amp;$C$14:$C$36,$D$14:$D$36)*$E1544)</f>
        <v>6</v>
      </c>
      <c r="M1544" s="95" cm="1">
        <f ca="1" t="array" ref="M1544">(1+SUMPRODUCT(G1544:H1544,OFFSET($H$40:$I$40,D1544,0)))*(1+OFFSET($J$40,D1544,0))^I1544*(1+OFFSET($K$40,D1544,0))^J1544*(1+OFFSET($L$40,D1544,0))^K1544*(1+OFFSET($M$40,D1544,0))^L1544</f>
        <v>354.991351574906</v>
      </c>
      <c r="N1544" s="95">
        <f ca="1">MAX(MAX($N$53:N1543),OFFSET($C$52,MATCH(M1544*1.07,$M$53:$M$2052,1),0)-C1544)</f>
        <v>71280</v>
      </c>
    </row>
    <row r="1545" spans="2:14">
      <c r="B1545" s="95">
        <v>1493</v>
      </c>
      <c r="C1545" s="95">
        <f t="shared" si="119"/>
        <v>537480</v>
      </c>
      <c r="D1545" s="95">
        <f ca="1">_xlfn.XLOOKUP(总览!$B$44,$B$40:$B$45,$C$40:$C$45)</f>
        <v>5</v>
      </c>
      <c r="E1545" s="95">
        <f ca="1" t="shared" si="122"/>
        <v>1523</v>
      </c>
      <c r="F1545" s="95">
        <f ca="1" t="shared" si="120"/>
        <v>0</v>
      </c>
      <c r="G1545" s="95">
        <f ca="1" t="shared" si="121"/>
        <v>0</v>
      </c>
      <c r="H1545" s="95" cm="1">
        <f ca="1" t="array" ref="H1545">MIN(30-SUM(I1545:L1545),_xlfn.XLOOKUP($D1545&amp;"_"&amp;H$52,$B$14:$B$36&amp;"_"&amp;$C$14:$C$36,$D$14:$D$36)*$E1545,18)</f>
        <v>11.7356</v>
      </c>
      <c r="I1545" s="95" cm="1">
        <f ca="1" t="array" ref="I1545">MIN(30-SUM(J1545:L1545),6-L1545,_xlfn.XLOOKUP($D1545&amp;"_"&amp;I$52,$B$14:$B$36&amp;"_"&amp;$C$14:$C$36,$D$14:$D$36)*$E1545)</f>
        <v>0</v>
      </c>
      <c r="J1545" s="95" cm="1">
        <f ca="1" t="array" ref="J1545">MIN(8,_xlfn.XLOOKUP($D1545&amp;"_"&amp;J$52,$B$14:$B$36&amp;"_"&amp;$C$14:$C$36,$D$14:$D$36)*$E1545)</f>
        <v>8</v>
      </c>
      <c r="K1545" s="95" cm="1">
        <f ca="1" t="array" ref="K1545">MIN(18,_xlfn.XLOOKUP($D1545&amp;"_"&amp;K$52,$B$14:$B$36&amp;"_"&amp;$C$14:$C$36,$D$14:$D$36)*$E1545)</f>
        <v>4.2644</v>
      </c>
      <c r="L1545" s="95" cm="1">
        <f ca="1" t="array" ref="L1545">MIN(6,_xlfn.XLOOKUP($D1545&amp;"_"&amp;L$52,$B$14:$B$36&amp;"_"&amp;$C$14:$C$36,$D$14:$D$36)*$E1545)</f>
        <v>6</v>
      </c>
      <c r="M1545" s="95" cm="1">
        <f ca="1" t="array" ref="M1545">(1+SUMPRODUCT(G1545:H1545,OFFSET($H$40:$I$40,D1545,0)))*(1+OFFSET($J$40,D1545,0))^I1545*(1+OFFSET($K$40,D1545,0))^J1545*(1+OFFSET($L$40,D1545,0))^K1545*(1+OFFSET($M$40,D1545,0))^L1545</f>
        <v>355.113207766909</v>
      </c>
      <c r="N1545" s="95">
        <f ca="1">MAX(MAX($N$53:N1544),OFFSET($C$52,MATCH(M1545*1.07,$M$53:$M$2052,1),0)-C1545)</f>
        <v>71280</v>
      </c>
    </row>
    <row r="1546" spans="2:14">
      <c r="B1546" s="95">
        <v>1494</v>
      </c>
      <c r="C1546" s="95">
        <f t="shared" si="119"/>
        <v>537840</v>
      </c>
      <c r="D1546" s="95">
        <f ca="1">_xlfn.XLOOKUP(总览!$B$44,$B$40:$B$45,$C$40:$C$45)</f>
        <v>5</v>
      </c>
      <c r="E1546" s="95">
        <f ca="1" t="shared" si="122"/>
        <v>1524</v>
      </c>
      <c r="F1546" s="95">
        <f ca="1" t="shared" si="120"/>
        <v>0</v>
      </c>
      <c r="G1546" s="95">
        <f ca="1" t="shared" si="121"/>
        <v>0</v>
      </c>
      <c r="H1546" s="95" cm="1">
        <f ca="1" t="array" ref="H1546">MIN(30-SUM(I1546:L1546),_xlfn.XLOOKUP($D1546&amp;"_"&amp;H$52,$B$14:$B$36&amp;"_"&amp;$C$14:$C$36,$D$14:$D$36)*$E1546,18)</f>
        <v>11.7328</v>
      </c>
      <c r="I1546" s="95" cm="1">
        <f ca="1" t="array" ref="I1546">MIN(30-SUM(J1546:L1546),6-L1546,_xlfn.XLOOKUP($D1546&amp;"_"&amp;I$52,$B$14:$B$36&amp;"_"&amp;$C$14:$C$36,$D$14:$D$36)*$E1546)</f>
        <v>0</v>
      </c>
      <c r="J1546" s="95" cm="1">
        <f ca="1" t="array" ref="J1546">MIN(8,_xlfn.XLOOKUP($D1546&amp;"_"&amp;J$52,$B$14:$B$36&amp;"_"&amp;$C$14:$C$36,$D$14:$D$36)*$E1546)</f>
        <v>8</v>
      </c>
      <c r="K1546" s="95" cm="1">
        <f ca="1" t="array" ref="K1546">MIN(18,_xlfn.XLOOKUP($D1546&amp;"_"&amp;K$52,$B$14:$B$36&amp;"_"&amp;$C$14:$C$36,$D$14:$D$36)*$E1546)</f>
        <v>4.2672</v>
      </c>
      <c r="L1546" s="95" cm="1">
        <f ca="1" t="array" ref="L1546">MIN(6,_xlfn.XLOOKUP($D1546&amp;"_"&amp;L$52,$B$14:$B$36&amp;"_"&amp;$C$14:$C$36,$D$14:$D$36)*$E1546)</f>
        <v>6</v>
      </c>
      <c r="M1546" s="95" cm="1">
        <f ca="1" t="array" ref="M1546">(1+SUMPRODUCT(G1546:H1546,OFFSET($H$40:$I$40,D1546,0)))*(1+OFFSET($J$40,D1546,0))^I1546*(1+OFFSET($K$40,D1546,0))^J1546*(1+OFFSET($L$40,D1546,0))^K1546*(1+OFFSET($M$40,D1546,0))^L1546</f>
        <v>355.235095844176</v>
      </c>
      <c r="N1546" s="95">
        <f ca="1">MAX(MAX($N$53:N1545),OFFSET($C$52,MATCH(M1546*1.07,$M$53:$M$2052,1),0)-C1546)</f>
        <v>71280</v>
      </c>
    </row>
    <row r="1547" spans="2:14">
      <c r="B1547" s="95">
        <v>1495</v>
      </c>
      <c r="C1547" s="95">
        <f t="shared" si="119"/>
        <v>538200</v>
      </c>
      <c r="D1547" s="95">
        <f ca="1">_xlfn.XLOOKUP(总览!$B$44,$B$40:$B$45,$C$40:$C$45)</f>
        <v>5</v>
      </c>
      <c r="E1547" s="95">
        <f ca="1" t="shared" si="122"/>
        <v>1525</v>
      </c>
      <c r="F1547" s="95">
        <f ca="1" t="shared" si="120"/>
        <v>0</v>
      </c>
      <c r="G1547" s="95">
        <f ca="1" t="shared" si="121"/>
        <v>0</v>
      </c>
      <c r="H1547" s="95" cm="1">
        <f ca="1" t="array" ref="H1547">MIN(30-SUM(I1547:L1547),_xlfn.XLOOKUP($D1547&amp;"_"&amp;H$52,$B$14:$B$36&amp;"_"&amp;$C$14:$C$36,$D$14:$D$36)*$E1547,18)</f>
        <v>11.73</v>
      </c>
      <c r="I1547" s="95" cm="1">
        <f ca="1" t="array" ref="I1547">MIN(30-SUM(J1547:L1547),6-L1547,_xlfn.XLOOKUP($D1547&amp;"_"&amp;I$52,$B$14:$B$36&amp;"_"&amp;$C$14:$C$36,$D$14:$D$36)*$E1547)</f>
        <v>0</v>
      </c>
      <c r="J1547" s="95" cm="1">
        <f ca="1" t="array" ref="J1547">MIN(8,_xlfn.XLOOKUP($D1547&amp;"_"&amp;J$52,$B$14:$B$36&amp;"_"&amp;$C$14:$C$36,$D$14:$D$36)*$E1547)</f>
        <v>8</v>
      </c>
      <c r="K1547" s="95" cm="1">
        <f ca="1" t="array" ref="K1547">MIN(18,_xlfn.XLOOKUP($D1547&amp;"_"&amp;K$52,$B$14:$B$36&amp;"_"&amp;$C$14:$C$36,$D$14:$D$36)*$E1547)</f>
        <v>4.27</v>
      </c>
      <c r="L1547" s="95" cm="1">
        <f ca="1" t="array" ref="L1547">MIN(6,_xlfn.XLOOKUP($D1547&amp;"_"&amp;L$52,$B$14:$B$36&amp;"_"&amp;$C$14:$C$36,$D$14:$D$36)*$E1547)</f>
        <v>6</v>
      </c>
      <c r="M1547" s="95" cm="1">
        <f ca="1" t="array" ref="M1547">(1+SUMPRODUCT(G1547:H1547,OFFSET($H$40:$I$40,D1547,0)))*(1+OFFSET($J$40,D1547,0))^I1547*(1+OFFSET($K$40,D1547,0))^J1547*(1+OFFSET($L$40,D1547,0))^K1547*(1+OFFSET($M$40,D1547,0))^L1547</f>
        <v>355.357015807498</v>
      </c>
      <c r="N1547" s="95">
        <f ca="1">MAX(MAX($N$53:N1546),OFFSET($C$52,MATCH(M1547*1.07,$M$53:$M$2052,1),0)-C1547)</f>
        <v>71280</v>
      </c>
    </row>
    <row r="1548" spans="2:14">
      <c r="B1548" s="95">
        <v>1496</v>
      </c>
      <c r="C1548" s="95">
        <f t="shared" si="119"/>
        <v>538560</v>
      </c>
      <c r="D1548" s="95">
        <f ca="1">_xlfn.XLOOKUP(总览!$B$44,$B$40:$B$45,$C$40:$C$45)</f>
        <v>5</v>
      </c>
      <c r="E1548" s="95">
        <f ca="1" t="shared" si="122"/>
        <v>1526</v>
      </c>
      <c r="F1548" s="95">
        <f ca="1" t="shared" si="120"/>
        <v>0</v>
      </c>
      <c r="G1548" s="95">
        <f ca="1" t="shared" si="121"/>
        <v>0</v>
      </c>
      <c r="H1548" s="95" cm="1">
        <f ca="1" t="array" ref="H1548">MIN(30-SUM(I1548:L1548),_xlfn.XLOOKUP($D1548&amp;"_"&amp;H$52,$B$14:$B$36&amp;"_"&amp;$C$14:$C$36,$D$14:$D$36)*$E1548,18)</f>
        <v>11.7272</v>
      </c>
      <c r="I1548" s="95" cm="1">
        <f ca="1" t="array" ref="I1548">MIN(30-SUM(J1548:L1548),6-L1548,_xlfn.XLOOKUP($D1548&amp;"_"&amp;I$52,$B$14:$B$36&amp;"_"&amp;$C$14:$C$36,$D$14:$D$36)*$E1548)</f>
        <v>0</v>
      </c>
      <c r="J1548" s="95" cm="1">
        <f ca="1" t="array" ref="J1548">MIN(8,_xlfn.XLOOKUP($D1548&amp;"_"&amp;J$52,$B$14:$B$36&amp;"_"&amp;$C$14:$C$36,$D$14:$D$36)*$E1548)</f>
        <v>8</v>
      </c>
      <c r="K1548" s="95" cm="1">
        <f ca="1" t="array" ref="K1548">MIN(18,_xlfn.XLOOKUP($D1548&amp;"_"&amp;K$52,$B$14:$B$36&amp;"_"&amp;$C$14:$C$36,$D$14:$D$36)*$E1548)</f>
        <v>4.2728</v>
      </c>
      <c r="L1548" s="95" cm="1">
        <f ca="1" t="array" ref="L1548">MIN(6,_xlfn.XLOOKUP($D1548&amp;"_"&amp;L$52,$B$14:$B$36&amp;"_"&amp;$C$14:$C$36,$D$14:$D$36)*$E1548)</f>
        <v>6</v>
      </c>
      <c r="M1548" s="95" cm="1">
        <f ca="1" t="array" ref="M1548">(1+SUMPRODUCT(G1548:H1548,OFFSET($H$40:$I$40,D1548,0)))*(1+OFFSET($J$40,D1548,0))^I1548*(1+OFFSET($K$40,D1548,0))^J1548*(1+OFFSET($L$40,D1548,0))^K1548*(1+OFFSET($M$40,D1548,0))^L1548</f>
        <v>355.478967657656</v>
      </c>
      <c r="N1548" s="95">
        <f ca="1">MAX(MAX($N$53:N1547),OFFSET($C$52,MATCH(M1548*1.07,$M$53:$M$2052,1),0)-C1548)</f>
        <v>71280</v>
      </c>
    </row>
    <row r="1549" spans="2:14">
      <c r="B1549" s="95">
        <v>1497</v>
      </c>
      <c r="C1549" s="95">
        <f t="shared" si="119"/>
        <v>538920</v>
      </c>
      <c r="D1549" s="95">
        <f ca="1">_xlfn.XLOOKUP(总览!$B$44,$B$40:$B$45,$C$40:$C$45)</f>
        <v>5</v>
      </c>
      <c r="E1549" s="95">
        <f ca="1" t="shared" si="122"/>
        <v>1527</v>
      </c>
      <c r="F1549" s="95">
        <f ca="1" t="shared" si="120"/>
        <v>0</v>
      </c>
      <c r="G1549" s="95">
        <f ca="1" t="shared" si="121"/>
        <v>0</v>
      </c>
      <c r="H1549" s="95" cm="1">
        <f ca="1" t="array" ref="H1549">MIN(30-SUM(I1549:L1549),_xlfn.XLOOKUP($D1549&amp;"_"&amp;H$52,$B$14:$B$36&amp;"_"&amp;$C$14:$C$36,$D$14:$D$36)*$E1549,18)</f>
        <v>11.7244</v>
      </c>
      <c r="I1549" s="95" cm="1">
        <f ca="1" t="array" ref="I1549">MIN(30-SUM(J1549:L1549),6-L1549,_xlfn.XLOOKUP($D1549&amp;"_"&amp;I$52,$B$14:$B$36&amp;"_"&amp;$C$14:$C$36,$D$14:$D$36)*$E1549)</f>
        <v>0</v>
      </c>
      <c r="J1549" s="95" cm="1">
        <f ca="1" t="array" ref="J1549">MIN(8,_xlfn.XLOOKUP($D1549&amp;"_"&amp;J$52,$B$14:$B$36&amp;"_"&amp;$C$14:$C$36,$D$14:$D$36)*$E1549)</f>
        <v>8</v>
      </c>
      <c r="K1549" s="95" cm="1">
        <f ca="1" t="array" ref="K1549">MIN(18,_xlfn.XLOOKUP($D1549&amp;"_"&amp;K$52,$B$14:$B$36&amp;"_"&amp;$C$14:$C$36,$D$14:$D$36)*$E1549)</f>
        <v>4.2756</v>
      </c>
      <c r="L1549" s="95" cm="1">
        <f ca="1" t="array" ref="L1549">MIN(6,_xlfn.XLOOKUP($D1549&amp;"_"&amp;L$52,$B$14:$B$36&amp;"_"&amp;$C$14:$C$36,$D$14:$D$36)*$E1549)</f>
        <v>6</v>
      </c>
      <c r="M1549" s="95" cm="1">
        <f ca="1" t="array" ref="M1549">(1+SUMPRODUCT(G1549:H1549,OFFSET($H$40:$I$40,D1549,0)))*(1+OFFSET($J$40,D1549,0))^I1549*(1+OFFSET($K$40,D1549,0))^J1549*(1+OFFSET($L$40,D1549,0))^K1549*(1+OFFSET($M$40,D1549,0))^L1549</f>
        <v>355.600951395426</v>
      </c>
      <c r="N1549" s="95">
        <f ca="1">MAX(MAX($N$53:N1548),OFFSET($C$52,MATCH(M1549*1.07,$M$53:$M$2052,1),0)-C1549)</f>
        <v>71280</v>
      </c>
    </row>
    <row r="1550" spans="2:14">
      <c r="B1550" s="95">
        <v>1498</v>
      </c>
      <c r="C1550" s="95">
        <f t="shared" si="119"/>
        <v>539280</v>
      </c>
      <c r="D1550" s="95">
        <f ca="1">_xlfn.XLOOKUP(总览!$B$44,$B$40:$B$45,$C$40:$C$45)</f>
        <v>5</v>
      </c>
      <c r="E1550" s="95">
        <f ca="1" t="shared" si="122"/>
        <v>1528</v>
      </c>
      <c r="F1550" s="95">
        <f ca="1" t="shared" si="120"/>
        <v>0</v>
      </c>
      <c r="G1550" s="95">
        <f ca="1" t="shared" si="121"/>
        <v>0</v>
      </c>
      <c r="H1550" s="95" cm="1">
        <f ca="1" t="array" ref="H1550">MIN(30-SUM(I1550:L1550),_xlfn.XLOOKUP($D1550&amp;"_"&amp;H$52,$B$14:$B$36&amp;"_"&amp;$C$14:$C$36,$D$14:$D$36)*$E1550,18)</f>
        <v>11.7216</v>
      </c>
      <c r="I1550" s="95" cm="1">
        <f ca="1" t="array" ref="I1550">MIN(30-SUM(J1550:L1550),6-L1550,_xlfn.XLOOKUP($D1550&amp;"_"&amp;I$52,$B$14:$B$36&amp;"_"&amp;$C$14:$C$36,$D$14:$D$36)*$E1550)</f>
        <v>0</v>
      </c>
      <c r="J1550" s="95" cm="1">
        <f ca="1" t="array" ref="J1550">MIN(8,_xlfn.XLOOKUP($D1550&amp;"_"&amp;J$52,$B$14:$B$36&amp;"_"&amp;$C$14:$C$36,$D$14:$D$36)*$E1550)</f>
        <v>8</v>
      </c>
      <c r="K1550" s="95" cm="1">
        <f ca="1" t="array" ref="K1550">MIN(18,_xlfn.XLOOKUP($D1550&amp;"_"&amp;K$52,$B$14:$B$36&amp;"_"&amp;$C$14:$C$36,$D$14:$D$36)*$E1550)</f>
        <v>4.2784</v>
      </c>
      <c r="L1550" s="95" cm="1">
        <f ca="1" t="array" ref="L1550">MIN(6,_xlfn.XLOOKUP($D1550&amp;"_"&amp;L$52,$B$14:$B$36&amp;"_"&amp;$C$14:$C$36,$D$14:$D$36)*$E1550)</f>
        <v>6</v>
      </c>
      <c r="M1550" s="95" cm="1">
        <f ca="1" t="array" ref="M1550">(1+SUMPRODUCT(G1550:H1550,OFFSET($H$40:$I$40,D1550,0)))*(1+OFFSET($J$40,D1550,0))^I1550*(1+OFFSET($K$40,D1550,0))^J1550*(1+OFFSET($L$40,D1550,0))^K1550*(1+OFFSET($M$40,D1550,0))^L1550</f>
        <v>355.722967021575</v>
      </c>
      <c r="N1550" s="95">
        <f ca="1">MAX(MAX($N$53:N1549),OFFSET($C$52,MATCH(M1550*1.07,$M$53:$M$2052,1),0)-C1550)</f>
        <v>71280</v>
      </c>
    </row>
    <row r="1551" spans="2:14">
      <c r="B1551" s="95">
        <v>1499</v>
      </c>
      <c r="C1551" s="95">
        <f t="shared" si="119"/>
        <v>539640</v>
      </c>
      <c r="D1551" s="95">
        <f ca="1">_xlfn.XLOOKUP(总览!$B$44,$B$40:$B$45,$C$40:$C$45)</f>
        <v>5</v>
      </c>
      <c r="E1551" s="95">
        <f ca="1" t="shared" si="122"/>
        <v>1529</v>
      </c>
      <c r="F1551" s="95">
        <f ca="1" t="shared" si="120"/>
        <v>0</v>
      </c>
      <c r="G1551" s="95">
        <f ca="1" t="shared" si="121"/>
        <v>0</v>
      </c>
      <c r="H1551" s="95" cm="1">
        <f ca="1" t="array" ref="H1551">MIN(30-SUM(I1551:L1551),_xlfn.XLOOKUP($D1551&amp;"_"&amp;H$52,$B$14:$B$36&amp;"_"&amp;$C$14:$C$36,$D$14:$D$36)*$E1551,18)</f>
        <v>11.7188</v>
      </c>
      <c r="I1551" s="95" cm="1">
        <f ca="1" t="array" ref="I1551">MIN(30-SUM(J1551:L1551),6-L1551,_xlfn.XLOOKUP($D1551&amp;"_"&amp;I$52,$B$14:$B$36&amp;"_"&amp;$C$14:$C$36,$D$14:$D$36)*$E1551)</f>
        <v>0</v>
      </c>
      <c r="J1551" s="95" cm="1">
        <f ca="1" t="array" ref="J1551">MIN(8,_xlfn.XLOOKUP($D1551&amp;"_"&amp;J$52,$B$14:$B$36&amp;"_"&amp;$C$14:$C$36,$D$14:$D$36)*$E1551)</f>
        <v>8</v>
      </c>
      <c r="K1551" s="95" cm="1">
        <f ca="1" t="array" ref="K1551">MIN(18,_xlfn.XLOOKUP($D1551&amp;"_"&amp;K$52,$B$14:$B$36&amp;"_"&amp;$C$14:$C$36,$D$14:$D$36)*$E1551)</f>
        <v>4.2812</v>
      </c>
      <c r="L1551" s="95" cm="1">
        <f ca="1" t="array" ref="L1551">MIN(6,_xlfn.XLOOKUP($D1551&amp;"_"&amp;L$52,$B$14:$B$36&amp;"_"&amp;$C$14:$C$36,$D$14:$D$36)*$E1551)</f>
        <v>6</v>
      </c>
      <c r="M1551" s="95" cm="1">
        <f ca="1" t="array" ref="M1551">(1+SUMPRODUCT(G1551:H1551,OFFSET($H$40:$I$40,D1551,0)))*(1+OFFSET($J$40,D1551,0))^I1551*(1+OFFSET($K$40,D1551,0))^J1551*(1+OFFSET($L$40,D1551,0))^K1551*(1+OFFSET($M$40,D1551,0))^L1551</f>
        <v>355.845014536862</v>
      </c>
      <c r="N1551" s="95">
        <f ca="1">MAX(MAX($N$53:N1550),OFFSET($C$52,MATCH(M1551*1.07,$M$53:$M$2052,1),0)-C1551)</f>
        <v>71280</v>
      </c>
    </row>
    <row r="1552" spans="2:14">
      <c r="B1552" s="95">
        <v>1500</v>
      </c>
      <c r="C1552" s="95">
        <f t="shared" si="119"/>
        <v>540000</v>
      </c>
      <c r="D1552" s="95">
        <f ca="1">_xlfn.XLOOKUP(总览!$B$44,$B$40:$B$45,$C$40:$C$45)</f>
        <v>5</v>
      </c>
      <c r="E1552" s="95">
        <f ca="1" t="shared" si="122"/>
        <v>1530</v>
      </c>
      <c r="F1552" s="95">
        <f ca="1" t="shared" si="120"/>
        <v>0</v>
      </c>
      <c r="G1552" s="95">
        <f ca="1" t="shared" si="121"/>
        <v>0</v>
      </c>
      <c r="H1552" s="95" cm="1">
        <f ca="1" t="array" ref="H1552">MIN(30-SUM(I1552:L1552),_xlfn.XLOOKUP($D1552&amp;"_"&amp;H$52,$B$14:$B$36&amp;"_"&amp;$C$14:$C$36,$D$14:$D$36)*$E1552,18)</f>
        <v>11.716</v>
      </c>
      <c r="I1552" s="95" cm="1">
        <f ca="1" t="array" ref="I1552">MIN(30-SUM(J1552:L1552),6-L1552,_xlfn.XLOOKUP($D1552&amp;"_"&amp;I$52,$B$14:$B$36&amp;"_"&amp;$C$14:$C$36,$D$14:$D$36)*$E1552)</f>
        <v>0</v>
      </c>
      <c r="J1552" s="95" cm="1">
        <f ca="1" t="array" ref="J1552">MIN(8,_xlfn.XLOOKUP($D1552&amp;"_"&amp;J$52,$B$14:$B$36&amp;"_"&amp;$C$14:$C$36,$D$14:$D$36)*$E1552)</f>
        <v>8</v>
      </c>
      <c r="K1552" s="95" cm="1">
        <f ca="1" t="array" ref="K1552">MIN(18,_xlfn.XLOOKUP($D1552&amp;"_"&amp;K$52,$B$14:$B$36&amp;"_"&amp;$C$14:$C$36,$D$14:$D$36)*$E1552)</f>
        <v>4.284</v>
      </c>
      <c r="L1552" s="95" cm="1">
        <f ca="1" t="array" ref="L1552">MIN(6,_xlfn.XLOOKUP($D1552&amp;"_"&amp;L$52,$B$14:$B$36&amp;"_"&amp;$C$14:$C$36,$D$14:$D$36)*$E1552)</f>
        <v>6</v>
      </c>
      <c r="M1552" s="95" cm="1">
        <f ca="1" t="array" ref="M1552">(1+SUMPRODUCT(G1552:H1552,OFFSET($H$40:$I$40,D1552,0)))*(1+OFFSET($J$40,D1552,0))^I1552*(1+OFFSET($K$40,D1552,0))^J1552*(1+OFFSET($L$40,D1552,0))^K1552*(1+OFFSET($M$40,D1552,0))^L1552</f>
        <v>355.967093942041</v>
      </c>
      <c r="N1552" s="95">
        <f ca="1">MAX(MAX($N$53:N1551),OFFSET($C$52,MATCH(M1552*1.07,$M$53:$M$2052,1),0)-C1552)</f>
        <v>71280</v>
      </c>
    </row>
    <row r="1553" spans="2:14">
      <c r="B1553" s="95">
        <v>1501</v>
      </c>
      <c r="C1553" s="95">
        <f t="shared" si="119"/>
        <v>540360</v>
      </c>
      <c r="D1553" s="95">
        <f ca="1">_xlfn.XLOOKUP(总览!$B$44,$B$40:$B$45,$C$40:$C$45)</f>
        <v>5</v>
      </c>
      <c r="E1553" s="95">
        <f ca="1" t="shared" si="122"/>
        <v>1531</v>
      </c>
      <c r="F1553" s="95">
        <f ca="1" t="shared" si="120"/>
        <v>0</v>
      </c>
      <c r="G1553" s="95">
        <f ca="1" t="shared" si="121"/>
        <v>0</v>
      </c>
      <c r="H1553" s="95" cm="1">
        <f ca="1" t="array" ref="H1553">MIN(30-SUM(I1553:L1553),_xlfn.XLOOKUP($D1553&amp;"_"&amp;H$52,$B$14:$B$36&amp;"_"&amp;$C$14:$C$36,$D$14:$D$36)*$E1553,18)</f>
        <v>11.7132</v>
      </c>
      <c r="I1553" s="95" cm="1">
        <f ca="1" t="array" ref="I1553">MIN(30-SUM(J1553:L1553),6-L1553,_xlfn.XLOOKUP($D1553&amp;"_"&amp;I$52,$B$14:$B$36&amp;"_"&amp;$C$14:$C$36,$D$14:$D$36)*$E1553)</f>
        <v>0</v>
      </c>
      <c r="J1553" s="95" cm="1">
        <f ca="1" t="array" ref="J1553">MIN(8,_xlfn.XLOOKUP($D1553&amp;"_"&amp;J$52,$B$14:$B$36&amp;"_"&amp;$C$14:$C$36,$D$14:$D$36)*$E1553)</f>
        <v>8</v>
      </c>
      <c r="K1553" s="95" cm="1">
        <f ca="1" t="array" ref="K1553">MIN(18,_xlfn.XLOOKUP($D1553&amp;"_"&amp;K$52,$B$14:$B$36&amp;"_"&amp;$C$14:$C$36,$D$14:$D$36)*$E1553)</f>
        <v>4.2868</v>
      </c>
      <c r="L1553" s="95" cm="1">
        <f ca="1" t="array" ref="L1553">MIN(6,_xlfn.XLOOKUP($D1553&amp;"_"&amp;L$52,$B$14:$B$36&amp;"_"&amp;$C$14:$C$36,$D$14:$D$36)*$E1553)</f>
        <v>6</v>
      </c>
      <c r="M1553" s="95" cm="1">
        <f ca="1" t="array" ref="M1553">(1+SUMPRODUCT(G1553:H1553,OFFSET($H$40:$I$40,D1553,0)))*(1+OFFSET($J$40,D1553,0))^I1553*(1+OFFSET($K$40,D1553,0))^J1553*(1+OFFSET($L$40,D1553,0))^K1553*(1+OFFSET($M$40,D1553,0))^L1553</f>
        <v>356.089205237855</v>
      </c>
      <c r="N1553" s="95">
        <f ca="1">MAX(MAX($N$53:N1552),OFFSET($C$52,MATCH(M1553*1.07,$M$53:$M$2052,1),0)-C1553)</f>
        <v>71280</v>
      </c>
    </row>
    <row r="1554" spans="2:14">
      <c r="B1554" s="95">
        <v>1502</v>
      </c>
      <c r="C1554" s="95">
        <f t="shared" si="119"/>
        <v>540720</v>
      </c>
      <c r="D1554" s="95">
        <f ca="1">_xlfn.XLOOKUP(总览!$B$44,$B$40:$B$45,$C$40:$C$45)</f>
        <v>5</v>
      </c>
      <c r="E1554" s="95">
        <f ca="1" t="shared" si="122"/>
        <v>1532</v>
      </c>
      <c r="F1554" s="95">
        <f ca="1" t="shared" si="120"/>
        <v>0</v>
      </c>
      <c r="G1554" s="95">
        <f ca="1" t="shared" si="121"/>
        <v>0</v>
      </c>
      <c r="H1554" s="95" cm="1">
        <f ca="1" t="array" ref="H1554">MIN(30-SUM(I1554:L1554),_xlfn.XLOOKUP($D1554&amp;"_"&amp;H$52,$B$14:$B$36&amp;"_"&amp;$C$14:$C$36,$D$14:$D$36)*$E1554,18)</f>
        <v>11.7104</v>
      </c>
      <c r="I1554" s="95" cm="1">
        <f ca="1" t="array" ref="I1554">MIN(30-SUM(J1554:L1554),6-L1554,_xlfn.XLOOKUP($D1554&amp;"_"&amp;I$52,$B$14:$B$36&amp;"_"&amp;$C$14:$C$36,$D$14:$D$36)*$E1554)</f>
        <v>0</v>
      </c>
      <c r="J1554" s="95" cm="1">
        <f ca="1" t="array" ref="J1554">MIN(8,_xlfn.XLOOKUP($D1554&amp;"_"&amp;J$52,$B$14:$B$36&amp;"_"&amp;$C$14:$C$36,$D$14:$D$36)*$E1554)</f>
        <v>8</v>
      </c>
      <c r="K1554" s="95" cm="1">
        <f ca="1" t="array" ref="K1554">MIN(18,_xlfn.XLOOKUP($D1554&amp;"_"&amp;K$52,$B$14:$B$36&amp;"_"&amp;$C$14:$C$36,$D$14:$D$36)*$E1554)</f>
        <v>4.2896</v>
      </c>
      <c r="L1554" s="95" cm="1">
        <f ca="1" t="array" ref="L1554">MIN(6,_xlfn.XLOOKUP($D1554&amp;"_"&amp;L$52,$B$14:$B$36&amp;"_"&amp;$C$14:$C$36,$D$14:$D$36)*$E1554)</f>
        <v>6</v>
      </c>
      <c r="M1554" s="95" cm="1">
        <f ca="1" t="array" ref="M1554">(1+SUMPRODUCT(G1554:H1554,OFFSET($H$40:$I$40,D1554,0)))*(1+OFFSET($J$40,D1554,0))^I1554*(1+OFFSET($K$40,D1554,0))^J1554*(1+OFFSET($L$40,D1554,0))^K1554*(1+OFFSET($M$40,D1554,0))^L1554</f>
        <v>356.211348425043</v>
      </c>
      <c r="N1554" s="95">
        <f ca="1">MAX(MAX($N$53:N1553),OFFSET($C$52,MATCH(M1554*1.07,$M$53:$M$2052,1),0)-C1554)</f>
        <v>71280</v>
      </c>
    </row>
    <row r="1555" spans="2:14">
      <c r="B1555" s="95">
        <v>1503</v>
      </c>
      <c r="C1555" s="95">
        <f t="shared" si="119"/>
        <v>541080</v>
      </c>
      <c r="D1555" s="95">
        <f ca="1">_xlfn.XLOOKUP(总览!$B$44,$B$40:$B$45,$C$40:$C$45)</f>
        <v>5</v>
      </c>
      <c r="E1555" s="95">
        <f ca="1" t="shared" si="122"/>
        <v>1533</v>
      </c>
      <c r="F1555" s="95">
        <f ca="1" t="shared" si="120"/>
        <v>0</v>
      </c>
      <c r="G1555" s="95">
        <f ca="1" t="shared" si="121"/>
        <v>0</v>
      </c>
      <c r="H1555" s="95" cm="1">
        <f ca="1" t="array" ref="H1555">MIN(30-SUM(I1555:L1555),_xlfn.XLOOKUP($D1555&amp;"_"&amp;H$52,$B$14:$B$36&amp;"_"&amp;$C$14:$C$36,$D$14:$D$36)*$E1555,18)</f>
        <v>11.7076</v>
      </c>
      <c r="I1555" s="95" cm="1">
        <f ca="1" t="array" ref="I1555">MIN(30-SUM(J1555:L1555),6-L1555,_xlfn.XLOOKUP($D1555&amp;"_"&amp;I$52,$B$14:$B$36&amp;"_"&amp;$C$14:$C$36,$D$14:$D$36)*$E1555)</f>
        <v>0</v>
      </c>
      <c r="J1555" s="95" cm="1">
        <f ca="1" t="array" ref="J1555">MIN(8,_xlfn.XLOOKUP($D1555&amp;"_"&amp;J$52,$B$14:$B$36&amp;"_"&amp;$C$14:$C$36,$D$14:$D$36)*$E1555)</f>
        <v>8</v>
      </c>
      <c r="K1555" s="95" cm="1">
        <f ca="1" t="array" ref="K1555">MIN(18,_xlfn.XLOOKUP($D1555&amp;"_"&amp;K$52,$B$14:$B$36&amp;"_"&amp;$C$14:$C$36,$D$14:$D$36)*$E1555)</f>
        <v>4.2924</v>
      </c>
      <c r="L1555" s="95" cm="1">
        <f ca="1" t="array" ref="L1555">MIN(6,_xlfn.XLOOKUP($D1555&amp;"_"&amp;L$52,$B$14:$B$36&amp;"_"&amp;$C$14:$C$36,$D$14:$D$36)*$E1555)</f>
        <v>6</v>
      </c>
      <c r="M1555" s="95" cm="1">
        <f ca="1" t="array" ref="M1555">(1+SUMPRODUCT(G1555:H1555,OFFSET($H$40:$I$40,D1555,0)))*(1+OFFSET($J$40,D1555,0))^I1555*(1+OFFSET($K$40,D1555,0))^J1555*(1+OFFSET($L$40,D1555,0))^K1555*(1+OFFSET($M$40,D1555,0))^L1555</f>
        <v>356.333523504333</v>
      </c>
      <c r="N1555" s="95">
        <f ca="1">MAX(MAX($N$53:N1554),OFFSET($C$52,MATCH(M1555*1.07,$M$53:$M$2052,1),0)-C1555)</f>
        <v>71280</v>
      </c>
    </row>
    <row r="1556" spans="2:14">
      <c r="B1556" s="95">
        <v>1504</v>
      </c>
      <c r="C1556" s="95">
        <f t="shared" si="119"/>
        <v>541440</v>
      </c>
      <c r="D1556" s="95">
        <f ca="1">_xlfn.XLOOKUP(总览!$B$44,$B$40:$B$45,$C$40:$C$45)</f>
        <v>5</v>
      </c>
      <c r="E1556" s="95">
        <f ca="1" t="shared" si="122"/>
        <v>1534</v>
      </c>
      <c r="F1556" s="95">
        <f ca="1" t="shared" si="120"/>
        <v>0</v>
      </c>
      <c r="G1556" s="95">
        <f ca="1" t="shared" si="121"/>
        <v>0</v>
      </c>
      <c r="H1556" s="95" cm="1">
        <f ca="1" t="array" ref="H1556">MIN(30-SUM(I1556:L1556),_xlfn.XLOOKUP($D1556&amp;"_"&amp;H$52,$B$14:$B$36&amp;"_"&amp;$C$14:$C$36,$D$14:$D$36)*$E1556,18)</f>
        <v>11.7048</v>
      </c>
      <c r="I1556" s="95" cm="1">
        <f ca="1" t="array" ref="I1556">MIN(30-SUM(J1556:L1556),6-L1556,_xlfn.XLOOKUP($D1556&amp;"_"&amp;I$52,$B$14:$B$36&amp;"_"&amp;$C$14:$C$36,$D$14:$D$36)*$E1556)</f>
        <v>0</v>
      </c>
      <c r="J1556" s="95" cm="1">
        <f ca="1" t="array" ref="J1556">MIN(8,_xlfn.XLOOKUP($D1556&amp;"_"&amp;J$52,$B$14:$B$36&amp;"_"&amp;$C$14:$C$36,$D$14:$D$36)*$E1556)</f>
        <v>8</v>
      </c>
      <c r="K1556" s="95" cm="1">
        <f ca="1" t="array" ref="K1556">MIN(18,_xlfn.XLOOKUP($D1556&amp;"_"&amp;K$52,$B$14:$B$36&amp;"_"&amp;$C$14:$C$36,$D$14:$D$36)*$E1556)</f>
        <v>4.2952</v>
      </c>
      <c r="L1556" s="95" cm="1">
        <f ca="1" t="array" ref="L1556">MIN(6,_xlfn.XLOOKUP($D1556&amp;"_"&amp;L$52,$B$14:$B$36&amp;"_"&amp;$C$14:$C$36,$D$14:$D$36)*$E1556)</f>
        <v>6</v>
      </c>
      <c r="M1556" s="95" cm="1">
        <f ca="1" t="array" ref="M1556">(1+SUMPRODUCT(G1556:H1556,OFFSET($H$40:$I$40,D1556,0)))*(1+OFFSET($J$40,D1556,0))^I1556*(1+OFFSET($K$40,D1556,0))^J1556*(1+OFFSET($L$40,D1556,0))^K1556*(1+OFFSET($M$40,D1556,0))^L1556</f>
        <v>356.455730476449</v>
      </c>
      <c r="N1556" s="95">
        <f ca="1">MAX(MAX($N$53:N1555),OFFSET($C$52,MATCH(M1556*1.07,$M$53:$M$2052,1),0)-C1556)</f>
        <v>71280</v>
      </c>
    </row>
    <row r="1557" spans="2:14">
      <c r="B1557" s="95">
        <v>1505</v>
      </c>
      <c r="C1557" s="95">
        <f t="shared" si="119"/>
        <v>541800</v>
      </c>
      <c r="D1557" s="95">
        <f ca="1">_xlfn.XLOOKUP(总览!$B$44,$B$40:$B$45,$C$40:$C$45)</f>
        <v>5</v>
      </c>
      <c r="E1557" s="95">
        <f ca="1" t="shared" si="122"/>
        <v>1535</v>
      </c>
      <c r="F1557" s="95">
        <f ca="1" t="shared" si="120"/>
        <v>0</v>
      </c>
      <c r="G1557" s="95">
        <f ca="1" t="shared" si="121"/>
        <v>0</v>
      </c>
      <c r="H1557" s="95" cm="1">
        <f ca="1" t="array" ref="H1557">MIN(30-SUM(I1557:L1557),_xlfn.XLOOKUP($D1557&amp;"_"&amp;H$52,$B$14:$B$36&amp;"_"&amp;$C$14:$C$36,$D$14:$D$36)*$E1557,18)</f>
        <v>11.702</v>
      </c>
      <c r="I1557" s="95" cm="1">
        <f ca="1" t="array" ref="I1557">MIN(30-SUM(J1557:L1557),6-L1557,_xlfn.XLOOKUP($D1557&amp;"_"&amp;I$52,$B$14:$B$36&amp;"_"&amp;$C$14:$C$36,$D$14:$D$36)*$E1557)</f>
        <v>0</v>
      </c>
      <c r="J1557" s="95" cm="1">
        <f ca="1" t="array" ref="J1557">MIN(8,_xlfn.XLOOKUP($D1557&amp;"_"&amp;J$52,$B$14:$B$36&amp;"_"&amp;$C$14:$C$36,$D$14:$D$36)*$E1557)</f>
        <v>8</v>
      </c>
      <c r="K1557" s="95" cm="1">
        <f ca="1" t="array" ref="K1557">MIN(18,_xlfn.XLOOKUP($D1557&amp;"_"&amp;K$52,$B$14:$B$36&amp;"_"&amp;$C$14:$C$36,$D$14:$D$36)*$E1557)</f>
        <v>4.298</v>
      </c>
      <c r="L1557" s="95" cm="1">
        <f ca="1" t="array" ref="L1557">MIN(6,_xlfn.XLOOKUP($D1557&amp;"_"&amp;L$52,$B$14:$B$36&amp;"_"&amp;$C$14:$C$36,$D$14:$D$36)*$E1557)</f>
        <v>6</v>
      </c>
      <c r="M1557" s="95" cm="1">
        <f ca="1" t="array" ref="M1557">(1+SUMPRODUCT(G1557:H1557,OFFSET($H$40:$I$40,D1557,0)))*(1+OFFSET($J$40,D1557,0))^I1557*(1+OFFSET($K$40,D1557,0))^J1557*(1+OFFSET($L$40,D1557,0))^K1557*(1+OFFSET($M$40,D1557,0))^L1557</f>
        <v>356.577969342104</v>
      </c>
      <c r="N1557" s="95">
        <f ca="1">MAX(MAX($N$53:N1556),OFFSET($C$52,MATCH(M1557*1.07,$M$53:$M$2052,1),0)-C1557)</f>
        <v>71280</v>
      </c>
    </row>
    <row r="1558" spans="2:14">
      <c r="B1558" s="95">
        <v>1506</v>
      </c>
      <c r="C1558" s="95">
        <f t="shared" si="119"/>
        <v>542160</v>
      </c>
      <c r="D1558" s="95">
        <f ca="1">_xlfn.XLOOKUP(总览!$B$44,$B$40:$B$45,$C$40:$C$45)</f>
        <v>5</v>
      </c>
      <c r="E1558" s="95">
        <f ca="1" t="shared" si="122"/>
        <v>1536</v>
      </c>
      <c r="F1558" s="95">
        <f ca="1" t="shared" si="120"/>
        <v>0</v>
      </c>
      <c r="G1558" s="95">
        <f ca="1" t="shared" si="121"/>
        <v>0</v>
      </c>
      <c r="H1558" s="95" cm="1">
        <f ca="1" t="array" ref="H1558">MIN(30-SUM(I1558:L1558),_xlfn.XLOOKUP($D1558&amp;"_"&amp;H$52,$B$14:$B$36&amp;"_"&amp;$C$14:$C$36,$D$14:$D$36)*$E1558,18)</f>
        <v>11.6992</v>
      </c>
      <c r="I1558" s="95" cm="1">
        <f ca="1" t="array" ref="I1558">MIN(30-SUM(J1558:L1558),6-L1558,_xlfn.XLOOKUP($D1558&amp;"_"&amp;I$52,$B$14:$B$36&amp;"_"&amp;$C$14:$C$36,$D$14:$D$36)*$E1558)</f>
        <v>0</v>
      </c>
      <c r="J1558" s="95" cm="1">
        <f ca="1" t="array" ref="J1558">MIN(8,_xlfn.XLOOKUP($D1558&amp;"_"&amp;J$52,$B$14:$B$36&amp;"_"&amp;$C$14:$C$36,$D$14:$D$36)*$E1558)</f>
        <v>8</v>
      </c>
      <c r="K1558" s="95" cm="1">
        <f ca="1" t="array" ref="K1558">MIN(18,_xlfn.XLOOKUP($D1558&amp;"_"&amp;K$52,$B$14:$B$36&amp;"_"&amp;$C$14:$C$36,$D$14:$D$36)*$E1558)</f>
        <v>4.3008</v>
      </c>
      <c r="L1558" s="95" cm="1">
        <f ca="1" t="array" ref="L1558">MIN(6,_xlfn.XLOOKUP($D1558&amp;"_"&amp;L$52,$B$14:$B$36&amp;"_"&amp;$C$14:$C$36,$D$14:$D$36)*$E1558)</f>
        <v>6</v>
      </c>
      <c r="M1558" s="95" cm="1">
        <f ca="1" t="array" ref="M1558">(1+SUMPRODUCT(G1558:H1558,OFFSET($H$40:$I$40,D1558,0)))*(1+OFFSET($J$40,D1558,0))^I1558*(1+OFFSET($K$40,D1558,0))^J1558*(1+OFFSET($L$40,D1558,0))^K1558*(1+OFFSET($M$40,D1558,0))^L1558</f>
        <v>356.700240102005</v>
      </c>
      <c r="N1558" s="95">
        <f ca="1">MAX(MAX($N$53:N1557),OFFSET($C$52,MATCH(M1558*1.07,$M$53:$M$2052,1),0)-C1558)</f>
        <v>71640</v>
      </c>
    </row>
    <row r="1559" spans="2:14">
      <c r="B1559" s="95">
        <v>1507</v>
      </c>
      <c r="C1559" s="95">
        <f t="shared" si="119"/>
        <v>542520</v>
      </c>
      <c r="D1559" s="95">
        <f ca="1">_xlfn.XLOOKUP(总览!$B$44,$B$40:$B$45,$C$40:$C$45)</f>
        <v>5</v>
      </c>
      <c r="E1559" s="95">
        <f ca="1" t="shared" si="122"/>
        <v>1537</v>
      </c>
      <c r="F1559" s="95">
        <f ca="1" t="shared" si="120"/>
        <v>0</v>
      </c>
      <c r="G1559" s="95">
        <f ca="1" t="shared" si="121"/>
        <v>0</v>
      </c>
      <c r="H1559" s="95" cm="1">
        <f ca="1" t="array" ref="H1559">MIN(30-SUM(I1559:L1559),_xlfn.XLOOKUP($D1559&amp;"_"&amp;H$52,$B$14:$B$36&amp;"_"&amp;$C$14:$C$36,$D$14:$D$36)*$E1559,18)</f>
        <v>11.6964</v>
      </c>
      <c r="I1559" s="95" cm="1">
        <f ca="1" t="array" ref="I1559">MIN(30-SUM(J1559:L1559),6-L1559,_xlfn.XLOOKUP($D1559&amp;"_"&amp;I$52,$B$14:$B$36&amp;"_"&amp;$C$14:$C$36,$D$14:$D$36)*$E1559)</f>
        <v>0</v>
      </c>
      <c r="J1559" s="95" cm="1">
        <f ca="1" t="array" ref="J1559">MIN(8,_xlfn.XLOOKUP($D1559&amp;"_"&amp;J$52,$B$14:$B$36&amp;"_"&amp;$C$14:$C$36,$D$14:$D$36)*$E1559)</f>
        <v>8</v>
      </c>
      <c r="K1559" s="95" cm="1">
        <f ca="1" t="array" ref="K1559">MIN(18,_xlfn.XLOOKUP($D1559&amp;"_"&amp;K$52,$B$14:$B$36&amp;"_"&amp;$C$14:$C$36,$D$14:$D$36)*$E1559)</f>
        <v>4.3036</v>
      </c>
      <c r="L1559" s="95" cm="1">
        <f ca="1" t="array" ref="L1559">MIN(6,_xlfn.XLOOKUP($D1559&amp;"_"&amp;L$52,$B$14:$B$36&amp;"_"&amp;$C$14:$C$36,$D$14:$D$36)*$E1559)</f>
        <v>6</v>
      </c>
      <c r="M1559" s="95" cm="1">
        <f ca="1" t="array" ref="M1559">(1+SUMPRODUCT(G1559:H1559,OFFSET($H$40:$I$40,D1559,0)))*(1+OFFSET($J$40,D1559,0))^I1559*(1+OFFSET($K$40,D1559,0))^J1559*(1+OFFSET($L$40,D1559,0))^K1559*(1+OFFSET($M$40,D1559,0))^L1559</f>
        <v>356.822542756852</v>
      </c>
      <c r="N1559" s="95">
        <f ca="1">MAX(MAX($N$53:N1558),OFFSET($C$52,MATCH(M1559*1.07,$M$53:$M$2052,1),0)-C1559)</f>
        <v>71640</v>
      </c>
    </row>
    <row r="1560" spans="2:14">
      <c r="B1560" s="95">
        <v>1508</v>
      </c>
      <c r="C1560" s="95">
        <f t="shared" si="119"/>
        <v>542880</v>
      </c>
      <c r="D1560" s="95">
        <f ca="1">_xlfn.XLOOKUP(总览!$B$44,$B$40:$B$45,$C$40:$C$45)</f>
        <v>5</v>
      </c>
      <c r="E1560" s="95">
        <f ca="1" t="shared" si="122"/>
        <v>1538</v>
      </c>
      <c r="F1560" s="95">
        <f ca="1" t="shared" si="120"/>
        <v>0</v>
      </c>
      <c r="G1560" s="95">
        <f ca="1" t="shared" si="121"/>
        <v>0</v>
      </c>
      <c r="H1560" s="95" cm="1">
        <f ca="1" t="array" ref="H1560">MIN(30-SUM(I1560:L1560),_xlfn.XLOOKUP($D1560&amp;"_"&amp;H$52,$B$14:$B$36&amp;"_"&amp;$C$14:$C$36,$D$14:$D$36)*$E1560,18)</f>
        <v>11.6936</v>
      </c>
      <c r="I1560" s="95" cm="1">
        <f ca="1" t="array" ref="I1560">MIN(30-SUM(J1560:L1560),6-L1560,_xlfn.XLOOKUP($D1560&amp;"_"&amp;I$52,$B$14:$B$36&amp;"_"&amp;$C$14:$C$36,$D$14:$D$36)*$E1560)</f>
        <v>0</v>
      </c>
      <c r="J1560" s="95" cm="1">
        <f ca="1" t="array" ref="J1560">MIN(8,_xlfn.XLOOKUP($D1560&amp;"_"&amp;J$52,$B$14:$B$36&amp;"_"&amp;$C$14:$C$36,$D$14:$D$36)*$E1560)</f>
        <v>8</v>
      </c>
      <c r="K1560" s="95" cm="1">
        <f ca="1" t="array" ref="K1560">MIN(18,_xlfn.XLOOKUP($D1560&amp;"_"&amp;K$52,$B$14:$B$36&amp;"_"&amp;$C$14:$C$36,$D$14:$D$36)*$E1560)</f>
        <v>4.3064</v>
      </c>
      <c r="L1560" s="95" cm="1">
        <f ca="1" t="array" ref="L1560">MIN(6,_xlfn.XLOOKUP($D1560&amp;"_"&amp;L$52,$B$14:$B$36&amp;"_"&amp;$C$14:$C$36,$D$14:$D$36)*$E1560)</f>
        <v>6</v>
      </c>
      <c r="M1560" s="95" cm="1">
        <f ca="1" t="array" ref="M1560">(1+SUMPRODUCT(G1560:H1560,OFFSET($H$40:$I$40,D1560,0)))*(1+OFFSET($J$40,D1560,0))^I1560*(1+OFFSET($K$40,D1560,0))^J1560*(1+OFFSET($L$40,D1560,0))^K1560*(1+OFFSET($M$40,D1560,0))^L1560</f>
        <v>356.944877307337</v>
      </c>
      <c r="N1560" s="95">
        <f ca="1">MAX(MAX($N$53:N1559),OFFSET($C$52,MATCH(M1560*1.07,$M$53:$M$2052,1),0)-C1560)</f>
        <v>71640</v>
      </c>
    </row>
    <row r="1561" spans="2:14">
      <c r="B1561" s="95">
        <v>1509</v>
      </c>
      <c r="C1561" s="95">
        <f t="shared" si="119"/>
        <v>543240</v>
      </c>
      <c r="D1561" s="95">
        <f ca="1">_xlfn.XLOOKUP(总览!$B$44,$B$40:$B$45,$C$40:$C$45)</f>
        <v>5</v>
      </c>
      <c r="E1561" s="95">
        <f ca="1" t="shared" si="122"/>
        <v>1539</v>
      </c>
      <c r="F1561" s="95">
        <f ca="1" t="shared" si="120"/>
        <v>0</v>
      </c>
      <c r="G1561" s="95">
        <f ca="1" t="shared" si="121"/>
        <v>0</v>
      </c>
      <c r="H1561" s="95" cm="1">
        <f ca="1" t="array" ref="H1561">MIN(30-SUM(I1561:L1561),_xlfn.XLOOKUP($D1561&amp;"_"&amp;H$52,$B$14:$B$36&amp;"_"&amp;$C$14:$C$36,$D$14:$D$36)*$E1561,18)</f>
        <v>11.6908</v>
      </c>
      <c r="I1561" s="95" cm="1">
        <f ca="1" t="array" ref="I1561">MIN(30-SUM(J1561:L1561),6-L1561,_xlfn.XLOOKUP($D1561&amp;"_"&amp;I$52,$B$14:$B$36&amp;"_"&amp;$C$14:$C$36,$D$14:$D$36)*$E1561)</f>
        <v>0</v>
      </c>
      <c r="J1561" s="95" cm="1">
        <f ca="1" t="array" ref="J1561">MIN(8,_xlfn.XLOOKUP($D1561&amp;"_"&amp;J$52,$B$14:$B$36&amp;"_"&amp;$C$14:$C$36,$D$14:$D$36)*$E1561)</f>
        <v>8</v>
      </c>
      <c r="K1561" s="95" cm="1">
        <f ca="1" t="array" ref="K1561">MIN(18,_xlfn.XLOOKUP($D1561&amp;"_"&amp;K$52,$B$14:$B$36&amp;"_"&amp;$C$14:$C$36,$D$14:$D$36)*$E1561)</f>
        <v>4.3092</v>
      </c>
      <c r="L1561" s="95" cm="1">
        <f ca="1" t="array" ref="L1561">MIN(6,_xlfn.XLOOKUP($D1561&amp;"_"&amp;L$52,$B$14:$B$36&amp;"_"&amp;$C$14:$C$36,$D$14:$D$36)*$E1561)</f>
        <v>6</v>
      </c>
      <c r="M1561" s="95" cm="1">
        <f ca="1" t="array" ref="M1561">(1+SUMPRODUCT(G1561:H1561,OFFSET($H$40:$I$40,D1561,0)))*(1+OFFSET($J$40,D1561,0))^I1561*(1+OFFSET($K$40,D1561,0))^J1561*(1+OFFSET($L$40,D1561,0))^K1561*(1+OFFSET($M$40,D1561,0))^L1561</f>
        <v>357.067243754144</v>
      </c>
      <c r="N1561" s="95">
        <f ca="1">MAX(MAX($N$53:N1560),OFFSET($C$52,MATCH(M1561*1.07,$M$53:$M$2052,1),0)-C1561)</f>
        <v>71640</v>
      </c>
    </row>
    <row r="1562" spans="2:14">
      <c r="B1562" s="95">
        <v>1510</v>
      </c>
      <c r="C1562" s="95">
        <f t="shared" si="119"/>
        <v>543600</v>
      </c>
      <c r="D1562" s="95">
        <f ca="1">_xlfn.XLOOKUP(总览!$B$44,$B$40:$B$45,$C$40:$C$45)</f>
        <v>5</v>
      </c>
      <c r="E1562" s="95">
        <f ca="1" t="shared" si="122"/>
        <v>1540</v>
      </c>
      <c r="F1562" s="95">
        <f ca="1" t="shared" si="120"/>
        <v>0</v>
      </c>
      <c r="G1562" s="95">
        <f ca="1" t="shared" si="121"/>
        <v>0</v>
      </c>
      <c r="H1562" s="95" cm="1">
        <f ca="1" t="array" ref="H1562">MIN(30-SUM(I1562:L1562),_xlfn.XLOOKUP($D1562&amp;"_"&amp;H$52,$B$14:$B$36&amp;"_"&amp;$C$14:$C$36,$D$14:$D$36)*$E1562,18)</f>
        <v>11.688</v>
      </c>
      <c r="I1562" s="95" cm="1">
        <f ca="1" t="array" ref="I1562">MIN(30-SUM(J1562:L1562),6-L1562,_xlfn.XLOOKUP($D1562&amp;"_"&amp;I$52,$B$14:$B$36&amp;"_"&amp;$C$14:$C$36,$D$14:$D$36)*$E1562)</f>
        <v>0</v>
      </c>
      <c r="J1562" s="95" cm="1">
        <f ca="1" t="array" ref="J1562">MIN(8,_xlfn.XLOOKUP($D1562&amp;"_"&amp;J$52,$B$14:$B$36&amp;"_"&amp;$C$14:$C$36,$D$14:$D$36)*$E1562)</f>
        <v>8</v>
      </c>
      <c r="K1562" s="95" cm="1">
        <f ca="1" t="array" ref="K1562">MIN(18,_xlfn.XLOOKUP($D1562&amp;"_"&amp;K$52,$B$14:$B$36&amp;"_"&amp;$C$14:$C$36,$D$14:$D$36)*$E1562)</f>
        <v>4.312</v>
      </c>
      <c r="L1562" s="95" cm="1">
        <f ca="1" t="array" ref="L1562">MIN(6,_xlfn.XLOOKUP($D1562&amp;"_"&amp;L$52,$B$14:$B$36&amp;"_"&amp;$C$14:$C$36,$D$14:$D$36)*$E1562)</f>
        <v>6</v>
      </c>
      <c r="M1562" s="95" cm="1">
        <f ca="1" t="array" ref="M1562">(1+SUMPRODUCT(G1562:H1562,OFFSET($H$40:$I$40,D1562,0)))*(1+OFFSET($J$40,D1562,0))^I1562*(1+OFFSET($K$40,D1562,0))^J1562*(1+OFFSET($L$40,D1562,0))^K1562*(1+OFFSET($M$40,D1562,0))^L1562</f>
        <v>357.189642097948</v>
      </c>
      <c r="N1562" s="95">
        <f ca="1">MAX(MAX($N$53:N1561),OFFSET($C$52,MATCH(M1562*1.07,$M$53:$M$2052,1),0)-C1562)</f>
        <v>71640</v>
      </c>
    </row>
    <row r="1563" spans="2:14">
      <c r="B1563" s="95">
        <v>1511</v>
      </c>
      <c r="C1563" s="95">
        <f t="shared" si="119"/>
        <v>543960</v>
      </c>
      <c r="D1563" s="95">
        <f ca="1">_xlfn.XLOOKUP(总览!$B$44,$B$40:$B$45,$C$40:$C$45)</f>
        <v>5</v>
      </c>
      <c r="E1563" s="95">
        <f ca="1" t="shared" si="122"/>
        <v>1541</v>
      </c>
      <c r="F1563" s="95">
        <f ca="1" t="shared" si="120"/>
        <v>0</v>
      </c>
      <c r="G1563" s="95">
        <f ca="1" t="shared" si="121"/>
        <v>0</v>
      </c>
      <c r="H1563" s="95" cm="1">
        <f ca="1" t="array" ref="H1563">MIN(30-SUM(I1563:L1563),_xlfn.XLOOKUP($D1563&amp;"_"&amp;H$52,$B$14:$B$36&amp;"_"&amp;$C$14:$C$36,$D$14:$D$36)*$E1563,18)</f>
        <v>11.6852</v>
      </c>
      <c r="I1563" s="95" cm="1">
        <f ca="1" t="array" ref="I1563">MIN(30-SUM(J1563:L1563),6-L1563,_xlfn.XLOOKUP($D1563&amp;"_"&amp;I$52,$B$14:$B$36&amp;"_"&amp;$C$14:$C$36,$D$14:$D$36)*$E1563)</f>
        <v>0</v>
      </c>
      <c r="J1563" s="95" cm="1">
        <f ca="1" t="array" ref="J1563">MIN(8,_xlfn.XLOOKUP($D1563&amp;"_"&amp;J$52,$B$14:$B$36&amp;"_"&amp;$C$14:$C$36,$D$14:$D$36)*$E1563)</f>
        <v>8</v>
      </c>
      <c r="K1563" s="95" cm="1">
        <f ca="1" t="array" ref="K1563">MIN(18,_xlfn.XLOOKUP($D1563&amp;"_"&amp;K$52,$B$14:$B$36&amp;"_"&amp;$C$14:$C$36,$D$14:$D$36)*$E1563)</f>
        <v>4.3148</v>
      </c>
      <c r="L1563" s="95" cm="1">
        <f ca="1" t="array" ref="L1563">MIN(6,_xlfn.XLOOKUP($D1563&amp;"_"&amp;L$52,$B$14:$B$36&amp;"_"&amp;$C$14:$C$36,$D$14:$D$36)*$E1563)</f>
        <v>6</v>
      </c>
      <c r="M1563" s="95" cm="1">
        <f ca="1" t="array" ref="M1563">(1+SUMPRODUCT(G1563:H1563,OFFSET($H$40:$I$40,D1563,0)))*(1+OFFSET($J$40,D1563,0))^I1563*(1+OFFSET($K$40,D1563,0))^J1563*(1+OFFSET($L$40,D1563,0))^K1563*(1+OFFSET($M$40,D1563,0))^L1563</f>
        <v>357.31207233942</v>
      </c>
      <c r="N1563" s="95">
        <f ca="1">MAX(MAX($N$53:N1562),OFFSET($C$52,MATCH(M1563*1.07,$M$53:$M$2052,1),0)-C1563)</f>
        <v>71640</v>
      </c>
    </row>
    <row r="1564" spans="2:14">
      <c r="B1564" s="95">
        <v>1512</v>
      </c>
      <c r="C1564" s="95">
        <f t="shared" si="119"/>
        <v>544320</v>
      </c>
      <c r="D1564" s="95">
        <f ca="1">_xlfn.XLOOKUP(总览!$B$44,$B$40:$B$45,$C$40:$C$45)</f>
        <v>5</v>
      </c>
      <c r="E1564" s="95">
        <f ca="1" t="shared" si="122"/>
        <v>1542</v>
      </c>
      <c r="F1564" s="95">
        <f ca="1" t="shared" si="120"/>
        <v>0</v>
      </c>
      <c r="G1564" s="95">
        <f ca="1" t="shared" si="121"/>
        <v>0</v>
      </c>
      <c r="H1564" s="95" cm="1">
        <f ca="1" t="array" ref="H1564">MIN(30-SUM(I1564:L1564),_xlfn.XLOOKUP($D1564&amp;"_"&amp;H$52,$B$14:$B$36&amp;"_"&amp;$C$14:$C$36,$D$14:$D$36)*$E1564,18)</f>
        <v>11.6824</v>
      </c>
      <c r="I1564" s="95" cm="1">
        <f ca="1" t="array" ref="I1564">MIN(30-SUM(J1564:L1564),6-L1564,_xlfn.XLOOKUP($D1564&amp;"_"&amp;I$52,$B$14:$B$36&amp;"_"&amp;$C$14:$C$36,$D$14:$D$36)*$E1564)</f>
        <v>0</v>
      </c>
      <c r="J1564" s="95" cm="1">
        <f ca="1" t="array" ref="J1564">MIN(8,_xlfn.XLOOKUP($D1564&amp;"_"&amp;J$52,$B$14:$B$36&amp;"_"&amp;$C$14:$C$36,$D$14:$D$36)*$E1564)</f>
        <v>8</v>
      </c>
      <c r="K1564" s="95" cm="1">
        <f ca="1" t="array" ref="K1564">MIN(18,_xlfn.XLOOKUP($D1564&amp;"_"&amp;K$52,$B$14:$B$36&amp;"_"&amp;$C$14:$C$36,$D$14:$D$36)*$E1564)</f>
        <v>4.3176</v>
      </c>
      <c r="L1564" s="95" cm="1">
        <f ca="1" t="array" ref="L1564">MIN(6,_xlfn.XLOOKUP($D1564&amp;"_"&amp;L$52,$B$14:$B$36&amp;"_"&amp;$C$14:$C$36,$D$14:$D$36)*$E1564)</f>
        <v>6</v>
      </c>
      <c r="M1564" s="95" cm="1">
        <f ca="1" t="array" ref="M1564">(1+SUMPRODUCT(G1564:H1564,OFFSET($H$40:$I$40,D1564,0)))*(1+OFFSET($J$40,D1564,0))^I1564*(1+OFFSET($K$40,D1564,0))^J1564*(1+OFFSET($L$40,D1564,0))^K1564*(1+OFFSET($M$40,D1564,0))^L1564</f>
        <v>357.43453447922</v>
      </c>
      <c r="N1564" s="95">
        <f ca="1">MAX(MAX($N$53:N1563),OFFSET($C$52,MATCH(M1564*1.07,$M$53:$M$2052,1),0)-C1564)</f>
        <v>71640</v>
      </c>
    </row>
    <row r="1565" spans="2:14">
      <c r="B1565" s="95">
        <v>1513</v>
      </c>
      <c r="C1565" s="95">
        <f t="shared" si="119"/>
        <v>544680</v>
      </c>
      <c r="D1565" s="95">
        <f ca="1">_xlfn.XLOOKUP(总览!$B$44,$B$40:$B$45,$C$40:$C$45)</f>
        <v>5</v>
      </c>
      <c r="E1565" s="95">
        <f ca="1" t="shared" si="122"/>
        <v>1543</v>
      </c>
      <c r="F1565" s="95">
        <f ca="1" t="shared" si="120"/>
        <v>0</v>
      </c>
      <c r="G1565" s="95">
        <f ca="1" t="shared" si="121"/>
        <v>0</v>
      </c>
      <c r="H1565" s="95" cm="1">
        <f ca="1" t="array" ref="H1565">MIN(30-SUM(I1565:L1565),_xlfn.XLOOKUP($D1565&amp;"_"&amp;H$52,$B$14:$B$36&amp;"_"&amp;$C$14:$C$36,$D$14:$D$36)*$E1565,18)</f>
        <v>11.6796</v>
      </c>
      <c r="I1565" s="95" cm="1">
        <f ca="1" t="array" ref="I1565">MIN(30-SUM(J1565:L1565),6-L1565,_xlfn.XLOOKUP($D1565&amp;"_"&amp;I$52,$B$14:$B$36&amp;"_"&amp;$C$14:$C$36,$D$14:$D$36)*$E1565)</f>
        <v>0</v>
      </c>
      <c r="J1565" s="95" cm="1">
        <f ca="1" t="array" ref="J1565">MIN(8,_xlfn.XLOOKUP($D1565&amp;"_"&amp;J$52,$B$14:$B$36&amp;"_"&amp;$C$14:$C$36,$D$14:$D$36)*$E1565)</f>
        <v>8</v>
      </c>
      <c r="K1565" s="95" cm="1">
        <f ca="1" t="array" ref="K1565">MIN(18,_xlfn.XLOOKUP($D1565&amp;"_"&amp;K$52,$B$14:$B$36&amp;"_"&amp;$C$14:$C$36,$D$14:$D$36)*$E1565)</f>
        <v>4.3204</v>
      </c>
      <c r="L1565" s="95" cm="1">
        <f ca="1" t="array" ref="L1565">MIN(6,_xlfn.XLOOKUP($D1565&amp;"_"&amp;L$52,$B$14:$B$36&amp;"_"&amp;$C$14:$C$36,$D$14:$D$36)*$E1565)</f>
        <v>6</v>
      </c>
      <c r="M1565" s="95" cm="1">
        <f ca="1" t="array" ref="M1565">(1+SUMPRODUCT(G1565:H1565,OFFSET($H$40:$I$40,D1565,0)))*(1+OFFSET($J$40,D1565,0))^I1565*(1+OFFSET($K$40,D1565,0))^J1565*(1+OFFSET($L$40,D1565,0))^K1565*(1+OFFSET($M$40,D1565,0))^L1565</f>
        <v>357.557028518002</v>
      </c>
      <c r="N1565" s="95">
        <f ca="1">MAX(MAX($N$53:N1564),OFFSET($C$52,MATCH(M1565*1.07,$M$53:$M$2052,1),0)-C1565)</f>
        <v>71640</v>
      </c>
    </row>
    <row r="1566" spans="2:14">
      <c r="B1566" s="95">
        <v>1514</v>
      </c>
      <c r="C1566" s="95">
        <f t="shared" si="119"/>
        <v>545040</v>
      </c>
      <c r="D1566" s="95">
        <f ca="1">_xlfn.XLOOKUP(总览!$B$44,$B$40:$B$45,$C$40:$C$45)</f>
        <v>5</v>
      </c>
      <c r="E1566" s="95">
        <f ca="1" t="shared" si="122"/>
        <v>1544</v>
      </c>
      <c r="F1566" s="95">
        <f ca="1" t="shared" si="120"/>
        <v>0</v>
      </c>
      <c r="G1566" s="95">
        <f ca="1" t="shared" si="121"/>
        <v>0</v>
      </c>
      <c r="H1566" s="95" cm="1">
        <f ca="1" t="array" ref="H1566">MIN(30-SUM(I1566:L1566),_xlfn.XLOOKUP($D1566&amp;"_"&amp;H$52,$B$14:$B$36&amp;"_"&amp;$C$14:$C$36,$D$14:$D$36)*$E1566,18)</f>
        <v>11.6768</v>
      </c>
      <c r="I1566" s="95" cm="1">
        <f ca="1" t="array" ref="I1566">MIN(30-SUM(J1566:L1566),6-L1566,_xlfn.XLOOKUP($D1566&amp;"_"&amp;I$52,$B$14:$B$36&amp;"_"&amp;$C$14:$C$36,$D$14:$D$36)*$E1566)</f>
        <v>0</v>
      </c>
      <c r="J1566" s="95" cm="1">
        <f ca="1" t="array" ref="J1566">MIN(8,_xlfn.XLOOKUP($D1566&amp;"_"&amp;J$52,$B$14:$B$36&amp;"_"&amp;$C$14:$C$36,$D$14:$D$36)*$E1566)</f>
        <v>8</v>
      </c>
      <c r="K1566" s="95" cm="1">
        <f ca="1" t="array" ref="K1566">MIN(18,_xlfn.XLOOKUP($D1566&amp;"_"&amp;K$52,$B$14:$B$36&amp;"_"&amp;$C$14:$C$36,$D$14:$D$36)*$E1566)</f>
        <v>4.3232</v>
      </c>
      <c r="L1566" s="95" cm="1">
        <f ca="1" t="array" ref="L1566">MIN(6,_xlfn.XLOOKUP($D1566&amp;"_"&amp;L$52,$B$14:$B$36&amp;"_"&amp;$C$14:$C$36,$D$14:$D$36)*$E1566)</f>
        <v>6</v>
      </c>
      <c r="M1566" s="95" cm="1">
        <f ca="1" t="array" ref="M1566">(1+SUMPRODUCT(G1566:H1566,OFFSET($H$40:$I$40,D1566,0)))*(1+OFFSET($J$40,D1566,0))^I1566*(1+OFFSET($K$40,D1566,0))^J1566*(1+OFFSET($L$40,D1566,0))^K1566*(1+OFFSET($M$40,D1566,0))^L1566</f>
        <v>357.679554456412</v>
      </c>
      <c r="N1566" s="95">
        <f ca="1">MAX(MAX($N$53:N1565),OFFSET($C$52,MATCH(M1566*1.07,$M$53:$M$2052,1),0)-C1566)</f>
        <v>71640</v>
      </c>
    </row>
    <row r="1567" spans="2:14">
      <c r="B1567" s="95">
        <v>1515</v>
      </c>
      <c r="C1567" s="95">
        <f t="shared" si="119"/>
        <v>545400</v>
      </c>
      <c r="D1567" s="95">
        <f ca="1">_xlfn.XLOOKUP(总览!$B$44,$B$40:$B$45,$C$40:$C$45)</f>
        <v>5</v>
      </c>
      <c r="E1567" s="95">
        <f ca="1" t="shared" si="122"/>
        <v>1545</v>
      </c>
      <c r="F1567" s="95">
        <f ca="1" t="shared" si="120"/>
        <v>0</v>
      </c>
      <c r="G1567" s="95">
        <f ca="1" t="shared" si="121"/>
        <v>0</v>
      </c>
      <c r="H1567" s="95" cm="1">
        <f ca="1" t="array" ref="H1567">MIN(30-SUM(I1567:L1567),_xlfn.XLOOKUP($D1567&amp;"_"&amp;H$52,$B$14:$B$36&amp;"_"&amp;$C$14:$C$36,$D$14:$D$36)*$E1567,18)</f>
        <v>11.674</v>
      </c>
      <c r="I1567" s="95" cm="1">
        <f ca="1" t="array" ref="I1567">MIN(30-SUM(J1567:L1567),6-L1567,_xlfn.XLOOKUP($D1567&amp;"_"&amp;I$52,$B$14:$B$36&amp;"_"&amp;$C$14:$C$36,$D$14:$D$36)*$E1567)</f>
        <v>0</v>
      </c>
      <c r="J1567" s="95" cm="1">
        <f ca="1" t="array" ref="J1567">MIN(8,_xlfn.XLOOKUP($D1567&amp;"_"&amp;J$52,$B$14:$B$36&amp;"_"&amp;$C$14:$C$36,$D$14:$D$36)*$E1567)</f>
        <v>8</v>
      </c>
      <c r="K1567" s="95" cm="1">
        <f ca="1" t="array" ref="K1567">MIN(18,_xlfn.XLOOKUP($D1567&amp;"_"&amp;K$52,$B$14:$B$36&amp;"_"&amp;$C$14:$C$36,$D$14:$D$36)*$E1567)</f>
        <v>4.326</v>
      </c>
      <c r="L1567" s="95" cm="1">
        <f ca="1" t="array" ref="L1567">MIN(6,_xlfn.XLOOKUP($D1567&amp;"_"&amp;L$52,$B$14:$B$36&amp;"_"&amp;$C$14:$C$36,$D$14:$D$36)*$E1567)</f>
        <v>6</v>
      </c>
      <c r="M1567" s="95" cm="1">
        <f ca="1" t="array" ref="M1567">(1+SUMPRODUCT(G1567:H1567,OFFSET($H$40:$I$40,D1567,0)))*(1+OFFSET($J$40,D1567,0))^I1567*(1+OFFSET($K$40,D1567,0))^J1567*(1+OFFSET($L$40,D1567,0))^K1567*(1+OFFSET($M$40,D1567,0))^L1567</f>
        <v>357.802112295088</v>
      </c>
      <c r="N1567" s="95">
        <f ca="1">MAX(MAX($N$53:N1566),OFFSET($C$52,MATCH(M1567*1.07,$M$53:$M$2052,1),0)-C1567)</f>
        <v>71640</v>
      </c>
    </row>
    <row r="1568" spans="2:14">
      <c r="B1568" s="95">
        <v>1516</v>
      </c>
      <c r="C1568" s="95">
        <f t="shared" si="119"/>
        <v>545760</v>
      </c>
      <c r="D1568" s="95">
        <f ca="1">_xlfn.XLOOKUP(总览!$B$44,$B$40:$B$45,$C$40:$C$45)</f>
        <v>5</v>
      </c>
      <c r="E1568" s="95">
        <f ca="1" t="shared" si="122"/>
        <v>1546</v>
      </c>
      <c r="F1568" s="95">
        <f ca="1" t="shared" si="120"/>
        <v>0</v>
      </c>
      <c r="G1568" s="95">
        <f ca="1" t="shared" si="121"/>
        <v>0</v>
      </c>
      <c r="H1568" s="95" cm="1">
        <f ca="1" t="array" ref="H1568">MIN(30-SUM(I1568:L1568),_xlfn.XLOOKUP($D1568&amp;"_"&amp;H$52,$B$14:$B$36&amp;"_"&amp;$C$14:$C$36,$D$14:$D$36)*$E1568,18)</f>
        <v>11.6712</v>
      </c>
      <c r="I1568" s="95" cm="1">
        <f ca="1" t="array" ref="I1568">MIN(30-SUM(J1568:L1568),6-L1568,_xlfn.XLOOKUP($D1568&amp;"_"&amp;I$52,$B$14:$B$36&amp;"_"&amp;$C$14:$C$36,$D$14:$D$36)*$E1568)</f>
        <v>0</v>
      </c>
      <c r="J1568" s="95" cm="1">
        <f ca="1" t="array" ref="J1568">MIN(8,_xlfn.XLOOKUP($D1568&amp;"_"&amp;J$52,$B$14:$B$36&amp;"_"&amp;$C$14:$C$36,$D$14:$D$36)*$E1568)</f>
        <v>8</v>
      </c>
      <c r="K1568" s="95" cm="1">
        <f ca="1" t="array" ref="K1568">MIN(18,_xlfn.XLOOKUP($D1568&amp;"_"&amp;K$52,$B$14:$B$36&amp;"_"&amp;$C$14:$C$36,$D$14:$D$36)*$E1568)</f>
        <v>4.3288</v>
      </c>
      <c r="L1568" s="95" cm="1">
        <f ca="1" t="array" ref="L1568">MIN(6,_xlfn.XLOOKUP($D1568&amp;"_"&amp;L$52,$B$14:$B$36&amp;"_"&amp;$C$14:$C$36,$D$14:$D$36)*$E1568)</f>
        <v>6</v>
      </c>
      <c r="M1568" s="95" cm="1">
        <f ca="1" t="array" ref="M1568">(1+SUMPRODUCT(G1568:H1568,OFFSET($H$40:$I$40,D1568,0)))*(1+OFFSET($J$40,D1568,0))^I1568*(1+OFFSET($K$40,D1568,0))^J1568*(1+OFFSET($L$40,D1568,0))^K1568*(1+OFFSET($M$40,D1568,0))^L1568</f>
        <v>357.924702034661</v>
      </c>
      <c r="N1568" s="95">
        <f ca="1">MAX(MAX($N$53:N1567),OFFSET($C$52,MATCH(M1568*1.07,$M$53:$M$2052,1),0)-C1568)</f>
        <v>71640</v>
      </c>
    </row>
    <row r="1569" spans="2:14">
      <c r="B1569" s="95">
        <v>1517</v>
      </c>
      <c r="C1569" s="95">
        <f t="shared" si="119"/>
        <v>546120</v>
      </c>
      <c r="D1569" s="95">
        <f ca="1">_xlfn.XLOOKUP(总览!$B$44,$B$40:$B$45,$C$40:$C$45)</f>
        <v>5</v>
      </c>
      <c r="E1569" s="95">
        <f ca="1" t="shared" si="122"/>
        <v>1547</v>
      </c>
      <c r="F1569" s="95">
        <f ca="1" t="shared" si="120"/>
        <v>0</v>
      </c>
      <c r="G1569" s="95">
        <f ca="1" t="shared" si="121"/>
        <v>0</v>
      </c>
      <c r="H1569" s="95" cm="1">
        <f ca="1" t="array" ref="H1569">MIN(30-SUM(I1569:L1569),_xlfn.XLOOKUP($D1569&amp;"_"&amp;H$52,$B$14:$B$36&amp;"_"&amp;$C$14:$C$36,$D$14:$D$36)*$E1569,18)</f>
        <v>11.6684</v>
      </c>
      <c r="I1569" s="95" cm="1">
        <f ca="1" t="array" ref="I1569">MIN(30-SUM(J1569:L1569),6-L1569,_xlfn.XLOOKUP($D1569&amp;"_"&amp;I$52,$B$14:$B$36&amp;"_"&amp;$C$14:$C$36,$D$14:$D$36)*$E1569)</f>
        <v>0</v>
      </c>
      <c r="J1569" s="95" cm="1">
        <f ca="1" t="array" ref="J1569">MIN(8,_xlfn.XLOOKUP($D1569&amp;"_"&amp;J$52,$B$14:$B$36&amp;"_"&amp;$C$14:$C$36,$D$14:$D$36)*$E1569)</f>
        <v>8</v>
      </c>
      <c r="K1569" s="95" cm="1">
        <f ca="1" t="array" ref="K1569">MIN(18,_xlfn.XLOOKUP($D1569&amp;"_"&amp;K$52,$B$14:$B$36&amp;"_"&amp;$C$14:$C$36,$D$14:$D$36)*$E1569)</f>
        <v>4.3316</v>
      </c>
      <c r="L1569" s="95" cm="1">
        <f ca="1" t="array" ref="L1569">MIN(6,_xlfn.XLOOKUP($D1569&amp;"_"&amp;L$52,$B$14:$B$36&amp;"_"&amp;$C$14:$C$36,$D$14:$D$36)*$E1569)</f>
        <v>6</v>
      </c>
      <c r="M1569" s="95" cm="1">
        <f ca="1" t="array" ref="M1569">(1+SUMPRODUCT(G1569:H1569,OFFSET($H$40:$I$40,D1569,0)))*(1+OFFSET($J$40,D1569,0))^I1569*(1+OFFSET($K$40,D1569,0))^J1569*(1+OFFSET($L$40,D1569,0))^K1569*(1+OFFSET($M$40,D1569,0))^L1569</f>
        <v>358.047323675754</v>
      </c>
      <c r="N1569" s="95">
        <f ca="1">MAX(MAX($N$53:N1568),OFFSET($C$52,MATCH(M1569*1.07,$M$53:$M$2052,1),0)-C1569)</f>
        <v>71640</v>
      </c>
    </row>
    <row r="1570" spans="2:14">
      <c r="B1570" s="95">
        <v>1518</v>
      </c>
      <c r="C1570" s="95">
        <f t="shared" si="119"/>
        <v>546480</v>
      </c>
      <c r="D1570" s="95">
        <f ca="1">_xlfn.XLOOKUP(总览!$B$44,$B$40:$B$45,$C$40:$C$45)</f>
        <v>5</v>
      </c>
      <c r="E1570" s="95">
        <f ca="1" t="shared" si="122"/>
        <v>1548</v>
      </c>
      <c r="F1570" s="95">
        <f ca="1" t="shared" si="120"/>
        <v>0</v>
      </c>
      <c r="G1570" s="95">
        <f ca="1" t="shared" si="121"/>
        <v>0</v>
      </c>
      <c r="H1570" s="95" cm="1">
        <f ca="1" t="array" ref="H1570">MIN(30-SUM(I1570:L1570),_xlfn.XLOOKUP($D1570&amp;"_"&amp;H$52,$B$14:$B$36&amp;"_"&amp;$C$14:$C$36,$D$14:$D$36)*$E1570,18)</f>
        <v>11.6656</v>
      </c>
      <c r="I1570" s="95" cm="1">
        <f ca="1" t="array" ref="I1570">MIN(30-SUM(J1570:L1570),6-L1570,_xlfn.XLOOKUP($D1570&amp;"_"&amp;I$52,$B$14:$B$36&amp;"_"&amp;$C$14:$C$36,$D$14:$D$36)*$E1570)</f>
        <v>0</v>
      </c>
      <c r="J1570" s="95" cm="1">
        <f ca="1" t="array" ref="J1570">MIN(8,_xlfn.XLOOKUP($D1570&amp;"_"&amp;J$52,$B$14:$B$36&amp;"_"&amp;$C$14:$C$36,$D$14:$D$36)*$E1570)</f>
        <v>8</v>
      </c>
      <c r="K1570" s="95" cm="1">
        <f ca="1" t="array" ref="K1570">MIN(18,_xlfn.XLOOKUP($D1570&amp;"_"&amp;K$52,$B$14:$B$36&amp;"_"&amp;$C$14:$C$36,$D$14:$D$36)*$E1570)</f>
        <v>4.3344</v>
      </c>
      <c r="L1570" s="95" cm="1">
        <f ca="1" t="array" ref="L1570">MIN(6,_xlfn.XLOOKUP($D1570&amp;"_"&amp;L$52,$B$14:$B$36&amp;"_"&amp;$C$14:$C$36,$D$14:$D$36)*$E1570)</f>
        <v>6</v>
      </c>
      <c r="M1570" s="95" cm="1">
        <f ca="1" t="array" ref="M1570">(1+SUMPRODUCT(G1570:H1570,OFFSET($H$40:$I$40,D1570,0)))*(1+OFFSET($J$40,D1570,0))^I1570*(1+OFFSET($K$40,D1570,0))^J1570*(1+OFFSET($L$40,D1570,0))^K1570*(1+OFFSET($M$40,D1570,0))^L1570</f>
        <v>358.169977218982</v>
      </c>
      <c r="N1570" s="95">
        <f ca="1">MAX(MAX($N$53:N1569),OFFSET($C$52,MATCH(M1570*1.07,$M$53:$M$2052,1),0)-C1570)</f>
        <v>71640</v>
      </c>
    </row>
    <row r="1571" spans="2:14">
      <c r="B1571" s="95">
        <v>1519</v>
      </c>
      <c r="C1571" s="95">
        <f t="shared" si="119"/>
        <v>546840</v>
      </c>
      <c r="D1571" s="95">
        <f ca="1">_xlfn.XLOOKUP(总览!$B$44,$B$40:$B$45,$C$40:$C$45)</f>
        <v>5</v>
      </c>
      <c r="E1571" s="95">
        <f ca="1" t="shared" si="122"/>
        <v>1549</v>
      </c>
      <c r="F1571" s="95">
        <f ca="1" t="shared" si="120"/>
        <v>0</v>
      </c>
      <c r="G1571" s="95">
        <f ca="1" t="shared" si="121"/>
        <v>0</v>
      </c>
      <c r="H1571" s="95" cm="1">
        <f ca="1" t="array" ref="H1571">MIN(30-SUM(I1571:L1571),_xlfn.XLOOKUP($D1571&amp;"_"&amp;H$52,$B$14:$B$36&amp;"_"&amp;$C$14:$C$36,$D$14:$D$36)*$E1571,18)</f>
        <v>11.6628</v>
      </c>
      <c r="I1571" s="95" cm="1">
        <f ca="1" t="array" ref="I1571">MIN(30-SUM(J1571:L1571),6-L1571,_xlfn.XLOOKUP($D1571&amp;"_"&amp;I$52,$B$14:$B$36&amp;"_"&amp;$C$14:$C$36,$D$14:$D$36)*$E1571)</f>
        <v>0</v>
      </c>
      <c r="J1571" s="95" cm="1">
        <f ca="1" t="array" ref="J1571">MIN(8,_xlfn.XLOOKUP($D1571&amp;"_"&amp;J$52,$B$14:$B$36&amp;"_"&amp;$C$14:$C$36,$D$14:$D$36)*$E1571)</f>
        <v>8</v>
      </c>
      <c r="K1571" s="95" cm="1">
        <f ca="1" t="array" ref="K1571">MIN(18,_xlfn.XLOOKUP($D1571&amp;"_"&amp;K$52,$B$14:$B$36&amp;"_"&amp;$C$14:$C$36,$D$14:$D$36)*$E1571)</f>
        <v>4.3372</v>
      </c>
      <c r="L1571" s="95" cm="1">
        <f ca="1" t="array" ref="L1571">MIN(6,_xlfn.XLOOKUP($D1571&amp;"_"&amp;L$52,$B$14:$B$36&amp;"_"&amp;$C$14:$C$36,$D$14:$D$36)*$E1571)</f>
        <v>6</v>
      </c>
      <c r="M1571" s="95" cm="1">
        <f ca="1" t="array" ref="M1571">(1+SUMPRODUCT(G1571:H1571,OFFSET($H$40:$I$40,D1571,0)))*(1+OFFSET($J$40,D1571,0))^I1571*(1+OFFSET($K$40,D1571,0))^J1571*(1+OFFSET($L$40,D1571,0))^K1571*(1+OFFSET($M$40,D1571,0))^L1571</f>
        <v>358.292662664953</v>
      </c>
      <c r="N1571" s="95">
        <f ca="1">MAX(MAX($N$53:N1570),OFFSET($C$52,MATCH(M1571*1.07,$M$53:$M$2052,1),0)-C1571)</f>
        <v>71640</v>
      </c>
    </row>
    <row r="1572" spans="2:14">
      <c r="B1572" s="95">
        <v>1520</v>
      </c>
      <c r="C1572" s="95">
        <f t="shared" si="119"/>
        <v>547200</v>
      </c>
      <c r="D1572" s="95">
        <f ca="1">_xlfn.XLOOKUP(总览!$B$44,$B$40:$B$45,$C$40:$C$45)</f>
        <v>5</v>
      </c>
      <c r="E1572" s="95">
        <f ca="1" t="shared" si="122"/>
        <v>1550</v>
      </c>
      <c r="F1572" s="95">
        <f ca="1" t="shared" si="120"/>
        <v>0</v>
      </c>
      <c r="G1572" s="95">
        <f ca="1" t="shared" si="121"/>
        <v>0</v>
      </c>
      <c r="H1572" s="95" cm="1">
        <f ca="1" t="array" ref="H1572">MIN(30-SUM(I1572:L1572),_xlfn.XLOOKUP($D1572&amp;"_"&amp;H$52,$B$14:$B$36&amp;"_"&amp;$C$14:$C$36,$D$14:$D$36)*$E1572,18)</f>
        <v>11.66</v>
      </c>
      <c r="I1572" s="95" cm="1">
        <f ca="1" t="array" ref="I1572">MIN(30-SUM(J1572:L1572),6-L1572,_xlfn.XLOOKUP($D1572&amp;"_"&amp;I$52,$B$14:$B$36&amp;"_"&amp;$C$14:$C$36,$D$14:$D$36)*$E1572)</f>
        <v>0</v>
      </c>
      <c r="J1572" s="95" cm="1">
        <f ca="1" t="array" ref="J1572">MIN(8,_xlfn.XLOOKUP($D1572&amp;"_"&amp;J$52,$B$14:$B$36&amp;"_"&amp;$C$14:$C$36,$D$14:$D$36)*$E1572)</f>
        <v>8</v>
      </c>
      <c r="K1572" s="95" cm="1">
        <f ca="1" t="array" ref="K1572">MIN(18,_xlfn.XLOOKUP($D1572&amp;"_"&amp;K$52,$B$14:$B$36&amp;"_"&amp;$C$14:$C$36,$D$14:$D$36)*$E1572)</f>
        <v>4.34</v>
      </c>
      <c r="L1572" s="95" cm="1">
        <f ca="1" t="array" ref="L1572">MIN(6,_xlfn.XLOOKUP($D1572&amp;"_"&amp;L$52,$B$14:$B$36&amp;"_"&amp;$C$14:$C$36,$D$14:$D$36)*$E1572)</f>
        <v>6</v>
      </c>
      <c r="M1572" s="95" cm="1">
        <f ca="1" t="array" ref="M1572">(1+SUMPRODUCT(G1572:H1572,OFFSET($H$40:$I$40,D1572,0)))*(1+OFFSET($J$40,D1572,0))^I1572*(1+OFFSET($K$40,D1572,0))^J1572*(1+OFFSET($L$40,D1572,0))^K1572*(1+OFFSET($M$40,D1572,0))^L1572</f>
        <v>358.415380014266</v>
      </c>
      <c r="N1572" s="95">
        <f ca="1">MAX(MAX($N$53:N1571),OFFSET($C$52,MATCH(M1572*1.07,$M$53:$M$2052,1),0)-C1572)</f>
        <v>71640</v>
      </c>
    </row>
    <row r="1573" spans="2:14">
      <c r="B1573" s="95">
        <v>1521</v>
      </c>
      <c r="C1573" s="95">
        <f t="shared" ref="C1573:C1636" si="123">C1572+360</f>
        <v>547560</v>
      </c>
      <c r="D1573" s="95">
        <f ca="1">_xlfn.XLOOKUP(总览!$B$44,$B$40:$B$45,$C$40:$C$45)</f>
        <v>5</v>
      </c>
      <c r="E1573" s="95">
        <f ca="1" t="shared" si="122"/>
        <v>1551</v>
      </c>
      <c r="F1573" s="95">
        <f ca="1" t="shared" ref="F1573:F1636" si="124">30-SUM(G1573:L1573)</f>
        <v>0</v>
      </c>
      <c r="G1573" s="95">
        <f ca="1" t="shared" ref="G1573:G1636" si="125">30-SUM(H1573:L1573)</f>
        <v>0</v>
      </c>
      <c r="H1573" s="95" cm="1">
        <f ca="1" t="array" ref="H1573">MIN(30-SUM(I1573:L1573),_xlfn.XLOOKUP($D1573&amp;"_"&amp;H$52,$B$14:$B$36&amp;"_"&amp;$C$14:$C$36,$D$14:$D$36)*$E1573,18)</f>
        <v>11.6572</v>
      </c>
      <c r="I1573" s="95" cm="1">
        <f ca="1" t="array" ref="I1573">MIN(30-SUM(J1573:L1573),6-L1573,_xlfn.XLOOKUP($D1573&amp;"_"&amp;I$52,$B$14:$B$36&amp;"_"&amp;$C$14:$C$36,$D$14:$D$36)*$E1573)</f>
        <v>0</v>
      </c>
      <c r="J1573" s="95" cm="1">
        <f ca="1" t="array" ref="J1573">MIN(8,_xlfn.XLOOKUP($D1573&amp;"_"&amp;J$52,$B$14:$B$36&amp;"_"&amp;$C$14:$C$36,$D$14:$D$36)*$E1573)</f>
        <v>8</v>
      </c>
      <c r="K1573" s="95" cm="1">
        <f ca="1" t="array" ref="K1573">MIN(18,_xlfn.XLOOKUP($D1573&amp;"_"&amp;K$52,$B$14:$B$36&amp;"_"&amp;$C$14:$C$36,$D$14:$D$36)*$E1573)</f>
        <v>4.3428</v>
      </c>
      <c r="L1573" s="95" cm="1">
        <f ca="1" t="array" ref="L1573">MIN(6,_xlfn.XLOOKUP($D1573&amp;"_"&amp;L$52,$B$14:$B$36&amp;"_"&amp;$C$14:$C$36,$D$14:$D$36)*$E1573)</f>
        <v>6</v>
      </c>
      <c r="M1573" s="95" cm="1">
        <f ca="1" t="array" ref="M1573">(1+SUMPRODUCT(G1573:H1573,OFFSET($H$40:$I$40,D1573,0)))*(1+OFFSET($J$40,D1573,0))^I1573*(1+OFFSET($K$40,D1573,0))^J1573*(1+OFFSET($L$40,D1573,0))^K1573*(1+OFFSET($M$40,D1573,0))^L1573</f>
        <v>358.538129267514</v>
      </c>
      <c r="N1573" s="95">
        <f ca="1">MAX(MAX($N$53:N1572),OFFSET($C$52,MATCH(M1573*1.07,$M$53:$M$2052,1),0)-C1573)</f>
        <v>71640</v>
      </c>
    </row>
    <row r="1574" spans="2:14">
      <c r="B1574" s="95">
        <v>1522</v>
      </c>
      <c r="C1574" s="95">
        <f t="shared" si="123"/>
        <v>547920</v>
      </c>
      <c r="D1574" s="95">
        <f ca="1">_xlfn.XLOOKUP(总览!$B$44,$B$40:$B$45,$C$40:$C$45)</f>
        <v>5</v>
      </c>
      <c r="E1574" s="95">
        <f ca="1" t="shared" si="122"/>
        <v>1552</v>
      </c>
      <c r="F1574" s="95">
        <f ca="1" t="shared" si="124"/>
        <v>0</v>
      </c>
      <c r="G1574" s="95">
        <f ca="1" t="shared" si="125"/>
        <v>0</v>
      </c>
      <c r="H1574" s="95" cm="1">
        <f ca="1" t="array" ref="H1574">MIN(30-SUM(I1574:L1574),_xlfn.XLOOKUP($D1574&amp;"_"&amp;H$52,$B$14:$B$36&amp;"_"&amp;$C$14:$C$36,$D$14:$D$36)*$E1574,18)</f>
        <v>11.6544</v>
      </c>
      <c r="I1574" s="95" cm="1">
        <f ca="1" t="array" ref="I1574">MIN(30-SUM(J1574:L1574),6-L1574,_xlfn.XLOOKUP($D1574&amp;"_"&amp;I$52,$B$14:$B$36&amp;"_"&amp;$C$14:$C$36,$D$14:$D$36)*$E1574)</f>
        <v>0</v>
      </c>
      <c r="J1574" s="95" cm="1">
        <f ca="1" t="array" ref="J1574">MIN(8,_xlfn.XLOOKUP($D1574&amp;"_"&amp;J$52,$B$14:$B$36&amp;"_"&amp;$C$14:$C$36,$D$14:$D$36)*$E1574)</f>
        <v>8</v>
      </c>
      <c r="K1574" s="95" cm="1">
        <f ca="1" t="array" ref="K1574">MIN(18,_xlfn.XLOOKUP($D1574&amp;"_"&amp;K$52,$B$14:$B$36&amp;"_"&amp;$C$14:$C$36,$D$14:$D$36)*$E1574)</f>
        <v>4.3456</v>
      </c>
      <c r="L1574" s="95" cm="1">
        <f ca="1" t="array" ref="L1574">MIN(6,_xlfn.XLOOKUP($D1574&amp;"_"&amp;L$52,$B$14:$B$36&amp;"_"&amp;$C$14:$C$36,$D$14:$D$36)*$E1574)</f>
        <v>6</v>
      </c>
      <c r="M1574" s="95" cm="1">
        <f ca="1" t="array" ref="M1574">(1+SUMPRODUCT(G1574:H1574,OFFSET($H$40:$I$40,D1574,0)))*(1+OFFSET($J$40,D1574,0))^I1574*(1+OFFSET($K$40,D1574,0))^J1574*(1+OFFSET($L$40,D1574,0))^K1574*(1+OFFSET($M$40,D1574,0))^L1574</f>
        <v>358.660910425282</v>
      </c>
      <c r="N1574" s="95">
        <f ca="1">MAX(MAX($N$53:N1573),OFFSET($C$52,MATCH(M1574*1.07,$M$53:$M$2052,1),0)-C1574)</f>
        <v>71640</v>
      </c>
    </row>
    <row r="1575" spans="2:14">
      <c r="B1575" s="95">
        <v>1523</v>
      </c>
      <c r="C1575" s="95">
        <f t="shared" si="123"/>
        <v>548280</v>
      </c>
      <c r="D1575" s="95">
        <f ca="1">_xlfn.XLOOKUP(总览!$B$44,$B$40:$B$45,$C$40:$C$45)</f>
        <v>5</v>
      </c>
      <c r="E1575" s="95">
        <f ca="1" t="shared" si="122"/>
        <v>1553</v>
      </c>
      <c r="F1575" s="95">
        <f ca="1" t="shared" si="124"/>
        <v>0</v>
      </c>
      <c r="G1575" s="95">
        <f ca="1" t="shared" si="125"/>
        <v>0</v>
      </c>
      <c r="H1575" s="95" cm="1">
        <f ca="1" t="array" ref="H1575">MIN(30-SUM(I1575:L1575),_xlfn.XLOOKUP($D1575&amp;"_"&amp;H$52,$B$14:$B$36&amp;"_"&amp;$C$14:$C$36,$D$14:$D$36)*$E1575,18)</f>
        <v>11.6516</v>
      </c>
      <c r="I1575" s="95" cm="1">
        <f ca="1" t="array" ref="I1575">MIN(30-SUM(J1575:L1575),6-L1575,_xlfn.XLOOKUP($D1575&amp;"_"&amp;I$52,$B$14:$B$36&amp;"_"&amp;$C$14:$C$36,$D$14:$D$36)*$E1575)</f>
        <v>0</v>
      </c>
      <c r="J1575" s="95" cm="1">
        <f ca="1" t="array" ref="J1575">MIN(8,_xlfn.XLOOKUP($D1575&amp;"_"&amp;J$52,$B$14:$B$36&amp;"_"&amp;$C$14:$C$36,$D$14:$D$36)*$E1575)</f>
        <v>8</v>
      </c>
      <c r="K1575" s="95" cm="1">
        <f ca="1" t="array" ref="K1575">MIN(18,_xlfn.XLOOKUP($D1575&amp;"_"&amp;K$52,$B$14:$B$36&amp;"_"&amp;$C$14:$C$36,$D$14:$D$36)*$E1575)</f>
        <v>4.3484</v>
      </c>
      <c r="L1575" s="95" cm="1">
        <f ca="1" t="array" ref="L1575">MIN(6,_xlfn.XLOOKUP($D1575&amp;"_"&amp;L$52,$B$14:$B$36&amp;"_"&amp;$C$14:$C$36,$D$14:$D$36)*$E1575)</f>
        <v>6</v>
      </c>
      <c r="M1575" s="95" cm="1">
        <f ca="1" t="array" ref="M1575">(1+SUMPRODUCT(G1575:H1575,OFFSET($H$40:$I$40,D1575,0)))*(1+OFFSET($J$40,D1575,0))^I1575*(1+OFFSET($K$40,D1575,0))^J1575*(1+OFFSET($L$40,D1575,0))^K1575*(1+OFFSET($M$40,D1575,0))^L1575</f>
        <v>358.783723488145</v>
      </c>
      <c r="N1575" s="95">
        <f ca="1">MAX(MAX($N$53:N1574),OFFSET($C$52,MATCH(M1575*1.07,$M$53:$M$2052,1),0)-C1575)</f>
        <v>71640</v>
      </c>
    </row>
    <row r="1576" spans="2:14">
      <c r="B1576" s="95">
        <v>1524</v>
      </c>
      <c r="C1576" s="95">
        <f t="shared" si="123"/>
        <v>548640</v>
      </c>
      <c r="D1576" s="95">
        <f ca="1">_xlfn.XLOOKUP(总览!$B$44,$B$40:$B$45,$C$40:$C$45)</f>
        <v>5</v>
      </c>
      <c r="E1576" s="95">
        <f ca="1" t="shared" si="122"/>
        <v>1554</v>
      </c>
      <c r="F1576" s="95">
        <f ca="1" t="shared" si="124"/>
        <v>0</v>
      </c>
      <c r="G1576" s="95">
        <f ca="1" t="shared" si="125"/>
        <v>0</v>
      </c>
      <c r="H1576" s="95" cm="1">
        <f ca="1" t="array" ref="H1576">MIN(30-SUM(I1576:L1576),_xlfn.XLOOKUP($D1576&amp;"_"&amp;H$52,$B$14:$B$36&amp;"_"&amp;$C$14:$C$36,$D$14:$D$36)*$E1576,18)</f>
        <v>11.6488</v>
      </c>
      <c r="I1576" s="95" cm="1">
        <f ca="1" t="array" ref="I1576">MIN(30-SUM(J1576:L1576),6-L1576,_xlfn.XLOOKUP($D1576&amp;"_"&amp;I$52,$B$14:$B$36&amp;"_"&amp;$C$14:$C$36,$D$14:$D$36)*$E1576)</f>
        <v>0</v>
      </c>
      <c r="J1576" s="95" cm="1">
        <f ca="1" t="array" ref="J1576">MIN(8,_xlfn.XLOOKUP($D1576&amp;"_"&amp;J$52,$B$14:$B$36&amp;"_"&amp;$C$14:$C$36,$D$14:$D$36)*$E1576)</f>
        <v>8</v>
      </c>
      <c r="K1576" s="95" cm="1">
        <f ca="1" t="array" ref="K1576">MIN(18,_xlfn.XLOOKUP($D1576&amp;"_"&amp;K$52,$B$14:$B$36&amp;"_"&amp;$C$14:$C$36,$D$14:$D$36)*$E1576)</f>
        <v>4.3512</v>
      </c>
      <c r="L1576" s="95" cm="1">
        <f ca="1" t="array" ref="L1576">MIN(6,_xlfn.XLOOKUP($D1576&amp;"_"&amp;L$52,$B$14:$B$36&amp;"_"&amp;$C$14:$C$36,$D$14:$D$36)*$E1576)</f>
        <v>6</v>
      </c>
      <c r="M1576" s="95" cm="1">
        <f ca="1" t="array" ref="M1576">(1+SUMPRODUCT(G1576:H1576,OFFSET($H$40:$I$40,D1576,0)))*(1+OFFSET($J$40,D1576,0))^I1576*(1+OFFSET($K$40,D1576,0))^J1576*(1+OFFSET($L$40,D1576,0))^K1576*(1+OFFSET($M$40,D1576,0))^L1576</f>
        <v>358.906568456674</v>
      </c>
      <c r="N1576" s="95">
        <f ca="1">MAX(MAX($N$53:N1575),OFFSET($C$52,MATCH(M1576*1.07,$M$53:$M$2052,1),0)-C1576)</f>
        <v>71640</v>
      </c>
    </row>
    <row r="1577" spans="2:14">
      <c r="B1577" s="95">
        <v>1525</v>
      </c>
      <c r="C1577" s="95">
        <f t="shared" si="123"/>
        <v>549000</v>
      </c>
      <c r="D1577" s="95">
        <f ca="1">_xlfn.XLOOKUP(总览!$B$44,$B$40:$B$45,$C$40:$C$45)</f>
        <v>5</v>
      </c>
      <c r="E1577" s="95">
        <f ca="1" t="shared" si="122"/>
        <v>1555</v>
      </c>
      <c r="F1577" s="95">
        <f ca="1" t="shared" si="124"/>
        <v>0</v>
      </c>
      <c r="G1577" s="95">
        <f ca="1" t="shared" si="125"/>
        <v>0</v>
      </c>
      <c r="H1577" s="95" cm="1">
        <f ca="1" t="array" ref="H1577">MIN(30-SUM(I1577:L1577),_xlfn.XLOOKUP($D1577&amp;"_"&amp;H$52,$B$14:$B$36&amp;"_"&amp;$C$14:$C$36,$D$14:$D$36)*$E1577,18)</f>
        <v>11.646</v>
      </c>
      <c r="I1577" s="95" cm="1">
        <f ca="1" t="array" ref="I1577">MIN(30-SUM(J1577:L1577),6-L1577,_xlfn.XLOOKUP($D1577&amp;"_"&amp;I$52,$B$14:$B$36&amp;"_"&amp;$C$14:$C$36,$D$14:$D$36)*$E1577)</f>
        <v>0</v>
      </c>
      <c r="J1577" s="95" cm="1">
        <f ca="1" t="array" ref="J1577">MIN(8,_xlfn.XLOOKUP($D1577&amp;"_"&amp;J$52,$B$14:$B$36&amp;"_"&amp;$C$14:$C$36,$D$14:$D$36)*$E1577)</f>
        <v>8</v>
      </c>
      <c r="K1577" s="95" cm="1">
        <f ca="1" t="array" ref="K1577">MIN(18,_xlfn.XLOOKUP($D1577&amp;"_"&amp;K$52,$B$14:$B$36&amp;"_"&amp;$C$14:$C$36,$D$14:$D$36)*$E1577)</f>
        <v>4.354</v>
      </c>
      <c r="L1577" s="95" cm="1">
        <f ca="1" t="array" ref="L1577">MIN(6,_xlfn.XLOOKUP($D1577&amp;"_"&amp;L$52,$B$14:$B$36&amp;"_"&amp;$C$14:$C$36,$D$14:$D$36)*$E1577)</f>
        <v>6</v>
      </c>
      <c r="M1577" s="95" cm="1">
        <f ca="1" t="array" ref="M1577">(1+SUMPRODUCT(G1577:H1577,OFFSET($H$40:$I$40,D1577,0)))*(1+OFFSET($J$40,D1577,0))^I1577*(1+OFFSET($K$40,D1577,0))^J1577*(1+OFFSET($L$40,D1577,0))^K1577*(1+OFFSET($M$40,D1577,0))^L1577</f>
        <v>359.029445331429</v>
      </c>
      <c r="N1577" s="95">
        <f ca="1">MAX(MAX($N$53:N1576),OFFSET($C$52,MATCH(M1577*1.07,$M$53:$M$2052,1),0)-C1577)</f>
        <v>71640</v>
      </c>
    </row>
    <row r="1578" spans="2:14">
      <c r="B1578" s="95">
        <v>1526</v>
      </c>
      <c r="C1578" s="95">
        <f t="shared" si="123"/>
        <v>549360</v>
      </c>
      <c r="D1578" s="95">
        <f ca="1">_xlfn.XLOOKUP(总览!$B$44,$B$40:$B$45,$C$40:$C$45)</f>
        <v>5</v>
      </c>
      <c r="E1578" s="95">
        <f ca="1" t="shared" si="122"/>
        <v>1556</v>
      </c>
      <c r="F1578" s="95">
        <f ca="1" t="shared" si="124"/>
        <v>0</v>
      </c>
      <c r="G1578" s="95">
        <f ca="1" t="shared" si="125"/>
        <v>0</v>
      </c>
      <c r="H1578" s="95" cm="1">
        <f ca="1" t="array" ref="H1578">MIN(30-SUM(I1578:L1578),_xlfn.XLOOKUP($D1578&amp;"_"&amp;H$52,$B$14:$B$36&amp;"_"&amp;$C$14:$C$36,$D$14:$D$36)*$E1578,18)</f>
        <v>11.6432</v>
      </c>
      <c r="I1578" s="95" cm="1">
        <f ca="1" t="array" ref="I1578">MIN(30-SUM(J1578:L1578),6-L1578,_xlfn.XLOOKUP($D1578&amp;"_"&amp;I$52,$B$14:$B$36&amp;"_"&amp;$C$14:$C$36,$D$14:$D$36)*$E1578)</f>
        <v>0</v>
      </c>
      <c r="J1578" s="95" cm="1">
        <f ca="1" t="array" ref="J1578">MIN(8,_xlfn.XLOOKUP($D1578&amp;"_"&amp;J$52,$B$14:$B$36&amp;"_"&amp;$C$14:$C$36,$D$14:$D$36)*$E1578)</f>
        <v>8</v>
      </c>
      <c r="K1578" s="95" cm="1">
        <f ca="1" t="array" ref="K1578">MIN(18,_xlfn.XLOOKUP($D1578&amp;"_"&amp;K$52,$B$14:$B$36&amp;"_"&amp;$C$14:$C$36,$D$14:$D$36)*$E1578)</f>
        <v>4.3568</v>
      </c>
      <c r="L1578" s="95" cm="1">
        <f ca="1" t="array" ref="L1578">MIN(6,_xlfn.XLOOKUP($D1578&amp;"_"&amp;L$52,$B$14:$B$36&amp;"_"&amp;$C$14:$C$36,$D$14:$D$36)*$E1578)</f>
        <v>6</v>
      </c>
      <c r="M1578" s="95" cm="1">
        <f ca="1" t="array" ref="M1578">(1+SUMPRODUCT(G1578:H1578,OFFSET($H$40:$I$40,D1578,0)))*(1+OFFSET($J$40,D1578,0))^I1578*(1+OFFSET($K$40,D1578,0))^J1578*(1+OFFSET($L$40,D1578,0))^K1578*(1+OFFSET($M$40,D1578,0))^L1578</f>
        <v>359.152354112964</v>
      </c>
      <c r="N1578" s="95">
        <f ca="1">MAX(MAX($N$53:N1577),OFFSET($C$52,MATCH(M1578*1.07,$M$53:$M$2052,1),0)-C1578)</f>
        <v>71640</v>
      </c>
    </row>
    <row r="1579" spans="2:14">
      <c r="B1579" s="95">
        <v>1527</v>
      </c>
      <c r="C1579" s="95">
        <f t="shared" si="123"/>
        <v>549720</v>
      </c>
      <c r="D1579" s="95">
        <f ca="1">_xlfn.XLOOKUP(总览!$B$44,$B$40:$B$45,$C$40:$C$45)</f>
        <v>5</v>
      </c>
      <c r="E1579" s="95">
        <f ca="1" t="shared" si="122"/>
        <v>1557</v>
      </c>
      <c r="F1579" s="95">
        <f ca="1" t="shared" si="124"/>
        <v>0</v>
      </c>
      <c r="G1579" s="95">
        <f ca="1" t="shared" si="125"/>
        <v>0</v>
      </c>
      <c r="H1579" s="95" cm="1">
        <f ca="1" t="array" ref="H1579">MIN(30-SUM(I1579:L1579),_xlfn.XLOOKUP($D1579&amp;"_"&amp;H$52,$B$14:$B$36&amp;"_"&amp;$C$14:$C$36,$D$14:$D$36)*$E1579,18)</f>
        <v>11.6404</v>
      </c>
      <c r="I1579" s="95" cm="1">
        <f ca="1" t="array" ref="I1579">MIN(30-SUM(J1579:L1579),6-L1579,_xlfn.XLOOKUP($D1579&amp;"_"&amp;I$52,$B$14:$B$36&amp;"_"&amp;$C$14:$C$36,$D$14:$D$36)*$E1579)</f>
        <v>0</v>
      </c>
      <c r="J1579" s="95" cm="1">
        <f ca="1" t="array" ref="J1579">MIN(8,_xlfn.XLOOKUP($D1579&amp;"_"&amp;J$52,$B$14:$B$36&amp;"_"&amp;$C$14:$C$36,$D$14:$D$36)*$E1579)</f>
        <v>8</v>
      </c>
      <c r="K1579" s="95" cm="1">
        <f ca="1" t="array" ref="K1579">MIN(18,_xlfn.XLOOKUP($D1579&amp;"_"&amp;K$52,$B$14:$B$36&amp;"_"&amp;$C$14:$C$36,$D$14:$D$36)*$E1579)</f>
        <v>4.3596</v>
      </c>
      <c r="L1579" s="95" cm="1">
        <f ca="1" t="array" ref="L1579">MIN(6,_xlfn.XLOOKUP($D1579&amp;"_"&amp;L$52,$B$14:$B$36&amp;"_"&amp;$C$14:$C$36,$D$14:$D$36)*$E1579)</f>
        <v>6</v>
      </c>
      <c r="M1579" s="95" cm="1">
        <f ca="1" t="array" ref="M1579">(1+SUMPRODUCT(G1579:H1579,OFFSET($H$40:$I$40,D1579,0)))*(1+OFFSET($J$40,D1579,0))^I1579*(1+OFFSET($K$40,D1579,0))^J1579*(1+OFFSET($L$40,D1579,0))^K1579*(1+OFFSET($M$40,D1579,0))^L1579</f>
        <v>359.275294801824</v>
      </c>
      <c r="N1579" s="95">
        <f ca="1">MAX(MAX($N$53:N1578),OFFSET($C$52,MATCH(M1579*1.07,$M$53:$M$2052,1),0)-C1579)</f>
        <v>71640</v>
      </c>
    </row>
    <row r="1580" spans="2:14">
      <c r="B1580" s="95">
        <v>1528</v>
      </c>
      <c r="C1580" s="95">
        <f t="shared" si="123"/>
        <v>550080</v>
      </c>
      <c r="D1580" s="95">
        <f ca="1">_xlfn.XLOOKUP(总览!$B$44,$B$40:$B$45,$C$40:$C$45)</f>
        <v>5</v>
      </c>
      <c r="E1580" s="95">
        <f ca="1" t="shared" si="122"/>
        <v>1558</v>
      </c>
      <c r="F1580" s="95">
        <f ca="1" t="shared" si="124"/>
        <v>0</v>
      </c>
      <c r="G1580" s="95">
        <f ca="1" t="shared" si="125"/>
        <v>0</v>
      </c>
      <c r="H1580" s="95" cm="1">
        <f ca="1" t="array" ref="H1580">MIN(30-SUM(I1580:L1580),_xlfn.XLOOKUP($D1580&amp;"_"&amp;H$52,$B$14:$B$36&amp;"_"&amp;$C$14:$C$36,$D$14:$D$36)*$E1580,18)</f>
        <v>11.6376</v>
      </c>
      <c r="I1580" s="95" cm="1">
        <f ca="1" t="array" ref="I1580">MIN(30-SUM(J1580:L1580),6-L1580,_xlfn.XLOOKUP($D1580&amp;"_"&amp;I$52,$B$14:$B$36&amp;"_"&amp;$C$14:$C$36,$D$14:$D$36)*$E1580)</f>
        <v>0</v>
      </c>
      <c r="J1580" s="95" cm="1">
        <f ca="1" t="array" ref="J1580">MIN(8,_xlfn.XLOOKUP($D1580&amp;"_"&amp;J$52,$B$14:$B$36&amp;"_"&amp;$C$14:$C$36,$D$14:$D$36)*$E1580)</f>
        <v>8</v>
      </c>
      <c r="K1580" s="95" cm="1">
        <f ca="1" t="array" ref="K1580">MIN(18,_xlfn.XLOOKUP($D1580&amp;"_"&amp;K$52,$B$14:$B$36&amp;"_"&amp;$C$14:$C$36,$D$14:$D$36)*$E1580)</f>
        <v>4.3624</v>
      </c>
      <c r="L1580" s="95" cm="1">
        <f ca="1" t="array" ref="L1580">MIN(6,_xlfn.XLOOKUP($D1580&amp;"_"&amp;L$52,$B$14:$B$36&amp;"_"&amp;$C$14:$C$36,$D$14:$D$36)*$E1580)</f>
        <v>6</v>
      </c>
      <c r="M1580" s="95" cm="1">
        <f ca="1" t="array" ref="M1580">(1+SUMPRODUCT(G1580:H1580,OFFSET($H$40:$I$40,D1580,0)))*(1+OFFSET($J$40,D1580,0))^I1580*(1+OFFSET($K$40,D1580,0))^J1580*(1+OFFSET($L$40,D1580,0))^K1580*(1+OFFSET($M$40,D1580,0))^L1580</f>
        <v>359.398267398549</v>
      </c>
      <c r="N1580" s="95">
        <f ca="1">MAX(MAX($N$53:N1579),OFFSET($C$52,MATCH(M1580*1.07,$M$53:$M$2052,1),0)-C1580)</f>
        <v>71640</v>
      </c>
    </row>
    <row r="1581" spans="2:14">
      <c r="B1581" s="95">
        <v>1529</v>
      </c>
      <c r="C1581" s="95">
        <f t="shared" si="123"/>
        <v>550440</v>
      </c>
      <c r="D1581" s="95">
        <f ca="1">_xlfn.XLOOKUP(总览!$B$44,$B$40:$B$45,$C$40:$C$45)</f>
        <v>5</v>
      </c>
      <c r="E1581" s="95">
        <f ca="1" t="shared" si="122"/>
        <v>1559</v>
      </c>
      <c r="F1581" s="95">
        <f ca="1" t="shared" si="124"/>
        <v>0</v>
      </c>
      <c r="G1581" s="95">
        <f ca="1" t="shared" si="125"/>
        <v>0</v>
      </c>
      <c r="H1581" s="95" cm="1">
        <f ca="1" t="array" ref="H1581">MIN(30-SUM(I1581:L1581),_xlfn.XLOOKUP($D1581&amp;"_"&amp;H$52,$B$14:$B$36&amp;"_"&amp;$C$14:$C$36,$D$14:$D$36)*$E1581,18)</f>
        <v>11.6348</v>
      </c>
      <c r="I1581" s="95" cm="1">
        <f ca="1" t="array" ref="I1581">MIN(30-SUM(J1581:L1581),6-L1581,_xlfn.XLOOKUP($D1581&amp;"_"&amp;I$52,$B$14:$B$36&amp;"_"&amp;$C$14:$C$36,$D$14:$D$36)*$E1581)</f>
        <v>0</v>
      </c>
      <c r="J1581" s="95" cm="1">
        <f ca="1" t="array" ref="J1581">MIN(8,_xlfn.XLOOKUP($D1581&amp;"_"&amp;J$52,$B$14:$B$36&amp;"_"&amp;$C$14:$C$36,$D$14:$D$36)*$E1581)</f>
        <v>8</v>
      </c>
      <c r="K1581" s="95" cm="1">
        <f ca="1" t="array" ref="K1581">MIN(18,_xlfn.XLOOKUP($D1581&amp;"_"&amp;K$52,$B$14:$B$36&amp;"_"&amp;$C$14:$C$36,$D$14:$D$36)*$E1581)</f>
        <v>4.3652</v>
      </c>
      <c r="L1581" s="95" cm="1">
        <f ca="1" t="array" ref="L1581">MIN(6,_xlfn.XLOOKUP($D1581&amp;"_"&amp;L$52,$B$14:$B$36&amp;"_"&amp;$C$14:$C$36,$D$14:$D$36)*$E1581)</f>
        <v>6</v>
      </c>
      <c r="M1581" s="95" cm="1">
        <f ca="1" t="array" ref="M1581">(1+SUMPRODUCT(G1581:H1581,OFFSET($H$40:$I$40,D1581,0)))*(1+OFFSET($J$40,D1581,0))^I1581*(1+OFFSET($K$40,D1581,0))^J1581*(1+OFFSET($L$40,D1581,0))^K1581*(1+OFFSET($M$40,D1581,0))^L1581</f>
        <v>359.521271903667</v>
      </c>
      <c r="N1581" s="95">
        <f ca="1">MAX(MAX($N$53:N1580),OFFSET($C$52,MATCH(M1581*1.07,$M$53:$M$2052,1),0)-C1581)</f>
        <v>71640</v>
      </c>
    </row>
    <row r="1582" spans="2:14">
      <c r="B1582" s="95">
        <v>1530</v>
      </c>
      <c r="C1582" s="95">
        <f t="shared" si="123"/>
        <v>550800</v>
      </c>
      <c r="D1582" s="95">
        <f ca="1">_xlfn.XLOOKUP(总览!$B$44,$B$40:$B$45,$C$40:$C$45)</f>
        <v>5</v>
      </c>
      <c r="E1582" s="95">
        <f ca="1" t="shared" si="122"/>
        <v>1560</v>
      </c>
      <c r="F1582" s="95">
        <f ca="1" t="shared" si="124"/>
        <v>0</v>
      </c>
      <c r="G1582" s="95">
        <f ca="1" t="shared" si="125"/>
        <v>0</v>
      </c>
      <c r="H1582" s="95" cm="1">
        <f ca="1" t="array" ref="H1582">MIN(30-SUM(I1582:L1582),_xlfn.XLOOKUP($D1582&amp;"_"&amp;H$52,$B$14:$B$36&amp;"_"&amp;$C$14:$C$36,$D$14:$D$36)*$E1582,18)</f>
        <v>11.632</v>
      </c>
      <c r="I1582" s="95" cm="1">
        <f ca="1" t="array" ref="I1582">MIN(30-SUM(J1582:L1582),6-L1582,_xlfn.XLOOKUP($D1582&amp;"_"&amp;I$52,$B$14:$B$36&amp;"_"&amp;$C$14:$C$36,$D$14:$D$36)*$E1582)</f>
        <v>0</v>
      </c>
      <c r="J1582" s="95" cm="1">
        <f ca="1" t="array" ref="J1582">MIN(8,_xlfn.XLOOKUP($D1582&amp;"_"&amp;J$52,$B$14:$B$36&amp;"_"&amp;$C$14:$C$36,$D$14:$D$36)*$E1582)</f>
        <v>8</v>
      </c>
      <c r="K1582" s="95" cm="1">
        <f ca="1" t="array" ref="K1582">MIN(18,_xlfn.XLOOKUP($D1582&amp;"_"&amp;K$52,$B$14:$B$36&amp;"_"&amp;$C$14:$C$36,$D$14:$D$36)*$E1582)</f>
        <v>4.368</v>
      </c>
      <c r="L1582" s="95" cm="1">
        <f ca="1" t="array" ref="L1582">MIN(6,_xlfn.XLOOKUP($D1582&amp;"_"&amp;L$52,$B$14:$B$36&amp;"_"&amp;$C$14:$C$36,$D$14:$D$36)*$E1582)</f>
        <v>6</v>
      </c>
      <c r="M1582" s="95" cm="1">
        <f ca="1" t="array" ref="M1582">(1+SUMPRODUCT(G1582:H1582,OFFSET($H$40:$I$40,D1582,0)))*(1+OFFSET($J$40,D1582,0))^I1582*(1+OFFSET($K$40,D1582,0))^J1582*(1+OFFSET($L$40,D1582,0))^K1582*(1+OFFSET($M$40,D1582,0))^L1582</f>
        <v>359.644308317702</v>
      </c>
      <c r="N1582" s="95">
        <f ca="1">MAX(MAX($N$53:N1581),OFFSET($C$52,MATCH(M1582*1.07,$M$53:$M$2052,1),0)-C1582)</f>
        <v>71640</v>
      </c>
    </row>
    <row r="1583" spans="2:14">
      <c r="B1583" s="95">
        <v>1531</v>
      </c>
      <c r="C1583" s="95">
        <f t="shared" si="123"/>
        <v>551160</v>
      </c>
      <c r="D1583" s="95">
        <f ca="1">_xlfn.XLOOKUP(总览!$B$44,$B$40:$B$45,$C$40:$C$45)</f>
        <v>5</v>
      </c>
      <c r="E1583" s="95">
        <f ca="1" t="shared" si="122"/>
        <v>1561</v>
      </c>
      <c r="F1583" s="95">
        <f ca="1" t="shared" si="124"/>
        <v>0</v>
      </c>
      <c r="G1583" s="95">
        <f ca="1" t="shared" si="125"/>
        <v>0</v>
      </c>
      <c r="H1583" s="95" cm="1">
        <f ca="1" t="array" ref="H1583">MIN(30-SUM(I1583:L1583),_xlfn.XLOOKUP($D1583&amp;"_"&amp;H$52,$B$14:$B$36&amp;"_"&amp;$C$14:$C$36,$D$14:$D$36)*$E1583,18)</f>
        <v>11.6292</v>
      </c>
      <c r="I1583" s="95" cm="1">
        <f ca="1" t="array" ref="I1583">MIN(30-SUM(J1583:L1583),6-L1583,_xlfn.XLOOKUP($D1583&amp;"_"&amp;I$52,$B$14:$B$36&amp;"_"&amp;$C$14:$C$36,$D$14:$D$36)*$E1583)</f>
        <v>0</v>
      </c>
      <c r="J1583" s="95" cm="1">
        <f ca="1" t="array" ref="J1583">MIN(8,_xlfn.XLOOKUP($D1583&amp;"_"&amp;J$52,$B$14:$B$36&amp;"_"&amp;$C$14:$C$36,$D$14:$D$36)*$E1583)</f>
        <v>8</v>
      </c>
      <c r="K1583" s="95" cm="1">
        <f ca="1" t="array" ref="K1583">MIN(18,_xlfn.XLOOKUP($D1583&amp;"_"&amp;K$52,$B$14:$B$36&amp;"_"&amp;$C$14:$C$36,$D$14:$D$36)*$E1583)</f>
        <v>4.3708</v>
      </c>
      <c r="L1583" s="95" cm="1">
        <f ca="1" t="array" ref="L1583">MIN(6,_xlfn.XLOOKUP($D1583&amp;"_"&amp;L$52,$B$14:$B$36&amp;"_"&amp;$C$14:$C$36,$D$14:$D$36)*$E1583)</f>
        <v>6</v>
      </c>
      <c r="M1583" s="95" cm="1">
        <f ca="1" t="array" ref="M1583">(1+SUMPRODUCT(G1583:H1583,OFFSET($H$40:$I$40,D1583,0)))*(1+OFFSET($J$40,D1583,0))^I1583*(1+OFFSET($K$40,D1583,0))^J1583*(1+OFFSET($L$40,D1583,0))^K1583*(1+OFFSET($M$40,D1583,0))^L1583</f>
        <v>359.767376641168</v>
      </c>
      <c r="N1583" s="95">
        <f ca="1">MAX(MAX($N$53:N1582),OFFSET($C$52,MATCH(M1583*1.07,$M$53:$M$2052,1),0)-C1583)</f>
        <v>71640</v>
      </c>
    </row>
    <row r="1584" spans="2:14">
      <c r="B1584" s="95">
        <v>1532</v>
      </c>
      <c r="C1584" s="95">
        <f t="shared" si="123"/>
        <v>551520</v>
      </c>
      <c r="D1584" s="95">
        <f ca="1">_xlfn.XLOOKUP(总览!$B$44,$B$40:$B$45,$C$40:$C$45)</f>
        <v>5</v>
      </c>
      <c r="E1584" s="95">
        <f ca="1" t="shared" si="122"/>
        <v>1562</v>
      </c>
      <c r="F1584" s="95">
        <f ca="1" t="shared" si="124"/>
        <v>0</v>
      </c>
      <c r="G1584" s="95">
        <f ca="1" t="shared" si="125"/>
        <v>0</v>
      </c>
      <c r="H1584" s="95" cm="1">
        <f ca="1" t="array" ref="H1584">MIN(30-SUM(I1584:L1584),_xlfn.XLOOKUP($D1584&amp;"_"&amp;H$52,$B$14:$B$36&amp;"_"&amp;$C$14:$C$36,$D$14:$D$36)*$E1584,18)</f>
        <v>11.6264</v>
      </c>
      <c r="I1584" s="95" cm="1">
        <f ca="1" t="array" ref="I1584">MIN(30-SUM(J1584:L1584),6-L1584,_xlfn.XLOOKUP($D1584&amp;"_"&amp;I$52,$B$14:$B$36&amp;"_"&amp;$C$14:$C$36,$D$14:$D$36)*$E1584)</f>
        <v>0</v>
      </c>
      <c r="J1584" s="95" cm="1">
        <f ca="1" t="array" ref="J1584">MIN(8,_xlfn.XLOOKUP($D1584&amp;"_"&amp;J$52,$B$14:$B$36&amp;"_"&amp;$C$14:$C$36,$D$14:$D$36)*$E1584)</f>
        <v>8</v>
      </c>
      <c r="K1584" s="95" cm="1">
        <f ca="1" t="array" ref="K1584">MIN(18,_xlfn.XLOOKUP($D1584&amp;"_"&amp;K$52,$B$14:$B$36&amp;"_"&amp;$C$14:$C$36,$D$14:$D$36)*$E1584)</f>
        <v>4.3736</v>
      </c>
      <c r="L1584" s="95" cm="1">
        <f ca="1" t="array" ref="L1584">MIN(6,_xlfn.XLOOKUP($D1584&amp;"_"&amp;L$52,$B$14:$B$36&amp;"_"&amp;$C$14:$C$36,$D$14:$D$36)*$E1584)</f>
        <v>6</v>
      </c>
      <c r="M1584" s="95" cm="1">
        <f ca="1" t="array" ref="M1584">(1+SUMPRODUCT(G1584:H1584,OFFSET($H$40:$I$40,D1584,0)))*(1+OFFSET($J$40,D1584,0))^I1584*(1+OFFSET($K$40,D1584,0))^J1584*(1+OFFSET($L$40,D1584,0))^K1584*(1+OFFSET($M$40,D1584,0))^L1584</f>
        <v>359.890476874572</v>
      </c>
      <c r="N1584" s="95">
        <f ca="1">MAX(MAX($N$53:N1583),OFFSET($C$52,MATCH(M1584*1.07,$M$53:$M$2052,1),0)-C1584)</f>
        <v>71640</v>
      </c>
    </row>
    <row r="1585" spans="2:14">
      <c r="B1585" s="95">
        <v>1533</v>
      </c>
      <c r="C1585" s="95">
        <f t="shared" si="123"/>
        <v>551880</v>
      </c>
      <c r="D1585" s="95">
        <f ca="1">_xlfn.XLOOKUP(总览!$B$44,$B$40:$B$45,$C$40:$C$45)</f>
        <v>5</v>
      </c>
      <c r="E1585" s="95">
        <f ca="1" t="shared" si="122"/>
        <v>1563</v>
      </c>
      <c r="F1585" s="95">
        <f ca="1" t="shared" si="124"/>
        <v>0</v>
      </c>
      <c r="G1585" s="95">
        <f ca="1" t="shared" si="125"/>
        <v>0</v>
      </c>
      <c r="H1585" s="95" cm="1">
        <f ca="1" t="array" ref="H1585">MIN(30-SUM(I1585:L1585),_xlfn.XLOOKUP($D1585&amp;"_"&amp;H$52,$B$14:$B$36&amp;"_"&amp;$C$14:$C$36,$D$14:$D$36)*$E1585,18)</f>
        <v>11.6236</v>
      </c>
      <c r="I1585" s="95" cm="1">
        <f ca="1" t="array" ref="I1585">MIN(30-SUM(J1585:L1585),6-L1585,_xlfn.XLOOKUP($D1585&amp;"_"&amp;I$52,$B$14:$B$36&amp;"_"&amp;$C$14:$C$36,$D$14:$D$36)*$E1585)</f>
        <v>0</v>
      </c>
      <c r="J1585" s="95" cm="1">
        <f ca="1" t="array" ref="J1585">MIN(8,_xlfn.XLOOKUP($D1585&amp;"_"&amp;J$52,$B$14:$B$36&amp;"_"&amp;$C$14:$C$36,$D$14:$D$36)*$E1585)</f>
        <v>8</v>
      </c>
      <c r="K1585" s="95" cm="1">
        <f ca="1" t="array" ref="K1585">MIN(18,_xlfn.XLOOKUP($D1585&amp;"_"&amp;K$52,$B$14:$B$36&amp;"_"&amp;$C$14:$C$36,$D$14:$D$36)*$E1585)</f>
        <v>4.3764</v>
      </c>
      <c r="L1585" s="95" cm="1">
        <f ca="1" t="array" ref="L1585">MIN(6,_xlfn.XLOOKUP($D1585&amp;"_"&amp;L$52,$B$14:$B$36&amp;"_"&amp;$C$14:$C$36,$D$14:$D$36)*$E1585)</f>
        <v>6</v>
      </c>
      <c r="M1585" s="95" cm="1">
        <f ca="1" t="array" ref="M1585">(1+SUMPRODUCT(G1585:H1585,OFFSET($H$40:$I$40,D1585,0)))*(1+OFFSET($J$40,D1585,0))^I1585*(1+OFFSET($K$40,D1585,0))^J1585*(1+OFFSET($L$40,D1585,0))^K1585*(1+OFFSET($M$40,D1585,0))^L1585</f>
        <v>360.013609018413</v>
      </c>
      <c r="N1585" s="95">
        <f ca="1">MAX(MAX($N$53:N1584),OFFSET($C$52,MATCH(M1585*1.07,$M$53:$M$2052,1),0)-C1585)</f>
        <v>71640</v>
      </c>
    </row>
    <row r="1586" spans="2:14">
      <c r="B1586" s="95">
        <v>1534</v>
      </c>
      <c r="C1586" s="95">
        <f t="shared" si="123"/>
        <v>552240</v>
      </c>
      <c r="D1586" s="95">
        <f ca="1">_xlfn.XLOOKUP(总览!$B$44,$B$40:$B$45,$C$40:$C$45)</f>
        <v>5</v>
      </c>
      <c r="E1586" s="95">
        <f ca="1" t="shared" si="122"/>
        <v>1564</v>
      </c>
      <c r="F1586" s="95">
        <f ca="1" t="shared" si="124"/>
        <v>0</v>
      </c>
      <c r="G1586" s="95">
        <f ca="1" t="shared" si="125"/>
        <v>0</v>
      </c>
      <c r="H1586" s="95" cm="1">
        <f ca="1" t="array" ref="H1586">MIN(30-SUM(I1586:L1586),_xlfn.XLOOKUP($D1586&amp;"_"&amp;H$52,$B$14:$B$36&amp;"_"&amp;$C$14:$C$36,$D$14:$D$36)*$E1586,18)</f>
        <v>11.6208</v>
      </c>
      <c r="I1586" s="95" cm="1">
        <f ca="1" t="array" ref="I1586">MIN(30-SUM(J1586:L1586),6-L1586,_xlfn.XLOOKUP($D1586&amp;"_"&amp;I$52,$B$14:$B$36&amp;"_"&amp;$C$14:$C$36,$D$14:$D$36)*$E1586)</f>
        <v>0</v>
      </c>
      <c r="J1586" s="95" cm="1">
        <f ca="1" t="array" ref="J1586">MIN(8,_xlfn.XLOOKUP($D1586&amp;"_"&amp;J$52,$B$14:$B$36&amp;"_"&amp;$C$14:$C$36,$D$14:$D$36)*$E1586)</f>
        <v>8</v>
      </c>
      <c r="K1586" s="95" cm="1">
        <f ca="1" t="array" ref="K1586">MIN(18,_xlfn.XLOOKUP($D1586&amp;"_"&amp;K$52,$B$14:$B$36&amp;"_"&amp;$C$14:$C$36,$D$14:$D$36)*$E1586)</f>
        <v>4.3792</v>
      </c>
      <c r="L1586" s="95" cm="1">
        <f ca="1" t="array" ref="L1586">MIN(6,_xlfn.XLOOKUP($D1586&amp;"_"&amp;L$52,$B$14:$B$36&amp;"_"&amp;$C$14:$C$36,$D$14:$D$36)*$E1586)</f>
        <v>6</v>
      </c>
      <c r="M1586" s="95" cm="1">
        <f ca="1" t="array" ref="M1586">(1+SUMPRODUCT(G1586:H1586,OFFSET($H$40:$I$40,D1586,0)))*(1+OFFSET($J$40,D1586,0))^I1586*(1+OFFSET($K$40,D1586,0))^J1586*(1+OFFSET($L$40,D1586,0))^K1586*(1+OFFSET($M$40,D1586,0))^L1586</f>
        <v>360.136773073183</v>
      </c>
      <c r="N1586" s="95">
        <f ca="1">MAX(MAX($N$53:N1585),OFFSET($C$52,MATCH(M1586*1.07,$M$53:$M$2052,1),0)-C1586)</f>
        <v>71640</v>
      </c>
    </row>
    <row r="1587" spans="2:14">
      <c r="B1587" s="95">
        <v>1535</v>
      </c>
      <c r="C1587" s="95">
        <f t="shared" si="123"/>
        <v>552600</v>
      </c>
      <c r="D1587" s="95">
        <f ca="1">_xlfn.XLOOKUP(总览!$B$44,$B$40:$B$45,$C$40:$C$45)</f>
        <v>5</v>
      </c>
      <c r="E1587" s="95">
        <f ca="1" t="shared" si="122"/>
        <v>1565</v>
      </c>
      <c r="F1587" s="95">
        <f ca="1" t="shared" si="124"/>
        <v>0</v>
      </c>
      <c r="G1587" s="95">
        <f ca="1" t="shared" si="125"/>
        <v>0</v>
      </c>
      <c r="H1587" s="95" cm="1">
        <f ca="1" t="array" ref="H1587">MIN(30-SUM(I1587:L1587),_xlfn.XLOOKUP($D1587&amp;"_"&amp;H$52,$B$14:$B$36&amp;"_"&amp;$C$14:$C$36,$D$14:$D$36)*$E1587,18)</f>
        <v>11.618</v>
      </c>
      <c r="I1587" s="95" cm="1">
        <f ca="1" t="array" ref="I1587">MIN(30-SUM(J1587:L1587),6-L1587,_xlfn.XLOOKUP($D1587&amp;"_"&amp;I$52,$B$14:$B$36&amp;"_"&amp;$C$14:$C$36,$D$14:$D$36)*$E1587)</f>
        <v>0</v>
      </c>
      <c r="J1587" s="95" cm="1">
        <f ca="1" t="array" ref="J1587">MIN(8,_xlfn.XLOOKUP($D1587&amp;"_"&amp;J$52,$B$14:$B$36&amp;"_"&amp;$C$14:$C$36,$D$14:$D$36)*$E1587)</f>
        <v>8</v>
      </c>
      <c r="K1587" s="95" cm="1">
        <f ca="1" t="array" ref="K1587">MIN(18,_xlfn.XLOOKUP($D1587&amp;"_"&amp;K$52,$B$14:$B$36&amp;"_"&amp;$C$14:$C$36,$D$14:$D$36)*$E1587)</f>
        <v>4.382</v>
      </c>
      <c r="L1587" s="95" cm="1">
        <f ca="1" t="array" ref="L1587">MIN(6,_xlfn.XLOOKUP($D1587&amp;"_"&amp;L$52,$B$14:$B$36&amp;"_"&amp;$C$14:$C$36,$D$14:$D$36)*$E1587)</f>
        <v>6</v>
      </c>
      <c r="M1587" s="95" cm="1">
        <f ca="1" t="array" ref="M1587">(1+SUMPRODUCT(G1587:H1587,OFFSET($H$40:$I$40,D1587,0)))*(1+OFFSET($J$40,D1587,0))^I1587*(1+OFFSET($K$40,D1587,0))^J1587*(1+OFFSET($L$40,D1587,0))^K1587*(1+OFFSET($M$40,D1587,0))^L1587</f>
        <v>360.259969039365</v>
      </c>
      <c r="N1587" s="95">
        <f ca="1">MAX(MAX($N$53:N1586),OFFSET($C$52,MATCH(M1587*1.07,$M$53:$M$2052,1),0)-C1587)</f>
        <v>71640</v>
      </c>
    </row>
    <row r="1588" spans="2:14">
      <c r="B1588" s="95">
        <v>1536</v>
      </c>
      <c r="C1588" s="95">
        <f t="shared" si="123"/>
        <v>552960</v>
      </c>
      <c r="D1588" s="95">
        <f ca="1">_xlfn.XLOOKUP(总览!$B$44,$B$40:$B$45,$C$40:$C$45)</f>
        <v>5</v>
      </c>
      <c r="E1588" s="95">
        <f ca="1" t="shared" si="122"/>
        <v>1566</v>
      </c>
      <c r="F1588" s="95">
        <f ca="1" t="shared" si="124"/>
        <v>0</v>
      </c>
      <c r="G1588" s="95">
        <f ca="1" t="shared" si="125"/>
        <v>0</v>
      </c>
      <c r="H1588" s="95" cm="1">
        <f ca="1" t="array" ref="H1588">MIN(30-SUM(I1588:L1588),_xlfn.XLOOKUP($D1588&amp;"_"&amp;H$52,$B$14:$B$36&amp;"_"&amp;$C$14:$C$36,$D$14:$D$36)*$E1588,18)</f>
        <v>11.6152</v>
      </c>
      <c r="I1588" s="95" cm="1">
        <f ca="1" t="array" ref="I1588">MIN(30-SUM(J1588:L1588),6-L1588,_xlfn.XLOOKUP($D1588&amp;"_"&amp;I$52,$B$14:$B$36&amp;"_"&amp;$C$14:$C$36,$D$14:$D$36)*$E1588)</f>
        <v>0</v>
      </c>
      <c r="J1588" s="95" cm="1">
        <f ca="1" t="array" ref="J1588">MIN(8,_xlfn.XLOOKUP($D1588&amp;"_"&amp;J$52,$B$14:$B$36&amp;"_"&amp;$C$14:$C$36,$D$14:$D$36)*$E1588)</f>
        <v>8</v>
      </c>
      <c r="K1588" s="95" cm="1">
        <f ca="1" t="array" ref="K1588">MIN(18,_xlfn.XLOOKUP($D1588&amp;"_"&amp;K$52,$B$14:$B$36&amp;"_"&amp;$C$14:$C$36,$D$14:$D$36)*$E1588)</f>
        <v>4.3848</v>
      </c>
      <c r="L1588" s="95" cm="1">
        <f ca="1" t="array" ref="L1588">MIN(6,_xlfn.XLOOKUP($D1588&amp;"_"&amp;L$52,$B$14:$B$36&amp;"_"&amp;$C$14:$C$36,$D$14:$D$36)*$E1588)</f>
        <v>6</v>
      </c>
      <c r="M1588" s="95" cm="1">
        <f ca="1" t="array" ref="M1588">(1+SUMPRODUCT(G1588:H1588,OFFSET($H$40:$I$40,D1588,0)))*(1+OFFSET($J$40,D1588,0))^I1588*(1+OFFSET($K$40,D1588,0))^J1588*(1+OFFSET($L$40,D1588,0))^K1588*(1+OFFSET($M$40,D1588,0))^L1588</f>
        <v>360.383196917434</v>
      </c>
      <c r="N1588" s="95">
        <f ca="1">MAX(MAX($N$53:N1587),OFFSET($C$52,MATCH(M1588*1.07,$M$53:$M$2052,1),0)-C1588)</f>
        <v>71640</v>
      </c>
    </row>
    <row r="1589" spans="2:14">
      <c r="B1589" s="95">
        <v>1537</v>
      </c>
      <c r="C1589" s="95">
        <f t="shared" si="123"/>
        <v>553320</v>
      </c>
      <c r="D1589" s="95">
        <f ca="1">_xlfn.XLOOKUP(总览!$B$44,$B$40:$B$45,$C$40:$C$45)</f>
        <v>5</v>
      </c>
      <c r="E1589" s="95">
        <f ca="1" t="shared" si="122"/>
        <v>1567</v>
      </c>
      <c r="F1589" s="95">
        <f ca="1" t="shared" si="124"/>
        <v>0</v>
      </c>
      <c r="G1589" s="95">
        <f ca="1" t="shared" si="125"/>
        <v>0</v>
      </c>
      <c r="H1589" s="95" cm="1">
        <f ca="1" t="array" ref="H1589">MIN(30-SUM(I1589:L1589),_xlfn.XLOOKUP($D1589&amp;"_"&amp;H$52,$B$14:$B$36&amp;"_"&amp;$C$14:$C$36,$D$14:$D$36)*$E1589,18)</f>
        <v>11.6124</v>
      </c>
      <c r="I1589" s="95" cm="1">
        <f ca="1" t="array" ref="I1589">MIN(30-SUM(J1589:L1589),6-L1589,_xlfn.XLOOKUP($D1589&amp;"_"&amp;I$52,$B$14:$B$36&amp;"_"&amp;$C$14:$C$36,$D$14:$D$36)*$E1589)</f>
        <v>0</v>
      </c>
      <c r="J1589" s="95" cm="1">
        <f ca="1" t="array" ref="J1589">MIN(8,_xlfn.XLOOKUP($D1589&amp;"_"&amp;J$52,$B$14:$B$36&amp;"_"&amp;$C$14:$C$36,$D$14:$D$36)*$E1589)</f>
        <v>8</v>
      </c>
      <c r="K1589" s="95" cm="1">
        <f ca="1" t="array" ref="K1589">MIN(18,_xlfn.XLOOKUP($D1589&amp;"_"&amp;K$52,$B$14:$B$36&amp;"_"&amp;$C$14:$C$36,$D$14:$D$36)*$E1589)</f>
        <v>4.3876</v>
      </c>
      <c r="L1589" s="95" cm="1">
        <f ca="1" t="array" ref="L1589">MIN(6,_xlfn.XLOOKUP($D1589&amp;"_"&amp;L$52,$B$14:$B$36&amp;"_"&amp;$C$14:$C$36,$D$14:$D$36)*$E1589)</f>
        <v>6</v>
      </c>
      <c r="M1589" s="95" cm="1">
        <f ca="1" t="array" ref="M1589">(1+SUMPRODUCT(G1589:H1589,OFFSET($H$40:$I$40,D1589,0)))*(1+OFFSET($J$40,D1589,0))^I1589*(1+OFFSET($K$40,D1589,0))^J1589*(1+OFFSET($L$40,D1589,0))^K1589*(1+OFFSET($M$40,D1589,0))^L1589</f>
        <v>360.506456707859</v>
      </c>
      <c r="N1589" s="95">
        <f ca="1">MAX(MAX($N$53:N1588),OFFSET($C$52,MATCH(M1589*1.07,$M$53:$M$2052,1),0)-C1589)</f>
        <v>71640</v>
      </c>
    </row>
    <row r="1590" spans="2:14">
      <c r="B1590" s="95">
        <v>1538</v>
      </c>
      <c r="C1590" s="95">
        <f t="shared" si="123"/>
        <v>553680</v>
      </c>
      <c r="D1590" s="95">
        <f ca="1">_xlfn.XLOOKUP(总览!$B$44,$B$40:$B$45,$C$40:$C$45)</f>
        <v>5</v>
      </c>
      <c r="E1590" s="95">
        <f ca="1" t="shared" ref="E1590:E1653" si="126">INT(C1590/_xlfn.XLOOKUP(D1590,$N$5:$N$16,$O$5:$O$16))+OFFSET($R$40,D1590,0)</f>
        <v>1568</v>
      </c>
      <c r="F1590" s="95">
        <f ca="1" t="shared" si="124"/>
        <v>0</v>
      </c>
      <c r="G1590" s="95">
        <f ca="1" t="shared" si="125"/>
        <v>0</v>
      </c>
      <c r="H1590" s="95" cm="1">
        <f ca="1" t="array" ref="H1590">MIN(30-SUM(I1590:L1590),_xlfn.XLOOKUP($D1590&amp;"_"&amp;H$52,$B$14:$B$36&amp;"_"&amp;$C$14:$C$36,$D$14:$D$36)*$E1590,18)</f>
        <v>11.6096</v>
      </c>
      <c r="I1590" s="95" cm="1">
        <f ca="1" t="array" ref="I1590">MIN(30-SUM(J1590:L1590),6-L1590,_xlfn.XLOOKUP($D1590&amp;"_"&amp;I$52,$B$14:$B$36&amp;"_"&amp;$C$14:$C$36,$D$14:$D$36)*$E1590)</f>
        <v>0</v>
      </c>
      <c r="J1590" s="95" cm="1">
        <f ca="1" t="array" ref="J1590">MIN(8,_xlfn.XLOOKUP($D1590&amp;"_"&amp;J$52,$B$14:$B$36&amp;"_"&amp;$C$14:$C$36,$D$14:$D$36)*$E1590)</f>
        <v>8</v>
      </c>
      <c r="K1590" s="95" cm="1">
        <f ca="1" t="array" ref="K1590">MIN(18,_xlfn.XLOOKUP($D1590&amp;"_"&amp;K$52,$B$14:$B$36&amp;"_"&amp;$C$14:$C$36,$D$14:$D$36)*$E1590)</f>
        <v>4.3904</v>
      </c>
      <c r="L1590" s="95" cm="1">
        <f ca="1" t="array" ref="L1590">MIN(6,_xlfn.XLOOKUP($D1590&amp;"_"&amp;L$52,$B$14:$B$36&amp;"_"&amp;$C$14:$C$36,$D$14:$D$36)*$E1590)</f>
        <v>6</v>
      </c>
      <c r="M1590" s="95" cm="1">
        <f ca="1" t="array" ref="M1590">(1+SUMPRODUCT(G1590:H1590,OFFSET($H$40:$I$40,D1590,0)))*(1+OFFSET($J$40,D1590,0))^I1590*(1+OFFSET($K$40,D1590,0))^J1590*(1+OFFSET($L$40,D1590,0))^K1590*(1+OFFSET($M$40,D1590,0))^L1590</f>
        <v>360.629748411099</v>
      </c>
      <c r="N1590" s="95">
        <f ca="1">MAX(MAX($N$53:N1589),OFFSET($C$52,MATCH(M1590*1.07,$M$53:$M$2052,1),0)-C1590)</f>
        <v>71640</v>
      </c>
    </row>
    <row r="1591" spans="2:14">
      <c r="B1591" s="95">
        <v>1539</v>
      </c>
      <c r="C1591" s="95">
        <f t="shared" si="123"/>
        <v>554040</v>
      </c>
      <c r="D1591" s="95">
        <f ca="1">_xlfn.XLOOKUP(总览!$B$44,$B$40:$B$45,$C$40:$C$45)</f>
        <v>5</v>
      </c>
      <c r="E1591" s="95">
        <f ca="1" t="shared" si="126"/>
        <v>1569</v>
      </c>
      <c r="F1591" s="95">
        <f ca="1" t="shared" si="124"/>
        <v>0</v>
      </c>
      <c r="G1591" s="95">
        <f ca="1" t="shared" si="125"/>
        <v>0</v>
      </c>
      <c r="H1591" s="95" cm="1">
        <f ca="1" t="array" ref="H1591">MIN(30-SUM(I1591:L1591),_xlfn.XLOOKUP($D1591&amp;"_"&amp;H$52,$B$14:$B$36&amp;"_"&amp;$C$14:$C$36,$D$14:$D$36)*$E1591,18)</f>
        <v>11.6068</v>
      </c>
      <c r="I1591" s="95" cm="1">
        <f ca="1" t="array" ref="I1591">MIN(30-SUM(J1591:L1591),6-L1591,_xlfn.XLOOKUP($D1591&amp;"_"&amp;I$52,$B$14:$B$36&amp;"_"&amp;$C$14:$C$36,$D$14:$D$36)*$E1591)</f>
        <v>0</v>
      </c>
      <c r="J1591" s="95" cm="1">
        <f ca="1" t="array" ref="J1591">MIN(8,_xlfn.XLOOKUP($D1591&amp;"_"&amp;J$52,$B$14:$B$36&amp;"_"&amp;$C$14:$C$36,$D$14:$D$36)*$E1591)</f>
        <v>8</v>
      </c>
      <c r="K1591" s="95" cm="1">
        <f ca="1" t="array" ref="K1591">MIN(18,_xlfn.XLOOKUP($D1591&amp;"_"&amp;K$52,$B$14:$B$36&amp;"_"&amp;$C$14:$C$36,$D$14:$D$36)*$E1591)</f>
        <v>4.3932</v>
      </c>
      <c r="L1591" s="95" cm="1">
        <f ca="1" t="array" ref="L1591">MIN(6,_xlfn.XLOOKUP($D1591&amp;"_"&amp;L$52,$B$14:$B$36&amp;"_"&amp;$C$14:$C$36,$D$14:$D$36)*$E1591)</f>
        <v>6</v>
      </c>
      <c r="M1591" s="95" cm="1">
        <f ca="1" t="array" ref="M1591">(1+SUMPRODUCT(G1591:H1591,OFFSET($H$40:$I$40,D1591,0)))*(1+OFFSET($J$40,D1591,0))^I1591*(1+OFFSET($K$40,D1591,0))^J1591*(1+OFFSET($L$40,D1591,0))^K1591*(1+OFFSET($M$40,D1591,0))^L1591</f>
        <v>360.753072027606</v>
      </c>
      <c r="N1591" s="95">
        <f ca="1">MAX(MAX($N$53:N1590),OFFSET($C$52,MATCH(M1591*1.07,$M$53:$M$2052,1),0)-C1591)</f>
        <v>71640</v>
      </c>
    </row>
    <row r="1592" spans="2:14">
      <c r="B1592" s="95">
        <v>1540</v>
      </c>
      <c r="C1592" s="95">
        <f t="shared" si="123"/>
        <v>554400</v>
      </c>
      <c r="D1592" s="95">
        <f ca="1">_xlfn.XLOOKUP(总览!$B$44,$B$40:$B$45,$C$40:$C$45)</f>
        <v>5</v>
      </c>
      <c r="E1592" s="95">
        <f ca="1" t="shared" si="126"/>
        <v>1570</v>
      </c>
      <c r="F1592" s="95">
        <f ca="1" t="shared" si="124"/>
        <v>0</v>
      </c>
      <c r="G1592" s="95">
        <f ca="1" t="shared" si="125"/>
        <v>0</v>
      </c>
      <c r="H1592" s="95" cm="1">
        <f ca="1" t="array" ref="H1592">MIN(30-SUM(I1592:L1592),_xlfn.XLOOKUP($D1592&amp;"_"&amp;H$52,$B$14:$B$36&amp;"_"&amp;$C$14:$C$36,$D$14:$D$36)*$E1592,18)</f>
        <v>11.604</v>
      </c>
      <c r="I1592" s="95" cm="1">
        <f ca="1" t="array" ref="I1592">MIN(30-SUM(J1592:L1592),6-L1592,_xlfn.XLOOKUP($D1592&amp;"_"&amp;I$52,$B$14:$B$36&amp;"_"&amp;$C$14:$C$36,$D$14:$D$36)*$E1592)</f>
        <v>0</v>
      </c>
      <c r="J1592" s="95" cm="1">
        <f ca="1" t="array" ref="J1592">MIN(8,_xlfn.XLOOKUP($D1592&amp;"_"&amp;J$52,$B$14:$B$36&amp;"_"&amp;$C$14:$C$36,$D$14:$D$36)*$E1592)</f>
        <v>8</v>
      </c>
      <c r="K1592" s="95" cm="1">
        <f ca="1" t="array" ref="K1592">MIN(18,_xlfn.XLOOKUP($D1592&amp;"_"&amp;K$52,$B$14:$B$36&amp;"_"&amp;$C$14:$C$36,$D$14:$D$36)*$E1592)</f>
        <v>4.396</v>
      </c>
      <c r="L1592" s="95" cm="1">
        <f ca="1" t="array" ref="L1592">MIN(6,_xlfn.XLOOKUP($D1592&amp;"_"&amp;L$52,$B$14:$B$36&amp;"_"&amp;$C$14:$C$36,$D$14:$D$36)*$E1592)</f>
        <v>6</v>
      </c>
      <c r="M1592" s="95" cm="1">
        <f ca="1" t="array" ref="M1592">(1+SUMPRODUCT(G1592:H1592,OFFSET($H$40:$I$40,D1592,0)))*(1+OFFSET($J$40,D1592,0))^I1592*(1+OFFSET($K$40,D1592,0))^J1592*(1+OFFSET($L$40,D1592,0))^K1592*(1+OFFSET($M$40,D1592,0))^L1592</f>
        <v>360.876427557825</v>
      </c>
      <c r="N1592" s="95">
        <f ca="1">MAX(MAX($N$53:N1591),OFFSET($C$52,MATCH(M1592*1.07,$M$53:$M$2052,1),0)-C1592)</f>
        <v>71640</v>
      </c>
    </row>
    <row r="1593" spans="2:14">
      <c r="B1593" s="95">
        <v>1541</v>
      </c>
      <c r="C1593" s="95">
        <f t="shared" si="123"/>
        <v>554760</v>
      </c>
      <c r="D1593" s="95">
        <f ca="1">_xlfn.XLOOKUP(总览!$B$44,$B$40:$B$45,$C$40:$C$45)</f>
        <v>5</v>
      </c>
      <c r="E1593" s="95">
        <f ca="1" t="shared" si="126"/>
        <v>1571</v>
      </c>
      <c r="F1593" s="95">
        <f ca="1" t="shared" si="124"/>
        <v>0</v>
      </c>
      <c r="G1593" s="95">
        <f ca="1" t="shared" si="125"/>
        <v>0</v>
      </c>
      <c r="H1593" s="95" cm="1">
        <f ca="1" t="array" ref="H1593">MIN(30-SUM(I1593:L1593),_xlfn.XLOOKUP($D1593&amp;"_"&amp;H$52,$B$14:$B$36&amp;"_"&amp;$C$14:$C$36,$D$14:$D$36)*$E1593,18)</f>
        <v>11.6012</v>
      </c>
      <c r="I1593" s="95" cm="1">
        <f ca="1" t="array" ref="I1593">MIN(30-SUM(J1593:L1593),6-L1593,_xlfn.XLOOKUP($D1593&amp;"_"&amp;I$52,$B$14:$B$36&amp;"_"&amp;$C$14:$C$36,$D$14:$D$36)*$E1593)</f>
        <v>0</v>
      </c>
      <c r="J1593" s="95" cm="1">
        <f ca="1" t="array" ref="J1593">MIN(8,_xlfn.XLOOKUP($D1593&amp;"_"&amp;J$52,$B$14:$B$36&amp;"_"&amp;$C$14:$C$36,$D$14:$D$36)*$E1593)</f>
        <v>8</v>
      </c>
      <c r="K1593" s="95" cm="1">
        <f ca="1" t="array" ref="K1593">MIN(18,_xlfn.XLOOKUP($D1593&amp;"_"&amp;K$52,$B$14:$B$36&amp;"_"&amp;$C$14:$C$36,$D$14:$D$36)*$E1593)</f>
        <v>4.3988</v>
      </c>
      <c r="L1593" s="95" cm="1">
        <f ca="1" t="array" ref="L1593">MIN(6,_xlfn.XLOOKUP($D1593&amp;"_"&amp;L$52,$B$14:$B$36&amp;"_"&amp;$C$14:$C$36,$D$14:$D$36)*$E1593)</f>
        <v>6</v>
      </c>
      <c r="M1593" s="95" cm="1">
        <f ca="1" t="array" ref="M1593">(1+SUMPRODUCT(G1593:H1593,OFFSET($H$40:$I$40,D1593,0)))*(1+OFFSET($J$40,D1593,0))^I1593*(1+OFFSET($K$40,D1593,0))^J1593*(1+OFFSET($L$40,D1593,0))^K1593*(1+OFFSET($M$40,D1593,0))^L1593</f>
        <v>360.999815002193</v>
      </c>
      <c r="N1593" s="95">
        <f ca="1">MAX(MAX($N$53:N1592),OFFSET($C$52,MATCH(M1593*1.07,$M$53:$M$2052,1),0)-C1593)</f>
        <v>71640</v>
      </c>
    </row>
    <row r="1594" spans="2:14">
      <c r="B1594" s="95">
        <v>1542</v>
      </c>
      <c r="C1594" s="95">
        <f t="shared" si="123"/>
        <v>555120</v>
      </c>
      <c r="D1594" s="95">
        <f ca="1">_xlfn.XLOOKUP(总览!$B$44,$B$40:$B$45,$C$40:$C$45)</f>
        <v>5</v>
      </c>
      <c r="E1594" s="95">
        <f ca="1" t="shared" si="126"/>
        <v>1572</v>
      </c>
      <c r="F1594" s="95">
        <f ca="1" t="shared" si="124"/>
        <v>0</v>
      </c>
      <c r="G1594" s="95">
        <f ca="1" t="shared" si="125"/>
        <v>0</v>
      </c>
      <c r="H1594" s="95" cm="1">
        <f ca="1" t="array" ref="H1594">MIN(30-SUM(I1594:L1594),_xlfn.XLOOKUP($D1594&amp;"_"&amp;H$52,$B$14:$B$36&amp;"_"&amp;$C$14:$C$36,$D$14:$D$36)*$E1594,18)</f>
        <v>11.5984</v>
      </c>
      <c r="I1594" s="95" cm="1">
        <f ca="1" t="array" ref="I1594">MIN(30-SUM(J1594:L1594),6-L1594,_xlfn.XLOOKUP($D1594&amp;"_"&amp;I$52,$B$14:$B$36&amp;"_"&amp;$C$14:$C$36,$D$14:$D$36)*$E1594)</f>
        <v>0</v>
      </c>
      <c r="J1594" s="95" cm="1">
        <f ca="1" t="array" ref="J1594">MIN(8,_xlfn.XLOOKUP($D1594&amp;"_"&amp;J$52,$B$14:$B$36&amp;"_"&amp;$C$14:$C$36,$D$14:$D$36)*$E1594)</f>
        <v>8</v>
      </c>
      <c r="K1594" s="95" cm="1">
        <f ca="1" t="array" ref="K1594">MIN(18,_xlfn.XLOOKUP($D1594&amp;"_"&amp;K$52,$B$14:$B$36&amp;"_"&amp;$C$14:$C$36,$D$14:$D$36)*$E1594)</f>
        <v>4.4016</v>
      </c>
      <c r="L1594" s="95" cm="1">
        <f ca="1" t="array" ref="L1594">MIN(6,_xlfn.XLOOKUP($D1594&amp;"_"&amp;L$52,$B$14:$B$36&amp;"_"&amp;$C$14:$C$36,$D$14:$D$36)*$E1594)</f>
        <v>6</v>
      </c>
      <c r="M1594" s="95" cm="1">
        <f ca="1" t="array" ref="M1594">(1+SUMPRODUCT(G1594:H1594,OFFSET($H$40:$I$40,D1594,0)))*(1+OFFSET($J$40,D1594,0))^I1594*(1+OFFSET($K$40,D1594,0))^J1594*(1+OFFSET($L$40,D1594,0))^K1594*(1+OFFSET($M$40,D1594,0))^L1594</f>
        <v>361.123234361136</v>
      </c>
      <c r="N1594" s="95">
        <f ca="1">MAX(MAX($N$53:N1593),OFFSET($C$52,MATCH(M1594*1.07,$M$53:$M$2052,1),0)-C1594)</f>
        <v>71640</v>
      </c>
    </row>
    <row r="1595" spans="2:14">
      <c r="B1595" s="95">
        <v>1543</v>
      </c>
      <c r="C1595" s="95">
        <f t="shared" si="123"/>
        <v>555480</v>
      </c>
      <c r="D1595" s="95">
        <f ca="1">_xlfn.XLOOKUP(总览!$B$44,$B$40:$B$45,$C$40:$C$45)</f>
        <v>5</v>
      </c>
      <c r="E1595" s="95">
        <f ca="1" t="shared" si="126"/>
        <v>1573</v>
      </c>
      <c r="F1595" s="95">
        <f ca="1" t="shared" si="124"/>
        <v>0</v>
      </c>
      <c r="G1595" s="95">
        <f ca="1" t="shared" si="125"/>
        <v>0</v>
      </c>
      <c r="H1595" s="95" cm="1">
        <f ca="1" t="array" ref="H1595">MIN(30-SUM(I1595:L1595),_xlfn.XLOOKUP($D1595&amp;"_"&amp;H$52,$B$14:$B$36&amp;"_"&amp;$C$14:$C$36,$D$14:$D$36)*$E1595,18)</f>
        <v>11.5956</v>
      </c>
      <c r="I1595" s="95" cm="1">
        <f ca="1" t="array" ref="I1595">MIN(30-SUM(J1595:L1595),6-L1595,_xlfn.XLOOKUP($D1595&amp;"_"&amp;I$52,$B$14:$B$36&amp;"_"&amp;$C$14:$C$36,$D$14:$D$36)*$E1595)</f>
        <v>0</v>
      </c>
      <c r="J1595" s="95" cm="1">
        <f ca="1" t="array" ref="J1595">MIN(8,_xlfn.XLOOKUP($D1595&amp;"_"&amp;J$52,$B$14:$B$36&amp;"_"&amp;$C$14:$C$36,$D$14:$D$36)*$E1595)</f>
        <v>8</v>
      </c>
      <c r="K1595" s="95" cm="1">
        <f ca="1" t="array" ref="K1595">MIN(18,_xlfn.XLOOKUP($D1595&amp;"_"&amp;K$52,$B$14:$B$36&amp;"_"&amp;$C$14:$C$36,$D$14:$D$36)*$E1595)</f>
        <v>4.4044</v>
      </c>
      <c r="L1595" s="95" cm="1">
        <f ca="1" t="array" ref="L1595">MIN(6,_xlfn.XLOOKUP($D1595&amp;"_"&amp;L$52,$B$14:$B$36&amp;"_"&amp;$C$14:$C$36,$D$14:$D$36)*$E1595)</f>
        <v>6</v>
      </c>
      <c r="M1595" s="95" cm="1">
        <f ca="1" t="array" ref="M1595">(1+SUMPRODUCT(G1595:H1595,OFFSET($H$40:$I$40,D1595,0)))*(1+OFFSET($J$40,D1595,0))^I1595*(1+OFFSET($K$40,D1595,0))^J1595*(1+OFFSET($L$40,D1595,0))^K1595*(1+OFFSET($M$40,D1595,0))^L1595</f>
        <v>361.246685635078</v>
      </c>
      <c r="N1595" s="95">
        <f ca="1">MAX(MAX($N$53:N1594),OFFSET($C$52,MATCH(M1595*1.07,$M$53:$M$2052,1),0)-C1595)</f>
        <v>71640</v>
      </c>
    </row>
    <row r="1596" spans="2:14">
      <c r="B1596" s="95">
        <v>1544</v>
      </c>
      <c r="C1596" s="95">
        <f t="shared" si="123"/>
        <v>555840</v>
      </c>
      <c r="D1596" s="95">
        <f ca="1">_xlfn.XLOOKUP(总览!$B$44,$B$40:$B$45,$C$40:$C$45)</f>
        <v>5</v>
      </c>
      <c r="E1596" s="95">
        <f ca="1" t="shared" si="126"/>
        <v>1574</v>
      </c>
      <c r="F1596" s="95">
        <f ca="1" t="shared" si="124"/>
        <v>0</v>
      </c>
      <c r="G1596" s="95">
        <f ca="1" t="shared" si="125"/>
        <v>0</v>
      </c>
      <c r="H1596" s="95" cm="1">
        <f ca="1" t="array" ref="H1596">MIN(30-SUM(I1596:L1596),_xlfn.XLOOKUP($D1596&amp;"_"&amp;H$52,$B$14:$B$36&amp;"_"&amp;$C$14:$C$36,$D$14:$D$36)*$E1596,18)</f>
        <v>11.5928</v>
      </c>
      <c r="I1596" s="95" cm="1">
        <f ca="1" t="array" ref="I1596">MIN(30-SUM(J1596:L1596),6-L1596,_xlfn.XLOOKUP($D1596&amp;"_"&amp;I$52,$B$14:$B$36&amp;"_"&amp;$C$14:$C$36,$D$14:$D$36)*$E1596)</f>
        <v>0</v>
      </c>
      <c r="J1596" s="95" cm="1">
        <f ca="1" t="array" ref="J1596">MIN(8,_xlfn.XLOOKUP($D1596&amp;"_"&amp;J$52,$B$14:$B$36&amp;"_"&amp;$C$14:$C$36,$D$14:$D$36)*$E1596)</f>
        <v>8</v>
      </c>
      <c r="K1596" s="95" cm="1">
        <f ca="1" t="array" ref="K1596">MIN(18,_xlfn.XLOOKUP($D1596&amp;"_"&amp;K$52,$B$14:$B$36&amp;"_"&amp;$C$14:$C$36,$D$14:$D$36)*$E1596)</f>
        <v>4.4072</v>
      </c>
      <c r="L1596" s="95" cm="1">
        <f ca="1" t="array" ref="L1596">MIN(6,_xlfn.XLOOKUP($D1596&amp;"_"&amp;L$52,$B$14:$B$36&amp;"_"&amp;$C$14:$C$36,$D$14:$D$36)*$E1596)</f>
        <v>6</v>
      </c>
      <c r="M1596" s="95" cm="1">
        <f ca="1" t="array" ref="M1596">(1+SUMPRODUCT(G1596:H1596,OFFSET($H$40:$I$40,D1596,0)))*(1+OFFSET($J$40,D1596,0))^I1596*(1+OFFSET($K$40,D1596,0))^J1596*(1+OFFSET($L$40,D1596,0))^K1596*(1+OFFSET($M$40,D1596,0))^L1596</f>
        <v>361.370168824429</v>
      </c>
      <c r="N1596" s="95">
        <f ca="1">MAX(MAX($N$53:N1595),OFFSET($C$52,MATCH(M1596*1.07,$M$53:$M$2052,1),0)-C1596)</f>
        <v>71640</v>
      </c>
    </row>
    <row r="1597" spans="2:14">
      <c r="B1597" s="95">
        <v>1545</v>
      </c>
      <c r="C1597" s="95">
        <f t="shared" si="123"/>
        <v>556200</v>
      </c>
      <c r="D1597" s="95">
        <f ca="1">_xlfn.XLOOKUP(总览!$B$44,$B$40:$B$45,$C$40:$C$45)</f>
        <v>5</v>
      </c>
      <c r="E1597" s="95">
        <f ca="1" t="shared" si="126"/>
        <v>1575</v>
      </c>
      <c r="F1597" s="95">
        <f ca="1" t="shared" si="124"/>
        <v>0</v>
      </c>
      <c r="G1597" s="95">
        <f ca="1" t="shared" si="125"/>
        <v>0</v>
      </c>
      <c r="H1597" s="95" cm="1">
        <f ca="1" t="array" ref="H1597">MIN(30-SUM(I1597:L1597),_xlfn.XLOOKUP($D1597&amp;"_"&amp;H$52,$B$14:$B$36&amp;"_"&amp;$C$14:$C$36,$D$14:$D$36)*$E1597,18)</f>
        <v>11.59</v>
      </c>
      <c r="I1597" s="95" cm="1">
        <f ca="1" t="array" ref="I1597">MIN(30-SUM(J1597:L1597),6-L1597,_xlfn.XLOOKUP($D1597&amp;"_"&amp;I$52,$B$14:$B$36&amp;"_"&amp;$C$14:$C$36,$D$14:$D$36)*$E1597)</f>
        <v>0</v>
      </c>
      <c r="J1597" s="95" cm="1">
        <f ca="1" t="array" ref="J1597">MIN(8,_xlfn.XLOOKUP($D1597&amp;"_"&amp;J$52,$B$14:$B$36&amp;"_"&amp;$C$14:$C$36,$D$14:$D$36)*$E1597)</f>
        <v>8</v>
      </c>
      <c r="K1597" s="95" cm="1">
        <f ca="1" t="array" ref="K1597">MIN(18,_xlfn.XLOOKUP($D1597&amp;"_"&amp;K$52,$B$14:$B$36&amp;"_"&amp;$C$14:$C$36,$D$14:$D$36)*$E1597)</f>
        <v>4.41</v>
      </c>
      <c r="L1597" s="95" cm="1">
        <f ca="1" t="array" ref="L1597">MIN(6,_xlfn.XLOOKUP($D1597&amp;"_"&amp;L$52,$B$14:$B$36&amp;"_"&amp;$C$14:$C$36,$D$14:$D$36)*$E1597)</f>
        <v>6</v>
      </c>
      <c r="M1597" s="95" cm="1">
        <f ca="1" t="array" ref="M1597">(1+SUMPRODUCT(G1597:H1597,OFFSET($H$40:$I$40,D1597,0)))*(1+OFFSET($J$40,D1597,0))^I1597*(1+OFFSET($K$40,D1597,0))^J1597*(1+OFFSET($L$40,D1597,0))^K1597*(1+OFFSET($M$40,D1597,0))^L1597</f>
        <v>361.493683929595</v>
      </c>
      <c r="N1597" s="95">
        <f ca="1">MAX(MAX($N$53:N1596),OFFSET($C$52,MATCH(M1597*1.07,$M$53:$M$2052,1),0)-C1597)</f>
        <v>71640</v>
      </c>
    </row>
    <row r="1598" spans="2:14">
      <c r="B1598" s="95">
        <v>1546</v>
      </c>
      <c r="C1598" s="95">
        <f t="shared" si="123"/>
        <v>556560</v>
      </c>
      <c r="D1598" s="95">
        <f ca="1">_xlfn.XLOOKUP(总览!$B$44,$B$40:$B$45,$C$40:$C$45)</f>
        <v>5</v>
      </c>
      <c r="E1598" s="95">
        <f ca="1" t="shared" si="126"/>
        <v>1576</v>
      </c>
      <c r="F1598" s="95">
        <f ca="1" t="shared" si="124"/>
        <v>0</v>
      </c>
      <c r="G1598" s="95">
        <f ca="1" t="shared" si="125"/>
        <v>0</v>
      </c>
      <c r="H1598" s="95" cm="1">
        <f ca="1" t="array" ref="H1598">MIN(30-SUM(I1598:L1598),_xlfn.XLOOKUP($D1598&amp;"_"&amp;H$52,$B$14:$B$36&amp;"_"&amp;$C$14:$C$36,$D$14:$D$36)*$E1598,18)</f>
        <v>11.5872</v>
      </c>
      <c r="I1598" s="95" cm="1">
        <f ca="1" t="array" ref="I1598">MIN(30-SUM(J1598:L1598),6-L1598,_xlfn.XLOOKUP($D1598&amp;"_"&amp;I$52,$B$14:$B$36&amp;"_"&amp;$C$14:$C$36,$D$14:$D$36)*$E1598)</f>
        <v>0</v>
      </c>
      <c r="J1598" s="95" cm="1">
        <f ca="1" t="array" ref="J1598">MIN(8,_xlfn.XLOOKUP($D1598&amp;"_"&amp;J$52,$B$14:$B$36&amp;"_"&amp;$C$14:$C$36,$D$14:$D$36)*$E1598)</f>
        <v>8</v>
      </c>
      <c r="K1598" s="95" cm="1">
        <f ca="1" t="array" ref="K1598">MIN(18,_xlfn.XLOOKUP($D1598&amp;"_"&amp;K$52,$B$14:$B$36&amp;"_"&amp;$C$14:$C$36,$D$14:$D$36)*$E1598)</f>
        <v>4.4128</v>
      </c>
      <c r="L1598" s="95" cm="1">
        <f ca="1" t="array" ref="L1598">MIN(6,_xlfn.XLOOKUP($D1598&amp;"_"&amp;L$52,$B$14:$B$36&amp;"_"&amp;$C$14:$C$36,$D$14:$D$36)*$E1598)</f>
        <v>6</v>
      </c>
      <c r="M1598" s="95" cm="1">
        <f ca="1" t="array" ref="M1598">(1+SUMPRODUCT(G1598:H1598,OFFSET($H$40:$I$40,D1598,0)))*(1+OFFSET($J$40,D1598,0))^I1598*(1+OFFSET($K$40,D1598,0))^J1598*(1+OFFSET($L$40,D1598,0))^K1598*(1+OFFSET($M$40,D1598,0))^L1598</f>
        <v>361.617230950972</v>
      </c>
      <c r="N1598" s="95">
        <f ca="1">MAX(MAX($N$53:N1597),OFFSET($C$52,MATCH(M1598*1.07,$M$53:$M$2052,1),0)-C1598)</f>
        <v>71640</v>
      </c>
    </row>
    <row r="1599" spans="2:14">
      <c r="B1599" s="95">
        <v>1547</v>
      </c>
      <c r="C1599" s="95">
        <f t="shared" si="123"/>
        <v>556920</v>
      </c>
      <c r="D1599" s="95">
        <f ca="1">_xlfn.XLOOKUP(总览!$B$44,$B$40:$B$45,$C$40:$C$45)</f>
        <v>5</v>
      </c>
      <c r="E1599" s="95">
        <f ca="1" t="shared" si="126"/>
        <v>1577</v>
      </c>
      <c r="F1599" s="95">
        <f ca="1" t="shared" si="124"/>
        <v>0</v>
      </c>
      <c r="G1599" s="95">
        <f ca="1" t="shared" si="125"/>
        <v>0</v>
      </c>
      <c r="H1599" s="95" cm="1">
        <f ca="1" t="array" ref="H1599">MIN(30-SUM(I1599:L1599),_xlfn.XLOOKUP($D1599&amp;"_"&amp;H$52,$B$14:$B$36&amp;"_"&amp;$C$14:$C$36,$D$14:$D$36)*$E1599,18)</f>
        <v>11.5844</v>
      </c>
      <c r="I1599" s="95" cm="1">
        <f ca="1" t="array" ref="I1599">MIN(30-SUM(J1599:L1599),6-L1599,_xlfn.XLOOKUP($D1599&amp;"_"&amp;I$52,$B$14:$B$36&amp;"_"&amp;$C$14:$C$36,$D$14:$D$36)*$E1599)</f>
        <v>0</v>
      </c>
      <c r="J1599" s="95" cm="1">
        <f ca="1" t="array" ref="J1599">MIN(8,_xlfn.XLOOKUP($D1599&amp;"_"&amp;J$52,$B$14:$B$36&amp;"_"&amp;$C$14:$C$36,$D$14:$D$36)*$E1599)</f>
        <v>8</v>
      </c>
      <c r="K1599" s="95" cm="1">
        <f ca="1" t="array" ref="K1599">MIN(18,_xlfn.XLOOKUP($D1599&amp;"_"&amp;K$52,$B$14:$B$36&amp;"_"&amp;$C$14:$C$36,$D$14:$D$36)*$E1599)</f>
        <v>4.4156</v>
      </c>
      <c r="L1599" s="95" cm="1">
        <f ca="1" t="array" ref="L1599">MIN(6,_xlfn.XLOOKUP($D1599&amp;"_"&amp;L$52,$B$14:$B$36&amp;"_"&amp;$C$14:$C$36,$D$14:$D$36)*$E1599)</f>
        <v>6</v>
      </c>
      <c r="M1599" s="95" cm="1">
        <f ca="1" t="array" ref="M1599">(1+SUMPRODUCT(G1599:H1599,OFFSET($H$40:$I$40,D1599,0)))*(1+OFFSET($J$40,D1599,0))^I1599*(1+OFFSET($K$40,D1599,0))^J1599*(1+OFFSET($L$40,D1599,0))^K1599*(1+OFFSET($M$40,D1599,0))^L1599</f>
        <v>361.74080988895</v>
      </c>
      <c r="N1599" s="95">
        <f ca="1">MAX(MAX($N$53:N1598),OFFSET($C$52,MATCH(M1599*1.07,$M$53:$M$2052,1),0)-C1599)</f>
        <v>71640</v>
      </c>
    </row>
    <row r="1600" spans="2:14">
      <c r="B1600" s="95">
        <v>1548</v>
      </c>
      <c r="C1600" s="95">
        <f t="shared" si="123"/>
        <v>557280</v>
      </c>
      <c r="D1600" s="95">
        <f ca="1">_xlfn.XLOOKUP(总览!$B$44,$B$40:$B$45,$C$40:$C$45)</f>
        <v>5</v>
      </c>
      <c r="E1600" s="95">
        <f ca="1" t="shared" si="126"/>
        <v>1578</v>
      </c>
      <c r="F1600" s="95">
        <f ca="1" t="shared" si="124"/>
        <v>0</v>
      </c>
      <c r="G1600" s="95">
        <f ca="1" t="shared" si="125"/>
        <v>0</v>
      </c>
      <c r="H1600" s="95" cm="1">
        <f ca="1" t="array" ref="H1600">MIN(30-SUM(I1600:L1600),_xlfn.XLOOKUP($D1600&amp;"_"&amp;H$52,$B$14:$B$36&amp;"_"&amp;$C$14:$C$36,$D$14:$D$36)*$E1600,18)</f>
        <v>11.5816</v>
      </c>
      <c r="I1600" s="95" cm="1">
        <f ca="1" t="array" ref="I1600">MIN(30-SUM(J1600:L1600),6-L1600,_xlfn.XLOOKUP($D1600&amp;"_"&amp;I$52,$B$14:$B$36&amp;"_"&amp;$C$14:$C$36,$D$14:$D$36)*$E1600)</f>
        <v>0</v>
      </c>
      <c r="J1600" s="95" cm="1">
        <f ca="1" t="array" ref="J1600">MIN(8,_xlfn.XLOOKUP($D1600&amp;"_"&amp;J$52,$B$14:$B$36&amp;"_"&amp;$C$14:$C$36,$D$14:$D$36)*$E1600)</f>
        <v>8</v>
      </c>
      <c r="K1600" s="95" cm="1">
        <f ca="1" t="array" ref="K1600">MIN(18,_xlfn.XLOOKUP($D1600&amp;"_"&amp;K$52,$B$14:$B$36&amp;"_"&amp;$C$14:$C$36,$D$14:$D$36)*$E1600)</f>
        <v>4.4184</v>
      </c>
      <c r="L1600" s="95" cm="1">
        <f ca="1" t="array" ref="L1600">MIN(6,_xlfn.XLOOKUP($D1600&amp;"_"&amp;L$52,$B$14:$B$36&amp;"_"&amp;$C$14:$C$36,$D$14:$D$36)*$E1600)</f>
        <v>6</v>
      </c>
      <c r="M1600" s="95" cm="1">
        <f ca="1" t="array" ref="M1600">(1+SUMPRODUCT(G1600:H1600,OFFSET($H$40:$I$40,D1600,0)))*(1+OFFSET($J$40,D1600,0))^I1600*(1+OFFSET($K$40,D1600,0))^J1600*(1+OFFSET($L$40,D1600,0))^K1600*(1+OFFSET($M$40,D1600,0))^L1600</f>
        <v>361.864420743911</v>
      </c>
      <c r="N1600" s="95">
        <f ca="1">MAX(MAX($N$53:N1599),OFFSET($C$52,MATCH(M1600*1.07,$M$53:$M$2052,1),0)-C1600)</f>
        <v>71640</v>
      </c>
    </row>
    <row r="1601" spans="2:14">
      <c r="B1601" s="95">
        <v>1549</v>
      </c>
      <c r="C1601" s="95">
        <f t="shared" si="123"/>
        <v>557640</v>
      </c>
      <c r="D1601" s="95">
        <f ca="1">_xlfn.XLOOKUP(总览!$B$44,$B$40:$B$45,$C$40:$C$45)</f>
        <v>5</v>
      </c>
      <c r="E1601" s="95">
        <f ca="1" t="shared" si="126"/>
        <v>1579</v>
      </c>
      <c r="F1601" s="95">
        <f ca="1" t="shared" si="124"/>
        <v>0</v>
      </c>
      <c r="G1601" s="95">
        <f ca="1" t="shared" si="125"/>
        <v>0</v>
      </c>
      <c r="H1601" s="95" cm="1">
        <f ca="1" t="array" ref="H1601">MIN(30-SUM(I1601:L1601),_xlfn.XLOOKUP($D1601&amp;"_"&amp;H$52,$B$14:$B$36&amp;"_"&amp;$C$14:$C$36,$D$14:$D$36)*$E1601,18)</f>
        <v>11.5788</v>
      </c>
      <c r="I1601" s="95" cm="1">
        <f ca="1" t="array" ref="I1601">MIN(30-SUM(J1601:L1601),6-L1601,_xlfn.XLOOKUP($D1601&amp;"_"&amp;I$52,$B$14:$B$36&amp;"_"&amp;$C$14:$C$36,$D$14:$D$36)*$E1601)</f>
        <v>0</v>
      </c>
      <c r="J1601" s="95" cm="1">
        <f ca="1" t="array" ref="J1601">MIN(8,_xlfn.XLOOKUP($D1601&amp;"_"&amp;J$52,$B$14:$B$36&amp;"_"&amp;$C$14:$C$36,$D$14:$D$36)*$E1601)</f>
        <v>8</v>
      </c>
      <c r="K1601" s="95" cm="1">
        <f ca="1" t="array" ref="K1601">MIN(18,_xlfn.XLOOKUP($D1601&amp;"_"&amp;K$52,$B$14:$B$36&amp;"_"&amp;$C$14:$C$36,$D$14:$D$36)*$E1601)</f>
        <v>4.4212</v>
      </c>
      <c r="L1601" s="95" cm="1">
        <f ca="1" t="array" ref="L1601">MIN(6,_xlfn.XLOOKUP($D1601&amp;"_"&amp;L$52,$B$14:$B$36&amp;"_"&amp;$C$14:$C$36,$D$14:$D$36)*$E1601)</f>
        <v>6</v>
      </c>
      <c r="M1601" s="95" cm="1">
        <f ca="1" t="array" ref="M1601">(1+SUMPRODUCT(G1601:H1601,OFFSET($H$40:$I$40,D1601,0)))*(1+OFFSET($J$40,D1601,0))^I1601*(1+OFFSET($K$40,D1601,0))^J1601*(1+OFFSET($L$40,D1601,0))^K1601*(1+OFFSET($M$40,D1601,0))^L1601</f>
        <v>361.988063516226</v>
      </c>
      <c r="N1601" s="95">
        <f ca="1">MAX(MAX($N$53:N1600),OFFSET($C$52,MATCH(M1601*1.07,$M$53:$M$2052,1),0)-C1601)</f>
        <v>71640</v>
      </c>
    </row>
    <row r="1602" spans="2:14">
      <c r="B1602" s="95">
        <v>1550</v>
      </c>
      <c r="C1602" s="95">
        <f t="shared" si="123"/>
        <v>558000</v>
      </c>
      <c r="D1602" s="95">
        <f ca="1">_xlfn.XLOOKUP(总览!$B$44,$B$40:$B$45,$C$40:$C$45)</f>
        <v>5</v>
      </c>
      <c r="E1602" s="95">
        <f ca="1" t="shared" si="126"/>
        <v>1580</v>
      </c>
      <c r="F1602" s="95">
        <f ca="1" t="shared" si="124"/>
        <v>0</v>
      </c>
      <c r="G1602" s="95">
        <f ca="1" t="shared" si="125"/>
        <v>0</v>
      </c>
      <c r="H1602" s="95" cm="1">
        <f ca="1" t="array" ref="H1602">MIN(30-SUM(I1602:L1602),_xlfn.XLOOKUP($D1602&amp;"_"&amp;H$52,$B$14:$B$36&amp;"_"&amp;$C$14:$C$36,$D$14:$D$36)*$E1602,18)</f>
        <v>11.576</v>
      </c>
      <c r="I1602" s="95" cm="1">
        <f ca="1" t="array" ref="I1602">MIN(30-SUM(J1602:L1602),6-L1602,_xlfn.XLOOKUP($D1602&amp;"_"&amp;I$52,$B$14:$B$36&amp;"_"&amp;$C$14:$C$36,$D$14:$D$36)*$E1602)</f>
        <v>0</v>
      </c>
      <c r="J1602" s="95" cm="1">
        <f ca="1" t="array" ref="J1602">MIN(8,_xlfn.XLOOKUP($D1602&amp;"_"&amp;J$52,$B$14:$B$36&amp;"_"&amp;$C$14:$C$36,$D$14:$D$36)*$E1602)</f>
        <v>8</v>
      </c>
      <c r="K1602" s="95" cm="1">
        <f ca="1" t="array" ref="K1602">MIN(18,_xlfn.XLOOKUP($D1602&amp;"_"&amp;K$52,$B$14:$B$36&amp;"_"&amp;$C$14:$C$36,$D$14:$D$36)*$E1602)</f>
        <v>4.424</v>
      </c>
      <c r="L1602" s="95" cm="1">
        <f ca="1" t="array" ref="L1602">MIN(6,_xlfn.XLOOKUP($D1602&amp;"_"&amp;L$52,$B$14:$B$36&amp;"_"&amp;$C$14:$C$36,$D$14:$D$36)*$E1602)</f>
        <v>6</v>
      </c>
      <c r="M1602" s="95" cm="1">
        <f ca="1" t="array" ref="M1602">(1+SUMPRODUCT(G1602:H1602,OFFSET($H$40:$I$40,D1602,0)))*(1+OFFSET($J$40,D1602,0))^I1602*(1+OFFSET($K$40,D1602,0))^J1602*(1+OFFSET($L$40,D1602,0))^K1602*(1+OFFSET($M$40,D1602,0))^L1602</f>
        <v>362.111738206261</v>
      </c>
      <c r="N1602" s="95">
        <f ca="1">MAX(MAX($N$53:N1601),OFFSET($C$52,MATCH(M1602*1.07,$M$53:$M$2052,1),0)-C1602)</f>
        <v>71640</v>
      </c>
    </row>
    <row r="1603" spans="2:14">
      <c r="B1603" s="95">
        <v>1551</v>
      </c>
      <c r="C1603" s="95">
        <f t="shared" si="123"/>
        <v>558360</v>
      </c>
      <c r="D1603" s="95">
        <f ca="1">_xlfn.XLOOKUP(总览!$B$44,$B$40:$B$45,$C$40:$C$45)</f>
        <v>5</v>
      </c>
      <c r="E1603" s="95">
        <f ca="1" t="shared" si="126"/>
        <v>1581</v>
      </c>
      <c r="F1603" s="95">
        <f ca="1" t="shared" si="124"/>
        <v>0</v>
      </c>
      <c r="G1603" s="95">
        <f ca="1" t="shared" si="125"/>
        <v>0</v>
      </c>
      <c r="H1603" s="95" cm="1">
        <f ca="1" t="array" ref="H1603">MIN(30-SUM(I1603:L1603),_xlfn.XLOOKUP($D1603&amp;"_"&amp;H$52,$B$14:$B$36&amp;"_"&amp;$C$14:$C$36,$D$14:$D$36)*$E1603,18)</f>
        <v>11.5732</v>
      </c>
      <c r="I1603" s="95" cm="1">
        <f ca="1" t="array" ref="I1603">MIN(30-SUM(J1603:L1603),6-L1603,_xlfn.XLOOKUP($D1603&amp;"_"&amp;I$52,$B$14:$B$36&amp;"_"&amp;$C$14:$C$36,$D$14:$D$36)*$E1603)</f>
        <v>0</v>
      </c>
      <c r="J1603" s="95" cm="1">
        <f ca="1" t="array" ref="J1603">MIN(8,_xlfn.XLOOKUP($D1603&amp;"_"&amp;J$52,$B$14:$B$36&amp;"_"&amp;$C$14:$C$36,$D$14:$D$36)*$E1603)</f>
        <v>8</v>
      </c>
      <c r="K1603" s="95" cm="1">
        <f ca="1" t="array" ref="K1603">MIN(18,_xlfn.XLOOKUP($D1603&amp;"_"&amp;K$52,$B$14:$B$36&amp;"_"&amp;$C$14:$C$36,$D$14:$D$36)*$E1603)</f>
        <v>4.4268</v>
      </c>
      <c r="L1603" s="95" cm="1">
        <f ca="1" t="array" ref="L1603">MIN(6,_xlfn.XLOOKUP($D1603&amp;"_"&amp;L$52,$B$14:$B$36&amp;"_"&amp;$C$14:$C$36,$D$14:$D$36)*$E1603)</f>
        <v>6</v>
      </c>
      <c r="M1603" s="95" cm="1">
        <f ca="1" t="array" ref="M1603">(1+SUMPRODUCT(G1603:H1603,OFFSET($H$40:$I$40,D1603,0)))*(1+OFFSET($J$40,D1603,0))^I1603*(1+OFFSET($K$40,D1603,0))^J1603*(1+OFFSET($L$40,D1603,0))^K1603*(1+OFFSET($M$40,D1603,0))^L1603</f>
        <v>362.235444814374</v>
      </c>
      <c r="N1603" s="95">
        <f ca="1">MAX(MAX($N$53:N1602),OFFSET($C$52,MATCH(M1603*1.07,$M$53:$M$2052,1),0)-C1603)</f>
        <v>71640</v>
      </c>
    </row>
    <row r="1604" spans="2:14">
      <c r="B1604" s="95">
        <v>1552</v>
      </c>
      <c r="C1604" s="95">
        <f t="shared" si="123"/>
        <v>558720</v>
      </c>
      <c r="D1604" s="95">
        <f ca="1">_xlfn.XLOOKUP(总览!$B$44,$B$40:$B$45,$C$40:$C$45)</f>
        <v>5</v>
      </c>
      <c r="E1604" s="95">
        <f ca="1" t="shared" si="126"/>
        <v>1582</v>
      </c>
      <c r="F1604" s="95">
        <f ca="1" t="shared" si="124"/>
        <v>0</v>
      </c>
      <c r="G1604" s="95">
        <f ca="1" t="shared" si="125"/>
        <v>0</v>
      </c>
      <c r="H1604" s="95" cm="1">
        <f ca="1" t="array" ref="H1604">MIN(30-SUM(I1604:L1604),_xlfn.XLOOKUP($D1604&amp;"_"&amp;H$52,$B$14:$B$36&amp;"_"&amp;$C$14:$C$36,$D$14:$D$36)*$E1604,18)</f>
        <v>11.5704</v>
      </c>
      <c r="I1604" s="95" cm="1">
        <f ca="1" t="array" ref="I1604">MIN(30-SUM(J1604:L1604),6-L1604,_xlfn.XLOOKUP($D1604&amp;"_"&amp;I$52,$B$14:$B$36&amp;"_"&amp;$C$14:$C$36,$D$14:$D$36)*$E1604)</f>
        <v>0</v>
      </c>
      <c r="J1604" s="95" cm="1">
        <f ca="1" t="array" ref="J1604">MIN(8,_xlfn.XLOOKUP($D1604&amp;"_"&amp;J$52,$B$14:$B$36&amp;"_"&amp;$C$14:$C$36,$D$14:$D$36)*$E1604)</f>
        <v>8</v>
      </c>
      <c r="K1604" s="95" cm="1">
        <f ca="1" t="array" ref="K1604">MIN(18,_xlfn.XLOOKUP($D1604&amp;"_"&amp;K$52,$B$14:$B$36&amp;"_"&amp;$C$14:$C$36,$D$14:$D$36)*$E1604)</f>
        <v>4.4296</v>
      </c>
      <c r="L1604" s="95" cm="1">
        <f ca="1" t="array" ref="L1604">MIN(6,_xlfn.XLOOKUP($D1604&amp;"_"&amp;L$52,$B$14:$B$36&amp;"_"&amp;$C$14:$C$36,$D$14:$D$36)*$E1604)</f>
        <v>6</v>
      </c>
      <c r="M1604" s="95" cm="1">
        <f ca="1" t="array" ref="M1604">(1+SUMPRODUCT(G1604:H1604,OFFSET($H$40:$I$40,D1604,0)))*(1+OFFSET($J$40,D1604,0))^I1604*(1+OFFSET($K$40,D1604,0))^J1604*(1+OFFSET($L$40,D1604,0))^K1604*(1+OFFSET($M$40,D1604,0))^L1604</f>
        <v>362.359183340913</v>
      </c>
      <c r="N1604" s="95">
        <f ca="1">MAX(MAX($N$53:N1603),OFFSET($C$52,MATCH(M1604*1.07,$M$53:$M$2052,1),0)-C1604)</f>
        <v>71640</v>
      </c>
    </row>
    <row r="1605" spans="2:14">
      <c r="B1605" s="95">
        <v>1553</v>
      </c>
      <c r="C1605" s="95">
        <f t="shared" si="123"/>
        <v>559080</v>
      </c>
      <c r="D1605" s="95">
        <f ca="1">_xlfn.XLOOKUP(总览!$B$44,$B$40:$B$45,$C$40:$C$45)</f>
        <v>5</v>
      </c>
      <c r="E1605" s="95">
        <f ca="1" t="shared" si="126"/>
        <v>1583</v>
      </c>
      <c r="F1605" s="95">
        <f ca="1" t="shared" si="124"/>
        <v>0</v>
      </c>
      <c r="G1605" s="95">
        <f ca="1" t="shared" si="125"/>
        <v>0</v>
      </c>
      <c r="H1605" s="95" cm="1">
        <f ca="1" t="array" ref="H1605">MIN(30-SUM(I1605:L1605),_xlfn.XLOOKUP($D1605&amp;"_"&amp;H$52,$B$14:$B$36&amp;"_"&amp;$C$14:$C$36,$D$14:$D$36)*$E1605,18)</f>
        <v>11.5676</v>
      </c>
      <c r="I1605" s="95" cm="1">
        <f ca="1" t="array" ref="I1605">MIN(30-SUM(J1605:L1605),6-L1605,_xlfn.XLOOKUP($D1605&amp;"_"&amp;I$52,$B$14:$B$36&amp;"_"&amp;$C$14:$C$36,$D$14:$D$36)*$E1605)</f>
        <v>0</v>
      </c>
      <c r="J1605" s="95" cm="1">
        <f ca="1" t="array" ref="J1605">MIN(8,_xlfn.XLOOKUP($D1605&amp;"_"&amp;J$52,$B$14:$B$36&amp;"_"&amp;$C$14:$C$36,$D$14:$D$36)*$E1605)</f>
        <v>8</v>
      </c>
      <c r="K1605" s="95" cm="1">
        <f ca="1" t="array" ref="K1605">MIN(18,_xlfn.XLOOKUP($D1605&amp;"_"&amp;K$52,$B$14:$B$36&amp;"_"&amp;$C$14:$C$36,$D$14:$D$36)*$E1605)</f>
        <v>4.4324</v>
      </c>
      <c r="L1605" s="95" cm="1">
        <f ca="1" t="array" ref="L1605">MIN(6,_xlfn.XLOOKUP($D1605&amp;"_"&amp;L$52,$B$14:$B$36&amp;"_"&amp;$C$14:$C$36,$D$14:$D$36)*$E1605)</f>
        <v>6</v>
      </c>
      <c r="M1605" s="95" cm="1">
        <f ca="1" t="array" ref="M1605">(1+SUMPRODUCT(G1605:H1605,OFFSET($H$40:$I$40,D1605,0)))*(1+OFFSET($J$40,D1605,0))^I1605*(1+OFFSET($K$40,D1605,0))^J1605*(1+OFFSET($L$40,D1605,0))^K1605*(1+OFFSET($M$40,D1605,0))^L1605</f>
        <v>362.482953786221</v>
      </c>
      <c r="N1605" s="95">
        <f ca="1">MAX(MAX($N$53:N1604),OFFSET($C$52,MATCH(M1605*1.07,$M$53:$M$2052,1),0)-C1605)</f>
        <v>71640</v>
      </c>
    </row>
    <row r="1606" spans="2:14">
      <c r="B1606" s="95">
        <v>1554</v>
      </c>
      <c r="C1606" s="95">
        <f t="shared" si="123"/>
        <v>559440</v>
      </c>
      <c r="D1606" s="95">
        <f ca="1">_xlfn.XLOOKUP(总览!$B$44,$B$40:$B$45,$C$40:$C$45)</f>
        <v>5</v>
      </c>
      <c r="E1606" s="95">
        <f ca="1" t="shared" si="126"/>
        <v>1584</v>
      </c>
      <c r="F1606" s="95">
        <f ca="1" t="shared" si="124"/>
        <v>0</v>
      </c>
      <c r="G1606" s="95">
        <f ca="1" t="shared" si="125"/>
        <v>0</v>
      </c>
      <c r="H1606" s="95" cm="1">
        <f ca="1" t="array" ref="H1606">MIN(30-SUM(I1606:L1606),_xlfn.XLOOKUP($D1606&amp;"_"&amp;H$52,$B$14:$B$36&amp;"_"&amp;$C$14:$C$36,$D$14:$D$36)*$E1606,18)</f>
        <v>11.5648</v>
      </c>
      <c r="I1606" s="95" cm="1">
        <f ca="1" t="array" ref="I1606">MIN(30-SUM(J1606:L1606),6-L1606,_xlfn.XLOOKUP($D1606&amp;"_"&amp;I$52,$B$14:$B$36&amp;"_"&amp;$C$14:$C$36,$D$14:$D$36)*$E1606)</f>
        <v>0</v>
      </c>
      <c r="J1606" s="95" cm="1">
        <f ca="1" t="array" ref="J1606">MIN(8,_xlfn.XLOOKUP($D1606&amp;"_"&amp;J$52,$B$14:$B$36&amp;"_"&amp;$C$14:$C$36,$D$14:$D$36)*$E1606)</f>
        <v>8</v>
      </c>
      <c r="K1606" s="95" cm="1">
        <f ca="1" t="array" ref="K1606">MIN(18,_xlfn.XLOOKUP($D1606&amp;"_"&amp;K$52,$B$14:$B$36&amp;"_"&amp;$C$14:$C$36,$D$14:$D$36)*$E1606)</f>
        <v>4.4352</v>
      </c>
      <c r="L1606" s="95" cm="1">
        <f ca="1" t="array" ref="L1606">MIN(6,_xlfn.XLOOKUP($D1606&amp;"_"&amp;L$52,$B$14:$B$36&amp;"_"&amp;$C$14:$C$36,$D$14:$D$36)*$E1606)</f>
        <v>6</v>
      </c>
      <c r="M1606" s="95" cm="1">
        <f ca="1" t="array" ref="M1606">(1+SUMPRODUCT(G1606:H1606,OFFSET($H$40:$I$40,D1606,0)))*(1+OFFSET($J$40,D1606,0))^I1606*(1+OFFSET($K$40,D1606,0))^J1606*(1+OFFSET($L$40,D1606,0))^K1606*(1+OFFSET($M$40,D1606,0))^L1606</f>
        <v>362.60675615063</v>
      </c>
      <c r="N1606" s="95">
        <f ca="1">MAX(MAX($N$53:N1605),OFFSET($C$52,MATCH(M1606*1.07,$M$53:$M$2052,1),0)-C1606)</f>
        <v>71640</v>
      </c>
    </row>
    <row r="1607" spans="2:14">
      <c r="B1607" s="95">
        <v>1555</v>
      </c>
      <c r="C1607" s="95">
        <f t="shared" si="123"/>
        <v>559800</v>
      </c>
      <c r="D1607" s="95">
        <f ca="1">_xlfn.XLOOKUP(总览!$B$44,$B$40:$B$45,$C$40:$C$45)</f>
        <v>5</v>
      </c>
      <c r="E1607" s="95">
        <f ca="1" t="shared" si="126"/>
        <v>1585</v>
      </c>
      <c r="F1607" s="95">
        <f ca="1" t="shared" si="124"/>
        <v>0</v>
      </c>
      <c r="G1607" s="95">
        <f ca="1" t="shared" si="125"/>
        <v>0</v>
      </c>
      <c r="H1607" s="95" cm="1">
        <f ca="1" t="array" ref="H1607">MIN(30-SUM(I1607:L1607),_xlfn.XLOOKUP($D1607&amp;"_"&amp;H$52,$B$14:$B$36&amp;"_"&amp;$C$14:$C$36,$D$14:$D$36)*$E1607,18)</f>
        <v>11.562</v>
      </c>
      <c r="I1607" s="95" cm="1">
        <f ca="1" t="array" ref="I1607">MIN(30-SUM(J1607:L1607),6-L1607,_xlfn.XLOOKUP($D1607&amp;"_"&amp;I$52,$B$14:$B$36&amp;"_"&amp;$C$14:$C$36,$D$14:$D$36)*$E1607)</f>
        <v>0</v>
      </c>
      <c r="J1607" s="95" cm="1">
        <f ca="1" t="array" ref="J1607">MIN(8,_xlfn.XLOOKUP($D1607&amp;"_"&amp;J$52,$B$14:$B$36&amp;"_"&amp;$C$14:$C$36,$D$14:$D$36)*$E1607)</f>
        <v>8</v>
      </c>
      <c r="K1607" s="95" cm="1">
        <f ca="1" t="array" ref="K1607">MIN(18,_xlfn.XLOOKUP($D1607&amp;"_"&amp;K$52,$B$14:$B$36&amp;"_"&amp;$C$14:$C$36,$D$14:$D$36)*$E1607)</f>
        <v>4.438</v>
      </c>
      <c r="L1607" s="95" cm="1">
        <f ca="1" t="array" ref="L1607">MIN(6,_xlfn.XLOOKUP($D1607&amp;"_"&amp;L$52,$B$14:$B$36&amp;"_"&amp;$C$14:$C$36,$D$14:$D$36)*$E1607)</f>
        <v>6</v>
      </c>
      <c r="M1607" s="95" cm="1">
        <f ca="1" t="array" ref="M1607">(1+SUMPRODUCT(G1607:H1607,OFFSET($H$40:$I$40,D1607,0)))*(1+OFFSET($J$40,D1607,0))^I1607*(1+OFFSET($K$40,D1607,0))^J1607*(1+OFFSET($L$40,D1607,0))^K1607*(1+OFFSET($M$40,D1607,0))^L1607</f>
        <v>362.730590434465</v>
      </c>
      <c r="N1607" s="95">
        <f ca="1">MAX(MAX($N$53:N1606),OFFSET($C$52,MATCH(M1607*1.07,$M$53:$M$2052,1),0)-C1607)</f>
        <v>71640</v>
      </c>
    </row>
    <row r="1608" spans="2:14">
      <c r="B1608" s="95">
        <v>1556</v>
      </c>
      <c r="C1608" s="95">
        <f t="shared" si="123"/>
        <v>560160</v>
      </c>
      <c r="D1608" s="95">
        <f ca="1">_xlfn.XLOOKUP(总览!$B$44,$B$40:$B$45,$C$40:$C$45)</f>
        <v>5</v>
      </c>
      <c r="E1608" s="95">
        <f ca="1" t="shared" si="126"/>
        <v>1586</v>
      </c>
      <c r="F1608" s="95">
        <f ca="1" t="shared" si="124"/>
        <v>0</v>
      </c>
      <c r="G1608" s="95">
        <f ca="1" t="shared" si="125"/>
        <v>0</v>
      </c>
      <c r="H1608" s="95" cm="1">
        <f ca="1" t="array" ref="H1608">MIN(30-SUM(I1608:L1608),_xlfn.XLOOKUP($D1608&amp;"_"&amp;H$52,$B$14:$B$36&amp;"_"&amp;$C$14:$C$36,$D$14:$D$36)*$E1608,18)</f>
        <v>11.5592</v>
      </c>
      <c r="I1608" s="95" cm="1">
        <f ca="1" t="array" ref="I1608">MIN(30-SUM(J1608:L1608),6-L1608,_xlfn.XLOOKUP($D1608&amp;"_"&amp;I$52,$B$14:$B$36&amp;"_"&amp;$C$14:$C$36,$D$14:$D$36)*$E1608)</f>
        <v>0</v>
      </c>
      <c r="J1608" s="95" cm="1">
        <f ca="1" t="array" ref="J1608">MIN(8,_xlfn.XLOOKUP($D1608&amp;"_"&amp;J$52,$B$14:$B$36&amp;"_"&amp;$C$14:$C$36,$D$14:$D$36)*$E1608)</f>
        <v>8</v>
      </c>
      <c r="K1608" s="95" cm="1">
        <f ca="1" t="array" ref="K1608">MIN(18,_xlfn.XLOOKUP($D1608&amp;"_"&amp;K$52,$B$14:$B$36&amp;"_"&amp;$C$14:$C$36,$D$14:$D$36)*$E1608)</f>
        <v>4.4408</v>
      </c>
      <c r="L1608" s="95" cm="1">
        <f ca="1" t="array" ref="L1608">MIN(6,_xlfn.XLOOKUP($D1608&amp;"_"&amp;L$52,$B$14:$B$36&amp;"_"&amp;$C$14:$C$36,$D$14:$D$36)*$E1608)</f>
        <v>6</v>
      </c>
      <c r="M1608" s="95" cm="1">
        <f ca="1" t="array" ref="M1608">(1+SUMPRODUCT(G1608:H1608,OFFSET($H$40:$I$40,D1608,0)))*(1+OFFSET($J$40,D1608,0))^I1608*(1+OFFSET($K$40,D1608,0))^J1608*(1+OFFSET($L$40,D1608,0))^K1608*(1+OFFSET($M$40,D1608,0))^L1608</f>
        <v>362.854456638045</v>
      </c>
      <c r="N1608" s="95">
        <f ca="1">MAX(MAX($N$53:N1607),OFFSET($C$52,MATCH(M1608*1.07,$M$53:$M$2052,1),0)-C1608)</f>
        <v>71640</v>
      </c>
    </row>
    <row r="1609" spans="2:14">
      <c r="B1609" s="95">
        <v>1557</v>
      </c>
      <c r="C1609" s="95">
        <f t="shared" si="123"/>
        <v>560520</v>
      </c>
      <c r="D1609" s="95">
        <f ca="1">_xlfn.XLOOKUP(总览!$B$44,$B$40:$B$45,$C$40:$C$45)</f>
        <v>5</v>
      </c>
      <c r="E1609" s="95">
        <f ca="1" t="shared" si="126"/>
        <v>1587</v>
      </c>
      <c r="F1609" s="95">
        <f ca="1" t="shared" si="124"/>
        <v>0</v>
      </c>
      <c r="G1609" s="95">
        <f ca="1" t="shared" si="125"/>
        <v>0</v>
      </c>
      <c r="H1609" s="95" cm="1">
        <f ca="1" t="array" ref="H1609">MIN(30-SUM(I1609:L1609),_xlfn.XLOOKUP($D1609&amp;"_"&amp;H$52,$B$14:$B$36&amp;"_"&amp;$C$14:$C$36,$D$14:$D$36)*$E1609,18)</f>
        <v>11.5564</v>
      </c>
      <c r="I1609" s="95" cm="1">
        <f ca="1" t="array" ref="I1609">MIN(30-SUM(J1609:L1609),6-L1609,_xlfn.XLOOKUP($D1609&amp;"_"&amp;I$52,$B$14:$B$36&amp;"_"&amp;$C$14:$C$36,$D$14:$D$36)*$E1609)</f>
        <v>0</v>
      </c>
      <c r="J1609" s="95" cm="1">
        <f ca="1" t="array" ref="J1609">MIN(8,_xlfn.XLOOKUP($D1609&amp;"_"&amp;J$52,$B$14:$B$36&amp;"_"&amp;$C$14:$C$36,$D$14:$D$36)*$E1609)</f>
        <v>8</v>
      </c>
      <c r="K1609" s="95" cm="1">
        <f ca="1" t="array" ref="K1609">MIN(18,_xlfn.XLOOKUP($D1609&amp;"_"&amp;K$52,$B$14:$B$36&amp;"_"&amp;$C$14:$C$36,$D$14:$D$36)*$E1609)</f>
        <v>4.4436</v>
      </c>
      <c r="L1609" s="95" cm="1">
        <f ca="1" t="array" ref="L1609">MIN(6,_xlfn.XLOOKUP($D1609&amp;"_"&amp;L$52,$B$14:$B$36&amp;"_"&amp;$C$14:$C$36,$D$14:$D$36)*$E1609)</f>
        <v>6</v>
      </c>
      <c r="M1609" s="95" cm="1">
        <f ca="1" t="array" ref="M1609">(1+SUMPRODUCT(G1609:H1609,OFFSET($H$40:$I$40,D1609,0)))*(1+OFFSET($J$40,D1609,0))^I1609*(1+OFFSET($K$40,D1609,0))^J1609*(1+OFFSET($L$40,D1609,0))^K1609*(1+OFFSET($M$40,D1609,0))^L1609</f>
        <v>362.978354761679</v>
      </c>
      <c r="N1609" s="95">
        <f ca="1">MAX(MAX($N$53:N1608),OFFSET($C$52,MATCH(M1609*1.07,$M$53:$M$2052,1),0)-C1609)</f>
        <v>71640</v>
      </c>
    </row>
    <row r="1610" spans="2:14">
      <c r="B1610" s="95">
        <v>1558</v>
      </c>
      <c r="C1610" s="95">
        <f t="shared" si="123"/>
        <v>560880</v>
      </c>
      <c r="D1610" s="95">
        <f ca="1">_xlfn.XLOOKUP(总览!$B$44,$B$40:$B$45,$C$40:$C$45)</f>
        <v>5</v>
      </c>
      <c r="E1610" s="95">
        <f ca="1" t="shared" si="126"/>
        <v>1588</v>
      </c>
      <c r="F1610" s="95">
        <f ca="1" t="shared" si="124"/>
        <v>0</v>
      </c>
      <c r="G1610" s="95">
        <f ca="1" t="shared" si="125"/>
        <v>0</v>
      </c>
      <c r="H1610" s="95" cm="1">
        <f ca="1" t="array" ref="H1610">MIN(30-SUM(I1610:L1610),_xlfn.XLOOKUP($D1610&amp;"_"&amp;H$52,$B$14:$B$36&amp;"_"&amp;$C$14:$C$36,$D$14:$D$36)*$E1610,18)</f>
        <v>11.5536</v>
      </c>
      <c r="I1610" s="95" cm="1">
        <f ca="1" t="array" ref="I1610">MIN(30-SUM(J1610:L1610),6-L1610,_xlfn.XLOOKUP($D1610&amp;"_"&amp;I$52,$B$14:$B$36&amp;"_"&amp;$C$14:$C$36,$D$14:$D$36)*$E1610)</f>
        <v>0</v>
      </c>
      <c r="J1610" s="95" cm="1">
        <f ca="1" t="array" ref="J1610">MIN(8,_xlfn.XLOOKUP($D1610&amp;"_"&amp;J$52,$B$14:$B$36&amp;"_"&amp;$C$14:$C$36,$D$14:$D$36)*$E1610)</f>
        <v>8</v>
      </c>
      <c r="K1610" s="95" cm="1">
        <f ca="1" t="array" ref="K1610">MIN(18,_xlfn.XLOOKUP($D1610&amp;"_"&amp;K$52,$B$14:$B$36&amp;"_"&amp;$C$14:$C$36,$D$14:$D$36)*$E1610)</f>
        <v>4.4464</v>
      </c>
      <c r="L1610" s="95" cm="1">
        <f ca="1" t="array" ref="L1610">MIN(6,_xlfn.XLOOKUP($D1610&amp;"_"&amp;L$52,$B$14:$B$36&amp;"_"&amp;$C$14:$C$36,$D$14:$D$36)*$E1610)</f>
        <v>6</v>
      </c>
      <c r="M1610" s="95" cm="1">
        <f ca="1" t="array" ref="M1610">(1+SUMPRODUCT(G1610:H1610,OFFSET($H$40:$I$40,D1610,0)))*(1+OFFSET($J$40,D1610,0))^I1610*(1+OFFSET($K$40,D1610,0))^J1610*(1+OFFSET($L$40,D1610,0))^K1610*(1+OFFSET($M$40,D1610,0))^L1610</f>
        <v>363.102284805668</v>
      </c>
      <c r="N1610" s="95">
        <f ca="1">MAX(MAX($N$53:N1609),OFFSET($C$52,MATCH(M1610*1.07,$M$53:$M$2052,1),0)-C1610)</f>
        <v>71640</v>
      </c>
    </row>
    <row r="1611" spans="2:14">
      <c r="B1611" s="95">
        <v>1559</v>
      </c>
      <c r="C1611" s="95">
        <f t="shared" si="123"/>
        <v>561240</v>
      </c>
      <c r="D1611" s="95">
        <f ca="1">_xlfn.XLOOKUP(总览!$B$44,$B$40:$B$45,$C$40:$C$45)</f>
        <v>5</v>
      </c>
      <c r="E1611" s="95">
        <f ca="1" t="shared" si="126"/>
        <v>1589</v>
      </c>
      <c r="F1611" s="95">
        <f ca="1" t="shared" si="124"/>
        <v>0</v>
      </c>
      <c r="G1611" s="95">
        <f ca="1" t="shared" si="125"/>
        <v>0</v>
      </c>
      <c r="H1611" s="95" cm="1">
        <f ca="1" t="array" ref="H1611">MIN(30-SUM(I1611:L1611),_xlfn.XLOOKUP($D1611&amp;"_"&amp;H$52,$B$14:$B$36&amp;"_"&amp;$C$14:$C$36,$D$14:$D$36)*$E1611,18)</f>
        <v>11.5508</v>
      </c>
      <c r="I1611" s="95" cm="1">
        <f ca="1" t="array" ref="I1611">MIN(30-SUM(J1611:L1611),6-L1611,_xlfn.XLOOKUP($D1611&amp;"_"&amp;I$52,$B$14:$B$36&amp;"_"&amp;$C$14:$C$36,$D$14:$D$36)*$E1611)</f>
        <v>0</v>
      </c>
      <c r="J1611" s="95" cm="1">
        <f ca="1" t="array" ref="J1611">MIN(8,_xlfn.XLOOKUP($D1611&amp;"_"&amp;J$52,$B$14:$B$36&amp;"_"&amp;$C$14:$C$36,$D$14:$D$36)*$E1611)</f>
        <v>8</v>
      </c>
      <c r="K1611" s="95" cm="1">
        <f ca="1" t="array" ref="K1611">MIN(18,_xlfn.XLOOKUP($D1611&amp;"_"&amp;K$52,$B$14:$B$36&amp;"_"&amp;$C$14:$C$36,$D$14:$D$36)*$E1611)</f>
        <v>4.4492</v>
      </c>
      <c r="L1611" s="95" cm="1">
        <f ca="1" t="array" ref="L1611">MIN(6,_xlfn.XLOOKUP($D1611&amp;"_"&amp;L$52,$B$14:$B$36&amp;"_"&amp;$C$14:$C$36,$D$14:$D$36)*$E1611)</f>
        <v>6</v>
      </c>
      <c r="M1611" s="95" cm="1">
        <f ca="1" t="array" ref="M1611">(1+SUMPRODUCT(G1611:H1611,OFFSET($H$40:$I$40,D1611,0)))*(1+OFFSET($J$40,D1611,0))^I1611*(1+OFFSET($K$40,D1611,0))^J1611*(1+OFFSET($L$40,D1611,0))^K1611*(1+OFFSET($M$40,D1611,0))^L1611</f>
        <v>363.226246770305</v>
      </c>
      <c r="N1611" s="95">
        <f ca="1">MAX(MAX($N$53:N1610),OFFSET($C$52,MATCH(M1611*1.07,$M$53:$M$2052,1),0)-C1611)</f>
        <v>71640</v>
      </c>
    </row>
    <row r="1612" spans="2:14">
      <c r="B1612" s="95">
        <v>1560</v>
      </c>
      <c r="C1612" s="95">
        <f t="shared" si="123"/>
        <v>561600</v>
      </c>
      <c r="D1612" s="95">
        <f ca="1">_xlfn.XLOOKUP(总览!$B$44,$B$40:$B$45,$C$40:$C$45)</f>
        <v>5</v>
      </c>
      <c r="E1612" s="95">
        <f ca="1" t="shared" si="126"/>
        <v>1590</v>
      </c>
      <c r="F1612" s="95">
        <f ca="1" t="shared" si="124"/>
        <v>0</v>
      </c>
      <c r="G1612" s="95">
        <f ca="1" t="shared" si="125"/>
        <v>0</v>
      </c>
      <c r="H1612" s="95" cm="1">
        <f ca="1" t="array" ref="H1612">MIN(30-SUM(I1612:L1612),_xlfn.XLOOKUP($D1612&amp;"_"&amp;H$52,$B$14:$B$36&amp;"_"&amp;$C$14:$C$36,$D$14:$D$36)*$E1612,18)</f>
        <v>11.548</v>
      </c>
      <c r="I1612" s="95" cm="1">
        <f ca="1" t="array" ref="I1612">MIN(30-SUM(J1612:L1612),6-L1612,_xlfn.XLOOKUP($D1612&amp;"_"&amp;I$52,$B$14:$B$36&amp;"_"&amp;$C$14:$C$36,$D$14:$D$36)*$E1612)</f>
        <v>0</v>
      </c>
      <c r="J1612" s="95" cm="1">
        <f ca="1" t="array" ref="J1612">MIN(8,_xlfn.XLOOKUP($D1612&amp;"_"&amp;J$52,$B$14:$B$36&amp;"_"&amp;$C$14:$C$36,$D$14:$D$36)*$E1612)</f>
        <v>8</v>
      </c>
      <c r="K1612" s="95" cm="1">
        <f ca="1" t="array" ref="K1612">MIN(18,_xlfn.XLOOKUP($D1612&amp;"_"&amp;K$52,$B$14:$B$36&amp;"_"&amp;$C$14:$C$36,$D$14:$D$36)*$E1612)</f>
        <v>4.452</v>
      </c>
      <c r="L1612" s="95" cm="1">
        <f ca="1" t="array" ref="L1612">MIN(6,_xlfn.XLOOKUP($D1612&amp;"_"&amp;L$52,$B$14:$B$36&amp;"_"&amp;$C$14:$C$36,$D$14:$D$36)*$E1612)</f>
        <v>6</v>
      </c>
      <c r="M1612" s="95" cm="1">
        <f ca="1" t="array" ref="M1612">(1+SUMPRODUCT(G1612:H1612,OFFSET($H$40:$I$40,D1612,0)))*(1+OFFSET($J$40,D1612,0))^I1612*(1+OFFSET($K$40,D1612,0))^J1612*(1+OFFSET($L$40,D1612,0))^K1612*(1+OFFSET($M$40,D1612,0))^L1612</f>
        <v>363.350240655875</v>
      </c>
      <c r="N1612" s="95">
        <f ca="1">MAX(MAX($N$53:N1611),OFFSET($C$52,MATCH(M1612*1.07,$M$53:$M$2052,1),0)-C1612)</f>
        <v>71640</v>
      </c>
    </row>
    <row r="1613" spans="2:14">
      <c r="B1613" s="95">
        <v>1561</v>
      </c>
      <c r="C1613" s="95">
        <f t="shared" si="123"/>
        <v>561960</v>
      </c>
      <c r="D1613" s="95">
        <f ca="1">_xlfn.XLOOKUP(总览!$B$44,$B$40:$B$45,$C$40:$C$45)</f>
        <v>5</v>
      </c>
      <c r="E1613" s="95">
        <f ca="1" t="shared" si="126"/>
        <v>1591</v>
      </c>
      <c r="F1613" s="95">
        <f ca="1" t="shared" si="124"/>
        <v>0</v>
      </c>
      <c r="G1613" s="95">
        <f ca="1" t="shared" si="125"/>
        <v>0</v>
      </c>
      <c r="H1613" s="95" cm="1">
        <f ca="1" t="array" ref="H1613">MIN(30-SUM(I1613:L1613),_xlfn.XLOOKUP($D1613&amp;"_"&amp;H$52,$B$14:$B$36&amp;"_"&amp;$C$14:$C$36,$D$14:$D$36)*$E1613,18)</f>
        <v>11.5452</v>
      </c>
      <c r="I1613" s="95" cm="1">
        <f ca="1" t="array" ref="I1613">MIN(30-SUM(J1613:L1613),6-L1613,_xlfn.XLOOKUP($D1613&amp;"_"&amp;I$52,$B$14:$B$36&amp;"_"&amp;$C$14:$C$36,$D$14:$D$36)*$E1613)</f>
        <v>0</v>
      </c>
      <c r="J1613" s="95" cm="1">
        <f ca="1" t="array" ref="J1613">MIN(8,_xlfn.XLOOKUP($D1613&amp;"_"&amp;J$52,$B$14:$B$36&amp;"_"&amp;$C$14:$C$36,$D$14:$D$36)*$E1613)</f>
        <v>8</v>
      </c>
      <c r="K1613" s="95" cm="1">
        <f ca="1" t="array" ref="K1613">MIN(18,_xlfn.XLOOKUP($D1613&amp;"_"&amp;K$52,$B$14:$B$36&amp;"_"&amp;$C$14:$C$36,$D$14:$D$36)*$E1613)</f>
        <v>4.4548</v>
      </c>
      <c r="L1613" s="95" cm="1">
        <f ca="1" t="array" ref="L1613">MIN(6,_xlfn.XLOOKUP($D1613&amp;"_"&amp;L$52,$B$14:$B$36&amp;"_"&amp;$C$14:$C$36,$D$14:$D$36)*$E1613)</f>
        <v>6</v>
      </c>
      <c r="M1613" s="95" cm="1">
        <f ca="1" t="array" ref="M1613">(1+SUMPRODUCT(G1613:H1613,OFFSET($H$40:$I$40,D1613,0)))*(1+OFFSET($J$40,D1613,0))^I1613*(1+OFFSET($K$40,D1613,0))^J1613*(1+OFFSET($L$40,D1613,0))^K1613*(1+OFFSET($M$40,D1613,0))^L1613</f>
        <v>363.474266462657</v>
      </c>
      <c r="N1613" s="95">
        <f ca="1">MAX(MAX($N$53:N1612),OFFSET($C$52,MATCH(M1613*1.07,$M$53:$M$2052,1),0)-C1613)</f>
        <v>71640</v>
      </c>
    </row>
    <row r="1614" spans="2:14">
      <c r="B1614" s="95">
        <v>1562</v>
      </c>
      <c r="C1614" s="95">
        <f t="shared" si="123"/>
        <v>562320</v>
      </c>
      <c r="D1614" s="95">
        <f ca="1">_xlfn.XLOOKUP(总览!$B$44,$B$40:$B$45,$C$40:$C$45)</f>
        <v>5</v>
      </c>
      <c r="E1614" s="95">
        <f ca="1" t="shared" si="126"/>
        <v>1592</v>
      </c>
      <c r="F1614" s="95">
        <f ca="1" t="shared" si="124"/>
        <v>0</v>
      </c>
      <c r="G1614" s="95">
        <f ca="1" t="shared" si="125"/>
        <v>0</v>
      </c>
      <c r="H1614" s="95" cm="1">
        <f ca="1" t="array" ref="H1614">MIN(30-SUM(I1614:L1614),_xlfn.XLOOKUP($D1614&amp;"_"&amp;H$52,$B$14:$B$36&amp;"_"&amp;$C$14:$C$36,$D$14:$D$36)*$E1614,18)</f>
        <v>11.5424</v>
      </c>
      <c r="I1614" s="95" cm="1">
        <f ca="1" t="array" ref="I1614">MIN(30-SUM(J1614:L1614),6-L1614,_xlfn.XLOOKUP($D1614&amp;"_"&amp;I$52,$B$14:$B$36&amp;"_"&amp;$C$14:$C$36,$D$14:$D$36)*$E1614)</f>
        <v>0</v>
      </c>
      <c r="J1614" s="95" cm="1">
        <f ca="1" t="array" ref="J1614">MIN(8,_xlfn.XLOOKUP($D1614&amp;"_"&amp;J$52,$B$14:$B$36&amp;"_"&amp;$C$14:$C$36,$D$14:$D$36)*$E1614)</f>
        <v>8</v>
      </c>
      <c r="K1614" s="95" cm="1">
        <f ca="1" t="array" ref="K1614">MIN(18,_xlfn.XLOOKUP($D1614&amp;"_"&amp;K$52,$B$14:$B$36&amp;"_"&amp;$C$14:$C$36,$D$14:$D$36)*$E1614)</f>
        <v>4.4576</v>
      </c>
      <c r="L1614" s="95" cm="1">
        <f ca="1" t="array" ref="L1614">MIN(6,_xlfn.XLOOKUP($D1614&amp;"_"&amp;L$52,$B$14:$B$36&amp;"_"&amp;$C$14:$C$36,$D$14:$D$36)*$E1614)</f>
        <v>6</v>
      </c>
      <c r="M1614" s="95" cm="1">
        <f ca="1" t="array" ref="M1614">(1+SUMPRODUCT(G1614:H1614,OFFSET($H$40:$I$40,D1614,0)))*(1+OFFSET($J$40,D1614,0))^I1614*(1+OFFSET($K$40,D1614,0))^J1614*(1+OFFSET($L$40,D1614,0))^K1614*(1+OFFSET($M$40,D1614,0))^L1614</f>
        <v>363.598324190919</v>
      </c>
      <c r="N1614" s="95">
        <f ca="1">MAX(MAX($N$53:N1613),OFFSET($C$52,MATCH(M1614*1.07,$M$53:$M$2052,1),0)-C1614)</f>
        <v>71640</v>
      </c>
    </row>
    <row r="1615" spans="2:14">
      <c r="B1615" s="95">
        <v>1563</v>
      </c>
      <c r="C1615" s="95">
        <f t="shared" si="123"/>
        <v>562680</v>
      </c>
      <c r="D1615" s="95">
        <f ca="1">_xlfn.XLOOKUP(总览!$B$44,$B$40:$B$45,$C$40:$C$45)</f>
        <v>5</v>
      </c>
      <c r="E1615" s="95">
        <f ca="1" t="shared" si="126"/>
        <v>1593</v>
      </c>
      <c r="F1615" s="95">
        <f ca="1" t="shared" si="124"/>
        <v>0</v>
      </c>
      <c r="G1615" s="95">
        <f ca="1" t="shared" si="125"/>
        <v>0</v>
      </c>
      <c r="H1615" s="95" cm="1">
        <f ca="1" t="array" ref="H1615">MIN(30-SUM(I1615:L1615),_xlfn.XLOOKUP($D1615&amp;"_"&amp;H$52,$B$14:$B$36&amp;"_"&amp;$C$14:$C$36,$D$14:$D$36)*$E1615,18)</f>
        <v>11.5396</v>
      </c>
      <c r="I1615" s="95" cm="1">
        <f ca="1" t="array" ref="I1615">MIN(30-SUM(J1615:L1615),6-L1615,_xlfn.XLOOKUP($D1615&amp;"_"&amp;I$52,$B$14:$B$36&amp;"_"&amp;$C$14:$C$36,$D$14:$D$36)*$E1615)</f>
        <v>0</v>
      </c>
      <c r="J1615" s="95" cm="1">
        <f ca="1" t="array" ref="J1615">MIN(8,_xlfn.XLOOKUP($D1615&amp;"_"&amp;J$52,$B$14:$B$36&amp;"_"&amp;$C$14:$C$36,$D$14:$D$36)*$E1615)</f>
        <v>8</v>
      </c>
      <c r="K1615" s="95" cm="1">
        <f ca="1" t="array" ref="K1615">MIN(18,_xlfn.XLOOKUP($D1615&amp;"_"&amp;K$52,$B$14:$B$36&amp;"_"&amp;$C$14:$C$36,$D$14:$D$36)*$E1615)</f>
        <v>4.4604</v>
      </c>
      <c r="L1615" s="95" cm="1">
        <f ca="1" t="array" ref="L1615">MIN(6,_xlfn.XLOOKUP($D1615&amp;"_"&amp;L$52,$B$14:$B$36&amp;"_"&amp;$C$14:$C$36,$D$14:$D$36)*$E1615)</f>
        <v>6</v>
      </c>
      <c r="M1615" s="95" cm="1">
        <f ca="1" t="array" ref="M1615">(1+SUMPRODUCT(G1615:H1615,OFFSET($H$40:$I$40,D1615,0)))*(1+OFFSET($J$40,D1615,0))^I1615*(1+OFFSET($K$40,D1615,0))^J1615*(1+OFFSET($L$40,D1615,0))^K1615*(1+OFFSET($M$40,D1615,0))^L1615</f>
        <v>363.722413840923</v>
      </c>
      <c r="N1615" s="95">
        <f ca="1">MAX(MAX($N$53:N1614),OFFSET($C$52,MATCH(M1615*1.07,$M$53:$M$2052,1),0)-C1615)</f>
        <v>72000</v>
      </c>
    </row>
    <row r="1616" spans="2:14">
      <c r="B1616" s="95">
        <v>1564</v>
      </c>
      <c r="C1616" s="95">
        <f t="shared" si="123"/>
        <v>563040</v>
      </c>
      <c r="D1616" s="95">
        <f ca="1">_xlfn.XLOOKUP(总览!$B$44,$B$40:$B$45,$C$40:$C$45)</f>
        <v>5</v>
      </c>
      <c r="E1616" s="95">
        <f ca="1" t="shared" si="126"/>
        <v>1594</v>
      </c>
      <c r="F1616" s="95">
        <f ca="1" t="shared" si="124"/>
        <v>0</v>
      </c>
      <c r="G1616" s="95">
        <f ca="1" t="shared" si="125"/>
        <v>0</v>
      </c>
      <c r="H1616" s="95" cm="1">
        <f ca="1" t="array" ref="H1616">MIN(30-SUM(I1616:L1616),_xlfn.XLOOKUP($D1616&amp;"_"&amp;H$52,$B$14:$B$36&amp;"_"&amp;$C$14:$C$36,$D$14:$D$36)*$E1616,18)</f>
        <v>11.5368</v>
      </c>
      <c r="I1616" s="95" cm="1">
        <f ca="1" t="array" ref="I1616">MIN(30-SUM(J1616:L1616),6-L1616,_xlfn.XLOOKUP($D1616&amp;"_"&amp;I$52,$B$14:$B$36&amp;"_"&amp;$C$14:$C$36,$D$14:$D$36)*$E1616)</f>
        <v>0</v>
      </c>
      <c r="J1616" s="95" cm="1">
        <f ca="1" t="array" ref="J1616">MIN(8,_xlfn.XLOOKUP($D1616&amp;"_"&amp;J$52,$B$14:$B$36&amp;"_"&amp;$C$14:$C$36,$D$14:$D$36)*$E1616)</f>
        <v>8</v>
      </c>
      <c r="K1616" s="95" cm="1">
        <f ca="1" t="array" ref="K1616">MIN(18,_xlfn.XLOOKUP($D1616&amp;"_"&amp;K$52,$B$14:$B$36&amp;"_"&amp;$C$14:$C$36,$D$14:$D$36)*$E1616)</f>
        <v>4.4632</v>
      </c>
      <c r="L1616" s="95" cm="1">
        <f ca="1" t="array" ref="L1616">MIN(6,_xlfn.XLOOKUP($D1616&amp;"_"&amp;L$52,$B$14:$B$36&amp;"_"&amp;$C$14:$C$36,$D$14:$D$36)*$E1616)</f>
        <v>6</v>
      </c>
      <c r="M1616" s="95" cm="1">
        <f ca="1" t="array" ref="M1616">(1+SUMPRODUCT(G1616:H1616,OFFSET($H$40:$I$40,D1616,0)))*(1+OFFSET($J$40,D1616,0))^I1616*(1+OFFSET($K$40,D1616,0))^J1616*(1+OFFSET($L$40,D1616,0))^K1616*(1+OFFSET($M$40,D1616,0))^L1616</f>
        <v>363.846535412921</v>
      </c>
      <c r="N1616" s="95">
        <f ca="1">MAX(MAX($N$53:N1615),OFFSET($C$52,MATCH(M1616*1.07,$M$53:$M$2052,1),0)-C1616)</f>
        <v>72000</v>
      </c>
    </row>
    <row r="1617" spans="2:14">
      <c r="B1617" s="95">
        <v>1565</v>
      </c>
      <c r="C1617" s="95">
        <f t="shared" si="123"/>
        <v>563400</v>
      </c>
      <c r="D1617" s="95">
        <f ca="1">_xlfn.XLOOKUP(总览!$B$44,$B$40:$B$45,$C$40:$C$45)</f>
        <v>5</v>
      </c>
      <c r="E1617" s="95">
        <f ca="1" t="shared" si="126"/>
        <v>1595</v>
      </c>
      <c r="F1617" s="95">
        <f ca="1" t="shared" si="124"/>
        <v>0</v>
      </c>
      <c r="G1617" s="95">
        <f ca="1" t="shared" si="125"/>
        <v>0</v>
      </c>
      <c r="H1617" s="95" cm="1">
        <f ca="1" t="array" ref="H1617">MIN(30-SUM(I1617:L1617),_xlfn.XLOOKUP($D1617&amp;"_"&amp;H$52,$B$14:$B$36&amp;"_"&amp;$C$14:$C$36,$D$14:$D$36)*$E1617,18)</f>
        <v>11.534</v>
      </c>
      <c r="I1617" s="95" cm="1">
        <f ca="1" t="array" ref="I1617">MIN(30-SUM(J1617:L1617),6-L1617,_xlfn.XLOOKUP($D1617&amp;"_"&amp;I$52,$B$14:$B$36&amp;"_"&amp;$C$14:$C$36,$D$14:$D$36)*$E1617)</f>
        <v>0</v>
      </c>
      <c r="J1617" s="95" cm="1">
        <f ca="1" t="array" ref="J1617">MIN(8,_xlfn.XLOOKUP($D1617&amp;"_"&amp;J$52,$B$14:$B$36&amp;"_"&amp;$C$14:$C$36,$D$14:$D$36)*$E1617)</f>
        <v>8</v>
      </c>
      <c r="K1617" s="95" cm="1">
        <f ca="1" t="array" ref="K1617">MIN(18,_xlfn.XLOOKUP($D1617&amp;"_"&amp;K$52,$B$14:$B$36&amp;"_"&amp;$C$14:$C$36,$D$14:$D$36)*$E1617)</f>
        <v>4.466</v>
      </c>
      <c r="L1617" s="95" cm="1">
        <f ca="1" t="array" ref="L1617">MIN(6,_xlfn.XLOOKUP($D1617&amp;"_"&amp;L$52,$B$14:$B$36&amp;"_"&amp;$C$14:$C$36,$D$14:$D$36)*$E1617)</f>
        <v>6</v>
      </c>
      <c r="M1617" s="95" cm="1">
        <f ca="1" t="array" ref="M1617">(1+SUMPRODUCT(G1617:H1617,OFFSET($H$40:$I$40,D1617,0)))*(1+OFFSET($J$40,D1617,0))^I1617*(1+OFFSET($K$40,D1617,0))^J1617*(1+OFFSET($L$40,D1617,0))^K1617*(1+OFFSET($M$40,D1617,0))^L1617</f>
        <v>363.970688907159</v>
      </c>
      <c r="N1617" s="95">
        <f ca="1">MAX(MAX($N$53:N1616),OFFSET($C$52,MATCH(M1617*1.07,$M$53:$M$2052,1),0)-C1617)</f>
        <v>72000</v>
      </c>
    </row>
    <row r="1618" spans="2:14">
      <c r="B1618" s="95">
        <v>1566</v>
      </c>
      <c r="C1618" s="95">
        <f t="shared" si="123"/>
        <v>563760</v>
      </c>
      <c r="D1618" s="95">
        <f ca="1">_xlfn.XLOOKUP(总览!$B$44,$B$40:$B$45,$C$40:$C$45)</f>
        <v>5</v>
      </c>
      <c r="E1618" s="95">
        <f ca="1" t="shared" si="126"/>
        <v>1596</v>
      </c>
      <c r="F1618" s="95">
        <f ca="1" t="shared" si="124"/>
        <v>0</v>
      </c>
      <c r="G1618" s="95">
        <f ca="1" t="shared" si="125"/>
        <v>0</v>
      </c>
      <c r="H1618" s="95" cm="1">
        <f ca="1" t="array" ref="H1618">MIN(30-SUM(I1618:L1618),_xlfn.XLOOKUP($D1618&amp;"_"&amp;H$52,$B$14:$B$36&amp;"_"&amp;$C$14:$C$36,$D$14:$D$36)*$E1618,18)</f>
        <v>11.5312</v>
      </c>
      <c r="I1618" s="95" cm="1">
        <f ca="1" t="array" ref="I1618">MIN(30-SUM(J1618:L1618),6-L1618,_xlfn.XLOOKUP($D1618&amp;"_"&amp;I$52,$B$14:$B$36&amp;"_"&amp;$C$14:$C$36,$D$14:$D$36)*$E1618)</f>
        <v>0</v>
      </c>
      <c r="J1618" s="95" cm="1">
        <f ca="1" t="array" ref="J1618">MIN(8,_xlfn.XLOOKUP($D1618&amp;"_"&amp;J$52,$B$14:$B$36&amp;"_"&amp;$C$14:$C$36,$D$14:$D$36)*$E1618)</f>
        <v>8</v>
      </c>
      <c r="K1618" s="95" cm="1">
        <f ca="1" t="array" ref="K1618">MIN(18,_xlfn.XLOOKUP($D1618&amp;"_"&amp;K$52,$B$14:$B$36&amp;"_"&amp;$C$14:$C$36,$D$14:$D$36)*$E1618)</f>
        <v>4.4688</v>
      </c>
      <c r="L1618" s="95" cm="1">
        <f ca="1" t="array" ref="L1618">MIN(6,_xlfn.XLOOKUP($D1618&amp;"_"&amp;L$52,$B$14:$B$36&amp;"_"&amp;$C$14:$C$36,$D$14:$D$36)*$E1618)</f>
        <v>6</v>
      </c>
      <c r="M1618" s="95" cm="1">
        <f ca="1" t="array" ref="M1618">(1+SUMPRODUCT(G1618:H1618,OFFSET($H$40:$I$40,D1618,0)))*(1+OFFSET($J$40,D1618,0))^I1618*(1+OFFSET($K$40,D1618,0))^J1618*(1+OFFSET($L$40,D1618,0))^K1618*(1+OFFSET($M$40,D1618,0))^L1618</f>
        <v>364.094874323874</v>
      </c>
      <c r="N1618" s="95">
        <f ca="1">MAX(MAX($N$53:N1617),OFFSET($C$52,MATCH(M1618*1.07,$M$53:$M$2052,1),0)-C1618)</f>
        <v>72000</v>
      </c>
    </row>
    <row r="1619" spans="2:14">
      <c r="B1619" s="95">
        <v>1567</v>
      </c>
      <c r="C1619" s="95">
        <f t="shared" si="123"/>
        <v>564120</v>
      </c>
      <c r="D1619" s="95">
        <f ca="1">_xlfn.XLOOKUP(总览!$B$44,$B$40:$B$45,$C$40:$C$45)</f>
        <v>5</v>
      </c>
      <c r="E1619" s="95">
        <f ca="1" t="shared" si="126"/>
        <v>1597</v>
      </c>
      <c r="F1619" s="95">
        <f ca="1" t="shared" si="124"/>
        <v>0</v>
      </c>
      <c r="G1619" s="95">
        <f ca="1" t="shared" si="125"/>
        <v>0</v>
      </c>
      <c r="H1619" s="95" cm="1">
        <f ca="1" t="array" ref="H1619">MIN(30-SUM(I1619:L1619),_xlfn.XLOOKUP($D1619&amp;"_"&amp;H$52,$B$14:$B$36&amp;"_"&amp;$C$14:$C$36,$D$14:$D$36)*$E1619,18)</f>
        <v>11.5284</v>
      </c>
      <c r="I1619" s="95" cm="1">
        <f ca="1" t="array" ref="I1619">MIN(30-SUM(J1619:L1619),6-L1619,_xlfn.XLOOKUP($D1619&amp;"_"&amp;I$52,$B$14:$B$36&amp;"_"&amp;$C$14:$C$36,$D$14:$D$36)*$E1619)</f>
        <v>0</v>
      </c>
      <c r="J1619" s="95" cm="1">
        <f ca="1" t="array" ref="J1619">MIN(8,_xlfn.XLOOKUP($D1619&amp;"_"&amp;J$52,$B$14:$B$36&amp;"_"&amp;$C$14:$C$36,$D$14:$D$36)*$E1619)</f>
        <v>8</v>
      </c>
      <c r="K1619" s="95" cm="1">
        <f ca="1" t="array" ref="K1619">MIN(18,_xlfn.XLOOKUP($D1619&amp;"_"&amp;K$52,$B$14:$B$36&amp;"_"&amp;$C$14:$C$36,$D$14:$D$36)*$E1619)</f>
        <v>4.4716</v>
      </c>
      <c r="L1619" s="95" cm="1">
        <f ca="1" t="array" ref="L1619">MIN(6,_xlfn.XLOOKUP($D1619&amp;"_"&amp;L$52,$B$14:$B$36&amp;"_"&amp;$C$14:$C$36,$D$14:$D$36)*$E1619)</f>
        <v>6</v>
      </c>
      <c r="M1619" s="95" cm="1">
        <f ca="1" t="array" ref="M1619">(1+SUMPRODUCT(G1619:H1619,OFFSET($H$40:$I$40,D1619,0)))*(1+OFFSET($J$40,D1619,0))^I1619*(1+OFFSET($K$40,D1619,0))^J1619*(1+OFFSET($L$40,D1619,0))^K1619*(1+OFFSET($M$40,D1619,0))^L1619</f>
        <v>364.219091663295</v>
      </c>
      <c r="N1619" s="95">
        <f ca="1">MAX(MAX($N$53:N1618),OFFSET($C$52,MATCH(M1619*1.07,$M$53:$M$2052,1),0)-C1619)</f>
        <v>72000</v>
      </c>
    </row>
    <row r="1620" spans="2:14">
      <c r="B1620" s="95">
        <v>1568</v>
      </c>
      <c r="C1620" s="95">
        <f t="shared" si="123"/>
        <v>564480</v>
      </c>
      <c r="D1620" s="95">
        <f ca="1">_xlfn.XLOOKUP(总览!$B$44,$B$40:$B$45,$C$40:$C$45)</f>
        <v>5</v>
      </c>
      <c r="E1620" s="95">
        <f ca="1" t="shared" si="126"/>
        <v>1598</v>
      </c>
      <c r="F1620" s="95">
        <f ca="1" t="shared" si="124"/>
        <v>0</v>
      </c>
      <c r="G1620" s="95">
        <f ca="1" t="shared" si="125"/>
        <v>0</v>
      </c>
      <c r="H1620" s="95" cm="1">
        <f ca="1" t="array" ref="H1620">MIN(30-SUM(I1620:L1620),_xlfn.XLOOKUP($D1620&amp;"_"&amp;H$52,$B$14:$B$36&amp;"_"&amp;$C$14:$C$36,$D$14:$D$36)*$E1620,18)</f>
        <v>11.5256</v>
      </c>
      <c r="I1620" s="95" cm="1">
        <f ca="1" t="array" ref="I1620">MIN(30-SUM(J1620:L1620),6-L1620,_xlfn.XLOOKUP($D1620&amp;"_"&amp;I$52,$B$14:$B$36&amp;"_"&amp;$C$14:$C$36,$D$14:$D$36)*$E1620)</f>
        <v>0</v>
      </c>
      <c r="J1620" s="95" cm="1">
        <f ca="1" t="array" ref="J1620">MIN(8,_xlfn.XLOOKUP($D1620&amp;"_"&amp;J$52,$B$14:$B$36&amp;"_"&amp;$C$14:$C$36,$D$14:$D$36)*$E1620)</f>
        <v>8</v>
      </c>
      <c r="K1620" s="95" cm="1">
        <f ca="1" t="array" ref="K1620">MIN(18,_xlfn.XLOOKUP($D1620&amp;"_"&amp;K$52,$B$14:$B$36&amp;"_"&amp;$C$14:$C$36,$D$14:$D$36)*$E1620)</f>
        <v>4.4744</v>
      </c>
      <c r="L1620" s="95" cm="1">
        <f ca="1" t="array" ref="L1620">MIN(6,_xlfn.XLOOKUP($D1620&amp;"_"&amp;L$52,$B$14:$B$36&amp;"_"&amp;$C$14:$C$36,$D$14:$D$36)*$E1620)</f>
        <v>6</v>
      </c>
      <c r="M1620" s="95" cm="1">
        <f ca="1" t="array" ref="M1620">(1+SUMPRODUCT(G1620:H1620,OFFSET($H$40:$I$40,D1620,0)))*(1+OFFSET($J$40,D1620,0))^I1620*(1+OFFSET($K$40,D1620,0))^J1620*(1+OFFSET($L$40,D1620,0))^K1620*(1+OFFSET($M$40,D1620,0))^L1620</f>
        <v>364.343340925642</v>
      </c>
      <c r="N1620" s="95">
        <f ca="1">MAX(MAX($N$53:N1619),OFFSET($C$52,MATCH(M1620*1.07,$M$53:$M$2052,1),0)-C1620)</f>
        <v>72000</v>
      </c>
    </row>
    <row r="1621" spans="2:14">
      <c r="B1621" s="95">
        <v>1569</v>
      </c>
      <c r="C1621" s="95">
        <f t="shared" si="123"/>
        <v>564840</v>
      </c>
      <c r="D1621" s="95">
        <f ca="1">_xlfn.XLOOKUP(总览!$B$44,$B$40:$B$45,$C$40:$C$45)</f>
        <v>5</v>
      </c>
      <c r="E1621" s="95">
        <f ca="1" t="shared" si="126"/>
        <v>1599</v>
      </c>
      <c r="F1621" s="95">
        <f ca="1" t="shared" si="124"/>
        <v>0</v>
      </c>
      <c r="G1621" s="95">
        <f ca="1" t="shared" si="125"/>
        <v>0</v>
      </c>
      <c r="H1621" s="95" cm="1">
        <f ca="1" t="array" ref="H1621">MIN(30-SUM(I1621:L1621),_xlfn.XLOOKUP($D1621&amp;"_"&amp;H$52,$B$14:$B$36&amp;"_"&amp;$C$14:$C$36,$D$14:$D$36)*$E1621,18)</f>
        <v>11.5228</v>
      </c>
      <c r="I1621" s="95" cm="1">
        <f ca="1" t="array" ref="I1621">MIN(30-SUM(J1621:L1621),6-L1621,_xlfn.XLOOKUP($D1621&amp;"_"&amp;I$52,$B$14:$B$36&amp;"_"&amp;$C$14:$C$36,$D$14:$D$36)*$E1621)</f>
        <v>0</v>
      </c>
      <c r="J1621" s="95" cm="1">
        <f ca="1" t="array" ref="J1621">MIN(8,_xlfn.XLOOKUP($D1621&amp;"_"&amp;J$52,$B$14:$B$36&amp;"_"&amp;$C$14:$C$36,$D$14:$D$36)*$E1621)</f>
        <v>8</v>
      </c>
      <c r="K1621" s="95" cm="1">
        <f ca="1" t="array" ref="K1621">MIN(18,_xlfn.XLOOKUP($D1621&amp;"_"&amp;K$52,$B$14:$B$36&amp;"_"&amp;$C$14:$C$36,$D$14:$D$36)*$E1621)</f>
        <v>4.4772</v>
      </c>
      <c r="L1621" s="95" cm="1">
        <f ca="1" t="array" ref="L1621">MIN(6,_xlfn.XLOOKUP($D1621&amp;"_"&amp;L$52,$B$14:$B$36&amp;"_"&amp;$C$14:$C$36,$D$14:$D$36)*$E1621)</f>
        <v>6</v>
      </c>
      <c r="M1621" s="95" cm="1">
        <f ca="1" t="array" ref="M1621">(1+SUMPRODUCT(G1621:H1621,OFFSET($H$40:$I$40,D1621,0)))*(1+OFFSET($J$40,D1621,0))^I1621*(1+OFFSET($K$40,D1621,0))^J1621*(1+OFFSET($L$40,D1621,0))^K1621*(1+OFFSET($M$40,D1621,0))^L1621</f>
        <v>364.467622111129</v>
      </c>
      <c r="N1621" s="95">
        <f ca="1">MAX(MAX($N$53:N1620),OFFSET($C$52,MATCH(M1621*1.07,$M$53:$M$2052,1),0)-C1621)</f>
        <v>72000</v>
      </c>
    </row>
    <row r="1622" spans="2:14">
      <c r="B1622" s="95">
        <v>1570</v>
      </c>
      <c r="C1622" s="95">
        <f t="shared" si="123"/>
        <v>565200</v>
      </c>
      <c r="D1622" s="95">
        <f ca="1">_xlfn.XLOOKUP(总览!$B$44,$B$40:$B$45,$C$40:$C$45)</f>
        <v>5</v>
      </c>
      <c r="E1622" s="95">
        <f ca="1" t="shared" si="126"/>
        <v>1600</v>
      </c>
      <c r="F1622" s="95">
        <f ca="1" t="shared" si="124"/>
        <v>0</v>
      </c>
      <c r="G1622" s="95">
        <f ca="1" t="shared" si="125"/>
        <v>0</v>
      </c>
      <c r="H1622" s="95" cm="1">
        <f ca="1" t="array" ref="H1622">MIN(30-SUM(I1622:L1622),_xlfn.XLOOKUP($D1622&amp;"_"&amp;H$52,$B$14:$B$36&amp;"_"&amp;$C$14:$C$36,$D$14:$D$36)*$E1622,18)</f>
        <v>11.52</v>
      </c>
      <c r="I1622" s="95" cm="1">
        <f ca="1" t="array" ref="I1622">MIN(30-SUM(J1622:L1622),6-L1622,_xlfn.XLOOKUP($D1622&amp;"_"&amp;I$52,$B$14:$B$36&amp;"_"&amp;$C$14:$C$36,$D$14:$D$36)*$E1622)</f>
        <v>0</v>
      </c>
      <c r="J1622" s="95" cm="1">
        <f ca="1" t="array" ref="J1622">MIN(8,_xlfn.XLOOKUP($D1622&amp;"_"&amp;J$52,$B$14:$B$36&amp;"_"&amp;$C$14:$C$36,$D$14:$D$36)*$E1622)</f>
        <v>8</v>
      </c>
      <c r="K1622" s="95" cm="1">
        <f ca="1" t="array" ref="K1622">MIN(18,_xlfn.XLOOKUP($D1622&amp;"_"&amp;K$52,$B$14:$B$36&amp;"_"&amp;$C$14:$C$36,$D$14:$D$36)*$E1622)</f>
        <v>4.48</v>
      </c>
      <c r="L1622" s="95" cm="1">
        <f ca="1" t="array" ref="L1622">MIN(6,_xlfn.XLOOKUP($D1622&amp;"_"&amp;L$52,$B$14:$B$36&amp;"_"&amp;$C$14:$C$36,$D$14:$D$36)*$E1622)</f>
        <v>6</v>
      </c>
      <c r="M1622" s="95" cm="1">
        <f ca="1" t="array" ref="M1622">(1+SUMPRODUCT(G1622:H1622,OFFSET($H$40:$I$40,D1622,0)))*(1+OFFSET($J$40,D1622,0))^I1622*(1+OFFSET($K$40,D1622,0))^J1622*(1+OFFSET($L$40,D1622,0))^K1622*(1+OFFSET($M$40,D1622,0))^L1622</f>
        <v>364.59193521996</v>
      </c>
      <c r="N1622" s="95">
        <f ca="1">MAX(MAX($N$53:N1621),OFFSET($C$52,MATCH(M1622*1.07,$M$53:$M$2052,1),0)-C1622)</f>
        <v>72000</v>
      </c>
    </row>
    <row r="1623" spans="2:14">
      <c r="B1623" s="95">
        <v>1571</v>
      </c>
      <c r="C1623" s="95">
        <f t="shared" si="123"/>
        <v>565560</v>
      </c>
      <c r="D1623" s="95">
        <f ca="1">_xlfn.XLOOKUP(总览!$B$44,$B$40:$B$45,$C$40:$C$45)</f>
        <v>5</v>
      </c>
      <c r="E1623" s="95">
        <f ca="1" t="shared" si="126"/>
        <v>1601</v>
      </c>
      <c r="F1623" s="95">
        <f ca="1" t="shared" si="124"/>
        <v>0</v>
      </c>
      <c r="G1623" s="95">
        <f ca="1" t="shared" si="125"/>
        <v>0</v>
      </c>
      <c r="H1623" s="95" cm="1">
        <f ca="1" t="array" ref="H1623">MIN(30-SUM(I1623:L1623),_xlfn.XLOOKUP($D1623&amp;"_"&amp;H$52,$B$14:$B$36&amp;"_"&amp;$C$14:$C$36,$D$14:$D$36)*$E1623,18)</f>
        <v>11.5172</v>
      </c>
      <c r="I1623" s="95" cm="1">
        <f ca="1" t="array" ref="I1623">MIN(30-SUM(J1623:L1623),6-L1623,_xlfn.XLOOKUP($D1623&amp;"_"&amp;I$52,$B$14:$B$36&amp;"_"&amp;$C$14:$C$36,$D$14:$D$36)*$E1623)</f>
        <v>0</v>
      </c>
      <c r="J1623" s="95" cm="1">
        <f ca="1" t="array" ref="J1623">MIN(8,_xlfn.XLOOKUP($D1623&amp;"_"&amp;J$52,$B$14:$B$36&amp;"_"&amp;$C$14:$C$36,$D$14:$D$36)*$E1623)</f>
        <v>8</v>
      </c>
      <c r="K1623" s="95" cm="1">
        <f ca="1" t="array" ref="K1623">MIN(18,_xlfn.XLOOKUP($D1623&amp;"_"&amp;K$52,$B$14:$B$36&amp;"_"&amp;$C$14:$C$36,$D$14:$D$36)*$E1623)</f>
        <v>4.4828</v>
      </c>
      <c r="L1623" s="95" cm="1">
        <f ca="1" t="array" ref="L1623">MIN(6,_xlfn.XLOOKUP($D1623&amp;"_"&amp;L$52,$B$14:$B$36&amp;"_"&amp;$C$14:$C$36,$D$14:$D$36)*$E1623)</f>
        <v>6</v>
      </c>
      <c r="M1623" s="95" cm="1">
        <f ca="1" t="array" ref="M1623">(1+SUMPRODUCT(G1623:H1623,OFFSET($H$40:$I$40,D1623,0)))*(1+OFFSET($J$40,D1623,0))^I1623*(1+OFFSET($K$40,D1623,0))^J1623*(1+OFFSET($L$40,D1623,0))^K1623*(1+OFFSET($M$40,D1623,0))^L1623</f>
        <v>364.716280252331</v>
      </c>
      <c r="N1623" s="95">
        <f ca="1">MAX(MAX($N$53:N1622),OFFSET($C$52,MATCH(M1623*1.07,$M$53:$M$2052,1),0)-C1623)</f>
        <v>72000</v>
      </c>
    </row>
    <row r="1624" spans="2:14">
      <c r="B1624" s="95">
        <v>1572</v>
      </c>
      <c r="C1624" s="95">
        <f t="shared" si="123"/>
        <v>565920</v>
      </c>
      <c r="D1624" s="95">
        <f ca="1">_xlfn.XLOOKUP(总览!$B$44,$B$40:$B$45,$C$40:$C$45)</f>
        <v>5</v>
      </c>
      <c r="E1624" s="95">
        <f ca="1" t="shared" si="126"/>
        <v>1602</v>
      </c>
      <c r="F1624" s="95">
        <f ca="1" t="shared" si="124"/>
        <v>0</v>
      </c>
      <c r="G1624" s="95">
        <f ca="1" t="shared" si="125"/>
        <v>0</v>
      </c>
      <c r="H1624" s="95" cm="1">
        <f ca="1" t="array" ref="H1624">MIN(30-SUM(I1624:L1624),_xlfn.XLOOKUP($D1624&amp;"_"&amp;H$52,$B$14:$B$36&amp;"_"&amp;$C$14:$C$36,$D$14:$D$36)*$E1624,18)</f>
        <v>11.5144</v>
      </c>
      <c r="I1624" s="95" cm="1">
        <f ca="1" t="array" ref="I1624">MIN(30-SUM(J1624:L1624),6-L1624,_xlfn.XLOOKUP($D1624&amp;"_"&amp;I$52,$B$14:$B$36&amp;"_"&amp;$C$14:$C$36,$D$14:$D$36)*$E1624)</f>
        <v>0</v>
      </c>
      <c r="J1624" s="95" cm="1">
        <f ca="1" t="array" ref="J1624">MIN(8,_xlfn.XLOOKUP($D1624&amp;"_"&amp;J$52,$B$14:$B$36&amp;"_"&amp;$C$14:$C$36,$D$14:$D$36)*$E1624)</f>
        <v>8</v>
      </c>
      <c r="K1624" s="95" cm="1">
        <f ca="1" t="array" ref="K1624">MIN(18,_xlfn.XLOOKUP($D1624&amp;"_"&amp;K$52,$B$14:$B$36&amp;"_"&amp;$C$14:$C$36,$D$14:$D$36)*$E1624)</f>
        <v>4.4856</v>
      </c>
      <c r="L1624" s="95" cm="1">
        <f ca="1" t="array" ref="L1624">MIN(6,_xlfn.XLOOKUP($D1624&amp;"_"&amp;L$52,$B$14:$B$36&amp;"_"&amp;$C$14:$C$36,$D$14:$D$36)*$E1624)</f>
        <v>6</v>
      </c>
      <c r="M1624" s="95" cm="1">
        <f ca="1" t="array" ref="M1624">(1+SUMPRODUCT(G1624:H1624,OFFSET($H$40:$I$40,D1624,0)))*(1+OFFSET($J$40,D1624,0))^I1624*(1+OFFSET($K$40,D1624,0))^J1624*(1+OFFSET($L$40,D1624,0))^K1624*(1+OFFSET($M$40,D1624,0))^L1624</f>
        <v>364.840657208432</v>
      </c>
      <c r="N1624" s="95">
        <f ca="1">MAX(MAX($N$53:N1623),OFFSET($C$52,MATCH(M1624*1.07,$M$53:$M$2052,1),0)-C1624)</f>
        <v>72000</v>
      </c>
    </row>
    <row r="1625" spans="2:14">
      <c r="B1625" s="95">
        <v>1573</v>
      </c>
      <c r="C1625" s="95">
        <f t="shared" si="123"/>
        <v>566280</v>
      </c>
      <c r="D1625" s="95">
        <f ca="1">_xlfn.XLOOKUP(总览!$B$44,$B$40:$B$45,$C$40:$C$45)</f>
        <v>5</v>
      </c>
      <c r="E1625" s="95">
        <f ca="1" t="shared" si="126"/>
        <v>1603</v>
      </c>
      <c r="F1625" s="95">
        <f ca="1" t="shared" si="124"/>
        <v>0</v>
      </c>
      <c r="G1625" s="95">
        <f ca="1" t="shared" si="125"/>
        <v>0</v>
      </c>
      <c r="H1625" s="95" cm="1">
        <f ca="1" t="array" ref="H1625">MIN(30-SUM(I1625:L1625),_xlfn.XLOOKUP($D1625&amp;"_"&amp;H$52,$B$14:$B$36&amp;"_"&amp;$C$14:$C$36,$D$14:$D$36)*$E1625,18)</f>
        <v>11.5116</v>
      </c>
      <c r="I1625" s="95" cm="1">
        <f ca="1" t="array" ref="I1625">MIN(30-SUM(J1625:L1625),6-L1625,_xlfn.XLOOKUP($D1625&amp;"_"&amp;I$52,$B$14:$B$36&amp;"_"&amp;$C$14:$C$36,$D$14:$D$36)*$E1625)</f>
        <v>0</v>
      </c>
      <c r="J1625" s="95" cm="1">
        <f ca="1" t="array" ref="J1625">MIN(8,_xlfn.XLOOKUP($D1625&amp;"_"&amp;J$52,$B$14:$B$36&amp;"_"&amp;$C$14:$C$36,$D$14:$D$36)*$E1625)</f>
        <v>8</v>
      </c>
      <c r="K1625" s="95" cm="1">
        <f ca="1" t="array" ref="K1625">MIN(18,_xlfn.XLOOKUP($D1625&amp;"_"&amp;K$52,$B$14:$B$36&amp;"_"&amp;$C$14:$C$36,$D$14:$D$36)*$E1625)</f>
        <v>4.4884</v>
      </c>
      <c r="L1625" s="95" cm="1">
        <f ca="1" t="array" ref="L1625">MIN(6,_xlfn.XLOOKUP($D1625&amp;"_"&amp;L$52,$B$14:$B$36&amp;"_"&amp;$C$14:$C$36,$D$14:$D$36)*$E1625)</f>
        <v>6</v>
      </c>
      <c r="M1625" s="95" cm="1">
        <f ca="1" t="array" ref="M1625">(1+SUMPRODUCT(G1625:H1625,OFFSET($H$40:$I$40,D1625,0)))*(1+OFFSET($J$40,D1625,0))^I1625*(1+OFFSET($K$40,D1625,0))^J1625*(1+OFFSET($L$40,D1625,0))^K1625*(1+OFFSET($M$40,D1625,0))^L1625</f>
        <v>364.965066088442</v>
      </c>
      <c r="N1625" s="95">
        <f ca="1">MAX(MAX($N$53:N1624),OFFSET($C$52,MATCH(M1625*1.07,$M$53:$M$2052,1),0)-C1625)</f>
        <v>72000</v>
      </c>
    </row>
    <row r="1626" spans="2:14">
      <c r="B1626" s="95">
        <v>1574</v>
      </c>
      <c r="C1626" s="95">
        <f t="shared" si="123"/>
        <v>566640</v>
      </c>
      <c r="D1626" s="95">
        <f ca="1">_xlfn.XLOOKUP(总览!$B$44,$B$40:$B$45,$C$40:$C$45)</f>
        <v>5</v>
      </c>
      <c r="E1626" s="95">
        <f ca="1" t="shared" si="126"/>
        <v>1604</v>
      </c>
      <c r="F1626" s="95">
        <f ca="1" t="shared" si="124"/>
        <v>0</v>
      </c>
      <c r="G1626" s="95">
        <f ca="1" t="shared" si="125"/>
        <v>0</v>
      </c>
      <c r="H1626" s="95" cm="1">
        <f ca="1" t="array" ref="H1626">MIN(30-SUM(I1626:L1626),_xlfn.XLOOKUP($D1626&amp;"_"&amp;H$52,$B$14:$B$36&amp;"_"&amp;$C$14:$C$36,$D$14:$D$36)*$E1626,18)</f>
        <v>11.5088</v>
      </c>
      <c r="I1626" s="95" cm="1">
        <f ca="1" t="array" ref="I1626">MIN(30-SUM(J1626:L1626),6-L1626,_xlfn.XLOOKUP($D1626&amp;"_"&amp;I$52,$B$14:$B$36&amp;"_"&amp;$C$14:$C$36,$D$14:$D$36)*$E1626)</f>
        <v>0</v>
      </c>
      <c r="J1626" s="95" cm="1">
        <f ca="1" t="array" ref="J1626">MIN(8,_xlfn.XLOOKUP($D1626&amp;"_"&amp;J$52,$B$14:$B$36&amp;"_"&amp;$C$14:$C$36,$D$14:$D$36)*$E1626)</f>
        <v>8</v>
      </c>
      <c r="K1626" s="95" cm="1">
        <f ca="1" t="array" ref="K1626">MIN(18,_xlfn.XLOOKUP($D1626&amp;"_"&amp;K$52,$B$14:$B$36&amp;"_"&amp;$C$14:$C$36,$D$14:$D$36)*$E1626)</f>
        <v>4.4912</v>
      </c>
      <c r="L1626" s="95" cm="1">
        <f ca="1" t="array" ref="L1626">MIN(6,_xlfn.XLOOKUP($D1626&amp;"_"&amp;L$52,$B$14:$B$36&amp;"_"&amp;$C$14:$C$36,$D$14:$D$36)*$E1626)</f>
        <v>6</v>
      </c>
      <c r="M1626" s="95" cm="1">
        <f ca="1" t="array" ref="M1626">(1+SUMPRODUCT(G1626:H1626,OFFSET($H$40:$I$40,D1626,0)))*(1+OFFSET($J$40,D1626,0))^I1626*(1+OFFSET($K$40,D1626,0))^J1626*(1+OFFSET($L$40,D1626,0))^K1626*(1+OFFSET($M$40,D1626,0))^L1626</f>
        <v>365.089506892533</v>
      </c>
      <c r="N1626" s="95">
        <f ca="1">MAX(MAX($N$53:N1625),OFFSET($C$52,MATCH(M1626*1.07,$M$53:$M$2052,1),0)-C1626)</f>
        <v>72000</v>
      </c>
    </row>
    <row r="1627" spans="2:14">
      <c r="B1627" s="95">
        <v>1575</v>
      </c>
      <c r="C1627" s="95">
        <f t="shared" si="123"/>
        <v>567000</v>
      </c>
      <c r="D1627" s="95">
        <f ca="1">_xlfn.XLOOKUP(总览!$B$44,$B$40:$B$45,$C$40:$C$45)</f>
        <v>5</v>
      </c>
      <c r="E1627" s="95">
        <f ca="1" t="shared" si="126"/>
        <v>1605</v>
      </c>
      <c r="F1627" s="95">
        <f ca="1" t="shared" si="124"/>
        <v>0</v>
      </c>
      <c r="G1627" s="95">
        <f ca="1" t="shared" si="125"/>
        <v>0</v>
      </c>
      <c r="H1627" s="95" cm="1">
        <f ca="1" t="array" ref="H1627">MIN(30-SUM(I1627:L1627),_xlfn.XLOOKUP($D1627&amp;"_"&amp;H$52,$B$14:$B$36&amp;"_"&amp;$C$14:$C$36,$D$14:$D$36)*$E1627,18)</f>
        <v>11.506</v>
      </c>
      <c r="I1627" s="95" cm="1">
        <f ca="1" t="array" ref="I1627">MIN(30-SUM(J1627:L1627),6-L1627,_xlfn.XLOOKUP($D1627&amp;"_"&amp;I$52,$B$14:$B$36&amp;"_"&amp;$C$14:$C$36,$D$14:$D$36)*$E1627)</f>
        <v>0</v>
      </c>
      <c r="J1627" s="95" cm="1">
        <f ca="1" t="array" ref="J1627">MIN(8,_xlfn.XLOOKUP($D1627&amp;"_"&amp;J$52,$B$14:$B$36&amp;"_"&amp;$C$14:$C$36,$D$14:$D$36)*$E1627)</f>
        <v>8</v>
      </c>
      <c r="K1627" s="95" cm="1">
        <f ca="1" t="array" ref="K1627">MIN(18,_xlfn.XLOOKUP($D1627&amp;"_"&amp;K$52,$B$14:$B$36&amp;"_"&amp;$C$14:$C$36,$D$14:$D$36)*$E1627)</f>
        <v>4.494</v>
      </c>
      <c r="L1627" s="95" cm="1">
        <f ca="1" t="array" ref="L1627">MIN(6,_xlfn.XLOOKUP($D1627&amp;"_"&amp;L$52,$B$14:$B$36&amp;"_"&amp;$C$14:$C$36,$D$14:$D$36)*$E1627)</f>
        <v>6</v>
      </c>
      <c r="M1627" s="95" cm="1">
        <f ca="1" t="array" ref="M1627">(1+SUMPRODUCT(G1627:H1627,OFFSET($H$40:$I$40,D1627,0)))*(1+OFFSET($J$40,D1627,0))^I1627*(1+OFFSET($K$40,D1627,0))^J1627*(1+OFFSET($L$40,D1627,0))^K1627*(1+OFFSET($M$40,D1627,0))^L1627</f>
        <v>365.21397962087</v>
      </c>
      <c r="N1627" s="95">
        <f ca="1">MAX(MAX($N$53:N1626),OFFSET($C$52,MATCH(M1627*1.07,$M$53:$M$2052,1),0)-C1627)</f>
        <v>72000</v>
      </c>
    </row>
    <row r="1628" spans="2:14">
      <c r="B1628" s="95">
        <v>1576</v>
      </c>
      <c r="C1628" s="95">
        <f t="shared" si="123"/>
        <v>567360</v>
      </c>
      <c r="D1628" s="95">
        <f ca="1">_xlfn.XLOOKUP(总览!$B$44,$B$40:$B$45,$C$40:$C$45)</f>
        <v>5</v>
      </c>
      <c r="E1628" s="95">
        <f ca="1" t="shared" si="126"/>
        <v>1606</v>
      </c>
      <c r="F1628" s="95">
        <f ca="1" t="shared" si="124"/>
        <v>0</v>
      </c>
      <c r="G1628" s="95">
        <f ca="1" t="shared" si="125"/>
        <v>0</v>
      </c>
      <c r="H1628" s="95" cm="1">
        <f ca="1" t="array" ref="H1628">MIN(30-SUM(I1628:L1628),_xlfn.XLOOKUP($D1628&amp;"_"&amp;H$52,$B$14:$B$36&amp;"_"&amp;$C$14:$C$36,$D$14:$D$36)*$E1628,18)</f>
        <v>11.5032</v>
      </c>
      <c r="I1628" s="95" cm="1">
        <f ca="1" t="array" ref="I1628">MIN(30-SUM(J1628:L1628),6-L1628,_xlfn.XLOOKUP($D1628&amp;"_"&amp;I$52,$B$14:$B$36&amp;"_"&amp;$C$14:$C$36,$D$14:$D$36)*$E1628)</f>
        <v>0</v>
      </c>
      <c r="J1628" s="95" cm="1">
        <f ca="1" t="array" ref="J1628">MIN(8,_xlfn.XLOOKUP($D1628&amp;"_"&amp;J$52,$B$14:$B$36&amp;"_"&amp;$C$14:$C$36,$D$14:$D$36)*$E1628)</f>
        <v>8</v>
      </c>
      <c r="K1628" s="95" cm="1">
        <f ca="1" t="array" ref="K1628">MIN(18,_xlfn.XLOOKUP($D1628&amp;"_"&amp;K$52,$B$14:$B$36&amp;"_"&amp;$C$14:$C$36,$D$14:$D$36)*$E1628)</f>
        <v>4.4968</v>
      </c>
      <c r="L1628" s="95" cm="1">
        <f ca="1" t="array" ref="L1628">MIN(6,_xlfn.XLOOKUP($D1628&amp;"_"&amp;L$52,$B$14:$B$36&amp;"_"&amp;$C$14:$C$36,$D$14:$D$36)*$E1628)</f>
        <v>6</v>
      </c>
      <c r="M1628" s="95" cm="1">
        <f ca="1" t="array" ref="M1628">(1+SUMPRODUCT(G1628:H1628,OFFSET($H$40:$I$40,D1628,0)))*(1+OFFSET($J$40,D1628,0))^I1628*(1+OFFSET($K$40,D1628,0))^J1628*(1+OFFSET($L$40,D1628,0))^K1628*(1+OFFSET($M$40,D1628,0))^L1628</f>
        <v>365.338484273608</v>
      </c>
      <c r="N1628" s="95">
        <f ca="1">MAX(MAX($N$53:N1627),OFFSET($C$52,MATCH(M1628*1.07,$M$53:$M$2052,1),0)-C1628)</f>
        <v>72000</v>
      </c>
    </row>
    <row r="1629" spans="2:14">
      <c r="B1629" s="95">
        <v>1577</v>
      </c>
      <c r="C1629" s="95">
        <f t="shared" si="123"/>
        <v>567720</v>
      </c>
      <c r="D1629" s="95">
        <f ca="1">_xlfn.XLOOKUP(总览!$B$44,$B$40:$B$45,$C$40:$C$45)</f>
        <v>5</v>
      </c>
      <c r="E1629" s="95">
        <f ca="1" t="shared" si="126"/>
        <v>1607</v>
      </c>
      <c r="F1629" s="95">
        <f ca="1" t="shared" si="124"/>
        <v>0</v>
      </c>
      <c r="G1629" s="95">
        <f ca="1" t="shared" si="125"/>
        <v>0</v>
      </c>
      <c r="H1629" s="95" cm="1">
        <f ca="1" t="array" ref="H1629">MIN(30-SUM(I1629:L1629),_xlfn.XLOOKUP($D1629&amp;"_"&amp;H$52,$B$14:$B$36&amp;"_"&amp;$C$14:$C$36,$D$14:$D$36)*$E1629,18)</f>
        <v>11.5004</v>
      </c>
      <c r="I1629" s="95" cm="1">
        <f ca="1" t="array" ref="I1629">MIN(30-SUM(J1629:L1629),6-L1629,_xlfn.XLOOKUP($D1629&amp;"_"&amp;I$52,$B$14:$B$36&amp;"_"&amp;$C$14:$C$36,$D$14:$D$36)*$E1629)</f>
        <v>0</v>
      </c>
      <c r="J1629" s="95" cm="1">
        <f ca="1" t="array" ref="J1629">MIN(8,_xlfn.XLOOKUP($D1629&amp;"_"&amp;J$52,$B$14:$B$36&amp;"_"&amp;$C$14:$C$36,$D$14:$D$36)*$E1629)</f>
        <v>8</v>
      </c>
      <c r="K1629" s="95" cm="1">
        <f ca="1" t="array" ref="K1629">MIN(18,_xlfn.XLOOKUP($D1629&amp;"_"&amp;K$52,$B$14:$B$36&amp;"_"&amp;$C$14:$C$36,$D$14:$D$36)*$E1629)</f>
        <v>4.4996</v>
      </c>
      <c r="L1629" s="95" cm="1">
        <f ca="1" t="array" ref="L1629">MIN(6,_xlfn.XLOOKUP($D1629&amp;"_"&amp;L$52,$B$14:$B$36&amp;"_"&amp;$C$14:$C$36,$D$14:$D$36)*$E1629)</f>
        <v>6</v>
      </c>
      <c r="M1629" s="95" cm="1">
        <f ca="1" t="array" ref="M1629">(1+SUMPRODUCT(G1629:H1629,OFFSET($H$40:$I$40,D1629,0)))*(1+OFFSET($J$40,D1629,0))^I1629*(1+OFFSET($K$40,D1629,0))^J1629*(1+OFFSET($L$40,D1629,0))^K1629*(1+OFFSET($M$40,D1629,0))^L1629</f>
        <v>365.463020850895</v>
      </c>
      <c r="N1629" s="95">
        <f ca="1">MAX(MAX($N$53:N1628),OFFSET($C$52,MATCH(M1629*1.07,$M$53:$M$2052,1),0)-C1629)</f>
        <v>72000</v>
      </c>
    </row>
    <row r="1630" spans="2:14">
      <c r="B1630" s="95">
        <v>1578</v>
      </c>
      <c r="C1630" s="95">
        <f t="shared" si="123"/>
        <v>568080</v>
      </c>
      <c r="D1630" s="95">
        <f ca="1">_xlfn.XLOOKUP(总览!$B$44,$B$40:$B$45,$C$40:$C$45)</f>
        <v>5</v>
      </c>
      <c r="E1630" s="95">
        <f ca="1" t="shared" si="126"/>
        <v>1608</v>
      </c>
      <c r="F1630" s="95">
        <f ca="1" t="shared" si="124"/>
        <v>0</v>
      </c>
      <c r="G1630" s="95">
        <f ca="1" t="shared" si="125"/>
        <v>0</v>
      </c>
      <c r="H1630" s="95" cm="1">
        <f ca="1" t="array" ref="H1630">MIN(30-SUM(I1630:L1630),_xlfn.XLOOKUP($D1630&amp;"_"&amp;H$52,$B$14:$B$36&amp;"_"&amp;$C$14:$C$36,$D$14:$D$36)*$E1630,18)</f>
        <v>11.4976</v>
      </c>
      <c r="I1630" s="95" cm="1">
        <f ca="1" t="array" ref="I1630">MIN(30-SUM(J1630:L1630),6-L1630,_xlfn.XLOOKUP($D1630&amp;"_"&amp;I$52,$B$14:$B$36&amp;"_"&amp;$C$14:$C$36,$D$14:$D$36)*$E1630)</f>
        <v>0</v>
      </c>
      <c r="J1630" s="95" cm="1">
        <f ca="1" t="array" ref="J1630">MIN(8,_xlfn.XLOOKUP($D1630&amp;"_"&amp;J$52,$B$14:$B$36&amp;"_"&amp;$C$14:$C$36,$D$14:$D$36)*$E1630)</f>
        <v>8</v>
      </c>
      <c r="K1630" s="95" cm="1">
        <f ca="1" t="array" ref="K1630">MIN(18,_xlfn.XLOOKUP($D1630&amp;"_"&amp;K$52,$B$14:$B$36&amp;"_"&amp;$C$14:$C$36,$D$14:$D$36)*$E1630)</f>
        <v>4.5024</v>
      </c>
      <c r="L1630" s="95" cm="1">
        <f ca="1" t="array" ref="L1630">MIN(6,_xlfn.XLOOKUP($D1630&amp;"_"&amp;L$52,$B$14:$B$36&amp;"_"&amp;$C$14:$C$36,$D$14:$D$36)*$E1630)</f>
        <v>6</v>
      </c>
      <c r="M1630" s="95" cm="1">
        <f ca="1" t="array" ref="M1630">(1+SUMPRODUCT(G1630:H1630,OFFSET($H$40:$I$40,D1630,0)))*(1+OFFSET($J$40,D1630,0))^I1630*(1+OFFSET($K$40,D1630,0))^J1630*(1+OFFSET($L$40,D1630,0))^K1630*(1+OFFSET($M$40,D1630,0))^L1630</f>
        <v>365.58758935287</v>
      </c>
      <c r="N1630" s="95">
        <f ca="1">MAX(MAX($N$53:N1629),OFFSET($C$52,MATCH(M1630*1.07,$M$53:$M$2052,1),0)-C1630)</f>
        <v>72000</v>
      </c>
    </row>
    <row r="1631" spans="2:14">
      <c r="B1631" s="95">
        <v>1579</v>
      </c>
      <c r="C1631" s="95">
        <f t="shared" si="123"/>
        <v>568440</v>
      </c>
      <c r="D1631" s="95">
        <f ca="1">_xlfn.XLOOKUP(总览!$B$44,$B$40:$B$45,$C$40:$C$45)</f>
        <v>5</v>
      </c>
      <c r="E1631" s="95">
        <f ca="1" t="shared" si="126"/>
        <v>1609</v>
      </c>
      <c r="F1631" s="95">
        <f ca="1" t="shared" si="124"/>
        <v>0</v>
      </c>
      <c r="G1631" s="95">
        <f ca="1" t="shared" si="125"/>
        <v>0</v>
      </c>
      <c r="H1631" s="95" cm="1">
        <f ca="1" t="array" ref="H1631">MIN(30-SUM(I1631:L1631),_xlfn.XLOOKUP($D1631&amp;"_"&amp;H$52,$B$14:$B$36&amp;"_"&amp;$C$14:$C$36,$D$14:$D$36)*$E1631,18)</f>
        <v>11.4948</v>
      </c>
      <c r="I1631" s="95" cm="1">
        <f ca="1" t="array" ref="I1631">MIN(30-SUM(J1631:L1631),6-L1631,_xlfn.XLOOKUP($D1631&amp;"_"&amp;I$52,$B$14:$B$36&amp;"_"&amp;$C$14:$C$36,$D$14:$D$36)*$E1631)</f>
        <v>0</v>
      </c>
      <c r="J1631" s="95" cm="1">
        <f ca="1" t="array" ref="J1631">MIN(8,_xlfn.XLOOKUP($D1631&amp;"_"&amp;J$52,$B$14:$B$36&amp;"_"&amp;$C$14:$C$36,$D$14:$D$36)*$E1631)</f>
        <v>8</v>
      </c>
      <c r="K1631" s="95" cm="1">
        <f ca="1" t="array" ref="K1631">MIN(18,_xlfn.XLOOKUP($D1631&amp;"_"&amp;K$52,$B$14:$B$36&amp;"_"&amp;$C$14:$C$36,$D$14:$D$36)*$E1631)</f>
        <v>4.5052</v>
      </c>
      <c r="L1631" s="95" cm="1">
        <f ca="1" t="array" ref="L1631">MIN(6,_xlfn.XLOOKUP($D1631&amp;"_"&amp;L$52,$B$14:$B$36&amp;"_"&amp;$C$14:$C$36,$D$14:$D$36)*$E1631)</f>
        <v>6</v>
      </c>
      <c r="M1631" s="95" cm="1">
        <f ca="1" t="array" ref="M1631">(1+SUMPRODUCT(G1631:H1631,OFFSET($H$40:$I$40,D1631,0)))*(1+OFFSET($J$40,D1631,0))^I1631*(1+OFFSET($K$40,D1631,0))^J1631*(1+OFFSET($L$40,D1631,0))^K1631*(1+OFFSET($M$40,D1631,0))^L1631</f>
        <v>365.712189779666</v>
      </c>
      <c r="N1631" s="95">
        <f ca="1">MAX(MAX($N$53:N1630),OFFSET($C$52,MATCH(M1631*1.07,$M$53:$M$2052,1),0)-C1631)</f>
        <v>72000</v>
      </c>
    </row>
    <row r="1632" spans="2:14">
      <c r="B1632" s="95">
        <v>1580</v>
      </c>
      <c r="C1632" s="95">
        <f t="shared" si="123"/>
        <v>568800</v>
      </c>
      <c r="D1632" s="95">
        <f ca="1">_xlfn.XLOOKUP(总览!$B$44,$B$40:$B$45,$C$40:$C$45)</f>
        <v>5</v>
      </c>
      <c r="E1632" s="95">
        <f ca="1" t="shared" si="126"/>
        <v>1610</v>
      </c>
      <c r="F1632" s="95">
        <f ca="1" t="shared" si="124"/>
        <v>0</v>
      </c>
      <c r="G1632" s="95">
        <f ca="1" t="shared" si="125"/>
        <v>0</v>
      </c>
      <c r="H1632" s="95" cm="1">
        <f ca="1" t="array" ref="H1632">MIN(30-SUM(I1632:L1632),_xlfn.XLOOKUP($D1632&amp;"_"&amp;H$52,$B$14:$B$36&amp;"_"&amp;$C$14:$C$36,$D$14:$D$36)*$E1632,18)</f>
        <v>11.492</v>
      </c>
      <c r="I1632" s="95" cm="1">
        <f ca="1" t="array" ref="I1632">MIN(30-SUM(J1632:L1632),6-L1632,_xlfn.XLOOKUP($D1632&amp;"_"&amp;I$52,$B$14:$B$36&amp;"_"&amp;$C$14:$C$36,$D$14:$D$36)*$E1632)</f>
        <v>0</v>
      </c>
      <c r="J1632" s="95" cm="1">
        <f ca="1" t="array" ref="J1632">MIN(8,_xlfn.XLOOKUP($D1632&amp;"_"&amp;J$52,$B$14:$B$36&amp;"_"&amp;$C$14:$C$36,$D$14:$D$36)*$E1632)</f>
        <v>8</v>
      </c>
      <c r="K1632" s="95" cm="1">
        <f ca="1" t="array" ref="K1632">MIN(18,_xlfn.XLOOKUP($D1632&amp;"_"&amp;K$52,$B$14:$B$36&amp;"_"&amp;$C$14:$C$36,$D$14:$D$36)*$E1632)</f>
        <v>4.508</v>
      </c>
      <c r="L1632" s="95" cm="1">
        <f ca="1" t="array" ref="L1632">MIN(6,_xlfn.XLOOKUP($D1632&amp;"_"&amp;L$52,$B$14:$B$36&amp;"_"&amp;$C$14:$C$36,$D$14:$D$36)*$E1632)</f>
        <v>6</v>
      </c>
      <c r="M1632" s="95" cm="1">
        <f ca="1" t="array" ref="M1632">(1+SUMPRODUCT(G1632:H1632,OFFSET($H$40:$I$40,D1632,0)))*(1+OFFSET($J$40,D1632,0))^I1632*(1+OFFSET($K$40,D1632,0))^J1632*(1+OFFSET($L$40,D1632,0))^K1632*(1+OFFSET($M$40,D1632,0))^L1632</f>
        <v>365.836822131404</v>
      </c>
      <c r="N1632" s="95">
        <f ca="1">MAX(MAX($N$53:N1631),OFFSET($C$52,MATCH(M1632*1.07,$M$53:$M$2052,1),0)-C1632)</f>
        <v>72000</v>
      </c>
    </row>
    <row r="1633" spans="2:14">
      <c r="B1633" s="95">
        <v>1581</v>
      </c>
      <c r="C1633" s="95">
        <f t="shared" si="123"/>
        <v>569160</v>
      </c>
      <c r="D1633" s="95">
        <f ca="1">_xlfn.XLOOKUP(总览!$B$44,$B$40:$B$45,$C$40:$C$45)</f>
        <v>5</v>
      </c>
      <c r="E1633" s="95">
        <f ca="1" t="shared" si="126"/>
        <v>1611</v>
      </c>
      <c r="F1633" s="95">
        <f ca="1" t="shared" si="124"/>
        <v>0</v>
      </c>
      <c r="G1633" s="95">
        <f ca="1" t="shared" si="125"/>
        <v>0</v>
      </c>
      <c r="H1633" s="95" cm="1">
        <f ca="1" t="array" ref="H1633">MIN(30-SUM(I1633:L1633),_xlfn.XLOOKUP($D1633&amp;"_"&amp;H$52,$B$14:$B$36&amp;"_"&amp;$C$14:$C$36,$D$14:$D$36)*$E1633,18)</f>
        <v>11.4892</v>
      </c>
      <c r="I1633" s="95" cm="1">
        <f ca="1" t="array" ref="I1633">MIN(30-SUM(J1633:L1633),6-L1633,_xlfn.XLOOKUP($D1633&amp;"_"&amp;I$52,$B$14:$B$36&amp;"_"&amp;$C$14:$C$36,$D$14:$D$36)*$E1633)</f>
        <v>0</v>
      </c>
      <c r="J1633" s="95" cm="1">
        <f ca="1" t="array" ref="J1633">MIN(8,_xlfn.XLOOKUP($D1633&amp;"_"&amp;J$52,$B$14:$B$36&amp;"_"&amp;$C$14:$C$36,$D$14:$D$36)*$E1633)</f>
        <v>8</v>
      </c>
      <c r="K1633" s="95" cm="1">
        <f ca="1" t="array" ref="K1633">MIN(18,_xlfn.XLOOKUP($D1633&amp;"_"&amp;K$52,$B$14:$B$36&amp;"_"&amp;$C$14:$C$36,$D$14:$D$36)*$E1633)</f>
        <v>4.5108</v>
      </c>
      <c r="L1633" s="95" cm="1">
        <f ca="1" t="array" ref="L1633">MIN(6,_xlfn.XLOOKUP($D1633&amp;"_"&amp;L$52,$B$14:$B$36&amp;"_"&amp;$C$14:$C$36,$D$14:$D$36)*$E1633)</f>
        <v>6</v>
      </c>
      <c r="M1633" s="95" cm="1">
        <f ca="1" t="array" ref="M1633">(1+SUMPRODUCT(G1633:H1633,OFFSET($H$40:$I$40,D1633,0)))*(1+OFFSET($J$40,D1633,0))^I1633*(1+OFFSET($K$40,D1633,0))^J1633*(1+OFFSET($L$40,D1633,0))^K1633*(1+OFFSET($M$40,D1633,0))^L1633</f>
        <v>365.9614864082</v>
      </c>
      <c r="N1633" s="95">
        <f ca="1">MAX(MAX($N$53:N1632),OFFSET($C$52,MATCH(M1633*1.07,$M$53:$M$2052,1),0)-C1633)</f>
        <v>72000</v>
      </c>
    </row>
    <row r="1634" spans="2:14">
      <c r="B1634" s="95">
        <v>1582</v>
      </c>
      <c r="C1634" s="95">
        <f t="shared" si="123"/>
        <v>569520</v>
      </c>
      <c r="D1634" s="95">
        <f ca="1">_xlfn.XLOOKUP(总览!$B$44,$B$40:$B$45,$C$40:$C$45)</f>
        <v>5</v>
      </c>
      <c r="E1634" s="95">
        <f ca="1" t="shared" si="126"/>
        <v>1612</v>
      </c>
      <c r="F1634" s="95">
        <f ca="1" t="shared" si="124"/>
        <v>0</v>
      </c>
      <c r="G1634" s="95">
        <f ca="1" t="shared" si="125"/>
        <v>0</v>
      </c>
      <c r="H1634" s="95" cm="1">
        <f ca="1" t="array" ref="H1634">MIN(30-SUM(I1634:L1634),_xlfn.XLOOKUP($D1634&amp;"_"&amp;H$52,$B$14:$B$36&amp;"_"&amp;$C$14:$C$36,$D$14:$D$36)*$E1634,18)</f>
        <v>11.4864</v>
      </c>
      <c r="I1634" s="95" cm="1">
        <f ca="1" t="array" ref="I1634">MIN(30-SUM(J1634:L1634),6-L1634,_xlfn.XLOOKUP($D1634&amp;"_"&amp;I$52,$B$14:$B$36&amp;"_"&amp;$C$14:$C$36,$D$14:$D$36)*$E1634)</f>
        <v>0</v>
      </c>
      <c r="J1634" s="95" cm="1">
        <f ca="1" t="array" ref="J1634">MIN(8,_xlfn.XLOOKUP($D1634&amp;"_"&amp;J$52,$B$14:$B$36&amp;"_"&amp;$C$14:$C$36,$D$14:$D$36)*$E1634)</f>
        <v>8</v>
      </c>
      <c r="K1634" s="95" cm="1">
        <f ca="1" t="array" ref="K1634">MIN(18,_xlfn.XLOOKUP($D1634&amp;"_"&amp;K$52,$B$14:$B$36&amp;"_"&amp;$C$14:$C$36,$D$14:$D$36)*$E1634)</f>
        <v>4.5136</v>
      </c>
      <c r="L1634" s="95" cm="1">
        <f ca="1" t="array" ref="L1634">MIN(6,_xlfn.XLOOKUP($D1634&amp;"_"&amp;L$52,$B$14:$B$36&amp;"_"&amp;$C$14:$C$36,$D$14:$D$36)*$E1634)</f>
        <v>6</v>
      </c>
      <c r="M1634" s="95" cm="1">
        <f ca="1" t="array" ref="M1634">(1+SUMPRODUCT(G1634:H1634,OFFSET($H$40:$I$40,D1634,0)))*(1+OFFSET($J$40,D1634,0))^I1634*(1+OFFSET($K$40,D1634,0))^J1634*(1+OFFSET($L$40,D1634,0))^K1634*(1+OFFSET($M$40,D1634,0))^L1634</f>
        <v>366.086182610161</v>
      </c>
      <c r="N1634" s="95">
        <f ca="1">MAX(MAX($N$53:N1633),OFFSET($C$52,MATCH(M1634*1.07,$M$53:$M$2052,1),0)-C1634)</f>
        <v>72000</v>
      </c>
    </row>
    <row r="1635" spans="2:14">
      <c r="B1635" s="95">
        <v>1583</v>
      </c>
      <c r="C1635" s="95">
        <f t="shared" si="123"/>
        <v>569880</v>
      </c>
      <c r="D1635" s="95">
        <f ca="1">_xlfn.XLOOKUP(总览!$B$44,$B$40:$B$45,$C$40:$C$45)</f>
        <v>5</v>
      </c>
      <c r="E1635" s="95">
        <f ca="1" t="shared" si="126"/>
        <v>1613</v>
      </c>
      <c r="F1635" s="95">
        <f ca="1" t="shared" si="124"/>
        <v>0</v>
      </c>
      <c r="G1635" s="95">
        <f ca="1" t="shared" si="125"/>
        <v>0</v>
      </c>
      <c r="H1635" s="95" cm="1">
        <f ca="1" t="array" ref="H1635">MIN(30-SUM(I1635:L1635),_xlfn.XLOOKUP($D1635&amp;"_"&amp;H$52,$B$14:$B$36&amp;"_"&amp;$C$14:$C$36,$D$14:$D$36)*$E1635,18)</f>
        <v>11.4836</v>
      </c>
      <c r="I1635" s="95" cm="1">
        <f ca="1" t="array" ref="I1635">MIN(30-SUM(J1635:L1635),6-L1635,_xlfn.XLOOKUP($D1635&amp;"_"&amp;I$52,$B$14:$B$36&amp;"_"&amp;$C$14:$C$36,$D$14:$D$36)*$E1635)</f>
        <v>0</v>
      </c>
      <c r="J1635" s="95" cm="1">
        <f ca="1" t="array" ref="J1635">MIN(8,_xlfn.XLOOKUP($D1635&amp;"_"&amp;J$52,$B$14:$B$36&amp;"_"&amp;$C$14:$C$36,$D$14:$D$36)*$E1635)</f>
        <v>8</v>
      </c>
      <c r="K1635" s="95" cm="1">
        <f ca="1" t="array" ref="K1635">MIN(18,_xlfn.XLOOKUP($D1635&amp;"_"&amp;K$52,$B$14:$B$36&amp;"_"&amp;$C$14:$C$36,$D$14:$D$36)*$E1635)</f>
        <v>4.5164</v>
      </c>
      <c r="L1635" s="95" cm="1">
        <f ca="1" t="array" ref="L1635">MIN(6,_xlfn.XLOOKUP($D1635&amp;"_"&amp;L$52,$B$14:$B$36&amp;"_"&amp;$C$14:$C$36,$D$14:$D$36)*$E1635)</f>
        <v>6</v>
      </c>
      <c r="M1635" s="95" cm="1">
        <f ca="1" t="array" ref="M1635">(1+SUMPRODUCT(G1635:H1635,OFFSET($H$40:$I$40,D1635,0)))*(1+OFFSET($J$40,D1635,0))^I1635*(1+OFFSET($K$40,D1635,0))^J1635*(1+OFFSET($L$40,D1635,0))^K1635*(1+OFFSET($M$40,D1635,0))^L1635</f>
        <v>366.210910737385</v>
      </c>
      <c r="N1635" s="95">
        <f ca="1">MAX(MAX($N$53:N1634),OFFSET($C$52,MATCH(M1635*1.07,$M$53:$M$2052,1),0)-C1635)</f>
        <v>72000</v>
      </c>
    </row>
    <row r="1636" spans="2:14">
      <c r="B1636" s="95">
        <v>1584</v>
      </c>
      <c r="C1636" s="95">
        <f t="shared" si="123"/>
        <v>570240</v>
      </c>
      <c r="D1636" s="95">
        <f ca="1">_xlfn.XLOOKUP(总览!$B$44,$B$40:$B$45,$C$40:$C$45)</f>
        <v>5</v>
      </c>
      <c r="E1636" s="95">
        <f ca="1" t="shared" si="126"/>
        <v>1614</v>
      </c>
      <c r="F1636" s="95">
        <f ca="1" t="shared" si="124"/>
        <v>0</v>
      </c>
      <c r="G1636" s="95">
        <f ca="1" t="shared" si="125"/>
        <v>0</v>
      </c>
      <c r="H1636" s="95" cm="1">
        <f ca="1" t="array" ref="H1636">MIN(30-SUM(I1636:L1636),_xlfn.XLOOKUP($D1636&amp;"_"&amp;H$52,$B$14:$B$36&amp;"_"&amp;$C$14:$C$36,$D$14:$D$36)*$E1636,18)</f>
        <v>11.4808</v>
      </c>
      <c r="I1636" s="95" cm="1">
        <f ca="1" t="array" ref="I1636">MIN(30-SUM(J1636:L1636),6-L1636,_xlfn.XLOOKUP($D1636&amp;"_"&amp;I$52,$B$14:$B$36&amp;"_"&amp;$C$14:$C$36,$D$14:$D$36)*$E1636)</f>
        <v>0</v>
      </c>
      <c r="J1636" s="95" cm="1">
        <f ca="1" t="array" ref="J1636">MIN(8,_xlfn.XLOOKUP($D1636&amp;"_"&amp;J$52,$B$14:$B$36&amp;"_"&amp;$C$14:$C$36,$D$14:$D$36)*$E1636)</f>
        <v>8</v>
      </c>
      <c r="K1636" s="95" cm="1">
        <f ca="1" t="array" ref="K1636">MIN(18,_xlfn.XLOOKUP($D1636&amp;"_"&amp;K$52,$B$14:$B$36&amp;"_"&amp;$C$14:$C$36,$D$14:$D$36)*$E1636)</f>
        <v>4.5192</v>
      </c>
      <c r="L1636" s="95" cm="1">
        <f ca="1" t="array" ref="L1636">MIN(6,_xlfn.XLOOKUP($D1636&amp;"_"&amp;L$52,$B$14:$B$36&amp;"_"&amp;$C$14:$C$36,$D$14:$D$36)*$E1636)</f>
        <v>6</v>
      </c>
      <c r="M1636" s="95" cm="1">
        <f ca="1" t="array" ref="M1636">(1+SUMPRODUCT(G1636:H1636,OFFSET($H$40:$I$40,D1636,0)))*(1+OFFSET($J$40,D1636,0))^I1636*(1+OFFSET($K$40,D1636,0))^J1636*(1+OFFSET($L$40,D1636,0))^K1636*(1+OFFSET($M$40,D1636,0))^L1636</f>
        <v>366.335670789963</v>
      </c>
      <c r="N1636" s="95">
        <f ca="1">MAX(MAX($N$53:N1635),OFFSET($C$52,MATCH(M1636*1.07,$M$53:$M$2052,1),0)-C1636)</f>
        <v>72000</v>
      </c>
    </row>
    <row r="1637" spans="2:14">
      <c r="B1637" s="95">
        <v>1585</v>
      </c>
      <c r="C1637" s="95">
        <f t="shared" ref="C1637:C1700" si="127">C1636+360</f>
        <v>570600</v>
      </c>
      <c r="D1637" s="95">
        <f ca="1">_xlfn.XLOOKUP(总览!$B$44,$B$40:$B$45,$C$40:$C$45)</f>
        <v>5</v>
      </c>
      <c r="E1637" s="95">
        <f ca="1" t="shared" si="126"/>
        <v>1615</v>
      </c>
      <c r="F1637" s="95">
        <f ca="1" t="shared" ref="F1637:F1700" si="128">30-SUM(G1637:L1637)</f>
        <v>0</v>
      </c>
      <c r="G1637" s="95">
        <f ca="1" t="shared" ref="G1637:G1700" si="129">30-SUM(H1637:L1637)</f>
        <v>0</v>
      </c>
      <c r="H1637" s="95" cm="1">
        <f ca="1" t="array" ref="H1637">MIN(30-SUM(I1637:L1637),_xlfn.XLOOKUP($D1637&amp;"_"&amp;H$52,$B$14:$B$36&amp;"_"&amp;$C$14:$C$36,$D$14:$D$36)*$E1637,18)</f>
        <v>11.478</v>
      </c>
      <c r="I1637" s="95" cm="1">
        <f ca="1" t="array" ref="I1637">MIN(30-SUM(J1637:L1637),6-L1637,_xlfn.XLOOKUP($D1637&amp;"_"&amp;I$52,$B$14:$B$36&amp;"_"&amp;$C$14:$C$36,$D$14:$D$36)*$E1637)</f>
        <v>0</v>
      </c>
      <c r="J1637" s="95" cm="1">
        <f ca="1" t="array" ref="J1637">MIN(8,_xlfn.XLOOKUP($D1637&amp;"_"&amp;J$52,$B$14:$B$36&amp;"_"&amp;$C$14:$C$36,$D$14:$D$36)*$E1637)</f>
        <v>8</v>
      </c>
      <c r="K1637" s="95" cm="1">
        <f ca="1" t="array" ref="K1637">MIN(18,_xlfn.XLOOKUP($D1637&amp;"_"&amp;K$52,$B$14:$B$36&amp;"_"&amp;$C$14:$C$36,$D$14:$D$36)*$E1637)</f>
        <v>4.522</v>
      </c>
      <c r="L1637" s="95" cm="1">
        <f ca="1" t="array" ref="L1637">MIN(6,_xlfn.XLOOKUP($D1637&amp;"_"&amp;L$52,$B$14:$B$36&amp;"_"&amp;$C$14:$C$36,$D$14:$D$36)*$E1637)</f>
        <v>6</v>
      </c>
      <c r="M1637" s="95" cm="1">
        <f ca="1" t="array" ref="M1637">(1+SUMPRODUCT(G1637:H1637,OFFSET($H$40:$I$40,D1637,0)))*(1+OFFSET($J$40,D1637,0))^I1637*(1+OFFSET($K$40,D1637,0))^J1637*(1+OFFSET($L$40,D1637,0))^K1637*(1+OFFSET($M$40,D1637,0))^L1637</f>
        <v>366.460462767976</v>
      </c>
      <c r="N1637" s="95">
        <f ca="1">MAX(MAX($N$53:N1636),OFFSET($C$52,MATCH(M1637*1.07,$M$53:$M$2052,1),0)-C1637)</f>
        <v>72000</v>
      </c>
    </row>
    <row r="1638" spans="2:14">
      <c r="B1638" s="95">
        <v>1586</v>
      </c>
      <c r="C1638" s="95">
        <f t="shared" si="127"/>
        <v>570960</v>
      </c>
      <c r="D1638" s="95">
        <f ca="1">_xlfn.XLOOKUP(总览!$B$44,$B$40:$B$45,$C$40:$C$45)</f>
        <v>5</v>
      </c>
      <c r="E1638" s="95">
        <f ca="1" t="shared" si="126"/>
        <v>1616</v>
      </c>
      <c r="F1638" s="95">
        <f ca="1" t="shared" si="128"/>
        <v>0</v>
      </c>
      <c r="G1638" s="95">
        <f ca="1" t="shared" si="129"/>
        <v>0</v>
      </c>
      <c r="H1638" s="95" cm="1">
        <f ca="1" t="array" ref="H1638">MIN(30-SUM(I1638:L1638),_xlfn.XLOOKUP($D1638&amp;"_"&amp;H$52,$B$14:$B$36&amp;"_"&amp;$C$14:$C$36,$D$14:$D$36)*$E1638,18)</f>
        <v>11.4752</v>
      </c>
      <c r="I1638" s="95" cm="1">
        <f ca="1" t="array" ref="I1638">MIN(30-SUM(J1638:L1638),6-L1638,_xlfn.XLOOKUP($D1638&amp;"_"&amp;I$52,$B$14:$B$36&amp;"_"&amp;$C$14:$C$36,$D$14:$D$36)*$E1638)</f>
        <v>0</v>
      </c>
      <c r="J1638" s="95" cm="1">
        <f ca="1" t="array" ref="J1638">MIN(8,_xlfn.XLOOKUP($D1638&amp;"_"&amp;J$52,$B$14:$B$36&amp;"_"&amp;$C$14:$C$36,$D$14:$D$36)*$E1638)</f>
        <v>8</v>
      </c>
      <c r="K1638" s="95" cm="1">
        <f ca="1" t="array" ref="K1638">MIN(18,_xlfn.XLOOKUP($D1638&amp;"_"&amp;K$52,$B$14:$B$36&amp;"_"&amp;$C$14:$C$36,$D$14:$D$36)*$E1638)</f>
        <v>4.5248</v>
      </c>
      <c r="L1638" s="95" cm="1">
        <f ca="1" t="array" ref="L1638">MIN(6,_xlfn.XLOOKUP($D1638&amp;"_"&amp;L$52,$B$14:$B$36&amp;"_"&amp;$C$14:$C$36,$D$14:$D$36)*$E1638)</f>
        <v>6</v>
      </c>
      <c r="M1638" s="95" cm="1">
        <f ca="1" t="array" ref="M1638">(1+SUMPRODUCT(G1638:H1638,OFFSET($H$40:$I$40,D1638,0)))*(1+OFFSET($J$40,D1638,0))^I1638*(1+OFFSET($K$40,D1638,0))^J1638*(1+OFFSET($L$40,D1638,0))^K1638*(1+OFFSET($M$40,D1638,0))^L1638</f>
        <v>366.585286671498</v>
      </c>
      <c r="N1638" s="95">
        <f ca="1">MAX(MAX($N$53:N1637),OFFSET($C$52,MATCH(M1638*1.07,$M$53:$M$2052,1),0)-C1638)</f>
        <v>72000</v>
      </c>
    </row>
    <row r="1639" spans="2:14">
      <c r="B1639" s="95">
        <v>1587</v>
      </c>
      <c r="C1639" s="95">
        <f t="shared" si="127"/>
        <v>571320</v>
      </c>
      <c r="D1639" s="95">
        <f ca="1">_xlfn.XLOOKUP(总览!$B$44,$B$40:$B$45,$C$40:$C$45)</f>
        <v>5</v>
      </c>
      <c r="E1639" s="95">
        <f ca="1" t="shared" si="126"/>
        <v>1617</v>
      </c>
      <c r="F1639" s="95">
        <f ca="1" t="shared" si="128"/>
        <v>0</v>
      </c>
      <c r="G1639" s="95">
        <f ca="1" t="shared" si="129"/>
        <v>0</v>
      </c>
      <c r="H1639" s="95" cm="1">
        <f ca="1" t="array" ref="H1639">MIN(30-SUM(I1639:L1639),_xlfn.XLOOKUP($D1639&amp;"_"&amp;H$52,$B$14:$B$36&amp;"_"&amp;$C$14:$C$36,$D$14:$D$36)*$E1639,18)</f>
        <v>11.4724</v>
      </c>
      <c r="I1639" s="95" cm="1">
        <f ca="1" t="array" ref="I1639">MIN(30-SUM(J1639:L1639),6-L1639,_xlfn.XLOOKUP($D1639&amp;"_"&amp;I$52,$B$14:$B$36&amp;"_"&amp;$C$14:$C$36,$D$14:$D$36)*$E1639)</f>
        <v>0</v>
      </c>
      <c r="J1639" s="95" cm="1">
        <f ca="1" t="array" ref="J1639">MIN(8,_xlfn.XLOOKUP($D1639&amp;"_"&amp;J$52,$B$14:$B$36&amp;"_"&amp;$C$14:$C$36,$D$14:$D$36)*$E1639)</f>
        <v>8</v>
      </c>
      <c r="K1639" s="95" cm="1">
        <f ca="1" t="array" ref="K1639">MIN(18,_xlfn.XLOOKUP($D1639&amp;"_"&amp;K$52,$B$14:$B$36&amp;"_"&amp;$C$14:$C$36,$D$14:$D$36)*$E1639)</f>
        <v>4.5276</v>
      </c>
      <c r="L1639" s="95" cm="1">
        <f ca="1" t="array" ref="L1639">MIN(6,_xlfn.XLOOKUP($D1639&amp;"_"&amp;L$52,$B$14:$B$36&amp;"_"&amp;$C$14:$C$36,$D$14:$D$36)*$E1639)</f>
        <v>6</v>
      </c>
      <c r="M1639" s="95" cm="1">
        <f ca="1" t="array" ref="M1639">(1+SUMPRODUCT(G1639:H1639,OFFSET($H$40:$I$40,D1639,0)))*(1+OFFSET($J$40,D1639,0))^I1639*(1+OFFSET($K$40,D1639,0))^J1639*(1+OFFSET($L$40,D1639,0))^K1639*(1+OFFSET($M$40,D1639,0))^L1639</f>
        <v>366.710142500595</v>
      </c>
      <c r="N1639" s="95">
        <f ca="1">MAX(MAX($N$53:N1638),OFFSET($C$52,MATCH(M1639*1.07,$M$53:$M$2052,1),0)-C1639)</f>
        <v>72000</v>
      </c>
    </row>
    <row r="1640" spans="2:14">
      <c r="B1640" s="95">
        <v>1588</v>
      </c>
      <c r="C1640" s="95">
        <f t="shared" si="127"/>
        <v>571680</v>
      </c>
      <c r="D1640" s="95">
        <f ca="1">_xlfn.XLOOKUP(总览!$B$44,$B$40:$B$45,$C$40:$C$45)</f>
        <v>5</v>
      </c>
      <c r="E1640" s="95">
        <f ca="1" t="shared" si="126"/>
        <v>1618</v>
      </c>
      <c r="F1640" s="95">
        <f ca="1" t="shared" si="128"/>
        <v>0</v>
      </c>
      <c r="G1640" s="95">
        <f ca="1" t="shared" si="129"/>
        <v>0</v>
      </c>
      <c r="H1640" s="95" cm="1">
        <f ca="1" t="array" ref="H1640">MIN(30-SUM(I1640:L1640),_xlfn.XLOOKUP($D1640&amp;"_"&amp;H$52,$B$14:$B$36&amp;"_"&amp;$C$14:$C$36,$D$14:$D$36)*$E1640,18)</f>
        <v>11.4696</v>
      </c>
      <c r="I1640" s="95" cm="1">
        <f ca="1" t="array" ref="I1640">MIN(30-SUM(J1640:L1640),6-L1640,_xlfn.XLOOKUP($D1640&amp;"_"&amp;I$52,$B$14:$B$36&amp;"_"&amp;$C$14:$C$36,$D$14:$D$36)*$E1640)</f>
        <v>0</v>
      </c>
      <c r="J1640" s="95" cm="1">
        <f ca="1" t="array" ref="J1640">MIN(8,_xlfn.XLOOKUP($D1640&amp;"_"&amp;J$52,$B$14:$B$36&amp;"_"&amp;$C$14:$C$36,$D$14:$D$36)*$E1640)</f>
        <v>8</v>
      </c>
      <c r="K1640" s="95" cm="1">
        <f ca="1" t="array" ref="K1640">MIN(18,_xlfn.XLOOKUP($D1640&amp;"_"&amp;K$52,$B$14:$B$36&amp;"_"&amp;$C$14:$C$36,$D$14:$D$36)*$E1640)</f>
        <v>4.5304</v>
      </c>
      <c r="L1640" s="95" cm="1">
        <f ca="1" t="array" ref="L1640">MIN(6,_xlfn.XLOOKUP($D1640&amp;"_"&amp;L$52,$B$14:$B$36&amp;"_"&amp;$C$14:$C$36,$D$14:$D$36)*$E1640)</f>
        <v>6</v>
      </c>
      <c r="M1640" s="95" cm="1">
        <f ca="1" t="array" ref="M1640">(1+SUMPRODUCT(G1640:H1640,OFFSET($H$40:$I$40,D1640,0)))*(1+OFFSET($J$40,D1640,0))^I1640*(1+OFFSET($K$40,D1640,0))^J1640*(1+OFFSET($L$40,D1640,0))^K1640*(1+OFFSET($M$40,D1640,0))^L1640</f>
        <v>366.835030255324</v>
      </c>
      <c r="N1640" s="95">
        <f ca="1">MAX(MAX($N$53:N1639),OFFSET($C$52,MATCH(M1640*1.07,$M$53:$M$2052,1),0)-C1640)</f>
        <v>72000</v>
      </c>
    </row>
    <row r="1641" spans="2:14">
      <c r="B1641" s="95">
        <v>1589</v>
      </c>
      <c r="C1641" s="95">
        <f t="shared" si="127"/>
        <v>572040</v>
      </c>
      <c r="D1641" s="95">
        <f ca="1">_xlfn.XLOOKUP(总览!$B$44,$B$40:$B$45,$C$40:$C$45)</f>
        <v>5</v>
      </c>
      <c r="E1641" s="95">
        <f ca="1" t="shared" si="126"/>
        <v>1619</v>
      </c>
      <c r="F1641" s="95">
        <f ca="1" t="shared" si="128"/>
        <v>0</v>
      </c>
      <c r="G1641" s="95">
        <f ca="1" t="shared" si="129"/>
        <v>0</v>
      </c>
      <c r="H1641" s="95" cm="1">
        <f ca="1" t="array" ref="H1641">MIN(30-SUM(I1641:L1641),_xlfn.XLOOKUP($D1641&amp;"_"&amp;H$52,$B$14:$B$36&amp;"_"&amp;$C$14:$C$36,$D$14:$D$36)*$E1641,18)</f>
        <v>11.4668</v>
      </c>
      <c r="I1641" s="95" cm="1">
        <f ca="1" t="array" ref="I1641">MIN(30-SUM(J1641:L1641),6-L1641,_xlfn.XLOOKUP($D1641&amp;"_"&amp;I$52,$B$14:$B$36&amp;"_"&amp;$C$14:$C$36,$D$14:$D$36)*$E1641)</f>
        <v>0</v>
      </c>
      <c r="J1641" s="95" cm="1">
        <f ca="1" t="array" ref="J1641">MIN(8,_xlfn.XLOOKUP($D1641&amp;"_"&amp;J$52,$B$14:$B$36&amp;"_"&amp;$C$14:$C$36,$D$14:$D$36)*$E1641)</f>
        <v>8</v>
      </c>
      <c r="K1641" s="95" cm="1">
        <f ca="1" t="array" ref="K1641">MIN(18,_xlfn.XLOOKUP($D1641&amp;"_"&amp;K$52,$B$14:$B$36&amp;"_"&amp;$C$14:$C$36,$D$14:$D$36)*$E1641)</f>
        <v>4.5332</v>
      </c>
      <c r="L1641" s="95" cm="1">
        <f ca="1" t="array" ref="L1641">MIN(6,_xlfn.XLOOKUP($D1641&amp;"_"&amp;L$52,$B$14:$B$36&amp;"_"&amp;$C$14:$C$36,$D$14:$D$36)*$E1641)</f>
        <v>6</v>
      </c>
      <c r="M1641" s="95" cm="1">
        <f ca="1" t="array" ref="M1641">(1+SUMPRODUCT(G1641:H1641,OFFSET($H$40:$I$40,D1641,0)))*(1+OFFSET($J$40,D1641,0))^I1641*(1+OFFSET($K$40,D1641,0))^J1641*(1+OFFSET($L$40,D1641,0))^K1641*(1+OFFSET($M$40,D1641,0))^L1641</f>
        <v>366.959949935735</v>
      </c>
      <c r="N1641" s="95">
        <f ca="1">MAX(MAX($N$53:N1640),OFFSET($C$52,MATCH(M1641*1.07,$M$53:$M$2052,1),0)-C1641)</f>
        <v>72000</v>
      </c>
    </row>
    <row r="1642" spans="2:14">
      <c r="B1642" s="95">
        <v>1590</v>
      </c>
      <c r="C1642" s="95">
        <f t="shared" si="127"/>
        <v>572400</v>
      </c>
      <c r="D1642" s="95">
        <f ca="1">_xlfn.XLOOKUP(总览!$B$44,$B$40:$B$45,$C$40:$C$45)</f>
        <v>5</v>
      </c>
      <c r="E1642" s="95">
        <f ca="1" t="shared" si="126"/>
        <v>1620</v>
      </c>
      <c r="F1642" s="95">
        <f ca="1" t="shared" si="128"/>
        <v>0</v>
      </c>
      <c r="G1642" s="95">
        <f ca="1" t="shared" si="129"/>
        <v>0</v>
      </c>
      <c r="H1642" s="95" cm="1">
        <f ca="1" t="array" ref="H1642">MIN(30-SUM(I1642:L1642),_xlfn.XLOOKUP($D1642&amp;"_"&amp;H$52,$B$14:$B$36&amp;"_"&amp;$C$14:$C$36,$D$14:$D$36)*$E1642,18)</f>
        <v>11.464</v>
      </c>
      <c r="I1642" s="95" cm="1">
        <f ca="1" t="array" ref="I1642">MIN(30-SUM(J1642:L1642),6-L1642,_xlfn.XLOOKUP($D1642&amp;"_"&amp;I$52,$B$14:$B$36&amp;"_"&amp;$C$14:$C$36,$D$14:$D$36)*$E1642)</f>
        <v>0</v>
      </c>
      <c r="J1642" s="95" cm="1">
        <f ca="1" t="array" ref="J1642">MIN(8,_xlfn.XLOOKUP($D1642&amp;"_"&amp;J$52,$B$14:$B$36&amp;"_"&amp;$C$14:$C$36,$D$14:$D$36)*$E1642)</f>
        <v>8</v>
      </c>
      <c r="K1642" s="95" cm="1">
        <f ca="1" t="array" ref="K1642">MIN(18,_xlfn.XLOOKUP($D1642&amp;"_"&amp;K$52,$B$14:$B$36&amp;"_"&amp;$C$14:$C$36,$D$14:$D$36)*$E1642)</f>
        <v>4.536</v>
      </c>
      <c r="L1642" s="95" cm="1">
        <f ca="1" t="array" ref="L1642">MIN(6,_xlfn.XLOOKUP($D1642&amp;"_"&amp;L$52,$B$14:$B$36&amp;"_"&amp;$C$14:$C$36,$D$14:$D$36)*$E1642)</f>
        <v>6</v>
      </c>
      <c r="M1642" s="95" cm="1">
        <f ca="1" t="array" ref="M1642">(1+SUMPRODUCT(G1642:H1642,OFFSET($H$40:$I$40,D1642,0)))*(1+OFFSET($J$40,D1642,0))^I1642*(1+OFFSET($K$40,D1642,0))^J1642*(1+OFFSET($L$40,D1642,0))^K1642*(1+OFFSET($M$40,D1642,0))^L1642</f>
        <v>367.084901541867</v>
      </c>
      <c r="N1642" s="95">
        <f ca="1">MAX(MAX($N$53:N1641),OFFSET($C$52,MATCH(M1642*1.07,$M$53:$M$2052,1),0)-C1642)</f>
        <v>72000</v>
      </c>
    </row>
    <row r="1643" spans="2:14">
      <c r="B1643" s="95">
        <v>1591</v>
      </c>
      <c r="C1643" s="95">
        <f t="shared" si="127"/>
        <v>572760</v>
      </c>
      <c r="D1643" s="95">
        <f ca="1">_xlfn.XLOOKUP(总览!$B$44,$B$40:$B$45,$C$40:$C$45)</f>
        <v>5</v>
      </c>
      <c r="E1643" s="95">
        <f ca="1" t="shared" si="126"/>
        <v>1621</v>
      </c>
      <c r="F1643" s="95">
        <f ca="1" t="shared" si="128"/>
        <v>0</v>
      </c>
      <c r="G1643" s="95">
        <f ca="1" t="shared" si="129"/>
        <v>0</v>
      </c>
      <c r="H1643" s="95" cm="1">
        <f ca="1" t="array" ref="H1643">MIN(30-SUM(I1643:L1643),_xlfn.XLOOKUP($D1643&amp;"_"&amp;H$52,$B$14:$B$36&amp;"_"&amp;$C$14:$C$36,$D$14:$D$36)*$E1643,18)</f>
        <v>11.4612</v>
      </c>
      <c r="I1643" s="95" cm="1">
        <f ca="1" t="array" ref="I1643">MIN(30-SUM(J1643:L1643),6-L1643,_xlfn.XLOOKUP($D1643&amp;"_"&amp;I$52,$B$14:$B$36&amp;"_"&amp;$C$14:$C$36,$D$14:$D$36)*$E1643)</f>
        <v>0</v>
      </c>
      <c r="J1643" s="95" cm="1">
        <f ca="1" t="array" ref="J1643">MIN(8,_xlfn.XLOOKUP($D1643&amp;"_"&amp;J$52,$B$14:$B$36&amp;"_"&amp;$C$14:$C$36,$D$14:$D$36)*$E1643)</f>
        <v>8</v>
      </c>
      <c r="K1643" s="95" cm="1">
        <f ca="1" t="array" ref="K1643">MIN(18,_xlfn.XLOOKUP($D1643&amp;"_"&amp;K$52,$B$14:$B$36&amp;"_"&amp;$C$14:$C$36,$D$14:$D$36)*$E1643)</f>
        <v>4.5388</v>
      </c>
      <c r="L1643" s="95" cm="1">
        <f ca="1" t="array" ref="L1643">MIN(6,_xlfn.XLOOKUP($D1643&amp;"_"&amp;L$52,$B$14:$B$36&amp;"_"&amp;$C$14:$C$36,$D$14:$D$36)*$E1643)</f>
        <v>6</v>
      </c>
      <c r="M1643" s="95" cm="1">
        <f ca="1" t="array" ref="M1643">(1+SUMPRODUCT(G1643:H1643,OFFSET($H$40:$I$40,D1643,0)))*(1+OFFSET($J$40,D1643,0))^I1643*(1+OFFSET($K$40,D1643,0))^J1643*(1+OFFSET($L$40,D1643,0))^K1643*(1+OFFSET($M$40,D1643,0))^L1643</f>
        <v>367.209885073754</v>
      </c>
      <c r="N1643" s="95">
        <f ca="1">MAX(MAX($N$53:N1642),OFFSET($C$52,MATCH(M1643*1.07,$M$53:$M$2052,1),0)-C1643)</f>
        <v>72000</v>
      </c>
    </row>
    <row r="1644" spans="2:14">
      <c r="B1644" s="95">
        <v>1592</v>
      </c>
      <c r="C1644" s="95">
        <f t="shared" si="127"/>
        <v>573120</v>
      </c>
      <c r="D1644" s="95">
        <f ca="1">_xlfn.XLOOKUP(总览!$B$44,$B$40:$B$45,$C$40:$C$45)</f>
        <v>5</v>
      </c>
      <c r="E1644" s="95">
        <f ca="1" t="shared" si="126"/>
        <v>1622</v>
      </c>
      <c r="F1644" s="95">
        <f ca="1" t="shared" si="128"/>
        <v>0</v>
      </c>
      <c r="G1644" s="95">
        <f ca="1" t="shared" si="129"/>
        <v>0</v>
      </c>
      <c r="H1644" s="95" cm="1">
        <f ca="1" t="array" ref="H1644">MIN(30-SUM(I1644:L1644),_xlfn.XLOOKUP($D1644&amp;"_"&amp;H$52,$B$14:$B$36&amp;"_"&amp;$C$14:$C$36,$D$14:$D$36)*$E1644,18)</f>
        <v>11.4584</v>
      </c>
      <c r="I1644" s="95" cm="1">
        <f ca="1" t="array" ref="I1644">MIN(30-SUM(J1644:L1644),6-L1644,_xlfn.XLOOKUP($D1644&amp;"_"&amp;I$52,$B$14:$B$36&amp;"_"&amp;$C$14:$C$36,$D$14:$D$36)*$E1644)</f>
        <v>0</v>
      </c>
      <c r="J1644" s="95" cm="1">
        <f ca="1" t="array" ref="J1644">MIN(8,_xlfn.XLOOKUP($D1644&amp;"_"&amp;J$52,$B$14:$B$36&amp;"_"&amp;$C$14:$C$36,$D$14:$D$36)*$E1644)</f>
        <v>8</v>
      </c>
      <c r="K1644" s="95" cm="1">
        <f ca="1" t="array" ref="K1644">MIN(18,_xlfn.XLOOKUP($D1644&amp;"_"&amp;K$52,$B$14:$B$36&amp;"_"&amp;$C$14:$C$36,$D$14:$D$36)*$E1644)</f>
        <v>4.5416</v>
      </c>
      <c r="L1644" s="95" cm="1">
        <f ca="1" t="array" ref="L1644">MIN(6,_xlfn.XLOOKUP($D1644&amp;"_"&amp;L$52,$B$14:$B$36&amp;"_"&amp;$C$14:$C$36,$D$14:$D$36)*$E1644)</f>
        <v>6</v>
      </c>
      <c r="M1644" s="95" cm="1">
        <f ca="1" t="array" ref="M1644">(1+SUMPRODUCT(G1644:H1644,OFFSET($H$40:$I$40,D1644,0)))*(1+OFFSET($J$40,D1644,0))^I1644*(1+OFFSET($K$40,D1644,0))^J1644*(1+OFFSET($L$40,D1644,0))^K1644*(1+OFFSET($M$40,D1644,0))^L1644</f>
        <v>367.334900531419</v>
      </c>
      <c r="N1644" s="95">
        <f ca="1">MAX(MAX($N$53:N1643),OFFSET($C$52,MATCH(M1644*1.07,$M$53:$M$2052,1),0)-C1644)</f>
        <v>72000</v>
      </c>
    </row>
    <row r="1645" spans="2:14">
      <c r="B1645" s="95">
        <v>1593</v>
      </c>
      <c r="C1645" s="95">
        <f t="shared" si="127"/>
        <v>573480</v>
      </c>
      <c r="D1645" s="95">
        <f ca="1">_xlfn.XLOOKUP(总览!$B$44,$B$40:$B$45,$C$40:$C$45)</f>
        <v>5</v>
      </c>
      <c r="E1645" s="95">
        <f ca="1" t="shared" si="126"/>
        <v>1623</v>
      </c>
      <c r="F1645" s="95">
        <f ca="1" t="shared" si="128"/>
        <v>0</v>
      </c>
      <c r="G1645" s="95">
        <f ca="1" t="shared" si="129"/>
        <v>0</v>
      </c>
      <c r="H1645" s="95" cm="1">
        <f ca="1" t="array" ref="H1645">MIN(30-SUM(I1645:L1645),_xlfn.XLOOKUP($D1645&amp;"_"&amp;H$52,$B$14:$B$36&amp;"_"&amp;$C$14:$C$36,$D$14:$D$36)*$E1645,18)</f>
        <v>11.4556</v>
      </c>
      <c r="I1645" s="95" cm="1">
        <f ca="1" t="array" ref="I1645">MIN(30-SUM(J1645:L1645),6-L1645,_xlfn.XLOOKUP($D1645&amp;"_"&amp;I$52,$B$14:$B$36&amp;"_"&amp;$C$14:$C$36,$D$14:$D$36)*$E1645)</f>
        <v>0</v>
      </c>
      <c r="J1645" s="95" cm="1">
        <f ca="1" t="array" ref="J1645">MIN(8,_xlfn.XLOOKUP($D1645&amp;"_"&amp;J$52,$B$14:$B$36&amp;"_"&amp;$C$14:$C$36,$D$14:$D$36)*$E1645)</f>
        <v>8</v>
      </c>
      <c r="K1645" s="95" cm="1">
        <f ca="1" t="array" ref="K1645">MIN(18,_xlfn.XLOOKUP($D1645&amp;"_"&amp;K$52,$B$14:$B$36&amp;"_"&amp;$C$14:$C$36,$D$14:$D$36)*$E1645)</f>
        <v>4.5444</v>
      </c>
      <c r="L1645" s="95" cm="1">
        <f ca="1" t="array" ref="L1645">MIN(6,_xlfn.XLOOKUP($D1645&amp;"_"&amp;L$52,$B$14:$B$36&amp;"_"&amp;$C$14:$C$36,$D$14:$D$36)*$E1645)</f>
        <v>6</v>
      </c>
      <c r="M1645" s="95" cm="1">
        <f ca="1" t="array" ref="M1645">(1+SUMPRODUCT(G1645:H1645,OFFSET($H$40:$I$40,D1645,0)))*(1+OFFSET($J$40,D1645,0))^I1645*(1+OFFSET($K$40,D1645,0))^J1645*(1+OFFSET($L$40,D1645,0))^K1645*(1+OFFSET($M$40,D1645,0))^L1645</f>
        <v>367.45994791488</v>
      </c>
      <c r="N1645" s="95">
        <f ca="1">MAX(MAX($N$53:N1644),OFFSET($C$52,MATCH(M1645*1.07,$M$53:$M$2052,1),0)-C1645)</f>
        <v>72000</v>
      </c>
    </row>
    <row r="1646" spans="2:14">
      <c r="B1646" s="95">
        <v>1594</v>
      </c>
      <c r="C1646" s="95">
        <f t="shared" si="127"/>
        <v>573840</v>
      </c>
      <c r="D1646" s="95">
        <f ca="1">_xlfn.XLOOKUP(总览!$B$44,$B$40:$B$45,$C$40:$C$45)</f>
        <v>5</v>
      </c>
      <c r="E1646" s="95">
        <f ca="1" t="shared" si="126"/>
        <v>1624</v>
      </c>
      <c r="F1646" s="95">
        <f ca="1" t="shared" si="128"/>
        <v>0</v>
      </c>
      <c r="G1646" s="95">
        <f ca="1" t="shared" si="129"/>
        <v>0</v>
      </c>
      <c r="H1646" s="95" cm="1">
        <f ca="1" t="array" ref="H1646">MIN(30-SUM(I1646:L1646),_xlfn.XLOOKUP($D1646&amp;"_"&amp;H$52,$B$14:$B$36&amp;"_"&amp;$C$14:$C$36,$D$14:$D$36)*$E1646,18)</f>
        <v>11.4528</v>
      </c>
      <c r="I1646" s="95" cm="1">
        <f ca="1" t="array" ref="I1646">MIN(30-SUM(J1646:L1646),6-L1646,_xlfn.XLOOKUP($D1646&amp;"_"&amp;I$52,$B$14:$B$36&amp;"_"&amp;$C$14:$C$36,$D$14:$D$36)*$E1646)</f>
        <v>0</v>
      </c>
      <c r="J1646" s="95" cm="1">
        <f ca="1" t="array" ref="J1646">MIN(8,_xlfn.XLOOKUP($D1646&amp;"_"&amp;J$52,$B$14:$B$36&amp;"_"&amp;$C$14:$C$36,$D$14:$D$36)*$E1646)</f>
        <v>8</v>
      </c>
      <c r="K1646" s="95" cm="1">
        <f ca="1" t="array" ref="K1646">MIN(18,_xlfn.XLOOKUP($D1646&amp;"_"&amp;K$52,$B$14:$B$36&amp;"_"&amp;$C$14:$C$36,$D$14:$D$36)*$E1646)</f>
        <v>4.5472</v>
      </c>
      <c r="L1646" s="95" cm="1">
        <f ca="1" t="array" ref="L1646">MIN(6,_xlfn.XLOOKUP($D1646&amp;"_"&amp;L$52,$B$14:$B$36&amp;"_"&amp;$C$14:$C$36,$D$14:$D$36)*$E1646)</f>
        <v>6</v>
      </c>
      <c r="M1646" s="95" cm="1">
        <f ca="1" t="array" ref="M1646">(1+SUMPRODUCT(G1646:H1646,OFFSET($H$40:$I$40,D1646,0)))*(1+OFFSET($J$40,D1646,0))^I1646*(1+OFFSET($K$40,D1646,0))^J1646*(1+OFFSET($L$40,D1646,0))^K1646*(1+OFFSET($M$40,D1646,0))^L1646</f>
        <v>367.585027224142</v>
      </c>
      <c r="N1646" s="95">
        <f ca="1">MAX(MAX($N$53:N1645),OFFSET($C$52,MATCH(M1646*1.07,$M$53:$M$2052,1),0)-C1646)</f>
        <v>72000</v>
      </c>
    </row>
    <row r="1647" spans="2:14">
      <c r="B1647" s="95">
        <v>1595</v>
      </c>
      <c r="C1647" s="95">
        <f t="shared" si="127"/>
        <v>574200</v>
      </c>
      <c r="D1647" s="95">
        <f ca="1">_xlfn.XLOOKUP(总览!$B$44,$B$40:$B$45,$C$40:$C$45)</f>
        <v>5</v>
      </c>
      <c r="E1647" s="95">
        <f ca="1" t="shared" si="126"/>
        <v>1625</v>
      </c>
      <c r="F1647" s="95">
        <f ca="1" t="shared" si="128"/>
        <v>0</v>
      </c>
      <c r="G1647" s="95">
        <f ca="1" t="shared" si="129"/>
        <v>0</v>
      </c>
      <c r="H1647" s="95" cm="1">
        <f ca="1" t="array" ref="H1647">MIN(30-SUM(I1647:L1647),_xlfn.XLOOKUP($D1647&amp;"_"&amp;H$52,$B$14:$B$36&amp;"_"&amp;$C$14:$C$36,$D$14:$D$36)*$E1647,18)</f>
        <v>11.45</v>
      </c>
      <c r="I1647" s="95" cm="1">
        <f ca="1" t="array" ref="I1647">MIN(30-SUM(J1647:L1647),6-L1647,_xlfn.XLOOKUP($D1647&amp;"_"&amp;I$52,$B$14:$B$36&amp;"_"&amp;$C$14:$C$36,$D$14:$D$36)*$E1647)</f>
        <v>0</v>
      </c>
      <c r="J1647" s="95" cm="1">
        <f ca="1" t="array" ref="J1647">MIN(8,_xlfn.XLOOKUP($D1647&amp;"_"&amp;J$52,$B$14:$B$36&amp;"_"&amp;$C$14:$C$36,$D$14:$D$36)*$E1647)</f>
        <v>8</v>
      </c>
      <c r="K1647" s="95" cm="1">
        <f ca="1" t="array" ref="K1647">MIN(18,_xlfn.XLOOKUP($D1647&amp;"_"&amp;K$52,$B$14:$B$36&amp;"_"&amp;$C$14:$C$36,$D$14:$D$36)*$E1647)</f>
        <v>4.55</v>
      </c>
      <c r="L1647" s="95" cm="1">
        <f ca="1" t="array" ref="L1647">MIN(6,_xlfn.XLOOKUP($D1647&amp;"_"&amp;L$52,$B$14:$B$36&amp;"_"&amp;$C$14:$C$36,$D$14:$D$36)*$E1647)</f>
        <v>6</v>
      </c>
      <c r="M1647" s="95" cm="1">
        <f ca="1" t="array" ref="M1647">(1+SUMPRODUCT(G1647:H1647,OFFSET($H$40:$I$40,D1647,0)))*(1+OFFSET($J$40,D1647,0))^I1647*(1+OFFSET($K$40,D1647,0))^J1647*(1+OFFSET($L$40,D1647,0))^K1647*(1+OFFSET($M$40,D1647,0))^L1647</f>
        <v>367.710138459206</v>
      </c>
      <c r="N1647" s="95">
        <f ca="1">MAX(MAX($N$53:N1646),OFFSET($C$52,MATCH(M1647*1.07,$M$53:$M$2052,1),0)-C1647)</f>
        <v>72000</v>
      </c>
    </row>
    <row r="1648" spans="2:14">
      <c r="B1648" s="95">
        <v>1596</v>
      </c>
      <c r="C1648" s="95">
        <f t="shared" si="127"/>
        <v>574560</v>
      </c>
      <c r="D1648" s="95">
        <f ca="1">_xlfn.XLOOKUP(总览!$B$44,$B$40:$B$45,$C$40:$C$45)</f>
        <v>5</v>
      </c>
      <c r="E1648" s="95">
        <f ca="1" t="shared" si="126"/>
        <v>1626</v>
      </c>
      <c r="F1648" s="95">
        <f ca="1" t="shared" si="128"/>
        <v>0</v>
      </c>
      <c r="G1648" s="95">
        <f ca="1" t="shared" si="129"/>
        <v>0</v>
      </c>
      <c r="H1648" s="95" cm="1">
        <f ca="1" t="array" ref="H1648">MIN(30-SUM(I1648:L1648),_xlfn.XLOOKUP($D1648&amp;"_"&amp;H$52,$B$14:$B$36&amp;"_"&amp;$C$14:$C$36,$D$14:$D$36)*$E1648,18)</f>
        <v>11.4472</v>
      </c>
      <c r="I1648" s="95" cm="1">
        <f ca="1" t="array" ref="I1648">MIN(30-SUM(J1648:L1648),6-L1648,_xlfn.XLOOKUP($D1648&amp;"_"&amp;I$52,$B$14:$B$36&amp;"_"&amp;$C$14:$C$36,$D$14:$D$36)*$E1648)</f>
        <v>0</v>
      </c>
      <c r="J1648" s="95" cm="1">
        <f ca="1" t="array" ref="J1648">MIN(8,_xlfn.XLOOKUP($D1648&amp;"_"&amp;J$52,$B$14:$B$36&amp;"_"&amp;$C$14:$C$36,$D$14:$D$36)*$E1648)</f>
        <v>8</v>
      </c>
      <c r="K1648" s="95" cm="1">
        <f ca="1" t="array" ref="K1648">MIN(18,_xlfn.XLOOKUP($D1648&amp;"_"&amp;K$52,$B$14:$B$36&amp;"_"&amp;$C$14:$C$36,$D$14:$D$36)*$E1648)</f>
        <v>4.5528</v>
      </c>
      <c r="L1648" s="95" cm="1">
        <f ca="1" t="array" ref="L1648">MIN(6,_xlfn.XLOOKUP($D1648&amp;"_"&amp;L$52,$B$14:$B$36&amp;"_"&amp;$C$14:$C$36,$D$14:$D$36)*$E1648)</f>
        <v>6</v>
      </c>
      <c r="M1648" s="95" cm="1">
        <f ca="1" t="array" ref="M1648">(1+SUMPRODUCT(G1648:H1648,OFFSET($H$40:$I$40,D1648,0)))*(1+OFFSET($J$40,D1648,0))^I1648*(1+OFFSET($K$40,D1648,0))^J1648*(1+OFFSET($L$40,D1648,0))^K1648*(1+OFFSET($M$40,D1648,0))^L1648</f>
        <v>367.835281620062</v>
      </c>
      <c r="N1648" s="95">
        <f ca="1">MAX(MAX($N$53:N1647),OFFSET($C$52,MATCH(M1648*1.07,$M$53:$M$2052,1),0)-C1648)</f>
        <v>72000</v>
      </c>
    </row>
    <row r="1649" spans="2:14">
      <c r="B1649" s="95">
        <v>1597</v>
      </c>
      <c r="C1649" s="95">
        <f t="shared" si="127"/>
        <v>574920</v>
      </c>
      <c r="D1649" s="95">
        <f ca="1">_xlfn.XLOOKUP(总览!$B$44,$B$40:$B$45,$C$40:$C$45)</f>
        <v>5</v>
      </c>
      <c r="E1649" s="95">
        <f ca="1" t="shared" si="126"/>
        <v>1627</v>
      </c>
      <c r="F1649" s="95">
        <f ca="1" t="shared" si="128"/>
        <v>0</v>
      </c>
      <c r="G1649" s="95">
        <f ca="1" t="shared" si="129"/>
        <v>0</v>
      </c>
      <c r="H1649" s="95" cm="1">
        <f ca="1" t="array" ref="H1649">MIN(30-SUM(I1649:L1649),_xlfn.XLOOKUP($D1649&amp;"_"&amp;H$52,$B$14:$B$36&amp;"_"&amp;$C$14:$C$36,$D$14:$D$36)*$E1649,18)</f>
        <v>11.4444</v>
      </c>
      <c r="I1649" s="95" cm="1">
        <f ca="1" t="array" ref="I1649">MIN(30-SUM(J1649:L1649),6-L1649,_xlfn.XLOOKUP($D1649&amp;"_"&amp;I$52,$B$14:$B$36&amp;"_"&amp;$C$14:$C$36,$D$14:$D$36)*$E1649)</f>
        <v>0</v>
      </c>
      <c r="J1649" s="95" cm="1">
        <f ca="1" t="array" ref="J1649">MIN(8,_xlfn.XLOOKUP($D1649&amp;"_"&amp;J$52,$B$14:$B$36&amp;"_"&amp;$C$14:$C$36,$D$14:$D$36)*$E1649)</f>
        <v>8</v>
      </c>
      <c r="K1649" s="95" cm="1">
        <f ca="1" t="array" ref="K1649">MIN(18,_xlfn.XLOOKUP($D1649&amp;"_"&amp;K$52,$B$14:$B$36&amp;"_"&amp;$C$14:$C$36,$D$14:$D$36)*$E1649)</f>
        <v>4.5556</v>
      </c>
      <c r="L1649" s="95" cm="1">
        <f ca="1" t="array" ref="L1649">MIN(6,_xlfn.XLOOKUP($D1649&amp;"_"&amp;L$52,$B$14:$B$36&amp;"_"&amp;$C$14:$C$36,$D$14:$D$36)*$E1649)</f>
        <v>6</v>
      </c>
      <c r="M1649" s="95" cm="1">
        <f ca="1" t="array" ref="M1649">(1+SUMPRODUCT(G1649:H1649,OFFSET($H$40:$I$40,D1649,0)))*(1+OFFSET($J$40,D1649,0))^I1649*(1+OFFSET($K$40,D1649,0))^J1649*(1+OFFSET($L$40,D1649,0))^K1649*(1+OFFSET($M$40,D1649,0))^L1649</f>
        <v>367.960456706693</v>
      </c>
      <c r="N1649" s="95">
        <f ca="1">MAX(MAX($N$53:N1648),OFFSET($C$52,MATCH(M1649*1.07,$M$53:$M$2052,1),0)-C1649)</f>
        <v>72000</v>
      </c>
    </row>
    <row r="1650" spans="2:14">
      <c r="B1650" s="95">
        <v>1598</v>
      </c>
      <c r="C1650" s="95">
        <f t="shared" si="127"/>
        <v>575280</v>
      </c>
      <c r="D1650" s="95">
        <f ca="1">_xlfn.XLOOKUP(总览!$B$44,$B$40:$B$45,$C$40:$C$45)</f>
        <v>5</v>
      </c>
      <c r="E1650" s="95">
        <f ca="1" t="shared" si="126"/>
        <v>1628</v>
      </c>
      <c r="F1650" s="95">
        <f ca="1" t="shared" si="128"/>
        <v>0</v>
      </c>
      <c r="G1650" s="95">
        <f ca="1" t="shared" si="129"/>
        <v>0</v>
      </c>
      <c r="H1650" s="95" cm="1">
        <f ca="1" t="array" ref="H1650">MIN(30-SUM(I1650:L1650),_xlfn.XLOOKUP($D1650&amp;"_"&amp;H$52,$B$14:$B$36&amp;"_"&amp;$C$14:$C$36,$D$14:$D$36)*$E1650,18)</f>
        <v>11.4416</v>
      </c>
      <c r="I1650" s="95" cm="1">
        <f ca="1" t="array" ref="I1650">MIN(30-SUM(J1650:L1650),6-L1650,_xlfn.XLOOKUP($D1650&amp;"_"&amp;I$52,$B$14:$B$36&amp;"_"&amp;$C$14:$C$36,$D$14:$D$36)*$E1650)</f>
        <v>0</v>
      </c>
      <c r="J1650" s="95" cm="1">
        <f ca="1" t="array" ref="J1650">MIN(8,_xlfn.XLOOKUP($D1650&amp;"_"&amp;J$52,$B$14:$B$36&amp;"_"&amp;$C$14:$C$36,$D$14:$D$36)*$E1650)</f>
        <v>8</v>
      </c>
      <c r="K1650" s="95" cm="1">
        <f ca="1" t="array" ref="K1650">MIN(18,_xlfn.XLOOKUP($D1650&amp;"_"&amp;K$52,$B$14:$B$36&amp;"_"&amp;$C$14:$C$36,$D$14:$D$36)*$E1650)</f>
        <v>4.5584</v>
      </c>
      <c r="L1650" s="95" cm="1">
        <f ca="1" t="array" ref="L1650">MIN(6,_xlfn.XLOOKUP($D1650&amp;"_"&amp;L$52,$B$14:$B$36&amp;"_"&amp;$C$14:$C$36,$D$14:$D$36)*$E1650)</f>
        <v>6</v>
      </c>
      <c r="M1650" s="95" cm="1">
        <f ca="1" t="array" ref="M1650">(1+SUMPRODUCT(G1650:H1650,OFFSET($H$40:$I$40,D1650,0)))*(1+OFFSET($J$40,D1650,0))^I1650*(1+OFFSET($K$40,D1650,0))^J1650*(1+OFFSET($L$40,D1650,0))^K1650*(1+OFFSET($M$40,D1650,0))^L1650</f>
        <v>368.085663719073</v>
      </c>
      <c r="N1650" s="95">
        <f ca="1">MAX(MAX($N$53:N1649),OFFSET($C$52,MATCH(M1650*1.07,$M$53:$M$2052,1),0)-C1650)</f>
        <v>72000</v>
      </c>
    </row>
    <row r="1651" spans="2:14">
      <c r="B1651" s="95">
        <v>1599</v>
      </c>
      <c r="C1651" s="95">
        <f t="shared" si="127"/>
        <v>575640</v>
      </c>
      <c r="D1651" s="95">
        <f ca="1">_xlfn.XLOOKUP(总览!$B$44,$B$40:$B$45,$C$40:$C$45)</f>
        <v>5</v>
      </c>
      <c r="E1651" s="95">
        <f ca="1" t="shared" si="126"/>
        <v>1629</v>
      </c>
      <c r="F1651" s="95">
        <f ca="1" t="shared" si="128"/>
        <v>0</v>
      </c>
      <c r="G1651" s="95">
        <f ca="1" t="shared" si="129"/>
        <v>0</v>
      </c>
      <c r="H1651" s="95" cm="1">
        <f ca="1" t="array" ref="H1651">MIN(30-SUM(I1651:L1651),_xlfn.XLOOKUP($D1651&amp;"_"&amp;H$52,$B$14:$B$36&amp;"_"&amp;$C$14:$C$36,$D$14:$D$36)*$E1651,18)</f>
        <v>11.4388</v>
      </c>
      <c r="I1651" s="95" cm="1">
        <f ca="1" t="array" ref="I1651">MIN(30-SUM(J1651:L1651),6-L1651,_xlfn.XLOOKUP($D1651&amp;"_"&amp;I$52,$B$14:$B$36&amp;"_"&amp;$C$14:$C$36,$D$14:$D$36)*$E1651)</f>
        <v>0</v>
      </c>
      <c r="J1651" s="95" cm="1">
        <f ca="1" t="array" ref="J1651">MIN(8,_xlfn.XLOOKUP($D1651&amp;"_"&amp;J$52,$B$14:$B$36&amp;"_"&amp;$C$14:$C$36,$D$14:$D$36)*$E1651)</f>
        <v>8</v>
      </c>
      <c r="K1651" s="95" cm="1">
        <f ca="1" t="array" ref="K1651">MIN(18,_xlfn.XLOOKUP($D1651&amp;"_"&amp;K$52,$B$14:$B$36&amp;"_"&amp;$C$14:$C$36,$D$14:$D$36)*$E1651)</f>
        <v>4.5612</v>
      </c>
      <c r="L1651" s="95" cm="1">
        <f ca="1" t="array" ref="L1651">MIN(6,_xlfn.XLOOKUP($D1651&amp;"_"&amp;L$52,$B$14:$B$36&amp;"_"&amp;$C$14:$C$36,$D$14:$D$36)*$E1651)</f>
        <v>6</v>
      </c>
      <c r="M1651" s="95" cm="1">
        <f ca="1" t="array" ref="M1651">(1+SUMPRODUCT(G1651:H1651,OFFSET($H$40:$I$40,D1651,0)))*(1+OFFSET($J$40,D1651,0))^I1651*(1+OFFSET($K$40,D1651,0))^J1651*(1+OFFSET($L$40,D1651,0))^K1651*(1+OFFSET($M$40,D1651,0))^L1651</f>
        <v>368.210902657169</v>
      </c>
      <c r="N1651" s="95">
        <f ca="1">MAX(MAX($N$53:N1650),OFFSET($C$52,MATCH(M1651*1.07,$M$53:$M$2052,1),0)-C1651)</f>
        <v>72000</v>
      </c>
    </row>
    <row r="1652" spans="2:14">
      <c r="B1652" s="95">
        <v>1600</v>
      </c>
      <c r="C1652" s="95">
        <f t="shared" si="127"/>
        <v>576000</v>
      </c>
      <c r="D1652" s="95">
        <f ca="1">_xlfn.XLOOKUP(总览!$B$44,$B$40:$B$45,$C$40:$C$45)</f>
        <v>5</v>
      </c>
      <c r="E1652" s="95">
        <f ca="1" t="shared" si="126"/>
        <v>1630</v>
      </c>
      <c r="F1652" s="95">
        <f ca="1" t="shared" si="128"/>
        <v>0</v>
      </c>
      <c r="G1652" s="95">
        <f ca="1" t="shared" si="129"/>
        <v>0</v>
      </c>
      <c r="H1652" s="95" cm="1">
        <f ca="1" t="array" ref="H1652">MIN(30-SUM(I1652:L1652),_xlfn.XLOOKUP($D1652&amp;"_"&amp;H$52,$B$14:$B$36&amp;"_"&amp;$C$14:$C$36,$D$14:$D$36)*$E1652,18)</f>
        <v>11.436</v>
      </c>
      <c r="I1652" s="95" cm="1">
        <f ca="1" t="array" ref="I1652">MIN(30-SUM(J1652:L1652),6-L1652,_xlfn.XLOOKUP($D1652&amp;"_"&amp;I$52,$B$14:$B$36&amp;"_"&amp;$C$14:$C$36,$D$14:$D$36)*$E1652)</f>
        <v>0</v>
      </c>
      <c r="J1652" s="95" cm="1">
        <f ca="1" t="array" ref="J1652">MIN(8,_xlfn.XLOOKUP($D1652&amp;"_"&amp;J$52,$B$14:$B$36&amp;"_"&amp;$C$14:$C$36,$D$14:$D$36)*$E1652)</f>
        <v>8</v>
      </c>
      <c r="K1652" s="95" cm="1">
        <f ca="1" t="array" ref="K1652">MIN(18,_xlfn.XLOOKUP($D1652&amp;"_"&amp;K$52,$B$14:$B$36&amp;"_"&amp;$C$14:$C$36,$D$14:$D$36)*$E1652)</f>
        <v>4.564</v>
      </c>
      <c r="L1652" s="95" cm="1">
        <f ca="1" t="array" ref="L1652">MIN(6,_xlfn.XLOOKUP($D1652&amp;"_"&amp;L$52,$B$14:$B$36&amp;"_"&amp;$C$14:$C$36,$D$14:$D$36)*$E1652)</f>
        <v>6</v>
      </c>
      <c r="M1652" s="95" cm="1">
        <f ca="1" t="array" ref="M1652">(1+SUMPRODUCT(G1652:H1652,OFFSET($H$40:$I$40,D1652,0)))*(1+OFFSET($J$40,D1652,0))^I1652*(1+OFFSET($K$40,D1652,0))^J1652*(1+OFFSET($L$40,D1652,0))^K1652*(1+OFFSET($M$40,D1652,0))^L1652</f>
        <v>368.336173520937</v>
      </c>
      <c r="N1652" s="95">
        <f ca="1">MAX(MAX($N$53:N1651),OFFSET($C$52,MATCH(M1652*1.07,$M$53:$M$2052,1),0)-C1652)</f>
        <v>72000</v>
      </c>
    </row>
    <row r="1653" spans="2:14">
      <c r="B1653" s="95">
        <v>1601</v>
      </c>
      <c r="C1653" s="95">
        <f t="shared" si="127"/>
        <v>576360</v>
      </c>
      <c r="D1653" s="95">
        <f ca="1">_xlfn.XLOOKUP(总览!$B$44,$B$40:$B$45,$C$40:$C$45)</f>
        <v>5</v>
      </c>
      <c r="E1653" s="95">
        <f ca="1" t="shared" si="126"/>
        <v>1631</v>
      </c>
      <c r="F1653" s="95">
        <f ca="1" t="shared" si="128"/>
        <v>0</v>
      </c>
      <c r="G1653" s="95">
        <f ca="1" t="shared" si="129"/>
        <v>0</v>
      </c>
      <c r="H1653" s="95" cm="1">
        <f ca="1" t="array" ref="H1653">MIN(30-SUM(I1653:L1653),_xlfn.XLOOKUP($D1653&amp;"_"&amp;H$52,$B$14:$B$36&amp;"_"&amp;$C$14:$C$36,$D$14:$D$36)*$E1653,18)</f>
        <v>11.4332</v>
      </c>
      <c r="I1653" s="95" cm="1">
        <f ca="1" t="array" ref="I1653">MIN(30-SUM(J1653:L1653),6-L1653,_xlfn.XLOOKUP($D1653&amp;"_"&amp;I$52,$B$14:$B$36&amp;"_"&amp;$C$14:$C$36,$D$14:$D$36)*$E1653)</f>
        <v>0</v>
      </c>
      <c r="J1653" s="95" cm="1">
        <f ca="1" t="array" ref="J1653">MIN(8,_xlfn.XLOOKUP($D1653&amp;"_"&amp;J$52,$B$14:$B$36&amp;"_"&amp;$C$14:$C$36,$D$14:$D$36)*$E1653)</f>
        <v>8</v>
      </c>
      <c r="K1653" s="95" cm="1">
        <f ca="1" t="array" ref="K1653">MIN(18,_xlfn.XLOOKUP($D1653&amp;"_"&amp;K$52,$B$14:$B$36&amp;"_"&amp;$C$14:$C$36,$D$14:$D$36)*$E1653)</f>
        <v>4.5668</v>
      </c>
      <c r="L1653" s="95" cm="1">
        <f ca="1" t="array" ref="L1653">MIN(6,_xlfn.XLOOKUP($D1653&amp;"_"&amp;L$52,$B$14:$B$36&amp;"_"&amp;$C$14:$C$36,$D$14:$D$36)*$E1653)</f>
        <v>6</v>
      </c>
      <c r="M1653" s="95" cm="1">
        <f ca="1" t="array" ref="M1653">(1+SUMPRODUCT(G1653:H1653,OFFSET($H$40:$I$40,D1653,0)))*(1+OFFSET($J$40,D1653,0))^I1653*(1+OFFSET($K$40,D1653,0))^J1653*(1+OFFSET($L$40,D1653,0))^K1653*(1+OFFSET($M$40,D1653,0))^L1653</f>
        <v>368.461476310327</v>
      </c>
      <c r="N1653" s="95">
        <f ca="1">MAX(MAX($N$53:N1652),OFFSET($C$52,MATCH(M1653*1.07,$M$53:$M$2052,1),0)-C1653)</f>
        <v>72000</v>
      </c>
    </row>
    <row r="1654" spans="2:14">
      <c r="B1654" s="95">
        <v>1602</v>
      </c>
      <c r="C1654" s="95">
        <f t="shared" si="127"/>
        <v>576720</v>
      </c>
      <c r="D1654" s="95">
        <f ca="1">_xlfn.XLOOKUP(总览!$B$44,$B$40:$B$45,$C$40:$C$45)</f>
        <v>5</v>
      </c>
      <c r="E1654" s="95">
        <f ca="1" t="shared" ref="E1654:E1717" si="130">INT(C1654/_xlfn.XLOOKUP(D1654,$N$5:$N$16,$O$5:$O$16))+OFFSET($R$40,D1654,0)</f>
        <v>1632</v>
      </c>
      <c r="F1654" s="95">
        <f ca="1" t="shared" si="128"/>
        <v>0</v>
      </c>
      <c r="G1654" s="95">
        <f ca="1" t="shared" si="129"/>
        <v>0</v>
      </c>
      <c r="H1654" s="95" cm="1">
        <f ca="1" t="array" ref="H1654">MIN(30-SUM(I1654:L1654),_xlfn.XLOOKUP($D1654&amp;"_"&amp;H$52,$B$14:$B$36&amp;"_"&amp;$C$14:$C$36,$D$14:$D$36)*$E1654,18)</f>
        <v>11.4304</v>
      </c>
      <c r="I1654" s="95" cm="1">
        <f ca="1" t="array" ref="I1654">MIN(30-SUM(J1654:L1654),6-L1654,_xlfn.XLOOKUP($D1654&amp;"_"&amp;I$52,$B$14:$B$36&amp;"_"&amp;$C$14:$C$36,$D$14:$D$36)*$E1654)</f>
        <v>0</v>
      </c>
      <c r="J1654" s="95" cm="1">
        <f ca="1" t="array" ref="J1654">MIN(8,_xlfn.XLOOKUP($D1654&amp;"_"&amp;J$52,$B$14:$B$36&amp;"_"&amp;$C$14:$C$36,$D$14:$D$36)*$E1654)</f>
        <v>8</v>
      </c>
      <c r="K1654" s="95" cm="1">
        <f ca="1" t="array" ref="K1654">MIN(18,_xlfn.XLOOKUP($D1654&amp;"_"&amp;K$52,$B$14:$B$36&amp;"_"&amp;$C$14:$C$36,$D$14:$D$36)*$E1654)</f>
        <v>4.5696</v>
      </c>
      <c r="L1654" s="95" cm="1">
        <f ca="1" t="array" ref="L1654">MIN(6,_xlfn.XLOOKUP($D1654&amp;"_"&amp;L$52,$B$14:$B$36&amp;"_"&amp;$C$14:$C$36,$D$14:$D$36)*$E1654)</f>
        <v>6</v>
      </c>
      <c r="M1654" s="95" cm="1">
        <f ca="1" t="array" ref="M1654">(1+SUMPRODUCT(G1654:H1654,OFFSET($H$40:$I$40,D1654,0)))*(1+OFFSET($J$40,D1654,0))^I1654*(1+OFFSET($K$40,D1654,0))^J1654*(1+OFFSET($L$40,D1654,0))^K1654*(1+OFFSET($M$40,D1654,0))^L1654</f>
        <v>368.58681102528</v>
      </c>
      <c r="N1654" s="95">
        <f ca="1">MAX(MAX($N$53:N1653),OFFSET($C$52,MATCH(M1654*1.07,$M$53:$M$2052,1),0)-C1654)</f>
        <v>72000</v>
      </c>
    </row>
    <row r="1655" spans="2:14">
      <c r="B1655" s="95">
        <v>1603</v>
      </c>
      <c r="C1655" s="95">
        <f t="shared" si="127"/>
        <v>577080</v>
      </c>
      <c r="D1655" s="95">
        <f ca="1">_xlfn.XLOOKUP(总览!$B$44,$B$40:$B$45,$C$40:$C$45)</f>
        <v>5</v>
      </c>
      <c r="E1655" s="95">
        <f ca="1" t="shared" si="130"/>
        <v>1633</v>
      </c>
      <c r="F1655" s="95">
        <f ca="1" t="shared" si="128"/>
        <v>0</v>
      </c>
      <c r="G1655" s="95">
        <f ca="1" t="shared" si="129"/>
        <v>0</v>
      </c>
      <c r="H1655" s="95" cm="1">
        <f ca="1" t="array" ref="H1655">MIN(30-SUM(I1655:L1655),_xlfn.XLOOKUP($D1655&amp;"_"&amp;H$52,$B$14:$B$36&amp;"_"&amp;$C$14:$C$36,$D$14:$D$36)*$E1655,18)</f>
        <v>11.4276</v>
      </c>
      <c r="I1655" s="95" cm="1">
        <f ca="1" t="array" ref="I1655">MIN(30-SUM(J1655:L1655),6-L1655,_xlfn.XLOOKUP($D1655&amp;"_"&amp;I$52,$B$14:$B$36&amp;"_"&amp;$C$14:$C$36,$D$14:$D$36)*$E1655)</f>
        <v>0</v>
      </c>
      <c r="J1655" s="95" cm="1">
        <f ca="1" t="array" ref="J1655">MIN(8,_xlfn.XLOOKUP($D1655&amp;"_"&amp;J$52,$B$14:$B$36&amp;"_"&amp;$C$14:$C$36,$D$14:$D$36)*$E1655)</f>
        <v>8</v>
      </c>
      <c r="K1655" s="95" cm="1">
        <f ca="1" t="array" ref="K1655">MIN(18,_xlfn.XLOOKUP($D1655&amp;"_"&amp;K$52,$B$14:$B$36&amp;"_"&amp;$C$14:$C$36,$D$14:$D$36)*$E1655)</f>
        <v>4.5724</v>
      </c>
      <c r="L1655" s="95" cm="1">
        <f ca="1" t="array" ref="L1655">MIN(6,_xlfn.XLOOKUP($D1655&amp;"_"&amp;L$52,$B$14:$B$36&amp;"_"&amp;$C$14:$C$36,$D$14:$D$36)*$E1655)</f>
        <v>6</v>
      </c>
      <c r="M1655" s="95" cm="1">
        <f ca="1" t="array" ref="M1655">(1+SUMPRODUCT(G1655:H1655,OFFSET($H$40:$I$40,D1655,0)))*(1+OFFSET($J$40,D1655,0))^I1655*(1+OFFSET($K$40,D1655,0))^J1655*(1+OFFSET($L$40,D1655,0))^K1655*(1+OFFSET($M$40,D1655,0))^L1655</f>
        <v>368.712177665728</v>
      </c>
      <c r="N1655" s="95">
        <f ca="1">MAX(MAX($N$53:N1654),OFFSET($C$52,MATCH(M1655*1.07,$M$53:$M$2052,1),0)-C1655)</f>
        <v>72000</v>
      </c>
    </row>
    <row r="1656" spans="2:14">
      <c r="B1656" s="95">
        <v>1604</v>
      </c>
      <c r="C1656" s="95">
        <f t="shared" si="127"/>
        <v>577440</v>
      </c>
      <c r="D1656" s="95">
        <f ca="1">_xlfn.XLOOKUP(总览!$B$44,$B$40:$B$45,$C$40:$C$45)</f>
        <v>5</v>
      </c>
      <c r="E1656" s="95">
        <f ca="1" t="shared" si="130"/>
        <v>1634</v>
      </c>
      <c r="F1656" s="95">
        <f ca="1" t="shared" si="128"/>
        <v>0</v>
      </c>
      <c r="G1656" s="95">
        <f ca="1" t="shared" si="129"/>
        <v>0</v>
      </c>
      <c r="H1656" s="95" cm="1">
        <f ca="1" t="array" ref="H1656">MIN(30-SUM(I1656:L1656),_xlfn.XLOOKUP($D1656&amp;"_"&amp;H$52,$B$14:$B$36&amp;"_"&amp;$C$14:$C$36,$D$14:$D$36)*$E1656,18)</f>
        <v>11.4248</v>
      </c>
      <c r="I1656" s="95" cm="1">
        <f ca="1" t="array" ref="I1656">MIN(30-SUM(J1656:L1656),6-L1656,_xlfn.XLOOKUP($D1656&amp;"_"&amp;I$52,$B$14:$B$36&amp;"_"&amp;$C$14:$C$36,$D$14:$D$36)*$E1656)</f>
        <v>0</v>
      </c>
      <c r="J1656" s="95" cm="1">
        <f ca="1" t="array" ref="J1656">MIN(8,_xlfn.XLOOKUP($D1656&amp;"_"&amp;J$52,$B$14:$B$36&amp;"_"&amp;$C$14:$C$36,$D$14:$D$36)*$E1656)</f>
        <v>8</v>
      </c>
      <c r="K1656" s="95" cm="1">
        <f ca="1" t="array" ref="K1656">MIN(18,_xlfn.XLOOKUP($D1656&amp;"_"&amp;K$52,$B$14:$B$36&amp;"_"&amp;$C$14:$C$36,$D$14:$D$36)*$E1656)</f>
        <v>4.5752</v>
      </c>
      <c r="L1656" s="95" cm="1">
        <f ca="1" t="array" ref="L1656">MIN(6,_xlfn.XLOOKUP($D1656&amp;"_"&amp;L$52,$B$14:$B$36&amp;"_"&amp;$C$14:$C$36,$D$14:$D$36)*$E1656)</f>
        <v>6</v>
      </c>
      <c r="M1656" s="95" cm="1">
        <f ca="1" t="array" ref="M1656">(1+SUMPRODUCT(G1656:H1656,OFFSET($H$40:$I$40,D1656,0)))*(1+OFFSET($J$40,D1656,0))^I1656*(1+OFFSET($K$40,D1656,0))^J1656*(1+OFFSET($L$40,D1656,0))^K1656*(1+OFFSET($M$40,D1656,0))^L1656</f>
        <v>368.837576231595</v>
      </c>
      <c r="N1656" s="95">
        <f ca="1">MAX(MAX($N$53:N1655),OFFSET($C$52,MATCH(M1656*1.07,$M$53:$M$2052,1),0)-C1656)</f>
        <v>72000</v>
      </c>
    </row>
    <row r="1657" spans="2:14">
      <c r="B1657" s="95">
        <v>1605</v>
      </c>
      <c r="C1657" s="95">
        <f t="shared" si="127"/>
        <v>577800</v>
      </c>
      <c r="D1657" s="95">
        <f ca="1">_xlfn.XLOOKUP(总览!$B$44,$B$40:$B$45,$C$40:$C$45)</f>
        <v>5</v>
      </c>
      <c r="E1657" s="95">
        <f ca="1" t="shared" si="130"/>
        <v>1635</v>
      </c>
      <c r="F1657" s="95">
        <f ca="1" t="shared" si="128"/>
        <v>0</v>
      </c>
      <c r="G1657" s="95">
        <f ca="1" t="shared" si="129"/>
        <v>0</v>
      </c>
      <c r="H1657" s="95" cm="1">
        <f ca="1" t="array" ref="H1657">MIN(30-SUM(I1657:L1657),_xlfn.XLOOKUP($D1657&amp;"_"&amp;H$52,$B$14:$B$36&amp;"_"&amp;$C$14:$C$36,$D$14:$D$36)*$E1657,18)</f>
        <v>11.422</v>
      </c>
      <c r="I1657" s="95" cm="1">
        <f ca="1" t="array" ref="I1657">MIN(30-SUM(J1657:L1657),6-L1657,_xlfn.XLOOKUP($D1657&amp;"_"&amp;I$52,$B$14:$B$36&amp;"_"&amp;$C$14:$C$36,$D$14:$D$36)*$E1657)</f>
        <v>0</v>
      </c>
      <c r="J1657" s="95" cm="1">
        <f ca="1" t="array" ref="J1657">MIN(8,_xlfn.XLOOKUP($D1657&amp;"_"&amp;J$52,$B$14:$B$36&amp;"_"&amp;$C$14:$C$36,$D$14:$D$36)*$E1657)</f>
        <v>8</v>
      </c>
      <c r="K1657" s="95" cm="1">
        <f ca="1" t="array" ref="K1657">MIN(18,_xlfn.XLOOKUP($D1657&amp;"_"&amp;K$52,$B$14:$B$36&amp;"_"&amp;$C$14:$C$36,$D$14:$D$36)*$E1657)</f>
        <v>4.578</v>
      </c>
      <c r="L1657" s="95" cm="1">
        <f ca="1" t="array" ref="L1657">MIN(6,_xlfn.XLOOKUP($D1657&amp;"_"&amp;L$52,$B$14:$B$36&amp;"_"&amp;$C$14:$C$36,$D$14:$D$36)*$E1657)</f>
        <v>6</v>
      </c>
      <c r="M1657" s="95" cm="1">
        <f ca="1" t="array" ref="M1657">(1+SUMPRODUCT(G1657:H1657,OFFSET($H$40:$I$40,D1657,0)))*(1+OFFSET($J$40,D1657,0))^I1657*(1+OFFSET($K$40,D1657,0))^J1657*(1+OFFSET($L$40,D1657,0))^K1657*(1+OFFSET($M$40,D1657,0))^L1657</f>
        <v>368.963006722798</v>
      </c>
      <c r="N1657" s="95">
        <f ca="1">MAX(MAX($N$53:N1656),OFFSET($C$52,MATCH(M1657*1.07,$M$53:$M$2052,1),0)-C1657)</f>
        <v>72000</v>
      </c>
    </row>
    <row r="1658" spans="2:14">
      <c r="B1658" s="95">
        <v>1606</v>
      </c>
      <c r="C1658" s="95">
        <f t="shared" si="127"/>
        <v>578160</v>
      </c>
      <c r="D1658" s="95">
        <f ca="1">_xlfn.XLOOKUP(总览!$B$44,$B$40:$B$45,$C$40:$C$45)</f>
        <v>5</v>
      </c>
      <c r="E1658" s="95">
        <f ca="1" t="shared" si="130"/>
        <v>1636</v>
      </c>
      <c r="F1658" s="95">
        <f ca="1" t="shared" si="128"/>
        <v>0</v>
      </c>
      <c r="G1658" s="95">
        <f ca="1" t="shared" si="129"/>
        <v>0</v>
      </c>
      <c r="H1658" s="95" cm="1">
        <f ca="1" t="array" ref="H1658">MIN(30-SUM(I1658:L1658),_xlfn.XLOOKUP($D1658&amp;"_"&amp;H$52,$B$14:$B$36&amp;"_"&amp;$C$14:$C$36,$D$14:$D$36)*$E1658,18)</f>
        <v>11.4192</v>
      </c>
      <c r="I1658" s="95" cm="1">
        <f ca="1" t="array" ref="I1658">MIN(30-SUM(J1658:L1658),6-L1658,_xlfn.XLOOKUP($D1658&amp;"_"&amp;I$52,$B$14:$B$36&amp;"_"&amp;$C$14:$C$36,$D$14:$D$36)*$E1658)</f>
        <v>0</v>
      </c>
      <c r="J1658" s="95" cm="1">
        <f ca="1" t="array" ref="J1658">MIN(8,_xlfn.XLOOKUP($D1658&amp;"_"&amp;J$52,$B$14:$B$36&amp;"_"&amp;$C$14:$C$36,$D$14:$D$36)*$E1658)</f>
        <v>8</v>
      </c>
      <c r="K1658" s="95" cm="1">
        <f ca="1" t="array" ref="K1658">MIN(18,_xlfn.XLOOKUP($D1658&amp;"_"&amp;K$52,$B$14:$B$36&amp;"_"&amp;$C$14:$C$36,$D$14:$D$36)*$E1658)</f>
        <v>4.5808</v>
      </c>
      <c r="L1658" s="95" cm="1">
        <f ca="1" t="array" ref="L1658">MIN(6,_xlfn.XLOOKUP($D1658&amp;"_"&amp;L$52,$B$14:$B$36&amp;"_"&amp;$C$14:$C$36,$D$14:$D$36)*$E1658)</f>
        <v>6</v>
      </c>
      <c r="M1658" s="95" cm="1">
        <f ca="1" t="array" ref="M1658">(1+SUMPRODUCT(G1658:H1658,OFFSET($H$40:$I$40,D1658,0)))*(1+OFFSET($J$40,D1658,0))^I1658*(1+OFFSET($K$40,D1658,0))^J1658*(1+OFFSET($L$40,D1658,0))^K1658*(1+OFFSET($M$40,D1658,0))^L1658</f>
        <v>369.088469139242</v>
      </c>
      <c r="N1658" s="95">
        <f ca="1">MAX(MAX($N$53:N1657),OFFSET($C$52,MATCH(M1658*1.07,$M$53:$M$2052,1),0)-C1658)</f>
        <v>72000</v>
      </c>
    </row>
    <row r="1659" spans="2:14">
      <c r="B1659" s="95">
        <v>1607</v>
      </c>
      <c r="C1659" s="95">
        <f t="shared" si="127"/>
        <v>578520</v>
      </c>
      <c r="D1659" s="95">
        <f ca="1">_xlfn.XLOOKUP(总览!$B$44,$B$40:$B$45,$C$40:$C$45)</f>
        <v>5</v>
      </c>
      <c r="E1659" s="95">
        <f ca="1" t="shared" si="130"/>
        <v>1637</v>
      </c>
      <c r="F1659" s="95">
        <f ca="1" t="shared" si="128"/>
        <v>0</v>
      </c>
      <c r="G1659" s="95">
        <f ca="1" t="shared" si="129"/>
        <v>0</v>
      </c>
      <c r="H1659" s="95" cm="1">
        <f ca="1" t="array" ref="H1659">MIN(30-SUM(I1659:L1659),_xlfn.XLOOKUP($D1659&amp;"_"&amp;H$52,$B$14:$B$36&amp;"_"&amp;$C$14:$C$36,$D$14:$D$36)*$E1659,18)</f>
        <v>11.4164</v>
      </c>
      <c r="I1659" s="95" cm="1">
        <f ca="1" t="array" ref="I1659">MIN(30-SUM(J1659:L1659),6-L1659,_xlfn.XLOOKUP($D1659&amp;"_"&amp;I$52,$B$14:$B$36&amp;"_"&amp;$C$14:$C$36,$D$14:$D$36)*$E1659)</f>
        <v>0</v>
      </c>
      <c r="J1659" s="95" cm="1">
        <f ca="1" t="array" ref="J1659">MIN(8,_xlfn.XLOOKUP($D1659&amp;"_"&amp;J$52,$B$14:$B$36&amp;"_"&amp;$C$14:$C$36,$D$14:$D$36)*$E1659)</f>
        <v>8</v>
      </c>
      <c r="K1659" s="95" cm="1">
        <f ca="1" t="array" ref="K1659">MIN(18,_xlfn.XLOOKUP($D1659&amp;"_"&amp;K$52,$B$14:$B$36&amp;"_"&amp;$C$14:$C$36,$D$14:$D$36)*$E1659)</f>
        <v>4.5836</v>
      </c>
      <c r="L1659" s="95" cm="1">
        <f ca="1" t="array" ref="L1659">MIN(6,_xlfn.XLOOKUP($D1659&amp;"_"&amp;L$52,$B$14:$B$36&amp;"_"&amp;$C$14:$C$36,$D$14:$D$36)*$E1659)</f>
        <v>6</v>
      </c>
      <c r="M1659" s="95" cm="1">
        <f ca="1" t="array" ref="M1659">(1+SUMPRODUCT(G1659:H1659,OFFSET($H$40:$I$40,D1659,0)))*(1+OFFSET($J$40,D1659,0))^I1659*(1+OFFSET($K$40,D1659,0))^J1659*(1+OFFSET($L$40,D1659,0))^K1659*(1+OFFSET($M$40,D1659,0))^L1659</f>
        <v>369.213963480827</v>
      </c>
      <c r="N1659" s="95">
        <f ca="1">MAX(MAX($N$53:N1658),OFFSET($C$52,MATCH(M1659*1.07,$M$53:$M$2052,1),0)-C1659)</f>
        <v>72000</v>
      </c>
    </row>
    <row r="1660" spans="2:14">
      <c r="B1660" s="95">
        <v>1608</v>
      </c>
      <c r="C1660" s="95">
        <f t="shared" si="127"/>
        <v>578880</v>
      </c>
      <c r="D1660" s="95">
        <f ca="1">_xlfn.XLOOKUP(总览!$B$44,$B$40:$B$45,$C$40:$C$45)</f>
        <v>5</v>
      </c>
      <c r="E1660" s="95">
        <f ca="1" t="shared" si="130"/>
        <v>1638</v>
      </c>
      <c r="F1660" s="95">
        <f ca="1" t="shared" si="128"/>
        <v>0</v>
      </c>
      <c r="G1660" s="95">
        <f ca="1" t="shared" si="129"/>
        <v>0</v>
      </c>
      <c r="H1660" s="95" cm="1">
        <f ca="1" t="array" ref="H1660">MIN(30-SUM(I1660:L1660),_xlfn.XLOOKUP($D1660&amp;"_"&amp;H$52,$B$14:$B$36&amp;"_"&amp;$C$14:$C$36,$D$14:$D$36)*$E1660,18)</f>
        <v>11.4136</v>
      </c>
      <c r="I1660" s="95" cm="1">
        <f ca="1" t="array" ref="I1660">MIN(30-SUM(J1660:L1660),6-L1660,_xlfn.XLOOKUP($D1660&amp;"_"&amp;I$52,$B$14:$B$36&amp;"_"&amp;$C$14:$C$36,$D$14:$D$36)*$E1660)</f>
        <v>0</v>
      </c>
      <c r="J1660" s="95" cm="1">
        <f ca="1" t="array" ref="J1660">MIN(8,_xlfn.XLOOKUP($D1660&amp;"_"&amp;J$52,$B$14:$B$36&amp;"_"&amp;$C$14:$C$36,$D$14:$D$36)*$E1660)</f>
        <v>8</v>
      </c>
      <c r="K1660" s="95" cm="1">
        <f ca="1" t="array" ref="K1660">MIN(18,_xlfn.XLOOKUP($D1660&amp;"_"&amp;K$52,$B$14:$B$36&amp;"_"&amp;$C$14:$C$36,$D$14:$D$36)*$E1660)</f>
        <v>4.5864</v>
      </c>
      <c r="L1660" s="95" cm="1">
        <f ca="1" t="array" ref="L1660">MIN(6,_xlfn.XLOOKUP($D1660&amp;"_"&amp;L$52,$B$14:$B$36&amp;"_"&amp;$C$14:$C$36,$D$14:$D$36)*$E1660)</f>
        <v>6</v>
      </c>
      <c r="M1660" s="95" cm="1">
        <f ca="1" t="array" ref="M1660">(1+SUMPRODUCT(G1660:H1660,OFFSET($H$40:$I$40,D1660,0)))*(1+OFFSET($J$40,D1660,0))^I1660*(1+OFFSET($K$40,D1660,0))^J1660*(1+OFFSET($L$40,D1660,0))^K1660*(1+OFFSET($M$40,D1660,0))^L1660</f>
        <v>369.339489747443</v>
      </c>
      <c r="N1660" s="95">
        <f ca="1">MAX(MAX($N$53:N1659),OFFSET($C$52,MATCH(M1660*1.07,$M$53:$M$2052,1),0)-C1660)</f>
        <v>72000</v>
      </c>
    </row>
    <row r="1661" spans="2:14">
      <c r="B1661" s="95">
        <v>1609</v>
      </c>
      <c r="C1661" s="95">
        <f t="shared" si="127"/>
        <v>579240</v>
      </c>
      <c r="D1661" s="95">
        <f ca="1">_xlfn.XLOOKUP(总览!$B$44,$B$40:$B$45,$C$40:$C$45)</f>
        <v>5</v>
      </c>
      <c r="E1661" s="95">
        <f ca="1" t="shared" si="130"/>
        <v>1639</v>
      </c>
      <c r="F1661" s="95">
        <f ca="1" t="shared" si="128"/>
        <v>0</v>
      </c>
      <c r="G1661" s="95">
        <f ca="1" t="shared" si="129"/>
        <v>0</v>
      </c>
      <c r="H1661" s="95" cm="1">
        <f ca="1" t="array" ref="H1661">MIN(30-SUM(I1661:L1661),_xlfn.XLOOKUP($D1661&amp;"_"&amp;H$52,$B$14:$B$36&amp;"_"&amp;$C$14:$C$36,$D$14:$D$36)*$E1661,18)</f>
        <v>11.4108</v>
      </c>
      <c r="I1661" s="95" cm="1">
        <f ca="1" t="array" ref="I1661">MIN(30-SUM(J1661:L1661),6-L1661,_xlfn.XLOOKUP($D1661&amp;"_"&amp;I$52,$B$14:$B$36&amp;"_"&amp;$C$14:$C$36,$D$14:$D$36)*$E1661)</f>
        <v>0</v>
      </c>
      <c r="J1661" s="95" cm="1">
        <f ca="1" t="array" ref="J1661">MIN(8,_xlfn.XLOOKUP($D1661&amp;"_"&amp;J$52,$B$14:$B$36&amp;"_"&amp;$C$14:$C$36,$D$14:$D$36)*$E1661)</f>
        <v>8</v>
      </c>
      <c r="K1661" s="95" cm="1">
        <f ca="1" t="array" ref="K1661">MIN(18,_xlfn.XLOOKUP($D1661&amp;"_"&amp;K$52,$B$14:$B$36&amp;"_"&amp;$C$14:$C$36,$D$14:$D$36)*$E1661)</f>
        <v>4.5892</v>
      </c>
      <c r="L1661" s="95" cm="1">
        <f ca="1" t="array" ref="L1661">MIN(6,_xlfn.XLOOKUP($D1661&amp;"_"&amp;L$52,$B$14:$B$36&amp;"_"&amp;$C$14:$C$36,$D$14:$D$36)*$E1661)</f>
        <v>6</v>
      </c>
      <c r="M1661" s="95" cm="1">
        <f ca="1" t="array" ref="M1661">(1+SUMPRODUCT(G1661:H1661,OFFSET($H$40:$I$40,D1661,0)))*(1+OFFSET($J$40,D1661,0))^I1661*(1+OFFSET($K$40,D1661,0))^J1661*(1+OFFSET($L$40,D1661,0))^K1661*(1+OFFSET($M$40,D1661,0))^L1661</f>
        <v>369.465047938973</v>
      </c>
      <c r="N1661" s="95">
        <f ca="1">MAX(MAX($N$53:N1660),OFFSET($C$52,MATCH(M1661*1.07,$M$53:$M$2052,1),0)-C1661)</f>
        <v>72000</v>
      </c>
    </row>
    <row r="1662" spans="2:14">
      <c r="B1662" s="95">
        <v>1610</v>
      </c>
      <c r="C1662" s="95">
        <f t="shared" si="127"/>
        <v>579600</v>
      </c>
      <c r="D1662" s="95">
        <f ca="1">_xlfn.XLOOKUP(总览!$B$44,$B$40:$B$45,$C$40:$C$45)</f>
        <v>5</v>
      </c>
      <c r="E1662" s="95">
        <f ca="1" t="shared" si="130"/>
        <v>1640</v>
      </c>
      <c r="F1662" s="95">
        <f ca="1" t="shared" si="128"/>
        <v>0</v>
      </c>
      <c r="G1662" s="95">
        <f ca="1" t="shared" si="129"/>
        <v>0</v>
      </c>
      <c r="H1662" s="95" cm="1">
        <f ca="1" t="array" ref="H1662">MIN(30-SUM(I1662:L1662),_xlfn.XLOOKUP($D1662&amp;"_"&amp;H$52,$B$14:$B$36&amp;"_"&amp;$C$14:$C$36,$D$14:$D$36)*$E1662,18)</f>
        <v>11.408</v>
      </c>
      <c r="I1662" s="95" cm="1">
        <f ca="1" t="array" ref="I1662">MIN(30-SUM(J1662:L1662),6-L1662,_xlfn.XLOOKUP($D1662&amp;"_"&amp;I$52,$B$14:$B$36&amp;"_"&amp;$C$14:$C$36,$D$14:$D$36)*$E1662)</f>
        <v>0</v>
      </c>
      <c r="J1662" s="95" cm="1">
        <f ca="1" t="array" ref="J1662">MIN(8,_xlfn.XLOOKUP($D1662&amp;"_"&amp;J$52,$B$14:$B$36&amp;"_"&amp;$C$14:$C$36,$D$14:$D$36)*$E1662)</f>
        <v>8</v>
      </c>
      <c r="K1662" s="95" cm="1">
        <f ca="1" t="array" ref="K1662">MIN(18,_xlfn.XLOOKUP($D1662&amp;"_"&amp;K$52,$B$14:$B$36&amp;"_"&amp;$C$14:$C$36,$D$14:$D$36)*$E1662)</f>
        <v>4.592</v>
      </c>
      <c r="L1662" s="95" cm="1">
        <f ca="1" t="array" ref="L1662">MIN(6,_xlfn.XLOOKUP($D1662&amp;"_"&amp;L$52,$B$14:$B$36&amp;"_"&amp;$C$14:$C$36,$D$14:$D$36)*$E1662)</f>
        <v>6</v>
      </c>
      <c r="M1662" s="95" cm="1">
        <f ca="1" t="array" ref="M1662">(1+SUMPRODUCT(G1662:H1662,OFFSET($H$40:$I$40,D1662,0)))*(1+OFFSET($J$40,D1662,0))^I1662*(1+OFFSET($K$40,D1662,0))^J1662*(1+OFFSET($L$40,D1662,0))^K1662*(1+OFFSET($M$40,D1662,0))^L1662</f>
        <v>369.590638055289</v>
      </c>
      <c r="N1662" s="95">
        <f ca="1">MAX(MAX($N$53:N1661),OFFSET($C$52,MATCH(M1662*1.07,$M$53:$M$2052,1),0)-C1662)</f>
        <v>72000</v>
      </c>
    </row>
    <row r="1663" spans="2:14">
      <c r="B1663" s="95">
        <v>1611</v>
      </c>
      <c r="C1663" s="95">
        <f t="shared" si="127"/>
        <v>579960</v>
      </c>
      <c r="D1663" s="95">
        <f ca="1">_xlfn.XLOOKUP(总览!$B$44,$B$40:$B$45,$C$40:$C$45)</f>
        <v>5</v>
      </c>
      <c r="E1663" s="95">
        <f ca="1" t="shared" si="130"/>
        <v>1641</v>
      </c>
      <c r="F1663" s="95">
        <f ca="1" t="shared" si="128"/>
        <v>0</v>
      </c>
      <c r="G1663" s="95">
        <f ca="1" t="shared" si="129"/>
        <v>0</v>
      </c>
      <c r="H1663" s="95" cm="1">
        <f ca="1" t="array" ref="H1663">MIN(30-SUM(I1663:L1663),_xlfn.XLOOKUP($D1663&amp;"_"&amp;H$52,$B$14:$B$36&amp;"_"&amp;$C$14:$C$36,$D$14:$D$36)*$E1663,18)</f>
        <v>11.4052</v>
      </c>
      <c r="I1663" s="95" cm="1">
        <f ca="1" t="array" ref="I1663">MIN(30-SUM(J1663:L1663),6-L1663,_xlfn.XLOOKUP($D1663&amp;"_"&amp;I$52,$B$14:$B$36&amp;"_"&amp;$C$14:$C$36,$D$14:$D$36)*$E1663)</f>
        <v>0</v>
      </c>
      <c r="J1663" s="95" cm="1">
        <f ca="1" t="array" ref="J1663">MIN(8,_xlfn.XLOOKUP($D1663&amp;"_"&amp;J$52,$B$14:$B$36&amp;"_"&amp;$C$14:$C$36,$D$14:$D$36)*$E1663)</f>
        <v>8</v>
      </c>
      <c r="K1663" s="95" cm="1">
        <f ca="1" t="array" ref="K1663">MIN(18,_xlfn.XLOOKUP($D1663&amp;"_"&amp;K$52,$B$14:$B$36&amp;"_"&amp;$C$14:$C$36,$D$14:$D$36)*$E1663)</f>
        <v>4.5948</v>
      </c>
      <c r="L1663" s="95" cm="1">
        <f ca="1" t="array" ref="L1663">MIN(6,_xlfn.XLOOKUP($D1663&amp;"_"&amp;L$52,$B$14:$B$36&amp;"_"&amp;$C$14:$C$36,$D$14:$D$36)*$E1663)</f>
        <v>6</v>
      </c>
      <c r="M1663" s="95" cm="1">
        <f ca="1" t="array" ref="M1663">(1+SUMPRODUCT(G1663:H1663,OFFSET($H$40:$I$40,D1663,0)))*(1+OFFSET($J$40,D1663,0))^I1663*(1+OFFSET($K$40,D1663,0))^J1663*(1+OFFSET($L$40,D1663,0))^K1663*(1+OFFSET($M$40,D1663,0))^L1663</f>
        <v>369.716260096257</v>
      </c>
      <c r="N1663" s="95">
        <f ca="1">MAX(MAX($N$53:N1662),OFFSET($C$52,MATCH(M1663*1.07,$M$53:$M$2052,1),0)-C1663)</f>
        <v>72000</v>
      </c>
    </row>
    <row r="1664" spans="2:14">
      <c r="B1664" s="95">
        <v>1612</v>
      </c>
      <c r="C1664" s="95">
        <f t="shared" si="127"/>
        <v>580320</v>
      </c>
      <c r="D1664" s="95">
        <f ca="1">_xlfn.XLOOKUP(总览!$B$44,$B$40:$B$45,$C$40:$C$45)</f>
        <v>5</v>
      </c>
      <c r="E1664" s="95">
        <f ca="1" t="shared" si="130"/>
        <v>1642</v>
      </c>
      <c r="F1664" s="95">
        <f ca="1" t="shared" si="128"/>
        <v>0</v>
      </c>
      <c r="G1664" s="95">
        <f ca="1" t="shared" si="129"/>
        <v>0</v>
      </c>
      <c r="H1664" s="95" cm="1">
        <f ca="1" t="array" ref="H1664">MIN(30-SUM(I1664:L1664),_xlfn.XLOOKUP($D1664&amp;"_"&amp;H$52,$B$14:$B$36&amp;"_"&amp;$C$14:$C$36,$D$14:$D$36)*$E1664,18)</f>
        <v>11.4024</v>
      </c>
      <c r="I1664" s="95" cm="1">
        <f ca="1" t="array" ref="I1664">MIN(30-SUM(J1664:L1664),6-L1664,_xlfn.XLOOKUP($D1664&amp;"_"&amp;I$52,$B$14:$B$36&amp;"_"&amp;$C$14:$C$36,$D$14:$D$36)*$E1664)</f>
        <v>0</v>
      </c>
      <c r="J1664" s="95" cm="1">
        <f ca="1" t="array" ref="J1664">MIN(8,_xlfn.XLOOKUP($D1664&amp;"_"&amp;J$52,$B$14:$B$36&amp;"_"&amp;$C$14:$C$36,$D$14:$D$36)*$E1664)</f>
        <v>8</v>
      </c>
      <c r="K1664" s="95" cm="1">
        <f ca="1" t="array" ref="K1664">MIN(18,_xlfn.XLOOKUP($D1664&amp;"_"&amp;K$52,$B$14:$B$36&amp;"_"&amp;$C$14:$C$36,$D$14:$D$36)*$E1664)</f>
        <v>4.5976</v>
      </c>
      <c r="L1664" s="95" cm="1">
        <f ca="1" t="array" ref="L1664">MIN(6,_xlfn.XLOOKUP($D1664&amp;"_"&amp;L$52,$B$14:$B$36&amp;"_"&amp;$C$14:$C$36,$D$14:$D$36)*$E1664)</f>
        <v>6</v>
      </c>
      <c r="M1664" s="95" cm="1">
        <f ca="1" t="array" ref="M1664">(1+SUMPRODUCT(G1664:H1664,OFFSET($H$40:$I$40,D1664,0)))*(1+OFFSET($J$40,D1664,0))^I1664*(1+OFFSET($K$40,D1664,0))^J1664*(1+OFFSET($L$40,D1664,0))^K1664*(1+OFFSET($M$40,D1664,0))^L1664</f>
        <v>369.841914061733</v>
      </c>
      <c r="N1664" s="95">
        <f ca="1">MAX(MAX($N$53:N1663),OFFSET($C$52,MATCH(M1664*1.07,$M$53:$M$2052,1),0)-C1664)</f>
        <v>72000</v>
      </c>
    </row>
    <row r="1665" spans="2:14">
      <c r="B1665" s="95">
        <v>1613</v>
      </c>
      <c r="C1665" s="95">
        <f t="shared" si="127"/>
        <v>580680</v>
      </c>
      <c r="D1665" s="95">
        <f ca="1">_xlfn.XLOOKUP(总览!$B$44,$B$40:$B$45,$C$40:$C$45)</f>
        <v>5</v>
      </c>
      <c r="E1665" s="95">
        <f ca="1" t="shared" si="130"/>
        <v>1643</v>
      </c>
      <c r="F1665" s="95">
        <f ca="1" t="shared" si="128"/>
        <v>0</v>
      </c>
      <c r="G1665" s="95">
        <f ca="1" t="shared" si="129"/>
        <v>0</v>
      </c>
      <c r="H1665" s="95" cm="1">
        <f ca="1" t="array" ref="H1665">MIN(30-SUM(I1665:L1665),_xlfn.XLOOKUP($D1665&amp;"_"&amp;H$52,$B$14:$B$36&amp;"_"&amp;$C$14:$C$36,$D$14:$D$36)*$E1665,18)</f>
        <v>11.3996</v>
      </c>
      <c r="I1665" s="95" cm="1">
        <f ca="1" t="array" ref="I1665">MIN(30-SUM(J1665:L1665),6-L1665,_xlfn.XLOOKUP($D1665&amp;"_"&amp;I$52,$B$14:$B$36&amp;"_"&amp;$C$14:$C$36,$D$14:$D$36)*$E1665)</f>
        <v>0</v>
      </c>
      <c r="J1665" s="95" cm="1">
        <f ca="1" t="array" ref="J1665">MIN(8,_xlfn.XLOOKUP($D1665&amp;"_"&amp;J$52,$B$14:$B$36&amp;"_"&amp;$C$14:$C$36,$D$14:$D$36)*$E1665)</f>
        <v>8</v>
      </c>
      <c r="K1665" s="95" cm="1">
        <f ca="1" t="array" ref="K1665">MIN(18,_xlfn.XLOOKUP($D1665&amp;"_"&amp;K$52,$B$14:$B$36&amp;"_"&amp;$C$14:$C$36,$D$14:$D$36)*$E1665)</f>
        <v>4.6004</v>
      </c>
      <c r="L1665" s="95" cm="1">
        <f ca="1" t="array" ref="L1665">MIN(6,_xlfn.XLOOKUP($D1665&amp;"_"&amp;L$52,$B$14:$B$36&amp;"_"&amp;$C$14:$C$36,$D$14:$D$36)*$E1665)</f>
        <v>6</v>
      </c>
      <c r="M1665" s="95" cm="1">
        <f ca="1" t="array" ref="M1665">(1+SUMPRODUCT(G1665:H1665,OFFSET($H$40:$I$40,D1665,0)))*(1+OFFSET($J$40,D1665,0))^I1665*(1+OFFSET($K$40,D1665,0))^J1665*(1+OFFSET($L$40,D1665,0))^K1665*(1+OFFSET($M$40,D1665,0))^L1665</f>
        <v>369.967599951566</v>
      </c>
      <c r="N1665" s="95">
        <f ca="1">MAX(MAX($N$53:N1664),OFFSET($C$52,MATCH(M1665*1.07,$M$53:$M$2052,1),0)-C1665)</f>
        <v>72000</v>
      </c>
    </row>
    <row r="1666" spans="2:14">
      <c r="B1666" s="95">
        <v>1614</v>
      </c>
      <c r="C1666" s="95">
        <f t="shared" si="127"/>
        <v>581040</v>
      </c>
      <c r="D1666" s="95">
        <f ca="1">_xlfn.XLOOKUP(总览!$B$44,$B$40:$B$45,$C$40:$C$45)</f>
        <v>5</v>
      </c>
      <c r="E1666" s="95">
        <f ca="1" t="shared" si="130"/>
        <v>1644</v>
      </c>
      <c r="F1666" s="95">
        <f ca="1" t="shared" si="128"/>
        <v>0</v>
      </c>
      <c r="G1666" s="95">
        <f ca="1" t="shared" si="129"/>
        <v>0</v>
      </c>
      <c r="H1666" s="95" cm="1">
        <f ca="1" t="array" ref="H1666">MIN(30-SUM(I1666:L1666),_xlfn.XLOOKUP($D1666&amp;"_"&amp;H$52,$B$14:$B$36&amp;"_"&amp;$C$14:$C$36,$D$14:$D$36)*$E1666,18)</f>
        <v>11.3968</v>
      </c>
      <c r="I1666" s="95" cm="1">
        <f ca="1" t="array" ref="I1666">MIN(30-SUM(J1666:L1666),6-L1666,_xlfn.XLOOKUP($D1666&amp;"_"&amp;I$52,$B$14:$B$36&amp;"_"&amp;$C$14:$C$36,$D$14:$D$36)*$E1666)</f>
        <v>0</v>
      </c>
      <c r="J1666" s="95" cm="1">
        <f ca="1" t="array" ref="J1666">MIN(8,_xlfn.XLOOKUP($D1666&amp;"_"&amp;J$52,$B$14:$B$36&amp;"_"&amp;$C$14:$C$36,$D$14:$D$36)*$E1666)</f>
        <v>8</v>
      </c>
      <c r="K1666" s="95" cm="1">
        <f ca="1" t="array" ref="K1666">MIN(18,_xlfn.XLOOKUP($D1666&amp;"_"&amp;K$52,$B$14:$B$36&amp;"_"&amp;$C$14:$C$36,$D$14:$D$36)*$E1666)</f>
        <v>4.6032</v>
      </c>
      <c r="L1666" s="95" cm="1">
        <f ca="1" t="array" ref="L1666">MIN(6,_xlfn.XLOOKUP($D1666&amp;"_"&amp;L$52,$B$14:$B$36&amp;"_"&amp;$C$14:$C$36,$D$14:$D$36)*$E1666)</f>
        <v>6</v>
      </c>
      <c r="M1666" s="95" cm="1">
        <f ca="1" t="array" ref="M1666">(1+SUMPRODUCT(G1666:H1666,OFFSET($H$40:$I$40,D1666,0)))*(1+OFFSET($J$40,D1666,0))^I1666*(1+OFFSET($K$40,D1666,0))^J1666*(1+OFFSET($L$40,D1666,0))^K1666*(1+OFFSET($M$40,D1666,0))^L1666</f>
        <v>370.093317765595</v>
      </c>
      <c r="N1666" s="95">
        <f ca="1">MAX(MAX($N$53:N1665),OFFSET($C$52,MATCH(M1666*1.07,$M$53:$M$2052,1),0)-C1666)</f>
        <v>72000</v>
      </c>
    </row>
    <row r="1667" spans="2:14">
      <c r="B1667" s="95">
        <v>1615</v>
      </c>
      <c r="C1667" s="95">
        <f t="shared" si="127"/>
        <v>581400</v>
      </c>
      <c r="D1667" s="95">
        <f ca="1">_xlfn.XLOOKUP(总览!$B$44,$B$40:$B$45,$C$40:$C$45)</f>
        <v>5</v>
      </c>
      <c r="E1667" s="95">
        <f ca="1" t="shared" si="130"/>
        <v>1645</v>
      </c>
      <c r="F1667" s="95">
        <f ca="1" t="shared" si="128"/>
        <v>0</v>
      </c>
      <c r="G1667" s="95">
        <f ca="1" t="shared" si="129"/>
        <v>0</v>
      </c>
      <c r="H1667" s="95" cm="1">
        <f ca="1" t="array" ref="H1667">MIN(30-SUM(I1667:L1667),_xlfn.XLOOKUP($D1667&amp;"_"&amp;H$52,$B$14:$B$36&amp;"_"&amp;$C$14:$C$36,$D$14:$D$36)*$E1667,18)</f>
        <v>11.394</v>
      </c>
      <c r="I1667" s="95" cm="1">
        <f ca="1" t="array" ref="I1667">MIN(30-SUM(J1667:L1667),6-L1667,_xlfn.XLOOKUP($D1667&amp;"_"&amp;I$52,$B$14:$B$36&amp;"_"&amp;$C$14:$C$36,$D$14:$D$36)*$E1667)</f>
        <v>0</v>
      </c>
      <c r="J1667" s="95" cm="1">
        <f ca="1" t="array" ref="J1667">MIN(8,_xlfn.XLOOKUP($D1667&amp;"_"&amp;J$52,$B$14:$B$36&amp;"_"&amp;$C$14:$C$36,$D$14:$D$36)*$E1667)</f>
        <v>8</v>
      </c>
      <c r="K1667" s="95" cm="1">
        <f ca="1" t="array" ref="K1667">MIN(18,_xlfn.XLOOKUP($D1667&amp;"_"&amp;K$52,$B$14:$B$36&amp;"_"&amp;$C$14:$C$36,$D$14:$D$36)*$E1667)</f>
        <v>4.606</v>
      </c>
      <c r="L1667" s="95" cm="1">
        <f ca="1" t="array" ref="L1667">MIN(6,_xlfn.XLOOKUP($D1667&amp;"_"&amp;L$52,$B$14:$B$36&amp;"_"&amp;$C$14:$C$36,$D$14:$D$36)*$E1667)</f>
        <v>6</v>
      </c>
      <c r="M1667" s="95" cm="1">
        <f ca="1" t="array" ref="M1667">(1+SUMPRODUCT(G1667:H1667,OFFSET($H$40:$I$40,D1667,0)))*(1+OFFSET($J$40,D1667,0))^I1667*(1+OFFSET($K$40,D1667,0))^J1667*(1+OFFSET($L$40,D1667,0))^K1667*(1+OFFSET($M$40,D1667,0))^L1667</f>
        <v>370.219067503651</v>
      </c>
      <c r="N1667" s="95">
        <f ca="1">MAX(MAX($N$53:N1666),OFFSET($C$52,MATCH(M1667*1.07,$M$53:$M$2052,1),0)-C1667)</f>
        <v>72000</v>
      </c>
    </row>
    <row r="1668" spans="2:14">
      <c r="B1668" s="95">
        <v>1616</v>
      </c>
      <c r="C1668" s="95">
        <f t="shared" si="127"/>
        <v>581760</v>
      </c>
      <c r="D1668" s="95">
        <f ca="1">_xlfn.XLOOKUP(总览!$B$44,$B$40:$B$45,$C$40:$C$45)</f>
        <v>5</v>
      </c>
      <c r="E1668" s="95">
        <f ca="1" t="shared" si="130"/>
        <v>1646</v>
      </c>
      <c r="F1668" s="95">
        <f ca="1" t="shared" si="128"/>
        <v>0</v>
      </c>
      <c r="G1668" s="95">
        <f ca="1" t="shared" si="129"/>
        <v>0</v>
      </c>
      <c r="H1668" s="95" cm="1">
        <f ca="1" t="array" ref="H1668">MIN(30-SUM(I1668:L1668),_xlfn.XLOOKUP($D1668&amp;"_"&amp;H$52,$B$14:$B$36&amp;"_"&amp;$C$14:$C$36,$D$14:$D$36)*$E1668,18)</f>
        <v>11.3912</v>
      </c>
      <c r="I1668" s="95" cm="1">
        <f ca="1" t="array" ref="I1668">MIN(30-SUM(J1668:L1668),6-L1668,_xlfn.XLOOKUP($D1668&amp;"_"&amp;I$52,$B$14:$B$36&amp;"_"&amp;$C$14:$C$36,$D$14:$D$36)*$E1668)</f>
        <v>0</v>
      </c>
      <c r="J1668" s="95" cm="1">
        <f ca="1" t="array" ref="J1668">MIN(8,_xlfn.XLOOKUP($D1668&amp;"_"&amp;J$52,$B$14:$B$36&amp;"_"&amp;$C$14:$C$36,$D$14:$D$36)*$E1668)</f>
        <v>8</v>
      </c>
      <c r="K1668" s="95" cm="1">
        <f ca="1" t="array" ref="K1668">MIN(18,_xlfn.XLOOKUP($D1668&amp;"_"&amp;K$52,$B$14:$B$36&amp;"_"&amp;$C$14:$C$36,$D$14:$D$36)*$E1668)</f>
        <v>4.6088</v>
      </c>
      <c r="L1668" s="95" cm="1">
        <f ca="1" t="array" ref="L1668">MIN(6,_xlfn.XLOOKUP($D1668&amp;"_"&amp;L$52,$B$14:$B$36&amp;"_"&amp;$C$14:$C$36,$D$14:$D$36)*$E1668)</f>
        <v>6</v>
      </c>
      <c r="M1668" s="95" cm="1">
        <f ca="1" t="array" ref="M1668">(1+SUMPRODUCT(G1668:H1668,OFFSET($H$40:$I$40,D1668,0)))*(1+OFFSET($J$40,D1668,0))^I1668*(1+OFFSET($K$40,D1668,0))^J1668*(1+OFFSET($L$40,D1668,0))^K1668*(1+OFFSET($M$40,D1668,0))^L1668</f>
        <v>370.344849165557</v>
      </c>
      <c r="N1668" s="95">
        <f ca="1">MAX(MAX($N$53:N1667),OFFSET($C$52,MATCH(M1668*1.07,$M$53:$M$2052,1),0)-C1668)</f>
        <v>72000</v>
      </c>
    </row>
    <row r="1669" spans="2:14">
      <c r="B1669" s="95">
        <v>1617</v>
      </c>
      <c r="C1669" s="95">
        <f t="shared" si="127"/>
        <v>582120</v>
      </c>
      <c r="D1669" s="95">
        <f ca="1">_xlfn.XLOOKUP(总览!$B$44,$B$40:$B$45,$C$40:$C$45)</f>
        <v>5</v>
      </c>
      <c r="E1669" s="95">
        <f ca="1" t="shared" si="130"/>
        <v>1647</v>
      </c>
      <c r="F1669" s="95">
        <f ca="1" t="shared" si="128"/>
        <v>0</v>
      </c>
      <c r="G1669" s="95">
        <f ca="1" t="shared" si="129"/>
        <v>0</v>
      </c>
      <c r="H1669" s="95" cm="1">
        <f ca="1" t="array" ref="H1669">MIN(30-SUM(I1669:L1669),_xlfn.XLOOKUP($D1669&amp;"_"&amp;H$52,$B$14:$B$36&amp;"_"&amp;$C$14:$C$36,$D$14:$D$36)*$E1669,18)</f>
        <v>11.3884</v>
      </c>
      <c r="I1669" s="95" cm="1">
        <f ca="1" t="array" ref="I1669">MIN(30-SUM(J1669:L1669),6-L1669,_xlfn.XLOOKUP($D1669&amp;"_"&amp;I$52,$B$14:$B$36&amp;"_"&amp;$C$14:$C$36,$D$14:$D$36)*$E1669)</f>
        <v>0</v>
      </c>
      <c r="J1669" s="95" cm="1">
        <f ca="1" t="array" ref="J1669">MIN(8,_xlfn.XLOOKUP($D1669&amp;"_"&amp;J$52,$B$14:$B$36&amp;"_"&amp;$C$14:$C$36,$D$14:$D$36)*$E1669)</f>
        <v>8</v>
      </c>
      <c r="K1669" s="95" cm="1">
        <f ca="1" t="array" ref="K1669">MIN(18,_xlfn.XLOOKUP($D1669&amp;"_"&amp;K$52,$B$14:$B$36&amp;"_"&amp;$C$14:$C$36,$D$14:$D$36)*$E1669)</f>
        <v>4.6116</v>
      </c>
      <c r="L1669" s="95" cm="1">
        <f ca="1" t="array" ref="L1669">MIN(6,_xlfn.XLOOKUP($D1669&amp;"_"&amp;L$52,$B$14:$B$36&amp;"_"&amp;$C$14:$C$36,$D$14:$D$36)*$E1669)</f>
        <v>6</v>
      </c>
      <c r="M1669" s="95" cm="1">
        <f ca="1" t="array" ref="M1669">(1+SUMPRODUCT(G1669:H1669,OFFSET($H$40:$I$40,D1669,0)))*(1+OFFSET($J$40,D1669,0))^I1669*(1+OFFSET($K$40,D1669,0))^J1669*(1+OFFSET($L$40,D1669,0))^K1669*(1+OFFSET($M$40,D1669,0))^L1669</f>
        <v>370.470662751127</v>
      </c>
      <c r="N1669" s="95">
        <f ca="1">MAX(MAX($N$53:N1668),OFFSET($C$52,MATCH(M1669*1.07,$M$53:$M$2052,1),0)-C1669)</f>
        <v>72000</v>
      </c>
    </row>
    <row r="1670" spans="2:14">
      <c r="B1670" s="95">
        <v>1618</v>
      </c>
      <c r="C1670" s="95">
        <f t="shared" si="127"/>
        <v>582480</v>
      </c>
      <c r="D1670" s="95">
        <f ca="1">_xlfn.XLOOKUP(总览!$B$44,$B$40:$B$45,$C$40:$C$45)</f>
        <v>5</v>
      </c>
      <c r="E1670" s="95">
        <f ca="1" t="shared" si="130"/>
        <v>1648</v>
      </c>
      <c r="F1670" s="95">
        <f ca="1" t="shared" si="128"/>
        <v>0</v>
      </c>
      <c r="G1670" s="95">
        <f ca="1" t="shared" si="129"/>
        <v>0</v>
      </c>
      <c r="H1670" s="95" cm="1">
        <f ca="1" t="array" ref="H1670">MIN(30-SUM(I1670:L1670),_xlfn.XLOOKUP($D1670&amp;"_"&amp;H$52,$B$14:$B$36&amp;"_"&amp;$C$14:$C$36,$D$14:$D$36)*$E1670,18)</f>
        <v>11.3856</v>
      </c>
      <c r="I1670" s="95" cm="1">
        <f ca="1" t="array" ref="I1670">MIN(30-SUM(J1670:L1670),6-L1670,_xlfn.XLOOKUP($D1670&amp;"_"&amp;I$52,$B$14:$B$36&amp;"_"&amp;$C$14:$C$36,$D$14:$D$36)*$E1670)</f>
        <v>0</v>
      </c>
      <c r="J1670" s="95" cm="1">
        <f ca="1" t="array" ref="J1670">MIN(8,_xlfn.XLOOKUP($D1670&amp;"_"&amp;J$52,$B$14:$B$36&amp;"_"&amp;$C$14:$C$36,$D$14:$D$36)*$E1670)</f>
        <v>8</v>
      </c>
      <c r="K1670" s="95" cm="1">
        <f ca="1" t="array" ref="K1670">MIN(18,_xlfn.XLOOKUP($D1670&amp;"_"&amp;K$52,$B$14:$B$36&amp;"_"&amp;$C$14:$C$36,$D$14:$D$36)*$E1670)</f>
        <v>4.6144</v>
      </c>
      <c r="L1670" s="95" cm="1">
        <f ca="1" t="array" ref="L1670">MIN(6,_xlfn.XLOOKUP($D1670&amp;"_"&amp;L$52,$B$14:$B$36&amp;"_"&amp;$C$14:$C$36,$D$14:$D$36)*$E1670)</f>
        <v>6</v>
      </c>
      <c r="M1670" s="95" cm="1">
        <f ca="1" t="array" ref="M1670">(1+SUMPRODUCT(G1670:H1670,OFFSET($H$40:$I$40,D1670,0)))*(1+OFFSET($J$40,D1670,0))^I1670*(1+OFFSET($K$40,D1670,0))^J1670*(1+OFFSET($L$40,D1670,0))^K1670*(1+OFFSET($M$40,D1670,0))^L1670</f>
        <v>370.596508260166</v>
      </c>
      <c r="N1670" s="95">
        <f ca="1">MAX(MAX($N$53:N1669),OFFSET($C$52,MATCH(M1670*1.07,$M$53:$M$2052,1),0)-C1670)</f>
        <v>72000</v>
      </c>
    </row>
    <row r="1671" spans="2:14">
      <c r="B1671" s="95">
        <v>1619</v>
      </c>
      <c r="C1671" s="95">
        <f t="shared" si="127"/>
        <v>582840</v>
      </c>
      <c r="D1671" s="95">
        <f ca="1">_xlfn.XLOOKUP(总览!$B$44,$B$40:$B$45,$C$40:$C$45)</f>
        <v>5</v>
      </c>
      <c r="E1671" s="95">
        <f ca="1" t="shared" si="130"/>
        <v>1649</v>
      </c>
      <c r="F1671" s="95">
        <f ca="1" t="shared" si="128"/>
        <v>0</v>
      </c>
      <c r="G1671" s="95">
        <f ca="1" t="shared" si="129"/>
        <v>0</v>
      </c>
      <c r="H1671" s="95" cm="1">
        <f ca="1" t="array" ref="H1671">MIN(30-SUM(I1671:L1671),_xlfn.XLOOKUP($D1671&amp;"_"&amp;H$52,$B$14:$B$36&amp;"_"&amp;$C$14:$C$36,$D$14:$D$36)*$E1671,18)</f>
        <v>11.3828</v>
      </c>
      <c r="I1671" s="95" cm="1">
        <f ca="1" t="array" ref="I1671">MIN(30-SUM(J1671:L1671),6-L1671,_xlfn.XLOOKUP($D1671&amp;"_"&amp;I$52,$B$14:$B$36&amp;"_"&amp;$C$14:$C$36,$D$14:$D$36)*$E1671)</f>
        <v>0</v>
      </c>
      <c r="J1671" s="95" cm="1">
        <f ca="1" t="array" ref="J1671">MIN(8,_xlfn.XLOOKUP($D1671&amp;"_"&amp;J$52,$B$14:$B$36&amp;"_"&amp;$C$14:$C$36,$D$14:$D$36)*$E1671)</f>
        <v>8</v>
      </c>
      <c r="K1671" s="95" cm="1">
        <f ca="1" t="array" ref="K1671">MIN(18,_xlfn.XLOOKUP($D1671&amp;"_"&amp;K$52,$B$14:$B$36&amp;"_"&amp;$C$14:$C$36,$D$14:$D$36)*$E1671)</f>
        <v>4.6172</v>
      </c>
      <c r="L1671" s="95" cm="1">
        <f ca="1" t="array" ref="L1671">MIN(6,_xlfn.XLOOKUP($D1671&amp;"_"&amp;L$52,$B$14:$B$36&amp;"_"&amp;$C$14:$C$36,$D$14:$D$36)*$E1671)</f>
        <v>6</v>
      </c>
      <c r="M1671" s="95" cm="1">
        <f ca="1" t="array" ref="M1671">(1+SUMPRODUCT(G1671:H1671,OFFSET($H$40:$I$40,D1671,0)))*(1+OFFSET($J$40,D1671,0))^I1671*(1+OFFSET($K$40,D1671,0))^J1671*(1+OFFSET($L$40,D1671,0))^K1671*(1+OFFSET($M$40,D1671,0))^L1671</f>
        <v>370.722385692473</v>
      </c>
      <c r="N1671" s="95">
        <f ca="1">MAX(MAX($N$53:N1670),OFFSET($C$52,MATCH(M1671*1.07,$M$53:$M$2052,1),0)-C1671)</f>
        <v>72360</v>
      </c>
    </row>
    <row r="1672" spans="2:14">
      <c r="B1672" s="95">
        <v>1620</v>
      </c>
      <c r="C1672" s="95">
        <f t="shared" si="127"/>
        <v>583200</v>
      </c>
      <c r="D1672" s="95">
        <f ca="1">_xlfn.XLOOKUP(总览!$B$44,$B$40:$B$45,$C$40:$C$45)</f>
        <v>5</v>
      </c>
      <c r="E1672" s="95">
        <f ca="1" t="shared" si="130"/>
        <v>1650</v>
      </c>
      <c r="F1672" s="95">
        <f ca="1" t="shared" si="128"/>
        <v>0</v>
      </c>
      <c r="G1672" s="95">
        <f ca="1" t="shared" si="129"/>
        <v>0</v>
      </c>
      <c r="H1672" s="95" cm="1">
        <f ca="1" t="array" ref="H1672">MIN(30-SUM(I1672:L1672),_xlfn.XLOOKUP($D1672&amp;"_"&amp;H$52,$B$14:$B$36&amp;"_"&amp;$C$14:$C$36,$D$14:$D$36)*$E1672,18)</f>
        <v>11.38</v>
      </c>
      <c r="I1672" s="95" cm="1">
        <f ca="1" t="array" ref="I1672">MIN(30-SUM(J1672:L1672),6-L1672,_xlfn.XLOOKUP($D1672&amp;"_"&amp;I$52,$B$14:$B$36&amp;"_"&amp;$C$14:$C$36,$D$14:$D$36)*$E1672)</f>
        <v>0</v>
      </c>
      <c r="J1672" s="95" cm="1">
        <f ca="1" t="array" ref="J1672">MIN(8,_xlfn.XLOOKUP($D1672&amp;"_"&amp;J$52,$B$14:$B$36&amp;"_"&amp;$C$14:$C$36,$D$14:$D$36)*$E1672)</f>
        <v>8</v>
      </c>
      <c r="K1672" s="95" cm="1">
        <f ca="1" t="array" ref="K1672">MIN(18,_xlfn.XLOOKUP($D1672&amp;"_"&amp;K$52,$B$14:$B$36&amp;"_"&amp;$C$14:$C$36,$D$14:$D$36)*$E1672)</f>
        <v>4.62</v>
      </c>
      <c r="L1672" s="95" cm="1">
        <f ca="1" t="array" ref="L1672">MIN(6,_xlfn.XLOOKUP($D1672&amp;"_"&amp;L$52,$B$14:$B$36&amp;"_"&amp;$C$14:$C$36,$D$14:$D$36)*$E1672)</f>
        <v>6</v>
      </c>
      <c r="M1672" s="95" cm="1">
        <f ca="1" t="array" ref="M1672">(1+SUMPRODUCT(G1672:H1672,OFFSET($H$40:$I$40,D1672,0)))*(1+OFFSET($J$40,D1672,0))^I1672*(1+OFFSET($K$40,D1672,0))^J1672*(1+OFFSET($L$40,D1672,0))^K1672*(1+OFFSET($M$40,D1672,0))^L1672</f>
        <v>370.848295047834</v>
      </c>
      <c r="N1672" s="95">
        <f ca="1">MAX(MAX($N$53:N1671),OFFSET($C$52,MATCH(M1672*1.07,$M$53:$M$2052,1),0)-C1672)</f>
        <v>72360</v>
      </c>
    </row>
    <row r="1673" spans="2:14">
      <c r="B1673" s="95">
        <v>1621</v>
      </c>
      <c r="C1673" s="95">
        <f t="shared" si="127"/>
        <v>583560</v>
      </c>
      <c r="D1673" s="95">
        <f ca="1">_xlfn.XLOOKUP(总览!$B$44,$B$40:$B$45,$C$40:$C$45)</f>
        <v>5</v>
      </c>
      <c r="E1673" s="95">
        <f ca="1" t="shared" si="130"/>
        <v>1651</v>
      </c>
      <c r="F1673" s="95">
        <f ca="1" t="shared" si="128"/>
        <v>0</v>
      </c>
      <c r="G1673" s="95">
        <f ca="1" t="shared" si="129"/>
        <v>0</v>
      </c>
      <c r="H1673" s="95" cm="1">
        <f ca="1" t="array" ref="H1673">MIN(30-SUM(I1673:L1673),_xlfn.XLOOKUP($D1673&amp;"_"&amp;H$52,$B$14:$B$36&amp;"_"&amp;$C$14:$C$36,$D$14:$D$36)*$E1673,18)</f>
        <v>11.3772</v>
      </c>
      <c r="I1673" s="95" cm="1">
        <f ca="1" t="array" ref="I1673">MIN(30-SUM(J1673:L1673),6-L1673,_xlfn.XLOOKUP($D1673&amp;"_"&amp;I$52,$B$14:$B$36&amp;"_"&amp;$C$14:$C$36,$D$14:$D$36)*$E1673)</f>
        <v>0</v>
      </c>
      <c r="J1673" s="95" cm="1">
        <f ca="1" t="array" ref="J1673">MIN(8,_xlfn.XLOOKUP($D1673&amp;"_"&amp;J$52,$B$14:$B$36&amp;"_"&amp;$C$14:$C$36,$D$14:$D$36)*$E1673)</f>
        <v>8</v>
      </c>
      <c r="K1673" s="95" cm="1">
        <f ca="1" t="array" ref="K1673">MIN(18,_xlfn.XLOOKUP($D1673&amp;"_"&amp;K$52,$B$14:$B$36&amp;"_"&amp;$C$14:$C$36,$D$14:$D$36)*$E1673)</f>
        <v>4.6228</v>
      </c>
      <c r="L1673" s="95" cm="1">
        <f ca="1" t="array" ref="L1673">MIN(6,_xlfn.XLOOKUP($D1673&amp;"_"&amp;L$52,$B$14:$B$36&amp;"_"&amp;$C$14:$C$36,$D$14:$D$36)*$E1673)</f>
        <v>6</v>
      </c>
      <c r="M1673" s="95" cm="1">
        <f ca="1" t="array" ref="M1673">(1+SUMPRODUCT(G1673:H1673,OFFSET($H$40:$I$40,D1673,0)))*(1+OFFSET($J$40,D1673,0))^I1673*(1+OFFSET($K$40,D1673,0))^J1673*(1+OFFSET($L$40,D1673,0))^K1673*(1+OFFSET($M$40,D1673,0))^L1673</f>
        <v>370.974236326031</v>
      </c>
      <c r="N1673" s="95">
        <f ca="1">MAX(MAX($N$53:N1672),OFFSET($C$52,MATCH(M1673*1.07,$M$53:$M$2052,1),0)-C1673)</f>
        <v>72360</v>
      </c>
    </row>
    <row r="1674" spans="2:14">
      <c r="B1674" s="95">
        <v>1622</v>
      </c>
      <c r="C1674" s="95">
        <f t="shared" si="127"/>
        <v>583920</v>
      </c>
      <c r="D1674" s="95">
        <f ca="1">_xlfn.XLOOKUP(总览!$B$44,$B$40:$B$45,$C$40:$C$45)</f>
        <v>5</v>
      </c>
      <c r="E1674" s="95">
        <f ca="1" t="shared" si="130"/>
        <v>1652</v>
      </c>
      <c r="F1674" s="95">
        <f ca="1" t="shared" si="128"/>
        <v>0</v>
      </c>
      <c r="G1674" s="95">
        <f ca="1" t="shared" si="129"/>
        <v>0</v>
      </c>
      <c r="H1674" s="95" cm="1">
        <f ca="1" t="array" ref="H1674">MIN(30-SUM(I1674:L1674),_xlfn.XLOOKUP($D1674&amp;"_"&amp;H$52,$B$14:$B$36&amp;"_"&amp;$C$14:$C$36,$D$14:$D$36)*$E1674,18)</f>
        <v>11.3744</v>
      </c>
      <c r="I1674" s="95" cm="1">
        <f ca="1" t="array" ref="I1674">MIN(30-SUM(J1674:L1674),6-L1674,_xlfn.XLOOKUP($D1674&amp;"_"&amp;I$52,$B$14:$B$36&amp;"_"&amp;$C$14:$C$36,$D$14:$D$36)*$E1674)</f>
        <v>0</v>
      </c>
      <c r="J1674" s="95" cm="1">
        <f ca="1" t="array" ref="J1674">MIN(8,_xlfn.XLOOKUP($D1674&amp;"_"&amp;J$52,$B$14:$B$36&amp;"_"&amp;$C$14:$C$36,$D$14:$D$36)*$E1674)</f>
        <v>8</v>
      </c>
      <c r="K1674" s="95" cm="1">
        <f ca="1" t="array" ref="K1674">MIN(18,_xlfn.XLOOKUP($D1674&amp;"_"&amp;K$52,$B$14:$B$36&amp;"_"&amp;$C$14:$C$36,$D$14:$D$36)*$E1674)</f>
        <v>4.6256</v>
      </c>
      <c r="L1674" s="95" cm="1">
        <f ca="1" t="array" ref="L1674">MIN(6,_xlfn.XLOOKUP($D1674&amp;"_"&amp;L$52,$B$14:$B$36&amp;"_"&amp;$C$14:$C$36,$D$14:$D$36)*$E1674)</f>
        <v>6</v>
      </c>
      <c r="M1674" s="95" cm="1">
        <f ca="1" t="array" ref="M1674">(1+SUMPRODUCT(G1674:H1674,OFFSET($H$40:$I$40,D1674,0)))*(1+OFFSET($J$40,D1674,0))^I1674*(1+OFFSET($K$40,D1674,0))^J1674*(1+OFFSET($L$40,D1674,0))^K1674*(1+OFFSET($M$40,D1674,0))^L1674</f>
        <v>371.100209526835</v>
      </c>
      <c r="N1674" s="95">
        <f ca="1">MAX(MAX($N$53:N1673),OFFSET($C$52,MATCH(M1674*1.07,$M$53:$M$2052,1),0)-C1674)</f>
        <v>72360</v>
      </c>
    </row>
    <row r="1675" spans="2:14">
      <c r="B1675" s="95">
        <v>1623</v>
      </c>
      <c r="C1675" s="95">
        <f t="shared" si="127"/>
        <v>584280</v>
      </c>
      <c r="D1675" s="95">
        <f ca="1">_xlfn.XLOOKUP(总览!$B$44,$B$40:$B$45,$C$40:$C$45)</f>
        <v>5</v>
      </c>
      <c r="E1675" s="95">
        <f ca="1" t="shared" si="130"/>
        <v>1653</v>
      </c>
      <c r="F1675" s="95">
        <f ca="1" t="shared" si="128"/>
        <v>0</v>
      </c>
      <c r="G1675" s="95">
        <f ca="1" t="shared" si="129"/>
        <v>0</v>
      </c>
      <c r="H1675" s="95" cm="1">
        <f ca="1" t="array" ref="H1675">MIN(30-SUM(I1675:L1675),_xlfn.XLOOKUP($D1675&amp;"_"&amp;H$52,$B$14:$B$36&amp;"_"&amp;$C$14:$C$36,$D$14:$D$36)*$E1675,18)</f>
        <v>11.3716</v>
      </c>
      <c r="I1675" s="95" cm="1">
        <f ca="1" t="array" ref="I1675">MIN(30-SUM(J1675:L1675),6-L1675,_xlfn.XLOOKUP($D1675&amp;"_"&amp;I$52,$B$14:$B$36&amp;"_"&amp;$C$14:$C$36,$D$14:$D$36)*$E1675)</f>
        <v>0</v>
      </c>
      <c r="J1675" s="95" cm="1">
        <f ca="1" t="array" ref="J1675">MIN(8,_xlfn.XLOOKUP($D1675&amp;"_"&amp;J$52,$B$14:$B$36&amp;"_"&amp;$C$14:$C$36,$D$14:$D$36)*$E1675)</f>
        <v>8</v>
      </c>
      <c r="K1675" s="95" cm="1">
        <f ca="1" t="array" ref="K1675">MIN(18,_xlfn.XLOOKUP($D1675&amp;"_"&amp;K$52,$B$14:$B$36&amp;"_"&amp;$C$14:$C$36,$D$14:$D$36)*$E1675)</f>
        <v>4.6284</v>
      </c>
      <c r="L1675" s="95" cm="1">
        <f ca="1" t="array" ref="L1675">MIN(6,_xlfn.XLOOKUP($D1675&amp;"_"&amp;L$52,$B$14:$B$36&amp;"_"&amp;$C$14:$C$36,$D$14:$D$36)*$E1675)</f>
        <v>6</v>
      </c>
      <c r="M1675" s="95" cm="1">
        <f ca="1" t="array" ref="M1675">(1+SUMPRODUCT(G1675:H1675,OFFSET($H$40:$I$40,D1675,0)))*(1+OFFSET($J$40,D1675,0))^I1675*(1+OFFSET($K$40,D1675,0))^J1675*(1+OFFSET($L$40,D1675,0))^K1675*(1+OFFSET($M$40,D1675,0))^L1675</f>
        <v>371.226214650009</v>
      </c>
      <c r="N1675" s="95">
        <f ca="1">MAX(MAX($N$53:N1674),OFFSET($C$52,MATCH(M1675*1.07,$M$53:$M$2052,1),0)-C1675)</f>
        <v>72360</v>
      </c>
    </row>
    <row r="1676" spans="2:14">
      <c r="B1676" s="95">
        <v>1624</v>
      </c>
      <c r="C1676" s="95">
        <f t="shared" si="127"/>
        <v>584640</v>
      </c>
      <c r="D1676" s="95">
        <f ca="1">_xlfn.XLOOKUP(总览!$B$44,$B$40:$B$45,$C$40:$C$45)</f>
        <v>5</v>
      </c>
      <c r="E1676" s="95">
        <f ca="1" t="shared" si="130"/>
        <v>1654</v>
      </c>
      <c r="F1676" s="95">
        <f ca="1" t="shared" si="128"/>
        <v>0</v>
      </c>
      <c r="G1676" s="95">
        <f ca="1" t="shared" si="129"/>
        <v>0</v>
      </c>
      <c r="H1676" s="95" cm="1">
        <f ca="1" t="array" ref="H1676">MIN(30-SUM(I1676:L1676),_xlfn.XLOOKUP($D1676&amp;"_"&amp;H$52,$B$14:$B$36&amp;"_"&amp;$C$14:$C$36,$D$14:$D$36)*$E1676,18)</f>
        <v>11.3688</v>
      </c>
      <c r="I1676" s="95" cm="1">
        <f ca="1" t="array" ref="I1676">MIN(30-SUM(J1676:L1676),6-L1676,_xlfn.XLOOKUP($D1676&amp;"_"&amp;I$52,$B$14:$B$36&amp;"_"&amp;$C$14:$C$36,$D$14:$D$36)*$E1676)</f>
        <v>0</v>
      </c>
      <c r="J1676" s="95" cm="1">
        <f ca="1" t="array" ref="J1676">MIN(8,_xlfn.XLOOKUP($D1676&amp;"_"&amp;J$52,$B$14:$B$36&amp;"_"&amp;$C$14:$C$36,$D$14:$D$36)*$E1676)</f>
        <v>8</v>
      </c>
      <c r="K1676" s="95" cm="1">
        <f ca="1" t="array" ref="K1676">MIN(18,_xlfn.XLOOKUP($D1676&amp;"_"&amp;K$52,$B$14:$B$36&amp;"_"&amp;$C$14:$C$36,$D$14:$D$36)*$E1676)</f>
        <v>4.6312</v>
      </c>
      <c r="L1676" s="95" cm="1">
        <f ca="1" t="array" ref="L1676">MIN(6,_xlfn.XLOOKUP($D1676&amp;"_"&amp;L$52,$B$14:$B$36&amp;"_"&amp;$C$14:$C$36,$D$14:$D$36)*$E1676)</f>
        <v>6</v>
      </c>
      <c r="M1676" s="95" cm="1">
        <f ca="1" t="array" ref="M1676">(1+SUMPRODUCT(G1676:H1676,OFFSET($H$40:$I$40,D1676,0)))*(1+OFFSET($J$40,D1676,0))^I1676*(1+OFFSET($K$40,D1676,0))^J1676*(1+OFFSET($L$40,D1676,0))^K1676*(1+OFFSET($M$40,D1676,0))^L1676</f>
        <v>371.352251695306</v>
      </c>
      <c r="N1676" s="95">
        <f ca="1">MAX(MAX($N$53:N1675),OFFSET($C$52,MATCH(M1676*1.07,$M$53:$M$2052,1),0)-C1676)</f>
        <v>72360</v>
      </c>
    </row>
    <row r="1677" spans="2:14">
      <c r="B1677" s="95">
        <v>1625</v>
      </c>
      <c r="C1677" s="95">
        <f t="shared" si="127"/>
        <v>585000</v>
      </c>
      <c r="D1677" s="95">
        <f ca="1">_xlfn.XLOOKUP(总览!$B$44,$B$40:$B$45,$C$40:$C$45)</f>
        <v>5</v>
      </c>
      <c r="E1677" s="95">
        <f ca="1" t="shared" si="130"/>
        <v>1655</v>
      </c>
      <c r="F1677" s="95">
        <f ca="1" t="shared" si="128"/>
        <v>0</v>
      </c>
      <c r="G1677" s="95">
        <f ca="1" t="shared" si="129"/>
        <v>0</v>
      </c>
      <c r="H1677" s="95" cm="1">
        <f ca="1" t="array" ref="H1677">MIN(30-SUM(I1677:L1677),_xlfn.XLOOKUP($D1677&amp;"_"&amp;H$52,$B$14:$B$36&amp;"_"&amp;$C$14:$C$36,$D$14:$D$36)*$E1677,18)</f>
        <v>11.366</v>
      </c>
      <c r="I1677" s="95" cm="1">
        <f ca="1" t="array" ref="I1677">MIN(30-SUM(J1677:L1677),6-L1677,_xlfn.XLOOKUP($D1677&amp;"_"&amp;I$52,$B$14:$B$36&amp;"_"&amp;$C$14:$C$36,$D$14:$D$36)*$E1677)</f>
        <v>0</v>
      </c>
      <c r="J1677" s="95" cm="1">
        <f ca="1" t="array" ref="J1677">MIN(8,_xlfn.XLOOKUP($D1677&amp;"_"&amp;J$52,$B$14:$B$36&amp;"_"&amp;$C$14:$C$36,$D$14:$D$36)*$E1677)</f>
        <v>8</v>
      </c>
      <c r="K1677" s="95" cm="1">
        <f ca="1" t="array" ref="K1677">MIN(18,_xlfn.XLOOKUP($D1677&amp;"_"&amp;K$52,$B$14:$B$36&amp;"_"&amp;$C$14:$C$36,$D$14:$D$36)*$E1677)</f>
        <v>4.634</v>
      </c>
      <c r="L1677" s="95" cm="1">
        <f ca="1" t="array" ref="L1677">MIN(6,_xlfn.XLOOKUP($D1677&amp;"_"&amp;L$52,$B$14:$B$36&amp;"_"&amp;$C$14:$C$36,$D$14:$D$36)*$E1677)</f>
        <v>6</v>
      </c>
      <c r="M1677" s="95" cm="1">
        <f ca="1" t="array" ref="M1677">(1+SUMPRODUCT(G1677:H1677,OFFSET($H$40:$I$40,D1677,0)))*(1+OFFSET($J$40,D1677,0))^I1677*(1+OFFSET($K$40,D1677,0))^J1677*(1+OFFSET($L$40,D1677,0))^K1677*(1+OFFSET($M$40,D1677,0))^L1677</f>
        <v>371.478320662474</v>
      </c>
      <c r="N1677" s="95">
        <f ca="1">MAX(MAX($N$53:N1676),OFFSET($C$52,MATCH(M1677*1.07,$M$53:$M$2052,1),0)-C1677)</f>
        <v>72360</v>
      </c>
    </row>
    <row r="1678" spans="2:14">
      <c r="B1678" s="95">
        <v>1626</v>
      </c>
      <c r="C1678" s="95">
        <f t="shared" si="127"/>
        <v>585360</v>
      </c>
      <c r="D1678" s="95">
        <f ca="1">_xlfn.XLOOKUP(总览!$B$44,$B$40:$B$45,$C$40:$C$45)</f>
        <v>5</v>
      </c>
      <c r="E1678" s="95">
        <f ca="1" t="shared" si="130"/>
        <v>1656</v>
      </c>
      <c r="F1678" s="95">
        <f ca="1" t="shared" si="128"/>
        <v>0</v>
      </c>
      <c r="G1678" s="95">
        <f ca="1" t="shared" si="129"/>
        <v>0</v>
      </c>
      <c r="H1678" s="95" cm="1">
        <f ca="1" t="array" ref="H1678">MIN(30-SUM(I1678:L1678),_xlfn.XLOOKUP($D1678&amp;"_"&amp;H$52,$B$14:$B$36&amp;"_"&amp;$C$14:$C$36,$D$14:$D$36)*$E1678,18)</f>
        <v>11.3632</v>
      </c>
      <c r="I1678" s="95" cm="1">
        <f ca="1" t="array" ref="I1678">MIN(30-SUM(J1678:L1678),6-L1678,_xlfn.XLOOKUP($D1678&amp;"_"&amp;I$52,$B$14:$B$36&amp;"_"&amp;$C$14:$C$36,$D$14:$D$36)*$E1678)</f>
        <v>0</v>
      </c>
      <c r="J1678" s="95" cm="1">
        <f ca="1" t="array" ref="J1678">MIN(8,_xlfn.XLOOKUP($D1678&amp;"_"&amp;J$52,$B$14:$B$36&amp;"_"&amp;$C$14:$C$36,$D$14:$D$36)*$E1678)</f>
        <v>8</v>
      </c>
      <c r="K1678" s="95" cm="1">
        <f ca="1" t="array" ref="K1678">MIN(18,_xlfn.XLOOKUP($D1678&amp;"_"&amp;K$52,$B$14:$B$36&amp;"_"&amp;$C$14:$C$36,$D$14:$D$36)*$E1678)</f>
        <v>4.6368</v>
      </c>
      <c r="L1678" s="95" cm="1">
        <f ca="1" t="array" ref="L1678">MIN(6,_xlfn.XLOOKUP($D1678&amp;"_"&amp;L$52,$B$14:$B$36&amp;"_"&amp;$C$14:$C$36,$D$14:$D$36)*$E1678)</f>
        <v>6</v>
      </c>
      <c r="M1678" s="95" cm="1">
        <f ca="1" t="array" ref="M1678">(1+SUMPRODUCT(G1678:H1678,OFFSET($H$40:$I$40,D1678,0)))*(1+OFFSET($J$40,D1678,0))^I1678*(1+OFFSET($K$40,D1678,0))^J1678*(1+OFFSET($L$40,D1678,0))^K1678*(1+OFFSET($M$40,D1678,0))^L1678</f>
        <v>371.604421551249</v>
      </c>
      <c r="N1678" s="95">
        <f ca="1">MAX(MAX($N$53:N1677),OFFSET($C$52,MATCH(M1678*1.07,$M$53:$M$2052,1),0)-C1678)</f>
        <v>72360</v>
      </c>
    </row>
    <row r="1679" spans="2:14">
      <c r="B1679" s="95">
        <v>1627</v>
      </c>
      <c r="C1679" s="95">
        <f t="shared" si="127"/>
        <v>585720</v>
      </c>
      <c r="D1679" s="95">
        <f ca="1">_xlfn.XLOOKUP(总览!$B$44,$B$40:$B$45,$C$40:$C$45)</f>
        <v>5</v>
      </c>
      <c r="E1679" s="95">
        <f ca="1" t="shared" si="130"/>
        <v>1657</v>
      </c>
      <c r="F1679" s="95">
        <f ca="1" t="shared" si="128"/>
        <v>0</v>
      </c>
      <c r="G1679" s="95">
        <f ca="1" t="shared" si="129"/>
        <v>0</v>
      </c>
      <c r="H1679" s="95" cm="1">
        <f ca="1" t="array" ref="H1679">MIN(30-SUM(I1679:L1679),_xlfn.XLOOKUP($D1679&amp;"_"&amp;H$52,$B$14:$B$36&amp;"_"&amp;$C$14:$C$36,$D$14:$D$36)*$E1679,18)</f>
        <v>11.3604</v>
      </c>
      <c r="I1679" s="95" cm="1">
        <f ca="1" t="array" ref="I1679">MIN(30-SUM(J1679:L1679),6-L1679,_xlfn.XLOOKUP($D1679&amp;"_"&amp;I$52,$B$14:$B$36&amp;"_"&amp;$C$14:$C$36,$D$14:$D$36)*$E1679)</f>
        <v>0</v>
      </c>
      <c r="J1679" s="95" cm="1">
        <f ca="1" t="array" ref="J1679">MIN(8,_xlfn.XLOOKUP($D1679&amp;"_"&amp;J$52,$B$14:$B$36&amp;"_"&amp;$C$14:$C$36,$D$14:$D$36)*$E1679)</f>
        <v>8</v>
      </c>
      <c r="K1679" s="95" cm="1">
        <f ca="1" t="array" ref="K1679">MIN(18,_xlfn.XLOOKUP($D1679&amp;"_"&amp;K$52,$B$14:$B$36&amp;"_"&amp;$C$14:$C$36,$D$14:$D$36)*$E1679)</f>
        <v>4.6396</v>
      </c>
      <c r="L1679" s="95" cm="1">
        <f ca="1" t="array" ref="L1679">MIN(6,_xlfn.XLOOKUP($D1679&amp;"_"&amp;L$52,$B$14:$B$36&amp;"_"&amp;$C$14:$C$36,$D$14:$D$36)*$E1679)</f>
        <v>6</v>
      </c>
      <c r="M1679" s="95" cm="1">
        <f ca="1" t="array" ref="M1679">(1+SUMPRODUCT(G1679:H1679,OFFSET($H$40:$I$40,D1679,0)))*(1+OFFSET($J$40,D1679,0))^I1679*(1+OFFSET($K$40,D1679,0))^J1679*(1+OFFSET($L$40,D1679,0))^K1679*(1+OFFSET($M$40,D1679,0))^L1679</f>
        <v>371.730554361359</v>
      </c>
      <c r="N1679" s="95">
        <f ca="1">MAX(MAX($N$53:N1678),OFFSET($C$52,MATCH(M1679*1.07,$M$53:$M$2052,1),0)-C1679)</f>
        <v>72360</v>
      </c>
    </row>
    <row r="1680" spans="2:14">
      <c r="B1680" s="95">
        <v>1628</v>
      </c>
      <c r="C1680" s="95">
        <f t="shared" si="127"/>
        <v>586080</v>
      </c>
      <c r="D1680" s="95">
        <f ca="1">_xlfn.XLOOKUP(总览!$B$44,$B$40:$B$45,$C$40:$C$45)</f>
        <v>5</v>
      </c>
      <c r="E1680" s="95">
        <f ca="1" t="shared" si="130"/>
        <v>1658</v>
      </c>
      <c r="F1680" s="95">
        <f ca="1" t="shared" si="128"/>
        <v>0</v>
      </c>
      <c r="G1680" s="95">
        <f ca="1" t="shared" si="129"/>
        <v>0</v>
      </c>
      <c r="H1680" s="95" cm="1">
        <f ca="1" t="array" ref="H1680">MIN(30-SUM(I1680:L1680),_xlfn.XLOOKUP($D1680&amp;"_"&amp;H$52,$B$14:$B$36&amp;"_"&amp;$C$14:$C$36,$D$14:$D$36)*$E1680,18)</f>
        <v>11.3576</v>
      </c>
      <c r="I1680" s="95" cm="1">
        <f ca="1" t="array" ref="I1680">MIN(30-SUM(J1680:L1680),6-L1680,_xlfn.XLOOKUP($D1680&amp;"_"&amp;I$52,$B$14:$B$36&amp;"_"&amp;$C$14:$C$36,$D$14:$D$36)*$E1680)</f>
        <v>0</v>
      </c>
      <c r="J1680" s="95" cm="1">
        <f ca="1" t="array" ref="J1680">MIN(8,_xlfn.XLOOKUP($D1680&amp;"_"&amp;J$52,$B$14:$B$36&amp;"_"&amp;$C$14:$C$36,$D$14:$D$36)*$E1680)</f>
        <v>8</v>
      </c>
      <c r="K1680" s="95" cm="1">
        <f ca="1" t="array" ref="K1680">MIN(18,_xlfn.XLOOKUP($D1680&amp;"_"&amp;K$52,$B$14:$B$36&amp;"_"&amp;$C$14:$C$36,$D$14:$D$36)*$E1680)</f>
        <v>4.6424</v>
      </c>
      <c r="L1680" s="95" cm="1">
        <f ca="1" t="array" ref="L1680">MIN(6,_xlfn.XLOOKUP($D1680&amp;"_"&amp;L$52,$B$14:$B$36&amp;"_"&amp;$C$14:$C$36,$D$14:$D$36)*$E1680)</f>
        <v>6</v>
      </c>
      <c r="M1680" s="95" cm="1">
        <f ca="1" t="array" ref="M1680">(1+SUMPRODUCT(G1680:H1680,OFFSET($H$40:$I$40,D1680,0)))*(1+OFFSET($J$40,D1680,0))^I1680*(1+OFFSET($K$40,D1680,0))^J1680*(1+OFFSET($L$40,D1680,0))^K1680*(1+OFFSET($M$40,D1680,0))^L1680</f>
        <v>371.856719092526</v>
      </c>
      <c r="N1680" s="95">
        <f ca="1">MAX(MAX($N$53:N1679),OFFSET($C$52,MATCH(M1680*1.07,$M$53:$M$2052,1),0)-C1680)</f>
        <v>72360</v>
      </c>
    </row>
    <row r="1681" spans="2:14">
      <c r="B1681" s="95">
        <v>1629</v>
      </c>
      <c r="C1681" s="95">
        <f t="shared" si="127"/>
        <v>586440</v>
      </c>
      <c r="D1681" s="95">
        <f ca="1">_xlfn.XLOOKUP(总览!$B$44,$B$40:$B$45,$C$40:$C$45)</f>
        <v>5</v>
      </c>
      <c r="E1681" s="95">
        <f ca="1" t="shared" si="130"/>
        <v>1659</v>
      </c>
      <c r="F1681" s="95">
        <f ca="1" t="shared" si="128"/>
        <v>0</v>
      </c>
      <c r="G1681" s="95">
        <f ca="1" t="shared" si="129"/>
        <v>0</v>
      </c>
      <c r="H1681" s="95" cm="1">
        <f ca="1" t="array" ref="H1681">MIN(30-SUM(I1681:L1681),_xlfn.XLOOKUP($D1681&amp;"_"&amp;H$52,$B$14:$B$36&amp;"_"&amp;$C$14:$C$36,$D$14:$D$36)*$E1681,18)</f>
        <v>11.3548</v>
      </c>
      <c r="I1681" s="95" cm="1">
        <f ca="1" t="array" ref="I1681">MIN(30-SUM(J1681:L1681),6-L1681,_xlfn.XLOOKUP($D1681&amp;"_"&amp;I$52,$B$14:$B$36&amp;"_"&amp;$C$14:$C$36,$D$14:$D$36)*$E1681)</f>
        <v>0</v>
      </c>
      <c r="J1681" s="95" cm="1">
        <f ca="1" t="array" ref="J1681">MIN(8,_xlfn.XLOOKUP($D1681&amp;"_"&amp;J$52,$B$14:$B$36&amp;"_"&amp;$C$14:$C$36,$D$14:$D$36)*$E1681)</f>
        <v>8</v>
      </c>
      <c r="K1681" s="95" cm="1">
        <f ca="1" t="array" ref="K1681">MIN(18,_xlfn.XLOOKUP($D1681&amp;"_"&amp;K$52,$B$14:$B$36&amp;"_"&amp;$C$14:$C$36,$D$14:$D$36)*$E1681)</f>
        <v>4.6452</v>
      </c>
      <c r="L1681" s="95" cm="1">
        <f ca="1" t="array" ref="L1681">MIN(6,_xlfn.XLOOKUP($D1681&amp;"_"&amp;L$52,$B$14:$B$36&amp;"_"&amp;$C$14:$C$36,$D$14:$D$36)*$E1681)</f>
        <v>6</v>
      </c>
      <c r="M1681" s="95" cm="1">
        <f ca="1" t="array" ref="M1681">(1+SUMPRODUCT(G1681:H1681,OFFSET($H$40:$I$40,D1681,0)))*(1+OFFSET($J$40,D1681,0))^I1681*(1+OFFSET($K$40,D1681,0))^J1681*(1+OFFSET($L$40,D1681,0))^K1681*(1+OFFSET($M$40,D1681,0))^L1681</f>
        <v>371.982915744459</v>
      </c>
      <c r="N1681" s="95">
        <f ca="1">MAX(MAX($N$53:N1680),OFFSET($C$52,MATCH(M1681*1.07,$M$53:$M$2052,1),0)-C1681)</f>
        <v>72360</v>
      </c>
    </row>
    <row r="1682" spans="2:14">
      <c r="B1682" s="95">
        <v>1630</v>
      </c>
      <c r="C1682" s="95">
        <f t="shared" si="127"/>
        <v>586800</v>
      </c>
      <c r="D1682" s="95">
        <f ca="1">_xlfn.XLOOKUP(总览!$B$44,$B$40:$B$45,$C$40:$C$45)</f>
        <v>5</v>
      </c>
      <c r="E1682" s="95">
        <f ca="1" t="shared" si="130"/>
        <v>1660</v>
      </c>
      <c r="F1682" s="95">
        <f ca="1" t="shared" si="128"/>
        <v>0</v>
      </c>
      <c r="G1682" s="95">
        <f ca="1" t="shared" si="129"/>
        <v>0</v>
      </c>
      <c r="H1682" s="95" cm="1">
        <f ca="1" t="array" ref="H1682">MIN(30-SUM(I1682:L1682),_xlfn.XLOOKUP($D1682&amp;"_"&amp;H$52,$B$14:$B$36&amp;"_"&amp;$C$14:$C$36,$D$14:$D$36)*$E1682,18)</f>
        <v>11.352</v>
      </c>
      <c r="I1682" s="95" cm="1">
        <f ca="1" t="array" ref="I1682">MIN(30-SUM(J1682:L1682),6-L1682,_xlfn.XLOOKUP($D1682&amp;"_"&amp;I$52,$B$14:$B$36&amp;"_"&amp;$C$14:$C$36,$D$14:$D$36)*$E1682)</f>
        <v>0</v>
      </c>
      <c r="J1682" s="95" cm="1">
        <f ca="1" t="array" ref="J1682">MIN(8,_xlfn.XLOOKUP($D1682&amp;"_"&amp;J$52,$B$14:$B$36&amp;"_"&amp;$C$14:$C$36,$D$14:$D$36)*$E1682)</f>
        <v>8</v>
      </c>
      <c r="K1682" s="95" cm="1">
        <f ca="1" t="array" ref="K1682">MIN(18,_xlfn.XLOOKUP($D1682&amp;"_"&amp;K$52,$B$14:$B$36&amp;"_"&amp;$C$14:$C$36,$D$14:$D$36)*$E1682)</f>
        <v>4.648</v>
      </c>
      <c r="L1682" s="95" cm="1">
        <f ca="1" t="array" ref="L1682">MIN(6,_xlfn.XLOOKUP($D1682&amp;"_"&amp;L$52,$B$14:$B$36&amp;"_"&amp;$C$14:$C$36,$D$14:$D$36)*$E1682)</f>
        <v>6</v>
      </c>
      <c r="M1682" s="95" cm="1">
        <f ca="1" t="array" ref="M1682">(1+SUMPRODUCT(G1682:H1682,OFFSET($H$40:$I$40,D1682,0)))*(1+OFFSET($J$40,D1682,0))^I1682*(1+OFFSET($K$40,D1682,0))^J1682*(1+OFFSET($L$40,D1682,0))^K1682*(1+OFFSET($M$40,D1682,0))^L1682</f>
        <v>372.109144316863</v>
      </c>
      <c r="N1682" s="95">
        <f ca="1">MAX(MAX($N$53:N1681),OFFSET($C$52,MATCH(M1682*1.07,$M$53:$M$2052,1),0)-C1682)</f>
        <v>72360</v>
      </c>
    </row>
    <row r="1683" spans="2:14">
      <c r="B1683" s="95">
        <v>1631</v>
      </c>
      <c r="C1683" s="95">
        <f t="shared" si="127"/>
        <v>587160</v>
      </c>
      <c r="D1683" s="95">
        <f ca="1">_xlfn.XLOOKUP(总览!$B$44,$B$40:$B$45,$C$40:$C$45)</f>
        <v>5</v>
      </c>
      <c r="E1683" s="95">
        <f ca="1" t="shared" si="130"/>
        <v>1661</v>
      </c>
      <c r="F1683" s="95">
        <f ca="1" t="shared" si="128"/>
        <v>0</v>
      </c>
      <c r="G1683" s="95">
        <f ca="1" t="shared" si="129"/>
        <v>0</v>
      </c>
      <c r="H1683" s="95" cm="1">
        <f ca="1" t="array" ref="H1683">MIN(30-SUM(I1683:L1683),_xlfn.XLOOKUP($D1683&amp;"_"&amp;H$52,$B$14:$B$36&amp;"_"&amp;$C$14:$C$36,$D$14:$D$36)*$E1683,18)</f>
        <v>11.3492</v>
      </c>
      <c r="I1683" s="95" cm="1">
        <f ca="1" t="array" ref="I1683">MIN(30-SUM(J1683:L1683),6-L1683,_xlfn.XLOOKUP($D1683&amp;"_"&amp;I$52,$B$14:$B$36&amp;"_"&amp;$C$14:$C$36,$D$14:$D$36)*$E1683)</f>
        <v>0</v>
      </c>
      <c r="J1683" s="95" cm="1">
        <f ca="1" t="array" ref="J1683">MIN(8,_xlfn.XLOOKUP($D1683&amp;"_"&amp;J$52,$B$14:$B$36&amp;"_"&amp;$C$14:$C$36,$D$14:$D$36)*$E1683)</f>
        <v>8</v>
      </c>
      <c r="K1683" s="95" cm="1">
        <f ca="1" t="array" ref="K1683">MIN(18,_xlfn.XLOOKUP($D1683&amp;"_"&amp;K$52,$B$14:$B$36&amp;"_"&amp;$C$14:$C$36,$D$14:$D$36)*$E1683)</f>
        <v>4.6508</v>
      </c>
      <c r="L1683" s="95" cm="1">
        <f ca="1" t="array" ref="L1683">MIN(6,_xlfn.XLOOKUP($D1683&amp;"_"&amp;L$52,$B$14:$B$36&amp;"_"&amp;$C$14:$C$36,$D$14:$D$36)*$E1683)</f>
        <v>6</v>
      </c>
      <c r="M1683" s="95" cm="1">
        <f ca="1" t="array" ref="M1683">(1+SUMPRODUCT(G1683:H1683,OFFSET($H$40:$I$40,D1683,0)))*(1+OFFSET($J$40,D1683,0))^I1683*(1+OFFSET($K$40,D1683,0))^J1683*(1+OFFSET($L$40,D1683,0))^K1683*(1+OFFSET($M$40,D1683,0))^L1683</f>
        <v>372.23540480943</v>
      </c>
      <c r="N1683" s="95">
        <f ca="1">MAX(MAX($N$53:N1682),OFFSET($C$52,MATCH(M1683*1.07,$M$53:$M$2052,1),0)-C1683)</f>
        <v>72360</v>
      </c>
    </row>
    <row r="1684" spans="2:14">
      <c r="B1684" s="95">
        <v>1632</v>
      </c>
      <c r="C1684" s="95">
        <f t="shared" si="127"/>
        <v>587520</v>
      </c>
      <c r="D1684" s="95">
        <f ca="1">_xlfn.XLOOKUP(总览!$B$44,$B$40:$B$45,$C$40:$C$45)</f>
        <v>5</v>
      </c>
      <c r="E1684" s="95">
        <f ca="1" t="shared" si="130"/>
        <v>1662</v>
      </c>
      <c r="F1684" s="95">
        <f ca="1" t="shared" si="128"/>
        <v>0</v>
      </c>
      <c r="G1684" s="95">
        <f ca="1" t="shared" si="129"/>
        <v>0</v>
      </c>
      <c r="H1684" s="95" cm="1">
        <f ca="1" t="array" ref="H1684">MIN(30-SUM(I1684:L1684),_xlfn.XLOOKUP($D1684&amp;"_"&amp;H$52,$B$14:$B$36&amp;"_"&amp;$C$14:$C$36,$D$14:$D$36)*$E1684,18)</f>
        <v>11.3464</v>
      </c>
      <c r="I1684" s="95" cm="1">
        <f ca="1" t="array" ref="I1684">MIN(30-SUM(J1684:L1684),6-L1684,_xlfn.XLOOKUP($D1684&amp;"_"&amp;I$52,$B$14:$B$36&amp;"_"&amp;$C$14:$C$36,$D$14:$D$36)*$E1684)</f>
        <v>0</v>
      </c>
      <c r="J1684" s="95" cm="1">
        <f ca="1" t="array" ref="J1684">MIN(8,_xlfn.XLOOKUP($D1684&amp;"_"&amp;J$52,$B$14:$B$36&amp;"_"&amp;$C$14:$C$36,$D$14:$D$36)*$E1684)</f>
        <v>8</v>
      </c>
      <c r="K1684" s="95" cm="1">
        <f ca="1" t="array" ref="K1684">MIN(18,_xlfn.XLOOKUP($D1684&amp;"_"&amp;K$52,$B$14:$B$36&amp;"_"&amp;$C$14:$C$36,$D$14:$D$36)*$E1684)</f>
        <v>4.6536</v>
      </c>
      <c r="L1684" s="95" cm="1">
        <f ca="1" t="array" ref="L1684">MIN(6,_xlfn.XLOOKUP($D1684&amp;"_"&amp;L$52,$B$14:$B$36&amp;"_"&amp;$C$14:$C$36,$D$14:$D$36)*$E1684)</f>
        <v>6</v>
      </c>
      <c r="M1684" s="95" cm="1">
        <f ca="1" t="array" ref="M1684">(1+SUMPRODUCT(G1684:H1684,OFFSET($H$40:$I$40,D1684,0)))*(1+OFFSET($J$40,D1684,0))^I1684*(1+OFFSET($K$40,D1684,0))^J1684*(1+OFFSET($L$40,D1684,0))^K1684*(1+OFFSET($M$40,D1684,0))^L1684</f>
        <v>372.361697221847</v>
      </c>
      <c r="N1684" s="95">
        <f ca="1">MAX(MAX($N$53:N1683),OFFSET($C$52,MATCH(M1684*1.07,$M$53:$M$2052,1),0)-C1684)</f>
        <v>72360</v>
      </c>
    </row>
    <row r="1685" spans="2:14">
      <c r="B1685" s="95">
        <v>1633</v>
      </c>
      <c r="C1685" s="95">
        <f t="shared" si="127"/>
        <v>587880</v>
      </c>
      <c r="D1685" s="95">
        <f ca="1">_xlfn.XLOOKUP(总览!$B$44,$B$40:$B$45,$C$40:$C$45)</f>
        <v>5</v>
      </c>
      <c r="E1685" s="95">
        <f ca="1" t="shared" si="130"/>
        <v>1663</v>
      </c>
      <c r="F1685" s="95">
        <f ca="1" t="shared" si="128"/>
        <v>0</v>
      </c>
      <c r="G1685" s="95">
        <f ca="1" t="shared" si="129"/>
        <v>0</v>
      </c>
      <c r="H1685" s="95" cm="1">
        <f ca="1" t="array" ref="H1685">MIN(30-SUM(I1685:L1685),_xlfn.XLOOKUP($D1685&amp;"_"&amp;H$52,$B$14:$B$36&amp;"_"&amp;$C$14:$C$36,$D$14:$D$36)*$E1685,18)</f>
        <v>11.3436</v>
      </c>
      <c r="I1685" s="95" cm="1">
        <f ca="1" t="array" ref="I1685">MIN(30-SUM(J1685:L1685),6-L1685,_xlfn.XLOOKUP($D1685&amp;"_"&amp;I$52,$B$14:$B$36&amp;"_"&amp;$C$14:$C$36,$D$14:$D$36)*$E1685)</f>
        <v>0</v>
      </c>
      <c r="J1685" s="95" cm="1">
        <f ca="1" t="array" ref="J1685">MIN(8,_xlfn.XLOOKUP($D1685&amp;"_"&amp;J$52,$B$14:$B$36&amp;"_"&amp;$C$14:$C$36,$D$14:$D$36)*$E1685)</f>
        <v>8</v>
      </c>
      <c r="K1685" s="95" cm="1">
        <f ca="1" t="array" ref="K1685">MIN(18,_xlfn.XLOOKUP($D1685&amp;"_"&amp;K$52,$B$14:$B$36&amp;"_"&amp;$C$14:$C$36,$D$14:$D$36)*$E1685)</f>
        <v>4.6564</v>
      </c>
      <c r="L1685" s="95" cm="1">
        <f ca="1" t="array" ref="L1685">MIN(6,_xlfn.XLOOKUP($D1685&amp;"_"&amp;L$52,$B$14:$B$36&amp;"_"&amp;$C$14:$C$36,$D$14:$D$36)*$E1685)</f>
        <v>6</v>
      </c>
      <c r="M1685" s="95" cm="1">
        <f ca="1" t="array" ref="M1685">(1+SUMPRODUCT(G1685:H1685,OFFSET($H$40:$I$40,D1685,0)))*(1+OFFSET($J$40,D1685,0))^I1685*(1+OFFSET($K$40,D1685,0))^J1685*(1+OFFSET($L$40,D1685,0))^K1685*(1+OFFSET($M$40,D1685,0))^L1685</f>
        <v>372.488021553791</v>
      </c>
      <c r="N1685" s="95">
        <f ca="1">MAX(MAX($N$53:N1684),OFFSET($C$52,MATCH(M1685*1.07,$M$53:$M$2052,1),0)-C1685)</f>
        <v>72360</v>
      </c>
    </row>
    <row r="1686" spans="2:14">
      <c r="B1686" s="95">
        <v>1634</v>
      </c>
      <c r="C1686" s="95">
        <f t="shared" si="127"/>
        <v>588240</v>
      </c>
      <c r="D1686" s="95">
        <f ca="1">_xlfn.XLOOKUP(总览!$B$44,$B$40:$B$45,$C$40:$C$45)</f>
        <v>5</v>
      </c>
      <c r="E1686" s="95">
        <f ca="1" t="shared" si="130"/>
        <v>1664</v>
      </c>
      <c r="F1686" s="95">
        <f ca="1" t="shared" si="128"/>
        <v>0</v>
      </c>
      <c r="G1686" s="95">
        <f ca="1" t="shared" si="129"/>
        <v>0</v>
      </c>
      <c r="H1686" s="95" cm="1">
        <f ca="1" t="array" ref="H1686">MIN(30-SUM(I1686:L1686),_xlfn.XLOOKUP($D1686&amp;"_"&amp;H$52,$B$14:$B$36&amp;"_"&amp;$C$14:$C$36,$D$14:$D$36)*$E1686,18)</f>
        <v>11.3408</v>
      </c>
      <c r="I1686" s="95" cm="1">
        <f ca="1" t="array" ref="I1686">MIN(30-SUM(J1686:L1686),6-L1686,_xlfn.XLOOKUP($D1686&amp;"_"&amp;I$52,$B$14:$B$36&amp;"_"&amp;$C$14:$C$36,$D$14:$D$36)*$E1686)</f>
        <v>0</v>
      </c>
      <c r="J1686" s="95" cm="1">
        <f ca="1" t="array" ref="J1686">MIN(8,_xlfn.XLOOKUP($D1686&amp;"_"&amp;J$52,$B$14:$B$36&amp;"_"&amp;$C$14:$C$36,$D$14:$D$36)*$E1686)</f>
        <v>8</v>
      </c>
      <c r="K1686" s="95" cm="1">
        <f ca="1" t="array" ref="K1686">MIN(18,_xlfn.XLOOKUP($D1686&amp;"_"&amp;K$52,$B$14:$B$36&amp;"_"&amp;$C$14:$C$36,$D$14:$D$36)*$E1686)</f>
        <v>4.6592</v>
      </c>
      <c r="L1686" s="95" cm="1">
        <f ca="1" t="array" ref="L1686">MIN(6,_xlfn.XLOOKUP($D1686&amp;"_"&amp;L$52,$B$14:$B$36&amp;"_"&amp;$C$14:$C$36,$D$14:$D$36)*$E1686)</f>
        <v>6</v>
      </c>
      <c r="M1686" s="95" cm="1">
        <f ca="1" t="array" ref="M1686">(1+SUMPRODUCT(G1686:H1686,OFFSET($H$40:$I$40,D1686,0)))*(1+OFFSET($J$40,D1686,0))^I1686*(1+OFFSET($K$40,D1686,0))^J1686*(1+OFFSET($L$40,D1686,0))^K1686*(1+OFFSET($M$40,D1686,0))^L1686</f>
        <v>372.61437780493</v>
      </c>
      <c r="N1686" s="95">
        <f ca="1">MAX(MAX($N$53:N1685),OFFSET($C$52,MATCH(M1686*1.07,$M$53:$M$2052,1),0)-C1686)</f>
        <v>72360</v>
      </c>
    </row>
    <row r="1687" spans="2:14">
      <c r="B1687" s="95">
        <v>1635</v>
      </c>
      <c r="C1687" s="95">
        <f t="shared" si="127"/>
        <v>588600</v>
      </c>
      <c r="D1687" s="95">
        <f ca="1">_xlfn.XLOOKUP(总览!$B$44,$B$40:$B$45,$C$40:$C$45)</f>
        <v>5</v>
      </c>
      <c r="E1687" s="95">
        <f ca="1" t="shared" si="130"/>
        <v>1665</v>
      </c>
      <c r="F1687" s="95">
        <f ca="1" t="shared" si="128"/>
        <v>0</v>
      </c>
      <c r="G1687" s="95">
        <f ca="1" t="shared" si="129"/>
        <v>0</v>
      </c>
      <c r="H1687" s="95" cm="1">
        <f ca="1" t="array" ref="H1687">MIN(30-SUM(I1687:L1687),_xlfn.XLOOKUP($D1687&amp;"_"&amp;H$52,$B$14:$B$36&amp;"_"&amp;$C$14:$C$36,$D$14:$D$36)*$E1687,18)</f>
        <v>11.338</v>
      </c>
      <c r="I1687" s="95" cm="1">
        <f ca="1" t="array" ref="I1687">MIN(30-SUM(J1687:L1687),6-L1687,_xlfn.XLOOKUP($D1687&amp;"_"&amp;I$52,$B$14:$B$36&amp;"_"&amp;$C$14:$C$36,$D$14:$D$36)*$E1687)</f>
        <v>0</v>
      </c>
      <c r="J1687" s="95" cm="1">
        <f ca="1" t="array" ref="J1687">MIN(8,_xlfn.XLOOKUP($D1687&amp;"_"&amp;J$52,$B$14:$B$36&amp;"_"&amp;$C$14:$C$36,$D$14:$D$36)*$E1687)</f>
        <v>8</v>
      </c>
      <c r="K1687" s="95" cm="1">
        <f ca="1" t="array" ref="K1687">MIN(18,_xlfn.XLOOKUP($D1687&amp;"_"&amp;K$52,$B$14:$B$36&amp;"_"&amp;$C$14:$C$36,$D$14:$D$36)*$E1687)</f>
        <v>4.662</v>
      </c>
      <c r="L1687" s="95" cm="1">
        <f ca="1" t="array" ref="L1687">MIN(6,_xlfn.XLOOKUP($D1687&amp;"_"&amp;L$52,$B$14:$B$36&amp;"_"&amp;$C$14:$C$36,$D$14:$D$36)*$E1687)</f>
        <v>6</v>
      </c>
      <c r="M1687" s="95" cm="1">
        <f ca="1" t="array" ref="M1687">(1+SUMPRODUCT(G1687:H1687,OFFSET($H$40:$I$40,D1687,0)))*(1+OFFSET($J$40,D1687,0))^I1687*(1+OFFSET($K$40,D1687,0))^J1687*(1+OFFSET($L$40,D1687,0))^K1687*(1+OFFSET($M$40,D1687,0))^L1687</f>
        <v>372.740765974922</v>
      </c>
      <c r="N1687" s="95">
        <f ca="1">MAX(MAX($N$53:N1686),OFFSET($C$52,MATCH(M1687*1.07,$M$53:$M$2052,1),0)-C1687)</f>
        <v>72360</v>
      </c>
    </row>
    <row r="1688" spans="2:14">
      <c r="B1688" s="95">
        <v>1636</v>
      </c>
      <c r="C1688" s="95">
        <f t="shared" si="127"/>
        <v>588960</v>
      </c>
      <c r="D1688" s="95">
        <f ca="1">_xlfn.XLOOKUP(总览!$B$44,$B$40:$B$45,$C$40:$C$45)</f>
        <v>5</v>
      </c>
      <c r="E1688" s="95">
        <f ca="1" t="shared" si="130"/>
        <v>1666</v>
      </c>
      <c r="F1688" s="95">
        <f ca="1" t="shared" si="128"/>
        <v>0</v>
      </c>
      <c r="G1688" s="95">
        <f ca="1" t="shared" si="129"/>
        <v>0</v>
      </c>
      <c r="H1688" s="95" cm="1">
        <f ca="1" t="array" ref="H1688">MIN(30-SUM(I1688:L1688),_xlfn.XLOOKUP($D1688&amp;"_"&amp;H$52,$B$14:$B$36&amp;"_"&amp;$C$14:$C$36,$D$14:$D$36)*$E1688,18)</f>
        <v>11.3352</v>
      </c>
      <c r="I1688" s="95" cm="1">
        <f ca="1" t="array" ref="I1688">MIN(30-SUM(J1688:L1688),6-L1688,_xlfn.XLOOKUP($D1688&amp;"_"&amp;I$52,$B$14:$B$36&amp;"_"&amp;$C$14:$C$36,$D$14:$D$36)*$E1688)</f>
        <v>0</v>
      </c>
      <c r="J1688" s="95" cm="1">
        <f ca="1" t="array" ref="J1688">MIN(8,_xlfn.XLOOKUP($D1688&amp;"_"&amp;J$52,$B$14:$B$36&amp;"_"&amp;$C$14:$C$36,$D$14:$D$36)*$E1688)</f>
        <v>8</v>
      </c>
      <c r="K1688" s="95" cm="1">
        <f ca="1" t="array" ref="K1688">MIN(18,_xlfn.XLOOKUP($D1688&amp;"_"&amp;K$52,$B$14:$B$36&amp;"_"&amp;$C$14:$C$36,$D$14:$D$36)*$E1688)</f>
        <v>4.6648</v>
      </c>
      <c r="L1688" s="95" cm="1">
        <f ca="1" t="array" ref="L1688">MIN(6,_xlfn.XLOOKUP($D1688&amp;"_"&amp;L$52,$B$14:$B$36&amp;"_"&amp;$C$14:$C$36,$D$14:$D$36)*$E1688)</f>
        <v>6</v>
      </c>
      <c r="M1688" s="95" cm="1">
        <f ca="1" t="array" ref="M1688">(1+SUMPRODUCT(G1688:H1688,OFFSET($H$40:$I$40,D1688,0)))*(1+OFFSET($J$40,D1688,0))^I1688*(1+OFFSET($K$40,D1688,0))^J1688*(1+OFFSET($L$40,D1688,0))^K1688*(1+OFFSET($M$40,D1688,0))^L1688</f>
        <v>372.86718606342</v>
      </c>
      <c r="N1688" s="95">
        <f ca="1">MAX(MAX($N$53:N1687),OFFSET($C$52,MATCH(M1688*1.07,$M$53:$M$2052,1),0)-C1688)</f>
        <v>72360</v>
      </c>
    </row>
    <row r="1689" spans="2:14">
      <c r="B1689" s="95">
        <v>1637</v>
      </c>
      <c r="C1689" s="95">
        <f t="shared" si="127"/>
        <v>589320</v>
      </c>
      <c r="D1689" s="95">
        <f ca="1">_xlfn.XLOOKUP(总览!$B$44,$B$40:$B$45,$C$40:$C$45)</f>
        <v>5</v>
      </c>
      <c r="E1689" s="95">
        <f ca="1" t="shared" si="130"/>
        <v>1667</v>
      </c>
      <c r="F1689" s="95">
        <f ca="1" t="shared" si="128"/>
        <v>0</v>
      </c>
      <c r="G1689" s="95">
        <f ca="1" t="shared" si="129"/>
        <v>0</v>
      </c>
      <c r="H1689" s="95" cm="1">
        <f ca="1" t="array" ref="H1689">MIN(30-SUM(I1689:L1689),_xlfn.XLOOKUP($D1689&amp;"_"&amp;H$52,$B$14:$B$36&amp;"_"&amp;$C$14:$C$36,$D$14:$D$36)*$E1689,18)</f>
        <v>11.3324</v>
      </c>
      <c r="I1689" s="95" cm="1">
        <f ca="1" t="array" ref="I1689">MIN(30-SUM(J1689:L1689),6-L1689,_xlfn.XLOOKUP($D1689&amp;"_"&amp;I$52,$B$14:$B$36&amp;"_"&amp;$C$14:$C$36,$D$14:$D$36)*$E1689)</f>
        <v>0</v>
      </c>
      <c r="J1689" s="95" cm="1">
        <f ca="1" t="array" ref="J1689">MIN(8,_xlfn.XLOOKUP($D1689&amp;"_"&amp;J$52,$B$14:$B$36&amp;"_"&amp;$C$14:$C$36,$D$14:$D$36)*$E1689)</f>
        <v>8</v>
      </c>
      <c r="K1689" s="95" cm="1">
        <f ca="1" t="array" ref="K1689">MIN(18,_xlfn.XLOOKUP($D1689&amp;"_"&amp;K$52,$B$14:$B$36&amp;"_"&amp;$C$14:$C$36,$D$14:$D$36)*$E1689)</f>
        <v>4.6676</v>
      </c>
      <c r="L1689" s="95" cm="1">
        <f ca="1" t="array" ref="L1689">MIN(6,_xlfn.XLOOKUP($D1689&amp;"_"&amp;L$52,$B$14:$B$36&amp;"_"&amp;$C$14:$C$36,$D$14:$D$36)*$E1689)</f>
        <v>6</v>
      </c>
      <c r="M1689" s="95" cm="1">
        <f ca="1" t="array" ref="M1689">(1+SUMPRODUCT(G1689:H1689,OFFSET($H$40:$I$40,D1689,0)))*(1+OFFSET($J$40,D1689,0))^I1689*(1+OFFSET($K$40,D1689,0))^J1689*(1+OFFSET($L$40,D1689,0))^K1689*(1+OFFSET($M$40,D1689,0))^L1689</f>
        <v>372.993638070066</v>
      </c>
      <c r="N1689" s="95">
        <f ca="1">MAX(MAX($N$53:N1688),OFFSET($C$52,MATCH(M1689*1.07,$M$53:$M$2052,1),0)-C1689)</f>
        <v>72360</v>
      </c>
    </row>
    <row r="1690" spans="2:14">
      <c r="B1690" s="95">
        <v>1638</v>
      </c>
      <c r="C1690" s="95">
        <f t="shared" si="127"/>
        <v>589680</v>
      </c>
      <c r="D1690" s="95">
        <f ca="1">_xlfn.XLOOKUP(总览!$B$44,$B$40:$B$45,$C$40:$C$45)</f>
        <v>5</v>
      </c>
      <c r="E1690" s="95">
        <f ca="1" t="shared" si="130"/>
        <v>1668</v>
      </c>
      <c r="F1690" s="95">
        <f ca="1" t="shared" si="128"/>
        <v>0</v>
      </c>
      <c r="G1690" s="95">
        <f ca="1" t="shared" si="129"/>
        <v>0</v>
      </c>
      <c r="H1690" s="95" cm="1">
        <f ca="1" t="array" ref="H1690">MIN(30-SUM(I1690:L1690),_xlfn.XLOOKUP($D1690&amp;"_"&amp;H$52,$B$14:$B$36&amp;"_"&amp;$C$14:$C$36,$D$14:$D$36)*$E1690,18)</f>
        <v>11.3296</v>
      </c>
      <c r="I1690" s="95" cm="1">
        <f ca="1" t="array" ref="I1690">MIN(30-SUM(J1690:L1690),6-L1690,_xlfn.XLOOKUP($D1690&amp;"_"&amp;I$52,$B$14:$B$36&amp;"_"&amp;$C$14:$C$36,$D$14:$D$36)*$E1690)</f>
        <v>0</v>
      </c>
      <c r="J1690" s="95" cm="1">
        <f ca="1" t="array" ref="J1690">MIN(8,_xlfn.XLOOKUP($D1690&amp;"_"&amp;J$52,$B$14:$B$36&amp;"_"&amp;$C$14:$C$36,$D$14:$D$36)*$E1690)</f>
        <v>8</v>
      </c>
      <c r="K1690" s="95" cm="1">
        <f ca="1" t="array" ref="K1690">MIN(18,_xlfn.XLOOKUP($D1690&amp;"_"&amp;K$52,$B$14:$B$36&amp;"_"&amp;$C$14:$C$36,$D$14:$D$36)*$E1690)</f>
        <v>4.6704</v>
      </c>
      <c r="L1690" s="95" cm="1">
        <f ca="1" t="array" ref="L1690">MIN(6,_xlfn.XLOOKUP($D1690&amp;"_"&amp;L$52,$B$14:$B$36&amp;"_"&amp;$C$14:$C$36,$D$14:$D$36)*$E1690)</f>
        <v>6</v>
      </c>
      <c r="M1690" s="95" cm="1">
        <f ca="1" t="array" ref="M1690">(1+SUMPRODUCT(G1690:H1690,OFFSET($H$40:$I$40,D1690,0)))*(1+OFFSET($J$40,D1690,0))^I1690*(1+OFFSET($K$40,D1690,0))^J1690*(1+OFFSET($L$40,D1690,0))^K1690*(1+OFFSET($M$40,D1690,0))^L1690</f>
        <v>373.120121994492</v>
      </c>
      <c r="N1690" s="95">
        <f ca="1">MAX(MAX($N$53:N1689),OFFSET($C$52,MATCH(M1690*1.07,$M$53:$M$2052,1),0)-C1690)</f>
        <v>72360</v>
      </c>
    </row>
    <row r="1691" spans="2:14">
      <c r="B1691" s="95">
        <v>1639</v>
      </c>
      <c r="C1691" s="95">
        <f t="shared" si="127"/>
        <v>590040</v>
      </c>
      <c r="D1691" s="95">
        <f ca="1">_xlfn.XLOOKUP(总览!$B$44,$B$40:$B$45,$C$40:$C$45)</f>
        <v>5</v>
      </c>
      <c r="E1691" s="95">
        <f ca="1" t="shared" si="130"/>
        <v>1669</v>
      </c>
      <c r="F1691" s="95">
        <f ca="1" t="shared" si="128"/>
        <v>0</v>
      </c>
      <c r="G1691" s="95">
        <f ca="1" t="shared" si="129"/>
        <v>0</v>
      </c>
      <c r="H1691" s="95" cm="1">
        <f ca="1" t="array" ref="H1691">MIN(30-SUM(I1691:L1691),_xlfn.XLOOKUP($D1691&amp;"_"&amp;H$52,$B$14:$B$36&amp;"_"&amp;$C$14:$C$36,$D$14:$D$36)*$E1691,18)</f>
        <v>11.3268</v>
      </c>
      <c r="I1691" s="95" cm="1">
        <f ca="1" t="array" ref="I1691">MIN(30-SUM(J1691:L1691),6-L1691,_xlfn.XLOOKUP($D1691&amp;"_"&amp;I$52,$B$14:$B$36&amp;"_"&amp;$C$14:$C$36,$D$14:$D$36)*$E1691)</f>
        <v>0</v>
      </c>
      <c r="J1691" s="95" cm="1">
        <f ca="1" t="array" ref="J1691">MIN(8,_xlfn.XLOOKUP($D1691&amp;"_"&amp;J$52,$B$14:$B$36&amp;"_"&amp;$C$14:$C$36,$D$14:$D$36)*$E1691)</f>
        <v>8</v>
      </c>
      <c r="K1691" s="95" cm="1">
        <f ca="1" t="array" ref="K1691">MIN(18,_xlfn.XLOOKUP($D1691&amp;"_"&amp;K$52,$B$14:$B$36&amp;"_"&amp;$C$14:$C$36,$D$14:$D$36)*$E1691)</f>
        <v>4.6732</v>
      </c>
      <c r="L1691" s="95" cm="1">
        <f ca="1" t="array" ref="L1691">MIN(6,_xlfn.XLOOKUP($D1691&amp;"_"&amp;L$52,$B$14:$B$36&amp;"_"&amp;$C$14:$C$36,$D$14:$D$36)*$E1691)</f>
        <v>6</v>
      </c>
      <c r="M1691" s="95" cm="1">
        <f ca="1" t="array" ref="M1691">(1+SUMPRODUCT(G1691:H1691,OFFSET($H$40:$I$40,D1691,0)))*(1+OFFSET($J$40,D1691,0))^I1691*(1+OFFSET($K$40,D1691,0))^J1691*(1+OFFSET($L$40,D1691,0))^K1691*(1+OFFSET($M$40,D1691,0))^L1691</f>
        <v>373.246637836325</v>
      </c>
      <c r="N1691" s="95">
        <f ca="1">MAX(MAX($N$53:N1690),OFFSET($C$52,MATCH(M1691*1.07,$M$53:$M$2052,1),0)-C1691)</f>
        <v>72360</v>
      </c>
    </row>
    <row r="1692" spans="2:14">
      <c r="B1692" s="95">
        <v>1640</v>
      </c>
      <c r="C1692" s="95">
        <f t="shared" si="127"/>
        <v>590400</v>
      </c>
      <c r="D1692" s="95">
        <f ca="1">_xlfn.XLOOKUP(总览!$B$44,$B$40:$B$45,$C$40:$C$45)</f>
        <v>5</v>
      </c>
      <c r="E1692" s="95">
        <f ca="1" t="shared" si="130"/>
        <v>1670</v>
      </c>
      <c r="F1692" s="95">
        <f ca="1" t="shared" si="128"/>
        <v>0</v>
      </c>
      <c r="G1692" s="95">
        <f ca="1" t="shared" si="129"/>
        <v>0</v>
      </c>
      <c r="H1692" s="95" cm="1">
        <f ca="1" t="array" ref="H1692">MIN(30-SUM(I1692:L1692),_xlfn.XLOOKUP($D1692&amp;"_"&amp;H$52,$B$14:$B$36&amp;"_"&amp;$C$14:$C$36,$D$14:$D$36)*$E1692,18)</f>
        <v>11.324</v>
      </c>
      <c r="I1692" s="95" cm="1">
        <f ca="1" t="array" ref="I1692">MIN(30-SUM(J1692:L1692),6-L1692,_xlfn.XLOOKUP($D1692&amp;"_"&amp;I$52,$B$14:$B$36&amp;"_"&amp;$C$14:$C$36,$D$14:$D$36)*$E1692)</f>
        <v>0</v>
      </c>
      <c r="J1692" s="95" cm="1">
        <f ca="1" t="array" ref="J1692">MIN(8,_xlfn.XLOOKUP($D1692&amp;"_"&amp;J$52,$B$14:$B$36&amp;"_"&amp;$C$14:$C$36,$D$14:$D$36)*$E1692)</f>
        <v>8</v>
      </c>
      <c r="K1692" s="95" cm="1">
        <f ca="1" t="array" ref="K1692">MIN(18,_xlfn.XLOOKUP($D1692&amp;"_"&amp;K$52,$B$14:$B$36&amp;"_"&amp;$C$14:$C$36,$D$14:$D$36)*$E1692)</f>
        <v>4.676</v>
      </c>
      <c r="L1692" s="95" cm="1">
        <f ca="1" t="array" ref="L1692">MIN(6,_xlfn.XLOOKUP($D1692&amp;"_"&amp;L$52,$B$14:$B$36&amp;"_"&amp;$C$14:$C$36,$D$14:$D$36)*$E1692)</f>
        <v>6</v>
      </c>
      <c r="M1692" s="95" cm="1">
        <f ca="1" t="array" ref="M1692">(1+SUMPRODUCT(G1692:H1692,OFFSET($H$40:$I$40,D1692,0)))*(1+OFFSET($J$40,D1692,0))^I1692*(1+OFFSET($K$40,D1692,0))^J1692*(1+OFFSET($L$40,D1692,0))^K1692*(1+OFFSET($M$40,D1692,0))^L1692</f>
        <v>373.373185595179</v>
      </c>
      <c r="N1692" s="95">
        <f ca="1">MAX(MAX($N$53:N1691),OFFSET($C$52,MATCH(M1692*1.07,$M$53:$M$2052,1),0)-C1692)</f>
        <v>72360</v>
      </c>
    </row>
    <row r="1693" spans="2:14">
      <c r="B1693" s="95">
        <v>1641</v>
      </c>
      <c r="C1693" s="95">
        <f t="shared" si="127"/>
        <v>590760</v>
      </c>
      <c r="D1693" s="95">
        <f ca="1">_xlfn.XLOOKUP(总览!$B$44,$B$40:$B$45,$C$40:$C$45)</f>
        <v>5</v>
      </c>
      <c r="E1693" s="95">
        <f ca="1" t="shared" si="130"/>
        <v>1671</v>
      </c>
      <c r="F1693" s="95">
        <f ca="1" t="shared" si="128"/>
        <v>0</v>
      </c>
      <c r="G1693" s="95">
        <f ca="1" t="shared" si="129"/>
        <v>0</v>
      </c>
      <c r="H1693" s="95" cm="1">
        <f ca="1" t="array" ref="H1693">MIN(30-SUM(I1693:L1693),_xlfn.XLOOKUP($D1693&amp;"_"&amp;H$52,$B$14:$B$36&amp;"_"&amp;$C$14:$C$36,$D$14:$D$36)*$E1693,18)</f>
        <v>11.3212</v>
      </c>
      <c r="I1693" s="95" cm="1">
        <f ca="1" t="array" ref="I1693">MIN(30-SUM(J1693:L1693),6-L1693,_xlfn.XLOOKUP($D1693&amp;"_"&amp;I$52,$B$14:$B$36&amp;"_"&amp;$C$14:$C$36,$D$14:$D$36)*$E1693)</f>
        <v>0</v>
      </c>
      <c r="J1693" s="95" cm="1">
        <f ca="1" t="array" ref="J1693">MIN(8,_xlfn.XLOOKUP($D1693&amp;"_"&amp;J$52,$B$14:$B$36&amp;"_"&amp;$C$14:$C$36,$D$14:$D$36)*$E1693)</f>
        <v>8</v>
      </c>
      <c r="K1693" s="95" cm="1">
        <f ca="1" t="array" ref="K1693">MIN(18,_xlfn.XLOOKUP($D1693&amp;"_"&amp;K$52,$B$14:$B$36&amp;"_"&amp;$C$14:$C$36,$D$14:$D$36)*$E1693)</f>
        <v>4.6788</v>
      </c>
      <c r="L1693" s="95" cm="1">
        <f ca="1" t="array" ref="L1693">MIN(6,_xlfn.XLOOKUP($D1693&amp;"_"&amp;L$52,$B$14:$B$36&amp;"_"&amp;$C$14:$C$36,$D$14:$D$36)*$E1693)</f>
        <v>6</v>
      </c>
      <c r="M1693" s="95" cm="1">
        <f ca="1" t="array" ref="M1693">(1+SUMPRODUCT(G1693:H1693,OFFSET($H$40:$I$40,D1693,0)))*(1+OFFSET($J$40,D1693,0))^I1693*(1+OFFSET($K$40,D1693,0))^J1693*(1+OFFSET($L$40,D1693,0))^K1693*(1+OFFSET($M$40,D1693,0))^L1693</f>
        <v>373.499765270662</v>
      </c>
      <c r="N1693" s="95">
        <f ca="1">MAX(MAX($N$53:N1692),OFFSET($C$52,MATCH(M1693*1.07,$M$53:$M$2052,1),0)-C1693)</f>
        <v>72360</v>
      </c>
    </row>
    <row r="1694" spans="2:14">
      <c r="B1694" s="95">
        <v>1642</v>
      </c>
      <c r="C1694" s="95">
        <f t="shared" si="127"/>
        <v>591120</v>
      </c>
      <c r="D1694" s="95">
        <f ca="1">_xlfn.XLOOKUP(总览!$B$44,$B$40:$B$45,$C$40:$C$45)</f>
        <v>5</v>
      </c>
      <c r="E1694" s="95">
        <f ca="1" t="shared" si="130"/>
        <v>1672</v>
      </c>
      <c r="F1694" s="95">
        <f ca="1" t="shared" si="128"/>
        <v>0</v>
      </c>
      <c r="G1694" s="95">
        <f ca="1" t="shared" si="129"/>
        <v>0</v>
      </c>
      <c r="H1694" s="95" cm="1">
        <f ca="1" t="array" ref="H1694">MIN(30-SUM(I1694:L1694),_xlfn.XLOOKUP($D1694&amp;"_"&amp;H$52,$B$14:$B$36&amp;"_"&amp;$C$14:$C$36,$D$14:$D$36)*$E1694,18)</f>
        <v>11.3184</v>
      </c>
      <c r="I1694" s="95" cm="1">
        <f ca="1" t="array" ref="I1694">MIN(30-SUM(J1694:L1694),6-L1694,_xlfn.XLOOKUP($D1694&amp;"_"&amp;I$52,$B$14:$B$36&amp;"_"&amp;$C$14:$C$36,$D$14:$D$36)*$E1694)</f>
        <v>0</v>
      </c>
      <c r="J1694" s="95" cm="1">
        <f ca="1" t="array" ref="J1694">MIN(8,_xlfn.XLOOKUP($D1694&amp;"_"&amp;J$52,$B$14:$B$36&amp;"_"&amp;$C$14:$C$36,$D$14:$D$36)*$E1694)</f>
        <v>8</v>
      </c>
      <c r="K1694" s="95" cm="1">
        <f ca="1" t="array" ref="K1694">MIN(18,_xlfn.XLOOKUP($D1694&amp;"_"&amp;K$52,$B$14:$B$36&amp;"_"&amp;$C$14:$C$36,$D$14:$D$36)*$E1694)</f>
        <v>4.6816</v>
      </c>
      <c r="L1694" s="95" cm="1">
        <f ca="1" t="array" ref="L1694">MIN(6,_xlfn.XLOOKUP($D1694&amp;"_"&amp;L$52,$B$14:$B$36&amp;"_"&amp;$C$14:$C$36,$D$14:$D$36)*$E1694)</f>
        <v>6</v>
      </c>
      <c r="M1694" s="95" cm="1">
        <f ca="1" t="array" ref="M1694">(1+SUMPRODUCT(G1694:H1694,OFFSET($H$40:$I$40,D1694,0)))*(1+OFFSET($J$40,D1694,0))^I1694*(1+OFFSET($K$40,D1694,0))^J1694*(1+OFFSET($L$40,D1694,0))^K1694*(1+OFFSET($M$40,D1694,0))^L1694</f>
        <v>373.626376862374</v>
      </c>
      <c r="N1694" s="95">
        <f ca="1">MAX(MAX($N$53:N1693),OFFSET($C$52,MATCH(M1694*1.07,$M$53:$M$2052,1),0)-C1694)</f>
        <v>72360</v>
      </c>
    </row>
    <row r="1695" spans="2:14">
      <c r="B1695" s="95">
        <v>1643</v>
      </c>
      <c r="C1695" s="95">
        <f t="shared" si="127"/>
        <v>591480</v>
      </c>
      <c r="D1695" s="95">
        <f ca="1">_xlfn.XLOOKUP(总览!$B$44,$B$40:$B$45,$C$40:$C$45)</f>
        <v>5</v>
      </c>
      <c r="E1695" s="95">
        <f ca="1" t="shared" si="130"/>
        <v>1673</v>
      </c>
      <c r="F1695" s="95">
        <f ca="1" t="shared" si="128"/>
        <v>0</v>
      </c>
      <c r="G1695" s="95">
        <f ca="1" t="shared" si="129"/>
        <v>0</v>
      </c>
      <c r="H1695" s="95" cm="1">
        <f ca="1" t="array" ref="H1695">MIN(30-SUM(I1695:L1695),_xlfn.XLOOKUP($D1695&amp;"_"&amp;H$52,$B$14:$B$36&amp;"_"&amp;$C$14:$C$36,$D$14:$D$36)*$E1695,18)</f>
        <v>11.3156</v>
      </c>
      <c r="I1695" s="95" cm="1">
        <f ca="1" t="array" ref="I1695">MIN(30-SUM(J1695:L1695),6-L1695,_xlfn.XLOOKUP($D1695&amp;"_"&amp;I$52,$B$14:$B$36&amp;"_"&amp;$C$14:$C$36,$D$14:$D$36)*$E1695)</f>
        <v>0</v>
      </c>
      <c r="J1695" s="95" cm="1">
        <f ca="1" t="array" ref="J1695">MIN(8,_xlfn.XLOOKUP($D1695&amp;"_"&amp;J$52,$B$14:$B$36&amp;"_"&amp;$C$14:$C$36,$D$14:$D$36)*$E1695)</f>
        <v>8</v>
      </c>
      <c r="K1695" s="95" cm="1">
        <f ca="1" t="array" ref="K1695">MIN(18,_xlfn.XLOOKUP($D1695&amp;"_"&amp;K$52,$B$14:$B$36&amp;"_"&amp;$C$14:$C$36,$D$14:$D$36)*$E1695)</f>
        <v>4.6844</v>
      </c>
      <c r="L1695" s="95" cm="1">
        <f ca="1" t="array" ref="L1695">MIN(6,_xlfn.XLOOKUP($D1695&amp;"_"&amp;L$52,$B$14:$B$36&amp;"_"&amp;$C$14:$C$36,$D$14:$D$36)*$E1695)</f>
        <v>6</v>
      </c>
      <c r="M1695" s="95" cm="1">
        <f ca="1" t="array" ref="M1695">(1+SUMPRODUCT(G1695:H1695,OFFSET($H$40:$I$40,D1695,0)))*(1+OFFSET($J$40,D1695,0))^I1695*(1+OFFSET($K$40,D1695,0))^J1695*(1+OFFSET($L$40,D1695,0))^K1695*(1+OFFSET($M$40,D1695,0))^L1695</f>
        <v>373.753020369903</v>
      </c>
      <c r="N1695" s="95">
        <f ca="1">MAX(MAX($N$53:N1694),OFFSET($C$52,MATCH(M1695*1.07,$M$53:$M$2052,1),0)-C1695)</f>
        <v>72360</v>
      </c>
    </row>
    <row r="1696" spans="2:14">
      <c r="B1696" s="95">
        <v>1644</v>
      </c>
      <c r="C1696" s="95">
        <f t="shared" si="127"/>
        <v>591840</v>
      </c>
      <c r="D1696" s="95">
        <f ca="1">_xlfn.XLOOKUP(总览!$B$44,$B$40:$B$45,$C$40:$C$45)</f>
        <v>5</v>
      </c>
      <c r="E1696" s="95">
        <f ca="1" t="shared" si="130"/>
        <v>1674</v>
      </c>
      <c r="F1696" s="95">
        <f ca="1" t="shared" si="128"/>
        <v>0</v>
      </c>
      <c r="G1696" s="95">
        <f ca="1" t="shared" si="129"/>
        <v>0</v>
      </c>
      <c r="H1696" s="95" cm="1">
        <f ca="1" t="array" ref="H1696">MIN(30-SUM(I1696:L1696),_xlfn.XLOOKUP($D1696&amp;"_"&amp;H$52,$B$14:$B$36&amp;"_"&amp;$C$14:$C$36,$D$14:$D$36)*$E1696,18)</f>
        <v>11.3128</v>
      </c>
      <c r="I1696" s="95" cm="1">
        <f ca="1" t="array" ref="I1696">MIN(30-SUM(J1696:L1696),6-L1696,_xlfn.XLOOKUP($D1696&amp;"_"&amp;I$52,$B$14:$B$36&amp;"_"&amp;$C$14:$C$36,$D$14:$D$36)*$E1696)</f>
        <v>0</v>
      </c>
      <c r="J1696" s="95" cm="1">
        <f ca="1" t="array" ref="J1696">MIN(8,_xlfn.XLOOKUP($D1696&amp;"_"&amp;J$52,$B$14:$B$36&amp;"_"&amp;$C$14:$C$36,$D$14:$D$36)*$E1696)</f>
        <v>8</v>
      </c>
      <c r="K1696" s="95" cm="1">
        <f ca="1" t="array" ref="K1696">MIN(18,_xlfn.XLOOKUP($D1696&amp;"_"&amp;K$52,$B$14:$B$36&amp;"_"&amp;$C$14:$C$36,$D$14:$D$36)*$E1696)</f>
        <v>4.6872</v>
      </c>
      <c r="L1696" s="95" cm="1">
        <f ca="1" t="array" ref="L1696">MIN(6,_xlfn.XLOOKUP($D1696&amp;"_"&amp;L$52,$B$14:$B$36&amp;"_"&amp;$C$14:$C$36,$D$14:$D$36)*$E1696)</f>
        <v>6</v>
      </c>
      <c r="M1696" s="95" cm="1">
        <f ca="1" t="array" ref="M1696">(1+SUMPRODUCT(G1696:H1696,OFFSET($H$40:$I$40,D1696,0)))*(1+OFFSET($J$40,D1696,0))^I1696*(1+OFFSET($K$40,D1696,0))^J1696*(1+OFFSET($L$40,D1696,0))^K1696*(1+OFFSET($M$40,D1696,0))^L1696</f>
        <v>373.879695792832</v>
      </c>
      <c r="N1696" s="95">
        <f ca="1">MAX(MAX($N$53:N1695),OFFSET($C$52,MATCH(M1696*1.07,$M$53:$M$2052,1),0)-C1696)</f>
        <v>72360</v>
      </c>
    </row>
    <row r="1697" spans="2:14">
      <c r="B1697" s="95">
        <v>1645</v>
      </c>
      <c r="C1697" s="95">
        <f t="shared" si="127"/>
        <v>592200</v>
      </c>
      <c r="D1697" s="95">
        <f ca="1">_xlfn.XLOOKUP(总览!$B$44,$B$40:$B$45,$C$40:$C$45)</f>
        <v>5</v>
      </c>
      <c r="E1697" s="95">
        <f ca="1" t="shared" si="130"/>
        <v>1675</v>
      </c>
      <c r="F1697" s="95">
        <f ca="1" t="shared" si="128"/>
        <v>0</v>
      </c>
      <c r="G1697" s="95">
        <f ca="1" t="shared" si="129"/>
        <v>0</v>
      </c>
      <c r="H1697" s="95" cm="1">
        <f ca="1" t="array" ref="H1697">MIN(30-SUM(I1697:L1697),_xlfn.XLOOKUP($D1697&amp;"_"&amp;H$52,$B$14:$B$36&amp;"_"&amp;$C$14:$C$36,$D$14:$D$36)*$E1697,18)</f>
        <v>11.31</v>
      </c>
      <c r="I1697" s="95" cm="1">
        <f ca="1" t="array" ref="I1697">MIN(30-SUM(J1697:L1697),6-L1697,_xlfn.XLOOKUP($D1697&amp;"_"&amp;I$52,$B$14:$B$36&amp;"_"&amp;$C$14:$C$36,$D$14:$D$36)*$E1697)</f>
        <v>0</v>
      </c>
      <c r="J1697" s="95" cm="1">
        <f ca="1" t="array" ref="J1697">MIN(8,_xlfn.XLOOKUP($D1697&amp;"_"&amp;J$52,$B$14:$B$36&amp;"_"&amp;$C$14:$C$36,$D$14:$D$36)*$E1697)</f>
        <v>8</v>
      </c>
      <c r="K1697" s="95" cm="1">
        <f ca="1" t="array" ref="K1697">MIN(18,_xlfn.XLOOKUP($D1697&amp;"_"&amp;K$52,$B$14:$B$36&amp;"_"&amp;$C$14:$C$36,$D$14:$D$36)*$E1697)</f>
        <v>4.69</v>
      </c>
      <c r="L1697" s="95" cm="1">
        <f ca="1" t="array" ref="L1697">MIN(6,_xlfn.XLOOKUP($D1697&amp;"_"&amp;L$52,$B$14:$B$36&amp;"_"&amp;$C$14:$C$36,$D$14:$D$36)*$E1697)</f>
        <v>6</v>
      </c>
      <c r="M1697" s="95" cm="1">
        <f ca="1" t="array" ref="M1697">(1+SUMPRODUCT(G1697:H1697,OFFSET($H$40:$I$40,D1697,0)))*(1+OFFSET($J$40,D1697,0))^I1697*(1+OFFSET($K$40,D1697,0))^J1697*(1+OFFSET($L$40,D1697,0))^K1697*(1+OFFSET($M$40,D1697,0))^L1697</f>
        <v>374.006403130733</v>
      </c>
      <c r="N1697" s="95">
        <f ca="1">MAX(MAX($N$53:N1696),OFFSET($C$52,MATCH(M1697*1.07,$M$53:$M$2052,1),0)-C1697)</f>
        <v>72360</v>
      </c>
    </row>
    <row r="1698" spans="2:14">
      <c r="B1698" s="95">
        <v>1646</v>
      </c>
      <c r="C1698" s="95">
        <f t="shared" si="127"/>
        <v>592560</v>
      </c>
      <c r="D1698" s="95">
        <f ca="1">_xlfn.XLOOKUP(总览!$B$44,$B$40:$B$45,$C$40:$C$45)</f>
        <v>5</v>
      </c>
      <c r="E1698" s="95">
        <f ca="1" t="shared" si="130"/>
        <v>1676</v>
      </c>
      <c r="F1698" s="95">
        <f ca="1" t="shared" si="128"/>
        <v>0</v>
      </c>
      <c r="G1698" s="95">
        <f ca="1" t="shared" si="129"/>
        <v>0</v>
      </c>
      <c r="H1698" s="95" cm="1">
        <f ca="1" t="array" ref="H1698">MIN(30-SUM(I1698:L1698),_xlfn.XLOOKUP($D1698&amp;"_"&amp;H$52,$B$14:$B$36&amp;"_"&amp;$C$14:$C$36,$D$14:$D$36)*$E1698,18)</f>
        <v>11.3072</v>
      </c>
      <c r="I1698" s="95" cm="1">
        <f ca="1" t="array" ref="I1698">MIN(30-SUM(J1698:L1698),6-L1698,_xlfn.XLOOKUP($D1698&amp;"_"&amp;I$52,$B$14:$B$36&amp;"_"&amp;$C$14:$C$36,$D$14:$D$36)*$E1698)</f>
        <v>0</v>
      </c>
      <c r="J1698" s="95" cm="1">
        <f ca="1" t="array" ref="J1698">MIN(8,_xlfn.XLOOKUP($D1698&amp;"_"&amp;J$52,$B$14:$B$36&amp;"_"&amp;$C$14:$C$36,$D$14:$D$36)*$E1698)</f>
        <v>8</v>
      </c>
      <c r="K1698" s="95" cm="1">
        <f ca="1" t="array" ref="K1698">MIN(18,_xlfn.XLOOKUP($D1698&amp;"_"&amp;K$52,$B$14:$B$36&amp;"_"&amp;$C$14:$C$36,$D$14:$D$36)*$E1698)</f>
        <v>4.6928</v>
      </c>
      <c r="L1698" s="95" cm="1">
        <f ca="1" t="array" ref="L1698">MIN(6,_xlfn.XLOOKUP($D1698&amp;"_"&amp;L$52,$B$14:$B$36&amp;"_"&amp;$C$14:$C$36,$D$14:$D$36)*$E1698)</f>
        <v>6</v>
      </c>
      <c r="M1698" s="95" cm="1">
        <f ca="1" t="array" ref="M1698">(1+SUMPRODUCT(G1698:H1698,OFFSET($H$40:$I$40,D1698,0)))*(1+OFFSET($J$40,D1698,0))^I1698*(1+OFFSET($K$40,D1698,0))^J1698*(1+OFFSET($L$40,D1698,0))^K1698*(1+OFFSET($M$40,D1698,0))^L1698</f>
        <v>374.133142383168</v>
      </c>
      <c r="N1698" s="95">
        <f ca="1">MAX(MAX($N$53:N1697),OFFSET($C$52,MATCH(M1698*1.07,$M$53:$M$2052,1),0)-C1698)</f>
        <v>72360</v>
      </c>
    </row>
    <row r="1699" spans="2:14">
      <c r="B1699" s="95">
        <v>1647</v>
      </c>
      <c r="C1699" s="95">
        <f t="shared" si="127"/>
        <v>592920</v>
      </c>
      <c r="D1699" s="95">
        <f ca="1">_xlfn.XLOOKUP(总览!$B$44,$B$40:$B$45,$C$40:$C$45)</f>
        <v>5</v>
      </c>
      <c r="E1699" s="95">
        <f ca="1" t="shared" si="130"/>
        <v>1677</v>
      </c>
      <c r="F1699" s="95">
        <f ca="1" t="shared" si="128"/>
        <v>0</v>
      </c>
      <c r="G1699" s="95">
        <f ca="1" t="shared" si="129"/>
        <v>0</v>
      </c>
      <c r="H1699" s="95" cm="1">
        <f ca="1" t="array" ref="H1699">MIN(30-SUM(I1699:L1699),_xlfn.XLOOKUP($D1699&amp;"_"&amp;H$52,$B$14:$B$36&amp;"_"&amp;$C$14:$C$36,$D$14:$D$36)*$E1699,18)</f>
        <v>11.3044</v>
      </c>
      <c r="I1699" s="95" cm="1">
        <f ca="1" t="array" ref="I1699">MIN(30-SUM(J1699:L1699),6-L1699,_xlfn.XLOOKUP($D1699&amp;"_"&amp;I$52,$B$14:$B$36&amp;"_"&amp;$C$14:$C$36,$D$14:$D$36)*$E1699)</f>
        <v>0</v>
      </c>
      <c r="J1699" s="95" cm="1">
        <f ca="1" t="array" ref="J1699">MIN(8,_xlfn.XLOOKUP($D1699&amp;"_"&amp;J$52,$B$14:$B$36&amp;"_"&amp;$C$14:$C$36,$D$14:$D$36)*$E1699)</f>
        <v>8</v>
      </c>
      <c r="K1699" s="95" cm="1">
        <f ca="1" t="array" ref="K1699">MIN(18,_xlfn.XLOOKUP($D1699&amp;"_"&amp;K$52,$B$14:$B$36&amp;"_"&amp;$C$14:$C$36,$D$14:$D$36)*$E1699)</f>
        <v>4.6956</v>
      </c>
      <c r="L1699" s="95" cm="1">
        <f ca="1" t="array" ref="L1699">MIN(6,_xlfn.XLOOKUP($D1699&amp;"_"&amp;L$52,$B$14:$B$36&amp;"_"&amp;$C$14:$C$36,$D$14:$D$36)*$E1699)</f>
        <v>6</v>
      </c>
      <c r="M1699" s="95" cm="1">
        <f ca="1" t="array" ref="M1699">(1+SUMPRODUCT(G1699:H1699,OFFSET($H$40:$I$40,D1699,0)))*(1+OFFSET($J$40,D1699,0))^I1699*(1+OFFSET($K$40,D1699,0))^J1699*(1+OFFSET($L$40,D1699,0))^K1699*(1+OFFSET($M$40,D1699,0))^L1699</f>
        <v>374.259913549694</v>
      </c>
      <c r="N1699" s="95">
        <f ca="1">MAX(MAX($N$53:N1698),OFFSET($C$52,MATCH(M1699*1.07,$M$53:$M$2052,1),0)-C1699)</f>
        <v>72360</v>
      </c>
    </row>
    <row r="1700" spans="2:14">
      <c r="B1700" s="95">
        <v>1648</v>
      </c>
      <c r="C1700" s="95">
        <f t="shared" si="127"/>
        <v>593280</v>
      </c>
      <c r="D1700" s="95">
        <f ca="1">_xlfn.XLOOKUP(总览!$B$44,$B$40:$B$45,$C$40:$C$45)</f>
        <v>5</v>
      </c>
      <c r="E1700" s="95">
        <f ca="1" t="shared" si="130"/>
        <v>1678</v>
      </c>
      <c r="F1700" s="95">
        <f ca="1" t="shared" si="128"/>
        <v>0</v>
      </c>
      <c r="G1700" s="95">
        <f ca="1" t="shared" si="129"/>
        <v>0</v>
      </c>
      <c r="H1700" s="95" cm="1">
        <f ca="1" t="array" ref="H1700">MIN(30-SUM(I1700:L1700),_xlfn.XLOOKUP($D1700&amp;"_"&amp;H$52,$B$14:$B$36&amp;"_"&amp;$C$14:$C$36,$D$14:$D$36)*$E1700,18)</f>
        <v>11.3016</v>
      </c>
      <c r="I1700" s="95" cm="1">
        <f ca="1" t="array" ref="I1700">MIN(30-SUM(J1700:L1700),6-L1700,_xlfn.XLOOKUP($D1700&amp;"_"&amp;I$52,$B$14:$B$36&amp;"_"&amp;$C$14:$C$36,$D$14:$D$36)*$E1700)</f>
        <v>0</v>
      </c>
      <c r="J1700" s="95" cm="1">
        <f ca="1" t="array" ref="J1700">MIN(8,_xlfn.XLOOKUP($D1700&amp;"_"&amp;J$52,$B$14:$B$36&amp;"_"&amp;$C$14:$C$36,$D$14:$D$36)*$E1700)</f>
        <v>8</v>
      </c>
      <c r="K1700" s="95" cm="1">
        <f ca="1" t="array" ref="K1700">MIN(18,_xlfn.XLOOKUP($D1700&amp;"_"&amp;K$52,$B$14:$B$36&amp;"_"&amp;$C$14:$C$36,$D$14:$D$36)*$E1700)</f>
        <v>4.6984</v>
      </c>
      <c r="L1700" s="95" cm="1">
        <f ca="1" t="array" ref="L1700">MIN(6,_xlfn.XLOOKUP($D1700&amp;"_"&amp;L$52,$B$14:$B$36&amp;"_"&amp;$C$14:$C$36,$D$14:$D$36)*$E1700)</f>
        <v>6</v>
      </c>
      <c r="M1700" s="95" cm="1">
        <f ca="1" t="array" ref="M1700">(1+SUMPRODUCT(G1700:H1700,OFFSET($H$40:$I$40,D1700,0)))*(1+OFFSET($J$40,D1700,0))^I1700*(1+OFFSET($K$40,D1700,0))^J1700*(1+OFFSET($L$40,D1700,0))^K1700*(1+OFFSET($M$40,D1700,0))^L1700</f>
        <v>374.386716629857</v>
      </c>
      <c r="N1700" s="95">
        <f ca="1">MAX(MAX($N$53:N1699),OFFSET($C$52,MATCH(M1700*1.07,$M$53:$M$2052,1),0)-C1700)</f>
        <v>72360</v>
      </c>
    </row>
    <row r="1701" spans="2:14">
      <c r="B1701" s="95">
        <v>1649</v>
      </c>
      <c r="C1701" s="95">
        <f t="shared" ref="C1701:C1764" si="131">C1700+360</f>
        <v>593640</v>
      </c>
      <c r="D1701" s="95">
        <f ca="1">_xlfn.XLOOKUP(总览!$B$44,$B$40:$B$45,$C$40:$C$45)</f>
        <v>5</v>
      </c>
      <c r="E1701" s="95">
        <f ca="1" t="shared" si="130"/>
        <v>1679</v>
      </c>
      <c r="F1701" s="95">
        <f ca="1" t="shared" ref="F1701:F1764" si="132">30-SUM(G1701:L1701)</f>
        <v>0</v>
      </c>
      <c r="G1701" s="95">
        <f ca="1" t="shared" ref="G1701:G1764" si="133">30-SUM(H1701:L1701)</f>
        <v>0</v>
      </c>
      <c r="H1701" s="95" cm="1">
        <f ca="1" t="array" ref="H1701">MIN(30-SUM(I1701:L1701),_xlfn.XLOOKUP($D1701&amp;"_"&amp;H$52,$B$14:$B$36&amp;"_"&amp;$C$14:$C$36,$D$14:$D$36)*$E1701,18)</f>
        <v>11.2988</v>
      </c>
      <c r="I1701" s="95" cm="1">
        <f ca="1" t="array" ref="I1701">MIN(30-SUM(J1701:L1701),6-L1701,_xlfn.XLOOKUP($D1701&amp;"_"&amp;I$52,$B$14:$B$36&amp;"_"&amp;$C$14:$C$36,$D$14:$D$36)*$E1701)</f>
        <v>0</v>
      </c>
      <c r="J1701" s="95" cm="1">
        <f ca="1" t="array" ref="J1701">MIN(8,_xlfn.XLOOKUP($D1701&amp;"_"&amp;J$52,$B$14:$B$36&amp;"_"&amp;$C$14:$C$36,$D$14:$D$36)*$E1701)</f>
        <v>8</v>
      </c>
      <c r="K1701" s="95" cm="1">
        <f ca="1" t="array" ref="K1701">MIN(18,_xlfn.XLOOKUP($D1701&amp;"_"&amp;K$52,$B$14:$B$36&amp;"_"&amp;$C$14:$C$36,$D$14:$D$36)*$E1701)</f>
        <v>4.7012</v>
      </c>
      <c r="L1701" s="95" cm="1">
        <f ca="1" t="array" ref="L1701">MIN(6,_xlfn.XLOOKUP($D1701&amp;"_"&amp;L$52,$B$14:$B$36&amp;"_"&amp;$C$14:$C$36,$D$14:$D$36)*$E1701)</f>
        <v>6</v>
      </c>
      <c r="M1701" s="95" cm="1">
        <f ca="1" t="array" ref="M1701">(1+SUMPRODUCT(G1701:H1701,OFFSET($H$40:$I$40,D1701,0)))*(1+OFFSET($J$40,D1701,0))^I1701*(1+OFFSET($K$40,D1701,0))^J1701*(1+OFFSET($L$40,D1701,0))^K1701*(1+OFFSET($M$40,D1701,0))^L1701</f>
        <v>374.513551623194</v>
      </c>
      <c r="N1701" s="95">
        <f ca="1">MAX(MAX($N$53:N1700),OFFSET($C$52,MATCH(M1701*1.07,$M$53:$M$2052,1),0)-C1701)</f>
        <v>72360</v>
      </c>
    </row>
    <row r="1702" spans="2:14">
      <c r="B1702" s="95">
        <v>1650</v>
      </c>
      <c r="C1702" s="95">
        <f t="shared" si="131"/>
        <v>594000</v>
      </c>
      <c r="D1702" s="95">
        <f ca="1">_xlfn.XLOOKUP(总览!$B$44,$B$40:$B$45,$C$40:$C$45)</f>
        <v>5</v>
      </c>
      <c r="E1702" s="95">
        <f ca="1" t="shared" si="130"/>
        <v>1680</v>
      </c>
      <c r="F1702" s="95">
        <f ca="1" t="shared" si="132"/>
        <v>0</v>
      </c>
      <c r="G1702" s="95">
        <f ca="1" t="shared" si="133"/>
        <v>0</v>
      </c>
      <c r="H1702" s="95" cm="1">
        <f ca="1" t="array" ref="H1702">MIN(30-SUM(I1702:L1702),_xlfn.XLOOKUP($D1702&amp;"_"&amp;H$52,$B$14:$B$36&amp;"_"&amp;$C$14:$C$36,$D$14:$D$36)*$E1702,18)</f>
        <v>11.296</v>
      </c>
      <c r="I1702" s="95" cm="1">
        <f ca="1" t="array" ref="I1702">MIN(30-SUM(J1702:L1702),6-L1702,_xlfn.XLOOKUP($D1702&amp;"_"&amp;I$52,$B$14:$B$36&amp;"_"&amp;$C$14:$C$36,$D$14:$D$36)*$E1702)</f>
        <v>0</v>
      </c>
      <c r="J1702" s="95" cm="1">
        <f ca="1" t="array" ref="J1702">MIN(8,_xlfn.XLOOKUP($D1702&amp;"_"&amp;J$52,$B$14:$B$36&amp;"_"&amp;$C$14:$C$36,$D$14:$D$36)*$E1702)</f>
        <v>8</v>
      </c>
      <c r="K1702" s="95" cm="1">
        <f ca="1" t="array" ref="K1702">MIN(18,_xlfn.XLOOKUP($D1702&amp;"_"&amp;K$52,$B$14:$B$36&amp;"_"&amp;$C$14:$C$36,$D$14:$D$36)*$E1702)</f>
        <v>4.704</v>
      </c>
      <c r="L1702" s="95" cm="1">
        <f ca="1" t="array" ref="L1702">MIN(6,_xlfn.XLOOKUP($D1702&amp;"_"&amp;L$52,$B$14:$B$36&amp;"_"&amp;$C$14:$C$36,$D$14:$D$36)*$E1702)</f>
        <v>6</v>
      </c>
      <c r="M1702" s="95" cm="1">
        <f ca="1" t="array" ref="M1702">(1+SUMPRODUCT(G1702:H1702,OFFSET($H$40:$I$40,D1702,0)))*(1+OFFSET($J$40,D1702,0))^I1702*(1+OFFSET($K$40,D1702,0))^J1702*(1+OFFSET($L$40,D1702,0))^K1702*(1+OFFSET($M$40,D1702,0))^L1702</f>
        <v>374.640418529233</v>
      </c>
      <c r="N1702" s="95">
        <f ca="1">MAX(MAX($N$53:N1701),OFFSET($C$52,MATCH(M1702*1.07,$M$53:$M$2052,1),0)-C1702)</f>
        <v>72360</v>
      </c>
    </row>
    <row r="1703" spans="2:14">
      <c r="B1703" s="95">
        <v>1651</v>
      </c>
      <c r="C1703" s="95">
        <f t="shared" si="131"/>
        <v>594360</v>
      </c>
      <c r="D1703" s="95">
        <f ca="1">_xlfn.XLOOKUP(总览!$B$44,$B$40:$B$45,$C$40:$C$45)</f>
        <v>5</v>
      </c>
      <c r="E1703" s="95">
        <f ca="1" t="shared" si="130"/>
        <v>1681</v>
      </c>
      <c r="F1703" s="95">
        <f ca="1" t="shared" si="132"/>
        <v>0</v>
      </c>
      <c r="G1703" s="95">
        <f ca="1" t="shared" si="133"/>
        <v>0</v>
      </c>
      <c r="H1703" s="95" cm="1">
        <f ca="1" t="array" ref="H1703">MIN(30-SUM(I1703:L1703),_xlfn.XLOOKUP($D1703&amp;"_"&amp;H$52,$B$14:$B$36&amp;"_"&amp;$C$14:$C$36,$D$14:$D$36)*$E1703,18)</f>
        <v>11.2932</v>
      </c>
      <c r="I1703" s="95" cm="1">
        <f ca="1" t="array" ref="I1703">MIN(30-SUM(J1703:L1703),6-L1703,_xlfn.XLOOKUP($D1703&amp;"_"&amp;I$52,$B$14:$B$36&amp;"_"&amp;$C$14:$C$36,$D$14:$D$36)*$E1703)</f>
        <v>0</v>
      </c>
      <c r="J1703" s="95" cm="1">
        <f ca="1" t="array" ref="J1703">MIN(8,_xlfn.XLOOKUP($D1703&amp;"_"&amp;J$52,$B$14:$B$36&amp;"_"&amp;$C$14:$C$36,$D$14:$D$36)*$E1703)</f>
        <v>8</v>
      </c>
      <c r="K1703" s="95" cm="1">
        <f ca="1" t="array" ref="K1703">MIN(18,_xlfn.XLOOKUP($D1703&amp;"_"&amp;K$52,$B$14:$B$36&amp;"_"&amp;$C$14:$C$36,$D$14:$D$36)*$E1703)</f>
        <v>4.7068</v>
      </c>
      <c r="L1703" s="95" cm="1">
        <f ca="1" t="array" ref="L1703">MIN(6,_xlfn.XLOOKUP($D1703&amp;"_"&amp;L$52,$B$14:$B$36&amp;"_"&amp;$C$14:$C$36,$D$14:$D$36)*$E1703)</f>
        <v>6</v>
      </c>
      <c r="M1703" s="95" cm="1">
        <f ca="1" t="array" ref="M1703">(1+SUMPRODUCT(G1703:H1703,OFFSET($H$40:$I$40,D1703,0)))*(1+OFFSET($J$40,D1703,0))^I1703*(1+OFFSET($K$40,D1703,0))^J1703*(1+OFFSET($L$40,D1703,0))^K1703*(1+OFFSET($M$40,D1703,0))^L1703</f>
        <v>374.767317347494</v>
      </c>
      <c r="N1703" s="95">
        <f ca="1">MAX(MAX($N$53:N1702),OFFSET($C$52,MATCH(M1703*1.07,$M$53:$M$2052,1),0)-C1703)</f>
        <v>72360</v>
      </c>
    </row>
    <row r="1704" spans="2:14">
      <c r="B1704" s="95">
        <v>1652</v>
      </c>
      <c r="C1704" s="95">
        <f t="shared" si="131"/>
        <v>594720</v>
      </c>
      <c r="D1704" s="95">
        <f ca="1">_xlfn.XLOOKUP(总览!$B$44,$B$40:$B$45,$C$40:$C$45)</f>
        <v>5</v>
      </c>
      <c r="E1704" s="95">
        <f ca="1" t="shared" si="130"/>
        <v>1682</v>
      </c>
      <c r="F1704" s="95">
        <f ca="1" t="shared" si="132"/>
        <v>0</v>
      </c>
      <c r="G1704" s="95">
        <f ca="1" t="shared" si="133"/>
        <v>0</v>
      </c>
      <c r="H1704" s="95" cm="1">
        <f ca="1" t="array" ref="H1704">MIN(30-SUM(I1704:L1704),_xlfn.XLOOKUP($D1704&amp;"_"&amp;H$52,$B$14:$B$36&amp;"_"&amp;$C$14:$C$36,$D$14:$D$36)*$E1704,18)</f>
        <v>11.2904</v>
      </c>
      <c r="I1704" s="95" cm="1">
        <f ca="1" t="array" ref="I1704">MIN(30-SUM(J1704:L1704),6-L1704,_xlfn.XLOOKUP($D1704&amp;"_"&amp;I$52,$B$14:$B$36&amp;"_"&amp;$C$14:$C$36,$D$14:$D$36)*$E1704)</f>
        <v>0</v>
      </c>
      <c r="J1704" s="95" cm="1">
        <f ca="1" t="array" ref="J1704">MIN(8,_xlfn.XLOOKUP($D1704&amp;"_"&amp;J$52,$B$14:$B$36&amp;"_"&amp;$C$14:$C$36,$D$14:$D$36)*$E1704)</f>
        <v>8</v>
      </c>
      <c r="K1704" s="95" cm="1">
        <f ca="1" t="array" ref="K1704">MIN(18,_xlfn.XLOOKUP($D1704&amp;"_"&amp;K$52,$B$14:$B$36&amp;"_"&amp;$C$14:$C$36,$D$14:$D$36)*$E1704)</f>
        <v>4.7096</v>
      </c>
      <c r="L1704" s="95" cm="1">
        <f ca="1" t="array" ref="L1704">MIN(6,_xlfn.XLOOKUP($D1704&amp;"_"&amp;L$52,$B$14:$B$36&amp;"_"&amp;$C$14:$C$36,$D$14:$D$36)*$E1704)</f>
        <v>6</v>
      </c>
      <c r="M1704" s="95" cm="1">
        <f ca="1" t="array" ref="M1704">(1+SUMPRODUCT(G1704:H1704,OFFSET($H$40:$I$40,D1704,0)))*(1+OFFSET($J$40,D1704,0))^I1704*(1+OFFSET($K$40,D1704,0))^J1704*(1+OFFSET($L$40,D1704,0))^K1704*(1+OFFSET($M$40,D1704,0))^L1704</f>
        <v>374.894248077488</v>
      </c>
      <c r="N1704" s="95">
        <f ca="1">MAX(MAX($N$53:N1703),OFFSET($C$52,MATCH(M1704*1.07,$M$53:$M$2052,1),0)-C1704)</f>
        <v>72360</v>
      </c>
    </row>
    <row r="1705" spans="2:14">
      <c r="B1705" s="95">
        <v>1653</v>
      </c>
      <c r="C1705" s="95">
        <f t="shared" si="131"/>
        <v>595080</v>
      </c>
      <c r="D1705" s="95">
        <f ca="1">_xlfn.XLOOKUP(总览!$B$44,$B$40:$B$45,$C$40:$C$45)</f>
        <v>5</v>
      </c>
      <c r="E1705" s="95">
        <f ca="1" t="shared" si="130"/>
        <v>1683</v>
      </c>
      <c r="F1705" s="95">
        <f ca="1" t="shared" si="132"/>
        <v>0</v>
      </c>
      <c r="G1705" s="95">
        <f ca="1" t="shared" si="133"/>
        <v>0</v>
      </c>
      <c r="H1705" s="95" cm="1">
        <f ca="1" t="array" ref="H1705">MIN(30-SUM(I1705:L1705),_xlfn.XLOOKUP($D1705&amp;"_"&amp;H$52,$B$14:$B$36&amp;"_"&amp;$C$14:$C$36,$D$14:$D$36)*$E1705,18)</f>
        <v>11.2876</v>
      </c>
      <c r="I1705" s="95" cm="1">
        <f ca="1" t="array" ref="I1705">MIN(30-SUM(J1705:L1705),6-L1705,_xlfn.XLOOKUP($D1705&amp;"_"&amp;I$52,$B$14:$B$36&amp;"_"&amp;$C$14:$C$36,$D$14:$D$36)*$E1705)</f>
        <v>0</v>
      </c>
      <c r="J1705" s="95" cm="1">
        <f ca="1" t="array" ref="J1705">MIN(8,_xlfn.XLOOKUP($D1705&amp;"_"&amp;J$52,$B$14:$B$36&amp;"_"&amp;$C$14:$C$36,$D$14:$D$36)*$E1705)</f>
        <v>8</v>
      </c>
      <c r="K1705" s="95" cm="1">
        <f ca="1" t="array" ref="K1705">MIN(18,_xlfn.XLOOKUP($D1705&amp;"_"&amp;K$52,$B$14:$B$36&amp;"_"&amp;$C$14:$C$36,$D$14:$D$36)*$E1705)</f>
        <v>4.7124</v>
      </c>
      <c r="L1705" s="95" cm="1">
        <f ca="1" t="array" ref="L1705">MIN(6,_xlfn.XLOOKUP($D1705&amp;"_"&amp;L$52,$B$14:$B$36&amp;"_"&amp;$C$14:$C$36,$D$14:$D$36)*$E1705)</f>
        <v>6</v>
      </c>
      <c r="M1705" s="95" cm="1">
        <f ca="1" t="array" ref="M1705">(1+SUMPRODUCT(G1705:H1705,OFFSET($H$40:$I$40,D1705,0)))*(1+OFFSET($J$40,D1705,0))^I1705*(1+OFFSET($K$40,D1705,0))^J1705*(1+OFFSET($L$40,D1705,0))^K1705*(1+OFFSET($M$40,D1705,0))^L1705</f>
        <v>375.021210718718</v>
      </c>
      <c r="N1705" s="95">
        <f ca="1">MAX(MAX($N$53:N1704),OFFSET($C$52,MATCH(M1705*1.07,$M$53:$M$2052,1),0)-C1705)</f>
        <v>72360</v>
      </c>
    </row>
    <row r="1706" spans="2:14">
      <c r="B1706" s="95">
        <v>1654</v>
      </c>
      <c r="C1706" s="95">
        <f t="shared" si="131"/>
        <v>595440</v>
      </c>
      <c r="D1706" s="95">
        <f ca="1">_xlfn.XLOOKUP(总览!$B$44,$B$40:$B$45,$C$40:$C$45)</f>
        <v>5</v>
      </c>
      <c r="E1706" s="95">
        <f ca="1" t="shared" si="130"/>
        <v>1684</v>
      </c>
      <c r="F1706" s="95">
        <f ca="1" t="shared" si="132"/>
        <v>0</v>
      </c>
      <c r="G1706" s="95">
        <f ca="1" t="shared" si="133"/>
        <v>0</v>
      </c>
      <c r="H1706" s="95" cm="1">
        <f ca="1" t="array" ref="H1706">MIN(30-SUM(I1706:L1706),_xlfn.XLOOKUP($D1706&amp;"_"&amp;H$52,$B$14:$B$36&amp;"_"&amp;$C$14:$C$36,$D$14:$D$36)*$E1706,18)</f>
        <v>11.2848</v>
      </c>
      <c r="I1706" s="95" cm="1">
        <f ca="1" t="array" ref="I1706">MIN(30-SUM(J1706:L1706),6-L1706,_xlfn.XLOOKUP($D1706&amp;"_"&amp;I$52,$B$14:$B$36&amp;"_"&amp;$C$14:$C$36,$D$14:$D$36)*$E1706)</f>
        <v>0</v>
      </c>
      <c r="J1706" s="95" cm="1">
        <f ca="1" t="array" ref="J1706">MIN(8,_xlfn.XLOOKUP($D1706&amp;"_"&amp;J$52,$B$14:$B$36&amp;"_"&amp;$C$14:$C$36,$D$14:$D$36)*$E1706)</f>
        <v>8</v>
      </c>
      <c r="K1706" s="95" cm="1">
        <f ca="1" t="array" ref="K1706">MIN(18,_xlfn.XLOOKUP($D1706&amp;"_"&amp;K$52,$B$14:$B$36&amp;"_"&amp;$C$14:$C$36,$D$14:$D$36)*$E1706)</f>
        <v>4.7152</v>
      </c>
      <c r="L1706" s="95" cm="1">
        <f ca="1" t="array" ref="L1706">MIN(6,_xlfn.XLOOKUP($D1706&amp;"_"&amp;L$52,$B$14:$B$36&amp;"_"&amp;$C$14:$C$36,$D$14:$D$36)*$E1706)</f>
        <v>6</v>
      </c>
      <c r="M1706" s="95" cm="1">
        <f ca="1" t="array" ref="M1706">(1+SUMPRODUCT(G1706:H1706,OFFSET($H$40:$I$40,D1706,0)))*(1+OFFSET($J$40,D1706,0))^I1706*(1+OFFSET($K$40,D1706,0))^J1706*(1+OFFSET($L$40,D1706,0))^K1706*(1+OFFSET($M$40,D1706,0))^L1706</f>
        <v>375.148205270677</v>
      </c>
      <c r="N1706" s="95">
        <f ca="1">MAX(MAX($N$53:N1705),OFFSET($C$52,MATCH(M1706*1.07,$M$53:$M$2052,1),0)-C1706)</f>
        <v>72360</v>
      </c>
    </row>
    <row r="1707" spans="2:14">
      <c r="B1707" s="95">
        <v>1655</v>
      </c>
      <c r="C1707" s="95">
        <f t="shared" si="131"/>
        <v>595800</v>
      </c>
      <c r="D1707" s="95">
        <f ca="1">_xlfn.XLOOKUP(总览!$B$44,$B$40:$B$45,$C$40:$C$45)</f>
        <v>5</v>
      </c>
      <c r="E1707" s="95">
        <f ca="1" t="shared" si="130"/>
        <v>1685</v>
      </c>
      <c r="F1707" s="95">
        <f ca="1" t="shared" si="132"/>
        <v>0</v>
      </c>
      <c r="G1707" s="95">
        <f ca="1" t="shared" si="133"/>
        <v>0</v>
      </c>
      <c r="H1707" s="95" cm="1">
        <f ca="1" t="array" ref="H1707">MIN(30-SUM(I1707:L1707),_xlfn.XLOOKUP($D1707&amp;"_"&amp;H$52,$B$14:$B$36&amp;"_"&amp;$C$14:$C$36,$D$14:$D$36)*$E1707,18)</f>
        <v>11.282</v>
      </c>
      <c r="I1707" s="95" cm="1">
        <f ca="1" t="array" ref="I1707">MIN(30-SUM(J1707:L1707),6-L1707,_xlfn.XLOOKUP($D1707&amp;"_"&amp;I$52,$B$14:$B$36&amp;"_"&amp;$C$14:$C$36,$D$14:$D$36)*$E1707)</f>
        <v>0</v>
      </c>
      <c r="J1707" s="95" cm="1">
        <f ca="1" t="array" ref="J1707">MIN(8,_xlfn.XLOOKUP($D1707&amp;"_"&amp;J$52,$B$14:$B$36&amp;"_"&amp;$C$14:$C$36,$D$14:$D$36)*$E1707)</f>
        <v>8</v>
      </c>
      <c r="K1707" s="95" cm="1">
        <f ca="1" t="array" ref="K1707">MIN(18,_xlfn.XLOOKUP($D1707&amp;"_"&amp;K$52,$B$14:$B$36&amp;"_"&amp;$C$14:$C$36,$D$14:$D$36)*$E1707)</f>
        <v>4.718</v>
      </c>
      <c r="L1707" s="95" cm="1">
        <f ca="1" t="array" ref="L1707">MIN(6,_xlfn.XLOOKUP($D1707&amp;"_"&amp;L$52,$B$14:$B$36&amp;"_"&amp;$C$14:$C$36,$D$14:$D$36)*$E1707)</f>
        <v>6</v>
      </c>
      <c r="M1707" s="95" cm="1">
        <f ca="1" t="array" ref="M1707">(1+SUMPRODUCT(G1707:H1707,OFFSET($H$40:$I$40,D1707,0)))*(1+OFFSET($J$40,D1707,0))^I1707*(1+OFFSET($K$40,D1707,0))^J1707*(1+OFFSET($L$40,D1707,0))^K1707*(1+OFFSET($M$40,D1707,0))^L1707</f>
        <v>375.275231732848</v>
      </c>
      <c r="N1707" s="95">
        <f ca="1">MAX(MAX($N$53:N1706),OFFSET($C$52,MATCH(M1707*1.07,$M$53:$M$2052,1),0)-C1707)</f>
        <v>72360</v>
      </c>
    </row>
    <row r="1708" spans="2:14">
      <c r="B1708" s="95">
        <v>1656</v>
      </c>
      <c r="C1708" s="95">
        <f t="shared" si="131"/>
        <v>596160</v>
      </c>
      <c r="D1708" s="95">
        <f ca="1">_xlfn.XLOOKUP(总览!$B$44,$B$40:$B$45,$C$40:$C$45)</f>
        <v>5</v>
      </c>
      <c r="E1708" s="95">
        <f ca="1" t="shared" si="130"/>
        <v>1686</v>
      </c>
      <c r="F1708" s="95">
        <f ca="1" t="shared" si="132"/>
        <v>0</v>
      </c>
      <c r="G1708" s="95">
        <f ca="1" t="shared" si="133"/>
        <v>0</v>
      </c>
      <c r="H1708" s="95" cm="1">
        <f ca="1" t="array" ref="H1708">MIN(30-SUM(I1708:L1708),_xlfn.XLOOKUP($D1708&amp;"_"&amp;H$52,$B$14:$B$36&amp;"_"&amp;$C$14:$C$36,$D$14:$D$36)*$E1708,18)</f>
        <v>11.2792</v>
      </c>
      <c r="I1708" s="95" cm="1">
        <f ca="1" t="array" ref="I1708">MIN(30-SUM(J1708:L1708),6-L1708,_xlfn.XLOOKUP($D1708&amp;"_"&amp;I$52,$B$14:$B$36&amp;"_"&amp;$C$14:$C$36,$D$14:$D$36)*$E1708)</f>
        <v>0</v>
      </c>
      <c r="J1708" s="95" cm="1">
        <f ca="1" t="array" ref="J1708">MIN(8,_xlfn.XLOOKUP($D1708&amp;"_"&amp;J$52,$B$14:$B$36&amp;"_"&amp;$C$14:$C$36,$D$14:$D$36)*$E1708)</f>
        <v>8</v>
      </c>
      <c r="K1708" s="95" cm="1">
        <f ca="1" t="array" ref="K1708">MIN(18,_xlfn.XLOOKUP($D1708&amp;"_"&amp;K$52,$B$14:$B$36&amp;"_"&amp;$C$14:$C$36,$D$14:$D$36)*$E1708)</f>
        <v>4.7208</v>
      </c>
      <c r="L1708" s="95" cm="1">
        <f ca="1" t="array" ref="L1708">MIN(6,_xlfn.XLOOKUP($D1708&amp;"_"&amp;L$52,$B$14:$B$36&amp;"_"&amp;$C$14:$C$36,$D$14:$D$36)*$E1708)</f>
        <v>6</v>
      </c>
      <c r="M1708" s="95" cm="1">
        <f ca="1" t="array" ref="M1708">(1+SUMPRODUCT(G1708:H1708,OFFSET($H$40:$I$40,D1708,0)))*(1+OFFSET($J$40,D1708,0))^I1708*(1+OFFSET($K$40,D1708,0))^J1708*(1+OFFSET($L$40,D1708,0))^K1708*(1+OFFSET($M$40,D1708,0))^L1708</f>
        <v>375.402290104709</v>
      </c>
      <c r="N1708" s="95">
        <f ca="1">MAX(MAX($N$53:N1707),OFFSET($C$52,MATCH(M1708*1.07,$M$53:$M$2052,1),0)-C1708)</f>
        <v>72360</v>
      </c>
    </row>
    <row r="1709" spans="2:14">
      <c r="B1709" s="95">
        <v>1657</v>
      </c>
      <c r="C1709" s="95">
        <f t="shared" si="131"/>
        <v>596520</v>
      </c>
      <c r="D1709" s="95">
        <f ca="1">_xlfn.XLOOKUP(总览!$B$44,$B$40:$B$45,$C$40:$C$45)</f>
        <v>5</v>
      </c>
      <c r="E1709" s="95">
        <f ca="1" t="shared" si="130"/>
        <v>1687</v>
      </c>
      <c r="F1709" s="95">
        <f ca="1" t="shared" si="132"/>
        <v>0</v>
      </c>
      <c r="G1709" s="95">
        <f ca="1" t="shared" si="133"/>
        <v>0</v>
      </c>
      <c r="H1709" s="95" cm="1">
        <f ca="1" t="array" ref="H1709">MIN(30-SUM(I1709:L1709),_xlfn.XLOOKUP($D1709&amp;"_"&amp;H$52,$B$14:$B$36&amp;"_"&amp;$C$14:$C$36,$D$14:$D$36)*$E1709,18)</f>
        <v>11.2764</v>
      </c>
      <c r="I1709" s="95" cm="1">
        <f ca="1" t="array" ref="I1709">MIN(30-SUM(J1709:L1709),6-L1709,_xlfn.XLOOKUP($D1709&amp;"_"&amp;I$52,$B$14:$B$36&amp;"_"&amp;$C$14:$C$36,$D$14:$D$36)*$E1709)</f>
        <v>0</v>
      </c>
      <c r="J1709" s="95" cm="1">
        <f ca="1" t="array" ref="J1709">MIN(8,_xlfn.XLOOKUP($D1709&amp;"_"&amp;J$52,$B$14:$B$36&amp;"_"&amp;$C$14:$C$36,$D$14:$D$36)*$E1709)</f>
        <v>8</v>
      </c>
      <c r="K1709" s="95" cm="1">
        <f ca="1" t="array" ref="K1709">MIN(18,_xlfn.XLOOKUP($D1709&amp;"_"&amp;K$52,$B$14:$B$36&amp;"_"&amp;$C$14:$C$36,$D$14:$D$36)*$E1709)</f>
        <v>4.7236</v>
      </c>
      <c r="L1709" s="95" cm="1">
        <f ca="1" t="array" ref="L1709">MIN(6,_xlfn.XLOOKUP($D1709&amp;"_"&amp;L$52,$B$14:$B$36&amp;"_"&amp;$C$14:$C$36,$D$14:$D$36)*$E1709)</f>
        <v>6</v>
      </c>
      <c r="M1709" s="95" cm="1">
        <f ca="1" t="array" ref="M1709">(1+SUMPRODUCT(G1709:H1709,OFFSET($H$40:$I$40,D1709,0)))*(1+OFFSET($J$40,D1709,0))^I1709*(1+OFFSET($K$40,D1709,0))^J1709*(1+OFFSET($L$40,D1709,0))^K1709*(1+OFFSET($M$40,D1709,0))^L1709</f>
        <v>375.529380385725</v>
      </c>
      <c r="N1709" s="95">
        <f ca="1">MAX(MAX($N$53:N1708),OFFSET($C$52,MATCH(M1709*1.07,$M$53:$M$2052,1),0)-C1709)</f>
        <v>72360</v>
      </c>
    </row>
    <row r="1710" spans="2:14">
      <c r="B1710" s="95">
        <v>1658</v>
      </c>
      <c r="C1710" s="95">
        <f t="shared" si="131"/>
        <v>596880</v>
      </c>
      <c r="D1710" s="95">
        <f ca="1">_xlfn.XLOOKUP(总览!$B$44,$B$40:$B$45,$C$40:$C$45)</f>
        <v>5</v>
      </c>
      <c r="E1710" s="95">
        <f ca="1" t="shared" si="130"/>
        <v>1688</v>
      </c>
      <c r="F1710" s="95">
        <f ca="1" t="shared" si="132"/>
        <v>0</v>
      </c>
      <c r="G1710" s="95">
        <f ca="1" t="shared" si="133"/>
        <v>0</v>
      </c>
      <c r="H1710" s="95" cm="1">
        <f ca="1" t="array" ref="H1710">MIN(30-SUM(I1710:L1710),_xlfn.XLOOKUP($D1710&amp;"_"&amp;H$52,$B$14:$B$36&amp;"_"&amp;$C$14:$C$36,$D$14:$D$36)*$E1710,18)</f>
        <v>11.2736</v>
      </c>
      <c r="I1710" s="95" cm="1">
        <f ca="1" t="array" ref="I1710">MIN(30-SUM(J1710:L1710),6-L1710,_xlfn.XLOOKUP($D1710&amp;"_"&amp;I$52,$B$14:$B$36&amp;"_"&amp;$C$14:$C$36,$D$14:$D$36)*$E1710)</f>
        <v>0</v>
      </c>
      <c r="J1710" s="95" cm="1">
        <f ca="1" t="array" ref="J1710">MIN(8,_xlfn.XLOOKUP($D1710&amp;"_"&amp;J$52,$B$14:$B$36&amp;"_"&amp;$C$14:$C$36,$D$14:$D$36)*$E1710)</f>
        <v>8</v>
      </c>
      <c r="K1710" s="95" cm="1">
        <f ca="1" t="array" ref="K1710">MIN(18,_xlfn.XLOOKUP($D1710&amp;"_"&amp;K$52,$B$14:$B$36&amp;"_"&amp;$C$14:$C$36,$D$14:$D$36)*$E1710)</f>
        <v>4.7264</v>
      </c>
      <c r="L1710" s="95" cm="1">
        <f ca="1" t="array" ref="L1710">MIN(6,_xlfn.XLOOKUP($D1710&amp;"_"&amp;L$52,$B$14:$B$36&amp;"_"&amp;$C$14:$C$36,$D$14:$D$36)*$E1710)</f>
        <v>6</v>
      </c>
      <c r="M1710" s="95" cm="1">
        <f ca="1" t="array" ref="M1710">(1+SUMPRODUCT(G1710:H1710,OFFSET($H$40:$I$40,D1710,0)))*(1+OFFSET($J$40,D1710,0))^I1710*(1+OFFSET($K$40,D1710,0))^J1710*(1+OFFSET($L$40,D1710,0))^K1710*(1+OFFSET($M$40,D1710,0))^L1710</f>
        <v>375.656502575355</v>
      </c>
      <c r="N1710" s="95">
        <f ca="1">MAX(MAX($N$53:N1709),OFFSET($C$52,MATCH(M1710*1.07,$M$53:$M$2052,1),0)-C1710)</f>
        <v>72360</v>
      </c>
    </row>
    <row r="1711" spans="2:14">
      <c r="B1711" s="95">
        <v>1659</v>
      </c>
      <c r="C1711" s="95">
        <f t="shared" si="131"/>
        <v>597240</v>
      </c>
      <c r="D1711" s="95">
        <f ca="1">_xlfn.XLOOKUP(总览!$B$44,$B$40:$B$45,$C$40:$C$45)</f>
        <v>5</v>
      </c>
      <c r="E1711" s="95">
        <f ca="1" t="shared" si="130"/>
        <v>1689</v>
      </c>
      <c r="F1711" s="95">
        <f ca="1" t="shared" si="132"/>
        <v>0</v>
      </c>
      <c r="G1711" s="95">
        <f ca="1" t="shared" si="133"/>
        <v>0</v>
      </c>
      <c r="H1711" s="95" cm="1">
        <f ca="1" t="array" ref="H1711">MIN(30-SUM(I1711:L1711),_xlfn.XLOOKUP($D1711&amp;"_"&amp;H$52,$B$14:$B$36&amp;"_"&amp;$C$14:$C$36,$D$14:$D$36)*$E1711,18)</f>
        <v>11.2708</v>
      </c>
      <c r="I1711" s="95" cm="1">
        <f ca="1" t="array" ref="I1711">MIN(30-SUM(J1711:L1711),6-L1711,_xlfn.XLOOKUP($D1711&amp;"_"&amp;I$52,$B$14:$B$36&amp;"_"&amp;$C$14:$C$36,$D$14:$D$36)*$E1711)</f>
        <v>0</v>
      </c>
      <c r="J1711" s="95" cm="1">
        <f ca="1" t="array" ref="J1711">MIN(8,_xlfn.XLOOKUP($D1711&amp;"_"&amp;J$52,$B$14:$B$36&amp;"_"&amp;$C$14:$C$36,$D$14:$D$36)*$E1711)</f>
        <v>8</v>
      </c>
      <c r="K1711" s="95" cm="1">
        <f ca="1" t="array" ref="K1711">MIN(18,_xlfn.XLOOKUP($D1711&amp;"_"&amp;K$52,$B$14:$B$36&amp;"_"&amp;$C$14:$C$36,$D$14:$D$36)*$E1711)</f>
        <v>4.7292</v>
      </c>
      <c r="L1711" s="95" cm="1">
        <f ca="1" t="array" ref="L1711">MIN(6,_xlfn.XLOOKUP($D1711&amp;"_"&amp;L$52,$B$14:$B$36&amp;"_"&amp;$C$14:$C$36,$D$14:$D$36)*$E1711)</f>
        <v>6</v>
      </c>
      <c r="M1711" s="95" cm="1">
        <f ca="1" t="array" ref="M1711">(1+SUMPRODUCT(G1711:H1711,OFFSET($H$40:$I$40,D1711,0)))*(1+OFFSET($J$40,D1711,0))^I1711*(1+OFFSET($K$40,D1711,0))^J1711*(1+OFFSET($L$40,D1711,0))^K1711*(1+OFFSET($M$40,D1711,0))^L1711</f>
        <v>375.783656673047</v>
      </c>
      <c r="N1711" s="95">
        <f ca="1">MAX(MAX($N$53:N1710),OFFSET($C$52,MATCH(M1711*1.07,$M$53:$M$2052,1),0)-C1711)</f>
        <v>72360</v>
      </c>
    </row>
    <row r="1712" spans="2:14">
      <c r="B1712" s="95">
        <v>1660</v>
      </c>
      <c r="C1712" s="95">
        <f t="shared" si="131"/>
        <v>597600</v>
      </c>
      <c r="D1712" s="95">
        <f ca="1">_xlfn.XLOOKUP(总览!$B$44,$B$40:$B$45,$C$40:$C$45)</f>
        <v>5</v>
      </c>
      <c r="E1712" s="95">
        <f ca="1" t="shared" si="130"/>
        <v>1690</v>
      </c>
      <c r="F1712" s="95">
        <f ca="1" t="shared" si="132"/>
        <v>0</v>
      </c>
      <c r="G1712" s="95">
        <f ca="1" t="shared" si="133"/>
        <v>0</v>
      </c>
      <c r="H1712" s="95" cm="1">
        <f ca="1" t="array" ref="H1712">MIN(30-SUM(I1712:L1712),_xlfn.XLOOKUP($D1712&amp;"_"&amp;H$52,$B$14:$B$36&amp;"_"&amp;$C$14:$C$36,$D$14:$D$36)*$E1712,18)</f>
        <v>11.268</v>
      </c>
      <c r="I1712" s="95" cm="1">
        <f ca="1" t="array" ref="I1712">MIN(30-SUM(J1712:L1712),6-L1712,_xlfn.XLOOKUP($D1712&amp;"_"&amp;I$52,$B$14:$B$36&amp;"_"&amp;$C$14:$C$36,$D$14:$D$36)*$E1712)</f>
        <v>0</v>
      </c>
      <c r="J1712" s="95" cm="1">
        <f ca="1" t="array" ref="J1712">MIN(8,_xlfn.XLOOKUP($D1712&amp;"_"&amp;J$52,$B$14:$B$36&amp;"_"&amp;$C$14:$C$36,$D$14:$D$36)*$E1712)</f>
        <v>8</v>
      </c>
      <c r="K1712" s="95" cm="1">
        <f ca="1" t="array" ref="K1712">MIN(18,_xlfn.XLOOKUP($D1712&amp;"_"&amp;K$52,$B$14:$B$36&amp;"_"&amp;$C$14:$C$36,$D$14:$D$36)*$E1712)</f>
        <v>4.732</v>
      </c>
      <c r="L1712" s="95" cm="1">
        <f ca="1" t="array" ref="L1712">MIN(6,_xlfn.XLOOKUP($D1712&amp;"_"&amp;L$52,$B$14:$B$36&amp;"_"&amp;$C$14:$C$36,$D$14:$D$36)*$E1712)</f>
        <v>6</v>
      </c>
      <c r="M1712" s="95" cm="1">
        <f ca="1" t="array" ref="M1712">(1+SUMPRODUCT(G1712:H1712,OFFSET($H$40:$I$40,D1712,0)))*(1+OFFSET($J$40,D1712,0))^I1712*(1+OFFSET($K$40,D1712,0))^J1712*(1+OFFSET($L$40,D1712,0))^K1712*(1+OFFSET($M$40,D1712,0))^L1712</f>
        <v>375.910842678242</v>
      </c>
      <c r="N1712" s="95">
        <f ca="1">MAX(MAX($N$53:N1711),OFFSET($C$52,MATCH(M1712*1.07,$M$53:$M$2052,1),0)-C1712)</f>
        <v>72360</v>
      </c>
    </row>
    <row r="1713" spans="2:14">
      <c r="B1713" s="95">
        <v>1661</v>
      </c>
      <c r="C1713" s="95">
        <f t="shared" si="131"/>
        <v>597960</v>
      </c>
      <c r="D1713" s="95">
        <f ca="1">_xlfn.XLOOKUP(总览!$B$44,$B$40:$B$45,$C$40:$C$45)</f>
        <v>5</v>
      </c>
      <c r="E1713" s="95">
        <f ca="1" t="shared" si="130"/>
        <v>1691</v>
      </c>
      <c r="F1713" s="95">
        <f ca="1" t="shared" si="132"/>
        <v>0</v>
      </c>
      <c r="G1713" s="95">
        <f ca="1" t="shared" si="133"/>
        <v>0</v>
      </c>
      <c r="H1713" s="95" cm="1">
        <f ca="1" t="array" ref="H1713">MIN(30-SUM(I1713:L1713),_xlfn.XLOOKUP($D1713&amp;"_"&amp;H$52,$B$14:$B$36&amp;"_"&amp;$C$14:$C$36,$D$14:$D$36)*$E1713,18)</f>
        <v>11.2652</v>
      </c>
      <c r="I1713" s="95" cm="1">
        <f ca="1" t="array" ref="I1713">MIN(30-SUM(J1713:L1713),6-L1713,_xlfn.XLOOKUP($D1713&amp;"_"&amp;I$52,$B$14:$B$36&amp;"_"&amp;$C$14:$C$36,$D$14:$D$36)*$E1713)</f>
        <v>0</v>
      </c>
      <c r="J1713" s="95" cm="1">
        <f ca="1" t="array" ref="J1713">MIN(8,_xlfn.XLOOKUP($D1713&amp;"_"&amp;J$52,$B$14:$B$36&amp;"_"&amp;$C$14:$C$36,$D$14:$D$36)*$E1713)</f>
        <v>8</v>
      </c>
      <c r="K1713" s="95" cm="1">
        <f ca="1" t="array" ref="K1713">MIN(18,_xlfn.XLOOKUP($D1713&amp;"_"&amp;K$52,$B$14:$B$36&amp;"_"&amp;$C$14:$C$36,$D$14:$D$36)*$E1713)</f>
        <v>4.7348</v>
      </c>
      <c r="L1713" s="95" cm="1">
        <f ca="1" t="array" ref="L1713">MIN(6,_xlfn.XLOOKUP($D1713&amp;"_"&amp;L$52,$B$14:$B$36&amp;"_"&amp;$C$14:$C$36,$D$14:$D$36)*$E1713)</f>
        <v>6</v>
      </c>
      <c r="M1713" s="95" cm="1">
        <f ca="1" t="array" ref="M1713">(1+SUMPRODUCT(G1713:H1713,OFFSET($H$40:$I$40,D1713,0)))*(1+OFFSET($J$40,D1713,0))^I1713*(1+OFFSET($K$40,D1713,0))^J1713*(1+OFFSET($L$40,D1713,0))^K1713*(1+OFFSET($M$40,D1713,0))^L1713</f>
        <v>376.038060590371</v>
      </c>
      <c r="N1713" s="95">
        <f ca="1">MAX(MAX($N$53:N1712),OFFSET($C$52,MATCH(M1713*1.07,$M$53:$M$2052,1),0)-C1713)</f>
        <v>72360</v>
      </c>
    </row>
    <row r="1714" spans="2:14">
      <c r="B1714" s="95">
        <v>1662</v>
      </c>
      <c r="C1714" s="95">
        <f t="shared" si="131"/>
        <v>598320</v>
      </c>
      <c r="D1714" s="95">
        <f ca="1">_xlfn.XLOOKUP(总览!$B$44,$B$40:$B$45,$C$40:$C$45)</f>
        <v>5</v>
      </c>
      <c r="E1714" s="95">
        <f ca="1" t="shared" si="130"/>
        <v>1692</v>
      </c>
      <c r="F1714" s="95">
        <f ca="1" t="shared" si="132"/>
        <v>0</v>
      </c>
      <c r="G1714" s="95">
        <f ca="1" t="shared" si="133"/>
        <v>0</v>
      </c>
      <c r="H1714" s="95" cm="1">
        <f ca="1" t="array" ref="H1714">MIN(30-SUM(I1714:L1714),_xlfn.XLOOKUP($D1714&amp;"_"&amp;H$52,$B$14:$B$36&amp;"_"&amp;$C$14:$C$36,$D$14:$D$36)*$E1714,18)</f>
        <v>11.2624</v>
      </c>
      <c r="I1714" s="95" cm="1">
        <f ca="1" t="array" ref="I1714">MIN(30-SUM(J1714:L1714),6-L1714,_xlfn.XLOOKUP($D1714&amp;"_"&amp;I$52,$B$14:$B$36&amp;"_"&amp;$C$14:$C$36,$D$14:$D$36)*$E1714)</f>
        <v>0</v>
      </c>
      <c r="J1714" s="95" cm="1">
        <f ca="1" t="array" ref="J1714">MIN(8,_xlfn.XLOOKUP($D1714&amp;"_"&amp;J$52,$B$14:$B$36&amp;"_"&amp;$C$14:$C$36,$D$14:$D$36)*$E1714)</f>
        <v>8</v>
      </c>
      <c r="K1714" s="95" cm="1">
        <f ca="1" t="array" ref="K1714">MIN(18,_xlfn.XLOOKUP($D1714&amp;"_"&amp;K$52,$B$14:$B$36&amp;"_"&amp;$C$14:$C$36,$D$14:$D$36)*$E1714)</f>
        <v>4.7376</v>
      </c>
      <c r="L1714" s="95" cm="1">
        <f ca="1" t="array" ref="L1714">MIN(6,_xlfn.XLOOKUP($D1714&amp;"_"&amp;L$52,$B$14:$B$36&amp;"_"&amp;$C$14:$C$36,$D$14:$D$36)*$E1714)</f>
        <v>6</v>
      </c>
      <c r="M1714" s="95" cm="1">
        <f ca="1" t="array" ref="M1714">(1+SUMPRODUCT(G1714:H1714,OFFSET($H$40:$I$40,D1714,0)))*(1+OFFSET($J$40,D1714,0))^I1714*(1+OFFSET($K$40,D1714,0))^J1714*(1+OFFSET($L$40,D1714,0))^K1714*(1+OFFSET($M$40,D1714,0))^L1714</f>
        <v>376.165310408856</v>
      </c>
      <c r="N1714" s="95">
        <f ca="1">MAX(MAX($N$53:N1713),OFFSET($C$52,MATCH(M1714*1.07,$M$53:$M$2052,1),0)-C1714)</f>
        <v>72360</v>
      </c>
    </row>
    <row r="1715" spans="2:14">
      <c r="B1715" s="95">
        <v>1663</v>
      </c>
      <c r="C1715" s="95">
        <f t="shared" si="131"/>
        <v>598680</v>
      </c>
      <c r="D1715" s="95">
        <f ca="1">_xlfn.XLOOKUP(总览!$B$44,$B$40:$B$45,$C$40:$C$45)</f>
        <v>5</v>
      </c>
      <c r="E1715" s="95">
        <f ca="1" t="shared" si="130"/>
        <v>1693</v>
      </c>
      <c r="F1715" s="95">
        <f ca="1" t="shared" si="132"/>
        <v>0</v>
      </c>
      <c r="G1715" s="95">
        <f ca="1" t="shared" si="133"/>
        <v>0</v>
      </c>
      <c r="H1715" s="95" cm="1">
        <f ca="1" t="array" ref="H1715">MIN(30-SUM(I1715:L1715),_xlfn.XLOOKUP($D1715&amp;"_"&amp;H$52,$B$14:$B$36&amp;"_"&amp;$C$14:$C$36,$D$14:$D$36)*$E1715,18)</f>
        <v>11.2596</v>
      </c>
      <c r="I1715" s="95" cm="1">
        <f ca="1" t="array" ref="I1715">MIN(30-SUM(J1715:L1715),6-L1715,_xlfn.XLOOKUP($D1715&amp;"_"&amp;I$52,$B$14:$B$36&amp;"_"&amp;$C$14:$C$36,$D$14:$D$36)*$E1715)</f>
        <v>0</v>
      </c>
      <c r="J1715" s="95" cm="1">
        <f ca="1" t="array" ref="J1715">MIN(8,_xlfn.XLOOKUP($D1715&amp;"_"&amp;J$52,$B$14:$B$36&amp;"_"&amp;$C$14:$C$36,$D$14:$D$36)*$E1715)</f>
        <v>8</v>
      </c>
      <c r="K1715" s="95" cm="1">
        <f ca="1" t="array" ref="K1715">MIN(18,_xlfn.XLOOKUP($D1715&amp;"_"&amp;K$52,$B$14:$B$36&amp;"_"&amp;$C$14:$C$36,$D$14:$D$36)*$E1715)</f>
        <v>4.7404</v>
      </c>
      <c r="L1715" s="95" cm="1">
        <f ca="1" t="array" ref="L1715">MIN(6,_xlfn.XLOOKUP($D1715&amp;"_"&amp;L$52,$B$14:$B$36&amp;"_"&amp;$C$14:$C$36,$D$14:$D$36)*$E1715)</f>
        <v>6</v>
      </c>
      <c r="M1715" s="95" cm="1">
        <f ca="1" t="array" ref="M1715">(1+SUMPRODUCT(G1715:H1715,OFFSET($H$40:$I$40,D1715,0)))*(1+OFFSET($J$40,D1715,0))^I1715*(1+OFFSET($K$40,D1715,0))^J1715*(1+OFFSET($L$40,D1715,0))^K1715*(1+OFFSET($M$40,D1715,0))^L1715</f>
        <v>376.292592133111</v>
      </c>
      <c r="N1715" s="95">
        <f ca="1">MAX(MAX($N$53:N1714),OFFSET($C$52,MATCH(M1715*1.07,$M$53:$M$2052,1),0)-C1715)</f>
        <v>72360</v>
      </c>
    </row>
    <row r="1716" spans="2:14">
      <c r="B1716" s="95">
        <v>1664</v>
      </c>
      <c r="C1716" s="95">
        <f t="shared" si="131"/>
        <v>599040</v>
      </c>
      <c r="D1716" s="95">
        <f ca="1">_xlfn.XLOOKUP(总览!$B$44,$B$40:$B$45,$C$40:$C$45)</f>
        <v>5</v>
      </c>
      <c r="E1716" s="95">
        <f ca="1" t="shared" si="130"/>
        <v>1694</v>
      </c>
      <c r="F1716" s="95">
        <f ca="1" t="shared" si="132"/>
        <v>0</v>
      </c>
      <c r="G1716" s="95">
        <f ca="1" t="shared" si="133"/>
        <v>0</v>
      </c>
      <c r="H1716" s="95" cm="1">
        <f ca="1" t="array" ref="H1716">MIN(30-SUM(I1716:L1716),_xlfn.XLOOKUP($D1716&amp;"_"&amp;H$52,$B$14:$B$36&amp;"_"&amp;$C$14:$C$36,$D$14:$D$36)*$E1716,18)</f>
        <v>11.2568</v>
      </c>
      <c r="I1716" s="95" cm="1">
        <f ca="1" t="array" ref="I1716">MIN(30-SUM(J1716:L1716),6-L1716,_xlfn.XLOOKUP($D1716&amp;"_"&amp;I$52,$B$14:$B$36&amp;"_"&amp;$C$14:$C$36,$D$14:$D$36)*$E1716)</f>
        <v>0</v>
      </c>
      <c r="J1716" s="95" cm="1">
        <f ca="1" t="array" ref="J1716">MIN(8,_xlfn.XLOOKUP($D1716&amp;"_"&amp;J$52,$B$14:$B$36&amp;"_"&amp;$C$14:$C$36,$D$14:$D$36)*$E1716)</f>
        <v>8</v>
      </c>
      <c r="K1716" s="95" cm="1">
        <f ca="1" t="array" ref="K1716">MIN(18,_xlfn.XLOOKUP($D1716&amp;"_"&amp;K$52,$B$14:$B$36&amp;"_"&amp;$C$14:$C$36,$D$14:$D$36)*$E1716)</f>
        <v>4.7432</v>
      </c>
      <c r="L1716" s="95" cm="1">
        <f ca="1" t="array" ref="L1716">MIN(6,_xlfn.XLOOKUP($D1716&amp;"_"&amp;L$52,$B$14:$B$36&amp;"_"&amp;$C$14:$C$36,$D$14:$D$36)*$E1716)</f>
        <v>6</v>
      </c>
      <c r="M1716" s="95" cm="1">
        <f ca="1" t="array" ref="M1716">(1+SUMPRODUCT(G1716:H1716,OFFSET($H$40:$I$40,D1716,0)))*(1+OFFSET($J$40,D1716,0))^I1716*(1+OFFSET($K$40,D1716,0))^J1716*(1+OFFSET($L$40,D1716,0))^K1716*(1+OFFSET($M$40,D1716,0))^L1716</f>
        <v>376.419905762541</v>
      </c>
      <c r="N1716" s="95">
        <f ca="1">MAX(MAX($N$53:N1715),OFFSET($C$52,MATCH(M1716*1.07,$M$53:$M$2052,1),0)-C1716)</f>
        <v>72360</v>
      </c>
    </row>
    <row r="1717" spans="2:14">
      <c r="B1717" s="95">
        <v>1665</v>
      </c>
      <c r="C1717" s="95">
        <f t="shared" si="131"/>
        <v>599400</v>
      </c>
      <c r="D1717" s="95">
        <f ca="1">_xlfn.XLOOKUP(总览!$B$44,$B$40:$B$45,$C$40:$C$45)</f>
        <v>5</v>
      </c>
      <c r="E1717" s="95">
        <f ca="1" t="shared" si="130"/>
        <v>1695</v>
      </c>
      <c r="F1717" s="95">
        <f ca="1" t="shared" si="132"/>
        <v>0</v>
      </c>
      <c r="G1717" s="95">
        <f ca="1" t="shared" si="133"/>
        <v>0</v>
      </c>
      <c r="H1717" s="95" cm="1">
        <f ca="1" t="array" ref="H1717">MIN(30-SUM(I1717:L1717),_xlfn.XLOOKUP($D1717&amp;"_"&amp;H$52,$B$14:$B$36&amp;"_"&amp;$C$14:$C$36,$D$14:$D$36)*$E1717,18)</f>
        <v>11.254</v>
      </c>
      <c r="I1717" s="95" cm="1">
        <f ca="1" t="array" ref="I1717">MIN(30-SUM(J1717:L1717),6-L1717,_xlfn.XLOOKUP($D1717&amp;"_"&amp;I$52,$B$14:$B$36&amp;"_"&amp;$C$14:$C$36,$D$14:$D$36)*$E1717)</f>
        <v>0</v>
      </c>
      <c r="J1717" s="95" cm="1">
        <f ca="1" t="array" ref="J1717">MIN(8,_xlfn.XLOOKUP($D1717&amp;"_"&amp;J$52,$B$14:$B$36&amp;"_"&amp;$C$14:$C$36,$D$14:$D$36)*$E1717)</f>
        <v>8</v>
      </c>
      <c r="K1717" s="95" cm="1">
        <f ca="1" t="array" ref="K1717">MIN(18,_xlfn.XLOOKUP($D1717&amp;"_"&amp;K$52,$B$14:$B$36&amp;"_"&amp;$C$14:$C$36,$D$14:$D$36)*$E1717)</f>
        <v>4.746</v>
      </c>
      <c r="L1717" s="95" cm="1">
        <f ca="1" t="array" ref="L1717">MIN(6,_xlfn.XLOOKUP($D1717&amp;"_"&amp;L$52,$B$14:$B$36&amp;"_"&amp;$C$14:$C$36,$D$14:$D$36)*$E1717)</f>
        <v>6</v>
      </c>
      <c r="M1717" s="95" cm="1">
        <f ca="1" t="array" ref="M1717">(1+SUMPRODUCT(G1717:H1717,OFFSET($H$40:$I$40,D1717,0)))*(1+OFFSET($J$40,D1717,0))^I1717*(1+OFFSET($K$40,D1717,0))^J1717*(1+OFFSET($L$40,D1717,0))^K1717*(1+OFFSET($M$40,D1717,0))^L1717</f>
        <v>376.54725129654</v>
      </c>
      <c r="N1717" s="95">
        <f ca="1">MAX(MAX($N$53:N1716),OFFSET($C$52,MATCH(M1717*1.07,$M$53:$M$2052,1),0)-C1717)</f>
        <v>72360</v>
      </c>
    </row>
    <row r="1718" spans="2:14">
      <c r="B1718" s="95">
        <v>1666</v>
      </c>
      <c r="C1718" s="95">
        <f t="shared" si="131"/>
        <v>599760</v>
      </c>
      <c r="D1718" s="95">
        <f ca="1">_xlfn.XLOOKUP(总览!$B$44,$B$40:$B$45,$C$40:$C$45)</f>
        <v>5</v>
      </c>
      <c r="E1718" s="95">
        <f ca="1" t="shared" ref="E1718:E1781" si="134">INT(C1718/_xlfn.XLOOKUP(D1718,$N$5:$N$16,$O$5:$O$16))+OFFSET($R$40,D1718,0)</f>
        <v>1696</v>
      </c>
      <c r="F1718" s="95">
        <f ca="1" t="shared" si="132"/>
        <v>0</v>
      </c>
      <c r="G1718" s="95">
        <f ca="1" t="shared" si="133"/>
        <v>0</v>
      </c>
      <c r="H1718" s="95" cm="1">
        <f ca="1" t="array" ref="H1718">MIN(30-SUM(I1718:L1718),_xlfn.XLOOKUP($D1718&amp;"_"&amp;H$52,$B$14:$B$36&amp;"_"&amp;$C$14:$C$36,$D$14:$D$36)*$E1718,18)</f>
        <v>11.2512</v>
      </c>
      <c r="I1718" s="95" cm="1">
        <f ca="1" t="array" ref="I1718">MIN(30-SUM(J1718:L1718),6-L1718,_xlfn.XLOOKUP($D1718&amp;"_"&amp;I$52,$B$14:$B$36&amp;"_"&amp;$C$14:$C$36,$D$14:$D$36)*$E1718)</f>
        <v>0</v>
      </c>
      <c r="J1718" s="95" cm="1">
        <f ca="1" t="array" ref="J1718">MIN(8,_xlfn.XLOOKUP($D1718&amp;"_"&amp;J$52,$B$14:$B$36&amp;"_"&amp;$C$14:$C$36,$D$14:$D$36)*$E1718)</f>
        <v>8</v>
      </c>
      <c r="K1718" s="95" cm="1">
        <f ca="1" t="array" ref="K1718">MIN(18,_xlfn.XLOOKUP($D1718&amp;"_"&amp;K$52,$B$14:$B$36&amp;"_"&amp;$C$14:$C$36,$D$14:$D$36)*$E1718)</f>
        <v>4.7488</v>
      </c>
      <c r="L1718" s="95" cm="1">
        <f ca="1" t="array" ref="L1718">MIN(6,_xlfn.XLOOKUP($D1718&amp;"_"&amp;L$52,$B$14:$B$36&amp;"_"&amp;$C$14:$C$36,$D$14:$D$36)*$E1718)</f>
        <v>6</v>
      </c>
      <c r="M1718" s="95" cm="1">
        <f ca="1" t="array" ref="M1718">(1+SUMPRODUCT(G1718:H1718,OFFSET($H$40:$I$40,D1718,0)))*(1+OFFSET($J$40,D1718,0))^I1718*(1+OFFSET($K$40,D1718,0))^J1718*(1+OFFSET($L$40,D1718,0))^K1718*(1+OFFSET($M$40,D1718,0))^L1718</f>
        <v>376.674628734497</v>
      </c>
      <c r="N1718" s="95">
        <f ca="1">MAX(MAX($N$53:N1717),OFFSET($C$52,MATCH(M1718*1.07,$M$53:$M$2052,1),0)-C1718)</f>
        <v>72360</v>
      </c>
    </row>
    <row r="1719" spans="2:14">
      <c r="B1719" s="95">
        <v>1667</v>
      </c>
      <c r="C1719" s="95">
        <f t="shared" si="131"/>
        <v>600120</v>
      </c>
      <c r="D1719" s="95">
        <f ca="1">_xlfn.XLOOKUP(总览!$B$44,$B$40:$B$45,$C$40:$C$45)</f>
        <v>5</v>
      </c>
      <c r="E1719" s="95">
        <f ca="1" t="shared" si="134"/>
        <v>1697</v>
      </c>
      <c r="F1719" s="95">
        <f ca="1" t="shared" si="132"/>
        <v>0</v>
      </c>
      <c r="G1719" s="95">
        <f ca="1" t="shared" si="133"/>
        <v>0</v>
      </c>
      <c r="H1719" s="95" cm="1">
        <f ca="1" t="array" ref="H1719">MIN(30-SUM(I1719:L1719),_xlfn.XLOOKUP($D1719&amp;"_"&amp;H$52,$B$14:$B$36&amp;"_"&amp;$C$14:$C$36,$D$14:$D$36)*$E1719,18)</f>
        <v>11.2484</v>
      </c>
      <c r="I1719" s="95" cm="1">
        <f ca="1" t="array" ref="I1719">MIN(30-SUM(J1719:L1719),6-L1719,_xlfn.XLOOKUP($D1719&amp;"_"&amp;I$52,$B$14:$B$36&amp;"_"&amp;$C$14:$C$36,$D$14:$D$36)*$E1719)</f>
        <v>0</v>
      </c>
      <c r="J1719" s="95" cm="1">
        <f ca="1" t="array" ref="J1719">MIN(8,_xlfn.XLOOKUP($D1719&amp;"_"&amp;J$52,$B$14:$B$36&amp;"_"&amp;$C$14:$C$36,$D$14:$D$36)*$E1719)</f>
        <v>8</v>
      </c>
      <c r="K1719" s="95" cm="1">
        <f ca="1" t="array" ref="K1719">MIN(18,_xlfn.XLOOKUP($D1719&amp;"_"&amp;K$52,$B$14:$B$36&amp;"_"&amp;$C$14:$C$36,$D$14:$D$36)*$E1719)</f>
        <v>4.7516</v>
      </c>
      <c r="L1719" s="95" cm="1">
        <f ca="1" t="array" ref="L1719">MIN(6,_xlfn.XLOOKUP($D1719&amp;"_"&amp;L$52,$B$14:$B$36&amp;"_"&amp;$C$14:$C$36,$D$14:$D$36)*$E1719)</f>
        <v>6</v>
      </c>
      <c r="M1719" s="95" cm="1">
        <f ca="1" t="array" ref="M1719">(1+SUMPRODUCT(G1719:H1719,OFFSET($H$40:$I$40,D1719,0)))*(1+OFFSET($J$40,D1719,0))^I1719*(1+OFFSET($K$40,D1719,0))^J1719*(1+OFFSET($L$40,D1719,0))^K1719*(1+OFFSET($M$40,D1719,0))^L1719</f>
        <v>376.802038075787</v>
      </c>
      <c r="N1719" s="95">
        <f ca="1">MAX(MAX($N$53:N1718),OFFSET($C$52,MATCH(M1719*1.07,$M$53:$M$2052,1),0)-C1719)</f>
        <v>72360</v>
      </c>
    </row>
    <row r="1720" spans="2:14">
      <c r="B1720" s="95">
        <v>1668</v>
      </c>
      <c r="C1720" s="95">
        <f t="shared" si="131"/>
        <v>600480</v>
      </c>
      <c r="D1720" s="95">
        <f ca="1">_xlfn.XLOOKUP(总览!$B$44,$B$40:$B$45,$C$40:$C$45)</f>
        <v>5</v>
      </c>
      <c r="E1720" s="95">
        <f ca="1" t="shared" si="134"/>
        <v>1698</v>
      </c>
      <c r="F1720" s="95">
        <f ca="1" t="shared" si="132"/>
        <v>0</v>
      </c>
      <c r="G1720" s="95">
        <f ca="1" t="shared" si="133"/>
        <v>0</v>
      </c>
      <c r="H1720" s="95" cm="1">
        <f ca="1" t="array" ref="H1720">MIN(30-SUM(I1720:L1720),_xlfn.XLOOKUP($D1720&amp;"_"&amp;H$52,$B$14:$B$36&amp;"_"&amp;$C$14:$C$36,$D$14:$D$36)*$E1720,18)</f>
        <v>11.2456</v>
      </c>
      <c r="I1720" s="95" cm="1">
        <f ca="1" t="array" ref="I1720">MIN(30-SUM(J1720:L1720),6-L1720,_xlfn.XLOOKUP($D1720&amp;"_"&amp;I$52,$B$14:$B$36&amp;"_"&amp;$C$14:$C$36,$D$14:$D$36)*$E1720)</f>
        <v>0</v>
      </c>
      <c r="J1720" s="95" cm="1">
        <f ca="1" t="array" ref="J1720">MIN(8,_xlfn.XLOOKUP($D1720&amp;"_"&amp;J$52,$B$14:$B$36&amp;"_"&amp;$C$14:$C$36,$D$14:$D$36)*$E1720)</f>
        <v>8</v>
      </c>
      <c r="K1720" s="95" cm="1">
        <f ca="1" t="array" ref="K1720">MIN(18,_xlfn.XLOOKUP($D1720&amp;"_"&amp;K$52,$B$14:$B$36&amp;"_"&amp;$C$14:$C$36,$D$14:$D$36)*$E1720)</f>
        <v>4.7544</v>
      </c>
      <c r="L1720" s="95" cm="1">
        <f ca="1" t="array" ref="L1720">MIN(6,_xlfn.XLOOKUP($D1720&amp;"_"&amp;L$52,$B$14:$B$36&amp;"_"&amp;$C$14:$C$36,$D$14:$D$36)*$E1720)</f>
        <v>6</v>
      </c>
      <c r="M1720" s="95" cm="1">
        <f ca="1" t="array" ref="M1720">(1+SUMPRODUCT(G1720:H1720,OFFSET($H$40:$I$40,D1720,0)))*(1+OFFSET($J$40,D1720,0))^I1720*(1+OFFSET($K$40,D1720,0))^J1720*(1+OFFSET($L$40,D1720,0))^K1720*(1+OFFSET($M$40,D1720,0))^L1720</f>
        <v>376.929479319781</v>
      </c>
      <c r="N1720" s="95">
        <f ca="1">MAX(MAX($N$53:N1719),OFFSET($C$52,MATCH(M1720*1.07,$M$53:$M$2052,1),0)-C1720)</f>
        <v>72360</v>
      </c>
    </row>
    <row r="1721" spans="2:14">
      <c r="B1721" s="95">
        <v>1669</v>
      </c>
      <c r="C1721" s="95">
        <f t="shared" si="131"/>
        <v>600840</v>
      </c>
      <c r="D1721" s="95">
        <f ca="1">_xlfn.XLOOKUP(总览!$B$44,$B$40:$B$45,$C$40:$C$45)</f>
        <v>5</v>
      </c>
      <c r="E1721" s="95">
        <f ca="1" t="shared" si="134"/>
        <v>1699</v>
      </c>
      <c r="F1721" s="95">
        <f ca="1" t="shared" si="132"/>
        <v>0</v>
      </c>
      <c r="G1721" s="95">
        <f ca="1" t="shared" si="133"/>
        <v>0</v>
      </c>
      <c r="H1721" s="95" cm="1">
        <f ca="1" t="array" ref="H1721">MIN(30-SUM(I1721:L1721),_xlfn.XLOOKUP($D1721&amp;"_"&amp;H$52,$B$14:$B$36&amp;"_"&amp;$C$14:$C$36,$D$14:$D$36)*$E1721,18)</f>
        <v>11.2428</v>
      </c>
      <c r="I1721" s="95" cm="1">
        <f ca="1" t="array" ref="I1721">MIN(30-SUM(J1721:L1721),6-L1721,_xlfn.XLOOKUP($D1721&amp;"_"&amp;I$52,$B$14:$B$36&amp;"_"&amp;$C$14:$C$36,$D$14:$D$36)*$E1721)</f>
        <v>0</v>
      </c>
      <c r="J1721" s="95" cm="1">
        <f ca="1" t="array" ref="J1721">MIN(8,_xlfn.XLOOKUP($D1721&amp;"_"&amp;J$52,$B$14:$B$36&amp;"_"&amp;$C$14:$C$36,$D$14:$D$36)*$E1721)</f>
        <v>8</v>
      </c>
      <c r="K1721" s="95" cm="1">
        <f ca="1" t="array" ref="K1721">MIN(18,_xlfn.XLOOKUP($D1721&amp;"_"&amp;K$52,$B$14:$B$36&amp;"_"&amp;$C$14:$C$36,$D$14:$D$36)*$E1721)</f>
        <v>4.7572</v>
      </c>
      <c r="L1721" s="95" cm="1">
        <f ca="1" t="array" ref="L1721">MIN(6,_xlfn.XLOOKUP($D1721&amp;"_"&amp;L$52,$B$14:$B$36&amp;"_"&amp;$C$14:$C$36,$D$14:$D$36)*$E1721)</f>
        <v>6</v>
      </c>
      <c r="M1721" s="95" cm="1">
        <f ca="1" t="array" ref="M1721">(1+SUMPRODUCT(G1721:H1721,OFFSET($H$40:$I$40,D1721,0)))*(1+OFFSET($J$40,D1721,0))^I1721*(1+OFFSET($K$40,D1721,0))^J1721*(1+OFFSET($L$40,D1721,0))^K1721*(1+OFFSET($M$40,D1721,0))^L1721</f>
        <v>377.056952465838</v>
      </c>
      <c r="N1721" s="95">
        <f ca="1">MAX(MAX($N$53:N1720),OFFSET($C$52,MATCH(M1721*1.07,$M$53:$M$2052,1),0)-C1721)</f>
        <v>72360</v>
      </c>
    </row>
    <row r="1722" spans="2:14">
      <c r="B1722" s="95">
        <v>1670</v>
      </c>
      <c r="C1722" s="95">
        <f t="shared" si="131"/>
        <v>601200</v>
      </c>
      <c r="D1722" s="95">
        <f ca="1">_xlfn.XLOOKUP(总览!$B$44,$B$40:$B$45,$C$40:$C$45)</f>
        <v>5</v>
      </c>
      <c r="E1722" s="95">
        <f ca="1" t="shared" si="134"/>
        <v>1700</v>
      </c>
      <c r="F1722" s="95">
        <f ca="1" t="shared" si="132"/>
        <v>0</v>
      </c>
      <c r="G1722" s="95">
        <f ca="1" t="shared" si="133"/>
        <v>0</v>
      </c>
      <c r="H1722" s="95" cm="1">
        <f ca="1" t="array" ref="H1722">MIN(30-SUM(I1722:L1722),_xlfn.XLOOKUP($D1722&amp;"_"&amp;H$52,$B$14:$B$36&amp;"_"&amp;$C$14:$C$36,$D$14:$D$36)*$E1722,18)</f>
        <v>11.24</v>
      </c>
      <c r="I1722" s="95" cm="1">
        <f ca="1" t="array" ref="I1722">MIN(30-SUM(J1722:L1722),6-L1722,_xlfn.XLOOKUP($D1722&amp;"_"&amp;I$52,$B$14:$B$36&amp;"_"&amp;$C$14:$C$36,$D$14:$D$36)*$E1722)</f>
        <v>0</v>
      </c>
      <c r="J1722" s="95" cm="1">
        <f ca="1" t="array" ref="J1722">MIN(8,_xlfn.XLOOKUP($D1722&amp;"_"&amp;J$52,$B$14:$B$36&amp;"_"&amp;$C$14:$C$36,$D$14:$D$36)*$E1722)</f>
        <v>8</v>
      </c>
      <c r="K1722" s="95" cm="1">
        <f ca="1" t="array" ref="K1722">MIN(18,_xlfn.XLOOKUP($D1722&amp;"_"&amp;K$52,$B$14:$B$36&amp;"_"&amp;$C$14:$C$36,$D$14:$D$36)*$E1722)</f>
        <v>4.76</v>
      </c>
      <c r="L1722" s="95" cm="1">
        <f ca="1" t="array" ref="L1722">MIN(6,_xlfn.XLOOKUP($D1722&amp;"_"&amp;L$52,$B$14:$B$36&amp;"_"&amp;$C$14:$C$36,$D$14:$D$36)*$E1722)</f>
        <v>6</v>
      </c>
      <c r="M1722" s="95" cm="1">
        <f ca="1" t="array" ref="M1722">(1+SUMPRODUCT(G1722:H1722,OFFSET($H$40:$I$40,D1722,0)))*(1+OFFSET($J$40,D1722,0))^I1722*(1+OFFSET($K$40,D1722,0))^J1722*(1+OFFSET($L$40,D1722,0))^K1722*(1+OFFSET($M$40,D1722,0))^L1722</f>
        <v>377.184457513309</v>
      </c>
      <c r="N1722" s="95">
        <f ca="1">MAX(MAX($N$53:N1721),OFFSET($C$52,MATCH(M1722*1.07,$M$53:$M$2052,1),0)-C1722)</f>
        <v>72360</v>
      </c>
    </row>
    <row r="1723" spans="2:14">
      <c r="B1723" s="95">
        <v>1671</v>
      </c>
      <c r="C1723" s="95">
        <f t="shared" si="131"/>
        <v>601560</v>
      </c>
      <c r="D1723" s="95">
        <f ca="1">_xlfn.XLOOKUP(总览!$B$44,$B$40:$B$45,$C$40:$C$45)</f>
        <v>5</v>
      </c>
      <c r="E1723" s="95">
        <f ca="1" t="shared" si="134"/>
        <v>1701</v>
      </c>
      <c r="F1723" s="95">
        <f ca="1" t="shared" si="132"/>
        <v>0</v>
      </c>
      <c r="G1723" s="95">
        <f ca="1" t="shared" si="133"/>
        <v>0</v>
      </c>
      <c r="H1723" s="95" cm="1">
        <f ca="1" t="array" ref="H1723">MIN(30-SUM(I1723:L1723),_xlfn.XLOOKUP($D1723&amp;"_"&amp;H$52,$B$14:$B$36&amp;"_"&amp;$C$14:$C$36,$D$14:$D$36)*$E1723,18)</f>
        <v>11.2372</v>
      </c>
      <c r="I1723" s="95" cm="1">
        <f ca="1" t="array" ref="I1723">MIN(30-SUM(J1723:L1723),6-L1723,_xlfn.XLOOKUP($D1723&amp;"_"&amp;I$52,$B$14:$B$36&amp;"_"&amp;$C$14:$C$36,$D$14:$D$36)*$E1723)</f>
        <v>0</v>
      </c>
      <c r="J1723" s="95" cm="1">
        <f ca="1" t="array" ref="J1723">MIN(8,_xlfn.XLOOKUP($D1723&amp;"_"&amp;J$52,$B$14:$B$36&amp;"_"&amp;$C$14:$C$36,$D$14:$D$36)*$E1723)</f>
        <v>8</v>
      </c>
      <c r="K1723" s="95" cm="1">
        <f ca="1" t="array" ref="K1723">MIN(18,_xlfn.XLOOKUP($D1723&amp;"_"&amp;K$52,$B$14:$B$36&amp;"_"&amp;$C$14:$C$36,$D$14:$D$36)*$E1723)</f>
        <v>4.7628</v>
      </c>
      <c r="L1723" s="95" cm="1">
        <f ca="1" t="array" ref="L1723">MIN(6,_xlfn.XLOOKUP($D1723&amp;"_"&amp;L$52,$B$14:$B$36&amp;"_"&amp;$C$14:$C$36,$D$14:$D$36)*$E1723)</f>
        <v>6</v>
      </c>
      <c r="M1723" s="95" cm="1">
        <f ca="1" t="array" ref="M1723">(1+SUMPRODUCT(G1723:H1723,OFFSET($H$40:$I$40,D1723,0)))*(1+OFFSET($J$40,D1723,0))^I1723*(1+OFFSET($K$40,D1723,0))^J1723*(1+OFFSET($L$40,D1723,0))^K1723*(1+OFFSET($M$40,D1723,0))^L1723</f>
        <v>377.311994461535</v>
      </c>
      <c r="N1723" s="95">
        <f ca="1">MAX(MAX($N$53:N1722),OFFSET($C$52,MATCH(M1723*1.07,$M$53:$M$2052,1),0)-C1723)</f>
        <v>72360</v>
      </c>
    </row>
    <row r="1724" spans="2:14">
      <c r="B1724" s="95">
        <v>1672</v>
      </c>
      <c r="C1724" s="95">
        <f t="shared" si="131"/>
        <v>601920</v>
      </c>
      <c r="D1724" s="95">
        <f ca="1">_xlfn.XLOOKUP(总览!$B$44,$B$40:$B$45,$C$40:$C$45)</f>
        <v>5</v>
      </c>
      <c r="E1724" s="95">
        <f ca="1" t="shared" si="134"/>
        <v>1702</v>
      </c>
      <c r="F1724" s="95">
        <f ca="1" t="shared" si="132"/>
        <v>0</v>
      </c>
      <c r="G1724" s="95">
        <f ca="1" t="shared" si="133"/>
        <v>0</v>
      </c>
      <c r="H1724" s="95" cm="1">
        <f ca="1" t="array" ref="H1724">MIN(30-SUM(I1724:L1724),_xlfn.XLOOKUP($D1724&amp;"_"&amp;H$52,$B$14:$B$36&amp;"_"&amp;$C$14:$C$36,$D$14:$D$36)*$E1724,18)</f>
        <v>11.2344</v>
      </c>
      <c r="I1724" s="95" cm="1">
        <f ca="1" t="array" ref="I1724">MIN(30-SUM(J1724:L1724),6-L1724,_xlfn.XLOOKUP($D1724&amp;"_"&amp;I$52,$B$14:$B$36&amp;"_"&amp;$C$14:$C$36,$D$14:$D$36)*$E1724)</f>
        <v>0</v>
      </c>
      <c r="J1724" s="95" cm="1">
        <f ca="1" t="array" ref="J1724">MIN(8,_xlfn.XLOOKUP($D1724&amp;"_"&amp;J$52,$B$14:$B$36&amp;"_"&amp;$C$14:$C$36,$D$14:$D$36)*$E1724)</f>
        <v>8</v>
      </c>
      <c r="K1724" s="95" cm="1">
        <f ca="1" t="array" ref="K1724">MIN(18,_xlfn.XLOOKUP($D1724&amp;"_"&amp;K$52,$B$14:$B$36&amp;"_"&amp;$C$14:$C$36,$D$14:$D$36)*$E1724)</f>
        <v>4.7656</v>
      </c>
      <c r="L1724" s="95" cm="1">
        <f ca="1" t="array" ref="L1724">MIN(6,_xlfn.XLOOKUP($D1724&amp;"_"&amp;L$52,$B$14:$B$36&amp;"_"&amp;$C$14:$C$36,$D$14:$D$36)*$E1724)</f>
        <v>6</v>
      </c>
      <c r="M1724" s="95" cm="1">
        <f ca="1" t="array" ref="M1724">(1+SUMPRODUCT(G1724:H1724,OFFSET($H$40:$I$40,D1724,0)))*(1+OFFSET($J$40,D1724,0))^I1724*(1+OFFSET($K$40,D1724,0))^J1724*(1+OFFSET($L$40,D1724,0))^K1724*(1+OFFSET($M$40,D1724,0))^L1724</f>
        <v>377.43956330985</v>
      </c>
      <c r="N1724" s="95">
        <f ca="1">MAX(MAX($N$53:N1723),OFFSET($C$52,MATCH(M1724*1.07,$M$53:$M$2052,1),0)-C1724)</f>
        <v>72360</v>
      </c>
    </row>
    <row r="1725" spans="2:14">
      <c r="B1725" s="95">
        <v>1673</v>
      </c>
      <c r="C1725" s="95">
        <f t="shared" si="131"/>
        <v>602280</v>
      </c>
      <c r="D1725" s="95">
        <f ca="1">_xlfn.XLOOKUP(总览!$B$44,$B$40:$B$45,$C$40:$C$45)</f>
        <v>5</v>
      </c>
      <c r="E1725" s="95">
        <f ca="1" t="shared" si="134"/>
        <v>1703</v>
      </c>
      <c r="F1725" s="95">
        <f ca="1" t="shared" si="132"/>
        <v>0</v>
      </c>
      <c r="G1725" s="95">
        <f ca="1" t="shared" si="133"/>
        <v>0</v>
      </c>
      <c r="H1725" s="95" cm="1">
        <f ca="1" t="array" ref="H1725">MIN(30-SUM(I1725:L1725),_xlfn.XLOOKUP($D1725&amp;"_"&amp;H$52,$B$14:$B$36&amp;"_"&amp;$C$14:$C$36,$D$14:$D$36)*$E1725,18)</f>
        <v>11.2316</v>
      </c>
      <c r="I1725" s="95" cm="1">
        <f ca="1" t="array" ref="I1725">MIN(30-SUM(J1725:L1725),6-L1725,_xlfn.XLOOKUP($D1725&amp;"_"&amp;I$52,$B$14:$B$36&amp;"_"&amp;$C$14:$C$36,$D$14:$D$36)*$E1725)</f>
        <v>0</v>
      </c>
      <c r="J1725" s="95" cm="1">
        <f ca="1" t="array" ref="J1725">MIN(8,_xlfn.XLOOKUP($D1725&amp;"_"&amp;J$52,$B$14:$B$36&amp;"_"&amp;$C$14:$C$36,$D$14:$D$36)*$E1725)</f>
        <v>8</v>
      </c>
      <c r="K1725" s="95" cm="1">
        <f ca="1" t="array" ref="K1725">MIN(18,_xlfn.XLOOKUP($D1725&amp;"_"&amp;K$52,$B$14:$B$36&amp;"_"&amp;$C$14:$C$36,$D$14:$D$36)*$E1725)</f>
        <v>4.7684</v>
      </c>
      <c r="L1725" s="95" cm="1">
        <f ca="1" t="array" ref="L1725">MIN(6,_xlfn.XLOOKUP($D1725&amp;"_"&amp;L$52,$B$14:$B$36&amp;"_"&amp;$C$14:$C$36,$D$14:$D$36)*$E1725)</f>
        <v>6</v>
      </c>
      <c r="M1725" s="95" cm="1">
        <f ca="1" t="array" ref="M1725">(1+SUMPRODUCT(G1725:H1725,OFFSET($H$40:$I$40,D1725,0)))*(1+OFFSET($J$40,D1725,0))^I1725*(1+OFFSET($K$40,D1725,0))^J1725*(1+OFFSET($L$40,D1725,0))^K1725*(1+OFFSET($M$40,D1725,0))^L1725</f>
        <v>377.567164057577</v>
      </c>
      <c r="N1725" s="95">
        <f ca="1">MAX(MAX($N$53:N1724),OFFSET($C$52,MATCH(M1725*1.07,$M$53:$M$2052,1),0)-C1725)</f>
        <v>72720</v>
      </c>
    </row>
    <row r="1726" spans="2:14">
      <c r="B1726" s="95">
        <v>1674</v>
      </c>
      <c r="C1726" s="95">
        <f t="shared" si="131"/>
        <v>602640</v>
      </c>
      <c r="D1726" s="95">
        <f ca="1">_xlfn.XLOOKUP(总览!$B$44,$B$40:$B$45,$C$40:$C$45)</f>
        <v>5</v>
      </c>
      <c r="E1726" s="95">
        <f ca="1" t="shared" si="134"/>
        <v>1704</v>
      </c>
      <c r="F1726" s="95">
        <f ca="1" t="shared" si="132"/>
        <v>0</v>
      </c>
      <c r="G1726" s="95">
        <f ca="1" t="shared" si="133"/>
        <v>0</v>
      </c>
      <c r="H1726" s="95" cm="1">
        <f ca="1" t="array" ref="H1726">MIN(30-SUM(I1726:L1726),_xlfn.XLOOKUP($D1726&amp;"_"&amp;H$52,$B$14:$B$36&amp;"_"&amp;$C$14:$C$36,$D$14:$D$36)*$E1726,18)</f>
        <v>11.2288</v>
      </c>
      <c r="I1726" s="95" cm="1">
        <f ca="1" t="array" ref="I1726">MIN(30-SUM(J1726:L1726),6-L1726,_xlfn.XLOOKUP($D1726&amp;"_"&amp;I$52,$B$14:$B$36&amp;"_"&amp;$C$14:$C$36,$D$14:$D$36)*$E1726)</f>
        <v>0</v>
      </c>
      <c r="J1726" s="95" cm="1">
        <f ca="1" t="array" ref="J1726">MIN(8,_xlfn.XLOOKUP($D1726&amp;"_"&amp;J$52,$B$14:$B$36&amp;"_"&amp;$C$14:$C$36,$D$14:$D$36)*$E1726)</f>
        <v>8</v>
      </c>
      <c r="K1726" s="95" cm="1">
        <f ca="1" t="array" ref="K1726">MIN(18,_xlfn.XLOOKUP($D1726&amp;"_"&amp;K$52,$B$14:$B$36&amp;"_"&amp;$C$14:$C$36,$D$14:$D$36)*$E1726)</f>
        <v>4.7712</v>
      </c>
      <c r="L1726" s="95" cm="1">
        <f ca="1" t="array" ref="L1726">MIN(6,_xlfn.XLOOKUP($D1726&amp;"_"&amp;L$52,$B$14:$B$36&amp;"_"&amp;$C$14:$C$36,$D$14:$D$36)*$E1726)</f>
        <v>6</v>
      </c>
      <c r="M1726" s="95" cm="1">
        <f ca="1" t="array" ref="M1726">(1+SUMPRODUCT(G1726:H1726,OFFSET($H$40:$I$40,D1726,0)))*(1+OFFSET($J$40,D1726,0))^I1726*(1+OFFSET($K$40,D1726,0))^J1726*(1+OFFSET($L$40,D1726,0))^K1726*(1+OFFSET($M$40,D1726,0))^L1726</f>
        <v>377.694796704032</v>
      </c>
      <c r="N1726" s="95">
        <f ca="1">MAX(MAX($N$53:N1725),OFFSET($C$52,MATCH(M1726*1.07,$M$53:$M$2052,1),0)-C1726)</f>
        <v>72720</v>
      </c>
    </row>
    <row r="1727" spans="2:14">
      <c r="B1727" s="95">
        <v>1675</v>
      </c>
      <c r="C1727" s="95">
        <f t="shared" si="131"/>
        <v>603000</v>
      </c>
      <c r="D1727" s="95">
        <f ca="1">_xlfn.XLOOKUP(总览!$B$44,$B$40:$B$45,$C$40:$C$45)</f>
        <v>5</v>
      </c>
      <c r="E1727" s="95">
        <f ca="1" t="shared" si="134"/>
        <v>1705</v>
      </c>
      <c r="F1727" s="95">
        <f ca="1" t="shared" si="132"/>
        <v>0</v>
      </c>
      <c r="G1727" s="95">
        <f ca="1" t="shared" si="133"/>
        <v>0</v>
      </c>
      <c r="H1727" s="95" cm="1">
        <f ca="1" t="array" ref="H1727">MIN(30-SUM(I1727:L1727),_xlfn.XLOOKUP($D1727&amp;"_"&amp;H$52,$B$14:$B$36&amp;"_"&amp;$C$14:$C$36,$D$14:$D$36)*$E1727,18)</f>
        <v>11.226</v>
      </c>
      <c r="I1727" s="95" cm="1">
        <f ca="1" t="array" ref="I1727">MIN(30-SUM(J1727:L1727),6-L1727,_xlfn.XLOOKUP($D1727&amp;"_"&amp;I$52,$B$14:$B$36&amp;"_"&amp;$C$14:$C$36,$D$14:$D$36)*$E1727)</f>
        <v>0</v>
      </c>
      <c r="J1727" s="95" cm="1">
        <f ca="1" t="array" ref="J1727">MIN(8,_xlfn.XLOOKUP($D1727&amp;"_"&amp;J$52,$B$14:$B$36&amp;"_"&amp;$C$14:$C$36,$D$14:$D$36)*$E1727)</f>
        <v>8</v>
      </c>
      <c r="K1727" s="95" cm="1">
        <f ca="1" t="array" ref="K1727">MIN(18,_xlfn.XLOOKUP($D1727&amp;"_"&amp;K$52,$B$14:$B$36&amp;"_"&amp;$C$14:$C$36,$D$14:$D$36)*$E1727)</f>
        <v>4.774</v>
      </c>
      <c r="L1727" s="95" cm="1">
        <f ca="1" t="array" ref="L1727">MIN(6,_xlfn.XLOOKUP($D1727&amp;"_"&amp;L$52,$B$14:$B$36&amp;"_"&amp;$C$14:$C$36,$D$14:$D$36)*$E1727)</f>
        <v>6</v>
      </c>
      <c r="M1727" s="95" cm="1">
        <f ca="1" t="array" ref="M1727">(1+SUMPRODUCT(G1727:H1727,OFFSET($H$40:$I$40,D1727,0)))*(1+OFFSET($J$40,D1727,0))^I1727*(1+OFFSET($K$40,D1727,0))^J1727*(1+OFFSET($L$40,D1727,0))^K1727*(1+OFFSET($M$40,D1727,0))^L1727</f>
        <v>377.82246124852</v>
      </c>
      <c r="N1727" s="95">
        <f ca="1">MAX(MAX($N$53:N1726),OFFSET($C$52,MATCH(M1727*1.07,$M$53:$M$2052,1),0)-C1727)</f>
        <v>72720</v>
      </c>
    </row>
    <row r="1728" spans="2:14">
      <c r="B1728" s="95">
        <v>1676</v>
      </c>
      <c r="C1728" s="95">
        <f t="shared" si="131"/>
        <v>603360</v>
      </c>
      <c r="D1728" s="95">
        <f ca="1">_xlfn.XLOOKUP(总览!$B$44,$B$40:$B$45,$C$40:$C$45)</f>
        <v>5</v>
      </c>
      <c r="E1728" s="95">
        <f ca="1" t="shared" si="134"/>
        <v>1706</v>
      </c>
      <c r="F1728" s="95">
        <f ca="1" t="shared" si="132"/>
        <v>0</v>
      </c>
      <c r="G1728" s="95">
        <f ca="1" t="shared" si="133"/>
        <v>0</v>
      </c>
      <c r="H1728" s="95" cm="1">
        <f ca="1" t="array" ref="H1728">MIN(30-SUM(I1728:L1728),_xlfn.XLOOKUP($D1728&amp;"_"&amp;H$52,$B$14:$B$36&amp;"_"&amp;$C$14:$C$36,$D$14:$D$36)*$E1728,18)</f>
        <v>11.2232</v>
      </c>
      <c r="I1728" s="95" cm="1">
        <f ca="1" t="array" ref="I1728">MIN(30-SUM(J1728:L1728),6-L1728,_xlfn.XLOOKUP($D1728&amp;"_"&amp;I$52,$B$14:$B$36&amp;"_"&amp;$C$14:$C$36,$D$14:$D$36)*$E1728)</f>
        <v>0</v>
      </c>
      <c r="J1728" s="95" cm="1">
        <f ca="1" t="array" ref="J1728">MIN(8,_xlfn.XLOOKUP($D1728&amp;"_"&amp;J$52,$B$14:$B$36&amp;"_"&amp;$C$14:$C$36,$D$14:$D$36)*$E1728)</f>
        <v>8</v>
      </c>
      <c r="K1728" s="95" cm="1">
        <f ca="1" t="array" ref="K1728">MIN(18,_xlfn.XLOOKUP($D1728&amp;"_"&amp;K$52,$B$14:$B$36&amp;"_"&amp;$C$14:$C$36,$D$14:$D$36)*$E1728)</f>
        <v>4.7768</v>
      </c>
      <c r="L1728" s="95" cm="1">
        <f ca="1" t="array" ref="L1728">MIN(6,_xlfn.XLOOKUP($D1728&amp;"_"&amp;L$52,$B$14:$B$36&amp;"_"&amp;$C$14:$C$36,$D$14:$D$36)*$E1728)</f>
        <v>6</v>
      </c>
      <c r="M1728" s="95" cm="1">
        <f ca="1" t="array" ref="M1728">(1+SUMPRODUCT(G1728:H1728,OFFSET($H$40:$I$40,D1728,0)))*(1+OFFSET($J$40,D1728,0))^I1728*(1+OFFSET($K$40,D1728,0))^J1728*(1+OFFSET($L$40,D1728,0))^K1728*(1+OFFSET($M$40,D1728,0))^L1728</f>
        <v>377.950157690338</v>
      </c>
      <c r="N1728" s="95">
        <f ca="1">MAX(MAX($N$53:N1727),OFFSET($C$52,MATCH(M1728*1.07,$M$53:$M$2052,1),0)-C1728)</f>
        <v>72720</v>
      </c>
    </row>
    <row r="1729" spans="2:14">
      <c r="B1729" s="95">
        <v>1677</v>
      </c>
      <c r="C1729" s="95">
        <f t="shared" si="131"/>
        <v>603720</v>
      </c>
      <c r="D1729" s="95">
        <f ca="1">_xlfn.XLOOKUP(总览!$B$44,$B$40:$B$45,$C$40:$C$45)</f>
        <v>5</v>
      </c>
      <c r="E1729" s="95">
        <f ca="1" t="shared" si="134"/>
        <v>1707</v>
      </c>
      <c r="F1729" s="95">
        <f ca="1" t="shared" si="132"/>
        <v>0</v>
      </c>
      <c r="G1729" s="95">
        <f ca="1" t="shared" si="133"/>
        <v>0</v>
      </c>
      <c r="H1729" s="95" cm="1">
        <f ca="1" t="array" ref="H1729">MIN(30-SUM(I1729:L1729),_xlfn.XLOOKUP($D1729&amp;"_"&amp;H$52,$B$14:$B$36&amp;"_"&amp;$C$14:$C$36,$D$14:$D$36)*$E1729,18)</f>
        <v>11.2204</v>
      </c>
      <c r="I1729" s="95" cm="1">
        <f ca="1" t="array" ref="I1729">MIN(30-SUM(J1729:L1729),6-L1729,_xlfn.XLOOKUP($D1729&amp;"_"&amp;I$52,$B$14:$B$36&amp;"_"&amp;$C$14:$C$36,$D$14:$D$36)*$E1729)</f>
        <v>0</v>
      </c>
      <c r="J1729" s="95" cm="1">
        <f ca="1" t="array" ref="J1729">MIN(8,_xlfn.XLOOKUP($D1729&amp;"_"&amp;J$52,$B$14:$B$36&amp;"_"&amp;$C$14:$C$36,$D$14:$D$36)*$E1729)</f>
        <v>8</v>
      </c>
      <c r="K1729" s="95" cm="1">
        <f ca="1" t="array" ref="K1729">MIN(18,_xlfn.XLOOKUP($D1729&amp;"_"&amp;K$52,$B$14:$B$36&amp;"_"&amp;$C$14:$C$36,$D$14:$D$36)*$E1729)</f>
        <v>4.7796</v>
      </c>
      <c r="L1729" s="95" cm="1">
        <f ca="1" t="array" ref="L1729">MIN(6,_xlfn.XLOOKUP($D1729&amp;"_"&amp;L$52,$B$14:$B$36&amp;"_"&amp;$C$14:$C$36,$D$14:$D$36)*$E1729)</f>
        <v>6</v>
      </c>
      <c r="M1729" s="95" cm="1">
        <f ca="1" t="array" ref="M1729">(1+SUMPRODUCT(G1729:H1729,OFFSET($H$40:$I$40,D1729,0)))*(1+OFFSET($J$40,D1729,0))^I1729*(1+OFFSET($K$40,D1729,0))^J1729*(1+OFFSET($L$40,D1729,0))^K1729*(1+OFFSET($M$40,D1729,0))^L1729</f>
        <v>378.077886028773</v>
      </c>
      <c r="N1729" s="95">
        <f ca="1">MAX(MAX($N$53:N1728),OFFSET($C$52,MATCH(M1729*1.07,$M$53:$M$2052,1),0)-C1729)</f>
        <v>72720</v>
      </c>
    </row>
    <row r="1730" spans="2:14">
      <c r="B1730" s="95">
        <v>1678</v>
      </c>
      <c r="C1730" s="95">
        <f t="shared" si="131"/>
        <v>604080</v>
      </c>
      <c r="D1730" s="95">
        <f ca="1">_xlfn.XLOOKUP(总览!$B$44,$B$40:$B$45,$C$40:$C$45)</f>
        <v>5</v>
      </c>
      <c r="E1730" s="95">
        <f ca="1" t="shared" si="134"/>
        <v>1708</v>
      </c>
      <c r="F1730" s="95">
        <f ca="1" t="shared" si="132"/>
        <v>0</v>
      </c>
      <c r="G1730" s="95">
        <f ca="1" t="shared" si="133"/>
        <v>0</v>
      </c>
      <c r="H1730" s="95" cm="1">
        <f ca="1" t="array" ref="H1730">MIN(30-SUM(I1730:L1730),_xlfn.XLOOKUP($D1730&amp;"_"&amp;H$52,$B$14:$B$36&amp;"_"&amp;$C$14:$C$36,$D$14:$D$36)*$E1730,18)</f>
        <v>11.2176</v>
      </c>
      <c r="I1730" s="95" cm="1">
        <f ca="1" t="array" ref="I1730">MIN(30-SUM(J1730:L1730),6-L1730,_xlfn.XLOOKUP($D1730&amp;"_"&amp;I$52,$B$14:$B$36&amp;"_"&amp;$C$14:$C$36,$D$14:$D$36)*$E1730)</f>
        <v>0</v>
      </c>
      <c r="J1730" s="95" cm="1">
        <f ca="1" t="array" ref="J1730">MIN(8,_xlfn.XLOOKUP($D1730&amp;"_"&amp;J$52,$B$14:$B$36&amp;"_"&amp;$C$14:$C$36,$D$14:$D$36)*$E1730)</f>
        <v>8</v>
      </c>
      <c r="K1730" s="95" cm="1">
        <f ca="1" t="array" ref="K1730">MIN(18,_xlfn.XLOOKUP($D1730&amp;"_"&amp;K$52,$B$14:$B$36&amp;"_"&amp;$C$14:$C$36,$D$14:$D$36)*$E1730)</f>
        <v>4.7824</v>
      </c>
      <c r="L1730" s="95" cm="1">
        <f ca="1" t="array" ref="L1730">MIN(6,_xlfn.XLOOKUP($D1730&amp;"_"&amp;L$52,$B$14:$B$36&amp;"_"&amp;$C$14:$C$36,$D$14:$D$36)*$E1730)</f>
        <v>6</v>
      </c>
      <c r="M1730" s="95" cm="1">
        <f ca="1" t="array" ref="M1730">(1+SUMPRODUCT(G1730:H1730,OFFSET($H$40:$I$40,D1730,0)))*(1+OFFSET($J$40,D1730,0))^I1730*(1+OFFSET($K$40,D1730,0))^J1730*(1+OFFSET($L$40,D1730,0))^K1730*(1+OFFSET($M$40,D1730,0))^L1730</f>
        <v>378.205646263105</v>
      </c>
      <c r="N1730" s="95">
        <f ca="1">MAX(MAX($N$53:N1729),OFFSET($C$52,MATCH(M1730*1.07,$M$53:$M$2052,1),0)-C1730)</f>
        <v>72720</v>
      </c>
    </row>
    <row r="1731" spans="2:14">
      <c r="B1731" s="95">
        <v>1679</v>
      </c>
      <c r="C1731" s="95">
        <f t="shared" si="131"/>
        <v>604440</v>
      </c>
      <c r="D1731" s="95">
        <f ca="1">_xlfn.XLOOKUP(总览!$B$44,$B$40:$B$45,$C$40:$C$45)</f>
        <v>5</v>
      </c>
      <c r="E1731" s="95">
        <f ca="1" t="shared" si="134"/>
        <v>1709</v>
      </c>
      <c r="F1731" s="95">
        <f ca="1" t="shared" si="132"/>
        <v>0</v>
      </c>
      <c r="G1731" s="95">
        <f ca="1" t="shared" si="133"/>
        <v>0</v>
      </c>
      <c r="H1731" s="95" cm="1">
        <f ca="1" t="array" ref="H1731">MIN(30-SUM(I1731:L1731),_xlfn.XLOOKUP($D1731&amp;"_"&amp;H$52,$B$14:$B$36&amp;"_"&amp;$C$14:$C$36,$D$14:$D$36)*$E1731,18)</f>
        <v>11.2148</v>
      </c>
      <c r="I1731" s="95" cm="1">
        <f ca="1" t="array" ref="I1731">MIN(30-SUM(J1731:L1731),6-L1731,_xlfn.XLOOKUP($D1731&amp;"_"&amp;I$52,$B$14:$B$36&amp;"_"&amp;$C$14:$C$36,$D$14:$D$36)*$E1731)</f>
        <v>0</v>
      </c>
      <c r="J1731" s="95" cm="1">
        <f ca="1" t="array" ref="J1731">MIN(8,_xlfn.XLOOKUP($D1731&amp;"_"&amp;J$52,$B$14:$B$36&amp;"_"&amp;$C$14:$C$36,$D$14:$D$36)*$E1731)</f>
        <v>8</v>
      </c>
      <c r="K1731" s="95" cm="1">
        <f ca="1" t="array" ref="K1731">MIN(18,_xlfn.XLOOKUP($D1731&amp;"_"&amp;K$52,$B$14:$B$36&amp;"_"&amp;$C$14:$C$36,$D$14:$D$36)*$E1731)</f>
        <v>4.7852</v>
      </c>
      <c r="L1731" s="95" cm="1">
        <f ca="1" t="array" ref="L1731">MIN(6,_xlfn.XLOOKUP($D1731&amp;"_"&amp;L$52,$B$14:$B$36&amp;"_"&amp;$C$14:$C$36,$D$14:$D$36)*$E1731)</f>
        <v>6</v>
      </c>
      <c r="M1731" s="95" cm="1">
        <f ca="1" t="array" ref="M1731">(1+SUMPRODUCT(G1731:H1731,OFFSET($H$40:$I$40,D1731,0)))*(1+OFFSET($J$40,D1731,0))^I1731*(1+OFFSET($K$40,D1731,0))^J1731*(1+OFFSET($L$40,D1731,0))^K1731*(1+OFFSET($M$40,D1731,0))^L1731</f>
        <v>378.333438392603</v>
      </c>
      <c r="N1731" s="95">
        <f ca="1">MAX(MAX($N$53:N1730),OFFSET($C$52,MATCH(M1731*1.07,$M$53:$M$2052,1),0)-C1731)</f>
        <v>72720</v>
      </c>
    </row>
    <row r="1732" spans="2:14">
      <c r="B1732" s="95">
        <v>1680</v>
      </c>
      <c r="C1732" s="95">
        <f t="shared" si="131"/>
        <v>604800</v>
      </c>
      <c r="D1732" s="95">
        <f ca="1">_xlfn.XLOOKUP(总览!$B$44,$B$40:$B$45,$C$40:$C$45)</f>
        <v>5</v>
      </c>
      <c r="E1732" s="95">
        <f ca="1" t="shared" si="134"/>
        <v>1710</v>
      </c>
      <c r="F1732" s="95">
        <f ca="1" t="shared" si="132"/>
        <v>0</v>
      </c>
      <c r="G1732" s="95">
        <f ca="1" t="shared" si="133"/>
        <v>0</v>
      </c>
      <c r="H1732" s="95" cm="1">
        <f ca="1" t="array" ref="H1732">MIN(30-SUM(I1732:L1732),_xlfn.XLOOKUP($D1732&amp;"_"&amp;H$52,$B$14:$B$36&amp;"_"&amp;$C$14:$C$36,$D$14:$D$36)*$E1732,18)</f>
        <v>11.212</v>
      </c>
      <c r="I1732" s="95" cm="1">
        <f ca="1" t="array" ref="I1732">MIN(30-SUM(J1732:L1732),6-L1732,_xlfn.XLOOKUP($D1732&amp;"_"&amp;I$52,$B$14:$B$36&amp;"_"&amp;$C$14:$C$36,$D$14:$D$36)*$E1732)</f>
        <v>0</v>
      </c>
      <c r="J1732" s="95" cm="1">
        <f ca="1" t="array" ref="J1732">MIN(8,_xlfn.XLOOKUP($D1732&amp;"_"&amp;J$52,$B$14:$B$36&amp;"_"&amp;$C$14:$C$36,$D$14:$D$36)*$E1732)</f>
        <v>8</v>
      </c>
      <c r="K1732" s="95" cm="1">
        <f ca="1" t="array" ref="K1732">MIN(18,_xlfn.XLOOKUP($D1732&amp;"_"&amp;K$52,$B$14:$B$36&amp;"_"&amp;$C$14:$C$36,$D$14:$D$36)*$E1732)</f>
        <v>4.788</v>
      </c>
      <c r="L1732" s="95" cm="1">
        <f ca="1" t="array" ref="L1732">MIN(6,_xlfn.XLOOKUP($D1732&amp;"_"&amp;L$52,$B$14:$B$36&amp;"_"&amp;$C$14:$C$36,$D$14:$D$36)*$E1732)</f>
        <v>6</v>
      </c>
      <c r="M1732" s="95" cm="1">
        <f ca="1" t="array" ref="M1732">(1+SUMPRODUCT(G1732:H1732,OFFSET($H$40:$I$40,D1732,0)))*(1+OFFSET($J$40,D1732,0))^I1732*(1+OFFSET($K$40,D1732,0))^J1732*(1+OFFSET($L$40,D1732,0))^K1732*(1+OFFSET($M$40,D1732,0))^L1732</f>
        <v>378.461262416529</v>
      </c>
      <c r="N1732" s="95">
        <f ca="1">MAX(MAX($N$53:N1731),OFFSET($C$52,MATCH(M1732*1.07,$M$53:$M$2052,1),0)-C1732)</f>
        <v>72720</v>
      </c>
    </row>
    <row r="1733" spans="2:14">
      <c r="B1733" s="95">
        <v>1681</v>
      </c>
      <c r="C1733" s="95">
        <f t="shared" si="131"/>
        <v>605160</v>
      </c>
      <c r="D1733" s="95">
        <f ca="1">_xlfn.XLOOKUP(总览!$B$44,$B$40:$B$45,$C$40:$C$45)</f>
        <v>5</v>
      </c>
      <c r="E1733" s="95">
        <f ca="1" t="shared" si="134"/>
        <v>1711</v>
      </c>
      <c r="F1733" s="95">
        <f ca="1" t="shared" si="132"/>
        <v>0</v>
      </c>
      <c r="G1733" s="95">
        <f ca="1" t="shared" si="133"/>
        <v>0</v>
      </c>
      <c r="H1733" s="95" cm="1">
        <f ca="1" t="array" ref="H1733">MIN(30-SUM(I1733:L1733),_xlfn.XLOOKUP($D1733&amp;"_"&amp;H$52,$B$14:$B$36&amp;"_"&amp;$C$14:$C$36,$D$14:$D$36)*$E1733,18)</f>
        <v>11.2092</v>
      </c>
      <c r="I1733" s="95" cm="1">
        <f ca="1" t="array" ref="I1733">MIN(30-SUM(J1733:L1733),6-L1733,_xlfn.XLOOKUP($D1733&amp;"_"&amp;I$52,$B$14:$B$36&amp;"_"&amp;$C$14:$C$36,$D$14:$D$36)*$E1733)</f>
        <v>0</v>
      </c>
      <c r="J1733" s="95" cm="1">
        <f ca="1" t="array" ref="J1733">MIN(8,_xlfn.XLOOKUP($D1733&amp;"_"&amp;J$52,$B$14:$B$36&amp;"_"&amp;$C$14:$C$36,$D$14:$D$36)*$E1733)</f>
        <v>8</v>
      </c>
      <c r="K1733" s="95" cm="1">
        <f ca="1" t="array" ref="K1733">MIN(18,_xlfn.XLOOKUP($D1733&amp;"_"&amp;K$52,$B$14:$B$36&amp;"_"&amp;$C$14:$C$36,$D$14:$D$36)*$E1733)</f>
        <v>4.7908</v>
      </c>
      <c r="L1733" s="95" cm="1">
        <f ca="1" t="array" ref="L1733">MIN(6,_xlfn.XLOOKUP($D1733&amp;"_"&amp;L$52,$B$14:$B$36&amp;"_"&amp;$C$14:$C$36,$D$14:$D$36)*$E1733)</f>
        <v>6</v>
      </c>
      <c r="M1733" s="95" cm="1">
        <f ca="1" t="array" ref="M1733">(1+SUMPRODUCT(G1733:H1733,OFFSET($H$40:$I$40,D1733,0)))*(1+OFFSET($J$40,D1733,0))^I1733*(1+OFFSET($K$40,D1733,0))^J1733*(1+OFFSET($L$40,D1733,0))^K1733*(1+OFFSET($M$40,D1733,0))^L1733</f>
        <v>378.589118334132</v>
      </c>
      <c r="N1733" s="95">
        <f ca="1">MAX(MAX($N$53:N1732),OFFSET($C$52,MATCH(M1733*1.07,$M$53:$M$2052,1),0)-C1733)</f>
        <v>72720</v>
      </c>
    </row>
    <row r="1734" spans="2:14">
      <c r="B1734" s="95">
        <v>1682</v>
      </c>
      <c r="C1734" s="95">
        <f t="shared" si="131"/>
        <v>605520</v>
      </c>
      <c r="D1734" s="95">
        <f ca="1">_xlfn.XLOOKUP(总览!$B$44,$B$40:$B$45,$C$40:$C$45)</f>
        <v>5</v>
      </c>
      <c r="E1734" s="95">
        <f ca="1" t="shared" si="134"/>
        <v>1712</v>
      </c>
      <c r="F1734" s="95">
        <f ca="1" t="shared" si="132"/>
        <v>0</v>
      </c>
      <c r="G1734" s="95">
        <f ca="1" t="shared" si="133"/>
        <v>0</v>
      </c>
      <c r="H1734" s="95" cm="1">
        <f ca="1" t="array" ref="H1734">MIN(30-SUM(I1734:L1734),_xlfn.XLOOKUP($D1734&amp;"_"&amp;H$52,$B$14:$B$36&amp;"_"&amp;$C$14:$C$36,$D$14:$D$36)*$E1734,18)</f>
        <v>11.2064</v>
      </c>
      <c r="I1734" s="95" cm="1">
        <f ca="1" t="array" ref="I1734">MIN(30-SUM(J1734:L1734),6-L1734,_xlfn.XLOOKUP($D1734&amp;"_"&amp;I$52,$B$14:$B$36&amp;"_"&amp;$C$14:$C$36,$D$14:$D$36)*$E1734)</f>
        <v>0</v>
      </c>
      <c r="J1734" s="95" cm="1">
        <f ca="1" t="array" ref="J1734">MIN(8,_xlfn.XLOOKUP($D1734&amp;"_"&amp;J$52,$B$14:$B$36&amp;"_"&amp;$C$14:$C$36,$D$14:$D$36)*$E1734)</f>
        <v>8</v>
      </c>
      <c r="K1734" s="95" cm="1">
        <f ca="1" t="array" ref="K1734">MIN(18,_xlfn.XLOOKUP($D1734&amp;"_"&amp;K$52,$B$14:$B$36&amp;"_"&amp;$C$14:$C$36,$D$14:$D$36)*$E1734)</f>
        <v>4.7936</v>
      </c>
      <c r="L1734" s="95" cm="1">
        <f ca="1" t="array" ref="L1734">MIN(6,_xlfn.XLOOKUP($D1734&amp;"_"&amp;L$52,$B$14:$B$36&amp;"_"&amp;$C$14:$C$36,$D$14:$D$36)*$E1734)</f>
        <v>6</v>
      </c>
      <c r="M1734" s="95" cm="1">
        <f ca="1" t="array" ref="M1734">(1+SUMPRODUCT(G1734:H1734,OFFSET($H$40:$I$40,D1734,0)))*(1+OFFSET($J$40,D1734,0))^I1734*(1+OFFSET($K$40,D1734,0))^J1734*(1+OFFSET($L$40,D1734,0))^K1734*(1+OFFSET($M$40,D1734,0))^L1734</f>
        <v>378.717006144656</v>
      </c>
      <c r="N1734" s="95">
        <f ca="1">MAX(MAX($N$53:N1733),OFFSET($C$52,MATCH(M1734*1.07,$M$53:$M$2052,1),0)-C1734)</f>
        <v>72720</v>
      </c>
    </row>
    <row r="1735" spans="2:14">
      <c r="B1735" s="95">
        <v>1683</v>
      </c>
      <c r="C1735" s="95">
        <f t="shared" si="131"/>
        <v>605880</v>
      </c>
      <c r="D1735" s="95">
        <f ca="1">_xlfn.XLOOKUP(总览!$B$44,$B$40:$B$45,$C$40:$C$45)</f>
        <v>5</v>
      </c>
      <c r="E1735" s="95">
        <f ca="1" t="shared" si="134"/>
        <v>1713</v>
      </c>
      <c r="F1735" s="95">
        <f ca="1" t="shared" si="132"/>
        <v>0</v>
      </c>
      <c r="G1735" s="95">
        <f ca="1" t="shared" si="133"/>
        <v>0</v>
      </c>
      <c r="H1735" s="95" cm="1">
        <f ca="1" t="array" ref="H1735">MIN(30-SUM(I1735:L1735),_xlfn.XLOOKUP($D1735&amp;"_"&amp;H$52,$B$14:$B$36&amp;"_"&amp;$C$14:$C$36,$D$14:$D$36)*$E1735,18)</f>
        <v>11.2036</v>
      </c>
      <c r="I1735" s="95" cm="1">
        <f ca="1" t="array" ref="I1735">MIN(30-SUM(J1735:L1735),6-L1735,_xlfn.XLOOKUP($D1735&amp;"_"&amp;I$52,$B$14:$B$36&amp;"_"&amp;$C$14:$C$36,$D$14:$D$36)*$E1735)</f>
        <v>0</v>
      </c>
      <c r="J1735" s="95" cm="1">
        <f ca="1" t="array" ref="J1735">MIN(8,_xlfn.XLOOKUP($D1735&amp;"_"&amp;J$52,$B$14:$B$36&amp;"_"&amp;$C$14:$C$36,$D$14:$D$36)*$E1735)</f>
        <v>8</v>
      </c>
      <c r="K1735" s="95" cm="1">
        <f ca="1" t="array" ref="K1735">MIN(18,_xlfn.XLOOKUP($D1735&amp;"_"&amp;K$52,$B$14:$B$36&amp;"_"&amp;$C$14:$C$36,$D$14:$D$36)*$E1735)</f>
        <v>4.7964</v>
      </c>
      <c r="L1735" s="95" cm="1">
        <f ca="1" t="array" ref="L1735">MIN(6,_xlfn.XLOOKUP($D1735&amp;"_"&amp;L$52,$B$14:$B$36&amp;"_"&amp;$C$14:$C$36,$D$14:$D$36)*$E1735)</f>
        <v>6</v>
      </c>
      <c r="M1735" s="95" cm="1">
        <f ca="1" t="array" ref="M1735">(1+SUMPRODUCT(G1735:H1735,OFFSET($H$40:$I$40,D1735,0)))*(1+OFFSET($J$40,D1735,0))^I1735*(1+OFFSET($K$40,D1735,0))^J1735*(1+OFFSET($L$40,D1735,0))^K1735*(1+OFFSET($M$40,D1735,0))^L1735</f>
        <v>378.844925847335</v>
      </c>
      <c r="N1735" s="95">
        <f ca="1">MAX(MAX($N$53:N1734),OFFSET($C$52,MATCH(M1735*1.07,$M$53:$M$2052,1),0)-C1735)</f>
        <v>72720</v>
      </c>
    </row>
    <row r="1736" spans="2:14">
      <c r="B1736" s="95">
        <v>1684</v>
      </c>
      <c r="C1736" s="95">
        <f t="shared" si="131"/>
        <v>606240</v>
      </c>
      <c r="D1736" s="95">
        <f ca="1">_xlfn.XLOOKUP(总览!$B$44,$B$40:$B$45,$C$40:$C$45)</f>
        <v>5</v>
      </c>
      <c r="E1736" s="95">
        <f ca="1" t="shared" si="134"/>
        <v>1714</v>
      </c>
      <c r="F1736" s="95">
        <f ca="1" t="shared" si="132"/>
        <v>0</v>
      </c>
      <c r="G1736" s="95">
        <f ca="1" t="shared" si="133"/>
        <v>0</v>
      </c>
      <c r="H1736" s="95" cm="1">
        <f ca="1" t="array" ref="H1736">MIN(30-SUM(I1736:L1736),_xlfn.XLOOKUP($D1736&amp;"_"&amp;H$52,$B$14:$B$36&amp;"_"&amp;$C$14:$C$36,$D$14:$D$36)*$E1736,18)</f>
        <v>11.2008</v>
      </c>
      <c r="I1736" s="95" cm="1">
        <f ca="1" t="array" ref="I1736">MIN(30-SUM(J1736:L1736),6-L1736,_xlfn.XLOOKUP($D1736&amp;"_"&amp;I$52,$B$14:$B$36&amp;"_"&amp;$C$14:$C$36,$D$14:$D$36)*$E1736)</f>
        <v>0</v>
      </c>
      <c r="J1736" s="95" cm="1">
        <f ca="1" t="array" ref="J1736">MIN(8,_xlfn.XLOOKUP($D1736&amp;"_"&amp;J$52,$B$14:$B$36&amp;"_"&amp;$C$14:$C$36,$D$14:$D$36)*$E1736)</f>
        <v>8</v>
      </c>
      <c r="K1736" s="95" cm="1">
        <f ca="1" t="array" ref="K1736">MIN(18,_xlfn.XLOOKUP($D1736&amp;"_"&amp;K$52,$B$14:$B$36&amp;"_"&amp;$C$14:$C$36,$D$14:$D$36)*$E1736)</f>
        <v>4.7992</v>
      </c>
      <c r="L1736" s="95" cm="1">
        <f ca="1" t="array" ref="L1736">MIN(6,_xlfn.XLOOKUP($D1736&amp;"_"&amp;L$52,$B$14:$B$36&amp;"_"&amp;$C$14:$C$36,$D$14:$D$36)*$E1736)</f>
        <v>6</v>
      </c>
      <c r="M1736" s="95" cm="1">
        <f ca="1" t="array" ref="M1736">(1+SUMPRODUCT(G1736:H1736,OFFSET($H$40:$I$40,D1736,0)))*(1+OFFSET($J$40,D1736,0))^I1736*(1+OFFSET($K$40,D1736,0))^J1736*(1+OFFSET($L$40,D1736,0))^K1736*(1+OFFSET($M$40,D1736,0))^L1736</f>
        <v>378.972877441392</v>
      </c>
      <c r="N1736" s="95">
        <f ca="1">MAX(MAX($N$53:N1735),OFFSET($C$52,MATCH(M1736*1.07,$M$53:$M$2052,1),0)-C1736)</f>
        <v>72720</v>
      </c>
    </row>
    <row r="1737" spans="2:14">
      <c r="B1737" s="95">
        <v>1685</v>
      </c>
      <c r="C1737" s="95">
        <f t="shared" si="131"/>
        <v>606600</v>
      </c>
      <c r="D1737" s="95">
        <f ca="1">_xlfn.XLOOKUP(总览!$B$44,$B$40:$B$45,$C$40:$C$45)</f>
        <v>5</v>
      </c>
      <c r="E1737" s="95">
        <f ca="1" t="shared" si="134"/>
        <v>1715</v>
      </c>
      <c r="F1737" s="95">
        <f ca="1" t="shared" si="132"/>
        <v>0</v>
      </c>
      <c r="G1737" s="95">
        <f ca="1" t="shared" si="133"/>
        <v>0</v>
      </c>
      <c r="H1737" s="95" cm="1">
        <f ca="1" t="array" ref="H1737">MIN(30-SUM(I1737:L1737),_xlfn.XLOOKUP($D1737&amp;"_"&amp;H$52,$B$14:$B$36&amp;"_"&amp;$C$14:$C$36,$D$14:$D$36)*$E1737,18)</f>
        <v>11.198</v>
      </c>
      <c r="I1737" s="95" cm="1">
        <f ca="1" t="array" ref="I1737">MIN(30-SUM(J1737:L1737),6-L1737,_xlfn.XLOOKUP($D1737&amp;"_"&amp;I$52,$B$14:$B$36&amp;"_"&amp;$C$14:$C$36,$D$14:$D$36)*$E1737)</f>
        <v>0</v>
      </c>
      <c r="J1737" s="95" cm="1">
        <f ca="1" t="array" ref="J1737">MIN(8,_xlfn.XLOOKUP($D1737&amp;"_"&amp;J$52,$B$14:$B$36&amp;"_"&amp;$C$14:$C$36,$D$14:$D$36)*$E1737)</f>
        <v>8</v>
      </c>
      <c r="K1737" s="95" cm="1">
        <f ca="1" t="array" ref="K1737">MIN(18,_xlfn.XLOOKUP($D1737&amp;"_"&amp;K$52,$B$14:$B$36&amp;"_"&amp;$C$14:$C$36,$D$14:$D$36)*$E1737)</f>
        <v>4.802</v>
      </c>
      <c r="L1737" s="95" cm="1">
        <f ca="1" t="array" ref="L1737">MIN(6,_xlfn.XLOOKUP($D1737&amp;"_"&amp;L$52,$B$14:$B$36&amp;"_"&amp;$C$14:$C$36,$D$14:$D$36)*$E1737)</f>
        <v>6</v>
      </c>
      <c r="M1737" s="95" cm="1">
        <f ca="1" t="array" ref="M1737">(1+SUMPRODUCT(G1737:H1737,OFFSET($H$40:$I$40,D1737,0)))*(1+OFFSET($J$40,D1737,0))^I1737*(1+OFFSET($K$40,D1737,0))^J1737*(1+OFFSET($L$40,D1737,0))^K1737*(1+OFFSET($M$40,D1737,0))^L1737</f>
        <v>379.100860926043</v>
      </c>
      <c r="N1737" s="95">
        <f ca="1">MAX(MAX($N$53:N1736),OFFSET($C$52,MATCH(M1737*1.07,$M$53:$M$2052,1),0)-C1737)</f>
        <v>72720</v>
      </c>
    </row>
    <row r="1738" spans="2:14">
      <c r="B1738" s="95">
        <v>1686</v>
      </c>
      <c r="C1738" s="95">
        <f t="shared" si="131"/>
        <v>606960</v>
      </c>
      <c r="D1738" s="95">
        <f ca="1">_xlfn.XLOOKUP(总览!$B$44,$B$40:$B$45,$C$40:$C$45)</f>
        <v>5</v>
      </c>
      <c r="E1738" s="95">
        <f ca="1" t="shared" si="134"/>
        <v>1716</v>
      </c>
      <c r="F1738" s="95">
        <f ca="1" t="shared" si="132"/>
        <v>0</v>
      </c>
      <c r="G1738" s="95">
        <f ca="1" t="shared" si="133"/>
        <v>0</v>
      </c>
      <c r="H1738" s="95" cm="1">
        <f ca="1" t="array" ref="H1738">MIN(30-SUM(I1738:L1738),_xlfn.XLOOKUP($D1738&amp;"_"&amp;H$52,$B$14:$B$36&amp;"_"&amp;$C$14:$C$36,$D$14:$D$36)*$E1738,18)</f>
        <v>11.1952</v>
      </c>
      <c r="I1738" s="95" cm="1">
        <f ca="1" t="array" ref="I1738">MIN(30-SUM(J1738:L1738),6-L1738,_xlfn.XLOOKUP($D1738&amp;"_"&amp;I$52,$B$14:$B$36&amp;"_"&amp;$C$14:$C$36,$D$14:$D$36)*$E1738)</f>
        <v>0</v>
      </c>
      <c r="J1738" s="95" cm="1">
        <f ca="1" t="array" ref="J1738">MIN(8,_xlfn.XLOOKUP($D1738&amp;"_"&amp;J$52,$B$14:$B$36&amp;"_"&amp;$C$14:$C$36,$D$14:$D$36)*$E1738)</f>
        <v>8</v>
      </c>
      <c r="K1738" s="95" cm="1">
        <f ca="1" t="array" ref="K1738">MIN(18,_xlfn.XLOOKUP($D1738&amp;"_"&amp;K$52,$B$14:$B$36&amp;"_"&amp;$C$14:$C$36,$D$14:$D$36)*$E1738)</f>
        <v>4.8048</v>
      </c>
      <c r="L1738" s="95" cm="1">
        <f ca="1" t="array" ref="L1738">MIN(6,_xlfn.XLOOKUP($D1738&amp;"_"&amp;L$52,$B$14:$B$36&amp;"_"&amp;$C$14:$C$36,$D$14:$D$36)*$E1738)</f>
        <v>6</v>
      </c>
      <c r="M1738" s="95" cm="1">
        <f ca="1" t="array" ref="M1738">(1+SUMPRODUCT(G1738:H1738,OFFSET($H$40:$I$40,D1738,0)))*(1+OFFSET($J$40,D1738,0))^I1738*(1+OFFSET($K$40,D1738,0))^J1738*(1+OFFSET($L$40,D1738,0))^K1738*(1+OFFSET($M$40,D1738,0))^L1738</f>
        <v>379.228876300493</v>
      </c>
      <c r="N1738" s="95">
        <f ca="1">MAX(MAX($N$53:N1737),OFFSET($C$52,MATCH(M1738*1.07,$M$53:$M$2052,1),0)-C1738)</f>
        <v>72720</v>
      </c>
    </row>
    <row r="1739" spans="2:14">
      <c r="B1739" s="95">
        <v>1687</v>
      </c>
      <c r="C1739" s="95">
        <f t="shared" si="131"/>
        <v>607320</v>
      </c>
      <c r="D1739" s="95">
        <f ca="1">_xlfn.XLOOKUP(总览!$B$44,$B$40:$B$45,$C$40:$C$45)</f>
        <v>5</v>
      </c>
      <c r="E1739" s="95">
        <f ca="1" t="shared" si="134"/>
        <v>1717</v>
      </c>
      <c r="F1739" s="95">
        <f ca="1" t="shared" si="132"/>
        <v>0</v>
      </c>
      <c r="G1739" s="95">
        <f ca="1" t="shared" si="133"/>
        <v>0</v>
      </c>
      <c r="H1739" s="95" cm="1">
        <f ca="1" t="array" ref="H1739">MIN(30-SUM(I1739:L1739),_xlfn.XLOOKUP($D1739&amp;"_"&amp;H$52,$B$14:$B$36&amp;"_"&amp;$C$14:$C$36,$D$14:$D$36)*$E1739,18)</f>
        <v>11.1924</v>
      </c>
      <c r="I1739" s="95" cm="1">
        <f ca="1" t="array" ref="I1739">MIN(30-SUM(J1739:L1739),6-L1739,_xlfn.XLOOKUP($D1739&amp;"_"&amp;I$52,$B$14:$B$36&amp;"_"&amp;$C$14:$C$36,$D$14:$D$36)*$E1739)</f>
        <v>0</v>
      </c>
      <c r="J1739" s="95" cm="1">
        <f ca="1" t="array" ref="J1739">MIN(8,_xlfn.XLOOKUP($D1739&amp;"_"&amp;J$52,$B$14:$B$36&amp;"_"&amp;$C$14:$C$36,$D$14:$D$36)*$E1739)</f>
        <v>8</v>
      </c>
      <c r="K1739" s="95" cm="1">
        <f ca="1" t="array" ref="K1739">MIN(18,_xlfn.XLOOKUP($D1739&amp;"_"&amp;K$52,$B$14:$B$36&amp;"_"&amp;$C$14:$C$36,$D$14:$D$36)*$E1739)</f>
        <v>4.8076</v>
      </c>
      <c r="L1739" s="95" cm="1">
        <f ca="1" t="array" ref="L1739">MIN(6,_xlfn.XLOOKUP($D1739&amp;"_"&amp;L$52,$B$14:$B$36&amp;"_"&amp;$C$14:$C$36,$D$14:$D$36)*$E1739)</f>
        <v>6</v>
      </c>
      <c r="M1739" s="95" cm="1">
        <f ca="1" t="array" ref="M1739">(1+SUMPRODUCT(G1739:H1739,OFFSET($H$40:$I$40,D1739,0)))*(1+OFFSET($J$40,D1739,0))^I1739*(1+OFFSET($K$40,D1739,0))^J1739*(1+OFFSET($L$40,D1739,0))^K1739*(1+OFFSET($M$40,D1739,0))^L1739</f>
        <v>379.35692356394</v>
      </c>
      <c r="N1739" s="95">
        <f ca="1">MAX(MAX($N$53:N1738),OFFSET($C$52,MATCH(M1739*1.07,$M$53:$M$2052,1),0)-C1739)</f>
        <v>72720</v>
      </c>
    </row>
    <row r="1740" spans="2:14">
      <c r="B1740" s="95">
        <v>1688</v>
      </c>
      <c r="C1740" s="95">
        <f t="shared" si="131"/>
        <v>607680</v>
      </c>
      <c r="D1740" s="95">
        <f ca="1">_xlfn.XLOOKUP(总览!$B$44,$B$40:$B$45,$C$40:$C$45)</f>
        <v>5</v>
      </c>
      <c r="E1740" s="95">
        <f ca="1" t="shared" si="134"/>
        <v>1718</v>
      </c>
      <c r="F1740" s="95">
        <f ca="1" t="shared" si="132"/>
        <v>0</v>
      </c>
      <c r="G1740" s="95">
        <f ca="1" t="shared" si="133"/>
        <v>0</v>
      </c>
      <c r="H1740" s="95" cm="1">
        <f ca="1" t="array" ref="H1740">MIN(30-SUM(I1740:L1740),_xlfn.XLOOKUP($D1740&amp;"_"&amp;H$52,$B$14:$B$36&amp;"_"&amp;$C$14:$C$36,$D$14:$D$36)*$E1740,18)</f>
        <v>11.1896</v>
      </c>
      <c r="I1740" s="95" cm="1">
        <f ca="1" t="array" ref="I1740">MIN(30-SUM(J1740:L1740),6-L1740,_xlfn.XLOOKUP($D1740&amp;"_"&amp;I$52,$B$14:$B$36&amp;"_"&amp;$C$14:$C$36,$D$14:$D$36)*$E1740)</f>
        <v>0</v>
      </c>
      <c r="J1740" s="95" cm="1">
        <f ca="1" t="array" ref="J1740">MIN(8,_xlfn.XLOOKUP($D1740&amp;"_"&amp;J$52,$B$14:$B$36&amp;"_"&amp;$C$14:$C$36,$D$14:$D$36)*$E1740)</f>
        <v>8</v>
      </c>
      <c r="K1740" s="95" cm="1">
        <f ca="1" t="array" ref="K1740">MIN(18,_xlfn.XLOOKUP($D1740&amp;"_"&amp;K$52,$B$14:$B$36&amp;"_"&amp;$C$14:$C$36,$D$14:$D$36)*$E1740)</f>
        <v>4.8104</v>
      </c>
      <c r="L1740" s="95" cm="1">
        <f ca="1" t="array" ref="L1740">MIN(6,_xlfn.XLOOKUP($D1740&amp;"_"&amp;L$52,$B$14:$B$36&amp;"_"&amp;$C$14:$C$36,$D$14:$D$36)*$E1740)</f>
        <v>6</v>
      </c>
      <c r="M1740" s="95" cm="1">
        <f ca="1" t="array" ref="M1740">(1+SUMPRODUCT(G1740:H1740,OFFSET($H$40:$I$40,D1740,0)))*(1+OFFSET($J$40,D1740,0))^I1740*(1+OFFSET($K$40,D1740,0))^J1740*(1+OFFSET($L$40,D1740,0))^K1740*(1+OFFSET($M$40,D1740,0))^L1740</f>
        <v>379.485002715572</v>
      </c>
      <c r="N1740" s="95">
        <f ca="1">MAX(MAX($N$53:N1739),OFFSET($C$52,MATCH(M1740*1.07,$M$53:$M$2052,1),0)-C1740)</f>
        <v>72720</v>
      </c>
    </row>
    <row r="1741" spans="2:14">
      <c r="B1741" s="95">
        <v>1689</v>
      </c>
      <c r="C1741" s="95">
        <f t="shared" si="131"/>
        <v>608040</v>
      </c>
      <c r="D1741" s="95">
        <f ca="1">_xlfn.XLOOKUP(总览!$B$44,$B$40:$B$45,$C$40:$C$45)</f>
        <v>5</v>
      </c>
      <c r="E1741" s="95">
        <f ca="1" t="shared" si="134"/>
        <v>1719</v>
      </c>
      <c r="F1741" s="95">
        <f ca="1" t="shared" si="132"/>
        <v>0</v>
      </c>
      <c r="G1741" s="95">
        <f ca="1" t="shared" si="133"/>
        <v>0</v>
      </c>
      <c r="H1741" s="95" cm="1">
        <f ca="1" t="array" ref="H1741">MIN(30-SUM(I1741:L1741),_xlfn.XLOOKUP($D1741&amp;"_"&amp;H$52,$B$14:$B$36&amp;"_"&amp;$C$14:$C$36,$D$14:$D$36)*$E1741,18)</f>
        <v>11.1868</v>
      </c>
      <c r="I1741" s="95" cm="1">
        <f ca="1" t="array" ref="I1741">MIN(30-SUM(J1741:L1741),6-L1741,_xlfn.XLOOKUP($D1741&amp;"_"&amp;I$52,$B$14:$B$36&amp;"_"&amp;$C$14:$C$36,$D$14:$D$36)*$E1741)</f>
        <v>0</v>
      </c>
      <c r="J1741" s="95" cm="1">
        <f ca="1" t="array" ref="J1741">MIN(8,_xlfn.XLOOKUP($D1741&amp;"_"&amp;J$52,$B$14:$B$36&amp;"_"&amp;$C$14:$C$36,$D$14:$D$36)*$E1741)</f>
        <v>8</v>
      </c>
      <c r="K1741" s="95" cm="1">
        <f ca="1" t="array" ref="K1741">MIN(18,_xlfn.XLOOKUP($D1741&amp;"_"&amp;K$52,$B$14:$B$36&amp;"_"&amp;$C$14:$C$36,$D$14:$D$36)*$E1741)</f>
        <v>4.8132</v>
      </c>
      <c r="L1741" s="95" cm="1">
        <f ca="1" t="array" ref="L1741">MIN(6,_xlfn.XLOOKUP($D1741&amp;"_"&amp;L$52,$B$14:$B$36&amp;"_"&amp;$C$14:$C$36,$D$14:$D$36)*$E1741)</f>
        <v>6</v>
      </c>
      <c r="M1741" s="95" cm="1">
        <f ca="1" t="array" ref="M1741">(1+SUMPRODUCT(G1741:H1741,OFFSET($H$40:$I$40,D1741,0)))*(1+OFFSET($J$40,D1741,0))^I1741*(1+OFFSET($K$40,D1741,0))^J1741*(1+OFFSET($L$40,D1741,0))^K1741*(1+OFFSET($M$40,D1741,0))^L1741</f>
        <v>379.613113754567</v>
      </c>
      <c r="N1741" s="95">
        <f ca="1">MAX(MAX($N$53:N1740),OFFSET($C$52,MATCH(M1741*1.07,$M$53:$M$2052,1),0)-C1741)</f>
        <v>72720</v>
      </c>
    </row>
    <row r="1742" spans="2:14">
      <c r="B1742" s="95">
        <v>1690</v>
      </c>
      <c r="C1742" s="95">
        <f t="shared" si="131"/>
        <v>608400</v>
      </c>
      <c r="D1742" s="95">
        <f ca="1">_xlfn.XLOOKUP(总览!$B$44,$B$40:$B$45,$C$40:$C$45)</f>
        <v>5</v>
      </c>
      <c r="E1742" s="95">
        <f ca="1" t="shared" si="134"/>
        <v>1720</v>
      </c>
      <c r="F1742" s="95">
        <f ca="1" t="shared" si="132"/>
        <v>0</v>
      </c>
      <c r="G1742" s="95">
        <f ca="1" t="shared" si="133"/>
        <v>0</v>
      </c>
      <c r="H1742" s="95" cm="1">
        <f ca="1" t="array" ref="H1742">MIN(30-SUM(I1742:L1742),_xlfn.XLOOKUP($D1742&amp;"_"&amp;H$52,$B$14:$B$36&amp;"_"&amp;$C$14:$C$36,$D$14:$D$36)*$E1742,18)</f>
        <v>11.184</v>
      </c>
      <c r="I1742" s="95" cm="1">
        <f ca="1" t="array" ref="I1742">MIN(30-SUM(J1742:L1742),6-L1742,_xlfn.XLOOKUP($D1742&amp;"_"&amp;I$52,$B$14:$B$36&amp;"_"&amp;$C$14:$C$36,$D$14:$D$36)*$E1742)</f>
        <v>0</v>
      </c>
      <c r="J1742" s="95" cm="1">
        <f ca="1" t="array" ref="J1742">MIN(8,_xlfn.XLOOKUP($D1742&amp;"_"&amp;J$52,$B$14:$B$36&amp;"_"&amp;$C$14:$C$36,$D$14:$D$36)*$E1742)</f>
        <v>8</v>
      </c>
      <c r="K1742" s="95" cm="1">
        <f ca="1" t="array" ref="K1742">MIN(18,_xlfn.XLOOKUP($D1742&amp;"_"&amp;K$52,$B$14:$B$36&amp;"_"&amp;$C$14:$C$36,$D$14:$D$36)*$E1742)</f>
        <v>4.816</v>
      </c>
      <c r="L1742" s="95" cm="1">
        <f ca="1" t="array" ref="L1742">MIN(6,_xlfn.XLOOKUP($D1742&amp;"_"&amp;L$52,$B$14:$B$36&amp;"_"&amp;$C$14:$C$36,$D$14:$D$36)*$E1742)</f>
        <v>6</v>
      </c>
      <c r="M1742" s="95" cm="1">
        <f ca="1" t="array" ref="M1742">(1+SUMPRODUCT(G1742:H1742,OFFSET($H$40:$I$40,D1742,0)))*(1+OFFSET($J$40,D1742,0))^I1742*(1+OFFSET($K$40,D1742,0))^J1742*(1+OFFSET($L$40,D1742,0))^K1742*(1+OFFSET($M$40,D1742,0))^L1742</f>
        <v>379.741256680094</v>
      </c>
      <c r="N1742" s="95">
        <f ca="1">MAX(MAX($N$53:N1741),OFFSET($C$52,MATCH(M1742*1.07,$M$53:$M$2052,1),0)-C1742)</f>
        <v>72720</v>
      </c>
    </row>
    <row r="1743" spans="2:14">
      <c r="B1743" s="95">
        <v>1691</v>
      </c>
      <c r="C1743" s="95">
        <f t="shared" si="131"/>
        <v>608760</v>
      </c>
      <c r="D1743" s="95">
        <f ca="1">_xlfn.XLOOKUP(总览!$B$44,$B$40:$B$45,$C$40:$C$45)</f>
        <v>5</v>
      </c>
      <c r="E1743" s="95">
        <f ca="1" t="shared" si="134"/>
        <v>1721</v>
      </c>
      <c r="F1743" s="95">
        <f ca="1" t="shared" si="132"/>
        <v>0</v>
      </c>
      <c r="G1743" s="95">
        <f ca="1" t="shared" si="133"/>
        <v>0</v>
      </c>
      <c r="H1743" s="95" cm="1">
        <f ca="1" t="array" ref="H1743">MIN(30-SUM(I1743:L1743),_xlfn.XLOOKUP($D1743&amp;"_"&amp;H$52,$B$14:$B$36&amp;"_"&amp;$C$14:$C$36,$D$14:$D$36)*$E1743,18)</f>
        <v>11.1812</v>
      </c>
      <c r="I1743" s="95" cm="1">
        <f ca="1" t="array" ref="I1743">MIN(30-SUM(J1743:L1743),6-L1743,_xlfn.XLOOKUP($D1743&amp;"_"&amp;I$52,$B$14:$B$36&amp;"_"&amp;$C$14:$C$36,$D$14:$D$36)*$E1743)</f>
        <v>0</v>
      </c>
      <c r="J1743" s="95" cm="1">
        <f ca="1" t="array" ref="J1743">MIN(8,_xlfn.XLOOKUP($D1743&amp;"_"&amp;J$52,$B$14:$B$36&amp;"_"&amp;$C$14:$C$36,$D$14:$D$36)*$E1743)</f>
        <v>8</v>
      </c>
      <c r="K1743" s="95" cm="1">
        <f ca="1" t="array" ref="K1743">MIN(18,_xlfn.XLOOKUP($D1743&amp;"_"&amp;K$52,$B$14:$B$36&amp;"_"&amp;$C$14:$C$36,$D$14:$D$36)*$E1743)</f>
        <v>4.8188</v>
      </c>
      <c r="L1743" s="95" cm="1">
        <f ca="1" t="array" ref="L1743">MIN(6,_xlfn.XLOOKUP($D1743&amp;"_"&amp;L$52,$B$14:$B$36&amp;"_"&amp;$C$14:$C$36,$D$14:$D$36)*$E1743)</f>
        <v>6</v>
      </c>
      <c r="M1743" s="95" cm="1">
        <f ca="1" t="array" ref="M1743">(1+SUMPRODUCT(G1743:H1743,OFFSET($H$40:$I$40,D1743,0)))*(1+OFFSET($J$40,D1743,0))^I1743*(1+OFFSET($K$40,D1743,0))^J1743*(1+OFFSET($L$40,D1743,0))^K1743*(1+OFFSET($M$40,D1743,0))^L1743</f>
        <v>379.869431491315</v>
      </c>
      <c r="N1743" s="95">
        <f ca="1">MAX(MAX($N$53:N1742),OFFSET($C$52,MATCH(M1743*1.07,$M$53:$M$2052,1),0)-C1743)</f>
        <v>72720</v>
      </c>
    </row>
    <row r="1744" spans="2:14">
      <c r="B1744" s="95">
        <v>1692</v>
      </c>
      <c r="C1744" s="95">
        <f t="shared" si="131"/>
        <v>609120</v>
      </c>
      <c r="D1744" s="95">
        <f ca="1">_xlfn.XLOOKUP(总览!$B$44,$B$40:$B$45,$C$40:$C$45)</f>
        <v>5</v>
      </c>
      <c r="E1744" s="95">
        <f ca="1" t="shared" si="134"/>
        <v>1722</v>
      </c>
      <c r="F1744" s="95">
        <f ca="1" t="shared" si="132"/>
        <v>0</v>
      </c>
      <c r="G1744" s="95">
        <f ca="1" t="shared" si="133"/>
        <v>0</v>
      </c>
      <c r="H1744" s="95" cm="1">
        <f ca="1" t="array" ref="H1744">MIN(30-SUM(I1744:L1744),_xlfn.XLOOKUP($D1744&amp;"_"&amp;H$52,$B$14:$B$36&amp;"_"&amp;$C$14:$C$36,$D$14:$D$36)*$E1744,18)</f>
        <v>11.1784</v>
      </c>
      <c r="I1744" s="95" cm="1">
        <f ca="1" t="array" ref="I1744">MIN(30-SUM(J1744:L1744),6-L1744,_xlfn.XLOOKUP($D1744&amp;"_"&amp;I$52,$B$14:$B$36&amp;"_"&amp;$C$14:$C$36,$D$14:$D$36)*$E1744)</f>
        <v>0</v>
      </c>
      <c r="J1744" s="95" cm="1">
        <f ca="1" t="array" ref="J1744">MIN(8,_xlfn.XLOOKUP($D1744&amp;"_"&amp;J$52,$B$14:$B$36&amp;"_"&amp;$C$14:$C$36,$D$14:$D$36)*$E1744)</f>
        <v>8</v>
      </c>
      <c r="K1744" s="95" cm="1">
        <f ca="1" t="array" ref="K1744">MIN(18,_xlfn.XLOOKUP($D1744&amp;"_"&amp;K$52,$B$14:$B$36&amp;"_"&amp;$C$14:$C$36,$D$14:$D$36)*$E1744)</f>
        <v>4.8216</v>
      </c>
      <c r="L1744" s="95" cm="1">
        <f ca="1" t="array" ref="L1744">MIN(6,_xlfn.XLOOKUP($D1744&amp;"_"&amp;L$52,$B$14:$B$36&amp;"_"&amp;$C$14:$C$36,$D$14:$D$36)*$E1744)</f>
        <v>6</v>
      </c>
      <c r="M1744" s="95" cm="1">
        <f ca="1" t="array" ref="M1744">(1+SUMPRODUCT(G1744:H1744,OFFSET($H$40:$I$40,D1744,0)))*(1+OFFSET($J$40,D1744,0))^I1744*(1+OFFSET($K$40,D1744,0))^J1744*(1+OFFSET($L$40,D1744,0))^K1744*(1+OFFSET($M$40,D1744,0))^L1744</f>
        <v>379.997638187379</v>
      </c>
      <c r="N1744" s="95">
        <f ca="1">MAX(MAX($N$53:N1743),OFFSET($C$52,MATCH(M1744*1.07,$M$53:$M$2052,1),0)-C1744)</f>
        <v>72720</v>
      </c>
    </row>
    <row r="1745" spans="2:14">
      <c r="B1745" s="95">
        <v>1693</v>
      </c>
      <c r="C1745" s="95">
        <f t="shared" si="131"/>
        <v>609480</v>
      </c>
      <c r="D1745" s="95">
        <f ca="1">_xlfn.XLOOKUP(总览!$B$44,$B$40:$B$45,$C$40:$C$45)</f>
        <v>5</v>
      </c>
      <c r="E1745" s="95">
        <f ca="1" t="shared" si="134"/>
        <v>1723</v>
      </c>
      <c r="F1745" s="95">
        <f ca="1" t="shared" si="132"/>
        <v>0</v>
      </c>
      <c r="G1745" s="95">
        <f ca="1" t="shared" si="133"/>
        <v>0</v>
      </c>
      <c r="H1745" s="95" cm="1">
        <f ca="1" t="array" ref="H1745">MIN(30-SUM(I1745:L1745),_xlfn.XLOOKUP($D1745&amp;"_"&amp;H$52,$B$14:$B$36&amp;"_"&amp;$C$14:$C$36,$D$14:$D$36)*$E1745,18)</f>
        <v>11.1756</v>
      </c>
      <c r="I1745" s="95" cm="1">
        <f ca="1" t="array" ref="I1745">MIN(30-SUM(J1745:L1745),6-L1745,_xlfn.XLOOKUP($D1745&amp;"_"&amp;I$52,$B$14:$B$36&amp;"_"&amp;$C$14:$C$36,$D$14:$D$36)*$E1745)</f>
        <v>0</v>
      </c>
      <c r="J1745" s="95" cm="1">
        <f ca="1" t="array" ref="J1745">MIN(8,_xlfn.XLOOKUP($D1745&amp;"_"&amp;J$52,$B$14:$B$36&amp;"_"&amp;$C$14:$C$36,$D$14:$D$36)*$E1745)</f>
        <v>8</v>
      </c>
      <c r="K1745" s="95" cm="1">
        <f ca="1" t="array" ref="K1745">MIN(18,_xlfn.XLOOKUP($D1745&amp;"_"&amp;K$52,$B$14:$B$36&amp;"_"&amp;$C$14:$C$36,$D$14:$D$36)*$E1745)</f>
        <v>4.8244</v>
      </c>
      <c r="L1745" s="95" cm="1">
        <f ca="1" t="array" ref="L1745">MIN(6,_xlfn.XLOOKUP($D1745&amp;"_"&amp;L$52,$B$14:$B$36&amp;"_"&amp;$C$14:$C$36,$D$14:$D$36)*$E1745)</f>
        <v>6</v>
      </c>
      <c r="M1745" s="95" cm="1">
        <f ca="1" t="array" ref="M1745">(1+SUMPRODUCT(G1745:H1745,OFFSET($H$40:$I$40,D1745,0)))*(1+OFFSET($J$40,D1745,0))^I1745*(1+OFFSET($K$40,D1745,0))^J1745*(1+OFFSET($L$40,D1745,0))^K1745*(1+OFFSET($M$40,D1745,0))^L1745</f>
        <v>380.12587676743</v>
      </c>
      <c r="N1745" s="95">
        <f ca="1">MAX(MAX($N$53:N1744),OFFSET($C$52,MATCH(M1745*1.07,$M$53:$M$2052,1),0)-C1745)</f>
        <v>72720</v>
      </c>
    </row>
    <row r="1746" spans="2:14">
      <c r="B1746" s="95">
        <v>1694</v>
      </c>
      <c r="C1746" s="95">
        <f t="shared" si="131"/>
        <v>609840</v>
      </c>
      <c r="D1746" s="95">
        <f ca="1">_xlfn.XLOOKUP(总览!$B$44,$B$40:$B$45,$C$40:$C$45)</f>
        <v>5</v>
      </c>
      <c r="E1746" s="95">
        <f ca="1" t="shared" si="134"/>
        <v>1724</v>
      </c>
      <c r="F1746" s="95">
        <f ca="1" t="shared" si="132"/>
        <v>0</v>
      </c>
      <c r="G1746" s="95">
        <f ca="1" t="shared" si="133"/>
        <v>0</v>
      </c>
      <c r="H1746" s="95" cm="1">
        <f ca="1" t="array" ref="H1746">MIN(30-SUM(I1746:L1746),_xlfn.XLOOKUP($D1746&amp;"_"&amp;H$52,$B$14:$B$36&amp;"_"&amp;$C$14:$C$36,$D$14:$D$36)*$E1746,18)</f>
        <v>11.1728</v>
      </c>
      <c r="I1746" s="95" cm="1">
        <f ca="1" t="array" ref="I1746">MIN(30-SUM(J1746:L1746),6-L1746,_xlfn.XLOOKUP($D1746&amp;"_"&amp;I$52,$B$14:$B$36&amp;"_"&amp;$C$14:$C$36,$D$14:$D$36)*$E1746)</f>
        <v>0</v>
      </c>
      <c r="J1746" s="95" cm="1">
        <f ca="1" t="array" ref="J1746">MIN(8,_xlfn.XLOOKUP($D1746&amp;"_"&amp;J$52,$B$14:$B$36&amp;"_"&amp;$C$14:$C$36,$D$14:$D$36)*$E1746)</f>
        <v>8</v>
      </c>
      <c r="K1746" s="95" cm="1">
        <f ca="1" t="array" ref="K1746">MIN(18,_xlfn.XLOOKUP($D1746&amp;"_"&amp;K$52,$B$14:$B$36&amp;"_"&amp;$C$14:$C$36,$D$14:$D$36)*$E1746)</f>
        <v>4.8272</v>
      </c>
      <c r="L1746" s="95" cm="1">
        <f ca="1" t="array" ref="L1746">MIN(6,_xlfn.XLOOKUP($D1746&amp;"_"&amp;L$52,$B$14:$B$36&amp;"_"&amp;$C$14:$C$36,$D$14:$D$36)*$E1746)</f>
        <v>6</v>
      </c>
      <c r="M1746" s="95" cm="1">
        <f ca="1" t="array" ref="M1746">(1+SUMPRODUCT(G1746:H1746,OFFSET($H$40:$I$40,D1746,0)))*(1+OFFSET($J$40,D1746,0))^I1746*(1+OFFSET($K$40,D1746,0))^J1746*(1+OFFSET($L$40,D1746,0))^K1746*(1+OFFSET($M$40,D1746,0))^L1746</f>
        <v>380.2541472306</v>
      </c>
      <c r="N1746" s="95">
        <f ca="1">MAX(MAX($N$53:N1745),OFFSET($C$52,MATCH(M1746*1.07,$M$53:$M$2052,1),0)-C1746)</f>
        <v>72720</v>
      </c>
    </row>
    <row r="1747" spans="2:14">
      <c r="B1747" s="95">
        <v>1695</v>
      </c>
      <c r="C1747" s="95">
        <f t="shared" si="131"/>
        <v>610200</v>
      </c>
      <c r="D1747" s="95">
        <f ca="1">_xlfn.XLOOKUP(总览!$B$44,$B$40:$B$45,$C$40:$C$45)</f>
        <v>5</v>
      </c>
      <c r="E1747" s="95">
        <f ca="1" t="shared" si="134"/>
        <v>1725</v>
      </c>
      <c r="F1747" s="95">
        <f ca="1" t="shared" si="132"/>
        <v>0</v>
      </c>
      <c r="G1747" s="95">
        <f ca="1" t="shared" si="133"/>
        <v>0</v>
      </c>
      <c r="H1747" s="95" cm="1">
        <f ca="1" t="array" ref="H1747">MIN(30-SUM(I1747:L1747),_xlfn.XLOOKUP($D1747&amp;"_"&amp;H$52,$B$14:$B$36&amp;"_"&amp;$C$14:$C$36,$D$14:$D$36)*$E1747,18)</f>
        <v>11.17</v>
      </c>
      <c r="I1747" s="95" cm="1">
        <f ca="1" t="array" ref="I1747">MIN(30-SUM(J1747:L1747),6-L1747,_xlfn.XLOOKUP($D1747&amp;"_"&amp;I$52,$B$14:$B$36&amp;"_"&amp;$C$14:$C$36,$D$14:$D$36)*$E1747)</f>
        <v>0</v>
      </c>
      <c r="J1747" s="95" cm="1">
        <f ca="1" t="array" ref="J1747">MIN(8,_xlfn.XLOOKUP($D1747&amp;"_"&amp;J$52,$B$14:$B$36&amp;"_"&amp;$C$14:$C$36,$D$14:$D$36)*$E1747)</f>
        <v>8</v>
      </c>
      <c r="K1747" s="95" cm="1">
        <f ca="1" t="array" ref="K1747">MIN(18,_xlfn.XLOOKUP($D1747&amp;"_"&amp;K$52,$B$14:$B$36&amp;"_"&amp;$C$14:$C$36,$D$14:$D$36)*$E1747)</f>
        <v>4.83</v>
      </c>
      <c r="L1747" s="95" cm="1">
        <f ca="1" t="array" ref="L1747">MIN(6,_xlfn.XLOOKUP($D1747&amp;"_"&amp;L$52,$B$14:$B$36&amp;"_"&amp;$C$14:$C$36,$D$14:$D$36)*$E1747)</f>
        <v>6</v>
      </c>
      <c r="M1747" s="95" cm="1">
        <f ca="1" t="array" ref="M1747">(1+SUMPRODUCT(G1747:H1747,OFFSET($H$40:$I$40,D1747,0)))*(1+OFFSET($J$40,D1747,0))^I1747*(1+OFFSET($K$40,D1747,0))^J1747*(1+OFFSET($L$40,D1747,0))^K1747*(1+OFFSET($M$40,D1747,0))^L1747</f>
        <v>380.382449576012</v>
      </c>
      <c r="N1747" s="95">
        <f ca="1">MAX(MAX($N$53:N1746),OFFSET($C$52,MATCH(M1747*1.07,$M$53:$M$2052,1),0)-C1747)</f>
        <v>72720</v>
      </c>
    </row>
    <row r="1748" spans="2:14">
      <c r="B1748" s="95">
        <v>1696</v>
      </c>
      <c r="C1748" s="95">
        <f t="shared" si="131"/>
        <v>610560</v>
      </c>
      <c r="D1748" s="95">
        <f ca="1">_xlfn.XLOOKUP(总览!$B$44,$B$40:$B$45,$C$40:$C$45)</f>
        <v>5</v>
      </c>
      <c r="E1748" s="95">
        <f ca="1" t="shared" si="134"/>
        <v>1726</v>
      </c>
      <c r="F1748" s="95">
        <f ca="1" t="shared" si="132"/>
        <v>0</v>
      </c>
      <c r="G1748" s="95">
        <f ca="1" t="shared" si="133"/>
        <v>0</v>
      </c>
      <c r="H1748" s="95" cm="1">
        <f ca="1" t="array" ref="H1748">MIN(30-SUM(I1748:L1748),_xlfn.XLOOKUP($D1748&amp;"_"&amp;H$52,$B$14:$B$36&amp;"_"&amp;$C$14:$C$36,$D$14:$D$36)*$E1748,18)</f>
        <v>11.1672</v>
      </c>
      <c r="I1748" s="95" cm="1">
        <f ca="1" t="array" ref="I1748">MIN(30-SUM(J1748:L1748),6-L1748,_xlfn.XLOOKUP($D1748&amp;"_"&amp;I$52,$B$14:$B$36&amp;"_"&amp;$C$14:$C$36,$D$14:$D$36)*$E1748)</f>
        <v>0</v>
      </c>
      <c r="J1748" s="95" cm="1">
        <f ca="1" t="array" ref="J1748">MIN(8,_xlfn.XLOOKUP($D1748&amp;"_"&amp;J$52,$B$14:$B$36&amp;"_"&amp;$C$14:$C$36,$D$14:$D$36)*$E1748)</f>
        <v>8</v>
      </c>
      <c r="K1748" s="95" cm="1">
        <f ca="1" t="array" ref="K1748">MIN(18,_xlfn.XLOOKUP($D1748&amp;"_"&amp;K$52,$B$14:$B$36&amp;"_"&amp;$C$14:$C$36,$D$14:$D$36)*$E1748)</f>
        <v>4.8328</v>
      </c>
      <c r="L1748" s="95" cm="1">
        <f ca="1" t="array" ref="L1748">MIN(6,_xlfn.XLOOKUP($D1748&amp;"_"&amp;L$52,$B$14:$B$36&amp;"_"&amp;$C$14:$C$36,$D$14:$D$36)*$E1748)</f>
        <v>6</v>
      </c>
      <c r="M1748" s="95" cm="1">
        <f ca="1" t="array" ref="M1748">(1+SUMPRODUCT(G1748:H1748,OFFSET($H$40:$I$40,D1748,0)))*(1+OFFSET($J$40,D1748,0))^I1748*(1+OFFSET($K$40,D1748,0))^J1748*(1+OFFSET($L$40,D1748,0))^K1748*(1+OFFSET($M$40,D1748,0))^L1748</f>
        <v>380.510783802781</v>
      </c>
      <c r="N1748" s="95">
        <f ca="1">MAX(MAX($N$53:N1747),OFFSET($C$52,MATCH(M1748*1.07,$M$53:$M$2052,1),0)-C1748)</f>
        <v>72720</v>
      </c>
    </row>
    <row r="1749" spans="2:14">
      <c r="B1749" s="95">
        <v>1697</v>
      </c>
      <c r="C1749" s="95">
        <f t="shared" si="131"/>
        <v>610920</v>
      </c>
      <c r="D1749" s="95">
        <f ca="1">_xlfn.XLOOKUP(总览!$B$44,$B$40:$B$45,$C$40:$C$45)</f>
        <v>5</v>
      </c>
      <c r="E1749" s="95">
        <f ca="1" t="shared" si="134"/>
        <v>1727</v>
      </c>
      <c r="F1749" s="95">
        <f ca="1" t="shared" si="132"/>
        <v>0</v>
      </c>
      <c r="G1749" s="95">
        <f ca="1" t="shared" si="133"/>
        <v>0</v>
      </c>
      <c r="H1749" s="95" cm="1">
        <f ca="1" t="array" ref="H1749">MIN(30-SUM(I1749:L1749),_xlfn.XLOOKUP($D1749&amp;"_"&amp;H$52,$B$14:$B$36&amp;"_"&amp;$C$14:$C$36,$D$14:$D$36)*$E1749,18)</f>
        <v>11.1644</v>
      </c>
      <c r="I1749" s="95" cm="1">
        <f ca="1" t="array" ref="I1749">MIN(30-SUM(J1749:L1749),6-L1749,_xlfn.XLOOKUP($D1749&amp;"_"&amp;I$52,$B$14:$B$36&amp;"_"&amp;$C$14:$C$36,$D$14:$D$36)*$E1749)</f>
        <v>0</v>
      </c>
      <c r="J1749" s="95" cm="1">
        <f ca="1" t="array" ref="J1749">MIN(8,_xlfn.XLOOKUP($D1749&amp;"_"&amp;J$52,$B$14:$B$36&amp;"_"&amp;$C$14:$C$36,$D$14:$D$36)*$E1749)</f>
        <v>8</v>
      </c>
      <c r="K1749" s="95" cm="1">
        <f ca="1" t="array" ref="K1749">MIN(18,_xlfn.XLOOKUP($D1749&amp;"_"&amp;K$52,$B$14:$B$36&amp;"_"&amp;$C$14:$C$36,$D$14:$D$36)*$E1749)</f>
        <v>4.8356</v>
      </c>
      <c r="L1749" s="95" cm="1">
        <f ca="1" t="array" ref="L1749">MIN(6,_xlfn.XLOOKUP($D1749&amp;"_"&amp;L$52,$B$14:$B$36&amp;"_"&amp;$C$14:$C$36,$D$14:$D$36)*$E1749)</f>
        <v>6</v>
      </c>
      <c r="M1749" s="95" cm="1">
        <f ca="1" t="array" ref="M1749">(1+SUMPRODUCT(G1749:H1749,OFFSET($H$40:$I$40,D1749,0)))*(1+OFFSET($J$40,D1749,0))^I1749*(1+OFFSET($K$40,D1749,0))^J1749*(1+OFFSET($L$40,D1749,0))^K1749*(1+OFFSET($M$40,D1749,0))^L1749</f>
        <v>380.639149910012</v>
      </c>
      <c r="N1749" s="95">
        <f ca="1">MAX(MAX($N$53:N1748),OFFSET($C$52,MATCH(M1749*1.07,$M$53:$M$2052,1),0)-C1749)</f>
        <v>72720</v>
      </c>
    </row>
    <row r="1750" spans="2:14">
      <c r="B1750" s="95">
        <v>1698</v>
      </c>
      <c r="C1750" s="95">
        <f t="shared" si="131"/>
        <v>611280</v>
      </c>
      <c r="D1750" s="95">
        <f ca="1">_xlfn.XLOOKUP(总览!$B$44,$B$40:$B$45,$C$40:$C$45)</f>
        <v>5</v>
      </c>
      <c r="E1750" s="95">
        <f ca="1" t="shared" si="134"/>
        <v>1728</v>
      </c>
      <c r="F1750" s="95">
        <f ca="1" t="shared" si="132"/>
        <v>0</v>
      </c>
      <c r="G1750" s="95">
        <f ca="1" t="shared" si="133"/>
        <v>0</v>
      </c>
      <c r="H1750" s="95" cm="1">
        <f ca="1" t="array" ref="H1750">MIN(30-SUM(I1750:L1750),_xlfn.XLOOKUP($D1750&amp;"_"&amp;H$52,$B$14:$B$36&amp;"_"&amp;$C$14:$C$36,$D$14:$D$36)*$E1750,18)</f>
        <v>11.1616</v>
      </c>
      <c r="I1750" s="95" cm="1">
        <f ca="1" t="array" ref="I1750">MIN(30-SUM(J1750:L1750),6-L1750,_xlfn.XLOOKUP($D1750&amp;"_"&amp;I$52,$B$14:$B$36&amp;"_"&amp;$C$14:$C$36,$D$14:$D$36)*$E1750)</f>
        <v>0</v>
      </c>
      <c r="J1750" s="95" cm="1">
        <f ca="1" t="array" ref="J1750">MIN(8,_xlfn.XLOOKUP($D1750&amp;"_"&amp;J$52,$B$14:$B$36&amp;"_"&amp;$C$14:$C$36,$D$14:$D$36)*$E1750)</f>
        <v>8</v>
      </c>
      <c r="K1750" s="95" cm="1">
        <f ca="1" t="array" ref="K1750">MIN(18,_xlfn.XLOOKUP($D1750&amp;"_"&amp;K$52,$B$14:$B$36&amp;"_"&amp;$C$14:$C$36,$D$14:$D$36)*$E1750)</f>
        <v>4.8384</v>
      </c>
      <c r="L1750" s="95" cm="1">
        <f ca="1" t="array" ref="L1750">MIN(6,_xlfn.XLOOKUP($D1750&amp;"_"&amp;L$52,$B$14:$B$36&amp;"_"&amp;$C$14:$C$36,$D$14:$D$36)*$E1750)</f>
        <v>6</v>
      </c>
      <c r="M1750" s="95" cm="1">
        <f ca="1" t="array" ref="M1750">(1+SUMPRODUCT(G1750:H1750,OFFSET($H$40:$I$40,D1750,0)))*(1+OFFSET($J$40,D1750,0))^I1750*(1+OFFSET($K$40,D1750,0))^J1750*(1+OFFSET($L$40,D1750,0))^K1750*(1+OFFSET($M$40,D1750,0))^L1750</f>
        <v>380.767547896801</v>
      </c>
      <c r="N1750" s="95">
        <f ca="1">MAX(MAX($N$53:N1749),OFFSET($C$52,MATCH(M1750*1.07,$M$53:$M$2052,1),0)-C1750)</f>
        <v>72720</v>
      </c>
    </row>
    <row r="1751" spans="2:14">
      <c r="B1751" s="95">
        <v>1699</v>
      </c>
      <c r="C1751" s="95">
        <f t="shared" si="131"/>
        <v>611640</v>
      </c>
      <c r="D1751" s="95">
        <f ca="1">_xlfn.XLOOKUP(总览!$B$44,$B$40:$B$45,$C$40:$C$45)</f>
        <v>5</v>
      </c>
      <c r="E1751" s="95">
        <f ca="1" t="shared" si="134"/>
        <v>1729</v>
      </c>
      <c r="F1751" s="95">
        <f ca="1" t="shared" si="132"/>
        <v>0</v>
      </c>
      <c r="G1751" s="95">
        <f ca="1" t="shared" si="133"/>
        <v>0</v>
      </c>
      <c r="H1751" s="95" cm="1">
        <f ca="1" t="array" ref="H1751">MIN(30-SUM(I1751:L1751),_xlfn.XLOOKUP($D1751&amp;"_"&amp;H$52,$B$14:$B$36&amp;"_"&amp;$C$14:$C$36,$D$14:$D$36)*$E1751,18)</f>
        <v>11.1588</v>
      </c>
      <c r="I1751" s="95" cm="1">
        <f ca="1" t="array" ref="I1751">MIN(30-SUM(J1751:L1751),6-L1751,_xlfn.XLOOKUP($D1751&amp;"_"&amp;I$52,$B$14:$B$36&amp;"_"&amp;$C$14:$C$36,$D$14:$D$36)*$E1751)</f>
        <v>0</v>
      </c>
      <c r="J1751" s="95" cm="1">
        <f ca="1" t="array" ref="J1751">MIN(8,_xlfn.XLOOKUP($D1751&amp;"_"&amp;J$52,$B$14:$B$36&amp;"_"&amp;$C$14:$C$36,$D$14:$D$36)*$E1751)</f>
        <v>8</v>
      </c>
      <c r="K1751" s="95" cm="1">
        <f ca="1" t="array" ref="K1751">MIN(18,_xlfn.XLOOKUP($D1751&amp;"_"&amp;K$52,$B$14:$B$36&amp;"_"&amp;$C$14:$C$36,$D$14:$D$36)*$E1751)</f>
        <v>4.8412</v>
      </c>
      <c r="L1751" s="95" cm="1">
        <f ca="1" t="array" ref="L1751">MIN(6,_xlfn.XLOOKUP($D1751&amp;"_"&amp;L$52,$B$14:$B$36&amp;"_"&amp;$C$14:$C$36,$D$14:$D$36)*$E1751)</f>
        <v>6</v>
      </c>
      <c r="M1751" s="95" cm="1">
        <f ca="1" t="array" ref="M1751">(1+SUMPRODUCT(G1751:H1751,OFFSET($H$40:$I$40,D1751,0)))*(1+OFFSET($J$40,D1751,0))^I1751*(1+OFFSET($K$40,D1751,0))^J1751*(1+OFFSET($L$40,D1751,0))^K1751*(1+OFFSET($M$40,D1751,0))^L1751</f>
        <v>380.895977762235</v>
      </c>
      <c r="N1751" s="95">
        <f ca="1">MAX(MAX($N$53:N1750),OFFSET($C$52,MATCH(M1751*1.07,$M$53:$M$2052,1),0)-C1751)</f>
        <v>72720</v>
      </c>
    </row>
    <row r="1752" spans="2:14">
      <c r="B1752" s="95">
        <v>1700</v>
      </c>
      <c r="C1752" s="95">
        <f t="shared" si="131"/>
        <v>612000</v>
      </c>
      <c r="D1752" s="95">
        <f ca="1">_xlfn.XLOOKUP(总览!$B$44,$B$40:$B$45,$C$40:$C$45)</f>
        <v>5</v>
      </c>
      <c r="E1752" s="95">
        <f ca="1" t="shared" si="134"/>
        <v>1730</v>
      </c>
      <c r="F1752" s="95">
        <f ca="1" t="shared" si="132"/>
        <v>0</v>
      </c>
      <c r="G1752" s="95">
        <f ca="1" t="shared" si="133"/>
        <v>0</v>
      </c>
      <c r="H1752" s="95" cm="1">
        <f ca="1" t="array" ref="H1752">MIN(30-SUM(I1752:L1752),_xlfn.XLOOKUP($D1752&amp;"_"&amp;H$52,$B$14:$B$36&amp;"_"&amp;$C$14:$C$36,$D$14:$D$36)*$E1752,18)</f>
        <v>11.156</v>
      </c>
      <c r="I1752" s="95" cm="1">
        <f ca="1" t="array" ref="I1752">MIN(30-SUM(J1752:L1752),6-L1752,_xlfn.XLOOKUP($D1752&amp;"_"&amp;I$52,$B$14:$B$36&amp;"_"&amp;$C$14:$C$36,$D$14:$D$36)*$E1752)</f>
        <v>0</v>
      </c>
      <c r="J1752" s="95" cm="1">
        <f ca="1" t="array" ref="J1752">MIN(8,_xlfn.XLOOKUP($D1752&amp;"_"&amp;J$52,$B$14:$B$36&amp;"_"&amp;$C$14:$C$36,$D$14:$D$36)*$E1752)</f>
        <v>8</v>
      </c>
      <c r="K1752" s="95" cm="1">
        <f ca="1" t="array" ref="K1752">MIN(18,_xlfn.XLOOKUP($D1752&amp;"_"&amp;K$52,$B$14:$B$36&amp;"_"&amp;$C$14:$C$36,$D$14:$D$36)*$E1752)</f>
        <v>4.844</v>
      </c>
      <c r="L1752" s="95" cm="1">
        <f ca="1" t="array" ref="L1752">MIN(6,_xlfn.XLOOKUP($D1752&amp;"_"&amp;L$52,$B$14:$B$36&amp;"_"&amp;$C$14:$C$36,$D$14:$D$36)*$E1752)</f>
        <v>6</v>
      </c>
      <c r="M1752" s="95" cm="1">
        <f ca="1" t="array" ref="M1752">(1+SUMPRODUCT(G1752:H1752,OFFSET($H$40:$I$40,D1752,0)))*(1+OFFSET($J$40,D1752,0))^I1752*(1+OFFSET($K$40,D1752,0))^J1752*(1+OFFSET($L$40,D1752,0))^K1752*(1+OFFSET($M$40,D1752,0))^L1752</f>
        <v>381.024439505391</v>
      </c>
      <c r="N1752" s="95">
        <f ca="1">MAX(MAX($N$53:N1751),OFFSET($C$52,MATCH(M1752*1.07,$M$53:$M$2052,1),0)-C1752)</f>
        <v>72720</v>
      </c>
    </row>
    <row r="1753" spans="2:14">
      <c r="B1753" s="95">
        <v>1701</v>
      </c>
      <c r="C1753" s="95">
        <f t="shared" si="131"/>
        <v>612360</v>
      </c>
      <c r="D1753" s="95">
        <f ca="1">_xlfn.XLOOKUP(总览!$B$44,$B$40:$B$45,$C$40:$C$45)</f>
        <v>5</v>
      </c>
      <c r="E1753" s="95">
        <f ca="1" t="shared" si="134"/>
        <v>1731</v>
      </c>
      <c r="F1753" s="95">
        <f ca="1" t="shared" si="132"/>
        <v>0</v>
      </c>
      <c r="G1753" s="95">
        <f ca="1" t="shared" si="133"/>
        <v>0</v>
      </c>
      <c r="H1753" s="95" cm="1">
        <f ca="1" t="array" ref="H1753">MIN(30-SUM(I1753:L1753),_xlfn.XLOOKUP($D1753&amp;"_"&amp;H$52,$B$14:$B$36&amp;"_"&amp;$C$14:$C$36,$D$14:$D$36)*$E1753,18)</f>
        <v>11.1532</v>
      </c>
      <c r="I1753" s="95" cm="1">
        <f ca="1" t="array" ref="I1753">MIN(30-SUM(J1753:L1753),6-L1753,_xlfn.XLOOKUP($D1753&amp;"_"&amp;I$52,$B$14:$B$36&amp;"_"&amp;$C$14:$C$36,$D$14:$D$36)*$E1753)</f>
        <v>0</v>
      </c>
      <c r="J1753" s="95" cm="1">
        <f ca="1" t="array" ref="J1753">MIN(8,_xlfn.XLOOKUP($D1753&amp;"_"&amp;J$52,$B$14:$B$36&amp;"_"&amp;$C$14:$C$36,$D$14:$D$36)*$E1753)</f>
        <v>8</v>
      </c>
      <c r="K1753" s="95" cm="1">
        <f ca="1" t="array" ref="K1753">MIN(18,_xlfn.XLOOKUP($D1753&amp;"_"&amp;K$52,$B$14:$B$36&amp;"_"&amp;$C$14:$C$36,$D$14:$D$36)*$E1753)</f>
        <v>4.8468</v>
      </c>
      <c r="L1753" s="95" cm="1">
        <f ca="1" t="array" ref="L1753">MIN(6,_xlfn.XLOOKUP($D1753&amp;"_"&amp;L$52,$B$14:$B$36&amp;"_"&amp;$C$14:$C$36,$D$14:$D$36)*$E1753)</f>
        <v>6</v>
      </c>
      <c r="M1753" s="95" cm="1">
        <f ca="1" t="array" ref="M1753">(1+SUMPRODUCT(G1753:H1753,OFFSET($H$40:$I$40,D1753,0)))*(1+OFFSET($J$40,D1753,0))^I1753*(1+OFFSET($K$40,D1753,0))^J1753*(1+OFFSET($L$40,D1753,0))^K1753*(1+OFFSET($M$40,D1753,0))^L1753</f>
        <v>381.152933125337</v>
      </c>
      <c r="N1753" s="95">
        <f ca="1">MAX(MAX($N$53:N1752),OFFSET($C$52,MATCH(M1753*1.07,$M$53:$M$2052,1),0)-C1753)</f>
        <v>72720</v>
      </c>
    </row>
    <row r="1754" spans="2:14">
      <c r="B1754" s="95">
        <v>1702</v>
      </c>
      <c r="C1754" s="95">
        <f t="shared" si="131"/>
        <v>612720</v>
      </c>
      <c r="D1754" s="95">
        <f ca="1">_xlfn.XLOOKUP(总览!$B$44,$B$40:$B$45,$C$40:$C$45)</f>
        <v>5</v>
      </c>
      <c r="E1754" s="95">
        <f ca="1" t="shared" si="134"/>
        <v>1732</v>
      </c>
      <c r="F1754" s="95">
        <f ca="1" t="shared" si="132"/>
        <v>0</v>
      </c>
      <c r="G1754" s="95">
        <f ca="1" t="shared" si="133"/>
        <v>0</v>
      </c>
      <c r="H1754" s="95" cm="1">
        <f ca="1" t="array" ref="H1754">MIN(30-SUM(I1754:L1754),_xlfn.XLOOKUP($D1754&amp;"_"&amp;H$52,$B$14:$B$36&amp;"_"&amp;$C$14:$C$36,$D$14:$D$36)*$E1754,18)</f>
        <v>11.1504</v>
      </c>
      <c r="I1754" s="95" cm="1">
        <f ca="1" t="array" ref="I1754">MIN(30-SUM(J1754:L1754),6-L1754,_xlfn.XLOOKUP($D1754&amp;"_"&amp;I$52,$B$14:$B$36&amp;"_"&amp;$C$14:$C$36,$D$14:$D$36)*$E1754)</f>
        <v>0</v>
      </c>
      <c r="J1754" s="95" cm="1">
        <f ca="1" t="array" ref="J1754">MIN(8,_xlfn.XLOOKUP($D1754&amp;"_"&amp;J$52,$B$14:$B$36&amp;"_"&amp;$C$14:$C$36,$D$14:$D$36)*$E1754)</f>
        <v>8</v>
      </c>
      <c r="K1754" s="95" cm="1">
        <f ca="1" t="array" ref="K1754">MIN(18,_xlfn.XLOOKUP($D1754&amp;"_"&amp;K$52,$B$14:$B$36&amp;"_"&amp;$C$14:$C$36,$D$14:$D$36)*$E1754)</f>
        <v>4.8496</v>
      </c>
      <c r="L1754" s="95" cm="1">
        <f ca="1" t="array" ref="L1754">MIN(6,_xlfn.XLOOKUP($D1754&amp;"_"&amp;L$52,$B$14:$B$36&amp;"_"&amp;$C$14:$C$36,$D$14:$D$36)*$E1754)</f>
        <v>6</v>
      </c>
      <c r="M1754" s="95" cm="1">
        <f ca="1" t="array" ref="M1754">(1+SUMPRODUCT(G1754:H1754,OFFSET($H$40:$I$40,D1754,0)))*(1+OFFSET($J$40,D1754,0))^I1754*(1+OFFSET($K$40,D1754,0))^J1754*(1+OFFSET($L$40,D1754,0))^K1754*(1+OFFSET($M$40,D1754,0))^L1754</f>
        <v>381.281458621133</v>
      </c>
      <c r="N1754" s="95">
        <f ca="1">MAX(MAX($N$53:N1753),OFFSET($C$52,MATCH(M1754*1.07,$M$53:$M$2052,1),0)-C1754)</f>
        <v>72720</v>
      </c>
    </row>
    <row r="1755" spans="2:14">
      <c r="B1755" s="95">
        <v>1703</v>
      </c>
      <c r="C1755" s="95">
        <f t="shared" si="131"/>
        <v>613080</v>
      </c>
      <c r="D1755" s="95">
        <f ca="1">_xlfn.XLOOKUP(总览!$B$44,$B$40:$B$45,$C$40:$C$45)</f>
        <v>5</v>
      </c>
      <c r="E1755" s="95">
        <f ca="1" t="shared" si="134"/>
        <v>1733</v>
      </c>
      <c r="F1755" s="95">
        <f ca="1" t="shared" si="132"/>
        <v>0</v>
      </c>
      <c r="G1755" s="95">
        <f ca="1" t="shared" si="133"/>
        <v>0</v>
      </c>
      <c r="H1755" s="95" cm="1">
        <f ca="1" t="array" ref="H1755">MIN(30-SUM(I1755:L1755),_xlfn.XLOOKUP($D1755&amp;"_"&amp;H$52,$B$14:$B$36&amp;"_"&amp;$C$14:$C$36,$D$14:$D$36)*$E1755,18)</f>
        <v>11.1476</v>
      </c>
      <c r="I1755" s="95" cm="1">
        <f ca="1" t="array" ref="I1755">MIN(30-SUM(J1755:L1755),6-L1755,_xlfn.XLOOKUP($D1755&amp;"_"&amp;I$52,$B$14:$B$36&amp;"_"&amp;$C$14:$C$36,$D$14:$D$36)*$E1755)</f>
        <v>0</v>
      </c>
      <c r="J1755" s="95" cm="1">
        <f ca="1" t="array" ref="J1755">MIN(8,_xlfn.XLOOKUP($D1755&amp;"_"&amp;J$52,$B$14:$B$36&amp;"_"&amp;$C$14:$C$36,$D$14:$D$36)*$E1755)</f>
        <v>8</v>
      </c>
      <c r="K1755" s="95" cm="1">
        <f ca="1" t="array" ref="K1755">MIN(18,_xlfn.XLOOKUP($D1755&amp;"_"&amp;K$52,$B$14:$B$36&amp;"_"&amp;$C$14:$C$36,$D$14:$D$36)*$E1755)</f>
        <v>4.8524</v>
      </c>
      <c r="L1755" s="95" cm="1">
        <f ca="1" t="array" ref="L1755">MIN(6,_xlfn.XLOOKUP($D1755&amp;"_"&amp;L$52,$B$14:$B$36&amp;"_"&amp;$C$14:$C$36,$D$14:$D$36)*$E1755)</f>
        <v>6</v>
      </c>
      <c r="M1755" s="95" cm="1">
        <f ca="1" t="array" ref="M1755">(1+SUMPRODUCT(G1755:H1755,OFFSET($H$40:$I$40,D1755,0)))*(1+OFFSET($J$40,D1755,0))^I1755*(1+OFFSET($K$40,D1755,0))^J1755*(1+OFFSET($L$40,D1755,0))^K1755*(1+OFFSET($M$40,D1755,0))^L1755</f>
        <v>381.410015991828</v>
      </c>
      <c r="N1755" s="95">
        <f ca="1">MAX(MAX($N$53:N1754),OFFSET($C$52,MATCH(M1755*1.07,$M$53:$M$2052,1),0)-C1755)</f>
        <v>72720</v>
      </c>
    </row>
    <row r="1756" spans="2:14">
      <c r="B1756" s="95">
        <v>1704</v>
      </c>
      <c r="C1756" s="95">
        <f t="shared" si="131"/>
        <v>613440</v>
      </c>
      <c r="D1756" s="95">
        <f ca="1">_xlfn.XLOOKUP(总览!$B$44,$B$40:$B$45,$C$40:$C$45)</f>
        <v>5</v>
      </c>
      <c r="E1756" s="95">
        <f ca="1" t="shared" si="134"/>
        <v>1734</v>
      </c>
      <c r="F1756" s="95">
        <f ca="1" t="shared" si="132"/>
        <v>0</v>
      </c>
      <c r="G1756" s="95">
        <f ca="1" t="shared" si="133"/>
        <v>0</v>
      </c>
      <c r="H1756" s="95" cm="1">
        <f ca="1" t="array" ref="H1756">MIN(30-SUM(I1756:L1756),_xlfn.XLOOKUP($D1756&amp;"_"&amp;H$52,$B$14:$B$36&amp;"_"&amp;$C$14:$C$36,$D$14:$D$36)*$E1756,18)</f>
        <v>11.1448</v>
      </c>
      <c r="I1756" s="95" cm="1">
        <f ca="1" t="array" ref="I1756">MIN(30-SUM(J1756:L1756),6-L1756,_xlfn.XLOOKUP($D1756&amp;"_"&amp;I$52,$B$14:$B$36&amp;"_"&amp;$C$14:$C$36,$D$14:$D$36)*$E1756)</f>
        <v>0</v>
      </c>
      <c r="J1756" s="95" cm="1">
        <f ca="1" t="array" ref="J1756">MIN(8,_xlfn.XLOOKUP($D1756&amp;"_"&amp;J$52,$B$14:$B$36&amp;"_"&amp;$C$14:$C$36,$D$14:$D$36)*$E1756)</f>
        <v>8</v>
      </c>
      <c r="K1756" s="95" cm="1">
        <f ca="1" t="array" ref="K1756">MIN(18,_xlfn.XLOOKUP($D1756&amp;"_"&amp;K$52,$B$14:$B$36&amp;"_"&amp;$C$14:$C$36,$D$14:$D$36)*$E1756)</f>
        <v>4.8552</v>
      </c>
      <c r="L1756" s="95" cm="1">
        <f ca="1" t="array" ref="L1756">MIN(6,_xlfn.XLOOKUP($D1756&amp;"_"&amp;L$52,$B$14:$B$36&amp;"_"&amp;$C$14:$C$36,$D$14:$D$36)*$E1756)</f>
        <v>6</v>
      </c>
      <c r="M1756" s="95" cm="1">
        <f ca="1" t="array" ref="M1756">(1+SUMPRODUCT(G1756:H1756,OFFSET($H$40:$I$40,D1756,0)))*(1+OFFSET($J$40,D1756,0))^I1756*(1+OFFSET($K$40,D1756,0))^J1756*(1+OFFSET($L$40,D1756,0))^K1756*(1+OFFSET($M$40,D1756,0))^L1756</f>
        <v>381.538605236462</v>
      </c>
      <c r="N1756" s="95">
        <f ca="1">MAX(MAX($N$53:N1755),OFFSET($C$52,MATCH(M1756*1.07,$M$53:$M$2052,1),0)-C1756)</f>
        <v>72720</v>
      </c>
    </row>
    <row r="1757" spans="2:14">
      <c r="B1757" s="95">
        <v>1705</v>
      </c>
      <c r="C1757" s="95">
        <f t="shared" si="131"/>
        <v>613800</v>
      </c>
      <c r="D1757" s="95">
        <f ca="1">_xlfn.XLOOKUP(总览!$B$44,$B$40:$B$45,$C$40:$C$45)</f>
        <v>5</v>
      </c>
      <c r="E1757" s="95">
        <f ca="1" t="shared" si="134"/>
        <v>1735</v>
      </c>
      <c r="F1757" s="95">
        <f ca="1" t="shared" si="132"/>
        <v>0</v>
      </c>
      <c r="G1757" s="95">
        <f ca="1" t="shared" si="133"/>
        <v>0</v>
      </c>
      <c r="H1757" s="95" cm="1">
        <f ca="1" t="array" ref="H1757">MIN(30-SUM(I1757:L1757),_xlfn.XLOOKUP($D1757&amp;"_"&amp;H$52,$B$14:$B$36&amp;"_"&amp;$C$14:$C$36,$D$14:$D$36)*$E1757,18)</f>
        <v>11.142</v>
      </c>
      <c r="I1757" s="95" cm="1">
        <f ca="1" t="array" ref="I1757">MIN(30-SUM(J1757:L1757),6-L1757,_xlfn.XLOOKUP($D1757&amp;"_"&amp;I$52,$B$14:$B$36&amp;"_"&amp;$C$14:$C$36,$D$14:$D$36)*$E1757)</f>
        <v>0</v>
      </c>
      <c r="J1757" s="95" cm="1">
        <f ca="1" t="array" ref="J1757">MIN(8,_xlfn.XLOOKUP($D1757&amp;"_"&amp;J$52,$B$14:$B$36&amp;"_"&amp;$C$14:$C$36,$D$14:$D$36)*$E1757)</f>
        <v>8</v>
      </c>
      <c r="K1757" s="95" cm="1">
        <f ca="1" t="array" ref="K1757">MIN(18,_xlfn.XLOOKUP($D1757&amp;"_"&amp;K$52,$B$14:$B$36&amp;"_"&amp;$C$14:$C$36,$D$14:$D$36)*$E1757)</f>
        <v>4.858</v>
      </c>
      <c r="L1757" s="95" cm="1">
        <f ca="1" t="array" ref="L1757">MIN(6,_xlfn.XLOOKUP($D1757&amp;"_"&amp;L$52,$B$14:$B$36&amp;"_"&amp;$C$14:$C$36,$D$14:$D$36)*$E1757)</f>
        <v>6</v>
      </c>
      <c r="M1757" s="95" cm="1">
        <f ca="1" t="array" ref="M1757">(1+SUMPRODUCT(G1757:H1757,OFFSET($H$40:$I$40,D1757,0)))*(1+OFFSET($J$40,D1757,0))^I1757*(1+OFFSET($K$40,D1757,0))^J1757*(1+OFFSET($L$40,D1757,0))^K1757*(1+OFFSET($M$40,D1757,0))^L1757</f>
        <v>381.667226354067</v>
      </c>
      <c r="N1757" s="95">
        <f ca="1">MAX(MAX($N$53:N1756),OFFSET($C$52,MATCH(M1757*1.07,$M$53:$M$2052,1),0)-C1757)</f>
        <v>72720</v>
      </c>
    </row>
    <row r="1758" spans="2:14">
      <c r="B1758" s="95">
        <v>1706</v>
      </c>
      <c r="C1758" s="95">
        <f t="shared" si="131"/>
        <v>614160</v>
      </c>
      <c r="D1758" s="95">
        <f ca="1">_xlfn.XLOOKUP(总览!$B$44,$B$40:$B$45,$C$40:$C$45)</f>
        <v>5</v>
      </c>
      <c r="E1758" s="95">
        <f ca="1" t="shared" si="134"/>
        <v>1736</v>
      </c>
      <c r="F1758" s="95">
        <f ca="1" t="shared" si="132"/>
        <v>0</v>
      </c>
      <c r="G1758" s="95">
        <f ca="1" t="shared" si="133"/>
        <v>0</v>
      </c>
      <c r="H1758" s="95" cm="1">
        <f ca="1" t="array" ref="H1758">MIN(30-SUM(I1758:L1758),_xlfn.XLOOKUP($D1758&amp;"_"&amp;H$52,$B$14:$B$36&amp;"_"&amp;$C$14:$C$36,$D$14:$D$36)*$E1758,18)</f>
        <v>11.1392</v>
      </c>
      <c r="I1758" s="95" cm="1">
        <f ca="1" t="array" ref="I1758">MIN(30-SUM(J1758:L1758),6-L1758,_xlfn.XLOOKUP($D1758&amp;"_"&amp;I$52,$B$14:$B$36&amp;"_"&amp;$C$14:$C$36,$D$14:$D$36)*$E1758)</f>
        <v>0</v>
      </c>
      <c r="J1758" s="95" cm="1">
        <f ca="1" t="array" ref="J1758">MIN(8,_xlfn.XLOOKUP($D1758&amp;"_"&amp;J$52,$B$14:$B$36&amp;"_"&amp;$C$14:$C$36,$D$14:$D$36)*$E1758)</f>
        <v>8</v>
      </c>
      <c r="K1758" s="95" cm="1">
        <f ca="1" t="array" ref="K1758">MIN(18,_xlfn.XLOOKUP($D1758&amp;"_"&amp;K$52,$B$14:$B$36&amp;"_"&amp;$C$14:$C$36,$D$14:$D$36)*$E1758)</f>
        <v>4.8608</v>
      </c>
      <c r="L1758" s="95" cm="1">
        <f ca="1" t="array" ref="L1758">MIN(6,_xlfn.XLOOKUP($D1758&amp;"_"&amp;L$52,$B$14:$B$36&amp;"_"&amp;$C$14:$C$36,$D$14:$D$36)*$E1758)</f>
        <v>6</v>
      </c>
      <c r="M1758" s="95" cm="1">
        <f ca="1" t="array" ref="M1758">(1+SUMPRODUCT(G1758:H1758,OFFSET($H$40:$I$40,D1758,0)))*(1+OFFSET($J$40,D1758,0))^I1758*(1+OFFSET($K$40,D1758,0))^J1758*(1+OFFSET($L$40,D1758,0))^K1758*(1+OFFSET($M$40,D1758,0))^L1758</f>
        <v>381.795879343664</v>
      </c>
      <c r="N1758" s="95">
        <f ca="1">MAX(MAX($N$53:N1757),OFFSET($C$52,MATCH(M1758*1.07,$M$53:$M$2052,1),0)-C1758)</f>
        <v>72720</v>
      </c>
    </row>
    <row r="1759" spans="2:14">
      <c r="B1759" s="95">
        <v>1707</v>
      </c>
      <c r="C1759" s="95">
        <f t="shared" si="131"/>
        <v>614520</v>
      </c>
      <c r="D1759" s="95">
        <f ca="1">_xlfn.XLOOKUP(总览!$B$44,$B$40:$B$45,$C$40:$C$45)</f>
        <v>5</v>
      </c>
      <c r="E1759" s="95">
        <f ca="1" t="shared" si="134"/>
        <v>1737</v>
      </c>
      <c r="F1759" s="95">
        <f ca="1" t="shared" si="132"/>
        <v>0</v>
      </c>
      <c r="G1759" s="95">
        <f ca="1" t="shared" si="133"/>
        <v>0</v>
      </c>
      <c r="H1759" s="95" cm="1">
        <f ca="1" t="array" ref="H1759">MIN(30-SUM(I1759:L1759),_xlfn.XLOOKUP($D1759&amp;"_"&amp;H$52,$B$14:$B$36&amp;"_"&amp;$C$14:$C$36,$D$14:$D$36)*$E1759,18)</f>
        <v>11.1364</v>
      </c>
      <c r="I1759" s="95" cm="1">
        <f ca="1" t="array" ref="I1759">MIN(30-SUM(J1759:L1759),6-L1759,_xlfn.XLOOKUP($D1759&amp;"_"&amp;I$52,$B$14:$B$36&amp;"_"&amp;$C$14:$C$36,$D$14:$D$36)*$E1759)</f>
        <v>0</v>
      </c>
      <c r="J1759" s="95" cm="1">
        <f ca="1" t="array" ref="J1759">MIN(8,_xlfn.XLOOKUP($D1759&amp;"_"&amp;J$52,$B$14:$B$36&amp;"_"&amp;$C$14:$C$36,$D$14:$D$36)*$E1759)</f>
        <v>8</v>
      </c>
      <c r="K1759" s="95" cm="1">
        <f ca="1" t="array" ref="K1759">MIN(18,_xlfn.XLOOKUP($D1759&amp;"_"&amp;K$52,$B$14:$B$36&amp;"_"&amp;$C$14:$C$36,$D$14:$D$36)*$E1759)</f>
        <v>4.8636</v>
      </c>
      <c r="L1759" s="95" cm="1">
        <f ca="1" t="array" ref="L1759">MIN(6,_xlfn.XLOOKUP($D1759&amp;"_"&amp;L$52,$B$14:$B$36&amp;"_"&amp;$C$14:$C$36,$D$14:$D$36)*$E1759)</f>
        <v>6</v>
      </c>
      <c r="M1759" s="95" cm="1">
        <f ca="1" t="array" ref="M1759">(1+SUMPRODUCT(G1759:H1759,OFFSET($H$40:$I$40,D1759,0)))*(1+OFFSET($J$40,D1759,0))^I1759*(1+OFFSET($K$40,D1759,0))^J1759*(1+OFFSET($L$40,D1759,0))^K1759*(1+OFFSET($M$40,D1759,0))^L1759</f>
        <v>381.924564204266</v>
      </c>
      <c r="N1759" s="95">
        <f ca="1">MAX(MAX($N$53:N1758),OFFSET($C$52,MATCH(M1759*1.07,$M$53:$M$2052,1),0)-C1759)</f>
        <v>72720</v>
      </c>
    </row>
    <row r="1760" spans="2:14">
      <c r="B1760" s="95">
        <v>1708</v>
      </c>
      <c r="C1760" s="95">
        <f t="shared" si="131"/>
        <v>614880</v>
      </c>
      <c r="D1760" s="95">
        <f ca="1">_xlfn.XLOOKUP(总览!$B$44,$B$40:$B$45,$C$40:$C$45)</f>
        <v>5</v>
      </c>
      <c r="E1760" s="95">
        <f ca="1" t="shared" si="134"/>
        <v>1738</v>
      </c>
      <c r="F1760" s="95">
        <f ca="1" t="shared" si="132"/>
        <v>0</v>
      </c>
      <c r="G1760" s="95">
        <f ca="1" t="shared" si="133"/>
        <v>0</v>
      </c>
      <c r="H1760" s="95" cm="1">
        <f ca="1" t="array" ref="H1760">MIN(30-SUM(I1760:L1760),_xlfn.XLOOKUP($D1760&amp;"_"&amp;H$52,$B$14:$B$36&amp;"_"&amp;$C$14:$C$36,$D$14:$D$36)*$E1760,18)</f>
        <v>11.1336</v>
      </c>
      <c r="I1760" s="95" cm="1">
        <f ca="1" t="array" ref="I1760">MIN(30-SUM(J1760:L1760),6-L1760,_xlfn.XLOOKUP($D1760&amp;"_"&amp;I$52,$B$14:$B$36&amp;"_"&amp;$C$14:$C$36,$D$14:$D$36)*$E1760)</f>
        <v>0</v>
      </c>
      <c r="J1760" s="95" cm="1">
        <f ca="1" t="array" ref="J1760">MIN(8,_xlfn.XLOOKUP($D1760&amp;"_"&amp;J$52,$B$14:$B$36&amp;"_"&amp;$C$14:$C$36,$D$14:$D$36)*$E1760)</f>
        <v>8</v>
      </c>
      <c r="K1760" s="95" cm="1">
        <f ca="1" t="array" ref="K1760">MIN(18,_xlfn.XLOOKUP($D1760&amp;"_"&amp;K$52,$B$14:$B$36&amp;"_"&amp;$C$14:$C$36,$D$14:$D$36)*$E1760)</f>
        <v>4.8664</v>
      </c>
      <c r="L1760" s="95" cm="1">
        <f ca="1" t="array" ref="L1760">MIN(6,_xlfn.XLOOKUP($D1760&amp;"_"&amp;L$52,$B$14:$B$36&amp;"_"&amp;$C$14:$C$36,$D$14:$D$36)*$E1760)</f>
        <v>6</v>
      </c>
      <c r="M1760" s="95" cm="1">
        <f ca="1" t="array" ref="M1760">(1+SUMPRODUCT(G1760:H1760,OFFSET($H$40:$I$40,D1760,0)))*(1+OFFSET($J$40,D1760,0))^I1760*(1+OFFSET($K$40,D1760,0))^J1760*(1+OFFSET($L$40,D1760,0))^K1760*(1+OFFSET($M$40,D1760,0))^L1760</f>
        <v>382.053280934876</v>
      </c>
      <c r="N1760" s="95">
        <f ca="1">MAX(MAX($N$53:N1759),OFFSET($C$52,MATCH(M1760*1.07,$M$53:$M$2052,1),0)-C1760)</f>
        <v>72720</v>
      </c>
    </row>
    <row r="1761" spans="2:14">
      <c r="B1761" s="95">
        <v>1709</v>
      </c>
      <c r="C1761" s="95">
        <f t="shared" si="131"/>
        <v>615240</v>
      </c>
      <c r="D1761" s="95">
        <f ca="1">_xlfn.XLOOKUP(总览!$B$44,$B$40:$B$45,$C$40:$C$45)</f>
        <v>5</v>
      </c>
      <c r="E1761" s="95">
        <f ca="1" t="shared" si="134"/>
        <v>1739</v>
      </c>
      <c r="F1761" s="95">
        <f ca="1" t="shared" si="132"/>
        <v>0</v>
      </c>
      <c r="G1761" s="95">
        <f ca="1" t="shared" si="133"/>
        <v>0</v>
      </c>
      <c r="H1761" s="95" cm="1">
        <f ca="1" t="array" ref="H1761">MIN(30-SUM(I1761:L1761),_xlfn.XLOOKUP($D1761&amp;"_"&amp;H$52,$B$14:$B$36&amp;"_"&amp;$C$14:$C$36,$D$14:$D$36)*$E1761,18)</f>
        <v>11.1308</v>
      </c>
      <c r="I1761" s="95" cm="1">
        <f ca="1" t="array" ref="I1761">MIN(30-SUM(J1761:L1761),6-L1761,_xlfn.XLOOKUP($D1761&amp;"_"&amp;I$52,$B$14:$B$36&amp;"_"&amp;$C$14:$C$36,$D$14:$D$36)*$E1761)</f>
        <v>0</v>
      </c>
      <c r="J1761" s="95" cm="1">
        <f ca="1" t="array" ref="J1761">MIN(8,_xlfn.XLOOKUP($D1761&amp;"_"&amp;J$52,$B$14:$B$36&amp;"_"&amp;$C$14:$C$36,$D$14:$D$36)*$E1761)</f>
        <v>8</v>
      </c>
      <c r="K1761" s="95" cm="1">
        <f ca="1" t="array" ref="K1761">MIN(18,_xlfn.XLOOKUP($D1761&amp;"_"&amp;K$52,$B$14:$B$36&amp;"_"&amp;$C$14:$C$36,$D$14:$D$36)*$E1761)</f>
        <v>4.8692</v>
      </c>
      <c r="L1761" s="95" cm="1">
        <f ca="1" t="array" ref="L1761">MIN(6,_xlfn.XLOOKUP($D1761&amp;"_"&amp;L$52,$B$14:$B$36&amp;"_"&amp;$C$14:$C$36,$D$14:$D$36)*$E1761)</f>
        <v>6</v>
      </c>
      <c r="M1761" s="95" cm="1">
        <f ca="1" t="array" ref="M1761">(1+SUMPRODUCT(G1761:H1761,OFFSET($H$40:$I$40,D1761,0)))*(1+OFFSET($J$40,D1761,0))^I1761*(1+OFFSET($K$40,D1761,0))^J1761*(1+OFFSET($L$40,D1761,0))^K1761*(1+OFFSET($M$40,D1761,0))^L1761</f>
        <v>382.182029534487</v>
      </c>
      <c r="N1761" s="95">
        <f ca="1">MAX(MAX($N$53:N1760),OFFSET($C$52,MATCH(M1761*1.07,$M$53:$M$2052,1),0)-C1761)</f>
        <v>72720</v>
      </c>
    </row>
    <row r="1762" spans="2:14">
      <c r="B1762" s="95">
        <v>1710</v>
      </c>
      <c r="C1762" s="95">
        <f t="shared" si="131"/>
        <v>615600</v>
      </c>
      <c r="D1762" s="95">
        <f ca="1">_xlfn.XLOOKUP(总览!$B$44,$B$40:$B$45,$C$40:$C$45)</f>
        <v>5</v>
      </c>
      <c r="E1762" s="95">
        <f ca="1" t="shared" si="134"/>
        <v>1740</v>
      </c>
      <c r="F1762" s="95">
        <f ca="1" t="shared" si="132"/>
        <v>0</v>
      </c>
      <c r="G1762" s="95">
        <f ca="1" t="shared" si="133"/>
        <v>0</v>
      </c>
      <c r="H1762" s="95" cm="1">
        <f ca="1" t="array" ref="H1762">MIN(30-SUM(I1762:L1762),_xlfn.XLOOKUP($D1762&amp;"_"&amp;H$52,$B$14:$B$36&amp;"_"&amp;$C$14:$C$36,$D$14:$D$36)*$E1762,18)</f>
        <v>11.128</v>
      </c>
      <c r="I1762" s="95" cm="1">
        <f ca="1" t="array" ref="I1762">MIN(30-SUM(J1762:L1762),6-L1762,_xlfn.XLOOKUP($D1762&amp;"_"&amp;I$52,$B$14:$B$36&amp;"_"&amp;$C$14:$C$36,$D$14:$D$36)*$E1762)</f>
        <v>0</v>
      </c>
      <c r="J1762" s="95" cm="1">
        <f ca="1" t="array" ref="J1762">MIN(8,_xlfn.XLOOKUP($D1762&amp;"_"&amp;J$52,$B$14:$B$36&amp;"_"&amp;$C$14:$C$36,$D$14:$D$36)*$E1762)</f>
        <v>8</v>
      </c>
      <c r="K1762" s="95" cm="1">
        <f ca="1" t="array" ref="K1762">MIN(18,_xlfn.XLOOKUP($D1762&amp;"_"&amp;K$52,$B$14:$B$36&amp;"_"&amp;$C$14:$C$36,$D$14:$D$36)*$E1762)</f>
        <v>4.872</v>
      </c>
      <c r="L1762" s="95" cm="1">
        <f ca="1" t="array" ref="L1762">MIN(6,_xlfn.XLOOKUP($D1762&amp;"_"&amp;L$52,$B$14:$B$36&amp;"_"&amp;$C$14:$C$36,$D$14:$D$36)*$E1762)</f>
        <v>6</v>
      </c>
      <c r="M1762" s="95" cm="1">
        <f ca="1" t="array" ref="M1762">(1+SUMPRODUCT(G1762:H1762,OFFSET($H$40:$I$40,D1762,0)))*(1+OFFSET($J$40,D1762,0))^I1762*(1+OFFSET($K$40,D1762,0))^J1762*(1+OFFSET($L$40,D1762,0))^K1762*(1+OFFSET($M$40,D1762,0))^L1762</f>
        <v>382.310810002085</v>
      </c>
      <c r="N1762" s="95">
        <f ca="1">MAX(MAX($N$53:N1761),OFFSET($C$52,MATCH(M1762*1.07,$M$53:$M$2052,1),0)-C1762)</f>
        <v>72720</v>
      </c>
    </row>
    <row r="1763" spans="2:14">
      <c r="B1763" s="95">
        <v>1711</v>
      </c>
      <c r="C1763" s="95">
        <f t="shared" si="131"/>
        <v>615960</v>
      </c>
      <c r="D1763" s="95">
        <f ca="1">_xlfn.XLOOKUP(总览!$B$44,$B$40:$B$45,$C$40:$C$45)</f>
        <v>5</v>
      </c>
      <c r="E1763" s="95">
        <f ca="1" t="shared" si="134"/>
        <v>1741</v>
      </c>
      <c r="F1763" s="95">
        <f ca="1" t="shared" si="132"/>
        <v>0</v>
      </c>
      <c r="G1763" s="95">
        <f ca="1" t="shared" si="133"/>
        <v>0</v>
      </c>
      <c r="H1763" s="95" cm="1">
        <f ca="1" t="array" ref="H1763">MIN(30-SUM(I1763:L1763),_xlfn.XLOOKUP($D1763&amp;"_"&amp;H$52,$B$14:$B$36&amp;"_"&amp;$C$14:$C$36,$D$14:$D$36)*$E1763,18)</f>
        <v>11.1252</v>
      </c>
      <c r="I1763" s="95" cm="1">
        <f ca="1" t="array" ref="I1763">MIN(30-SUM(J1763:L1763),6-L1763,_xlfn.XLOOKUP($D1763&amp;"_"&amp;I$52,$B$14:$B$36&amp;"_"&amp;$C$14:$C$36,$D$14:$D$36)*$E1763)</f>
        <v>0</v>
      </c>
      <c r="J1763" s="95" cm="1">
        <f ca="1" t="array" ref="J1763">MIN(8,_xlfn.XLOOKUP($D1763&amp;"_"&amp;J$52,$B$14:$B$36&amp;"_"&amp;$C$14:$C$36,$D$14:$D$36)*$E1763)</f>
        <v>8</v>
      </c>
      <c r="K1763" s="95" cm="1">
        <f ca="1" t="array" ref="K1763">MIN(18,_xlfn.XLOOKUP($D1763&amp;"_"&amp;K$52,$B$14:$B$36&amp;"_"&amp;$C$14:$C$36,$D$14:$D$36)*$E1763)</f>
        <v>4.8748</v>
      </c>
      <c r="L1763" s="95" cm="1">
        <f ca="1" t="array" ref="L1763">MIN(6,_xlfn.XLOOKUP($D1763&amp;"_"&amp;L$52,$B$14:$B$36&amp;"_"&amp;$C$14:$C$36,$D$14:$D$36)*$E1763)</f>
        <v>6</v>
      </c>
      <c r="M1763" s="95" cm="1">
        <f ca="1" t="array" ref="M1763">(1+SUMPRODUCT(G1763:H1763,OFFSET($H$40:$I$40,D1763,0)))*(1+OFFSET($J$40,D1763,0))^I1763*(1+OFFSET($K$40,D1763,0))^J1763*(1+OFFSET($L$40,D1763,0))^K1763*(1+OFFSET($M$40,D1763,0))^L1763</f>
        <v>382.439622336645</v>
      </c>
      <c r="N1763" s="95">
        <f ca="1">MAX(MAX($N$53:N1762),OFFSET($C$52,MATCH(M1763*1.07,$M$53:$M$2052,1),0)-C1763)</f>
        <v>72720</v>
      </c>
    </row>
    <row r="1764" spans="2:14">
      <c r="B1764" s="95">
        <v>1712</v>
      </c>
      <c r="C1764" s="95">
        <f t="shared" si="131"/>
        <v>616320</v>
      </c>
      <c r="D1764" s="95">
        <f ca="1">_xlfn.XLOOKUP(总览!$B$44,$B$40:$B$45,$C$40:$C$45)</f>
        <v>5</v>
      </c>
      <c r="E1764" s="95">
        <f ca="1" t="shared" si="134"/>
        <v>1742</v>
      </c>
      <c r="F1764" s="95">
        <f ca="1" t="shared" si="132"/>
        <v>0</v>
      </c>
      <c r="G1764" s="95">
        <f ca="1" t="shared" si="133"/>
        <v>0</v>
      </c>
      <c r="H1764" s="95" cm="1">
        <f ca="1" t="array" ref="H1764">MIN(30-SUM(I1764:L1764),_xlfn.XLOOKUP($D1764&amp;"_"&amp;H$52,$B$14:$B$36&amp;"_"&amp;$C$14:$C$36,$D$14:$D$36)*$E1764,18)</f>
        <v>11.1224</v>
      </c>
      <c r="I1764" s="95" cm="1">
        <f ca="1" t="array" ref="I1764">MIN(30-SUM(J1764:L1764),6-L1764,_xlfn.XLOOKUP($D1764&amp;"_"&amp;I$52,$B$14:$B$36&amp;"_"&amp;$C$14:$C$36,$D$14:$D$36)*$E1764)</f>
        <v>0</v>
      </c>
      <c r="J1764" s="95" cm="1">
        <f ca="1" t="array" ref="J1764">MIN(8,_xlfn.XLOOKUP($D1764&amp;"_"&amp;J$52,$B$14:$B$36&amp;"_"&amp;$C$14:$C$36,$D$14:$D$36)*$E1764)</f>
        <v>8</v>
      </c>
      <c r="K1764" s="95" cm="1">
        <f ca="1" t="array" ref="K1764">MIN(18,_xlfn.XLOOKUP($D1764&amp;"_"&amp;K$52,$B$14:$B$36&amp;"_"&amp;$C$14:$C$36,$D$14:$D$36)*$E1764)</f>
        <v>4.8776</v>
      </c>
      <c r="L1764" s="95" cm="1">
        <f ca="1" t="array" ref="L1764">MIN(6,_xlfn.XLOOKUP($D1764&amp;"_"&amp;L$52,$B$14:$B$36&amp;"_"&amp;$C$14:$C$36,$D$14:$D$36)*$E1764)</f>
        <v>6</v>
      </c>
      <c r="M1764" s="95" cm="1">
        <f ca="1" t="array" ref="M1764">(1+SUMPRODUCT(G1764:H1764,OFFSET($H$40:$I$40,D1764,0)))*(1+OFFSET($J$40,D1764,0))^I1764*(1+OFFSET($K$40,D1764,0))^J1764*(1+OFFSET($L$40,D1764,0))^K1764*(1+OFFSET($M$40,D1764,0))^L1764</f>
        <v>382.568466537131</v>
      </c>
      <c r="N1764" s="95">
        <f ca="1">MAX(MAX($N$53:N1763),OFFSET($C$52,MATCH(M1764*1.07,$M$53:$M$2052,1),0)-C1764)</f>
        <v>72720</v>
      </c>
    </row>
    <row r="1765" spans="2:14">
      <c r="B1765" s="95">
        <v>1713</v>
      </c>
      <c r="C1765" s="95">
        <f t="shared" ref="C1765:C1828" si="135">C1764+360</f>
        <v>616680</v>
      </c>
      <c r="D1765" s="95">
        <f ca="1">_xlfn.XLOOKUP(总览!$B$44,$B$40:$B$45,$C$40:$C$45)</f>
        <v>5</v>
      </c>
      <c r="E1765" s="95">
        <f ca="1" t="shared" si="134"/>
        <v>1743</v>
      </c>
      <c r="F1765" s="95">
        <f ca="1" t="shared" ref="F1765:F1828" si="136">30-SUM(G1765:L1765)</f>
        <v>0</v>
      </c>
      <c r="G1765" s="95">
        <f ca="1" t="shared" ref="G1765:G1828" si="137">30-SUM(H1765:L1765)</f>
        <v>0</v>
      </c>
      <c r="H1765" s="95" cm="1">
        <f ca="1" t="array" ref="H1765">MIN(30-SUM(I1765:L1765),_xlfn.XLOOKUP($D1765&amp;"_"&amp;H$52,$B$14:$B$36&amp;"_"&amp;$C$14:$C$36,$D$14:$D$36)*$E1765,18)</f>
        <v>11.1196</v>
      </c>
      <c r="I1765" s="95" cm="1">
        <f ca="1" t="array" ref="I1765">MIN(30-SUM(J1765:L1765),6-L1765,_xlfn.XLOOKUP($D1765&amp;"_"&amp;I$52,$B$14:$B$36&amp;"_"&amp;$C$14:$C$36,$D$14:$D$36)*$E1765)</f>
        <v>0</v>
      </c>
      <c r="J1765" s="95" cm="1">
        <f ca="1" t="array" ref="J1765">MIN(8,_xlfn.XLOOKUP($D1765&amp;"_"&amp;J$52,$B$14:$B$36&amp;"_"&amp;$C$14:$C$36,$D$14:$D$36)*$E1765)</f>
        <v>8</v>
      </c>
      <c r="K1765" s="95" cm="1">
        <f ca="1" t="array" ref="K1765">MIN(18,_xlfn.XLOOKUP($D1765&amp;"_"&amp;K$52,$B$14:$B$36&amp;"_"&amp;$C$14:$C$36,$D$14:$D$36)*$E1765)</f>
        <v>4.8804</v>
      </c>
      <c r="L1765" s="95" cm="1">
        <f ca="1" t="array" ref="L1765">MIN(6,_xlfn.XLOOKUP($D1765&amp;"_"&amp;L$52,$B$14:$B$36&amp;"_"&amp;$C$14:$C$36,$D$14:$D$36)*$E1765)</f>
        <v>6</v>
      </c>
      <c r="M1765" s="95" cm="1">
        <f ca="1" t="array" ref="M1765">(1+SUMPRODUCT(G1765:H1765,OFFSET($H$40:$I$40,D1765,0)))*(1+OFFSET($J$40,D1765,0))^I1765*(1+OFFSET($K$40,D1765,0))^J1765*(1+OFFSET($L$40,D1765,0))^K1765*(1+OFFSET($M$40,D1765,0))^L1765</f>
        <v>382.697342602502</v>
      </c>
      <c r="N1765" s="95">
        <f ca="1">MAX(MAX($N$53:N1764),OFFSET($C$52,MATCH(M1765*1.07,$M$53:$M$2052,1),0)-C1765)</f>
        <v>72720</v>
      </c>
    </row>
    <row r="1766" spans="2:14">
      <c r="B1766" s="95">
        <v>1714</v>
      </c>
      <c r="C1766" s="95">
        <f t="shared" si="135"/>
        <v>617040</v>
      </c>
      <c r="D1766" s="95">
        <f ca="1">_xlfn.XLOOKUP(总览!$B$44,$B$40:$B$45,$C$40:$C$45)</f>
        <v>5</v>
      </c>
      <c r="E1766" s="95">
        <f ca="1" t="shared" si="134"/>
        <v>1744</v>
      </c>
      <c r="F1766" s="95">
        <f ca="1" t="shared" si="136"/>
        <v>0</v>
      </c>
      <c r="G1766" s="95">
        <f ca="1" t="shared" si="137"/>
        <v>0</v>
      </c>
      <c r="H1766" s="95" cm="1">
        <f ca="1" t="array" ref="H1766">MIN(30-SUM(I1766:L1766),_xlfn.XLOOKUP($D1766&amp;"_"&amp;H$52,$B$14:$B$36&amp;"_"&amp;$C$14:$C$36,$D$14:$D$36)*$E1766,18)</f>
        <v>11.1168</v>
      </c>
      <c r="I1766" s="95" cm="1">
        <f ca="1" t="array" ref="I1766">MIN(30-SUM(J1766:L1766),6-L1766,_xlfn.XLOOKUP($D1766&amp;"_"&amp;I$52,$B$14:$B$36&amp;"_"&amp;$C$14:$C$36,$D$14:$D$36)*$E1766)</f>
        <v>0</v>
      </c>
      <c r="J1766" s="95" cm="1">
        <f ca="1" t="array" ref="J1766">MIN(8,_xlfn.XLOOKUP($D1766&amp;"_"&amp;J$52,$B$14:$B$36&amp;"_"&amp;$C$14:$C$36,$D$14:$D$36)*$E1766)</f>
        <v>8</v>
      </c>
      <c r="K1766" s="95" cm="1">
        <f ca="1" t="array" ref="K1766">MIN(18,_xlfn.XLOOKUP($D1766&amp;"_"&amp;K$52,$B$14:$B$36&amp;"_"&amp;$C$14:$C$36,$D$14:$D$36)*$E1766)</f>
        <v>4.8832</v>
      </c>
      <c r="L1766" s="95" cm="1">
        <f ca="1" t="array" ref="L1766">MIN(6,_xlfn.XLOOKUP($D1766&amp;"_"&amp;L$52,$B$14:$B$36&amp;"_"&amp;$C$14:$C$36,$D$14:$D$36)*$E1766)</f>
        <v>6</v>
      </c>
      <c r="M1766" s="95" cm="1">
        <f ca="1" t="array" ref="M1766">(1+SUMPRODUCT(G1766:H1766,OFFSET($H$40:$I$40,D1766,0)))*(1+OFFSET($J$40,D1766,0))^I1766*(1+OFFSET($K$40,D1766,0))^J1766*(1+OFFSET($L$40,D1766,0))^K1766*(1+OFFSET($M$40,D1766,0))^L1766</f>
        <v>382.826250531703</v>
      </c>
      <c r="N1766" s="95">
        <f ca="1">MAX(MAX($N$53:N1765),OFFSET($C$52,MATCH(M1766*1.07,$M$53:$M$2052,1),0)-C1766)</f>
        <v>72720</v>
      </c>
    </row>
    <row r="1767" spans="2:14">
      <c r="B1767" s="95">
        <v>1715</v>
      </c>
      <c r="C1767" s="95">
        <f t="shared" si="135"/>
        <v>617400</v>
      </c>
      <c r="D1767" s="95">
        <f ca="1">_xlfn.XLOOKUP(总览!$B$44,$B$40:$B$45,$C$40:$C$45)</f>
        <v>5</v>
      </c>
      <c r="E1767" s="95">
        <f ca="1" t="shared" si="134"/>
        <v>1745</v>
      </c>
      <c r="F1767" s="95">
        <f ca="1" t="shared" si="136"/>
        <v>0</v>
      </c>
      <c r="G1767" s="95">
        <f ca="1" t="shared" si="137"/>
        <v>0</v>
      </c>
      <c r="H1767" s="95" cm="1">
        <f ca="1" t="array" ref="H1767">MIN(30-SUM(I1767:L1767),_xlfn.XLOOKUP($D1767&amp;"_"&amp;H$52,$B$14:$B$36&amp;"_"&amp;$C$14:$C$36,$D$14:$D$36)*$E1767,18)</f>
        <v>11.114</v>
      </c>
      <c r="I1767" s="95" cm="1">
        <f ca="1" t="array" ref="I1767">MIN(30-SUM(J1767:L1767),6-L1767,_xlfn.XLOOKUP($D1767&amp;"_"&amp;I$52,$B$14:$B$36&amp;"_"&amp;$C$14:$C$36,$D$14:$D$36)*$E1767)</f>
        <v>0</v>
      </c>
      <c r="J1767" s="95" cm="1">
        <f ca="1" t="array" ref="J1767">MIN(8,_xlfn.XLOOKUP($D1767&amp;"_"&amp;J$52,$B$14:$B$36&amp;"_"&amp;$C$14:$C$36,$D$14:$D$36)*$E1767)</f>
        <v>8</v>
      </c>
      <c r="K1767" s="95" cm="1">
        <f ca="1" t="array" ref="K1767">MIN(18,_xlfn.XLOOKUP($D1767&amp;"_"&amp;K$52,$B$14:$B$36&amp;"_"&amp;$C$14:$C$36,$D$14:$D$36)*$E1767)</f>
        <v>4.886</v>
      </c>
      <c r="L1767" s="95" cm="1">
        <f ca="1" t="array" ref="L1767">MIN(6,_xlfn.XLOOKUP($D1767&amp;"_"&amp;L$52,$B$14:$B$36&amp;"_"&amp;$C$14:$C$36,$D$14:$D$36)*$E1767)</f>
        <v>6</v>
      </c>
      <c r="M1767" s="95" cm="1">
        <f ca="1" t="array" ref="M1767">(1+SUMPRODUCT(G1767:H1767,OFFSET($H$40:$I$40,D1767,0)))*(1+OFFSET($J$40,D1767,0))^I1767*(1+OFFSET($K$40,D1767,0))^J1767*(1+OFFSET($L$40,D1767,0))^K1767*(1+OFFSET($M$40,D1767,0))^L1767</f>
        <v>382.955190323672</v>
      </c>
      <c r="N1767" s="95">
        <f ca="1">MAX(MAX($N$53:N1766),OFFSET($C$52,MATCH(M1767*1.07,$M$53:$M$2052,1),0)-C1767)</f>
        <v>72720</v>
      </c>
    </row>
    <row r="1768" spans="2:14">
      <c r="B1768" s="95">
        <v>1716</v>
      </c>
      <c r="C1768" s="95">
        <f t="shared" si="135"/>
        <v>617760</v>
      </c>
      <c r="D1768" s="95">
        <f ca="1">_xlfn.XLOOKUP(总览!$B$44,$B$40:$B$45,$C$40:$C$45)</f>
        <v>5</v>
      </c>
      <c r="E1768" s="95">
        <f ca="1" t="shared" si="134"/>
        <v>1746</v>
      </c>
      <c r="F1768" s="95">
        <f ca="1" t="shared" si="136"/>
        <v>0</v>
      </c>
      <c r="G1768" s="95">
        <f ca="1" t="shared" si="137"/>
        <v>0</v>
      </c>
      <c r="H1768" s="95" cm="1">
        <f ca="1" t="array" ref="H1768">MIN(30-SUM(I1768:L1768),_xlfn.XLOOKUP($D1768&amp;"_"&amp;H$52,$B$14:$B$36&amp;"_"&amp;$C$14:$C$36,$D$14:$D$36)*$E1768,18)</f>
        <v>11.1112</v>
      </c>
      <c r="I1768" s="95" cm="1">
        <f ca="1" t="array" ref="I1768">MIN(30-SUM(J1768:L1768),6-L1768,_xlfn.XLOOKUP($D1768&amp;"_"&amp;I$52,$B$14:$B$36&amp;"_"&amp;$C$14:$C$36,$D$14:$D$36)*$E1768)</f>
        <v>0</v>
      </c>
      <c r="J1768" s="95" cm="1">
        <f ca="1" t="array" ref="J1768">MIN(8,_xlfn.XLOOKUP($D1768&amp;"_"&amp;J$52,$B$14:$B$36&amp;"_"&amp;$C$14:$C$36,$D$14:$D$36)*$E1768)</f>
        <v>8</v>
      </c>
      <c r="K1768" s="95" cm="1">
        <f ca="1" t="array" ref="K1768">MIN(18,_xlfn.XLOOKUP($D1768&amp;"_"&amp;K$52,$B$14:$B$36&amp;"_"&amp;$C$14:$C$36,$D$14:$D$36)*$E1768)</f>
        <v>4.8888</v>
      </c>
      <c r="L1768" s="95" cm="1">
        <f ca="1" t="array" ref="L1768">MIN(6,_xlfn.XLOOKUP($D1768&amp;"_"&amp;L$52,$B$14:$B$36&amp;"_"&amp;$C$14:$C$36,$D$14:$D$36)*$E1768)</f>
        <v>6</v>
      </c>
      <c r="M1768" s="95" cm="1">
        <f ca="1" t="array" ref="M1768">(1+SUMPRODUCT(G1768:H1768,OFFSET($H$40:$I$40,D1768,0)))*(1+OFFSET($J$40,D1768,0))^I1768*(1+OFFSET($K$40,D1768,0))^J1768*(1+OFFSET($L$40,D1768,0))^K1768*(1+OFFSET($M$40,D1768,0))^L1768</f>
        <v>383.084161977338</v>
      </c>
      <c r="N1768" s="95">
        <f ca="1">MAX(MAX($N$53:N1767),OFFSET($C$52,MATCH(M1768*1.07,$M$53:$M$2052,1),0)-C1768)</f>
        <v>72720</v>
      </c>
    </row>
    <row r="1769" spans="2:14">
      <c r="B1769" s="95">
        <v>1717</v>
      </c>
      <c r="C1769" s="95">
        <f t="shared" si="135"/>
        <v>618120</v>
      </c>
      <c r="D1769" s="95">
        <f ca="1">_xlfn.XLOOKUP(总览!$B$44,$B$40:$B$45,$C$40:$C$45)</f>
        <v>5</v>
      </c>
      <c r="E1769" s="95">
        <f ca="1" t="shared" si="134"/>
        <v>1747</v>
      </c>
      <c r="F1769" s="95">
        <f ca="1" t="shared" si="136"/>
        <v>0</v>
      </c>
      <c r="G1769" s="95">
        <f ca="1" t="shared" si="137"/>
        <v>0</v>
      </c>
      <c r="H1769" s="95" cm="1">
        <f ca="1" t="array" ref="H1769">MIN(30-SUM(I1769:L1769),_xlfn.XLOOKUP($D1769&amp;"_"&amp;H$52,$B$14:$B$36&amp;"_"&amp;$C$14:$C$36,$D$14:$D$36)*$E1769,18)</f>
        <v>11.1084</v>
      </c>
      <c r="I1769" s="95" cm="1">
        <f ca="1" t="array" ref="I1769">MIN(30-SUM(J1769:L1769),6-L1769,_xlfn.XLOOKUP($D1769&amp;"_"&amp;I$52,$B$14:$B$36&amp;"_"&amp;$C$14:$C$36,$D$14:$D$36)*$E1769)</f>
        <v>0</v>
      </c>
      <c r="J1769" s="95" cm="1">
        <f ca="1" t="array" ref="J1769">MIN(8,_xlfn.XLOOKUP($D1769&amp;"_"&amp;J$52,$B$14:$B$36&amp;"_"&amp;$C$14:$C$36,$D$14:$D$36)*$E1769)</f>
        <v>8</v>
      </c>
      <c r="K1769" s="95" cm="1">
        <f ca="1" t="array" ref="K1769">MIN(18,_xlfn.XLOOKUP($D1769&amp;"_"&amp;K$52,$B$14:$B$36&amp;"_"&amp;$C$14:$C$36,$D$14:$D$36)*$E1769)</f>
        <v>4.8916</v>
      </c>
      <c r="L1769" s="95" cm="1">
        <f ca="1" t="array" ref="L1769">MIN(6,_xlfn.XLOOKUP($D1769&amp;"_"&amp;L$52,$B$14:$B$36&amp;"_"&amp;$C$14:$C$36,$D$14:$D$36)*$E1769)</f>
        <v>6</v>
      </c>
      <c r="M1769" s="95" cm="1">
        <f ca="1" t="array" ref="M1769">(1+SUMPRODUCT(G1769:H1769,OFFSET($H$40:$I$40,D1769,0)))*(1+OFFSET($J$40,D1769,0))^I1769*(1+OFFSET($K$40,D1769,0))^J1769*(1+OFFSET($L$40,D1769,0))^K1769*(1+OFFSET($M$40,D1769,0))^L1769</f>
        <v>383.21316549162</v>
      </c>
      <c r="N1769" s="95">
        <f ca="1">MAX(MAX($N$53:N1768),OFFSET($C$52,MATCH(M1769*1.07,$M$53:$M$2052,1),0)-C1769)</f>
        <v>72720</v>
      </c>
    </row>
    <row r="1770" spans="2:14">
      <c r="B1770" s="95">
        <v>1718</v>
      </c>
      <c r="C1770" s="95">
        <f t="shared" si="135"/>
        <v>618480</v>
      </c>
      <c r="D1770" s="95">
        <f ca="1">_xlfn.XLOOKUP(总览!$B$44,$B$40:$B$45,$C$40:$C$45)</f>
        <v>5</v>
      </c>
      <c r="E1770" s="95">
        <f ca="1" t="shared" si="134"/>
        <v>1748</v>
      </c>
      <c r="F1770" s="95">
        <f ca="1" t="shared" si="136"/>
        <v>0</v>
      </c>
      <c r="G1770" s="95">
        <f ca="1" t="shared" si="137"/>
        <v>0</v>
      </c>
      <c r="H1770" s="95" cm="1">
        <f ca="1" t="array" ref="H1770">MIN(30-SUM(I1770:L1770),_xlfn.XLOOKUP($D1770&amp;"_"&amp;H$52,$B$14:$B$36&amp;"_"&amp;$C$14:$C$36,$D$14:$D$36)*$E1770,18)</f>
        <v>11.1056</v>
      </c>
      <c r="I1770" s="95" cm="1">
        <f ca="1" t="array" ref="I1770">MIN(30-SUM(J1770:L1770),6-L1770,_xlfn.XLOOKUP($D1770&amp;"_"&amp;I$52,$B$14:$B$36&amp;"_"&amp;$C$14:$C$36,$D$14:$D$36)*$E1770)</f>
        <v>0</v>
      </c>
      <c r="J1770" s="95" cm="1">
        <f ca="1" t="array" ref="J1770">MIN(8,_xlfn.XLOOKUP($D1770&amp;"_"&amp;J$52,$B$14:$B$36&amp;"_"&amp;$C$14:$C$36,$D$14:$D$36)*$E1770)</f>
        <v>8</v>
      </c>
      <c r="K1770" s="95" cm="1">
        <f ca="1" t="array" ref="K1770">MIN(18,_xlfn.XLOOKUP($D1770&amp;"_"&amp;K$52,$B$14:$B$36&amp;"_"&amp;$C$14:$C$36,$D$14:$D$36)*$E1770)</f>
        <v>4.8944</v>
      </c>
      <c r="L1770" s="95" cm="1">
        <f ca="1" t="array" ref="L1770">MIN(6,_xlfn.XLOOKUP($D1770&amp;"_"&amp;L$52,$B$14:$B$36&amp;"_"&amp;$C$14:$C$36,$D$14:$D$36)*$E1770)</f>
        <v>6</v>
      </c>
      <c r="M1770" s="95" cm="1">
        <f ca="1" t="array" ref="M1770">(1+SUMPRODUCT(G1770:H1770,OFFSET($H$40:$I$40,D1770,0)))*(1+OFFSET($J$40,D1770,0))^I1770*(1+OFFSET($K$40,D1770,0))^J1770*(1+OFFSET($L$40,D1770,0))^K1770*(1+OFFSET($M$40,D1770,0))^L1770</f>
        <v>383.342200865427</v>
      </c>
      <c r="N1770" s="95">
        <f ca="1">MAX(MAX($N$53:N1769),OFFSET($C$52,MATCH(M1770*1.07,$M$53:$M$2052,1),0)-C1770)</f>
        <v>72720</v>
      </c>
    </row>
    <row r="1771" spans="2:14">
      <c r="B1771" s="95">
        <v>1719</v>
      </c>
      <c r="C1771" s="95">
        <f t="shared" si="135"/>
        <v>618840</v>
      </c>
      <c r="D1771" s="95">
        <f ca="1">_xlfn.XLOOKUP(总览!$B$44,$B$40:$B$45,$C$40:$C$45)</f>
        <v>5</v>
      </c>
      <c r="E1771" s="95">
        <f ca="1" t="shared" si="134"/>
        <v>1749</v>
      </c>
      <c r="F1771" s="95">
        <f ca="1" t="shared" si="136"/>
        <v>0</v>
      </c>
      <c r="G1771" s="95">
        <f ca="1" t="shared" si="137"/>
        <v>0</v>
      </c>
      <c r="H1771" s="95" cm="1">
        <f ca="1" t="array" ref="H1771">MIN(30-SUM(I1771:L1771),_xlfn.XLOOKUP($D1771&amp;"_"&amp;H$52,$B$14:$B$36&amp;"_"&amp;$C$14:$C$36,$D$14:$D$36)*$E1771,18)</f>
        <v>11.1028</v>
      </c>
      <c r="I1771" s="95" cm="1">
        <f ca="1" t="array" ref="I1771">MIN(30-SUM(J1771:L1771),6-L1771,_xlfn.XLOOKUP($D1771&amp;"_"&amp;I$52,$B$14:$B$36&amp;"_"&amp;$C$14:$C$36,$D$14:$D$36)*$E1771)</f>
        <v>0</v>
      </c>
      <c r="J1771" s="95" cm="1">
        <f ca="1" t="array" ref="J1771">MIN(8,_xlfn.XLOOKUP($D1771&amp;"_"&amp;J$52,$B$14:$B$36&amp;"_"&amp;$C$14:$C$36,$D$14:$D$36)*$E1771)</f>
        <v>8</v>
      </c>
      <c r="K1771" s="95" cm="1">
        <f ca="1" t="array" ref="K1771">MIN(18,_xlfn.XLOOKUP($D1771&amp;"_"&amp;K$52,$B$14:$B$36&amp;"_"&amp;$C$14:$C$36,$D$14:$D$36)*$E1771)</f>
        <v>4.8972</v>
      </c>
      <c r="L1771" s="95" cm="1">
        <f ca="1" t="array" ref="L1771">MIN(6,_xlfn.XLOOKUP($D1771&amp;"_"&amp;L$52,$B$14:$B$36&amp;"_"&amp;$C$14:$C$36,$D$14:$D$36)*$E1771)</f>
        <v>6</v>
      </c>
      <c r="M1771" s="95" cm="1">
        <f ca="1" t="array" ref="M1771">(1+SUMPRODUCT(G1771:H1771,OFFSET($H$40:$I$40,D1771,0)))*(1+OFFSET($J$40,D1771,0))^I1771*(1+OFFSET($K$40,D1771,0))^J1771*(1+OFFSET($L$40,D1771,0))^K1771*(1+OFFSET($M$40,D1771,0))^L1771</f>
        <v>383.471268097659</v>
      </c>
      <c r="N1771" s="95">
        <f ca="1">MAX(MAX($N$53:N1770),OFFSET($C$52,MATCH(M1771*1.07,$M$53:$M$2052,1),0)-C1771)</f>
        <v>72720</v>
      </c>
    </row>
    <row r="1772" spans="2:14">
      <c r="B1772" s="95">
        <v>1720</v>
      </c>
      <c r="C1772" s="95">
        <f t="shared" si="135"/>
        <v>619200</v>
      </c>
      <c r="D1772" s="95">
        <f ca="1">_xlfn.XLOOKUP(总览!$B$44,$B$40:$B$45,$C$40:$C$45)</f>
        <v>5</v>
      </c>
      <c r="E1772" s="95">
        <f ca="1" t="shared" si="134"/>
        <v>1750</v>
      </c>
      <c r="F1772" s="95">
        <f ca="1" t="shared" si="136"/>
        <v>0</v>
      </c>
      <c r="G1772" s="95">
        <f ca="1" t="shared" si="137"/>
        <v>0</v>
      </c>
      <c r="H1772" s="95" cm="1">
        <f ca="1" t="array" ref="H1772">MIN(30-SUM(I1772:L1772),_xlfn.XLOOKUP($D1772&amp;"_"&amp;H$52,$B$14:$B$36&amp;"_"&amp;$C$14:$C$36,$D$14:$D$36)*$E1772,18)</f>
        <v>11.1</v>
      </c>
      <c r="I1772" s="95" cm="1">
        <f ca="1" t="array" ref="I1772">MIN(30-SUM(J1772:L1772),6-L1772,_xlfn.XLOOKUP($D1772&amp;"_"&amp;I$52,$B$14:$B$36&amp;"_"&amp;$C$14:$C$36,$D$14:$D$36)*$E1772)</f>
        <v>0</v>
      </c>
      <c r="J1772" s="95" cm="1">
        <f ca="1" t="array" ref="J1772">MIN(8,_xlfn.XLOOKUP($D1772&amp;"_"&amp;J$52,$B$14:$B$36&amp;"_"&amp;$C$14:$C$36,$D$14:$D$36)*$E1772)</f>
        <v>8</v>
      </c>
      <c r="K1772" s="95" cm="1">
        <f ca="1" t="array" ref="K1772">MIN(18,_xlfn.XLOOKUP($D1772&amp;"_"&amp;K$52,$B$14:$B$36&amp;"_"&amp;$C$14:$C$36,$D$14:$D$36)*$E1772)</f>
        <v>4.9</v>
      </c>
      <c r="L1772" s="95" cm="1">
        <f ca="1" t="array" ref="L1772">MIN(6,_xlfn.XLOOKUP($D1772&amp;"_"&amp;L$52,$B$14:$B$36&amp;"_"&amp;$C$14:$C$36,$D$14:$D$36)*$E1772)</f>
        <v>6</v>
      </c>
      <c r="M1772" s="95" cm="1">
        <f ca="1" t="array" ref="M1772">(1+SUMPRODUCT(G1772:H1772,OFFSET($H$40:$I$40,D1772,0)))*(1+OFFSET($J$40,D1772,0))^I1772*(1+OFFSET($K$40,D1772,0))^J1772*(1+OFFSET($L$40,D1772,0))^K1772*(1+OFFSET($M$40,D1772,0))^L1772</f>
        <v>383.600367187207</v>
      </c>
      <c r="N1772" s="95">
        <f ca="1">MAX(MAX($N$53:N1771),OFFSET($C$52,MATCH(M1772*1.07,$M$53:$M$2052,1),0)-C1772)</f>
        <v>72720</v>
      </c>
    </row>
    <row r="1773" spans="2:14">
      <c r="B1773" s="95">
        <v>1721</v>
      </c>
      <c r="C1773" s="95">
        <f t="shared" si="135"/>
        <v>619560</v>
      </c>
      <c r="D1773" s="95">
        <f ca="1">_xlfn.XLOOKUP(总览!$B$44,$B$40:$B$45,$C$40:$C$45)</f>
        <v>5</v>
      </c>
      <c r="E1773" s="95">
        <f ca="1" t="shared" si="134"/>
        <v>1751</v>
      </c>
      <c r="F1773" s="95">
        <f ca="1" t="shared" si="136"/>
        <v>0</v>
      </c>
      <c r="G1773" s="95">
        <f ca="1" t="shared" si="137"/>
        <v>0</v>
      </c>
      <c r="H1773" s="95" cm="1">
        <f ca="1" t="array" ref="H1773">MIN(30-SUM(I1773:L1773),_xlfn.XLOOKUP($D1773&amp;"_"&amp;H$52,$B$14:$B$36&amp;"_"&amp;$C$14:$C$36,$D$14:$D$36)*$E1773,18)</f>
        <v>11.0972</v>
      </c>
      <c r="I1773" s="95" cm="1">
        <f ca="1" t="array" ref="I1773">MIN(30-SUM(J1773:L1773),6-L1773,_xlfn.XLOOKUP($D1773&amp;"_"&amp;I$52,$B$14:$B$36&amp;"_"&amp;$C$14:$C$36,$D$14:$D$36)*$E1773)</f>
        <v>0</v>
      </c>
      <c r="J1773" s="95" cm="1">
        <f ca="1" t="array" ref="J1773">MIN(8,_xlfn.XLOOKUP($D1773&amp;"_"&amp;J$52,$B$14:$B$36&amp;"_"&amp;$C$14:$C$36,$D$14:$D$36)*$E1773)</f>
        <v>8</v>
      </c>
      <c r="K1773" s="95" cm="1">
        <f ca="1" t="array" ref="K1773">MIN(18,_xlfn.XLOOKUP($D1773&amp;"_"&amp;K$52,$B$14:$B$36&amp;"_"&amp;$C$14:$C$36,$D$14:$D$36)*$E1773)</f>
        <v>4.9028</v>
      </c>
      <c r="L1773" s="95" cm="1">
        <f ca="1" t="array" ref="L1773">MIN(6,_xlfn.XLOOKUP($D1773&amp;"_"&amp;L$52,$B$14:$B$36&amp;"_"&amp;$C$14:$C$36,$D$14:$D$36)*$E1773)</f>
        <v>6</v>
      </c>
      <c r="M1773" s="95" cm="1">
        <f ca="1" t="array" ref="M1773">(1+SUMPRODUCT(G1773:H1773,OFFSET($H$40:$I$40,D1773,0)))*(1+OFFSET($J$40,D1773,0))^I1773*(1+OFFSET($K$40,D1773,0))^J1773*(1+OFFSET($L$40,D1773,0))^K1773*(1+OFFSET($M$40,D1773,0))^L1773</f>
        <v>383.729498132952</v>
      </c>
      <c r="N1773" s="95">
        <f ca="1">MAX(MAX($N$53:N1772),OFFSET($C$52,MATCH(M1773*1.07,$M$53:$M$2052,1),0)-C1773)</f>
        <v>72720</v>
      </c>
    </row>
    <row r="1774" spans="2:14">
      <c r="B1774" s="95">
        <v>1722</v>
      </c>
      <c r="C1774" s="95">
        <f t="shared" si="135"/>
        <v>619920</v>
      </c>
      <c r="D1774" s="95">
        <f ca="1">_xlfn.XLOOKUP(总览!$B$44,$B$40:$B$45,$C$40:$C$45)</f>
        <v>5</v>
      </c>
      <c r="E1774" s="95">
        <f ca="1" t="shared" si="134"/>
        <v>1752</v>
      </c>
      <c r="F1774" s="95">
        <f ca="1" t="shared" si="136"/>
        <v>0</v>
      </c>
      <c r="G1774" s="95">
        <f ca="1" t="shared" si="137"/>
        <v>0</v>
      </c>
      <c r="H1774" s="95" cm="1">
        <f ca="1" t="array" ref="H1774">MIN(30-SUM(I1774:L1774),_xlfn.XLOOKUP($D1774&amp;"_"&amp;H$52,$B$14:$B$36&amp;"_"&amp;$C$14:$C$36,$D$14:$D$36)*$E1774,18)</f>
        <v>11.0944</v>
      </c>
      <c r="I1774" s="95" cm="1">
        <f ca="1" t="array" ref="I1774">MIN(30-SUM(J1774:L1774),6-L1774,_xlfn.XLOOKUP($D1774&amp;"_"&amp;I$52,$B$14:$B$36&amp;"_"&amp;$C$14:$C$36,$D$14:$D$36)*$E1774)</f>
        <v>0</v>
      </c>
      <c r="J1774" s="95" cm="1">
        <f ca="1" t="array" ref="J1774">MIN(8,_xlfn.XLOOKUP($D1774&amp;"_"&amp;J$52,$B$14:$B$36&amp;"_"&amp;$C$14:$C$36,$D$14:$D$36)*$E1774)</f>
        <v>8</v>
      </c>
      <c r="K1774" s="95" cm="1">
        <f ca="1" t="array" ref="K1774">MIN(18,_xlfn.XLOOKUP($D1774&amp;"_"&amp;K$52,$B$14:$B$36&amp;"_"&amp;$C$14:$C$36,$D$14:$D$36)*$E1774)</f>
        <v>4.9056</v>
      </c>
      <c r="L1774" s="95" cm="1">
        <f ca="1" t="array" ref="L1774">MIN(6,_xlfn.XLOOKUP($D1774&amp;"_"&amp;L$52,$B$14:$B$36&amp;"_"&amp;$C$14:$C$36,$D$14:$D$36)*$E1774)</f>
        <v>6</v>
      </c>
      <c r="M1774" s="95" cm="1">
        <f ca="1" t="array" ref="M1774">(1+SUMPRODUCT(G1774:H1774,OFFSET($H$40:$I$40,D1774,0)))*(1+OFFSET($J$40,D1774,0))^I1774*(1+OFFSET($K$40,D1774,0))^J1774*(1+OFFSET($L$40,D1774,0))^K1774*(1+OFFSET($M$40,D1774,0))^L1774</f>
        <v>383.858660933765</v>
      </c>
      <c r="N1774" s="95">
        <f ca="1">MAX(MAX($N$53:N1773),OFFSET($C$52,MATCH(M1774*1.07,$M$53:$M$2052,1),0)-C1774)</f>
        <v>72720</v>
      </c>
    </row>
    <row r="1775" spans="2:14">
      <c r="B1775" s="95">
        <v>1723</v>
      </c>
      <c r="C1775" s="95">
        <f t="shared" si="135"/>
        <v>620280</v>
      </c>
      <c r="D1775" s="95">
        <f ca="1">_xlfn.XLOOKUP(总览!$B$44,$B$40:$B$45,$C$40:$C$45)</f>
        <v>5</v>
      </c>
      <c r="E1775" s="95">
        <f ca="1" t="shared" si="134"/>
        <v>1753</v>
      </c>
      <c r="F1775" s="95">
        <f ca="1" t="shared" si="136"/>
        <v>0</v>
      </c>
      <c r="G1775" s="95">
        <f ca="1" t="shared" si="137"/>
        <v>0</v>
      </c>
      <c r="H1775" s="95" cm="1">
        <f ca="1" t="array" ref="H1775">MIN(30-SUM(I1775:L1775),_xlfn.XLOOKUP($D1775&amp;"_"&amp;H$52,$B$14:$B$36&amp;"_"&amp;$C$14:$C$36,$D$14:$D$36)*$E1775,18)</f>
        <v>11.0916</v>
      </c>
      <c r="I1775" s="95" cm="1">
        <f ca="1" t="array" ref="I1775">MIN(30-SUM(J1775:L1775),6-L1775,_xlfn.XLOOKUP($D1775&amp;"_"&amp;I$52,$B$14:$B$36&amp;"_"&amp;$C$14:$C$36,$D$14:$D$36)*$E1775)</f>
        <v>0</v>
      </c>
      <c r="J1775" s="95" cm="1">
        <f ca="1" t="array" ref="J1775">MIN(8,_xlfn.XLOOKUP($D1775&amp;"_"&amp;J$52,$B$14:$B$36&amp;"_"&amp;$C$14:$C$36,$D$14:$D$36)*$E1775)</f>
        <v>8</v>
      </c>
      <c r="K1775" s="95" cm="1">
        <f ca="1" t="array" ref="K1775">MIN(18,_xlfn.XLOOKUP($D1775&amp;"_"&amp;K$52,$B$14:$B$36&amp;"_"&amp;$C$14:$C$36,$D$14:$D$36)*$E1775)</f>
        <v>4.9084</v>
      </c>
      <c r="L1775" s="95" cm="1">
        <f ca="1" t="array" ref="L1775">MIN(6,_xlfn.XLOOKUP($D1775&amp;"_"&amp;L$52,$B$14:$B$36&amp;"_"&amp;$C$14:$C$36,$D$14:$D$36)*$E1775)</f>
        <v>6</v>
      </c>
      <c r="M1775" s="95" cm="1">
        <f ca="1" t="array" ref="M1775">(1+SUMPRODUCT(G1775:H1775,OFFSET($H$40:$I$40,D1775,0)))*(1+OFFSET($J$40,D1775,0))^I1775*(1+OFFSET($K$40,D1775,0))^J1775*(1+OFFSET($L$40,D1775,0))^K1775*(1+OFFSET($M$40,D1775,0))^L1775</f>
        <v>383.98785558851</v>
      </c>
      <c r="N1775" s="95">
        <f ca="1">MAX(MAX($N$53:N1774),OFFSET($C$52,MATCH(M1775*1.07,$M$53:$M$2052,1),0)-C1775)</f>
        <v>72720</v>
      </c>
    </row>
    <row r="1776" spans="2:14">
      <c r="B1776" s="95">
        <v>1724</v>
      </c>
      <c r="C1776" s="95">
        <f t="shared" si="135"/>
        <v>620640</v>
      </c>
      <c r="D1776" s="95">
        <f ca="1">_xlfn.XLOOKUP(总览!$B$44,$B$40:$B$45,$C$40:$C$45)</f>
        <v>5</v>
      </c>
      <c r="E1776" s="95">
        <f ca="1" t="shared" si="134"/>
        <v>1754</v>
      </c>
      <c r="F1776" s="95">
        <f ca="1" t="shared" si="136"/>
        <v>0</v>
      </c>
      <c r="G1776" s="95">
        <f ca="1" t="shared" si="137"/>
        <v>0</v>
      </c>
      <c r="H1776" s="95" cm="1">
        <f ca="1" t="array" ref="H1776">MIN(30-SUM(I1776:L1776),_xlfn.XLOOKUP($D1776&amp;"_"&amp;H$52,$B$14:$B$36&amp;"_"&amp;$C$14:$C$36,$D$14:$D$36)*$E1776,18)</f>
        <v>11.0888</v>
      </c>
      <c r="I1776" s="95" cm="1">
        <f ca="1" t="array" ref="I1776">MIN(30-SUM(J1776:L1776),6-L1776,_xlfn.XLOOKUP($D1776&amp;"_"&amp;I$52,$B$14:$B$36&amp;"_"&amp;$C$14:$C$36,$D$14:$D$36)*$E1776)</f>
        <v>0</v>
      </c>
      <c r="J1776" s="95" cm="1">
        <f ca="1" t="array" ref="J1776">MIN(8,_xlfn.XLOOKUP($D1776&amp;"_"&amp;J$52,$B$14:$B$36&amp;"_"&amp;$C$14:$C$36,$D$14:$D$36)*$E1776)</f>
        <v>8</v>
      </c>
      <c r="K1776" s="95" cm="1">
        <f ca="1" t="array" ref="K1776">MIN(18,_xlfn.XLOOKUP($D1776&amp;"_"&amp;K$52,$B$14:$B$36&amp;"_"&amp;$C$14:$C$36,$D$14:$D$36)*$E1776)</f>
        <v>4.9112</v>
      </c>
      <c r="L1776" s="95" cm="1">
        <f ca="1" t="array" ref="L1776">MIN(6,_xlfn.XLOOKUP($D1776&amp;"_"&amp;L$52,$B$14:$B$36&amp;"_"&amp;$C$14:$C$36,$D$14:$D$36)*$E1776)</f>
        <v>6</v>
      </c>
      <c r="M1776" s="95" cm="1">
        <f ca="1" t="array" ref="M1776">(1+SUMPRODUCT(G1776:H1776,OFFSET($H$40:$I$40,D1776,0)))*(1+OFFSET($J$40,D1776,0))^I1776*(1+OFFSET($K$40,D1776,0))^J1776*(1+OFFSET($L$40,D1776,0))^K1776*(1+OFFSET($M$40,D1776,0))^L1776</f>
        <v>384.117082096038</v>
      </c>
      <c r="N1776" s="95">
        <f ca="1">MAX(MAX($N$53:N1775),OFFSET($C$52,MATCH(M1776*1.07,$M$53:$M$2052,1),0)-C1776)</f>
        <v>72720</v>
      </c>
    </row>
    <row r="1777" spans="2:14">
      <c r="B1777" s="95">
        <v>1725</v>
      </c>
      <c r="C1777" s="95">
        <f t="shared" si="135"/>
        <v>621000</v>
      </c>
      <c r="D1777" s="95">
        <f ca="1">_xlfn.XLOOKUP(总览!$B$44,$B$40:$B$45,$C$40:$C$45)</f>
        <v>5</v>
      </c>
      <c r="E1777" s="95">
        <f ca="1" t="shared" si="134"/>
        <v>1755</v>
      </c>
      <c r="F1777" s="95">
        <f ca="1" t="shared" si="136"/>
        <v>0</v>
      </c>
      <c r="G1777" s="95">
        <f ca="1" t="shared" si="137"/>
        <v>0</v>
      </c>
      <c r="H1777" s="95" cm="1">
        <f ca="1" t="array" ref="H1777">MIN(30-SUM(I1777:L1777),_xlfn.XLOOKUP($D1777&amp;"_"&amp;H$52,$B$14:$B$36&amp;"_"&amp;$C$14:$C$36,$D$14:$D$36)*$E1777,18)</f>
        <v>11.086</v>
      </c>
      <c r="I1777" s="95" cm="1">
        <f ca="1" t="array" ref="I1777">MIN(30-SUM(J1777:L1777),6-L1777,_xlfn.XLOOKUP($D1777&amp;"_"&amp;I$52,$B$14:$B$36&amp;"_"&amp;$C$14:$C$36,$D$14:$D$36)*$E1777)</f>
        <v>0</v>
      </c>
      <c r="J1777" s="95" cm="1">
        <f ca="1" t="array" ref="J1777">MIN(8,_xlfn.XLOOKUP($D1777&amp;"_"&amp;J$52,$B$14:$B$36&amp;"_"&amp;$C$14:$C$36,$D$14:$D$36)*$E1777)</f>
        <v>8</v>
      </c>
      <c r="K1777" s="95" cm="1">
        <f ca="1" t="array" ref="K1777">MIN(18,_xlfn.XLOOKUP($D1777&amp;"_"&amp;K$52,$B$14:$B$36&amp;"_"&amp;$C$14:$C$36,$D$14:$D$36)*$E1777)</f>
        <v>4.914</v>
      </c>
      <c r="L1777" s="95" cm="1">
        <f ca="1" t="array" ref="L1777">MIN(6,_xlfn.XLOOKUP($D1777&amp;"_"&amp;L$52,$B$14:$B$36&amp;"_"&amp;$C$14:$C$36,$D$14:$D$36)*$E1777)</f>
        <v>6</v>
      </c>
      <c r="M1777" s="95" cm="1">
        <f ca="1" t="array" ref="M1777">(1+SUMPRODUCT(G1777:H1777,OFFSET($H$40:$I$40,D1777,0)))*(1+OFFSET($J$40,D1777,0))^I1777*(1+OFFSET($K$40,D1777,0))^J1777*(1+OFFSET($L$40,D1777,0))^K1777*(1+OFFSET($M$40,D1777,0))^L1777</f>
        <v>384.246340455193</v>
      </c>
      <c r="N1777" s="95">
        <f ca="1">MAX(MAX($N$53:N1776),OFFSET($C$52,MATCH(M1777*1.07,$M$53:$M$2052,1),0)-C1777)</f>
        <v>73080</v>
      </c>
    </row>
    <row r="1778" spans="2:14">
      <c r="B1778" s="95">
        <v>1726</v>
      </c>
      <c r="C1778" s="95">
        <f t="shared" si="135"/>
        <v>621360</v>
      </c>
      <c r="D1778" s="95">
        <f ca="1">_xlfn.XLOOKUP(总览!$B$44,$B$40:$B$45,$C$40:$C$45)</f>
        <v>5</v>
      </c>
      <c r="E1778" s="95">
        <f ca="1" t="shared" si="134"/>
        <v>1756</v>
      </c>
      <c r="F1778" s="95">
        <f ca="1" t="shared" si="136"/>
        <v>0</v>
      </c>
      <c r="G1778" s="95">
        <f ca="1" t="shared" si="137"/>
        <v>0</v>
      </c>
      <c r="H1778" s="95" cm="1">
        <f ca="1" t="array" ref="H1778">MIN(30-SUM(I1778:L1778),_xlfn.XLOOKUP($D1778&amp;"_"&amp;H$52,$B$14:$B$36&amp;"_"&amp;$C$14:$C$36,$D$14:$D$36)*$E1778,18)</f>
        <v>11.0832</v>
      </c>
      <c r="I1778" s="95" cm="1">
        <f ca="1" t="array" ref="I1778">MIN(30-SUM(J1778:L1778),6-L1778,_xlfn.XLOOKUP($D1778&amp;"_"&amp;I$52,$B$14:$B$36&amp;"_"&amp;$C$14:$C$36,$D$14:$D$36)*$E1778)</f>
        <v>0</v>
      </c>
      <c r="J1778" s="95" cm="1">
        <f ca="1" t="array" ref="J1778">MIN(8,_xlfn.XLOOKUP($D1778&amp;"_"&amp;J$52,$B$14:$B$36&amp;"_"&amp;$C$14:$C$36,$D$14:$D$36)*$E1778)</f>
        <v>8</v>
      </c>
      <c r="K1778" s="95" cm="1">
        <f ca="1" t="array" ref="K1778">MIN(18,_xlfn.XLOOKUP($D1778&amp;"_"&amp;K$52,$B$14:$B$36&amp;"_"&amp;$C$14:$C$36,$D$14:$D$36)*$E1778)</f>
        <v>4.9168</v>
      </c>
      <c r="L1778" s="95" cm="1">
        <f ca="1" t="array" ref="L1778">MIN(6,_xlfn.XLOOKUP($D1778&amp;"_"&amp;L$52,$B$14:$B$36&amp;"_"&amp;$C$14:$C$36,$D$14:$D$36)*$E1778)</f>
        <v>6</v>
      </c>
      <c r="M1778" s="95" cm="1">
        <f ca="1" t="array" ref="M1778">(1+SUMPRODUCT(G1778:H1778,OFFSET($H$40:$I$40,D1778,0)))*(1+OFFSET($J$40,D1778,0))^I1778*(1+OFFSET($K$40,D1778,0))^J1778*(1+OFFSET($L$40,D1778,0))^K1778*(1+OFFSET($M$40,D1778,0))^L1778</f>
        <v>384.375630664809</v>
      </c>
      <c r="N1778" s="95">
        <f ca="1">MAX(MAX($N$53:N1777),OFFSET($C$52,MATCH(M1778*1.07,$M$53:$M$2052,1),0)-C1778)</f>
        <v>73080</v>
      </c>
    </row>
    <row r="1779" spans="2:14">
      <c r="B1779" s="95">
        <v>1727</v>
      </c>
      <c r="C1779" s="95">
        <f t="shared" si="135"/>
        <v>621720</v>
      </c>
      <c r="D1779" s="95">
        <f ca="1">_xlfn.XLOOKUP(总览!$B$44,$B$40:$B$45,$C$40:$C$45)</f>
        <v>5</v>
      </c>
      <c r="E1779" s="95">
        <f ca="1" t="shared" si="134"/>
        <v>1757</v>
      </c>
      <c r="F1779" s="95">
        <f ca="1" t="shared" si="136"/>
        <v>0</v>
      </c>
      <c r="G1779" s="95">
        <f ca="1" t="shared" si="137"/>
        <v>0</v>
      </c>
      <c r="H1779" s="95" cm="1">
        <f ca="1" t="array" ref="H1779">MIN(30-SUM(I1779:L1779),_xlfn.XLOOKUP($D1779&amp;"_"&amp;H$52,$B$14:$B$36&amp;"_"&amp;$C$14:$C$36,$D$14:$D$36)*$E1779,18)</f>
        <v>11.0804</v>
      </c>
      <c r="I1779" s="95" cm="1">
        <f ca="1" t="array" ref="I1779">MIN(30-SUM(J1779:L1779),6-L1779,_xlfn.XLOOKUP($D1779&amp;"_"&amp;I$52,$B$14:$B$36&amp;"_"&amp;$C$14:$C$36,$D$14:$D$36)*$E1779)</f>
        <v>0</v>
      </c>
      <c r="J1779" s="95" cm="1">
        <f ca="1" t="array" ref="J1779">MIN(8,_xlfn.XLOOKUP($D1779&amp;"_"&amp;J$52,$B$14:$B$36&amp;"_"&amp;$C$14:$C$36,$D$14:$D$36)*$E1779)</f>
        <v>8</v>
      </c>
      <c r="K1779" s="95" cm="1">
        <f ca="1" t="array" ref="K1779">MIN(18,_xlfn.XLOOKUP($D1779&amp;"_"&amp;K$52,$B$14:$B$36&amp;"_"&amp;$C$14:$C$36,$D$14:$D$36)*$E1779)</f>
        <v>4.9196</v>
      </c>
      <c r="L1779" s="95" cm="1">
        <f ca="1" t="array" ref="L1779">MIN(6,_xlfn.XLOOKUP($D1779&amp;"_"&amp;L$52,$B$14:$B$36&amp;"_"&amp;$C$14:$C$36,$D$14:$D$36)*$E1779)</f>
        <v>6</v>
      </c>
      <c r="M1779" s="95" cm="1">
        <f ca="1" t="array" ref="M1779">(1+SUMPRODUCT(G1779:H1779,OFFSET($H$40:$I$40,D1779,0)))*(1+OFFSET($J$40,D1779,0))^I1779*(1+OFFSET($K$40,D1779,0))^J1779*(1+OFFSET($L$40,D1779,0))^K1779*(1+OFFSET($M$40,D1779,0))^L1779</f>
        <v>384.50495272371</v>
      </c>
      <c r="N1779" s="95">
        <f ca="1">MAX(MAX($N$53:N1778),OFFSET($C$52,MATCH(M1779*1.07,$M$53:$M$2052,1),0)-C1779)</f>
        <v>73080</v>
      </c>
    </row>
    <row r="1780" spans="2:14">
      <c r="B1780" s="95">
        <v>1728</v>
      </c>
      <c r="C1780" s="95">
        <f t="shared" si="135"/>
        <v>622080</v>
      </c>
      <c r="D1780" s="95">
        <f ca="1">_xlfn.XLOOKUP(总览!$B$44,$B$40:$B$45,$C$40:$C$45)</f>
        <v>5</v>
      </c>
      <c r="E1780" s="95">
        <f ca="1" t="shared" si="134"/>
        <v>1758</v>
      </c>
      <c r="F1780" s="95">
        <f ca="1" t="shared" si="136"/>
        <v>0</v>
      </c>
      <c r="G1780" s="95">
        <f ca="1" t="shared" si="137"/>
        <v>0</v>
      </c>
      <c r="H1780" s="95" cm="1">
        <f ca="1" t="array" ref="H1780">MIN(30-SUM(I1780:L1780),_xlfn.XLOOKUP($D1780&amp;"_"&amp;H$52,$B$14:$B$36&amp;"_"&amp;$C$14:$C$36,$D$14:$D$36)*$E1780,18)</f>
        <v>11.0776</v>
      </c>
      <c r="I1780" s="95" cm="1">
        <f ca="1" t="array" ref="I1780">MIN(30-SUM(J1780:L1780),6-L1780,_xlfn.XLOOKUP($D1780&amp;"_"&amp;I$52,$B$14:$B$36&amp;"_"&amp;$C$14:$C$36,$D$14:$D$36)*$E1780)</f>
        <v>0</v>
      </c>
      <c r="J1780" s="95" cm="1">
        <f ca="1" t="array" ref="J1780">MIN(8,_xlfn.XLOOKUP($D1780&amp;"_"&amp;J$52,$B$14:$B$36&amp;"_"&amp;$C$14:$C$36,$D$14:$D$36)*$E1780)</f>
        <v>8</v>
      </c>
      <c r="K1780" s="95" cm="1">
        <f ca="1" t="array" ref="K1780">MIN(18,_xlfn.XLOOKUP($D1780&amp;"_"&amp;K$52,$B$14:$B$36&amp;"_"&amp;$C$14:$C$36,$D$14:$D$36)*$E1780)</f>
        <v>4.9224</v>
      </c>
      <c r="L1780" s="95" cm="1">
        <f ca="1" t="array" ref="L1780">MIN(6,_xlfn.XLOOKUP($D1780&amp;"_"&amp;L$52,$B$14:$B$36&amp;"_"&amp;$C$14:$C$36,$D$14:$D$36)*$E1780)</f>
        <v>6</v>
      </c>
      <c r="M1780" s="95" cm="1">
        <f ca="1" t="array" ref="M1780">(1+SUMPRODUCT(G1780:H1780,OFFSET($H$40:$I$40,D1780,0)))*(1+OFFSET($J$40,D1780,0))^I1780*(1+OFFSET($K$40,D1780,0))^J1780*(1+OFFSET($L$40,D1780,0))^K1780*(1+OFFSET($M$40,D1780,0))^L1780</f>
        <v>384.634306630711</v>
      </c>
      <c r="N1780" s="95">
        <f ca="1">MAX(MAX($N$53:N1779),OFFSET($C$52,MATCH(M1780*1.07,$M$53:$M$2052,1),0)-C1780)</f>
        <v>73080</v>
      </c>
    </row>
    <row r="1781" spans="2:14">
      <c r="B1781" s="95">
        <v>1729</v>
      </c>
      <c r="C1781" s="95">
        <f t="shared" si="135"/>
        <v>622440</v>
      </c>
      <c r="D1781" s="95">
        <f ca="1">_xlfn.XLOOKUP(总览!$B$44,$B$40:$B$45,$C$40:$C$45)</f>
        <v>5</v>
      </c>
      <c r="E1781" s="95">
        <f ca="1" t="shared" si="134"/>
        <v>1759</v>
      </c>
      <c r="F1781" s="95">
        <f ca="1" t="shared" si="136"/>
        <v>0</v>
      </c>
      <c r="G1781" s="95">
        <f ca="1" t="shared" si="137"/>
        <v>0</v>
      </c>
      <c r="H1781" s="95" cm="1">
        <f ca="1" t="array" ref="H1781">MIN(30-SUM(I1781:L1781),_xlfn.XLOOKUP($D1781&amp;"_"&amp;H$52,$B$14:$B$36&amp;"_"&amp;$C$14:$C$36,$D$14:$D$36)*$E1781,18)</f>
        <v>11.0748</v>
      </c>
      <c r="I1781" s="95" cm="1">
        <f ca="1" t="array" ref="I1781">MIN(30-SUM(J1781:L1781),6-L1781,_xlfn.XLOOKUP($D1781&amp;"_"&amp;I$52,$B$14:$B$36&amp;"_"&amp;$C$14:$C$36,$D$14:$D$36)*$E1781)</f>
        <v>0</v>
      </c>
      <c r="J1781" s="95" cm="1">
        <f ca="1" t="array" ref="J1781">MIN(8,_xlfn.XLOOKUP($D1781&amp;"_"&amp;J$52,$B$14:$B$36&amp;"_"&amp;$C$14:$C$36,$D$14:$D$36)*$E1781)</f>
        <v>8</v>
      </c>
      <c r="K1781" s="95" cm="1">
        <f ca="1" t="array" ref="K1781">MIN(18,_xlfn.XLOOKUP($D1781&amp;"_"&amp;K$52,$B$14:$B$36&amp;"_"&amp;$C$14:$C$36,$D$14:$D$36)*$E1781)</f>
        <v>4.9252</v>
      </c>
      <c r="L1781" s="95" cm="1">
        <f ca="1" t="array" ref="L1781">MIN(6,_xlfn.XLOOKUP($D1781&amp;"_"&amp;L$52,$B$14:$B$36&amp;"_"&amp;$C$14:$C$36,$D$14:$D$36)*$E1781)</f>
        <v>6</v>
      </c>
      <c r="M1781" s="95" cm="1">
        <f ca="1" t="array" ref="M1781">(1+SUMPRODUCT(G1781:H1781,OFFSET($H$40:$I$40,D1781,0)))*(1+OFFSET($J$40,D1781,0))^I1781*(1+OFFSET($K$40,D1781,0))^J1781*(1+OFFSET($L$40,D1781,0))^K1781*(1+OFFSET($M$40,D1781,0))^L1781</f>
        <v>384.763692384618</v>
      </c>
      <c r="N1781" s="95">
        <f ca="1">MAX(MAX($N$53:N1780),OFFSET($C$52,MATCH(M1781*1.07,$M$53:$M$2052,1),0)-C1781)</f>
        <v>73080</v>
      </c>
    </row>
    <row r="1782" spans="2:14">
      <c r="B1782" s="95">
        <v>1730</v>
      </c>
      <c r="C1782" s="95">
        <f t="shared" si="135"/>
        <v>622800</v>
      </c>
      <c r="D1782" s="95">
        <f ca="1">_xlfn.XLOOKUP(总览!$B$44,$B$40:$B$45,$C$40:$C$45)</f>
        <v>5</v>
      </c>
      <c r="E1782" s="95">
        <f ca="1" t="shared" ref="E1782:E1845" si="138">INT(C1782/_xlfn.XLOOKUP(D1782,$N$5:$N$16,$O$5:$O$16))+OFFSET($R$40,D1782,0)</f>
        <v>1760</v>
      </c>
      <c r="F1782" s="95">
        <f ca="1" t="shared" si="136"/>
        <v>0</v>
      </c>
      <c r="G1782" s="95">
        <f ca="1" t="shared" si="137"/>
        <v>0</v>
      </c>
      <c r="H1782" s="95" cm="1">
        <f ca="1" t="array" ref="H1782">MIN(30-SUM(I1782:L1782),_xlfn.XLOOKUP($D1782&amp;"_"&amp;H$52,$B$14:$B$36&amp;"_"&amp;$C$14:$C$36,$D$14:$D$36)*$E1782,18)</f>
        <v>11.072</v>
      </c>
      <c r="I1782" s="95" cm="1">
        <f ca="1" t="array" ref="I1782">MIN(30-SUM(J1782:L1782),6-L1782,_xlfn.XLOOKUP($D1782&amp;"_"&amp;I$52,$B$14:$B$36&amp;"_"&amp;$C$14:$C$36,$D$14:$D$36)*$E1782)</f>
        <v>0</v>
      </c>
      <c r="J1782" s="95" cm="1">
        <f ca="1" t="array" ref="J1782">MIN(8,_xlfn.XLOOKUP($D1782&amp;"_"&amp;J$52,$B$14:$B$36&amp;"_"&amp;$C$14:$C$36,$D$14:$D$36)*$E1782)</f>
        <v>8</v>
      </c>
      <c r="K1782" s="95" cm="1">
        <f ca="1" t="array" ref="K1782">MIN(18,_xlfn.XLOOKUP($D1782&amp;"_"&amp;K$52,$B$14:$B$36&amp;"_"&amp;$C$14:$C$36,$D$14:$D$36)*$E1782)</f>
        <v>4.928</v>
      </c>
      <c r="L1782" s="95" cm="1">
        <f ca="1" t="array" ref="L1782">MIN(6,_xlfn.XLOOKUP($D1782&amp;"_"&amp;L$52,$B$14:$B$36&amp;"_"&amp;$C$14:$C$36,$D$14:$D$36)*$E1782)</f>
        <v>6</v>
      </c>
      <c r="M1782" s="95" cm="1">
        <f ca="1" t="array" ref="M1782">(1+SUMPRODUCT(G1782:H1782,OFFSET($H$40:$I$40,D1782,0)))*(1+OFFSET($J$40,D1782,0))^I1782*(1+OFFSET($K$40,D1782,0))^J1782*(1+OFFSET($L$40,D1782,0))^K1782*(1+OFFSET($M$40,D1782,0))^L1782</f>
        <v>384.893109984226</v>
      </c>
      <c r="N1782" s="95">
        <f ca="1">MAX(MAX($N$53:N1781),OFFSET($C$52,MATCH(M1782*1.07,$M$53:$M$2052,1),0)-C1782)</f>
        <v>73080</v>
      </c>
    </row>
    <row r="1783" spans="2:14">
      <c r="B1783" s="95">
        <v>1731</v>
      </c>
      <c r="C1783" s="95">
        <f t="shared" si="135"/>
        <v>623160</v>
      </c>
      <c r="D1783" s="95">
        <f ca="1">_xlfn.XLOOKUP(总览!$B$44,$B$40:$B$45,$C$40:$C$45)</f>
        <v>5</v>
      </c>
      <c r="E1783" s="95">
        <f ca="1" t="shared" si="138"/>
        <v>1761</v>
      </c>
      <c r="F1783" s="95">
        <f ca="1" t="shared" si="136"/>
        <v>0</v>
      </c>
      <c r="G1783" s="95">
        <f ca="1" t="shared" si="137"/>
        <v>0</v>
      </c>
      <c r="H1783" s="95" cm="1">
        <f ca="1" t="array" ref="H1783">MIN(30-SUM(I1783:L1783),_xlfn.XLOOKUP($D1783&amp;"_"&amp;H$52,$B$14:$B$36&amp;"_"&amp;$C$14:$C$36,$D$14:$D$36)*$E1783,18)</f>
        <v>11.0692</v>
      </c>
      <c r="I1783" s="95" cm="1">
        <f ca="1" t="array" ref="I1783">MIN(30-SUM(J1783:L1783),6-L1783,_xlfn.XLOOKUP($D1783&amp;"_"&amp;I$52,$B$14:$B$36&amp;"_"&amp;$C$14:$C$36,$D$14:$D$36)*$E1783)</f>
        <v>0</v>
      </c>
      <c r="J1783" s="95" cm="1">
        <f ca="1" t="array" ref="J1783">MIN(8,_xlfn.XLOOKUP($D1783&amp;"_"&amp;J$52,$B$14:$B$36&amp;"_"&amp;$C$14:$C$36,$D$14:$D$36)*$E1783)</f>
        <v>8</v>
      </c>
      <c r="K1783" s="95" cm="1">
        <f ca="1" t="array" ref="K1783">MIN(18,_xlfn.XLOOKUP($D1783&amp;"_"&amp;K$52,$B$14:$B$36&amp;"_"&amp;$C$14:$C$36,$D$14:$D$36)*$E1783)</f>
        <v>4.9308</v>
      </c>
      <c r="L1783" s="95" cm="1">
        <f ca="1" t="array" ref="L1783">MIN(6,_xlfn.XLOOKUP($D1783&amp;"_"&amp;L$52,$B$14:$B$36&amp;"_"&amp;$C$14:$C$36,$D$14:$D$36)*$E1783)</f>
        <v>6</v>
      </c>
      <c r="M1783" s="95" cm="1">
        <f ca="1" t="array" ref="M1783">(1+SUMPRODUCT(G1783:H1783,OFFSET($H$40:$I$40,D1783,0)))*(1+OFFSET($J$40,D1783,0))^I1783*(1+OFFSET($K$40,D1783,0))^J1783*(1+OFFSET($L$40,D1783,0))^K1783*(1+OFFSET($M$40,D1783,0))^L1783</f>
        <v>385.022559428321</v>
      </c>
      <c r="N1783" s="95">
        <f ca="1">MAX(MAX($N$53:N1782),OFFSET($C$52,MATCH(M1783*1.07,$M$53:$M$2052,1),0)-C1783)</f>
        <v>73080</v>
      </c>
    </row>
    <row r="1784" spans="2:14">
      <c r="B1784" s="95">
        <v>1732</v>
      </c>
      <c r="C1784" s="95">
        <f t="shared" si="135"/>
        <v>623520</v>
      </c>
      <c r="D1784" s="95">
        <f ca="1">_xlfn.XLOOKUP(总览!$B$44,$B$40:$B$45,$C$40:$C$45)</f>
        <v>5</v>
      </c>
      <c r="E1784" s="95">
        <f ca="1" t="shared" si="138"/>
        <v>1762</v>
      </c>
      <c r="F1784" s="95">
        <f ca="1" t="shared" si="136"/>
        <v>0</v>
      </c>
      <c r="G1784" s="95">
        <f ca="1" t="shared" si="137"/>
        <v>0</v>
      </c>
      <c r="H1784" s="95" cm="1">
        <f ca="1" t="array" ref="H1784">MIN(30-SUM(I1784:L1784),_xlfn.XLOOKUP($D1784&amp;"_"&amp;H$52,$B$14:$B$36&amp;"_"&amp;$C$14:$C$36,$D$14:$D$36)*$E1784,18)</f>
        <v>11.0664</v>
      </c>
      <c r="I1784" s="95" cm="1">
        <f ca="1" t="array" ref="I1784">MIN(30-SUM(J1784:L1784),6-L1784,_xlfn.XLOOKUP($D1784&amp;"_"&amp;I$52,$B$14:$B$36&amp;"_"&amp;$C$14:$C$36,$D$14:$D$36)*$E1784)</f>
        <v>0</v>
      </c>
      <c r="J1784" s="95" cm="1">
        <f ca="1" t="array" ref="J1784">MIN(8,_xlfn.XLOOKUP($D1784&amp;"_"&amp;J$52,$B$14:$B$36&amp;"_"&amp;$C$14:$C$36,$D$14:$D$36)*$E1784)</f>
        <v>8</v>
      </c>
      <c r="K1784" s="95" cm="1">
        <f ca="1" t="array" ref="K1784">MIN(18,_xlfn.XLOOKUP($D1784&amp;"_"&amp;K$52,$B$14:$B$36&amp;"_"&amp;$C$14:$C$36,$D$14:$D$36)*$E1784)</f>
        <v>4.9336</v>
      </c>
      <c r="L1784" s="95" cm="1">
        <f ca="1" t="array" ref="L1784">MIN(6,_xlfn.XLOOKUP($D1784&amp;"_"&amp;L$52,$B$14:$B$36&amp;"_"&amp;$C$14:$C$36,$D$14:$D$36)*$E1784)</f>
        <v>6</v>
      </c>
      <c r="M1784" s="95" cm="1">
        <f ca="1" t="array" ref="M1784">(1+SUMPRODUCT(G1784:H1784,OFFSET($H$40:$I$40,D1784,0)))*(1+OFFSET($J$40,D1784,0))^I1784*(1+OFFSET($K$40,D1784,0))^J1784*(1+OFFSET($L$40,D1784,0))^K1784*(1+OFFSET($M$40,D1784,0))^L1784</f>
        <v>385.152040715681</v>
      </c>
      <c r="N1784" s="95">
        <f ca="1">MAX(MAX($N$53:N1783),OFFSET($C$52,MATCH(M1784*1.07,$M$53:$M$2052,1),0)-C1784)</f>
        <v>73080</v>
      </c>
    </row>
    <row r="1785" spans="2:14">
      <c r="B1785" s="95">
        <v>1733</v>
      </c>
      <c r="C1785" s="95">
        <f t="shared" si="135"/>
        <v>623880</v>
      </c>
      <c r="D1785" s="95">
        <f ca="1">_xlfn.XLOOKUP(总览!$B$44,$B$40:$B$45,$C$40:$C$45)</f>
        <v>5</v>
      </c>
      <c r="E1785" s="95">
        <f ca="1" t="shared" si="138"/>
        <v>1763</v>
      </c>
      <c r="F1785" s="95">
        <f ca="1" t="shared" si="136"/>
        <v>0</v>
      </c>
      <c r="G1785" s="95">
        <f ca="1" t="shared" si="137"/>
        <v>0</v>
      </c>
      <c r="H1785" s="95" cm="1">
        <f ca="1" t="array" ref="H1785">MIN(30-SUM(I1785:L1785),_xlfn.XLOOKUP($D1785&amp;"_"&amp;H$52,$B$14:$B$36&amp;"_"&amp;$C$14:$C$36,$D$14:$D$36)*$E1785,18)</f>
        <v>11.0636</v>
      </c>
      <c r="I1785" s="95" cm="1">
        <f ca="1" t="array" ref="I1785">MIN(30-SUM(J1785:L1785),6-L1785,_xlfn.XLOOKUP($D1785&amp;"_"&amp;I$52,$B$14:$B$36&amp;"_"&amp;$C$14:$C$36,$D$14:$D$36)*$E1785)</f>
        <v>0</v>
      </c>
      <c r="J1785" s="95" cm="1">
        <f ca="1" t="array" ref="J1785">MIN(8,_xlfn.XLOOKUP($D1785&amp;"_"&amp;J$52,$B$14:$B$36&amp;"_"&amp;$C$14:$C$36,$D$14:$D$36)*$E1785)</f>
        <v>8</v>
      </c>
      <c r="K1785" s="95" cm="1">
        <f ca="1" t="array" ref="K1785">MIN(18,_xlfn.XLOOKUP($D1785&amp;"_"&amp;K$52,$B$14:$B$36&amp;"_"&amp;$C$14:$C$36,$D$14:$D$36)*$E1785)</f>
        <v>4.9364</v>
      </c>
      <c r="L1785" s="95" cm="1">
        <f ca="1" t="array" ref="L1785">MIN(6,_xlfn.XLOOKUP($D1785&amp;"_"&amp;L$52,$B$14:$B$36&amp;"_"&amp;$C$14:$C$36,$D$14:$D$36)*$E1785)</f>
        <v>6</v>
      </c>
      <c r="M1785" s="95" cm="1">
        <f ca="1" t="array" ref="M1785">(1+SUMPRODUCT(G1785:H1785,OFFSET($H$40:$I$40,D1785,0)))*(1+OFFSET($J$40,D1785,0))^I1785*(1+OFFSET($K$40,D1785,0))^J1785*(1+OFFSET($L$40,D1785,0))^K1785*(1+OFFSET($M$40,D1785,0))^L1785</f>
        <v>385.281553845072</v>
      </c>
      <c r="N1785" s="95">
        <f ca="1">MAX(MAX($N$53:N1784),OFFSET($C$52,MATCH(M1785*1.07,$M$53:$M$2052,1),0)-C1785)</f>
        <v>73080</v>
      </c>
    </row>
    <row r="1786" spans="2:14">
      <c r="B1786" s="95">
        <v>1734</v>
      </c>
      <c r="C1786" s="95">
        <f t="shared" si="135"/>
        <v>624240</v>
      </c>
      <c r="D1786" s="95">
        <f ca="1">_xlfn.XLOOKUP(总览!$B$44,$B$40:$B$45,$C$40:$C$45)</f>
        <v>5</v>
      </c>
      <c r="E1786" s="95">
        <f ca="1" t="shared" si="138"/>
        <v>1764</v>
      </c>
      <c r="F1786" s="95">
        <f ca="1" t="shared" si="136"/>
        <v>0</v>
      </c>
      <c r="G1786" s="95">
        <f ca="1" t="shared" si="137"/>
        <v>0</v>
      </c>
      <c r="H1786" s="95" cm="1">
        <f ca="1" t="array" ref="H1786">MIN(30-SUM(I1786:L1786),_xlfn.XLOOKUP($D1786&amp;"_"&amp;H$52,$B$14:$B$36&amp;"_"&amp;$C$14:$C$36,$D$14:$D$36)*$E1786,18)</f>
        <v>11.0608</v>
      </c>
      <c r="I1786" s="95" cm="1">
        <f ca="1" t="array" ref="I1786">MIN(30-SUM(J1786:L1786),6-L1786,_xlfn.XLOOKUP($D1786&amp;"_"&amp;I$52,$B$14:$B$36&amp;"_"&amp;$C$14:$C$36,$D$14:$D$36)*$E1786)</f>
        <v>0</v>
      </c>
      <c r="J1786" s="95" cm="1">
        <f ca="1" t="array" ref="J1786">MIN(8,_xlfn.XLOOKUP($D1786&amp;"_"&amp;J$52,$B$14:$B$36&amp;"_"&amp;$C$14:$C$36,$D$14:$D$36)*$E1786)</f>
        <v>8</v>
      </c>
      <c r="K1786" s="95" cm="1">
        <f ca="1" t="array" ref="K1786">MIN(18,_xlfn.XLOOKUP($D1786&amp;"_"&amp;K$52,$B$14:$B$36&amp;"_"&amp;$C$14:$C$36,$D$14:$D$36)*$E1786)</f>
        <v>4.9392</v>
      </c>
      <c r="L1786" s="95" cm="1">
        <f ca="1" t="array" ref="L1786">MIN(6,_xlfn.XLOOKUP($D1786&amp;"_"&amp;L$52,$B$14:$B$36&amp;"_"&amp;$C$14:$C$36,$D$14:$D$36)*$E1786)</f>
        <v>6</v>
      </c>
      <c r="M1786" s="95" cm="1">
        <f ca="1" t="array" ref="M1786">(1+SUMPRODUCT(G1786:H1786,OFFSET($H$40:$I$40,D1786,0)))*(1+OFFSET($J$40,D1786,0))^I1786*(1+OFFSET($K$40,D1786,0))^J1786*(1+OFFSET($L$40,D1786,0))^K1786*(1+OFFSET($M$40,D1786,0))^L1786</f>
        <v>385.411098815252</v>
      </c>
      <c r="N1786" s="95">
        <f ca="1">MAX(MAX($N$53:N1785),OFFSET($C$52,MATCH(M1786*1.07,$M$53:$M$2052,1),0)-C1786)</f>
        <v>73080</v>
      </c>
    </row>
    <row r="1787" spans="2:14">
      <c r="B1787" s="95">
        <v>1735</v>
      </c>
      <c r="C1787" s="95">
        <f t="shared" si="135"/>
        <v>624600</v>
      </c>
      <c r="D1787" s="95">
        <f ca="1">_xlfn.XLOOKUP(总览!$B$44,$B$40:$B$45,$C$40:$C$45)</f>
        <v>5</v>
      </c>
      <c r="E1787" s="95">
        <f ca="1" t="shared" si="138"/>
        <v>1765</v>
      </c>
      <c r="F1787" s="95">
        <f ca="1" t="shared" si="136"/>
        <v>0</v>
      </c>
      <c r="G1787" s="95">
        <f ca="1" t="shared" si="137"/>
        <v>0</v>
      </c>
      <c r="H1787" s="95" cm="1">
        <f ca="1" t="array" ref="H1787">MIN(30-SUM(I1787:L1787),_xlfn.XLOOKUP($D1787&amp;"_"&amp;H$52,$B$14:$B$36&amp;"_"&amp;$C$14:$C$36,$D$14:$D$36)*$E1787,18)</f>
        <v>11.058</v>
      </c>
      <c r="I1787" s="95" cm="1">
        <f ca="1" t="array" ref="I1787">MIN(30-SUM(J1787:L1787),6-L1787,_xlfn.XLOOKUP($D1787&amp;"_"&amp;I$52,$B$14:$B$36&amp;"_"&amp;$C$14:$C$36,$D$14:$D$36)*$E1787)</f>
        <v>0</v>
      </c>
      <c r="J1787" s="95" cm="1">
        <f ca="1" t="array" ref="J1787">MIN(8,_xlfn.XLOOKUP($D1787&amp;"_"&amp;J$52,$B$14:$B$36&amp;"_"&amp;$C$14:$C$36,$D$14:$D$36)*$E1787)</f>
        <v>8</v>
      </c>
      <c r="K1787" s="95" cm="1">
        <f ca="1" t="array" ref="K1787">MIN(18,_xlfn.XLOOKUP($D1787&amp;"_"&amp;K$52,$B$14:$B$36&amp;"_"&amp;$C$14:$C$36,$D$14:$D$36)*$E1787)</f>
        <v>4.942</v>
      </c>
      <c r="L1787" s="95" cm="1">
        <f ca="1" t="array" ref="L1787">MIN(6,_xlfn.XLOOKUP($D1787&amp;"_"&amp;L$52,$B$14:$B$36&amp;"_"&amp;$C$14:$C$36,$D$14:$D$36)*$E1787)</f>
        <v>6</v>
      </c>
      <c r="M1787" s="95" cm="1">
        <f ca="1" t="array" ref="M1787">(1+SUMPRODUCT(G1787:H1787,OFFSET($H$40:$I$40,D1787,0)))*(1+OFFSET($J$40,D1787,0))^I1787*(1+OFFSET($K$40,D1787,0))^J1787*(1+OFFSET($L$40,D1787,0))^K1787*(1+OFFSET($M$40,D1787,0))^L1787</f>
        <v>385.540675624969</v>
      </c>
      <c r="N1787" s="95">
        <f ca="1">MAX(MAX($N$53:N1786),OFFSET($C$52,MATCH(M1787*1.07,$M$53:$M$2052,1),0)-C1787)</f>
        <v>73080</v>
      </c>
    </row>
    <row r="1788" spans="2:14">
      <c r="B1788" s="95">
        <v>1736</v>
      </c>
      <c r="C1788" s="95">
        <f t="shared" si="135"/>
        <v>624960</v>
      </c>
      <c r="D1788" s="95">
        <f ca="1">_xlfn.XLOOKUP(总览!$B$44,$B$40:$B$45,$C$40:$C$45)</f>
        <v>5</v>
      </c>
      <c r="E1788" s="95">
        <f ca="1" t="shared" si="138"/>
        <v>1766</v>
      </c>
      <c r="F1788" s="95">
        <f ca="1" t="shared" si="136"/>
        <v>0</v>
      </c>
      <c r="G1788" s="95">
        <f ca="1" t="shared" si="137"/>
        <v>0</v>
      </c>
      <c r="H1788" s="95" cm="1">
        <f ca="1" t="array" ref="H1788">MIN(30-SUM(I1788:L1788),_xlfn.XLOOKUP($D1788&amp;"_"&amp;H$52,$B$14:$B$36&amp;"_"&amp;$C$14:$C$36,$D$14:$D$36)*$E1788,18)</f>
        <v>11.0552</v>
      </c>
      <c r="I1788" s="95" cm="1">
        <f ca="1" t="array" ref="I1788">MIN(30-SUM(J1788:L1788),6-L1788,_xlfn.XLOOKUP($D1788&amp;"_"&amp;I$52,$B$14:$B$36&amp;"_"&amp;$C$14:$C$36,$D$14:$D$36)*$E1788)</f>
        <v>0</v>
      </c>
      <c r="J1788" s="95" cm="1">
        <f ca="1" t="array" ref="J1788">MIN(8,_xlfn.XLOOKUP($D1788&amp;"_"&amp;J$52,$B$14:$B$36&amp;"_"&amp;$C$14:$C$36,$D$14:$D$36)*$E1788)</f>
        <v>8</v>
      </c>
      <c r="K1788" s="95" cm="1">
        <f ca="1" t="array" ref="K1788">MIN(18,_xlfn.XLOOKUP($D1788&amp;"_"&amp;K$52,$B$14:$B$36&amp;"_"&amp;$C$14:$C$36,$D$14:$D$36)*$E1788)</f>
        <v>4.9448</v>
      </c>
      <c r="L1788" s="95" cm="1">
        <f ca="1" t="array" ref="L1788">MIN(6,_xlfn.XLOOKUP($D1788&amp;"_"&amp;L$52,$B$14:$B$36&amp;"_"&amp;$C$14:$C$36,$D$14:$D$36)*$E1788)</f>
        <v>6</v>
      </c>
      <c r="M1788" s="95" cm="1">
        <f ca="1" t="array" ref="M1788">(1+SUMPRODUCT(G1788:H1788,OFFSET($H$40:$I$40,D1788,0)))*(1+OFFSET($J$40,D1788,0))^I1788*(1+OFFSET($K$40,D1788,0))^J1788*(1+OFFSET($L$40,D1788,0))^K1788*(1+OFFSET($M$40,D1788,0))^L1788</f>
        <v>385.670284272961</v>
      </c>
      <c r="N1788" s="95">
        <f ca="1">MAX(MAX($N$53:N1787),OFFSET($C$52,MATCH(M1788*1.07,$M$53:$M$2052,1),0)-C1788)</f>
        <v>73080</v>
      </c>
    </row>
    <row r="1789" spans="2:14">
      <c r="B1789" s="95">
        <v>1737</v>
      </c>
      <c r="C1789" s="95">
        <f t="shared" si="135"/>
        <v>625320</v>
      </c>
      <c r="D1789" s="95">
        <f ca="1">_xlfn.XLOOKUP(总览!$B$44,$B$40:$B$45,$C$40:$C$45)</f>
        <v>5</v>
      </c>
      <c r="E1789" s="95">
        <f ca="1" t="shared" si="138"/>
        <v>1767</v>
      </c>
      <c r="F1789" s="95">
        <f ca="1" t="shared" si="136"/>
        <v>0</v>
      </c>
      <c r="G1789" s="95">
        <f ca="1" t="shared" si="137"/>
        <v>0</v>
      </c>
      <c r="H1789" s="95" cm="1">
        <f ca="1" t="array" ref="H1789">MIN(30-SUM(I1789:L1789),_xlfn.XLOOKUP($D1789&amp;"_"&amp;H$52,$B$14:$B$36&amp;"_"&amp;$C$14:$C$36,$D$14:$D$36)*$E1789,18)</f>
        <v>11.0524</v>
      </c>
      <c r="I1789" s="95" cm="1">
        <f ca="1" t="array" ref="I1789">MIN(30-SUM(J1789:L1789),6-L1789,_xlfn.XLOOKUP($D1789&amp;"_"&amp;I$52,$B$14:$B$36&amp;"_"&amp;$C$14:$C$36,$D$14:$D$36)*$E1789)</f>
        <v>0</v>
      </c>
      <c r="J1789" s="95" cm="1">
        <f ca="1" t="array" ref="J1789">MIN(8,_xlfn.XLOOKUP($D1789&amp;"_"&amp;J$52,$B$14:$B$36&amp;"_"&amp;$C$14:$C$36,$D$14:$D$36)*$E1789)</f>
        <v>8</v>
      </c>
      <c r="K1789" s="95" cm="1">
        <f ca="1" t="array" ref="K1789">MIN(18,_xlfn.XLOOKUP($D1789&amp;"_"&amp;K$52,$B$14:$B$36&amp;"_"&amp;$C$14:$C$36,$D$14:$D$36)*$E1789)</f>
        <v>4.9476</v>
      </c>
      <c r="L1789" s="95" cm="1">
        <f ca="1" t="array" ref="L1789">MIN(6,_xlfn.XLOOKUP($D1789&amp;"_"&amp;L$52,$B$14:$B$36&amp;"_"&amp;$C$14:$C$36,$D$14:$D$36)*$E1789)</f>
        <v>6</v>
      </c>
      <c r="M1789" s="95" cm="1">
        <f ca="1" t="array" ref="M1789">(1+SUMPRODUCT(G1789:H1789,OFFSET($H$40:$I$40,D1789,0)))*(1+OFFSET($J$40,D1789,0))^I1789*(1+OFFSET($K$40,D1789,0))^J1789*(1+OFFSET($L$40,D1789,0))^K1789*(1+OFFSET($M$40,D1789,0))^L1789</f>
        <v>385.799924757957</v>
      </c>
      <c r="N1789" s="95">
        <f ca="1">MAX(MAX($N$53:N1788),OFFSET($C$52,MATCH(M1789*1.07,$M$53:$M$2052,1),0)-C1789)</f>
        <v>73080</v>
      </c>
    </row>
    <row r="1790" spans="2:14">
      <c r="B1790" s="95">
        <v>1738</v>
      </c>
      <c r="C1790" s="95">
        <f t="shared" si="135"/>
        <v>625680</v>
      </c>
      <c r="D1790" s="95">
        <f ca="1">_xlfn.XLOOKUP(总览!$B$44,$B$40:$B$45,$C$40:$C$45)</f>
        <v>5</v>
      </c>
      <c r="E1790" s="95">
        <f ca="1" t="shared" si="138"/>
        <v>1768</v>
      </c>
      <c r="F1790" s="95">
        <f ca="1" t="shared" si="136"/>
        <v>0</v>
      </c>
      <c r="G1790" s="95">
        <f ca="1" t="shared" si="137"/>
        <v>0</v>
      </c>
      <c r="H1790" s="95" cm="1">
        <f ca="1" t="array" ref="H1790">MIN(30-SUM(I1790:L1790),_xlfn.XLOOKUP($D1790&amp;"_"&amp;H$52,$B$14:$B$36&amp;"_"&amp;$C$14:$C$36,$D$14:$D$36)*$E1790,18)</f>
        <v>11.0496</v>
      </c>
      <c r="I1790" s="95" cm="1">
        <f ca="1" t="array" ref="I1790">MIN(30-SUM(J1790:L1790),6-L1790,_xlfn.XLOOKUP($D1790&amp;"_"&amp;I$52,$B$14:$B$36&amp;"_"&amp;$C$14:$C$36,$D$14:$D$36)*$E1790)</f>
        <v>0</v>
      </c>
      <c r="J1790" s="95" cm="1">
        <f ca="1" t="array" ref="J1790">MIN(8,_xlfn.XLOOKUP($D1790&amp;"_"&amp;J$52,$B$14:$B$36&amp;"_"&amp;$C$14:$C$36,$D$14:$D$36)*$E1790)</f>
        <v>8</v>
      </c>
      <c r="K1790" s="95" cm="1">
        <f ca="1" t="array" ref="K1790">MIN(18,_xlfn.XLOOKUP($D1790&amp;"_"&amp;K$52,$B$14:$B$36&amp;"_"&amp;$C$14:$C$36,$D$14:$D$36)*$E1790)</f>
        <v>4.9504</v>
      </c>
      <c r="L1790" s="95" cm="1">
        <f ca="1" t="array" ref="L1790">MIN(6,_xlfn.XLOOKUP($D1790&amp;"_"&amp;L$52,$B$14:$B$36&amp;"_"&amp;$C$14:$C$36,$D$14:$D$36)*$E1790)</f>
        <v>6</v>
      </c>
      <c r="M1790" s="95" cm="1">
        <f ca="1" t="array" ref="M1790">(1+SUMPRODUCT(G1790:H1790,OFFSET($H$40:$I$40,D1790,0)))*(1+OFFSET($J$40,D1790,0))^I1790*(1+OFFSET($K$40,D1790,0))^J1790*(1+OFFSET($L$40,D1790,0))^K1790*(1+OFFSET($M$40,D1790,0))^L1790</f>
        <v>385.929597078677</v>
      </c>
      <c r="N1790" s="95">
        <f ca="1">MAX(MAX($N$53:N1789),OFFSET($C$52,MATCH(M1790*1.07,$M$53:$M$2052,1),0)-C1790)</f>
        <v>73080</v>
      </c>
    </row>
    <row r="1791" spans="2:14">
      <c r="B1791" s="95">
        <v>1739</v>
      </c>
      <c r="C1791" s="95">
        <f t="shared" si="135"/>
        <v>626040</v>
      </c>
      <c r="D1791" s="95">
        <f ca="1">_xlfn.XLOOKUP(总览!$B$44,$B$40:$B$45,$C$40:$C$45)</f>
        <v>5</v>
      </c>
      <c r="E1791" s="95">
        <f ca="1" t="shared" si="138"/>
        <v>1769</v>
      </c>
      <c r="F1791" s="95">
        <f ca="1" t="shared" si="136"/>
        <v>0</v>
      </c>
      <c r="G1791" s="95">
        <f ca="1" t="shared" si="137"/>
        <v>0</v>
      </c>
      <c r="H1791" s="95" cm="1">
        <f ca="1" t="array" ref="H1791">MIN(30-SUM(I1791:L1791),_xlfn.XLOOKUP($D1791&amp;"_"&amp;H$52,$B$14:$B$36&amp;"_"&amp;$C$14:$C$36,$D$14:$D$36)*$E1791,18)</f>
        <v>11.0468</v>
      </c>
      <c r="I1791" s="95" cm="1">
        <f ca="1" t="array" ref="I1791">MIN(30-SUM(J1791:L1791),6-L1791,_xlfn.XLOOKUP($D1791&amp;"_"&amp;I$52,$B$14:$B$36&amp;"_"&amp;$C$14:$C$36,$D$14:$D$36)*$E1791)</f>
        <v>0</v>
      </c>
      <c r="J1791" s="95" cm="1">
        <f ca="1" t="array" ref="J1791">MIN(8,_xlfn.XLOOKUP($D1791&amp;"_"&amp;J$52,$B$14:$B$36&amp;"_"&amp;$C$14:$C$36,$D$14:$D$36)*$E1791)</f>
        <v>8</v>
      </c>
      <c r="K1791" s="95" cm="1">
        <f ca="1" t="array" ref="K1791">MIN(18,_xlfn.XLOOKUP($D1791&amp;"_"&amp;K$52,$B$14:$B$36&amp;"_"&amp;$C$14:$C$36,$D$14:$D$36)*$E1791)</f>
        <v>4.9532</v>
      </c>
      <c r="L1791" s="95" cm="1">
        <f ca="1" t="array" ref="L1791">MIN(6,_xlfn.XLOOKUP($D1791&amp;"_"&amp;L$52,$B$14:$B$36&amp;"_"&amp;$C$14:$C$36,$D$14:$D$36)*$E1791)</f>
        <v>6</v>
      </c>
      <c r="M1791" s="95" cm="1">
        <f ca="1" t="array" ref="M1791">(1+SUMPRODUCT(G1791:H1791,OFFSET($H$40:$I$40,D1791,0)))*(1+OFFSET($J$40,D1791,0))^I1791*(1+OFFSET($K$40,D1791,0))^J1791*(1+OFFSET($L$40,D1791,0))^K1791*(1+OFFSET($M$40,D1791,0))^L1791</f>
        <v>386.059301233831</v>
      </c>
      <c r="N1791" s="95">
        <f ca="1">MAX(MAX($N$53:N1790),OFFSET($C$52,MATCH(M1791*1.07,$M$53:$M$2052,1),0)-C1791)</f>
        <v>73080</v>
      </c>
    </row>
    <row r="1792" spans="2:14">
      <c r="B1792" s="95">
        <v>1740</v>
      </c>
      <c r="C1792" s="95">
        <f t="shared" si="135"/>
        <v>626400</v>
      </c>
      <c r="D1792" s="95">
        <f ca="1">_xlfn.XLOOKUP(总览!$B$44,$B$40:$B$45,$C$40:$C$45)</f>
        <v>5</v>
      </c>
      <c r="E1792" s="95">
        <f ca="1" t="shared" si="138"/>
        <v>1770</v>
      </c>
      <c r="F1792" s="95">
        <f ca="1" t="shared" si="136"/>
        <v>0</v>
      </c>
      <c r="G1792" s="95">
        <f ca="1" t="shared" si="137"/>
        <v>0</v>
      </c>
      <c r="H1792" s="95" cm="1">
        <f ca="1" t="array" ref="H1792">MIN(30-SUM(I1792:L1792),_xlfn.XLOOKUP($D1792&amp;"_"&amp;H$52,$B$14:$B$36&amp;"_"&amp;$C$14:$C$36,$D$14:$D$36)*$E1792,18)</f>
        <v>11.044</v>
      </c>
      <c r="I1792" s="95" cm="1">
        <f ca="1" t="array" ref="I1792">MIN(30-SUM(J1792:L1792),6-L1792,_xlfn.XLOOKUP($D1792&amp;"_"&amp;I$52,$B$14:$B$36&amp;"_"&amp;$C$14:$C$36,$D$14:$D$36)*$E1792)</f>
        <v>0</v>
      </c>
      <c r="J1792" s="95" cm="1">
        <f ca="1" t="array" ref="J1792">MIN(8,_xlfn.XLOOKUP($D1792&amp;"_"&amp;J$52,$B$14:$B$36&amp;"_"&amp;$C$14:$C$36,$D$14:$D$36)*$E1792)</f>
        <v>8</v>
      </c>
      <c r="K1792" s="95" cm="1">
        <f ca="1" t="array" ref="K1792">MIN(18,_xlfn.XLOOKUP($D1792&amp;"_"&amp;K$52,$B$14:$B$36&amp;"_"&amp;$C$14:$C$36,$D$14:$D$36)*$E1792)</f>
        <v>4.956</v>
      </c>
      <c r="L1792" s="95" cm="1">
        <f ca="1" t="array" ref="L1792">MIN(6,_xlfn.XLOOKUP($D1792&amp;"_"&amp;L$52,$B$14:$B$36&amp;"_"&amp;$C$14:$C$36,$D$14:$D$36)*$E1792)</f>
        <v>6</v>
      </c>
      <c r="M1792" s="95" cm="1">
        <f ca="1" t="array" ref="M1792">(1+SUMPRODUCT(G1792:H1792,OFFSET($H$40:$I$40,D1792,0)))*(1+OFFSET($J$40,D1792,0))^I1792*(1+OFFSET($K$40,D1792,0))^J1792*(1+OFFSET($L$40,D1792,0))^K1792*(1+OFFSET($M$40,D1792,0))^L1792</f>
        <v>386.189037222118</v>
      </c>
      <c r="N1792" s="95">
        <f ca="1">MAX(MAX($N$53:N1791),OFFSET($C$52,MATCH(M1792*1.07,$M$53:$M$2052,1),0)-C1792)</f>
        <v>73080</v>
      </c>
    </row>
    <row r="1793" spans="2:14">
      <c r="B1793" s="95">
        <v>1741</v>
      </c>
      <c r="C1793" s="95">
        <f t="shared" si="135"/>
        <v>626760</v>
      </c>
      <c r="D1793" s="95">
        <f ca="1">_xlfn.XLOOKUP(总览!$B$44,$B$40:$B$45,$C$40:$C$45)</f>
        <v>5</v>
      </c>
      <c r="E1793" s="95">
        <f ca="1" t="shared" si="138"/>
        <v>1771</v>
      </c>
      <c r="F1793" s="95">
        <f ca="1" t="shared" si="136"/>
        <v>0</v>
      </c>
      <c r="G1793" s="95">
        <f ca="1" t="shared" si="137"/>
        <v>0</v>
      </c>
      <c r="H1793" s="95" cm="1">
        <f ca="1" t="array" ref="H1793">MIN(30-SUM(I1793:L1793),_xlfn.XLOOKUP($D1793&amp;"_"&amp;H$52,$B$14:$B$36&amp;"_"&amp;$C$14:$C$36,$D$14:$D$36)*$E1793,18)</f>
        <v>11.0412</v>
      </c>
      <c r="I1793" s="95" cm="1">
        <f ca="1" t="array" ref="I1793">MIN(30-SUM(J1793:L1793),6-L1793,_xlfn.XLOOKUP($D1793&amp;"_"&amp;I$52,$B$14:$B$36&amp;"_"&amp;$C$14:$C$36,$D$14:$D$36)*$E1793)</f>
        <v>0</v>
      </c>
      <c r="J1793" s="95" cm="1">
        <f ca="1" t="array" ref="J1793">MIN(8,_xlfn.XLOOKUP($D1793&amp;"_"&amp;J$52,$B$14:$B$36&amp;"_"&amp;$C$14:$C$36,$D$14:$D$36)*$E1793)</f>
        <v>8</v>
      </c>
      <c r="K1793" s="95" cm="1">
        <f ca="1" t="array" ref="K1793">MIN(18,_xlfn.XLOOKUP($D1793&amp;"_"&amp;K$52,$B$14:$B$36&amp;"_"&amp;$C$14:$C$36,$D$14:$D$36)*$E1793)</f>
        <v>4.9588</v>
      </c>
      <c r="L1793" s="95" cm="1">
        <f ca="1" t="array" ref="L1793">MIN(6,_xlfn.XLOOKUP($D1793&amp;"_"&amp;L$52,$B$14:$B$36&amp;"_"&amp;$C$14:$C$36,$D$14:$D$36)*$E1793)</f>
        <v>6</v>
      </c>
      <c r="M1793" s="95" cm="1">
        <f ca="1" t="array" ref="M1793">(1+SUMPRODUCT(G1793:H1793,OFFSET($H$40:$I$40,D1793,0)))*(1+OFFSET($J$40,D1793,0))^I1793*(1+OFFSET($K$40,D1793,0))^J1793*(1+OFFSET($L$40,D1793,0))^K1793*(1+OFFSET($M$40,D1793,0))^L1793</f>
        <v>386.318805042228</v>
      </c>
      <c r="N1793" s="95">
        <f ca="1">MAX(MAX($N$53:N1792),OFFSET($C$52,MATCH(M1793*1.07,$M$53:$M$2052,1),0)-C1793)</f>
        <v>73080</v>
      </c>
    </row>
    <row r="1794" spans="2:14">
      <c r="B1794" s="95">
        <v>1742</v>
      </c>
      <c r="C1794" s="95">
        <f t="shared" si="135"/>
        <v>627120</v>
      </c>
      <c r="D1794" s="95">
        <f ca="1">_xlfn.XLOOKUP(总览!$B$44,$B$40:$B$45,$C$40:$C$45)</f>
        <v>5</v>
      </c>
      <c r="E1794" s="95">
        <f ca="1" t="shared" si="138"/>
        <v>1772</v>
      </c>
      <c r="F1794" s="95">
        <f ca="1" t="shared" si="136"/>
        <v>0</v>
      </c>
      <c r="G1794" s="95">
        <f ca="1" t="shared" si="137"/>
        <v>0</v>
      </c>
      <c r="H1794" s="95" cm="1">
        <f ca="1" t="array" ref="H1794">MIN(30-SUM(I1794:L1794),_xlfn.XLOOKUP($D1794&amp;"_"&amp;H$52,$B$14:$B$36&amp;"_"&amp;$C$14:$C$36,$D$14:$D$36)*$E1794,18)</f>
        <v>11.0384</v>
      </c>
      <c r="I1794" s="95" cm="1">
        <f ca="1" t="array" ref="I1794">MIN(30-SUM(J1794:L1794),6-L1794,_xlfn.XLOOKUP($D1794&amp;"_"&amp;I$52,$B$14:$B$36&amp;"_"&amp;$C$14:$C$36,$D$14:$D$36)*$E1794)</f>
        <v>0</v>
      </c>
      <c r="J1794" s="95" cm="1">
        <f ca="1" t="array" ref="J1794">MIN(8,_xlfn.XLOOKUP($D1794&amp;"_"&amp;J$52,$B$14:$B$36&amp;"_"&amp;$C$14:$C$36,$D$14:$D$36)*$E1794)</f>
        <v>8</v>
      </c>
      <c r="K1794" s="95" cm="1">
        <f ca="1" t="array" ref="K1794">MIN(18,_xlfn.XLOOKUP($D1794&amp;"_"&amp;K$52,$B$14:$B$36&amp;"_"&amp;$C$14:$C$36,$D$14:$D$36)*$E1794)</f>
        <v>4.9616</v>
      </c>
      <c r="L1794" s="95" cm="1">
        <f ca="1" t="array" ref="L1794">MIN(6,_xlfn.XLOOKUP($D1794&amp;"_"&amp;L$52,$B$14:$B$36&amp;"_"&amp;$C$14:$C$36,$D$14:$D$36)*$E1794)</f>
        <v>6</v>
      </c>
      <c r="M1794" s="95" cm="1">
        <f ca="1" t="array" ref="M1794">(1+SUMPRODUCT(G1794:H1794,OFFSET($H$40:$I$40,D1794,0)))*(1+OFFSET($J$40,D1794,0))^I1794*(1+OFFSET($K$40,D1794,0))^J1794*(1+OFFSET($L$40,D1794,0))^K1794*(1+OFFSET($M$40,D1794,0))^L1794</f>
        <v>386.448604692843</v>
      </c>
      <c r="N1794" s="95">
        <f ca="1">MAX(MAX($N$53:N1793),OFFSET($C$52,MATCH(M1794*1.07,$M$53:$M$2052,1),0)-C1794)</f>
        <v>73080</v>
      </c>
    </row>
    <row r="1795" spans="2:14">
      <c r="B1795" s="95">
        <v>1743</v>
      </c>
      <c r="C1795" s="95">
        <f t="shared" si="135"/>
        <v>627480</v>
      </c>
      <c r="D1795" s="95">
        <f ca="1">_xlfn.XLOOKUP(总览!$B$44,$B$40:$B$45,$C$40:$C$45)</f>
        <v>5</v>
      </c>
      <c r="E1795" s="95">
        <f ca="1" t="shared" si="138"/>
        <v>1773</v>
      </c>
      <c r="F1795" s="95">
        <f ca="1" t="shared" si="136"/>
        <v>0</v>
      </c>
      <c r="G1795" s="95">
        <f ca="1" t="shared" si="137"/>
        <v>0</v>
      </c>
      <c r="H1795" s="95" cm="1">
        <f ca="1" t="array" ref="H1795">MIN(30-SUM(I1795:L1795),_xlfn.XLOOKUP($D1795&amp;"_"&amp;H$52,$B$14:$B$36&amp;"_"&amp;$C$14:$C$36,$D$14:$D$36)*$E1795,18)</f>
        <v>11.0356</v>
      </c>
      <c r="I1795" s="95" cm="1">
        <f ca="1" t="array" ref="I1795">MIN(30-SUM(J1795:L1795),6-L1795,_xlfn.XLOOKUP($D1795&amp;"_"&amp;I$52,$B$14:$B$36&amp;"_"&amp;$C$14:$C$36,$D$14:$D$36)*$E1795)</f>
        <v>0</v>
      </c>
      <c r="J1795" s="95" cm="1">
        <f ca="1" t="array" ref="J1795">MIN(8,_xlfn.XLOOKUP($D1795&amp;"_"&amp;J$52,$B$14:$B$36&amp;"_"&amp;$C$14:$C$36,$D$14:$D$36)*$E1795)</f>
        <v>8</v>
      </c>
      <c r="K1795" s="95" cm="1">
        <f ca="1" t="array" ref="K1795">MIN(18,_xlfn.XLOOKUP($D1795&amp;"_"&amp;K$52,$B$14:$B$36&amp;"_"&amp;$C$14:$C$36,$D$14:$D$36)*$E1795)</f>
        <v>4.9644</v>
      </c>
      <c r="L1795" s="95" cm="1">
        <f ca="1" t="array" ref="L1795">MIN(6,_xlfn.XLOOKUP($D1795&amp;"_"&amp;L$52,$B$14:$B$36&amp;"_"&amp;$C$14:$C$36,$D$14:$D$36)*$E1795)</f>
        <v>6</v>
      </c>
      <c r="M1795" s="95" cm="1">
        <f ca="1" t="array" ref="M1795">(1+SUMPRODUCT(G1795:H1795,OFFSET($H$40:$I$40,D1795,0)))*(1+OFFSET($J$40,D1795,0))^I1795*(1+OFFSET($K$40,D1795,0))^J1795*(1+OFFSET($L$40,D1795,0))^K1795*(1+OFFSET($M$40,D1795,0))^L1795</f>
        <v>386.578436172633</v>
      </c>
      <c r="N1795" s="95">
        <f ca="1">MAX(MAX($N$53:N1794),OFFSET($C$52,MATCH(M1795*1.07,$M$53:$M$2052,1),0)-C1795)</f>
        <v>73080</v>
      </c>
    </row>
    <row r="1796" spans="2:14">
      <c r="B1796" s="95">
        <v>1744</v>
      </c>
      <c r="C1796" s="95">
        <f t="shared" si="135"/>
        <v>627840</v>
      </c>
      <c r="D1796" s="95">
        <f ca="1">_xlfn.XLOOKUP(总览!$B$44,$B$40:$B$45,$C$40:$C$45)</f>
        <v>5</v>
      </c>
      <c r="E1796" s="95">
        <f ca="1" t="shared" si="138"/>
        <v>1774</v>
      </c>
      <c r="F1796" s="95">
        <f ca="1" t="shared" si="136"/>
        <v>0</v>
      </c>
      <c r="G1796" s="95">
        <f ca="1" t="shared" si="137"/>
        <v>0</v>
      </c>
      <c r="H1796" s="95" cm="1">
        <f ca="1" t="array" ref="H1796">MIN(30-SUM(I1796:L1796),_xlfn.XLOOKUP($D1796&amp;"_"&amp;H$52,$B$14:$B$36&amp;"_"&amp;$C$14:$C$36,$D$14:$D$36)*$E1796,18)</f>
        <v>11.0328</v>
      </c>
      <c r="I1796" s="95" cm="1">
        <f ca="1" t="array" ref="I1796">MIN(30-SUM(J1796:L1796),6-L1796,_xlfn.XLOOKUP($D1796&amp;"_"&amp;I$52,$B$14:$B$36&amp;"_"&amp;$C$14:$C$36,$D$14:$D$36)*$E1796)</f>
        <v>0</v>
      </c>
      <c r="J1796" s="95" cm="1">
        <f ca="1" t="array" ref="J1796">MIN(8,_xlfn.XLOOKUP($D1796&amp;"_"&amp;J$52,$B$14:$B$36&amp;"_"&amp;$C$14:$C$36,$D$14:$D$36)*$E1796)</f>
        <v>8</v>
      </c>
      <c r="K1796" s="95" cm="1">
        <f ca="1" t="array" ref="K1796">MIN(18,_xlfn.XLOOKUP($D1796&amp;"_"&amp;K$52,$B$14:$B$36&amp;"_"&amp;$C$14:$C$36,$D$14:$D$36)*$E1796)</f>
        <v>4.9672</v>
      </c>
      <c r="L1796" s="95" cm="1">
        <f ca="1" t="array" ref="L1796">MIN(6,_xlfn.XLOOKUP($D1796&amp;"_"&amp;L$52,$B$14:$B$36&amp;"_"&amp;$C$14:$C$36,$D$14:$D$36)*$E1796)</f>
        <v>6</v>
      </c>
      <c r="M1796" s="95" cm="1">
        <f ca="1" t="array" ref="M1796">(1+SUMPRODUCT(G1796:H1796,OFFSET($H$40:$I$40,D1796,0)))*(1+OFFSET($J$40,D1796,0))^I1796*(1+OFFSET($K$40,D1796,0))^J1796*(1+OFFSET($L$40,D1796,0))^K1796*(1+OFFSET($M$40,D1796,0))^L1796</f>
        <v>386.70829948026</v>
      </c>
      <c r="N1796" s="95">
        <f ca="1">MAX(MAX($N$53:N1795),OFFSET($C$52,MATCH(M1796*1.07,$M$53:$M$2052,1),0)-C1796)</f>
        <v>73080</v>
      </c>
    </row>
    <row r="1797" spans="2:14">
      <c r="B1797" s="95">
        <v>1745</v>
      </c>
      <c r="C1797" s="95">
        <f t="shared" si="135"/>
        <v>628200</v>
      </c>
      <c r="D1797" s="95">
        <f ca="1">_xlfn.XLOOKUP(总览!$B$44,$B$40:$B$45,$C$40:$C$45)</f>
        <v>5</v>
      </c>
      <c r="E1797" s="95">
        <f ca="1" t="shared" si="138"/>
        <v>1775</v>
      </c>
      <c r="F1797" s="95">
        <f ca="1" t="shared" si="136"/>
        <v>0</v>
      </c>
      <c r="G1797" s="95">
        <f ca="1" t="shared" si="137"/>
        <v>0</v>
      </c>
      <c r="H1797" s="95" cm="1">
        <f ca="1" t="array" ref="H1797">MIN(30-SUM(I1797:L1797),_xlfn.XLOOKUP($D1797&amp;"_"&amp;H$52,$B$14:$B$36&amp;"_"&amp;$C$14:$C$36,$D$14:$D$36)*$E1797,18)</f>
        <v>11.03</v>
      </c>
      <c r="I1797" s="95" cm="1">
        <f ca="1" t="array" ref="I1797">MIN(30-SUM(J1797:L1797),6-L1797,_xlfn.XLOOKUP($D1797&amp;"_"&amp;I$52,$B$14:$B$36&amp;"_"&amp;$C$14:$C$36,$D$14:$D$36)*$E1797)</f>
        <v>0</v>
      </c>
      <c r="J1797" s="95" cm="1">
        <f ca="1" t="array" ref="J1797">MIN(8,_xlfn.XLOOKUP($D1797&amp;"_"&amp;J$52,$B$14:$B$36&amp;"_"&amp;$C$14:$C$36,$D$14:$D$36)*$E1797)</f>
        <v>8</v>
      </c>
      <c r="K1797" s="95" cm="1">
        <f ca="1" t="array" ref="K1797">MIN(18,_xlfn.XLOOKUP($D1797&amp;"_"&amp;K$52,$B$14:$B$36&amp;"_"&amp;$C$14:$C$36,$D$14:$D$36)*$E1797)</f>
        <v>4.97</v>
      </c>
      <c r="L1797" s="95" cm="1">
        <f ca="1" t="array" ref="L1797">MIN(6,_xlfn.XLOOKUP($D1797&amp;"_"&amp;L$52,$B$14:$B$36&amp;"_"&amp;$C$14:$C$36,$D$14:$D$36)*$E1797)</f>
        <v>6</v>
      </c>
      <c r="M1797" s="95" cm="1">
        <f ca="1" t="array" ref="M1797">(1+SUMPRODUCT(G1797:H1797,OFFSET($H$40:$I$40,D1797,0)))*(1+OFFSET($J$40,D1797,0))^I1797*(1+OFFSET($K$40,D1797,0))^J1797*(1+OFFSET($L$40,D1797,0))^K1797*(1+OFFSET($M$40,D1797,0))^L1797</f>
        <v>386.838194614377</v>
      </c>
      <c r="N1797" s="95">
        <f ca="1">MAX(MAX($N$53:N1796),OFFSET($C$52,MATCH(M1797*1.07,$M$53:$M$2052,1),0)-C1797)</f>
        <v>73080</v>
      </c>
    </row>
    <row r="1798" spans="2:14">
      <c r="B1798" s="95">
        <v>1746</v>
      </c>
      <c r="C1798" s="95">
        <f t="shared" si="135"/>
        <v>628560</v>
      </c>
      <c r="D1798" s="95">
        <f ca="1">_xlfn.XLOOKUP(总览!$B$44,$B$40:$B$45,$C$40:$C$45)</f>
        <v>5</v>
      </c>
      <c r="E1798" s="95">
        <f ca="1" t="shared" si="138"/>
        <v>1776</v>
      </c>
      <c r="F1798" s="95">
        <f ca="1" t="shared" si="136"/>
        <v>0</v>
      </c>
      <c r="G1798" s="95">
        <f ca="1" t="shared" si="137"/>
        <v>0</v>
      </c>
      <c r="H1798" s="95" cm="1">
        <f ca="1" t="array" ref="H1798">MIN(30-SUM(I1798:L1798),_xlfn.XLOOKUP($D1798&amp;"_"&amp;H$52,$B$14:$B$36&amp;"_"&amp;$C$14:$C$36,$D$14:$D$36)*$E1798,18)</f>
        <v>11.0272</v>
      </c>
      <c r="I1798" s="95" cm="1">
        <f ca="1" t="array" ref="I1798">MIN(30-SUM(J1798:L1798),6-L1798,_xlfn.XLOOKUP($D1798&amp;"_"&amp;I$52,$B$14:$B$36&amp;"_"&amp;$C$14:$C$36,$D$14:$D$36)*$E1798)</f>
        <v>0</v>
      </c>
      <c r="J1798" s="95" cm="1">
        <f ca="1" t="array" ref="J1798">MIN(8,_xlfn.XLOOKUP($D1798&amp;"_"&amp;J$52,$B$14:$B$36&amp;"_"&amp;$C$14:$C$36,$D$14:$D$36)*$E1798)</f>
        <v>8</v>
      </c>
      <c r="K1798" s="95" cm="1">
        <f ca="1" t="array" ref="K1798">MIN(18,_xlfn.XLOOKUP($D1798&amp;"_"&amp;K$52,$B$14:$B$36&amp;"_"&amp;$C$14:$C$36,$D$14:$D$36)*$E1798)</f>
        <v>4.9728</v>
      </c>
      <c r="L1798" s="95" cm="1">
        <f ca="1" t="array" ref="L1798">MIN(6,_xlfn.XLOOKUP($D1798&amp;"_"&amp;L$52,$B$14:$B$36&amp;"_"&amp;$C$14:$C$36,$D$14:$D$36)*$E1798)</f>
        <v>6</v>
      </c>
      <c r="M1798" s="95" cm="1">
        <f ca="1" t="array" ref="M1798">(1+SUMPRODUCT(G1798:H1798,OFFSET($H$40:$I$40,D1798,0)))*(1+OFFSET($J$40,D1798,0))^I1798*(1+OFFSET($K$40,D1798,0))^J1798*(1+OFFSET($L$40,D1798,0))^K1798*(1+OFFSET($M$40,D1798,0))^L1798</f>
        <v>386.968121573624</v>
      </c>
      <c r="N1798" s="95">
        <f ca="1">MAX(MAX($N$53:N1797),OFFSET($C$52,MATCH(M1798*1.07,$M$53:$M$2052,1),0)-C1798)</f>
        <v>73080</v>
      </c>
    </row>
    <row r="1799" spans="2:14">
      <c r="B1799" s="95">
        <v>1747</v>
      </c>
      <c r="C1799" s="95">
        <f t="shared" si="135"/>
        <v>628920</v>
      </c>
      <c r="D1799" s="95">
        <f ca="1">_xlfn.XLOOKUP(总览!$B$44,$B$40:$B$45,$C$40:$C$45)</f>
        <v>5</v>
      </c>
      <c r="E1799" s="95">
        <f ca="1" t="shared" si="138"/>
        <v>1777</v>
      </c>
      <c r="F1799" s="95">
        <f ca="1" t="shared" si="136"/>
        <v>0</v>
      </c>
      <c r="G1799" s="95">
        <f ca="1" t="shared" si="137"/>
        <v>0</v>
      </c>
      <c r="H1799" s="95" cm="1">
        <f ca="1" t="array" ref="H1799">MIN(30-SUM(I1799:L1799),_xlfn.XLOOKUP($D1799&amp;"_"&amp;H$52,$B$14:$B$36&amp;"_"&amp;$C$14:$C$36,$D$14:$D$36)*$E1799,18)</f>
        <v>11.0244</v>
      </c>
      <c r="I1799" s="95" cm="1">
        <f ca="1" t="array" ref="I1799">MIN(30-SUM(J1799:L1799),6-L1799,_xlfn.XLOOKUP($D1799&amp;"_"&amp;I$52,$B$14:$B$36&amp;"_"&amp;$C$14:$C$36,$D$14:$D$36)*$E1799)</f>
        <v>0</v>
      </c>
      <c r="J1799" s="95" cm="1">
        <f ca="1" t="array" ref="J1799">MIN(8,_xlfn.XLOOKUP($D1799&amp;"_"&amp;J$52,$B$14:$B$36&amp;"_"&amp;$C$14:$C$36,$D$14:$D$36)*$E1799)</f>
        <v>8</v>
      </c>
      <c r="K1799" s="95" cm="1">
        <f ca="1" t="array" ref="K1799">MIN(18,_xlfn.XLOOKUP($D1799&amp;"_"&amp;K$52,$B$14:$B$36&amp;"_"&amp;$C$14:$C$36,$D$14:$D$36)*$E1799)</f>
        <v>4.9756</v>
      </c>
      <c r="L1799" s="95" cm="1">
        <f ca="1" t="array" ref="L1799">MIN(6,_xlfn.XLOOKUP($D1799&amp;"_"&amp;L$52,$B$14:$B$36&amp;"_"&amp;$C$14:$C$36,$D$14:$D$36)*$E1799)</f>
        <v>6</v>
      </c>
      <c r="M1799" s="95" cm="1">
        <f ca="1" t="array" ref="M1799">(1+SUMPRODUCT(G1799:H1799,OFFSET($H$40:$I$40,D1799,0)))*(1+OFFSET($J$40,D1799,0))^I1799*(1+OFFSET($K$40,D1799,0))^J1799*(1+OFFSET($L$40,D1799,0))^K1799*(1+OFFSET($M$40,D1799,0))^L1799</f>
        <v>387.098080356634</v>
      </c>
      <c r="N1799" s="95">
        <f ca="1">MAX(MAX($N$53:N1798),OFFSET($C$52,MATCH(M1799*1.07,$M$53:$M$2052,1),0)-C1799)</f>
        <v>73080</v>
      </c>
    </row>
    <row r="1800" spans="2:14">
      <c r="B1800" s="95">
        <v>1748</v>
      </c>
      <c r="C1800" s="95">
        <f t="shared" si="135"/>
        <v>629280</v>
      </c>
      <c r="D1800" s="95">
        <f ca="1">_xlfn.XLOOKUP(总览!$B$44,$B$40:$B$45,$C$40:$C$45)</f>
        <v>5</v>
      </c>
      <c r="E1800" s="95">
        <f ca="1" t="shared" si="138"/>
        <v>1778</v>
      </c>
      <c r="F1800" s="95">
        <f ca="1" t="shared" si="136"/>
        <v>0</v>
      </c>
      <c r="G1800" s="95">
        <f ca="1" t="shared" si="137"/>
        <v>0</v>
      </c>
      <c r="H1800" s="95" cm="1">
        <f ca="1" t="array" ref="H1800">MIN(30-SUM(I1800:L1800),_xlfn.XLOOKUP($D1800&amp;"_"&amp;H$52,$B$14:$B$36&amp;"_"&amp;$C$14:$C$36,$D$14:$D$36)*$E1800,18)</f>
        <v>11.0216</v>
      </c>
      <c r="I1800" s="95" cm="1">
        <f ca="1" t="array" ref="I1800">MIN(30-SUM(J1800:L1800),6-L1800,_xlfn.XLOOKUP($D1800&amp;"_"&amp;I$52,$B$14:$B$36&amp;"_"&amp;$C$14:$C$36,$D$14:$D$36)*$E1800)</f>
        <v>0</v>
      </c>
      <c r="J1800" s="95" cm="1">
        <f ca="1" t="array" ref="J1800">MIN(8,_xlfn.XLOOKUP($D1800&amp;"_"&amp;J$52,$B$14:$B$36&amp;"_"&amp;$C$14:$C$36,$D$14:$D$36)*$E1800)</f>
        <v>8</v>
      </c>
      <c r="K1800" s="95" cm="1">
        <f ca="1" t="array" ref="K1800">MIN(18,_xlfn.XLOOKUP($D1800&amp;"_"&amp;K$52,$B$14:$B$36&amp;"_"&amp;$C$14:$C$36,$D$14:$D$36)*$E1800)</f>
        <v>4.9784</v>
      </c>
      <c r="L1800" s="95" cm="1">
        <f ca="1" t="array" ref="L1800">MIN(6,_xlfn.XLOOKUP($D1800&amp;"_"&amp;L$52,$B$14:$B$36&amp;"_"&amp;$C$14:$C$36,$D$14:$D$36)*$E1800)</f>
        <v>6</v>
      </c>
      <c r="M1800" s="95" cm="1">
        <f ca="1" t="array" ref="M1800">(1+SUMPRODUCT(G1800:H1800,OFFSET($H$40:$I$40,D1800,0)))*(1+OFFSET($J$40,D1800,0))^I1800*(1+OFFSET($K$40,D1800,0))^J1800*(1+OFFSET($L$40,D1800,0))^K1800*(1+OFFSET($M$40,D1800,0))^L1800</f>
        <v>387.228070962031</v>
      </c>
      <c r="N1800" s="95">
        <f ca="1">MAX(MAX($N$53:N1799),OFFSET($C$52,MATCH(M1800*1.07,$M$53:$M$2052,1),0)-C1800)</f>
        <v>73080</v>
      </c>
    </row>
    <row r="1801" spans="2:14">
      <c r="B1801" s="95">
        <v>1749</v>
      </c>
      <c r="C1801" s="95">
        <f t="shared" si="135"/>
        <v>629640</v>
      </c>
      <c r="D1801" s="95">
        <f ca="1">_xlfn.XLOOKUP(总览!$B$44,$B$40:$B$45,$C$40:$C$45)</f>
        <v>5</v>
      </c>
      <c r="E1801" s="95">
        <f ca="1" t="shared" si="138"/>
        <v>1779</v>
      </c>
      <c r="F1801" s="95">
        <f ca="1" t="shared" si="136"/>
        <v>0</v>
      </c>
      <c r="G1801" s="95">
        <f ca="1" t="shared" si="137"/>
        <v>0</v>
      </c>
      <c r="H1801" s="95" cm="1">
        <f ca="1" t="array" ref="H1801">MIN(30-SUM(I1801:L1801),_xlfn.XLOOKUP($D1801&amp;"_"&amp;H$52,$B$14:$B$36&amp;"_"&amp;$C$14:$C$36,$D$14:$D$36)*$E1801,18)</f>
        <v>11.0188</v>
      </c>
      <c r="I1801" s="95" cm="1">
        <f ca="1" t="array" ref="I1801">MIN(30-SUM(J1801:L1801),6-L1801,_xlfn.XLOOKUP($D1801&amp;"_"&amp;I$52,$B$14:$B$36&amp;"_"&amp;$C$14:$C$36,$D$14:$D$36)*$E1801)</f>
        <v>0</v>
      </c>
      <c r="J1801" s="95" cm="1">
        <f ca="1" t="array" ref="J1801">MIN(8,_xlfn.XLOOKUP($D1801&amp;"_"&amp;J$52,$B$14:$B$36&amp;"_"&amp;$C$14:$C$36,$D$14:$D$36)*$E1801)</f>
        <v>8</v>
      </c>
      <c r="K1801" s="95" cm="1">
        <f ca="1" t="array" ref="K1801">MIN(18,_xlfn.XLOOKUP($D1801&amp;"_"&amp;K$52,$B$14:$B$36&amp;"_"&amp;$C$14:$C$36,$D$14:$D$36)*$E1801)</f>
        <v>4.9812</v>
      </c>
      <c r="L1801" s="95" cm="1">
        <f ca="1" t="array" ref="L1801">MIN(6,_xlfn.XLOOKUP($D1801&amp;"_"&amp;L$52,$B$14:$B$36&amp;"_"&amp;$C$14:$C$36,$D$14:$D$36)*$E1801)</f>
        <v>6</v>
      </c>
      <c r="M1801" s="95" cm="1">
        <f ca="1" t="array" ref="M1801">(1+SUMPRODUCT(G1801:H1801,OFFSET($H$40:$I$40,D1801,0)))*(1+OFFSET($J$40,D1801,0))^I1801*(1+OFFSET($K$40,D1801,0))^J1801*(1+OFFSET($L$40,D1801,0))^K1801*(1+OFFSET($M$40,D1801,0))^L1801</f>
        <v>387.358093388427</v>
      </c>
      <c r="N1801" s="95">
        <f ca="1">MAX(MAX($N$53:N1800),OFFSET($C$52,MATCH(M1801*1.07,$M$53:$M$2052,1),0)-C1801)</f>
        <v>73080</v>
      </c>
    </row>
    <row r="1802" spans="2:14">
      <c r="B1802" s="95">
        <v>1750</v>
      </c>
      <c r="C1802" s="95">
        <f t="shared" si="135"/>
        <v>630000</v>
      </c>
      <c r="D1802" s="95">
        <f ca="1">_xlfn.XLOOKUP(总览!$B$44,$B$40:$B$45,$C$40:$C$45)</f>
        <v>5</v>
      </c>
      <c r="E1802" s="95">
        <f ca="1" t="shared" si="138"/>
        <v>1780</v>
      </c>
      <c r="F1802" s="95">
        <f ca="1" t="shared" si="136"/>
        <v>0</v>
      </c>
      <c r="G1802" s="95">
        <f ca="1" t="shared" si="137"/>
        <v>0</v>
      </c>
      <c r="H1802" s="95" cm="1">
        <f ca="1" t="array" ref="H1802">MIN(30-SUM(I1802:L1802),_xlfn.XLOOKUP($D1802&amp;"_"&amp;H$52,$B$14:$B$36&amp;"_"&amp;$C$14:$C$36,$D$14:$D$36)*$E1802,18)</f>
        <v>11.016</v>
      </c>
      <c r="I1802" s="95" cm="1">
        <f ca="1" t="array" ref="I1802">MIN(30-SUM(J1802:L1802),6-L1802,_xlfn.XLOOKUP($D1802&amp;"_"&amp;I$52,$B$14:$B$36&amp;"_"&amp;$C$14:$C$36,$D$14:$D$36)*$E1802)</f>
        <v>0</v>
      </c>
      <c r="J1802" s="95" cm="1">
        <f ca="1" t="array" ref="J1802">MIN(8,_xlfn.XLOOKUP($D1802&amp;"_"&amp;J$52,$B$14:$B$36&amp;"_"&amp;$C$14:$C$36,$D$14:$D$36)*$E1802)</f>
        <v>8</v>
      </c>
      <c r="K1802" s="95" cm="1">
        <f ca="1" t="array" ref="K1802">MIN(18,_xlfn.XLOOKUP($D1802&amp;"_"&amp;K$52,$B$14:$B$36&amp;"_"&amp;$C$14:$C$36,$D$14:$D$36)*$E1802)</f>
        <v>4.984</v>
      </c>
      <c r="L1802" s="95" cm="1">
        <f ca="1" t="array" ref="L1802">MIN(6,_xlfn.XLOOKUP($D1802&amp;"_"&amp;L$52,$B$14:$B$36&amp;"_"&amp;$C$14:$C$36,$D$14:$D$36)*$E1802)</f>
        <v>6</v>
      </c>
      <c r="M1802" s="95" cm="1">
        <f ca="1" t="array" ref="M1802">(1+SUMPRODUCT(G1802:H1802,OFFSET($H$40:$I$40,D1802,0)))*(1+OFFSET($J$40,D1802,0))^I1802*(1+OFFSET($K$40,D1802,0))^J1802*(1+OFFSET($L$40,D1802,0))^K1802*(1+OFFSET($M$40,D1802,0))^L1802</f>
        <v>387.488147634425</v>
      </c>
      <c r="N1802" s="95">
        <f ca="1">MAX(MAX($N$53:N1801),OFFSET($C$52,MATCH(M1802*1.07,$M$53:$M$2052,1),0)-C1802)</f>
        <v>73080</v>
      </c>
    </row>
    <row r="1803" spans="2:14">
      <c r="B1803" s="95">
        <v>1751</v>
      </c>
      <c r="C1803" s="95">
        <f t="shared" si="135"/>
        <v>630360</v>
      </c>
      <c r="D1803" s="95">
        <f ca="1">_xlfn.XLOOKUP(总览!$B$44,$B$40:$B$45,$C$40:$C$45)</f>
        <v>5</v>
      </c>
      <c r="E1803" s="95">
        <f ca="1" t="shared" si="138"/>
        <v>1781</v>
      </c>
      <c r="F1803" s="95">
        <f ca="1" t="shared" si="136"/>
        <v>0</v>
      </c>
      <c r="G1803" s="95">
        <f ca="1" t="shared" si="137"/>
        <v>0</v>
      </c>
      <c r="H1803" s="95" cm="1">
        <f ca="1" t="array" ref="H1803">MIN(30-SUM(I1803:L1803),_xlfn.XLOOKUP($D1803&amp;"_"&amp;H$52,$B$14:$B$36&amp;"_"&amp;$C$14:$C$36,$D$14:$D$36)*$E1803,18)</f>
        <v>11.0132</v>
      </c>
      <c r="I1803" s="95" cm="1">
        <f ca="1" t="array" ref="I1803">MIN(30-SUM(J1803:L1803),6-L1803,_xlfn.XLOOKUP($D1803&amp;"_"&amp;I$52,$B$14:$B$36&amp;"_"&amp;$C$14:$C$36,$D$14:$D$36)*$E1803)</f>
        <v>0</v>
      </c>
      <c r="J1803" s="95" cm="1">
        <f ca="1" t="array" ref="J1803">MIN(8,_xlfn.XLOOKUP($D1803&amp;"_"&amp;J$52,$B$14:$B$36&amp;"_"&amp;$C$14:$C$36,$D$14:$D$36)*$E1803)</f>
        <v>8</v>
      </c>
      <c r="K1803" s="95" cm="1">
        <f ca="1" t="array" ref="K1803">MIN(18,_xlfn.XLOOKUP($D1803&amp;"_"&amp;K$52,$B$14:$B$36&amp;"_"&amp;$C$14:$C$36,$D$14:$D$36)*$E1803)</f>
        <v>4.9868</v>
      </c>
      <c r="L1803" s="95" cm="1">
        <f ca="1" t="array" ref="L1803">MIN(6,_xlfn.XLOOKUP($D1803&amp;"_"&amp;L$52,$B$14:$B$36&amp;"_"&amp;$C$14:$C$36,$D$14:$D$36)*$E1803)</f>
        <v>6</v>
      </c>
      <c r="M1803" s="95" cm="1">
        <f ca="1" t="array" ref="M1803">(1+SUMPRODUCT(G1803:H1803,OFFSET($H$40:$I$40,D1803,0)))*(1+OFFSET($J$40,D1803,0))^I1803*(1+OFFSET($K$40,D1803,0))^J1803*(1+OFFSET($L$40,D1803,0))^K1803*(1+OFFSET($M$40,D1803,0))^L1803</f>
        <v>387.61823369862</v>
      </c>
      <c r="N1803" s="95">
        <f ca="1">MAX(MAX($N$53:N1802),OFFSET($C$52,MATCH(M1803*1.07,$M$53:$M$2052,1),0)-C1803)</f>
        <v>73080</v>
      </c>
    </row>
    <row r="1804" spans="2:14">
      <c r="B1804" s="95">
        <v>1752</v>
      </c>
      <c r="C1804" s="95">
        <f t="shared" si="135"/>
        <v>630720</v>
      </c>
      <c r="D1804" s="95">
        <f ca="1">_xlfn.XLOOKUP(总览!$B$44,$B$40:$B$45,$C$40:$C$45)</f>
        <v>5</v>
      </c>
      <c r="E1804" s="95">
        <f ca="1" t="shared" si="138"/>
        <v>1782</v>
      </c>
      <c r="F1804" s="95">
        <f ca="1" t="shared" si="136"/>
        <v>0</v>
      </c>
      <c r="G1804" s="95">
        <f ca="1" t="shared" si="137"/>
        <v>0</v>
      </c>
      <c r="H1804" s="95" cm="1">
        <f ca="1" t="array" ref="H1804">MIN(30-SUM(I1804:L1804),_xlfn.XLOOKUP($D1804&amp;"_"&amp;H$52,$B$14:$B$36&amp;"_"&amp;$C$14:$C$36,$D$14:$D$36)*$E1804,18)</f>
        <v>11.0104</v>
      </c>
      <c r="I1804" s="95" cm="1">
        <f ca="1" t="array" ref="I1804">MIN(30-SUM(J1804:L1804),6-L1804,_xlfn.XLOOKUP($D1804&amp;"_"&amp;I$52,$B$14:$B$36&amp;"_"&amp;$C$14:$C$36,$D$14:$D$36)*$E1804)</f>
        <v>0</v>
      </c>
      <c r="J1804" s="95" cm="1">
        <f ca="1" t="array" ref="J1804">MIN(8,_xlfn.XLOOKUP($D1804&amp;"_"&amp;J$52,$B$14:$B$36&amp;"_"&amp;$C$14:$C$36,$D$14:$D$36)*$E1804)</f>
        <v>8</v>
      </c>
      <c r="K1804" s="95" cm="1">
        <f ca="1" t="array" ref="K1804">MIN(18,_xlfn.XLOOKUP($D1804&amp;"_"&amp;K$52,$B$14:$B$36&amp;"_"&amp;$C$14:$C$36,$D$14:$D$36)*$E1804)</f>
        <v>4.9896</v>
      </c>
      <c r="L1804" s="95" cm="1">
        <f ca="1" t="array" ref="L1804">MIN(6,_xlfn.XLOOKUP($D1804&amp;"_"&amp;L$52,$B$14:$B$36&amp;"_"&amp;$C$14:$C$36,$D$14:$D$36)*$E1804)</f>
        <v>6</v>
      </c>
      <c r="M1804" s="95" cm="1">
        <f ca="1" t="array" ref="M1804">(1+SUMPRODUCT(G1804:H1804,OFFSET($H$40:$I$40,D1804,0)))*(1+OFFSET($J$40,D1804,0))^I1804*(1+OFFSET($K$40,D1804,0))^J1804*(1+OFFSET($L$40,D1804,0))^K1804*(1+OFFSET($M$40,D1804,0))^L1804</f>
        <v>387.748351579594</v>
      </c>
      <c r="N1804" s="95">
        <f ca="1">MAX(MAX($N$53:N1803),OFFSET($C$52,MATCH(M1804*1.07,$M$53:$M$2052,1),0)-C1804)</f>
        <v>73080</v>
      </c>
    </row>
    <row r="1805" spans="2:14">
      <c r="B1805" s="95">
        <v>1753</v>
      </c>
      <c r="C1805" s="95">
        <f t="shared" si="135"/>
        <v>631080</v>
      </c>
      <c r="D1805" s="95">
        <f ca="1">_xlfn.XLOOKUP(总览!$B$44,$B$40:$B$45,$C$40:$C$45)</f>
        <v>5</v>
      </c>
      <c r="E1805" s="95">
        <f ca="1" t="shared" si="138"/>
        <v>1783</v>
      </c>
      <c r="F1805" s="95">
        <f ca="1" t="shared" si="136"/>
        <v>0</v>
      </c>
      <c r="G1805" s="95">
        <f ca="1" t="shared" si="137"/>
        <v>0</v>
      </c>
      <c r="H1805" s="95" cm="1">
        <f ca="1" t="array" ref="H1805">MIN(30-SUM(I1805:L1805),_xlfn.XLOOKUP($D1805&amp;"_"&amp;H$52,$B$14:$B$36&amp;"_"&amp;$C$14:$C$36,$D$14:$D$36)*$E1805,18)</f>
        <v>11.0076</v>
      </c>
      <c r="I1805" s="95" cm="1">
        <f ca="1" t="array" ref="I1805">MIN(30-SUM(J1805:L1805),6-L1805,_xlfn.XLOOKUP($D1805&amp;"_"&amp;I$52,$B$14:$B$36&amp;"_"&amp;$C$14:$C$36,$D$14:$D$36)*$E1805)</f>
        <v>0</v>
      </c>
      <c r="J1805" s="95" cm="1">
        <f ca="1" t="array" ref="J1805">MIN(8,_xlfn.XLOOKUP($D1805&amp;"_"&amp;J$52,$B$14:$B$36&amp;"_"&amp;$C$14:$C$36,$D$14:$D$36)*$E1805)</f>
        <v>8</v>
      </c>
      <c r="K1805" s="95" cm="1">
        <f ca="1" t="array" ref="K1805">MIN(18,_xlfn.XLOOKUP($D1805&amp;"_"&amp;K$52,$B$14:$B$36&amp;"_"&amp;$C$14:$C$36,$D$14:$D$36)*$E1805)</f>
        <v>4.9924</v>
      </c>
      <c r="L1805" s="95" cm="1">
        <f ca="1" t="array" ref="L1805">MIN(6,_xlfn.XLOOKUP($D1805&amp;"_"&amp;L$52,$B$14:$B$36&amp;"_"&amp;$C$14:$C$36,$D$14:$D$36)*$E1805)</f>
        <v>6</v>
      </c>
      <c r="M1805" s="95" cm="1">
        <f ca="1" t="array" ref="M1805">(1+SUMPRODUCT(G1805:H1805,OFFSET($H$40:$I$40,D1805,0)))*(1+OFFSET($J$40,D1805,0))^I1805*(1+OFFSET($K$40,D1805,0))^J1805*(1+OFFSET($L$40,D1805,0))^K1805*(1+OFFSET($M$40,D1805,0))^L1805</f>
        <v>387.878501275923</v>
      </c>
      <c r="N1805" s="95">
        <f ca="1">MAX(MAX($N$53:N1804),OFFSET($C$52,MATCH(M1805*1.07,$M$53:$M$2052,1),0)-C1805)</f>
        <v>73080</v>
      </c>
    </row>
    <row r="1806" spans="2:14">
      <c r="B1806" s="95">
        <v>1754</v>
      </c>
      <c r="C1806" s="95">
        <f t="shared" si="135"/>
        <v>631440</v>
      </c>
      <c r="D1806" s="95">
        <f ca="1">_xlfn.XLOOKUP(总览!$B$44,$B$40:$B$45,$C$40:$C$45)</f>
        <v>5</v>
      </c>
      <c r="E1806" s="95">
        <f ca="1" t="shared" si="138"/>
        <v>1784</v>
      </c>
      <c r="F1806" s="95">
        <f ca="1" t="shared" si="136"/>
        <v>0</v>
      </c>
      <c r="G1806" s="95">
        <f ca="1" t="shared" si="137"/>
        <v>0</v>
      </c>
      <c r="H1806" s="95" cm="1">
        <f ca="1" t="array" ref="H1806">MIN(30-SUM(I1806:L1806),_xlfn.XLOOKUP($D1806&amp;"_"&amp;H$52,$B$14:$B$36&amp;"_"&amp;$C$14:$C$36,$D$14:$D$36)*$E1806,18)</f>
        <v>11.0048</v>
      </c>
      <c r="I1806" s="95" cm="1">
        <f ca="1" t="array" ref="I1806">MIN(30-SUM(J1806:L1806),6-L1806,_xlfn.XLOOKUP($D1806&amp;"_"&amp;I$52,$B$14:$B$36&amp;"_"&amp;$C$14:$C$36,$D$14:$D$36)*$E1806)</f>
        <v>0</v>
      </c>
      <c r="J1806" s="95" cm="1">
        <f ca="1" t="array" ref="J1806">MIN(8,_xlfn.XLOOKUP($D1806&amp;"_"&amp;J$52,$B$14:$B$36&amp;"_"&amp;$C$14:$C$36,$D$14:$D$36)*$E1806)</f>
        <v>8</v>
      </c>
      <c r="K1806" s="95" cm="1">
        <f ca="1" t="array" ref="K1806">MIN(18,_xlfn.XLOOKUP($D1806&amp;"_"&amp;K$52,$B$14:$B$36&amp;"_"&amp;$C$14:$C$36,$D$14:$D$36)*$E1806)</f>
        <v>4.9952</v>
      </c>
      <c r="L1806" s="95" cm="1">
        <f ca="1" t="array" ref="L1806">MIN(6,_xlfn.XLOOKUP($D1806&amp;"_"&amp;L$52,$B$14:$B$36&amp;"_"&amp;$C$14:$C$36,$D$14:$D$36)*$E1806)</f>
        <v>6</v>
      </c>
      <c r="M1806" s="95" cm="1">
        <f ca="1" t="array" ref="M1806">(1+SUMPRODUCT(G1806:H1806,OFFSET($H$40:$I$40,D1806,0)))*(1+OFFSET($J$40,D1806,0))^I1806*(1+OFFSET($K$40,D1806,0))^J1806*(1+OFFSET($L$40,D1806,0))^K1806*(1+OFFSET($M$40,D1806,0))^L1806</f>
        <v>388.00868278617</v>
      </c>
      <c r="N1806" s="95">
        <f ca="1">MAX(MAX($N$53:N1805),OFFSET($C$52,MATCH(M1806*1.07,$M$53:$M$2052,1),0)-C1806)</f>
        <v>73080</v>
      </c>
    </row>
    <row r="1807" spans="2:14">
      <c r="B1807" s="95">
        <v>1755</v>
      </c>
      <c r="C1807" s="95">
        <f t="shared" si="135"/>
        <v>631800</v>
      </c>
      <c r="D1807" s="95">
        <f ca="1">_xlfn.XLOOKUP(总览!$B$44,$B$40:$B$45,$C$40:$C$45)</f>
        <v>5</v>
      </c>
      <c r="E1807" s="95">
        <f ca="1" t="shared" si="138"/>
        <v>1785</v>
      </c>
      <c r="F1807" s="95">
        <f ca="1" t="shared" si="136"/>
        <v>0</v>
      </c>
      <c r="G1807" s="95">
        <f ca="1" t="shared" si="137"/>
        <v>0</v>
      </c>
      <c r="H1807" s="95" cm="1">
        <f ca="1" t="array" ref="H1807">MIN(30-SUM(I1807:L1807),_xlfn.XLOOKUP($D1807&amp;"_"&amp;H$52,$B$14:$B$36&amp;"_"&amp;$C$14:$C$36,$D$14:$D$36)*$E1807,18)</f>
        <v>11.002</v>
      </c>
      <c r="I1807" s="95" cm="1">
        <f ca="1" t="array" ref="I1807">MIN(30-SUM(J1807:L1807),6-L1807,_xlfn.XLOOKUP($D1807&amp;"_"&amp;I$52,$B$14:$B$36&amp;"_"&amp;$C$14:$C$36,$D$14:$D$36)*$E1807)</f>
        <v>0</v>
      </c>
      <c r="J1807" s="95" cm="1">
        <f ca="1" t="array" ref="J1807">MIN(8,_xlfn.XLOOKUP($D1807&amp;"_"&amp;J$52,$B$14:$B$36&amp;"_"&amp;$C$14:$C$36,$D$14:$D$36)*$E1807)</f>
        <v>8</v>
      </c>
      <c r="K1807" s="95" cm="1">
        <f ca="1" t="array" ref="K1807">MIN(18,_xlfn.XLOOKUP($D1807&amp;"_"&amp;K$52,$B$14:$B$36&amp;"_"&amp;$C$14:$C$36,$D$14:$D$36)*$E1807)</f>
        <v>4.998</v>
      </c>
      <c r="L1807" s="95" cm="1">
        <f ca="1" t="array" ref="L1807">MIN(6,_xlfn.XLOOKUP($D1807&amp;"_"&amp;L$52,$B$14:$B$36&amp;"_"&amp;$C$14:$C$36,$D$14:$D$36)*$E1807)</f>
        <v>6</v>
      </c>
      <c r="M1807" s="95" cm="1">
        <f ca="1" t="array" ref="M1807">(1+SUMPRODUCT(G1807:H1807,OFFSET($H$40:$I$40,D1807,0)))*(1+OFFSET($J$40,D1807,0))^I1807*(1+OFFSET($K$40,D1807,0))^J1807*(1+OFFSET($L$40,D1807,0))^K1807*(1+OFFSET($M$40,D1807,0))^L1807</f>
        <v>388.13889610889</v>
      </c>
      <c r="N1807" s="95">
        <f ca="1">MAX(MAX($N$53:N1806),OFFSET($C$52,MATCH(M1807*1.07,$M$53:$M$2052,1),0)-C1807)</f>
        <v>73080</v>
      </c>
    </row>
    <row r="1808" spans="2:14">
      <c r="B1808" s="95">
        <v>1756</v>
      </c>
      <c r="C1808" s="95">
        <f t="shared" si="135"/>
        <v>632160</v>
      </c>
      <c r="D1808" s="95">
        <f ca="1">_xlfn.XLOOKUP(总览!$B$44,$B$40:$B$45,$C$40:$C$45)</f>
        <v>5</v>
      </c>
      <c r="E1808" s="95">
        <f ca="1" t="shared" si="138"/>
        <v>1786</v>
      </c>
      <c r="F1808" s="95">
        <f ca="1" t="shared" si="136"/>
        <v>0</v>
      </c>
      <c r="G1808" s="95">
        <f ca="1" t="shared" si="137"/>
        <v>0</v>
      </c>
      <c r="H1808" s="95" cm="1">
        <f ca="1" t="array" ref="H1808">MIN(30-SUM(I1808:L1808),_xlfn.XLOOKUP($D1808&amp;"_"&amp;H$52,$B$14:$B$36&amp;"_"&amp;$C$14:$C$36,$D$14:$D$36)*$E1808,18)</f>
        <v>10.9992</v>
      </c>
      <c r="I1808" s="95" cm="1">
        <f ca="1" t="array" ref="I1808">MIN(30-SUM(J1808:L1808),6-L1808,_xlfn.XLOOKUP($D1808&amp;"_"&amp;I$52,$B$14:$B$36&amp;"_"&amp;$C$14:$C$36,$D$14:$D$36)*$E1808)</f>
        <v>0</v>
      </c>
      <c r="J1808" s="95" cm="1">
        <f ca="1" t="array" ref="J1808">MIN(8,_xlfn.XLOOKUP($D1808&amp;"_"&amp;J$52,$B$14:$B$36&amp;"_"&amp;$C$14:$C$36,$D$14:$D$36)*$E1808)</f>
        <v>8</v>
      </c>
      <c r="K1808" s="95" cm="1">
        <f ca="1" t="array" ref="K1808">MIN(18,_xlfn.XLOOKUP($D1808&amp;"_"&amp;K$52,$B$14:$B$36&amp;"_"&amp;$C$14:$C$36,$D$14:$D$36)*$E1808)</f>
        <v>5.0008</v>
      </c>
      <c r="L1808" s="95" cm="1">
        <f ca="1" t="array" ref="L1808">MIN(6,_xlfn.XLOOKUP($D1808&amp;"_"&amp;L$52,$B$14:$B$36&amp;"_"&amp;$C$14:$C$36,$D$14:$D$36)*$E1808)</f>
        <v>6</v>
      </c>
      <c r="M1808" s="95" cm="1">
        <f ca="1" t="array" ref="M1808">(1+SUMPRODUCT(G1808:H1808,OFFSET($H$40:$I$40,D1808,0)))*(1+OFFSET($J$40,D1808,0))^I1808*(1+OFFSET($K$40,D1808,0))^J1808*(1+OFFSET($L$40,D1808,0))^K1808*(1+OFFSET($M$40,D1808,0))^L1808</f>
        <v>388.269141242629</v>
      </c>
      <c r="N1808" s="95">
        <f ca="1">MAX(MAX($N$53:N1807),OFFSET($C$52,MATCH(M1808*1.07,$M$53:$M$2052,1),0)-C1808)</f>
        <v>73080</v>
      </c>
    </row>
    <row r="1809" spans="2:14">
      <c r="B1809" s="95">
        <v>1757</v>
      </c>
      <c r="C1809" s="95">
        <f t="shared" si="135"/>
        <v>632520</v>
      </c>
      <c r="D1809" s="95">
        <f ca="1">_xlfn.XLOOKUP(总览!$B$44,$B$40:$B$45,$C$40:$C$45)</f>
        <v>5</v>
      </c>
      <c r="E1809" s="95">
        <f ca="1" t="shared" si="138"/>
        <v>1787</v>
      </c>
      <c r="F1809" s="95">
        <f ca="1" t="shared" si="136"/>
        <v>0</v>
      </c>
      <c r="G1809" s="95">
        <f ca="1" t="shared" si="137"/>
        <v>0</v>
      </c>
      <c r="H1809" s="95" cm="1">
        <f ca="1" t="array" ref="H1809">MIN(30-SUM(I1809:L1809),_xlfn.XLOOKUP($D1809&amp;"_"&amp;H$52,$B$14:$B$36&amp;"_"&amp;$C$14:$C$36,$D$14:$D$36)*$E1809,18)</f>
        <v>10.9964</v>
      </c>
      <c r="I1809" s="95" cm="1">
        <f ca="1" t="array" ref="I1809">MIN(30-SUM(J1809:L1809),6-L1809,_xlfn.XLOOKUP($D1809&amp;"_"&amp;I$52,$B$14:$B$36&amp;"_"&amp;$C$14:$C$36,$D$14:$D$36)*$E1809)</f>
        <v>0</v>
      </c>
      <c r="J1809" s="95" cm="1">
        <f ca="1" t="array" ref="J1809">MIN(8,_xlfn.XLOOKUP($D1809&amp;"_"&amp;J$52,$B$14:$B$36&amp;"_"&amp;$C$14:$C$36,$D$14:$D$36)*$E1809)</f>
        <v>8</v>
      </c>
      <c r="K1809" s="95" cm="1">
        <f ca="1" t="array" ref="K1809">MIN(18,_xlfn.XLOOKUP($D1809&amp;"_"&amp;K$52,$B$14:$B$36&amp;"_"&amp;$C$14:$C$36,$D$14:$D$36)*$E1809)</f>
        <v>5.0036</v>
      </c>
      <c r="L1809" s="95" cm="1">
        <f ca="1" t="array" ref="L1809">MIN(6,_xlfn.XLOOKUP($D1809&amp;"_"&amp;L$52,$B$14:$B$36&amp;"_"&amp;$C$14:$C$36,$D$14:$D$36)*$E1809)</f>
        <v>6</v>
      </c>
      <c r="M1809" s="95" cm="1">
        <f ca="1" t="array" ref="M1809">(1+SUMPRODUCT(G1809:H1809,OFFSET($H$40:$I$40,D1809,0)))*(1+OFFSET($J$40,D1809,0))^I1809*(1+OFFSET($K$40,D1809,0))^J1809*(1+OFFSET($L$40,D1809,0))^K1809*(1+OFFSET($M$40,D1809,0))^L1809</f>
        <v>388.39941818592</v>
      </c>
      <c r="N1809" s="95">
        <f ca="1">MAX(MAX($N$53:N1808),OFFSET($C$52,MATCH(M1809*1.07,$M$53:$M$2052,1),0)-C1809)</f>
        <v>73080</v>
      </c>
    </row>
    <row r="1810" spans="2:14">
      <c r="B1810" s="95">
        <v>1758</v>
      </c>
      <c r="C1810" s="95">
        <f t="shared" si="135"/>
        <v>632880</v>
      </c>
      <c r="D1810" s="95">
        <f ca="1">_xlfn.XLOOKUP(总览!$B$44,$B$40:$B$45,$C$40:$C$45)</f>
        <v>5</v>
      </c>
      <c r="E1810" s="95">
        <f ca="1" t="shared" si="138"/>
        <v>1788</v>
      </c>
      <c r="F1810" s="95">
        <f ca="1" t="shared" si="136"/>
        <v>0</v>
      </c>
      <c r="G1810" s="95">
        <f ca="1" t="shared" si="137"/>
        <v>0</v>
      </c>
      <c r="H1810" s="95" cm="1">
        <f ca="1" t="array" ref="H1810">MIN(30-SUM(I1810:L1810),_xlfn.XLOOKUP($D1810&amp;"_"&amp;H$52,$B$14:$B$36&amp;"_"&amp;$C$14:$C$36,$D$14:$D$36)*$E1810,18)</f>
        <v>10.9936</v>
      </c>
      <c r="I1810" s="95" cm="1">
        <f ca="1" t="array" ref="I1810">MIN(30-SUM(J1810:L1810),6-L1810,_xlfn.XLOOKUP($D1810&amp;"_"&amp;I$52,$B$14:$B$36&amp;"_"&amp;$C$14:$C$36,$D$14:$D$36)*$E1810)</f>
        <v>0</v>
      </c>
      <c r="J1810" s="95" cm="1">
        <f ca="1" t="array" ref="J1810">MIN(8,_xlfn.XLOOKUP($D1810&amp;"_"&amp;J$52,$B$14:$B$36&amp;"_"&amp;$C$14:$C$36,$D$14:$D$36)*$E1810)</f>
        <v>8</v>
      </c>
      <c r="K1810" s="95" cm="1">
        <f ca="1" t="array" ref="K1810">MIN(18,_xlfn.XLOOKUP($D1810&amp;"_"&amp;K$52,$B$14:$B$36&amp;"_"&amp;$C$14:$C$36,$D$14:$D$36)*$E1810)</f>
        <v>5.0064</v>
      </c>
      <c r="L1810" s="95" cm="1">
        <f ca="1" t="array" ref="L1810">MIN(6,_xlfn.XLOOKUP($D1810&amp;"_"&amp;L$52,$B$14:$B$36&amp;"_"&amp;$C$14:$C$36,$D$14:$D$36)*$E1810)</f>
        <v>6</v>
      </c>
      <c r="M1810" s="95" cm="1">
        <f ca="1" t="array" ref="M1810">(1+SUMPRODUCT(G1810:H1810,OFFSET($H$40:$I$40,D1810,0)))*(1+OFFSET($J$40,D1810,0))^I1810*(1+OFFSET($K$40,D1810,0))^J1810*(1+OFFSET($L$40,D1810,0))^K1810*(1+OFFSET($M$40,D1810,0))^L1810</f>
        <v>388.529726937289</v>
      </c>
      <c r="N1810" s="95">
        <f ca="1">MAX(MAX($N$53:N1809),OFFSET($C$52,MATCH(M1810*1.07,$M$53:$M$2052,1),0)-C1810)</f>
        <v>73080</v>
      </c>
    </row>
    <row r="1811" spans="2:14">
      <c r="B1811" s="95">
        <v>1759</v>
      </c>
      <c r="C1811" s="95">
        <f t="shared" si="135"/>
        <v>633240</v>
      </c>
      <c r="D1811" s="95">
        <f ca="1">_xlfn.XLOOKUP(总览!$B$44,$B$40:$B$45,$C$40:$C$45)</f>
        <v>5</v>
      </c>
      <c r="E1811" s="95">
        <f ca="1" t="shared" si="138"/>
        <v>1789</v>
      </c>
      <c r="F1811" s="95">
        <f ca="1" t="shared" si="136"/>
        <v>0</v>
      </c>
      <c r="G1811" s="95">
        <f ca="1" t="shared" si="137"/>
        <v>0</v>
      </c>
      <c r="H1811" s="95" cm="1">
        <f ca="1" t="array" ref="H1811">MIN(30-SUM(I1811:L1811),_xlfn.XLOOKUP($D1811&amp;"_"&amp;H$52,$B$14:$B$36&amp;"_"&amp;$C$14:$C$36,$D$14:$D$36)*$E1811,18)</f>
        <v>10.9908</v>
      </c>
      <c r="I1811" s="95" cm="1">
        <f ca="1" t="array" ref="I1811">MIN(30-SUM(J1811:L1811),6-L1811,_xlfn.XLOOKUP($D1811&amp;"_"&amp;I$52,$B$14:$B$36&amp;"_"&amp;$C$14:$C$36,$D$14:$D$36)*$E1811)</f>
        <v>0</v>
      </c>
      <c r="J1811" s="95" cm="1">
        <f ca="1" t="array" ref="J1811">MIN(8,_xlfn.XLOOKUP($D1811&amp;"_"&amp;J$52,$B$14:$B$36&amp;"_"&amp;$C$14:$C$36,$D$14:$D$36)*$E1811)</f>
        <v>8</v>
      </c>
      <c r="K1811" s="95" cm="1">
        <f ca="1" t="array" ref="K1811">MIN(18,_xlfn.XLOOKUP($D1811&amp;"_"&amp;K$52,$B$14:$B$36&amp;"_"&amp;$C$14:$C$36,$D$14:$D$36)*$E1811)</f>
        <v>5.0092</v>
      </c>
      <c r="L1811" s="95" cm="1">
        <f ca="1" t="array" ref="L1811">MIN(6,_xlfn.XLOOKUP($D1811&amp;"_"&amp;L$52,$B$14:$B$36&amp;"_"&amp;$C$14:$C$36,$D$14:$D$36)*$E1811)</f>
        <v>6</v>
      </c>
      <c r="M1811" s="95" cm="1">
        <f ca="1" t="array" ref="M1811">(1+SUMPRODUCT(G1811:H1811,OFFSET($H$40:$I$40,D1811,0)))*(1+OFFSET($J$40,D1811,0))^I1811*(1+OFFSET($K$40,D1811,0))^J1811*(1+OFFSET($L$40,D1811,0))^K1811*(1+OFFSET($M$40,D1811,0))^L1811</f>
        <v>388.660067495252</v>
      </c>
      <c r="N1811" s="95">
        <f ca="1">MAX(MAX($N$53:N1810),OFFSET($C$52,MATCH(M1811*1.07,$M$53:$M$2052,1),0)-C1811)</f>
        <v>73080</v>
      </c>
    </row>
    <row r="1812" spans="2:14">
      <c r="B1812" s="95">
        <v>1760</v>
      </c>
      <c r="C1812" s="95">
        <f t="shared" si="135"/>
        <v>633600</v>
      </c>
      <c r="D1812" s="95">
        <f ca="1">_xlfn.XLOOKUP(总览!$B$44,$B$40:$B$45,$C$40:$C$45)</f>
        <v>5</v>
      </c>
      <c r="E1812" s="95">
        <f ca="1" t="shared" si="138"/>
        <v>1790</v>
      </c>
      <c r="F1812" s="95">
        <f ca="1" t="shared" si="136"/>
        <v>0</v>
      </c>
      <c r="G1812" s="95">
        <f ca="1" t="shared" si="137"/>
        <v>0</v>
      </c>
      <c r="H1812" s="95" cm="1">
        <f ca="1" t="array" ref="H1812">MIN(30-SUM(I1812:L1812),_xlfn.XLOOKUP($D1812&amp;"_"&amp;H$52,$B$14:$B$36&amp;"_"&amp;$C$14:$C$36,$D$14:$D$36)*$E1812,18)</f>
        <v>10.988</v>
      </c>
      <c r="I1812" s="95" cm="1">
        <f ca="1" t="array" ref="I1812">MIN(30-SUM(J1812:L1812),6-L1812,_xlfn.XLOOKUP($D1812&amp;"_"&amp;I$52,$B$14:$B$36&amp;"_"&amp;$C$14:$C$36,$D$14:$D$36)*$E1812)</f>
        <v>0</v>
      </c>
      <c r="J1812" s="95" cm="1">
        <f ca="1" t="array" ref="J1812">MIN(8,_xlfn.XLOOKUP($D1812&amp;"_"&amp;J$52,$B$14:$B$36&amp;"_"&amp;$C$14:$C$36,$D$14:$D$36)*$E1812)</f>
        <v>8</v>
      </c>
      <c r="K1812" s="95" cm="1">
        <f ca="1" t="array" ref="K1812">MIN(18,_xlfn.XLOOKUP($D1812&amp;"_"&amp;K$52,$B$14:$B$36&amp;"_"&amp;$C$14:$C$36,$D$14:$D$36)*$E1812)</f>
        <v>5.012</v>
      </c>
      <c r="L1812" s="95" cm="1">
        <f ca="1" t="array" ref="L1812">MIN(6,_xlfn.XLOOKUP($D1812&amp;"_"&amp;L$52,$B$14:$B$36&amp;"_"&amp;$C$14:$C$36,$D$14:$D$36)*$E1812)</f>
        <v>6</v>
      </c>
      <c r="M1812" s="95" cm="1">
        <f ca="1" t="array" ref="M1812">(1+SUMPRODUCT(G1812:H1812,OFFSET($H$40:$I$40,D1812,0)))*(1+OFFSET($J$40,D1812,0))^I1812*(1+OFFSET($K$40,D1812,0))^J1812*(1+OFFSET($L$40,D1812,0))^K1812*(1+OFFSET($M$40,D1812,0))^L1812</f>
        <v>388.790439858315</v>
      </c>
      <c r="N1812" s="95">
        <f ca="1">MAX(MAX($N$53:N1811),OFFSET($C$52,MATCH(M1812*1.07,$M$53:$M$2052,1),0)-C1812)</f>
        <v>73080</v>
      </c>
    </row>
    <row r="1813" spans="2:14">
      <c r="B1813" s="95">
        <v>1761</v>
      </c>
      <c r="C1813" s="95">
        <f t="shared" si="135"/>
        <v>633960</v>
      </c>
      <c r="D1813" s="95">
        <f ca="1">_xlfn.XLOOKUP(总览!$B$44,$B$40:$B$45,$C$40:$C$45)</f>
        <v>5</v>
      </c>
      <c r="E1813" s="95">
        <f ca="1" t="shared" si="138"/>
        <v>1791</v>
      </c>
      <c r="F1813" s="95">
        <f ca="1" t="shared" si="136"/>
        <v>0</v>
      </c>
      <c r="G1813" s="95">
        <f ca="1" t="shared" si="137"/>
        <v>0</v>
      </c>
      <c r="H1813" s="95" cm="1">
        <f ca="1" t="array" ref="H1813">MIN(30-SUM(I1813:L1813),_xlfn.XLOOKUP($D1813&amp;"_"&amp;H$52,$B$14:$B$36&amp;"_"&amp;$C$14:$C$36,$D$14:$D$36)*$E1813,18)</f>
        <v>10.9852</v>
      </c>
      <c r="I1813" s="95" cm="1">
        <f ca="1" t="array" ref="I1813">MIN(30-SUM(J1813:L1813),6-L1813,_xlfn.XLOOKUP($D1813&amp;"_"&amp;I$52,$B$14:$B$36&amp;"_"&amp;$C$14:$C$36,$D$14:$D$36)*$E1813)</f>
        <v>0</v>
      </c>
      <c r="J1813" s="95" cm="1">
        <f ca="1" t="array" ref="J1813">MIN(8,_xlfn.XLOOKUP($D1813&amp;"_"&amp;J$52,$B$14:$B$36&amp;"_"&amp;$C$14:$C$36,$D$14:$D$36)*$E1813)</f>
        <v>8</v>
      </c>
      <c r="K1813" s="95" cm="1">
        <f ca="1" t="array" ref="K1813">MIN(18,_xlfn.XLOOKUP($D1813&amp;"_"&amp;K$52,$B$14:$B$36&amp;"_"&amp;$C$14:$C$36,$D$14:$D$36)*$E1813)</f>
        <v>5.0148</v>
      </c>
      <c r="L1813" s="95" cm="1">
        <f ca="1" t="array" ref="L1813">MIN(6,_xlfn.XLOOKUP($D1813&amp;"_"&amp;L$52,$B$14:$B$36&amp;"_"&amp;$C$14:$C$36,$D$14:$D$36)*$E1813)</f>
        <v>6</v>
      </c>
      <c r="M1813" s="95" cm="1">
        <f ca="1" t="array" ref="M1813">(1+SUMPRODUCT(G1813:H1813,OFFSET($H$40:$I$40,D1813,0)))*(1+OFFSET($J$40,D1813,0))^I1813*(1+OFFSET($K$40,D1813,0))^J1813*(1+OFFSET($L$40,D1813,0))^K1813*(1+OFFSET($M$40,D1813,0))^L1813</f>
        <v>388.920844024973</v>
      </c>
      <c r="N1813" s="95">
        <f ca="1">MAX(MAX($N$53:N1812),OFFSET($C$52,MATCH(M1813*1.07,$M$53:$M$2052,1),0)-C1813)</f>
        <v>73080</v>
      </c>
    </row>
    <row r="1814" spans="2:14">
      <c r="B1814" s="95">
        <v>1762</v>
      </c>
      <c r="C1814" s="95">
        <f t="shared" si="135"/>
        <v>634320</v>
      </c>
      <c r="D1814" s="95">
        <f ca="1">_xlfn.XLOOKUP(总览!$B$44,$B$40:$B$45,$C$40:$C$45)</f>
        <v>5</v>
      </c>
      <c r="E1814" s="95">
        <f ca="1" t="shared" si="138"/>
        <v>1792</v>
      </c>
      <c r="F1814" s="95">
        <f ca="1" t="shared" si="136"/>
        <v>0</v>
      </c>
      <c r="G1814" s="95">
        <f ca="1" t="shared" si="137"/>
        <v>0</v>
      </c>
      <c r="H1814" s="95" cm="1">
        <f ca="1" t="array" ref="H1814">MIN(30-SUM(I1814:L1814),_xlfn.XLOOKUP($D1814&amp;"_"&amp;H$52,$B$14:$B$36&amp;"_"&amp;$C$14:$C$36,$D$14:$D$36)*$E1814,18)</f>
        <v>10.9824</v>
      </c>
      <c r="I1814" s="95" cm="1">
        <f ca="1" t="array" ref="I1814">MIN(30-SUM(J1814:L1814),6-L1814,_xlfn.XLOOKUP($D1814&amp;"_"&amp;I$52,$B$14:$B$36&amp;"_"&amp;$C$14:$C$36,$D$14:$D$36)*$E1814)</f>
        <v>0</v>
      </c>
      <c r="J1814" s="95" cm="1">
        <f ca="1" t="array" ref="J1814">MIN(8,_xlfn.XLOOKUP($D1814&amp;"_"&amp;J$52,$B$14:$B$36&amp;"_"&amp;$C$14:$C$36,$D$14:$D$36)*$E1814)</f>
        <v>8</v>
      </c>
      <c r="K1814" s="95" cm="1">
        <f ca="1" t="array" ref="K1814">MIN(18,_xlfn.XLOOKUP($D1814&amp;"_"&amp;K$52,$B$14:$B$36&amp;"_"&amp;$C$14:$C$36,$D$14:$D$36)*$E1814)</f>
        <v>5.0176</v>
      </c>
      <c r="L1814" s="95" cm="1">
        <f ca="1" t="array" ref="L1814">MIN(6,_xlfn.XLOOKUP($D1814&amp;"_"&amp;L$52,$B$14:$B$36&amp;"_"&amp;$C$14:$C$36,$D$14:$D$36)*$E1814)</f>
        <v>6</v>
      </c>
      <c r="M1814" s="95" cm="1">
        <f ca="1" t="array" ref="M1814">(1+SUMPRODUCT(G1814:H1814,OFFSET($H$40:$I$40,D1814,0)))*(1+OFFSET($J$40,D1814,0))^I1814*(1+OFFSET($K$40,D1814,0))^J1814*(1+OFFSET($L$40,D1814,0))^K1814*(1+OFFSET($M$40,D1814,0))^L1814</f>
        <v>389.051279993712</v>
      </c>
      <c r="N1814" s="95">
        <f ca="1">MAX(MAX($N$53:N1813),OFFSET($C$52,MATCH(M1814*1.07,$M$53:$M$2052,1),0)-C1814)</f>
        <v>73080</v>
      </c>
    </row>
    <row r="1815" spans="2:14">
      <c r="B1815" s="95">
        <v>1763</v>
      </c>
      <c r="C1815" s="95">
        <f t="shared" si="135"/>
        <v>634680</v>
      </c>
      <c r="D1815" s="95">
        <f ca="1">_xlfn.XLOOKUP(总览!$B$44,$B$40:$B$45,$C$40:$C$45)</f>
        <v>5</v>
      </c>
      <c r="E1815" s="95">
        <f ca="1" t="shared" si="138"/>
        <v>1793</v>
      </c>
      <c r="F1815" s="95">
        <f ca="1" t="shared" si="136"/>
        <v>0</v>
      </c>
      <c r="G1815" s="95">
        <f ca="1" t="shared" si="137"/>
        <v>0</v>
      </c>
      <c r="H1815" s="95" cm="1">
        <f ca="1" t="array" ref="H1815">MIN(30-SUM(I1815:L1815),_xlfn.XLOOKUP($D1815&amp;"_"&amp;H$52,$B$14:$B$36&amp;"_"&amp;$C$14:$C$36,$D$14:$D$36)*$E1815,18)</f>
        <v>10.9796</v>
      </c>
      <c r="I1815" s="95" cm="1">
        <f ca="1" t="array" ref="I1815">MIN(30-SUM(J1815:L1815),6-L1815,_xlfn.XLOOKUP($D1815&amp;"_"&amp;I$52,$B$14:$B$36&amp;"_"&amp;$C$14:$C$36,$D$14:$D$36)*$E1815)</f>
        <v>0</v>
      </c>
      <c r="J1815" s="95" cm="1">
        <f ca="1" t="array" ref="J1815">MIN(8,_xlfn.XLOOKUP($D1815&amp;"_"&amp;J$52,$B$14:$B$36&amp;"_"&amp;$C$14:$C$36,$D$14:$D$36)*$E1815)</f>
        <v>8</v>
      </c>
      <c r="K1815" s="95" cm="1">
        <f ca="1" t="array" ref="K1815">MIN(18,_xlfn.XLOOKUP($D1815&amp;"_"&amp;K$52,$B$14:$B$36&amp;"_"&amp;$C$14:$C$36,$D$14:$D$36)*$E1815)</f>
        <v>5.0204</v>
      </c>
      <c r="L1815" s="95" cm="1">
        <f ca="1" t="array" ref="L1815">MIN(6,_xlfn.XLOOKUP($D1815&amp;"_"&amp;L$52,$B$14:$B$36&amp;"_"&amp;$C$14:$C$36,$D$14:$D$36)*$E1815)</f>
        <v>6</v>
      </c>
      <c r="M1815" s="95" cm="1">
        <f ca="1" t="array" ref="M1815">(1+SUMPRODUCT(G1815:H1815,OFFSET($H$40:$I$40,D1815,0)))*(1+OFFSET($J$40,D1815,0))^I1815*(1+OFFSET($K$40,D1815,0))^J1815*(1+OFFSET($L$40,D1815,0))^K1815*(1+OFFSET($M$40,D1815,0))^L1815</f>
        <v>389.181747763008</v>
      </c>
      <c r="N1815" s="95">
        <f ca="1">MAX(MAX($N$53:N1814),OFFSET($C$52,MATCH(M1815*1.07,$M$53:$M$2052,1),0)-C1815)</f>
        <v>73080</v>
      </c>
    </row>
    <row r="1816" spans="2:14">
      <c r="B1816" s="95">
        <v>1764</v>
      </c>
      <c r="C1816" s="95">
        <f t="shared" si="135"/>
        <v>635040</v>
      </c>
      <c r="D1816" s="95">
        <f ca="1">_xlfn.XLOOKUP(总览!$B$44,$B$40:$B$45,$C$40:$C$45)</f>
        <v>5</v>
      </c>
      <c r="E1816" s="95">
        <f ca="1" t="shared" si="138"/>
        <v>1794</v>
      </c>
      <c r="F1816" s="95">
        <f ca="1" t="shared" si="136"/>
        <v>0</v>
      </c>
      <c r="G1816" s="95">
        <f ca="1" t="shared" si="137"/>
        <v>0</v>
      </c>
      <c r="H1816" s="95" cm="1">
        <f ca="1" t="array" ref="H1816">MIN(30-SUM(I1816:L1816),_xlfn.XLOOKUP($D1816&amp;"_"&amp;H$52,$B$14:$B$36&amp;"_"&amp;$C$14:$C$36,$D$14:$D$36)*$E1816,18)</f>
        <v>10.9768</v>
      </c>
      <c r="I1816" s="95" cm="1">
        <f ca="1" t="array" ref="I1816">MIN(30-SUM(J1816:L1816),6-L1816,_xlfn.XLOOKUP($D1816&amp;"_"&amp;I$52,$B$14:$B$36&amp;"_"&amp;$C$14:$C$36,$D$14:$D$36)*$E1816)</f>
        <v>0</v>
      </c>
      <c r="J1816" s="95" cm="1">
        <f ca="1" t="array" ref="J1816">MIN(8,_xlfn.XLOOKUP($D1816&amp;"_"&amp;J$52,$B$14:$B$36&amp;"_"&amp;$C$14:$C$36,$D$14:$D$36)*$E1816)</f>
        <v>8</v>
      </c>
      <c r="K1816" s="95" cm="1">
        <f ca="1" t="array" ref="K1816">MIN(18,_xlfn.XLOOKUP($D1816&amp;"_"&amp;K$52,$B$14:$B$36&amp;"_"&amp;$C$14:$C$36,$D$14:$D$36)*$E1816)</f>
        <v>5.0232</v>
      </c>
      <c r="L1816" s="95" cm="1">
        <f ca="1" t="array" ref="L1816">MIN(6,_xlfn.XLOOKUP($D1816&amp;"_"&amp;L$52,$B$14:$B$36&amp;"_"&amp;$C$14:$C$36,$D$14:$D$36)*$E1816)</f>
        <v>6</v>
      </c>
      <c r="M1816" s="95" cm="1">
        <f ca="1" t="array" ref="M1816">(1+SUMPRODUCT(G1816:H1816,OFFSET($H$40:$I$40,D1816,0)))*(1+OFFSET($J$40,D1816,0))^I1816*(1+OFFSET($K$40,D1816,0))^J1816*(1+OFFSET($L$40,D1816,0))^K1816*(1+OFFSET($M$40,D1816,0))^L1816</f>
        <v>389.312247331328</v>
      </c>
      <c r="N1816" s="95">
        <f ca="1">MAX(MAX($N$53:N1815),OFFSET($C$52,MATCH(M1816*1.07,$M$53:$M$2052,1),0)-C1816)</f>
        <v>73080</v>
      </c>
    </row>
    <row r="1817" spans="2:14">
      <c r="B1817" s="95">
        <v>1765</v>
      </c>
      <c r="C1817" s="95">
        <f t="shared" si="135"/>
        <v>635400</v>
      </c>
      <c r="D1817" s="95">
        <f ca="1">_xlfn.XLOOKUP(总览!$B$44,$B$40:$B$45,$C$40:$C$45)</f>
        <v>5</v>
      </c>
      <c r="E1817" s="95">
        <f ca="1" t="shared" si="138"/>
        <v>1795</v>
      </c>
      <c r="F1817" s="95">
        <f ca="1" t="shared" si="136"/>
        <v>0</v>
      </c>
      <c r="G1817" s="95">
        <f ca="1" t="shared" si="137"/>
        <v>0</v>
      </c>
      <c r="H1817" s="95" cm="1">
        <f ca="1" t="array" ref="H1817">MIN(30-SUM(I1817:L1817),_xlfn.XLOOKUP($D1817&amp;"_"&amp;H$52,$B$14:$B$36&amp;"_"&amp;$C$14:$C$36,$D$14:$D$36)*$E1817,18)</f>
        <v>10.974</v>
      </c>
      <c r="I1817" s="95" cm="1">
        <f ca="1" t="array" ref="I1817">MIN(30-SUM(J1817:L1817),6-L1817,_xlfn.XLOOKUP($D1817&amp;"_"&amp;I$52,$B$14:$B$36&amp;"_"&amp;$C$14:$C$36,$D$14:$D$36)*$E1817)</f>
        <v>0</v>
      </c>
      <c r="J1817" s="95" cm="1">
        <f ca="1" t="array" ref="J1817">MIN(8,_xlfn.XLOOKUP($D1817&amp;"_"&amp;J$52,$B$14:$B$36&amp;"_"&amp;$C$14:$C$36,$D$14:$D$36)*$E1817)</f>
        <v>8</v>
      </c>
      <c r="K1817" s="95" cm="1">
        <f ca="1" t="array" ref="K1817">MIN(18,_xlfn.XLOOKUP($D1817&amp;"_"&amp;K$52,$B$14:$B$36&amp;"_"&amp;$C$14:$C$36,$D$14:$D$36)*$E1817)</f>
        <v>5.026</v>
      </c>
      <c r="L1817" s="95" cm="1">
        <f ca="1" t="array" ref="L1817">MIN(6,_xlfn.XLOOKUP($D1817&amp;"_"&amp;L$52,$B$14:$B$36&amp;"_"&amp;$C$14:$C$36,$D$14:$D$36)*$E1817)</f>
        <v>6</v>
      </c>
      <c r="M1817" s="95" cm="1">
        <f ca="1" t="array" ref="M1817">(1+SUMPRODUCT(G1817:H1817,OFFSET($H$40:$I$40,D1817,0)))*(1+OFFSET($J$40,D1817,0))^I1817*(1+OFFSET($K$40,D1817,0))^J1817*(1+OFFSET($L$40,D1817,0))^K1817*(1+OFFSET($M$40,D1817,0))^L1817</f>
        <v>389.442778697129</v>
      </c>
      <c r="N1817" s="95">
        <f ca="1">MAX(MAX($N$53:N1816),OFFSET($C$52,MATCH(M1817*1.07,$M$53:$M$2052,1),0)-C1817)</f>
        <v>73080</v>
      </c>
    </row>
    <row r="1818" spans="2:14">
      <c r="B1818" s="95">
        <v>1766</v>
      </c>
      <c r="C1818" s="95">
        <f t="shared" si="135"/>
        <v>635760</v>
      </c>
      <c r="D1818" s="95">
        <f ca="1">_xlfn.XLOOKUP(总览!$B$44,$B$40:$B$45,$C$40:$C$45)</f>
        <v>5</v>
      </c>
      <c r="E1818" s="95">
        <f ca="1" t="shared" si="138"/>
        <v>1796</v>
      </c>
      <c r="F1818" s="95">
        <f ca="1" t="shared" si="136"/>
        <v>0</v>
      </c>
      <c r="G1818" s="95">
        <f ca="1" t="shared" si="137"/>
        <v>0</v>
      </c>
      <c r="H1818" s="95" cm="1">
        <f ca="1" t="array" ref="H1818">MIN(30-SUM(I1818:L1818),_xlfn.XLOOKUP($D1818&amp;"_"&amp;H$52,$B$14:$B$36&amp;"_"&amp;$C$14:$C$36,$D$14:$D$36)*$E1818,18)</f>
        <v>10.9712</v>
      </c>
      <c r="I1818" s="95" cm="1">
        <f ca="1" t="array" ref="I1818">MIN(30-SUM(J1818:L1818),6-L1818,_xlfn.XLOOKUP($D1818&amp;"_"&amp;I$52,$B$14:$B$36&amp;"_"&amp;$C$14:$C$36,$D$14:$D$36)*$E1818)</f>
        <v>0</v>
      </c>
      <c r="J1818" s="95" cm="1">
        <f ca="1" t="array" ref="J1818">MIN(8,_xlfn.XLOOKUP($D1818&amp;"_"&amp;J$52,$B$14:$B$36&amp;"_"&amp;$C$14:$C$36,$D$14:$D$36)*$E1818)</f>
        <v>8</v>
      </c>
      <c r="K1818" s="95" cm="1">
        <f ca="1" t="array" ref="K1818">MIN(18,_xlfn.XLOOKUP($D1818&amp;"_"&amp;K$52,$B$14:$B$36&amp;"_"&amp;$C$14:$C$36,$D$14:$D$36)*$E1818)</f>
        <v>5.0288</v>
      </c>
      <c r="L1818" s="95" cm="1">
        <f ca="1" t="array" ref="L1818">MIN(6,_xlfn.XLOOKUP($D1818&amp;"_"&amp;L$52,$B$14:$B$36&amp;"_"&amp;$C$14:$C$36,$D$14:$D$36)*$E1818)</f>
        <v>6</v>
      </c>
      <c r="M1818" s="95" cm="1">
        <f ca="1" t="array" ref="M1818">(1+SUMPRODUCT(G1818:H1818,OFFSET($H$40:$I$40,D1818,0)))*(1+OFFSET($J$40,D1818,0))^I1818*(1+OFFSET($K$40,D1818,0))^J1818*(1+OFFSET($L$40,D1818,0))^K1818*(1+OFFSET($M$40,D1818,0))^L1818</f>
        <v>389.573341858856</v>
      </c>
      <c r="N1818" s="95">
        <f ca="1">MAX(MAX($N$53:N1817),OFFSET($C$52,MATCH(M1818*1.07,$M$53:$M$2052,1),0)-C1818)</f>
        <v>73080</v>
      </c>
    </row>
    <row r="1819" spans="2:14">
      <c r="B1819" s="95">
        <v>1767</v>
      </c>
      <c r="C1819" s="95">
        <f t="shared" si="135"/>
        <v>636120</v>
      </c>
      <c r="D1819" s="95">
        <f ca="1">_xlfn.XLOOKUP(总览!$B$44,$B$40:$B$45,$C$40:$C$45)</f>
        <v>5</v>
      </c>
      <c r="E1819" s="95">
        <f ca="1" t="shared" si="138"/>
        <v>1797</v>
      </c>
      <c r="F1819" s="95">
        <f ca="1" t="shared" si="136"/>
        <v>0</v>
      </c>
      <c r="G1819" s="95">
        <f ca="1" t="shared" si="137"/>
        <v>0</v>
      </c>
      <c r="H1819" s="95" cm="1">
        <f ca="1" t="array" ref="H1819">MIN(30-SUM(I1819:L1819),_xlfn.XLOOKUP($D1819&amp;"_"&amp;H$52,$B$14:$B$36&amp;"_"&amp;$C$14:$C$36,$D$14:$D$36)*$E1819,18)</f>
        <v>10.9684</v>
      </c>
      <c r="I1819" s="95" cm="1">
        <f ca="1" t="array" ref="I1819">MIN(30-SUM(J1819:L1819),6-L1819,_xlfn.XLOOKUP($D1819&amp;"_"&amp;I$52,$B$14:$B$36&amp;"_"&amp;$C$14:$C$36,$D$14:$D$36)*$E1819)</f>
        <v>0</v>
      </c>
      <c r="J1819" s="95" cm="1">
        <f ca="1" t="array" ref="J1819">MIN(8,_xlfn.XLOOKUP($D1819&amp;"_"&amp;J$52,$B$14:$B$36&amp;"_"&amp;$C$14:$C$36,$D$14:$D$36)*$E1819)</f>
        <v>8</v>
      </c>
      <c r="K1819" s="95" cm="1">
        <f ca="1" t="array" ref="K1819">MIN(18,_xlfn.XLOOKUP($D1819&amp;"_"&amp;K$52,$B$14:$B$36&amp;"_"&amp;$C$14:$C$36,$D$14:$D$36)*$E1819)</f>
        <v>5.0316</v>
      </c>
      <c r="L1819" s="95" cm="1">
        <f ca="1" t="array" ref="L1819">MIN(6,_xlfn.XLOOKUP($D1819&amp;"_"&amp;L$52,$B$14:$B$36&amp;"_"&amp;$C$14:$C$36,$D$14:$D$36)*$E1819)</f>
        <v>6</v>
      </c>
      <c r="M1819" s="95" cm="1">
        <f ca="1" t="array" ref="M1819">(1+SUMPRODUCT(G1819:H1819,OFFSET($H$40:$I$40,D1819,0)))*(1+OFFSET($J$40,D1819,0))^I1819*(1+OFFSET($K$40,D1819,0))^J1819*(1+OFFSET($L$40,D1819,0))^K1819*(1+OFFSET($M$40,D1819,0))^L1819</f>
        <v>389.703936814947</v>
      </c>
      <c r="N1819" s="95">
        <f ca="1">MAX(MAX($N$53:N1818),OFFSET($C$52,MATCH(M1819*1.07,$M$53:$M$2052,1),0)-C1819)</f>
        <v>73080</v>
      </c>
    </row>
    <row r="1820" spans="2:14">
      <c r="B1820" s="95">
        <v>1768</v>
      </c>
      <c r="C1820" s="95">
        <f t="shared" si="135"/>
        <v>636480</v>
      </c>
      <c r="D1820" s="95">
        <f ca="1">_xlfn.XLOOKUP(总览!$B$44,$B$40:$B$45,$C$40:$C$45)</f>
        <v>5</v>
      </c>
      <c r="E1820" s="95">
        <f ca="1" t="shared" si="138"/>
        <v>1798</v>
      </c>
      <c r="F1820" s="95">
        <f ca="1" t="shared" si="136"/>
        <v>0</v>
      </c>
      <c r="G1820" s="95">
        <f ca="1" t="shared" si="137"/>
        <v>0</v>
      </c>
      <c r="H1820" s="95" cm="1">
        <f ca="1" t="array" ref="H1820">MIN(30-SUM(I1820:L1820),_xlfn.XLOOKUP($D1820&amp;"_"&amp;H$52,$B$14:$B$36&amp;"_"&amp;$C$14:$C$36,$D$14:$D$36)*$E1820,18)</f>
        <v>10.9656</v>
      </c>
      <c r="I1820" s="95" cm="1">
        <f ca="1" t="array" ref="I1820">MIN(30-SUM(J1820:L1820),6-L1820,_xlfn.XLOOKUP($D1820&amp;"_"&amp;I$52,$B$14:$B$36&amp;"_"&amp;$C$14:$C$36,$D$14:$D$36)*$E1820)</f>
        <v>0</v>
      </c>
      <c r="J1820" s="95" cm="1">
        <f ca="1" t="array" ref="J1820">MIN(8,_xlfn.XLOOKUP($D1820&amp;"_"&amp;J$52,$B$14:$B$36&amp;"_"&amp;$C$14:$C$36,$D$14:$D$36)*$E1820)</f>
        <v>8</v>
      </c>
      <c r="K1820" s="95" cm="1">
        <f ca="1" t="array" ref="K1820">MIN(18,_xlfn.XLOOKUP($D1820&amp;"_"&amp;K$52,$B$14:$B$36&amp;"_"&amp;$C$14:$C$36,$D$14:$D$36)*$E1820)</f>
        <v>5.0344</v>
      </c>
      <c r="L1820" s="95" cm="1">
        <f ca="1" t="array" ref="L1820">MIN(6,_xlfn.XLOOKUP($D1820&amp;"_"&amp;L$52,$B$14:$B$36&amp;"_"&amp;$C$14:$C$36,$D$14:$D$36)*$E1820)</f>
        <v>6</v>
      </c>
      <c r="M1820" s="95" cm="1">
        <f ca="1" t="array" ref="M1820">(1+SUMPRODUCT(G1820:H1820,OFFSET($H$40:$I$40,D1820,0)))*(1+OFFSET($J$40,D1820,0))^I1820*(1+OFFSET($K$40,D1820,0))^J1820*(1+OFFSET($L$40,D1820,0))^K1820*(1+OFFSET($M$40,D1820,0))^L1820</f>
        <v>389.834563563828</v>
      </c>
      <c r="N1820" s="95">
        <f ca="1">MAX(MAX($N$53:N1819),OFFSET($C$52,MATCH(M1820*1.07,$M$53:$M$2052,1),0)-C1820)</f>
        <v>73080</v>
      </c>
    </row>
    <row r="1821" spans="2:14">
      <c r="B1821" s="95">
        <v>1769</v>
      </c>
      <c r="C1821" s="95">
        <f t="shared" si="135"/>
        <v>636840</v>
      </c>
      <c r="D1821" s="95">
        <f ca="1">_xlfn.XLOOKUP(总览!$B$44,$B$40:$B$45,$C$40:$C$45)</f>
        <v>5</v>
      </c>
      <c r="E1821" s="95">
        <f ca="1" t="shared" si="138"/>
        <v>1799</v>
      </c>
      <c r="F1821" s="95">
        <f ca="1" t="shared" si="136"/>
        <v>0</v>
      </c>
      <c r="G1821" s="95">
        <f ca="1" t="shared" si="137"/>
        <v>0</v>
      </c>
      <c r="H1821" s="95" cm="1">
        <f ca="1" t="array" ref="H1821">MIN(30-SUM(I1821:L1821),_xlfn.XLOOKUP($D1821&amp;"_"&amp;H$52,$B$14:$B$36&amp;"_"&amp;$C$14:$C$36,$D$14:$D$36)*$E1821,18)</f>
        <v>10.9628</v>
      </c>
      <c r="I1821" s="95" cm="1">
        <f ca="1" t="array" ref="I1821">MIN(30-SUM(J1821:L1821),6-L1821,_xlfn.XLOOKUP($D1821&amp;"_"&amp;I$52,$B$14:$B$36&amp;"_"&amp;$C$14:$C$36,$D$14:$D$36)*$E1821)</f>
        <v>0</v>
      </c>
      <c r="J1821" s="95" cm="1">
        <f ca="1" t="array" ref="J1821">MIN(8,_xlfn.XLOOKUP($D1821&amp;"_"&amp;J$52,$B$14:$B$36&amp;"_"&amp;$C$14:$C$36,$D$14:$D$36)*$E1821)</f>
        <v>8</v>
      </c>
      <c r="K1821" s="95" cm="1">
        <f ca="1" t="array" ref="K1821">MIN(18,_xlfn.XLOOKUP($D1821&amp;"_"&amp;K$52,$B$14:$B$36&amp;"_"&amp;$C$14:$C$36,$D$14:$D$36)*$E1821)</f>
        <v>5.0372</v>
      </c>
      <c r="L1821" s="95" cm="1">
        <f ca="1" t="array" ref="L1821">MIN(6,_xlfn.XLOOKUP($D1821&amp;"_"&amp;L$52,$B$14:$B$36&amp;"_"&amp;$C$14:$C$36,$D$14:$D$36)*$E1821)</f>
        <v>6</v>
      </c>
      <c r="M1821" s="95" cm="1">
        <f ca="1" t="array" ref="M1821">(1+SUMPRODUCT(G1821:H1821,OFFSET($H$40:$I$40,D1821,0)))*(1+OFFSET($J$40,D1821,0))^I1821*(1+OFFSET($K$40,D1821,0))^J1821*(1+OFFSET($L$40,D1821,0))^K1821*(1+OFFSET($M$40,D1821,0))^L1821</f>
        <v>389.965222103916</v>
      </c>
      <c r="N1821" s="95">
        <f ca="1">MAX(MAX($N$53:N1820),OFFSET($C$52,MATCH(M1821*1.07,$M$53:$M$2052,1),0)-C1821)</f>
        <v>73080</v>
      </c>
    </row>
    <row r="1822" spans="2:14">
      <c r="B1822" s="95">
        <v>1770</v>
      </c>
      <c r="C1822" s="95">
        <f t="shared" si="135"/>
        <v>637200</v>
      </c>
      <c r="D1822" s="95">
        <f ca="1">_xlfn.XLOOKUP(总览!$B$44,$B$40:$B$45,$C$40:$C$45)</f>
        <v>5</v>
      </c>
      <c r="E1822" s="95">
        <f ca="1" t="shared" si="138"/>
        <v>1800</v>
      </c>
      <c r="F1822" s="95">
        <f ca="1" t="shared" si="136"/>
        <v>0</v>
      </c>
      <c r="G1822" s="95">
        <f ca="1" t="shared" si="137"/>
        <v>0</v>
      </c>
      <c r="H1822" s="95" cm="1">
        <f ca="1" t="array" ref="H1822">MIN(30-SUM(I1822:L1822),_xlfn.XLOOKUP($D1822&amp;"_"&amp;H$52,$B$14:$B$36&amp;"_"&amp;$C$14:$C$36,$D$14:$D$36)*$E1822,18)</f>
        <v>10.96</v>
      </c>
      <c r="I1822" s="95" cm="1">
        <f ca="1" t="array" ref="I1822">MIN(30-SUM(J1822:L1822),6-L1822,_xlfn.XLOOKUP($D1822&amp;"_"&amp;I$52,$B$14:$B$36&amp;"_"&amp;$C$14:$C$36,$D$14:$D$36)*$E1822)</f>
        <v>0</v>
      </c>
      <c r="J1822" s="95" cm="1">
        <f ca="1" t="array" ref="J1822">MIN(8,_xlfn.XLOOKUP($D1822&amp;"_"&amp;J$52,$B$14:$B$36&amp;"_"&amp;$C$14:$C$36,$D$14:$D$36)*$E1822)</f>
        <v>8</v>
      </c>
      <c r="K1822" s="95" cm="1">
        <f ca="1" t="array" ref="K1822">MIN(18,_xlfn.XLOOKUP($D1822&amp;"_"&amp;K$52,$B$14:$B$36&amp;"_"&amp;$C$14:$C$36,$D$14:$D$36)*$E1822)</f>
        <v>5.04</v>
      </c>
      <c r="L1822" s="95" cm="1">
        <f ca="1" t="array" ref="L1822">MIN(6,_xlfn.XLOOKUP($D1822&amp;"_"&amp;L$52,$B$14:$B$36&amp;"_"&amp;$C$14:$C$36,$D$14:$D$36)*$E1822)</f>
        <v>6</v>
      </c>
      <c r="M1822" s="95" cm="1">
        <f ca="1" t="array" ref="M1822">(1+SUMPRODUCT(G1822:H1822,OFFSET($H$40:$I$40,D1822,0)))*(1+OFFSET($J$40,D1822,0))^I1822*(1+OFFSET($K$40,D1822,0))^J1822*(1+OFFSET($L$40,D1822,0))^K1822*(1+OFFSET($M$40,D1822,0))^L1822</f>
        <v>390.095912433619</v>
      </c>
      <c r="N1822" s="95">
        <f ca="1">MAX(MAX($N$53:N1821),OFFSET($C$52,MATCH(M1822*1.07,$M$53:$M$2052,1),0)-C1822)</f>
        <v>73080</v>
      </c>
    </row>
    <row r="1823" spans="2:14">
      <c r="B1823" s="95">
        <v>1771</v>
      </c>
      <c r="C1823" s="95">
        <f t="shared" si="135"/>
        <v>637560</v>
      </c>
      <c r="D1823" s="95">
        <f ca="1">_xlfn.XLOOKUP(总览!$B$44,$B$40:$B$45,$C$40:$C$45)</f>
        <v>5</v>
      </c>
      <c r="E1823" s="95">
        <f ca="1" t="shared" si="138"/>
        <v>1801</v>
      </c>
      <c r="F1823" s="95">
        <f ca="1" t="shared" si="136"/>
        <v>0</v>
      </c>
      <c r="G1823" s="95">
        <f ca="1" t="shared" si="137"/>
        <v>0</v>
      </c>
      <c r="H1823" s="95" cm="1">
        <f ca="1" t="array" ref="H1823">MIN(30-SUM(I1823:L1823),_xlfn.XLOOKUP($D1823&amp;"_"&amp;H$52,$B$14:$B$36&amp;"_"&amp;$C$14:$C$36,$D$14:$D$36)*$E1823,18)</f>
        <v>10.9572</v>
      </c>
      <c r="I1823" s="95" cm="1">
        <f ca="1" t="array" ref="I1823">MIN(30-SUM(J1823:L1823),6-L1823,_xlfn.XLOOKUP($D1823&amp;"_"&amp;I$52,$B$14:$B$36&amp;"_"&amp;$C$14:$C$36,$D$14:$D$36)*$E1823)</f>
        <v>0</v>
      </c>
      <c r="J1823" s="95" cm="1">
        <f ca="1" t="array" ref="J1823">MIN(8,_xlfn.XLOOKUP($D1823&amp;"_"&amp;J$52,$B$14:$B$36&amp;"_"&amp;$C$14:$C$36,$D$14:$D$36)*$E1823)</f>
        <v>8</v>
      </c>
      <c r="K1823" s="95" cm="1">
        <f ca="1" t="array" ref="K1823">MIN(18,_xlfn.XLOOKUP($D1823&amp;"_"&amp;K$52,$B$14:$B$36&amp;"_"&amp;$C$14:$C$36,$D$14:$D$36)*$E1823)</f>
        <v>5.0428</v>
      </c>
      <c r="L1823" s="95" cm="1">
        <f ca="1" t="array" ref="L1823">MIN(6,_xlfn.XLOOKUP($D1823&amp;"_"&amp;L$52,$B$14:$B$36&amp;"_"&amp;$C$14:$C$36,$D$14:$D$36)*$E1823)</f>
        <v>6</v>
      </c>
      <c r="M1823" s="95" cm="1">
        <f ca="1" t="array" ref="M1823">(1+SUMPRODUCT(G1823:H1823,OFFSET($H$40:$I$40,D1823,0)))*(1+OFFSET($J$40,D1823,0))^I1823*(1+OFFSET($K$40,D1823,0))^J1823*(1+OFFSET($L$40,D1823,0))^K1823*(1+OFFSET($M$40,D1823,0))^L1823</f>
        <v>390.226634551333</v>
      </c>
      <c r="N1823" s="95">
        <f ca="1">MAX(MAX($N$53:N1822),OFFSET($C$52,MATCH(M1823*1.07,$M$53:$M$2052,1),0)-C1823)</f>
        <v>73080</v>
      </c>
    </row>
    <row r="1824" spans="2:14">
      <c r="B1824" s="95">
        <v>1772</v>
      </c>
      <c r="C1824" s="95">
        <f t="shared" si="135"/>
        <v>637920</v>
      </c>
      <c r="D1824" s="95">
        <f ca="1">_xlfn.XLOOKUP(总览!$B$44,$B$40:$B$45,$C$40:$C$45)</f>
        <v>5</v>
      </c>
      <c r="E1824" s="95">
        <f ca="1" t="shared" si="138"/>
        <v>1802</v>
      </c>
      <c r="F1824" s="95">
        <f ca="1" t="shared" si="136"/>
        <v>0</v>
      </c>
      <c r="G1824" s="95">
        <f ca="1" t="shared" si="137"/>
        <v>0</v>
      </c>
      <c r="H1824" s="95" cm="1">
        <f ca="1" t="array" ref="H1824">MIN(30-SUM(I1824:L1824),_xlfn.XLOOKUP($D1824&amp;"_"&amp;H$52,$B$14:$B$36&amp;"_"&amp;$C$14:$C$36,$D$14:$D$36)*$E1824,18)</f>
        <v>10.9544</v>
      </c>
      <c r="I1824" s="95" cm="1">
        <f ca="1" t="array" ref="I1824">MIN(30-SUM(J1824:L1824),6-L1824,_xlfn.XLOOKUP($D1824&amp;"_"&amp;I$52,$B$14:$B$36&amp;"_"&amp;$C$14:$C$36,$D$14:$D$36)*$E1824)</f>
        <v>0</v>
      </c>
      <c r="J1824" s="95" cm="1">
        <f ca="1" t="array" ref="J1824">MIN(8,_xlfn.XLOOKUP($D1824&amp;"_"&amp;J$52,$B$14:$B$36&amp;"_"&amp;$C$14:$C$36,$D$14:$D$36)*$E1824)</f>
        <v>8</v>
      </c>
      <c r="K1824" s="95" cm="1">
        <f ca="1" t="array" ref="K1824">MIN(18,_xlfn.XLOOKUP($D1824&amp;"_"&amp;K$52,$B$14:$B$36&amp;"_"&amp;$C$14:$C$36,$D$14:$D$36)*$E1824)</f>
        <v>5.0456</v>
      </c>
      <c r="L1824" s="95" cm="1">
        <f ca="1" t="array" ref="L1824">MIN(6,_xlfn.XLOOKUP($D1824&amp;"_"&amp;L$52,$B$14:$B$36&amp;"_"&amp;$C$14:$C$36,$D$14:$D$36)*$E1824)</f>
        <v>6</v>
      </c>
      <c r="M1824" s="95" cm="1">
        <f ca="1" t="array" ref="M1824">(1+SUMPRODUCT(G1824:H1824,OFFSET($H$40:$I$40,D1824,0)))*(1+OFFSET($J$40,D1824,0))^I1824*(1+OFFSET($K$40,D1824,0))^J1824*(1+OFFSET($L$40,D1824,0))^K1824*(1+OFFSET($M$40,D1824,0))^L1824</f>
        <v>390.357388455446</v>
      </c>
      <c r="N1824" s="95">
        <f ca="1">MAX(MAX($N$53:N1823),OFFSET($C$52,MATCH(M1824*1.07,$M$53:$M$2052,1),0)-C1824)</f>
        <v>73080</v>
      </c>
    </row>
    <row r="1825" spans="2:14">
      <c r="B1825" s="95">
        <v>1773</v>
      </c>
      <c r="C1825" s="95">
        <f t="shared" si="135"/>
        <v>638280</v>
      </c>
      <c r="D1825" s="95">
        <f ca="1">_xlfn.XLOOKUP(总览!$B$44,$B$40:$B$45,$C$40:$C$45)</f>
        <v>5</v>
      </c>
      <c r="E1825" s="95">
        <f ca="1" t="shared" si="138"/>
        <v>1803</v>
      </c>
      <c r="F1825" s="95">
        <f ca="1" t="shared" si="136"/>
        <v>0</v>
      </c>
      <c r="G1825" s="95">
        <f ca="1" t="shared" si="137"/>
        <v>0</v>
      </c>
      <c r="H1825" s="95" cm="1">
        <f ca="1" t="array" ref="H1825">MIN(30-SUM(I1825:L1825),_xlfn.XLOOKUP($D1825&amp;"_"&amp;H$52,$B$14:$B$36&amp;"_"&amp;$C$14:$C$36,$D$14:$D$36)*$E1825,18)</f>
        <v>10.9516</v>
      </c>
      <c r="I1825" s="95" cm="1">
        <f ca="1" t="array" ref="I1825">MIN(30-SUM(J1825:L1825),6-L1825,_xlfn.XLOOKUP($D1825&amp;"_"&amp;I$52,$B$14:$B$36&amp;"_"&amp;$C$14:$C$36,$D$14:$D$36)*$E1825)</f>
        <v>0</v>
      </c>
      <c r="J1825" s="95" cm="1">
        <f ca="1" t="array" ref="J1825">MIN(8,_xlfn.XLOOKUP($D1825&amp;"_"&amp;J$52,$B$14:$B$36&amp;"_"&amp;$C$14:$C$36,$D$14:$D$36)*$E1825)</f>
        <v>8</v>
      </c>
      <c r="K1825" s="95" cm="1">
        <f ca="1" t="array" ref="K1825">MIN(18,_xlfn.XLOOKUP($D1825&amp;"_"&amp;K$52,$B$14:$B$36&amp;"_"&amp;$C$14:$C$36,$D$14:$D$36)*$E1825)</f>
        <v>5.0484</v>
      </c>
      <c r="L1825" s="95" cm="1">
        <f ca="1" t="array" ref="L1825">MIN(6,_xlfn.XLOOKUP($D1825&amp;"_"&amp;L$52,$B$14:$B$36&amp;"_"&amp;$C$14:$C$36,$D$14:$D$36)*$E1825)</f>
        <v>6</v>
      </c>
      <c r="M1825" s="95" cm="1">
        <f ca="1" t="array" ref="M1825">(1+SUMPRODUCT(G1825:H1825,OFFSET($H$40:$I$40,D1825,0)))*(1+OFFSET($J$40,D1825,0))^I1825*(1+OFFSET($K$40,D1825,0))^J1825*(1+OFFSET($L$40,D1825,0))^K1825*(1+OFFSET($M$40,D1825,0))^L1825</f>
        <v>390.488174144335</v>
      </c>
      <c r="N1825" s="95">
        <f ca="1">MAX(MAX($N$53:N1824),OFFSET($C$52,MATCH(M1825*1.07,$M$53:$M$2052,1),0)-C1825)</f>
        <v>73080</v>
      </c>
    </row>
    <row r="1826" spans="2:14">
      <c r="B1826" s="95">
        <v>1774</v>
      </c>
      <c r="C1826" s="95">
        <f t="shared" si="135"/>
        <v>638640</v>
      </c>
      <c r="D1826" s="95">
        <f ca="1">_xlfn.XLOOKUP(总览!$B$44,$B$40:$B$45,$C$40:$C$45)</f>
        <v>5</v>
      </c>
      <c r="E1826" s="95">
        <f ca="1" t="shared" si="138"/>
        <v>1804</v>
      </c>
      <c r="F1826" s="95">
        <f ca="1" t="shared" si="136"/>
        <v>0</v>
      </c>
      <c r="G1826" s="95">
        <f ca="1" t="shared" si="137"/>
        <v>0</v>
      </c>
      <c r="H1826" s="95" cm="1">
        <f ca="1" t="array" ref="H1826">MIN(30-SUM(I1826:L1826),_xlfn.XLOOKUP($D1826&amp;"_"&amp;H$52,$B$14:$B$36&amp;"_"&amp;$C$14:$C$36,$D$14:$D$36)*$E1826,18)</f>
        <v>10.9488</v>
      </c>
      <c r="I1826" s="95" cm="1">
        <f ca="1" t="array" ref="I1826">MIN(30-SUM(J1826:L1826),6-L1826,_xlfn.XLOOKUP($D1826&amp;"_"&amp;I$52,$B$14:$B$36&amp;"_"&amp;$C$14:$C$36,$D$14:$D$36)*$E1826)</f>
        <v>0</v>
      </c>
      <c r="J1826" s="95" cm="1">
        <f ca="1" t="array" ref="J1826">MIN(8,_xlfn.XLOOKUP($D1826&amp;"_"&amp;J$52,$B$14:$B$36&amp;"_"&amp;$C$14:$C$36,$D$14:$D$36)*$E1826)</f>
        <v>8</v>
      </c>
      <c r="K1826" s="95" cm="1">
        <f ca="1" t="array" ref="K1826">MIN(18,_xlfn.XLOOKUP($D1826&amp;"_"&amp;K$52,$B$14:$B$36&amp;"_"&amp;$C$14:$C$36,$D$14:$D$36)*$E1826)</f>
        <v>5.0512</v>
      </c>
      <c r="L1826" s="95" cm="1">
        <f ca="1" t="array" ref="L1826">MIN(6,_xlfn.XLOOKUP($D1826&amp;"_"&amp;L$52,$B$14:$B$36&amp;"_"&amp;$C$14:$C$36,$D$14:$D$36)*$E1826)</f>
        <v>6</v>
      </c>
      <c r="M1826" s="95" cm="1">
        <f ca="1" t="array" ref="M1826">(1+SUMPRODUCT(G1826:H1826,OFFSET($H$40:$I$40,D1826,0)))*(1+OFFSET($J$40,D1826,0))^I1826*(1+OFFSET($K$40,D1826,0))^J1826*(1+OFFSET($L$40,D1826,0))^K1826*(1+OFFSET($M$40,D1826,0))^L1826</f>
        <v>390.618991616367</v>
      </c>
      <c r="N1826" s="95">
        <f ca="1">MAX(MAX($N$53:N1825),OFFSET($C$52,MATCH(M1826*1.07,$M$53:$M$2052,1),0)-C1826)</f>
        <v>73080</v>
      </c>
    </row>
    <row r="1827" spans="2:14">
      <c r="B1827" s="95">
        <v>1775</v>
      </c>
      <c r="C1827" s="95">
        <f t="shared" si="135"/>
        <v>639000</v>
      </c>
      <c r="D1827" s="95">
        <f ca="1">_xlfn.XLOOKUP(总览!$B$44,$B$40:$B$45,$C$40:$C$45)</f>
        <v>5</v>
      </c>
      <c r="E1827" s="95">
        <f ca="1" t="shared" si="138"/>
        <v>1805</v>
      </c>
      <c r="F1827" s="95">
        <f ca="1" t="shared" si="136"/>
        <v>0</v>
      </c>
      <c r="G1827" s="95">
        <f ca="1" t="shared" si="137"/>
        <v>0</v>
      </c>
      <c r="H1827" s="95" cm="1">
        <f ca="1" t="array" ref="H1827">MIN(30-SUM(I1827:L1827),_xlfn.XLOOKUP($D1827&amp;"_"&amp;H$52,$B$14:$B$36&amp;"_"&amp;$C$14:$C$36,$D$14:$D$36)*$E1827,18)</f>
        <v>10.946</v>
      </c>
      <c r="I1827" s="95" cm="1">
        <f ca="1" t="array" ref="I1827">MIN(30-SUM(J1827:L1827),6-L1827,_xlfn.XLOOKUP($D1827&amp;"_"&amp;I$52,$B$14:$B$36&amp;"_"&amp;$C$14:$C$36,$D$14:$D$36)*$E1827)</f>
        <v>0</v>
      </c>
      <c r="J1827" s="95" cm="1">
        <f ca="1" t="array" ref="J1827">MIN(8,_xlfn.XLOOKUP($D1827&amp;"_"&amp;J$52,$B$14:$B$36&amp;"_"&amp;$C$14:$C$36,$D$14:$D$36)*$E1827)</f>
        <v>8</v>
      </c>
      <c r="K1827" s="95" cm="1">
        <f ca="1" t="array" ref="K1827">MIN(18,_xlfn.XLOOKUP($D1827&amp;"_"&amp;K$52,$B$14:$B$36&amp;"_"&amp;$C$14:$C$36,$D$14:$D$36)*$E1827)</f>
        <v>5.054</v>
      </c>
      <c r="L1827" s="95" cm="1">
        <f ca="1" t="array" ref="L1827">MIN(6,_xlfn.XLOOKUP($D1827&amp;"_"&amp;L$52,$B$14:$B$36&amp;"_"&amp;$C$14:$C$36,$D$14:$D$36)*$E1827)</f>
        <v>6</v>
      </c>
      <c r="M1827" s="95" cm="1">
        <f ca="1" t="array" ref="M1827">(1+SUMPRODUCT(G1827:H1827,OFFSET($H$40:$I$40,D1827,0)))*(1+OFFSET($J$40,D1827,0))^I1827*(1+OFFSET($K$40,D1827,0))^J1827*(1+OFFSET($L$40,D1827,0))^K1827*(1+OFFSET($M$40,D1827,0))^L1827</f>
        <v>390.749840869899</v>
      </c>
      <c r="N1827" s="95">
        <f ca="1">MAX(MAX($N$53:N1826),OFFSET($C$52,MATCH(M1827*1.07,$M$53:$M$2052,1),0)-C1827)</f>
        <v>73080</v>
      </c>
    </row>
    <row r="1828" spans="2:14">
      <c r="B1828" s="95">
        <v>1776</v>
      </c>
      <c r="C1828" s="95">
        <f t="shared" si="135"/>
        <v>639360</v>
      </c>
      <c r="D1828" s="95">
        <f ca="1">_xlfn.XLOOKUP(总览!$B$44,$B$40:$B$45,$C$40:$C$45)</f>
        <v>5</v>
      </c>
      <c r="E1828" s="95">
        <f ca="1" t="shared" si="138"/>
        <v>1806</v>
      </c>
      <c r="F1828" s="95">
        <f ca="1" t="shared" si="136"/>
        <v>0</v>
      </c>
      <c r="G1828" s="95">
        <f ca="1" t="shared" si="137"/>
        <v>0</v>
      </c>
      <c r="H1828" s="95" cm="1">
        <f ca="1" t="array" ref="H1828">MIN(30-SUM(I1828:L1828),_xlfn.XLOOKUP($D1828&amp;"_"&amp;H$52,$B$14:$B$36&amp;"_"&amp;$C$14:$C$36,$D$14:$D$36)*$E1828,18)</f>
        <v>10.9432</v>
      </c>
      <c r="I1828" s="95" cm="1">
        <f ca="1" t="array" ref="I1828">MIN(30-SUM(J1828:L1828),6-L1828,_xlfn.XLOOKUP($D1828&amp;"_"&amp;I$52,$B$14:$B$36&amp;"_"&amp;$C$14:$C$36,$D$14:$D$36)*$E1828)</f>
        <v>0</v>
      </c>
      <c r="J1828" s="95" cm="1">
        <f ca="1" t="array" ref="J1828">MIN(8,_xlfn.XLOOKUP($D1828&amp;"_"&amp;J$52,$B$14:$B$36&amp;"_"&amp;$C$14:$C$36,$D$14:$D$36)*$E1828)</f>
        <v>8</v>
      </c>
      <c r="K1828" s="95" cm="1">
        <f ca="1" t="array" ref="K1828">MIN(18,_xlfn.XLOOKUP($D1828&amp;"_"&amp;K$52,$B$14:$B$36&amp;"_"&amp;$C$14:$C$36,$D$14:$D$36)*$E1828)</f>
        <v>5.0568</v>
      </c>
      <c r="L1828" s="95" cm="1">
        <f ca="1" t="array" ref="L1828">MIN(6,_xlfn.XLOOKUP($D1828&amp;"_"&amp;L$52,$B$14:$B$36&amp;"_"&amp;$C$14:$C$36,$D$14:$D$36)*$E1828)</f>
        <v>6</v>
      </c>
      <c r="M1828" s="95" cm="1">
        <f ca="1" t="array" ref="M1828">(1+SUMPRODUCT(G1828:H1828,OFFSET($H$40:$I$40,D1828,0)))*(1+OFFSET($J$40,D1828,0))^I1828*(1+OFFSET($K$40,D1828,0))^J1828*(1+OFFSET($L$40,D1828,0))^K1828*(1+OFFSET($M$40,D1828,0))^L1828</f>
        <v>390.88072190328</v>
      </c>
      <c r="N1828" s="95">
        <f ca="1">MAX(MAX($N$53:N1827),OFFSET($C$52,MATCH(M1828*1.07,$M$53:$M$2052,1),0)-C1828)</f>
        <v>73440</v>
      </c>
    </row>
    <row r="1829" spans="2:14">
      <c r="B1829" s="95">
        <v>1777</v>
      </c>
      <c r="C1829" s="95">
        <f t="shared" ref="C1829:C1892" si="139">C1828+360</f>
        <v>639720</v>
      </c>
      <c r="D1829" s="95">
        <f ca="1">_xlfn.XLOOKUP(总览!$B$44,$B$40:$B$45,$C$40:$C$45)</f>
        <v>5</v>
      </c>
      <c r="E1829" s="95">
        <f ca="1" t="shared" si="138"/>
        <v>1807</v>
      </c>
      <c r="F1829" s="95">
        <f ca="1" t="shared" ref="F1829:F1892" si="140">30-SUM(G1829:L1829)</f>
        <v>0</v>
      </c>
      <c r="G1829" s="95">
        <f ca="1" t="shared" ref="G1829:G1892" si="141">30-SUM(H1829:L1829)</f>
        <v>0</v>
      </c>
      <c r="H1829" s="95" cm="1">
        <f ca="1" t="array" ref="H1829">MIN(30-SUM(I1829:L1829),_xlfn.XLOOKUP($D1829&amp;"_"&amp;H$52,$B$14:$B$36&amp;"_"&amp;$C$14:$C$36,$D$14:$D$36)*$E1829,18)</f>
        <v>10.9404</v>
      </c>
      <c r="I1829" s="95" cm="1">
        <f ca="1" t="array" ref="I1829">MIN(30-SUM(J1829:L1829),6-L1829,_xlfn.XLOOKUP($D1829&amp;"_"&amp;I$52,$B$14:$B$36&amp;"_"&amp;$C$14:$C$36,$D$14:$D$36)*$E1829)</f>
        <v>0</v>
      </c>
      <c r="J1829" s="95" cm="1">
        <f ca="1" t="array" ref="J1829">MIN(8,_xlfn.XLOOKUP($D1829&amp;"_"&amp;J$52,$B$14:$B$36&amp;"_"&amp;$C$14:$C$36,$D$14:$D$36)*$E1829)</f>
        <v>8</v>
      </c>
      <c r="K1829" s="95" cm="1">
        <f ca="1" t="array" ref="K1829">MIN(18,_xlfn.XLOOKUP($D1829&amp;"_"&amp;K$52,$B$14:$B$36&amp;"_"&amp;$C$14:$C$36,$D$14:$D$36)*$E1829)</f>
        <v>5.0596</v>
      </c>
      <c r="L1829" s="95" cm="1">
        <f ca="1" t="array" ref="L1829">MIN(6,_xlfn.XLOOKUP($D1829&amp;"_"&amp;L$52,$B$14:$B$36&amp;"_"&amp;$C$14:$C$36,$D$14:$D$36)*$E1829)</f>
        <v>6</v>
      </c>
      <c r="M1829" s="95" cm="1">
        <f ca="1" t="array" ref="M1829">(1+SUMPRODUCT(G1829:H1829,OFFSET($H$40:$I$40,D1829,0)))*(1+OFFSET($J$40,D1829,0))^I1829*(1+OFFSET($K$40,D1829,0))^J1829*(1+OFFSET($L$40,D1829,0))^K1829*(1+OFFSET($M$40,D1829,0))^L1829</f>
        <v>391.011634714846</v>
      </c>
      <c r="N1829" s="95">
        <f ca="1">MAX(MAX($N$53:N1828),OFFSET($C$52,MATCH(M1829*1.07,$M$53:$M$2052,1),0)-C1829)</f>
        <v>73440</v>
      </c>
    </row>
    <row r="1830" spans="2:14">
      <c r="B1830" s="95">
        <v>1778</v>
      </c>
      <c r="C1830" s="95">
        <f t="shared" si="139"/>
        <v>640080</v>
      </c>
      <c r="D1830" s="95">
        <f ca="1">_xlfn.XLOOKUP(总览!$B$44,$B$40:$B$45,$C$40:$C$45)</f>
        <v>5</v>
      </c>
      <c r="E1830" s="95">
        <f ca="1" t="shared" si="138"/>
        <v>1808</v>
      </c>
      <c r="F1830" s="95">
        <f ca="1" t="shared" si="140"/>
        <v>0</v>
      </c>
      <c r="G1830" s="95">
        <f ca="1" t="shared" si="141"/>
        <v>0</v>
      </c>
      <c r="H1830" s="95" cm="1">
        <f ca="1" t="array" ref="H1830">MIN(30-SUM(I1830:L1830),_xlfn.XLOOKUP($D1830&amp;"_"&amp;H$52,$B$14:$B$36&amp;"_"&amp;$C$14:$C$36,$D$14:$D$36)*$E1830,18)</f>
        <v>10.9376</v>
      </c>
      <c r="I1830" s="95" cm="1">
        <f ca="1" t="array" ref="I1830">MIN(30-SUM(J1830:L1830),6-L1830,_xlfn.XLOOKUP($D1830&amp;"_"&amp;I$52,$B$14:$B$36&amp;"_"&amp;$C$14:$C$36,$D$14:$D$36)*$E1830)</f>
        <v>0</v>
      </c>
      <c r="J1830" s="95" cm="1">
        <f ca="1" t="array" ref="J1830">MIN(8,_xlfn.XLOOKUP($D1830&amp;"_"&amp;J$52,$B$14:$B$36&amp;"_"&amp;$C$14:$C$36,$D$14:$D$36)*$E1830)</f>
        <v>8</v>
      </c>
      <c r="K1830" s="95" cm="1">
        <f ca="1" t="array" ref="K1830">MIN(18,_xlfn.XLOOKUP($D1830&amp;"_"&amp;K$52,$B$14:$B$36&amp;"_"&amp;$C$14:$C$36,$D$14:$D$36)*$E1830)</f>
        <v>5.0624</v>
      </c>
      <c r="L1830" s="95" cm="1">
        <f ca="1" t="array" ref="L1830">MIN(6,_xlfn.XLOOKUP($D1830&amp;"_"&amp;L$52,$B$14:$B$36&amp;"_"&amp;$C$14:$C$36,$D$14:$D$36)*$E1830)</f>
        <v>6</v>
      </c>
      <c r="M1830" s="95" cm="1">
        <f ca="1" t="array" ref="M1830">(1+SUMPRODUCT(G1830:H1830,OFFSET($H$40:$I$40,D1830,0)))*(1+OFFSET($J$40,D1830,0))^I1830*(1+OFFSET($K$40,D1830,0))^J1830*(1+OFFSET($L$40,D1830,0))^K1830*(1+OFFSET($M$40,D1830,0))^L1830</f>
        <v>391.142579302924</v>
      </c>
      <c r="N1830" s="95">
        <f ca="1">MAX(MAX($N$53:N1829),OFFSET($C$52,MATCH(M1830*1.07,$M$53:$M$2052,1),0)-C1830)</f>
        <v>73440</v>
      </c>
    </row>
    <row r="1831" spans="2:14">
      <c r="B1831" s="95">
        <v>1779</v>
      </c>
      <c r="C1831" s="95">
        <f t="shared" si="139"/>
        <v>640440</v>
      </c>
      <c r="D1831" s="95">
        <f ca="1">_xlfn.XLOOKUP(总览!$B$44,$B$40:$B$45,$C$40:$C$45)</f>
        <v>5</v>
      </c>
      <c r="E1831" s="95">
        <f ca="1" t="shared" si="138"/>
        <v>1809</v>
      </c>
      <c r="F1831" s="95">
        <f ca="1" t="shared" si="140"/>
        <v>0</v>
      </c>
      <c r="G1831" s="95">
        <f ca="1" t="shared" si="141"/>
        <v>0</v>
      </c>
      <c r="H1831" s="95" cm="1">
        <f ca="1" t="array" ref="H1831">MIN(30-SUM(I1831:L1831),_xlfn.XLOOKUP($D1831&amp;"_"&amp;H$52,$B$14:$B$36&amp;"_"&amp;$C$14:$C$36,$D$14:$D$36)*$E1831,18)</f>
        <v>10.9348</v>
      </c>
      <c r="I1831" s="95" cm="1">
        <f ca="1" t="array" ref="I1831">MIN(30-SUM(J1831:L1831),6-L1831,_xlfn.XLOOKUP($D1831&amp;"_"&amp;I$52,$B$14:$B$36&amp;"_"&amp;$C$14:$C$36,$D$14:$D$36)*$E1831)</f>
        <v>0</v>
      </c>
      <c r="J1831" s="95" cm="1">
        <f ca="1" t="array" ref="J1831">MIN(8,_xlfn.XLOOKUP($D1831&amp;"_"&amp;J$52,$B$14:$B$36&amp;"_"&amp;$C$14:$C$36,$D$14:$D$36)*$E1831)</f>
        <v>8</v>
      </c>
      <c r="K1831" s="95" cm="1">
        <f ca="1" t="array" ref="K1831">MIN(18,_xlfn.XLOOKUP($D1831&amp;"_"&amp;K$52,$B$14:$B$36&amp;"_"&amp;$C$14:$C$36,$D$14:$D$36)*$E1831)</f>
        <v>5.0652</v>
      </c>
      <c r="L1831" s="95" cm="1">
        <f ca="1" t="array" ref="L1831">MIN(6,_xlfn.XLOOKUP($D1831&amp;"_"&amp;L$52,$B$14:$B$36&amp;"_"&amp;$C$14:$C$36,$D$14:$D$36)*$E1831)</f>
        <v>6</v>
      </c>
      <c r="M1831" s="95" cm="1">
        <f ca="1" t="array" ref="M1831">(1+SUMPRODUCT(G1831:H1831,OFFSET($H$40:$I$40,D1831,0)))*(1+OFFSET($J$40,D1831,0))^I1831*(1+OFFSET($K$40,D1831,0))^J1831*(1+OFFSET($L$40,D1831,0))^K1831*(1+OFFSET($M$40,D1831,0))^L1831</f>
        <v>391.273555665833</v>
      </c>
      <c r="N1831" s="95">
        <f ca="1">MAX(MAX($N$53:N1830),OFFSET($C$52,MATCH(M1831*1.07,$M$53:$M$2052,1),0)-C1831)</f>
        <v>73440</v>
      </c>
    </row>
    <row r="1832" spans="2:14">
      <c r="B1832" s="95">
        <v>1780</v>
      </c>
      <c r="C1832" s="95">
        <f t="shared" si="139"/>
        <v>640800</v>
      </c>
      <c r="D1832" s="95">
        <f ca="1">_xlfn.XLOOKUP(总览!$B$44,$B$40:$B$45,$C$40:$C$45)</f>
        <v>5</v>
      </c>
      <c r="E1832" s="95">
        <f ca="1" t="shared" si="138"/>
        <v>1810</v>
      </c>
      <c r="F1832" s="95">
        <f ca="1" t="shared" si="140"/>
        <v>0</v>
      </c>
      <c r="G1832" s="95">
        <f ca="1" t="shared" si="141"/>
        <v>0</v>
      </c>
      <c r="H1832" s="95" cm="1">
        <f ca="1" t="array" ref="H1832">MIN(30-SUM(I1832:L1832),_xlfn.XLOOKUP($D1832&amp;"_"&amp;H$52,$B$14:$B$36&amp;"_"&amp;$C$14:$C$36,$D$14:$D$36)*$E1832,18)</f>
        <v>10.932</v>
      </c>
      <c r="I1832" s="95" cm="1">
        <f ca="1" t="array" ref="I1832">MIN(30-SUM(J1832:L1832),6-L1832,_xlfn.XLOOKUP($D1832&amp;"_"&amp;I$52,$B$14:$B$36&amp;"_"&amp;$C$14:$C$36,$D$14:$D$36)*$E1832)</f>
        <v>0</v>
      </c>
      <c r="J1832" s="95" cm="1">
        <f ca="1" t="array" ref="J1832">MIN(8,_xlfn.XLOOKUP($D1832&amp;"_"&amp;J$52,$B$14:$B$36&amp;"_"&amp;$C$14:$C$36,$D$14:$D$36)*$E1832)</f>
        <v>8</v>
      </c>
      <c r="K1832" s="95" cm="1">
        <f ca="1" t="array" ref="K1832">MIN(18,_xlfn.XLOOKUP($D1832&amp;"_"&amp;K$52,$B$14:$B$36&amp;"_"&amp;$C$14:$C$36,$D$14:$D$36)*$E1832)</f>
        <v>5.068</v>
      </c>
      <c r="L1832" s="95" cm="1">
        <f ca="1" t="array" ref="L1832">MIN(6,_xlfn.XLOOKUP($D1832&amp;"_"&amp;L$52,$B$14:$B$36&amp;"_"&amp;$C$14:$C$36,$D$14:$D$36)*$E1832)</f>
        <v>6</v>
      </c>
      <c r="M1832" s="95" cm="1">
        <f ca="1" t="array" ref="M1832">(1+SUMPRODUCT(G1832:H1832,OFFSET($H$40:$I$40,D1832,0)))*(1+OFFSET($J$40,D1832,0))^I1832*(1+OFFSET($K$40,D1832,0))^J1832*(1+OFFSET($L$40,D1832,0))^K1832*(1+OFFSET($M$40,D1832,0))^L1832</f>
        <v>391.404563801879</v>
      </c>
      <c r="N1832" s="95">
        <f ca="1">MAX(MAX($N$53:N1831),OFFSET($C$52,MATCH(M1832*1.07,$M$53:$M$2052,1),0)-C1832)</f>
        <v>73440</v>
      </c>
    </row>
    <row r="1833" spans="2:14">
      <c r="B1833" s="95">
        <v>1781</v>
      </c>
      <c r="C1833" s="95">
        <f t="shared" si="139"/>
        <v>641160</v>
      </c>
      <c r="D1833" s="95">
        <f ca="1">_xlfn.XLOOKUP(总览!$B$44,$B$40:$B$45,$C$40:$C$45)</f>
        <v>5</v>
      </c>
      <c r="E1833" s="95">
        <f ca="1" t="shared" si="138"/>
        <v>1811</v>
      </c>
      <c r="F1833" s="95">
        <f ca="1" t="shared" si="140"/>
        <v>0</v>
      </c>
      <c r="G1833" s="95">
        <f ca="1" t="shared" si="141"/>
        <v>0</v>
      </c>
      <c r="H1833" s="95" cm="1">
        <f ca="1" t="array" ref="H1833">MIN(30-SUM(I1833:L1833),_xlfn.XLOOKUP($D1833&amp;"_"&amp;H$52,$B$14:$B$36&amp;"_"&amp;$C$14:$C$36,$D$14:$D$36)*$E1833,18)</f>
        <v>10.9292</v>
      </c>
      <c r="I1833" s="95" cm="1">
        <f ca="1" t="array" ref="I1833">MIN(30-SUM(J1833:L1833),6-L1833,_xlfn.XLOOKUP($D1833&amp;"_"&amp;I$52,$B$14:$B$36&amp;"_"&amp;$C$14:$C$36,$D$14:$D$36)*$E1833)</f>
        <v>0</v>
      </c>
      <c r="J1833" s="95" cm="1">
        <f ca="1" t="array" ref="J1833">MIN(8,_xlfn.XLOOKUP($D1833&amp;"_"&amp;J$52,$B$14:$B$36&amp;"_"&amp;$C$14:$C$36,$D$14:$D$36)*$E1833)</f>
        <v>8</v>
      </c>
      <c r="K1833" s="95" cm="1">
        <f ca="1" t="array" ref="K1833">MIN(18,_xlfn.XLOOKUP($D1833&amp;"_"&amp;K$52,$B$14:$B$36&amp;"_"&amp;$C$14:$C$36,$D$14:$D$36)*$E1833)</f>
        <v>5.0708</v>
      </c>
      <c r="L1833" s="95" cm="1">
        <f ca="1" t="array" ref="L1833">MIN(6,_xlfn.XLOOKUP($D1833&amp;"_"&amp;L$52,$B$14:$B$36&amp;"_"&amp;$C$14:$C$36,$D$14:$D$36)*$E1833)</f>
        <v>6</v>
      </c>
      <c r="M1833" s="95" cm="1">
        <f ca="1" t="array" ref="M1833">(1+SUMPRODUCT(G1833:H1833,OFFSET($H$40:$I$40,D1833,0)))*(1+OFFSET($J$40,D1833,0))^I1833*(1+OFFSET($K$40,D1833,0))^J1833*(1+OFFSET($L$40,D1833,0))^K1833*(1+OFFSET($M$40,D1833,0))^L1833</f>
        <v>391.535603709361</v>
      </c>
      <c r="N1833" s="95">
        <f ca="1">MAX(MAX($N$53:N1832),OFFSET($C$52,MATCH(M1833*1.07,$M$53:$M$2052,1),0)-C1833)</f>
        <v>73440</v>
      </c>
    </row>
    <row r="1834" spans="2:14">
      <c r="B1834" s="95">
        <v>1782</v>
      </c>
      <c r="C1834" s="95">
        <f t="shared" si="139"/>
        <v>641520</v>
      </c>
      <c r="D1834" s="95">
        <f ca="1">_xlfn.XLOOKUP(总览!$B$44,$B$40:$B$45,$C$40:$C$45)</f>
        <v>5</v>
      </c>
      <c r="E1834" s="95">
        <f ca="1" t="shared" si="138"/>
        <v>1812</v>
      </c>
      <c r="F1834" s="95">
        <f ca="1" t="shared" si="140"/>
        <v>0</v>
      </c>
      <c r="G1834" s="95">
        <f ca="1" t="shared" si="141"/>
        <v>0</v>
      </c>
      <c r="H1834" s="95" cm="1">
        <f ca="1" t="array" ref="H1834">MIN(30-SUM(I1834:L1834),_xlfn.XLOOKUP($D1834&amp;"_"&amp;H$52,$B$14:$B$36&amp;"_"&amp;$C$14:$C$36,$D$14:$D$36)*$E1834,18)</f>
        <v>10.9264</v>
      </c>
      <c r="I1834" s="95" cm="1">
        <f ca="1" t="array" ref="I1834">MIN(30-SUM(J1834:L1834),6-L1834,_xlfn.XLOOKUP($D1834&amp;"_"&amp;I$52,$B$14:$B$36&amp;"_"&amp;$C$14:$C$36,$D$14:$D$36)*$E1834)</f>
        <v>0</v>
      </c>
      <c r="J1834" s="95" cm="1">
        <f ca="1" t="array" ref="J1834">MIN(8,_xlfn.XLOOKUP($D1834&amp;"_"&amp;J$52,$B$14:$B$36&amp;"_"&amp;$C$14:$C$36,$D$14:$D$36)*$E1834)</f>
        <v>8</v>
      </c>
      <c r="K1834" s="95" cm="1">
        <f ca="1" t="array" ref="K1834">MIN(18,_xlfn.XLOOKUP($D1834&amp;"_"&amp;K$52,$B$14:$B$36&amp;"_"&amp;$C$14:$C$36,$D$14:$D$36)*$E1834)</f>
        <v>5.0736</v>
      </c>
      <c r="L1834" s="95" cm="1">
        <f ca="1" t="array" ref="L1834">MIN(6,_xlfn.XLOOKUP($D1834&amp;"_"&amp;L$52,$B$14:$B$36&amp;"_"&amp;$C$14:$C$36,$D$14:$D$36)*$E1834)</f>
        <v>6</v>
      </c>
      <c r="M1834" s="95" cm="1">
        <f ca="1" t="array" ref="M1834">(1+SUMPRODUCT(G1834:H1834,OFFSET($H$40:$I$40,D1834,0)))*(1+OFFSET($J$40,D1834,0))^I1834*(1+OFFSET($K$40,D1834,0))^J1834*(1+OFFSET($L$40,D1834,0))^K1834*(1+OFFSET($M$40,D1834,0))^L1834</f>
        <v>391.666675386565</v>
      </c>
      <c r="N1834" s="95">
        <f ca="1">MAX(MAX($N$53:N1833),OFFSET($C$52,MATCH(M1834*1.07,$M$53:$M$2052,1),0)-C1834)</f>
        <v>73440</v>
      </c>
    </row>
    <row r="1835" spans="2:14">
      <c r="B1835" s="95">
        <v>1783</v>
      </c>
      <c r="C1835" s="95">
        <f t="shared" si="139"/>
        <v>641880</v>
      </c>
      <c r="D1835" s="95">
        <f ca="1">_xlfn.XLOOKUP(总览!$B$44,$B$40:$B$45,$C$40:$C$45)</f>
        <v>5</v>
      </c>
      <c r="E1835" s="95">
        <f ca="1" t="shared" si="138"/>
        <v>1813</v>
      </c>
      <c r="F1835" s="95">
        <f ca="1" t="shared" si="140"/>
        <v>0</v>
      </c>
      <c r="G1835" s="95">
        <f ca="1" t="shared" si="141"/>
        <v>0</v>
      </c>
      <c r="H1835" s="95" cm="1">
        <f ca="1" t="array" ref="H1835">MIN(30-SUM(I1835:L1835),_xlfn.XLOOKUP($D1835&amp;"_"&amp;H$52,$B$14:$B$36&amp;"_"&amp;$C$14:$C$36,$D$14:$D$36)*$E1835,18)</f>
        <v>10.9236</v>
      </c>
      <c r="I1835" s="95" cm="1">
        <f ca="1" t="array" ref="I1835">MIN(30-SUM(J1835:L1835),6-L1835,_xlfn.XLOOKUP($D1835&amp;"_"&amp;I$52,$B$14:$B$36&amp;"_"&amp;$C$14:$C$36,$D$14:$D$36)*$E1835)</f>
        <v>0</v>
      </c>
      <c r="J1835" s="95" cm="1">
        <f ca="1" t="array" ref="J1835">MIN(8,_xlfn.XLOOKUP($D1835&amp;"_"&amp;J$52,$B$14:$B$36&amp;"_"&amp;$C$14:$C$36,$D$14:$D$36)*$E1835)</f>
        <v>8</v>
      </c>
      <c r="K1835" s="95" cm="1">
        <f ca="1" t="array" ref="K1835">MIN(18,_xlfn.XLOOKUP($D1835&amp;"_"&amp;K$52,$B$14:$B$36&amp;"_"&amp;$C$14:$C$36,$D$14:$D$36)*$E1835)</f>
        <v>5.0764</v>
      </c>
      <c r="L1835" s="95" cm="1">
        <f ca="1" t="array" ref="L1835">MIN(6,_xlfn.XLOOKUP($D1835&amp;"_"&amp;L$52,$B$14:$B$36&amp;"_"&amp;$C$14:$C$36,$D$14:$D$36)*$E1835)</f>
        <v>6</v>
      </c>
      <c r="M1835" s="95" cm="1">
        <f ca="1" t="array" ref="M1835">(1+SUMPRODUCT(G1835:H1835,OFFSET($H$40:$I$40,D1835,0)))*(1+OFFSET($J$40,D1835,0))^I1835*(1+OFFSET($K$40,D1835,0))^J1835*(1+OFFSET($L$40,D1835,0))^K1835*(1+OFFSET($M$40,D1835,0))^L1835</f>
        <v>391.797778831769</v>
      </c>
      <c r="N1835" s="95">
        <f ca="1">MAX(MAX($N$53:N1834),OFFSET($C$52,MATCH(M1835*1.07,$M$53:$M$2052,1),0)-C1835)</f>
        <v>73440</v>
      </c>
    </row>
    <row r="1836" spans="2:14">
      <c r="B1836" s="95">
        <v>1784</v>
      </c>
      <c r="C1836" s="95">
        <f t="shared" si="139"/>
        <v>642240</v>
      </c>
      <c r="D1836" s="95">
        <f ca="1">_xlfn.XLOOKUP(总览!$B$44,$B$40:$B$45,$C$40:$C$45)</f>
        <v>5</v>
      </c>
      <c r="E1836" s="95">
        <f ca="1" t="shared" si="138"/>
        <v>1814</v>
      </c>
      <c r="F1836" s="95">
        <f ca="1" t="shared" si="140"/>
        <v>0</v>
      </c>
      <c r="G1836" s="95">
        <f ca="1" t="shared" si="141"/>
        <v>0</v>
      </c>
      <c r="H1836" s="95" cm="1">
        <f ca="1" t="array" ref="H1836">MIN(30-SUM(I1836:L1836),_xlfn.XLOOKUP($D1836&amp;"_"&amp;H$52,$B$14:$B$36&amp;"_"&amp;$C$14:$C$36,$D$14:$D$36)*$E1836,18)</f>
        <v>10.9208</v>
      </c>
      <c r="I1836" s="95" cm="1">
        <f ca="1" t="array" ref="I1836">MIN(30-SUM(J1836:L1836),6-L1836,_xlfn.XLOOKUP($D1836&amp;"_"&amp;I$52,$B$14:$B$36&amp;"_"&amp;$C$14:$C$36,$D$14:$D$36)*$E1836)</f>
        <v>0</v>
      </c>
      <c r="J1836" s="95" cm="1">
        <f ca="1" t="array" ref="J1836">MIN(8,_xlfn.XLOOKUP($D1836&amp;"_"&amp;J$52,$B$14:$B$36&amp;"_"&amp;$C$14:$C$36,$D$14:$D$36)*$E1836)</f>
        <v>8</v>
      </c>
      <c r="K1836" s="95" cm="1">
        <f ca="1" t="array" ref="K1836">MIN(18,_xlfn.XLOOKUP($D1836&amp;"_"&amp;K$52,$B$14:$B$36&amp;"_"&amp;$C$14:$C$36,$D$14:$D$36)*$E1836)</f>
        <v>5.0792</v>
      </c>
      <c r="L1836" s="95" cm="1">
        <f ca="1" t="array" ref="L1836">MIN(6,_xlfn.XLOOKUP($D1836&amp;"_"&amp;L$52,$B$14:$B$36&amp;"_"&amp;$C$14:$C$36,$D$14:$D$36)*$E1836)</f>
        <v>6</v>
      </c>
      <c r="M1836" s="95" cm="1">
        <f ca="1" t="array" ref="M1836">(1+SUMPRODUCT(G1836:H1836,OFFSET($H$40:$I$40,D1836,0)))*(1+OFFSET($J$40,D1836,0))^I1836*(1+OFFSET($K$40,D1836,0))^J1836*(1+OFFSET($L$40,D1836,0))^K1836*(1+OFFSET($M$40,D1836,0))^L1836</f>
        <v>391.928914043239</v>
      </c>
      <c r="N1836" s="95">
        <f ca="1">MAX(MAX($N$53:N1835),OFFSET($C$52,MATCH(M1836*1.07,$M$53:$M$2052,1),0)-C1836)</f>
        <v>73440</v>
      </c>
    </row>
    <row r="1837" spans="2:14">
      <c r="B1837" s="95">
        <v>1785</v>
      </c>
      <c r="C1837" s="95">
        <f t="shared" si="139"/>
        <v>642600</v>
      </c>
      <c r="D1837" s="95">
        <f ca="1">_xlfn.XLOOKUP(总览!$B$44,$B$40:$B$45,$C$40:$C$45)</f>
        <v>5</v>
      </c>
      <c r="E1837" s="95">
        <f ca="1" t="shared" si="138"/>
        <v>1815</v>
      </c>
      <c r="F1837" s="95">
        <f ca="1" t="shared" si="140"/>
        <v>0</v>
      </c>
      <c r="G1837" s="95">
        <f ca="1" t="shared" si="141"/>
        <v>0</v>
      </c>
      <c r="H1837" s="95" cm="1">
        <f ca="1" t="array" ref="H1837">MIN(30-SUM(I1837:L1837),_xlfn.XLOOKUP($D1837&amp;"_"&amp;H$52,$B$14:$B$36&amp;"_"&amp;$C$14:$C$36,$D$14:$D$36)*$E1837,18)</f>
        <v>10.918</v>
      </c>
      <c r="I1837" s="95" cm="1">
        <f ca="1" t="array" ref="I1837">MIN(30-SUM(J1837:L1837),6-L1837,_xlfn.XLOOKUP($D1837&amp;"_"&amp;I$52,$B$14:$B$36&amp;"_"&amp;$C$14:$C$36,$D$14:$D$36)*$E1837)</f>
        <v>0</v>
      </c>
      <c r="J1837" s="95" cm="1">
        <f ca="1" t="array" ref="J1837">MIN(8,_xlfn.XLOOKUP($D1837&amp;"_"&amp;J$52,$B$14:$B$36&amp;"_"&amp;$C$14:$C$36,$D$14:$D$36)*$E1837)</f>
        <v>8</v>
      </c>
      <c r="K1837" s="95" cm="1">
        <f ca="1" t="array" ref="K1837">MIN(18,_xlfn.XLOOKUP($D1837&amp;"_"&amp;K$52,$B$14:$B$36&amp;"_"&amp;$C$14:$C$36,$D$14:$D$36)*$E1837)</f>
        <v>5.082</v>
      </c>
      <c r="L1837" s="95" cm="1">
        <f ca="1" t="array" ref="L1837">MIN(6,_xlfn.XLOOKUP($D1837&amp;"_"&amp;L$52,$B$14:$B$36&amp;"_"&amp;$C$14:$C$36,$D$14:$D$36)*$E1837)</f>
        <v>6</v>
      </c>
      <c r="M1837" s="95" cm="1">
        <f ca="1" t="array" ref="M1837">(1+SUMPRODUCT(G1837:H1837,OFFSET($H$40:$I$40,D1837,0)))*(1+OFFSET($J$40,D1837,0))^I1837*(1+OFFSET($K$40,D1837,0))^J1837*(1+OFFSET($L$40,D1837,0))^K1837*(1+OFFSET($M$40,D1837,0))^L1837</f>
        <v>392.060081019235</v>
      </c>
      <c r="N1837" s="95">
        <f ca="1">MAX(MAX($N$53:N1836),OFFSET($C$52,MATCH(M1837*1.07,$M$53:$M$2052,1),0)-C1837)</f>
        <v>73440</v>
      </c>
    </row>
    <row r="1838" spans="2:14">
      <c r="B1838" s="95">
        <v>1786</v>
      </c>
      <c r="C1838" s="95">
        <f t="shared" si="139"/>
        <v>642960</v>
      </c>
      <c r="D1838" s="95">
        <f ca="1">_xlfn.XLOOKUP(总览!$B$44,$B$40:$B$45,$C$40:$C$45)</f>
        <v>5</v>
      </c>
      <c r="E1838" s="95">
        <f ca="1" t="shared" si="138"/>
        <v>1816</v>
      </c>
      <c r="F1838" s="95">
        <f ca="1" t="shared" si="140"/>
        <v>0</v>
      </c>
      <c r="G1838" s="95">
        <f ca="1" t="shared" si="141"/>
        <v>0</v>
      </c>
      <c r="H1838" s="95" cm="1">
        <f ca="1" t="array" ref="H1838">MIN(30-SUM(I1838:L1838),_xlfn.XLOOKUP($D1838&amp;"_"&amp;H$52,$B$14:$B$36&amp;"_"&amp;$C$14:$C$36,$D$14:$D$36)*$E1838,18)</f>
        <v>10.9152</v>
      </c>
      <c r="I1838" s="95" cm="1">
        <f ca="1" t="array" ref="I1838">MIN(30-SUM(J1838:L1838),6-L1838,_xlfn.XLOOKUP($D1838&amp;"_"&amp;I$52,$B$14:$B$36&amp;"_"&amp;$C$14:$C$36,$D$14:$D$36)*$E1838)</f>
        <v>0</v>
      </c>
      <c r="J1838" s="95" cm="1">
        <f ca="1" t="array" ref="J1838">MIN(8,_xlfn.XLOOKUP($D1838&amp;"_"&amp;J$52,$B$14:$B$36&amp;"_"&amp;$C$14:$C$36,$D$14:$D$36)*$E1838)</f>
        <v>8</v>
      </c>
      <c r="K1838" s="95" cm="1">
        <f ca="1" t="array" ref="K1838">MIN(18,_xlfn.XLOOKUP($D1838&amp;"_"&amp;K$52,$B$14:$B$36&amp;"_"&amp;$C$14:$C$36,$D$14:$D$36)*$E1838)</f>
        <v>5.0848</v>
      </c>
      <c r="L1838" s="95" cm="1">
        <f ca="1" t="array" ref="L1838">MIN(6,_xlfn.XLOOKUP($D1838&amp;"_"&amp;L$52,$B$14:$B$36&amp;"_"&amp;$C$14:$C$36,$D$14:$D$36)*$E1838)</f>
        <v>6</v>
      </c>
      <c r="M1838" s="95" cm="1">
        <f ca="1" t="array" ref="M1838">(1+SUMPRODUCT(G1838:H1838,OFFSET($H$40:$I$40,D1838,0)))*(1+OFFSET($J$40,D1838,0))^I1838*(1+OFFSET($K$40,D1838,0))^J1838*(1+OFFSET($L$40,D1838,0))^K1838*(1+OFFSET($M$40,D1838,0))^L1838</f>
        <v>392.191279758002</v>
      </c>
      <c r="N1838" s="95">
        <f ca="1">MAX(MAX($N$53:N1837),OFFSET($C$52,MATCH(M1838*1.07,$M$53:$M$2052,1),0)-C1838)</f>
        <v>73440</v>
      </c>
    </row>
    <row r="1839" spans="2:14">
      <c r="B1839" s="95">
        <v>1787</v>
      </c>
      <c r="C1839" s="95">
        <f t="shared" si="139"/>
        <v>643320</v>
      </c>
      <c r="D1839" s="95">
        <f ca="1">_xlfn.XLOOKUP(总览!$B$44,$B$40:$B$45,$C$40:$C$45)</f>
        <v>5</v>
      </c>
      <c r="E1839" s="95">
        <f ca="1" t="shared" si="138"/>
        <v>1817</v>
      </c>
      <c r="F1839" s="95">
        <f ca="1" t="shared" si="140"/>
        <v>0</v>
      </c>
      <c r="G1839" s="95">
        <f ca="1" t="shared" si="141"/>
        <v>0</v>
      </c>
      <c r="H1839" s="95" cm="1">
        <f ca="1" t="array" ref="H1839">MIN(30-SUM(I1839:L1839),_xlfn.XLOOKUP($D1839&amp;"_"&amp;H$52,$B$14:$B$36&amp;"_"&amp;$C$14:$C$36,$D$14:$D$36)*$E1839,18)</f>
        <v>10.9124</v>
      </c>
      <c r="I1839" s="95" cm="1">
        <f ca="1" t="array" ref="I1839">MIN(30-SUM(J1839:L1839),6-L1839,_xlfn.XLOOKUP($D1839&amp;"_"&amp;I$52,$B$14:$B$36&amp;"_"&amp;$C$14:$C$36,$D$14:$D$36)*$E1839)</f>
        <v>0</v>
      </c>
      <c r="J1839" s="95" cm="1">
        <f ca="1" t="array" ref="J1839">MIN(8,_xlfn.XLOOKUP($D1839&amp;"_"&amp;J$52,$B$14:$B$36&amp;"_"&amp;$C$14:$C$36,$D$14:$D$36)*$E1839)</f>
        <v>8</v>
      </c>
      <c r="K1839" s="95" cm="1">
        <f ca="1" t="array" ref="K1839">MIN(18,_xlfn.XLOOKUP($D1839&amp;"_"&amp;K$52,$B$14:$B$36&amp;"_"&amp;$C$14:$C$36,$D$14:$D$36)*$E1839)</f>
        <v>5.0876</v>
      </c>
      <c r="L1839" s="95" cm="1">
        <f ca="1" t="array" ref="L1839">MIN(6,_xlfn.XLOOKUP($D1839&amp;"_"&amp;L$52,$B$14:$B$36&amp;"_"&amp;$C$14:$C$36,$D$14:$D$36)*$E1839)</f>
        <v>6</v>
      </c>
      <c r="M1839" s="95" cm="1">
        <f ca="1" t="array" ref="M1839">(1+SUMPRODUCT(G1839:H1839,OFFSET($H$40:$I$40,D1839,0)))*(1+OFFSET($J$40,D1839,0))^I1839*(1+OFFSET($K$40,D1839,0))^J1839*(1+OFFSET($L$40,D1839,0))^K1839*(1+OFFSET($M$40,D1839,0))^L1839</f>
        <v>392.322510257777</v>
      </c>
      <c r="N1839" s="95">
        <f ca="1">MAX(MAX($N$53:N1838),OFFSET($C$52,MATCH(M1839*1.07,$M$53:$M$2052,1),0)-C1839)</f>
        <v>73440</v>
      </c>
    </row>
    <row r="1840" spans="2:14">
      <c r="B1840" s="95">
        <v>1788</v>
      </c>
      <c r="C1840" s="95">
        <f t="shared" si="139"/>
        <v>643680</v>
      </c>
      <c r="D1840" s="95">
        <f ca="1">_xlfn.XLOOKUP(总览!$B$44,$B$40:$B$45,$C$40:$C$45)</f>
        <v>5</v>
      </c>
      <c r="E1840" s="95">
        <f ca="1" t="shared" si="138"/>
        <v>1818</v>
      </c>
      <c r="F1840" s="95">
        <f ca="1" t="shared" si="140"/>
        <v>0</v>
      </c>
      <c r="G1840" s="95">
        <f ca="1" t="shared" si="141"/>
        <v>0</v>
      </c>
      <c r="H1840" s="95" cm="1">
        <f ca="1" t="array" ref="H1840">MIN(30-SUM(I1840:L1840),_xlfn.XLOOKUP($D1840&amp;"_"&amp;H$52,$B$14:$B$36&amp;"_"&amp;$C$14:$C$36,$D$14:$D$36)*$E1840,18)</f>
        <v>10.9096</v>
      </c>
      <c r="I1840" s="95" cm="1">
        <f ca="1" t="array" ref="I1840">MIN(30-SUM(J1840:L1840),6-L1840,_xlfn.XLOOKUP($D1840&amp;"_"&amp;I$52,$B$14:$B$36&amp;"_"&amp;$C$14:$C$36,$D$14:$D$36)*$E1840)</f>
        <v>0</v>
      </c>
      <c r="J1840" s="95" cm="1">
        <f ca="1" t="array" ref="J1840">MIN(8,_xlfn.XLOOKUP($D1840&amp;"_"&amp;J$52,$B$14:$B$36&amp;"_"&amp;$C$14:$C$36,$D$14:$D$36)*$E1840)</f>
        <v>8</v>
      </c>
      <c r="K1840" s="95" cm="1">
        <f ca="1" t="array" ref="K1840">MIN(18,_xlfn.XLOOKUP($D1840&amp;"_"&amp;K$52,$B$14:$B$36&amp;"_"&amp;$C$14:$C$36,$D$14:$D$36)*$E1840)</f>
        <v>5.0904</v>
      </c>
      <c r="L1840" s="95" cm="1">
        <f ca="1" t="array" ref="L1840">MIN(6,_xlfn.XLOOKUP($D1840&amp;"_"&amp;L$52,$B$14:$B$36&amp;"_"&amp;$C$14:$C$36,$D$14:$D$36)*$E1840)</f>
        <v>6</v>
      </c>
      <c r="M1840" s="95" cm="1">
        <f ca="1" t="array" ref="M1840">(1+SUMPRODUCT(G1840:H1840,OFFSET($H$40:$I$40,D1840,0)))*(1+OFFSET($J$40,D1840,0))^I1840*(1+OFFSET($K$40,D1840,0))^J1840*(1+OFFSET($L$40,D1840,0))^K1840*(1+OFFSET($M$40,D1840,0))^L1840</f>
        <v>392.453772516788</v>
      </c>
      <c r="N1840" s="95">
        <f ca="1">MAX(MAX($N$53:N1839),OFFSET($C$52,MATCH(M1840*1.07,$M$53:$M$2052,1),0)-C1840)</f>
        <v>73440</v>
      </c>
    </row>
    <row r="1841" spans="2:14">
      <c r="B1841" s="95">
        <v>1789</v>
      </c>
      <c r="C1841" s="95">
        <f t="shared" si="139"/>
        <v>644040</v>
      </c>
      <c r="D1841" s="95">
        <f ca="1">_xlfn.XLOOKUP(总览!$B$44,$B$40:$B$45,$C$40:$C$45)</f>
        <v>5</v>
      </c>
      <c r="E1841" s="95">
        <f ca="1" t="shared" si="138"/>
        <v>1819</v>
      </c>
      <c r="F1841" s="95">
        <f ca="1" t="shared" si="140"/>
        <v>0</v>
      </c>
      <c r="G1841" s="95">
        <f ca="1" t="shared" si="141"/>
        <v>0</v>
      </c>
      <c r="H1841" s="95" cm="1">
        <f ca="1" t="array" ref="H1841">MIN(30-SUM(I1841:L1841),_xlfn.XLOOKUP($D1841&amp;"_"&amp;H$52,$B$14:$B$36&amp;"_"&amp;$C$14:$C$36,$D$14:$D$36)*$E1841,18)</f>
        <v>10.9068</v>
      </c>
      <c r="I1841" s="95" cm="1">
        <f ca="1" t="array" ref="I1841">MIN(30-SUM(J1841:L1841),6-L1841,_xlfn.XLOOKUP($D1841&amp;"_"&amp;I$52,$B$14:$B$36&amp;"_"&amp;$C$14:$C$36,$D$14:$D$36)*$E1841)</f>
        <v>0</v>
      </c>
      <c r="J1841" s="95" cm="1">
        <f ca="1" t="array" ref="J1841">MIN(8,_xlfn.XLOOKUP($D1841&amp;"_"&amp;J$52,$B$14:$B$36&amp;"_"&amp;$C$14:$C$36,$D$14:$D$36)*$E1841)</f>
        <v>8</v>
      </c>
      <c r="K1841" s="95" cm="1">
        <f ca="1" t="array" ref="K1841">MIN(18,_xlfn.XLOOKUP($D1841&amp;"_"&amp;K$52,$B$14:$B$36&amp;"_"&amp;$C$14:$C$36,$D$14:$D$36)*$E1841)</f>
        <v>5.0932</v>
      </c>
      <c r="L1841" s="95" cm="1">
        <f ca="1" t="array" ref="L1841">MIN(6,_xlfn.XLOOKUP($D1841&amp;"_"&amp;L$52,$B$14:$B$36&amp;"_"&amp;$C$14:$C$36,$D$14:$D$36)*$E1841)</f>
        <v>6</v>
      </c>
      <c r="M1841" s="95" cm="1">
        <f ca="1" t="array" ref="M1841">(1+SUMPRODUCT(G1841:H1841,OFFSET($H$40:$I$40,D1841,0)))*(1+OFFSET($J$40,D1841,0))^I1841*(1+OFFSET($K$40,D1841,0))^J1841*(1+OFFSET($L$40,D1841,0))^K1841*(1+OFFSET($M$40,D1841,0))^L1841</f>
        <v>392.585066533253</v>
      </c>
      <c r="N1841" s="95">
        <f ca="1">MAX(MAX($N$53:N1840),OFFSET($C$52,MATCH(M1841*1.07,$M$53:$M$2052,1),0)-C1841)</f>
        <v>73440</v>
      </c>
    </row>
    <row r="1842" spans="2:14">
      <c r="B1842" s="95">
        <v>1790</v>
      </c>
      <c r="C1842" s="95">
        <f t="shared" si="139"/>
        <v>644400</v>
      </c>
      <c r="D1842" s="95">
        <f ca="1">_xlfn.XLOOKUP(总览!$B$44,$B$40:$B$45,$C$40:$C$45)</f>
        <v>5</v>
      </c>
      <c r="E1842" s="95">
        <f ca="1" t="shared" si="138"/>
        <v>1820</v>
      </c>
      <c r="F1842" s="95">
        <f ca="1" t="shared" si="140"/>
        <v>0</v>
      </c>
      <c r="G1842" s="95">
        <f ca="1" t="shared" si="141"/>
        <v>0</v>
      </c>
      <c r="H1842" s="95" cm="1">
        <f ca="1" t="array" ref="H1842">MIN(30-SUM(I1842:L1842),_xlfn.XLOOKUP($D1842&amp;"_"&amp;H$52,$B$14:$B$36&amp;"_"&amp;$C$14:$C$36,$D$14:$D$36)*$E1842,18)</f>
        <v>10.904</v>
      </c>
      <c r="I1842" s="95" cm="1">
        <f ca="1" t="array" ref="I1842">MIN(30-SUM(J1842:L1842),6-L1842,_xlfn.XLOOKUP($D1842&amp;"_"&amp;I$52,$B$14:$B$36&amp;"_"&amp;$C$14:$C$36,$D$14:$D$36)*$E1842)</f>
        <v>0</v>
      </c>
      <c r="J1842" s="95" cm="1">
        <f ca="1" t="array" ref="J1842">MIN(8,_xlfn.XLOOKUP($D1842&amp;"_"&amp;J$52,$B$14:$B$36&amp;"_"&amp;$C$14:$C$36,$D$14:$D$36)*$E1842)</f>
        <v>8</v>
      </c>
      <c r="K1842" s="95" cm="1">
        <f ca="1" t="array" ref="K1842">MIN(18,_xlfn.XLOOKUP($D1842&amp;"_"&amp;K$52,$B$14:$B$36&amp;"_"&amp;$C$14:$C$36,$D$14:$D$36)*$E1842)</f>
        <v>5.096</v>
      </c>
      <c r="L1842" s="95" cm="1">
        <f ca="1" t="array" ref="L1842">MIN(6,_xlfn.XLOOKUP($D1842&amp;"_"&amp;L$52,$B$14:$B$36&amp;"_"&amp;$C$14:$C$36,$D$14:$D$36)*$E1842)</f>
        <v>6</v>
      </c>
      <c r="M1842" s="95" cm="1">
        <f ca="1" t="array" ref="M1842">(1+SUMPRODUCT(G1842:H1842,OFFSET($H$40:$I$40,D1842,0)))*(1+OFFSET($J$40,D1842,0))^I1842*(1+OFFSET($K$40,D1842,0))^J1842*(1+OFFSET($L$40,D1842,0))^K1842*(1+OFFSET($M$40,D1842,0))^L1842</f>
        <v>392.716392305376</v>
      </c>
      <c r="N1842" s="95">
        <f ca="1">MAX(MAX($N$53:N1841),OFFSET($C$52,MATCH(M1842*1.07,$M$53:$M$2052,1),0)-C1842)</f>
        <v>73440</v>
      </c>
    </row>
    <row r="1843" spans="2:14">
      <c r="B1843" s="95">
        <v>1791</v>
      </c>
      <c r="C1843" s="95">
        <f t="shared" si="139"/>
        <v>644760</v>
      </c>
      <c r="D1843" s="95">
        <f ca="1">_xlfn.XLOOKUP(总览!$B$44,$B$40:$B$45,$C$40:$C$45)</f>
        <v>5</v>
      </c>
      <c r="E1843" s="95">
        <f ca="1" t="shared" si="138"/>
        <v>1821</v>
      </c>
      <c r="F1843" s="95">
        <f ca="1" t="shared" si="140"/>
        <v>0</v>
      </c>
      <c r="G1843" s="95">
        <f ca="1" t="shared" si="141"/>
        <v>0</v>
      </c>
      <c r="H1843" s="95" cm="1">
        <f ca="1" t="array" ref="H1843">MIN(30-SUM(I1843:L1843),_xlfn.XLOOKUP($D1843&amp;"_"&amp;H$52,$B$14:$B$36&amp;"_"&amp;$C$14:$C$36,$D$14:$D$36)*$E1843,18)</f>
        <v>10.9012</v>
      </c>
      <c r="I1843" s="95" cm="1">
        <f ca="1" t="array" ref="I1843">MIN(30-SUM(J1843:L1843),6-L1843,_xlfn.XLOOKUP($D1843&amp;"_"&amp;I$52,$B$14:$B$36&amp;"_"&amp;$C$14:$C$36,$D$14:$D$36)*$E1843)</f>
        <v>0</v>
      </c>
      <c r="J1843" s="95" cm="1">
        <f ca="1" t="array" ref="J1843">MIN(8,_xlfn.XLOOKUP($D1843&amp;"_"&amp;J$52,$B$14:$B$36&amp;"_"&amp;$C$14:$C$36,$D$14:$D$36)*$E1843)</f>
        <v>8</v>
      </c>
      <c r="K1843" s="95" cm="1">
        <f ca="1" t="array" ref="K1843">MIN(18,_xlfn.XLOOKUP($D1843&amp;"_"&amp;K$52,$B$14:$B$36&amp;"_"&amp;$C$14:$C$36,$D$14:$D$36)*$E1843)</f>
        <v>5.0988</v>
      </c>
      <c r="L1843" s="95" cm="1">
        <f ca="1" t="array" ref="L1843">MIN(6,_xlfn.XLOOKUP($D1843&amp;"_"&amp;L$52,$B$14:$B$36&amp;"_"&amp;$C$14:$C$36,$D$14:$D$36)*$E1843)</f>
        <v>6</v>
      </c>
      <c r="M1843" s="95" cm="1">
        <f ca="1" t="array" ref="M1843">(1+SUMPRODUCT(G1843:H1843,OFFSET($H$40:$I$40,D1843,0)))*(1+OFFSET($J$40,D1843,0))^I1843*(1+OFFSET($K$40,D1843,0))^J1843*(1+OFFSET($L$40,D1843,0))^K1843*(1+OFFSET($M$40,D1843,0))^L1843</f>
        <v>392.847749831356</v>
      </c>
      <c r="N1843" s="95">
        <f ca="1">MAX(MAX($N$53:N1842),OFFSET($C$52,MATCH(M1843*1.07,$M$53:$M$2052,1),0)-C1843)</f>
        <v>73440</v>
      </c>
    </row>
    <row r="1844" spans="2:14">
      <c r="B1844" s="95">
        <v>1792</v>
      </c>
      <c r="C1844" s="95">
        <f t="shared" si="139"/>
        <v>645120</v>
      </c>
      <c r="D1844" s="95">
        <f ca="1">_xlfn.XLOOKUP(总览!$B$44,$B$40:$B$45,$C$40:$C$45)</f>
        <v>5</v>
      </c>
      <c r="E1844" s="95">
        <f ca="1" t="shared" si="138"/>
        <v>1822</v>
      </c>
      <c r="F1844" s="95">
        <f ca="1" t="shared" si="140"/>
        <v>0</v>
      </c>
      <c r="G1844" s="95">
        <f ca="1" t="shared" si="141"/>
        <v>0</v>
      </c>
      <c r="H1844" s="95" cm="1">
        <f ca="1" t="array" ref="H1844">MIN(30-SUM(I1844:L1844),_xlfn.XLOOKUP($D1844&amp;"_"&amp;H$52,$B$14:$B$36&amp;"_"&amp;$C$14:$C$36,$D$14:$D$36)*$E1844,18)</f>
        <v>10.8984</v>
      </c>
      <c r="I1844" s="95" cm="1">
        <f ca="1" t="array" ref="I1844">MIN(30-SUM(J1844:L1844),6-L1844,_xlfn.XLOOKUP($D1844&amp;"_"&amp;I$52,$B$14:$B$36&amp;"_"&amp;$C$14:$C$36,$D$14:$D$36)*$E1844)</f>
        <v>0</v>
      </c>
      <c r="J1844" s="95" cm="1">
        <f ca="1" t="array" ref="J1844">MIN(8,_xlfn.XLOOKUP($D1844&amp;"_"&amp;J$52,$B$14:$B$36&amp;"_"&amp;$C$14:$C$36,$D$14:$D$36)*$E1844)</f>
        <v>8</v>
      </c>
      <c r="K1844" s="95" cm="1">
        <f ca="1" t="array" ref="K1844">MIN(18,_xlfn.XLOOKUP($D1844&amp;"_"&amp;K$52,$B$14:$B$36&amp;"_"&amp;$C$14:$C$36,$D$14:$D$36)*$E1844)</f>
        <v>5.1016</v>
      </c>
      <c r="L1844" s="95" cm="1">
        <f ca="1" t="array" ref="L1844">MIN(6,_xlfn.XLOOKUP($D1844&amp;"_"&amp;L$52,$B$14:$B$36&amp;"_"&amp;$C$14:$C$36,$D$14:$D$36)*$E1844)</f>
        <v>6</v>
      </c>
      <c r="M1844" s="95" cm="1">
        <f ca="1" t="array" ref="M1844">(1+SUMPRODUCT(G1844:H1844,OFFSET($H$40:$I$40,D1844,0)))*(1+OFFSET($J$40,D1844,0))^I1844*(1+OFFSET($K$40,D1844,0))^J1844*(1+OFFSET($L$40,D1844,0))^K1844*(1+OFFSET($M$40,D1844,0))^L1844</f>
        <v>392.979139109379</v>
      </c>
      <c r="N1844" s="95">
        <f ca="1">MAX(MAX($N$53:N1843),OFFSET($C$52,MATCH(M1844*1.07,$M$53:$M$2052,1),0)-C1844)</f>
        <v>73440</v>
      </c>
    </row>
    <row r="1845" spans="2:14">
      <c r="B1845" s="95">
        <v>1793</v>
      </c>
      <c r="C1845" s="95">
        <f t="shared" si="139"/>
        <v>645480</v>
      </c>
      <c r="D1845" s="95">
        <f ca="1">_xlfn.XLOOKUP(总览!$B$44,$B$40:$B$45,$C$40:$C$45)</f>
        <v>5</v>
      </c>
      <c r="E1845" s="95">
        <f ca="1" t="shared" si="138"/>
        <v>1823</v>
      </c>
      <c r="F1845" s="95">
        <f ca="1" t="shared" si="140"/>
        <v>0</v>
      </c>
      <c r="G1845" s="95">
        <f ca="1" t="shared" si="141"/>
        <v>0</v>
      </c>
      <c r="H1845" s="95" cm="1">
        <f ca="1" t="array" ref="H1845">MIN(30-SUM(I1845:L1845),_xlfn.XLOOKUP($D1845&amp;"_"&amp;H$52,$B$14:$B$36&amp;"_"&amp;$C$14:$C$36,$D$14:$D$36)*$E1845,18)</f>
        <v>10.8956</v>
      </c>
      <c r="I1845" s="95" cm="1">
        <f ca="1" t="array" ref="I1845">MIN(30-SUM(J1845:L1845),6-L1845,_xlfn.XLOOKUP($D1845&amp;"_"&amp;I$52,$B$14:$B$36&amp;"_"&amp;$C$14:$C$36,$D$14:$D$36)*$E1845)</f>
        <v>0</v>
      </c>
      <c r="J1845" s="95" cm="1">
        <f ca="1" t="array" ref="J1845">MIN(8,_xlfn.XLOOKUP($D1845&amp;"_"&amp;J$52,$B$14:$B$36&amp;"_"&amp;$C$14:$C$36,$D$14:$D$36)*$E1845)</f>
        <v>8</v>
      </c>
      <c r="K1845" s="95" cm="1">
        <f ca="1" t="array" ref="K1845">MIN(18,_xlfn.XLOOKUP($D1845&amp;"_"&amp;K$52,$B$14:$B$36&amp;"_"&amp;$C$14:$C$36,$D$14:$D$36)*$E1845)</f>
        <v>5.1044</v>
      </c>
      <c r="L1845" s="95" cm="1">
        <f ca="1" t="array" ref="L1845">MIN(6,_xlfn.XLOOKUP($D1845&amp;"_"&amp;L$52,$B$14:$B$36&amp;"_"&amp;$C$14:$C$36,$D$14:$D$36)*$E1845)</f>
        <v>6</v>
      </c>
      <c r="M1845" s="95" cm="1">
        <f ca="1" t="array" ref="M1845">(1+SUMPRODUCT(G1845:H1845,OFFSET($H$40:$I$40,D1845,0)))*(1+OFFSET($J$40,D1845,0))^I1845*(1+OFFSET($K$40,D1845,0))^J1845*(1+OFFSET($L$40,D1845,0))^K1845*(1+OFFSET($M$40,D1845,0))^L1845</f>
        <v>393.110560137622</v>
      </c>
      <c r="N1845" s="95">
        <f ca="1">MAX(MAX($N$53:N1844),OFFSET($C$52,MATCH(M1845*1.07,$M$53:$M$2052,1),0)-C1845)</f>
        <v>73440</v>
      </c>
    </row>
    <row r="1846" spans="2:14">
      <c r="B1846" s="95">
        <v>1794</v>
      </c>
      <c r="C1846" s="95">
        <f t="shared" si="139"/>
        <v>645840</v>
      </c>
      <c r="D1846" s="95">
        <f ca="1">_xlfn.XLOOKUP(总览!$B$44,$B$40:$B$45,$C$40:$C$45)</f>
        <v>5</v>
      </c>
      <c r="E1846" s="95">
        <f ca="1" t="shared" ref="E1846:E1909" si="142">INT(C1846/_xlfn.XLOOKUP(D1846,$N$5:$N$16,$O$5:$O$16))+OFFSET($R$40,D1846,0)</f>
        <v>1824</v>
      </c>
      <c r="F1846" s="95">
        <f ca="1" t="shared" si="140"/>
        <v>0</v>
      </c>
      <c r="G1846" s="95">
        <f ca="1" t="shared" si="141"/>
        <v>0</v>
      </c>
      <c r="H1846" s="95" cm="1">
        <f ca="1" t="array" ref="H1846">MIN(30-SUM(I1846:L1846),_xlfn.XLOOKUP($D1846&amp;"_"&amp;H$52,$B$14:$B$36&amp;"_"&amp;$C$14:$C$36,$D$14:$D$36)*$E1846,18)</f>
        <v>10.8928</v>
      </c>
      <c r="I1846" s="95" cm="1">
        <f ca="1" t="array" ref="I1846">MIN(30-SUM(J1846:L1846),6-L1846,_xlfn.XLOOKUP($D1846&amp;"_"&amp;I$52,$B$14:$B$36&amp;"_"&amp;$C$14:$C$36,$D$14:$D$36)*$E1846)</f>
        <v>0</v>
      </c>
      <c r="J1846" s="95" cm="1">
        <f ca="1" t="array" ref="J1846">MIN(8,_xlfn.XLOOKUP($D1846&amp;"_"&amp;J$52,$B$14:$B$36&amp;"_"&amp;$C$14:$C$36,$D$14:$D$36)*$E1846)</f>
        <v>8</v>
      </c>
      <c r="K1846" s="95" cm="1">
        <f ca="1" t="array" ref="K1846">MIN(18,_xlfn.XLOOKUP($D1846&amp;"_"&amp;K$52,$B$14:$B$36&amp;"_"&amp;$C$14:$C$36,$D$14:$D$36)*$E1846)</f>
        <v>5.1072</v>
      </c>
      <c r="L1846" s="95" cm="1">
        <f ca="1" t="array" ref="L1846">MIN(6,_xlfn.XLOOKUP($D1846&amp;"_"&amp;L$52,$B$14:$B$36&amp;"_"&amp;$C$14:$C$36,$D$14:$D$36)*$E1846)</f>
        <v>6</v>
      </c>
      <c r="M1846" s="95" cm="1">
        <f ca="1" t="array" ref="M1846">(1+SUMPRODUCT(G1846:H1846,OFFSET($H$40:$I$40,D1846,0)))*(1+OFFSET($J$40,D1846,0))^I1846*(1+OFFSET($K$40,D1846,0))^J1846*(1+OFFSET($L$40,D1846,0))^K1846*(1+OFFSET($M$40,D1846,0))^L1846</f>
        <v>393.24201291425</v>
      </c>
      <c r="N1846" s="95">
        <f ca="1">MAX(MAX($N$53:N1845),OFFSET($C$52,MATCH(M1846*1.07,$M$53:$M$2052,1),0)-C1846)</f>
        <v>73440</v>
      </c>
    </row>
    <row r="1847" spans="2:14">
      <c r="B1847" s="95">
        <v>1795</v>
      </c>
      <c r="C1847" s="95">
        <f t="shared" si="139"/>
        <v>646200</v>
      </c>
      <c r="D1847" s="95">
        <f ca="1">_xlfn.XLOOKUP(总览!$B$44,$B$40:$B$45,$C$40:$C$45)</f>
        <v>5</v>
      </c>
      <c r="E1847" s="95">
        <f ca="1" t="shared" si="142"/>
        <v>1825</v>
      </c>
      <c r="F1847" s="95">
        <f ca="1" t="shared" si="140"/>
        <v>0</v>
      </c>
      <c r="G1847" s="95">
        <f ca="1" t="shared" si="141"/>
        <v>0</v>
      </c>
      <c r="H1847" s="95" cm="1">
        <f ca="1" t="array" ref="H1847">MIN(30-SUM(I1847:L1847),_xlfn.XLOOKUP($D1847&amp;"_"&amp;H$52,$B$14:$B$36&amp;"_"&amp;$C$14:$C$36,$D$14:$D$36)*$E1847,18)</f>
        <v>10.89</v>
      </c>
      <c r="I1847" s="95" cm="1">
        <f ca="1" t="array" ref="I1847">MIN(30-SUM(J1847:L1847),6-L1847,_xlfn.XLOOKUP($D1847&amp;"_"&amp;I$52,$B$14:$B$36&amp;"_"&amp;$C$14:$C$36,$D$14:$D$36)*$E1847)</f>
        <v>0</v>
      </c>
      <c r="J1847" s="95" cm="1">
        <f ca="1" t="array" ref="J1847">MIN(8,_xlfn.XLOOKUP($D1847&amp;"_"&amp;J$52,$B$14:$B$36&amp;"_"&amp;$C$14:$C$36,$D$14:$D$36)*$E1847)</f>
        <v>8</v>
      </c>
      <c r="K1847" s="95" cm="1">
        <f ca="1" t="array" ref="K1847">MIN(18,_xlfn.XLOOKUP($D1847&amp;"_"&amp;K$52,$B$14:$B$36&amp;"_"&amp;$C$14:$C$36,$D$14:$D$36)*$E1847)</f>
        <v>5.11</v>
      </c>
      <c r="L1847" s="95" cm="1">
        <f ca="1" t="array" ref="L1847">MIN(6,_xlfn.XLOOKUP($D1847&amp;"_"&amp;L$52,$B$14:$B$36&amp;"_"&amp;$C$14:$C$36,$D$14:$D$36)*$E1847)</f>
        <v>6</v>
      </c>
      <c r="M1847" s="95" cm="1">
        <f ca="1" t="array" ref="M1847">(1+SUMPRODUCT(G1847:H1847,OFFSET($H$40:$I$40,D1847,0)))*(1+OFFSET($J$40,D1847,0))^I1847*(1+OFFSET($K$40,D1847,0))^J1847*(1+OFFSET($L$40,D1847,0))^K1847*(1+OFFSET($M$40,D1847,0))^L1847</f>
        <v>393.37349743742</v>
      </c>
      <c r="N1847" s="95">
        <f ca="1">MAX(MAX($N$53:N1846),OFFSET($C$52,MATCH(M1847*1.07,$M$53:$M$2052,1),0)-C1847)</f>
        <v>73440</v>
      </c>
    </row>
    <row r="1848" spans="2:14">
      <c r="B1848" s="95">
        <v>1796</v>
      </c>
      <c r="C1848" s="95">
        <f t="shared" si="139"/>
        <v>646560</v>
      </c>
      <c r="D1848" s="95">
        <f ca="1">_xlfn.XLOOKUP(总览!$B$44,$B$40:$B$45,$C$40:$C$45)</f>
        <v>5</v>
      </c>
      <c r="E1848" s="95">
        <f ca="1" t="shared" si="142"/>
        <v>1826</v>
      </c>
      <c r="F1848" s="95">
        <f ca="1" t="shared" si="140"/>
        <v>0</v>
      </c>
      <c r="G1848" s="95">
        <f ca="1" t="shared" si="141"/>
        <v>0</v>
      </c>
      <c r="H1848" s="95" cm="1">
        <f ca="1" t="array" ref="H1848">MIN(30-SUM(I1848:L1848),_xlfn.XLOOKUP($D1848&amp;"_"&amp;H$52,$B$14:$B$36&amp;"_"&amp;$C$14:$C$36,$D$14:$D$36)*$E1848,18)</f>
        <v>10.8872</v>
      </c>
      <c r="I1848" s="95" cm="1">
        <f ca="1" t="array" ref="I1848">MIN(30-SUM(J1848:L1848),6-L1848,_xlfn.XLOOKUP($D1848&amp;"_"&amp;I$52,$B$14:$B$36&amp;"_"&amp;$C$14:$C$36,$D$14:$D$36)*$E1848)</f>
        <v>0</v>
      </c>
      <c r="J1848" s="95" cm="1">
        <f ca="1" t="array" ref="J1848">MIN(8,_xlfn.XLOOKUP($D1848&amp;"_"&amp;J$52,$B$14:$B$36&amp;"_"&amp;$C$14:$C$36,$D$14:$D$36)*$E1848)</f>
        <v>8</v>
      </c>
      <c r="K1848" s="95" cm="1">
        <f ca="1" t="array" ref="K1848">MIN(18,_xlfn.XLOOKUP($D1848&amp;"_"&amp;K$52,$B$14:$B$36&amp;"_"&amp;$C$14:$C$36,$D$14:$D$36)*$E1848)</f>
        <v>5.1128</v>
      </c>
      <c r="L1848" s="95" cm="1">
        <f ca="1" t="array" ref="L1848">MIN(6,_xlfn.XLOOKUP($D1848&amp;"_"&amp;L$52,$B$14:$B$36&amp;"_"&amp;$C$14:$C$36,$D$14:$D$36)*$E1848)</f>
        <v>6</v>
      </c>
      <c r="M1848" s="95" cm="1">
        <f ca="1" t="array" ref="M1848">(1+SUMPRODUCT(G1848:H1848,OFFSET($H$40:$I$40,D1848,0)))*(1+OFFSET($J$40,D1848,0))^I1848*(1+OFFSET($K$40,D1848,0))^J1848*(1+OFFSET($L$40,D1848,0))^K1848*(1+OFFSET($M$40,D1848,0))^L1848</f>
        <v>393.505013705278</v>
      </c>
      <c r="N1848" s="95">
        <f ca="1">MAX(MAX($N$53:N1847),OFFSET($C$52,MATCH(M1848*1.07,$M$53:$M$2052,1),0)-C1848)</f>
        <v>73440</v>
      </c>
    </row>
    <row r="1849" spans="2:14">
      <c r="B1849" s="95">
        <v>1797</v>
      </c>
      <c r="C1849" s="95">
        <f t="shared" si="139"/>
        <v>646920</v>
      </c>
      <c r="D1849" s="95">
        <f ca="1">_xlfn.XLOOKUP(总览!$B$44,$B$40:$B$45,$C$40:$C$45)</f>
        <v>5</v>
      </c>
      <c r="E1849" s="95">
        <f ca="1" t="shared" si="142"/>
        <v>1827</v>
      </c>
      <c r="F1849" s="95">
        <f ca="1" t="shared" si="140"/>
        <v>0</v>
      </c>
      <c r="G1849" s="95">
        <f ca="1" t="shared" si="141"/>
        <v>0</v>
      </c>
      <c r="H1849" s="95" cm="1">
        <f ca="1" t="array" ref="H1849">MIN(30-SUM(I1849:L1849),_xlfn.XLOOKUP($D1849&amp;"_"&amp;H$52,$B$14:$B$36&amp;"_"&amp;$C$14:$C$36,$D$14:$D$36)*$E1849,18)</f>
        <v>10.8844</v>
      </c>
      <c r="I1849" s="95" cm="1">
        <f ca="1" t="array" ref="I1849">MIN(30-SUM(J1849:L1849),6-L1849,_xlfn.XLOOKUP($D1849&amp;"_"&amp;I$52,$B$14:$B$36&amp;"_"&amp;$C$14:$C$36,$D$14:$D$36)*$E1849)</f>
        <v>0</v>
      </c>
      <c r="J1849" s="95" cm="1">
        <f ca="1" t="array" ref="J1849">MIN(8,_xlfn.XLOOKUP($D1849&amp;"_"&amp;J$52,$B$14:$B$36&amp;"_"&amp;$C$14:$C$36,$D$14:$D$36)*$E1849)</f>
        <v>8</v>
      </c>
      <c r="K1849" s="95" cm="1">
        <f ca="1" t="array" ref="K1849">MIN(18,_xlfn.XLOOKUP($D1849&amp;"_"&amp;K$52,$B$14:$B$36&amp;"_"&amp;$C$14:$C$36,$D$14:$D$36)*$E1849)</f>
        <v>5.1156</v>
      </c>
      <c r="L1849" s="95" cm="1">
        <f ca="1" t="array" ref="L1849">MIN(6,_xlfn.XLOOKUP($D1849&amp;"_"&amp;L$52,$B$14:$B$36&amp;"_"&amp;$C$14:$C$36,$D$14:$D$36)*$E1849)</f>
        <v>6</v>
      </c>
      <c r="M1849" s="95" cm="1">
        <f ca="1" t="array" ref="M1849">(1+SUMPRODUCT(G1849:H1849,OFFSET($H$40:$I$40,D1849,0)))*(1+OFFSET($J$40,D1849,0))^I1849*(1+OFFSET($K$40,D1849,0))^J1849*(1+OFFSET($L$40,D1849,0))^K1849*(1+OFFSET($M$40,D1849,0))^L1849</f>
        <v>393.63656171596</v>
      </c>
      <c r="N1849" s="95">
        <f ca="1">MAX(MAX($N$53:N1848),OFFSET($C$52,MATCH(M1849*1.07,$M$53:$M$2052,1),0)-C1849)</f>
        <v>73440</v>
      </c>
    </row>
    <row r="1850" spans="2:14">
      <c r="B1850" s="95">
        <v>1798</v>
      </c>
      <c r="C1850" s="95">
        <f t="shared" si="139"/>
        <v>647280</v>
      </c>
      <c r="D1850" s="95">
        <f ca="1">_xlfn.XLOOKUP(总览!$B$44,$B$40:$B$45,$C$40:$C$45)</f>
        <v>5</v>
      </c>
      <c r="E1850" s="95">
        <f ca="1" t="shared" si="142"/>
        <v>1828</v>
      </c>
      <c r="F1850" s="95">
        <f ca="1" t="shared" si="140"/>
        <v>0</v>
      </c>
      <c r="G1850" s="95">
        <f ca="1" t="shared" si="141"/>
        <v>0</v>
      </c>
      <c r="H1850" s="95" cm="1">
        <f ca="1" t="array" ref="H1850">MIN(30-SUM(I1850:L1850),_xlfn.XLOOKUP($D1850&amp;"_"&amp;H$52,$B$14:$B$36&amp;"_"&amp;$C$14:$C$36,$D$14:$D$36)*$E1850,18)</f>
        <v>10.8816</v>
      </c>
      <c r="I1850" s="95" cm="1">
        <f ca="1" t="array" ref="I1850">MIN(30-SUM(J1850:L1850),6-L1850,_xlfn.XLOOKUP($D1850&amp;"_"&amp;I$52,$B$14:$B$36&amp;"_"&amp;$C$14:$C$36,$D$14:$D$36)*$E1850)</f>
        <v>0</v>
      </c>
      <c r="J1850" s="95" cm="1">
        <f ca="1" t="array" ref="J1850">MIN(8,_xlfn.XLOOKUP($D1850&amp;"_"&amp;J$52,$B$14:$B$36&amp;"_"&amp;$C$14:$C$36,$D$14:$D$36)*$E1850)</f>
        <v>8</v>
      </c>
      <c r="K1850" s="95" cm="1">
        <f ca="1" t="array" ref="K1850">MIN(18,_xlfn.XLOOKUP($D1850&amp;"_"&amp;K$52,$B$14:$B$36&amp;"_"&amp;$C$14:$C$36,$D$14:$D$36)*$E1850)</f>
        <v>5.1184</v>
      </c>
      <c r="L1850" s="95" cm="1">
        <f ca="1" t="array" ref="L1850">MIN(6,_xlfn.XLOOKUP($D1850&amp;"_"&amp;L$52,$B$14:$B$36&amp;"_"&amp;$C$14:$C$36,$D$14:$D$36)*$E1850)</f>
        <v>6</v>
      </c>
      <c r="M1850" s="95" cm="1">
        <f ca="1" t="array" ref="M1850">(1+SUMPRODUCT(G1850:H1850,OFFSET($H$40:$I$40,D1850,0)))*(1+OFFSET($J$40,D1850,0))^I1850*(1+OFFSET($K$40,D1850,0))^J1850*(1+OFFSET($L$40,D1850,0))^K1850*(1+OFFSET($M$40,D1850,0))^L1850</f>
        <v>393.768141467592</v>
      </c>
      <c r="N1850" s="95">
        <f ca="1">MAX(MAX($N$53:N1849),OFFSET($C$52,MATCH(M1850*1.07,$M$53:$M$2052,1),0)-C1850)</f>
        <v>73440</v>
      </c>
    </row>
    <row r="1851" spans="2:14">
      <c r="B1851" s="95">
        <v>1799</v>
      </c>
      <c r="C1851" s="95">
        <f t="shared" si="139"/>
        <v>647640</v>
      </c>
      <c r="D1851" s="95">
        <f ca="1">_xlfn.XLOOKUP(总览!$B$44,$B$40:$B$45,$C$40:$C$45)</f>
        <v>5</v>
      </c>
      <c r="E1851" s="95">
        <f ca="1" t="shared" si="142"/>
        <v>1829</v>
      </c>
      <c r="F1851" s="95">
        <f ca="1" t="shared" si="140"/>
        <v>0</v>
      </c>
      <c r="G1851" s="95">
        <f ca="1" t="shared" si="141"/>
        <v>0</v>
      </c>
      <c r="H1851" s="95" cm="1">
        <f ca="1" t="array" ref="H1851">MIN(30-SUM(I1851:L1851),_xlfn.XLOOKUP($D1851&amp;"_"&amp;H$52,$B$14:$B$36&amp;"_"&amp;$C$14:$C$36,$D$14:$D$36)*$E1851,18)</f>
        <v>10.8788</v>
      </c>
      <c r="I1851" s="95" cm="1">
        <f ca="1" t="array" ref="I1851">MIN(30-SUM(J1851:L1851),6-L1851,_xlfn.XLOOKUP($D1851&amp;"_"&amp;I$52,$B$14:$B$36&amp;"_"&amp;$C$14:$C$36,$D$14:$D$36)*$E1851)</f>
        <v>0</v>
      </c>
      <c r="J1851" s="95" cm="1">
        <f ca="1" t="array" ref="J1851">MIN(8,_xlfn.XLOOKUP($D1851&amp;"_"&amp;J$52,$B$14:$B$36&amp;"_"&amp;$C$14:$C$36,$D$14:$D$36)*$E1851)</f>
        <v>8</v>
      </c>
      <c r="K1851" s="95" cm="1">
        <f ca="1" t="array" ref="K1851">MIN(18,_xlfn.XLOOKUP($D1851&amp;"_"&amp;K$52,$B$14:$B$36&amp;"_"&amp;$C$14:$C$36,$D$14:$D$36)*$E1851)</f>
        <v>5.1212</v>
      </c>
      <c r="L1851" s="95" cm="1">
        <f ca="1" t="array" ref="L1851">MIN(6,_xlfn.XLOOKUP($D1851&amp;"_"&amp;L$52,$B$14:$B$36&amp;"_"&amp;$C$14:$C$36,$D$14:$D$36)*$E1851)</f>
        <v>6</v>
      </c>
      <c r="M1851" s="95" cm="1">
        <f ca="1" t="array" ref="M1851">(1+SUMPRODUCT(G1851:H1851,OFFSET($H$40:$I$40,D1851,0)))*(1+OFFSET($J$40,D1851,0))^I1851*(1+OFFSET($K$40,D1851,0))^J1851*(1+OFFSET($L$40,D1851,0))^K1851*(1+OFFSET($M$40,D1851,0))^L1851</f>
        <v>393.899752958288</v>
      </c>
      <c r="N1851" s="95">
        <f ca="1">MAX(MAX($N$53:N1850),OFFSET($C$52,MATCH(M1851*1.07,$M$53:$M$2052,1),0)-C1851)</f>
        <v>73440</v>
      </c>
    </row>
    <row r="1852" spans="2:14">
      <c r="B1852" s="95">
        <v>1800</v>
      </c>
      <c r="C1852" s="95">
        <f t="shared" si="139"/>
        <v>648000</v>
      </c>
      <c r="D1852" s="95">
        <f ca="1">_xlfn.XLOOKUP(总览!$B$44,$B$40:$B$45,$C$40:$C$45)</f>
        <v>5</v>
      </c>
      <c r="E1852" s="95">
        <f ca="1" t="shared" si="142"/>
        <v>1830</v>
      </c>
      <c r="F1852" s="95">
        <f ca="1" t="shared" si="140"/>
        <v>0</v>
      </c>
      <c r="G1852" s="95">
        <f ca="1" t="shared" si="141"/>
        <v>0</v>
      </c>
      <c r="H1852" s="95" cm="1">
        <f ca="1" t="array" ref="H1852">MIN(30-SUM(I1852:L1852),_xlfn.XLOOKUP($D1852&amp;"_"&amp;H$52,$B$14:$B$36&amp;"_"&amp;$C$14:$C$36,$D$14:$D$36)*$E1852,18)</f>
        <v>10.876</v>
      </c>
      <c r="I1852" s="95" cm="1">
        <f ca="1" t="array" ref="I1852">MIN(30-SUM(J1852:L1852),6-L1852,_xlfn.XLOOKUP($D1852&amp;"_"&amp;I$52,$B$14:$B$36&amp;"_"&amp;$C$14:$C$36,$D$14:$D$36)*$E1852)</f>
        <v>0</v>
      </c>
      <c r="J1852" s="95" cm="1">
        <f ca="1" t="array" ref="J1852">MIN(8,_xlfn.XLOOKUP($D1852&amp;"_"&amp;J$52,$B$14:$B$36&amp;"_"&amp;$C$14:$C$36,$D$14:$D$36)*$E1852)</f>
        <v>8</v>
      </c>
      <c r="K1852" s="95" cm="1">
        <f ca="1" t="array" ref="K1852">MIN(18,_xlfn.XLOOKUP($D1852&amp;"_"&amp;K$52,$B$14:$B$36&amp;"_"&amp;$C$14:$C$36,$D$14:$D$36)*$E1852)</f>
        <v>5.124</v>
      </c>
      <c r="L1852" s="95" cm="1">
        <f ca="1" t="array" ref="L1852">MIN(6,_xlfn.XLOOKUP($D1852&amp;"_"&amp;L$52,$B$14:$B$36&amp;"_"&amp;$C$14:$C$36,$D$14:$D$36)*$E1852)</f>
        <v>6</v>
      </c>
      <c r="M1852" s="95" cm="1">
        <f ca="1" t="array" ref="M1852">(1+SUMPRODUCT(G1852:H1852,OFFSET($H$40:$I$40,D1852,0)))*(1+OFFSET($J$40,D1852,0))^I1852*(1+OFFSET($K$40,D1852,0))^J1852*(1+OFFSET($L$40,D1852,0))^K1852*(1+OFFSET($M$40,D1852,0))^L1852</f>
        <v>394.031396186155</v>
      </c>
      <c r="N1852" s="95">
        <f ca="1">MAX(MAX($N$53:N1851),OFFSET($C$52,MATCH(M1852*1.07,$M$53:$M$2052,1),0)-C1852)</f>
        <v>73440</v>
      </c>
    </row>
    <row r="1853" spans="2:14">
      <c r="B1853" s="95">
        <v>1801</v>
      </c>
      <c r="C1853" s="95">
        <f t="shared" si="139"/>
        <v>648360</v>
      </c>
      <c r="D1853" s="95">
        <f ca="1">_xlfn.XLOOKUP(总览!$B$44,$B$40:$B$45,$C$40:$C$45)</f>
        <v>5</v>
      </c>
      <c r="E1853" s="95">
        <f ca="1" t="shared" si="142"/>
        <v>1831</v>
      </c>
      <c r="F1853" s="95">
        <f ca="1" t="shared" si="140"/>
        <v>0</v>
      </c>
      <c r="G1853" s="95">
        <f ca="1" t="shared" si="141"/>
        <v>0</v>
      </c>
      <c r="H1853" s="95" cm="1">
        <f ca="1" t="array" ref="H1853">MIN(30-SUM(I1853:L1853),_xlfn.XLOOKUP($D1853&amp;"_"&amp;H$52,$B$14:$B$36&amp;"_"&amp;$C$14:$C$36,$D$14:$D$36)*$E1853,18)</f>
        <v>10.8732</v>
      </c>
      <c r="I1853" s="95" cm="1">
        <f ca="1" t="array" ref="I1853">MIN(30-SUM(J1853:L1853),6-L1853,_xlfn.XLOOKUP($D1853&amp;"_"&amp;I$52,$B$14:$B$36&amp;"_"&amp;$C$14:$C$36,$D$14:$D$36)*$E1853)</f>
        <v>0</v>
      </c>
      <c r="J1853" s="95" cm="1">
        <f ca="1" t="array" ref="J1853">MIN(8,_xlfn.XLOOKUP($D1853&amp;"_"&amp;J$52,$B$14:$B$36&amp;"_"&amp;$C$14:$C$36,$D$14:$D$36)*$E1853)</f>
        <v>8</v>
      </c>
      <c r="K1853" s="95" cm="1">
        <f ca="1" t="array" ref="K1853">MIN(18,_xlfn.XLOOKUP($D1853&amp;"_"&amp;K$52,$B$14:$B$36&amp;"_"&amp;$C$14:$C$36,$D$14:$D$36)*$E1853)</f>
        <v>5.1268</v>
      </c>
      <c r="L1853" s="95" cm="1">
        <f ca="1" t="array" ref="L1853">MIN(6,_xlfn.XLOOKUP($D1853&amp;"_"&amp;L$52,$B$14:$B$36&amp;"_"&amp;$C$14:$C$36,$D$14:$D$36)*$E1853)</f>
        <v>6</v>
      </c>
      <c r="M1853" s="95" cm="1">
        <f ca="1" t="array" ref="M1853">(1+SUMPRODUCT(G1853:H1853,OFFSET($H$40:$I$40,D1853,0)))*(1+OFFSET($J$40,D1853,0))^I1853*(1+OFFSET($K$40,D1853,0))^J1853*(1+OFFSET($L$40,D1853,0))^K1853*(1+OFFSET($M$40,D1853,0))^L1853</f>
        <v>394.163071149287</v>
      </c>
      <c r="N1853" s="95">
        <f ca="1">MAX(MAX($N$53:N1852),OFFSET($C$52,MATCH(M1853*1.07,$M$53:$M$2052,1),0)-C1853)</f>
        <v>73440</v>
      </c>
    </row>
    <row r="1854" spans="2:14">
      <c r="B1854" s="95">
        <v>1802</v>
      </c>
      <c r="C1854" s="95">
        <f t="shared" si="139"/>
        <v>648720</v>
      </c>
      <c r="D1854" s="95">
        <f ca="1">_xlfn.XLOOKUP(总览!$B$44,$B$40:$B$45,$C$40:$C$45)</f>
        <v>5</v>
      </c>
      <c r="E1854" s="95">
        <f ca="1" t="shared" si="142"/>
        <v>1832</v>
      </c>
      <c r="F1854" s="95">
        <f ca="1" t="shared" si="140"/>
        <v>0</v>
      </c>
      <c r="G1854" s="95">
        <f ca="1" t="shared" si="141"/>
        <v>0</v>
      </c>
      <c r="H1854" s="95" cm="1">
        <f ca="1" t="array" ref="H1854">MIN(30-SUM(I1854:L1854),_xlfn.XLOOKUP($D1854&amp;"_"&amp;H$52,$B$14:$B$36&amp;"_"&amp;$C$14:$C$36,$D$14:$D$36)*$E1854,18)</f>
        <v>10.8704</v>
      </c>
      <c r="I1854" s="95" cm="1">
        <f ca="1" t="array" ref="I1854">MIN(30-SUM(J1854:L1854),6-L1854,_xlfn.XLOOKUP($D1854&amp;"_"&amp;I$52,$B$14:$B$36&amp;"_"&amp;$C$14:$C$36,$D$14:$D$36)*$E1854)</f>
        <v>0</v>
      </c>
      <c r="J1854" s="95" cm="1">
        <f ca="1" t="array" ref="J1854">MIN(8,_xlfn.XLOOKUP($D1854&amp;"_"&amp;J$52,$B$14:$B$36&amp;"_"&amp;$C$14:$C$36,$D$14:$D$36)*$E1854)</f>
        <v>8</v>
      </c>
      <c r="K1854" s="95" cm="1">
        <f ca="1" t="array" ref="K1854">MIN(18,_xlfn.XLOOKUP($D1854&amp;"_"&amp;K$52,$B$14:$B$36&amp;"_"&amp;$C$14:$C$36,$D$14:$D$36)*$E1854)</f>
        <v>5.1296</v>
      </c>
      <c r="L1854" s="95" cm="1">
        <f ca="1" t="array" ref="L1854">MIN(6,_xlfn.XLOOKUP($D1854&amp;"_"&amp;L$52,$B$14:$B$36&amp;"_"&amp;$C$14:$C$36,$D$14:$D$36)*$E1854)</f>
        <v>6</v>
      </c>
      <c r="M1854" s="95" cm="1">
        <f ca="1" t="array" ref="M1854">(1+SUMPRODUCT(G1854:H1854,OFFSET($H$40:$I$40,D1854,0)))*(1+OFFSET($J$40,D1854,0))^I1854*(1+OFFSET($K$40,D1854,0))^J1854*(1+OFFSET($L$40,D1854,0))^K1854*(1+OFFSET($M$40,D1854,0))^L1854</f>
        <v>394.29477784577</v>
      </c>
      <c r="N1854" s="95">
        <f ca="1">MAX(MAX($N$53:N1853),OFFSET($C$52,MATCH(M1854*1.07,$M$53:$M$2052,1),0)-C1854)</f>
        <v>73440</v>
      </c>
    </row>
    <row r="1855" spans="2:14">
      <c r="B1855" s="95">
        <v>1803</v>
      </c>
      <c r="C1855" s="95">
        <f t="shared" si="139"/>
        <v>649080</v>
      </c>
      <c r="D1855" s="95">
        <f ca="1">_xlfn.XLOOKUP(总览!$B$44,$B$40:$B$45,$C$40:$C$45)</f>
        <v>5</v>
      </c>
      <c r="E1855" s="95">
        <f ca="1" t="shared" si="142"/>
        <v>1833</v>
      </c>
      <c r="F1855" s="95">
        <f ca="1" t="shared" si="140"/>
        <v>0</v>
      </c>
      <c r="G1855" s="95">
        <f ca="1" t="shared" si="141"/>
        <v>0</v>
      </c>
      <c r="H1855" s="95" cm="1">
        <f ca="1" t="array" ref="H1855">MIN(30-SUM(I1855:L1855),_xlfn.XLOOKUP($D1855&amp;"_"&amp;H$52,$B$14:$B$36&amp;"_"&amp;$C$14:$C$36,$D$14:$D$36)*$E1855,18)</f>
        <v>10.8676</v>
      </c>
      <c r="I1855" s="95" cm="1">
        <f ca="1" t="array" ref="I1855">MIN(30-SUM(J1855:L1855),6-L1855,_xlfn.XLOOKUP($D1855&amp;"_"&amp;I$52,$B$14:$B$36&amp;"_"&amp;$C$14:$C$36,$D$14:$D$36)*$E1855)</f>
        <v>0</v>
      </c>
      <c r="J1855" s="95" cm="1">
        <f ca="1" t="array" ref="J1855">MIN(8,_xlfn.XLOOKUP($D1855&amp;"_"&amp;J$52,$B$14:$B$36&amp;"_"&amp;$C$14:$C$36,$D$14:$D$36)*$E1855)</f>
        <v>8</v>
      </c>
      <c r="K1855" s="95" cm="1">
        <f ca="1" t="array" ref="K1855">MIN(18,_xlfn.XLOOKUP($D1855&amp;"_"&amp;K$52,$B$14:$B$36&amp;"_"&amp;$C$14:$C$36,$D$14:$D$36)*$E1855)</f>
        <v>5.1324</v>
      </c>
      <c r="L1855" s="95" cm="1">
        <f ca="1" t="array" ref="L1855">MIN(6,_xlfn.XLOOKUP($D1855&amp;"_"&amp;L$52,$B$14:$B$36&amp;"_"&amp;$C$14:$C$36,$D$14:$D$36)*$E1855)</f>
        <v>6</v>
      </c>
      <c r="M1855" s="95" cm="1">
        <f ca="1" t="array" ref="M1855">(1+SUMPRODUCT(G1855:H1855,OFFSET($H$40:$I$40,D1855,0)))*(1+OFFSET($J$40,D1855,0))^I1855*(1+OFFSET($K$40,D1855,0))^J1855*(1+OFFSET($L$40,D1855,0))^K1855*(1+OFFSET($M$40,D1855,0))^L1855</f>
        <v>394.426516273677</v>
      </c>
      <c r="N1855" s="95">
        <f ca="1">MAX(MAX($N$53:N1854),OFFSET($C$52,MATCH(M1855*1.07,$M$53:$M$2052,1),0)-C1855)</f>
        <v>73440</v>
      </c>
    </row>
    <row r="1856" spans="2:14">
      <c r="B1856" s="95">
        <v>1804</v>
      </c>
      <c r="C1856" s="95">
        <f t="shared" si="139"/>
        <v>649440</v>
      </c>
      <c r="D1856" s="95">
        <f ca="1">_xlfn.XLOOKUP(总览!$B$44,$B$40:$B$45,$C$40:$C$45)</f>
        <v>5</v>
      </c>
      <c r="E1856" s="95">
        <f ca="1" t="shared" si="142"/>
        <v>1834</v>
      </c>
      <c r="F1856" s="95">
        <f ca="1" t="shared" si="140"/>
        <v>0</v>
      </c>
      <c r="G1856" s="95">
        <f ca="1" t="shared" si="141"/>
        <v>0</v>
      </c>
      <c r="H1856" s="95" cm="1">
        <f ca="1" t="array" ref="H1856">MIN(30-SUM(I1856:L1856),_xlfn.XLOOKUP($D1856&amp;"_"&amp;H$52,$B$14:$B$36&amp;"_"&amp;$C$14:$C$36,$D$14:$D$36)*$E1856,18)</f>
        <v>10.8648</v>
      </c>
      <c r="I1856" s="95" cm="1">
        <f ca="1" t="array" ref="I1856">MIN(30-SUM(J1856:L1856),6-L1856,_xlfn.XLOOKUP($D1856&amp;"_"&amp;I$52,$B$14:$B$36&amp;"_"&amp;$C$14:$C$36,$D$14:$D$36)*$E1856)</f>
        <v>0</v>
      </c>
      <c r="J1856" s="95" cm="1">
        <f ca="1" t="array" ref="J1856">MIN(8,_xlfn.XLOOKUP($D1856&amp;"_"&amp;J$52,$B$14:$B$36&amp;"_"&amp;$C$14:$C$36,$D$14:$D$36)*$E1856)</f>
        <v>8</v>
      </c>
      <c r="K1856" s="95" cm="1">
        <f ca="1" t="array" ref="K1856">MIN(18,_xlfn.XLOOKUP($D1856&amp;"_"&amp;K$52,$B$14:$B$36&amp;"_"&amp;$C$14:$C$36,$D$14:$D$36)*$E1856)</f>
        <v>5.1352</v>
      </c>
      <c r="L1856" s="95" cm="1">
        <f ca="1" t="array" ref="L1856">MIN(6,_xlfn.XLOOKUP($D1856&amp;"_"&amp;L$52,$B$14:$B$36&amp;"_"&amp;$C$14:$C$36,$D$14:$D$36)*$E1856)</f>
        <v>6</v>
      </c>
      <c r="M1856" s="95" cm="1">
        <f ca="1" t="array" ref="M1856">(1+SUMPRODUCT(G1856:H1856,OFFSET($H$40:$I$40,D1856,0)))*(1+OFFSET($J$40,D1856,0))^I1856*(1+OFFSET($K$40,D1856,0))^J1856*(1+OFFSET($L$40,D1856,0))^K1856*(1+OFFSET($M$40,D1856,0))^L1856</f>
        <v>394.558286431074</v>
      </c>
      <c r="N1856" s="95">
        <f ca="1">MAX(MAX($N$53:N1855),OFFSET($C$52,MATCH(M1856*1.07,$M$53:$M$2052,1),0)-C1856)</f>
        <v>73440</v>
      </c>
    </row>
    <row r="1857" spans="2:14">
      <c r="B1857" s="95">
        <v>1805</v>
      </c>
      <c r="C1857" s="95">
        <f t="shared" si="139"/>
        <v>649800</v>
      </c>
      <c r="D1857" s="95">
        <f ca="1">_xlfn.XLOOKUP(总览!$B$44,$B$40:$B$45,$C$40:$C$45)</f>
        <v>5</v>
      </c>
      <c r="E1857" s="95">
        <f ca="1" t="shared" si="142"/>
        <v>1835</v>
      </c>
      <c r="F1857" s="95">
        <f ca="1" t="shared" si="140"/>
        <v>0</v>
      </c>
      <c r="G1857" s="95">
        <f ca="1" t="shared" si="141"/>
        <v>0</v>
      </c>
      <c r="H1857" s="95" cm="1">
        <f ca="1" t="array" ref="H1857">MIN(30-SUM(I1857:L1857),_xlfn.XLOOKUP($D1857&amp;"_"&amp;H$52,$B$14:$B$36&amp;"_"&amp;$C$14:$C$36,$D$14:$D$36)*$E1857,18)</f>
        <v>10.862</v>
      </c>
      <c r="I1857" s="95" cm="1">
        <f ca="1" t="array" ref="I1857">MIN(30-SUM(J1857:L1857),6-L1857,_xlfn.XLOOKUP($D1857&amp;"_"&amp;I$52,$B$14:$B$36&amp;"_"&amp;$C$14:$C$36,$D$14:$D$36)*$E1857)</f>
        <v>0</v>
      </c>
      <c r="J1857" s="95" cm="1">
        <f ca="1" t="array" ref="J1857">MIN(8,_xlfn.XLOOKUP($D1857&amp;"_"&amp;J$52,$B$14:$B$36&amp;"_"&amp;$C$14:$C$36,$D$14:$D$36)*$E1857)</f>
        <v>8</v>
      </c>
      <c r="K1857" s="95" cm="1">
        <f ca="1" t="array" ref="K1857">MIN(18,_xlfn.XLOOKUP($D1857&amp;"_"&amp;K$52,$B$14:$B$36&amp;"_"&amp;$C$14:$C$36,$D$14:$D$36)*$E1857)</f>
        <v>5.138</v>
      </c>
      <c r="L1857" s="95" cm="1">
        <f ca="1" t="array" ref="L1857">MIN(6,_xlfn.XLOOKUP($D1857&amp;"_"&amp;L$52,$B$14:$B$36&amp;"_"&amp;$C$14:$C$36,$D$14:$D$36)*$E1857)</f>
        <v>6</v>
      </c>
      <c r="M1857" s="95" cm="1">
        <f ca="1" t="array" ref="M1857">(1+SUMPRODUCT(G1857:H1857,OFFSET($H$40:$I$40,D1857,0)))*(1+OFFSET($J$40,D1857,0))^I1857*(1+OFFSET($K$40,D1857,0))^J1857*(1+OFFSET($L$40,D1857,0))^K1857*(1+OFFSET($M$40,D1857,0))^L1857</f>
        <v>394.690088316014</v>
      </c>
      <c r="N1857" s="95">
        <f ca="1">MAX(MAX($N$53:N1856),OFFSET($C$52,MATCH(M1857*1.07,$M$53:$M$2052,1),0)-C1857)</f>
        <v>73440</v>
      </c>
    </row>
    <row r="1858" spans="2:14">
      <c r="B1858" s="95">
        <v>1806</v>
      </c>
      <c r="C1858" s="95">
        <f t="shared" si="139"/>
        <v>650160</v>
      </c>
      <c r="D1858" s="95">
        <f ca="1">_xlfn.XLOOKUP(总览!$B$44,$B$40:$B$45,$C$40:$C$45)</f>
        <v>5</v>
      </c>
      <c r="E1858" s="95">
        <f ca="1" t="shared" si="142"/>
        <v>1836</v>
      </c>
      <c r="F1858" s="95">
        <f ca="1" t="shared" si="140"/>
        <v>0</v>
      </c>
      <c r="G1858" s="95">
        <f ca="1" t="shared" si="141"/>
        <v>0</v>
      </c>
      <c r="H1858" s="95" cm="1">
        <f ca="1" t="array" ref="H1858">MIN(30-SUM(I1858:L1858),_xlfn.XLOOKUP($D1858&amp;"_"&amp;H$52,$B$14:$B$36&amp;"_"&amp;$C$14:$C$36,$D$14:$D$36)*$E1858,18)</f>
        <v>10.8592</v>
      </c>
      <c r="I1858" s="95" cm="1">
        <f ca="1" t="array" ref="I1858">MIN(30-SUM(J1858:L1858),6-L1858,_xlfn.XLOOKUP($D1858&amp;"_"&amp;I$52,$B$14:$B$36&amp;"_"&amp;$C$14:$C$36,$D$14:$D$36)*$E1858)</f>
        <v>0</v>
      </c>
      <c r="J1858" s="95" cm="1">
        <f ca="1" t="array" ref="J1858">MIN(8,_xlfn.XLOOKUP($D1858&amp;"_"&amp;J$52,$B$14:$B$36&amp;"_"&amp;$C$14:$C$36,$D$14:$D$36)*$E1858)</f>
        <v>8</v>
      </c>
      <c r="K1858" s="95" cm="1">
        <f ca="1" t="array" ref="K1858">MIN(18,_xlfn.XLOOKUP($D1858&amp;"_"&amp;K$52,$B$14:$B$36&amp;"_"&amp;$C$14:$C$36,$D$14:$D$36)*$E1858)</f>
        <v>5.1408</v>
      </c>
      <c r="L1858" s="95" cm="1">
        <f ca="1" t="array" ref="L1858">MIN(6,_xlfn.XLOOKUP($D1858&amp;"_"&amp;L$52,$B$14:$B$36&amp;"_"&amp;$C$14:$C$36,$D$14:$D$36)*$E1858)</f>
        <v>6</v>
      </c>
      <c r="M1858" s="95" cm="1">
        <f ca="1" t="array" ref="M1858">(1+SUMPRODUCT(G1858:H1858,OFFSET($H$40:$I$40,D1858,0)))*(1+OFFSET($J$40,D1858,0))^I1858*(1+OFFSET($K$40,D1858,0))^J1858*(1+OFFSET($L$40,D1858,0))^K1858*(1+OFFSET($M$40,D1858,0))^L1858</f>
        <v>394.821921926542</v>
      </c>
      <c r="N1858" s="95">
        <f ca="1">MAX(MAX($N$53:N1857),OFFSET($C$52,MATCH(M1858*1.07,$M$53:$M$2052,1),0)-C1858)</f>
        <v>73440</v>
      </c>
    </row>
    <row r="1859" spans="2:14">
      <c r="B1859" s="95">
        <v>1807</v>
      </c>
      <c r="C1859" s="95">
        <f t="shared" si="139"/>
        <v>650520</v>
      </c>
      <c r="D1859" s="95">
        <f ca="1">_xlfn.XLOOKUP(总览!$B$44,$B$40:$B$45,$C$40:$C$45)</f>
        <v>5</v>
      </c>
      <c r="E1859" s="95">
        <f ca="1" t="shared" si="142"/>
        <v>1837</v>
      </c>
      <c r="F1859" s="95">
        <f ca="1" t="shared" si="140"/>
        <v>0</v>
      </c>
      <c r="G1859" s="95">
        <f ca="1" t="shared" si="141"/>
        <v>0</v>
      </c>
      <c r="H1859" s="95" cm="1">
        <f ca="1" t="array" ref="H1859">MIN(30-SUM(I1859:L1859),_xlfn.XLOOKUP($D1859&amp;"_"&amp;H$52,$B$14:$B$36&amp;"_"&amp;$C$14:$C$36,$D$14:$D$36)*$E1859,18)</f>
        <v>10.8564</v>
      </c>
      <c r="I1859" s="95" cm="1">
        <f ca="1" t="array" ref="I1859">MIN(30-SUM(J1859:L1859),6-L1859,_xlfn.XLOOKUP($D1859&amp;"_"&amp;I$52,$B$14:$B$36&amp;"_"&amp;$C$14:$C$36,$D$14:$D$36)*$E1859)</f>
        <v>0</v>
      </c>
      <c r="J1859" s="95" cm="1">
        <f ca="1" t="array" ref="J1859">MIN(8,_xlfn.XLOOKUP($D1859&amp;"_"&amp;J$52,$B$14:$B$36&amp;"_"&amp;$C$14:$C$36,$D$14:$D$36)*$E1859)</f>
        <v>8</v>
      </c>
      <c r="K1859" s="95" cm="1">
        <f ca="1" t="array" ref="K1859">MIN(18,_xlfn.XLOOKUP($D1859&amp;"_"&amp;K$52,$B$14:$B$36&amp;"_"&amp;$C$14:$C$36,$D$14:$D$36)*$E1859)</f>
        <v>5.1436</v>
      </c>
      <c r="L1859" s="95" cm="1">
        <f ca="1" t="array" ref="L1859">MIN(6,_xlfn.XLOOKUP($D1859&amp;"_"&amp;L$52,$B$14:$B$36&amp;"_"&amp;$C$14:$C$36,$D$14:$D$36)*$E1859)</f>
        <v>6</v>
      </c>
      <c r="M1859" s="95" cm="1">
        <f ca="1" t="array" ref="M1859">(1+SUMPRODUCT(G1859:H1859,OFFSET($H$40:$I$40,D1859,0)))*(1+OFFSET($J$40,D1859,0))^I1859*(1+OFFSET($K$40,D1859,0))^J1859*(1+OFFSET($L$40,D1859,0))^K1859*(1+OFFSET($M$40,D1859,0))^L1859</f>
        <v>394.95378726069</v>
      </c>
      <c r="N1859" s="95">
        <f ca="1">MAX(MAX($N$53:N1858),OFFSET($C$52,MATCH(M1859*1.07,$M$53:$M$2052,1),0)-C1859)</f>
        <v>73440</v>
      </c>
    </row>
    <row r="1860" spans="2:14">
      <c r="B1860" s="95">
        <v>1808</v>
      </c>
      <c r="C1860" s="95">
        <f t="shared" si="139"/>
        <v>650880</v>
      </c>
      <c r="D1860" s="95">
        <f ca="1">_xlfn.XLOOKUP(总览!$B$44,$B$40:$B$45,$C$40:$C$45)</f>
        <v>5</v>
      </c>
      <c r="E1860" s="95">
        <f ca="1" t="shared" si="142"/>
        <v>1838</v>
      </c>
      <c r="F1860" s="95">
        <f ca="1" t="shared" si="140"/>
        <v>0</v>
      </c>
      <c r="G1860" s="95">
        <f ca="1" t="shared" si="141"/>
        <v>0</v>
      </c>
      <c r="H1860" s="95" cm="1">
        <f ca="1" t="array" ref="H1860">MIN(30-SUM(I1860:L1860),_xlfn.XLOOKUP($D1860&amp;"_"&amp;H$52,$B$14:$B$36&amp;"_"&amp;$C$14:$C$36,$D$14:$D$36)*$E1860,18)</f>
        <v>10.8536</v>
      </c>
      <c r="I1860" s="95" cm="1">
        <f ca="1" t="array" ref="I1860">MIN(30-SUM(J1860:L1860),6-L1860,_xlfn.XLOOKUP($D1860&amp;"_"&amp;I$52,$B$14:$B$36&amp;"_"&amp;$C$14:$C$36,$D$14:$D$36)*$E1860)</f>
        <v>0</v>
      </c>
      <c r="J1860" s="95" cm="1">
        <f ca="1" t="array" ref="J1860">MIN(8,_xlfn.XLOOKUP($D1860&amp;"_"&amp;J$52,$B$14:$B$36&amp;"_"&amp;$C$14:$C$36,$D$14:$D$36)*$E1860)</f>
        <v>8</v>
      </c>
      <c r="K1860" s="95" cm="1">
        <f ca="1" t="array" ref="K1860">MIN(18,_xlfn.XLOOKUP($D1860&amp;"_"&amp;K$52,$B$14:$B$36&amp;"_"&amp;$C$14:$C$36,$D$14:$D$36)*$E1860)</f>
        <v>5.1464</v>
      </c>
      <c r="L1860" s="95" cm="1">
        <f ca="1" t="array" ref="L1860">MIN(6,_xlfn.XLOOKUP($D1860&amp;"_"&amp;L$52,$B$14:$B$36&amp;"_"&amp;$C$14:$C$36,$D$14:$D$36)*$E1860)</f>
        <v>6</v>
      </c>
      <c r="M1860" s="95" cm="1">
        <f ca="1" t="array" ref="M1860">(1+SUMPRODUCT(G1860:H1860,OFFSET($H$40:$I$40,D1860,0)))*(1+OFFSET($J$40,D1860,0))^I1860*(1+OFFSET($K$40,D1860,0))^J1860*(1+OFFSET($L$40,D1860,0))^K1860*(1+OFFSET($M$40,D1860,0))^L1860</f>
        <v>395.085684316483</v>
      </c>
      <c r="N1860" s="95">
        <f ca="1">MAX(MAX($N$53:N1859),OFFSET($C$52,MATCH(M1860*1.07,$M$53:$M$2052,1),0)-C1860)</f>
        <v>73440</v>
      </c>
    </row>
    <row r="1861" spans="2:14">
      <c r="B1861" s="95">
        <v>1809</v>
      </c>
      <c r="C1861" s="95">
        <f t="shared" si="139"/>
        <v>651240</v>
      </c>
      <c r="D1861" s="95">
        <f ca="1">_xlfn.XLOOKUP(总览!$B$44,$B$40:$B$45,$C$40:$C$45)</f>
        <v>5</v>
      </c>
      <c r="E1861" s="95">
        <f ca="1" t="shared" si="142"/>
        <v>1839</v>
      </c>
      <c r="F1861" s="95">
        <f ca="1" t="shared" si="140"/>
        <v>0</v>
      </c>
      <c r="G1861" s="95">
        <f ca="1" t="shared" si="141"/>
        <v>0</v>
      </c>
      <c r="H1861" s="95" cm="1">
        <f ca="1" t="array" ref="H1861">MIN(30-SUM(I1861:L1861),_xlfn.XLOOKUP($D1861&amp;"_"&amp;H$52,$B$14:$B$36&amp;"_"&amp;$C$14:$C$36,$D$14:$D$36)*$E1861,18)</f>
        <v>10.8508</v>
      </c>
      <c r="I1861" s="95" cm="1">
        <f ca="1" t="array" ref="I1861">MIN(30-SUM(J1861:L1861),6-L1861,_xlfn.XLOOKUP($D1861&amp;"_"&amp;I$52,$B$14:$B$36&amp;"_"&amp;$C$14:$C$36,$D$14:$D$36)*$E1861)</f>
        <v>0</v>
      </c>
      <c r="J1861" s="95" cm="1">
        <f ca="1" t="array" ref="J1861">MIN(8,_xlfn.XLOOKUP($D1861&amp;"_"&amp;J$52,$B$14:$B$36&amp;"_"&amp;$C$14:$C$36,$D$14:$D$36)*$E1861)</f>
        <v>8</v>
      </c>
      <c r="K1861" s="95" cm="1">
        <f ca="1" t="array" ref="K1861">MIN(18,_xlfn.XLOOKUP($D1861&amp;"_"&amp;K$52,$B$14:$B$36&amp;"_"&amp;$C$14:$C$36,$D$14:$D$36)*$E1861)</f>
        <v>5.1492</v>
      </c>
      <c r="L1861" s="95" cm="1">
        <f ca="1" t="array" ref="L1861">MIN(6,_xlfn.XLOOKUP($D1861&amp;"_"&amp;L$52,$B$14:$B$36&amp;"_"&amp;$C$14:$C$36,$D$14:$D$36)*$E1861)</f>
        <v>6</v>
      </c>
      <c r="M1861" s="95" cm="1">
        <f ca="1" t="array" ref="M1861">(1+SUMPRODUCT(G1861:H1861,OFFSET($H$40:$I$40,D1861,0)))*(1+OFFSET($J$40,D1861,0))^I1861*(1+OFFSET($K$40,D1861,0))^J1861*(1+OFFSET($L$40,D1861,0))^K1861*(1+OFFSET($M$40,D1861,0))^L1861</f>
        <v>395.217613091933</v>
      </c>
      <c r="N1861" s="95">
        <f ca="1">MAX(MAX($N$53:N1860),OFFSET($C$52,MATCH(M1861*1.07,$M$53:$M$2052,1),0)-C1861)</f>
        <v>73440</v>
      </c>
    </row>
    <row r="1862" spans="2:14">
      <c r="B1862" s="95">
        <v>1810</v>
      </c>
      <c r="C1862" s="95">
        <f t="shared" si="139"/>
        <v>651600</v>
      </c>
      <c r="D1862" s="95">
        <f ca="1">_xlfn.XLOOKUP(总览!$B$44,$B$40:$B$45,$C$40:$C$45)</f>
        <v>5</v>
      </c>
      <c r="E1862" s="95">
        <f ca="1" t="shared" si="142"/>
        <v>1840</v>
      </c>
      <c r="F1862" s="95">
        <f ca="1" t="shared" si="140"/>
        <v>0</v>
      </c>
      <c r="G1862" s="95">
        <f ca="1" t="shared" si="141"/>
        <v>0</v>
      </c>
      <c r="H1862" s="95" cm="1">
        <f ca="1" t="array" ref="H1862">MIN(30-SUM(I1862:L1862),_xlfn.XLOOKUP($D1862&amp;"_"&amp;H$52,$B$14:$B$36&amp;"_"&amp;$C$14:$C$36,$D$14:$D$36)*$E1862,18)</f>
        <v>10.848</v>
      </c>
      <c r="I1862" s="95" cm="1">
        <f ca="1" t="array" ref="I1862">MIN(30-SUM(J1862:L1862),6-L1862,_xlfn.XLOOKUP($D1862&amp;"_"&amp;I$52,$B$14:$B$36&amp;"_"&amp;$C$14:$C$36,$D$14:$D$36)*$E1862)</f>
        <v>0</v>
      </c>
      <c r="J1862" s="95" cm="1">
        <f ca="1" t="array" ref="J1862">MIN(8,_xlfn.XLOOKUP($D1862&amp;"_"&amp;J$52,$B$14:$B$36&amp;"_"&amp;$C$14:$C$36,$D$14:$D$36)*$E1862)</f>
        <v>8</v>
      </c>
      <c r="K1862" s="95" cm="1">
        <f ca="1" t="array" ref="K1862">MIN(18,_xlfn.XLOOKUP($D1862&amp;"_"&amp;K$52,$B$14:$B$36&amp;"_"&amp;$C$14:$C$36,$D$14:$D$36)*$E1862)</f>
        <v>5.152</v>
      </c>
      <c r="L1862" s="95" cm="1">
        <f ca="1" t="array" ref="L1862">MIN(6,_xlfn.XLOOKUP($D1862&amp;"_"&amp;L$52,$B$14:$B$36&amp;"_"&amp;$C$14:$C$36,$D$14:$D$36)*$E1862)</f>
        <v>6</v>
      </c>
      <c r="M1862" s="95" cm="1">
        <f ca="1" t="array" ref="M1862">(1+SUMPRODUCT(G1862:H1862,OFFSET($H$40:$I$40,D1862,0)))*(1+OFFSET($J$40,D1862,0))^I1862*(1+OFFSET($K$40,D1862,0))^J1862*(1+OFFSET($L$40,D1862,0))^K1862*(1+OFFSET($M$40,D1862,0))^L1862</f>
        <v>395.349573585043</v>
      </c>
      <c r="N1862" s="95">
        <f ca="1">MAX(MAX($N$53:N1861),OFFSET($C$52,MATCH(M1862*1.07,$M$53:$M$2052,1),0)-C1862)</f>
        <v>73440</v>
      </c>
    </row>
    <row r="1863" spans="2:14">
      <c r="B1863" s="95">
        <v>1811</v>
      </c>
      <c r="C1863" s="95">
        <f t="shared" si="139"/>
        <v>651960</v>
      </c>
      <c r="D1863" s="95">
        <f ca="1">_xlfn.XLOOKUP(总览!$B$44,$B$40:$B$45,$C$40:$C$45)</f>
        <v>5</v>
      </c>
      <c r="E1863" s="95">
        <f ca="1" t="shared" si="142"/>
        <v>1841</v>
      </c>
      <c r="F1863" s="95">
        <f ca="1" t="shared" si="140"/>
        <v>0</v>
      </c>
      <c r="G1863" s="95">
        <f ca="1" t="shared" si="141"/>
        <v>0</v>
      </c>
      <c r="H1863" s="95" cm="1">
        <f ca="1" t="array" ref="H1863">MIN(30-SUM(I1863:L1863),_xlfn.XLOOKUP($D1863&amp;"_"&amp;H$52,$B$14:$B$36&amp;"_"&amp;$C$14:$C$36,$D$14:$D$36)*$E1863,18)</f>
        <v>10.8452</v>
      </c>
      <c r="I1863" s="95" cm="1">
        <f ca="1" t="array" ref="I1863">MIN(30-SUM(J1863:L1863),6-L1863,_xlfn.XLOOKUP($D1863&amp;"_"&amp;I$52,$B$14:$B$36&amp;"_"&amp;$C$14:$C$36,$D$14:$D$36)*$E1863)</f>
        <v>0</v>
      </c>
      <c r="J1863" s="95" cm="1">
        <f ca="1" t="array" ref="J1863">MIN(8,_xlfn.XLOOKUP($D1863&amp;"_"&amp;J$52,$B$14:$B$36&amp;"_"&amp;$C$14:$C$36,$D$14:$D$36)*$E1863)</f>
        <v>8</v>
      </c>
      <c r="K1863" s="95" cm="1">
        <f ca="1" t="array" ref="K1863">MIN(18,_xlfn.XLOOKUP($D1863&amp;"_"&amp;K$52,$B$14:$B$36&amp;"_"&amp;$C$14:$C$36,$D$14:$D$36)*$E1863)</f>
        <v>5.1548</v>
      </c>
      <c r="L1863" s="95" cm="1">
        <f ca="1" t="array" ref="L1863">MIN(6,_xlfn.XLOOKUP($D1863&amp;"_"&amp;L$52,$B$14:$B$36&amp;"_"&amp;$C$14:$C$36,$D$14:$D$36)*$E1863)</f>
        <v>6</v>
      </c>
      <c r="M1863" s="95" cm="1">
        <f ca="1" t="array" ref="M1863">(1+SUMPRODUCT(G1863:H1863,OFFSET($H$40:$I$40,D1863,0)))*(1+OFFSET($J$40,D1863,0))^I1863*(1+OFFSET($K$40,D1863,0))^J1863*(1+OFFSET($L$40,D1863,0))^K1863*(1+OFFSET($M$40,D1863,0))^L1863</f>
        <v>395.481565793805</v>
      </c>
      <c r="N1863" s="95">
        <f ca="1">MAX(MAX($N$53:N1862),OFFSET($C$52,MATCH(M1863*1.07,$M$53:$M$2052,1),0)-C1863)</f>
        <v>73440</v>
      </c>
    </row>
    <row r="1864" spans="2:14">
      <c r="B1864" s="95">
        <v>1812</v>
      </c>
      <c r="C1864" s="95">
        <f t="shared" si="139"/>
        <v>652320</v>
      </c>
      <c r="D1864" s="95">
        <f ca="1">_xlfn.XLOOKUP(总览!$B$44,$B$40:$B$45,$C$40:$C$45)</f>
        <v>5</v>
      </c>
      <c r="E1864" s="95">
        <f ca="1" t="shared" si="142"/>
        <v>1842</v>
      </c>
      <c r="F1864" s="95">
        <f ca="1" t="shared" si="140"/>
        <v>0</v>
      </c>
      <c r="G1864" s="95">
        <f ca="1" t="shared" si="141"/>
        <v>0</v>
      </c>
      <c r="H1864" s="95" cm="1">
        <f ca="1" t="array" ref="H1864">MIN(30-SUM(I1864:L1864),_xlfn.XLOOKUP($D1864&amp;"_"&amp;H$52,$B$14:$B$36&amp;"_"&amp;$C$14:$C$36,$D$14:$D$36)*$E1864,18)</f>
        <v>10.8424</v>
      </c>
      <c r="I1864" s="95" cm="1">
        <f ca="1" t="array" ref="I1864">MIN(30-SUM(J1864:L1864),6-L1864,_xlfn.XLOOKUP($D1864&amp;"_"&amp;I$52,$B$14:$B$36&amp;"_"&amp;$C$14:$C$36,$D$14:$D$36)*$E1864)</f>
        <v>0</v>
      </c>
      <c r="J1864" s="95" cm="1">
        <f ca="1" t="array" ref="J1864">MIN(8,_xlfn.XLOOKUP($D1864&amp;"_"&amp;J$52,$B$14:$B$36&amp;"_"&amp;$C$14:$C$36,$D$14:$D$36)*$E1864)</f>
        <v>8</v>
      </c>
      <c r="K1864" s="95" cm="1">
        <f ca="1" t="array" ref="K1864">MIN(18,_xlfn.XLOOKUP($D1864&amp;"_"&amp;K$52,$B$14:$B$36&amp;"_"&amp;$C$14:$C$36,$D$14:$D$36)*$E1864)</f>
        <v>5.1576</v>
      </c>
      <c r="L1864" s="95" cm="1">
        <f ca="1" t="array" ref="L1864">MIN(6,_xlfn.XLOOKUP($D1864&amp;"_"&amp;L$52,$B$14:$B$36&amp;"_"&amp;$C$14:$C$36,$D$14:$D$36)*$E1864)</f>
        <v>6</v>
      </c>
      <c r="M1864" s="95" cm="1">
        <f ca="1" t="array" ref="M1864">(1+SUMPRODUCT(G1864:H1864,OFFSET($H$40:$I$40,D1864,0)))*(1+OFFSET($J$40,D1864,0))^I1864*(1+OFFSET($K$40,D1864,0))^J1864*(1+OFFSET($L$40,D1864,0))^K1864*(1+OFFSET($M$40,D1864,0))^L1864</f>
        <v>395.613589716202</v>
      </c>
      <c r="N1864" s="95">
        <f ca="1">MAX(MAX($N$53:N1863),OFFSET($C$52,MATCH(M1864*1.07,$M$53:$M$2052,1),0)-C1864)</f>
        <v>73440</v>
      </c>
    </row>
    <row r="1865" spans="2:14">
      <c r="B1865" s="95">
        <v>1813</v>
      </c>
      <c r="C1865" s="95">
        <f t="shared" si="139"/>
        <v>652680</v>
      </c>
      <c r="D1865" s="95">
        <f ca="1">_xlfn.XLOOKUP(总览!$B$44,$B$40:$B$45,$C$40:$C$45)</f>
        <v>5</v>
      </c>
      <c r="E1865" s="95">
        <f ca="1" t="shared" si="142"/>
        <v>1843</v>
      </c>
      <c r="F1865" s="95">
        <f ca="1" t="shared" si="140"/>
        <v>0</v>
      </c>
      <c r="G1865" s="95">
        <f ca="1" t="shared" si="141"/>
        <v>0</v>
      </c>
      <c r="H1865" s="95" cm="1">
        <f ca="1" t="array" ref="H1865">MIN(30-SUM(I1865:L1865),_xlfn.XLOOKUP($D1865&amp;"_"&amp;H$52,$B$14:$B$36&amp;"_"&amp;$C$14:$C$36,$D$14:$D$36)*$E1865,18)</f>
        <v>10.8396</v>
      </c>
      <c r="I1865" s="95" cm="1">
        <f ca="1" t="array" ref="I1865">MIN(30-SUM(J1865:L1865),6-L1865,_xlfn.XLOOKUP($D1865&amp;"_"&amp;I$52,$B$14:$B$36&amp;"_"&amp;$C$14:$C$36,$D$14:$D$36)*$E1865)</f>
        <v>0</v>
      </c>
      <c r="J1865" s="95" cm="1">
        <f ca="1" t="array" ref="J1865">MIN(8,_xlfn.XLOOKUP($D1865&amp;"_"&amp;J$52,$B$14:$B$36&amp;"_"&amp;$C$14:$C$36,$D$14:$D$36)*$E1865)</f>
        <v>8</v>
      </c>
      <c r="K1865" s="95" cm="1">
        <f ca="1" t="array" ref="K1865">MIN(18,_xlfn.XLOOKUP($D1865&amp;"_"&amp;K$52,$B$14:$B$36&amp;"_"&amp;$C$14:$C$36,$D$14:$D$36)*$E1865)</f>
        <v>5.1604</v>
      </c>
      <c r="L1865" s="95" cm="1">
        <f ca="1" t="array" ref="L1865">MIN(6,_xlfn.XLOOKUP($D1865&amp;"_"&amp;L$52,$B$14:$B$36&amp;"_"&amp;$C$14:$C$36,$D$14:$D$36)*$E1865)</f>
        <v>6</v>
      </c>
      <c r="M1865" s="95" cm="1">
        <f ca="1" t="array" ref="M1865">(1+SUMPRODUCT(G1865:H1865,OFFSET($H$40:$I$40,D1865,0)))*(1+OFFSET($J$40,D1865,0))^I1865*(1+OFFSET($K$40,D1865,0))^J1865*(1+OFFSET($L$40,D1865,0))^K1865*(1+OFFSET($M$40,D1865,0))^L1865</f>
        <v>395.745645350205</v>
      </c>
      <c r="N1865" s="95">
        <f ca="1">MAX(MAX($N$53:N1864),OFFSET($C$52,MATCH(M1865*1.07,$M$53:$M$2052,1),0)-C1865)</f>
        <v>73440</v>
      </c>
    </row>
    <row r="1866" spans="2:14">
      <c r="B1866" s="95">
        <v>1814</v>
      </c>
      <c r="C1866" s="95">
        <f t="shared" si="139"/>
        <v>653040</v>
      </c>
      <c r="D1866" s="95">
        <f ca="1">_xlfn.XLOOKUP(总览!$B$44,$B$40:$B$45,$C$40:$C$45)</f>
        <v>5</v>
      </c>
      <c r="E1866" s="95">
        <f ca="1" t="shared" si="142"/>
        <v>1844</v>
      </c>
      <c r="F1866" s="95">
        <f ca="1" t="shared" si="140"/>
        <v>0</v>
      </c>
      <c r="G1866" s="95">
        <f ca="1" t="shared" si="141"/>
        <v>0</v>
      </c>
      <c r="H1866" s="95" cm="1">
        <f ca="1" t="array" ref="H1866">MIN(30-SUM(I1866:L1866),_xlfn.XLOOKUP($D1866&amp;"_"&amp;H$52,$B$14:$B$36&amp;"_"&amp;$C$14:$C$36,$D$14:$D$36)*$E1866,18)</f>
        <v>10.8368</v>
      </c>
      <c r="I1866" s="95" cm="1">
        <f ca="1" t="array" ref="I1866">MIN(30-SUM(J1866:L1866),6-L1866,_xlfn.XLOOKUP($D1866&amp;"_"&amp;I$52,$B$14:$B$36&amp;"_"&amp;$C$14:$C$36,$D$14:$D$36)*$E1866)</f>
        <v>0</v>
      </c>
      <c r="J1866" s="95" cm="1">
        <f ca="1" t="array" ref="J1866">MIN(8,_xlfn.XLOOKUP($D1866&amp;"_"&amp;J$52,$B$14:$B$36&amp;"_"&amp;$C$14:$C$36,$D$14:$D$36)*$E1866)</f>
        <v>8</v>
      </c>
      <c r="K1866" s="95" cm="1">
        <f ca="1" t="array" ref="K1866">MIN(18,_xlfn.XLOOKUP($D1866&amp;"_"&amp;K$52,$B$14:$B$36&amp;"_"&amp;$C$14:$C$36,$D$14:$D$36)*$E1866)</f>
        <v>5.1632</v>
      </c>
      <c r="L1866" s="95" cm="1">
        <f ca="1" t="array" ref="L1866">MIN(6,_xlfn.XLOOKUP($D1866&amp;"_"&amp;L$52,$B$14:$B$36&amp;"_"&amp;$C$14:$C$36,$D$14:$D$36)*$E1866)</f>
        <v>6</v>
      </c>
      <c r="M1866" s="95" cm="1">
        <f ca="1" t="array" ref="M1866">(1+SUMPRODUCT(G1866:H1866,OFFSET($H$40:$I$40,D1866,0)))*(1+OFFSET($J$40,D1866,0))^I1866*(1+OFFSET($K$40,D1866,0))^J1866*(1+OFFSET($L$40,D1866,0))^K1866*(1+OFFSET($M$40,D1866,0))^L1866</f>
        <v>395.877732693776</v>
      </c>
      <c r="N1866" s="95">
        <f ca="1">MAX(MAX($N$53:N1865),OFFSET($C$52,MATCH(M1866*1.07,$M$53:$M$2052,1),0)-C1866)</f>
        <v>73440</v>
      </c>
    </row>
    <row r="1867" spans="2:14">
      <c r="B1867" s="95">
        <v>1815</v>
      </c>
      <c r="C1867" s="95">
        <f t="shared" si="139"/>
        <v>653400</v>
      </c>
      <c r="D1867" s="95">
        <f ca="1">_xlfn.XLOOKUP(总览!$B$44,$B$40:$B$45,$C$40:$C$45)</f>
        <v>5</v>
      </c>
      <c r="E1867" s="95">
        <f ca="1" t="shared" si="142"/>
        <v>1845</v>
      </c>
      <c r="F1867" s="95">
        <f ca="1" t="shared" si="140"/>
        <v>0</v>
      </c>
      <c r="G1867" s="95">
        <f ca="1" t="shared" si="141"/>
        <v>0</v>
      </c>
      <c r="H1867" s="95" cm="1">
        <f ca="1" t="array" ref="H1867">MIN(30-SUM(I1867:L1867),_xlfn.XLOOKUP($D1867&amp;"_"&amp;H$52,$B$14:$B$36&amp;"_"&amp;$C$14:$C$36,$D$14:$D$36)*$E1867,18)</f>
        <v>10.834</v>
      </c>
      <c r="I1867" s="95" cm="1">
        <f ca="1" t="array" ref="I1867">MIN(30-SUM(J1867:L1867),6-L1867,_xlfn.XLOOKUP($D1867&amp;"_"&amp;I$52,$B$14:$B$36&amp;"_"&amp;$C$14:$C$36,$D$14:$D$36)*$E1867)</f>
        <v>0</v>
      </c>
      <c r="J1867" s="95" cm="1">
        <f ca="1" t="array" ref="J1867">MIN(8,_xlfn.XLOOKUP($D1867&amp;"_"&amp;J$52,$B$14:$B$36&amp;"_"&amp;$C$14:$C$36,$D$14:$D$36)*$E1867)</f>
        <v>8</v>
      </c>
      <c r="K1867" s="95" cm="1">
        <f ca="1" t="array" ref="K1867">MIN(18,_xlfn.XLOOKUP($D1867&amp;"_"&amp;K$52,$B$14:$B$36&amp;"_"&amp;$C$14:$C$36,$D$14:$D$36)*$E1867)</f>
        <v>5.166</v>
      </c>
      <c r="L1867" s="95" cm="1">
        <f ca="1" t="array" ref="L1867">MIN(6,_xlfn.XLOOKUP($D1867&amp;"_"&amp;L$52,$B$14:$B$36&amp;"_"&amp;$C$14:$C$36,$D$14:$D$36)*$E1867)</f>
        <v>6</v>
      </c>
      <c r="M1867" s="95" cm="1">
        <f ca="1" t="array" ref="M1867">(1+SUMPRODUCT(G1867:H1867,OFFSET($H$40:$I$40,D1867,0)))*(1+OFFSET($J$40,D1867,0))^I1867*(1+OFFSET($K$40,D1867,0))^J1867*(1+OFFSET($L$40,D1867,0))^K1867*(1+OFFSET($M$40,D1867,0))^L1867</f>
        <v>396.009851744866</v>
      </c>
      <c r="N1867" s="95">
        <f ca="1">MAX(MAX($N$53:N1866),OFFSET($C$52,MATCH(M1867*1.07,$M$53:$M$2052,1),0)-C1867)</f>
        <v>73440</v>
      </c>
    </row>
    <row r="1868" spans="2:14">
      <c r="B1868" s="95">
        <v>1816</v>
      </c>
      <c r="C1868" s="95">
        <f t="shared" si="139"/>
        <v>653760</v>
      </c>
      <c r="D1868" s="95">
        <f ca="1">_xlfn.XLOOKUP(总览!$B$44,$B$40:$B$45,$C$40:$C$45)</f>
        <v>5</v>
      </c>
      <c r="E1868" s="95">
        <f ca="1" t="shared" si="142"/>
        <v>1846</v>
      </c>
      <c r="F1868" s="95">
        <f ca="1" t="shared" si="140"/>
        <v>0</v>
      </c>
      <c r="G1868" s="95">
        <f ca="1" t="shared" si="141"/>
        <v>0</v>
      </c>
      <c r="H1868" s="95" cm="1">
        <f ca="1" t="array" ref="H1868">MIN(30-SUM(I1868:L1868),_xlfn.XLOOKUP($D1868&amp;"_"&amp;H$52,$B$14:$B$36&amp;"_"&amp;$C$14:$C$36,$D$14:$D$36)*$E1868,18)</f>
        <v>10.8312</v>
      </c>
      <c r="I1868" s="95" cm="1">
        <f ca="1" t="array" ref="I1868">MIN(30-SUM(J1868:L1868),6-L1868,_xlfn.XLOOKUP($D1868&amp;"_"&amp;I$52,$B$14:$B$36&amp;"_"&amp;$C$14:$C$36,$D$14:$D$36)*$E1868)</f>
        <v>0</v>
      </c>
      <c r="J1868" s="95" cm="1">
        <f ca="1" t="array" ref="J1868">MIN(8,_xlfn.XLOOKUP($D1868&amp;"_"&amp;J$52,$B$14:$B$36&amp;"_"&amp;$C$14:$C$36,$D$14:$D$36)*$E1868)</f>
        <v>8</v>
      </c>
      <c r="K1868" s="95" cm="1">
        <f ca="1" t="array" ref="K1868">MIN(18,_xlfn.XLOOKUP($D1868&amp;"_"&amp;K$52,$B$14:$B$36&amp;"_"&amp;$C$14:$C$36,$D$14:$D$36)*$E1868)</f>
        <v>5.1688</v>
      </c>
      <c r="L1868" s="95" cm="1">
        <f ca="1" t="array" ref="L1868">MIN(6,_xlfn.XLOOKUP($D1868&amp;"_"&amp;L$52,$B$14:$B$36&amp;"_"&amp;$C$14:$C$36,$D$14:$D$36)*$E1868)</f>
        <v>6</v>
      </c>
      <c r="M1868" s="95" cm="1">
        <f ca="1" t="array" ref="M1868">(1+SUMPRODUCT(G1868:H1868,OFFSET($H$40:$I$40,D1868,0)))*(1+OFFSET($J$40,D1868,0))^I1868*(1+OFFSET($K$40,D1868,0))^J1868*(1+OFFSET($L$40,D1868,0))^K1868*(1+OFFSET($M$40,D1868,0))^L1868</f>
        <v>396.142002501415</v>
      </c>
      <c r="N1868" s="95">
        <f ca="1">MAX(MAX($N$53:N1867),OFFSET($C$52,MATCH(M1868*1.07,$M$53:$M$2052,1),0)-C1868)</f>
        <v>73440</v>
      </c>
    </row>
    <row r="1869" spans="2:14">
      <c r="B1869" s="95">
        <v>1817</v>
      </c>
      <c r="C1869" s="95">
        <f t="shared" si="139"/>
        <v>654120</v>
      </c>
      <c r="D1869" s="95">
        <f ca="1">_xlfn.XLOOKUP(总览!$B$44,$B$40:$B$45,$C$40:$C$45)</f>
        <v>5</v>
      </c>
      <c r="E1869" s="95">
        <f ca="1" t="shared" si="142"/>
        <v>1847</v>
      </c>
      <c r="F1869" s="95">
        <f ca="1" t="shared" si="140"/>
        <v>0</v>
      </c>
      <c r="G1869" s="95">
        <f ca="1" t="shared" si="141"/>
        <v>0</v>
      </c>
      <c r="H1869" s="95" cm="1">
        <f ca="1" t="array" ref="H1869">MIN(30-SUM(I1869:L1869),_xlfn.XLOOKUP($D1869&amp;"_"&amp;H$52,$B$14:$B$36&amp;"_"&amp;$C$14:$C$36,$D$14:$D$36)*$E1869,18)</f>
        <v>10.8284</v>
      </c>
      <c r="I1869" s="95" cm="1">
        <f ca="1" t="array" ref="I1869">MIN(30-SUM(J1869:L1869),6-L1869,_xlfn.XLOOKUP($D1869&amp;"_"&amp;I$52,$B$14:$B$36&amp;"_"&amp;$C$14:$C$36,$D$14:$D$36)*$E1869)</f>
        <v>0</v>
      </c>
      <c r="J1869" s="95" cm="1">
        <f ca="1" t="array" ref="J1869">MIN(8,_xlfn.XLOOKUP($D1869&amp;"_"&amp;J$52,$B$14:$B$36&amp;"_"&amp;$C$14:$C$36,$D$14:$D$36)*$E1869)</f>
        <v>8</v>
      </c>
      <c r="K1869" s="95" cm="1">
        <f ca="1" t="array" ref="K1869">MIN(18,_xlfn.XLOOKUP($D1869&amp;"_"&amp;K$52,$B$14:$B$36&amp;"_"&amp;$C$14:$C$36,$D$14:$D$36)*$E1869)</f>
        <v>5.1716</v>
      </c>
      <c r="L1869" s="95" cm="1">
        <f ca="1" t="array" ref="L1869">MIN(6,_xlfn.XLOOKUP($D1869&amp;"_"&amp;L$52,$B$14:$B$36&amp;"_"&amp;$C$14:$C$36,$D$14:$D$36)*$E1869)</f>
        <v>6</v>
      </c>
      <c r="M1869" s="95" cm="1">
        <f ca="1" t="array" ref="M1869">(1+SUMPRODUCT(G1869:H1869,OFFSET($H$40:$I$40,D1869,0)))*(1+OFFSET($J$40,D1869,0))^I1869*(1+OFFSET($K$40,D1869,0))^J1869*(1+OFFSET($L$40,D1869,0))^K1869*(1+OFFSET($M$40,D1869,0))^L1869</f>
        <v>396.274184961354</v>
      </c>
      <c r="N1869" s="95">
        <f ca="1">MAX(MAX($N$53:N1868),OFFSET($C$52,MATCH(M1869*1.07,$M$53:$M$2052,1),0)-C1869)</f>
        <v>73440</v>
      </c>
    </row>
    <row r="1870" spans="2:14">
      <c r="B1870" s="95">
        <v>1818</v>
      </c>
      <c r="C1870" s="95">
        <f t="shared" si="139"/>
        <v>654480</v>
      </c>
      <c r="D1870" s="95">
        <f ca="1">_xlfn.XLOOKUP(总览!$B$44,$B$40:$B$45,$C$40:$C$45)</f>
        <v>5</v>
      </c>
      <c r="E1870" s="95">
        <f ca="1" t="shared" si="142"/>
        <v>1848</v>
      </c>
      <c r="F1870" s="95">
        <f ca="1" t="shared" si="140"/>
        <v>0</v>
      </c>
      <c r="G1870" s="95">
        <f ca="1" t="shared" si="141"/>
        <v>0</v>
      </c>
      <c r="H1870" s="95" cm="1">
        <f ca="1" t="array" ref="H1870">MIN(30-SUM(I1870:L1870),_xlfn.XLOOKUP($D1870&amp;"_"&amp;H$52,$B$14:$B$36&amp;"_"&amp;$C$14:$C$36,$D$14:$D$36)*$E1870,18)</f>
        <v>10.8256</v>
      </c>
      <c r="I1870" s="95" cm="1">
        <f ca="1" t="array" ref="I1870">MIN(30-SUM(J1870:L1870),6-L1870,_xlfn.XLOOKUP($D1870&amp;"_"&amp;I$52,$B$14:$B$36&amp;"_"&amp;$C$14:$C$36,$D$14:$D$36)*$E1870)</f>
        <v>0</v>
      </c>
      <c r="J1870" s="95" cm="1">
        <f ca="1" t="array" ref="J1870">MIN(8,_xlfn.XLOOKUP($D1870&amp;"_"&amp;J$52,$B$14:$B$36&amp;"_"&amp;$C$14:$C$36,$D$14:$D$36)*$E1870)</f>
        <v>8</v>
      </c>
      <c r="K1870" s="95" cm="1">
        <f ca="1" t="array" ref="K1870">MIN(18,_xlfn.XLOOKUP($D1870&amp;"_"&amp;K$52,$B$14:$B$36&amp;"_"&amp;$C$14:$C$36,$D$14:$D$36)*$E1870)</f>
        <v>5.1744</v>
      </c>
      <c r="L1870" s="95" cm="1">
        <f ca="1" t="array" ref="L1870">MIN(6,_xlfn.XLOOKUP($D1870&amp;"_"&amp;L$52,$B$14:$B$36&amp;"_"&amp;$C$14:$C$36,$D$14:$D$36)*$E1870)</f>
        <v>6</v>
      </c>
      <c r="M1870" s="95" cm="1">
        <f ca="1" t="array" ref="M1870">(1+SUMPRODUCT(G1870:H1870,OFFSET($H$40:$I$40,D1870,0)))*(1+OFFSET($J$40,D1870,0))^I1870*(1+OFFSET($K$40,D1870,0))^J1870*(1+OFFSET($L$40,D1870,0))^K1870*(1+OFFSET($M$40,D1870,0))^L1870</f>
        <v>396.406399122603</v>
      </c>
      <c r="N1870" s="95">
        <f ca="1">MAX(MAX($N$53:N1869),OFFSET($C$52,MATCH(M1870*1.07,$M$53:$M$2052,1),0)-C1870)</f>
        <v>73440</v>
      </c>
    </row>
    <row r="1871" spans="2:14">
      <c r="B1871" s="95">
        <v>1819</v>
      </c>
      <c r="C1871" s="95">
        <f t="shared" si="139"/>
        <v>654840</v>
      </c>
      <c r="D1871" s="95">
        <f ca="1">_xlfn.XLOOKUP(总览!$B$44,$B$40:$B$45,$C$40:$C$45)</f>
        <v>5</v>
      </c>
      <c r="E1871" s="95">
        <f ca="1" t="shared" si="142"/>
        <v>1849</v>
      </c>
      <c r="F1871" s="95">
        <f ca="1" t="shared" si="140"/>
        <v>0</v>
      </c>
      <c r="G1871" s="95">
        <f ca="1" t="shared" si="141"/>
        <v>0</v>
      </c>
      <c r="H1871" s="95" cm="1">
        <f ca="1" t="array" ref="H1871">MIN(30-SUM(I1871:L1871),_xlfn.XLOOKUP($D1871&amp;"_"&amp;H$52,$B$14:$B$36&amp;"_"&amp;$C$14:$C$36,$D$14:$D$36)*$E1871,18)</f>
        <v>10.8228</v>
      </c>
      <c r="I1871" s="95" cm="1">
        <f ca="1" t="array" ref="I1871">MIN(30-SUM(J1871:L1871),6-L1871,_xlfn.XLOOKUP($D1871&amp;"_"&amp;I$52,$B$14:$B$36&amp;"_"&amp;$C$14:$C$36,$D$14:$D$36)*$E1871)</f>
        <v>0</v>
      </c>
      <c r="J1871" s="95" cm="1">
        <f ca="1" t="array" ref="J1871">MIN(8,_xlfn.XLOOKUP($D1871&amp;"_"&amp;J$52,$B$14:$B$36&amp;"_"&amp;$C$14:$C$36,$D$14:$D$36)*$E1871)</f>
        <v>8</v>
      </c>
      <c r="K1871" s="95" cm="1">
        <f ca="1" t="array" ref="K1871">MIN(18,_xlfn.XLOOKUP($D1871&amp;"_"&amp;K$52,$B$14:$B$36&amp;"_"&amp;$C$14:$C$36,$D$14:$D$36)*$E1871)</f>
        <v>5.1772</v>
      </c>
      <c r="L1871" s="95" cm="1">
        <f ca="1" t="array" ref="L1871">MIN(6,_xlfn.XLOOKUP($D1871&amp;"_"&amp;L$52,$B$14:$B$36&amp;"_"&amp;$C$14:$C$36,$D$14:$D$36)*$E1871)</f>
        <v>6</v>
      </c>
      <c r="M1871" s="95" cm="1">
        <f ca="1" t="array" ref="M1871">(1+SUMPRODUCT(G1871:H1871,OFFSET($H$40:$I$40,D1871,0)))*(1+OFFSET($J$40,D1871,0))^I1871*(1+OFFSET($K$40,D1871,0))^J1871*(1+OFFSET($L$40,D1871,0))^K1871*(1+OFFSET($M$40,D1871,0))^L1871</f>
        <v>396.538644983071</v>
      </c>
      <c r="N1871" s="95">
        <f ca="1">MAX(MAX($N$53:N1870),OFFSET($C$52,MATCH(M1871*1.07,$M$53:$M$2052,1),0)-C1871)</f>
        <v>73440</v>
      </c>
    </row>
    <row r="1872" spans="2:14">
      <c r="B1872" s="95">
        <v>1820</v>
      </c>
      <c r="C1872" s="95">
        <f t="shared" si="139"/>
        <v>655200</v>
      </c>
      <c r="D1872" s="95">
        <f ca="1">_xlfn.XLOOKUP(总览!$B$44,$B$40:$B$45,$C$40:$C$45)</f>
        <v>5</v>
      </c>
      <c r="E1872" s="95">
        <f ca="1" t="shared" si="142"/>
        <v>1850</v>
      </c>
      <c r="F1872" s="95">
        <f ca="1" t="shared" si="140"/>
        <v>0</v>
      </c>
      <c r="G1872" s="95">
        <f ca="1" t="shared" si="141"/>
        <v>0</v>
      </c>
      <c r="H1872" s="95" cm="1">
        <f ca="1" t="array" ref="H1872">MIN(30-SUM(I1872:L1872),_xlfn.XLOOKUP($D1872&amp;"_"&amp;H$52,$B$14:$B$36&amp;"_"&amp;$C$14:$C$36,$D$14:$D$36)*$E1872,18)</f>
        <v>10.82</v>
      </c>
      <c r="I1872" s="95" cm="1">
        <f ca="1" t="array" ref="I1872">MIN(30-SUM(J1872:L1872),6-L1872,_xlfn.XLOOKUP($D1872&amp;"_"&amp;I$52,$B$14:$B$36&amp;"_"&amp;$C$14:$C$36,$D$14:$D$36)*$E1872)</f>
        <v>0</v>
      </c>
      <c r="J1872" s="95" cm="1">
        <f ca="1" t="array" ref="J1872">MIN(8,_xlfn.XLOOKUP($D1872&amp;"_"&amp;J$52,$B$14:$B$36&amp;"_"&amp;$C$14:$C$36,$D$14:$D$36)*$E1872)</f>
        <v>8</v>
      </c>
      <c r="K1872" s="95" cm="1">
        <f ca="1" t="array" ref="K1872">MIN(18,_xlfn.XLOOKUP($D1872&amp;"_"&amp;K$52,$B$14:$B$36&amp;"_"&amp;$C$14:$C$36,$D$14:$D$36)*$E1872)</f>
        <v>5.18</v>
      </c>
      <c r="L1872" s="95" cm="1">
        <f ca="1" t="array" ref="L1872">MIN(6,_xlfn.XLOOKUP($D1872&amp;"_"&amp;L$52,$B$14:$B$36&amp;"_"&amp;$C$14:$C$36,$D$14:$D$36)*$E1872)</f>
        <v>6</v>
      </c>
      <c r="M1872" s="95" cm="1">
        <f ca="1" t="array" ref="M1872">(1+SUMPRODUCT(G1872:H1872,OFFSET($H$40:$I$40,D1872,0)))*(1+OFFSET($J$40,D1872,0))^I1872*(1+OFFSET($K$40,D1872,0))^J1872*(1+OFFSET($L$40,D1872,0))^K1872*(1+OFFSET($M$40,D1872,0))^L1872</f>
        <v>396.670922540658</v>
      </c>
      <c r="N1872" s="95">
        <f ca="1">MAX(MAX($N$53:N1871),OFFSET($C$52,MATCH(M1872*1.07,$M$53:$M$2052,1),0)-C1872)</f>
        <v>73440</v>
      </c>
    </row>
    <row r="1873" spans="2:14">
      <c r="B1873" s="95">
        <v>1821</v>
      </c>
      <c r="C1873" s="95">
        <f t="shared" si="139"/>
        <v>655560</v>
      </c>
      <c r="D1873" s="95">
        <f ca="1">_xlfn.XLOOKUP(总览!$B$44,$B$40:$B$45,$C$40:$C$45)</f>
        <v>5</v>
      </c>
      <c r="E1873" s="95">
        <f ca="1" t="shared" si="142"/>
        <v>1851</v>
      </c>
      <c r="F1873" s="95">
        <f ca="1" t="shared" si="140"/>
        <v>0</v>
      </c>
      <c r="G1873" s="95">
        <f ca="1" t="shared" si="141"/>
        <v>0</v>
      </c>
      <c r="H1873" s="95" cm="1">
        <f ca="1" t="array" ref="H1873">MIN(30-SUM(I1873:L1873),_xlfn.XLOOKUP($D1873&amp;"_"&amp;H$52,$B$14:$B$36&amp;"_"&amp;$C$14:$C$36,$D$14:$D$36)*$E1873,18)</f>
        <v>10.8172</v>
      </c>
      <c r="I1873" s="95" cm="1">
        <f ca="1" t="array" ref="I1873">MIN(30-SUM(J1873:L1873),6-L1873,_xlfn.XLOOKUP($D1873&amp;"_"&amp;I$52,$B$14:$B$36&amp;"_"&amp;$C$14:$C$36,$D$14:$D$36)*$E1873)</f>
        <v>0</v>
      </c>
      <c r="J1873" s="95" cm="1">
        <f ca="1" t="array" ref="J1873">MIN(8,_xlfn.XLOOKUP($D1873&amp;"_"&amp;J$52,$B$14:$B$36&amp;"_"&amp;$C$14:$C$36,$D$14:$D$36)*$E1873)</f>
        <v>8</v>
      </c>
      <c r="K1873" s="95" cm="1">
        <f ca="1" t="array" ref="K1873">MIN(18,_xlfn.XLOOKUP($D1873&amp;"_"&amp;K$52,$B$14:$B$36&amp;"_"&amp;$C$14:$C$36,$D$14:$D$36)*$E1873)</f>
        <v>5.1828</v>
      </c>
      <c r="L1873" s="95" cm="1">
        <f ca="1" t="array" ref="L1873">MIN(6,_xlfn.XLOOKUP($D1873&amp;"_"&amp;L$52,$B$14:$B$36&amp;"_"&amp;$C$14:$C$36,$D$14:$D$36)*$E1873)</f>
        <v>6</v>
      </c>
      <c r="M1873" s="95" cm="1">
        <f ca="1" t="array" ref="M1873">(1+SUMPRODUCT(G1873:H1873,OFFSET($H$40:$I$40,D1873,0)))*(1+OFFSET($J$40,D1873,0))^I1873*(1+OFFSET($K$40,D1873,0))^J1873*(1+OFFSET($L$40,D1873,0))^K1873*(1+OFFSET($M$40,D1873,0))^L1873</f>
        <v>396.803231793253</v>
      </c>
      <c r="N1873" s="95">
        <f ca="1">MAX(MAX($N$53:N1872),OFFSET($C$52,MATCH(M1873*1.07,$M$53:$M$2052,1),0)-C1873)</f>
        <v>73440</v>
      </c>
    </row>
    <row r="1874" spans="2:14">
      <c r="B1874" s="95">
        <v>1822</v>
      </c>
      <c r="C1874" s="95">
        <f t="shared" si="139"/>
        <v>655920</v>
      </c>
      <c r="D1874" s="95">
        <f ca="1">_xlfn.XLOOKUP(总览!$B$44,$B$40:$B$45,$C$40:$C$45)</f>
        <v>5</v>
      </c>
      <c r="E1874" s="95">
        <f ca="1" t="shared" si="142"/>
        <v>1852</v>
      </c>
      <c r="F1874" s="95">
        <f ca="1" t="shared" si="140"/>
        <v>0</v>
      </c>
      <c r="G1874" s="95">
        <f ca="1" t="shared" si="141"/>
        <v>0</v>
      </c>
      <c r="H1874" s="95" cm="1">
        <f ca="1" t="array" ref="H1874">MIN(30-SUM(I1874:L1874),_xlfn.XLOOKUP($D1874&amp;"_"&amp;H$52,$B$14:$B$36&amp;"_"&amp;$C$14:$C$36,$D$14:$D$36)*$E1874,18)</f>
        <v>10.8144</v>
      </c>
      <c r="I1874" s="95" cm="1">
        <f ca="1" t="array" ref="I1874">MIN(30-SUM(J1874:L1874),6-L1874,_xlfn.XLOOKUP($D1874&amp;"_"&amp;I$52,$B$14:$B$36&amp;"_"&amp;$C$14:$C$36,$D$14:$D$36)*$E1874)</f>
        <v>0</v>
      </c>
      <c r="J1874" s="95" cm="1">
        <f ca="1" t="array" ref="J1874">MIN(8,_xlfn.XLOOKUP($D1874&amp;"_"&amp;J$52,$B$14:$B$36&amp;"_"&amp;$C$14:$C$36,$D$14:$D$36)*$E1874)</f>
        <v>8</v>
      </c>
      <c r="K1874" s="95" cm="1">
        <f ca="1" t="array" ref="K1874">MIN(18,_xlfn.XLOOKUP($D1874&amp;"_"&amp;K$52,$B$14:$B$36&amp;"_"&amp;$C$14:$C$36,$D$14:$D$36)*$E1874)</f>
        <v>5.1856</v>
      </c>
      <c r="L1874" s="95" cm="1">
        <f ca="1" t="array" ref="L1874">MIN(6,_xlfn.XLOOKUP($D1874&amp;"_"&amp;L$52,$B$14:$B$36&amp;"_"&amp;$C$14:$C$36,$D$14:$D$36)*$E1874)</f>
        <v>6</v>
      </c>
      <c r="M1874" s="95" cm="1">
        <f ca="1" t="array" ref="M1874">(1+SUMPRODUCT(G1874:H1874,OFFSET($H$40:$I$40,D1874,0)))*(1+OFFSET($J$40,D1874,0))^I1874*(1+OFFSET($K$40,D1874,0))^J1874*(1+OFFSET($L$40,D1874,0))^K1874*(1+OFFSET($M$40,D1874,0))^L1874</f>
        <v>396.935572738733</v>
      </c>
      <c r="N1874" s="95">
        <f ca="1">MAX(MAX($N$53:N1873),OFFSET($C$52,MATCH(M1874*1.07,$M$53:$M$2052,1),0)-C1874)</f>
        <v>73440</v>
      </c>
    </row>
    <row r="1875" spans="2:14">
      <c r="B1875" s="95">
        <v>1823</v>
      </c>
      <c r="C1875" s="95">
        <f t="shared" si="139"/>
        <v>656280</v>
      </c>
      <c r="D1875" s="95">
        <f ca="1">_xlfn.XLOOKUP(总览!$B$44,$B$40:$B$45,$C$40:$C$45)</f>
        <v>5</v>
      </c>
      <c r="E1875" s="95">
        <f ca="1" t="shared" si="142"/>
        <v>1853</v>
      </c>
      <c r="F1875" s="95">
        <f ca="1" t="shared" si="140"/>
        <v>0</v>
      </c>
      <c r="G1875" s="95">
        <f ca="1" t="shared" si="141"/>
        <v>0</v>
      </c>
      <c r="H1875" s="95" cm="1">
        <f ca="1" t="array" ref="H1875">MIN(30-SUM(I1875:L1875),_xlfn.XLOOKUP($D1875&amp;"_"&amp;H$52,$B$14:$B$36&amp;"_"&amp;$C$14:$C$36,$D$14:$D$36)*$E1875,18)</f>
        <v>10.8116</v>
      </c>
      <c r="I1875" s="95" cm="1">
        <f ca="1" t="array" ref="I1875">MIN(30-SUM(J1875:L1875),6-L1875,_xlfn.XLOOKUP($D1875&amp;"_"&amp;I$52,$B$14:$B$36&amp;"_"&amp;$C$14:$C$36,$D$14:$D$36)*$E1875)</f>
        <v>0</v>
      </c>
      <c r="J1875" s="95" cm="1">
        <f ca="1" t="array" ref="J1875">MIN(8,_xlfn.XLOOKUP($D1875&amp;"_"&amp;J$52,$B$14:$B$36&amp;"_"&amp;$C$14:$C$36,$D$14:$D$36)*$E1875)</f>
        <v>8</v>
      </c>
      <c r="K1875" s="95" cm="1">
        <f ca="1" t="array" ref="K1875">MIN(18,_xlfn.XLOOKUP($D1875&amp;"_"&amp;K$52,$B$14:$B$36&amp;"_"&amp;$C$14:$C$36,$D$14:$D$36)*$E1875)</f>
        <v>5.1884</v>
      </c>
      <c r="L1875" s="95" cm="1">
        <f ca="1" t="array" ref="L1875">MIN(6,_xlfn.XLOOKUP($D1875&amp;"_"&amp;L$52,$B$14:$B$36&amp;"_"&amp;$C$14:$C$36,$D$14:$D$36)*$E1875)</f>
        <v>6</v>
      </c>
      <c r="M1875" s="95" cm="1">
        <f ca="1" t="array" ref="M1875">(1+SUMPRODUCT(G1875:H1875,OFFSET($H$40:$I$40,D1875,0)))*(1+OFFSET($J$40,D1875,0))^I1875*(1+OFFSET($K$40,D1875,0))^J1875*(1+OFFSET($L$40,D1875,0))^K1875*(1+OFFSET($M$40,D1875,0))^L1875</f>
        <v>397.067945374967</v>
      </c>
      <c r="N1875" s="95">
        <f ca="1">MAX(MAX($N$53:N1874),OFFSET($C$52,MATCH(M1875*1.07,$M$53:$M$2052,1),0)-C1875)</f>
        <v>73440</v>
      </c>
    </row>
    <row r="1876" spans="2:14">
      <c r="B1876" s="95">
        <v>1824</v>
      </c>
      <c r="C1876" s="95">
        <f t="shared" si="139"/>
        <v>656640</v>
      </c>
      <c r="D1876" s="95">
        <f ca="1">_xlfn.XLOOKUP(总览!$B$44,$B$40:$B$45,$C$40:$C$45)</f>
        <v>5</v>
      </c>
      <c r="E1876" s="95">
        <f ca="1" t="shared" si="142"/>
        <v>1854</v>
      </c>
      <c r="F1876" s="95">
        <f ca="1" t="shared" si="140"/>
        <v>0</v>
      </c>
      <c r="G1876" s="95">
        <f ca="1" t="shared" si="141"/>
        <v>0</v>
      </c>
      <c r="H1876" s="95" cm="1">
        <f ca="1" t="array" ref="H1876">MIN(30-SUM(I1876:L1876),_xlfn.XLOOKUP($D1876&amp;"_"&amp;H$52,$B$14:$B$36&amp;"_"&amp;$C$14:$C$36,$D$14:$D$36)*$E1876,18)</f>
        <v>10.8088</v>
      </c>
      <c r="I1876" s="95" cm="1">
        <f ca="1" t="array" ref="I1876">MIN(30-SUM(J1876:L1876),6-L1876,_xlfn.XLOOKUP($D1876&amp;"_"&amp;I$52,$B$14:$B$36&amp;"_"&amp;$C$14:$C$36,$D$14:$D$36)*$E1876)</f>
        <v>0</v>
      </c>
      <c r="J1876" s="95" cm="1">
        <f ca="1" t="array" ref="J1876">MIN(8,_xlfn.XLOOKUP($D1876&amp;"_"&amp;J$52,$B$14:$B$36&amp;"_"&amp;$C$14:$C$36,$D$14:$D$36)*$E1876)</f>
        <v>8</v>
      </c>
      <c r="K1876" s="95" cm="1">
        <f ca="1" t="array" ref="K1876">MIN(18,_xlfn.XLOOKUP($D1876&amp;"_"&amp;K$52,$B$14:$B$36&amp;"_"&amp;$C$14:$C$36,$D$14:$D$36)*$E1876)</f>
        <v>5.1912</v>
      </c>
      <c r="L1876" s="95" cm="1">
        <f ca="1" t="array" ref="L1876">MIN(6,_xlfn.XLOOKUP($D1876&amp;"_"&amp;L$52,$B$14:$B$36&amp;"_"&amp;$C$14:$C$36,$D$14:$D$36)*$E1876)</f>
        <v>6</v>
      </c>
      <c r="M1876" s="95" cm="1">
        <f ca="1" t="array" ref="M1876">(1+SUMPRODUCT(G1876:H1876,OFFSET($H$40:$I$40,D1876,0)))*(1+OFFSET($J$40,D1876,0))^I1876*(1+OFFSET($K$40,D1876,0))^J1876*(1+OFFSET($L$40,D1876,0))^K1876*(1+OFFSET($M$40,D1876,0))^L1876</f>
        <v>397.200349699812</v>
      </c>
      <c r="N1876" s="95">
        <f ca="1">MAX(MAX($N$53:N1875),OFFSET($C$52,MATCH(M1876*1.07,$M$53:$M$2052,1),0)-C1876)</f>
        <v>73440</v>
      </c>
    </row>
    <row r="1877" spans="2:14">
      <c r="B1877" s="95">
        <v>1825</v>
      </c>
      <c r="C1877" s="95">
        <f t="shared" si="139"/>
        <v>657000</v>
      </c>
      <c r="D1877" s="95">
        <f ca="1">_xlfn.XLOOKUP(总览!$B$44,$B$40:$B$45,$C$40:$C$45)</f>
        <v>5</v>
      </c>
      <c r="E1877" s="95">
        <f ca="1" t="shared" si="142"/>
        <v>1855</v>
      </c>
      <c r="F1877" s="95">
        <f ca="1" t="shared" si="140"/>
        <v>0</v>
      </c>
      <c r="G1877" s="95">
        <f ca="1" t="shared" si="141"/>
        <v>0</v>
      </c>
      <c r="H1877" s="95" cm="1">
        <f ca="1" t="array" ref="H1877">MIN(30-SUM(I1877:L1877),_xlfn.XLOOKUP($D1877&amp;"_"&amp;H$52,$B$14:$B$36&amp;"_"&amp;$C$14:$C$36,$D$14:$D$36)*$E1877,18)</f>
        <v>10.806</v>
      </c>
      <c r="I1877" s="95" cm="1">
        <f ca="1" t="array" ref="I1877">MIN(30-SUM(J1877:L1877),6-L1877,_xlfn.XLOOKUP($D1877&amp;"_"&amp;I$52,$B$14:$B$36&amp;"_"&amp;$C$14:$C$36,$D$14:$D$36)*$E1877)</f>
        <v>0</v>
      </c>
      <c r="J1877" s="95" cm="1">
        <f ca="1" t="array" ref="J1877">MIN(8,_xlfn.XLOOKUP($D1877&amp;"_"&amp;J$52,$B$14:$B$36&amp;"_"&amp;$C$14:$C$36,$D$14:$D$36)*$E1877)</f>
        <v>8</v>
      </c>
      <c r="K1877" s="95" cm="1">
        <f ca="1" t="array" ref="K1877">MIN(18,_xlfn.XLOOKUP($D1877&amp;"_"&amp;K$52,$B$14:$B$36&amp;"_"&amp;$C$14:$C$36,$D$14:$D$36)*$E1877)</f>
        <v>5.194</v>
      </c>
      <c r="L1877" s="95" cm="1">
        <f ca="1" t="array" ref="L1877">MIN(6,_xlfn.XLOOKUP($D1877&amp;"_"&amp;L$52,$B$14:$B$36&amp;"_"&amp;$C$14:$C$36,$D$14:$D$36)*$E1877)</f>
        <v>6</v>
      </c>
      <c r="M1877" s="95" cm="1">
        <f ca="1" t="array" ref="M1877">(1+SUMPRODUCT(G1877:H1877,OFFSET($H$40:$I$40,D1877,0)))*(1+OFFSET($J$40,D1877,0))^I1877*(1+OFFSET($K$40,D1877,0))^J1877*(1+OFFSET($L$40,D1877,0))^K1877*(1+OFFSET($M$40,D1877,0))^L1877</f>
        <v>397.332785711115</v>
      </c>
      <c r="N1877" s="95">
        <f ca="1">MAX(MAX($N$53:N1876),OFFSET($C$52,MATCH(M1877*1.07,$M$53:$M$2052,1),0)-C1877)</f>
        <v>73440</v>
      </c>
    </row>
    <row r="1878" spans="2:14">
      <c r="B1878" s="95">
        <v>1826</v>
      </c>
      <c r="C1878" s="95">
        <f t="shared" si="139"/>
        <v>657360</v>
      </c>
      <c r="D1878" s="95">
        <f ca="1">_xlfn.XLOOKUP(总览!$B$44,$B$40:$B$45,$C$40:$C$45)</f>
        <v>5</v>
      </c>
      <c r="E1878" s="95">
        <f ca="1" t="shared" si="142"/>
        <v>1856</v>
      </c>
      <c r="F1878" s="95">
        <f ca="1" t="shared" si="140"/>
        <v>0</v>
      </c>
      <c r="G1878" s="95">
        <f ca="1" t="shared" si="141"/>
        <v>0</v>
      </c>
      <c r="H1878" s="95" cm="1">
        <f ca="1" t="array" ref="H1878">MIN(30-SUM(I1878:L1878),_xlfn.XLOOKUP($D1878&amp;"_"&amp;H$52,$B$14:$B$36&amp;"_"&amp;$C$14:$C$36,$D$14:$D$36)*$E1878,18)</f>
        <v>10.8032</v>
      </c>
      <c r="I1878" s="95" cm="1">
        <f ca="1" t="array" ref="I1878">MIN(30-SUM(J1878:L1878),6-L1878,_xlfn.XLOOKUP($D1878&amp;"_"&amp;I$52,$B$14:$B$36&amp;"_"&amp;$C$14:$C$36,$D$14:$D$36)*$E1878)</f>
        <v>0</v>
      </c>
      <c r="J1878" s="95" cm="1">
        <f ca="1" t="array" ref="J1878">MIN(8,_xlfn.XLOOKUP($D1878&amp;"_"&amp;J$52,$B$14:$B$36&amp;"_"&amp;$C$14:$C$36,$D$14:$D$36)*$E1878)</f>
        <v>8</v>
      </c>
      <c r="K1878" s="95" cm="1">
        <f ca="1" t="array" ref="K1878">MIN(18,_xlfn.XLOOKUP($D1878&amp;"_"&amp;K$52,$B$14:$B$36&amp;"_"&amp;$C$14:$C$36,$D$14:$D$36)*$E1878)</f>
        <v>5.1968</v>
      </c>
      <c r="L1878" s="95" cm="1">
        <f ca="1" t="array" ref="L1878">MIN(6,_xlfn.XLOOKUP($D1878&amp;"_"&amp;L$52,$B$14:$B$36&amp;"_"&amp;$C$14:$C$36,$D$14:$D$36)*$E1878)</f>
        <v>6</v>
      </c>
      <c r="M1878" s="95" cm="1">
        <f ca="1" t="array" ref="M1878">(1+SUMPRODUCT(G1878:H1878,OFFSET($H$40:$I$40,D1878,0)))*(1+OFFSET($J$40,D1878,0))^I1878*(1+OFFSET($K$40,D1878,0))^J1878*(1+OFFSET($L$40,D1878,0))^K1878*(1+OFFSET($M$40,D1878,0))^L1878</f>
        <v>397.465253406713</v>
      </c>
      <c r="N1878" s="95">
        <f ca="1">MAX(MAX($N$53:N1877),OFFSET($C$52,MATCH(M1878*1.07,$M$53:$M$2052,1),0)-C1878)</f>
        <v>73440</v>
      </c>
    </row>
    <row r="1879" spans="2:14">
      <c r="B1879" s="95">
        <v>1827</v>
      </c>
      <c r="C1879" s="95">
        <f t="shared" si="139"/>
        <v>657720</v>
      </c>
      <c r="D1879" s="95">
        <f ca="1">_xlfn.XLOOKUP(总览!$B$44,$B$40:$B$45,$C$40:$C$45)</f>
        <v>5</v>
      </c>
      <c r="E1879" s="95">
        <f ca="1" t="shared" si="142"/>
        <v>1857</v>
      </c>
      <c r="F1879" s="95">
        <f ca="1" t="shared" si="140"/>
        <v>0</v>
      </c>
      <c r="G1879" s="95">
        <f ca="1" t="shared" si="141"/>
        <v>0</v>
      </c>
      <c r="H1879" s="95" cm="1">
        <f ca="1" t="array" ref="H1879">MIN(30-SUM(I1879:L1879),_xlfn.XLOOKUP($D1879&amp;"_"&amp;H$52,$B$14:$B$36&amp;"_"&amp;$C$14:$C$36,$D$14:$D$36)*$E1879,18)</f>
        <v>10.8004</v>
      </c>
      <c r="I1879" s="95" cm="1">
        <f ca="1" t="array" ref="I1879">MIN(30-SUM(J1879:L1879),6-L1879,_xlfn.XLOOKUP($D1879&amp;"_"&amp;I$52,$B$14:$B$36&amp;"_"&amp;$C$14:$C$36,$D$14:$D$36)*$E1879)</f>
        <v>0</v>
      </c>
      <c r="J1879" s="95" cm="1">
        <f ca="1" t="array" ref="J1879">MIN(8,_xlfn.XLOOKUP($D1879&amp;"_"&amp;J$52,$B$14:$B$36&amp;"_"&amp;$C$14:$C$36,$D$14:$D$36)*$E1879)</f>
        <v>8</v>
      </c>
      <c r="K1879" s="95" cm="1">
        <f ca="1" t="array" ref="K1879">MIN(18,_xlfn.XLOOKUP($D1879&amp;"_"&amp;K$52,$B$14:$B$36&amp;"_"&amp;$C$14:$C$36,$D$14:$D$36)*$E1879)</f>
        <v>5.1996</v>
      </c>
      <c r="L1879" s="95" cm="1">
        <f ca="1" t="array" ref="L1879">MIN(6,_xlfn.XLOOKUP($D1879&amp;"_"&amp;L$52,$B$14:$B$36&amp;"_"&amp;$C$14:$C$36,$D$14:$D$36)*$E1879)</f>
        <v>6</v>
      </c>
      <c r="M1879" s="95" cm="1">
        <f ca="1" t="array" ref="M1879">(1+SUMPRODUCT(G1879:H1879,OFFSET($H$40:$I$40,D1879,0)))*(1+OFFSET($J$40,D1879,0))^I1879*(1+OFFSET($K$40,D1879,0))^J1879*(1+OFFSET($L$40,D1879,0))^K1879*(1+OFFSET($M$40,D1879,0))^L1879</f>
        <v>397.597752784431</v>
      </c>
      <c r="N1879" s="95">
        <f ca="1">MAX(MAX($N$53:N1878),OFFSET($C$52,MATCH(M1879*1.07,$M$53:$M$2052,1),0)-C1879)</f>
        <v>73440</v>
      </c>
    </row>
    <row r="1880" spans="2:14">
      <c r="B1880" s="95">
        <v>1828</v>
      </c>
      <c r="C1880" s="95">
        <f t="shared" si="139"/>
        <v>658080</v>
      </c>
      <c r="D1880" s="95">
        <f ca="1">_xlfn.XLOOKUP(总览!$B$44,$B$40:$B$45,$C$40:$C$45)</f>
        <v>5</v>
      </c>
      <c r="E1880" s="95">
        <f ca="1" t="shared" si="142"/>
        <v>1858</v>
      </c>
      <c r="F1880" s="95">
        <f ca="1" t="shared" si="140"/>
        <v>0</v>
      </c>
      <c r="G1880" s="95">
        <f ca="1" t="shared" si="141"/>
        <v>0</v>
      </c>
      <c r="H1880" s="95" cm="1">
        <f ca="1" t="array" ref="H1880">MIN(30-SUM(I1880:L1880),_xlfn.XLOOKUP($D1880&amp;"_"&amp;H$52,$B$14:$B$36&amp;"_"&amp;$C$14:$C$36,$D$14:$D$36)*$E1880,18)</f>
        <v>10.7976</v>
      </c>
      <c r="I1880" s="95" cm="1">
        <f ca="1" t="array" ref="I1880">MIN(30-SUM(J1880:L1880),6-L1880,_xlfn.XLOOKUP($D1880&amp;"_"&amp;I$52,$B$14:$B$36&amp;"_"&amp;$C$14:$C$36,$D$14:$D$36)*$E1880)</f>
        <v>0</v>
      </c>
      <c r="J1880" s="95" cm="1">
        <f ca="1" t="array" ref="J1880">MIN(8,_xlfn.XLOOKUP($D1880&amp;"_"&amp;J$52,$B$14:$B$36&amp;"_"&amp;$C$14:$C$36,$D$14:$D$36)*$E1880)</f>
        <v>8</v>
      </c>
      <c r="K1880" s="95" cm="1">
        <f ca="1" t="array" ref="K1880">MIN(18,_xlfn.XLOOKUP($D1880&amp;"_"&amp;K$52,$B$14:$B$36&amp;"_"&amp;$C$14:$C$36,$D$14:$D$36)*$E1880)</f>
        <v>5.2024</v>
      </c>
      <c r="L1880" s="95" cm="1">
        <f ca="1" t="array" ref="L1880">MIN(6,_xlfn.XLOOKUP($D1880&amp;"_"&amp;L$52,$B$14:$B$36&amp;"_"&amp;$C$14:$C$36,$D$14:$D$36)*$E1880)</f>
        <v>6</v>
      </c>
      <c r="M1880" s="95" cm="1">
        <f ca="1" t="array" ref="M1880">(1+SUMPRODUCT(G1880:H1880,OFFSET($H$40:$I$40,D1880,0)))*(1+OFFSET($J$40,D1880,0))^I1880*(1+OFFSET($K$40,D1880,0))^J1880*(1+OFFSET($L$40,D1880,0))^K1880*(1+OFFSET($M$40,D1880,0))^L1880</f>
        <v>397.730283842086</v>
      </c>
      <c r="N1880" s="95">
        <f ca="1">MAX(MAX($N$53:N1879),OFFSET($C$52,MATCH(M1880*1.07,$M$53:$M$2052,1),0)-C1880)</f>
        <v>73440</v>
      </c>
    </row>
    <row r="1881" spans="2:14">
      <c r="B1881" s="95">
        <v>1829</v>
      </c>
      <c r="C1881" s="95">
        <f t="shared" si="139"/>
        <v>658440</v>
      </c>
      <c r="D1881" s="95">
        <f ca="1">_xlfn.XLOOKUP(总览!$B$44,$B$40:$B$45,$C$40:$C$45)</f>
        <v>5</v>
      </c>
      <c r="E1881" s="95">
        <f ca="1" t="shared" si="142"/>
        <v>1859</v>
      </c>
      <c r="F1881" s="95">
        <f ca="1" t="shared" si="140"/>
        <v>0</v>
      </c>
      <c r="G1881" s="95">
        <f ca="1" t="shared" si="141"/>
        <v>0</v>
      </c>
      <c r="H1881" s="95" cm="1">
        <f ca="1" t="array" ref="H1881">MIN(30-SUM(I1881:L1881),_xlfn.XLOOKUP($D1881&amp;"_"&amp;H$52,$B$14:$B$36&amp;"_"&amp;$C$14:$C$36,$D$14:$D$36)*$E1881,18)</f>
        <v>10.7948</v>
      </c>
      <c r="I1881" s="95" cm="1">
        <f ca="1" t="array" ref="I1881">MIN(30-SUM(J1881:L1881),6-L1881,_xlfn.XLOOKUP($D1881&amp;"_"&amp;I$52,$B$14:$B$36&amp;"_"&amp;$C$14:$C$36,$D$14:$D$36)*$E1881)</f>
        <v>0</v>
      </c>
      <c r="J1881" s="95" cm="1">
        <f ca="1" t="array" ref="J1881">MIN(8,_xlfn.XLOOKUP($D1881&amp;"_"&amp;J$52,$B$14:$B$36&amp;"_"&amp;$C$14:$C$36,$D$14:$D$36)*$E1881)</f>
        <v>8</v>
      </c>
      <c r="K1881" s="95" cm="1">
        <f ca="1" t="array" ref="K1881">MIN(18,_xlfn.XLOOKUP($D1881&amp;"_"&amp;K$52,$B$14:$B$36&amp;"_"&amp;$C$14:$C$36,$D$14:$D$36)*$E1881)</f>
        <v>5.2052</v>
      </c>
      <c r="L1881" s="95" cm="1">
        <f ca="1" t="array" ref="L1881">MIN(6,_xlfn.XLOOKUP($D1881&amp;"_"&amp;L$52,$B$14:$B$36&amp;"_"&amp;$C$14:$C$36,$D$14:$D$36)*$E1881)</f>
        <v>6</v>
      </c>
      <c r="M1881" s="95" cm="1">
        <f ca="1" t="array" ref="M1881">(1+SUMPRODUCT(G1881:H1881,OFFSET($H$40:$I$40,D1881,0)))*(1+OFFSET($J$40,D1881,0))^I1881*(1+OFFSET($K$40,D1881,0))^J1881*(1+OFFSET($L$40,D1881,0))^K1881*(1+OFFSET($M$40,D1881,0))^L1881</f>
        <v>397.862846577483</v>
      </c>
      <c r="N1881" s="95">
        <f ca="1">MAX(MAX($N$53:N1880),OFFSET($C$52,MATCH(M1881*1.07,$M$53:$M$2052,1),0)-C1881)</f>
        <v>73440</v>
      </c>
    </row>
    <row r="1882" spans="2:14">
      <c r="B1882" s="95">
        <v>1830</v>
      </c>
      <c r="C1882" s="95">
        <f t="shared" si="139"/>
        <v>658800</v>
      </c>
      <c r="D1882" s="95">
        <f ca="1">_xlfn.XLOOKUP(总览!$B$44,$B$40:$B$45,$C$40:$C$45)</f>
        <v>5</v>
      </c>
      <c r="E1882" s="95">
        <f ca="1" t="shared" si="142"/>
        <v>1860</v>
      </c>
      <c r="F1882" s="95">
        <f ca="1" t="shared" si="140"/>
        <v>0</v>
      </c>
      <c r="G1882" s="95">
        <f ca="1" t="shared" si="141"/>
        <v>0</v>
      </c>
      <c r="H1882" s="95" cm="1">
        <f ca="1" t="array" ref="H1882">MIN(30-SUM(I1882:L1882),_xlfn.XLOOKUP($D1882&amp;"_"&amp;H$52,$B$14:$B$36&amp;"_"&amp;$C$14:$C$36,$D$14:$D$36)*$E1882,18)</f>
        <v>10.792</v>
      </c>
      <c r="I1882" s="95" cm="1">
        <f ca="1" t="array" ref="I1882">MIN(30-SUM(J1882:L1882),6-L1882,_xlfn.XLOOKUP($D1882&amp;"_"&amp;I$52,$B$14:$B$36&amp;"_"&amp;$C$14:$C$36,$D$14:$D$36)*$E1882)</f>
        <v>0</v>
      </c>
      <c r="J1882" s="95" cm="1">
        <f ca="1" t="array" ref="J1882">MIN(8,_xlfn.XLOOKUP($D1882&amp;"_"&amp;J$52,$B$14:$B$36&amp;"_"&amp;$C$14:$C$36,$D$14:$D$36)*$E1882)</f>
        <v>8</v>
      </c>
      <c r="K1882" s="95" cm="1">
        <f ca="1" t="array" ref="K1882">MIN(18,_xlfn.XLOOKUP($D1882&amp;"_"&amp;K$52,$B$14:$B$36&amp;"_"&amp;$C$14:$C$36,$D$14:$D$36)*$E1882)</f>
        <v>5.208</v>
      </c>
      <c r="L1882" s="95" cm="1">
        <f ca="1" t="array" ref="L1882">MIN(6,_xlfn.XLOOKUP($D1882&amp;"_"&amp;L$52,$B$14:$B$36&amp;"_"&amp;$C$14:$C$36,$D$14:$D$36)*$E1882)</f>
        <v>6</v>
      </c>
      <c r="M1882" s="95" cm="1">
        <f ca="1" t="array" ref="M1882">(1+SUMPRODUCT(G1882:H1882,OFFSET($H$40:$I$40,D1882,0)))*(1+OFFSET($J$40,D1882,0))^I1882*(1+OFFSET($K$40,D1882,0))^J1882*(1+OFFSET($L$40,D1882,0))^K1882*(1+OFFSET($M$40,D1882,0))^L1882</f>
        <v>397.995440988415</v>
      </c>
      <c r="N1882" s="95">
        <f ca="1">MAX(MAX($N$53:N1881),OFFSET($C$52,MATCH(M1882*1.07,$M$53:$M$2052,1),0)-C1882)</f>
        <v>73440</v>
      </c>
    </row>
    <row r="1883" spans="2:14">
      <c r="B1883" s="95">
        <v>1831</v>
      </c>
      <c r="C1883" s="95">
        <f t="shared" si="139"/>
        <v>659160</v>
      </c>
      <c r="D1883" s="95">
        <f ca="1">_xlfn.XLOOKUP(总览!$B$44,$B$40:$B$45,$C$40:$C$45)</f>
        <v>5</v>
      </c>
      <c r="E1883" s="95">
        <f ca="1" t="shared" si="142"/>
        <v>1861</v>
      </c>
      <c r="F1883" s="95">
        <f ca="1" t="shared" si="140"/>
        <v>0</v>
      </c>
      <c r="G1883" s="95">
        <f ca="1" t="shared" si="141"/>
        <v>0</v>
      </c>
      <c r="H1883" s="95" cm="1">
        <f ca="1" t="array" ref="H1883">MIN(30-SUM(I1883:L1883),_xlfn.XLOOKUP($D1883&amp;"_"&amp;H$52,$B$14:$B$36&amp;"_"&amp;$C$14:$C$36,$D$14:$D$36)*$E1883,18)</f>
        <v>10.7892</v>
      </c>
      <c r="I1883" s="95" cm="1">
        <f ca="1" t="array" ref="I1883">MIN(30-SUM(J1883:L1883),6-L1883,_xlfn.XLOOKUP($D1883&amp;"_"&amp;I$52,$B$14:$B$36&amp;"_"&amp;$C$14:$C$36,$D$14:$D$36)*$E1883)</f>
        <v>0</v>
      </c>
      <c r="J1883" s="95" cm="1">
        <f ca="1" t="array" ref="J1883">MIN(8,_xlfn.XLOOKUP($D1883&amp;"_"&amp;J$52,$B$14:$B$36&amp;"_"&amp;$C$14:$C$36,$D$14:$D$36)*$E1883)</f>
        <v>8</v>
      </c>
      <c r="K1883" s="95" cm="1">
        <f ca="1" t="array" ref="K1883">MIN(18,_xlfn.XLOOKUP($D1883&amp;"_"&amp;K$52,$B$14:$B$36&amp;"_"&amp;$C$14:$C$36,$D$14:$D$36)*$E1883)</f>
        <v>5.2108</v>
      </c>
      <c r="L1883" s="95" cm="1">
        <f ca="1" t="array" ref="L1883">MIN(6,_xlfn.XLOOKUP($D1883&amp;"_"&amp;L$52,$B$14:$B$36&amp;"_"&amp;$C$14:$C$36,$D$14:$D$36)*$E1883)</f>
        <v>6</v>
      </c>
      <c r="M1883" s="95" cm="1">
        <f ca="1" t="array" ref="M1883">(1+SUMPRODUCT(G1883:H1883,OFFSET($H$40:$I$40,D1883,0)))*(1+OFFSET($J$40,D1883,0))^I1883*(1+OFFSET($K$40,D1883,0))^J1883*(1+OFFSET($L$40,D1883,0))^K1883*(1+OFFSET($M$40,D1883,0))^L1883</f>
        <v>398.128067072668</v>
      </c>
      <c r="N1883" s="95">
        <f ca="1">MAX(MAX($N$53:N1882),OFFSET($C$52,MATCH(M1883*1.07,$M$53:$M$2052,1),0)-C1883)</f>
        <v>73440</v>
      </c>
    </row>
    <row r="1884" spans="2:14">
      <c r="B1884" s="95">
        <v>1832</v>
      </c>
      <c r="C1884" s="95">
        <f t="shared" si="139"/>
        <v>659520</v>
      </c>
      <c r="D1884" s="95">
        <f ca="1">_xlfn.XLOOKUP(总览!$B$44,$B$40:$B$45,$C$40:$C$45)</f>
        <v>5</v>
      </c>
      <c r="E1884" s="95">
        <f ca="1" t="shared" si="142"/>
        <v>1862</v>
      </c>
      <c r="F1884" s="95">
        <f ca="1" t="shared" si="140"/>
        <v>0</v>
      </c>
      <c r="G1884" s="95">
        <f ca="1" t="shared" si="141"/>
        <v>0</v>
      </c>
      <c r="H1884" s="95" cm="1">
        <f ca="1" t="array" ref="H1884">MIN(30-SUM(I1884:L1884),_xlfn.XLOOKUP($D1884&amp;"_"&amp;H$52,$B$14:$B$36&amp;"_"&amp;$C$14:$C$36,$D$14:$D$36)*$E1884,18)</f>
        <v>10.7864</v>
      </c>
      <c r="I1884" s="95" cm="1">
        <f ca="1" t="array" ref="I1884">MIN(30-SUM(J1884:L1884),6-L1884,_xlfn.XLOOKUP($D1884&amp;"_"&amp;I$52,$B$14:$B$36&amp;"_"&amp;$C$14:$C$36,$D$14:$D$36)*$E1884)</f>
        <v>0</v>
      </c>
      <c r="J1884" s="95" cm="1">
        <f ca="1" t="array" ref="J1884">MIN(8,_xlfn.XLOOKUP($D1884&amp;"_"&amp;J$52,$B$14:$B$36&amp;"_"&amp;$C$14:$C$36,$D$14:$D$36)*$E1884)</f>
        <v>8</v>
      </c>
      <c r="K1884" s="95" cm="1">
        <f ca="1" t="array" ref="K1884">MIN(18,_xlfn.XLOOKUP($D1884&amp;"_"&amp;K$52,$B$14:$B$36&amp;"_"&amp;$C$14:$C$36,$D$14:$D$36)*$E1884)</f>
        <v>5.2136</v>
      </c>
      <c r="L1884" s="95" cm="1">
        <f ca="1" t="array" ref="L1884">MIN(6,_xlfn.XLOOKUP($D1884&amp;"_"&amp;L$52,$B$14:$B$36&amp;"_"&amp;$C$14:$C$36,$D$14:$D$36)*$E1884)</f>
        <v>6</v>
      </c>
      <c r="M1884" s="95" cm="1">
        <f ca="1" t="array" ref="M1884">(1+SUMPRODUCT(G1884:H1884,OFFSET($H$40:$I$40,D1884,0)))*(1+OFFSET($J$40,D1884,0))^I1884*(1+OFFSET($K$40,D1884,0))^J1884*(1+OFFSET($L$40,D1884,0))^K1884*(1+OFFSET($M$40,D1884,0))^L1884</f>
        <v>398.260724828015</v>
      </c>
      <c r="N1884" s="95">
        <f ca="1">MAX(MAX($N$53:N1883),OFFSET($C$52,MATCH(M1884*1.07,$M$53:$M$2052,1),0)-C1884)</f>
        <v>73440</v>
      </c>
    </row>
    <row r="1885" spans="2:14">
      <c r="B1885" s="95">
        <v>1833</v>
      </c>
      <c r="C1885" s="95">
        <f t="shared" si="139"/>
        <v>659880</v>
      </c>
      <c r="D1885" s="95">
        <f ca="1">_xlfn.XLOOKUP(总览!$B$44,$B$40:$B$45,$C$40:$C$45)</f>
        <v>5</v>
      </c>
      <c r="E1885" s="95">
        <f ca="1" t="shared" si="142"/>
        <v>1863</v>
      </c>
      <c r="F1885" s="95">
        <f ca="1" t="shared" si="140"/>
        <v>0</v>
      </c>
      <c r="G1885" s="95">
        <f ca="1" t="shared" si="141"/>
        <v>0</v>
      </c>
      <c r="H1885" s="95" cm="1">
        <f ca="1" t="array" ref="H1885">MIN(30-SUM(I1885:L1885),_xlfn.XLOOKUP($D1885&amp;"_"&amp;H$52,$B$14:$B$36&amp;"_"&amp;$C$14:$C$36,$D$14:$D$36)*$E1885,18)</f>
        <v>10.7836</v>
      </c>
      <c r="I1885" s="95" cm="1">
        <f ca="1" t="array" ref="I1885">MIN(30-SUM(J1885:L1885),6-L1885,_xlfn.XLOOKUP($D1885&amp;"_"&amp;I$52,$B$14:$B$36&amp;"_"&amp;$C$14:$C$36,$D$14:$D$36)*$E1885)</f>
        <v>0</v>
      </c>
      <c r="J1885" s="95" cm="1">
        <f ca="1" t="array" ref="J1885">MIN(8,_xlfn.XLOOKUP($D1885&amp;"_"&amp;J$52,$B$14:$B$36&amp;"_"&amp;$C$14:$C$36,$D$14:$D$36)*$E1885)</f>
        <v>8</v>
      </c>
      <c r="K1885" s="95" cm="1">
        <f ca="1" t="array" ref="K1885">MIN(18,_xlfn.XLOOKUP($D1885&amp;"_"&amp;K$52,$B$14:$B$36&amp;"_"&amp;$C$14:$C$36,$D$14:$D$36)*$E1885)</f>
        <v>5.2164</v>
      </c>
      <c r="L1885" s="95" cm="1">
        <f ca="1" t="array" ref="L1885">MIN(6,_xlfn.XLOOKUP($D1885&amp;"_"&amp;L$52,$B$14:$B$36&amp;"_"&amp;$C$14:$C$36,$D$14:$D$36)*$E1885)</f>
        <v>6</v>
      </c>
      <c r="M1885" s="95" cm="1">
        <f ca="1" t="array" ref="M1885">(1+SUMPRODUCT(G1885:H1885,OFFSET($H$40:$I$40,D1885,0)))*(1+OFFSET($J$40,D1885,0))^I1885*(1+OFFSET($K$40,D1885,0))^J1885*(1+OFFSET($L$40,D1885,0))^K1885*(1+OFFSET($M$40,D1885,0))^L1885</f>
        <v>398.393414252219</v>
      </c>
      <c r="N1885" s="95">
        <f ca="1">MAX(MAX($N$53:N1884),OFFSET($C$52,MATCH(M1885*1.07,$M$53:$M$2052,1),0)-C1885)</f>
        <v>73440</v>
      </c>
    </row>
    <row r="1886" spans="2:14">
      <c r="B1886" s="95">
        <v>1834</v>
      </c>
      <c r="C1886" s="95">
        <f t="shared" si="139"/>
        <v>660240</v>
      </c>
      <c r="D1886" s="95">
        <f ca="1">_xlfn.XLOOKUP(总览!$B$44,$B$40:$B$45,$C$40:$C$45)</f>
        <v>5</v>
      </c>
      <c r="E1886" s="95">
        <f ca="1" t="shared" si="142"/>
        <v>1864</v>
      </c>
      <c r="F1886" s="95">
        <f ca="1" t="shared" si="140"/>
        <v>0</v>
      </c>
      <c r="G1886" s="95">
        <f ca="1" t="shared" si="141"/>
        <v>0</v>
      </c>
      <c r="H1886" s="95" cm="1">
        <f ca="1" t="array" ref="H1886">MIN(30-SUM(I1886:L1886),_xlfn.XLOOKUP($D1886&amp;"_"&amp;H$52,$B$14:$B$36&amp;"_"&amp;$C$14:$C$36,$D$14:$D$36)*$E1886,18)</f>
        <v>10.7808</v>
      </c>
      <c r="I1886" s="95" cm="1">
        <f ca="1" t="array" ref="I1886">MIN(30-SUM(J1886:L1886),6-L1886,_xlfn.XLOOKUP($D1886&amp;"_"&amp;I$52,$B$14:$B$36&amp;"_"&amp;$C$14:$C$36,$D$14:$D$36)*$E1886)</f>
        <v>0</v>
      </c>
      <c r="J1886" s="95" cm="1">
        <f ca="1" t="array" ref="J1886">MIN(8,_xlfn.XLOOKUP($D1886&amp;"_"&amp;J$52,$B$14:$B$36&amp;"_"&amp;$C$14:$C$36,$D$14:$D$36)*$E1886)</f>
        <v>8</v>
      </c>
      <c r="K1886" s="95" cm="1">
        <f ca="1" t="array" ref="K1886">MIN(18,_xlfn.XLOOKUP($D1886&amp;"_"&amp;K$52,$B$14:$B$36&amp;"_"&amp;$C$14:$C$36,$D$14:$D$36)*$E1886)</f>
        <v>5.2192</v>
      </c>
      <c r="L1886" s="95" cm="1">
        <f ca="1" t="array" ref="L1886">MIN(6,_xlfn.XLOOKUP($D1886&amp;"_"&amp;L$52,$B$14:$B$36&amp;"_"&amp;$C$14:$C$36,$D$14:$D$36)*$E1886)</f>
        <v>6</v>
      </c>
      <c r="M1886" s="95" cm="1">
        <f ca="1" t="array" ref="M1886">(1+SUMPRODUCT(G1886:H1886,OFFSET($H$40:$I$40,D1886,0)))*(1+OFFSET($J$40,D1886,0))^I1886*(1+OFFSET($K$40,D1886,0))^J1886*(1+OFFSET($L$40,D1886,0))^K1886*(1+OFFSET($M$40,D1886,0))^L1886</f>
        <v>398.526135343032</v>
      </c>
      <c r="N1886" s="95">
        <f ca="1">MAX(MAX($N$53:N1885),OFFSET($C$52,MATCH(M1886*1.07,$M$53:$M$2052,1),0)-C1886)</f>
        <v>73440</v>
      </c>
    </row>
    <row r="1887" spans="2:14">
      <c r="B1887" s="95">
        <v>1835</v>
      </c>
      <c r="C1887" s="95">
        <f t="shared" si="139"/>
        <v>660600</v>
      </c>
      <c r="D1887" s="95">
        <f ca="1">_xlfn.XLOOKUP(总览!$B$44,$B$40:$B$45,$C$40:$C$45)</f>
        <v>5</v>
      </c>
      <c r="E1887" s="95">
        <f ca="1" t="shared" si="142"/>
        <v>1865</v>
      </c>
      <c r="F1887" s="95">
        <f ca="1" t="shared" si="140"/>
        <v>0</v>
      </c>
      <c r="G1887" s="95">
        <f ca="1" t="shared" si="141"/>
        <v>0</v>
      </c>
      <c r="H1887" s="95" cm="1">
        <f ca="1" t="array" ref="H1887">MIN(30-SUM(I1887:L1887),_xlfn.XLOOKUP($D1887&amp;"_"&amp;H$52,$B$14:$B$36&amp;"_"&amp;$C$14:$C$36,$D$14:$D$36)*$E1887,18)</f>
        <v>10.778</v>
      </c>
      <c r="I1887" s="95" cm="1">
        <f ca="1" t="array" ref="I1887">MIN(30-SUM(J1887:L1887),6-L1887,_xlfn.XLOOKUP($D1887&amp;"_"&amp;I$52,$B$14:$B$36&amp;"_"&amp;$C$14:$C$36,$D$14:$D$36)*$E1887)</f>
        <v>0</v>
      </c>
      <c r="J1887" s="95" cm="1">
        <f ca="1" t="array" ref="J1887">MIN(8,_xlfn.XLOOKUP($D1887&amp;"_"&amp;J$52,$B$14:$B$36&amp;"_"&amp;$C$14:$C$36,$D$14:$D$36)*$E1887)</f>
        <v>8</v>
      </c>
      <c r="K1887" s="95" cm="1">
        <f ca="1" t="array" ref="K1887">MIN(18,_xlfn.XLOOKUP($D1887&amp;"_"&amp;K$52,$B$14:$B$36&amp;"_"&amp;$C$14:$C$36,$D$14:$D$36)*$E1887)</f>
        <v>5.222</v>
      </c>
      <c r="L1887" s="95" cm="1">
        <f ca="1" t="array" ref="L1887">MIN(6,_xlfn.XLOOKUP($D1887&amp;"_"&amp;L$52,$B$14:$B$36&amp;"_"&amp;$C$14:$C$36,$D$14:$D$36)*$E1887)</f>
        <v>6</v>
      </c>
      <c r="M1887" s="95" cm="1">
        <f ca="1" t="array" ref="M1887">(1+SUMPRODUCT(G1887:H1887,OFFSET($H$40:$I$40,D1887,0)))*(1+OFFSET($J$40,D1887,0))^I1887*(1+OFFSET($K$40,D1887,0))^J1887*(1+OFFSET($L$40,D1887,0))^K1887*(1+OFFSET($M$40,D1887,0))^L1887</f>
        <v>398.658888098196</v>
      </c>
      <c r="N1887" s="95">
        <f ca="1">MAX(MAX($N$53:N1886),OFFSET($C$52,MATCH(M1887*1.07,$M$53:$M$2052,1),0)-C1887)</f>
        <v>73440</v>
      </c>
    </row>
    <row r="1888" spans="2:14">
      <c r="B1888" s="95">
        <v>1836</v>
      </c>
      <c r="C1888" s="95">
        <f t="shared" si="139"/>
        <v>660960</v>
      </c>
      <c r="D1888" s="95">
        <f ca="1">_xlfn.XLOOKUP(总览!$B$44,$B$40:$B$45,$C$40:$C$45)</f>
        <v>5</v>
      </c>
      <c r="E1888" s="95">
        <f ca="1" t="shared" si="142"/>
        <v>1866</v>
      </c>
      <c r="F1888" s="95">
        <f ca="1" t="shared" si="140"/>
        <v>0</v>
      </c>
      <c r="G1888" s="95">
        <f ca="1" t="shared" si="141"/>
        <v>0</v>
      </c>
      <c r="H1888" s="95" cm="1">
        <f ca="1" t="array" ref="H1888">MIN(30-SUM(I1888:L1888),_xlfn.XLOOKUP($D1888&amp;"_"&amp;H$52,$B$14:$B$36&amp;"_"&amp;$C$14:$C$36,$D$14:$D$36)*$E1888,18)</f>
        <v>10.7752</v>
      </c>
      <c r="I1888" s="95" cm="1">
        <f ca="1" t="array" ref="I1888">MIN(30-SUM(J1888:L1888),6-L1888,_xlfn.XLOOKUP($D1888&amp;"_"&amp;I$52,$B$14:$B$36&amp;"_"&amp;$C$14:$C$36,$D$14:$D$36)*$E1888)</f>
        <v>0</v>
      </c>
      <c r="J1888" s="95" cm="1">
        <f ca="1" t="array" ref="J1888">MIN(8,_xlfn.XLOOKUP($D1888&amp;"_"&amp;J$52,$B$14:$B$36&amp;"_"&amp;$C$14:$C$36,$D$14:$D$36)*$E1888)</f>
        <v>8</v>
      </c>
      <c r="K1888" s="95" cm="1">
        <f ca="1" t="array" ref="K1888">MIN(18,_xlfn.XLOOKUP($D1888&amp;"_"&amp;K$52,$B$14:$B$36&amp;"_"&amp;$C$14:$C$36,$D$14:$D$36)*$E1888)</f>
        <v>5.2248</v>
      </c>
      <c r="L1888" s="95" cm="1">
        <f ca="1" t="array" ref="L1888">MIN(6,_xlfn.XLOOKUP($D1888&amp;"_"&amp;L$52,$B$14:$B$36&amp;"_"&amp;$C$14:$C$36,$D$14:$D$36)*$E1888)</f>
        <v>6</v>
      </c>
      <c r="M1888" s="95" cm="1">
        <f ca="1" t="array" ref="M1888">(1+SUMPRODUCT(G1888:H1888,OFFSET($H$40:$I$40,D1888,0)))*(1+OFFSET($J$40,D1888,0))^I1888*(1+OFFSET($K$40,D1888,0))^J1888*(1+OFFSET($L$40,D1888,0))^K1888*(1+OFFSET($M$40,D1888,0))^L1888</f>
        <v>398.791672515443</v>
      </c>
      <c r="N1888" s="95">
        <f ca="1">MAX(MAX($N$53:N1887),OFFSET($C$52,MATCH(M1888*1.07,$M$53:$M$2052,1),0)-C1888)</f>
        <v>73440</v>
      </c>
    </row>
    <row r="1889" spans="2:14">
      <c r="B1889" s="95">
        <v>1837</v>
      </c>
      <c r="C1889" s="95">
        <f t="shared" si="139"/>
        <v>661320</v>
      </c>
      <c r="D1889" s="95">
        <f ca="1">_xlfn.XLOOKUP(总览!$B$44,$B$40:$B$45,$C$40:$C$45)</f>
        <v>5</v>
      </c>
      <c r="E1889" s="95">
        <f ca="1" t="shared" si="142"/>
        <v>1867</v>
      </c>
      <c r="F1889" s="95">
        <f ca="1" t="shared" si="140"/>
        <v>0</v>
      </c>
      <c r="G1889" s="95">
        <f ca="1" t="shared" si="141"/>
        <v>0</v>
      </c>
      <c r="H1889" s="95" cm="1">
        <f ca="1" t="array" ref="H1889">MIN(30-SUM(I1889:L1889),_xlfn.XLOOKUP($D1889&amp;"_"&amp;H$52,$B$14:$B$36&amp;"_"&amp;$C$14:$C$36,$D$14:$D$36)*$E1889,18)</f>
        <v>10.7724</v>
      </c>
      <c r="I1889" s="95" cm="1">
        <f ca="1" t="array" ref="I1889">MIN(30-SUM(J1889:L1889),6-L1889,_xlfn.XLOOKUP($D1889&amp;"_"&amp;I$52,$B$14:$B$36&amp;"_"&amp;$C$14:$C$36,$D$14:$D$36)*$E1889)</f>
        <v>0</v>
      </c>
      <c r="J1889" s="95" cm="1">
        <f ca="1" t="array" ref="J1889">MIN(8,_xlfn.XLOOKUP($D1889&amp;"_"&amp;J$52,$B$14:$B$36&amp;"_"&amp;$C$14:$C$36,$D$14:$D$36)*$E1889)</f>
        <v>8</v>
      </c>
      <c r="K1889" s="95" cm="1">
        <f ca="1" t="array" ref="K1889">MIN(18,_xlfn.XLOOKUP($D1889&amp;"_"&amp;K$52,$B$14:$B$36&amp;"_"&amp;$C$14:$C$36,$D$14:$D$36)*$E1889)</f>
        <v>5.2276</v>
      </c>
      <c r="L1889" s="95" cm="1">
        <f ca="1" t="array" ref="L1889">MIN(6,_xlfn.XLOOKUP($D1889&amp;"_"&amp;L$52,$B$14:$B$36&amp;"_"&amp;$C$14:$C$36,$D$14:$D$36)*$E1889)</f>
        <v>6</v>
      </c>
      <c r="M1889" s="95" cm="1">
        <f ca="1" t="array" ref="M1889">(1+SUMPRODUCT(G1889:H1889,OFFSET($H$40:$I$40,D1889,0)))*(1+OFFSET($J$40,D1889,0))^I1889*(1+OFFSET($K$40,D1889,0))^J1889*(1+OFFSET($L$40,D1889,0))^K1889*(1+OFFSET($M$40,D1889,0))^L1889</f>
        <v>398.924488592494</v>
      </c>
      <c r="N1889" s="95">
        <f ca="1">MAX(MAX($N$53:N1888),OFFSET($C$52,MATCH(M1889*1.07,$M$53:$M$2052,1),0)-C1889)</f>
        <v>73440</v>
      </c>
    </row>
    <row r="1890" spans="2:14">
      <c r="B1890" s="95">
        <v>1838</v>
      </c>
      <c r="C1890" s="95">
        <f t="shared" si="139"/>
        <v>661680</v>
      </c>
      <c r="D1890" s="95">
        <f ca="1">_xlfn.XLOOKUP(总览!$B$44,$B$40:$B$45,$C$40:$C$45)</f>
        <v>5</v>
      </c>
      <c r="E1890" s="95">
        <f ca="1" t="shared" si="142"/>
        <v>1868</v>
      </c>
      <c r="F1890" s="95">
        <f ca="1" t="shared" si="140"/>
        <v>0</v>
      </c>
      <c r="G1890" s="95">
        <f ca="1" t="shared" si="141"/>
        <v>0</v>
      </c>
      <c r="H1890" s="95" cm="1">
        <f ca="1" t="array" ref="H1890">MIN(30-SUM(I1890:L1890),_xlfn.XLOOKUP($D1890&amp;"_"&amp;H$52,$B$14:$B$36&amp;"_"&amp;$C$14:$C$36,$D$14:$D$36)*$E1890,18)</f>
        <v>10.7696</v>
      </c>
      <c r="I1890" s="95" cm="1">
        <f ca="1" t="array" ref="I1890">MIN(30-SUM(J1890:L1890),6-L1890,_xlfn.XLOOKUP($D1890&amp;"_"&amp;I$52,$B$14:$B$36&amp;"_"&amp;$C$14:$C$36,$D$14:$D$36)*$E1890)</f>
        <v>0</v>
      </c>
      <c r="J1890" s="95" cm="1">
        <f ca="1" t="array" ref="J1890">MIN(8,_xlfn.XLOOKUP($D1890&amp;"_"&amp;J$52,$B$14:$B$36&amp;"_"&amp;$C$14:$C$36,$D$14:$D$36)*$E1890)</f>
        <v>8</v>
      </c>
      <c r="K1890" s="95" cm="1">
        <f ca="1" t="array" ref="K1890">MIN(18,_xlfn.XLOOKUP($D1890&amp;"_"&amp;K$52,$B$14:$B$36&amp;"_"&amp;$C$14:$C$36,$D$14:$D$36)*$E1890)</f>
        <v>5.2304</v>
      </c>
      <c r="L1890" s="95" cm="1">
        <f ca="1" t="array" ref="L1890">MIN(6,_xlfn.XLOOKUP($D1890&amp;"_"&amp;L$52,$B$14:$B$36&amp;"_"&amp;$C$14:$C$36,$D$14:$D$36)*$E1890)</f>
        <v>6</v>
      </c>
      <c r="M1890" s="95" cm="1">
        <f ca="1" t="array" ref="M1890">(1+SUMPRODUCT(G1890:H1890,OFFSET($H$40:$I$40,D1890,0)))*(1+OFFSET($J$40,D1890,0))^I1890*(1+OFFSET($K$40,D1890,0))^J1890*(1+OFFSET($L$40,D1890,0))^K1890*(1+OFFSET($M$40,D1890,0))^L1890</f>
        <v>399.057336327058</v>
      </c>
      <c r="N1890" s="95">
        <f ca="1">MAX(MAX($N$53:N1889),OFFSET($C$52,MATCH(M1890*1.07,$M$53:$M$2052,1),0)-C1890)</f>
        <v>73440</v>
      </c>
    </row>
    <row r="1891" spans="2:14">
      <c r="B1891" s="95">
        <v>1839</v>
      </c>
      <c r="C1891" s="95">
        <f t="shared" si="139"/>
        <v>662040</v>
      </c>
      <c r="D1891" s="95">
        <f ca="1">_xlfn.XLOOKUP(总览!$B$44,$B$40:$B$45,$C$40:$C$45)</f>
        <v>5</v>
      </c>
      <c r="E1891" s="95">
        <f ca="1" t="shared" si="142"/>
        <v>1869</v>
      </c>
      <c r="F1891" s="95">
        <f ca="1" t="shared" si="140"/>
        <v>0</v>
      </c>
      <c r="G1891" s="95">
        <f ca="1" t="shared" si="141"/>
        <v>0</v>
      </c>
      <c r="H1891" s="95" cm="1">
        <f ca="1" t="array" ref="H1891">MIN(30-SUM(I1891:L1891),_xlfn.XLOOKUP($D1891&amp;"_"&amp;H$52,$B$14:$B$36&amp;"_"&amp;$C$14:$C$36,$D$14:$D$36)*$E1891,18)</f>
        <v>10.7668</v>
      </c>
      <c r="I1891" s="95" cm="1">
        <f ca="1" t="array" ref="I1891">MIN(30-SUM(J1891:L1891),6-L1891,_xlfn.XLOOKUP($D1891&amp;"_"&amp;I$52,$B$14:$B$36&amp;"_"&amp;$C$14:$C$36,$D$14:$D$36)*$E1891)</f>
        <v>0</v>
      </c>
      <c r="J1891" s="95" cm="1">
        <f ca="1" t="array" ref="J1891">MIN(8,_xlfn.XLOOKUP($D1891&amp;"_"&amp;J$52,$B$14:$B$36&amp;"_"&amp;$C$14:$C$36,$D$14:$D$36)*$E1891)</f>
        <v>8</v>
      </c>
      <c r="K1891" s="95" cm="1">
        <f ca="1" t="array" ref="K1891">MIN(18,_xlfn.XLOOKUP($D1891&amp;"_"&amp;K$52,$B$14:$B$36&amp;"_"&amp;$C$14:$C$36,$D$14:$D$36)*$E1891)</f>
        <v>5.2332</v>
      </c>
      <c r="L1891" s="95" cm="1">
        <f ca="1" t="array" ref="L1891">MIN(6,_xlfn.XLOOKUP($D1891&amp;"_"&amp;L$52,$B$14:$B$36&amp;"_"&amp;$C$14:$C$36,$D$14:$D$36)*$E1891)</f>
        <v>6</v>
      </c>
      <c r="M1891" s="95" cm="1">
        <f ca="1" t="array" ref="M1891">(1+SUMPRODUCT(G1891:H1891,OFFSET($H$40:$I$40,D1891,0)))*(1+OFFSET($J$40,D1891,0))^I1891*(1+OFFSET($K$40,D1891,0))^J1891*(1+OFFSET($L$40,D1891,0))^K1891*(1+OFFSET($M$40,D1891,0))^L1891</f>
        <v>399.190215716836</v>
      </c>
      <c r="N1891" s="95">
        <f ca="1">MAX(MAX($N$53:N1890),OFFSET($C$52,MATCH(M1891*1.07,$M$53:$M$2052,1),0)-C1891)</f>
        <v>73440</v>
      </c>
    </row>
    <row r="1892" spans="2:14">
      <c r="B1892" s="95">
        <v>1840</v>
      </c>
      <c r="C1892" s="95">
        <f t="shared" si="139"/>
        <v>662400</v>
      </c>
      <c r="D1892" s="95">
        <f ca="1">_xlfn.XLOOKUP(总览!$B$44,$B$40:$B$45,$C$40:$C$45)</f>
        <v>5</v>
      </c>
      <c r="E1892" s="95">
        <f ca="1" t="shared" si="142"/>
        <v>1870</v>
      </c>
      <c r="F1892" s="95">
        <f ca="1" t="shared" si="140"/>
        <v>0</v>
      </c>
      <c r="G1892" s="95">
        <f ca="1" t="shared" si="141"/>
        <v>0</v>
      </c>
      <c r="H1892" s="95" cm="1">
        <f ca="1" t="array" ref="H1892">MIN(30-SUM(I1892:L1892),_xlfn.XLOOKUP($D1892&amp;"_"&amp;H$52,$B$14:$B$36&amp;"_"&amp;$C$14:$C$36,$D$14:$D$36)*$E1892,18)</f>
        <v>10.764</v>
      </c>
      <c r="I1892" s="95" cm="1">
        <f ca="1" t="array" ref="I1892">MIN(30-SUM(J1892:L1892),6-L1892,_xlfn.XLOOKUP($D1892&amp;"_"&amp;I$52,$B$14:$B$36&amp;"_"&amp;$C$14:$C$36,$D$14:$D$36)*$E1892)</f>
        <v>0</v>
      </c>
      <c r="J1892" s="95" cm="1">
        <f ca="1" t="array" ref="J1892">MIN(8,_xlfn.XLOOKUP($D1892&amp;"_"&amp;J$52,$B$14:$B$36&amp;"_"&amp;$C$14:$C$36,$D$14:$D$36)*$E1892)</f>
        <v>8</v>
      </c>
      <c r="K1892" s="95" cm="1">
        <f ca="1" t="array" ref="K1892">MIN(18,_xlfn.XLOOKUP($D1892&amp;"_"&amp;K$52,$B$14:$B$36&amp;"_"&amp;$C$14:$C$36,$D$14:$D$36)*$E1892)</f>
        <v>5.236</v>
      </c>
      <c r="L1892" s="95" cm="1">
        <f ca="1" t="array" ref="L1892">MIN(6,_xlfn.XLOOKUP($D1892&amp;"_"&amp;L$52,$B$14:$B$36&amp;"_"&amp;$C$14:$C$36,$D$14:$D$36)*$E1892)</f>
        <v>6</v>
      </c>
      <c r="M1892" s="95" cm="1">
        <f ca="1" t="array" ref="M1892">(1+SUMPRODUCT(G1892:H1892,OFFSET($H$40:$I$40,D1892,0)))*(1+OFFSET($J$40,D1892,0))^I1892*(1+OFFSET($K$40,D1892,0))^J1892*(1+OFFSET($L$40,D1892,0))^K1892*(1+OFFSET($M$40,D1892,0))^L1892</f>
        <v>399.323126759516</v>
      </c>
      <c r="N1892" s="95">
        <f ca="1">MAX(MAX($N$53:N1891),OFFSET($C$52,MATCH(M1892*1.07,$M$53:$M$2052,1),0)-C1892)</f>
        <v>73440</v>
      </c>
    </row>
    <row r="1893" spans="2:14">
      <c r="B1893" s="95">
        <v>1841</v>
      </c>
      <c r="C1893" s="95">
        <f t="shared" ref="C1893:C1956" si="143">C1892+360</f>
        <v>662760</v>
      </c>
      <c r="D1893" s="95">
        <f ca="1">_xlfn.XLOOKUP(总览!$B$44,$B$40:$B$45,$C$40:$C$45)</f>
        <v>5</v>
      </c>
      <c r="E1893" s="95">
        <f ca="1" t="shared" si="142"/>
        <v>1871</v>
      </c>
      <c r="F1893" s="95">
        <f ca="1" t="shared" ref="F1893:F1956" si="144">30-SUM(G1893:L1893)</f>
        <v>0</v>
      </c>
      <c r="G1893" s="95">
        <f ca="1" t="shared" ref="G1893:G1956" si="145">30-SUM(H1893:L1893)</f>
        <v>0</v>
      </c>
      <c r="H1893" s="95" cm="1">
        <f ca="1" t="array" ref="H1893">MIN(30-SUM(I1893:L1893),_xlfn.XLOOKUP($D1893&amp;"_"&amp;H$52,$B$14:$B$36&amp;"_"&amp;$C$14:$C$36,$D$14:$D$36)*$E1893,18)</f>
        <v>10.7612</v>
      </c>
      <c r="I1893" s="95" cm="1">
        <f ca="1" t="array" ref="I1893">MIN(30-SUM(J1893:L1893),6-L1893,_xlfn.XLOOKUP($D1893&amp;"_"&amp;I$52,$B$14:$B$36&amp;"_"&amp;$C$14:$C$36,$D$14:$D$36)*$E1893)</f>
        <v>0</v>
      </c>
      <c r="J1893" s="95" cm="1">
        <f ca="1" t="array" ref="J1893">MIN(8,_xlfn.XLOOKUP($D1893&amp;"_"&amp;J$52,$B$14:$B$36&amp;"_"&amp;$C$14:$C$36,$D$14:$D$36)*$E1893)</f>
        <v>8</v>
      </c>
      <c r="K1893" s="95" cm="1">
        <f ca="1" t="array" ref="K1893">MIN(18,_xlfn.XLOOKUP($D1893&amp;"_"&amp;K$52,$B$14:$B$36&amp;"_"&amp;$C$14:$C$36,$D$14:$D$36)*$E1893)</f>
        <v>5.2388</v>
      </c>
      <c r="L1893" s="95" cm="1">
        <f ca="1" t="array" ref="L1893">MIN(6,_xlfn.XLOOKUP($D1893&amp;"_"&amp;L$52,$B$14:$B$36&amp;"_"&amp;$C$14:$C$36,$D$14:$D$36)*$E1893)</f>
        <v>6</v>
      </c>
      <c r="M1893" s="95" cm="1">
        <f ca="1" t="array" ref="M1893">(1+SUMPRODUCT(G1893:H1893,OFFSET($H$40:$I$40,D1893,0)))*(1+OFFSET($J$40,D1893,0))^I1893*(1+OFFSET($K$40,D1893,0))^J1893*(1+OFFSET($L$40,D1893,0))^K1893*(1+OFFSET($M$40,D1893,0))^L1893</f>
        <v>399.456069452778</v>
      </c>
      <c r="N1893" s="95">
        <f ca="1">MAX(MAX($N$53:N1892),OFFSET($C$52,MATCH(M1893*1.07,$M$53:$M$2052,1),0)-C1893)</f>
        <v>73440</v>
      </c>
    </row>
    <row r="1894" spans="2:14">
      <c r="B1894" s="95">
        <v>1842</v>
      </c>
      <c r="C1894" s="95">
        <f t="shared" si="143"/>
        <v>663120</v>
      </c>
      <c r="D1894" s="95">
        <f ca="1">_xlfn.XLOOKUP(总览!$B$44,$B$40:$B$45,$C$40:$C$45)</f>
        <v>5</v>
      </c>
      <c r="E1894" s="95">
        <f ca="1" t="shared" si="142"/>
        <v>1872</v>
      </c>
      <c r="F1894" s="95">
        <f ca="1" t="shared" si="144"/>
        <v>0</v>
      </c>
      <c r="G1894" s="95">
        <f ca="1" t="shared" si="145"/>
        <v>0</v>
      </c>
      <c r="H1894" s="95" cm="1">
        <f ca="1" t="array" ref="H1894">MIN(30-SUM(I1894:L1894),_xlfn.XLOOKUP($D1894&amp;"_"&amp;H$52,$B$14:$B$36&amp;"_"&amp;$C$14:$C$36,$D$14:$D$36)*$E1894,18)</f>
        <v>10.7584</v>
      </c>
      <c r="I1894" s="95" cm="1">
        <f ca="1" t="array" ref="I1894">MIN(30-SUM(J1894:L1894),6-L1894,_xlfn.XLOOKUP($D1894&amp;"_"&amp;I$52,$B$14:$B$36&amp;"_"&amp;$C$14:$C$36,$D$14:$D$36)*$E1894)</f>
        <v>0</v>
      </c>
      <c r="J1894" s="95" cm="1">
        <f ca="1" t="array" ref="J1894">MIN(8,_xlfn.XLOOKUP($D1894&amp;"_"&amp;J$52,$B$14:$B$36&amp;"_"&amp;$C$14:$C$36,$D$14:$D$36)*$E1894)</f>
        <v>8</v>
      </c>
      <c r="K1894" s="95" cm="1">
        <f ca="1" t="array" ref="K1894">MIN(18,_xlfn.XLOOKUP($D1894&amp;"_"&amp;K$52,$B$14:$B$36&amp;"_"&amp;$C$14:$C$36,$D$14:$D$36)*$E1894)</f>
        <v>5.2416</v>
      </c>
      <c r="L1894" s="95" cm="1">
        <f ca="1" t="array" ref="L1894">MIN(6,_xlfn.XLOOKUP($D1894&amp;"_"&amp;L$52,$B$14:$B$36&amp;"_"&amp;$C$14:$C$36,$D$14:$D$36)*$E1894)</f>
        <v>6</v>
      </c>
      <c r="M1894" s="95" cm="1">
        <f ca="1" t="array" ref="M1894">(1+SUMPRODUCT(G1894:H1894,OFFSET($H$40:$I$40,D1894,0)))*(1+OFFSET($J$40,D1894,0))^I1894*(1+OFFSET($K$40,D1894,0))^J1894*(1+OFFSET($L$40,D1894,0))^K1894*(1+OFFSET($M$40,D1894,0))^L1894</f>
        <v>399.589043794287</v>
      </c>
      <c r="N1894" s="95">
        <f ca="1">MAX(MAX($N$53:N1893),OFFSET($C$52,MATCH(M1894*1.07,$M$53:$M$2052,1),0)-C1894)</f>
        <v>73440</v>
      </c>
    </row>
    <row r="1895" spans="2:14">
      <c r="B1895" s="95">
        <v>1843</v>
      </c>
      <c r="C1895" s="95">
        <f t="shared" si="143"/>
        <v>663480</v>
      </c>
      <c r="D1895" s="95">
        <f ca="1">_xlfn.XLOOKUP(总览!$B$44,$B$40:$B$45,$C$40:$C$45)</f>
        <v>5</v>
      </c>
      <c r="E1895" s="95">
        <f ca="1" t="shared" si="142"/>
        <v>1873</v>
      </c>
      <c r="F1895" s="95">
        <f ca="1" t="shared" si="144"/>
        <v>0</v>
      </c>
      <c r="G1895" s="95">
        <f ca="1" t="shared" si="145"/>
        <v>0</v>
      </c>
      <c r="H1895" s="95" cm="1">
        <f ca="1" t="array" ref="H1895">MIN(30-SUM(I1895:L1895),_xlfn.XLOOKUP($D1895&amp;"_"&amp;H$52,$B$14:$B$36&amp;"_"&amp;$C$14:$C$36,$D$14:$D$36)*$E1895,18)</f>
        <v>10.7556</v>
      </c>
      <c r="I1895" s="95" cm="1">
        <f ca="1" t="array" ref="I1895">MIN(30-SUM(J1895:L1895),6-L1895,_xlfn.XLOOKUP($D1895&amp;"_"&amp;I$52,$B$14:$B$36&amp;"_"&amp;$C$14:$C$36,$D$14:$D$36)*$E1895)</f>
        <v>0</v>
      </c>
      <c r="J1895" s="95" cm="1">
        <f ca="1" t="array" ref="J1895">MIN(8,_xlfn.XLOOKUP($D1895&amp;"_"&amp;J$52,$B$14:$B$36&amp;"_"&amp;$C$14:$C$36,$D$14:$D$36)*$E1895)</f>
        <v>8</v>
      </c>
      <c r="K1895" s="95" cm="1">
        <f ca="1" t="array" ref="K1895">MIN(18,_xlfn.XLOOKUP($D1895&amp;"_"&amp;K$52,$B$14:$B$36&amp;"_"&amp;$C$14:$C$36,$D$14:$D$36)*$E1895)</f>
        <v>5.2444</v>
      </c>
      <c r="L1895" s="95" cm="1">
        <f ca="1" t="array" ref="L1895">MIN(6,_xlfn.XLOOKUP($D1895&amp;"_"&amp;L$52,$B$14:$B$36&amp;"_"&amp;$C$14:$C$36,$D$14:$D$36)*$E1895)</f>
        <v>6</v>
      </c>
      <c r="M1895" s="95" cm="1">
        <f ca="1" t="array" ref="M1895">(1+SUMPRODUCT(G1895:H1895,OFFSET($H$40:$I$40,D1895,0)))*(1+OFFSET($J$40,D1895,0))^I1895*(1+OFFSET($K$40,D1895,0))^J1895*(1+OFFSET($L$40,D1895,0))^K1895*(1+OFFSET($M$40,D1895,0))^L1895</f>
        <v>399.722049781703</v>
      </c>
      <c r="N1895" s="95">
        <f ca="1">MAX(MAX($N$53:N1894),OFFSET($C$52,MATCH(M1895*1.07,$M$53:$M$2052,1),0)-C1895)</f>
        <v>73440</v>
      </c>
    </row>
    <row r="1896" spans="2:14">
      <c r="B1896" s="95">
        <v>1844</v>
      </c>
      <c r="C1896" s="95">
        <f t="shared" si="143"/>
        <v>663840</v>
      </c>
      <c r="D1896" s="95">
        <f ca="1">_xlfn.XLOOKUP(总览!$B$44,$B$40:$B$45,$C$40:$C$45)</f>
        <v>5</v>
      </c>
      <c r="E1896" s="95">
        <f ca="1" t="shared" si="142"/>
        <v>1874</v>
      </c>
      <c r="F1896" s="95">
        <f ca="1" t="shared" si="144"/>
        <v>0</v>
      </c>
      <c r="G1896" s="95">
        <f ca="1" t="shared" si="145"/>
        <v>0</v>
      </c>
      <c r="H1896" s="95" cm="1">
        <f ca="1" t="array" ref="H1896">MIN(30-SUM(I1896:L1896),_xlfn.XLOOKUP($D1896&amp;"_"&amp;H$52,$B$14:$B$36&amp;"_"&amp;$C$14:$C$36,$D$14:$D$36)*$E1896,18)</f>
        <v>10.7528</v>
      </c>
      <c r="I1896" s="95" cm="1">
        <f ca="1" t="array" ref="I1896">MIN(30-SUM(J1896:L1896),6-L1896,_xlfn.XLOOKUP($D1896&amp;"_"&amp;I$52,$B$14:$B$36&amp;"_"&amp;$C$14:$C$36,$D$14:$D$36)*$E1896)</f>
        <v>0</v>
      </c>
      <c r="J1896" s="95" cm="1">
        <f ca="1" t="array" ref="J1896">MIN(8,_xlfn.XLOOKUP($D1896&amp;"_"&amp;J$52,$B$14:$B$36&amp;"_"&amp;$C$14:$C$36,$D$14:$D$36)*$E1896)</f>
        <v>8</v>
      </c>
      <c r="K1896" s="95" cm="1">
        <f ca="1" t="array" ref="K1896">MIN(18,_xlfn.XLOOKUP($D1896&amp;"_"&amp;K$52,$B$14:$B$36&amp;"_"&amp;$C$14:$C$36,$D$14:$D$36)*$E1896)</f>
        <v>5.2472</v>
      </c>
      <c r="L1896" s="95" cm="1">
        <f ca="1" t="array" ref="L1896">MIN(6,_xlfn.XLOOKUP($D1896&amp;"_"&amp;L$52,$B$14:$B$36&amp;"_"&amp;$C$14:$C$36,$D$14:$D$36)*$E1896)</f>
        <v>6</v>
      </c>
      <c r="M1896" s="95" cm="1">
        <f ca="1" t="array" ref="M1896">(1+SUMPRODUCT(G1896:H1896,OFFSET($H$40:$I$40,D1896,0)))*(1+OFFSET($J$40,D1896,0))^I1896*(1+OFFSET($K$40,D1896,0))^J1896*(1+OFFSET($L$40,D1896,0))^K1896*(1+OFFSET($M$40,D1896,0))^L1896</f>
        <v>399.855087412671</v>
      </c>
      <c r="N1896" s="95">
        <f ca="1">MAX(MAX($N$53:N1895),OFFSET($C$52,MATCH(M1896*1.07,$M$53:$M$2052,1),0)-C1896)</f>
        <v>73440</v>
      </c>
    </row>
    <row r="1897" spans="2:14">
      <c r="B1897" s="95">
        <v>1845</v>
      </c>
      <c r="C1897" s="95">
        <f t="shared" si="143"/>
        <v>664200</v>
      </c>
      <c r="D1897" s="95">
        <f ca="1">_xlfn.XLOOKUP(总览!$B$44,$B$40:$B$45,$C$40:$C$45)</f>
        <v>5</v>
      </c>
      <c r="E1897" s="95">
        <f ca="1" t="shared" si="142"/>
        <v>1875</v>
      </c>
      <c r="F1897" s="95">
        <f ca="1" t="shared" si="144"/>
        <v>0</v>
      </c>
      <c r="G1897" s="95">
        <f ca="1" t="shared" si="145"/>
        <v>0</v>
      </c>
      <c r="H1897" s="95" cm="1">
        <f ca="1" t="array" ref="H1897">MIN(30-SUM(I1897:L1897),_xlfn.XLOOKUP($D1897&amp;"_"&amp;H$52,$B$14:$B$36&amp;"_"&amp;$C$14:$C$36,$D$14:$D$36)*$E1897,18)</f>
        <v>10.75</v>
      </c>
      <c r="I1897" s="95" cm="1">
        <f ca="1" t="array" ref="I1897">MIN(30-SUM(J1897:L1897),6-L1897,_xlfn.XLOOKUP($D1897&amp;"_"&amp;I$52,$B$14:$B$36&amp;"_"&amp;$C$14:$C$36,$D$14:$D$36)*$E1897)</f>
        <v>0</v>
      </c>
      <c r="J1897" s="95" cm="1">
        <f ca="1" t="array" ref="J1897">MIN(8,_xlfn.XLOOKUP($D1897&amp;"_"&amp;J$52,$B$14:$B$36&amp;"_"&amp;$C$14:$C$36,$D$14:$D$36)*$E1897)</f>
        <v>8</v>
      </c>
      <c r="K1897" s="95" cm="1">
        <f ca="1" t="array" ref="K1897">MIN(18,_xlfn.XLOOKUP($D1897&amp;"_"&amp;K$52,$B$14:$B$36&amp;"_"&amp;$C$14:$C$36,$D$14:$D$36)*$E1897)</f>
        <v>5.25</v>
      </c>
      <c r="L1897" s="95" cm="1">
        <f ca="1" t="array" ref="L1897">MIN(6,_xlfn.XLOOKUP($D1897&amp;"_"&amp;L$52,$B$14:$B$36&amp;"_"&amp;$C$14:$C$36,$D$14:$D$36)*$E1897)</f>
        <v>6</v>
      </c>
      <c r="M1897" s="95" cm="1">
        <f ca="1" t="array" ref="M1897">(1+SUMPRODUCT(G1897:H1897,OFFSET($H$40:$I$40,D1897,0)))*(1+OFFSET($J$40,D1897,0))^I1897*(1+OFFSET($K$40,D1897,0))^J1897*(1+OFFSET($L$40,D1897,0))^K1897*(1+OFFSET($M$40,D1897,0))^L1897</f>
        <v>399.988156684828</v>
      </c>
      <c r="N1897" s="95">
        <f ca="1">MAX(MAX($N$53:N1896),OFFSET($C$52,MATCH(M1897*1.07,$M$53:$M$2052,1),0)-C1897)</f>
        <v>73440</v>
      </c>
    </row>
    <row r="1898" spans="2:14">
      <c r="B1898" s="95">
        <v>1846</v>
      </c>
      <c r="C1898" s="95">
        <f t="shared" si="143"/>
        <v>664560</v>
      </c>
      <c r="D1898" s="95">
        <f ca="1">_xlfn.XLOOKUP(总览!$B$44,$B$40:$B$45,$C$40:$C$45)</f>
        <v>5</v>
      </c>
      <c r="E1898" s="95">
        <f ca="1" t="shared" si="142"/>
        <v>1876</v>
      </c>
      <c r="F1898" s="95">
        <f ca="1" t="shared" si="144"/>
        <v>0</v>
      </c>
      <c r="G1898" s="95">
        <f ca="1" t="shared" si="145"/>
        <v>0</v>
      </c>
      <c r="H1898" s="95" cm="1">
        <f ca="1" t="array" ref="H1898">MIN(30-SUM(I1898:L1898),_xlfn.XLOOKUP($D1898&amp;"_"&amp;H$52,$B$14:$B$36&amp;"_"&amp;$C$14:$C$36,$D$14:$D$36)*$E1898,18)</f>
        <v>10.7472</v>
      </c>
      <c r="I1898" s="95" cm="1">
        <f ca="1" t="array" ref="I1898">MIN(30-SUM(J1898:L1898),6-L1898,_xlfn.XLOOKUP($D1898&amp;"_"&amp;I$52,$B$14:$B$36&amp;"_"&amp;$C$14:$C$36,$D$14:$D$36)*$E1898)</f>
        <v>0</v>
      </c>
      <c r="J1898" s="95" cm="1">
        <f ca="1" t="array" ref="J1898">MIN(8,_xlfn.XLOOKUP($D1898&amp;"_"&amp;J$52,$B$14:$B$36&amp;"_"&amp;$C$14:$C$36,$D$14:$D$36)*$E1898)</f>
        <v>8</v>
      </c>
      <c r="K1898" s="95" cm="1">
        <f ca="1" t="array" ref="K1898">MIN(18,_xlfn.XLOOKUP($D1898&amp;"_"&amp;K$52,$B$14:$B$36&amp;"_"&amp;$C$14:$C$36,$D$14:$D$36)*$E1898)</f>
        <v>5.2528</v>
      </c>
      <c r="L1898" s="95" cm="1">
        <f ca="1" t="array" ref="L1898">MIN(6,_xlfn.XLOOKUP($D1898&amp;"_"&amp;L$52,$B$14:$B$36&amp;"_"&amp;$C$14:$C$36,$D$14:$D$36)*$E1898)</f>
        <v>6</v>
      </c>
      <c r="M1898" s="95" cm="1">
        <f ca="1" t="array" ref="M1898">(1+SUMPRODUCT(G1898:H1898,OFFSET($H$40:$I$40,D1898,0)))*(1+OFFSET($J$40,D1898,0))^I1898*(1+OFFSET($K$40,D1898,0))^J1898*(1+OFFSET($L$40,D1898,0))^K1898*(1+OFFSET($M$40,D1898,0))^L1898</f>
        <v>400.121257595797</v>
      </c>
      <c r="N1898" s="95">
        <f ca="1">MAX(MAX($N$53:N1897),OFFSET($C$52,MATCH(M1898*1.07,$M$53:$M$2052,1),0)-C1898)</f>
        <v>73440</v>
      </c>
    </row>
    <row r="1899" spans="2:14">
      <c r="B1899" s="95">
        <v>1847</v>
      </c>
      <c r="C1899" s="95">
        <f t="shared" si="143"/>
        <v>664920</v>
      </c>
      <c r="D1899" s="95">
        <f ca="1">_xlfn.XLOOKUP(总览!$B$44,$B$40:$B$45,$C$40:$C$45)</f>
        <v>5</v>
      </c>
      <c r="E1899" s="95">
        <f ca="1" t="shared" si="142"/>
        <v>1877</v>
      </c>
      <c r="F1899" s="95">
        <f ca="1" t="shared" si="144"/>
        <v>0</v>
      </c>
      <c r="G1899" s="95">
        <f ca="1" t="shared" si="145"/>
        <v>0</v>
      </c>
      <c r="H1899" s="95" cm="1">
        <f ca="1" t="array" ref="H1899">MIN(30-SUM(I1899:L1899),_xlfn.XLOOKUP($D1899&amp;"_"&amp;H$52,$B$14:$B$36&amp;"_"&amp;$C$14:$C$36,$D$14:$D$36)*$E1899,18)</f>
        <v>10.7444</v>
      </c>
      <c r="I1899" s="95" cm="1">
        <f ca="1" t="array" ref="I1899">MIN(30-SUM(J1899:L1899),6-L1899,_xlfn.XLOOKUP($D1899&amp;"_"&amp;I$52,$B$14:$B$36&amp;"_"&amp;$C$14:$C$36,$D$14:$D$36)*$E1899)</f>
        <v>0</v>
      </c>
      <c r="J1899" s="95" cm="1">
        <f ca="1" t="array" ref="J1899">MIN(8,_xlfn.XLOOKUP($D1899&amp;"_"&amp;J$52,$B$14:$B$36&amp;"_"&amp;$C$14:$C$36,$D$14:$D$36)*$E1899)</f>
        <v>8</v>
      </c>
      <c r="K1899" s="95" cm="1">
        <f ca="1" t="array" ref="K1899">MIN(18,_xlfn.XLOOKUP($D1899&amp;"_"&amp;K$52,$B$14:$B$36&amp;"_"&amp;$C$14:$C$36,$D$14:$D$36)*$E1899)</f>
        <v>5.2556</v>
      </c>
      <c r="L1899" s="95" cm="1">
        <f ca="1" t="array" ref="L1899">MIN(6,_xlfn.XLOOKUP($D1899&amp;"_"&amp;L$52,$B$14:$B$36&amp;"_"&amp;$C$14:$C$36,$D$14:$D$36)*$E1899)</f>
        <v>6</v>
      </c>
      <c r="M1899" s="95" cm="1">
        <f ca="1" t="array" ref="M1899">(1+SUMPRODUCT(G1899:H1899,OFFSET($H$40:$I$40,D1899,0)))*(1+OFFSET($J$40,D1899,0))^I1899*(1+OFFSET($K$40,D1899,0))^J1899*(1+OFFSET($L$40,D1899,0))^K1899*(1+OFFSET($M$40,D1899,0))^L1899</f>
        <v>400.254390143195</v>
      </c>
      <c r="N1899" s="95">
        <f ca="1">MAX(MAX($N$53:N1898),OFFSET($C$52,MATCH(M1899*1.07,$M$53:$M$2052,1),0)-C1899)</f>
        <v>73440</v>
      </c>
    </row>
    <row r="1900" spans="2:14">
      <c r="B1900" s="95">
        <v>1848</v>
      </c>
      <c r="C1900" s="95">
        <f t="shared" si="143"/>
        <v>665280</v>
      </c>
      <c r="D1900" s="95">
        <f ca="1">_xlfn.XLOOKUP(总览!$B$44,$B$40:$B$45,$C$40:$C$45)</f>
        <v>5</v>
      </c>
      <c r="E1900" s="95">
        <f ca="1" t="shared" si="142"/>
        <v>1878</v>
      </c>
      <c r="F1900" s="95">
        <f ca="1" t="shared" si="144"/>
        <v>0</v>
      </c>
      <c r="G1900" s="95">
        <f ca="1" t="shared" si="145"/>
        <v>0</v>
      </c>
      <c r="H1900" s="95" cm="1">
        <f ca="1" t="array" ref="H1900">MIN(30-SUM(I1900:L1900),_xlfn.XLOOKUP($D1900&amp;"_"&amp;H$52,$B$14:$B$36&amp;"_"&amp;$C$14:$C$36,$D$14:$D$36)*$E1900,18)</f>
        <v>10.7416</v>
      </c>
      <c r="I1900" s="95" cm="1">
        <f ca="1" t="array" ref="I1900">MIN(30-SUM(J1900:L1900),6-L1900,_xlfn.XLOOKUP($D1900&amp;"_"&amp;I$52,$B$14:$B$36&amp;"_"&amp;$C$14:$C$36,$D$14:$D$36)*$E1900)</f>
        <v>0</v>
      </c>
      <c r="J1900" s="95" cm="1">
        <f ca="1" t="array" ref="J1900">MIN(8,_xlfn.XLOOKUP($D1900&amp;"_"&amp;J$52,$B$14:$B$36&amp;"_"&amp;$C$14:$C$36,$D$14:$D$36)*$E1900)</f>
        <v>8</v>
      </c>
      <c r="K1900" s="95" cm="1">
        <f ca="1" t="array" ref="K1900">MIN(18,_xlfn.XLOOKUP($D1900&amp;"_"&amp;K$52,$B$14:$B$36&amp;"_"&amp;$C$14:$C$36,$D$14:$D$36)*$E1900)</f>
        <v>5.2584</v>
      </c>
      <c r="L1900" s="95" cm="1">
        <f ca="1" t="array" ref="L1900">MIN(6,_xlfn.XLOOKUP($D1900&amp;"_"&amp;L$52,$B$14:$B$36&amp;"_"&amp;$C$14:$C$36,$D$14:$D$36)*$E1900)</f>
        <v>6</v>
      </c>
      <c r="M1900" s="95" cm="1">
        <f ca="1" t="array" ref="M1900">(1+SUMPRODUCT(G1900:H1900,OFFSET($H$40:$I$40,D1900,0)))*(1+OFFSET($J$40,D1900,0))^I1900*(1+OFFSET($K$40,D1900,0))^J1900*(1+OFFSET($L$40,D1900,0))^K1900*(1+OFFSET($M$40,D1900,0))^L1900</f>
        <v>400.387554324624</v>
      </c>
      <c r="N1900" s="95">
        <f ca="1">MAX(MAX($N$53:N1899),OFFSET($C$52,MATCH(M1900*1.07,$M$53:$M$2052,1),0)-C1900)</f>
        <v>73440</v>
      </c>
    </row>
    <row r="1901" spans="2:14">
      <c r="B1901" s="95">
        <v>1849</v>
      </c>
      <c r="C1901" s="95">
        <f t="shared" si="143"/>
        <v>665640</v>
      </c>
      <c r="D1901" s="95">
        <f ca="1">_xlfn.XLOOKUP(总览!$B$44,$B$40:$B$45,$C$40:$C$45)</f>
        <v>5</v>
      </c>
      <c r="E1901" s="95">
        <f ca="1" t="shared" si="142"/>
        <v>1879</v>
      </c>
      <c r="F1901" s="95">
        <f ca="1" t="shared" si="144"/>
        <v>0</v>
      </c>
      <c r="G1901" s="95">
        <f ca="1" t="shared" si="145"/>
        <v>0</v>
      </c>
      <c r="H1901" s="95" cm="1">
        <f ca="1" t="array" ref="H1901">MIN(30-SUM(I1901:L1901),_xlfn.XLOOKUP($D1901&amp;"_"&amp;H$52,$B$14:$B$36&amp;"_"&amp;$C$14:$C$36,$D$14:$D$36)*$E1901,18)</f>
        <v>10.7388</v>
      </c>
      <c r="I1901" s="95" cm="1">
        <f ca="1" t="array" ref="I1901">MIN(30-SUM(J1901:L1901),6-L1901,_xlfn.XLOOKUP($D1901&amp;"_"&amp;I$52,$B$14:$B$36&amp;"_"&amp;$C$14:$C$36,$D$14:$D$36)*$E1901)</f>
        <v>0</v>
      </c>
      <c r="J1901" s="95" cm="1">
        <f ca="1" t="array" ref="J1901">MIN(8,_xlfn.XLOOKUP($D1901&amp;"_"&amp;J$52,$B$14:$B$36&amp;"_"&amp;$C$14:$C$36,$D$14:$D$36)*$E1901)</f>
        <v>8</v>
      </c>
      <c r="K1901" s="95" cm="1">
        <f ca="1" t="array" ref="K1901">MIN(18,_xlfn.XLOOKUP($D1901&amp;"_"&amp;K$52,$B$14:$B$36&amp;"_"&amp;$C$14:$C$36,$D$14:$D$36)*$E1901)</f>
        <v>5.2612</v>
      </c>
      <c r="L1901" s="95" cm="1">
        <f ca="1" t="array" ref="L1901">MIN(6,_xlfn.XLOOKUP($D1901&amp;"_"&amp;L$52,$B$14:$B$36&amp;"_"&amp;$C$14:$C$36,$D$14:$D$36)*$E1901)</f>
        <v>6</v>
      </c>
      <c r="M1901" s="95" cm="1">
        <f ca="1" t="array" ref="M1901">(1+SUMPRODUCT(G1901:H1901,OFFSET($H$40:$I$40,D1901,0)))*(1+OFFSET($J$40,D1901,0))^I1901*(1+OFFSET($K$40,D1901,0))^J1901*(1+OFFSET($L$40,D1901,0))^K1901*(1+OFFSET($M$40,D1901,0))^L1901</f>
        <v>400.520750137679</v>
      </c>
      <c r="N1901" s="95">
        <f ca="1">MAX(MAX($N$53:N1900),OFFSET($C$52,MATCH(M1901*1.07,$M$53:$M$2052,1),0)-C1901)</f>
        <v>73440</v>
      </c>
    </row>
    <row r="1902" spans="2:14">
      <c r="B1902" s="95">
        <v>1850</v>
      </c>
      <c r="C1902" s="95">
        <f t="shared" si="143"/>
        <v>666000</v>
      </c>
      <c r="D1902" s="95">
        <f ca="1">_xlfn.XLOOKUP(总览!$B$44,$B$40:$B$45,$C$40:$C$45)</f>
        <v>5</v>
      </c>
      <c r="E1902" s="95">
        <f ca="1" t="shared" si="142"/>
        <v>1880</v>
      </c>
      <c r="F1902" s="95">
        <f ca="1" t="shared" si="144"/>
        <v>0</v>
      </c>
      <c r="G1902" s="95">
        <f ca="1" t="shared" si="145"/>
        <v>0</v>
      </c>
      <c r="H1902" s="95" cm="1">
        <f ca="1" t="array" ref="H1902">MIN(30-SUM(I1902:L1902),_xlfn.XLOOKUP($D1902&amp;"_"&amp;H$52,$B$14:$B$36&amp;"_"&amp;$C$14:$C$36,$D$14:$D$36)*$E1902,18)</f>
        <v>10.736</v>
      </c>
      <c r="I1902" s="95" cm="1">
        <f ca="1" t="array" ref="I1902">MIN(30-SUM(J1902:L1902),6-L1902,_xlfn.XLOOKUP($D1902&amp;"_"&amp;I$52,$B$14:$B$36&amp;"_"&amp;$C$14:$C$36,$D$14:$D$36)*$E1902)</f>
        <v>0</v>
      </c>
      <c r="J1902" s="95" cm="1">
        <f ca="1" t="array" ref="J1902">MIN(8,_xlfn.XLOOKUP($D1902&amp;"_"&amp;J$52,$B$14:$B$36&amp;"_"&amp;$C$14:$C$36,$D$14:$D$36)*$E1902)</f>
        <v>8</v>
      </c>
      <c r="K1902" s="95" cm="1">
        <f ca="1" t="array" ref="K1902">MIN(18,_xlfn.XLOOKUP($D1902&amp;"_"&amp;K$52,$B$14:$B$36&amp;"_"&amp;$C$14:$C$36,$D$14:$D$36)*$E1902)</f>
        <v>5.264</v>
      </c>
      <c r="L1902" s="95" cm="1">
        <f ca="1" t="array" ref="L1902">MIN(6,_xlfn.XLOOKUP($D1902&amp;"_"&amp;L$52,$B$14:$B$36&amp;"_"&amp;$C$14:$C$36,$D$14:$D$36)*$E1902)</f>
        <v>6</v>
      </c>
      <c r="M1902" s="95" cm="1">
        <f ca="1" t="array" ref="M1902">(1+SUMPRODUCT(G1902:H1902,OFFSET($H$40:$I$40,D1902,0)))*(1+OFFSET($J$40,D1902,0))^I1902*(1+OFFSET($K$40,D1902,0))^J1902*(1+OFFSET($L$40,D1902,0))^K1902*(1+OFFSET($M$40,D1902,0))^L1902</f>
        <v>400.653977579941</v>
      </c>
      <c r="N1902" s="95">
        <f ca="1">MAX(MAX($N$53:N1901),OFFSET($C$52,MATCH(M1902*1.07,$M$53:$M$2052,1),0)-C1902)</f>
        <v>73440</v>
      </c>
    </row>
    <row r="1903" spans="2:14">
      <c r="B1903" s="95">
        <v>1851</v>
      </c>
      <c r="C1903" s="95">
        <f t="shared" si="143"/>
        <v>666360</v>
      </c>
      <c r="D1903" s="95">
        <f ca="1">_xlfn.XLOOKUP(总览!$B$44,$B$40:$B$45,$C$40:$C$45)</f>
        <v>5</v>
      </c>
      <c r="E1903" s="95">
        <f ca="1" t="shared" si="142"/>
        <v>1881</v>
      </c>
      <c r="F1903" s="95">
        <f ca="1" t="shared" si="144"/>
        <v>0</v>
      </c>
      <c r="G1903" s="95">
        <f ca="1" t="shared" si="145"/>
        <v>0</v>
      </c>
      <c r="H1903" s="95" cm="1">
        <f ca="1" t="array" ref="H1903">MIN(30-SUM(I1903:L1903),_xlfn.XLOOKUP($D1903&amp;"_"&amp;H$52,$B$14:$B$36&amp;"_"&amp;$C$14:$C$36,$D$14:$D$36)*$E1903,18)</f>
        <v>10.7332</v>
      </c>
      <c r="I1903" s="95" cm="1">
        <f ca="1" t="array" ref="I1903">MIN(30-SUM(J1903:L1903),6-L1903,_xlfn.XLOOKUP($D1903&amp;"_"&amp;I$52,$B$14:$B$36&amp;"_"&amp;$C$14:$C$36,$D$14:$D$36)*$E1903)</f>
        <v>0</v>
      </c>
      <c r="J1903" s="95" cm="1">
        <f ca="1" t="array" ref="J1903">MIN(8,_xlfn.XLOOKUP($D1903&amp;"_"&amp;J$52,$B$14:$B$36&amp;"_"&amp;$C$14:$C$36,$D$14:$D$36)*$E1903)</f>
        <v>8</v>
      </c>
      <c r="K1903" s="95" cm="1">
        <f ca="1" t="array" ref="K1903">MIN(18,_xlfn.XLOOKUP($D1903&amp;"_"&amp;K$52,$B$14:$B$36&amp;"_"&amp;$C$14:$C$36,$D$14:$D$36)*$E1903)</f>
        <v>5.2668</v>
      </c>
      <c r="L1903" s="95" cm="1">
        <f ca="1" t="array" ref="L1903">MIN(6,_xlfn.XLOOKUP($D1903&amp;"_"&amp;L$52,$B$14:$B$36&amp;"_"&amp;$C$14:$C$36,$D$14:$D$36)*$E1903)</f>
        <v>6</v>
      </c>
      <c r="M1903" s="95" cm="1">
        <f ca="1" t="array" ref="M1903">(1+SUMPRODUCT(G1903:H1903,OFFSET($H$40:$I$40,D1903,0)))*(1+OFFSET($J$40,D1903,0))^I1903*(1+OFFSET($K$40,D1903,0))^J1903*(1+OFFSET($L$40,D1903,0))^K1903*(1+OFFSET($M$40,D1903,0))^L1903</f>
        <v>400.787236648982</v>
      </c>
      <c r="N1903" s="95">
        <f ca="1">MAX(MAX($N$53:N1902),OFFSET($C$52,MATCH(M1903*1.07,$M$53:$M$2052,1),0)-C1903)</f>
        <v>73440</v>
      </c>
    </row>
    <row r="1904" spans="2:14">
      <c r="B1904" s="95">
        <v>1852</v>
      </c>
      <c r="C1904" s="95">
        <f t="shared" si="143"/>
        <v>666720</v>
      </c>
      <c r="D1904" s="95">
        <f ca="1">_xlfn.XLOOKUP(总览!$B$44,$B$40:$B$45,$C$40:$C$45)</f>
        <v>5</v>
      </c>
      <c r="E1904" s="95">
        <f ca="1" t="shared" si="142"/>
        <v>1882</v>
      </c>
      <c r="F1904" s="95">
        <f ca="1" t="shared" si="144"/>
        <v>0</v>
      </c>
      <c r="G1904" s="95">
        <f ca="1" t="shared" si="145"/>
        <v>0</v>
      </c>
      <c r="H1904" s="95" cm="1">
        <f ca="1" t="array" ref="H1904">MIN(30-SUM(I1904:L1904),_xlfn.XLOOKUP($D1904&amp;"_"&amp;H$52,$B$14:$B$36&amp;"_"&amp;$C$14:$C$36,$D$14:$D$36)*$E1904,18)</f>
        <v>10.7304</v>
      </c>
      <c r="I1904" s="95" cm="1">
        <f ca="1" t="array" ref="I1904">MIN(30-SUM(J1904:L1904),6-L1904,_xlfn.XLOOKUP($D1904&amp;"_"&amp;I$52,$B$14:$B$36&amp;"_"&amp;$C$14:$C$36,$D$14:$D$36)*$E1904)</f>
        <v>0</v>
      </c>
      <c r="J1904" s="95" cm="1">
        <f ca="1" t="array" ref="J1904">MIN(8,_xlfn.XLOOKUP($D1904&amp;"_"&amp;J$52,$B$14:$B$36&amp;"_"&amp;$C$14:$C$36,$D$14:$D$36)*$E1904)</f>
        <v>8</v>
      </c>
      <c r="K1904" s="95" cm="1">
        <f ca="1" t="array" ref="K1904">MIN(18,_xlfn.XLOOKUP($D1904&amp;"_"&amp;K$52,$B$14:$B$36&amp;"_"&amp;$C$14:$C$36,$D$14:$D$36)*$E1904)</f>
        <v>5.2696</v>
      </c>
      <c r="L1904" s="95" cm="1">
        <f ca="1" t="array" ref="L1904">MIN(6,_xlfn.XLOOKUP($D1904&amp;"_"&amp;L$52,$B$14:$B$36&amp;"_"&amp;$C$14:$C$36,$D$14:$D$36)*$E1904)</f>
        <v>6</v>
      </c>
      <c r="M1904" s="95" cm="1">
        <f ca="1" t="array" ref="M1904">(1+SUMPRODUCT(G1904:H1904,OFFSET($H$40:$I$40,D1904,0)))*(1+OFFSET($J$40,D1904,0))^I1904*(1+OFFSET($K$40,D1904,0))^J1904*(1+OFFSET($L$40,D1904,0))^K1904*(1+OFFSET($M$40,D1904,0))^L1904</f>
        <v>400.920527342363</v>
      </c>
      <c r="N1904" s="95">
        <f ca="1">MAX(MAX($N$53:N1903),OFFSET($C$52,MATCH(M1904*1.07,$M$53:$M$2052,1),0)-C1904)</f>
        <v>73440</v>
      </c>
    </row>
    <row r="1905" spans="2:14">
      <c r="B1905" s="95">
        <v>1853</v>
      </c>
      <c r="C1905" s="95">
        <f t="shared" si="143"/>
        <v>667080</v>
      </c>
      <c r="D1905" s="95">
        <f ca="1">_xlfn.XLOOKUP(总览!$B$44,$B$40:$B$45,$C$40:$C$45)</f>
        <v>5</v>
      </c>
      <c r="E1905" s="95">
        <f ca="1" t="shared" si="142"/>
        <v>1883</v>
      </c>
      <c r="F1905" s="95">
        <f ca="1" t="shared" si="144"/>
        <v>0</v>
      </c>
      <c r="G1905" s="95">
        <f ca="1" t="shared" si="145"/>
        <v>0</v>
      </c>
      <c r="H1905" s="95" cm="1">
        <f ca="1" t="array" ref="H1905">MIN(30-SUM(I1905:L1905),_xlfn.XLOOKUP($D1905&amp;"_"&amp;H$52,$B$14:$B$36&amp;"_"&amp;$C$14:$C$36,$D$14:$D$36)*$E1905,18)</f>
        <v>10.7276</v>
      </c>
      <c r="I1905" s="95" cm="1">
        <f ca="1" t="array" ref="I1905">MIN(30-SUM(J1905:L1905),6-L1905,_xlfn.XLOOKUP($D1905&amp;"_"&amp;I$52,$B$14:$B$36&amp;"_"&amp;$C$14:$C$36,$D$14:$D$36)*$E1905)</f>
        <v>0</v>
      </c>
      <c r="J1905" s="95" cm="1">
        <f ca="1" t="array" ref="J1905">MIN(8,_xlfn.XLOOKUP($D1905&amp;"_"&amp;J$52,$B$14:$B$36&amp;"_"&amp;$C$14:$C$36,$D$14:$D$36)*$E1905)</f>
        <v>8</v>
      </c>
      <c r="K1905" s="95" cm="1">
        <f ca="1" t="array" ref="K1905">MIN(18,_xlfn.XLOOKUP($D1905&amp;"_"&amp;K$52,$B$14:$B$36&amp;"_"&amp;$C$14:$C$36,$D$14:$D$36)*$E1905)</f>
        <v>5.2724</v>
      </c>
      <c r="L1905" s="95" cm="1">
        <f ca="1" t="array" ref="L1905">MIN(6,_xlfn.XLOOKUP($D1905&amp;"_"&amp;L$52,$B$14:$B$36&amp;"_"&amp;$C$14:$C$36,$D$14:$D$36)*$E1905)</f>
        <v>6</v>
      </c>
      <c r="M1905" s="95" cm="1">
        <f ca="1" t="array" ref="M1905">(1+SUMPRODUCT(G1905:H1905,OFFSET($H$40:$I$40,D1905,0)))*(1+OFFSET($J$40,D1905,0))^I1905*(1+OFFSET($K$40,D1905,0))^J1905*(1+OFFSET($L$40,D1905,0))^K1905*(1+OFFSET($M$40,D1905,0))^L1905</f>
        <v>401.053849657634</v>
      </c>
      <c r="N1905" s="95">
        <f ca="1">MAX(MAX($N$53:N1904),OFFSET($C$52,MATCH(M1905*1.07,$M$53:$M$2052,1),0)-C1905)</f>
        <v>73440</v>
      </c>
    </row>
    <row r="1906" spans="2:14">
      <c r="B1906" s="95">
        <v>1854</v>
      </c>
      <c r="C1906" s="95">
        <f t="shared" si="143"/>
        <v>667440</v>
      </c>
      <c r="D1906" s="95">
        <f ca="1">_xlfn.XLOOKUP(总览!$B$44,$B$40:$B$45,$C$40:$C$45)</f>
        <v>5</v>
      </c>
      <c r="E1906" s="95">
        <f ca="1" t="shared" si="142"/>
        <v>1884</v>
      </c>
      <c r="F1906" s="95">
        <f ca="1" t="shared" si="144"/>
        <v>0</v>
      </c>
      <c r="G1906" s="95">
        <f ca="1" t="shared" si="145"/>
        <v>0</v>
      </c>
      <c r="H1906" s="95" cm="1">
        <f ca="1" t="array" ref="H1906">MIN(30-SUM(I1906:L1906),_xlfn.XLOOKUP($D1906&amp;"_"&amp;H$52,$B$14:$B$36&amp;"_"&amp;$C$14:$C$36,$D$14:$D$36)*$E1906,18)</f>
        <v>10.7248</v>
      </c>
      <c r="I1906" s="95" cm="1">
        <f ca="1" t="array" ref="I1906">MIN(30-SUM(J1906:L1906),6-L1906,_xlfn.XLOOKUP($D1906&amp;"_"&amp;I$52,$B$14:$B$36&amp;"_"&amp;$C$14:$C$36,$D$14:$D$36)*$E1906)</f>
        <v>0</v>
      </c>
      <c r="J1906" s="95" cm="1">
        <f ca="1" t="array" ref="J1906">MIN(8,_xlfn.XLOOKUP($D1906&amp;"_"&amp;J$52,$B$14:$B$36&amp;"_"&amp;$C$14:$C$36,$D$14:$D$36)*$E1906)</f>
        <v>8</v>
      </c>
      <c r="K1906" s="95" cm="1">
        <f ca="1" t="array" ref="K1906">MIN(18,_xlfn.XLOOKUP($D1906&amp;"_"&amp;K$52,$B$14:$B$36&amp;"_"&amp;$C$14:$C$36,$D$14:$D$36)*$E1906)</f>
        <v>5.2752</v>
      </c>
      <c r="L1906" s="95" cm="1">
        <f ca="1" t="array" ref="L1906">MIN(6,_xlfn.XLOOKUP($D1906&amp;"_"&amp;L$52,$B$14:$B$36&amp;"_"&amp;$C$14:$C$36,$D$14:$D$36)*$E1906)</f>
        <v>6</v>
      </c>
      <c r="M1906" s="95" cm="1">
        <f ca="1" t="array" ref="M1906">(1+SUMPRODUCT(G1906:H1906,OFFSET($H$40:$I$40,D1906,0)))*(1+OFFSET($J$40,D1906,0))^I1906*(1+OFFSET($K$40,D1906,0))^J1906*(1+OFFSET($L$40,D1906,0))^K1906*(1+OFFSET($M$40,D1906,0))^L1906</f>
        <v>401.187203592335</v>
      </c>
      <c r="N1906" s="95">
        <f ca="1">MAX(MAX($N$53:N1905),OFFSET($C$52,MATCH(M1906*1.07,$M$53:$M$2052,1),0)-C1906)</f>
        <v>73440</v>
      </c>
    </row>
    <row r="1907" spans="2:14">
      <c r="B1907" s="95">
        <v>1855</v>
      </c>
      <c r="C1907" s="95">
        <f t="shared" si="143"/>
        <v>667800</v>
      </c>
      <c r="D1907" s="95">
        <f ca="1">_xlfn.XLOOKUP(总览!$B$44,$B$40:$B$45,$C$40:$C$45)</f>
        <v>5</v>
      </c>
      <c r="E1907" s="95">
        <f ca="1" t="shared" si="142"/>
        <v>1885</v>
      </c>
      <c r="F1907" s="95">
        <f ca="1" t="shared" si="144"/>
        <v>0</v>
      </c>
      <c r="G1907" s="95">
        <f ca="1" t="shared" si="145"/>
        <v>0</v>
      </c>
      <c r="H1907" s="95" cm="1">
        <f ca="1" t="array" ref="H1907">MIN(30-SUM(I1907:L1907),_xlfn.XLOOKUP($D1907&amp;"_"&amp;H$52,$B$14:$B$36&amp;"_"&amp;$C$14:$C$36,$D$14:$D$36)*$E1907,18)</f>
        <v>10.722</v>
      </c>
      <c r="I1907" s="95" cm="1">
        <f ca="1" t="array" ref="I1907">MIN(30-SUM(J1907:L1907),6-L1907,_xlfn.XLOOKUP($D1907&amp;"_"&amp;I$52,$B$14:$B$36&amp;"_"&amp;$C$14:$C$36,$D$14:$D$36)*$E1907)</f>
        <v>0</v>
      </c>
      <c r="J1907" s="95" cm="1">
        <f ca="1" t="array" ref="J1907">MIN(8,_xlfn.XLOOKUP($D1907&amp;"_"&amp;J$52,$B$14:$B$36&amp;"_"&amp;$C$14:$C$36,$D$14:$D$36)*$E1907)</f>
        <v>8</v>
      </c>
      <c r="K1907" s="95" cm="1">
        <f ca="1" t="array" ref="K1907">MIN(18,_xlfn.XLOOKUP($D1907&amp;"_"&amp;K$52,$B$14:$B$36&amp;"_"&amp;$C$14:$C$36,$D$14:$D$36)*$E1907)</f>
        <v>5.278</v>
      </c>
      <c r="L1907" s="95" cm="1">
        <f ca="1" t="array" ref="L1907">MIN(6,_xlfn.XLOOKUP($D1907&amp;"_"&amp;L$52,$B$14:$B$36&amp;"_"&amp;$C$14:$C$36,$D$14:$D$36)*$E1907)</f>
        <v>6</v>
      </c>
      <c r="M1907" s="95" cm="1">
        <f ca="1" t="array" ref="M1907">(1+SUMPRODUCT(G1907:H1907,OFFSET($H$40:$I$40,D1907,0)))*(1+OFFSET($J$40,D1907,0))^I1907*(1+OFFSET($K$40,D1907,0))^J1907*(1+OFFSET($L$40,D1907,0))^K1907*(1+OFFSET($M$40,D1907,0))^L1907</f>
        <v>401.320589143995</v>
      </c>
      <c r="N1907" s="95">
        <f ca="1">MAX(MAX($N$53:N1906),OFFSET($C$52,MATCH(M1907*1.07,$M$53:$M$2052,1),0)-C1907)</f>
        <v>73440</v>
      </c>
    </row>
    <row r="1908" spans="2:14">
      <c r="B1908" s="95">
        <v>1856</v>
      </c>
      <c r="C1908" s="95">
        <f t="shared" si="143"/>
        <v>668160</v>
      </c>
      <c r="D1908" s="95">
        <f ca="1">_xlfn.XLOOKUP(总览!$B$44,$B$40:$B$45,$C$40:$C$45)</f>
        <v>5</v>
      </c>
      <c r="E1908" s="95">
        <f ca="1" t="shared" si="142"/>
        <v>1886</v>
      </c>
      <c r="F1908" s="95">
        <f ca="1" t="shared" si="144"/>
        <v>0</v>
      </c>
      <c r="G1908" s="95">
        <f ca="1" t="shared" si="145"/>
        <v>0</v>
      </c>
      <c r="H1908" s="95" cm="1">
        <f ca="1" t="array" ref="H1908">MIN(30-SUM(I1908:L1908),_xlfn.XLOOKUP($D1908&amp;"_"&amp;H$52,$B$14:$B$36&amp;"_"&amp;$C$14:$C$36,$D$14:$D$36)*$E1908,18)</f>
        <v>10.7192</v>
      </c>
      <c r="I1908" s="95" cm="1">
        <f ca="1" t="array" ref="I1908">MIN(30-SUM(J1908:L1908),6-L1908,_xlfn.XLOOKUP($D1908&amp;"_"&amp;I$52,$B$14:$B$36&amp;"_"&amp;$C$14:$C$36,$D$14:$D$36)*$E1908)</f>
        <v>0</v>
      </c>
      <c r="J1908" s="95" cm="1">
        <f ca="1" t="array" ref="J1908">MIN(8,_xlfn.XLOOKUP($D1908&amp;"_"&amp;J$52,$B$14:$B$36&amp;"_"&amp;$C$14:$C$36,$D$14:$D$36)*$E1908)</f>
        <v>8</v>
      </c>
      <c r="K1908" s="95" cm="1">
        <f ca="1" t="array" ref="K1908">MIN(18,_xlfn.XLOOKUP($D1908&amp;"_"&amp;K$52,$B$14:$B$36&amp;"_"&amp;$C$14:$C$36,$D$14:$D$36)*$E1908)</f>
        <v>5.2808</v>
      </c>
      <c r="L1908" s="95" cm="1">
        <f ca="1" t="array" ref="L1908">MIN(6,_xlfn.XLOOKUP($D1908&amp;"_"&amp;L$52,$B$14:$B$36&amp;"_"&amp;$C$14:$C$36,$D$14:$D$36)*$E1908)</f>
        <v>6</v>
      </c>
      <c r="M1908" s="95" cm="1">
        <f ca="1" t="array" ref="M1908">(1+SUMPRODUCT(G1908:H1908,OFFSET($H$40:$I$40,D1908,0)))*(1+OFFSET($J$40,D1908,0))^I1908*(1+OFFSET($K$40,D1908,0))^J1908*(1+OFFSET($L$40,D1908,0))^K1908*(1+OFFSET($M$40,D1908,0))^L1908</f>
        <v>401.454006310131</v>
      </c>
      <c r="N1908" s="95">
        <f ca="1">MAX(MAX($N$53:N1907),OFFSET($C$52,MATCH(M1908*1.07,$M$53:$M$2052,1),0)-C1908)</f>
        <v>73440</v>
      </c>
    </row>
    <row r="1909" spans="2:14">
      <c r="B1909" s="95">
        <v>1857</v>
      </c>
      <c r="C1909" s="95">
        <f t="shared" si="143"/>
        <v>668520</v>
      </c>
      <c r="D1909" s="95">
        <f ca="1">_xlfn.XLOOKUP(总览!$B$44,$B$40:$B$45,$C$40:$C$45)</f>
        <v>5</v>
      </c>
      <c r="E1909" s="95">
        <f ca="1" t="shared" si="142"/>
        <v>1887</v>
      </c>
      <c r="F1909" s="95">
        <f ca="1" t="shared" si="144"/>
        <v>0</v>
      </c>
      <c r="G1909" s="95">
        <f ca="1" t="shared" si="145"/>
        <v>0</v>
      </c>
      <c r="H1909" s="95" cm="1">
        <f ca="1" t="array" ref="H1909">MIN(30-SUM(I1909:L1909),_xlfn.XLOOKUP($D1909&amp;"_"&amp;H$52,$B$14:$B$36&amp;"_"&amp;$C$14:$C$36,$D$14:$D$36)*$E1909,18)</f>
        <v>10.7164</v>
      </c>
      <c r="I1909" s="95" cm="1">
        <f ca="1" t="array" ref="I1909">MIN(30-SUM(J1909:L1909),6-L1909,_xlfn.XLOOKUP($D1909&amp;"_"&amp;I$52,$B$14:$B$36&amp;"_"&amp;$C$14:$C$36,$D$14:$D$36)*$E1909)</f>
        <v>0</v>
      </c>
      <c r="J1909" s="95" cm="1">
        <f ca="1" t="array" ref="J1909">MIN(8,_xlfn.XLOOKUP($D1909&amp;"_"&amp;J$52,$B$14:$B$36&amp;"_"&amp;$C$14:$C$36,$D$14:$D$36)*$E1909)</f>
        <v>8</v>
      </c>
      <c r="K1909" s="95" cm="1">
        <f ca="1" t="array" ref="K1909">MIN(18,_xlfn.XLOOKUP($D1909&amp;"_"&amp;K$52,$B$14:$B$36&amp;"_"&amp;$C$14:$C$36,$D$14:$D$36)*$E1909)</f>
        <v>5.2836</v>
      </c>
      <c r="L1909" s="95" cm="1">
        <f ca="1" t="array" ref="L1909">MIN(6,_xlfn.XLOOKUP($D1909&amp;"_"&amp;L$52,$B$14:$B$36&amp;"_"&amp;$C$14:$C$36,$D$14:$D$36)*$E1909)</f>
        <v>6</v>
      </c>
      <c r="M1909" s="95" cm="1">
        <f ca="1" t="array" ref="M1909">(1+SUMPRODUCT(G1909:H1909,OFFSET($H$40:$I$40,D1909,0)))*(1+OFFSET($J$40,D1909,0))^I1909*(1+OFFSET($K$40,D1909,0))^J1909*(1+OFFSET($L$40,D1909,0))^K1909*(1+OFFSET($M$40,D1909,0))^L1909</f>
        <v>401.587455088251</v>
      </c>
      <c r="N1909" s="95">
        <f ca="1">MAX(MAX($N$53:N1908),OFFSET($C$52,MATCH(M1909*1.07,$M$53:$M$2052,1),0)-C1909)</f>
        <v>73440</v>
      </c>
    </row>
    <row r="1910" spans="2:14">
      <c r="B1910" s="95">
        <v>1858</v>
      </c>
      <c r="C1910" s="95">
        <f t="shared" si="143"/>
        <v>668880</v>
      </c>
      <c r="D1910" s="95">
        <f ca="1">_xlfn.XLOOKUP(总览!$B$44,$B$40:$B$45,$C$40:$C$45)</f>
        <v>5</v>
      </c>
      <c r="E1910" s="95">
        <f ca="1" t="shared" ref="E1910:E1973" si="146">INT(C1910/_xlfn.XLOOKUP(D1910,$N$5:$N$16,$O$5:$O$16))+OFFSET($R$40,D1910,0)</f>
        <v>1888</v>
      </c>
      <c r="F1910" s="95">
        <f ca="1" t="shared" si="144"/>
        <v>0</v>
      </c>
      <c r="G1910" s="95">
        <f ca="1" t="shared" si="145"/>
        <v>0</v>
      </c>
      <c r="H1910" s="95" cm="1">
        <f ca="1" t="array" ref="H1910">MIN(30-SUM(I1910:L1910),_xlfn.XLOOKUP($D1910&amp;"_"&amp;H$52,$B$14:$B$36&amp;"_"&amp;$C$14:$C$36,$D$14:$D$36)*$E1910,18)</f>
        <v>10.7136</v>
      </c>
      <c r="I1910" s="95" cm="1">
        <f ca="1" t="array" ref="I1910">MIN(30-SUM(J1910:L1910),6-L1910,_xlfn.XLOOKUP($D1910&amp;"_"&amp;I$52,$B$14:$B$36&amp;"_"&amp;$C$14:$C$36,$D$14:$D$36)*$E1910)</f>
        <v>0</v>
      </c>
      <c r="J1910" s="95" cm="1">
        <f ca="1" t="array" ref="J1910">MIN(8,_xlfn.XLOOKUP($D1910&amp;"_"&amp;J$52,$B$14:$B$36&amp;"_"&amp;$C$14:$C$36,$D$14:$D$36)*$E1910)</f>
        <v>8</v>
      </c>
      <c r="K1910" s="95" cm="1">
        <f ca="1" t="array" ref="K1910">MIN(18,_xlfn.XLOOKUP($D1910&amp;"_"&amp;K$52,$B$14:$B$36&amp;"_"&amp;$C$14:$C$36,$D$14:$D$36)*$E1910)</f>
        <v>5.2864</v>
      </c>
      <c r="L1910" s="95" cm="1">
        <f ca="1" t="array" ref="L1910">MIN(6,_xlfn.XLOOKUP($D1910&amp;"_"&amp;L$52,$B$14:$B$36&amp;"_"&amp;$C$14:$C$36,$D$14:$D$36)*$E1910)</f>
        <v>6</v>
      </c>
      <c r="M1910" s="95" cm="1">
        <f ca="1" t="array" ref="M1910">(1+SUMPRODUCT(G1910:H1910,OFFSET($H$40:$I$40,D1910,0)))*(1+OFFSET($J$40,D1910,0))^I1910*(1+OFFSET($K$40,D1910,0))^J1910*(1+OFFSET($L$40,D1910,0))^K1910*(1+OFFSET($M$40,D1910,0))^L1910</f>
        <v>401.720935475851</v>
      </c>
      <c r="N1910" s="95">
        <f ca="1">MAX(MAX($N$53:N1909),OFFSET($C$52,MATCH(M1910*1.07,$M$53:$M$2052,1),0)-C1910)</f>
        <v>73440</v>
      </c>
    </row>
    <row r="1911" spans="2:14">
      <c r="B1911" s="95">
        <v>1859</v>
      </c>
      <c r="C1911" s="95">
        <f t="shared" si="143"/>
        <v>669240</v>
      </c>
      <c r="D1911" s="95">
        <f ca="1">_xlfn.XLOOKUP(总览!$B$44,$B$40:$B$45,$C$40:$C$45)</f>
        <v>5</v>
      </c>
      <c r="E1911" s="95">
        <f ca="1" t="shared" si="146"/>
        <v>1889</v>
      </c>
      <c r="F1911" s="95">
        <f ca="1" t="shared" si="144"/>
        <v>0</v>
      </c>
      <c r="G1911" s="95">
        <f ca="1" t="shared" si="145"/>
        <v>0</v>
      </c>
      <c r="H1911" s="95" cm="1">
        <f ca="1" t="array" ref="H1911">MIN(30-SUM(I1911:L1911),_xlfn.XLOOKUP($D1911&amp;"_"&amp;H$52,$B$14:$B$36&amp;"_"&amp;$C$14:$C$36,$D$14:$D$36)*$E1911,18)</f>
        <v>10.7108</v>
      </c>
      <c r="I1911" s="95" cm="1">
        <f ca="1" t="array" ref="I1911">MIN(30-SUM(J1911:L1911),6-L1911,_xlfn.XLOOKUP($D1911&amp;"_"&amp;I$52,$B$14:$B$36&amp;"_"&amp;$C$14:$C$36,$D$14:$D$36)*$E1911)</f>
        <v>0</v>
      </c>
      <c r="J1911" s="95" cm="1">
        <f ca="1" t="array" ref="J1911">MIN(8,_xlfn.XLOOKUP($D1911&amp;"_"&amp;J$52,$B$14:$B$36&amp;"_"&amp;$C$14:$C$36,$D$14:$D$36)*$E1911)</f>
        <v>8</v>
      </c>
      <c r="K1911" s="95" cm="1">
        <f ca="1" t="array" ref="K1911">MIN(18,_xlfn.XLOOKUP($D1911&amp;"_"&amp;K$52,$B$14:$B$36&amp;"_"&amp;$C$14:$C$36,$D$14:$D$36)*$E1911)</f>
        <v>5.2892</v>
      </c>
      <c r="L1911" s="95" cm="1">
        <f ca="1" t="array" ref="L1911">MIN(6,_xlfn.XLOOKUP($D1911&amp;"_"&amp;L$52,$B$14:$B$36&amp;"_"&amp;$C$14:$C$36,$D$14:$D$36)*$E1911)</f>
        <v>6</v>
      </c>
      <c r="M1911" s="95" cm="1">
        <f ca="1" t="array" ref="M1911">(1+SUMPRODUCT(G1911:H1911,OFFSET($H$40:$I$40,D1911,0)))*(1+OFFSET($J$40,D1911,0))^I1911*(1+OFFSET($K$40,D1911,0))^J1911*(1+OFFSET($L$40,D1911,0))^K1911*(1+OFFSET($M$40,D1911,0))^L1911</f>
        <v>401.854447470418</v>
      </c>
      <c r="N1911" s="95">
        <f ca="1">MAX(MAX($N$53:N1910),OFFSET($C$52,MATCH(M1911*1.07,$M$53:$M$2052,1),0)-C1911)</f>
        <v>73440</v>
      </c>
    </row>
    <row r="1912" spans="2:14">
      <c r="B1912" s="95">
        <v>1860</v>
      </c>
      <c r="C1912" s="95">
        <f t="shared" si="143"/>
        <v>669600</v>
      </c>
      <c r="D1912" s="95">
        <f ca="1">_xlfn.XLOOKUP(总览!$B$44,$B$40:$B$45,$C$40:$C$45)</f>
        <v>5</v>
      </c>
      <c r="E1912" s="95">
        <f ca="1" t="shared" si="146"/>
        <v>1890</v>
      </c>
      <c r="F1912" s="95">
        <f ca="1" t="shared" si="144"/>
        <v>0</v>
      </c>
      <c r="G1912" s="95">
        <f ca="1" t="shared" si="145"/>
        <v>0</v>
      </c>
      <c r="H1912" s="95" cm="1">
        <f ca="1" t="array" ref="H1912">MIN(30-SUM(I1912:L1912),_xlfn.XLOOKUP($D1912&amp;"_"&amp;H$52,$B$14:$B$36&amp;"_"&amp;$C$14:$C$36,$D$14:$D$36)*$E1912,18)</f>
        <v>10.708</v>
      </c>
      <c r="I1912" s="95" cm="1">
        <f ca="1" t="array" ref="I1912">MIN(30-SUM(J1912:L1912),6-L1912,_xlfn.XLOOKUP($D1912&amp;"_"&amp;I$52,$B$14:$B$36&amp;"_"&amp;$C$14:$C$36,$D$14:$D$36)*$E1912)</f>
        <v>0</v>
      </c>
      <c r="J1912" s="95" cm="1">
        <f ca="1" t="array" ref="J1912">MIN(8,_xlfn.XLOOKUP($D1912&amp;"_"&amp;J$52,$B$14:$B$36&amp;"_"&amp;$C$14:$C$36,$D$14:$D$36)*$E1912)</f>
        <v>8</v>
      </c>
      <c r="K1912" s="95" cm="1">
        <f ca="1" t="array" ref="K1912">MIN(18,_xlfn.XLOOKUP($D1912&amp;"_"&amp;K$52,$B$14:$B$36&amp;"_"&amp;$C$14:$C$36,$D$14:$D$36)*$E1912)</f>
        <v>5.292</v>
      </c>
      <c r="L1912" s="95" cm="1">
        <f ca="1" t="array" ref="L1912">MIN(6,_xlfn.XLOOKUP($D1912&amp;"_"&amp;L$52,$B$14:$B$36&amp;"_"&amp;$C$14:$C$36,$D$14:$D$36)*$E1912)</f>
        <v>6</v>
      </c>
      <c r="M1912" s="95" cm="1">
        <f ca="1" t="array" ref="M1912">(1+SUMPRODUCT(G1912:H1912,OFFSET($H$40:$I$40,D1912,0)))*(1+OFFSET($J$40,D1912,0))^I1912*(1+OFFSET($K$40,D1912,0))^J1912*(1+OFFSET($L$40,D1912,0))^K1912*(1+OFFSET($M$40,D1912,0))^L1912</f>
        <v>401.987991069424</v>
      </c>
      <c r="N1912" s="95">
        <f ca="1">MAX(MAX($N$53:N1911),OFFSET($C$52,MATCH(M1912*1.07,$M$53:$M$2052,1),0)-C1912)</f>
        <v>73440</v>
      </c>
    </row>
    <row r="1913" spans="2:14">
      <c r="B1913" s="95">
        <v>1861</v>
      </c>
      <c r="C1913" s="95">
        <f t="shared" si="143"/>
        <v>669960</v>
      </c>
      <c r="D1913" s="95">
        <f ca="1">_xlfn.XLOOKUP(总览!$B$44,$B$40:$B$45,$C$40:$C$45)</f>
        <v>5</v>
      </c>
      <c r="E1913" s="95">
        <f ca="1" t="shared" si="146"/>
        <v>1891</v>
      </c>
      <c r="F1913" s="95">
        <f ca="1" t="shared" si="144"/>
        <v>0</v>
      </c>
      <c r="G1913" s="95">
        <f ca="1" t="shared" si="145"/>
        <v>0</v>
      </c>
      <c r="H1913" s="95" cm="1">
        <f ca="1" t="array" ref="H1913">MIN(30-SUM(I1913:L1913),_xlfn.XLOOKUP($D1913&amp;"_"&amp;H$52,$B$14:$B$36&amp;"_"&amp;$C$14:$C$36,$D$14:$D$36)*$E1913,18)</f>
        <v>10.7052</v>
      </c>
      <c r="I1913" s="95" cm="1">
        <f ca="1" t="array" ref="I1913">MIN(30-SUM(J1913:L1913),6-L1913,_xlfn.XLOOKUP($D1913&amp;"_"&amp;I$52,$B$14:$B$36&amp;"_"&amp;$C$14:$C$36,$D$14:$D$36)*$E1913)</f>
        <v>0</v>
      </c>
      <c r="J1913" s="95" cm="1">
        <f ca="1" t="array" ref="J1913">MIN(8,_xlfn.XLOOKUP($D1913&amp;"_"&amp;J$52,$B$14:$B$36&amp;"_"&amp;$C$14:$C$36,$D$14:$D$36)*$E1913)</f>
        <v>8</v>
      </c>
      <c r="K1913" s="95" cm="1">
        <f ca="1" t="array" ref="K1913">MIN(18,_xlfn.XLOOKUP($D1913&amp;"_"&amp;K$52,$B$14:$B$36&amp;"_"&amp;$C$14:$C$36,$D$14:$D$36)*$E1913)</f>
        <v>5.2948</v>
      </c>
      <c r="L1913" s="95" cm="1">
        <f ca="1" t="array" ref="L1913">MIN(6,_xlfn.XLOOKUP($D1913&amp;"_"&amp;L$52,$B$14:$B$36&amp;"_"&amp;$C$14:$C$36,$D$14:$D$36)*$E1913)</f>
        <v>6</v>
      </c>
      <c r="M1913" s="95" cm="1">
        <f ca="1" t="array" ref="M1913">(1+SUMPRODUCT(G1913:H1913,OFFSET($H$40:$I$40,D1913,0)))*(1+OFFSET($J$40,D1913,0))^I1913*(1+OFFSET($K$40,D1913,0))^J1913*(1+OFFSET($L$40,D1913,0))^K1913*(1+OFFSET($M$40,D1913,0))^L1913</f>
        <v>402.121566270336</v>
      </c>
      <c r="N1913" s="95">
        <f ca="1">MAX(MAX($N$53:N1912),OFFSET($C$52,MATCH(M1913*1.07,$M$53:$M$2052,1),0)-C1913)</f>
        <v>73440</v>
      </c>
    </row>
    <row r="1914" spans="2:14">
      <c r="B1914" s="95">
        <v>1862</v>
      </c>
      <c r="C1914" s="95">
        <f t="shared" si="143"/>
        <v>670320</v>
      </c>
      <c r="D1914" s="95">
        <f ca="1">_xlfn.XLOOKUP(总览!$B$44,$B$40:$B$45,$C$40:$C$45)</f>
        <v>5</v>
      </c>
      <c r="E1914" s="95">
        <f ca="1" t="shared" si="146"/>
        <v>1892</v>
      </c>
      <c r="F1914" s="95">
        <f ca="1" t="shared" si="144"/>
        <v>0</v>
      </c>
      <c r="G1914" s="95">
        <f ca="1" t="shared" si="145"/>
        <v>0</v>
      </c>
      <c r="H1914" s="95" cm="1">
        <f ca="1" t="array" ref="H1914">MIN(30-SUM(I1914:L1914),_xlfn.XLOOKUP($D1914&amp;"_"&amp;H$52,$B$14:$B$36&amp;"_"&amp;$C$14:$C$36,$D$14:$D$36)*$E1914,18)</f>
        <v>10.7024</v>
      </c>
      <c r="I1914" s="95" cm="1">
        <f ca="1" t="array" ref="I1914">MIN(30-SUM(J1914:L1914),6-L1914,_xlfn.XLOOKUP($D1914&amp;"_"&amp;I$52,$B$14:$B$36&amp;"_"&amp;$C$14:$C$36,$D$14:$D$36)*$E1914)</f>
        <v>0</v>
      </c>
      <c r="J1914" s="95" cm="1">
        <f ca="1" t="array" ref="J1914">MIN(8,_xlfn.XLOOKUP($D1914&amp;"_"&amp;J$52,$B$14:$B$36&amp;"_"&amp;$C$14:$C$36,$D$14:$D$36)*$E1914)</f>
        <v>8</v>
      </c>
      <c r="K1914" s="95" cm="1">
        <f ca="1" t="array" ref="K1914">MIN(18,_xlfn.XLOOKUP($D1914&amp;"_"&amp;K$52,$B$14:$B$36&amp;"_"&amp;$C$14:$C$36,$D$14:$D$36)*$E1914)</f>
        <v>5.2976</v>
      </c>
      <c r="L1914" s="95" cm="1">
        <f ca="1" t="array" ref="L1914">MIN(6,_xlfn.XLOOKUP($D1914&amp;"_"&amp;L$52,$B$14:$B$36&amp;"_"&amp;$C$14:$C$36,$D$14:$D$36)*$E1914)</f>
        <v>6</v>
      </c>
      <c r="M1914" s="95" cm="1">
        <f ca="1" t="array" ref="M1914">(1+SUMPRODUCT(G1914:H1914,OFFSET($H$40:$I$40,D1914,0)))*(1+OFFSET($J$40,D1914,0))^I1914*(1+OFFSET($K$40,D1914,0))^J1914*(1+OFFSET($L$40,D1914,0))^K1914*(1+OFFSET($M$40,D1914,0))^L1914</f>
        <v>402.255173070605</v>
      </c>
      <c r="N1914" s="95">
        <f ca="1">MAX(MAX($N$53:N1913),OFFSET($C$52,MATCH(M1914*1.07,$M$53:$M$2052,1),0)-C1914)</f>
        <v>73440</v>
      </c>
    </row>
    <row r="1915" spans="2:14">
      <c r="B1915" s="95">
        <v>1863</v>
      </c>
      <c r="C1915" s="95">
        <f t="shared" si="143"/>
        <v>670680</v>
      </c>
      <c r="D1915" s="95">
        <f ca="1">_xlfn.XLOOKUP(总览!$B$44,$B$40:$B$45,$C$40:$C$45)</f>
        <v>5</v>
      </c>
      <c r="E1915" s="95">
        <f ca="1" t="shared" si="146"/>
        <v>1893</v>
      </c>
      <c r="F1915" s="95">
        <f ca="1" t="shared" si="144"/>
        <v>0</v>
      </c>
      <c r="G1915" s="95">
        <f ca="1" t="shared" si="145"/>
        <v>0</v>
      </c>
      <c r="H1915" s="95" cm="1">
        <f ca="1" t="array" ref="H1915">MIN(30-SUM(I1915:L1915),_xlfn.XLOOKUP($D1915&amp;"_"&amp;H$52,$B$14:$B$36&amp;"_"&amp;$C$14:$C$36,$D$14:$D$36)*$E1915,18)</f>
        <v>10.6996</v>
      </c>
      <c r="I1915" s="95" cm="1">
        <f ca="1" t="array" ref="I1915">MIN(30-SUM(J1915:L1915),6-L1915,_xlfn.XLOOKUP($D1915&amp;"_"&amp;I$52,$B$14:$B$36&amp;"_"&amp;$C$14:$C$36,$D$14:$D$36)*$E1915)</f>
        <v>0</v>
      </c>
      <c r="J1915" s="95" cm="1">
        <f ca="1" t="array" ref="J1915">MIN(8,_xlfn.XLOOKUP($D1915&amp;"_"&amp;J$52,$B$14:$B$36&amp;"_"&amp;$C$14:$C$36,$D$14:$D$36)*$E1915)</f>
        <v>8</v>
      </c>
      <c r="K1915" s="95" cm="1">
        <f ca="1" t="array" ref="K1915">MIN(18,_xlfn.XLOOKUP($D1915&amp;"_"&amp;K$52,$B$14:$B$36&amp;"_"&amp;$C$14:$C$36,$D$14:$D$36)*$E1915)</f>
        <v>5.3004</v>
      </c>
      <c r="L1915" s="95" cm="1">
        <f ca="1" t="array" ref="L1915">MIN(6,_xlfn.XLOOKUP($D1915&amp;"_"&amp;L$52,$B$14:$B$36&amp;"_"&amp;$C$14:$C$36,$D$14:$D$36)*$E1915)</f>
        <v>6</v>
      </c>
      <c r="M1915" s="95" cm="1">
        <f ca="1" t="array" ref="M1915">(1+SUMPRODUCT(G1915:H1915,OFFSET($H$40:$I$40,D1915,0)))*(1+OFFSET($J$40,D1915,0))^I1915*(1+OFFSET($K$40,D1915,0))^J1915*(1+OFFSET($L$40,D1915,0))^K1915*(1+OFFSET($M$40,D1915,0))^L1915</f>
        <v>402.388811467674</v>
      </c>
      <c r="N1915" s="95">
        <f ca="1">MAX(MAX($N$53:N1914),OFFSET($C$52,MATCH(M1915*1.07,$M$53:$M$2052,1),0)-C1915)</f>
        <v>73440</v>
      </c>
    </row>
    <row r="1916" spans="2:14">
      <c r="B1916" s="95">
        <v>1864</v>
      </c>
      <c r="C1916" s="95">
        <f t="shared" si="143"/>
        <v>671040</v>
      </c>
      <c r="D1916" s="95">
        <f ca="1">_xlfn.XLOOKUP(总览!$B$44,$B$40:$B$45,$C$40:$C$45)</f>
        <v>5</v>
      </c>
      <c r="E1916" s="95">
        <f ca="1" t="shared" si="146"/>
        <v>1894</v>
      </c>
      <c r="F1916" s="95">
        <f ca="1" t="shared" si="144"/>
        <v>0</v>
      </c>
      <c r="G1916" s="95">
        <f ca="1" t="shared" si="145"/>
        <v>0</v>
      </c>
      <c r="H1916" s="95" cm="1">
        <f ca="1" t="array" ref="H1916">MIN(30-SUM(I1916:L1916),_xlfn.XLOOKUP($D1916&amp;"_"&amp;H$52,$B$14:$B$36&amp;"_"&amp;$C$14:$C$36,$D$14:$D$36)*$E1916,18)</f>
        <v>10.6968</v>
      </c>
      <c r="I1916" s="95" cm="1">
        <f ca="1" t="array" ref="I1916">MIN(30-SUM(J1916:L1916),6-L1916,_xlfn.XLOOKUP($D1916&amp;"_"&amp;I$52,$B$14:$B$36&amp;"_"&amp;$C$14:$C$36,$D$14:$D$36)*$E1916)</f>
        <v>0</v>
      </c>
      <c r="J1916" s="95" cm="1">
        <f ca="1" t="array" ref="J1916">MIN(8,_xlfn.XLOOKUP($D1916&amp;"_"&amp;J$52,$B$14:$B$36&amp;"_"&amp;$C$14:$C$36,$D$14:$D$36)*$E1916)</f>
        <v>8</v>
      </c>
      <c r="K1916" s="95" cm="1">
        <f ca="1" t="array" ref="K1916">MIN(18,_xlfn.XLOOKUP($D1916&amp;"_"&amp;K$52,$B$14:$B$36&amp;"_"&amp;$C$14:$C$36,$D$14:$D$36)*$E1916)</f>
        <v>5.3032</v>
      </c>
      <c r="L1916" s="95" cm="1">
        <f ca="1" t="array" ref="L1916">MIN(6,_xlfn.XLOOKUP($D1916&amp;"_"&amp;L$52,$B$14:$B$36&amp;"_"&amp;$C$14:$C$36,$D$14:$D$36)*$E1916)</f>
        <v>6</v>
      </c>
      <c r="M1916" s="95" cm="1">
        <f ca="1" t="array" ref="M1916">(1+SUMPRODUCT(G1916:H1916,OFFSET($H$40:$I$40,D1916,0)))*(1+OFFSET($J$40,D1916,0))^I1916*(1+OFFSET($K$40,D1916,0))^J1916*(1+OFFSET($L$40,D1916,0))^K1916*(1+OFFSET($M$40,D1916,0))^L1916</f>
        <v>402.522481458974</v>
      </c>
      <c r="N1916" s="95">
        <f ca="1">MAX(MAX($N$53:N1915),OFFSET($C$52,MATCH(M1916*1.07,$M$53:$M$2052,1),0)-C1916)</f>
        <v>73440</v>
      </c>
    </row>
    <row r="1917" spans="2:14">
      <c r="B1917" s="95">
        <v>1865</v>
      </c>
      <c r="C1917" s="95">
        <f t="shared" si="143"/>
        <v>671400</v>
      </c>
      <c r="D1917" s="95">
        <f ca="1">_xlfn.XLOOKUP(总览!$B$44,$B$40:$B$45,$C$40:$C$45)</f>
        <v>5</v>
      </c>
      <c r="E1917" s="95">
        <f ca="1" t="shared" si="146"/>
        <v>1895</v>
      </c>
      <c r="F1917" s="95">
        <f ca="1" t="shared" si="144"/>
        <v>0</v>
      </c>
      <c r="G1917" s="95">
        <f ca="1" t="shared" si="145"/>
        <v>0</v>
      </c>
      <c r="H1917" s="95" cm="1">
        <f ca="1" t="array" ref="H1917">MIN(30-SUM(I1917:L1917),_xlfn.XLOOKUP($D1917&amp;"_"&amp;H$52,$B$14:$B$36&amp;"_"&amp;$C$14:$C$36,$D$14:$D$36)*$E1917,18)</f>
        <v>10.694</v>
      </c>
      <c r="I1917" s="95" cm="1">
        <f ca="1" t="array" ref="I1917">MIN(30-SUM(J1917:L1917),6-L1917,_xlfn.XLOOKUP($D1917&amp;"_"&amp;I$52,$B$14:$B$36&amp;"_"&amp;$C$14:$C$36,$D$14:$D$36)*$E1917)</f>
        <v>0</v>
      </c>
      <c r="J1917" s="95" cm="1">
        <f ca="1" t="array" ref="J1917">MIN(8,_xlfn.XLOOKUP($D1917&amp;"_"&amp;J$52,$B$14:$B$36&amp;"_"&amp;$C$14:$C$36,$D$14:$D$36)*$E1917)</f>
        <v>8</v>
      </c>
      <c r="K1917" s="95" cm="1">
        <f ca="1" t="array" ref="K1917">MIN(18,_xlfn.XLOOKUP($D1917&amp;"_"&amp;K$52,$B$14:$B$36&amp;"_"&amp;$C$14:$C$36,$D$14:$D$36)*$E1917)</f>
        <v>5.306</v>
      </c>
      <c r="L1917" s="95" cm="1">
        <f ca="1" t="array" ref="L1917">MIN(6,_xlfn.XLOOKUP($D1917&amp;"_"&amp;L$52,$B$14:$B$36&amp;"_"&amp;$C$14:$C$36,$D$14:$D$36)*$E1917)</f>
        <v>6</v>
      </c>
      <c r="M1917" s="95" cm="1">
        <f ca="1" t="array" ref="M1917">(1+SUMPRODUCT(G1917:H1917,OFFSET($H$40:$I$40,D1917,0)))*(1+OFFSET($J$40,D1917,0))^I1917*(1+OFFSET($K$40,D1917,0))^J1917*(1+OFFSET($L$40,D1917,0))^K1917*(1+OFFSET($M$40,D1917,0))^L1917</f>
        <v>402.656183041927</v>
      </c>
      <c r="N1917" s="95">
        <f ca="1">MAX(MAX($N$53:N1916),OFFSET($C$52,MATCH(M1917*1.07,$M$53:$M$2052,1),0)-C1917)</f>
        <v>73440</v>
      </c>
    </row>
    <row r="1918" spans="2:14">
      <c r="B1918" s="95">
        <v>1866</v>
      </c>
      <c r="C1918" s="95">
        <f t="shared" si="143"/>
        <v>671760</v>
      </c>
      <c r="D1918" s="95">
        <f ca="1">_xlfn.XLOOKUP(总览!$B$44,$B$40:$B$45,$C$40:$C$45)</f>
        <v>5</v>
      </c>
      <c r="E1918" s="95">
        <f ca="1" t="shared" si="146"/>
        <v>1896</v>
      </c>
      <c r="F1918" s="95">
        <f ca="1" t="shared" si="144"/>
        <v>0</v>
      </c>
      <c r="G1918" s="95">
        <f ca="1" t="shared" si="145"/>
        <v>0</v>
      </c>
      <c r="H1918" s="95" cm="1">
        <f ca="1" t="array" ref="H1918">MIN(30-SUM(I1918:L1918),_xlfn.XLOOKUP($D1918&amp;"_"&amp;H$52,$B$14:$B$36&amp;"_"&amp;$C$14:$C$36,$D$14:$D$36)*$E1918,18)</f>
        <v>10.6912</v>
      </c>
      <c r="I1918" s="95" cm="1">
        <f ca="1" t="array" ref="I1918">MIN(30-SUM(J1918:L1918),6-L1918,_xlfn.XLOOKUP($D1918&amp;"_"&amp;I$52,$B$14:$B$36&amp;"_"&amp;$C$14:$C$36,$D$14:$D$36)*$E1918)</f>
        <v>0</v>
      </c>
      <c r="J1918" s="95" cm="1">
        <f ca="1" t="array" ref="J1918">MIN(8,_xlfn.XLOOKUP($D1918&amp;"_"&amp;J$52,$B$14:$B$36&amp;"_"&amp;$C$14:$C$36,$D$14:$D$36)*$E1918)</f>
        <v>8</v>
      </c>
      <c r="K1918" s="95" cm="1">
        <f ca="1" t="array" ref="K1918">MIN(18,_xlfn.XLOOKUP($D1918&amp;"_"&amp;K$52,$B$14:$B$36&amp;"_"&amp;$C$14:$C$36,$D$14:$D$36)*$E1918)</f>
        <v>5.3088</v>
      </c>
      <c r="L1918" s="95" cm="1">
        <f ca="1" t="array" ref="L1918">MIN(6,_xlfn.XLOOKUP($D1918&amp;"_"&amp;L$52,$B$14:$B$36&amp;"_"&amp;$C$14:$C$36,$D$14:$D$36)*$E1918)</f>
        <v>6</v>
      </c>
      <c r="M1918" s="95" cm="1">
        <f ca="1" t="array" ref="M1918">(1+SUMPRODUCT(G1918:H1918,OFFSET($H$40:$I$40,D1918,0)))*(1+OFFSET($J$40,D1918,0))^I1918*(1+OFFSET($K$40,D1918,0))^J1918*(1+OFFSET($L$40,D1918,0))^K1918*(1+OFFSET($M$40,D1918,0))^L1918</f>
        <v>402.789916213941</v>
      </c>
      <c r="N1918" s="95">
        <f ca="1">MAX(MAX($N$53:N1917),OFFSET($C$52,MATCH(M1918*1.07,$M$53:$M$2052,1),0)-C1918)</f>
        <v>73440</v>
      </c>
    </row>
    <row r="1919" spans="2:14">
      <c r="B1919" s="95">
        <v>1867</v>
      </c>
      <c r="C1919" s="95">
        <f t="shared" si="143"/>
        <v>672120</v>
      </c>
      <c r="D1919" s="95">
        <f ca="1">_xlfn.XLOOKUP(总览!$B$44,$B$40:$B$45,$C$40:$C$45)</f>
        <v>5</v>
      </c>
      <c r="E1919" s="95">
        <f ca="1" t="shared" si="146"/>
        <v>1897</v>
      </c>
      <c r="F1919" s="95">
        <f ca="1" t="shared" si="144"/>
        <v>0</v>
      </c>
      <c r="G1919" s="95">
        <f ca="1" t="shared" si="145"/>
        <v>0</v>
      </c>
      <c r="H1919" s="95" cm="1">
        <f ca="1" t="array" ref="H1919">MIN(30-SUM(I1919:L1919),_xlfn.XLOOKUP($D1919&amp;"_"&amp;H$52,$B$14:$B$36&amp;"_"&amp;$C$14:$C$36,$D$14:$D$36)*$E1919,18)</f>
        <v>10.6884</v>
      </c>
      <c r="I1919" s="95" cm="1">
        <f ca="1" t="array" ref="I1919">MIN(30-SUM(J1919:L1919),6-L1919,_xlfn.XLOOKUP($D1919&amp;"_"&amp;I$52,$B$14:$B$36&amp;"_"&amp;$C$14:$C$36,$D$14:$D$36)*$E1919)</f>
        <v>0</v>
      </c>
      <c r="J1919" s="95" cm="1">
        <f ca="1" t="array" ref="J1919">MIN(8,_xlfn.XLOOKUP($D1919&amp;"_"&amp;J$52,$B$14:$B$36&amp;"_"&amp;$C$14:$C$36,$D$14:$D$36)*$E1919)</f>
        <v>8</v>
      </c>
      <c r="K1919" s="95" cm="1">
        <f ca="1" t="array" ref="K1919">MIN(18,_xlfn.XLOOKUP($D1919&amp;"_"&amp;K$52,$B$14:$B$36&amp;"_"&amp;$C$14:$C$36,$D$14:$D$36)*$E1919)</f>
        <v>5.3116</v>
      </c>
      <c r="L1919" s="95" cm="1">
        <f ca="1" t="array" ref="L1919">MIN(6,_xlfn.XLOOKUP($D1919&amp;"_"&amp;L$52,$B$14:$B$36&amp;"_"&amp;$C$14:$C$36,$D$14:$D$36)*$E1919)</f>
        <v>6</v>
      </c>
      <c r="M1919" s="95" cm="1">
        <f ca="1" t="array" ref="M1919">(1+SUMPRODUCT(G1919:H1919,OFFSET($H$40:$I$40,D1919,0)))*(1+OFFSET($J$40,D1919,0))^I1919*(1+OFFSET($K$40,D1919,0))^J1919*(1+OFFSET($L$40,D1919,0))^K1919*(1+OFFSET($M$40,D1919,0))^L1919</f>
        <v>402.923680972416</v>
      </c>
      <c r="N1919" s="95">
        <f ca="1">MAX(MAX($N$53:N1918),OFFSET($C$52,MATCH(M1919*1.07,$M$53:$M$2052,1),0)-C1919)</f>
        <v>73440</v>
      </c>
    </row>
    <row r="1920" spans="2:14">
      <c r="B1920" s="95">
        <v>1868</v>
      </c>
      <c r="C1920" s="95">
        <f t="shared" si="143"/>
        <v>672480</v>
      </c>
      <c r="D1920" s="95">
        <f ca="1">_xlfn.XLOOKUP(总览!$B$44,$B$40:$B$45,$C$40:$C$45)</f>
        <v>5</v>
      </c>
      <c r="E1920" s="95">
        <f ca="1" t="shared" si="146"/>
        <v>1898</v>
      </c>
      <c r="F1920" s="95">
        <f ca="1" t="shared" si="144"/>
        <v>0</v>
      </c>
      <c r="G1920" s="95">
        <f ca="1" t="shared" si="145"/>
        <v>0</v>
      </c>
      <c r="H1920" s="95" cm="1">
        <f ca="1" t="array" ref="H1920">MIN(30-SUM(I1920:L1920),_xlfn.XLOOKUP($D1920&amp;"_"&amp;H$52,$B$14:$B$36&amp;"_"&amp;$C$14:$C$36,$D$14:$D$36)*$E1920,18)</f>
        <v>10.6856</v>
      </c>
      <c r="I1920" s="95" cm="1">
        <f ca="1" t="array" ref="I1920">MIN(30-SUM(J1920:L1920),6-L1920,_xlfn.XLOOKUP($D1920&amp;"_"&amp;I$52,$B$14:$B$36&amp;"_"&amp;$C$14:$C$36,$D$14:$D$36)*$E1920)</f>
        <v>0</v>
      </c>
      <c r="J1920" s="95" cm="1">
        <f ca="1" t="array" ref="J1920">MIN(8,_xlfn.XLOOKUP($D1920&amp;"_"&amp;J$52,$B$14:$B$36&amp;"_"&amp;$C$14:$C$36,$D$14:$D$36)*$E1920)</f>
        <v>8</v>
      </c>
      <c r="K1920" s="95" cm="1">
        <f ca="1" t="array" ref="K1920">MIN(18,_xlfn.XLOOKUP($D1920&amp;"_"&amp;K$52,$B$14:$B$36&amp;"_"&amp;$C$14:$C$36,$D$14:$D$36)*$E1920)</f>
        <v>5.3144</v>
      </c>
      <c r="L1920" s="95" cm="1">
        <f ca="1" t="array" ref="L1920">MIN(6,_xlfn.XLOOKUP($D1920&amp;"_"&amp;L$52,$B$14:$B$36&amp;"_"&amp;$C$14:$C$36,$D$14:$D$36)*$E1920)</f>
        <v>6</v>
      </c>
      <c r="M1920" s="95" cm="1">
        <f ca="1" t="array" ref="M1920">(1+SUMPRODUCT(G1920:H1920,OFFSET($H$40:$I$40,D1920,0)))*(1+OFFSET($J$40,D1920,0))^I1920*(1+OFFSET($K$40,D1920,0))^J1920*(1+OFFSET($L$40,D1920,0))^K1920*(1+OFFSET($M$40,D1920,0))^L1920</f>
        <v>403.05747731474</v>
      </c>
      <c r="N1920" s="95">
        <f ca="1">MAX(MAX($N$53:N1919),OFFSET($C$52,MATCH(M1920*1.07,$M$53:$M$2052,1),0)-C1920)</f>
        <v>73440</v>
      </c>
    </row>
    <row r="1921" spans="2:14">
      <c r="B1921" s="95">
        <v>1869</v>
      </c>
      <c r="C1921" s="95">
        <f t="shared" si="143"/>
        <v>672840</v>
      </c>
      <c r="D1921" s="95">
        <f ca="1">_xlfn.XLOOKUP(总览!$B$44,$B$40:$B$45,$C$40:$C$45)</f>
        <v>5</v>
      </c>
      <c r="E1921" s="95">
        <f ca="1" t="shared" si="146"/>
        <v>1899</v>
      </c>
      <c r="F1921" s="95">
        <f ca="1" t="shared" si="144"/>
        <v>0</v>
      </c>
      <c r="G1921" s="95">
        <f ca="1" t="shared" si="145"/>
        <v>0</v>
      </c>
      <c r="H1921" s="95" cm="1">
        <f ca="1" t="array" ref="H1921">MIN(30-SUM(I1921:L1921),_xlfn.XLOOKUP($D1921&amp;"_"&amp;H$52,$B$14:$B$36&amp;"_"&amp;$C$14:$C$36,$D$14:$D$36)*$E1921,18)</f>
        <v>10.6828</v>
      </c>
      <c r="I1921" s="95" cm="1">
        <f ca="1" t="array" ref="I1921">MIN(30-SUM(J1921:L1921),6-L1921,_xlfn.XLOOKUP($D1921&amp;"_"&amp;I$52,$B$14:$B$36&amp;"_"&amp;$C$14:$C$36,$D$14:$D$36)*$E1921)</f>
        <v>0</v>
      </c>
      <c r="J1921" s="95" cm="1">
        <f ca="1" t="array" ref="J1921">MIN(8,_xlfn.XLOOKUP($D1921&amp;"_"&amp;J$52,$B$14:$B$36&amp;"_"&amp;$C$14:$C$36,$D$14:$D$36)*$E1921)</f>
        <v>8</v>
      </c>
      <c r="K1921" s="95" cm="1">
        <f ca="1" t="array" ref="K1921">MIN(18,_xlfn.XLOOKUP($D1921&amp;"_"&amp;K$52,$B$14:$B$36&amp;"_"&amp;$C$14:$C$36,$D$14:$D$36)*$E1921)</f>
        <v>5.3172</v>
      </c>
      <c r="L1921" s="95" cm="1">
        <f ca="1" t="array" ref="L1921">MIN(6,_xlfn.XLOOKUP($D1921&amp;"_"&amp;L$52,$B$14:$B$36&amp;"_"&amp;$C$14:$C$36,$D$14:$D$36)*$E1921)</f>
        <v>6</v>
      </c>
      <c r="M1921" s="95" cm="1">
        <f ca="1" t="array" ref="M1921">(1+SUMPRODUCT(G1921:H1921,OFFSET($H$40:$I$40,D1921,0)))*(1+OFFSET($J$40,D1921,0))^I1921*(1+OFFSET($K$40,D1921,0))^J1921*(1+OFFSET($L$40,D1921,0))^K1921*(1+OFFSET($M$40,D1921,0))^L1921</f>
        <v>403.19130523829</v>
      </c>
      <c r="N1921" s="95">
        <f ca="1">MAX(MAX($N$53:N1920),OFFSET($C$52,MATCH(M1921*1.07,$M$53:$M$2052,1),0)-C1921)</f>
        <v>73440</v>
      </c>
    </row>
    <row r="1922" spans="2:14">
      <c r="B1922" s="95">
        <v>1870</v>
      </c>
      <c r="C1922" s="95">
        <f t="shared" si="143"/>
        <v>673200</v>
      </c>
      <c r="D1922" s="95">
        <f ca="1">_xlfn.XLOOKUP(总览!$B$44,$B$40:$B$45,$C$40:$C$45)</f>
        <v>5</v>
      </c>
      <c r="E1922" s="95">
        <f ca="1" t="shared" si="146"/>
        <v>1900</v>
      </c>
      <c r="F1922" s="95">
        <f ca="1" t="shared" si="144"/>
        <v>0</v>
      </c>
      <c r="G1922" s="95">
        <f ca="1" t="shared" si="145"/>
        <v>0</v>
      </c>
      <c r="H1922" s="95" cm="1">
        <f ca="1" t="array" ref="H1922">MIN(30-SUM(I1922:L1922),_xlfn.XLOOKUP($D1922&amp;"_"&amp;H$52,$B$14:$B$36&amp;"_"&amp;$C$14:$C$36,$D$14:$D$36)*$E1922,18)</f>
        <v>10.68</v>
      </c>
      <c r="I1922" s="95" cm="1">
        <f ca="1" t="array" ref="I1922">MIN(30-SUM(J1922:L1922),6-L1922,_xlfn.XLOOKUP($D1922&amp;"_"&amp;I$52,$B$14:$B$36&amp;"_"&amp;$C$14:$C$36,$D$14:$D$36)*$E1922)</f>
        <v>0</v>
      </c>
      <c r="J1922" s="95" cm="1">
        <f ca="1" t="array" ref="J1922">MIN(8,_xlfn.XLOOKUP($D1922&amp;"_"&amp;J$52,$B$14:$B$36&amp;"_"&amp;$C$14:$C$36,$D$14:$D$36)*$E1922)</f>
        <v>8</v>
      </c>
      <c r="K1922" s="95" cm="1">
        <f ca="1" t="array" ref="K1922">MIN(18,_xlfn.XLOOKUP($D1922&amp;"_"&amp;K$52,$B$14:$B$36&amp;"_"&amp;$C$14:$C$36,$D$14:$D$36)*$E1922)</f>
        <v>5.32</v>
      </c>
      <c r="L1922" s="95" cm="1">
        <f ca="1" t="array" ref="L1922">MIN(6,_xlfn.XLOOKUP($D1922&amp;"_"&amp;L$52,$B$14:$B$36&amp;"_"&amp;$C$14:$C$36,$D$14:$D$36)*$E1922)</f>
        <v>6</v>
      </c>
      <c r="M1922" s="95" cm="1">
        <f ca="1" t="array" ref="M1922">(1+SUMPRODUCT(G1922:H1922,OFFSET($H$40:$I$40,D1922,0)))*(1+OFFSET($J$40,D1922,0))^I1922*(1+OFFSET($K$40,D1922,0))^J1922*(1+OFFSET($L$40,D1922,0))^K1922*(1+OFFSET($M$40,D1922,0))^L1922</f>
        <v>403.325164740431</v>
      </c>
      <c r="N1922" s="95">
        <f ca="1">MAX(MAX($N$53:N1921),OFFSET($C$52,MATCH(M1922*1.07,$M$53:$M$2052,1),0)-C1922)</f>
        <v>73440</v>
      </c>
    </row>
    <row r="1923" spans="2:14">
      <c r="B1923" s="95">
        <v>1871</v>
      </c>
      <c r="C1923" s="95">
        <f t="shared" si="143"/>
        <v>673560</v>
      </c>
      <c r="D1923" s="95">
        <f ca="1">_xlfn.XLOOKUP(总览!$B$44,$B$40:$B$45,$C$40:$C$45)</f>
        <v>5</v>
      </c>
      <c r="E1923" s="95">
        <f ca="1" t="shared" si="146"/>
        <v>1901</v>
      </c>
      <c r="F1923" s="95">
        <f ca="1" t="shared" si="144"/>
        <v>0</v>
      </c>
      <c r="G1923" s="95">
        <f ca="1" t="shared" si="145"/>
        <v>0</v>
      </c>
      <c r="H1923" s="95" cm="1">
        <f ca="1" t="array" ref="H1923">MIN(30-SUM(I1923:L1923),_xlfn.XLOOKUP($D1923&amp;"_"&amp;H$52,$B$14:$B$36&amp;"_"&amp;$C$14:$C$36,$D$14:$D$36)*$E1923,18)</f>
        <v>10.6772</v>
      </c>
      <c r="I1923" s="95" cm="1">
        <f ca="1" t="array" ref="I1923">MIN(30-SUM(J1923:L1923),6-L1923,_xlfn.XLOOKUP($D1923&amp;"_"&amp;I$52,$B$14:$B$36&amp;"_"&amp;$C$14:$C$36,$D$14:$D$36)*$E1923)</f>
        <v>0</v>
      </c>
      <c r="J1923" s="95" cm="1">
        <f ca="1" t="array" ref="J1923">MIN(8,_xlfn.XLOOKUP($D1923&amp;"_"&amp;J$52,$B$14:$B$36&amp;"_"&amp;$C$14:$C$36,$D$14:$D$36)*$E1923)</f>
        <v>8</v>
      </c>
      <c r="K1923" s="95" cm="1">
        <f ca="1" t="array" ref="K1923">MIN(18,_xlfn.XLOOKUP($D1923&amp;"_"&amp;K$52,$B$14:$B$36&amp;"_"&amp;$C$14:$C$36,$D$14:$D$36)*$E1923)</f>
        <v>5.3228</v>
      </c>
      <c r="L1923" s="95" cm="1">
        <f ca="1" t="array" ref="L1923">MIN(6,_xlfn.XLOOKUP($D1923&amp;"_"&amp;L$52,$B$14:$B$36&amp;"_"&amp;$C$14:$C$36,$D$14:$D$36)*$E1923)</f>
        <v>6</v>
      </c>
      <c r="M1923" s="95" cm="1">
        <f ca="1" t="array" ref="M1923">(1+SUMPRODUCT(G1923:H1923,OFFSET($H$40:$I$40,D1923,0)))*(1+OFFSET($J$40,D1923,0))^I1923*(1+OFFSET($K$40,D1923,0))^J1923*(1+OFFSET($L$40,D1923,0))^K1923*(1+OFFSET($M$40,D1923,0))^L1923</f>
        <v>403.45905581852</v>
      </c>
      <c r="N1923" s="95">
        <f ca="1">MAX(MAX($N$53:N1922),OFFSET($C$52,MATCH(M1923*1.07,$M$53:$M$2052,1),0)-C1923)</f>
        <v>73440</v>
      </c>
    </row>
    <row r="1924" spans="2:14">
      <c r="B1924" s="95">
        <v>1872</v>
      </c>
      <c r="C1924" s="95">
        <f t="shared" si="143"/>
        <v>673920</v>
      </c>
      <c r="D1924" s="95">
        <f ca="1">_xlfn.XLOOKUP(总览!$B$44,$B$40:$B$45,$C$40:$C$45)</f>
        <v>5</v>
      </c>
      <c r="E1924" s="95">
        <f ca="1" t="shared" si="146"/>
        <v>1902</v>
      </c>
      <c r="F1924" s="95">
        <f ca="1" t="shared" si="144"/>
        <v>0</v>
      </c>
      <c r="G1924" s="95">
        <f ca="1" t="shared" si="145"/>
        <v>0</v>
      </c>
      <c r="H1924" s="95" cm="1">
        <f ca="1" t="array" ref="H1924">MIN(30-SUM(I1924:L1924),_xlfn.XLOOKUP($D1924&amp;"_"&amp;H$52,$B$14:$B$36&amp;"_"&amp;$C$14:$C$36,$D$14:$D$36)*$E1924,18)</f>
        <v>10.6744</v>
      </c>
      <c r="I1924" s="95" cm="1">
        <f ca="1" t="array" ref="I1924">MIN(30-SUM(J1924:L1924),6-L1924,_xlfn.XLOOKUP($D1924&amp;"_"&amp;I$52,$B$14:$B$36&amp;"_"&amp;$C$14:$C$36,$D$14:$D$36)*$E1924)</f>
        <v>0</v>
      </c>
      <c r="J1924" s="95" cm="1">
        <f ca="1" t="array" ref="J1924">MIN(8,_xlfn.XLOOKUP($D1924&amp;"_"&amp;J$52,$B$14:$B$36&amp;"_"&amp;$C$14:$C$36,$D$14:$D$36)*$E1924)</f>
        <v>8</v>
      </c>
      <c r="K1924" s="95" cm="1">
        <f ca="1" t="array" ref="K1924">MIN(18,_xlfn.XLOOKUP($D1924&amp;"_"&amp;K$52,$B$14:$B$36&amp;"_"&amp;$C$14:$C$36,$D$14:$D$36)*$E1924)</f>
        <v>5.3256</v>
      </c>
      <c r="L1924" s="95" cm="1">
        <f ca="1" t="array" ref="L1924">MIN(6,_xlfn.XLOOKUP($D1924&amp;"_"&amp;L$52,$B$14:$B$36&amp;"_"&amp;$C$14:$C$36,$D$14:$D$36)*$E1924)</f>
        <v>6</v>
      </c>
      <c r="M1924" s="95" cm="1">
        <f ca="1" t="array" ref="M1924">(1+SUMPRODUCT(G1924:H1924,OFFSET($H$40:$I$40,D1924,0)))*(1+OFFSET($J$40,D1924,0))^I1924*(1+OFFSET($K$40,D1924,0))^J1924*(1+OFFSET($L$40,D1924,0))^K1924*(1+OFFSET($M$40,D1924,0))^L1924</f>
        <v>403.592978469899</v>
      </c>
      <c r="N1924" s="95">
        <f ca="1">MAX(MAX($N$53:N1923),OFFSET($C$52,MATCH(M1924*1.07,$M$53:$M$2052,1),0)-C1924)</f>
        <v>73440</v>
      </c>
    </row>
    <row r="1925" spans="2:14">
      <c r="B1925" s="95">
        <v>1873</v>
      </c>
      <c r="C1925" s="95">
        <f t="shared" si="143"/>
        <v>674280</v>
      </c>
      <c r="D1925" s="95">
        <f ca="1">_xlfn.XLOOKUP(总览!$B$44,$B$40:$B$45,$C$40:$C$45)</f>
        <v>5</v>
      </c>
      <c r="E1925" s="95">
        <f ca="1" t="shared" si="146"/>
        <v>1903</v>
      </c>
      <c r="F1925" s="95">
        <f ca="1" t="shared" si="144"/>
        <v>0</v>
      </c>
      <c r="G1925" s="95">
        <f ca="1" t="shared" si="145"/>
        <v>0</v>
      </c>
      <c r="H1925" s="95" cm="1">
        <f ca="1" t="array" ref="H1925">MIN(30-SUM(I1925:L1925),_xlfn.XLOOKUP($D1925&amp;"_"&amp;H$52,$B$14:$B$36&amp;"_"&amp;$C$14:$C$36,$D$14:$D$36)*$E1925,18)</f>
        <v>10.6716</v>
      </c>
      <c r="I1925" s="95" cm="1">
        <f ca="1" t="array" ref="I1925">MIN(30-SUM(J1925:L1925),6-L1925,_xlfn.XLOOKUP($D1925&amp;"_"&amp;I$52,$B$14:$B$36&amp;"_"&amp;$C$14:$C$36,$D$14:$D$36)*$E1925)</f>
        <v>0</v>
      </c>
      <c r="J1925" s="95" cm="1">
        <f ca="1" t="array" ref="J1925">MIN(8,_xlfn.XLOOKUP($D1925&amp;"_"&amp;J$52,$B$14:$B$36&amp;"_"&amp;$C$14:$C$36,$D$14:$D$36)*$E1925)</f>
        <v>8</v>
      </c>
      <c r="K1925" s="95" cm="1">
        <f ca="1" t="array" ref="K1925">MIN(18,_xlfn.XLOOKUP($D1925&amp;"_"&amp;K$52,$B$14:$B$36&amp;"_"&amp;$C$14:$C$36,$D$14:$D$36)*$E1925)</f>
        <v>5.3284</v>
      </c>
      <c r="L1925" s="95" cm="1">
        <f ca="1" t="array" ref="L1925">MIN(6,_xlfn.XLOOKUP($D1925&amp;"_"&amp;L$52,$B$14:$B$36&amp;"_"&amp;$C$14:$C$36,$D$14:$D$36)*$E1925)</f>
        <v>6</v>
      </c>
      <c r="M1925" s="95" cm="1">
        <f ca="1" t="array" ref="M1925">(1+SUMPRODUCT(G1925:H1925,OFFSET($H$40:$I$40,D1925,0)))*(1+OFFSET($J$40,D1925,0))^I1925*(1+OFFSET($K$40,D1925,0))^J1925*(1+OFFSET($L$40,D1925,0))^K1925*(1+OFFSET($M$40,D1925,0))^L1925</f>
        <v>403.726932691903</v>
      </c>
      <c r="N1925" s="95">
        <f ca="1">MAX(MAX($N$53:N1924),OFFSET($C$52,MATCH(M1925*1.07,$M$53:$M$2052,1),0)-C1925)</f>
        <v>73440</v>
      </c>
    </row>
    <row r="1926" spans="2:14">
      <c r="B1926" s="95">
        <v>1874</v>
      </c>
      <c r="C1926" s="95">
        <f t="shared" si="143"/>
        <v>674640</v>
      </c>
      <c r="D1926" s="95">
        <f ca="1">_xlfn.XLOOKUP(总览!$B$44,$B$40:$B$45,$C$40:$C$45)</f>
        <v>5</v>
      </c>
      <c r="E1926" s="95">
        <f ca="1" t="shared" si="146"/>
        <v>1904</v>
      </c>
      <c r="F1926" s="95">
        <f ca="1" t="shared" si="144"/>
        <v>0</v>
      </c>
      <c r="G1926" s="95">
        <f ca="1" t="shared" si="145"/>
        <v>0</v>
      </c>
      <c r="H1926" s="95" cm="1">
        <f ca="1" t="array" ref="H1926">MIN(30-SUM(I1926:L1926),_xlfn.XLOOKUP($D1926&amp;"_"&amp;H$52,$B$14:$B$36&amp;"_"&amp;$C$14:$C$36,$D$14:$D$36)*$E1926,18)</f>
        <v>10.6688</v>
      </c>
      <c r="I1926" s="95" cm="1">
        <f ca="1" t="array" ref="I1926">MIN(30-SUM(J1926:L1926),6-L1926,_xlfn.XLOOKUP($D1926&amp;"_"&amp;I$52,$B$14:$B$36&amp;"_"&amp;$C$14:$C$36,$D$14:$D$36)*$E1926)</f>
        <v>0</v>
      </c>
      <c r="J1926" s="95" cm="1">
        <f ca="1" t="array" ref="J1926">MIN(8,_xlfn.XLOOKUP($D1926&amp;"_"&amp;J$52,$B$14:$B$36&amp;"_"&amp;$C$14:$C$36,$D$14:$D$36)*$E1926)</f>
        <v>8</v>
      </c>
      <c r="K1926" s="95" cm="1">
        <f ca="1" t="array" ref="K1926">MIN(18,_xlfn.XLOOKUP($D1926&amp;"_"&amp;K$52,$B$14:$B$36&amp;"_"&amp;$C$14:$C$36,$D$14:$D$36)*$E1926)</f>
        <v>5.3312</v>
      </c>
      <c r="L1926" s="95" cm="1">
        <f ca="1" t="array" ref="L1926">MIN(6,_xlfn.XLOOKUP($D1926&amp;"_"&amp;L$52,$B$14:$B$36&amp;"_"&amp;$C$14:$C$36,$D$14:$D$36)*$E1926)</f>
        <v>6</v>
      </c>
      <c r="M1926" s="95" cm="1">
        <f ca="1" t="array" ref="M1926">(1+SUMPRODUCT(G1926:H1926,OFFSET($H$40:$I$40,D1926,0)))*(1+OFFSET($J$40,D1926,0))^I1926*(1+OFFSET($K$40,D1926,0))^J1926*(1+OFFSET($L$40,D1926,0))^K1926*(1+OFFSET($M$40,D1926,0))^L1926</f>
        <v>403.860918481855</v>
      </c>
      <c r="N1926" s="95">
        <f ca="1">MAX(MAX($N$53:N1925),OFFSET($C$52,MATCH(M1926*1.07,$M$53:$M$2052,1),0)-C1926)</f>
        <v>73440</v>
      </c>
    </row>
    <row r="1927" spans="2:14">
      <c r="B1927" s="95">
        <v>1875</v>
      </c>
      <c r="C1927" s="95">
        <f t="shared" si="143"/>
        <v>675000</v>
      </c>
      <c r="D1927" s="95">
        <f ca="1">_xlfn.XLOOKUP(总览!$B$44,$B$40:$B$45,$C$40:$C$45)</f>
        <v>5</v>
      </c>
      <c r="E1927" s="95">
        <f ca="1" t="shared" si="146"/>
        <v>1905</v>
      </c>
      <c r="F1927" s="95">
        <f ca="1" t="shared" si="144"/>
        <v>0</v>
      </c>
      <c r="G1927" s="95">
        <f ca="1" t="shared" si="145"/>
        <v>0</v>
      </c>
      <c r="H1927" s="95" cm="1">
        <f ca="1" t="array" ref="H1927">MIN(30-SUM(I1927:L1927),_xlfn.XLOOKUP($D1927&amp;"_"&amp;H$52,$B$14:$B$36&amp;"_"&amp;$C$14:$C$36,$D$14:$D$36)*$E1927,18)</f>
        <v>10.666</v>
      </c>
      <c r="I1927" s="95" cm="1">
        <f ca="1" t="array" ref="I1927">MIN(30-SUM(J1927:L1927),6-L1927,_xlfn.XLOOKUP($D1927&amp;"_"&amp;I$52,$B$14:$B$36&amp;"_"&amp;$C$14:$C$36,$D$14:$D$36)*$E1927)</f>
        <v>0</v>
      </c>
      <c r="J1927" s="95" cm="1">
        <f ca="1" t="array" ref="J1927">MIN(8,_xlfn.XLOOKUP($D1927&amp;"_"&amp;J$52,$B$14:$B$36&amp;"_"&amp;$C$14:$C$36,$D$14:$D$36)*$E1927)</f>
        <v>8</v>
      </c>
      <c r="K1927" s="95" cm="1">
        <f ca="1" t="array" ref="K1927">MIN(18,_xlfn.XLOOKUP($D1927&amp;"_"&amp;K$52,$B$14:$B$36&amp;"_"&amp;$C$14:$C$36,$D$14:$D$36)*$E1927)</f>
        <v>5.334</v>
      </c>
      <c r="L1927" s="95" cm="1">
        <f ca="1" t="array" ref="L1927">MIN(6,_xlfn.XLOOKUP($D1927&amp;"_"&amp;L$52,$B$14:$B$36&amp;"_"&amp;$C$14:$C$36,$D$14:$D$36)*$E1927)</f>
        <v>6</v>
      </c>
      <c r="M1927" s="95" cm="1">
        <f ca="1" t="array" ref="M1927">(1+SUMPRODUCT(G1927:H1927,OFFSET($H$40:$I$40,D1927,0)))*(1+OFFSET($J$40,D1927,0))^I1927*(1+OFFSET($K$40,D1927,0))^J1927*(1+OFFSET($L$40,D1927,0))^K1927*(1+OFFSET($M$40,D1927,0))^L1927</f>
        <v>403.994935837064</v>
      </c>
      <c r="N1927" s="95">
        <f ca="1">MAX(MAX($N$53:N1926),OFFSET($C$52,MATCH(M1927*1.07,$M$53:$M$2052,1),0)-C1927)</f>
        <v>73440</v>
      </c>
    </row>
    <row r="1928" spans="2:14">
      <c r="B1928" s="95">
        <v>1876</v>
      </c>
      <c r="C1928" s="95">
        <f t="shared" si="143"/>
        <v>675360</v>
      </c>
      <c r="D1928" s="95">
        <f ca="1">_xlfn.XLOOKUP(总览!$B$44,$B$40:$B$45,$C$40:$C$45)</f>
        <v>5</v>
      </c>
      <c r="E1928" s="95">
        <f ca="1" t="shared" si="146"/>
        <v>1906</v>
      </c>
      <c r="F1928" s="95">
        <f ca="1" t="shared" si="144"/>
        <v>0</v>
      </c>
      <c r="G1928" s="95">
        <f ca="1" t="shared" si="145"/>
        <v>0</v>
      </c>
      <c r="H1928" s="95" cm="1">
        <f ca="1" t="array" ref="H1928">MIN(30-SUM(I1928:L1928),_xlfn.XLOOKUP($D1928&amp;"_"&amp;H$52,$B$14:$B$36&amp;"_"&amp;$C$14:$C$36,$D$14:$D$36)*$E1928,18)</f>
        <v>10.6632</v>
      </c>
      <c r="I1928" s="95" cm="1">
        <f ca="1" t="array" ref="I1928">MIN(30-SUM(J1928:L1928),6-L1928,_xlfn.XLOOKUP($D1928&amp;"_"&amp;I$52,$B$14:$B$36&amp;"_"&amp;$C$14:$C$36,$D$14:$D$36)*$E1928)</f>
        <v>0</v>
      </c>
      <c r="J1928" s="95" cm="1">
        <f ca="1" t="array" ref="J1928">MIN(8,_xlfn.XLOOKUP($D1928&amp;"_"&amp;J$52,$B$14:$B$36&amp;"_"&amp;$C$14:$C$36,$D$14:$D$36)*$E1928)</f>
        <v>8</v>
      </c>
      <c r="K1928" s="95" cm="1">
        <f ca="1" t="array" ref="K1928">MIN(18,_xlfn.XLOOKUP($D1928&amp;"_"&amp;K$52,$B$14:$B$36&amp;"_"&amp;$C$14:$C$36,$D$14:$D$36)*$E1928)</f>
        <v>5.3368</v>
      </c>
      <c r="L1928" s="95" cm="1">
        <f ca="1" t="array" ref="L1928">MIN(6,_xlfn.XLOOKUP($D1928&amp;"_"&amp;L$52,$B$14:$B$36&amp;"_"&amp;$C$14:$C$36,$D$14:$D$36)*$E1928)</f>
        <v>6</v>
      </c>
      <c r="M1928" s="95" cm="1">
        <f ca="1" t="array" ref="M1928">(1+SUMPRODUCT(G1928:H1928,OFFSET($H$40:$I$40,D1928,0)))*(1+OFFSET($J$40,D1928,0))^I1928*(1+OFFSET($K$40,D1928,0))^J1928*(1+OFFSET($L$40,D1928,0))^K1928*(1+OFFSET($M$40,D1928,0))^L1928</f>
        <v>404.128984754833</v>
      </c>
      <c r="N1928" s="95">
        <f ca="1">MAX(MAX($N$53:N1927),OFFSET($C$52,MATCH(M1928*1.07,$M$53:$M$2052,1),0)-C1928)</f>
        <v>73440</v>
      </c>
    </row>
    <row r="1929" spans="2:14">
      <c r="B1929" s="95">
        <v>1877</v>
      </c>
      <c r="C1929" s="95">
        <f t="shared" si="143"/>
        <v>675720</v>
      </c>
      <c r="D1929" s="95">
        <f ca="1">_xlfn.XLOOKUP(总览!$B$44,$B$40:$B$45,$C$40:$C$45)</f>
        <v>5</v>
      </c>
      <c r="E1929" s="95">
        <f ca="1" t="shared" si="146"/>
        <v>1907</v>
      </c>
      <c r="F1929" s="95">
        <f ca="1" t="shared" si="144"/>
        <v>0</v>
      </c>
      <c r="G1929" s="95">
        <f ca="1" t="shared" si="145"/>
        <v>0</v>
      </c>
      <c r="H1929" s="95" cm="1">
        <f ca="1" t="array" ref="H1929">MIN(30-SUM(I1929:L1929),_xlfn.XLOOKUP($D1929&amp;"_"&amp;H$52,$B$14:$B$36&amp;"_"&amp;$C$14:$C$36,$D$14:$D$36)*$E1929,18)</f>
        <v>10.6604</v>
      </c>
      <c r="I1929" s="95" cm="1">
        <f ca="1" t="array" ref="I1929">MIN(30-SUM(J1929:L1929),6-L1929,_xlfn.XLOOKUP($D1929&amp;"_"&amp;I$52,$B$14:$B$36&amp;"_"&amp;$C$14:$C$36,$D$14:$D$36)*$E1929)</f>
        <v>0</v>
      </c>
      <c r="J1929" s="95" cm="1">
        <f ca="1" t="array" ref="J1929">MIN(8,_xlfn.XLOOKUP($D1929&amp;"_"&amp;J$52,$B$14:$B$36&amp;"_"&amp;$C$14:$C$36,$D$14:$D$36)*$E1929)</f>
        <v>8</v>
      </c>
      <c r="K1929" s="95" cm="1">
        <f ca="1" t="array" ref="K1929">MIN(18,_xlfn.XLOOKUP($D1929&amp;"_"&amp;K$52,$B$14:$B$36&amp;"_"&amp;$C$14:$C$36,$D$14:$D$36)*$E1929)</f>
        <v>5.3396</v>
      </c>
      <c r="L1929" s="95" cm="1">
        <f ca="1" t="array" ref="L1929">MIN(6,_xlfn.XLOOKUP($D1929&amp;"_"&amp;L$52,$B$14:$B$36&amp;"_"&amp;$C$14:$C$36,$D$14:$D$36)*$E1929)</f>
        <v>6</v>
      </c>
      <c r="M1929" s="95" cm="1">
        <f ca="1" t="array" ref="M1929">(1+SUMPRODUCT(G1929:H1929,OFFSET($H$40:$I$40,D1929,0)))*(1+OFFSET($J$40,D1929,0))^I1929*(1+OFFSET($K$40,D1929,0))^J1929*(1+OFFSET($L$40,D1929,0))^K1929*(1+OFFSET($M$40,D1929,0))^L1929</f>
        <v>404.263065232449</v>
      </c>
      <c r="N1929" s="95">
        <f ca="1">MAX(MAX($N$53:N1928),OFFSET($C$52,MATCH(M1929*1.07,$M$53:$M$2052,1),0)-C1929)</f>
        <v>73440</v>
      </c>
    </row>
    <row r="1930" spans="2:14">
      <c r="B1930" s="95">
        <v>1878</v>
      </c>
      <c r="C1930" s="95">
        <f t="shared" si="143"/>
        <v>676080</v>
      </c>
      <c r="D1930" s="95">
        <f ca="1">_xlfn.XLOOKUP(总览!$B$44,$B$40:$B$45,$C$40:$C$45)</f>
        <v>5</v>
      </c>
      <c r="E1930" s="95">
        <f ca="1" t="shared" si="146"/>
        <v>1908</v>
      </c>
      <c r="F1930" s="95">
        <f ca="1" t="shared" si="144"/>
        <v>0</v>
      </c>
      <c r="G1930" s="95">
        <f ca="1" t="shared" si="145"/>
        <v>0</v>
      </c>
      <c r="H1930" s="95" cm="1">
        <f ca="1" t="array" ref="H1930">MIN(30-SUM(I1930:L1930),_xlfn.XLOOKUP($D1930&amp;"_"&amp;H$52,$B$14:$B$36&amp;"_"&amp;$C$14:$C$36,$D$14:$D$36)*$E1930,18)</f>
        <v>10.6576</v>
      </c>
      <c r="I1930" s="95" cm="1">
        <f ca="1" t="array" ref="I1930">MIN(30-SUM(J1930:L1930),6-L1930,_xlfn.XLOOKUP($D1930&amp;"_"&amp;I$52,$B$14:$B$36&amp;"_"&amp;$C$14:$C$36,$D$14:$D$36)*$E1930)</f>
        <v>0</v>
      </c>
      <c r="J1930" s="95" cm="1">
        <f ca="1" t="array" ref="J1930">MIN(8,_xlfn.XLOOKUP($D1930&amp;"_"&amp;J$52,$B$14:$B$36&amp;"_"&amp;$C$14:$C$36,$D$14:$D$36)*$E1930)</f>
        <v>8</v>
      </c>
      <c r="K1930" s="95" cm="1">
        <f ca="1" t="array" ref="K1930">MIN(18,_xlfn.XLOOKUP($D1930&amp;"_"&amp;K$52,$B$14:$B$36&amp;"_"&amp;$C$14:$C$36,$D$14:$D$36)*$E1930)</f>
        <v>5.3424</v>
      </c>
      <c r="L1930" s="95" cm="1">
        <f ca="1" t="array" ref="L1930">MIN(6,_xlfn.XLOOKUP($D1930&amp;"_"&amp;L$52,$B$14:$B$36&amp;"_"&amp;$C$14:$C$36,$D$14:$D$36)*$E1930)</f>
        <v>6</v>
      </c>
      <c r="M1930" s="95" cm="1">
        <f ca="1" t="array" ref="M1930">(1+SUMPRODUCT(G1930:H1930,OFFSET($H$40:$I$40,D1930,0)))*(1+OFFSET($J$40,D1930,0))^I1930*(1+OFFSET($K$40,D1930,0))^J1930*(1+OFFSET($L$40,D1930,0))^K1930*(1+OFFSET($M$40,D1930,0))^L1930</f>
        <v>404.397177267193</v>
      </c>
      <c r="N1930" s="95">
        <f ca="1">MAX(MAX($N$53:N1929),OFFSET($C$52,MATCH(M1930*1.07,$M$53:$M$2052,1),0)-C1930)</f>
        <v>73440</v>
      </c>
    </row>
    <row r="1931" spans="2:14">
      <c r="B1931" s="95">
        <v>1879</v>
      </c>
      <c r="C1931" s="95">
        <f t="shared" si="143"/>
        <v>676440</v>
      </c>
      <c r="D1931" s="95">
        <f ca="1">_xlfn.XLOOKUP(总览!$B$44,$B$40:$B$45,$C$40:$C$45)</f>
        <v>5</v>
      </c>
      <c r="E1931" s="95">
        <f ca="1" t="shared" si="146"/>
        <v>1909</v>
      </c>
      <c r="F1931" s="95">
        <f ca="1" t="shared" si="144"/>
        <v>0</v>
      </c>
      <c r="G1931" s="95">
        <f ca="1" t="shared" si="145"/>
        <v>0</v>
      </c>
      <c r="H1931" s="95" cm="1">
        <f ca="1" t="array" ref="H1931">MIN(30-SUM(I1931:L1931),_xlfn.XLOOKUP($D1931&amp;"_"&amp;H$52,$B$14:$B$36&amp;"_"&amp;$C$14:$C$36,$D$14:$D$36)*$E1931,18)</f>
        <v>10.6548</v>
      </c>
      <c r="I1931" s="95" cm="1">
        <f ca="1" t="array" ref="I1931">MIN(30-SUM(J1931:L1931),6-L1931,_xlfn.XLOOKUP($D1931&amp;"_"&amp;I$52,$B$14:$B$36&amp;"_"&amp;$C$14:$C$36,$D$14:$D$36)*$E1931)</f>
        <v>0</v>
      </c>
      <c r="J1931" s="95" cm="1">
        <f ca="1" t="array" ref="J1931">MIN(8,_xlfn.XLOOKUP($D1931&amp;"_"&amp;J$52,$B$14:$B$36&amp;"_"&amp;$C$14:$C$36,$D$14:$D$36)*$E1931)</f>
        <v>8</v>
      </c>
      <c r="K1931" s="95" cm="1">
        <f ca="1" t="array" ref="K1931">MIN(18,_xlfn.XLOOKUP($D1931&amp;"_"&amp;K$52,$B$14:$B$36&amp;"_"&amp;$C$14:$C$36,$D$14:$D$36)*$E1931)</f>
        <v>5.3452</v>
      </c>
      <c r="L1931" s="95" cm="1">
        <f ca="1" t="array" ref="L1931">MIN(6,_xlfn.XLOOKUP($D1931&amp;"_"&amp;L$52,$B$14:$B$36&amp;"_"&amp;$C$14:$C$36,$D$14:$D$36)*$E1931)</f>
        <v>6</v>
      </c>
      <c r="M1931" s="95" cm="1">
        <f ca="1" t="array" ref="M1931">(1+SUMPRODUCT(G1931:H1931,OFFSET($H$40:$I$40,D1931,0)))*(1+OFFSET($J$40,D1931,0))^I1931*(1+OFFSET($K$40,D1931,0))^J1931*(1+OFFSET($L$40,D1931,0))^K1931*(1+OFFSET($M$40,D1931,0))^L1931</f>
        <v>404.53132085633</v>
      </c>
      <c r="N1931" s="95">
        <f ca="1">MAX(MAX($N$53:N1930),OFFSET($C$52,MATCH(M1931*1.07,$M$53:$M$2052,1),0)-C1931)</f>
        <v>73440</v>
      </c>
    </row>
    <row r="1932" spans="2:14">
      <c r="B1932" s="95">
        <v>1880</v>
      </c>
      <c r="C1932" s="95">
        <f t="shared" si="143"/>
        <v>676800</v>
      </c>
      <c r="D1932" s="95">
        <f ca="1">_xlfn.XLOOKUP(总览!$B$44,$B$40:$B$45,$C$40:$C$45)</f>
        <v>5</v>
      </c>
      <c r="E1932" s="95">
        <f ca="1" t="shared" si="146"/>
        <v>1910</v>
      </c>
      <c r="F1932" s="95">
        <f ca="1" t="shared" si="144"/>
        <v>0</v>
      </c>
      <c r="G1932" s="95">
        <f ca="1" t="shared" si="145"/>
        <v>0</v>
      </c>
      <c r="H1932" s="95" cm="1">
        <f ca="1" t="array" ref="H1932">MIN(30-SUM(I1932:L1932),_xlfn.XLOOKUP($D1932&amp;"_"&amp;H$52,$B$14:$B$36&amp;"_"&amp;$C$14:$C$36,$D$14:$D$36)*$E1932,18)</f>
        <v>10.652</v>
      </c>
      <c r="I1932" s="95" cm="1">
        <f ca="1" t="array" ref="I1932">MIN(30-SUM(J1932:L1932),6-L1932,_xlfn.XLOOKUP($D1932&amp;"_"&amp;I$52,$B$14:$B$36&amp;"_"&amp;$C$14:$C$36,$D$14:$D$36)*$E1932)</f>
        <v>0</v>
      </c>
      <c r="J1932" s="95" cm="1">
        <f ca="1" t="array" ref="J1932">MIN(8,_xlfn.XLOOKUP($D1932&amp;"_"&amp;J$52,$B$14:$B$36&amp;"_"&amp;$C$14:$C$36,$D$14:$D$36)*$E1932)</f>
        <v>8</v>
      </c>
      <c r="K1932" s="95" cm="1">
        <f ca="1" t="array" ref="K1932">MIN(18,_xlfn.XLOOKUP($D1932&amp;"_"&amp;K$52,$B$14:$B$36&amp;"_"&amp;$C$14:$C$36,$D$14:$D$36)*$E1932)</f>
        <v>5.348</v>
      </c>
      <c r="L1932" s="95" cm="1">
        <f ca="1" t="array" ref="L1932">MIN(6,_xlfn.XLOOKUP($D1932&amp;"_"&amp;L$52,$B$14:$B$36&amp;"_"&amp;$C$14:$C$36,$D$14:$D$36)*$E1932)</f>
        <v>6</v>
      </c>
      <c r="M1932" s="95" cm="1">
        <f ca="1" t="array" ref="M1932">(1+SUMPRODUCT(G1932:H1932,OFFSET($H$40:$I$40,D1932,0)))*(1+OFFSET($J$40,D1932,0))^I1932*(1+OFFSET($K$40,D1932,0))^J1932*(1+OFFSET($L$40,D1932,0))^K1932*(1+OFFSET($M$40,D1932,0))^L1932</f>
        <v>404.665495997119</v>
      </c>
      <c r="N1932" s="95">
        <f ca="1">MAX(MAX($N$53:N1931),OFFSET($C$52,MATCH(M1932*1.07,$M$53:$M$2052,1),0)-C1932)</f>
        <v>73440</v>
      </c>
    </row>
    <row r="1933" spans="2:14">
      <c r="B1933" s="95">
        <v>1881</v>
      </c>
      <c r="C1933" s="95">
        <f t="shared" si="143"/>
        <v>677160</v>
      </c>
      <c r="D1933" s="95">
        <f ca="1">_xlfn.XLOOKUP(总览!$B$44,$B$40:$B$45,$C$40:$C$45)</f>
        <v>5</v>
      </c>
      <c r="E1933" s="95">
        <f ca="1" t="shared" si="146"/>
        <v>1911</v>
      </c>
      <c r="F1933" s="95">
        <f ca="1" t="shared" si="144"/>
        <v>0</v>
      </c>
      <c r="G1933" s="95">
        <f ca="1" t="shared" si="145"/>
        <v>0</v>
      </c>
      <c r="H1933" s="95" cm="1">
        <f ca="1" t="array" ref="H1933">MIN(30-SUM(I1933:L1933),_xlfn.XLOOKUP($D1933&amp;"_"&amp;H$52,$B$14:$B$36&amp;"_"&amp;$C$14:$C$36,$D$14:$D$36)*$E1933,18)</f>
        <v>10.6492</v>
      </c>
      <c r="I1933" s="95" cm="1">
        <f ca="1" t="array" ref="I1933">MIN(30-SUM(J1933:L1933),6-L1933,_xlfn.XLOOKUP($D1933&amp;"_"&amp;I$52,$B$14:$B$36&amp;"_"&amp;$C$14:$C$36,$D$14:$D$36)*$E1933)</f>
        <v>0</v>
      </c>
      <c r="J1933" s="95" cm="1">
        <f ca="1" t="array" ref="J1933">MIN(8,_xlfn.XLOOKUP($D1933&amp;"_"&amp;J$52,$B$14:$B$36&amp;"_"&amp;$C$14:$C$36,$D$14:$D$36)*$E1933)</f>
        <v>8</v>
      </c>
      <c r="K1933" s="95" cm="1">
        <f ca="1" t="array" ref="K1933">MIN(18,_xlfn.XLOOKUP($D1933&amp;"_"&amp;K$52,$B$14:$B$36&amp;"_"&amp;$C$14:$C$36,$D$14:$D$36)*$E1933)</f>
        <v>5.3508</v>
      </c>
      <c r="L1933" s="95" cm="1">
        <f ca="1" t="array" ref="L1933">MIN(6,_xlfn.XLOOKUP($D1933&amp;"_"&amp;L$52,$B$14:$B$36&amp;"_"&amp;$C$14:$C$36,$D$14:$D$36)*$E1933)</f>
        <v>6</v>
      </c>
      <c r="M1933" s="95" cm="1">
        <f ca="1" t="array" ref="M1933">(1+SUMPRODUCT(G1933:H1933,OFFSET($H$40:$I$40,D1933,0)))*(1+OFFSET($J$40,D1933,0))^I1933*(1+OFFSET($K$40,D1933,0))^J1933*(1+OFFSET($L$40,D1933,0))^K1933*(1+OFFSET($M$40,D1933,0))^L1933</f>
        <v>404.799702686803</v>
      </c>
      <c r="N1933" s="95">
        <f ca="1">MAX(MAX($N$53:N1932),OFFSET($C$52,MATCH(M1933*1.07,$M$53:$M$2052,1),0)-C1933)</f>
        <v>73440</v>
      </c>
    </row>
    <row r="1934" spans="2:14">
      <c r="B1934" s="95">
        <v>1882</v>
      </c>
      <c r="C1934" s="95">
        <f t="shared" si="143"/>
        <v>677520</v>
      </c>
      <c r="D1934" s="95">
        <f ca="1">_xlfn.XLOOKUP(总览!$B$44,$B$40:$B$45,$C$40:$C$45)</f>
        <v>5</v>
      </c>
      <c r="E1934" s="95">
        <f ca="1" t="shared" si="146"/>
        <v>1912</v>
      </c>
      <c r="F1934" s="95">
        <f ca="1" t="shared" si="144"/>
        <v>0</v>
      </c>
      <c r="G1934" s="95">
        <f ca="1" t="shared" si="145"/>
        <v>0</v>
      </c>
      <c r="H1934" s="95" cm="1">
        <f ca="1" t="array" ref="H1934">MIN(30-SUM(I1934:L1934),_xlfn.XLOOKUP($D1934&amp;"_"&amp;H$52,$B$14:$B$36&amp;"_"&amp;$C$14:$C$36,$D$14:$D$36)*$E1934,18)</f>
        <v>10.6464</v>
      </c>
      <c r="I1934" s="95" cm="1">
        <f ca="1" t="array" ref="I1934">MIN(30-SUM(J1934:L1934),6-L1934,_xlfn.XLOOKUP($D1934&amp;"_"&amp;I$52,$B$14:$B$36&amp;"_"&amp;$C$14:$C$36,$D$14:$D$36)*$E1934)</f>
        <v>0</v>
      </c>
      <c r="J1934" s="95" cm="1">
        <f ca="1" t="array" ref="J1934">MIN(8,_xlfn.XLOOKUP($D1934&amp;"_"&amp;J$52,$B$14:$B$36&amp;"_"&amp;$C$14:$C$36,$D$14:$D$36)*$E1934)</f>
        <v>8</v>
      </c>
      <c r="K1934" s="95" cm="1">
        <f ca="1" t="array" ref="K1934">MIN(18,_xlfn.XLOOKUP($D1934&amp;"_"&amp;K$52,$B$14:$B$36&amp;"_"&amp;$C$14:$C$36,$D$14:$D$36)*$E1934)</f>
        <v>5.3536</v>
      </c>
      <c r="L1934" s="95" cm="1">
        <f ca="1" t="array" ref="L1934">MIN(6,_xlfn.XLOOKUP($D1934&amp;"_"&amp;L$52,$B$14:$B$36&amp;"_"&amp;$C$14:$C$36,$D$14:$D$36)*$E1934)</f>
        <v>6</v>
      </c>
      <c r="M1934" s="95" cm="1">
        <f ca="1" t="array" ref="M1934">(1+SUMPRODUCT(G1934:H1934,OFFSET($H$40:$I$40,D1934,0)))*(1+OFFSET($J$40,D1934,0))^I1934*(1+OFFSET($K$40,D1934,0))^J1934*(1+OFFSET($L$40,D1934,0))^K1934*(1+OFFSET($M$40,D1934,0))^L1934</f>
        <v>404.933940922617</v>
      </c>
      <c r="N1934" s="95">
        <f ca="1">MAX(MAX($N$53:N1933),OFFSET($C$52,MATCH(M1934*1.07,$M$53:$M$2052,1),0)-C1934)</f>
        <v>73440</v>
      </c>
    </row>
    <row r="1935" spans="2:14">
      <c r="B1935" s="95">
        <v>1883</v>
      </c>
      <c r="C1935" s="95">
        <f t="shared" si="143"/>
        <v>677880</v>
      </c>
      <c r="D1935" s="95">
        <f ca="1">_xlfn.XLOOKUP(总览!$B$44,$B$40:$B$45,$C$40:$C$45)</f>
        <v>5</v>
      </c>
      <c r="E1935" s="95">
        <f ca="1" t="shared" si="146"/>
        <v>1913</v>
      </c>
      <c r="F1935" s="95">
        <f ca="1" t="shared" si="144"/>
        <v>0</v>
      </c>
      <c r="G1935" s="95">
        <f ca="1" t="shared" si="145"/>
        <v>0</v>
      </c>
      <c r="H1935" s="95" cm="1">
        <f ca="1" t="array" ref="H1935">MIN(30-SUM(I1935:L1935),_xlfn.XLOOKUP($D1935&amp;"_"&amp;H$52,$B$14:$B$36&amp;"_"&amp;$C$14:$C$36,$D$14:$D$36)*$E1935,18)</f>
        <v>10.6436</v>
      </c>
      <c r="I1935" s="95" cm="1">
        <f ca="1" t="array" ref="I1935">MIN(30-SUM(J1935:L1935),6-L1935,_xlfn.XLOOKUP($D1935&amp;"_"&amp;I$52,$B$14:$B$36&amp;"_"&amp;$C$14:$C$36,$D$14:$D$36)*$E1935)</f>
        <v>0</v>
      </c>
      <c r="J1935" s="95" cm="1">
        <f ca="1" t="array" ref="J1935">MIN(8,_xlfn.XLOOKUP($D1935&amp;"_"&amp;J$52,$B$14:$B$36&amp;"_"&amp;$C$14:$C$36,$D$14:$D$36)*$E1935)</f>
        <v>8</v>
      </c>
      <c r="K1935" s="95" cm="1">
        <f ca="1" t="array" ref="K1935">MIN(18,_xlfn.XLOOKUP($D1935&amp;"_"&amp;K$52,$B$14:$B$36&amp;"_"&amp;$C$14:$C$36,$D$14:$D$36)*$E1935)</f>
        <v>5.3564</v>
      </c>
      <c r="L1935" s="95" cm="1">
        <f ca="1" t="array" ref="L1935">MIN(6,_xlfn.XLOOKUP($D1935&amp;"_"&amp;L$52,$B$14:$B$36&amp;"_"&amp;$C$14:$C$36,$D$14:$D$36)*$E1935)</f>
        <v>6</v>
      </c>
      <c r="M1935" s="95" cm="1">
        <f ca="1" t="array" ref="M1935">(1+SUMPRODUCT(G1935:H1935,OFFSET($H$40:$I$40,D1935,0)))*(1+OFFSET($J$40,D1935,0))^I1935*(1+OFFSET($K$40,D1935,0))^J1935*(1+OFFSET($L$40,D1935,0))^K1935*(1+OFFSET($M$40,D1935,0))^L1935</f>
        <v>405.068210701785</v>
      </c>
      <c r="N1935" s="95">
        <f ca="1">MAX(MAX($N$53:N1934),OFFSET($C$52,MATCH(M1935*1.07,$M$53:$M$2052,1),0)-C1935)</f>
        <v>73440</v>
      </c>
    </row>
    <row r="1936" spans="2:14">
      <c r="B1936" s="95">
        <v>1884</v>
      </c>
      <c r="C1936" s="95">
        <f t="shared" si="143"/>
        <v>678240</v>
      </c>
      <c r="D1936" s="95">
        <f ca="1">_xlfn.XLOOKUP(总览!$B$44,$B$40:$B$45,$C$40:$C$45)</f>
        <v>5</v>
      </c>
      <c r="E1936" s="95">
        <f ca="1" t="shared" si="146"/>
        <v>1914</v>
      </c>
      <c r="F1936" s="95">
        <f ca="1" t="shared" si="144"/>
        <v>0</v>
      </c>
      <c r="G1936" s="95">
        <f ca="1" t="shared" si="145"/>
        <v>0</v>
      </c>
      <c r="H1936" s="95" cm="1">
        <f ca="1" t="array" ref="H1936">MIN(30-SUM(I1936:L1936),_xlfn.XLOOKUP($D1936&amp;"_"&amp;H$52,$B$14:$B$36&amp;"_"&amp;$C$14:$C$36,$D$14:$D$36)*$E1936,18)</f>
        <v>10.6408</v>
      </c>
      <c r="I1936" s="95" cm="1">
        <f ca="1" t="array" ref="I1936">MIN(30-SUM(J1936:L1936),6-L1936,_xlfn.XLOOKUP($D1936&amp;"_"&amp;I$52,$B$14:$B$36&amp;"_"&amp;$C$14:$C$36,$D$14:$D$36)*$E1936)</f>
        <v>0</v>
      </c>
      <c r="J1936" s="95" cm="1">
        <f ca="1" t="array" ref="J1936">MIN(8,_xlfn.XLOOKUP($D1936&amp;"_"&amp;J$52,$B$14:$B$36&amp;"_"&amp;$C$14:$C$36,$D$14:$D$36)*$E1936)</f>
        <v>8</v>
      </c>
      <c r="K1936" s="95" cm="1">
        <f ca="1" t="array" ref="K1936">MIN(18,_xlfn.XLOOKUP($D1936&amp;"_"&amp;K$52,$B$14:$B$36&amp;"_"&amp;$C$14:$C$36,$D$14:$D$36)*$E1936)</f>
        <v>5.3592</v>
      </c>
      <c r="L1936" s="95" cm="1">
        <f ca="1" t="array" ref="L1936">MIN(6,_xlfn.XLOOKUP($D1936&amp;"_"&amp;L$52,$B$14:$B$36&amp;"_"&amp;$C$14:$C$36,$D$14:$D$36)*$E1936)</f>
        <v>6</v>
      </c>
      <c r="M1936" s="95" cm="1">
        <f ca="1" t="array" ref="M1936">(1+SUMPRODUCT(G1936:H1936,OFFSET($H$40:$I$40,D1936,0)))*(1+OFFSET($J$40,D1936,0))^I1936*(1+OFFSET($K$40,D1936,0))^J1936*(1+OFFSET($L$40,D1936,0))^K1936*(1+OFFSET($M$40,D1936,0))^L1936</f>
        <v>405.202512021519</v>
      </c>
      <c r="N1936" s="95">
        <f ca="1">MAX(MAX($N$53:N1935),OFFSET($C$52,MATCH(M1936*1.07,$M$53:$M$2052,1),0)-C1936)</f>
        <v>73440</v>
      </c>
    </row>
    <row r="1937" spans="2:16">
      <c r="B1937" s="95">
        <v>1885</v>
      </c>
      <c r="C1937" s="95">
        <f t="shared" si="143"/>
        <v>678600</v>
      </c>
      <c r="D1937" s="95">
        <f ca="1">_xlfn.XLOOKUP(总览!$B$44,$B$40:$B$45,$C$40:$C$45)</f>
        <v>5</v>
      </c>
      <c r="E1937" s="95">
        <f ca="1" t="shared" si="146"/>
        <v>1915</v>
      </c>
      <c r="F1937" s="95">
        <f ca="1" t="shared" si="144"/>
        <v>0</v>
      </c>
      <c r="G1937" s="95">
        <f ca="1" t="shared" si="145"/>
        <v>0</v>
      </c>
      <c r="H1937" s="95" cm="1">
        <f ca="1" t="array" ref="H1937">MIN(30-SUM(I1937:L1937),_xlfn.XLOOKUP($D1937&amp;"_"&amp;H$52,$B$14:$B$36&amp;"_"&amp;$C$14:$C$36,$D$14:$D$36)*$E1937,18)</f>
        <v>10.638</v>
      </c>
      <c r="I1937" s="95" cm="1">
        <f ca="1" t="array" ref="I1937">MIN(30-SUM(J1937:L1937),6-L1937,_xlfn.XLOOKUP($D1937&amp;"_"&amp;I$52,$B$14:$B$36&amp;"_"&amp;$C$14:$C$36,$D$14:$D$36)*$E1937)</f>
        <v>0</v>
      </c>
      <c r="J1937" s="95" cm="1">
        <f ca="1" t="array" ref="J1937">MIN(8,_xlfn.XLOOKUP($D1937&amp;"_"&amp;J$52,$B$14:$B$36&amp;"_"&amp;$C$14:$C$36,$D$14:$D$36)*$E1937)</f>
        <v>8</v>
      </c>
      <c r="K1937" s="95" cm="1">
        <f ca="1" t="array" ref="K1937">MIN(18,_xlfn.XLOOKUP($D1937&amp;"_"&amp;K$52,$B$14:$B$36&amp;"_"&amp;$C$14:$C$36,$D$14:$D$36)*$E1937)</f>
        <v>5.362</v>
      </c>
      <c r="L1937" s="95" cm="1">
        <f ca="1" t="array" ref="L1937">MIN(6,_xlfn.XLOOKUP($D1937&amp;"_"&amp;L$52,$B$14:$B$36&amp;"_"&amp;$C$14:$C$36,$D$14:$D$36)*$E1937)</f>
        <v>6</v>
      </c>
      <c r="M1937" s="95" cm="1">
        <f ca="1" t="array" ref="M1937">(1+SUMPRODUCT(G1937:H1937,OFFSET($H$40:$I$40,D1937,0)))*(1+OFFSET($J$40,D1937,0))^I1937*(1+OFFSET($K$40,D1937,0))^J1937*(1+OFFSET($L$40,D1937,0))^K1937*(1+OFFSET($M$40,D1937,0))^L1937</f>
        <v>405.336844879019</v>
      </c>
      <c r="N1937" s="95">
        <f ca="1">MAX(MAX($N$53:N1936),OFFSET($C$52,MATCH(M1937*1.07,$M$53:$M$2052,1),0)-C1937)</f>
        <v>73440</v>
      </c>
    </row>
    <row r="1938" spans="2:16">
      <c r="B1938" s="95">
        <v>1886</v>
      </c>
      <c r="C1938" s="95">
        <f t="shared" si="143"/>
        <v>678960</v>
      </c>
      <c r="D1938" s="95">
        <f ca="1">_xlfn.XLOOKUP(总览!$B$44,$B$40:$B$45,$C$40:$C$45)</f>
        <v>5</v>
      </c>
      <c r="E1938" s="95">
        <f ca="1" t="shared" si="146"/>
        <v>1916</v>
      </c>
      <c r="F1938" s="95">
        <f ca="1" t="shared" si="144"/>
        <v>0</v>
      </c>
      <c r="G1938" s="95">
        <f ca="1" t="shared" si="145"/>
        <v>0</v>
      </c>
      <c r="H1938" s="95" cm="1">
        <f ca="1" t="array" ref="H1938">MIN(30-SUM(I1938:L1938),_xlfn.XLOOKUP($D1938&amp;"_"&amp;H$52,$B$14:$B$36&amp;"_"&amp;$C$14:$C$36,$D$14:$D$36)*$E1938,18)</f>
        <v>10.6352</v>
      </c>
      <c r="I1938" s="95" cm="1">
        <f ca="1" t="array" ref="I1938">MIN(30-SUM(J1938:L1938),6-L1938,_xlfn.XLOOKUP($D1938&amp;"_"&amp;I$52,$B$14:$B$36&amp;"_"&amp;$C$14:$C$36,$D$14:$D$36)*$E1938)</f>
        <v>0</v>
      </c>
      <c r="J1938" s="95" cm="1">
        <f ca="1" t="array" ref="J1938">MIN(8,_xlfn.XLOOKUP($D1938&amp;"_"&amp;J$52,$B$14:$B$36&amp;"_"&amp;$C$14:$C$36,$D$14:$D$36)*$E1938)</f>
        <v>8</v>
      </c>
      <c r="K1938" s="95" cm="1">
        <f ca="1" t="array" ref="K1938">MIN(18,_xlfn.XLOOKUP($D1938&amp;"_"&amp;K$52,$B$14:$B$36&amp;"_"&amp;$C$14:$C$36,$D$14:$D$36)*$E1938)</f>
        <v>5.3648</v>
      </c>
      <c r="L1938" s="95" cm="1">
        <f ca="1" t="array" ref="L1938">MIN(6,_xlfn.XLOOKUP($D1938&amp;"_"&amp;L$52,$B$14:$B$36&amp;"_"&amp;$C$14:$C$36,$D$14:$D$36)*$E1938)</f>
        <v>6</v>
      </c>
      <c r="M1938" s="95" cm="1">
        <f ca="1" t="array" ref="M1938">(1+SUMPRODUCT(G1938:H1938,OFFSET($H$40:$I$40,D1938,0)))*(1+OFFSET($J$40,D1938,0))^I1938*(1+OFFSET($K$40,D1938,0))^J1938*(1+OFFSET($L$40,D1938,0))^K1938*(1+OFFSET($M$40,D1938,0))^L1938</f>
        <v>405.471209271477</v>
      </c>
      <c r="N1938" s="95">
        <f ca="1">MAX(MAX($N$53:N1937),OFFSET($C$52,MATCH(M1938*1.07,$M$53:$M$2052,1),0)-C1938)</f>
        <v>73440</v>
      </c>
    </row>
    <row r="1939" spans="2:16">
      <c r="B1939" s="95">
        <v>1887</v>
      </c>
      <c r="C1939" s="95">
        <f t="shared" si="143"/>
        <v>679320</v>
      </c>
      <c r="D1939" s="95">
        <f ca="1">_xlfn.XLOOKUP(总览!$B$44,$B$40:$B$45,$C$40:$C$45)</f>
        <v>5</v>
      </c>
      <c r="E1939" s="95">
        <f ca="1" t="shared" si="146"/>
        <v>1917</v>
      </c>
      <c r="F1939" s="95">
        <f ca="1" t="shared" si="144"/>
        <v>0</v>
      </c>
      <c r="G1939" s="95">
        <f ca="1" t="shared" si="145"/>
        <v>0</v>
      </c>
      <c r="H1939" s="95" cm="1">
        <f ca="1" t="array" ref="H1939">MIN(30-SUM(I1939:L1939),_xlfn.XLOOKUP($D1939&amp;"_"&amp;H$52,$B$14:$B$36&amp;"_"&amp;$C$14:$C$36,$D$14:$D$36)*$E1939,18)</f>
        <v>10.6324</v>
      </c>
      <c r="I1939" s="95" cm="1">
        <f ca="1" t="array" ref="I1939">MIN(30-SUM(J1939:L1939),6-L1939,_xlfn.XLOOKUP($D1939&amp;"_"&amp;I$52,$B$14:$B$36&amp;"_"&amp;$C$14:$C$36,$D$14:$D$36)*$E1939)</f>
        <v>0</v>
      </c>
      <c r="J1939" s="95" cm="1">
        <f ca="1" t="array" ref="J1939">MIN(8,_xlfn.XLOOKUP($D1939&amp;"_"&amp;J$52,$B$14:$B$36&amp;"_"&amp;$C$14:$C$36,$D$14:$D$36)*$E1939)</f>
        <v>8</v>
      </c>
      <c r="K1939" s="95" cm="1">
        <f ca="1" t="array" ref="K1939">MIN(18,_xlfn.XLOOKUP($D1939&amp;"_"&amp;K$52,$B$14:$B$36&amp;"_"&amp;$C$14:$C$36,$D$14:$D$36)*$E1939)</f>
        <v>5.3676</v>
      </c>
      <c r="L1939" s="95" cm="1">
        <f ca="1" t="array" ref="L1939">MIN(6,_xlfn.XLOOKUP($D1939&amp;"_"&amp;L$52,$B$14:$B$36&amp;"_"&amp;$C$14:$C$36,$D$14:$D$36)*$E1939)</f>
        <v>6</v>
      </c>
      <c r="M1939" s="95" cm="1">
        <f ca="1" t="array" ref="M1939">(1+SUMPRODUCT(G1939:H1939,OFFSET($H$40:$I$40,D1939,0)))*(1+OFFSET($J$40,D1939,0))^I1939*(1+OFFSET($K$40,D1939,0))^J1939*(1+OFFSET($L$40,D1939,0))^K1939*(1+OFFSET($M$40,D1939,0))^L1939</f>
        <v>405.605605196071</v>
      </c>
      <c r="N1939" s="95">
        <f ca="1">MAX(MAX($N$53:N1938),OFFSET($C$52,MATCH(M1939*1.07,$M$53:$M$2052,1),0)-C1939)</f>
        <v>73440</v>
      </c>
    </row>
    <row r="1940" spans="2:16">
      <c r="B1940" s="95">
        <v>1888</v>
      </c>
      <c r="C1940" s="95">
        <f t="shared" si="143"/>
        <v>679680</v>
      </c>
      <c r="D1940" s="95">
        <f ca="1">_xlfn.XLOOKUP(总览!$B$44,$B$40:$B$45,$C$40:$C$45)</f>
        <v>5</v>
      </c>
      <c r="E1940" s="95">
        <f ca="1" t="shared" si="146"/>
        <v>1918</v>
      </c>
      <c r="F1940" s="95">
        <f ca="1" t="shared" si="144"/>
        <v>0</v>
      </c>
      <c r="G1940" s="95">
        <f ca="1" t="shared" si="145"/>
        <v>0</v>
      </c>
      <c r="H1940" s="95" cm="1">
        <f ca="1" t="array" ref="H1940">MIN(30-SUM(I1940:L1940),_xlfn.XLOOKUP($D1940&amp;"_"&amp;H$52,$B$14:$B$36&amp;"_"&amp;$C$14:$C$36,$D$14:$D$36)*$E1940,18)</f>
        <v>10.6296</v>
      </c>
      <c r="I1940" s="95" cm="1">
        <f ca="1" t="array" ref="I1940">MIN(30-SUM(J1940:L1940),6-L1940,_xlfn.XLOOKUP($D1940&amp;"_"&amp;I$52,$B$14:$B$36&amp;"_"&amp;$C$14:$C$36,$D$14:$D$36)*$E1940)</f>
        <v>0</v>
      </c>
      <c r="J1940" s="95" cm="1">
        <f ca="1" t="array" ref="J1940">MIN(8,_xlfn.XLOOKUP($D1940&amp;"_"&amp;J$52,$B$14:$B$36&amp;"_"&amp;$C$14:$C$36,$D$14:$D$36)*$E1940)</f>
        <v>8</v>
      </c>
      <c r="K1940" s="95" cm="1">
        <f ca="1" t="array" ref="K1940">MIN(18,_xlfn.XLOOKUP($D1940&amp;"_"&amp;K$52,$B$14:$B$36&amp;"_"&amp;$C$14:$C$36,$D$14:$D$36)*$E1940)</f>
        <v>5.3704</v>
      </c>
      <c r="L1940" s="95" cm="1">
        <f ca="1" t="array" ref="L1940">MIN(6,_xlfn.XLOOKUP($D1940&amp;"_"&amp;L$52,$B$14:$B$36&amp;"_"&amp;$C$14:$C$36,$D$14:$D$36)*$E1940)</f>
        <v>6</v>
      </c>
      <c r="M1940" s="95" cm="1">
        <f ca="1" t="array" ref="M1940">(1+SUMPRODUCT(G1940:H1940,OFFSET($H$40:$I$40,D1940,0)))*(1+OFFSET($J$40,D1940,0))^I1940*(1+OFFSET($K$40,D1940,0))^J1940*(1+OFFSET($L$40,D1940,0))^K1940*(1+OFFSET($M$40,D1940,0))^L1940</f>
        <v>405.740032649969</v>
      </c>
      <c r="N1940" s="95">
        <f ca="1">MAX(MAX($N$53:N1939),OFFSET($C$52,MATCH(M1940*1.07,$M$53:$M$2052,1),0)-C1940)</f>
        <v>73440</v>
      </c>
      <c r="O1940" s="95">
        <f ca="1">M1940/M1752</f>
        <v>1.0648661623298</v>
      </c>
      <c r="P1940" s="95">
        <f ca="1">LOG(O1940,1.07)</f>
        <v>0.928914832148676</v>
      </c>
    </row>
    <row r="1941" spans="2:16">
      <c r="B1941" s="95">
        <v>1889</v>
      </c>
      <c r="C1941" s="95">
        <f t="shared" si="143"/>
        <v>680040</v>
      </c>
      <c r="D1941" s="95">
        <f ca="1">_xlfn.XLOOKUP(总览!$B$44,$B$40:$B$45,$C$40:$C$45)</f>
        <v>5</v>
      </c>
      <c r="E1941" s="95">
        <f ca="1" t="shared" si="146"/>
        <v>1919</v>
      </c>
      <c r="F1941" s="95">
        <f ca="1" t="shared" si="144"/>
        <v>0</v>
      </c>
      <c r="G1941" s="95">
        <f ca="1" t="shared" si="145"/>
        <v>0</v>
      </c>
      <c r="H1941" s="95" cm="1">
        <f ca="1" t="array" ref="H1941">MIN(30-SUM(I1941:L1941),_xlfn.XLOOKUP($D1941&amp;"_"&amp;H$52,$B$14:$B$36&amp;"_"&amp;$C$14:$C$36,$D$14:$D$36)*$E1941,18)</f>
        <v>10.6268</v>
      </c>
      <c r="I1941" s="95" cm="1">
        <f ca="1" t="array" ref="I1941">MIN(30-SUM(J1941:L1941),6-L1941,_xlfn.XLOOKUP($D1941&amp;"_"&amp;I$52,$B$14:$B$36&amp;"_"&amp;$C$14:$C$36,$D$14:$D$36)*$E1941)</f>
        <v>0</v>
      </c>
      <c r="J1941" s="95" cm="1">
        <f ca="1" t="array" ref="J1941">MIN(8,_xlfn.XLOOKUP($D1941&amp;"_"&amp;J$52,$B$14:$B$36&amp;"_"&amp;$C$14:$C$36,$D$14:$D$36)*$E1941)</f>
        <v>8</v>
      </c>
      <c r="K1941" s="95" cm="1">
        <f ca="1" t="array" ref="K1941">MIN(18,_xlfn.XLOOKUP($D1941&amp;"_"&amp;K$52,$B$14:$B$36&amp;"_"&amp;$C$14:$C$36,$D$14:$D$36)*$E1941)</f>
        <v>5.3732</v>
      </c>
      <c r="L1941" s="95" cm="1">
        <f ca="1" t="array" ref="L1941">MIN(6,_xlfn.XLOOKUP($D1941&amp;"_"&amp;L$52,$B$14:$B$36&amp;"_"&amp;$C$14:$C$36,$D$14:$D$36)*$E1941)</f>
        <v>6</v>
      </c>
      <c r="M1941" s="95" cm="1">
        <f ca="1" t="array" ref="M1941">(1+SUMPRODUCT(G1941:H1941,OFFSET($H$40:$I$40,D1941,0)))*(1+OFFSET($J$40,D1941,0))^I1941*(1+OFFSET($K$40,D1941,0))^J1941*(1+OFFSET($L$40,D1941,0))^K1941*(1+OFFSET($M$40,D1941,0))^L1941</f>
        <v>405.874491630327</v>
      </c>
      <c r="N1941" s="95">
        <f ca="1">MAX(MAX($N$53:N1940),OFFSET($C$52,MATCH(M1941*1.07,$M$53:$M$2052,1),0)-C1941)</f>
        <v>73440</v>
      </c>
      <c r="P1941" s="95">
        <f ca="1">60000/P1940</f>
        <v>64591.4974370834</v>
      </c>
    </row>
    <row r="1942" spans="2:16">
      <c r="B1942" s="95">
        <v>1890</v>
      </c>
      <c r="C1942" s="95">
        <f t="shared" si="143"/>
        <v>680400</v>
      </c>
      <c r="D1942" s="95">
        <f ca="1">_xlfn.XLOOKUP(总览!$B$44,$B$40:$B$45,$C$40:$C$45)</f>
        <v>5</v>
      </c>
      <c r="E1942" s="95">
        <f ca="1" t="shared" si="146"/>
        <v>1920</v>
      </c>
      <c r="F1942" s="95">
        <f ca="1" t="shared" si="144"/>
        <v>0</v>
      </c>
      <c r="G1942" s="95">
        <f ca="1" t="shared" si="145"/>
        <v>0</v>
      </c>
      <c r="H1942" s="95" cm="1">
        <f ca="1" t="array" ref="H1942">MIN(30-SUM(I1942:L1942),_xlfn.XLOOKUP($D1942&amp;"_"&amp;H$52,$B$14:$B$36&amp;"_"&amp;$C$14:$C$36,$D$14:$D$36)*$E1942,18)</f>
        <v>10.624</v>
      </c>
      <c r="I1942" s="95" cm="1">
        <f ca="1" t="array" ref="I1942">MIN(30-SUM(J1942:L1942),6-L1942,_xlfn.XLOOKUP($D1942&amp;"_"&amp;I$52,$B$14:$B$36&amp;"_"&amp;$C$14:$C$36,$D$14:$D$36)*$E1942)</f>
        <v>0</v>
      </c>
      <c r="J1942" s="95" cm="1">
        <f ca="1" t="array" ref="J1942">MIN(8,_xlfn.XLOOKUP($D1942&amp;"_"&amp;J$52,$B$14:$B$36&amp;"_"&amp;$C$14:$C$36,$D$14:$D$36)*$E1942)</f>
        <v>8</v>
      </c>
      <c r="K1942" s="95" cm="1">
        <f ca="1" t="array" ref="K1942">MIN(18,_xlfn.XLOOKUP($D1942&amp;"_"&amp;K$52,$B$14:$B$36&amp;"_"&amp;$C$14:$C$36,$D$14:$D$36)*$E1942)</f>
        <v>5.376</v>
      </c>
      <c r="L1942" s="95" cm="1">
        <f ca="1" t="array" ref="L1942">MIN(6,_xlfn.XLOOKUP($D1942&amp;"_"&amp;L$52,$B$14:$B$36&amp;"_"&amp;$C$14:$C$36,$D$14:$D$36)*$E1942)</f>
        <v>6</v>
      </c>
      <c r="M1942" s="95" cm="1">
        <f ca="1" t="array" ref="M1942">(1+SUMPRODUCT(G1942:H1942,OFFSET($H$40:$I$40,D1942,0)))*(1+OFFSET($J$40,D1942,0))^I1942*(1+OFFSET($K$40,D1942,0))^J1942*(1+OFFSET($L$40,D1942,0))^K1942*(1+OFFSET($M$40,D1942,0))^L1942</f>
        <v>406.008982134292</v>
      </c>
      <c r="N1942" s="95">
        <f ca="1">MAX(MAX($N$53:N1941),OFFSET($C$52,MATCH(M1942*1.07,$M$53:$M$2052,1),0)-C1942)</f>
        <v>73440</v>
      </c>
    </row>
    <row r="1943" spans="2:16">
      <c r="B1943" s="95">
        <v>1891</v>
      </c>
      <c r="C1943" s="95">
        <f t="shared" si="143"/>
        <v>680760</v>
      </c>
      <c r="D1943" s="95">
        <f ca="1">_xlfn.XLOOKUP(总览!$B$44,$B$40:$B$45,$C$40:$C$45)</f>
        <v>5</v>
      </c>
      <c r="E1943" s="95">
        <f ca="1" t="shared" si="146"/>
        <v>1921</v>
      </c>
      <c r="F1943" s="95">
        <f ca="1" t="shared" si="144"/>
        <v>0</v>
      </c>
      <c r="G1943" s="95">
        <f ca="1" t="shared" si="145"/>
        <v>0</v>
      </c>
      <c r="H1943" s="95" cm="1">
        <f ca="1" t="array" ref="H1943">MIN(30-SUM(I1943:L1943),_xlfn.XLOOKUP($D1943&amp;"_"&amp;H$52,$B$14:$B$36&amp;"_"&amp;$C$14:$C$36,$D$14:$D$36)*$E1943,18)</f>
        <v>10.6212</v>
      </c>
      <c r="I1943" s="95" cm="1">
        <f ca="1" t="array" ref="I1943">MIN(30-SUM(J1943:L1943),6-L1943,_xlfn.XLOOKUP($D1943&amp;"_"&amp;I$52,$B$14:$B$36&amp;"_"&amp;$C$14:$C$36,$D$14:$D$36)*$E1943)</f>
        <v>0</v>
      </c>
      <c r="J1943" s="95" cm="1">
        <f ca="1" t="array" ref="J1943">MIN(8,_xlfn.XLOOKUP($D1943&amp;"_"&amp;J$52,$B$14:$B$36&amp;"_"&amp;$C$14:$C$36,$D$14:$D$36)*$E1943)</f>
        <v>8</v>
      </c>
      <c r="K1943" s="95" cm="1">
        <f ca="1" t="array" ref="K1943">MIN(18,_xlfn.XLOOKUP($D1943&amp;"_"&amp;K$52,$B$14:$B$36&amp;"_"&amp;$C$14:$C$36,$D$14:$D$36)*$E1943)</f>
        <v>5.3788</v>
      </c>
      <c r="L1943" s="95" cm="1">
        <f ca="1" t="array" ref="L1943">MIN(6,_xlfn.XLOOKUP($D1943&amp;"_"&amp;L$52,$B$14:$B$36&amp;"_"&amp;$C$14:$C$36,$D$14:$D$36)*$E1943)</f>
        <v>6</v>
      </c>
      <c r="M1943" s="95" cm="1">
        <f ca="1" t="array" ref="M1943">(1+SUMPRODUCT(G1943:H1943,OFFSET($H$40:$I$40,D1943,0)))*(1+OFFSET($J$40,D1943,0))^I1943*(1+OFFSET($K$40,D1943,0))^J1943*(1+OFFSET($L$40,D1943,0))^K1943*(1+OFFSET($M$40,D1943,0))^L1943</f>
        <v>406.143504158998</v>
      </c>
      <c r="N1943" s="95">
        <f ca="1">MAX(MAX($N$53:N1942),OFFSET($C$52,MATCH(M1943*1.07,$M$53:$M$2052,1),0)-C1943)</f>
        <v>73440</v>
      </c>
    </row>
    <row r="1944" spans="2:16">
      <c r="B1944" s="95">
        <v>1892</v>
      </c>
      <c r="C1944" s="95">
        <f t="shared" si="143"/>
        <v>681120</v>
      </c>
      <c r="D1944" s="95">
        <f ca="1">_xlfn.XLOOKUP(总览!$B$44,$B$40:$B$45,$C$40:$C$45)</f>
        <v>5</v>
      </c>
      <c r="E1944" s="95">
        <f ca="1" t="shared" si="146"/>
        <v>1922</v>
      </c>
      <c r="F1944" s="95">
        <f ca="1" t="shared" si="144"/>
        <v>0</v>
      </c>
      <c r="G1944" s="95">
        <f ca="1" t="shared" si="145"/>
        <v>0</v>
      </c>
      <c r="H1944" s="95" cm="1">
        <f ca="1" t="array" ref="H1944">MIN(30-SUM(I1944:L1944),_xlfn.XLOOKUP($D1944&amp;"_"&amp;H$52,$B$14:$B$36&amp;"_"&amp;$C$14:$C$36,$D$14:$D$36)*$E1944,18)</f>
        <v>10.6184</v>
      </c>
      <c r="I1944" s="95" cm="1">
        <f ca="1" t="array" ref="I1944">MIN(30-SUM(J1944:L1944),6-L1944,_xlfn.XLOOKUP($D1944&amp;"_"&amp;I$52,$B$14:$B$36&amp;"_"&amp;$C$14:$C$36,$D$14:$D$36)*$E1944)</f>
        <v>0</v>
      </c>
      <c r="J1944" s="95" cm="1">
        <f ca="1" t="array" ref="J1944">MIN(8,_xlfn.XLOOKUP($D1944&amp;"_"&amp;J$52,$B$14:$B$36&amp;"_"&amp;$C$14:$C$36,$D$14:$D$36)*$E1944)</f>
        <v>8</v>
      </c>
      <c r="K1944" s="95" cm="1">
        <f ca="1" t="array" ref="K1944">MIN(18,_xlfn.XLOOKUP($D1944&amp;"_"&amp;K$52,$B$14:$B$36&amp;"_"&amp;$C$14:$C$36,$D$14:$D$36)*$E1944)</f>
        <v>5.3816</v>
      </c>
      <c r="L1944" s="95" cm="1">
        <f ca="1" t="array" ref="L1944">MIN(6,_xlfn.XLOOKUP($D1944&amp;"_"&amp;L$52,$B$14:$B$36&amp;"_"&amp;$C$14:$C$36,$D$14:$D$36)*$E1944)</f>
        <v>6</v>
      </c>
      <c r="M1944" s="95" cm="1">
        <f ca="1" t="array" ref="M1944">(1+SUMPRODUCT(G1944:H1944,OFFSET($H$40:$I$40,D1944,0)))*(1+OFFSET($J$40,D1944,0))^I1944*(1+OFFSET($K$40,D1944,0))^J1944*(1+OFFSET($L$40,D1944,0))^K1944*(1+OFFSET($M$40,D1944,0))^L1944</f>
        <v>406.278057701568</v>
      </c>
      <c r="N1944" s="95">
        <f ca="1">MAX(MAX($N$53:N1943),OFFSET($C$52,MATCH(M1944*1.07,$M$53:$M$2052,1),0)-C1944)</f>
        <v>73440</v>
      </c>
    </row>
    <row r="1945" spans="2:16">
      <c r="B1945" s="95">
        <v>1893</v>
      </c>
      <c r="C1945" s="95">
        <f t="shared" si="143"/>
        <v>681480</v>
      </c>
      <c r="D1945" s="95">
        <f ca="1">_xlfn.XLOOKUP(总览!$B$44,$B$40:$B$45,$C$40:$C$45)</f>
        <v>5</v>
      </c>
      <c r="E1945" s="95">
        <f ca="1" t="shared" si="146"/>
        <v>1923</v>
      </c>
      <c r="F1945" s="95">
        <f ca="1" t="shared" si="144"/>
        <v>0</v>
      </c>
      <c r="G1945" s="95">
        <f ca="1" t="shared" si="145"/>
        <v>0</v>
      </c>
      <c r="H1945" s="95" cm="1">
        <f ca="1" t="array" ref="H1945">MIN(30-SUM(I1945:L1945),_xlfn.XLOOKUP($D1945&amp;"_"&amp;H$52,$B$14:$B$36&amp;"_"&amp;$C$14:$C$36,$D$14:$D$36)*$E1945,18)</f>
        <v>10.6156</v>
      </c>
      <c r="I1945" s="95" cm="1">
        <f ca="1" t="array" ref="I1945">MIN(30-SUM(J1945:L1945),6-L1945,_xlfn.XLOOKUP($D1945&amp;"_"&amp;I$52,$B$14:$B$36&amp;"_"&amp;$C$14:$C$36,$D$14:$D$36)*$E1945)</f>
        <v>0</v>
      </c>
      <c r="J1945" s="95" cm="1">
        <f ca="1" t="array" ref="J1945">MIN(8,_xlfn.XLOOKUP($D1945&amp;"_"&amp;J$52,$B$14:$B$36&amp;"_"&amp;$C$14:$C$36,$D$14:$D$36)*$E1945)</f>
        <v>8</v>
      </c>
      <c r="K1945" s="95" cm="1">
        <f ca="1" t="array" ref="K1945">MIN(18,_xlfn.XLOOKUP($D1945&amp;"_"&amp;K$52,$B$14:$B$36&amp;"_"&amp;$C$14:$C$36,$D$14:$D$36)*$E1945)</f>
        <v>5.3844</v>
      </c>
      <c r="L1945" s="95" cm="1">
        <f ca="1" t="array" ref="L1945">MIN(6,_xlfn.XLOOKUP($D1945&amp;"_"&amp;L$52,$B$14:$B$36&amp;"_"&amp;$C$14:$C$36,$D$14:$D$36)*$E1945)</f>
        <v>6</v>
      </c>
      <c r="M1945" s="95" cm="1">
        <f ca="1" t="array" ref="M1945">(1+SUMPRODUCT(G1945:H1945,OFFSET($H$40:$I$40,D1945,0)))*(1+OFFSET($J$40,D1945,0))^I1945*(1+OFFSET($K$40,D1945,0))^J1945*(1+OFFSET($L$40,D1945,0))^K1945*(1+OFFSET($M$40,D1945,0))^L1945</f>
        <v>406.412642759115</v>
      </c>
      <c r="N1945" s="95">
        <f ca="1">MAX(MAX($N$53:N1944),OFFSET($C$52,MATCH(M1945*1.07,$M$53:$M$2052,1),0)-C1945)</f>
        <v>73440</v>
      </c>
    </row>
    <row r="1946" spans="2:16">
      <c r="B1946" s="95">
        <v>1894</v>
      </c>
      <c r="C1946" s="95">
        <f t="shared" si="143"/>
        <v>681840</v>
      </c>
      <c r="D1946" s="95">
        <f ca="1">_xlfn.XLOOKUP(总览!$B$44,$B$40:$B$45,$C$40:$C$45)</f>
        <v>5</v>
      </c>
      <c r="E1946" s="95">
        <f ca="1" t="shared" si="146"/>
        <v>1924</v>
      </c>
      <c r="F1946" s="95">
        <f ca="1" t="shared" si="144"/>
        <v>0</v>
      </c>
      <c r="G1946" s="95">
        <f ca="1" t="shared" si="145"/>
        <v>0</v>
      </c>
      <c r="H1946" s="95" cm="1">
        <f ca="1" t="array" ref="H1946">MIN(30-SUM(I1946:L1946),_xlfn.XLOOKUP($D1946&amp;"_"&amp;H$52,$B$14:$B$36&amp;"_"&amp;$C$14:$C$36,$D$14:$D$36)*$E1946,18)</f>
        <v>10.6128</v>
      </c>
      <c r="I1946" s="95" cm="1">
        <f ca="1" t="array" ref="I1946">MIN(30-SUM(J1946:L1946),6-L1946,_xlfn.XLOOKUP($D1946&amp;"_"&amp;I$52,$B$14:$B$36&amp;"_"&amp;$C$14:$C$36,$D$14:$D$36)*$E1946)</f>
        <v>0</v>
      </c>
      <c r="J1946" s="95" cm="1">
        <f ca="1" t="array" ref="J1946">MIN(8,_xlfn.XLOOKUP($D1946&amp;"_"&amp;J$52,$B$14:$B$36&amp;"_"&amp;$C$14:$C$36,$D$14:$D$36)*$E1946)</f>
        <v>8</v>
      </c>
      <c r="K1946" s="95" cm="1">
        <f ca="1" t="array" ref="K1946">MIN(18,_xlfn.XLOOKUP($D1946&amp;"_"&amp;K$52,$B$14:$B$36&amp;"_"&amp;$C$14:$C$36,$D$14:$D$36)*$E1946)</f>
        <v>5.3872</v>
      </c>
      <c r="L1946" s="95" cm="1">
        <f ca="1" t="array" ref="L1946">MIN(6,_xlfn.XLOOKUP($D1946&amp;"_"&amp;L$52,$B$14:$B$36&amp;"_"&amp;$C$14:$C$36,$D$14:$D$36)*$E1946)</f>
        <v>6</v>
      </c>
      <c r="M1946" s="95" cm="1">
        <f ca="1" t="array" ref="M1946">(1+SUMPRODUCT(G1946:H1946,OFFSET($H$40:$I$40,D1946,0)))*(1+OFFSET($J$40,D1946,0))^I1946*(1+OFFSET($K$40,D1946,0))^J1946*(1+OFFSET($L$40,D1946,0))^K1946*(1+OFFSET($M$40,D1946,0))^L1946</f>
        <v>406.547259328739</v>
      </c>
      <c r="N1946" s="95">
        <f ca="1">MAX(MAX($N$53:N1945),OFFSET($C$52,MATCH(M1946*1.07,$M$53:$M$2052,1),0)-C1946)</f>
        <v>73440</v>
      </c>
    </row>
    <row r="1947" spans="2:16">
      <c r="B1947" s="95">
        <v>1895</v>
      </c>
      <c r="C1947" s="95">
        <f t="shared" si="143"/>
        <v>682200</v>
      </c>
      <c r="D1947" s="95">
        <f ca="1">_xlfn.XLOOKUP(总览!$B$44,$B$40:$B$45,$C$40:$C$45)</f>
        <v>5</v>
      </c>
      <c r="E1947" s="95">
        <f ca="1" t="shared" si="146"/>
        <v>1925</v>
      </c>
      <c r="F1947" s="95">
        <f ca="1" t="shared" si="144"/>
        <v>0</v>
      </c>
      <c r="G1947" s="95">
        <f ca="1" t="shared" si="145"/>
        <v>0</v>
      </c>
      <c r="H1947" s="95" cm="1">
        <f ca="1" t="array" ref="H1947">MIN(30-SUM(I1947:L1947),_xlfn.XLOOKUP($D1947&amp;"_"&amp;H$52,$B$14:$B$36&amp;"_"&amp;$C$14:$C$36,$D$14:$D$36)*$E1947,18)</f>
        <v>10.61</v>
      </c>
      <c r="I1947" s="95" cm="1">
        <f ca="1" t="array" ref="I1947">MIN(30-SUM(J1947:L1947),6-L1947,_xlfn.XLOOKUP($D1947&amp;"_"&amp;I$52,$B$14:$B$36&amp;"_"&amp;$C$14:$C$36,$D$14:$D$36)*$E1947)</f>
        <v>0</v>
      </c>
      <c r="J1947" s="95" cm="1">
        <f ca="1" t="array" ref="J1947">MIN(8,_xlfn.XLOOKUP($D1947&amp;"_"&amp;J$52,$B$14:$B$36&amp;"_"&amp;$C$14:$C$36,$D$14:$D$36)*$E1947)</f>
        <v>8</v>
      </c>
      <c r="K1947" s="95" cm="1">
        <f ca="1" t="array" ref="K1947">MIN(18,_xlfn.XLOOKUP($D1947&amp;"_"&amp;K$52,$B$14:$B$36&amp;"_"&amp;$C$14:$C$36,$D$14:$D$36)*$E1947)</f>
        <v>5.39</v>
      </c>
      <c r="L1947" s="95" cm="1">
        <f ca="1" t="array" ref="L1947">MIN(6,_xlfn.XLOOKUP($D1947&amp;"_"&amp;L$52,$B$14:$B$36&amp;"_"&amp;$C$14:$C$36,$D$14:$D$36)*$E1947)</f>
        <v>6</v>
      </c>
      <c r="M1947" s="95" cm="1">
        <f ca="1" t="array" ref="M1947">(1+SUMPRODUCT(G1947:H1947,OFFSET($H$40:$I$40,D1947,0)))*(1+OFFSET($J$40,D1947,0))^I1947*(1+OFFSET($K$40,D1947,0))^J1947*(1+OFFSET($L$40,D1947,0))^K1947*(1+OFFSET($M$40,D1947,0))^L1947</f>
        <v>406.68190740753</v>
      </c>
      <c r="N1947" s="95">
        <f ca="1">MAX(MAX($N$53:N1946),OFFSET($C$52,MATCH(M1947*1.07,$M$53:$M$2052,1),0)-C1947)</f>
        <v>73440</v>
      </c>
    </row>
    <row r="1948" spans="2:16">
      <c r="B1948" s="95">
        <v>1896</v>
      </c>
      <c r="C1948" s="95">
        <f t="shared" si="143"/>
        <v>682560</v>
      </c>
      <c r="D1948" s="95">
        <f ca="1">_xlfn.XLOOKUP(总览!$B$44,$B$40:$B$45,$C$40:$C$45)</f>
        <v>5</v>
      </c>
      <c r="E1948" s="95">
        <f ca="1" t="shared" si="146"/>
        <v>1926</v>
      </c>
      <c r="F1948" s="95">
        <f ca="1" t="shared" si="144"/>
        <v>0</v>
      </c>
      <c r="G1948" s="95">
        <f ca="1" t="shared" si="145"/>
        <v>0</v>
      </c>
      <c r="H1948" s="95" cm="1">
        <f ca="1" t="array" ref="H1948">MIN(30-SUM(I1948:L1948),_xlfn.XLOOKUP($D1948&amp;"_"&amp;H$52,$B$14:$B$36&amp;"_"&amp;$C$14:$C$36,$D$14:$D$36)*$E1948,18)</f>
        <v>10.6072</v>
      </c>
      <c r="I1948" s="95" cm="1">
        <f ca="1" t="array" ref="I1948">MIN(30-SUM(J1948:L1948),6-L1948,_xlfn.XLOOKUP($D1948&amp;"_"&amp;I$52,$B$14:$B$36&amp;"_"&amp;$C$14:$C$36,$D$14:$D$36)*$E1948)</f>
        <v>0</v>
      </c>
      <c r="J1948" s="95" cm="1">
        <f ca="1" t="array" ref="J1948">MIN(8,_xlfn.XLOOKUP($D1948&amp;"_"&amp;J$52,$B$14:$B$36&amp;"_"&amp;$C$14:$C$36,$D$14:$D$36)*$E1948)</f>
        <v>8</v>
      </c>
      <c r="K1948" s="95" cm="1">
        <f ca="1" t="array" ref="K1948">MIN(18,_xlfn.XLOOKUP($D1948&amp;"_"&amp;K$52,$B$14:$B$36&amp;"_"&amp;$C$14:$C$36,$D$14:$D$36)*$E1948)</f>
        <v>5.3928</v>
      </c>
      <c r="L1948" s="95" cm="1">
        <f ca="1" t="array" ref="L1948">MIN(6,_xlfn.XLOOKUP($D1948&amp;"_"&amp;L$52,$B$14:$B$36&amp;"_"&amp;$C$14:$C$36,$D$14:$D$36)*$E1948)</f>
        <v>6</v>
      </c>
      <c r="M1948" s="95" cm="1">
        <f ca="1" t="array" ref="M1948">(1+SUMPRODUCT(G1948:H1948,OFFSET($H$40:$I$40,D1948,0)))*(1+OFFSET($J$40,D1948,0))^I1948*(1+OFFSET($K$40,D1948,0))^J1948*(1+OFFSET($L$40,D1948,0))^K1948*(1+OFFSET($M$40,D1948,0))^L1948</f>
        <v>406.816586992567</v>
      </c>
      <c r="N1948" s="95">
        <f ca="1">MAX(MAX($N$53:N1947),OFFSET($C$52,MATCH(M1948*1.07,$M$53:$M$2052,1),0)-C1948)</f>
        <v>73440</v>
      </c>
    </row>
    <row r="1949" spans="2:16">
      <c r="B1949" s="95">
        <v>1897</v>
      </c>
      <c r="C1949" s="95">
        <f t="shared" si="143"/>
        <v>682920</v>
      </c>
      <c r="D1949" s="95">
        <f ca="1">_xlfn.XLOOKUP(总览!$B$44,$B$40:$B$45,$C$40:$C$45)</f>
        <v>5</v>
      </c>
      <c r="E1949" s="95">
        <f ca="1" t="shared" si="146"/>
        <v>1927</v>
      </c>
      <c r="F1949" s="95">
        <f ca="1" t="shared" si="144"/>
        <v>0</v>
      </c>
      <c r="G1949" s="95">
        <f ca="1" t="shared" si="145"/>
        <v>0</v>
      </c>
      <c r="H1949" s="95" cm="1">
        <f ca="1" t="array" ref="H1949">MIN(30-SUM(I1949:L1949),_xlfn.XLOOKUP($D1949&amp;"_"&amp;H$52,$B$14:$B$36&amp;"_"&amp;$C$14:$C$36,$D$14:$D$36)*$E1949,18)</f>
        <v>10.6044</v>
      </c>
      <c r="I1949" s="95" cm="1">
        <f ca="1" t="array" ref="I1949">MIN(30-SUM(J1949:L1949),6-L1949,_xlfn.XLOOKUP($D1949&amp;"_"&amp;I$52,$B$14:$B$36&amp;"_"&amp;$C$14:$C$36,$D$14:$D$36)*$E1949)</f>
        <v>0</v>
      </c>
      <c r="J1949" s="95" cm="1">
        <f ca="1" t="array" ref="J1949">MIN(8,_xlfn.XLOOKUP($D1949&amp;"_"&amp;J$52,$B$14:$B$36&amp;"_"&amp;$C$14:$C$36,$D$14:$D$36)*$E1949)</f>
        <v>8</v>
      </c>
      <c r="K1949" s="95" cm="1">
        <f ca="1" t="array" ref="K1949">MIN(18,_xlfn.XLOOKUP($D1949&amp;"_"&amp;K$52,$B$14:$B$36&amp;"_"&amp;$C$14:$C$36,$D$14:$D$36)*$E1949)</f>
        <v>5.3956</v>
      </c>
      <c r="L1949" s="95" cm="1">
        <f ca="1" t="array" ref="L1949">MIN(6,_xlfn.XLOOKUP($D1949&amp;"_"&amp;L$52,$B$14:$B$36&amp;"_"&amp;$C$14:$C$36,$D$14:$D$36)*$E1949)</f>
        <v>6</v>
      </c>
      <c r="M1949" s="95" cm="1">
        <f ca="1" t="array" ref="M1949">(1+SUMPRODUCT(G1949:H1949,OFFSET($H$40:$I$40,D1949,0)))*(1+OFFSET($J$40,D1949,0))^I1949*(1+OFFSET($K$40,D1949,0))^J1949*(1+OFFSET($L$40,D1949,0))^K1949*(1+OFFSET($M$40,D1949,0))^L1949</f>
        <v>406.951298080918</v>
      </c>
      <c r="N1949" s="95">
        <f ca="1">MAX(MAX($N$53:N1948),OFFSET($C$52,MATCH(M1949*1.07,$M$53:$M$2052,1),0)-C1949)</f>
        <v>73440</v>
      </c>
    </row>
    <row r="1950" spans="2:16">
      <c r="B1950" s="95">
        <v>1898</v>
      </c>
      <c r="C1950" s="95">
        <f t="shared" si="143"/>
        <v>683280</v>
      </c>
      <c r="D1950" s="95">
        <f ca="1">_xlfn.XLOOKUP(总览!$B$44,$B$40:$B$45,$C$40:$C$45)</f>
        <v>5</v>
      </c>
      <c r="E1950" s="95">
        <f ca="1" t="shared" si="146"/>
        <v>1928</v>
      </c>
      <c r="F1950" s="95">
        <f ca="1" t="shared" si="144"/>
        <v>0</v>
      </c>
      <c r="G1950" s="95">
        <f ca="1" t="shared" si="145"/>
        <v>0</v>
      </c>
      <c r="H1950" s="95" cm="1">
        <f ca="1" t="array" ref="H1950">MIN(30-SUM(I1950:L1950),_xlfn.XLOOKUP($D1950&amp;"_"&amp;H$52,$B$14:$B$36&amp;"_"&amp;$C$14:$C$36,$D$14:$D$36)*$E1950,18)</f>
        <v>10.6016</v>
      </c>
      <c r="I1950" s="95" cm="1">
        <f ca="1" t="array" ref="I1950">MIN(30-SUM(J1950:L1950),6-L1950,_xlfn.XLOOKUP($D1950&amp;"_"&amp;I$52,$B$14:$B$36&amp;"_"&amp;$C$14:$C$36,$D$14:$D$36)*$E1950)</f>
        <v>0</v>
      </c>
      <c r="J1950" s="95" cm="1">
        <f ca="1" t="array" ref="J1950">MIN(8,_xlfn.XLOOKUP($D1950&amp;"_"&amp;J$52,$B$14:$B$36&amp;"_"&amp;$C$14:$C$36,$D$14:$D$36)*$E1950)</f>
        <v>8</v>
      </c>
      <c r="K1950" s="95" cm="1">
        <f ca="1" t="array" ref="K1950">MIN(18,_xlfn.XLOOKUP($D1950&amp;"_"&amp;K$52,$B$14:$B$36&amp;"_"&amp;$C$14:$C$36,$D$14:$D$36)*$E1950)</f>
        <v>5.3984</v>
      </c>
      <c r="L1950" s="95" cm="1">
        <f ca="1" t="array" ref="L1950">MIN(6,_xlfn.XLOOKUP($D1950&amp;"_"&amp;L$52,$B$14:$B$36&amp;"_"&amp;$C$14:$C$36,$D$14:$D$36)*$E1950)</f>
        <v>6</v>
      </c>
      <c r="M1950" s="95" cm="1">
        <f ca="1" t="array" ref="M1950">(1+SUMPRODUCT(G1950:H1950,OFFSET($H$40:$I$40,D1950,0)))*(1+OFFSET($J$40,D1950,0))^I1950*(1+OFFSET($K$40,D1950,0))^J1950*(1+OFFSET($L$40,D1950,0))^K1950*(1+OFFSET($M$40,D1950,0))^L1950</f>
        <v>407.086040669638</v>
      </c>
      <c r="N1950" s="95">
        <f ca="1">MAX(MAX($N$53:N1949),OFFSET($C$52,MATCH(M1950*1.07,$M$53:$M$2052,1),0)-C1950)</f>
        <v>73440</v>
      </c>
    </row>
    <row r="1951" spans="2:16">
      <c r="B1951" s="95">
        <v>1899</v>
      </c>
      <c r="C1951" s="95">
        <f t="shared" si="143"/>
        <v>683640</v>
      </c>
      <c r="D1951" s="95">
        <f ca="1">_xlfn.XLOOKUP(总览!$B$44,$B$40:$B$45,$C$40:$C$45)</f>
        <v>5</v>
      </c>
      <c r="E1951" s="95">
        <f ca="1" t="shared" si="146"/>
        <v>1929</v>
      </c>
      <c r="F1951" s="95">
        <f ca="1" t="shared" si="144"/>
        <v>0</v>
      </c>
      <c r="G1951" s="95">
        <f ca="1" t="shared" si="145"/>
        <v>0</v>
      </c>
      <c r="H1951" s="95" cm="1">
        <f ca="1" t="array" ref="H1951">MIN(30-SUM(I1951:L1951),_xlfn.XLOOKUP($D1951&amp;"_"&amp;H$52,$B$14:$B$36&amp;"_"&amp;$C$14:$C$36,$D$14:$D$36)*$E1951,18)</f>
        <v>10.5988</v>
      </c>
      <c r="I1951" s="95" cm="1">
        <f ca="1" t="array" ref="I1951">MIN(30-SUM(J1951:L1951),6-L1951,_xlfn.XLOOKUP($D1951&amp;"_"&amp;I$52,$B$14:$B$36&amp;"_"&amp;$C$14:$C$36,$D$14:$D$36)*$E1951)</f>
        <v>0</v>
      </c>
      <c r="J1951" s="95" cm="1">
        <f ca="1" t="array" ref="J1951">MIN(8,_xlfn.XLOOKUP($D1951&amp;"_"&amp;J$52,$B$14:$B$36&amp;"_"&amp;$C$14:$C$36,$D$14:$D$36)*$E1951)</f>
        <v>8</v>
      </c>
      <c r="K1951" s="95" cm="1">
        <f ca="1" t="array" ref="K1951">MIN(18,_xlfn.XLOOKUP($D1951&amp;"_"&amp;K$52,$B$14:$B$36&amp;"_"&amp;$C$14:$C$36,$D$14:$D$36)*$E1951)</f>
        <v>5.4012</v>
      </c>
      <c r="L1951" s="95" cm="1">
        <f ca="1" t="array" ref="L1951">MIN(6,_xlfn.XLOOKUP($D1951&amp;"_"&amp;L$52,$B$14:$B$36&amp;"_"&amp;$C$14:$C$36,$D$14:$D$36)*$E1951)</f>
        <v>6</v>
      </c>
      <c r="M1951" s="95" cm="1">
        <f ca="1" t="array" ref="M1951">(1+SUMPRODUCT(G1951:H1951,OFFSET($H$40:$I$40,D1951,0)))*(1+OFFSET($J$40,D1951,0))^I1951*(1+OFFSET($K$40,D1951,0))^J1951*(1+OFFSET($L$40,D1951,0))^K1951*(1+OFFSET($M$40,D1951,0))^L1951</f>
        <v>407.220814755773</v>
      </c>
      <c r="N1951" s="95">
        <f ca="1">MAX(MAX($N$53:N1950),OFFSET($C$52,MATCH(M1951*1.07,$M$53:$M$2052,1),0)-C1951)</f>
        <v>73440</v>
      </c>
    </row>
    <row r="1952" spans="2:16">
      <c r="B1952" s="95">
        <v>1900</v>
      </c>
      <c r="C1952" s="95">
        <f t="shared" si="143"/>
        <v>684000</v>
      </c>
      <c r="D1952" s="95">
        <f ca="1">_xlfn.XLOOKUP(总览!$B$44,$B$40:$B$45,$C$40:$C$45)</f>
        <v>5</v>
      </c>
      <c r="E1952" s="95">
        <f ca="1" t="shared" si="146"/>
        <v>1930</v>
      </c>
      <c r="F1952" s="95">
        <f ca="1" t="shared" si="144"/>
        <v>0</v>
      </c>
      <c r="G1952" s="95">
        <f ca="1" t="shared" si="145"/>
        <v>0</v>
      </c>
      <c r="H1952" s="95" cm="1">
        <f ca="1" t="array" ref="H1952">MIN(30-SUM(I1952:L1952),_xlfn.XLOOKUP($D1952&amp;"_"&amp;H$52,$B$14:$B$36&amp;"_"&amp;$C$14:$C$36,$D$14:$D$36)*$E1952,18)</f>
        <v>10.596</v>
      </c>
      <c r="I1952" s="95" cm="1">
        <f ca="1" t="array" ref="I1952">MIN(30-SUM(J1952:L1952),6-L1952,_xlfn.XLOOKUP($D1952&amp;"_"&amp;I$52,$B$14:$B$36&amp;"_"&amp;$C$14:$C$36,$D$14:$D$36)*$E1952)</f>
        <v>0</v>
      </c>
      <c r="J1952" s="95" cm="1">
        <f ca="1" t="array" ref="J1952">MIN(8,_xlfn.XLOOKUP($D1952&amp;"_"&amp;J$52,$B$14:$B$36&amp;"_"&amp;$C$14:$C$36,$D$14:$D$36)*$E1952)</f>
        <v>8</v>
      </c>
      <c r="K1952" s="95" cm="1">
        <f ca="1" t="array" ref="K1952">MIN(18,_xlfn.XLOOKUP($D1952&amp;"_"&amp;K$52,$B$14:$B$36&amp;"_"&amp;$C$14:$C$36,$D$14:$D$36)*$E1952)</f>
        <v>5.404</v>
      </c>
      <c r="L1952" s="95" cm="1">
        <f ca="1" t="array" ref="L1952">MIN(6,_xlfn.XLOOKUP($D1952&amp;"_"&amp;L$52,$B$14:$B$36&amp;"_"&amp;$C$14:$C$36,$D$14:$D$36)*$E1952)</f>
        <v>6</v>
      </c>
      <c r="M1952" s="95" cm="1">
        <f ca="1" t="array" ref="M1952">(1+SUMPRODUCT(G1952:H1952,OFFSET($H$40:$I$40,D1952,0)))*(1+OFFSET($J$40,D1952,0))^I1952*(1+OFFSET($K$40,D1952,0))^J1952*(1+OFFSET($L$40,D1952,0))^K1952*(1+OFFSET($M$40,D1952,0))^L1952</f>
        <v>407.355620336357</v>
      </c>
      <c r="N1952" s="95">
        <f ca="1">MAX(MAX($N$53:N1951),OFFSET($C$52,MATCH(M1952*1.07,$M$53:$M$2052,1),0)-C1952)</f>
        <v>73440</v>
      </c>
    </row>
    <row r="1953" spans="2:14">
      <c r="B1953" s="95">
        <v>1901</v>
      </c>
      <c r="C1953" s="95">
        <f t="shared" si="143"/>
        <v>684360</v>
      </c>
      <c r="D1953" s="95">
        <f ca="1">_xlfn.XLOOKUP(总览!$B$44,$B$40:$B$45,$C$40:$C$45)</f>
        <v>5</v>
      </c>
      <c r="E1953" s="95">
        <f ca="1" t="shared" si="146"/>
        <v>1931</v>
      </c>
      <c r="F1953" s="95">
        <f ca="1" t="shared" si="144"/>
        <v>0</v>
      </c>
      <c r="G1953" s="95">
        <f ca="1" t="shared" si="145"/>
        <v>0</v>
      </c>
      <c r="H1953" s="95" cm="1">
        <f ca="1" t="array" ref="H1953">MIN(30-SUM(I1953:L1953),_xlfn.XLOOKUP($D1953&amp;"_"&amp;H$52,$B$14:$B$36&amp;"_"&amp;$C$14:$C$36,$D$14:$D$36)*$E1953,18)</f>
        <v>10.5932</v>
      </c>
      <c r="I1953" s="95" cm="1">
        <f ca="1" t="array" ref="I1953">MIN(30-SUM(J1953:L1953),6-L1953,_xlfn.XLOOKUP($D1953&amp;"_"&amp;I$52,$B$14:$B$36&amp;"_"&amp;$C$14:$C$36,$D$14:$D$36)*$E1953)</f>
        <v>0</v>
      </c>
      <c r="J1953" s="95" cm="1">
        <f ca="1" t="array" ref="J1953">MIN(8,_xlfn.XLOOKUP($D1953&amp;"_"&amp;J$52,$B$14:$B$36&amp;"_"&amp;$C$14:$C$36,$D$14:$D$36)*$E1953)</f>
        <v>8</v>
      </c>
      <c r="K1953" s="95" cm="1">
        <f ca="1" t="array" ref="K1953">MIN(18,_xlfn.XLOOKUP($D1953&amp;"_"&amp;K$52,$B$14:$B$36&amp;"_"&amp;$C$14:$C$36,$D$14:$D$36)*$E1953)</f>
        <v>5.4068</v>
      </c>
      <c r="L1953" s="95" cm="1">
        <f ca="1" t="array" ref="L1953">MIN(6,_xlfn.XLOOKUP($D1953&amp;"_"&amp;L$52,$B$14:$B$36&amp;"_"&amp;$C$14:$C$36,$D$14:$D$36)*$E1953)</f>
        <v>6</v>
      </c>
      <c r="M1953" s="95" cm="1">
        <f ca="1" t="array" ref="M1953">(1+SUMPRODUCT(G1953:H1953,OFFSET($H$40:$I$40,D1953,0)))*(1+OFFSET($J$40,D1953,0))^I1953*(1+OFFSET($K$40,D1953,0))^J1953*(1+OFFSET($L$40,D1953,0))^K1953*(1+OFFSET($M$40,D1953,0))^L1953</f>
        <v>407.490457408412</v>
      </c>
      <c r="N1953" s="95">
        <f ca="1">MAX(MAX($N$53:N1952),OFFSET($C$52,MATCH(M1953*1.07,$M$53:$M$2052,1),0)-C1953)</f>
        <v>73440</v>
      </c>
    </row>
    <row r="1954" spans="2:14">
      <c r="B1954" s="95">
        <v>1902</v>
      </c>
      <c r="C1954" s="95">
        <f t="shared" si="143"/>
        <v>684720</v>
      </c>
      <c r="D1954" s="95">
        <f ca="1">_xlfn.XLOOKUP(总览!$B$44,$B$40:$B$45,$C$40:$C$45)</f>
        <v>5</v>
      </c>
      <c r="E1954" s="95">
        <f ca="1" t="shared" si="146"/>
        <v>1932</v>
      </c>
      <c r="F1954" s="95">
        <f ca="1" t="shared" si="144"/>
        <v>0</v>
      </c>
      <c r="G1954" s="95">
        <f ca="1" t="shared" si="145"/>
        <v>0</v>
      </c>
      <c r="H1954" s="95" cm="1">
        <f ca="1" t="array" ref="H1954">MIN(30-SUM(I1954:L1954),_xlfn.XLOOKUP($D1954&amp;"_"&amp;H$52,$B$14:$B$36&amp;"_"&amp;$C$14:$C$36,$D$14:$D$36)*$E1954,18)</f>
        <v>10.5904</v>
      </c>
      <c r="I1954" s="95" cm="1">
        <f ca="1" t="array" ref="I1954">MIN(30-SUM(J1954:L1954),6-L1954,_xlfn.XLOOKUP($D1954&amp;"_"&amp;I$52,$B$14:$B$36&amp;"_"&amp;$C$14:$C$36,$D$14:$D$36)*$E1954)</f>
        <v>0</v>
      </c>
      <c r="J1954" s="95" cm="1">
        <f ca="1" t="array" ref="J1954">MIN(8,_xlfn.XLOOKUP($D1954&amp;"_"&amp;J$52,$B$14:$B$36&amp;"_"&amp;$C$14:$C$36,$D$14:$D$36)*$E1954)</f>
        <v>8</v>
      </c>
      <c r="K1954" s="95" cm="1">
        <f ca="1" t="array" ref="K1954">MIN(18,_xlfn.XLOOKUP($D1954&amp;"_"&amp;K$52,$B$14:$B$36&amp;"_"&amp;$C$14:$C$36,$D$14:$D$36)*$E1954)</f>
        <v>5.4096</v>
      </c>
      <c r="L1954" s="95" cm="1">
        <f ca="1" t="array" ref="L1954">MIN(6,_xlfn.XLOOKUP($D1954&amp;"_"&amp;L$52,$B$14:$B$36&amp;"_"&amp;$C$14:$C$36,$D$14:$D$36)*$E1954)</f>
        <v>6</v>
      </c>
      <c r="M1954" s="95" cm="1">
        <f ca="1" t="array" ref="M1954">(1+SUMPRODUCT(G1954:H1954,OFFSET($H$40:$I$40,D1954,0)))*(1+OFFSET($J$40,D1954,0))^I1954*(1+OFFSET($K$40,D1954,0))^J1954*(1+OFFSET($L$40,D1954,0))^K1954*(1+OFFSET($M$40,D1954,0))^L1954</f>
        <v>407.62532596895</v>
      </c>
      <c r="N1954" s="95">
        <f ca="1">MAX(MAX($N$53:N1953),OFFSET($C$52,MATCH(M1954*1.07,$M$53:$M$2052,1),0)-C1954)</f>
        <v>73440</v>
      </c>
    </row>
    <row r="1955" spans="2:14">
      <c r="B1955" s="95">
        <v>1903</v>
      </c>
      <c r="C1955" s="95">
        <f t="shared" si="143"/>
        <v>685080</v>
      </c>
      <c r="D1955" s="95">
        <f ca="1">_xlfn.XLOOKUP(总览!$B$44,$B$40:$B$45,$C$40:$C$45)</f>
        <v>5</v>
      </c>
      <c r="E1955" s="95">
        <f ca="1" t="shared" si="146"/>
        <v>1933</v>
      </c>
      <c r="F1955" s="95">
        <f ca="1" t="shared" si="144"/>
        <v>0</v>
      </c>
      <c r="G1955" s="95">
        <f ca="1" t="shared" si="145"/>
        <v>0</v>
      </c>
      <c r="H1955" s="95" cm="1">
        <f ca="1" t="array" ref="H1955">MIN(30-SUM(I1955:L1955),_xlfn.XLOOKUP($D1955&amp;"_"&amp;H$52,$B$14:$B$36&amp;"_"&amp;$C$14:$C$36,$D$14:$D$36)*$E1955,18)</f>
        <v>10.5876</v>
      </c>
      <c r="I1955" s="95" cm="1">
        <f ca="1" t="array" ref="I1955">MIN(30-SUM(J1955:L1955),6-L1955,_xlfn.XLOOKUP($D1955&amp;"_"&amp;I$52,$B$14:$B$36&amp;"_"&amp;$C$14:$C$36,$D$14:$D$36)*$E1955)</f>
        <v>0</v>
      </c>
      <c r="J1955" s="95" cm="1">
        <f ca="1" t="array" ref="J1955">MIN(8,_xlfn.XLOOKUP($D1955&amp;"_"&amp;J$52,$B$14:$B$36&amp;"_"&amp;$C$14:$C$36,$D$14:$D$36)*$E1955)</f>
        <v>8</v>
      </c>
      <c r="K1955" s="95" cm="1">
        <f ca="1" t="array" ref="K1955">MIN(18,_xlfn.XLOOKUP($D1955&amp;"_"&amp;K$52,$B$14:$B$36&amp;"_"&amp;$C$14:$C$36,$D$14:$D$36)*$E1955)</f>
        <v>5.4124</v>
      </c>
      <c r="L1955" s="95" cm="1">
        <f ca="1" t="array" ref="L1955">MIN(6,_xlfn.XLOOKUP($D1955&amp;"_"&amp;L$52,$B$14:$B$36&amp;"_"&amp;$C$14:$C$36,$D$14:$D$36)*$E1955)</f>
        <v>6</v>
      </c>
      <c r="M1955" s="95" cm="1">
        <f ca="1" t="array" ref="M1955">(1+SUMPRODUCT(G1955:H1955,OFFSET($H$40:$I$40,D1955,0)))*(1+OFFSET($J$40,D1955,0))^I1955*(1+OFFSET($K$40,D1955,0))^J1955*(1+OFFSET($L$40,D1955,0))^K1955*(1+OFFSET($M$40,D1955,0))^L1955</f>
        <v>407.76022601497</v>
      </c>
      <c r="N1955" s="95">
        <f ca="1">MAX(MAX($N$53:N1954),OFFSET($C$52,MATCH(M1955*1.07,$M$53:$M$2052,1),0)-C1955)</f>
        <v>73440</v>
      </c>
    </row>
    <row r="1956" spans="2:14">
      <c r="B1956" s="95">
        <v>1904</v>
      </c>
      <c r="C1956" s="95">
        <f t="shared" si="143"/>
        <v>685440</v>
      </c>
      <c r="D1956" s="95">
        <f ca="1">_xlfn.XLOOKUP(总览!$B$44,$B$40:$B$45,$C$40:$C$45)</f>
        <v>5</v>
      </c>
      <c r="E1956" s="95">
        <f ca="1" t="shared" si="146"/>
        <v>1934</v>
      </c>
      <c r="F1956" s="95">
        <f ca="1" t="shared" si="144"/>
        <v>0</v>
      </c>
      <c r="G1956" s="95">
        <f ca="1" t="shared" si="145"/>
        <v>0</v>
      </c>
      <c r="H1956" s="95" cm="1">
        <f ca="1" t="array" ref="H1956">MIN(30-SUM(I1956:L1956),_xlfn.XLOOKUP($D1956&amp;"_"&amp;H$52,$B$14:$B$36&amp;"_"&amp;$C$14:$C$36,$D$14:$D$36)*$E1956,18)</f>
        <v>10.5848</v>
      </c>
      <c r="I1956" s="95" cm="1">
        <f ca="1" t="array" ref="I1956">MIN(30-SUM(J1956:L1956),6-L1956,_xlfn.XLOOKUP($D1956&amp;"_"&amp;I$52,$B$14:$B$36&amp;"_"&amp;$C$14:$C$36,$D$14:$D$36)*$E1956)</f>
        <v>0</v>
      </c>
      <c r="J1956" s="95" cm="1">
        <f ca="1" t="array" ref="J1956">MIN(8,_xlfn.XLOOKUP($D1956&amp;"_"&amp;J$52,$B$14:$B$36&amp;"_"&amp;$C$14:$C$36,$D$14:$D$36)*$E1956)</f>
        <v>8</v>
      </c>
      <c r="K1956" s="95" cm="1">
        <f ca="1" t="array" ref="K1956">MIN(18,_xlfn.XLOOKUP($D1956&amp;"_"&amp;K$52,$B$14:$B$36&amp;"_"&amp;$C$14:$C$36,$D$14:$D$36)*$E1956)</f>
        <v>5.4152</v>
      </c>
      <c r="L1956" s="95" cm="1">
        <f ca="1" t="array" ref="L1956">MIN(6,_xlfn.XLOOKUP($D1956&amp;"_"&amp;L$52,$B$14:$B$36&amp;"_"&amp;$C$14:$C$36,$D$14:$D$36)*$E1956)</f>
        <v>6</v>
      </c>
      <c r="M1956" s="95" cm="1">
        <f ca="1" t="array" ref="M1956">(1+SUMPRODUCT(G1956:H1956,OFFSET($H$40:$I$40,D1956,0)))*(1+OFFSET($J$40,D1956,0))^I1956*(1+OFFSET($K$40,D1956,0))^J1956*(1+OFFSET($L$40,D1956,0))^K1956*(1+OFFSET($M$40,D1956,0))^L1956</f>
        <v>407.895157543461</v>
      </c>
      <c r="N1956" s="95">
        <f ca="1">MAX(MAX($N$53:N1955),OFFSET($C$52,MATCH(M1956*1.07,$M$53:$M$2052,1),0)-C1956)</f>
        <v>73440</v>
      </c>
    </row>
    <row r="1957" spans="2:14">
      <c r="B1957" s="95">
        <v>1905</v>
      </c>
      <c r="C1957" s="95">
        <f t="shared" ref="C1957:C2020" si="147">C1956+360</f>
        <v>685800</v>
      </c>
      <c r="D1957" s="95">
        <f ca="1">_xlfn.XLOOKUP(总览!$B$44,$B$40:$B$45,$C$40:$C$45)</f>
        <v>5</v>
      </c>
      <c r="E1957" s="95">
        <f ca="1" t="shared" si="146"/>
        <v>1935</v>
      </c>
      <c r="F1957" s="95">
        <f ca="1" t="shared" ref="F1957:F2020" si="148">30-SUM(G1957:L1957)</f>
        <v>0</v>
      </c>
      <c r="G1957" s="95">
        <f ca="1" t="shared" ref="G1957:G2020" si="149">30-SUM(H1957:L1957)</f>
        <v>0</v>
      </c>
      <c r="H1957" s="95" cm="1">
        <f ca="1" t="array" ref="H1957">MIN(30-SUM(I1957:L1957),_xlfn.XLOOKUP($D1957&amp;"_"&amp;H$52,$B$14:$B$36&amp;"_"&amp;$C$14:$C$36,$D$14:$D$36)*$E1957,18)</f>
        <v>10.582</v>
      </c>
      <c r="I1957" s="95" cm="1">
        <f ca="1" t="array" ref="I1957">MIN(30-SUM(J1957:L1957),6-L1957,_xlfn.XLOOKUP($D1957&amp;"_"&amp;I$52,$B$14:$B$36&amp;"_"&amp;$C$14:$C$36,$D$14:$D$36)*$E1957)</f>
        <v>0</v>
      </c>
      <c r="J1957" s="95" cm="1">
        <f ca="1" t="array" ref="J1957">MIN(8,_xlfn.XLOOKUP($D1957&amp;"_"&amp;J$52,$B$14:$B$36&amp;"_"&amp;$C$14:$C$36,$D$14:$D$36)*$E1957)</f>
        <v>8</v>
      </c>
      <c r="K1957" s="95" cm="1">
        <f ca="1" t="array" ref="K1957">MIN(18,_xlfn.XLOOKUP($D1957&amp;"_"&amp;K$52,$B$14:$B$36&amp;"_"&amp;$C$14:$C$36,$D$14:$D$36)*$E1957)</f>
        <v>5.418</v>
      </c>
      <c r="L1957" s="95" cm="1">
        <f ca="1" t="array" ref="L1957">MIN(6,_xlfn.XLOOKUP($D1957&amp;"_"&amp;L$52,$B$14:$B$36&amp;"_"&amp;$C$14:$C$36,$D$14:$D$36)*$E1957)</f>
        <v>6</v>
      </c>
      <c r="M1957" s="95" cm="1">
        <f ca="1" t="array" ref="M1957">(1+SUMPRODUCT(G1957:H1957,OFFSET($H$40:$I$40,D1957,0)))*(1+OFFSET($J$40,D1957,0))^I1957*(1+OFFSET($K$40,D1957,0))^J1957*(1+OFFSET($L$40,D1957,0))^K1957*(1+OFFSET($M$40,D1957,0))^L1957</f>
        <v>408.030120551402</v>
      </c>
      <c r="N1957" s="95">
        <f ca="1">MAX(MAX($N$53:N1956),OFFSET($C$52,MATCH(M1957*1.07,$M$53:$M$2052,1),0)-C1957)</f>
        <v>73440</v>
      </c>
    </row>
    <row r="1958" spans="2:14">
      <c r="B1958" s="95">
        <v>1906</v>
      </c>
      <c r="C1958" s="95">
        <f t="shared" si="147"/>
        <v>686160</v>
      </c>
      <c r="D1958" s="95">
        <f ca="1">_xlfn.XLOOKUP(总览!$B$44,$B$40:$B$45,$C$40:$C$45)</f>
        <v>5</v>
      </c>
      <c r="E1958" s="95">
        <f ca="1" t="shared" si="146"/>
        <v>1936</v>
      </c>
      <c r="F1958" s="95">
        <f ca="1" t="shared" si="148"/>
        <v>0</v>
      </c>
      <c r="G1958" s="95">
        <f ca="1" t="shared" si="149"/>
        <v>0</v>
      </c>
      <c r="H1958" s="95" cm="1">
        <f ca="1" t="array" ref="H1958">MIN(30-SUM(I1958:L1958),_xlfn.XLOOKUP($D1958&amp;"_"&amp;H$52,$B$14:$B$36&amp;"_"&amp;$C$14:$C$36,$D$14:$D$36)*$E1958,18)</f>
        <v>10.5792</v>
      </c>
      <c r="I1958" s="95" cm="1">
        <f ca="1" t="array" ref="I1958">MIN(30-SUM(J1958:L1958),6-L1958,_xlfn.XLOOKUP($D1958&amp;"_"&amp;I$52,$B$14:$B$36&amp;"_"&amp;$C$14:$C$36,$D$14:$D$36)*$E1958)</f>
        <v>0</v>
      </c>
      <c r="J1958" s="95" cm="1">
        <f ca="1" t="array" ref="J1958">MIN(8,_xlfn.XLOOKUP($D1958&amp;"_"&amp;J$52,$B$14:$B$36&amp;"_"&amp;$C$14:$C$36,$D$14:$D$36)*$E1958)</f>
        <v>8</v>
      </c>
      <c r="K1958" s="95" cm="1">
        <f ca="1" t="array" ref="K1958">MIN(18,_xlfn.XLOOKUP($D1958&amp;"_"&amp;K$52,$B$14:$B$36&amp;"_"&amp;$C$14:$C$36,$D$14:$D$36)*$E1958)</f>
        <v>5.4208</v>
      </c>
      <c r="L1958" s="95" cm="1">
        <f ca="1" t="array" ref="L1958">MIN(6,_xlfn.XLOOKUP($D1958&amp;"_"&amp;L$52,$B$14:$B$36&amp;"_"&amp;$C$14:$C$36,$D$14:$D$36)*$E1958)</f>
        <v>6</v>
      </c>
      <c r="M1958" s="95" cm="1">
        <f ca="1" t="array" ref="M1958">(1+SUMPRODUCT(G1958:H1958,OFFSET($H$40:$I$40,D1958,0)))*(1+OFFSET($J$40,D1958,0))^I1958*(1+OFFSET($K$40,D1958,0))^J1958*(1+OFFSET($L$40,D1958,0))^K1958*(1+OFFSET($M$40,D1958,0))^L1958</f>
        <v>408.165115035757</v>
      </c>
      <c r="N1958" s="95">
        <f ca="1">MAX(MAX($N$53:N1957),OFFSET($C$52,MATCH(M1958*1.07,$M$53:$M$2052,1),0)-C1958)</f>
        <v>73440</v>
      </c>
    </row>
    <row r="1959" spans="2:14">
      <c r="B1959" s="95">
        <v>1907</v>
      </c>
      <c r="C1959" s="95">
        <f t="shared" si="147"/>
        <v>686520</v>
      </c>
      <c r="D1959" s="95">
        <f ca="1">_xlfn.XLOOKUP(总览!$B$44,$B$40:$B$45,$C$40:$C$45)</f>
        <v>5</v>
      </c>
      <c r="E1959" s="95">
        <f ca="1" t="shared" si="146"/>
        <v>1937</v>
      </c>
      <c r="F1959" s="95">
        <f ca="1" t="shared" si="148"/>
        <v>0</v>
      </c>
      <c r="G1959" s="95">
        <f ca="1" t="shared" si="149"/>
        <v>0</v>
      </c>
      <c r="H1959" s="95" cm="1">
        <f ca="1" t="array" ref="H1959">MIN(30-SUM(I1959:L1959),_xlfn.XLOOKUP($D1959&amp;"_"&amp;H$52,$B$14:$B$36&amp;"_"&amp;$C$14:$C$36,$D$14:$D$36)*$E1959,18)</f>
        <v>10.5764</v>
      </c>
      <c r="I1959" s="95" cm="1">
        <f ca="1" t="array" ref="I1959">MIN(30-SUM(J1959:L1959),6-L1959,_xlfn.XLOOKUP($D1959&amp;"_"&amp;I$52,$B$14:$B$36&amp;"_"&amp;$C$14:$C$36,$D$14:$D$36)*$E1959)</f>
        <v>0</v>
      </c>
      <c r="J1959" s="95" cm="1">
        <f ca="1" t="array" ref="J1959">MIN(8,_xlfn.XLOOKUP($D1959&amp;"_"&amp;J$52,$B$14:$B$36&amp;"_"&amp;$C$14:$C$36,$D$14:$D$36)*$E1959)</f>
        <v>8</v>
      </c>
      <c r="K1959" s="95" cm="1">
        <f ca="1" t="array" ref="K1959">MIN(18,_xlfn.XLOOKUP($D1959&amp;"_"&amp;K$52,$B$14:$B$36&amp;"_"&amp;$C$14:$C$36,$D$14:$D$36)*$E1959)</f>
        <v>5.4236</v>
      </c>
      <c r="L1959" s="95" cm="1">
        <f ca="1" t="array" ref="L1959">MIN(6,_xlfn.XLOOKUP($D1959&amp;"_"&amp;L$52,$B$14:$B$36&amp;"_"&amp;$C$14:$C$36,$D$14:$D$36)*$E1959)</f>
        <v>6</v>
      </c>
      <c r="M1959" s="95" cm="1">
        <f ca="1" t="array" ref="M1959">(1+SUMPRODUCT(G1959:H1959,OFFSET($H$40:$I$40,D1959,0)))*(1+OFFSET($J$40,D1959,0))^I1959*(1+OFFSET($K$40,D1959,0))^J1959*(1+OFFSET($L$40,D1959,0))^K1959*(1+OFFSET($M$40,D1959,0))^L1959</f>
        <v>408.300140993482</v>
      </c>
      <c r="N1959" s="95">
        <f ca="1">MAX(MAX($N$53:N1958),OFFSET($C$52,MATCH(M1959*1.07,$M$53:$M$2052,1),0)-C1959)</f>
        <v>73440</v>
      </c>
    </row>
    <row r="1960" spans="2:14">
      <c r="B1960" s="95">
        <v>1908</v>
      </c>
      <c r="C1960" s="95">
        <f t="shared" si="147"/>
        <v>686880</v>
      </c>
      <c r="D1960" s="95">
        <f ca="1">_xlfn.XLOOKUP(总览!$B$44,$B$40:$B$45,$C$40:$C$45)</f>
        <v>5</v>
      </c>
      <c r="E1960" s="95">
        <f ca="1" t="shared" si="146"/>
        <v>1938</v>
      </c>
      <c r="F1960" s="95">
        <f ca="1" t="shared" si="148"/>
        <v>0</v>
      </c>
      <c r="G1960" s="95">
        <f ca="1" t="shared" si="149"/>
        <v>0</v>
      </c>
      <c r="H1960" s="95" cm="1">
        <f ca="1" t="array" ref="H1960">MIN(30-SUM(I1960:L1960),_xlfn.XLOOKUP($D1960&amp;"_"&amp;H$52,$B$14:$B$36&amp;"_"&amp;$C$14:$C$36,$D$14:$D$36)*$E1960,18)</f>
        <v>10.5736</v>
      </c>
      <c r="I1960" s="95" cm="1">
        <f ca="1" t="array" ref="I1960">MIN(30-SUM(J1960:L1960),6-L1960,_xlfn.XLOOKUP($D1960&amp;"_"&amp;I$52,$B$14:$B$36&amp;"_"&amp;$C$14:$C$36,$D$14:$D$36)*$E1960)</f>
        <v>0</v>
      </c>
      <c r="J1960" s="95" cm="1">
        <f ca="1" t="array" ref="J1960">MIN(8,_xlfn.XLOOKUP($D1960&amp;"_"&amp;J$52,$B$14:$B$36&amp;"_"&amp;$C$14:$C$36,$D$14:$D$36)*$E1960)</f>
        <v>8</v>
      </c>
      <c r="K1960" s="95" cm="1">
        <f ca="1" t="array" ref="K1960">MIN(18,_xlfn.XLOOKUP($D1960&amp;"_"&amp;K$52,$B$14:$B$36&amp;"_"&amp;$C$14:$C$36,$D$14:$D$36)*$E1960)</f>
        <v>5.4264</v>
      </c>
      <c r="L1960" s="95" cm="1">
        <f ca="1" t="array" ref="L1960">MIN(6,_xlfn.XLOOKUP($D1960&amp;"_"&amp;L$52,$B$14:$B$36&amp;"_"&amp;$C$14:$C$36,$D$14:$D$36)*$E1960)</f>
        <v>6</v>
      </c>
      <c r="M1960" s="95" cm="1">
        <f ca="1" t="array" ref="M1960">(1+SUMPRODUCT(G1960:H1960,OFFSET($H$40:$I$40,D1960,0)))*(1+OFFSET($J$40,D1960,0))^I1960*(1+OFFSET($K$40,D1960,0))^J1960*(1+OFFSET($L$40,D1960,0))^K1960*(1+OFFSET($M$40,D1960,0))^L1960</f>
        <v>408.435198421521</v>
      </c>
      <c r="N1960" s="95">
        <f ca="1">MAX(MAX($N$53:N1959),OFFSET($C$52,MATCH(M1960*1.07,$M$53:$M$2052,1),0)-C1960)</f>
        <v>73440</v>
      </c>
    </row>
    <row r="1961" spans="2:14">
      <c r="B1961" s="95">
        <v>1909</v>
      </c>
      <c r="C1961" s="95">
        <f t="shared" si="147"/>
        <v>687240</v>
      </c>
      <c r="D1961" s="95">
        <f ca="1">_xlfn.XLOOKUP(总览!$B$44,$B$40:$B$45,$C$40:$C$45)</f>
        <v>5</v>
      </c>
      <c r="E1961" s="95">
        <f ca="1" t="shared" si="146"/>
        <v>1939</v>
      </c>
      <c r="F1961" s="95">
        <f ca="1" t="shared" si="148"/>
        <v>0</v>
      </c>
      <c r="G1961" s="95">
        <f ca="1" t="shared" si="149"/>
        <v>0</v>
      </c>
      <c r="H1961" s="95" cm="1">
        <f ca="1" t="array" ref="H1961">MIN(30-SUM(I1961:L1961),_xlfn.XLOOKUP($D1961&amp;"_"&amp;H$52,$B$14:$B$36&amp;"_"&amp;$C$14:$C$36,$D$14:$D$36)*$E1961,18)</f>
        <v>10.5708</v>
      </c>
      <c r="I1961" s="95" cm="1">
        <f ca="1" t="array" ref="I1961">MIN(30-SUM(J1961:L1961),6-L1961,_xlfn.XLOOKUP($D1961&amp;"_"&amp;I$52,$B$14:$B$36&amp;"_"&amp;$C$14:$C$36,$D$14:$D$36)*$E1961)</f>
        <v>0</v>
      </c>
      <c r="J1961" s="95" cm="1">
        <f ca="1" t="array" ref="J1961">MIN(8,_xlfn.XLOOKUP($D1961&amp;"_"&amp;J$52,$B$14:$B$36&amp;"_"&amp;$C$14:$C$36,$D$14:$D$36)*$E1961)</f>
        <v>8</v>
      </c>
      <c r="K1961" s="95" cm="1">
        <f ca="1" t="array" ref="K1961">MIN(18,_xlfn.XLOOKUP($D1961&amp;"_"&amp;K$52,$B$14:$B$36&amp;"_"&amp;$C$14:$C$36,$D$14:$D$36)*$E1961)</f>
        <v>5.4292</v>
      </c>
      <c r="L1961" s="95" cm="1">
        <f ca="1" t="array" ref="L1961">MIN(6,_xlfn.XLOOKUP($D1961&amp;"_"&amp;L$52,$B$14:$B$36&amp;"_"&amp;$C$14:$C$36,$D$14:$D$36)*$E1961)</f>
        <v>6</v>
      </c>
      <c r="M1961" s="95" cm="1">
        <f ca="1" t="array" ref="M1961">(1+SUMPRODUCT(G1961:H1961,OFFSET($H$40:$I$40,D1961,0)))*(1+OFFSET($J$40,D1961,0))^I1961*(1+OFFSET($K$40,D1961,0))^J1961*(1+OFFSET($L$40,D1961,0))^K1961*(1+OFFSET($M$40,D1961,0))^L1961</f>
        <v>408.570287316805</v>
      </c>
      <c r="N1961" s="95">
        <f ca="1">MAX(MAX($N$53:N1960),OFFSET($C$52,MATCH(M1961*1.07,$M$53:$M$2052,1),0)-C1961)</f>
        <v>73440</v>
      </c>
    </row>
    <row r="1962" spans="2:14">
      <c r="B1962" s="95">
        <v>1910</v>
      </c>
      <c r="C1962" s="95">
        <f t="shared" si="147"/>
        <v>687600</v>
      </c>
      <c r="D1962" s="95">
        <f ca="1">_xlfn.XLOOKUP(总览!$B$44,$B$40:$B$45,$C$40:$C$45)</f>
        <v>5</v>
      </c>
      <c r="E1962" s="95">
        <f ca="1" t="shared" si="146"/>
        <v>1940</v>
      </c>
      <c r="F1962" s="95">
        <f ca="1" t="shared" si="148"/>
        <v>0</v>
      </c>
      <c r="G1962" s="95">
        <f ca="1" t="shared" si="149"/>
        <v>0</v>
      </c>
      <c r="H1962" s="95" cm="1">
        <f ca="1" t="array" ref="H1962">MIN(30-SUM(I1962:L1962),_xlfn.XLOOKUP($D1962&amp;"_"&amp;H$52,$B$14:$B$36&amp;"_"&amp;$C$14:$C$36,$D$14:$D$36)*$E1962,18)</f>
        <v>10.568</v>
      </c>
      <c r="I1962" s="95" cm="1">
        <f ca="1" t="array" ref="I1962">MIN(30-SUM(J1962:L1962),6-L1962,_xlfn.XLOOKUP($D1962&amp;"_"&amp;I$52,$B$14:$B$36&amp;"_"&amp;$C$14:$C$36,$D$14:$D$36)*$E1962)</f>
        <v>0</v>
      </c>
      <c r="J1962" s="95" cm="1">
        <f ca="1" t="array" ref="J1962">MIN(8,_xlfn.XLOOKUP($D1962&amp;"_"&amp;J$52,$B$14:$B$36&amp;"_"&amp;$C$14:$C$36,$D$14:$D$36)*$E1962)</f>
        <v>8</v>
      </c>
      <c r="K1962" s="95" cm="1">
        <f ca="1" t="array" ref="K1962">MIN(18,_xlfn.XLOOKUP($D1962&amp;"_"&amp;K$52,$B$14:$B$36&amp;"_"&amp;$C$14:$C$36,$D$14:$D$36)*$E1962)</f>
        <v>5.432</v>
      </c>
      <c r="L1962" s="95" cm="1">
        <f ca="1" t="array" ref="L1962">MIN(6,_xlfn.XLOOKUP($D1962&amp;"_"&amp;L$52,$B$14:$B$36&amp;"_"&amp;$C$14:$C$36,$D$14:$D$36)*$E1962)</f>
        <v>6</v>
      </c>
      <c r="M1962" s="95" cm="1">
        <f ca="1" t="array" ref="M1962">(1+SUMPRODUCT(G1962:H1962,OFFSET($H$40:$I$40,D1962,0)))*(1+OFFSET($J$40,D1962,0))^I1962*(1+OFFSET($K$40,D1962,0))^J1962*(1+OFFSET($L$40,D1962,0))^K1962*(1+OFFSET($M$40,D1962,0))^L1962</f>
        <v>408.705407676256</v>
      </c>
      <c r="N1962" s="95">
        <f ca="1">MAX(MAX($N$53:N1961),OFFSET($C$52,MATCH(M1962*1.07,$M$53:$M$2052,1),0)-C1962)</f>
        <v>73440</v>
      </c>
    </row>
    <row r="1963" spans="2:14">
      <c r="B1963" s="95">
        <v>1911</v>
      </c>
      <c r="C1963" s="95">
        <f t="shared" si="147"/>
        <v>687960</v>
      </c>
      <c r="D1963" s="95">
        <f ca="1">_xlfn.XLOOKUP(总览!$B$44,$B$40:$B$45,$C$40:$C$45)</f>
        <v>5</v>
      </c>
      <c r="E1963" s="95">
        <f ca="1" t="shared" si="146"/>
        <v>1941</v>
      </c>
      <c r="F1963" s="95">
        <f ca="1" t="shared" si="148"/>
        <v>0</v>
      </c>
      <c r="G1963" s="95">
        <f ca="1" t="shared" si="149"/>
        <v>0</v>
      </c>
      <c r="H1963" s="95" cm="1">
        <f ca="1" t="array" ref="H1963">MIN(30-SUM(I1963:L1963),_xlfn.XLOOKUP($D1963&amp;"_"&amp;H$52,$B$14:$B$36&amp;"_"&amp;$C$14:$C$36,$D$14:$D$36)*$E1963,18)</f>
        <v>10.5652</v>
      </c>
      <c r="I1963" s="95" cm="1">
        <f ca="1" t="array" ref="I1963">MIN(30-SUM(J1963:L1963),6-L1963,_xlfn.XLOOKUP($D1963&amp;"_"&amp;I$52,$B$14:$B$36&amp;"_"&amp;$C$14:$C$36,$D$14:$D$36)*$E1963)</f>
        <v>0</v>
      </c>
      <c r="J1963" s="95" cm="1">
        <f ca="1" t="array" ref="J1963">MIN(8,_xlfn.XLOOKUP($D1963&amp;"_"&amp;J$52,$B$14:$B$36&amp;"_"&amp;$C$14:$C$36,$D$14:$D$36)*$E1963)</f>
        <v>8</v>
      </c>
      <c r="K1963" s="95" cm="1">
        <f ca="1" t="array" ref="K1963">MIN(18,_xlfn.XLOOKUP($D1963&amp;"_"&amp;K$52,$B$14:$B$36&amp;"_"&amp;$C$14:$C$36,$D$14:$D$36)*$E1963)</f>
        <v>5.4348</v>
      </c>
      <c r="L1963" s="95" cm="1">
        <f ca="1" t="array" ref="L1963">MIN(6,_xlfn.XLOOKUP($D1963&amp;"_"&amp;L$52,$B$14:$B$36&amp;"_"&amp;$C$14:$C$36,$D$14:$D$36)*$E1963)</f>
        <v>6</v>
      </c>
      <c r="M1963" s="95" cm="1">
        <f ca="1" t="array" ref="M1963">(1+SUMPRODUCT(G1963:H1963,OFFSET($H$40:$I$40,D1963,0)))*(1+OFFSET($J$40,D1963,0))^I1963*(1+OFFSET($K$40,D1963,0))^J1963*(1+OFFSET($L$40,D1963,0))^K1963*(1+OFFSET($M$40,D1963,0))^L1963</f>
        <v>408.840559496783</v>
      </c>
      <c r="N1963" s="95">
        <f ca="1">MAX(MAX($N$53:N1962),OFFSET($C$52,MATCH(M1963*1.07,$M$53:$M$2052,1),0)-C1963)</f>
        <v>73440</v>
      </c>
    </row>
    <row r="1964" spans="2:14">
      <c r="B1964" s="95">
        <v>1912</v>
      </c>
      <c r="C1964" s="95">
        <f t="shared" si="147"/>
        <v>688320</v>
      </c>
      <c r="D1964" s="95">
        <f ca="1">_xlfn.XLOOKUP(总览!$B$44,$B$40:$B$45,$C$40:$C$45)</f>
        <v>5</v>
      </c>
      <c r="E1964" s="95">
        <f ca="1" t="shared" si="146"/>
        <v>1942</v>
      </c>
      <c r="F1964" s="95">
        <f ca="1" t="shared" si="148"/>
        <v>0</v>
      </c>
      <c r="G1964" s="95">
        <f ca="1" t="shared" si="149"/>
        <v>0</v>
      </c>
      <c r="H1964" s="95" cm="1">
        <f ca="1" t="array" ref="H1964">MIN(30-SUM(I1964:L1964),_xlfn.XLOOKUP($D1964&amp;"_"&amp;H$52,$B$14:$B$36&amp;"_"&amp;$C$14:$C$36,$D$14:$D$36)*$E1964,18)</f>
        <v>10.5624</v>
      </c>
      <c r="I1964" s="95" cm="1">
        <f ca="1" t="array" ref="I1964">MIN(30-SUM(J1964:L1964),6-L1964,_xlfn.XLOOKUP($D1964&amp;"_"&amp;I$52,$B$14:$B$36&amp;"_"&amp;$C$14:$C$36,$D$14:$D$36)*$E1964)</f>
        <v>0</v>
      </c>
      <c r="J1964" s="95" cm="1">
        <f ca="1" t="array" ref="J1964">MIN(8,_xlfn.XLOOKUP($D1964&amp;"_"&amp;J$52,$B$14:$B$36&amp;"_"&amp;$C$14:$C$36,$D$14:$D$36)*$E1964)</f>
        <v>8</v>
      </c>
      <c r="K1964" s="95" cm="1">
        <f ca="1" t="array" ref="K1964">MIN(18,_xlfn.XLOOKUP($D1964&amp;"_"&amp;K$52,$B$14:$B$36&amp;"_"&amp;$C$14:$C$36,$D$14:$D$36)*$E1964)</f>
        <v>5.4376</v>
      </c>
      <c r="L1964" s="95" cm="1">
        <f ca="1" t="array" ref="L1964">MIN(6,_xlfn.XLOOKUP($D1964&amp;"_"&amp;L$52,$B$14:$B$36&amp;"_"&amp;$C$14:$C$36,$D$14:$D$36)*$E1964)</f>
        <v>6</v>
      </c>
      <c r="M1964" s="95" cm="1">
        <f ca="1" t="array" ref="M1964">(1+SUMPRODUCT(G1964:H1964,OFFSET($H$40:$I$40,D1964,0)))*(1+OFFSET($J$40,D1964,0))^I1964*(1+OFFSET($K$40,D1964,0))^J1964*(1+OFFSET($L$40,D1964,0))^K1964*(1+OFFSET($M$40,D1964,0))^L1964</f>
        <v>408.975742775285</v>
      </c>
      <c r="N1964" s="95">
        <f ca="1">MAX(MAX($N$53:N1963),OFFSET($C$52,MATCH(M1964*1.07,$M$53:$M$2052,1),0)-C1964)</f>
        <v>73440</v>
      </c>
    </row>
    <row r="1965" spans="2:14">
      <c r="B1965" s="95">
        <v>1913</v>
      </c>
      <c r="C1965" s="95">
        <f t="shared" si="147"/>
        <v>688680</v>
      </c>
      <c r="D1965" s="95">
        <f ca="1">_xlfn.XLOOKUP(总览!$B$44,$B$40:$B$45,$C$40:$C$45)</f>
        <v>5</v>
      </c>
      <c r="E1965" s="95">
        <f ca="1" t="shared" si="146"/>
        <v>1943</v>
      </c>
      <c r="F1965" s="95">
        <f ca="1" t="shared" si="148"/>
        <v>0</v>
      </c>
      <c r="G1965" s="95">
        <f ca="1" t="shared" si="149"/>
        <v>0</v>
      </c>
      <c r="H1965" s="95" cm="1">
        <f ca="1" t="array" ref="H1965">MIN(30-SUM(I1965:L1965),_xlfn.XLOOKUP($D1965&amp;"_"&amp;H$52,$B$14:$B$36&amp;"_"&amp;$C$14:$C$36,$D$14:$D$36)*$E1965,18)</f>
        <v>10.5596</v>
      </c>
      <c r="I1965" s="95" cm="1">
        <f ca="1" t="array" ref="I1965">MIN(30-SUM(J1965:L1965),6-L1965,_xlfn.XLOOKUP($D1965&amp;"_"&amp;I$52,$B$14:$B$36&amp;"_"&amp;$C$14:$C$36,$D$14:$D$36)*$E1965)</f>
        <v>0</v>
      </c>
      <c r="J1965" s="95" cm="1">
        <f ca="1" t="array" ref="J1965">MIN(8,_xlfn.XLOOKUP($D1965&amp;"_"&amp;J$52,$B$14:$B$36&amp;"_"&amp;$C$14:$C$36,$D$14:$D$36)*$E1965)</f>
        <v>8</v>
      </c>
      <c r="K1965" s="95" cm="1">
        <f ca="1" t="array" ref="K1965">MIN(18,_xlfn.XLOOKUP($D1965&amp;"_"&amp;K$52,$B$14:$B$36&amp;"_"&amp;$C$14:$C$36,$D$14:$D$36)*$E1965)</f>
        <v>5.4404</v>
      </c>
      <c r="L1965" s="95" cm="1">
        <f ca="1" t="array" ref="L1965">MIN(6,_xlfn.XLOOKUP($D1965&amp;"_"&amp;L$52,$B$14:$B$36&amp;"_"&amp;$C$14:$C$36,$D$14:$D$36)*$E1965)</f>
        <v>6</v>
      </c>
      <c r="M1965" s="95" cm="1">
        <f ca="1" t="array" ref="M1965">(1+SUMPRODUCT(G1965:H1965,OFFSET($H$40:$I$40,D1965,0)))*(1+OFFSET($J$40,D1965,0))^I1965*(1+OFFSET($K$40,D1965,0))^J1965*(1+OFFSET($L$40,D1965,0))^K1965*(1+OFFSET($M$40,D1965,0))^L1965</f>
        <v>409.110957508648</v>
      </c>
      <c r="N1965" s="95">
        <f ca="1">MAX(MAX($N$53:N1964),OFFSET($C$52,MATCH(M1965*1.07,$M$53:$M$2052,1),0)-C1965)</f>
        <v>73440</v>
      </c>
    </row>
    <row r="1966" spans="2:14">
      <c r="B1966" s="95">
        <v>1914</v>
      </c>
      <c r="C1966" s="95">
        <f t="shared" si="147"/>
        <v>689040</v>
      </c>
      <c r="D1966" s="95">
        <f ca="1">_xlfn.XLOOKUP(总览!$B$44,$B$40:$B$45,$C$40:$C$45)</f>
        <v>5</v>
      </c>
      <c r="E1966" s="95">
        <f ca="1" t="shared" si="146"/>
        <v>1944</v>
      </c>
      <c r="F1966" s="95">
        <f ca="1" t="shared" si="148"/>
        <v>0</v>
      </c>
      <c r="G1966" s="95">
        <f ca="1" t="shared" si="149"/>
        <v>0</v>
      </c>
      <c r="H1966" s="95" cm="1">
        <f ca="1" t="array" ref="H1966">MIN(30-SUM(I1966:L1966),_xlfn.XLOOKUP($D1966&amp;"_"&amp;H$52,$B$14:$B$36&amp;"_"&amp;$C$14:$C$36,$D$14:$D$36)*$E1966,18)</f>
        <v>10.5568</v>
      </c>
      <c r="I1966" s="95" cm="1">
        <f ca="1" t="array" ref="I1966">MIN(30-SUM(J1966:L1966),6-L1966,_xlfn.XLOOKUP($D1966&amp;"_"&amp;I$52,$B$14:$B$36&amp;"_"&amp;$C$14:$C$36,$D$14:$D$36)*$E1966)</f>
        <v>0</v>
      </c>
      <c r="J1966" s="95" cm="1">
        <f ca="1" t="array" ref="J1966">MIN(8,_xlfn.XLOOKUP($D1966&amp;"_"&amp;J$52,$B$14:$B$36&amp;"_"&amp;$C$14:$C$36,$D$14:$D$36)*$E1966)</f>
        <v>8</v>
      </c>
      <c r="K1966" s="95" cm="1">
        <f ca="1" t="array" ref="K1966">MIN(18,_xlfn.XLOOKUP($D1966&amp;"_"&amp;K$52,$B$14:$B$36&amp;"_"&amp;$C$14:$C$36,$D$14:$D$36)*$E1966)</f>
        <v>5.4432</v>
      </c>
      <c r="L1966" s="95" cm="1">
        <f ca="1" t="array" ref="L1966">MIN(6,_xlfn.XLOOKUP($D1966&amp;"_"&amp;L$52,$B$14:$B$36&amp;"_"&amp;$C$14:$C$36,$D$14:$D$36)*$E1966)</f>
        <v>6</v>
      </c>
      <c r="M1966" s="95" cm="1">
        <f ca="1" t="array" ref="M1966">(1+SUMPRODUCT(G1966:H1966,OFFSET($H$40:$I$40,D1966,0)))*(1+OFFSET($J$40,D1966,0))^I1966*(1+OFFSET($K$40,D1966,0))^J1966*(1+OFFSET($L$40,D1966,0))^K1966*(1+OFFSET($M$40,D1966,0))^L1966</f>
        <v>409.246203693747</v>
      </c>
      <c r="N1966" s="95">
        <f ca="1">MAX(MAX($N$53:N1965),OFFSET($C$52,MATCH(M1966*1.07,$M$53:$M$2052,1),0)-C1966)</f>
        <v>73440</v>
      </c>
    </row>
    <row r="1967" spans="2:14">
      <c r="B1967" s="95">
        <v>1915</v>
      </c>
      <c r="C1967" s="95">
        <f t="shared" si="147"/>
        <v>689400</v>
      </c>
      <c r="D1967" s="95">
        <f ca="1">_xlfn.XLOOKUP(总览!$B$44,$B$40:$B$45,$C$40:$C$45)</f>
        <v>5</v>
      </c>
      <c r="E1967" s="95">
        <f ca="1" t="shared" si="146"/>
        <v>1945</v>
      </c>
      <c r="F1967" s="95">
        <f ca="1" t="shared" si="148"/>
        <v>0</v>
      </c>
      <c r="G1967" s="95">
        <f ca="1" t="shared" si="149"/>
        <v>0</v>
      </c>
      <c r="H1967" s="95" cm="1">
        <f ca="1" t="array" ref="H1967">MIN(30-SUM(I1967:L1967),_xlfn.XLOOKUP($D1967&amp;"_"&amp;H$52,$B$14:$B$36&amp;"_"&amp;$C$14:$C$36,$D$14:$D$36)*$E1967,18)</f>
        <v>10.554</v>
      </c>
      <c r="I1967" s="95" cm="1">
        <f ca="1" t="array" ref="I1967">MIN(30-SUM(J1967:L1967),6-L1967,_xlfn.XLOOKUP($D1967&amp;"_"&amp;I$52,$B$14:$B$36&amp;"_"&amp;$C$14:$C$36,$D$14:$D$36)*$E1967)</f>
        <v>0</v>
      </c>
      <c r="J1967" s="95" cm="1">
        <f ca="1" t="array" ref="J1967">MIN(8,_xlfn.XLOOKUP($D1967&amp;"_"&amp;J$52,$B$14:$B$36&amp;"_"&amp;$C$14:$C$36,$D$14:$D$36)*$E1967)</f>
        <v>8</v>
      </c>
      <c r="K1967" s="95" cm="1">
        <f ca="1" t="array" ref="K1967">MIN(18,_xlfn.XLOOKUP($D1967&amp;"_"&amp;K$52,$B$14:$B$36&amp;"_"&amp;$C$14:$C$36,$D$14:$D$36)*$E1967)</f>
        <v>5.446</v>
      </c>
      <c r="L1967" s="95" cm="1">
        <f ca="1" t="array" ref="L1967">MIN(6,_xlfn.XLOOKUP($D1967&amp;"_"&amp;L$52,$B$14:$B$36&amp;"_"&amp;$C$14:$C$36,$D$14:$D$36)*$E1967)</f>
        <v>6</v>
      </c>
      <c r="M1967" s="95" cm="1">
        <f ca="1" t="array" ref="M1967">(1+SUMPRODUCT(G1967:H1967,OFFSET($H$40:$I$40,D1967,0)))*(1+OFFSET($J$40,D1967,0))^I1967*(1+OFFSET($K$40,D1967,0))^J1967*(1+OFFSET($L$40,D1967,0))^K1967*(1+OFFSET($M$40,D1967,0))^L1967</f>
        <v>409.381481327448</v>
      </c>
      <c r="N1967" s="95">
        <f ca="1">MAX(MAX($N$53:N1966),OFFSET($C$52,MATCH(M1967*1.07,$M$53:$M$2052,1),0)-C1967)</f>
        <v>73440</v>
      </c>
    </row>
    <row r="1968" spans="2:14">
      <c r="B1968" s="95">
        <v>1916</v>
      </c>
      <c r="C1968" s="95">
        <f t="shared" si="147"/>
        <v>689760</v>
      </c>
      <c r="D1968" s="95">
        <f ca="1">_xlfn.XLOOKUP(总览!$B$44,$B$40:$B$45,$C$40:$C$45)</f>
        <v>5</v>
      </c>
      <c r="E1968" s="95">
        <f ca="1" t="shared" si="146"/>
        <v>1946</v>
      </c>
      <c r="F1968" s="95">
        <f ca="1" t="shared" si="148"/>
        <v>0</v>
      </c>
      <c r="G1968" s="95">
        <f ca="1" t="shared" si="149"/>
        <v>0</v>
      </c>
      <c r="H1968" s="95" cm="1">
        <f ca="1" t="array" ref="H1968">MIN(30-SUM(I1968:L1968),_xlfn.XLOOKUP($D1968&amp;"_"&amp;H$52,$B$14:$B$36&amp;"_"&amp;$C$14:$C$36,$D$14:$D$36)*$E1968,18)</f>
        <v>10.5512</v>
      </c>
      <c r="I1968" s="95" cm="1">
        <f ca="1" t="array" ref="I1968">MIN(30-SUM(J1968:L1968),6-L1968,_xlfn.XLOOKUP($D1968&amp;"_"&amp;I$52,$B$14:$B$36&amp;"_"&amp;$C$14:$C$36,$D$14:$D$36)*$E1968)</f>
        <v>0</v>
      </c>
      <c r="J1968" s="95" cm="1">
        <f ca="1" t="array" ref="J1968">MIN(8,_xlfn.XLOOKUP($D1968&amp;"_"&amp;J$52,$B$14:$B$36&amp;"_"&amp;$C$14:$C$36,$D$14:$D$36)*$E1968)</f>
        <v>8</v>
      </c>
      <c r="K1968" s="95" cm="1">
        <f ca="1" t="array" ref="K1968">MIN(18,_xlfn.XLOOKUP($D1968&amp;"_"&amp;K$52,$B$14:$B$36&amp;"_"&amp;$C$14:$C$36,$D$14:$D$36)*$E1968)</f>
        <v>5.4488</v>
      </c>
      <c r="L1968" s="95" cm="1">
        <f ca="1" t="array" ref="L1968">MIN(6,_xlfn.XLOOKUP($D1968&amp;"_"&amp;L$52,$B$14:$B$36&amp;"_"&amp;$C$14:$C$36,$D$14:$D$36)*$E1968)</f>
        <v>6</v>
      </c>
      <c r="M1968" s="95" cm="1">
        <f ca="1" t="array" ref="M1968">(1+SUMPRODUCT(G1968:H1968,OFFSET($H$40:$I$40,D1968,0)))*(1+OFFSET($J$40,D1968,0))^I1968*(1+OFFSET($K$40,D1968,0))^J1968*(1+OFFSET($L$40,D1968,0))^K1968*(1+OFFSET($M$40,D1968,0))^L1968</f>
        <v>409.516790406601</v>
      </c>
      <c r="N1968" s="95">
        <f ca="1">MAX(MAX($N$53:N1967),OFFSET($C$52,MATCH(M1968*1.07,$M$53:$M$2052,1),0)-C1968)</f>
        <v>73440</v>
      </c>
    </row>
    <row r="1969" spans="2:14">
      <c r="B1969" s="95">
        <v>1917</v>
      </c>
      <c r="C1969" s="95">
        <f t="shared" si="147"/>
        <v>690120</v>
      </c>
      <c r="D1969" s="95">
        <f ca="1">_xlfn.XLOOKUP(总览!$B$44,$B$40:$B$45,$C$40:$C$45)</f>
        <v>5</v>
      </c>
      <c r="E1969" s="95">
        <f ca="1" t="shared" si="146"/>
        <v>1947</v>
      </c>
      <c r="F1969" s="95">
        <f ca="1" t="shared" si="148"/>
        <v>0</v>
      </c>
      <c r="G1969" s="95">
        <f ca="1" t="shared" si="149"/>
        <v>0</v>
      </c>
      <c r="H1969" s="95" cm="1">
        <f ca="1" t="array" ref="H1969">MIN(30-SUM(I1969:L1969),_xlfn.XLOOKUP($D1969&amp;"_"&amp;H$52,$B$14:$B$36&amp;"_"&amp;$C$14:$C$36,$D$14:$D$36)*$E1969,18)</f>
        <v>10.5484</v>
      </c>
      <c r="I1969" s="95" cm="1">
        <f ca="1" t="array" ref="I1969">MIN(30-SUM(J1969:L1969),6-L1969,_xlfn.XLOOKUP($D1969&amp;"_"&amp;I$52,$B$14:$B$36&amp;"_"&amp;$C$14:$C$36,$D$14:$D$36)*$E1969)</f>
        <v>0</v>
      </c>
      <c r="J1969" s="95" cm="1">
        <f ca="1" t="array" ref="J1969">MIN(8,_xlfn.XLOOKUP($D1969&amp;"_"&amp;J$52,$B$14:$B$36&amp;"_"&amp;$C$14:$C$36,$D$14:$D$36)*$E1969)</f>
        <v>8</v>
      </c>
      <c r="K1969" s="95" cm="1">
        <f ca="1" t="array" ref="K1969">MIN(18,_xlfn.XLOOKUP($D1969&amp;"_"&amp;K$52,$B$14:$B$36&amp;"_"&amp;$C$14:$C$36,$D$14:$D$36)*$E1969)</f>
        <v>5.4516</v>
      </c>
      <c r="L1969" s="95" cm="1">
        <f ca="1" t="array" ref="L1969">MIN(6,_xlfn.XLOOKUP($D1969&amp;"_"&amp;L$52,$B$14:$B$36&amp;"_"&amp;$C$14:$C$36,$D$14:$D$36)*$E1969)</f>
        <v>6</v>
      </c>
      <c r="M1969" s="95" cm="1">
        <f ca="1" t="array" ref="M1969">(1+SUMPRODUCT(G1969:H1969,OFFSET($H$40:$I$40,D1969,0)))*(1+OFFSET($J$40,D1969,0))^I1969*(1+OFFSET($K$40,D1969,0))^J1969*(1+OFFSET($L$40,D1969,0))^K1969*(1+OFFSET($M$40,D1969,0))^L1969</f>
        <v>409.65213092805</v>
      </c>
      <c r="N1969" s="95">
        <f ca="1">MAX(MAX($N$53:N1968),OFFSET($C$52,MATCH(M1969*1.07,$M$53:$M$2052,1),0)-C1969)</f>
        <v>73440</v>
      </c>
    </row>
    <row r="1970" spans="2:14">
      <c r="B1970" s="95">
        <v>1918</v>
      </c>
      <c r="C1970" s="95">
        <f t="shared" si="147"/>
        <v>690480</v>
      </c>
      <c r="D1970" s="95">
        <f ca="1">_xlfn.XLOOKUP(总览!$B$44,$B$40:$B$45,$C$40:$C$45)</f>
        <v>5</v>
      </c>
      <c r="E1970" s="95">
        <f ca="1" t="shared" si="146"/>
        <v>1948</v>
      </c>
      <c r="F1970" s="95">
        <f ca="1" t="shared" si="148"/>
        <v>0</v>
      </c>
      <c r="G1970" s="95">
        <f ca="1" t="shared" si="149"/>
        <v>0</v>
      </c>
      <c r="H1970" s="95" cm="1">
        <f ca="1" t="array" ref="H1970">MIN(30-SUM(I1970:L1970),_xlfn.XLOOKUP($D1970&amp;"_"&amp;H$52,$B$14:$B$36&amp;"_"&amp;$C$14:$C$36,$D$14:$D$36)*$E1970,18)</f>
        <v>10.5456</v>
      </c>
      <c r="I1970" s="95" cm="1">
        <f ca="1" t="array" ref="I1970">MIN(30-SUM(J1970:L1970),6-L1970,_xlfn.XLOOKUP($D1970&amp;"_"&amp;I$52,$B$14:$B$36&amp;"_"&amp;$C$14:$C$36,$D$14:$D$36)*$E1970)</f>
        <v>0</v>
      </c>
      <c r="J1970" s="95" cm="1">
        <f ca="1" t="array" ref="J1970">MIN(8,_xlfn.XLOOKUP($D1970&amp;"_"&amp;J$52,$B$14:$B$36&amp;"_"&amp;$C$14:$C$36,$D$14:$D$36)*$E1970)</f>
        <v>8</v>
      </c>
      <c r="K1970" s="95" cm="1">
        <f ca="1" t="array" ref="K1970">MIN(18,_xlfn.XLOOKUP($D1970&amp;"_"&amp;K$52,$B$14:$B$36&amp;"_"&amp;$C$14:$C$36,$D$14:$D$36)*$E1970)</f>
        <v>5.4544</v>
      </c>
      <c r="L1970" s="95" cm="1">
        <f ca="1" t="array" ref="L1970">MIN(6,_xlfn.XLOOKUP($D1970&amp;"_"&amp;L$52,$B$14:$B$36&amp;"_"&amp;$C$14:$C$36,$D$14:$D$36)*$E1970)</f>
        <v>6</v>
      </c>
      <c r="M1970" s="95" cm="1">
        <f ca="1" t="array" ref="M1970">(1+SUMPRODUCT(G1970:H1970,OFFSET($H$40:$I$40,D1970,0)))*(1+OFFSET($J$40,D1970,0))^I1970*(1+OFFSET($K$40,D1970,0))^J1970*(1+OFFSET($L$40,D1970,0))^K1970*(1+OFFSET($M$40,D1970,0))^L1970</f>
        <v>409.787502888622</v>
      </c>
      <c r="N1970" s="95">
        <f ca="1">MAX(MAX($N$53:N1969),OFFSET($C$52,MATCH(M1970*1.07,$M$53:$M$2052,1),0)-C1970)</f>
        <v>73440</v>
      </c>
    </row>
    <row r="1971" spans="2:14">
      <c r="B1971" s="95">
        <v>1919</v>
      </c>
      <c r="C1971" s="95">
        <f t="shared" si="147"/>
        <v>690840</v>
      </c>
      <c r="D1971" s="95">
        <f ca="1">_xlfn.XLOOKUP(总览!$B$44,$B$40:$B$45,$C$40:$C$45)</f>
        <v>5</v>
      </c>
      <c r="E1971" s="95">
        <f ca="1" t="shared" si="146"/>
        <v>1949</v>
      </c>
      <c r="F1971" s="95">
        <f ca="1" t="shared" si="148"/>
        <v>0</v>
      </c>
      <c r="G1971" s="95">
        <f ca="1" t="shared" si="149"/>
        <v>0</v>
      </c>
      <c r="H1971" s="95" cm="1">
        <f ca="1" t="array" ref="H1971">MIN(30-SUM(I1971:L1971),_xlfn.XLOOKUP($D1971&amp;"_"&amp;H$52,$B$14:$B$36&amp;"_"&amp;$C$14:$C$36,$D$14:$D$36)*$E1971,18)</f>
        <v>10.5428</v>
      </c>
      <c r="I1971" s="95" cm="1">
        <f ca="1" t="array" ref="I1971">MIN(30-SUM(J1971:L1971),6-L1971,_xlfn.XLOOKUP($D1971&amp;"_"&amp;I$52,$B$14:$B$36&amp;"_"&amp;$C$14:$C$36,$D$14:$D$36)*$E1971)</f>
        <v>0</v>
      </c>
      <c r="J1971" s="95" cm="1">
        <f ca="1" t="array" ref="J1971">MIN(8,_xlfn.XLOOKUP($D1971&amp;"_"&amp;J$52,$B$14:$B$36&amp;"_"&amp;$C$14:$C$36,$D$14:$D$36)*$E1971)</f>
        <v>8</v>
      </c>
      <c r="K1971" s="95" cm="1">
        <f ca="1" t="array" ref="K1971">MIN(18,_xlfn.XLOOKUP($D1971&amp;"_"&amp;K$52,$B$14:$B$36&amp;"_"&amp;$C$14:$C$36,$D$14:$D$36)*$E1971)</f>
        <v>5.4572</v>
      </c>
      <c r="L1971" s="95" cm="1">
        <f ca="1" t="array" ref="L1971">MIN(6,_xlfn.XLOOKUP($D1971&amp;"_"&amp;L$52,$B$14:$B$36&amp;"_"&amp;$C$14:$C$36,$D$14:$D$36)*$E1971)</f>
        <v>6</v>
      </c>
      <c r="M1971" s="95" cm="1">
        <f ca="1" t="array" ref="M1971">(1+SUMPRODUCT(G1971:H1971,OFFSET($H$40:$I$40,D1971,0)))*(1+OFFSET($J$40,D1971,0))^I1971*(1+OFFSET($K$40,D1971,0))^J1971*(1+OFFSET($L$40,D1971,0))^K1971*(1+OFFSET($M$40,D1971,0))^L1971</f>
        <v>409.922906285138</v>
      </c>
      <c r="N1971" s="95">
        <f ca="1">MAX(MAX($N$53:N1970),OFFSET($C$52,MATCH(M1971*1.07,$M$53:$M$2052,1),0)-C1971)</f>
        <v>73440</v>
      </c>
    </row>
    <row r="1972" spans="2:14">
      <c r="B1972" s="95">
        <v>1920</v>
      </c>
      <c r="C1972" s="95">
        <f t="shared" si="147"/>
        <v>691200</v>
      </c>
      <c r="D1972" s="95">
        <f ca="1">_xlfn.XLOOKUP(总览!$B$44,$B$40:$B$45,$C$40:$C$45)</f>
        <v>5</v>
      </c>
      <c r="E1972" s="95">
        <f ca="1" t="shared" si="146"/>
        <v>1950</v>
      </c>
      <c r="F1972" s="95">
        <f ca="1" t="shared" si="148"/>
        <v>0</v>
      </c>
      <c r="G1972" s="95">
        <f ca="1" t="shared" si="149"/>
        <v>0</v>
      </c>
      <c r="H1972" s="95" cm="1">
        <f ca="1" t="array" ref="H1972">MIN(30-SUM(I1972:L1972),_xlfn.XLOOKUP($D1972&amp;"_"&amp;H$52,$B$14:$B$36&amp;"_"&amp;$C$14:$C$36,$D$14:$D$36)*$E1972,18)</f>
        <v>10.54</v>
      </c>
      <c r="I1972" s="95" cm="1">
        <f ca="1" t="array" ref="I1972">MIN(30-SUM(J1972:L1972),6-L1972,_xlfn.XLOOKUP($D1972&amp;"_"&amp;I$52,$B$14:$B$36&amp;"_"&amp;$C$14:$C$36,$D$14:$D$36)*$E1972)</f>
        <v>0</v>
      </c>
      <c r="J1972" s="95" cm="1">
        <f ca="1" t="array" ref="J1972">MIN(8,_xlfn.XLOOKUP($D1972&amp;"_"&amp;J$52,$B$14:$B$36&amp;"_"&amp;$C$14:$C$36,$D$14:$D$36)*$E1972)</f>
        <v>8</v>
      </c>
      <c r="K1972" s="95" cm="1">
        <f ca="1" t="array" ref="K1972">MIN(18,_xlfn.XLOOKUP($D1972&amp;"_"&amp;K$52,$B$14:$B$36&amp;"_"&amp;$C$14:$C$36,$D$14:$D$36)*$E1972)</f>
        <v>5.46</v>
      </c>
      <c r="L1972" s="95" cm="1">
        <f ca="1" t="array" ref="L1972">MIN(6,_xlfn.XLOOKUP($D1972&amp;"_"&amp;L$52,$B$14:$B$36&amp;"_"&amp;$C$14:$C$36,$D$14:$D$36)*$E1972)</f>
        <v>6</v>
      </c>
      <c r="M1972" s="95" cm="1">
        <f ca="1" t="array" ref="M1972">(1+SUMPRODUCT(G1972:H1972,OFFSET($H$40:$I$40,D1972,0)))*(1+OFFSET($J$40,D1972,0))^I1972*(1+OFFSET($K$40,D1972,0))^J1972*(1+OFFSET($L$40,D1972,0))^K1972*(1+OFFSET($M$40,D1972,0))^L1972</f>
        <v>410.058341114403</v>
      </c>
      <c r="N1972" s="95">
        <f ca="1">MAX(MAX($N$53:N1971),OFFSET($C$52,MATCH(M1972*1.07,$M$53:$M$2052,1),0)-C1972)</f>
        <v>73440</v>
      </c>
    </row>
    <row r="1973" spans="2:14">
      <c r="B1973" s="95">
        <v>1921</v>
      </c>
      <c r="C1973" s="95">
        <f t="shared" si="147"/>
        <v>691560</v>
      </c>
      <c r="D1973" s="95">
        <f ca="1">_xlfn.XLOOKUP(总览!$B$44,$B$40:$B$45,$C$40:$C$45)</f>
        <v>5</v>
      </c>
      <c r="E1973" s="95">
        <f ca="1" t="shared" si="146"/>
        <v>1951</v>
      </c>
      <c r="F1973" s="95">
        <f ca="1" t="shared" si="148"/>
        <v>0</v>
      </c>
      <c r="G1973" s="95">
        <f ca="1" t="shared" si="149"/>
        <v>0</v>
      </c>
      <c r="H1973" s="95" cm="1">
        <f ca="1" t="array" ref="H1973">MIN(30-SUM(I1973:L1973),_xlfn.XLOOKUP($D1973&amp;"_"&amp;H$52,$B$14:$B$36&amp;"_"&amp;$C$14:$C$36,$D$14:$D$36)*$E1973,18)</f>
        <v>10.5372</v>
      </c>
      <c r="I1973" s="95" cm="1">
        <f ca="1" t="array" ref="I1973">MIN(30-SUM(J1973:L1973),6-L1973,_xlfn.XLOOKUP($D1973&amp;"_"&amp;I$52,$B$14:$B$36&amp;"_"&amp;$C$14:$C$36,$D$14:$D$36)*$E1973)</f>
        <v>0</v>
      </c>
      <c r="J1973" s="95" cm="1">
        <f ca="1" t="array" ref="J1973">MIN(8,_xlfn.XLOOKUP($D1973&amp;"_"&amp;J$52,$B$14:$B$36&amp;"_"&amp;$C$14:$C$36,$D$14:$D$36)*$E1973)</f>
        <v>8</v>
      </c>
      <c r="K1973" s="95" cm="1">
        <f ca="1" t="array" ref="K1973">MIN(18,_xlfn.XLOOKUP($D1973&amp;"_"&amp;K$52,$B$14:$B$36&amp;"_"&amp;$C$14:$C$36,$D$14:$D$36)*$E1973)</f>
        <v>5.4628</v>
      </c>
      <c r="L1973" s="95" cm="1">
        <f ca="1" t="array" ref="L1973">MIN(6,_xlfn.XLOOKUP($D1973&amp;"_"&amp;L$52,$B$14:$B$36&amp;"_"&amp;$C$14:$C$36,$D$14:$D$36)*$E1973)</f>
        <v>6</v>
      </c>
      <c r="M1973" s="95" cm="1">
        <f ca="1" t="array" ref="M1973">(1+SUMPRODUCT(G1973:H1973,OFFSET($H$40:$I$40,D1973,0)))*(1+OFFSET($J$40,D1973,0))^I1973*(1+OFFSET($K$40,D1973,0))^J1973*(1+OFFSET($L$40,D1973,0))^K1973*(1+OFFSET($M$40,D1973,0))^L1973</f>
        <v>410.193807373214</v>
      </c>
      <c r="N1973" s="95">
        <f ca="1">MAX(MAX($N$53:N1972),OFFSET($C$52,MATCH(M1973*1.07,$M$53:$M$2052,1),0)-C1973)</f>
        <v>73440</v>
      </c>
    </row>
    <row r="1974" spans="2:14">
      <c r="B1974" s="95">
        <v>1922</v>
      </c>
      <c r="C1974" s="95">
        <f t="shared" si="147"/>
        <v>691920</v>
      </c>
      <c r="D1974" s="95">
        <f ca="1">_xlfn.XLOOKUP(总览!$B$44,$B$40:$B$45,$C$40:$C$45)</f>
        <v>5</v>
      </c>
      <c r="E1974" s="95">
        <f ca="1" t="shared" ref="E1974:E2037" si="150">INT(C1974/_xlfn.XLOOKUP(D1974,$N$5:$N$16,$O$5:$O$16))+OFFSET($R$40,D1974,0)</f>
        <v>1952</v>
      </c>
      <c r="F1974" s="95">
        <f ca="1" t="shared" si="148"/>
        <v>0</v>
      </c>
      <c r="G1974" s="95">
        <f ca="1" t="shared" si="149"/>
        <v>0</v>
      </c>
      <c r="H1974" s="95" cm="1">
        <f ca="1" t="array" ref="H1974">MIN(30-SUM(I1974:L1974),_xlfn.XLOOKUP($D1974&amp;"_"&amp;H$52,$B$14:$B$36&amp;"_"&amp;$C$14:$C$36,$D$14:$D$36)*$E1974,18)</f>
        <v>10.5344</v>
      </c>
      <c r="I1974" s="95" cm="1">
        <f ca="1" t="array" ref="I1974">MIN(30-SUM(J1974:L1974),6-L1974,_xlfn.XLOOKUP($D1974&amp;"_"&amp;I$52,$B$14:$B$36&amp;"_"&amp;$C$14:$C$36,$D$14:$D$36)*$E1974)</f>
        <v>0</v>
      </c>
      <c r="J1974" s="95" cm="1">
        <f ca="1" t="array" ref="J1974">MIN(8,_xlfn.XLOOKUP($D1974&amp;"_"&amp;J$52,$B$14:$B$36&amp;"_"&amp;$C$14:$C$36,$D$14:$D$36)*$E1974)</f>
        <v>8</v>
      </c>
      <c r="K1974" s="95" cm="1">
        <f ca="1" t="array" ref="K1974">MIN(18,_xlfn.XLOOKUP($D1974&amp;"_"&amp;K$52,$B$14:$B$36&amp;"_"&amp;$C$14:$C$36,$D$14:$D$36)*$E1974)</f>
        <v>5.4656</v>
      </c>
      <c r="L1974" s="95" cm="1">
        <f ca="1" t="array" ref="L1974">MIN(6,_xlfn.XLOOKUP($D1974&amp;"_"&amp;L$52,$B$14:$B$36&amp;"_"&amp;$C$14:$C$36,$D$14:$D$36)*$E1974)</f>
        <v>6</v>
      </c>
      <c r="M1974" s="95" cm="1">
        <f ca="1" t="array" ref="M1974">(1+SUMPRODUCT(G1974:H1974,OFFSET($H$40:$I$40,D1974,0)))*(1+OFFSET($J$40,D1974,0))^I1974*(1+OFFSET($K$40,D1974,0))^J1974*(1+OFFSET($L$40,D1974,0))^K1974*(1+OFFSET($M$40,D1974,0))^L1974</f>
        <v>410.329305058353</v>
      </c>
      <c r="N1974" s="95">
        <f ca="1">MAX(MAX($N$53:N1973),OFFSET($C$52,MATCH(M1974*1.07,$M$53:$M$2052,1),0)-C1974)</f>
        <v>73440</v>
      </c>
    </row>
    <row r="1975" spans="2:14">
      <c r="B1975" s="95">
        <v>1923</v>
      </c>
      <c r="C1975" s="95">
        <f t="shared" si="147"/>
        <v>692280</v>
      </c>
      <c r="D1975" s="95">
        <f ca="1">_xlfn.XLOOKUP(总览!$B$44,$B$40:$B$45,$C$40:$C$45)</f>
        <v>5</v>
      </c>
      <c r="E1975" s="95">
        <f ca="1" t="shared" si="150"/>
        <v>1953</v>
      </c>
      <c r="F1975" s="95">
        <f ca="1" t="shared" si="148"/>
        <v>0</v>
      </c>
      <c r="G1975" s="95">
        <f ca="1" t="shared" si="149"/>
        <v>0</v>
      </c>
      <c r="H1975" s="95" cm="1">
        <f ca="1" t="array" ref="H1975">MIN(30-SUM(I1975:L1975),_xlfn.XLOOKUP($D1975&amp;"_"&amp;H$52,$B$14:$B$36&amp;"_"&amp;$C$14:$C$36,$D$14:$D$36)*$E1975,18)</f>
        <v>10.5316</v>
      </c>
      <c r="I1975" s="95" cm="1">
        <f ca="1" t="array" ref="I1975">MIN(30-SUM(J1975:L1975),6-L1975,_xlfn.XLOOKUP($D1975&amp;"_"&amp;I$52,$B$14:$B$36&amp;"_"&amp;$C$14:$C$36,$D$14:$D$36)*$E1975)</f>
        <v>0</v>
      </c>
      <c r="J1975" s="95" cm="1">
        <f ca="1" t="array" ref="J1975">MIN(8,_xlfn.XLOOKUP($D1975&amp;"_"&amp;J$52,$B$14:$B$36&amp;"_"&amp;$C$14:$C$36,$D$14:$D$36)*$E1975)</f>
        <v>8</v>
      </c>
      <c r="K1975" s="95" cm="1">
        <f ca="1" t="array" ref="K1975">MIN(18,_xlfn.XLOOKUP($D1975&amp;"_"&amp;K$52,$B$14:$B$36&amp;"_"&amp;$C$14:$C$36,$D$14:$D$36)*$E1975)</f>
        <v>5.4684</v>
      </c>
      <c r="L1975" s="95" cm="1">
        <f ca="1" t="array" ref="L1975">MIN(6,_xlfn.XLOOKUP($D1975&amp;"_"&amp;L$52,$B$14:$B$36&amp;"_"&amp;$C$14:$C$36,$D$14:$D$36)*$E1975)</f>
        <v>6</v>
      </c>
      <c r="M1975" s="95" cm="1">
        <f ca="1" t="array" ref="M1975">(1+SUMPRODUCT(G1975:H1975,OFFSET($H$40:$I$40,D1975,0)))*(1+OFFSET($J$40,D1975,0))^I1975*(1+OFFSET($K$40,D1975,0))^J1975*(1+OFFSET($L$40,D1975,0))^K1975*(1+OFFSET($M$40,D1975,0))^L1975</f>
        <v>410.464834166595</v>
      </c>
      <c r="N1975" s="95">
        <f ca="1">MAX(MAX($N$53:N1974),OFFSET($C$52,MATCH(M1975*1.07,$M$53:$M$2052,1),0)-C1975)</f>
        <v>73440</v>
      </c>
    </row>
    <row r="1976" spans="2:14">
      <c r="B1976" s="95">
        <v>1924</v>
      </c>
      <c r="C1976" s="95">
        <f t="shared" si="147"/>
        <v>692640</v>
      </c>
      <c r="D1976" s="95">
        <f ca="1">_xlfn.XLOOKUP(总览!$B$44,$B$40:$B$45,$C$40:$C$45)</f>
        <v>5</v>
      </c>
      <c r="E1976" s="95">
        <f ca="1" t="shared" si="150"/>
        <v>1954</v>
      </c>
      <c r="F1976" s="95">
        <f ca="1" t="shared" si="148"/>
        <v>0</v>
      </c>
      <c r="G1976" s="95">
        <f ca="1" t="shared" si="149"/>
        <v>0</v>
      </c>
      <c r="H1976" s="95" cm="1">
        <f ca="1" t="array" ref="H1976">MIN(30-SUM(I1976:L1976),_xlfn.XLOOKUP($D1976&amp;"_"&amp;H$52,$B$14:$B$36&amp;"_"&amp;$C$14:$C$36,$D$14:$D$36)*$E1976,18)</f>
        <v>10.5288</v>
      </c>
      <c r="I1976" s="95" cm="1">
        <f ca="1" t="array" ref="I1976">MIN(30-SUM(J1976:L1976),6-L1976,_xlfn.XLOOKUP($D1976&amp;"_"&amp;I$52,$B$14:$B$36&amp;"_"&amp;$C$14:$C$36,$D$14:$D$36)*$E1976)</f>
        <v>0</v>
      </c>
      <c r="J1976" s="95" cm="1">
        <f ca="1" t="array" ref="J1976">MIN(8,_xlfn.XLOOKUP($D1976&amp;"_"&amp;J$52,$B$14:$B$36&amp;"_"&amp;$C$14:$C$36,$D$14:$D$36)*$E1976)</f>
        <v>8</v>
      </c>
      <c r="K1976" s="95" cm="1">
        <f ca="1" t="array" ref="K1976">MIN(18,_xlfn.XLOOKUP($D1976&amp;"_"&amp;K$52,$B$14:$B$36&amp;"_"&amp;$C$14:$C$36,$D$14:$D$36)*$E1976)</f>
        <v>5.4712</v>
      </c>
      <c r="L1976" s="95" cm="1">
        <f ca="1" t="array" ref="L1976">MIN(6,_xlfn.XLOOKUP($D1976&amp;"_"&amp;L$52,$B$14:$B$36&amp;"_"&amp;$C$14:$C$36,$D$14:$D$36)*$E1976)</f>
        <v>6</v>
      </c>
      <c r="M1976" s="95" cm="1">
        <f ca="1" t="array" ref="M1976">(1+SUMPRODUCT(G1976:H1976,OFFSET($H$40:$I$40,D1976,0)))*(1+OFFSET($J$40,D1976,0))^I1976*(1+OFFSET($K$40,D1976,0))^J1976*(1+OFFSET($L$40,D1976,0))^K1976*(1+OFFSET($M$40,D1976,0))^L1976</f>
        <v>410.600394694699</v>
      </c>
      <c r="N1976" s="95">
        <f ca="1">MAX(MAX($N$53:N1975),OFFSET($C$52,MATCH(M1976*1.07,$M$53:$M$2052,1),0)-C1976)</f>
        <v>73440</v>
      </c>
    </row>
    <row r="1977" spans="2:14">
      <c r="B1977" s="95">
        <v>1925</v>
      </c>
      <c r="C1977" s="95">
        <f t="shared" si="147"/>
        <v>693000</v>
      </c>
      <c r="D1977" s="95">
        <f ca="1">_xlfn.XLOOKUP(总览!$B$44,$B$40:$B$45,$C$40:$C$45)</f>
        <v>5</v>
      </c>
      <c r="E1977" s="95">
        <f ca="1" t="shared" si="150"/>
        <v>1955</v>
      </c>
      <c r="F1977" s="95">
        <f ca="1" t="shared" si="148"/>
        <v>0</v>
      </c>
      <c r="G1977" s="95">
        <f ca="1" t="shared" si="149"/>
        <v>0</v>
      </c>
      <c r="H1977" s="95" cm="1">
        <f ca="1" t="array" ref="H1977">MIN(30-SUM(I1977:L1977),_xlfn.XLOOKUP($D1977&amp;"_"&amp;H$52,$B$14:$B$36&amp;"_"&amp;$C$14:$C$36,$D$14:$D$36)*$E1977,18)</f>
        <v>10.526</v>
      </c>
      <c r="I1977" s="95" cm="1">
        <f ca="1" t="array" ref="I1977">MIN(30-SUM(J1977:L1977),6-L1977,_xlfn.XLOOKUP($D1977&amp;"_"&amp;I$52,$B$14:$B$36&amp;"_"&amp;$C$14:$C$36,$D$14:$D$36)*$E1977)</f>
        <v>0</v>
      </c>
      <c r="J1977" s="95" cm="1">
        <f ca="1" t="array" ref="J1977">MIN(8,_xlfn.XLOOKUP($D1977&amp;"_"&amp;J$52,$B$14:$B$36&amp;"_"&amp;$C$14:$C$36,$D$14:$D$36)*$E1977)</f>
        <v>8</v>
      </c>
      <c r="K1977" s="95" cm="1">
        <f ca="1" t="array" ref="K1977">MIN(18,_xlfn.XLOOKUP($D1977&amp;"_"&amp;K$52,$B$14:$B$36&amp;"_"&amp;$C$14:$C$36,$D$14:$D$36)*$E1977)</f>
        <v>5.474</v>
      </c>
      <c r="L1977" s="95" cm="1">
        <f ca="1" t="array" ref="L1977">MIN(6,_xlfn.XLOOKUP($D1977&amp;"_"&amp;L$52,$B$14:$B$36&amp;"_"&amp;$C$14:$C$36,$D$14:$D$36)*$E1977)</f>
        <v>6</v>
      </c>
      <c r="M1977" s="95" cm="1">
        <f ca="1" t="array" ref="M1977">(1+SUMPRODUCT(G1977:H1977,OFFSET($H$40:$I$40,D1977,0)))*(1+OFFSET($J$40,D1977,0))^I1977*(1+OFFSET($K$40,D1977,0))^J1977*(1+OFFSET($L$40,D1977,0))^K1977*(1+OFFSET($M$40,D1977,0))^L1977</f>
        <v>410.735986639416</v>
      </c>
      <c r="N1977" s="95">
        <f ca="1">MAX(MAX($N$53:N1976),OFFSET($C$52,MATCH(M1977*1.07,$M$53:$M$2052,1),0)-C1977)</f>
        <v>73440</v>
      </c>
    </row>
    <row r="1978" spans="2:14">
      <c r="B1978" s="95">
        <v>1926</v>
      </c>
      <c r="C1978" s="95">
        <f t="shared" si="147"/>
        <v>693360</v>
      </c>
      <c r="D1978" s="95">
        <f ca="1">_xlfn.XLOOKUP(总览!$B$44,$B$40:$B$45,$C$40:$C$45)</f>
        <v>5</v>
      </c>
      <c r="E1978" s="95">
        <f ca="1" t="shared" si="150"/>
        <v>1956</v>
      </c>
      <c r="F1978" s="95">
        <f ca="1" t="shared" si="148"/>
        <v>0</v>
      </c>
      <c r="G1978" s="95">
        <f ca="1" t="shared" si="149"/>
        <v>0</v>
      </c>
      <c r="H1978" s="95" cm="1">
        <f ca="1" t="array" ref="H1978">MIN(30-SUM(I1978:L1978),_xlfn.XLOOKUP($D1978&amp;"_"&amp;H$52,$B$14:$B$36&amp;"_"&amp;$C$14:$C$36,$D$14:$D$36)*$E1978,18)</f>
        <v>10.5232</v>
      </c>
      <c r="I1978" s="95" cm="1">
        <f ca="1" t="array" ref="I1978">MIN(30-SUM(J1978:L1978),6-L1978,_xlfn.XLOOKUP($D1978&amp;"_"&amp;I$52,$B$14:$B$36&amp;"_"&amp;$C$14:$C$36,$D$14:$D$36)*$E1978)</f>
        <v>0</v>
      </c>
      <c r="J1978" s="95" cm="1">
        <f ca="1" t="array" ref="J1978">MIN(8,_xlfn.XLOOKUP($D1978&amp;"_"&amp;J$52,$B$14:$B$36&amp;"_"&amp;$C$14:$C$36,$D$14:$D$36)*$E1978)</f>
        <v>8</v>
      </c>
      <c r="K1978" s="95" cm="1">
        <f ca="1" t="array" ref="K1978">MIN(18,_xlfn.XLOOKUP($D1978&amp;"_"&amp;K$52,$B$14:$B$36&amp;"_"&amp;$C$14:$C$36,$D$14:$D$36)*$E1978)</f>
        <v>5.4768</v>
      </c>
      <c r="L1978" s="95" cm="1">
        <f ca="1" t="array" ref="L1978">MIN(6,_xlfn.XLOOKUP($D1978&amp;"_"&amp;L$52,$B$14:$B$36&amp;"_"&amp;$C$14:$C$36,$D$14:$D$36)*$E1978)</f>
        <v>6</v>
      </c>
      <c r="M1978" s="95" cm="1">
        <f ca="1" t="array" ref="M1978">(1+SUMPRODUCT(G1978:H1978,OFFSET($H$40:$I$40,D1978,0)))*(1+OFFSET($J$40,D1978,0))^I1978*(1+OFFSET($K$40,D1978,0))^J1978*(1+OFFSET($L$40,D1978,0))^K1978*(1+OFFSET($M$40,D1978,0))^L1978</f>
        <v>410.871609997482</v>
      </c>
      <c r="N1978" s="95">
        <f ca="1">MAX(MAX($N$53:N1977),OFFSET($C$52,MATCH(M1978*1.07,$M$53:$M$2052,1),0)-C1978)</f>
        <v>73440</v>
      </c>
    </row>
    <row r="1979" spans="2:14">
      <c r="B1979" s="95">
        <v>1927</v>
      </c>
      <c r="C1979" s="95">
        <f t="shared" si="147"/>
        <v>693720</v>
      </c>
      <c r="D1979" s="95">
        <f ca="1">_xlfn.XLOOKUP(总览!$B$44,$B$40:$B$45,$C$40:$C$45)</f>
        <v>5</v>
      </c>
      <c r="E1979" s="95">
        <f ca="1" t="shared" si="150"/>
        <v>1957</v>
      </c>
      <c r="F1979" s="95">
        <f ca="1" t="shared" si="148"/>
        <v>0</v>
      </c>
      <c r="G1979" s="95">
        <f ca="1" t="shared" si="149"/>
        <v>0</v>
      </c>
      <c r="H1979" s="95" cm="1">
        <f ca="1" t="array" ref="H1979">MIN(30-SUM(I1979:L1979),_xlfn.XLOOKUP($D1979&amp;"_"&amp;H$52,$B$14:$B$36&amp;"_"&amp;$C$14:$C$36,$D$14:$D$36)*$E1979,18)</f>
        <v>10.5204</v>
      </c>
      <c r="I1979" s="95" cm="1">
        <f ca="1" t="array" ref="I1979">MIN(30-SUM(J1979:L1979),6-L1979,_xlfn.XLOOKUP($D1979&amp;"_"&amp;I$52,$B$14:$B$36&amp;"_"&amp;$C$14:$C$36,$D$14:$D$36)*$E1979)</f>
        <v>0</v>
      </c>
      <c r="J1979" s="95" cm="1">
        <f ca="1" t="array" ref="J1979">MIN(8,_xlfn.XLOOKUP($D1979&amp;"_"&amp;J$52,$B$14:$B$36&amp;"_"&amp;$C$14:$C$36,$D$14:$D$36)*$E1979)</f>
        <v>8</v>
      </c>
      <c r="K1979" s="95" cm="1">
        <f ca="1" t="array" ref="K1979">MIN(18,_xlfn.XLOOKUP($D1979&amp;"_"&amp;K$52,$B$14:$B$36&amp;"_"&amp;$C$14:$C$36,$D$14:$D$36)*$E1979)</f>
        <v>5.4796</v>
      </c>
      <c r="L1979" s="95" cm="1">
        <f ca="1" t="array" ref="L1979">MIN(6,_xlfn.XLOOKUP($D1979&amp;"_"&amp;L$52,$B$14:$B$36&amp;"_"&amp;$C$14:$C$36,$D$14:$D$36)*$E1979)</f>
        <v>6</v>
      </c>
      <c r="M1979" s="95" cm="1">
        <f ca="1" t="array" ref="M1979">(1+SUMPRODUCT(G1979:H1979,OFFSET($H$40:$I$40,D1979,0)))*(1+OFFSET($J$40,D1979,0))^I1979*(1+OFFSET($K$40,D1979,0))^J1979*(1+OFFSET($L$40,D1979,0))^K1979*(1+OFFSET($M$40,D1979,0))^L1979</f>
        <v>411.007264765626</v>
      </c>
      <c r="N1979" s="95">
        <f ca="1">MAX(MAX($N$53:N1978),OFFSET($C$52,MATCH(M1979*1.07,$M$53:$M$2052,1),0)-C1979)</f>
        <v>73440</v>
      </c>
    </row>
    <row r="1980" spans="2:14">
      <c r="B1980" s="95">
        <v>1928</v>
      </c>
      <c r="C1980" s="95">
        <f t="shared" si="147"/>
        <v>694080</v>
      </c>
      <c r="D1980" s="95">
        <f ca="1">_xlfn.XLOOKUP(总览!$B$44,$B$40:$B$45,$C$40:$C$45)</f>
        <v>5</v>
      </c>
      <c r="E1980" s="95">
        <f ca="1" t="shared" si="150"/>
        <v>1958</v>
      </c>
      <c r="F1980" s="95">
        <f ca="1" t="shared" si="148"/>
        <v>0</v>
      </c>
      <c r="G1980" s="95">
        <f ca="1" t="shared" si="149"/>
        <v>0</v>
      </c>
      <c r="H1980" s="95" cm="1">
        <f ca="1" t="array" ref="H1980">MIN(30-SUM(I1980:L1980),_xlfn.XLOOKUP($D1980&amp;"_"&amp;H$52,$B$14:$B$36&amp;"_"&amp;$C$14:$C$36,$D$14:$D$36)*$E1980,18)</f>
        <v>10.5176</v>
      </c>
      <c r="I1980" s="95" cm="1">
        <f ca="1" t="array" ref="I1980">MIN(30-SUM(J1980:L1980),6-L1980,_xlfn.XLOOKUP($D1980&amp;"_"&amp;I$52,$B$14:$B$36&amp;"_"&amp;$C$14:$C$36,$D$14:$D$36)*$E1980)</f>
        <v>0</v>
      </c>
      <c r="J1980" s="95" cm="1">
        <f ca="1" t="array" ref="J1980">MIN(8,_xlfn.XLOOKUP($D1980&amp;"_"&amp;J$52,$B$14:$B$36&amp;"_"&amp;$C$14:$C$36,$D$14:$D$36)*$E1980)</f>
        <v>8</v>
      </c>
      <c r="K1980" s="95" cm="1">
        <f ca="1" t="array" ref="K1980">MIN(18,_xlfn.XLOOKUP($D1980&amp;"_"&amp;K$52,$B$14:$B$36&amp;"_"&amp;$C$14:$C$36,$D$14:$D$36)*$E1980)</f>
        <v>5.4824</v>
      </c>
      <c r="L1980" s="95" cm="1">
        <f ca="1" t="array" ref="L1980">MIN(6,_xlfn.XLOOKUP($D1980&amp;"_"&amp;L$52,$B$14:$B$36&amp;"_"&amp;$C$14:$C$36,$D$14:$D$36)*$E1980)</f>
        <v>6</v>
      </c>
      <c r="M1980" s="95" cm="1">
        <f ca="1" t="array" ref="M1980">(1+SUMPRODUCT(G1980:H1980,OFFSET($H$40:$I$40,D1980,0)))*(1+OFFSET($J$40,D1980,0))^I1980*(1+OFFSET($K$40,D1980,0))^J1980*(1+OFFSET($L$40,D1980,0))^K1980*(1+OFFSET($M$40,D1980,0))^L1980</f>
        <v>411.142950940561</v>
      </c>
      <c r="N1980" s="95">
        <f ca="1">MAX(MAX($N$53:N1979),OFFSET($C$52,MATCH(M1980*1.07,$M$53:$M$2052,1),0)-C1980)</f>
        <v>73440</v>
      </c>
    </row>
    <row r="1981" spans="2:14">
      <c r="B1981" s="95">
        <v>1929</v>
      </c>
      <c r="C1981" s="95">
        <f t="shared" si="147"/>
        <v>694440</v>
      </c>
      <c r="D1981" s="95">
        <f ca="1">_xlfn.XLOOKUP(总览!$B$44,$B$40:$B$45,$C$40:$C$45)</f>
        <v>5</v>
      </c>
      <c r="E1981" s="95">
        <f ca="1" t="shared" si="150"/>
        <v>1959</v>
      </c>
      <c r="F1981" s="95">
        <f ca="1" t="shared" si="148"/>
        <v>0</v>
      </c>
      <c r="G1981" s="95">
        <f ca="1" t="shared" si="149"/>
        <v>0</v>
      </c>
      <c r="H1981" s="95" cm="1">
        <f ca="1" t="array" ref="H1981">MIN(30-SUM(I1981:L1981),_xlfn.XLOOKUP($D1981&amp;"_"&amp;H$52,$B$14:$B$36&amp;"_"&amp;$C$14:$C$36,$D$14:$D$36)*$E1981,18)</f>
        <v>10.5148</v>
      </c>
      <c r="I1981" s="95" cm="1">
        <f ca="1" t="array" ref="I1981">MIN(30-SUM(J1981:L1981),6-L1981,_xlfn.XLOOKUP($D1981&amp;"_"&amp;I$52,$B$14:$B$36&amp;"_"&amp;$C$14:$C$36,$D$14:$D$36)*$E1981)</f>
        <v>0</v>
      </c>
      <c r="J1981" s="95" cm="1">
        <f ca="1" t="array" ref="J1981">MIN(8,_xlfn.XLOOKUP($D1981&amp;"_"&amp;J$52,$B$14:$B$36&amp;"_"&amp;$C$14:$C$36,$D$14:$D$36)*$E1981)</f>
        <v>8</v>
      </c>
      <c r="K1981" s="95" cm="1">
        <f ca="1" t="array" ref="K1981">MIN(18,_xlfn.XLOOKUP($D1981&amp;"_"&amp;K$52,$B$14:$B$36&amp;"_"&amp;$C$14:$C$36,$D$14:$D$36)*$E1981)</f>
        <v>5.4852</v>
      </c>
      <c r="L1981" s="95" cm="1">
        <f ca="1" t="array" ref="L1981">MIN(6,_xlfn.XLOOKUP($D1981&amp;"_"&amp;L$52,$B$14:$B$36&amp;"_"&amp;$C$14:$C$36,$D$14:$D$36)*$E1981)</f>
        <v>6</v>
      </c>
      <c r="M1981" s="95" cm="1">
        <f ca="1" t="array" ref="M1981">(1+SUMPRODUCT(G1981:H1981,OFFSET($H$40:$I$40,D1981,0)))*(1+OFFSET($J$40,D1981,0))^I1981*(1+OFFSET($K$40,D1981,0))^J1981*(1+OFFSET($L$40,D1981,0))^K1981*(1+OFFSET($M$40,D1981,0))^L1981</f>
        <v>411.278668518992</v>
      </c>
      <c r="N1981" s="95">
        <f ca="1">MAX(MAX($N$53:N1980),OFFSET($C$52,MATCH(M1981*1.07,$M$53:$M$2052,1),0)-C1981)</f>
        <v>73440</v>
      </c>
    </row>
    <row r="1982" spans="2:14">
      <c r="B1982" s="95">
        <v>1930</v>
      </c>
      <c r="C1982" s="95">
        <f t="shared" si="147"/>
        <v>694800</v>
      </c>
      <c r="D1982" s="95">
        <f ca="1">_xlfn.XLOOKUP(总览!$B$44,$B$40:$B$45,$C$40:$C$45)</f>
        <v>5</v>
      </c>
      <c r="E1982" s="95">
        <f ca="1" t="shared" si="150"/>
        <v>1960</v>
      </c>
      <c r="F1982" s="95">
        <f ca="1" t="shared" si="148"/>
        <v>0</v>
      </c>
      <c r="G1982" s="95">
        <f ca="1" t="shared" si="149"/>
        <v>0</v>
      </c>
      <c r="H1982" s="95" cm="1">
        <f ca="1" t="array" ref="H1982">MIN(30-SUM(I1982:L1982),_xlfn.XLOOKUP($D1982&amp;"_"&amp;H$52,$B$14:$B$36&amp;"_"&amp;$C$14:$C$36,$D$14:$D$36)*$E1982,18)</f>
        <v>10.512</v>
      </c>
      <c r="I1982" s="95" cm="1">
        <f ca="1" t="array" ref="I1982">MIN(30-SUM(J1982:L1982),6-L1982,_xlfn.XLOOKUP($D1982&amp;"_"&amp;I$52,$B$14:$B$36&amp;"_"&amp;$C$14:$C$36,$D$14:$D$36)*$E1982)</f>
        <v>0</v>
      </c>
      <c r="J1982" s="95" cm="1">
        <f ca="1" t="array" ref="J1982">MIN(8,_xlfn.XLOOKUP($D1982&amp;"_"&amp;J$52,$B$14:$B$36&amp;"_"&amp;$C$14:$C$36,$D$14:$D$36)*$E1982)</f>
        <v>8</v>
      </c>
      <c r="K1982" s="95" cm="1">
        <f ca="1" t="array" ref="K1982">MIN(18,_xlfn.XLOOKUP($D1982&amp;"_"&amp;K$52,$B$14:$B$36&amp;"_"&amp;$C$14:$C$36,$D$14:$D$36)*$E1982)</f>
        <v>5.488</v>
      </c>
      <c r="L1982" s="95" cm="1">
        <f ca="1" t="array" ref="L1982">MIN(6,_xlfn.XLOOKUP($D1982&amp;"_"&amp;L$52,$B$14:$B$36&amp;"_"&amp;$C$14:$C$36,$D$14:$D$36)*$E1982)</f>
        <v>6</v>
      </c>
      <c r="M1982" s="95" cm="1">
        <f ca="1" t="array" ref="M1982">(1+SUMPRODUCT(G1982:H1982,OFFSET($H$40:$I$40,D1982,0)))*(1+OFFSET($J$40,D1982,0))^I1982*(1+OFFSET($K$40,D1982,0))^J1982*(1+OFFSET($L$40,D1982,0))^K1982*(1+OFFSET($M$40,D1982,0))^L1982</f>
        <v>411.41441749761</v>
      </c>
      <c r="N1982" s="95">
        <f ca="1">MAX(MAX($N$53:N1981),OFFSET($C$52,MATCH(M1982*1.07,$M$53:$M$2052,1),0)-C1982)</f>
        <v>73440</v>
      </c>
    </row>
    <row r="1983" spans="2:14">
      <c r="B1983" s="95">
        <v>1931</v>
      </c>
      <c r="C1983" s="95">
        <f t="shared" si="147"/>
        <v>695160</v>
      </c>
      <c r="D1983" s="95">
        <f ca="1">_xlfn.XLOOKUP(总览!$B$44,$B$40:$B$45,$C$40:$C$45)</f>
        <v>5</v>
      </c>
      <c r="E1983" s="95">
        <f ca="1" t="shared" si="150"/>
        <v>1961</v>
      </c>
      <c r="F1983" s="95">
        <f ca="1" t="shared" si="148"/>
        <v>0</v>
      </c>
      <c r="G1983" s="95">
        <f ca="1" t="shared" si="149"/>
        <v>0</v>
      </c>
      <c r="H1983" s="95" cm="1">
        <f ca="1" t="array" ref="H1983">MIN(30-SUM(I1983:L1983),_xlfn.XLOOKUP($D1983&amp;"_"&amp;H$52,$B$14:$B$36&amp;"_"&amp;$C$14:$C$36,$D$14:$D$36)*$E1983,18)</f>
        <v>10.5092</v>
      </c>
      <c r="I1983" s="95" cm="1">
        <f ca="1" t="array" ref="I1983">MIN(30-SUM(J1983:L1983),6-L1983,_xlfn.XLOOKUP($D1983&amp;"_"&amp;I$52,$B$14:$B$36&amp;"_"&amp;$C$14:$C$36,$D$14:$D$36)*$E1983)</f>
        <v>0</v>
      </c>
      <c r="J1983" s="95" cm="1">
        <f ca="1" t="array" ref="J1983">MIN(8,_xlfn.XLOOKUP($D1983&amp;"_"&amp;J$52,$B$14:$B$36&amp;"_"&amp;$C$14:$C$36,$D$14:$D$36)*$E1983)</f>
        <v>8</v>
      </c>
      <c r="K1983" s="95" cm="1">
        <f ca="1" t="array" ref="K1983">MIN(18,_xlfn.XLOOKUP($D1983&amp;"_"&amp;K$52,$B$14:$B$36&amp;"_"&amp;$C$14:$C$36,$D$14:$D$36)*$E1983)</f>
        <v>5.4908</v>
      </c>
      <c r="L1983" s="95" cm="1">
        <f ca="1" t="array" ref="L1983">MIN(6,_xlfn.XLOOKUP($D1983&amp;"_"&amp;L$52,$B$14:$B$36&amp;"_"&amp;$C$14:$C$36,$D$14:$D$36)*$E1983)</f>
        <v>6</v>
      </c>
      <c r="M1983" s="95" cm="1">
        <f ca="1" t="array" ref="M1983">(1+SUMPRODUCT(G1983:H1983,OFFSET($H$40:$I$40,D1983,0)))*(1+OFFSET($J$40,D1983,0))^I1983*(1+OFFSET($K$40,D1983,0))^J1983*(1+OFFSET($L$40,D1983,0))^K1983*(1+OFFSET($M$40,D1983,0))^L1983</f>
        <v>411.550197873095</v>
      </c>
      <c r="N1983" s="95">
        <f ca="1">MAX(MAX($N$53:N1982),OFFSET($C$52,MATCH(M1983*1.07,$M$53:$M$2052,1),0)-C1983)</f>
        <v>73440</v>
      </c>
    </row>
    <row r="1984" spans="2:14">
      <c r="B1984" s="95">
        <v>1932</v>
      </c>
      <c r="C1984" s="95">
        <f t="shared" si="147"/>
        <v>695520</v>
      </c>
      <c r="D1984" s="95">
        <f ca="1">_xlfn.XLOOKUP(总览!$B$44,$B$40:$B$45,$C$40:$C$45)</f>
        <v>5</v>
      </c>
      <c r="E1984" s="95">
        <f ca="1" t="shared" si="150"/>
        <v>1962</v>
      </c>
      <c r="F1984" s="95">
        <f ca="1" t="shared" si="148"/>
        <v>0</v>
      </c>
      <c r="G1984" s="95">
        <f ca="1" t="shared" si="149"/>
        <v>0</v>
      </c>
      <c r="H1984" s="95" cm="1">
        <f ca="1" t="array" ref="H1984">MIN(30-SUM(I1984:L1984),_xlfn.XLOOKUP($D1984&amp;"_"&amp;H$52,$B$14:$B$36&amp;"_"&amp;$C$14:$C$36,$D$14:$D$36)*$E1984,18)</f>
        <v>10.5064</v>
      </c>
      <c r="I1984" s="95" cm="1">
        <f ca="1" t="array" ref="I1984">MIN(30-SUM(J1984:L1984),6-L1984,_xlfn.XLOOKUP($D1984&amp;"_"&amp;I$52,$B$14:$B$36&amp;"_"&amp;$C$14:$C$36,$D$14:$D$36)*$E1984)</f>
        <v>0</v>
      </c>
      <c r="J1984" s="95" cm="1">
        <f ca="1" t="array" ref="J1984">MIN(8,_xlfn.XLOOKUP($D1984&amp;"_"&amp;J$52,$B$14:$B$36&amp;"_"&amp;$C$14:$C$36,$D$14:$D$36)*$E1984)</f>
        <v>8</v>
      </c>
      <c r="K1984" s="95" cm="1">
        <f ca="1" t="array" ref="K1984">MIN(18,_xlfn.XLOOKUP($D1984&amp;"_"&amp;K$52,$B$14:$B$36&amp;"_"&amp;$C$14:$C$36,$D$14:$D$36)*$E1984)</f>
        <v>5.4936</v>
      </c>
      <c r="L1984" s="95" cm="1">
        <f ca="1" t="array" ref="L1984">MIN(6,_xlfn.XLOOKUP($D1984&amp;"_"&amp;L$52,$B$14:$B$36&amp;"_"&amp;$C$14:$C$36,$D$14:$D$36)*$E1984)</f>
        <v>6</v>
      </c>
      <c r="M1984" s="95" cm="1">
        <f ca="1" t="array" ref="M1984">(1+SUMPRODUCT(G1984:H1984,OFFSET($H$40:$I$40,D1984,0)))*(1+OFFSET($J$40,D1984,0))^I1984*(1+OFFSET($K$40,D1984,0))^J1984*(1+OFFSET($L$40,D1984,0))^K1984*(1+OFFSET($M$40,D1984,0))^L1984</f>
        <v>411.686009642116</v>
      </c>
      <c r="N1984" s="95">
        <f ca="1">MAX(MAX($N$53:N1983),OFFSET($C$52,MATCH(M1984*1.07,$M$53:$M$2052,1),0)-C1984)</f>
        <v>73440</v>
      </c>
    </row>
    <row r="1985" spans="2:14">
      <c r="B1985" s="95">
        <v>1933</v>
      </c>
      <c r="C1985" s="95">
        <f t="shared" si="147"/>
        <v>695880</v>
      </c>
      <c r="D1985" s="95">
        <f ca="1">_xlfn.XLOOKUP(总览!$B$44,$B$40:$B$45,$C$40:$C$45)</f>
        <v>5</v>
      </c>
      <c r="E1985" s="95">
        <f ca="1" t="shared" si="150"/>
        <v>1963</v>
      </c>
      <c r="F1985" s="95">
        <f ca="1" t="shared" si="148"/>
        <v>0</v>
      </c>
      <c r="G1985" s="95">
        <f ca="1" t="shared" si="149"/>
        <v>0</v>
      </c>
      <c r="H1985" s="95" cm="1">
        <f ca="1" t="array" ref="H1985">MIN(30-SUM(I1985:L1985),_xlfn.XLOOKUP($D1985&amp;"_"&amp;H$52,$B$14:$B$36&amp;"_"&amp;$C$14:$C$36,$D$14:$D$36)*$E1985,18)</f>
        <v>10.5036</v>
      </c>
      <c r="I1985" s="95" cm="1">
        <f ca="1" t="array" ref="I1985">MIN(30-SUM(J1985:L1985),6-L1985,_xlfn.XLOOKUP($D1985&amp;"_"&amp;I$52,$B$14:$B$36&amp;"_"&amp;$C$14:$C$36,$D$14:$D$36)*$E1985)</f>
        <v>0</v>
      </c>
      <c r="J1985" s="95" cm="1">
        <f ca="1" t="array" ref="J1985">MIN(8,_xlfn.XLOOKUP($D1985&amp;"_"&amp;J$52,$B$14:$B$36&amp;"_"&amp;$C$14:$C$36,$D$14:$D$36)*$E1985)</f>
        <v>8</v>
      </c>
      <c r="K1985" s="95" cm="1">
        <f ca="1" t="array" ref="K1985">MIN(18,_xlfn.XLOOKUP($D1985&amp;"_"&amp;K$52,$B$14:$B$36&amp;"_"&amp;$C$14:$C$36,$D$14:$D$36)*$E1985)</f>
        <v>5.4964</v>
      </c>
      <c r="L1985" s="95" cm="1">
        <f ca="1" t="array" ref="L1985">MIN(6,_xlfn.XLOOKUP($D1985&amp;"_"&amp;L$52,$B$14:$B$36&amp;"_"&amp;$C$14:$C$36,$D$14:$D$36)*$E1985)</f>
        <v>6</v>
      </c>
      <c r="M1985" s="95" cm="1">
        <f ca="1" t="array" ref="M1985">(1+SUMPRODUCT(G1985:H1985,OFFSET($H$40:$I$40,D1985,0)))*(1+OFFSET($J$40,D1985,0))^I1985*(1+OFFSET($K$40,D1985,0))^J1985*(1+OFFSET($L$40,D1985,0))^K1985*(1+OFFSET($M$40,D1985,0))^L1985</f>
        <v>411.82185280133</v>
      </c>
      <c r="N1985" s="95">
        <f ca="1">MAX(MAX($N$53:N1984),OFFSET($C$52,MATCH(M1985*1.07,$M$53:$M$2052,1),0)-C1985)</f>
        <v>73440</v>
      </c>
    </row>
    <row r="1986" spans="2:14">
      <c r="B1986" s="95">
        <v>1934</v>
      </c>
      <c r="C1986" s="95">
        <f t="shared" si="147"/>
        <v>696240</v>
      </c>
      <c r="D1986" s="95">
        <f ca="1">_xlfn.XLOOKUP(总览!$B$44,$B$40:$B$45,$C$40:$C$45)</f>
        <v>5</v>
      </c>
      <c r="E1986" s="95">
        <f ca="1" t="shared" si="150"/>
        <v>1964</v>
      </c>
      <c r="F1986" s="95">
        <f ca="1" t="shared" si="148"/>
        <v>0</v>
      </c>
      <c r="G1986" s="95">
        <f ca="1" t="shared" si="149"/>
        <v>0</v>
      </c>
      <c r="H1986" s="95" cm="1">
        <f ca="1" t="array" ref="H1986">MIN(30-SUM(I1986:L1986),_xlfn.XLOOKUP($D1986&amp;"_"&amp;H$52,$B$14:$B$36&amp;"_"&amp;$C$14:$C$36,$D$14:$D$36)*$E1986,18)</f>
        <v>10.5008</v>
      </c>
      <c r="I1986" s="95" cm="1">
        <f ca="1" t="array" ref="I1986">MIN(30-SUM(J1986:L1986),6-L1986,_xlfn.XLOOKUP($D1986&amp;"_"&amp;I$52,$B$14:$B$36&amp;"_"&amp;$C$14:$C$36,$D$14:$D$36)*$E1986)</f>
        <v>0</v>
      </c>
      <c r="J1986" s="95" cm="1">
        <f ca="1" t="array" ref="J1986">MIN(8,_xlfn.XLOOKUP($D1986&amp;"_"&amp;J$52,$B$14:$B$36&amp;"_"&amp;$C$14:$C$36,$D$14:$D$36)*$E1986)</f>
        <v>8</v>
      </c>
      <c r="K1986" s="95" cm="1">
        <f ca="1" t="array" ref="K1986">MIN(18,_xlfn.XLOOKUP($D1986&amp;"_"&amp;K$52,$B$14:$B$36&amp;"_"&amp;$C$14:$C$36,$D$14:$D$36)*$E1986)</f>
        <v>5.4992</v>
      </c>
      <c r="L1986" s="95" cm="1">
        <f ca="1" t="array" ref="L1986">MIN(6,_xlfn.XLOOKUP($D1986&amp;"_"&amp;L$52,$B$14:$B$36&amp;"_"&amp;$C$14:$C$36,$D$14:$D$36)*$E1986)</f>
        <v>6</v>
      </c>
      <c r="M1986" s="95" cm="1">
        <f ca="1" t="array" ref="M1986">(1+SUMPRODUCT(G1986:H1986,OFFSET($H$40:$I$40,D1986,0)))*(1+OFFSET($J$40,D1986,0))^I1986*(1+OFFSET($K$40,D1986,0))^J1986*(1+OFFSET($L$40,D1986,0))^K1986*(1+OFFSET($M$40,D1986,0))^L1986</f>
        <v>411.957727347383</v>
      </c>
      <c r="N1986" s="95">
        <f ca="1">MAX(MAX($N$53:N1985),OFFSET($C$52,MATCH(M1986*1.07,$M$53:$M$2052,1),0)-C1986)</f>
        <v>73440</v>
      </c>
    </row>
    <row r="1987" spans="2:14">
      <c r="B1987" s="95">
        <v>1935</v>
      </c>
      <c r="C1987" s="95">
        <f t="shared" si="147"/>
        <v>696600</v>
      </c>
      <c r="D1987" s="95">
        <f ca="1">_xlfn.XLOOKUP(总览!$B$44,$B$40:$B$45,$C$40:$C$45)</f>
        <v>5</v>
      </c>
      <c r="E1987" s="95">
        <f ca="1" t="shared" si="150"/>
        <v>1965</v>
      </c>
      <c r="F1987" s="95">
        <f ca="1" t="shared" si="148"/>
        <v>0</v>
      </c>
      <c r="G1987" s="95">
        <f ca="1" t="shared" si="149"/>
        <v>0</v>
      </c>
      <c r="H1987" s="95" cm="1">
        <f ca="1" t="array" ref="H1987">MIN(30-SUM(I1987:L1987),_xlfn.XLOOKUP($D1987&amp;"_"&amp;H$52,$B$14:$B$36&amp;"_"&amp;$C$14:$C$36,$D$14:$D$36)*$E1987,18)</f>
        <v>10.498</v>
      </c>
      <c r="I1987" s="95" cm="1">
        <f ca="1" t="array" ref="I1987">MIN(30-SUM(J1987:L1987),6-L1987,_xlfn.XLOOKUP($D1987&amp;"_"&amp;I$52,$B$14:$B$36&amp;"_"&amp;$C$14:$C$36,$D$14:$D$36)*$E1987)</f>
        <v>0</v>
      </c>
      <c r="J1987" s="95" cm="1">
        <f ca="1" t="array" ref="J1987">MIN(8,_xlfn.XLOOKUP($D1987&amp;"_"&amp;J$52,$B$14:$B$36&amp;"_"&amp;$C$14:$C$36,$D$14:$D$36)*$E1987)</f>
        <v>8</v>
      </c>
      <c r="K1987" s="95" cm="1">
        <f ca="1" t="array" ref="K1987">MIN(18,_xlfn.XLOOKUP($D1987&amp;"_"&amp;K$52,$B$14:$B$36&amp;"_"&amp;$C$14:$C$36,$D$14:$D$36)*$E1987)</f>
        <v>5.502</v>
      </c>
      <c r="L1987" s="95" cm="1">
        <f ca="1" t="array" ref="L1987">MIN(6,_xlfn.XLOOKUP($D1987&amp;"_"&amp;L$52,$B$14:$B$36&amp;"_"&amp;$C$14:$C$36,$D$14:$D$36)*$E1987)</f>
        <v>6</v>
      </c>
      <c r="M1987" s="95" cm="1">
        <f ca="1" t="array" ref="M1987">(1+SUMPRODUCT(G1987:H1987,OFFSET($H$40:$I$40,D1987,0)))*(1+OFFSET($J$40,D1987,0))^I1987*(1+OFFSET($K$40,D1987,0))^J1987*(1+OFFSET($L$40,D1987,0))^K1987*(1+OFFSET($M$40,D1987,0))^L1987</f>
        <v>412.093633276909</v>
      </c>
      <c r="N1987" s="95">
        <f ca="1">MAX(MAX($N$53:N1986),OFFSET($C$52,MATCH(M1987*1.07,$M$53:$M$2052,1),0)-C1987)</f>
        <v>73440</v>
      </c>
    </row>
    <row r="1988" spans="2:14">
      <c r="B1988" s="95">
        <v>1936</v>
      </c>
      <c r="C1988" s="95">
        <f t="shared" si="147"/>
        <v>696960</v>
      </c>
      <c r="D1988" s="95">
        <f ca="1">_xlfn.XLOOKUP(总览!$B$44,$B$40:$B$45,$C$40:$C$45)</f>
        <v>5</v>
      </c>
      <c r="E1988" s="95">
        <f ca="1" t="shared" si="150"/>
        <v>1966</v>
      </c>
      <c r="F1988" s="95">
        <f ca="1" t="shared" si="148"/>
        <v>0</v>
      </c>
      <c r="G1988" s="95">
        <f ca="1" t="shared" si="149"/>
        <v>0</v>
      </c>
      <c r="H1988" s="95" cm="1">
        <f ca="1" t="array" ref="H1988">MIN(30-SUM(I1988:L1988),_xlfn.XLOOKUP($D1988&amp;"_"&amp;H$52,$B$14:$B$36&amp;"_"&amp;$C$14:$C$36,$D$14:$D$36)*$E1988,18)</f>
        <v>10.4952</v>
      </c>
      <c r="I1988" s="95" cm="1">
        <f ca="1" t="array" ref="I1988">MIN(30-SUM(J1988:L1988),6-L1988,_xlfn.XLOOKUP($D1988&amp;"_"&amp;I$52,$B$14:$B$36&amp;"_"&amp;$C$14:$C$36,$D$14:$D$36)*$E1988)</f>
        <v>0</v>
      </c>
      <c r="J1988" s="95" cm="1">
        <f ca="1" t="array" ref="J1988">MIN(8,_xlfn.XLOOKUP($D1988&amp;"_"&amp;J$52,$B$14:$B$36&amp;"_"&amp;$C$14:$C$36,$D$14:$D$36)*$E1988)</f>
        <v>8</v>
      </c>
      <c r="K1988" s="95" cm="1">
        <f ca="1" t="array" ref="K1988">MIN(18,_xlfn.XLOOKUP($D1988&amp;"_"&amp;K$52,$B$14:$B$36&amp;"_"&amp;$C$14:$C$36,$D$14:$D$36)*$E1988)</f>
        <v>5.5048</v>
      </c>
      <c r="L1988" s="95" cm="1">
        <f ca="1" t="array" ref="L1988">MIN(6,_xlfn.XLOOKUP($D1988&amp;"_"&amp;L$52,$B$14:$B$36&amp;"_"&amp;$C$14:$C$36,$D$14:$D$36)*$E1988)</f>
        <v>6</v>
      </c>
      <c r="M1988" s="95" cm="1">
        <f ca="1" t="array" ref="M1988">(1+SUMPRODUCT(G1988:H1988,OFFSET($H$40:$I$40,D1988,0)))*(1+OFFSET($J$40,D1988,0))^I1988*(1+OFFSET($K$40,D1988,0))^J1988*(1+OFFSET($L$40,D1988,0))^K1988*(1+OFFSET($M$40,D1988,0))^L1988</f>
        <v>412.229570586529</v>
      </c>
      <c r="N1988" s="95">
        <f ca="1">MAX(MAX($N$53:N1987),OFFSET($C$52,MATCH(M1988*1.07,$M$53:$M$2052,1),0)-C1988)</f>
        <v>73440</v>
      </c>
    </row>
    <row r="1989" spans="2:14">
      <c r="B1989" s="95">
        <v>1937</v>
      </c>
      <c r="C1989" s="95">
        <f t="shared" si="147"/>
        <v>697320</v>
      </c>
      <c r="D1989" s="95">
        <f ca="1">_xlfn.XLOOKUP(总览!$B$44,$B$40:$B$45,$C$40:$C$45)</f>
        <v>5</v>
      </c>
      <c r="E1989" s="95">
        <f ca="1" t="shared" si="150"/>
        <v>1967</v>
      </c>
      <c r="F1989" s="95">
        <f ca="1" t="shared" si="148"/>
        <v>0</v>
      </c>
      <c r="G1989" s="95">
        <f ca="1" t="shared" si="149"/>
        <v>0</v>
      </c>
      <c r="H1989" s="95" cm="1">
        <f ca="1" t="array" ref="H1989">MIN(30-SUM(I1989:L1989),_xlfn.XLOOKUP($D1989&amp;"_"&amp;H$52,$B$14:$B$36&amp;"_"&amp;$C$14:$C$36,$D$14:$D$36)*$E1989,18)</f>
        <v>10.4924</v>
      </c>
      <c r="I1989" s="95" cm="1">
        <f ca="1" t="array" ref="I1989">MIN(30-SUM(J1989:L1989),6-L1989,_xlfn.XLOOKUP($D1989&amp;"_"&amp;I$52,$B$14:$B$36&amp;"_"&amp;$C$14:$C$36,$D$14:$D$36)*$E1989)</f>
        <v>0</v>
      </c>
      <c r="J1989" s="95" cm="1">
        <f ca="1" t="array" ref="J1989">MIN(8,_xlfn.XLOOKUP($D1989&amp;"_"&amp;J$52,$B$14:$B$36&amp;"_"&amp;$C$14:$C$36,$D$14:$D$36)*$E1989)</f>
        <v>8</v>
      </c>
      <c r="K1989" s="95" cm="1">
        <f ca="1" t="array" ref="K1989">MIN(18,_xlfn.XLOOKUP($D1989&amp;"_"&amp;K$52,$B$14:$B$36&amp;"_"&amp;$C$14:$C$36,$D$14:$D$36)*$E1989)</f>
        <v>5.5076</v>
      </c>
      <c r="L1989" s="95" cm="1">
        <f ca="1" t="array" ref="L1989">MIN(6,_xlfn.XLOOKUP($D1989&amp;"_"&amp;L$52,$B$14:$B$36&amp;"_"&amp;$C$14:$C$36,$D$14:$D$36)*$E1989)</f>
        <v>6</v>
      </c>
      <c r="M1989" s="95" cm="1">
        <f ca="1" t="array" ref="M1989">(1+SUMPRODUCT(G1989:H1989,OFFSET($H$40:$I$40,D1989,0)))*(1+OFFSET($J$40,D1989,0))^I1989*(1+OFFSET($K$40,D1989,0))^J1989*(1+OFFSET($L$40,D1989,0))^K1989*(1+OFFSET($M$40,D1989,0))^L1989</f>
        <v>412.365539272855</v>
      </c>
      <c r="N1989" s="95">
        <f ca="1">MAX(MAX($N$53:N1988),OFFSET($C$52,MATCH(M1989*1.07,$M$53:$M$2052,1),0)-C1989)</f>
        <v>73440</v>
      </c>
    </row>
    <row r="1990" spans="2:14">
      <c r="B1990" s="95">
        <v>1938</v>
      </c>
      <c r="C1990" s="95">
        <f t="shared" si="147"/>
        <v>697680</v>
      </c>
      <c r="D1990" s="95">
        <f ca="1">_xlfn.XLOOKUP(总览!$B$44,$B$40:$B$45,$C$40:$C$45)</f>
        <v>5</v>
      </c>
      <c r="E1990" s="95">
        <f ca="1" t="shared" si="150"/>
        <v>1968</v>
      </c>
      <c r="F1990" s="95">
        <f ca="1" t="shared" si="148"/>
        <v>0</v>
      </c>
      <c r="G1990" s="95">
        <f ca="1" t="shared" si="149"/>
        <v>0</v>
      </c>
      <c r="H1990" s="95" cm="1">
        <f ca="1" t="array" ref="H1990">MIN(30-SUM(I1990:L1990),_xlfn.XLOOKUP($D1990&amp;"_"&amp;H$52,$B$14:$B$36&amp;"_"&amp;$C$14:$C$36,$D$14:$D$36)*$E1990,18)</f>
        <v>10.4896</v>
      </c>
      <c r="I1990" s="95" cm="1">
        <f ca="1" t="array" ref="I1990">MIN(30-SUM(J1990:L1990),6-L1990,_xlfn.XLOOKUP($D1990&amp;"_"&amp;I$52,$B$14:$B$36&amp;"_"&amp;$C$14:$C$36,$D$14:$D$36)*$E1990)</f>
        <v>0</v>
      </c>
      <c r="J1990" s="95" cm="1">
        <f ca="1" t="array" ref="J1990">MIN(8,_xlfn.XLOOKUP($D1990&amp;"_"&amp;J$52,$B$14:$B$36&amp;"_"&amp;$C$14:$C$36,$D$14:$D$36)*$E1990)</f>
        <v>8</v>
      </c>
      <c r="K1990" s="95" cm="1">
        <f ca="1" t="array" ref="K1990">MIN(18,_xlfn.XLOOKUP($D1990&amp;"_"&amp;K$52,$B$14:$B$36&amp;"_"&amp;$C$14:$C$36,$D$14:$D$36)*$E1990)</f>
        <v>5.5104</v>
      </c>
      <c r="L1990" s="95" cm="1">
        <f ca="1" t="array" ref="L1990">MIN(6,_xlfn.XLOOKUP($D1990&amp;"_"&amp;L$52,$B$14:$B$36&amp;"_"&amp;$C$14:$C$36,$D$14:$D$36)*$E1990)</f>
        <v>6</v>
      </c>
      <c r="M1990" s="95" cm="1">
        <f ca="1" t="array" ref="M1990">(1+SUMPRODUCT(G1990:H1990,OFFSET($H$40:$I$40,D1990,0)))*(1+OFFSET($J$40,D1990,0))^I1990*(1+OFFSET($K$40,D1990,0))^J1990*(1+OFFSET($L$40,D1990,0))^K1990*(1+OFFSET($M$40,D1990,0))^L1990</f>
        <v>412.501539332486</v>
      </c>
      <c r="N1990" s="95">
        <f ca="1">MAX(MAX($N$53:N1989),OFFSET($C$52,MATCH(M1990*1.07,$M$53:$M$2052,1),0)-C1990)</f>
        <v>73440</v>
      </c>
    </row>
    <row r="1991" spans="2:14">
      <c r="B1991" s="95">
        <v>1939</v>
      </c>
      <c r="C1991" s="95">
        <f t="shared" si="147"/>
        <v>698040</v>
      </c>
      <c r="D1991" s="95">
        <f ca="1">_xlfn.XLOOKUP(总览!$B$44,$B$40:$B$45,$C$40:$C$45)</f>
        <v>5</v>
      </c>
      <c r="E1991" s="95">
        <f ca="1" t="shared" si="150"/>
        <v>1969</v>
      </c>
      <c r="F1991" s="95">
        <f ca="1" t="shared" si="148"/>
        <v>0</v>
      </c>
      <c r="G1991" s="95">
        <f ca="1" t="shared" si="149"/>
        <v>0</v>
      </c>
      <c r="H1991" s="95" cm="1">
        <f ca="1" t="array" ref="H1991">MIN(30-SUM(I1991:L1991),_xlfn.XLOOKUP($D1991&amp;"_"&amp;H$52,$B$14:$B$36&amp;"_"&amp;$C$14:$C$36,$D$14:$D$36)*$E1991,18)</f>
        <v>10.4868</v>
      </c>
      <c r="I1991" s="95" cm="1">
        <f ca="1" t="array" ref="I1991">MIN(30-SUM(J1991:L1991),6-L1991,_xlfn.XLOOKUP($D1991&amp;"_"&amp;I$52,$B$14:$B$36&amp;"_"&amp;$C$14:$C$36,$D$14:$D$36)*$E1991)</f>
        <v>0</v>
      </c>
      <c r="J1991" s="95" cm="1">
        <f ca="1" t="array" ref="J1991">MIN(8,_xlfn.XLOOKUP($D1991&amp;"_"&amp;J$52,$B$14:$B$36&amp;"_"&amp;$C$14:$C$36,$D$14:$D$36)*$E1991)</f>
        <v>8</v>
      </c>
      <c r="K1991" s="95" cm="1">
        <f ca="1" t="array" ref="K1991">MIN(18,_xlfn.XLOOKUP($D1991&amp;"_"&amp;K$52,$B$14:$B$36&amp;"_"&amp;$C$14:$C$36,$D$14:$D$36)*$E1991)</f>
        <v>5.5132</v>
      </c>
      <c r="L1991" s="95" cm="1">
        <f ca="1" t="array" ref="L1991">MIN(6,_xlfn.XLOOKUP($D1991&amp;"_"&amp;L$52,$B$14:$B$36&amp;"_"&amp;$C$14:$C$36,$D$14:$D$36)*$E1991)</f>
        <v>6</v>
      </c>
      <c r="M1991" s="95" cm="1">
        <f ca="1" t="array" ref="M1991">(1+SUMPRODUCT(G1991:H1991,OFFSET($H$40:$I$40,D1991,0)))*(1+OFFSET($J$40,D1991,0))^I1991*(1+OFFSET($K$40,D1991,0))^J1991*(1+OFFSET($L$40,D1991,0))^K1991*(1+OFFSET($M$40,D1991,0))^L1991</f>
        <v>412.637570762009</v>
      </c>
      <c r="N1991" s="95">
        <f ca="1">MAX(MAX($N$53:N1990),OFFSET($C$52,MATCH(M1991*1.07,$M$53:$M$2052,1),0)-C1991)</f>
        <v>73440</v>
      </c>
    </row>
    <row r="1992" spans="2:14">
      <c r="B1992" s="95">
        <v>1940</v>
      </c>
      <c r="C1992" s="95">
        <f t="shared" si="147"/>
        <v>698400</v>
      </c>
      <c r="D1992" s="95">
        <f ca="1">_xlfn.XLOOKUP(总览!$B$44,$B$40:$B$45,$C$40:$C$45)</f>
        <v>5</v>
      </c>
      <c r="E1992" s="95">
        <f ca="1" t="shared" si="150"/>
        <v>1970</v>
      </c>
      <c r="F1992" s="95">
        <f ca="1" t="shared" si="148"/>
        <v>0</v>
      </c>
      <c r="G1992" s="95">
        <f ca="1" t="shared" si="149"/>
        <v>0</v>
      </c>
      <c r="H1992" s="95" cm="1">
        <f ca="1" t="array" ref="H1992">MIN(30-SUM(I1992:L1992),_xlfn.XLOOKUP($D1992&amp;"_"&amp;H$52,$B$14:$B$36&amp;"_"&amp;$C$14:$C$36,$D$14:$D$36)*$E1992,18)</f>
        <v>10.484</v>
      </c>
      <c r="I1992" s="95" cm="1">
        <f ca="1" t="array" ref="I1992">MIN(30-SUM(J1992:L1992),6-L1992,_xlfn.XLOOKUP($D1992&amp;"_"&amp;I$52,$B$14:$B$36&amp;"_"&amp;$C$14:$C$36,$D$14:$D$36)*$E1992)</f>
        <v>0</v>
      </c>
      <c r="J1992" s="95" cm="1">
        <f ca="1" t="array" ref="J1992">MIN(8,_xlfn.XLOOKUP($D1992&amp;"_"&amp;J$52,$B$14:$B$36&amp;"_"&amp;$C$14:$C$36,$D$14:$D$36)*$E1992)</f>
        <v>8</v>
      </c>
      <c r="K1992" s="95" cm="1">
        <f ca="1" t="array" ref="K1992">MIN(18,_xlfn.XLOOKUP($D1992&amp;"_"&amp;K$52,$B$14:$B$36&amp;"_"&amp;$C$14:$C$36,$D$14:$D$36)*$E1992)</f>
        <v>5.516</v>
      </c>
      <c r="L1992" s="95" cm="1">
        <f ca="1" t="array" ref="L1992">MIN(6,_xlfn.XLOOKUP($D1992&amp;"_"&amp;L$52,$B$14:$B$36&amp;"_"&amp;$C$14:$C$36,$D$14:$D$36)*$E1992)</f>
        <v>6</v>
      </c>
      <c r="M1992" s="95" cm="1">
        <f ca="1" t="array" ref="M1992">(1+SUMPRODUCT(G1992:H1992,OFFSET($H$40:$I$40,D1992,0)))*(1+OFFSET($J$40,D1992,0))^I1992*(1+OFFSET($K$40,D1992,0))^J1992*(1+OFFSET($L$40,D1992,0))^K1992*(1+OFFSET($M$40,D1992,0))^L1992</f>
        <v>412.773633557999</v>
      </c>
      <c r="N1992" s="95">
        <f ca="1">MAX(MAX($N$53:N1991),OFFSET($C$52,MATCH(M1992*1.07,$M$53:$M$2052,1),0)-C1992)</f>
        <v>73440</v>
      </c>
    </row>
    <row r="1993" spans="2:14">
      <c r="B1993" s="95">
        <v>1941</v>
      </c>
      <c r="C1993" s="95">
        <f t="shared" si="147"/>
        <v>698760</v>
      </c>
      <c r="D1993" s="95">
        <f ca="1">_xlfn.XLOOKUP(总览!$B$44,$B$40:$B$45,$C$40:$C$45)</f>
        <v>5</v>
      </c>
      <c r="E1993" s="95">
        <f ca="1" t="shared" si="150"/>
        <v>1971</v>
      </c>
      <c r="F1993" s="95">
        <f ca="1" t="shared" si="148"/>
        <v>0</v>
      </c>
      <c r="G1993" s="95">
        <f ca="1" t="shared" si="149"/>
        <v>0</v>
      </c>
      <c r="H1993" s="95" cm="1">
        <f ca="1" t="array" ref="H1993">MIN(30-SUM(I1993:L1993),_xlfn.XLOOKUP($D1993&amp;"_"&amp;H$52,$B$14:$B$36&amp;"_"&amp;$C$14:$C$36,$D$14:$D$36)*$E1993,18)</f>
        <v>10.4812</v>
      </c>
      <c r="I1993" s="95" cm="1">
        <f ca="1" t="array" ref="I1993">MIN(30-SUM(J1993:L1993),6-L1993,_xlfn.XLOOKUP($D1993&amp;"_"&amp;I$52,$B$14:$B$36&amp;"_"&amp;$C$14:$C$36,$D$14:$D$36)*$E1993)</f>
        <v>0</v>
      </c>
      <c r="J1993" s="95" cm="1">
        <f ca="1" t="array" ref="J1993">MIN(8,_xlfn.XLOOKUP($D1993&amp;"_"&amp;J$52,$B$14:$B$36&amp;"_"&amp;$C$14:$C$36,$D$14:$D$36)*$E1993)</f>
        <v>8</v>
      </c>
      <c r="K1993" s="95" cm="1">
        <f ca="1" t="array" ref="K1993">MIN(18,_xlfn.XLOOKUP($D1993&amp;"_"&amp;K$52,$B$14:$B$36&amp;"_"&amp;$C$14:$C$36,$D$14:$D$36)*$E1993)</f>
        <v>5.5188</v>
      </c>
      <c r="L1993" s="95" cm="1">
        <f ca="1" t="array" ref="L1993">MIN(6,_xlfn.XLOOKUP($D1993&amp;"_"&amp;L$52,$B$14:$B$36&amp;"_"&amp;$C$14:$C$36,$D$14:$D$36)*$E1993)</f>
        <v>6</v>
      </c>
      <c r="M1993" s="95" cm="1">
        <f ca="1" t="array" ref="M1993">(1+SUMPRODUCT(G1993:H1993,OFFSET($H$40:$I$40,D1993,0)))*(1+OFFSET($J$40,D1993,0))^I1993*(1+OFFSET($K$40,D1993,0))^J1993*(1+OFFSET($L$40,D1993,0))^K1993*(1+OFFSET($M$40,D1993,0))^L1993</f>
        <v>412.909727717022</v>
      </c>
      <c r="N1993" s="95">
        <f ca="1">MAX(MAX($N$53:N1992),OFFSET($C$52,MATCH(M1993*1.07,$M$53:$M$2052,1),0)-C1993)</f>
        <v>73440</v>
      </c>
    </row>
    <row r="1994" spans="2:14">
      <c r="B1994" s="95">
        <v>1942</v>
      </c>
      <c r="C1994" s="95">
        <f t="shared" si="147"/>
        <v>699120</v>
      </c>
      <c r="D1994" s="95">
        <f ca="1">_xlfn.XLOOKUP(总览!$B$44,$B$40:$B$45,$C$40:$C$45)</f>
        <v>5</v>
      </c>
      <c r="E1994" s="95">
        <f ca="1" t="shared" si="150"/>
        <v>1972</v>
      </c>
      <c r="F1994" s="95">
        <f ca="1" t="shared" si="148"/>
        <v>0</v>
      </c>
      <c r="G1994" s="95">
        <f ca="1" t="shared" si="149"/>
        <v>0</v>
      </c>
      <c r="H1994" s="95" cm="1">
        <f ca="1" t="array" ref="H1994">MIN(30-SUM(I1994:L1994),_xlfn.XLOOKUP($D1994&amp;"_"&amp;H$52,$B$14:$B$36&amp;"_"&amp;$C$14:$C$36,$D$14:$D$36)*$E1994,18)</f>
        <v>10.4784</v>
      </c>
      <c r="I1994" s="95" cm="1">
        <f ca="1" t="array" ref="I1994">MIN(30-SUM(J1994:L1994),6-L1994,_xlfn.XLOOKUP($D1994&amp;"_"&amp;I$52,$B$14:$B$36&amp;"_"&amp;$C$14:$C$36,$D$14:$D$36)*$E1994)</f>
        <v>0</v>
      </c>
      <c r="J1994" s="95" cm="1">
        <f ca="1" t="array" ref="J1994">MIN(8,_xlfn.XLOOKUP($D1994&amp;"_"&amp;J$52,$B$14:$B$36&amp;"_"&amp;$C$14:$C$36,$D$14:$D$36)*$E1994)</f>
        <v>8</v>
      </c>
      <c r="K1994" s="95" cm="1">
        <f ca="1" t="array" ref="K1994">MIN(18,_xlfn.XLOOKUP($D1994&amp;"_"&amp;K$52,$B$14:$B$36&amp;"_"&amp;$C$14:$C$36,$D$14:$D$36)*$E1994)</f>
        <v>5.5216</v>
      </c>
      <c r="L1994" s="95" cm="1">
        <f ca="1" t="array" ref="L1994">MIN(6,_xlfn.XLOOKUP($D1994&amp;"_"&amp;L$52,$B$14:$B$36&amp;"_"&amp;$C$14:$C$36,$D$14:$D$36)*$E1994)</f>
        <v>6</v>
      </c>
      <c r="M1994" s="95" cm="1">
        <f ca="1" t="array" ref="M1994">(1+SUMPRODUCT(G1994:H1994,OFFSET($H$40:$I$40,D1994,0)))*(1+OFFSET($J$40,D1994,0))^I1994*(1+OFFSET($K$40,D1994,0))^J1994*(1+OFFSET($L$40,D1994,0))^K1994*(1+OFFSET($M$40,D1994,0))^L1994</f>
        <v>413.045853235628</v>
      </c>
      <c r="N1994" s="95">
        <f ca="1">MAX(MAX($N$53:N1993),OFFSET($C$52,MATCH(M1994*1.07,$M$53:$M$2052,1),0)-C1994)</f>
        <v>73440</v>
      </c>
    </row>
    <row r="1995" spans="2:14">
      <c r="B1995" s="95">
        <v>1943</v>
      </c>
      <c r="C1995" s="95">
        <f t="shared" si="147"/>
        <v>699480</v>
      </c>
      <c r="D1995" s="95">
        <f ca="1">_xlfn.XLOOKUP(总览!$B$44,$B$40:$B$45,$C$40:$C$45)</f>
        <v>5</v>
      </c>
      <c r="E1995" s="95">
        <f ca="1" t="shared" si="150"/>
        <v>1973</v>
      </c>
      <c r="F1995" s="95">
        <f ca="1" t="shared" si="148"/>
        <v>0</v>
      </c>
      <c r="G1995" s="95">
        <f ca="1" t="shared" si="149"/>
        <v>0</v>
      </c>
      <c r="H1995" s="95" cm="1">
        <f ca="1" t="array" ref="H1995">MIN(30-SUM(I1995:L1995),_xlfn.XLOOKUP($D1995&amp;"_"&amp;H$52,$B$14:$B$36&amp;"_"&amp;$C$14:$C$36,$D$14:$D$36)*$E1995,18)</f>
        <v>10.4756</v>
      </c>
      <c r="I1995" s="95" cm="1">
        <f ca="1" t="array" ref="I1995">MIN(30-SUM(J1995:L1995),6-L1995,_xlfn.XLOOKUP($D1995&amp;"_"&amp;I$52,$B$14:$B$36&amp;"_"&amp;$C$14:$C$36,$D$14:$D$36)*$E1995)</f>
        <v>0</v>
      </c>
      <c r="J1995" s="95" cm="1">
        <f ca="1" t="array" ref="J1995">MIN(8,_xlfn.XLOOKUP($D1995&amp;"_"&amp;J$52,$B$14:$B$36&amp;"_"&amp;$C$14:$C$36,$D$14:$D$36)*$E1995)</f>
        <v>8</v>
      </c>
      <c r="K1995" s="95" cm="1">
        <f ca="1" t="array" ref="K1995">MIN(18,_xlfn.XLOOKUP($D1995&amp;"_"&amp;K$52,$B$14:$B$36&amp;"_"&amp;$C$14:$C$36,$D$14:$D$36)*$E1995)</f>
        <v>5.5244</v>
      </c>
      <c r="L1995" s="95" cm="1">
        <f ca="1" t="array" ref="L1995">MIN(6,_xlfn.XLOOKUP($D1995&amp;"_"&amp;L$52,$B$14:$B$36&amp;"_"&amp;$C$14:$C$36,$D$14:$D$36)*$E1995)</f>
        <v>6</v>
      </c>
      <c r="M1995" s="95" cm="1">
        <f ca="1" t="array" ref="M1995">(1+SUMPRODUCT(G1995:H1995,OFFSET($H$40:$I$40,D1995,0)))*(1+OFFSET($J$40,D1995,0))^I1995*(1+OFFSET($K$40,D1995,0))^J1995*(1+OFFSET($L$40,D1995,0))^K1995*(1+OFFSET($M$40,D1995,0))^L1995</f>
        <v>413.182010110359</v>
      </c>
      <c r="N1995" s="95">
        <f ca="1">MAX(MAX($N$53:N1994),OFFSET($C$52,MATCH(M1995*1.07,$M$53:$M$2052,1),0)-C1995)</f>
        <v>73440</v>
      </c>
    </row>
    <row r="1996" spans="2:14">
      <c r="B1996" s="95">
        <v>1944</v>
      </c>
      <c r="C1996" s="95">
        <f t="shared" si="147"/>
        <v>699840</v>
      </c>
      <c r="D1996" s="95">
        <f ca="1">_xlfn.XLOOKUP(总览!$B$44,$B$40:$B$45,$C$40:$C$45)</f>
        <v>5</v>
      </c>
      <c r="E1996" s="95">
        <f ca="1" t="shared" si="150"/>
        <v>1974</v>
      </c>
      <c r="F1996" s="95">
        <f ca="1" t="shared" si="148"/>
        <v>0</v>
      </c>
      <c r="G1996" s="95">
        <f ca="1" t="shared" si="149"/>
        <v>0</v>
      </c>
      <c r="H1996" s="95" cm="1">
        <f ca="1" t="array" ref="H1996">MIN(30-SUM(I1996:L1996),_xlfn.XLOOKUP($D1996&amp;"_"&amp;H$52,$B$14:$B$36&amp;"_"&amp;$C$14:$C$36,$D$14:$D$36)*$E1996,18)</f>
        <v>10.4728</v>
      </c>
      <c r="I1996" s="95" cm="1">
        <f ca="1" t="array" ref="I1996">MIN(30-SUM(J1996:L1996),6-L1996,_xlfn.XLOOKUP($D1996&amp;"_"&amp;I$52,$B$14:$B$36&amp;"_"&amp;$C$14:$C$36,$D$14:$D$36)*$E1996)</f>
        <v>0</v>
      </c>
      <c r="J1996" s="95" cm="1">
        <f ca="1" t="array" ref="J1996">MIN(8,_xlfn.XLOOKUP($D1996&amp;"_"&amp;J$52,$B$14:$B$36&amp;"_"&amp;$C$14:$C$36,$D$14:$D$36)*$E1996)</f>
        <v>8</v>
      </c>
      <c r="K1996" s="95" cm="1">
        <f ca="1" t="array" ref="K1996">MIN(18,_xlfn.XLOOKUP($D1996&amp;"_"&amp;K$52,$B$14:$B$36&amp;"_"&amp;$C$14:$C$36,$D$14:$D$36)*$E1996)</f>
        <v>5.5272</v>
      </c>
      <c r="L1996" s="95" cm="1">
        <f ca="1" t="array" ref="L1996">MIN(6,_xlfn.XLOOKUP($D1996&amp;"_"&amp;L$52,$B$14:$B$36&amp;"_"&amp;$C$14:$C$36,$D$14:$D$36)*$E1996)</f>
        <v>6</v>
      </c>
      <c r="M1996" s="95" cm="1">
        <f ca="1" t="array" ref="M1996">(1+SUMPRODUCT(G1996:H1996,OFFSET($H$40:$I$40,D1996,0)))*(1+OFFSET($J$40,D1996,0))^I1996*(1+OFFSET($K$40,D1996,0))^J1996*(1+OFFSET($L$40,D1996,0))^K1996*(1+OFFSET($M$40,D1996,0))^L1996</f>
        <v>413.318198337743</v>
      </c>
      <c r="N1996" s="95">
        <f ca="1">MAX(MAX($N$53:N1995),OFFSET($C$52,MATCH(M1996*1.07,$M$53:$M$2052,1),0)-C1996)</f>
        <v>73440</v>
      </c>
    </row>
    <row r="1997" spans="2:14">
      <c r="B1997" s="95">
        <v>1945</v>
      </c>
      <c r="C1997" s="95">
        <f t="shared" si="147"/>
        <v>700200</v>
      </c>
      <c r="D1997" s="95">
        <f ca="1">_xlfn.XLOOKUP(总览!$B$44,$B$40:$B$45,$C$40:$C$45)</f>
        <v>5</v>
      </c>
      <c r="E1997" s="95">
        <f ca="1" t="shared" si="150"/>
        <v>1975</v>
      </c>
      <c r="F1997" s="95">
        <f ca="1" t="shared" si="148"/>
        <v>0</v>
      </c>
      <c r="G1997" s="95">
        <f ca="1" t="shared" si="149"/>
        <v>0</v>
      </c>
      <c r="H1997" s="95" cm="1">
        <f ca="1" t="array" ref="H1997">MIN(30-SUM(I1997:L1997),_xlfn.XLOOKUP($D1997&amp;"_"&amp;H$52,$B$14:$B$36&amp;"_"&amp;$C$14:$C$36,$D$14:$D$36)*$E1997,18)</f>
        <v>10.47</v>
      </c>
      <c r="I1997" s="95" cm="1">
        <f ca="1" t="array" ref="I1997">MIN(30-SUM(J1997:L1997),6-L1997,_xlfn.XLOOKUP($D1997&amp;"_"&amp;I$52,$B$14:$B$36&amp;"_"&amp;$C$14:$C$36,$D$14:$D$36)*$E1997)</f>
        <v>0</v>
      </c>
      <c r="J1997" s="95" cm="1">
        <f ca="1" t="array" ref="J1997">MIN(8,_xlfn.XLOOKUP($D1997&amp;"_"&amp;J$52,$B$14:$B$36&amp;"_"&amp;$C$14:$C$36,$D$14:$D$36)*$E1997)</f>
        <v>8</v>
      </c>
      <c r="K1997" s="95" cm="1">
        <f ca="1" t="array" ref="K1997">MIN(18,_xlfn.XLOOKUP($D1997&amp;"_"&amp;K$52,$B$14:$B$36&amp;"_"&amp;$C$14:$C$36,$D$14:$D$36)*$E1997)</f>
        <v>5.53</v>
      </c>
      <c r="L1997" s="95" cm="1">
        <f ca="1" t="array" ref="L1997">MIN(6,_xlfn.XLOOKUP($D1997&amp;"_"&amp;L$52,$B$14:$B$36&amp;"_"&amp;$C$14:$C$36,$D$14:$D$36)*$E1997)</f>
        <v>6</v>
      </c>
      <c r="M1997" s="95" cm="1">
        <f ca="1" t="array" ref="M1997">(1+SUMPRODUCT(G1997:H1997,OFFSET($H$40:$I$40,D1997,0)))*(1+OFFSET($J$40,D1997,0))^I1997*(1+OFFSET($K$40,D1997,0))^J1997*(1+OFFSET($L$40,D1997,0))^K1997*(1+OFFSET($M$40,D1997,0))^L1997</f>
        <v>413.454417914299</v>
      </c>
      <c r="N1997" s="95">
        <f ca="1">MAX(MAX($N$53:N1996),OFFSET($C$52,MATCH(M1997*1.07,$M$53:$M$2052,1),0)-C1997)</f>
        <v>73440</v>
      </c>
    </row>
    <row r="1998" spans="2:14">
      <c r="B1998" s="95">
        <v>1946</v>
      </c>
      <c r="C1998" s="95">
        <f t="shared" si="147"/>
        <v>700560</v>
      </c>
      <c r="D1998" s="95">
        <f ca="1">_xlfn.XLOOKUP(总览!$B$44,$B$40:$B$45,$C$40:$C$45)</f>
        <v>5</v>
      </c>
      <c r="E1998" s="95">
        <f ca="1" t="shared" si="150"/>
        <v>1976</v>
      </c>
      <c r="F1998" s="95">
        <f ca="1" t="shared" si="148"/>
        <v>0</v>
      </c>
      <c r="G1998" s="95">
        <f ca="1" t="shared" si="149"/>
        <v>0</v>
      </c>
      <c r="H1998" s="95" cm="1">
        <f ca="1" t="array" ref="H1998">MIN(30-SUM(I1998:L1998),_xlfn.XLOOKUP($D1998&amp;"_"&amp;H$52,$B$14:$B$36&amp;"_"&amp;$C$14:$C$36,$D$14:$D$36)*$E1998,18)</f>
        <v>10.4672</v>
      </c>
      <c r="I1998" s="95" cm="1">
        <f ca="1" t="array" ref="I1998">MIN(30-SUM(J1998:L1998),6-L1998,_xlfn.XLOOKUP($D1998&amp;"_"&amp;I$52,$B$14:$B$36&amp;"_"&amp;$C$14:$C$36,$D$14:$D$36)*$E1998)</f>
        <v>0</v>
      </c>
      <c r="J1998" s="95" cm="1">
        <f ca="1" t="array" ref="J1998">MIN(8,_xlfn.XLOOKUP($D1998&amp;"_"&amp;J$52,$B$14:$B$36&amp;"_"&amp;$C$14:$C$36,$D$14:$D$36)*$E1998)</f>
        <v>8</v>
      </c>
      <c r="K1998" s="95" cm="1">
        <f ca="1" t="array" ref="K1998">MIN(18,_xlfn.XLOOKUP($D1998&amp;"_"&amp;K$52,$B$14:$B$36&amp;"_"&amp;$C$14:$C$36,$D$14:$D$36)*$E1998)</f>
        <v>5.5328</v>
      </c>
      <c r="L1998" s="95" cm="1">
        <f ca="1" t="array" ref="L1998">MIN(6,_xlfn.XLOOKUP($D1998&amp;"_"&amp;L$52,$B$14:$B$36&amp;"_"&amp;$C$14:$C$36,$D$14:$D$36)*$E1998)</f>
        <v>6</v>
      </c>
      <c r="M1998" s="95" cm="1">
        <f ca="1" t="array" ref="M1998">(1+SUMPRODUCT(G1998:H1998,OFFSET($H$40:$I$40,D1998,0)))*(1+OFFSET($J$40,D1998,0))^I1998*(1+OFFSET($K$40,D1998,0))^J1998*(1+OFFSET($L$40,D1998,0))^K1998*(1+OFFSET($M$40,D1998,0))^L1998</f>
        <v>413.59066883653</v>
      </c>
      <c r="N1998" s="95">
        <f ca="1">MAX(MAX($N$53:N1997),OFFSET($C$52,MATCH(M1998*1.07,$M$53:$M$2052,1),0)-C1998)</f>
        <v>73440</v>
      </c>
    </row>
    <row r="1999" spans="2:14">
      <c r="B1999" s="95">
        <v>1947</v>
      </c>
      <c r="C1999" s="95">
        <f t="shared" si="147"/>
        <v>700920</v>
      </c>
      <c r="D1999" s="95">
        <f ca="1">_xlfn.XLOOKUP(总览!$B$44,$B$40:$B$45,$C$40:$C$45)</f>
        <v>5</v>
      </c>
      <c r="E1999" s="95">
        <f ca="1" t="shared" si="150"/>
        <v>1977</v>
      </c>
      <c r="F1999" s="95">
        <f ca="1" t="shared" si="148"/>
        <v>0</v>
      </c>
      <c r="G1999" s="95">
        <f ca="1" t="shared" si="149"/>
        <v>0</v>
      </c>
      <c r="H1999" s="95" cm="1">
        <f ca="1" t="array" ref="H1999">MIN(30-SUM(I1999:L1999),_xlfn.XLOOKUP($D1999&amp;"_"&amp;H$52,$B$14:$B$36&amp;"_"&amp;$C$14:$C$36,$D$14:$D$36)*$E1999,18)</f>
        <v>10.4644</v>
      </c>
      <c r="I1999" s="95" cm="1">
        <f ca="1" t="array" ref="I1999">MIN(30-SUM(J1999:L1999),6-L1999,_xlfn.XLOOKUP($D1999&amp;"_"&amp;I$52,$B$14:$B$36&amp;"_"&amp;$C$14:$C$36,$D$14:$D$36)*$E1999)</f>
        <v>0</v>
      </c>
      <c r="J1999" s="95" cm="1">
        <f ca="1" t="array" ref="J1999">MIN(8,_xlfn.XLOOKUP($D1999&amp;"_"&amp;J$52,$B$14:$B$36&amp;"_"&amp;$C$14:$C$36,$D$14:$D$36)*$E1999)</f>
        <v>8</v>
      </c>
      <c r="K1999" s="95" cm="1">
        <f ca="1" t="array" ref="K1999">MIN(18,_xlfn.XLOOKUP($D1999&amp;"_"&amp;K$52,$B$14:$B$36&amp;"_"&amp;$C$14:$C$36,$D$14:$D$36)*$E1999)</f>
        <v>5.5356</v>
      </c>
      <c r="L1999" s="95" cm="1">
        <f ca="1" t="array" ref="L1999">MIN(6,_xlfn.XLOOKUP($D1999&amp;"_"&amp;L$52,$B$14:$B$36&amp;"_"&amp;$C$14:$C$36,$D$14:$D$36)*$E1999)</f>
        <v>6</v>
      </c>
      <c r="M1999" s="95" cm="1">
        <f ca="1" t="array" ref="M1999">(1+SUMPRODUCT(G1999:H1999,OFFSET($H$40:$I$40,D1999,0)))*(1+OFFSET($J$40,D1999,0))^I1999*(1+OFFSET($K$40,D1999,0))^J1999*(1+OFFSET($L$40,D1999,0))^K1999*(1+OFFSET($M$40,D1999,0))^L1999</f>
        <v>413.726951100932</v>
      </c>
      <c r="N1999" s="95">
        <f ca="1">MAX(MAX($N$53:N1998),OFFSET($C$52,MATCH(M1999*1.07,$M$53:$M$2052,1),0)-C1999)</f>
        <v>73440</v>
      </c>
    </row>
    <row r="2000" spans="2:14">
      <c r="B2000" s="95">
        <v>1948</v>
      </c>
      <c r="C2000" s="95">
        <f t="shared" si="147"/>
        <v>701280</v>
      </c>
      <c r="D2000" s="95">
        <f ca="1">_xlfn.XLOOKUP(总览!$B$44,$B$40:$B$45,$C$40:$C$45)</f>
        <v>5</v>
      </c>
      <c r="E2000" s="95">
        <f ca="1" t="shared" si="150"/>
        <v>1978</v>
      </c>
      <c r="F2000" s="95">
        <f ca="1" t="shared" si="148"/>
        <v>0</v>
      </c>
      <c r="G2000" s="95">
        <f ca="1" t="shared" si="149"/>
        <v>0</v>
      </c>
      <c r="H2000" s="95" cm="1">
        <f ca="1" t="array" ref="H2000">MIN(30-SUM(I2000:L2000),_xlfn.XLOOKUP($D2000&amp;"_"&amp;H$52,$B$14:$B$36&amp;"_"&amp;$C$14:$C$36,$D$14:$D$36)*$E2000,18)</f>
        <v>10.4616</v>
      </c>
      <c r="I2000" s="95" cm="1">
        <f ca="1" t="array" ref="I2000">MIN(30-SUM(J2000:L2000),6-L2000,_xlfn.XLOOKUP($D2000&amp;"_"&amp;I$52,$B$14:$B$36&amp;"_"&amp;$C$14:$C$36,$D$14:$D$36)*$E2000)</f>
        <v>0</v>
      </c>
      <c r="J2000" s="95" cm="1">
        <f ca="1" t="array" ref="J2000">MIN(8,_xlfn.XLOOKUP($D2000&amp;"_"&amp;J$52,$B$14:$B$36&amp;"_"&amp;$C$14:$C$36,$D$14:$D$36)*$E2000)</f>
        <v>8</v>
      </c>
      <c r="K2000" s="95" cm="1">
        <f ca="1" t="array" ref="K2000">MIN(18,_xlfn.XLOOKUP($D2000&amp;"_"&amp;K$52,$B$14:$B$36&amp;"_"&amp;$C$14:$C$36,$D$14:$D$36)*$E2000)</f>
        <v>5.5384</v>
      </c>
      <c r="L2000" s="95" cm="1">
        <f ca="1" t="array" ref="L2000">MIN(6,_xlfn.XLOOKUP($D2000&amp;"_"&amp;L$52,$B$14:$B$36&amp;"_"&amp;$C$14:$C$36,$D$14:$D$36)*$E2000)</f>
        <v>6</v>
      </c>
      <c r="M2000" s="95" cm="1">
        <f ca="1" t="array" ref="M2000">(1+SUMPRODUCT(G2000:H2000,OFFSET($H$40:$I$40,D2000,0)))*(1+OFFSET($J$40,D2000,0))^I2000*(1+OFFSET($K$40,D2000,0))^J2000*(1+OFFSET($L$40,D2000,0))^K2000*(1+OFFSET($M$40,D2000,0))^L2000</f>
        <v>413.863264703986</v>
      </c>
      <c r="N2000" s="95">
        <f ca="1">MAX(MAX($N$53:N1999),OFFSET($C$52,MATCH(M2000*1.07,$M$53:$M$2052,1),0)-C2000)</f>
        <v>73440</v>
      </c>
    </row>
    <row r="2001" spans="2:14">
      <c r="B2001" s="95">
        <v>1949</v>
      </c>
      <c r="C2001" s="95">
        <f t="shared" si="147"/>
        <v>701640</v>
      </c>
      <c r="D2001" s="95">
        <f ca="1">_xlfn.XLOOKUP(总览!$B$44,$B$40:$B$45,$C$40:$C$45)</f>
        <v>5</v>
      </c>
      <c r="E2001" s="95">
        <f ca="1" t="shared" si="150"/>
        <v>1979</v>
      </c>
      <c r="F2001" s="95">
        <f ca="1" t="shared" si="148"/>
        <v>0</v>
      </c>
      <c r="G2001" s="95">
        <f ca="1" t="shared" si="149"/>
        <v>0</v>
      </c>
      <c r="H2001" s="95" cm="1">
        <f ca="1" t="array" ref="H2001">MIN(30-SUM(I2001:L2001),_xlfn.XLOOKUP($D2001&amp;"_"&amp;H$52,$B$14:$B$36&amp;"_"&amp;$C$14:$C$36,$D$14:$D$36)*$E2001,18)</f>
        <v>10.4588</v>
      </c>
      <c r="I2001" s="95" cm="1">
        <f ca="1" t="array" ref="I2001">MIN(30-SUM(J2001:L2001),6-L2001,_xlfn.XLOOKUP($D2001&amp;"_"&amp;I$52,$B$14:$B$36&amp;"_"&amp;$C$14:$C$36,$D$14:$D$36)*$E2001)</f>
        <v>0</v>
      </c>
      <c r="J2001" s="95" cm="1">
        <f ca="1" t="array" ref="J2001">MIN(8,_xlfn.XLOOKUP($D2001&amp;"_"&amp;J$52,$B$14:$B$36&amp;"_"&amp;$C$14:$C$36,$D$14:$D$36)*$E2001)</f>
        <v>8</v>
      </c>
      <c r="K2001" s="95" cm="1">
        <f ca="1" t="array" ref="K2001">MIN(18,_xlfn.XLOOKUP($D2001&amp;"_"&amp;K$52,$B$14:$B$36&amp;"_"&amp;$C$14:$C$36,$D$14:$D$36)*$E2001)</f>
        <v>5.5412</v>
      </c>
      <c r="L2001" s="95" cm="1">
        <f ca="1" t="array" ref="L2001">MIN(6,_xlfn.XLOOKUP($D2001&amp;"_"&amp;L$52,$B$14:$B$36&amp;"_"&amp;$C$14:$C$36,$D$14:$D$36)*$E2001)</f>
        <v>6</v>
      </c>
      <c r="M2001" s="95" cm="1">
        <f ca="1" t="array" ref="M2001">(1+SUMPRODUCT(G2001:H2001,OFFSET($H$40:$I$40,D2001,0)))*(1+OFFSET($J$40,D2001,0))^I2001*(1+OFFSET($K$40,D2001,0))^J2001*(1+OFFSET($L$40,D2001,0))^K2001*(1+OFFSET($M$40,D2001,0))^L2001</f>
        <v>413.999609642162</v>
      </c>
      <c r="N2001" s="95">
        <f ca="1">MAX(MAX($N$53:N2000),OFFSET($C$52,MATCH(M2001*1.07,$M$53:$M$2052,1),0)-C2001)</f>
        <v>73440</v>
      </c>
    </row>
    <row r="2002" spans="2:14">
      <c r="B2002" s="95">
        <v>1950</v>
      </c>
      <c r="C2002" s="95">
        <f t="shared" si="147"/>
        <v>702000</v>
      </c>
      <c r="D2002" s="95">
        <f ca="1">_xlfn.XLOOKUP(总览!$B$44,$B$40:$B$45,$C$40:$C$45)</f>
        <v>5</v>
      </c>
      <c r="E2002" s="95">
        <f ca="1" t="shared" si="150"/>
        <v>1980</v>
      </c>
      <c r="F2002" s="95">
        <f ca="1" t="shared" si="148"/>
        <v>0</v>
      </c>
      <c r="G2002" s="95">
        <f ca="1" t="shared" si="149"/>
        <v>0</v>
      </c>
      <c r="H2002" s="95" cm="1">
        <f ca="1" t="array" ref="H2002">MIN(30-SUM(I2002:L2002),_xlfn.XLOOKUP($D2002&amp;"_"&amp;H$52,$B$14:$B$36&amp;"_"&amp;$C$14:$C$36,$D$14:$D$36)*$E2002,18)</f>
        <v>10.456</v>
      </c>
      <c r="I2002" s="95" cm="1">
        <f ca="1" t="array" ref="I2002">MIN(30-SUM(J2002:L2002),6-L2002,_xlfn.XLOOKUP($D2002&amp;"_"&amp;I$52,$B$14:$B$36&amp;"_"&amp;$C$14:$C$36,$D$14:$D$36)*$E2002)</f>
        <v>0</v>
      </c>
      <c r="J2002" s="95" cm="1">
        <f ca="1" t="array" ref="J2002">MIN(8,_xlfn.XLOOKUP($D2002&amp;"_"&amp;J$52,$B$14:$B$36&amp;"_"&amp;$C$14:$C$36,$D$14:$D$36)*$E2002)</f>
        <v>8</v>
      </c>
      <c r="K2002" s="95" cm="1">
        <f ca="1" t="array" ref="K2002">MIN(18,_xlfn.XLOOKUP($D2002&amp;"_"&amp;K$52,$B$14:$B$36&amp;"_"&amp;$C$14:$C$36,$D$14:$D$36)*$E2002)</f>
        <v>5.544</v>
      </c>
      <c r="L2002" s="95" cm="1">
        <f ca="1" t="array" ref="L2002">MIN(6,_xlfn.XLOOKUP($D2002&amp;"_"&amp;L$52,$B$14:$B$36&amp;"_"&amp;$C$14:$C$36,$D$14:$D$36)*$E2002)</f>
        <v>6</v>
      </c>
      <c r="M2002" s="95" cm="1">
        <f ca="1" t="array" ref="M2002">(1+SUMPRODUCT(G2002:H2002,OFFSET($H$40:$I$40,D2002,0)))*(1+OFFSET($J$40,D2002,0))^I2002*(1+OFFSET($K$40,D2002,0))^J2002*(1+OFFSET($L$40,D2002,0))^K2002*(1+OFFSET($M$40,D2002,0))^L2002</f>
        <v>414.135985911918</v>
      </c>
      <c r="N2002" s="95">
        <f ca="1">MAX(MAX($N$53:N2001),OFFSET($C$52,MATCH(M2002*1.07,$M$53:$M$2052,1),0)-C2002)</f>
        <v>73440</v>
      </c>
    </row>
    <row r="2003" spans="2:14">
      <c r="B2003" s="95">
        <v>1951</v>
      </c>
      <c r="C2003" s="95">
        <f t="shared" si="147"/>
        <v>702360</v>
      </c>
      <c r="D2003" s="95">
        <f ca="1">_xlfn.XLOOKUP(总览!$B$44,$B$40:$B$45,$C$40:$C$45)</f>
        <v>5</v>
      </c>
      <c r="E2003" s="95">
        <f ca="1" t="shared" si="150"/>
        <v>1981</v>
      </c>
      <c r="F2003" s="95">
        <f ca="1" t="shared" si="148"/>
        <v>0</v>
      </c>
      <c r="G2003" s="95">
        <f ca="1" t="shared" si="149"/>
        <v>0</v>
      </c>
      <c r="H2003" s="95" cm="1">
        <f ca="1" t="array" ref="H2003">MIN(30-SUM(I2003:L2003),_xlfn.XLOOKUP($D2003&amp;"_"&amp;H$52,$B$14:$B$36&amp;"_"&amp;$C$14:$C$36,$D$14:$D$36)*$E2003,18)</f>
        <v>10.4532</v>
      </c>
      <c r="I2003" s="95" cm="1">
        <f ca="1" t="array" ref="I2003">MIN(30-SUM(J2003:L2003),6-L2003,_xlfn.XLOOKUP($D2003&amp;"_"&amp;I$52,$B$14:$B$36&amp;"_"&amp;$C$14:$C$36,$D$14:$D$36)*$E2003)</f>
        <v>0</v>
      </c>
      <c r="J2003" s="95" cm="1">
        <f ca="1" t="array" ref="J2003">MIN(8,_xlfn.XLOOKUP($D2003&amp;"_"&amp;J$52,$B$14:$B$36&amp;"_"&amp;$C$14:$C$36,$D$14:$D$36)*$E2003)</f>
        <v>8</v>
      </c>
      <c r="K2003" s="95" cm="1">
        <f ca="1" t="array" ref="K2003">MIN(18,_xlfn.XLOOKUP($D2003&amp;"_"&amp;K$52,$B$14:$B$36&amp;"_"&amp;$C$14:$C$36,$D$14:$D$36)*$E2003)</f>
        <v>5.5468</v>
      </c>
      <c r="L2003" s="95" cm="1">
        <f ca="1" t="array" ref="L2003">MIN(6,_xlfn.XLOOKUP($D2003&amp;"_"&amp;L$52,$B$14:$B$36&amp;"_"&amp;$C$14:$C$36,$D$14:$D$36)*$E2003)</f>
        <v>6</v>
      </c>
      <c r="M2003" s="95" cm="1">
        <f ca="1" t="array" ref="M2003">(1+SUMPRODUCT(G2003:H2003,OFFSET($H$40:$I$40,D2003,0)))*(1+OFFSET($J$40,D2003,0))^I2003*(1+OFFSET($K$40,D2003,0))^J2003*(1+OFFSET($L$40,D2003,0))^K2003*(1+OFFSET($M$40,D2003,0))^L2003</f>
        <v>414.272393509702</v>
      </c>
      <c r="N2003" s="95">
        <f ca="1">MAX(MAX($N$53:N2002),OFFSET($C$52,MATCH(M2003*1.07,$M$53:$M$2052,1),0)-C2003)</f>
        <v>73440</v>
      </c>
    </row>
    <row r="2004" spans="2:14">
      <c r="B2004" s="95">
        <v>1952</v>
      </c>
      <c r="C2004" s="95">
        <f t="shared" si="147"/>
        <v>702720</v>
      </c>
      <c r="D2004" s="95">
        <f ca="1">_xlfn.XLOOKUP(总览!$B$44,$B$40:$B$45,$C$40:$C$45)</f>
        <v>5</v>
      </c>
      <c r="E2004" s="95">
        <f ca="1" t="shared" si="150"/>
        <v>1982</v>
      </c>
      <c r="F2004" s="95">
        <f ca="1" t="shared" si="148"/>
        <v>0</v>
      </c>
      <c r="G2004" s="95">
        <f ca="1" t="shared" si="149"/>
        <v>0</v>
      </c>
      <c r="H2004" s="95" cm="1">
        <f ca="1" t="array" ref="H2004">MIN(30-SUM(I2004:L2004),_xlfn.XLOOKUP($D2004&amp;"_"&amp;H$52,$B$14:$B$36&amp;"_"&amp;$C$14:$C$36,$D$14:$D$36)*$E2004,18)</f>
        <v>10.4504</v>
      </c>
      <c r="I2004" s="95" cm="1">
        <f ca="1" t="array" ref="I2004">MIN(30-SUM(J2004:L2004),6-L2004,_xlfn.XLOOKUP($D2004&amp;"_"&amp;I$52,$B$14:$B$36&amp;"_"&amp;$C$14:$C$36,$D$14:$D$36)*$E2004)</f>
        <v>0</v>
      </c>
      <c r="J2004" s="95" cm="1">
        <f ca="1" t="array" ref="J2004">MIN(8,_xlfn.XLOOKUP($D2004&amp;"_"&amp;J$52,$B$14:$B$36&amp;"_"&amp;$C$14:$C$36,$D$14:$D$36)*$E2004)</f>
        <v>8</v>
      </c>
      <c r="K2004" s="95" cm="1">
        <f ca="1" t="array" ref="K2004">MIN(18,_xlfn.XLOOKUP($D2004&amp;"_"&amp;K$52,$B$14:$B$36&amp;"_"&amp;$C$14:$C$36,$D$14:$D$36)*$E2004)</f>
        <v>5.5496</v>
      </c>
      <c r="L2004" s="95" cm="1">
        <f ca="1" t="array" ref="L2004">MIN(6,_xlfn.XLOOKUP($D2004&amp;"_"&amp;L$52,$B$14:$B$36&amp;"_"&amp;$C$14:$C$36,$D$14:$D$36)*$E2004)</f>
        <v>6</v>
      </c>
      <c r="M2004" s="95" cm="1">
        <f ca="1" t="array" ref="M2004">(1+SUMPRODUCT(G2004:H2004,OFFSET($H$40:$I$40,D2004,0)))*(1+OFFSET($J$40,D2004,0))^I2004*(1+OFFSET($K$40,D2004,0))^J2004*(1+OFFSET($L$40,D2004,0))^K2004*(1+OFFSET($M$40,D2004,0))^L2004</f>
        <v>414.408832431948</v>
      </c>
      <c r="N2004" s="95">
        <f ca="1">MAX(MAX($N$53:N2003),OFFSET($C$52,MATCH(M2004*1.07,$M$53:$M$2052,1),0)-C2004)</f>
        <v>73440</v>
      </c>
    </row>
    <row r="2005" spans="2:14">
      <c r="B2005" s="95">
        <v>1953</v>
      </c>
      <c r="C2005" s="95">
        <f t="shared" si="147"/>
        <v>703080</v>
      </c>
      <c r="D2005" s="95">
        <f ca="1">_xlfn.XLOOKUP(总览!$B$44,$B$40:$B$45,$C$40:$C$45)</f>
        <v>5</v>
      </c>
      <c r="E2005" s="95">
        <f ca="1" t="shared" si="150"/>
        <v>1983</v>
      </c>
      <c r="F2005" s="95">
        <f ca="1" t="shared" si="148"/>
        <v>0</v>
      </c>
      <c r="G2005" s="95">
        <f ca="1" t="shared" si="149"/>
        <v>0</v>
      </c>
      <c r="H2005" s="95" cm="1">
        <f ca="1" t="array" ref="H2005">MIN(30-SUM(I2005:L2005),_xlfn.XLOOKUP($D2005&amp;"_"&amp;H$52,$B$14:$B$36&amp;"_"&amp;$C$14:$C$36,$D$14:$D$36)*$E2005,18)</f>
        <v>10.4476</v>
      </c>
      <c r="I2005" s="95" cm="1">
        <f ca="1" t="array" ref="I2005">MIN(30-SUM(J2005:L2005),6-L2005,_xlfn.XLOOKUP($D2005&amp;"_"&amp;I$52,$B$14:$B$36&amp;"_"&amp;$C$14:$C$36,$D$14:$D$36)*$E2005)</f>
        <v>0</v>
      </c>
      <c r="J2005" s="95" cm="1">
        <f ca="1" t="array" ref="J2005">MIN(8,_xlfn.XLOOKUP($D2005&amp;"_"&amp;J$52,$B$14:$B$36&amp;"_"&amp;$C$14:$C$36,$D$14:$D$36)*$E2005)</f>
        <v>8</v>
      </c>
      <c r="K2005" s="95" cm="1">
        <f ca="1" t="array" ref="K2005">MIN(18,_xlfn.XLOOKUP($D2005&amp;"_"&amp;K$52,$B$14:$B$36&amp;"_"&amp;$C$14:$C$36,$D$14:$D$36)*$E2005)</f>
        <v>5.5524</v>
      </c>
      <c r="L2005" s="95" cm="1">
        <f ca="1" t="array" ref="L2005">MIN(6,_xlfn.XLOOKUP($D2005&amp;"_"&amp;L$52,$B$14:$B$36&amp;"_"&amp;$C$14:$C$36,$D$14:$D$36)*$E2005)</f>
        <v>6</v>
      </c>
      <c r="M2005" s="95" cm="1">
        <f ca="1" t="array" ref="M2005">(1+SUMPRODUCT(G2005:H2005,OFFSET($H$40:$I$40,D2005,0)))*(1+OFFSET($J$40,D2005,0))^I2005*(1+OFFSET($K$40,D2005,0))^J2005*(1+OFFSET($L$40,D2005,0))^K2005*(1+OFFSET($M$40,D2005,0))^L2005</f>
        <v>414.545302675079</v>
      </c>
      <c r="N2005" s="95">
        <f ca="1">MAX(MAX($N$53:N2004),OFFSET($C$52,MATCH(M2005*1.07,$M$53:$M$2052,1),0)-C2005)</f>
        <v>73440</v>
      </c>
    </row>
    <row r="2006" spans="2:14">
      <c r="B2006" s="95">
        <v>1954</v>
      </c>
      <c r="C2006" s="95">
        <f t="shared" si="147"/>
        <v>703440</v>
      </c>
      <c r="D2006" s="95">
        <f ca="1">_xlfn.XLOOKUP(总览!$B$44,$B$40:$B$45,$C$40:$C$45)</f>
        <v>5</v>
      </c>
      <c r="E2006" s="95">
        <f ca="1" t="shared" si="150"/>
        <v>1984</v>
      </c>
      <c r="F2006" s="95">
        <f ca="1" t="shared" si="148"/>
        <v>0</v>
      </c>
      <c r="G2006" s="95">
        <f ca="1" t="shared" si="149"/>
        <v>0</v>
      </c>
      <c r="H2006" s="95" cm="1">
        <f ca="1" t="array" ref="H2006">MIN(30-SUM(I2006:L2006),_xlfn.XLOOKUP($D2006&amp;"_"&amp;H$52,$B$14:$B$36&amp;"_"&amp;$C$14:$C$36,$D$14:$D$36)*$E2006,18)</f>
        <v>10.4448</v>
      </c>
      <c r="I2006" s="95" cm="1">
        <f ca="1" t="array" ref="I2006">MIN(30-SUM(J2006:L2006),6-L2006,_xlfn.XLOOKUP($D2006&amp;"_"&amp;I$52,$B$14:$B$36&amp;"_"&amp;$C$14:$C$36,$D$14:$D$36)*$E2006)</f>
        <v>0</v>
      </c>
      <c r="J2006" s="95" cm="1">
        <f ca="1" t="array" ref="J2006">MIN(8,_xlfn.XLOOKUP($D2006&amp;"_"&amp;J$52,$B$14:$B$36&amp;"_"&amp;$C$14:$C$36,$D$14:$D$36)*$E2006)</f>
        <v>8</v>
      </c>
      <c r="K2006" s="95" cm="1">
        <f ca="1" t="array" ref="K2006">MIN(18,_xlfn.XLOOKUP($D2006&amp;"_"&amp;K$52,$B$14:$B$36&amp;"_"&amp;$C$14:$C$36,$D$14:$D$36)*$E2006)</f>
        <v>5.5552</v>
      </c>
      <c r="L2006" s="95" cm="1">
        <f ca="1" t="array" ref="L2006">MIN(6,_xlfn.XLOOKUP($D2006&amp;"_"&amp;L$52,$B$14:$B$36&amp;"_"&amp;$C$14:$C$36,$D$14:$D$36)*$E2006)</f>
        <v>6</v>
      </c>
      <c r="M2006" s="95" cm="1">
        <f ca="1" t="array" ref="M2006">(1+SUMPRODUCT(G2006:H2006,OFFSET($H$40:$I$40,D2006,0)))*(1+OFFSET($J$40,D2006,0))^I2006*(1+OFFSET($K$40,D2006,0))^J2006*(1+OFFSET($L$40,D2006,0))^K2006*(1+OFFSET($M$40,D2006,0))^L2006</f>
        <v>414.681804235507</v>
      </c>
      <c r="N2006" s="95">
        <f ca="1">MAX(MAX($N$53:N2005),OFFSET($C$52,MATCH(M2006*1.07,$M$53:$M$2052,1),0)-C2006)</f>
        <v>73440</v>
      </c>
    </row>
    <row r="2007" spans="2:14">
      <c r="B2007" s="95">
        <v>1955</v>
      </c>
      <c r="C2007" s="95">
        <f t="shared" si="147"/>
        <v>703800</v>
      </c>
      <c r="D2007" s="95">
        <f ca="1">_xlfn.XLOOKUP(总览!$B$44,$B$40:$B$45,$C$40:$C$45)</f>
        <v>5</v>
      </c>
      <c r="E2007" s="95">
        <f ca="1" t="shared" si="150"/>
        <v>1985</v>
      </c>
      <c r="F2007" s="95">
        <f ca="1" t="shared" si="148"/>
        <v>0</v>
      </c>
      <c r="G2007" s="95">
        <f ca="1" t="shared" si="149"/>
        <v>0</v>
      </c>
      <c r="H2007" s="95" cm="1">
        <f ca="1" t="array" ref="H2007">MIN(30-SUM(I2007:L2007),_xlfn.XLOOKUP($D2007&amp;"_"&amp;H$52,$B$14:$B$36&amp;"_"&amp;$C$14:$C$36,$D$14:$D$36)*$E2007,18)</f>
        <v>10.442</v>
      </c>
      <c r="I2007" s="95" cm="1">
        <f ca="1" t="array" ref="I2007">MIN(30-SUM(J2007:L2007),6-L2007,_xlfn.XLOOKUP($D2007&amp;"_"&amp;I$52,$B$14:$B$36&amp;"_"&amp;$C$14:$C$36,$D$14:$D$36)*$E2007)</f>
        <v>0</v>
      </c>
      <c r="J2007" s="95" cm="1">
        <f ca="1" t="array" ref="J2007">MIN(8,_xlfn.XLOOKUP($D2007&amp;"_"&amp;J$52,$B$14:$B$36&amp;"_"&amp;$C$14:$C$36,$D$14:$D$36)*$E2007)</f>
        <v>8</v>
      </c>
      <c r="K2007" s="95" cm="1">
        <f ca="1" t="array" ref="K2007">MIN(18,_xlfn.XLOOKUP($D2007&amp;"_"&amp;K$52,$B$14:$B$36&amp;"_"&amp;$C$14:$C$36,$D$14:$D$36)*$E2007)</f>
        <v>5.558</v>
      </c>
      <c r="L2007" s="95" cm="1">
        <f ca="1" t="array" ref="L2007">MIN(6,_xlfn.XLOOKUP($D2007&amp;"_"&amp;L$52,$B$14:$B$36&amp;"_"&amp;$C$14:$C$36,$D$14:$D$36)*$E2007)</f>
        <v>6</v>
      </c>
      <c r="M2007" s="95" cm="1">
        <f ca="1" t="array" ref="M2007">(1+SUMPRODUCT(G2007:H2007,OFFSET($H$40:$I$40,D2007,0)))*(1+OFFSET($J$40,D2007,0))^I2007*(1+OFFSET($K$40,D2007,0))^J2007*(1+OFFSET($L$40,D2007,0))^K2007*(1+OFFSET($M$40,D2007,0))^L2007</f>
        <v>414.81833710963</v>
      </c>
      <c r="N2007" s="95">
        <f ca="1">MAX(MAX($N$53:N2006),OFFSET($C$52,MATCH(M2007*1.07,$M$53:$M$2052,1),0)-C2007)</f>
        <v>73440</v>
      </c>
    </row>
    <row r="2008" spans="2:14">
      <c r="B2008" s="95">
        <v>1956</v>
      </c>
      <c r="C2008" s="95">
        <f t="shared" si="147"/>
        <v>704160</v>
      </c>
      <c r="D2008" s="95">
        <f ca="1">_xlfn.XLOOKUP(总览!$B$44,$B$40:$B$45,$C$40:$C$45)</f>
        <v>5</v>
      </c>
      <c r="E2008" s="95">
        <f ca="1" t="shared" si="150"/>
        <v>1986</v>
      </c>
      <c r="F2008" s="95">
        <f ca="1" t="shared" si="148"/>
        <v>0</v>
      </c>
      <c r="G2008" s="95">
        <f ca="1" t="shared" si="149"/>
        <v>0</v>
      </c>
      <c r="H2008" s="95" cm="1">
        <f ca="1" t="array" ref="H2008">MIN(30-SUM(I2008:L2008),_xlfn.XLOOKUP($D2008&amp;"_"&amp;H$52,$B$14:$B$36&amp;"_"&amp;$C$14:$C$36,$D$14:$D$36)*$E2008,18)</f>
        <v>10.4392</v>
      </c>
      <c r="I2008" s="95" cm="1">
        <f ca="1" t="array" ref="I2008">MIN(30-SUM(J2008:L2008),6-L2008,_xlfn.XLOOKUP($D2008&amp;"_"&amp;I$52,$B$14:$B$36&amp;"_"&amp;$C$14:$C$36,$D$14:$D$36)*$E2008)</f>
        <v>0</v>
      </c>
      <c r="J2008" s="95" cm="1">
        <f ca="1" t="array" ref="J2008">MIN(8,_xlfn.XLOOKUP($D2008&amp;"_"&amp;J$52,$B$14:$B$36&amp;"_"&amp;$C$14:$C$36,$D$14:$D$36)*$E2008)</f>
        <v>8</v>
      </c>
      <c r="K2008" s="95" cm="1">
        <f ca="1" t="array" ref="K2008">MIN(18,_xlfn.XLOOKUP($D2008&amp;"_"&amp;K$52,$B$14:$B$36&amp;"_"&amp;$C$14:$C$36,$D$14:$D$36)*$E2008)</f>
        <v>5.5608</v>
      </c>
      <c r="L2008" s="95" cm="1">
        <f ca="1" t="array" ref="L2008">MIN(6,_xlfn.XLOOKUP($D2008&amp;"_"&amp;L$52,$B$14:$B$36&amp;"_"&amp;$C$14:$C$36,$D$14:$D$36)*$E2008)</f>
        <v>6</v>
      </c>
      <c r="M2008" s="95" cm="1">
        <f ca="1" t="array" ref="M2008">(1+SUMPRODUCT(G2008:H2008,OFFSET($H$40:$I$40,D2008,0)))*(1+OFFSET($J$40,D2008,0))^I2008*(1+OFFSET($K$40,D2008,0))^J2008*(1+OFFSET($L$40,D2008,0))^K2008*(1+OFFSET($M$40,D2008,0))^L2008</f>
        <v>414.954901293837</v>
      </c>
      <c r="N2008" s="95">
        <f ca="1">MAX(MAX($N$53:N2007),OFFSET($C$52,MATCH(M2008*1.07,$M$53:$M$2052,1),0)-C2008)</f>
        <v>73440</v>
      </c>
    </row>
    <row r="2009" spans="2:14">
      <c r="B2009" s="95">
        <v>1957</v>
      </c>
      <c r="C2009" s="95">
        <f t="shared" si="147"/>
        <v>704520</v>
      </c>
      <c r="D2009" s="95">
        <f ca="1">_xlfn.XLOOKUP(总览!$B$44,$B$40:$B$45,$C$40:$C$45)</f>
        <v>5</v>
      </c>
      <c r="E2009" s="95">
        <f ca="1" t="shared" si="150"/>
        <v>1987</v>
      </c>
      <c r="F2009" s="95">
        <f ca="1" t="shared" si="148"/>
        <v>0</v>
      </c>
      <c r="G2009" s="95">
        <f ca="1" t="shared" si="149"/>
        <v>0</v>
      </c>
      <c r="H2009" s="95" cm="1">
        <f ca="1" t="array" ref="H2009">MIN(30-SUM(I2009:L2009),_xlfn.XLOOKUP($D2009&amp;"_"&amp;H$52,$B$14:$B$36&amp;"_"&amp;$C$14:$C$36,$D$14:$D$36)*$E2009,18)</f>
        <v>10.4364</v>
      </c>
      <c r="I2009" s="95" cm="1">
        <f ca="1" t="array" ref="I2009">MIN(30-SUM(J2009:L2009),6-L2009,_xlfn.XLOOKUP($D2009&amp;"_"&amp;I$52,$B$14:$B$36&amp;"_"&amp;$C$14:$C$36,$D$14:$D$36)*$E2009)</f>
        <v>0</v>
      </c>
      <c r="J2009" s="95" cm="1">
        <f ca="1" t="array" ref="J2009">MIN(8,_xlfn.XLOOKUP($D2009&amp;"_"&amp;J$52,$B$14:$B$36&amp;"_"&amp;$C$14:$C$36,$D$14:$D$36)*$E2009)</f>
        <v>8</v>
      </c>
      <c r="K2009" s="95" cm="1">
        <f ca="1" t="array" ref="K2009">MIN(18,_xlfn.XLOOKUP($D2009&amp;"_"&amp;K$52,$B$14:$B$36&amp;"_"&amp;$C$14:$C$36,$D$14:$D$36)*$E2009)</f>
        <v>5.5636</v>
      </c>
      <c r="L2009" s="95" cm="1">
        <f ca="1" t="array" ref="L2009">MIN(6,_xlfn.XLOOKUP($D2009&amp;"_"&amp;L$52,$B$14:$B$36&amp;"_"&amp;$C$14:$C$36,$D$14:$D$36)*$E2009)</f>
        <v>6</v>
      </c>
      <c r="M2009" s="95" cm="1">
        <f ca="1" t="array" ref="M2009">(1+SUMPRODUCT(G2009:H2009,OFFSET($H$40:$I$40,D2009,0)))*(1+OFFSET($J$40,D2009,0))^I2009*(1+OFFSET($K$40,D2009,0))^J2009*(1+OFFSET($L$40,D2009,0))^K2009*(1+OFFSET($M$40,D2009,0))^L2009</f>
        <v>415.091496784503</v>
      </c>
      <c r="N2009" s="95">
        <f ca="1">MAX(MAX($N$53:N2008),OFFSET($C$52,MATCH(M2009*1.07,$M$53:$M$2052,1),0)-C2009)</f>
        <v>73440</v>
      </c>
    </row>
    <row r="2010" spans="2:14">
      <c r="B2010" s="95">
        <v>1958</v>
      </c>
      <c r="C2010" s="95">
        <f t="shared" si="147"/>
        <v>704880</v>
      </c>
      <c r="D2010" s="95">
        <f ca="1">_xlfn.XLOOKUP(总览!$B$44,$B$40:$B$45,$C$40:$C$45)</f>
        <v>5</v>
      </c>
      <c r="E2010" s="95">
        <f ca="1" t="shared" si="150"/>
        <v>1988</v>
      </c>
      <c r="F2010" s="95">
        <f ca="1" t="shared" si="148"/>
        <v>0</v>
      </c>
      <c r="G2010" s="95">
        <f ca="1" t="shared" si="149"/>
        <v>0</v>
      </c>
      <c r="H2010" s="95" cm="1">
        <f ca="1" t="array" ref="H2010">MIN(30-SUM(I2010:L2010),_xlfn.XLOOKUP($D2010&amp;"_"&amp;H$52,$B$14:$B$36&amp;"_"&amp;$C$14:$C$36,$D$14:$D$36)*$E2010,18)</f>
        <v>10.4336</v>
      </c>
      <c r="I2010" s="95" cm="1">
        <f ca="1" t="array" ref="I2010">MIN(30-SUM(J2010:L2010),6-L2010,_xlfn.XLOOKUP($D2010&amp;"_"&amp;I$52,$B$14:$B$36&amp;"_"&amp;$C$14:$C$36,$D$14:$D$36)*$E2010)</f>
        <v>0</v>
      </c>
      <c r="J2010" s="95" cm="1">
        <f ca="1" t="array" ref="J2010">MIN(8,_xlfn.XLOOKUP($D2010&amp;"_"&amp;J$52,$B$14:$B$36&amp;"_"&amp;$C$14:$C$36,$D$14:$D$36)*$E2010)</f>
        <v>8</v>
      </c>
      <c r="K2010" s="95" cm="1">
        <f ca="1" t="array" ref="K2010">MIN(18,_xlfn.XLOOKUP($D2010&amp;"_"&amp;K$52,$B$14:$B$36&amp;"_"&amp;$C$14:$C$36,$D$14:$D$36)*$E2010)</f>
        <v>5.5664</v>
      </c>
      <c r="L2010" s="95" cm="1">
        <f ca="1" t="array" ref="L2010">MIN(6,_xlfn.XLOOKUP($D2010&amp;"_"&amp;L$52,$B$14:$B$36&amp;"_"&amp;$C$14:$C$36,$D$14:$D$36)*$E2010)</f>
        <v>6</v>
      </c>
      <c r="M2010" s="95" cm="1">
        <f ca="1" t="array" ref="M2010">(1+SUMPRODUCT(G2010:H2010,OFFSET($H$40:$I$40,D2010,0)))*(1+OFFSET($J$40,D2010,0))^I2010*(1+OFFSET($K$40,D2010,0))^J2010*(1+OFFSET($L$40,D2010,0))^K2010*(1+OFFSET($M$40,D2010,0))^L2010</f>
        <v>415.228123577992</v>
      </c>
      <c r="N2010" s="95">
        <f ca="1">MAX(MAX($N$53:N2009),OFFSET($C$52,MATCH(M2010*1.07,$M$53:$M$2052,1),0)-C2010)</f>
        <v>73440</v>
      </c>
    </row>
    <row r="2011" spans="2:14">
      <c r="B2011" s="95">
        <v>1959</v>
      </c>
      <c r="C2011" s="95">
        <f t="shared" si="147"/>
        <v>705240</v>
      </c>
      <c r="D2011" s="95">
        <f ca="1">_xlfn.XLOOKUP(总览!$B$44,$B$40:$B$45,$C$40:$C$45)</f>
        <v>5</v>
      </c>
      <c r="E2011" s="95">
        <f ca="1" t="shared" si="150"/>
        <v>1989</v>
      </c>
      <c r="F2011" s="95">
        <f ca="1" t="shared" si="148"/>
        <v>0</v>
      </c>
      <c r="G2011" s="95">
        <f ca="1" t="shared" si="149"/>
        <v>0</v>
      </c>
      <c r="H2011" s="95" cm="1">
        <f ca="1" t="array" ref="H2011">MIN(30-SUM(I2011:L2011),_xlfn.XLOOKUP($D2011&amp;"_"&amp;H$52,$B$14:$B$36&amp;"_"&amp;$C$14:$C$36,$D$14:$D$36)*$E2011,18)</f>
        <v>10.4308</v>
      </c>
      <c r="I2011" s="95" cm="1">
        <f ca="1" t="array" ref="I2011">MIN(30-SUM(J2011:L2011),6-L2011,_xlfn.XLOOKUP($D2011&amp;"_"&amp;I$52,$B$14:$B$36&amp;"_"&amp;$C$14:$C$36,$D$14:$D$36)*$E2011)</f>
        <v>0</v>
      </c>
      <c r="J2011" s="95" cm="1">
        <f ca="1" t="array" ref="J2011">MIN(8,_xlfn.XLOOKUP($D2011&amp;"_"&amp;J$52,$B$14:$B$36&amp;"_"&amp;$C$14:$C$36,$D$14:$D$36)*$E2011)</f>
        <v>8</v>
      </c>
      <c r="K2011" s="95" cm="1">
        <f ca="1" t="array" ref="K2011">MIN(18,_xlfn.XLOOKUP($D2011&amp;"_"&amp;K$52,$B$14:$B$36&amp;"_"&amp;$C$14:$C$36,$D$14:$D$36)*$E2011)</f>
        <v>5.5692</v>
      </c>
      <c r="L2011" s="95" cm="1">
        <f ca="1" t="array" ref="L2011">MIN(6,_xlfn.XLOOKUP($D2011&amp;"_"&amp;L$52,$B$14:$B$36&amp;"_"&amp;$C$14:$C$36,$D$14:$D$36)*$E2011)</f>
        <v>6</v>
      </c>
      <c r="M2011" s="95" cm="1">
        <f ca="1" t="array" ref="M2011">(1+SUMPRODUCT(G2011:H2011,OFFSET($H$40:$I$40,D2011,0)))*(1+OFFSET($J$40,D2011,0))^I2011*(1+OFFSET($K$40,D2011,0))^J2011*(1+OFFSET($L$40,D2011,0))^K2011*(1+OFFSET($M$40,D2011,0))^L2011</f>
        <v>415.364781670655</v>
      </c>
      <c r="N2011" s="95">
        <f ca="1">MAX(MAX($N$53:N2010),OFFSET($C$52,MATCH(M2011*1.07,$M$53:$M$2052,1),0)-C2011)</f>
        <v>73440</v>
      </c>
    </row>
    <row r="2012" spans="2:14">
      <c r="B2012" s="95">
        <v>1960</v>
      </c>
      <c r="C2012" s="95">
        <f t="shared" si="147"/>
        <v>705600</v>
      </c>
      <c r="D2012" s="95">
        <f ca="1">_xlfn.XLOOKUP(总览!$B$44,$B$40:$B$45,$C$40:$C$45)</f>
        <v>5</v>
      </c>
      <c r="E2012" s="95">
        <f ca="1" t="shared" si="150"/>
        <v>1990</v>
      </c>
      <c r="F2012" s="95">
        <f ca="1" t="shared" si="148"/>
        <v>0</v>
      </c>
      <c r="G2012" s="95">
        <f ca="1" t="shared" si="149"/>
        <v>0</v>
      </c>
      <c r="H2012" s="95" cm="1">
        <f ca="1" t="array" ref="H2012">MIN(30-SUM(I2012:L2012),_xlfn.XLOOKUP($D2012&amp;"_"&amp;H$52,$B$14:$B$36&amp;"_"&amp;$C$14:$C$36,$D$14:$D$36)*$E2012,18)</f>
        <v>10.428</v>
      </c>
      <c r="I2012" s="95" cm="1">
        <f ca="1" t="array" ref="I2012">MIN(30-SUM(J2012:L2012),6-L2012,_xlfn.XLOOKUP($D2012&amp;"_"&amp;I$52,$B$14:$B$36&amp;"_"&amp;$C$14:$C$36,$D$14:$D$36)*$E2012)</f>
        <v>0</v>
      </c>
      <c r="J2012" s="95" cm="1">
        <f ca="1" t="array" ref="J2012">MIN(8,_xlfn.XLOOKUP($D2012&amp;"_"&amp;J$52,$B$14:$B$36&amp;"_"&amp;$C$14:$C$36,$D$14:$D$36)*$E2012)</f>
        <v>8</v>
      </c>
      <c r="K2012" s="95" cm="1">
        <f ca="1" t="array" ref="K2012">MIN(18,_xlfn.XLOOKUP($D2012&amp;"_"&amp;K$52,$B$14:$B$36&amp;"_"&amp;$C$14:$C$36,$D$14:$D$36)*$E2012)</f>
        <v>5.572</v>
      </c>
      <c r="L2012" s="95" cm="1">
        <f ca="1" t="array" ref="L2012">MIN(6,_xlfn.XLOOKUP($D2012&amp;"_"&amp;L$52,$B$14:$B$36&amp;"_"&amp;$C$14:$C$36,$D$14:$D$36)*$E2012)</f>
        <v>6</v>
      </c>
      <c r="M2012" s="95" cm="1">
        <f ca="1" t="array" ref="M2012">(1+SUMPRODUCT(G2012:H2012,OFFSET($H$40:$I$40,D2012,0)))*(1+OFFSET($J$40,D2012,0))^I2012*(1+OFFSET($K$40,D2012,0))^J2012*(1+OFFSET($L$40,D2012,0))^K2012*(1+OFFSET($M$40,D2012,0))^L2012</f>
        <v>415.501471058834</v>
      </c>
      <c r="N2012" s="95">
        <f ca="1">MAX(MAX($N$53:N2011),OFFSET($C$52,MATCH(M2012*1.07,$M$53:$M$2052,1),0)-C2012)</f>
        <v>73440</v>
      </c>
    </row>
    <row r="2013" spans="2:14">
      <c r="B2013" s="95">
        <v>1961</v>
      </c>
      <c r="C2013" s="95">
        <f t="shared" si="147"/>
        <v>705960</v>
      </c>
      <c r="D2013" s="95">
        <f ca="1">_xlfn.XLOOKUP(总览!$B$44,$B$40:$B$45,$C$40:$C$45)</f>
        <v>5</v>
      </c>
      <c r="E2013" s="95">
        <f ca="1" t="shared" si="150"/>
        <v>1991</v>
      </c>
      <c r="F2013" s="95">
        <f ca="1" t="shared" si="148"/>
        <v>0</v>
      </c>
      <c r="G2013" s="95">
        <f ca="1" t="shared" si="149"/>
        <v>0</v>
      </c>
      <c r="H2013" s="95" cm="1">
        <f ca="1" t="array" ref="H2013">MIN(30-SUM(I2013:L2013),_xlfn.XLOOKUP($D2013&amp;"_"&amp;H$52,$B$14:$B$36&amp;"_"&amp;$C$14:$C$36,$D$14:$D$36)*$E2013,18)</f>
        <v>10.4252</v>
      </c>
      <c r="I2013" s="95" cm="1">
        <f ca="1" t="array" ref="I2013">MIN(30-SUM(J2013:L2013),6-L2013,_xlfn.XLOOKUP($D2013&amp;"_"&amp;I$52,$B$14:$B$36&amp;"_"&amp;$C$14:$C$36,$D$14:$D$36)*$E2013)</f>
        <v>0</v>
      </c>
      <c r="J2013" s="95" cm="1">
        <f ca="1" t="array" ref="J2013">MIN(8,_xlfn.XLOOKUP($D2013&amp;"_"&amp;J$52,$B$14:$B$36&amp;"_"&amp;$C$14:$C$36,$D$14:$D$36)*$E2013)</f>
        <v>8</v>
      </c>
      <c r="K2013" s="95" cm="1">
        <f ca="1" t="array" ref="K2013">MIN(18,_xlfn.XLOOKUP($D2013&amp;"_"&amp;K$52,$B$14:$B$36&amp;"_"&amp;$C$14:$C$36,$D$14:$D$36)*$E2013)</f>
        <v>5.5748</v>
      </c>
      <c r="L2013" s="95" cm="1">
        <f ca="1" t="array" ref="L2013">MIN(6,_xlfn.XLOOKUP($D2013&amp;"_"&amp;L$52,$B$14:$B$36&amp;"_"&amp;$C$14:$C$36,$D$14:$D$36)*$E2013)</f>
        <v>6</v>
      </c>
      <c r="M2013" s="95" cm="1">
        <f ca="1" t="array" ref="M2013">(1+SUMPRODUCT(G2013:H2013,OFFSET($H$40:$I$40,D2013,0)))*(1+OFFSET($J$40,D2013,0))^I2013*(1+OFFSET($K$40,D2013,0))^J2013*(1+OFFSET($L$40,D2013,0))^K2013*(1+OFFSET($M$40,D2013,0))^L2013</f>
        <v>415.638191738855</v>
      </c>
      <c r="N2013" s="95">
        <f ca="1">MAX(MAX($N$53:N2012),OFFSET($C$52,MATCH(M2013*1.07,$M$53:$M$2052,1),0)-C2013)</f>
        <v>73440</v>
      </c>
    </row>
    <row r="2014" spans="2:14">
      <c r="B2014" s="95">
        <v>1962</v>
      </c>
      <c r="C2014" s="95">
        <f t="shared" si="147"/>
        <v>706320</v>
      </c>
      <c r="D2014" s="95">
        <f ca="1">_xlfn.XLOOKUP(总览!$B$44,$B$40:$B$45,$C$40:$C$45)</f>
        <v>5</v>
      </c>
      <c r="E2014" s="95">
        <f ca="1" t="shared" si="150"/>
        <v>1992</v>
      </c>
      <c r="F2014" s="95">
        <f ca="1" t="shared" si="148"/>
        <v>0</v>
      </c>
      <c r="G2014" s="95">
        <f ca="1" t="shared" si="149"/>
        <v>0</v>
      </c>
      <c r="H2014" s="95" cm="1">
        <f ca="1" t="array" ref="H2014">MIN(30-SUM(I2014:L2014),_xlfn.XLOOKUP($D2014&amp;"_"&amp;H$52,$B$14:$B$36&amp;"_"&amp;$C$14:$C$36,$D$14:$D$36)*$E2014,18)</f>
        <v>10.4224</v>
      </c>
      <c r="I2014" s="95" cm="1">
        <f ca="1" t="array" ref="I2014">MIN(30-SUM(J2014:L2014),6-L2014,_xlfn.XLOOKUP($D2014&amp;"_"&amp;I$52,$B$14:$B$36&amp;"_"&amp;$C$14:$C$36,$D$14:$D$36)*$E2014)</f>
        <v>0</v>
      </c>
      <c r="J2014" s="95" cm="1">
        <f ca="1" t="array" ref="J2014">MIN(8,_xlfn.XLOOKUP($D2014&amp;"_"&amp;J$52,$B$14:$B$36&amp;"_"&amp;$C$14:$C$36,$D$14:$D$36)*$E2014)</f>
        <v>8</v>
      </c>
      <c r="K2014" s="95" cm="1">
        <f ca="1" t="array" ref="K2014">MIN(18,_xlfn.XLOOKUP($D2014&amp;"_"&amp;K$52,$B$14:$B$36&amp;"_"&amp;$C$14:$C$36,$D$14:$D$36)*$E2014)</f>
        <v>5.5776</v>
      </c>
      <c r="L2014" s="95" cm="1">
        <f ca="1" t="array" ref="L2014">MIN(6,_xlfn.XLOOKUP($D2014&amp;"_"&amp;L$52,$B$14:$B$36&amp;"_"&amp;$C$14:$C$36,$D$14:$D$36)*$E2014)</f>
        <v>6</v>
      </c>
      <c r="M2014" s="95" cm="1">
        <f ca="1" t="array" ref="M2014">(1+SUMPRODUCT(G2014:H2014,OFFSET($H$40:$I$40,D2014,0)))*(1+OFFSET($J$40,D2014,0))^I2014*(1+OFFSET($K$40,D2014,0))^J2014*(1+OFFSET($L$40,D2014,0))^K2014*(1+OFFSET($M$40,D2014,0))^L2014</f>
        <v>415.774943707036</v>
      </c>
      <c r="N2014" s="95">
        <f ca="1">MAX(MAX($N$53:N2013),OFFSET($C$52,MATCH(M2014*1.07,$M$53:$M$2052,1),0)-C2014)</f>
        <v>73440</v>
      </c>
    </row>
    <row r="2015" spans="2:14">
      <c r="B2015" s="95">
        <v>1963</v>
      </c>
      <c r="C2015" s="95">
        <f t="shared" si="147"/>
        <v>706680</v>
      </c>
      <c r="D2015" s="95">
        <f ca="1">_xlfn.XLOOKUP(总览!$B$44,$B$40:$B$45,$C$40:$C$45)</f>
        <v>5</v>
      </c>
      <c r="E2015" s="95">
        <f ca="1" t="shared" si="150"/>
        <v>1993</v>
      </c>
      <c r="F2015" s="95">
        <f ca="1" t="shared" si="148"/>
        <v>0</v>
      </c>
      <c r="G2015" s="95">
        <f ca="1" t="shared" si="149"/>
        <v>0</v>
      </c>
      <c r="H2015" s="95" cm="1">
        <f ca="1" t="array" ref="H2015">MIN(30-SUM(I2015:L2015),_xlfn.XLOOKUP($D2015&amp;"_"&amp;H$52,$B$14:$B$36&amp;"_"&amp;$C$14:$C$36,$D$14:$D$36)*$E2015,18)</f>
        <v>10.4196</v>
      </c>
      <c r="I2015" s="95" cm="1">
        <f ca="1" t="array" ref="I2015">MIN(30-SUM(J2015:L2015),6-L2015,_xlfn.XLOOKUP($D2015&amp;"_"&amp;I$52,$B$14:$B$36&amp;"_"&amp;$C$14:$C$36,$D$14:$D$36)*$E2015)</f>
        <v>0</v>
      </c>
      <c r="J2015" s="95" cm="1">
        <f ca="1" t="array" ref="J2015">MIN(8,_xlfn.XLOOKUP($D2015&amp;"_"&amp;J$52,$B$14:$B$36&amp;"_"&amp;$C$14:$C$36,$D$14:$D$36)*$E2015)</f>
        <v>8</v>
      </c>
      <c r="K2015" s="95" cm="1">
        <f ca="1" t="array" ref="K2015">MIN(18,_xlfn.XLOOKUP($D2015&amp;"_"&amp;K$52,$B$14:$B$36&amp;"_"&amp;$C$14:$C$36,$D$14:$D$36)*$E2015)</f>
        <v>5.5804</v>
      </c>
      <c r="L2015" s="95" cm="1">
        <f ca="1" t="array" ref="L2015">MIN(6,_xlfn.XLOOKUP($D2015&amp;"_"&amp;L$52,$B$14:$B$36&amp;"_"&amp;$C$14:$C$36,$D$14:$D$36)*$E2015)</f>
        <v>6</v>
      </c>
      <c r="M2015" s="95" cm="1">
        <f ca="1" t="array" ref="M2015">(1+SUMPRODUCT(G2015:H2015,OFFSET($H$40:$I$40,D2015,0)))*(1+OFFSET($J$40,D2015,0))^I2015*(1+OFFSET($K$40,D2015,0))^J2015*(1+OFFSET($L$40,D2015,0))^K2015*(1+OFFSET($M$40,D2015,0))^L2015</f>
        <v>415.911726959681</v>
      </c>
      <c r="N2015" s="95">
        <f ca="1">MAX(MAX($N$53:N2014),OFFSET($C$52,MATCH(M2015*1.07,$M$53:$M$2052,1),0)-C2015)</f>
        <v>73440</v>
      </c>
    </row>
    <row r="2016" spans="2:14">
      <c r="B2016" s="95">
        <v>1964</v>
      </c>
      <c r="C2016" s="95">
        <f t="shared" si="147"/>
        <v>707040</v>
      </c>
      <c r="D2016" s="95">
        <f ca="1">_xlfn.XLOOKUP(总览!$B$44,$B$40:$B$45,$C$40:$C$45)</f>
        <v>5</v>
      </c>
      <c r="E2016" s="95">
        <f ca="1" t="shared" si="150"/>
        <v>1994</v>
      </c>
      <c r="F2016" s="95">
        <f ca="1" t="shared" si="148"/>
        <v>0</v>
      </c>
      <c r="G2016" s="95">
        <f ca="1" t="shared" si="149"/>
        <v>0</v>
      </c>
      <c r="H2016" s="95" cm="1">
        <f ca="1" t="array" ref="H2016">MIN(30-SUM(I2016:L2016),_xlfn.XLOOKUP($D2016&amp;"_"&amp;H$52,$B$14:$B$36&amp;"_"&amp;$C$14:$C$36,$D$14:$D$36)*$E2016,18)</f>
        <v>10.4168</v>
      </c>
      <c r="I2016" s="95" cm="1">
        <f ca="1" t="array" ref="I2016">MIN(30-SUM(J2016:L2016),6-L2016,_xlfn.XLOOKUP($D2016&amp;"_"&amp;I$52,$B$14:$B$36&amp;"_"&amp;$C$14:$C$36,$D$14:$D$36)*$E2016)</f>
        <v>0</v>
      </c>
      <c r="J2016" s="95" cm="1">
        <f ca="1" t="array" ref="J2016">MIN(8,_xlfn.XLOOKUP($D2016&amp;"_"&amp;J$52,$B$14:$B$36&amp;"_"&amp;$C$14:$C$36,$D$14:$D$36)*$E2016)</f>
        <v>8</v>
      </c>
      <c r="K2016" s="95" cm="1">
        <f ca="1" t="array" ref="K2016">MIN(18,_xlfn.XLOOKUP($D2016&amp;"_"&amp;K$52,$B$14:$B$36&amp;"_"&amp;$C$14:$C$36,$D$14:$D$36)*$E2016)</f>
        <v>5.5832</v>
      </c>
      <c r="L2016" s="95" cm="1">
        <f ca="1" t="array" ref="L2016">MIN(6,_xlfn.XLOOKUP($D2016&amp;"_"&amp;L$52,$B$14:$B$36&amp;"_"&amp;$C$14:$C$36,$D$14:$D$36)*$E2016)</f>
        <v>6</v>
      </c>
      <c r="M2016" s="95" cm="1">
        <f ca="1" t="array" ref="M2016">(1+SUMPRODUCT(G2016:H2016,OFFSET($H$40:$I$40,D2016,0)))*(1+OFFSET($J$40,D2016,0))^I2016*(1+OFFSET($K$40,D2016,0))^J2016*(1+OFFSET($L$40,D2016,0))^K2016*(1+OFFSET($M$40,D2016,0))^L2016</f>
        <v>416.048541493081</v>
      </c>
      <c r="N2016" s="95">
        <f ca="1">MAX(MAX($N$53:N2015),OFFSET($C$52,MATCH(M2016*1.07,$M$53:$M$2052,1),0)-C2016)</f>
        <v>73440</v>
      </c>
    </row>
    <row r="2017" spans="2:14">
      <c r="B2017" s="95">
        <v>1965</v>
      </c>
      <c r="C2017" s="95">
        <f t="shared" si="147"/>
        <v>707400</v>
      </c>
      <c r="D2017" s="95">
        <f ca="1">_xlfn.XLOOKUP(总览!$B$44,$B$40:$B$45,$C$40:$C$45)</f>
        <v>5</v>
      </c>
      <c r="E2017" s="95">
        <f ca="1" t="shared" si="150"/>
        <v>1995</v>
      </c>
      <c r="F2017" s="95">
        <f ca="1" t="shared" si="148"/>
        <v>0</v>
      </c>
      <c r="G2017" s="95">
        <f ca="1" t="shared" si="149"/>
        <v>0</v>
      </c>
      <c r="H2017" s="95" cm="1">
        <f ca="1" t="array" ref="H2017">MIN(30-SUM(I2017:L2017),_xlfn.XLOOKUP($D2017&amp;"_"&amp;H$52,$B$14:$B$36&amp;"_"&amp;$C$14:$C$36,$D$14:$D$36)*$E2017,18)</f>
        <v>10.414</v>
      </c>
      <c r="I2017" s="95" cm="1">
        <f ca="1" t="array" ref="I2017">MIN(30-SUM(J2017:L2017),6-L2017,_xlfn.XLOOKUP($D2017&amp;"_"&amp;I$52,$B$14:$B$36&amp;"_"&amp;$C$14:$C$36,$D$14:$D$36)*$E2017)</f>
        <v>0</v>
      </c>
      <c r="J2017" s="95" cm="1">
        <f ca="1" t="array" ref="J2017">MIN(8,_xlfn.XLOOKUP($D2017&amp;"_"&amp;J$52,$B$14:$B$36&amp;"_"&amp;$C$14:$C$36,$D$14:$D$36)*$E2017)</f>
        <v>8</v>
      </c>
      <c r="K2017" s="95" cm="1">
        <f ca="1" t="array" ref="K2017">MIN(18,_xlfn.XLOOKUP($D2017&amp;"_"&amp;K$52,$B$14:$B$36&amp;"_"&amp;$C$14:$C$36,$D$14:$D$36)*$E2017)</f>
        <v>5.586</v>
      </c>
      <c r="L2017" s="95" cm="1">
        <f ca="1" t="array" ref="L2017">MIN(6,_xlfn.XLOOKUP($D2017&amp;"_"&amp;L$52,$B$14:$B$36&amp;"_"&amp;$C$14:$C$36,$D$14:$D$36)*$E2017)</f>
        <v>6</v>
      </c>
      <c r="M2017" s="95" cm="1">
        <f ca="1" t="array" ref="M2017">(1+SUMPRODUCT(G2017:H2017,OFFSET($H$40:$I$40,D2017,0)))*(1+OFFSET($J$40,D2017,0))^I2017*(1+OFFSET($K$40,D2017,0))^J2017*(1+OFFSET($L$40,D2017,0))^K2017*(1+OFFSET($M$40,D2017,0))^L2017</f>
        <v>416.185387303518</v>
      </c>
      <c r="N2017" s="95">
        <f ca="1">MAX(MAX($N$53:N2016),OFFSET($C$52,MATCH(M2017*1.07,$M$53:$M$2052,1),0)-C2017)</f>
        <v>73440</v>
      </c>
    </row>
    <row r="2018" spans="2:14">
      <c r="B2018" s="95">
        <v>1966</v>
      </c>
      <c r="C2018" s="95">
        <f t="shared" si="147"/>
        <v>707760</v>
      </c>
      <c r="D2018" s="95">
        <f ca="1">_xlfn.XLOOKUP(总览!$B$44,$B$40:$B$45,$C$40:$C$45)</f>
        <v>5</v>
      </c>
      <c r="E2018" s="95">
        <f ca="1" t="shared" si="150"/>
        <v>1996</v>
      </c>
      <c r="F2018" s="95">
        <f ca="1" t="shared" si="148"/>
        <v>0</v>
      </c>
      <c r="G2018" s="95">
        <f ca="1" t="shared" si="149"/>
        <v>0</v>
      </c>
      <c r="H2018" s="95" cm="1">
        <f ca="1" t="array" ref="H2018">MIN(30-SUM(I2018:L2018),_xlfn.XLOOKUP($D2018&amp;"_"&amp;H$52,$B$14:$B$36&amp;"_"&amp;$C$14:$C$36,$D$14:$D$36)*$E2018,18)</f>
        <v>10.4112</v>
      </c>
      <c r="I2018" s="95" cm="1">
        <f ca="1" t="array" ref="I2018">MIN(30-SUM(J2018:L2018),6-L2018,_xlfn.XLOOKUP($D2018&amp;"_"&amp;I$52,$B$14:$B$36&amp;"_"&amp;$C$14:$C$36,$D$14:$D$36)*$E2018)</f>
        <v>0</v>
      </c>
      <c r="J2018" s="95" cm="1">
        <f ca="1" t="array" ref="J2018">MIN(8,_xlfn.XLOOKUP($D2018&amp;"_"&amp;J$52,$B$14:$B$36&amp;"_"&amp;$C$14:$C$36,$D$14:$D$36)*$E2018)</f>
        <v>8</v>
      </c>
      <c r="K2018" s="95" cm="1">
        <f ca="1" t="array" ref="K2018">MIN(18,_xlfn.XLOOKUP($D2018&amp;"_"&amp;K$52,$B$14:$B$36&amp;"_"&amp;$C$14:$C$36,$D$14:$D$36)*$E2018)</f>
        <v>5.5888</v>
      </c>
      <c r="L2018" s="95" cm="1">
        <f ca="1" t="array" ref="L2018">MIN(6,_xlfn.XLOOKUP($D2018&amp;"_"&amp;L$52,$B$14:$B$36&amp;"_"&amp;$C$14:$C$36,$D$14:$D$36)*$E2018)</f>
        <v>6</v>
      </c>
      <c r="M2018" s="95" cm="1">
        <f ca="1" t="array" ref="M2018">(1+SUMPRODUCT(G2018:H2018,OFFSET($H$40:$I$40,D2018,0)))*(1+OFFSET($J$40,D2018,0))^I2018*(1+OFFSET($K$40,D2018,0))^J2018*(1+OFFSET($L$40,D2018,0))^K2018*(1+OFFSET($M$40,D2018,0))^L2018</f>
        <v>416.32226438726</v>
      </c>
      <c r="N2018" s="95">
        <f ca="1">MAX(MAX($N$53:N2017),OFFSET($C$52,MATCH(M2018*1.07,$M$53:$M$2052,1),0)-C2018)</f>
        <v>73440</v>
      </c>
    </row>
    <row r="2019" spans="2:14">
      <c r="B2019" s="95">
        <v>1967</v>
      </c>
      <c r="C2019" s="95">
        <f t="shared" si="147"/>
        <v>708120</v>
      </c>
      <c r="D2019" s="95">
        <f ca="1">_xlfn.XLOOKUP(总览!$B$44,$B$40:$B$45,$C$40:$C$45)</f>
        <v>5</v>
      </c>
      <c r="E2019" s="95">
        <f ca="1" t="shared" si="150"/>
        <v>1997</v>
      </c>
      <c r="F2019" s="95">
        <f ca="1" t="shared" si="148"/>
        <v>0</v>
      </c>
      <c r="G2019" s="95">
        <f ca="1" t="shared" si="149"/>
        <v>0</v>
      </c>
      <c r="H2019" s="95" cm="1">
        <f ca="1" t="array" ref="H2019">MIN(30-SUM(I2019:L2019),_xlfn.XLOOKUP($D2019&amp;"_"&amp;H$52,$B$14:$B$36&amp;"_"&amp;$C$14:$C$36,$D$14:$D$36)*$E2019,18)</f>
        <v>10.4084</v>
      </c>
      <c r="I2019" s="95" cm="1">
        <f ca="1" t="array" ref="I2019">MIN(30-SUM(J2019:L2019),6-L2019,_xlfn.XLOOKUP($D2019&amp;"_"&amp;I$52,$B$14:$B$36&amp;"_"&amp;$C$14:$C$36,$D$14:$D$36)*$E2019)</f>
        <v>0</v>
      </c>
      <c r="J2019" s="95" cm="1">
        <f ca="1" t="array" ref="J2019">MIN(8,_xlfn.XLOOKUP($D2019&amp;"_"&amp;J$52,$B$14:$B$36&amp;"_"&amp;$C$14:$C$36,$D$14:$D$36)*$E2019)</f>
        <v>8</v>
      </c>
      <c r="K2019" s="95" cm="1">
        <f ca="1" t="array" ref="K2019">MIN(18,_xlfn.XLOOKUP($D2019&amp;"_"&amp;K$52,$B$14:$B$36&amp;"_"&amp;$C$14:$C$36,$D$14:$D$36)*$E2019)</f>
        <v>5.5916</v>
      </c>
      <c r="L2019" s="95" cm="1">
        <f ca="1" t="array" ref="L2019">MIN(6,_xlfn.XLOOKUP($D2019&amp;"_"&amp;L$52,$B$14:$B$36&amp;"_"&amp;$C$14:$C$36,$D$14:$D$36)*$E2019)</f>
        <v>6</v>
      </c>
      <c r="M2019" s="95" cm="1">
        <f ca="1" t="array" ref="M2019">(1+SUMPRODUCT(G2019:H2019,OFFSET($H$40:$I$40,D2019,0)))*(1+OFFSET($J$40,D2019,0))^I2019*(1+OFFSET($K$40,D2019,0))^J2019*(1+OFFSET($L$40,D2019,0))^K2019*(1+OFFSET($M$40,D2019,0))^L2019</f>
        <v>416.459172740564</v>
      </c>
      <c r="N2019" s="95">
        <f ca="1">MAX(MAX($N$53:N2018),OFFSET($C$52,MATCH(M2019*1.07,$M$53:$M$2052,1),0)-C2019)</f>
        <v>73440</v>
      </c>
    </row>
    <row r="2020" spans="2:14">
      <c r="B2020" s="95">
        <v>1968</v>
      </c>
      <c r="C2020" s="95">
        <f t="shared" si="147"/>
        <v>708480</v>
      </c>
      <c r="D2020" s="95">
        <f ca="1">_xlfn.XLOOKUP(总览!$B$44,$B$40:$B$45,$C$40:$C$45)</f>
        <v>5</v>
      </c>
      <c r="E2020" s="95">
        <f ca="1" t="shared" si="150"/>
        <v>1998</v>
      </c>
      <c r="F2020" s="95">
        <f ca="1" t="shared" si="148"/>
        <v>0</v>
      </c>
      <c r="G2020" s="95">
        <f ca="1" t="shared" si="149"/>
        <v>0</v>
      </c>
      <c r="H2020" s="95" cm="1">
        <f ca="1" t="array" ref="H2020">MIN(30-SUM(I2020:L2020),_xlfn.XLOOKUP($D2020&amp;"_"&amp;H$52,$B$14:$B$36&amp;"_"&amp;$C$14:$C$36,$D$14:$D$36)*$E2020,18)</f>
        <v>10.4056</v>
      </c>
      <c r="I2020" s="95" cm="1">
        <f ca="1" t="array" ref="I2020">MIN(30-SUM(J2020:L2020),6-L2020,_xlfn.XLOOKUP($D2020&amp;"_"&amp;I$52,$B$14:$B$36&amp;"_"&amp;$C$14:$C$36,$D$14:$D$36)*$E2020)</f>
        <v>0</v>
      </c>
      <c r="J2020" s="95" cm="1">
        <f ca="1" t="array" ref="J2020">MIN(8,_xlfn.XLOOKUP($D2020&amp;"_"&amp;J$52,$B$14:$B$36&amp;"_"&amp;$C$14:$C$36,$D$14:$D$36)*$E2020)</f>
        <v>8</v>
      </c>
      <c r="K2020" s="95" cm="1">
        <f ca="1" t="array" ref="K2020">MIN(18,_xlfn.XLOOKUP($D2020&amp;"_"&amp;K$52,$B$14:$B$36&amp;"_"&amp;$C$14:$C$36,$D$14:$D$36)*$E2020)</f>
        <v>5.5944</v>
      </c>
      <c r="L2020" s="95" cm="1">
        <f ca="1" t="array" ref="L2020">MIN(6,_xlfn.XLOOKUP($D2020&amp;"_"&amp;L$52,$B$14:$B$36&amp;"_"&amp;$C$14:$C$36,$D$14:$D$36)*$E2020)</f>
        <v>6</v>
      </c>
      <c r="M2020" s="95" cm="1">
        <f ca="1" t="array" ref="M2020">(1+SUMPRODUCT(G2020:H2020,OFFSET($H$40:$I$40,D2020,0)))*(1+OFFSET($J$40,D2020,0))^I2020*(1+OFFSET($K$40,D2020,0))^J2020*(1+OFFSET($L$40,D2020,0))^K2020*(1+OFFSET($M$40,D2020,0))^L2020</f>
        <v>416.596112359674</v>
      </c>
      <c r="N2020" s="95">
        <f ca="1">MAX(MAX($N$53:N2019),OFFSET($C$52,MATCH(M2020*1.07,$M$53:$M$2052,1),0)-C2020)</f>
        <v>73440</v>
      </c>
    </row>
    <row r="2021" spans="2:14">
      <c r="B2021" s="95">
        <v>1969</v>
      </c>
      <c r="C2021" s="95">
        <f t="shared" ref="C2021:C2052" si="151">C2020+360</f>
        <v>708840</v>
      </c>
      <c r="D2021" s="95">
        <f ca="1">_xlfn.XLOOKUP(总览!$B$44,$B$40:$B$45,$C$40:$C$45)</f>
        <v>5</v>
      </c>
      <c r="E2021" s="95">
        <f ca="1" t="shared" si="150"/>
        <v>1999</v>
      </c>
      <c r="F2021" s="95">
        <f ca="1" t="shared" ref="F2021:F2052" si="152">30-SUM(G2021:L2021)</f>
        <v>0</v>
      </c>
      <c r="G2021" s="95">
        <f ca="1" t="shared" ref="G2021:G2052" si="153">30-SUM(H2021:L2021)</f>
        <v>0</v>
      </c>
      <c r="H2021" s="95" cm="1">
        <f ca="1" t="array" ref="H2021">MIN(30-SUM(I2021:L2021),_xlfn.XLOOKUP($D2021&amp;"_"&amp;H$52,$B$14:$B$36&amp;"_"&amp;$C$14:$C$36,$D$14:$D$36)*$E2021,18)</f>
        <v>10.4028</v>
      </c>
      <c r="I2021" s="95" cm="1">
        <f ca="1" t="array" ref="I2021">MIN(30-SUM(J2021:L2021),6-L2021,_xlfn.XLOOKUP($D2021&amp;"_"&amp;I$52,$B$14:$B$36&amp;"_"&amp;$C$14:$C$36,$D$14:$D$36)*$E2021)</f>
        <v>0</v>
      </c>
      <c r="J2021" s="95" cm="1">
        <f ca="1" t="array" ref="J2021">MIN(8,_xlfn.XLOOKUP($D2021&amp;"_"&amp;J$52,$B$14:$B$36&amp;"_"&amp;$C$14:$C$36,$D$14:$D$36)*$E2021)</f>
        <v>8</v>
      </c>
      <c r="K2021" s="95" cm="1">
        <f ca="1" t="array" ref="K2021">MIN(18,_xlfn.XLOOKUP($D2021&amp;"_"&amp;K$52,$B$14:$B$36&amp;"_"&amp;$C$14:$C$36,$D$14:$D$36)*$E2021)</f>
        <v>5.5972</v>
      </c>
      <c r="L2021" s="95" cm="1">
        <f ca="1" t="array" ref="L2021">MIN(6,_xlfn.XLOOKUP($D2021&amp;"_"&amp;L$52,$B$14:$B$36&amp;"_"&amp;$C$14:$C$36,$D$14:$D$36)*$E2021)</f>
        <v>6</v>
      </c>
      <c r="M2021" s="95" cm="1">
        <f ca="1" t="array" ref="M2021">(1+SUMPRODUCT(G2021:H2021,OFFSET($H$40:$I$40,D2021,0)))*(1+OFFSET($J$40,D2021,0))^I2021*(1+OFFSET($K$40,D2021,0))^J2021*(1+OFFSET($L$40,D2021,0))^K2021*(1+OFFSET($M$40,D2021,0))^L2021</f>
        <v>416.733083240822</v>
      </c>
      <c r="N2021" s="95">
        <f ca="1">MAX(MAX($N$53:N2020),OFFSET($C$52,MATCH(M2021*1.07,$M$53:$M$2052,1),0)-C2021)</f>
        <v>73440</v>
      </c>
    </row>
    <row r="2022" spans="2:14">
      <c r="B2022" s="95">
        <v>1970</v>
      </c>
      <c r="C2022" s="95">
        <f t="shared" si="151"/>
        <v>709200</v>
      </c>
      <c r="D2022" s="95">
        <f ca="1">_xlfn.XLOOKUP(总览!$B$44,$B$40:$B$45,$C$40:$C$45)</f>
        <v>5</v>
      </c>
      <c r="E2022" s="95">
        <f ca="1" t="shared" si="150"/>
        <v>2000</v>
      </c>
      <c r="F2022" s="95">
        <f ca="1" t="shared" si="152"/>
        <v>0</v>
      </c>
      <c r="G2022" s="95">
        <f ca="1" t="shared" si="153"/>
        <v>0</v>
      </c>
      <c r="H2022" s="95" cm="1">
        <f ca="1" t="array" ref="H2022">MIN(30-SUM(I2022:L2022),_xlfn.XLOOKUP($D2022&amp;"_"&amp;H$52,$B$14:$B$36&amp;"_"&amp;$C$14:$C$36,$D$14:$D$36)*$E2022,18)</f>
        <v>10.4</v>
      </c>
      <c r="I2022" s="95" cm="1">
        <f ca="1" t="array" ref="I2022">MIN(30-SUM(J2022:L2022),6-L2022,_xlfn.XLOOKUP($D2022&amp;"_"&amp;I$52,$B$14:$B$36&amp;"_"&amp;$C$14:$C$36,$D$14:$D$36)*$E2022)</f>
        <v>0</v>
      </c>
      <c r="J2022" s="95" cm="1">
        <f ca="1" t="array" ref="J2022">MIN(8,_xlfn.XLOOKUP($D2022&amp;"_"&amp;J$52,$B$14:$B$36&amp;"_"&amp;$C$14:$C$36,$D$14:$D$36)*$E2022)</f>
        <v>8</v>
      </c>
      <c r="K2022" s="95" cm="1">
        <f ca="1" t="array" ref="K2022">MIN(18,_xlfn.XLOOKUP($D2022&amp;"_"&amp;K$52,$B$14:$B$36&amp;"_"&amp;$C$14:$C$36,$D$14:$D$36)*$E2022)</f>
        <v>5.6</v>
      </c>
      <c r="L2022" s="95" cm="1">
        <f ca="1" t="array" ref="L2022">MIN(6,_xlfn.XLOOKUP($D2022&amp;"_"&amp;L$52,$B$14:$B$36&amp;"_"&amp;$C$14:$C$36,$D$14:$D$36)*$E2022)</f>
        <v>6</v>
      </c>
      <c r="M2022" s="95" cm="1">
        <f ca="1" t="array" ref="M2022">(1+SUMPRODUCT(G2022:H2022,OFFSET($H$40:$I$40,D2022,0)))*(1+OFFSET($J$40,D2022,0))^I2022*(1+OFFSET($K$40,D2022,0))^J2022*(1+OFFSET($L$40,D2022,0))^K2022*(1+OFFSET($M$40,D2022,0))^L2022</f>
        <v>416.870085380229</v>
      </c>
      <c r="N2022" s="95">
        <f ca="1">MAX(MAX($N$53:N2021),OFFSET($C$52,MATCH(M2022*1.07,$M$53:$M$2052,1),0)-C2022)</f>
        <v>73440</v>
      </c>
    </row>
    <row r="2023" spans="2:14">
      <c r="B2023" s="95">
        <v>1971</v>
      </c>
      <c r="C2023" s="95">
        <f t="shared" si="151"/>
        <v>709560</v>
      </c>
      <c r="D2023" s="95">
        <f ca="1">_xlfn.XLOOKUP(总览!$B$44,$B$40:$B$45,$C$40:$C$45)</f>
        <v>5</v>
      </c>
      <c r="E2023" s="95">
        <f ca="1" t="shared" si="150"/>
        <v>2001</v>
      </c>
      <c r="F2023" s="95">
        <f ca="1" t="shared" si="152"/>
        <v>0</v>
      </c>
      <c r="G2023" s="95">
        <f ca="1" t="shared" si="153"/>
        <v>0</v>
      </c>
      <c r="H2023" s="95" cm="1">
        <f ca="1" t="array" ref="H2023">MIN(30-SUM(I2023:L2023),_xlfn.XLOOKUP($D2023&amp;"_"&amp;H$52,$B$14:$B$36&amp;"_"&amp;$C$14:$C$36,$D$14:$D$36)*$E2023,18)</f>
        <v>10.3972</v>
      </c>
      <c r="I2023" s="95" cm="1">
        <f ca="1" t="array" ref="I2023">MIN(30-SUM(J2023:L2023),6-L2023,_xlfn.XLOOKUP($D2023&amp;"_"&amp;I$52,$B$14:$B$36&amp;"_"&amp;$C$14:$C$36,$D$14:$D$36)*$E2023)</f>
        <v>0</v>
      </c>
      <c r="J2023" s="95" cm="1">
        <f ca="1" t="array" ref="J2023">MIN(8,_xlfn.XLOOKUP($D2023&amp;"_"&amp;J$52,$B$14:$B$36&amp;"_"&amp;$C$14:$C$36,$D$14:$D$36)*$E2023)</f>
        <v>8</v>
      </c>
      <c r="K2023" s="95" cm="1">
        <f ca="1" t="array" ref="K2023">MIN(18,_xlfn.XLOOKUP($D2023&amp;"_"&amp;K$52,$B$14:$B$36&amp;"_"&amp;$C$14:$C$36,$D$14:$D$36)*$E2023)</f>
        <v>5.6028</v>
      </c>
      <c r="L2023" s="95" cm="1">
        <f ca="1" t="array" ref="L2023">MIN(6,_xlfn.XLOOKUP($D2023&amp;"_"&amp;L$52,$B$14:$B$36&amp;"_"&amp;$C$14:$C$36,$D$14:$D$36)*$E2023)</f>
        <v>6</v>
      </c>
      <c r="M2023" s="95" cm="1">
        <f ca="1" t="array" ref="M2023">(1+SUMPRODUCT(G2023:H2023,OFFSET($H$40:$I$40,D2023,0)))*(1+OFFSET($J$40,D2023,0))^I2023*(1+OFFSET($K$40,D2023,0))^J2023*(1+OFFSET($L$40,D2023,0))^K2023*(1+OFFSET($M$40,D2023,0))^L2023</f>
        <v>417.007118774105</v>
      </c>
      <c r="N2023" s="95">
        <f ca="1">MAX(MAX($N$53:N2022),OFFSET($C$52,MATCH(M2023*1.07,$M$53:$M$2052,1),0)-C2023)</f>
        <v>73440</v>
      </c>
    </row>
    <row r="2024" spans="2:14">
      <c r="B2024" s="95">
        <v>1972</v>
      </c>
      <c r="C2024" s="95">
        <f t="shared" si="151"/>
        <v>709920</v>
      </c>
      <c r="D2024" s="95">
        <f ca="1">_xlfn.XLOOKUP(总览!$B$44,$B$40:$B$45,$C$40:$C$45)</f>
        <v>5</v>
      </c>
      <c r="E2024" s="95">
        <f ca="1" t="shared" si="150"/>
        <v>2002</v>
      </c>
      <c r="F2024" s="95">
        <f ca="1" t="shared" si="152"/>
        <v>0</v>
      </c>
      <c r="G2024" s="95">
        <f ca="1" t="shared" si="153"/>
        <v>0</v>
      </c>
      <c r="H2024" s="95" cm="1">
        <f ca="1" t="array" ref="H2024">MIN(30-SUM(I2024:L2024),_xlfn.XLOOKUP($D2024&amp;"_"&amp;H$52,$B$14:$B$36&amp;"_"&amp;$C$14:$C$36,$D$14:$D$36)*$E2024,18)</f>
        <v>10.3944</v>
      </c>
      <c r="I2024" s="95" cm="1">
        <f ca="1" t="array" ref="I2024">MIN(30-SUM(J2024:L2024),6-L2024,_xlfn.XLOOKUP($D2024&amp;"_"&amp;I$52,$B$14:$B$36&amp;"_"&amp;$C$14:$C$36,$D$14:$D$36)*$E2024)</f>
        <v>0</v>
      </c>
      <c r="J2024" s="95" cm="1">
        <f ca="1" t="array" ref="J2024">MIN(8,_xlfn.XLOOKUP($D2024&amp;"_"&amp;J$52,$B$14:$B$36&amp;"_"&amp;$C$14:$C$36,$D$14:$D$36)*$E2024)</f>
        <v>8</v>
      </c>
      <c r="K2024" s="95" cm="1">
        <f ca="1" t="array" ref="K2024">MIN(18,_xlfn.XLOOKUP($D2024&amp;"_"&amp;K$52,$B$14:$B$36&amp;"_"&amp;$C$14:$C$36,$D$14:$D$36)*$E2024)</f>
        <v>5.6056</v>
      </c>
      <c r="L2024" s="95" cm="1">
        <f ca="1" t="array" ref="L2024">MIN(6,_xlfn.XLOOKUP($D2024&amp;"_"&amp;L$52,$B$14:$B$36&amp;"_"&amp;$C$14:$C$36,$D$14:$D$36)*$E2024)</f>
        <v>6</v>
      </c>
      <c r="M2024" s="95" cm="1">
        <f ca="1" t="array" ref="M2024">(1+SUMPRODUCT(G2024:H2024,OFFSET($H$40:$I$40,D2024,0)))*(1+OFFSET($J$40,D2024,0))^I2024*(1+OFFSET($K$40,D2024,0))^J2024*(1+OFFSET($L$40,D2024,0))^K2024*(1+OFFSET($M$40,D2024,0))^L2024</f>
        <v>417.144183418645</v>
      </c>
      <c r="N2024" s="95">
        <f ca="1">MAX(MAX($N$53:N2023),OFFSET($C$52,MATCH(M2024*1.07,$M$53:$M$2052,1),0)-C2024)</f>
        <v>73440</v>
      </c>
    </row>
    <row r="2025" spans="2:14">
      <c r="B2025" s="95">
        <v>1973</v>
      </c>
      <c r="C2025" s="95">
        <f t="shared" si="151"/>
        <v>710280</v>
      </c>
      <c r="D2025" s="95">
        <f ca="1">_xlfn.XLOOKUP(总览!$B$44,$B$40:$B$45,$C$40:$C$45)</f>
        <v>5</v>
      </c>
      <c r="E2025" s="95">
        <f ca="1" t="shared" si="150"/>
        <v>2003</v>
      </c>
      <c r="F2025" s="95">
        <f ca="1" t="shared" si="152"/>
        <v>0</v>
      </c>
      <c r="G2025" s="95">
        <f ca="1" t="shared" si="153"/>
        <v>0</v>
      </c>
      <c r="H2025" s="95" cm="1">
        <f ca="1" t="array" ref="H2025">MIN(30-SUM(I2025:L2025),_xlfn.XLOOKUP($D2025&amp;"_"&amp;H$52,$B$14:$B$36&amp;"_"&amp;$C$14:$C$36,$D$14:$D$36)*$E2025,18)</f>
        <v>10.3916</v>
      </c>
      <c r="I2025" s="95" cm="1">
        <f ca="1" t="array" ref="I2025">MIN(30-SUM(J2025:L2025),6-L2025,_xlfn.XLOOKUP($D2025&amp;"_"&amp;I$52,$B$14:$B$36&amp;"_"&amp;$C$14:$C$36,$D$14:$D$36)*$E2025)</f>
        <v>0</v>
      </c>
      <c r="J2025" s="95" cm="1">
        <f ca="1" t="array" ref="J2025">MIN(8,_xlfn.XLOOKUP($D2025&amp;"_"&amp;J$52,$B$14:$B$36&amp;"_"&amp;$C$14:$C$36,$D$14:$D$36)*$E2025)</f>
        <v>8</v>
      </c>
      <c r="K2025" s="95" cm="1">
        <f ca="1" t="array" ref="K2025">MIN(18,_xlfn.XLOOKUP($D2025&amp;"_"&amp;K$52,$B$14:$B$36&amp;"_"&amp;$C$14:$C$36,$D$14:$D$36)*$E2025)</f>
        <v>5.6084</v>
      </c>
      <c r="L2025" s="95" cm="1">
        <f ca="1" t="array" ref="L2025">MIN(6,_xlfn.XLOOKUP($D2025&amp;"_"&amp;L$52,$B$14:$B$36&amp;"_"&amp;$C$14:$C$36,$D$14:$D$36)*$E2025)</f>
        <v>6</v>
      </c>
      <c r="M2025" s="95" cm="1">
        <f ca="1" t="array" ref="M2025">(1+SUMPRODUCT(G2025:H2025,OFFSET($H$40:$I$40,D2025,0)))*(1+OFFSET($J$40,D2025,0))^I2025*(1+OFFSET($K$40,D2025,0))^J2025*(1+OFFSET($L$40,D2025,0))^K2025*(1+OFFSET($M$40,D2025,0))^L2025</f>
        <v>417.281279310033</v>
      </c>
      <c r="N2025" s="95">
        <f ca="1">MAX(MAX($N$53:N2024),OFFSET($C$52,MATCH(M2025*1.07,$M$53:$M$2052,1),0)-C2025)</f>
        <v>73440</v>
      </c>
    </row>
    <row r="2026" spans="2:14">
      <c r="B2026" s="95">
        <v>1974</v>
      </c>
      <c r="C2026" s="95">
        <f t="shared" si="151"/>
        <v>710640</v>
      </c>
      <c r="D2026" s="95">
        <f ca="1">_xlfn.XLOOKUP(总览!$B$44,$B$40:$B$45,$C$40:$C$45)</f>
        <v>5</v>
      </c>
      <c r="E2026" s="95">
        <f ca="1" t="shared" si="150"/>
        <v>2004</v>
      </c>
      <c r="F2026" s="95">
        <f ca="1" t="shared" si="152"/>
        <v>0</v>
      </c>
      <c r="G2026" s="95">
        <f ca="1" t="shared" si="153"/>
        <v>0</v>
      </c>
      <c r="H2026" s="95" cm="1">
        <f ca="1" t="array" ref="H2026">MIN(30-SUM(I2026:L2026),_xlfn.XLOOKUP($D2026&amp;"_"&amp;H$52,$B$14:$B$36&amp;"_"&amp;$C$14:$C$36,$D$14:$D$36)*$E2026,18)</f>
        <v>10.3888</v>
      </c>
      <c r="I2026" s="95" cm="1">
        <f ca="1" t="array" ref="I2026">MIN(30-SUM(J2026:L2026),6-L2026,_xlfn.XLOOKUP($D2026&amp;"_"&amp;I$52,$B$14:$B$36&amp;"_"&amp;$C$14:$C$36,$D$14:$D$36)*$E2026)</f>
        <v>0</v>
      </c>
      <c r="J2026" s="95" cm="1">
        <f ca="1" t="array" ref="J2026">MIN(8,_xlfn.XLOOKUP($D2026&amp;"_"&amp;J$52,$B$14:$B$36&amp;"_"&amp;$C$14:$C$36,$D$14:$D$36)*$E2026)</f>
        <v>8</v>
      </c>
      <c r="K2026" s="95" cm="1">
        <f ca="1" t="array" ref="K2026">MIN(18,_xlfn.XLOOKUP($D2026&amp;"_"&amp;K$52,$B$14:$B$36&amp;"_"&amp;$C$14:$C$36,$D$14:$D$36)*$E2026)</f>
        <v>5.6112</v>
      </c>
      <c r="L2026" s="95" cm="1">
        <f ca="1" t="array" ref="L2026">MIN(6,_xlfn.XLOOKUP($D2026&amp;"_"&amp;L$52,$B$14:$B$36&amp;"_"&amp;$C$14:$C$36,$D$14:$D$36)*$E2026)</f>
        <v>6</v>
      </c>
      <c r="M2026" s="95" cm="1">
        <f ca="1" t="array" ref="M2026">(1+SUMPRODUCT(G2026:H2026,OFFSET($H$40:$I$40,D2026,0)))*(1+OFFSET($J$40,D2026,0))^I2026*(1+OFFSET($K$40,D2026,0))^J2026*(1+OFFSET($L$40,D2026,0))^K2026*(1+OFFSET($M$40,D2026,0))^L2026</f>
        <v>417.418406444443</v>
      </c>
      <c r="N2026" s="95">
        <f ca="1">MAX(MAX($N$53:N2025),OFFSET($C$52,MATCH(M2026*1.07,$M$53:$M$2052,1),0)-C2026)</f>
        <v>73440</v>
      </c>
    </row>
    <row r="2027" spans="2:14">
      <c r="B2027" s="95">
        <v>1975</v>
      </c>
      <c r="C2027" s="95">
        <f t="shared" si="151"/>
        <v>711000</v>
      </c>
      <c r="D2027" s="95">
        <f ca="1">_xlfn.XLOOKUP(总览!$B$44,$B$40:$B$45,$C$40:$C$45)</f>
        <v>5</v>
      </c>
      <c r="E2027" s="95">
        <f ca="1" t="shared" si="150"/>
        <v>2005</v>
      </c>
      <c r="F2027" s="95">
        <f ca="1" t="shared" si="152"/>
        <v>0</v>
      </c>
      <c r="G2027" s="95">
        <f ca="1" t="shared" si="153"/>
        <v>0</v>
      </c>
      <c r="H2027" s="95" cm="1">
        <f ca="1" t="array" ref="H2027">MIN(30-SUM(I2027:L2027),_xlfn.XLOOKUP($D2027&amp;"_"&amp;H$52,$B$14:$B$36&amp;"_"&amp;$C$14:$C$36,$D$14:$D$36)*$E2027,18)</f>
        <v>10.386</v>
      </c>
      <c r="I2027" s="95" cm="1">
        <f ca="1" t="array" ref="I2027">MIN(30-SUM(J2027:L2027),6-L2027,_xlfn.XLOOKUP($D2027&amp;"_"&amp;I$52,$B$14:$B$36&amp;"_"&amp;$C$14:$C$36,$D$14:$D$36)*$E2027)</f>
        <v>0</v>
      </c>
      <c r="J2027" s="95" cm="1">
        <f ca="1" t="array" ref="J2027">MIN(8,_xlfn.XLOOKUP($D2027&amp;"_"&amp;J$52,$B$14:$B$36&amp;"_"&amp;$C$14:$C$36,$D$14:$D$36)*$E2027)</f>
        <v>8</v>
      </c>
      <c r="K2027" s="95" cm="1">
        <f ca="1" t="array" ref="K2027">MIN(18,_xlfn.XLOOKUP($D2027&amp;"_"&amp;K$52,$B$14:$B$36&amp;"_"&amp;$C$14:$C$36,$D$14:$D$36)*$E2027)</f>
        <v>5.614</v>
      </c>
      <c r="L2027" s="95" cm="1">
        <f ca="1" t="array" ref="L2027">MIN(6,_xlfn.XLOOKUP($D2027&amp;"_"&amp;L$52,$B$14:$B$36&amp;"_"&amp;$C$14:$C$36,$D$14:$D$36)*$E2027)</f>
        <v>6</v>
      </c>
      <c r="M2027" s="95" cm="1">
        <f ca="1" t="array" ref="M2027">(1+SUMPRODUCT(G2027:H2027,OFFSET($H$40:$I$40,D2027,0)))*(1+OFFSET($J$40,D2027,0))^I2027*(1+OFFSET($K$40,D2027,0))^J2027*(1+OFFSET($L$40,D2027,0))^K2027*(1+OFFSET($M$40,D2027,0))^L2027</f>
        <v>417.555564818034</v>
      </c>
      <c r="N2027" s="95">
        <f ca="1">MAX(MAX($N$53:N2026),OFFSET($C$52,MATCH(M2027*1.07,$M$53:$M$2052,1),0)-C2027)</f>
        <v>73440</v>
      </c>
    </row>
    <row r="2028" spans="2:14">
      <c r="B2028" s="95">
        <v>1976</v>
      </c>
      <c r="C2028" s="95">
        <f t="shared" si="151"/>
        <v>711360</v>
      </c>
      <c r="D2028" s="95">
        <f ca="1">_xlfn.XLOOKUP(总览!$B$44,$B$40:$B$45,$C$40:$C$45)</f>
        <v>5</v>
      </c>
      <c r="E2028" s="95">
        <f ca="1" t="shared" si="150"/>
        <v>2006</v>
      </c>
      <c r="F2028" s="95">
        <f ca="1" t="shared" si="152"/>
        <v>0</v>
      </c>
      <c r="G2028" s="95">
        <f ca="1" t="shared" si="153"/>
        <v>0</v>
      </c>
      <c r="H2028" s="95" cm="1">
        <f ca="1" t="array" ref="H2028">MIN(30-SUM(I2028:L2028),_xlfn.XLOOKUP($D2028&amp;"_"&amp;H$52,$B$14:$B$36&amp;"_"&amp;$C$14:$C$36,$D$14:$D$36)*$E2028,18)</f>
        <v>10.3832</v>
      </c>
      <c r="I2028" s="95" cm="1">
        <f ca="1" t="array" ref="I2028">MIN(30-SUM(J2028:L2028),6-L2028,_xlfn.XLOOKUP($D2028&amp;"_"&amp;I$52,$B$14:$B$36&amp;"_"&amp;$C$14:$C$36,$D$14:$D$36)*$E2028)</f>
        <v>0</v>
      </c>
      <c r="J2028" s="95" cm="1">
        <f ca="1" t="array" ref="J2028">MIN(8,_xlfn.XLOOKUP($D2028&amp;"_"&amp;J$52,$B$14:$B$36&amp;"_"&amp;$C$14:$C$36,$D$14:$D$36)*$E2028)</f>
        <v>8</v>
      </c>
      <c r="K2028" s="95" cm="1">
        <f ca="1" t="array" ref="K2028">MIN(18,_xlfn.XLOOKUP($D2028&amp;"_"&amp;K$52,$B$14:$B$36&amp;"_"&amp;$C$14:$C$36,$D$14:$D$36)*$E2028)</f>
        <v>5.6168</v>
      </c>
      <c r="L2028" s="95" cm="1">
        <f ca="1" t="array" ref="L2028">MIN(6,_xlfn.XLOOKUP($D2028&amp;"_"&amp;L$52,$B$14:$B$36&amp;"_"&amp;$C$14:$C$36,$D$14:$D$36)*$E2028)</f>
        <v>6</v>
      </c>
      <c r="M2028" s="95" cm="1">
        <f ca="1" t="array" ref="M2028">(1+SUMPRODUCT(G2028:H2028,OFFSET($H$40:$I$40,D2028,0)))*(1+OFFSET($J$40,D2028,0))^I2028*(1+OFFSET($K$40,D2028,0))^J2028*(1+OFFSET($L$40,D2028,0))^K2028*(1+OFFSET($M$40,D2028,0))^L2028</f>
        <v>417.692754426956</v>
      </c>
      <c r="N2028" s="95">
        <f ca="1">MAX(MAX($N$53:N2027),OFFSET($C$52,MATCH(M2028*1.07,$M$53:$M$2052,1),0)-C2028)</f>
        <v>73440</v>
      </c>
    </row>
    <row r="2029" spans="2:14">
      <c r="B2029" s="95">
        <v>1977</v>
      </c>
      <c r="C2029" s="95">
        <f t="shared" si="151"/>
        <v>711720</v>
      </c>
      <c r="D2029" s="95">
        <f ca="1">_xlfn.XLOOKUP(总览!$B$44,$B$40:$B$45,$C$40:$C$45)</f>
        <v>5</v>
      </c>
      <c r="E2029" s="95">
        <f ca="1" t="shared" si="150"/>
        <v>2007</v>
      </c>
      <c r="F2029" s="95">
        <f ca="1" t="shared" si="152"/>
        <v>0</v>
      </c>
      <c r="G2029" s="95">
        <f ca="1" t="shared" si="153"/>
        <v>0</v>
      </c>
      <c r="H2029" s="95" cm="1">
        <f ca="1" t="array" ref="H2029">MIN(30-SUM(I2029:L2029),_xlfn.XLOOKUP($D2029&amp;"_"&amp;H$52,$B$14:$B$36&amp;"_"&amp;$C$14:$C$36,$D$14:$D$36)*$E2029,18)</f>
        <v>10.3804</v>
      </c>
      <c r="I2029" s="95" cm="1">
        <f ca="1" t="array" ref="I2029">MIN(30-SUM(J2029:L2029),6-L2029,_xlfn.XLOOKUP($D2029&amp;"_"&amp;I$52,$B$14:$B$36&amp;"_"&amp;$C$14:$C$36,$D$14:$D$36)*$E2029)</f>
        <v>0</v>
      </c>
      <c r="J2029" s="95" cm="1">
        <f ca="1" t="array" ref="J2029">MIN(8,_xlfn.XLOOKUP($D2029&amp;"_"&amp;J$52,$B$14:$B$36&amp;"_"&amp;$C$14:$C$36,$D$14:$D$36)*$E2029)</f>
        <v>8</v>
      </c>
      <c r="K2029" s="95" cm="1">
        <f ca="1" t="array" ref="K2029">MIN(18,_xlfn.XLOOKUP($D2029&amp;"_"&amp;K$52,$B$14:$B$36&amp;"_"&amp;$C$14:$C$36,$D$14:$D$36)*$E2029)</f>
        <v>5.6196</v>
      </c>
      <c r="L2029" s="95" cm="1">
        <f ca="1" t="array" ref="L2029">MIN(6,_xlfn.XLOOKUP($D2029&amp;"_"&amp;L$52,$B$14:$B$36&amp;"_"&amp;$C$14:$C$36,$D$14:$D$36)*$E2029)</f>
        <v>6</v>
      </c>
      <c r="M2029" s="95" cm="1">
        <f ca="1" t="array" ref="M2029">(1+SUMPRODUCT(G2029:H2029,OFFSET($H$40:$I$40,D2029,0)))*(1+OFFSET($J$40,D2029,0))^I2029*(1+OFFSET($K$40,D2029,0))^J2029*(1+OFFSET($L$40,D2029,0))^K2029*(1+OFFSET($M$40,D2029,0))^L2029</f>
        <v>417.829975267344</v>
      </c>
      <c r="N2029" s="95">
        <f ca="1">MAX(MAX($N$53:N2028),OFFSET($C$52,MATCH(M2029*1.07,$M$53:$M$2052,1),0)-C2029)</f>
        <v>73440</v>
      </c>
    </row>
    <row r="2030" spans="2:14">
      <c r="B2030" s="95">
        <v>1978</v>
      </c>
      <c r="C2030" s="95">
        <f t="shared" si="151"/>
        <v>712080</v>
      </c>
      <c r="D2030" s="95">
        <f ca="1">_xlfn.XLOOKUP(总览!$B$44,$B$40:$B$45,$C$40:$C$45)</f>
        <v>5</v>
      </c>
      <c r="E2030" s="95">
        <f ca="1" t="shared" si="150"/>
        <v>2008</v>
      </c>
      <c r="F2030" s="95">
        <f ca="1" t="shared" si="152"/>
        <v>0</v>
      </c>
      <c r="G2030" s="95">
        <f ca="1" t="shared" si="153"/>
        <v>0</v>
      </c>
      <c r="H2030" s="95" cm="1">
        <f ca="1" t="array" ref="H2030">MIN(30-SUM(I2030:L2030),_xlfn.XLOOKUP($D2030&amp;"_"&amp;H$52,$B$14:$B$36&amp;"_"&amp;$C$14:$C$36,$D$14:$D$36)*$E2030,18)</f>
        <v>10.3776</v>
      </c>
      <c r="I2030" s="95" cm="1">
        <f ca="1" t="array" ref="I2030">MIN(30-SUM(J2030:L2030),6-L2030,_xlfn.XLOOKUP($D2030&amp;"_"&amp;I$52,$B$14:$B$36&amp;"_"&amp;$C$14:$C$36,$D$14:$D$36)*$E2030)</f>
        <v>0</v>
      </c>
      <c r="J2030" s="95" cm="1">
        <f ca="1" t="array" ref="J2030">MIN(8,_xlfn.XLOOKUP($D2030&amp;"_"&amp;J$52,$B$14:$B$36&amp;"_"&amp;$C$14:$C$36,$D$14:$D$36)*$E2030)</f>
        <v>8</v>
      </c>
      <c r="K2030" s="95" cm="1">
        <f ca="1" t="array" ref="K2030">MIN(18,_xlfn.XLOOKUP($D2030&amp;"_"&amp;K$52,$B$14:$B$36&amp;"_"&amp;$C$14:$C$36,$D$14:$D$36)*$E2030)</f>
        <v>5.6224</v>
      </c>
      <c r="L2030" s="95" cm="1">
        <f ca="1" t="array" ref="L2030">MIN(6,_xlfn.XLOOKUP($D2030&amp;"_"&amp;L$52,$B$14:$B$36&amp;"_"&amp;$C$14:$C$36,$D$14:$D$36)*$E2030)</f>
        <v>6</v>
      </c>
      <c r="M2030" s="95" cm="1">
        <f ca="1" t="array" ref="M2030">(1+SUMPRODUCT(G2030:H2030,OFFSET($H$40:$I$40,D2030,0)))*(1+OFFSET($J$40,D2030,0))^I2030*(1+OFFSET($K$40,D2030,0))^J2030*(1+OFFSET($L$40,D2030,0))^K2030*(1+OFFSET($M$40,D2030,0))^L2030</f>
        <v>417.967227335322</v>
      </c>
      <c r="N2030" s="95">
        <f ca="1">MAX(MAX($N$53:N2029),OFFSET($C$52,MATCH(M2030*1.07,$M$53:$M$2052,1),0)-C2030)</f>
        <v>73440</v>
      </c>
    </row>
    <row r="2031" spans="2:14">
      <c r="B2031" s="95">
        <v>1979</v>
      </c>
      <c r="C2031" s="95">
        <f t="shared" si="151"/>
        <v>712440</v>
      </c>
      <c r="D2031" s="95">
        <f ca="1">_xlfn.XLOOKUP(总览!$B$44,$B$40:$B$45,$C$40:$C$45)</f>
        <v>5</v>
      </c>
      <c r="E2031" s="95">
        <f ca="1" t="shared" si="150"/>
        <v>2009</v>
      </c>
      <c r="F2031" s="95">
        <f ca="1" t="shared" si="152"/>
        <v>0</v>
      </c>
      <c r="G2031" s="95">
        <f ca="1" t="shared" si="153"/>
        <v>0</v>
      </c>
      <c r="H2031" s="95" cm="1">
        <f ca="1" t="array" ref="H2031">MIN(30-SUM(I2031:L2031),_xlfn.XLOOKUP($D2031&amp;"_"&amp;H$52,$B$14:$B$36&amp;"_"&amp;$C$14:$C$36,$D$14:$D$36)*$E2031,18)</f>
        <v>10.3748</v>
      </c>
      <c r="I2031" s="95" cm="1">
        <f ca="1" t="array" ref="I2031">MIN(30-SUM(J2031:L2031),6-L2031,_xlfn.XLOOKUP($D2031&amp;"_"&amp;I$52,$B$14:$B$36&amp;"_"&amp;$C$14:$C$36,$D$14:$D$36)*$E2031)</f>
        <v>0</v>
      </c>
      <c r="J2031" s="95" cm="1">
        <f ca="1" t="array" ref="J2031">MIN(8,_xlfn.XLOOKUP($D2031&amp;"_"&amp;J$52,$B$14:$B$36&amp;"_"&amp;$C$14:$C$36,$D$14:$D$36)*$E2031)</f>
        <v>8</v>
      </c>
      <c r="K2031" s="95" cm="1">
        <f ca="1" t="array" ref="K2031">MIN(18,_xlfn.XLOOKUP($D2031&amp;"_"&amp;K$52,$B$14:$B$36&amp;"_"&amp;$C$14:$C$36,$D$14:$D$36)*$E2031)</f>
        <v>5.6252</v>
      </c>
      <c r="L2031" s="95" cm="1">
        <f ca="1" t="array" ref="L2031">MIN(6,_xlfn.XLOOKUP($D2031&amp;"_"&amp;L$52,$B$14:$B$36&amp;"_"&amp;$C$14:$C$36,$D$14:$D$36)*$E2031)</f>
        <v>6</v>
      </c>
      <c r="M2031" s="95" cm="1">
        <f ca="1" t="array" ref="M2031">(1+SUMPRODUCT(G2031:H2031,OFFSET($H$40:$I$40,D2031,0)))*(1+OFFSET($J$40,D2031,0))^I2031*(1+OFFSET($K$40,D2031,0))^J2031*(1+OFFSET($L$40,D2031,0))^K2031*(1+OFFSET($M$40,D2031,0))^L2031</f>
        <v>418.104510627003</v>
      </c>
      <c r="N2031" s="95">
        <f ca="1">MAX(MAX($N$53:N2030),OFFSET($C$52,MATCH(M2031*1.07,$M$53:$M$2052,1),0)-C2031)</f>
        <v>73440</v>
      </c>
    </row>
    <row r="2032" spans="2:14">
      <c r="B2032" s="95">
        <v>1980</v>
      </c>
      <c r="C2032" s="95">
        <f t="shared" si="151"/>
        <v>712800</v>
      </c>
      <c r="D2032" s="95">
        <f ca="1">_xlfn.XLOOKUP(总览!$B$44,$B$40:$B$45,$C$40:$C$45)</f>
        <v>5</v>
      </c>
      <c r="E2032" s="95">
        <f ca="1" t="shared" si="150"/>
        <v>2010</v>
      </c>
      <c r="F2032" s="95">
        <f ca="1" t="shared" si="152"/>
        <v>0</v>
      </c>
      <c r="G2032" s="95">
        <f ca="1" t="shared" si="153"/>
        <v>0</v>
      </c>
      <c r="H2032" s="95" cm="1">
        <f ca="1" t="array" ref="H2032">MIN(30-SUM(I2032:L2032),_xlfn.XLOOKUP($D2032&amp;"_"&amp;H$52,$B$14:$B$36&amp;"_"&amp;$C$14:$C$36,$D$14:$D$36)*$E2032,18)</f>
        <v>10.372</v>
      </c>
      <c r="I2032" s="95" cm="1">
        <f ca="1" t="array" ref="I2032">MIN(30-SUM(J2032:L2032),6-L2032,_xlfn.XLOOKUP($D2032&amp;"_"&amp;I$52,$B$14:$B$36&amp;"_"&amp;$C$14:$C$36,$D$14:$D$36)*$E2032)</f>
        <v>0</v>
      </c>
      <c r="J2032" s="95" cm="1">
        <f ca="1" t="array" ref="J2032">MIN(8,_xlfn.XLOOKUP($D2032&amp;"_"&amp;J$52,$B$14:$B$36&amp;"_"&amp;$C$14:$C$36,$D$14:$D$36)*$E2032)</f>
        <v>8</v>
      </c>
      <c r="K2032" s="95" cm="1">
        <f ca="1" t="array" ref="K2032">MIN(18,_xlfn.XLOOKUP($D2032&amp;"_"&amp;K$52,$B$14:$B$36&amp;"_"&amp;$C$14:$C$36,$D$14:$D$36)*$E2032)</f>
        <v>5.628</v>
      </c>
      <c r="L2032" s="95" cm="1">
        <f ca="1" t="array" ref="L2032">MIN(6,_xlfn.XLOOKUP($D2032&amp;"_"&amp;L$52,$B$14:$B$36&amp;"_"&amp;$C$14:$C$36,$D$14:$D$36)*$E2032)</f>
        <v>6</v>
      </c>
      <c r="M2032" s="95" cm="1">
        <f ca="1" t="array" ref="M2032">(1+SUMPRODUCT(G2032:H2032,OFFSET($H$40:$I$40,D2032,0)))*(1+OFFSET($J$40,D2032,0))^I2032*(1+OFFSET($K$40,D2032,0))^J2032*(1+OFFSET($L$40,D2032,0))^K2032*(1+OFFSET($M$40,D2032,0))^L2032</f>
        <v>418.241825138486</v>
      </c>
      <c r="N2032" s="95">
        <f ca="1">MAX(MAX($N$53:N2031),OFFSET($C$52,MATCH(M2032*1.07,$M$53:$M$2052,1),0)-C2032)</f>
        <v>73440</v>
      </c>
    </row>
    <row r="2033" spans="2:14">
      <c r="B2033" s="95">
        <v>1981</v>
      </c>
      <c r="C2033" s="95">
        <f t="shared" si="151"/>
        <v>713160</v>
      </c>
      <c r="D2033" s="95">
        <f ca="1">_xlfn.XLOOKUP(总览!$B$44,$B$40:$B$45,$C$40:$C$45)</f>
        <v>5</v>
      </c>
      <c r="E2033" s="95">
        <f ca="1" t="shared" si="150"/>
        <v>2011</v>
      </c>
      <c r="F2033" s="95">
        <f ca="1" t="shared" si="152"/>
        <v>0</v>
      </c>
      <c r="G2033" s="95">
        <f ca="1" t="shared" si="153"/>
        <v>0</v>
      </c>
      <c r="H2033" s="95" cm="1">
        <f ca="1" t="array" ref="H2033">MIN(30-SUM(I2033:L2033),_xlfn.XLOOKUP($D2033&amp;"_"&amp;H$52,$B$14:$B$36&amp;"_"&amp;$C$14:$C$36,$D$14:$D$36)*$E2033,18)</f>
        <v>10.3692</v>
      </c>
      <c r="I2033" s="95" cm="1">
        <f ca="1" t="array" ref="I2033">MIN(30-SUM(J2033:L2033),6-L2033,_xlfn.XLOOKUP($D2033&amp;"_"&amp;I$52,$B$14:$B$36&amp;"_"&amp;$C$14:$C$36,$D$14:$D$36)*$E2033)</f>
        <v>0</v>
      </c>
      <c r="J2033" s="95" cm="1">
        <f ca="1" t="array" ref="J2033">MIN(8,_xlfn.XLOOKUP($D2033&amp;"_"&amp;J$52,$B$14:$B$36&amp;"_"&amp;$C$14:$C$36,$D$14:$D$36)*$E2033)</f>
        <v>8</v>
      </c>
      <c r="K2033" s="95" cm="1">
        <f ca="1" t="array" ref="K2033">MIN(18,_xlfn.XLOOKUP($D2033&amp;"_"&amp;K$52,$B$14:$B$36&amp;"_"&amp;$C$14:$C$36,$D$14:$D$36)*$E2033)</f>
        <v>5.6308</v>
      </c>
      <c r="L2033" s="95" cm="1">
        <f ca="1" t="array" ref="L2033">MIN(6,_xlfn.XLOOKUP($D2033&amp;"_"&amp;L$52,$B$14:$B$36&amp;"_"&amp;$C$14:$C$36,$D$14:$D$36)*$E2033)</f>
        <v>6</v>
      </c>
      <c r="M2033" s="95" cm="1">
        <f ca="1" t="array" ref="M2033">(1+SUMPRODUCT(G2033:H2033,OFFSET($H$40:$I$40,D2033,0)))*(1+OFFSET($J$40,D2033,0))^I2033*(1+OFFSET($K$40,D2033,0))^J2033*(1+OFFSET($L$40,D2033,0))^K2033*(1+OFFSET($M$40,D2033,0))^L2033</f>
        <v>418.379170865859</v>
      </c>
      <c r="N2033" s="95">
        <f ca="1">MAX(MAX($N$53:N2032),OFFSET($C$52,MATCH(M2033*1.07,$M$53:$M$2052,1),0)-C2033)</f>
        <v>73440</v>
      </c>
    </row>
    <row r="2034" spans="2:14">
      <c r="B2034" s="95">
        <v>1982</v>
      </c>
      <c r="C2034" s="95">
        <f t="shared" si="151"/>
        <v>713520</v>
      </c>
      <c r="D2034" s="95">
        <f ca="1">_xlfn.XLOOKUP(总览!$B$44,$B$40:$B$45,$C$40:$C$45)</f>
        <v>5</v>
      </c>
      <c r="E2034" s="95">
        <f ca="1" t="shared" si="150"/>
        <v>2012</v>
      </c>
      <c r="F2034" s="95">
        <f ca="1" t="shared" si="152"/>
        <v>0</v>
      </c>
      <c r="G2034" s="95">
        <f ca="1" t="shared" si="153"/>
        <v>0</v>
      </c>
      <c r="H2034" s="95" cm="1">
        <f ca="1" t="array" ref="H2034">MIN(30-SUM(I2034:L2034),_xlfn.XLOOKUP($D2034&amp;"_"&amp;H$52,$B$14:$B$36&amp;"_"&amp;$C$14:$C$36,$D$14:$D$36)*$E2034,18)</f>
        <v>10.3664</v>
      </c>
      <c r="I2034" s="95" cm="1">
        <f ca="1" t="array" ref="I2034">MIN(30-SUM(J2034:L2034),6-L2034,_xlfn.XLOOKUP($D2034&amp;"_"&amp;I$52,$B$14:$B$36&amp;"_"&amp;$C$14:$C$36,$D$14:$D$36)*$E2034)</f>
        <v>0</v>
      </c>
      <c r="J2034" s="95" cm="1">
        <f ca="1" t="array" ref="J2034">MIN(8,_xlfn.XLOOKUP($D2034&amp;"_"&amp;J$52,$B$14:$B$36&amp;"_"&amp;$C$14:$C$36,$D$14:$D$36)*$E2034)</f>
        <v>8</v>
      </c>
      <c r="K2034" s="95" cm="1">
        <f ca="1" t="array" ref="K2034">MIN(18,_xlfn.XLOOKUP($D2034&amp;"_"&amp;K$52,$B$14:$B$36&amp;"_"&amp;$C$14:$C$36,$D$14:$D$36)*$E2034)</f>
        <v>5.6336</v>
      </c>
      <c r="L2034" s="95" cm="1">
        <f ca="1" t="array" ref="L2034">MIN(6,_xlfn.XLOOKUP($D2034&amp;"_"&amp;L$52,$B$14:$B$36&amp;"_"&amp;$C$14:$C$36,$D$14:$D$36)*$E2034)</f>
        <v>6</v>
      </c>
      <c r="M2034" s="95" cm="1">
        <f ca="1" t="array" ref="M2034">(1+SUMPRODUCT(G2034:H2034,OFFSET($H$40:$I$40,D2034,0)))*(1+OFFSET($J$40,D2034,0))^I2034*(1+OFFSET($K$40,D2034,0))^J2034*(1+OFFSET($L$40,D2034,0))^K2034*(1+OFFSET($M$40,D2034,0))^L2034</f>
        <v>418.516547805199</v>
      </c>
      <c r="N2034" s="95">
        <f ca="1">MAX(MAX($N$53:N2033),OFFSET($C$52,MATCH(M2034*1.07,$M$53:$M$2052,1),0)-C2034)</f>
        <v>73440</v>
      </c>
    </row>
    <row r="2035" spans="2:14">
      <c r="B2035" s="95">
        <v>1983</v>
      </c>
      <c r="C2035" s="95">
        <f t="shared" si="151"/>
        <v>713880</v>
      </c>
      <c r="D2035" s="95">
        <f ca="1">_xlfn.XLOOKUP(总览!$B$44,$B$40:$B$45,$C$40:$C$45)</f>
        <v>5</v>
      </c>
      <c r="E2035" s="95">
        <f ca="1" t="shared" si="150"/>
        <v>2013</v>
      </c>
      <c r="F2035" s="95">
        <f ca="1" t="shared" si="152"/>
        <v>0</v>
      </c>
      <c r="G2035" s="95">
        <f ca="1" t="shared" si="153"/>
        <v>0</v>
      </c>
      <c r="H2035" s="95" cm="1">
        <f ca="1" t="array" ref="H2035">MIN(30-SUM(I2035:L2035),_xlfn.XLOOKUP($D2035&amp;"_"&amp;H$52,$B$14:$B$36&amp;"_"&amp;$C$14:$C$36,$D$14:$D$36)*$E2035,18)</f>
        <v>10.3636</v>
      </c>
      <c r="I2035" s="95" cm="1">
        <f ca="1" t="array" ref="I2035">MIN(30-SUM(J2035:L2035),6-L2035,_xlfn.XLOOKUP($D2035&amp;"_"&amp;I$52,$B$14:$B$36&amp;"_"&amp;$C$14:$C$36,$D$14:$D$36)*$E2035)</f>
        <v>0</v>
      </c>
      <c r="J2035" s="95" cm="1">
        <f ca="1" t="array" ref="J2035">MIN(8,_xlfn.XLOOKUP($D2035&amp;"_"&amp;J$52,$B$14:$B$36&amp;"_"&amp;$C$14:$C$36,$D$14:$D$36)*$E2035)</f>
        <v>8</v>
      </c>
      <c r="K2035" s="95" cm="1">
        <f ca="1" t="array" ref="K2035">MIN(18,_xlfn.XLOOKUP($D2035&amp;"_"&amp;K$52,$B$14:$B$36&amp;"_"&amp;$C$14:$C$36,$D$14:$D$36)*$E2035)</f>
        <v>5.6364</v>
      </c>
      <c r="L2035" s="95" cm="1">
        <f ca="1" t="array" ref="L2035">MIN(6,_xlfn.XLOOKUP($D2035&amp;"_"&amp;L$52,$B$14:$B$36&amp;"_"&amp;$C$14:$C$36,$D$14:$D$36)*$E2035)</f>
        <v>6</v>
      </c>
      <c r="M2035" s="95" cm="1">
        <f ca="1" t="array" ref="M2035">(1+SUMPRODUCT(G2035:H2035,OFFSET($H$40:$I$40,D2035,0)))*(1+OFFSET($J$40,D2035,0))^I2035*(1+OFFSET($K$40,D2035,0))^J2035*(1+OFFSET($L$40,D2035,0))^K2035*(1+OFFSET($M$40,D2035,0))^L2035</f>
        <v>418.653955952568</v>
      </c>
      <c r="N2035" s="95">
        <f ca="1">MAX(MAX($N$53:N2034),OFFSET($C$52,MATCH(M2035*1.07,$M$53:$M$2052,1),0)-C2035)</f>
        <v>73440</v>
      </c>
    </row>
    <row r="2036" spans="2:14">
      <c r="B2036" s="95">
        <v>1984</v>
      </c>
      <c r="C2036" s="95">
        <f t="shared" si="151"/>
        <v>714240</v>
      </c>
      <c r="D2036" s="95">
        <f ca="1">_xlfn.XLOOKUP(总览!$B$44,$B$40:$B$45,$C$40:$C$45)</f>
        <v>5</v>
      </c>
      <c r="E2036" s="95">
        <f ca="1" t="shared" si="150"/>
        <v>2014</v>
      </c>
      <c r="F2036" s="95">
        <f ca="1" t="shared" si="152"/>
        <v>0</v>
      </c>
      <c r="G2036" s="95">
        <f ca="1" t="shared" si="153"/>
        <v>0</v>
      </c>
      <c r="H2036" s="95" cm="1">
        <f ca="1" t="array" ref="H2036">MIN(30-SUM(I2036:L2036),_xlfn.XLOOKUP($D2036&amp;"_"&amp;H$52,$B$14:$B$36&amp;"_"&amp;$C$14:$C$36,$D$14:$D$36)*$E2036,18)</f>
        <v>10.3608</v>
      </c>
      <c r="I2036" s="95" cm="1">
        <f ca="1" t="array" ref="I2036">MIN(30-SUM(J2036:L2036),6-L2036,_xlfn.XLOOKUP($D2036&amp;"_"&amp;I$52,$B$14:$B$36&amp;"_"&amp;$C$14:$C$36,$D$14:$D$36)*$E2036)</f>
        <v>0</v>
      </c>
      <c r="J2036" s="95" cm="1">
        <f ca="1" t="array" ref="J2036">MIN(8,_xlfn.XLOOKUP($D2036&amp;"_"&amp;J$52,$B$14:$B$36&amp;"_"&amp;$C$14:$C$36,$D$14:$D$36)*$E2036)</f>
        <v>8</v>
      </c>
      <c r="K2036" s="95" cm="1">
        <f ca="1" t="array" ref="K2036">MIN(18,_xlfn.XLOOKUP($D2036&amp;"_"&amp;K$52,$B$14:$B$36&amp;"_"&amp;$C$14:$C$36,$D$14:$D$36)*$E2036)</f>
        <v>5.6392</v>
      </c>
      <c r="L2036" s="95" cm="1">
        <f ca="1" t="array" ref="L2036">MIN(6,_xlfn.XLOOKUP($D2036&amp;"_"&amp;L$52,$B$14:$B$36&amp;"_"&amp;$C$14:$C$36,$D$14:$D$36)*$E2036)</f>
        <v>6</v>
      </c>
      <c r="M2036" s="95" cm="1">
        <f ca="1" t="array" ref="M2036">(1+SUMPRODUCT(G2036:H2036,OFFSET($H$40:$I$40,D2036,0)))*(1+OFFSET($J$40,D2036,0))^I2036*(1+OFFSET($K$40,D2036,0))^J2036*(1+OFFSET($L$40,D2036,0))^K2036*(1+OFFSET($M$40,D2036,0))^L2036</f>
        <v>418.791395304018</v>
      </c>
      <c r="N2036" s="95">
        <f ca="1">MAX(MAX($N$53:N2035),OFFSET($C$52,MATCH(M2036*1.07,$M$53:$M$2052,1),0)-C2036)</f>
        <v>73440</v>
      </c>
    </row>
    <row r="2037" spans="2:14">
      <c r="B2037" s="95">
        <v>1985</v>
      </c>
      <c r="C2037" s="95">
        <f t="shared" si="151"/>
        <v>714600</v>
      </c>
      <c r="D2037" s="95">
        <f ca="1">_xlfn.XLOOKUP(总览!$B$44,$B$40:$B$45,$C$40:$C$45)</f>
        <v>5</v>
      </c>
      <c r="E2037" s="95">
        <f ca="1" t="shared" si="150"/>
        <v>2015</v>
      </c>
      <c r="F2037" s="95">
        <f ca="1" t="shared" si="152"/>
        <v>0</v>
      </c>
      <c r="G2037" s="95">
        <f ca="1" t="shared" si="153"/>
        <v>0</v>
      </c>
      <c r="H2037" s="95" cm="1">
        <f ca="1" t="array" ref="H2037">MIN(30-SUM(I2037:L2037),_xlfn.XLOOKUP($D2037&amp;"_"&amp;H$52,$B$14:$B$36&amp;"_"&amp;$C$14:$C$36,$D$14:$D$36)*$E2037,18)</f>
        <v>10.358</v>
      </c>
      <c r="I2037" s="95" cm="1">
        <f ca="1" t="array" ref="I2037">MIN(30-SUM(J2037:L2037),6-L2037,_xlfn.XLOOKUP($D2037&amp;"_"&amp;I$52,$B$14:$B$36&amp;"_"&amp;$C$14:$C$36,$D$14:$D$36)*$E2037)</f>
        <v>0</v>
      </c>
      <c r="J2037" s="95" cm="1">
        <f ca="1" t="array" ref="J2037">MIN(8,_xlfn.XLOOKUP($D2037&amp;"_"&amp;J$52,$B$14:$B$36&amp;"_"&amp;$C$14:$C$36,$D$14:$D$36)*$E2037)</f>
        <v>8</v>
      </c>
      <c r="K2037" s="95" cm="1">
        <f ca="1" t="array" ref="K2037">MIN(18,_xlfn.XLOOKUP($D2037&amp;"_"&amp;K$52,$B$14:$B$36&amp;"_"&amp;$C$14:$C$36,$D$14:$D$36)*$E2037)</f>
        <v>5.642</v>
      </c>
      <c r="L2037" s="95" cm="1">
        <f ca="1" t="array" ref="L2037">MIN(6,_xlfn.XLOOKUP($D2037&amp;"_"&amp;L$52,$B$14:$B$36&amp;"_"&amp;$C$14:$C$36,$D$14:$D$36)*$E2037)</f>
        <v>6</v>
      </c>
      <c r="M2037" s="95" cm="1">
        <f ca="1" t="array" ref="M2037">(1+SUMPRODUCT(G2037:H2037,OFFSET($H$40:$I$40,D2037,0)))*(1+OFFSET($J$40,D2037,0))^I2037*(1+OFFSET($K$40,D2037,0))^J2037*(1+OFFSET($L$40,D2037,0))^K2037*(1+OFFSET($M$40,D2037,0))^L2037</f>
        <v>418.928865855588</v>
      </c>
      <c r="N2037" s="95">
        <f ca="1">MAX(MAX($N$53:N2036),OFFSET($C$52,MATCH(M2037*1.07,$M$53:$M$2052,1),0)-C2037)</f>
        <v>73440</v>
      </c>
    </row>
    <row r="2038" spans="2:14">
      <c r="B2038" s="95">
        <v>1986</v>
      </c>
      <c r="C2038" s="95">
        <f t="shared" si="151"/>
        <v>714960</v>
      </c>
      <c r="D2038" s="95">
        <f ca="1">_xlfn.XLOOKUP(总览!$B$44,$B$40:$B$45,$C$40:$C$45)</f>
        <v>5</v>
      </c>
      <c r="E2038" s="95">
        <f ca="1" t="shared" ref="E2038:E2052" si="154">INT(C2038/_xlfn.XLOOKUP(D2038,$N$5:$N$16,$O$5:$O$16))+OFFSET($R$40,D2038,0)</f>
        <v>2016</v>
      </c>
      <c r="F2038" s="95">
        <f ca="1" t="shared" si="152"/>
        <v>0</v>
      </c>
      <c r="G2038" s="95">
        <f ca="1" t="shared" si="153"/>
        <v>0</v>
      </c>
      <c r="H2038" s="95" cm="1">
        <f ca="1" t="array" ref="H2038">MIN(30-SUM(I2038:L2038),_xlfn.XLOOKUP($D2038&amp;"_"&amp;H$52,$B$14:$B$36&amp;"_"&amp;$C$14:$C$36,$D$14:$D$36)*$E2038,18)</f>
        <v>10.3552</v>
      </c>
      <c r="I2038" s="95" cm="1">
        <f ca="1" t="array" ref="I2038">MIN(30-SUM(J2038:L2038),6-L2038,_xlfn.XLOOKUP($D2038&amp;"_"&amp;I$52,$B$14:$B$36&amp;"_"&amp;$C$14:$C$36,$D$14:$D$36)*$E2038)</f>
        <v>0</v>
      </c>
      <c r="J2038" s="95" cm="1">
        <f ca="1" t="array" ref="J2038">MIN(8,_xlfn.XLOOKUP($D2038&amp;"_"&amp;J$52,$B$14:$B$36&amp;"_"&amp;$C$14:$C$36,$D$14:$D$36)*$E2038)</f>
        <v>8</v>
      </c>
      <c r="K2038" s="95" cm="1">
        <f ca="1" t="array" ref="K2038">MIN(18,_xlfn.XLOOKUP($D2038&amp;"_"&amp;K$52,$B$14:$B$36&amp;"_"&amp;$C$14:$C$36,$D$14:$D$36)*$E2038)</f>
        <v>5.6448</v>
      </c>
      <c r="L2038" s="95" cm="1">
        <f ca="1" t="array" ref="L2038">MIN(6,_xlfn.XLOOKUP($D2038&amp;"_"&amp;L$52,$B$14:$B$36&amp;"_"&amp;$C$14:$C$36,$D$14:$D$36)*$E2038)</f>
        <v>6</v>
      </c>
      <c r="M2038" s="95" cm="1">
        <f ca="1" t="array" ref="M2038">(1+SUMPRODUCT(G2038:H2038,OFFSET($H$40:$I$40,D2038,0)))*(1+OFFSET($J$40,D2038,0))^I2038*(1+OFFSET($K$40,D2038,0))^J2038*(1+OFFSET($L$40,D2038,0))^K2038*(1+OFFSET($M$40,D2038,0))^L2038</f>
        <v>419.066367603305</v>
      </c>
      <c r="N2038" s="95">
        <f ca="1">MAX(MAX($N$53:N2037),OFFSET($C$52,MATCH(M2038*1.07,$M$53:$M$2052,1),0)-C2038)</f>
        <v>73440</v>
      </c>
    </row>
    <row r="2039" spans="2:14">
      <c r="B2039" s="95">
        <v>1987</v>
      </c>
      <c r="C2039" s="95">
        <f t="shared" si="151"/>
        <v>715320</v>
      </c>
      <c r="D2039" s="95">
        <f ca="1">_xlfn.XLOOKUP(总览!$B$44,$B$40:$B$45,$C$40:$C$45)</f>
        <v>5</v>
      </c>
      <c r="E2039" s="95">
        <f ca="1" t="shared" si="154"/>
        <v>2017</v>
      </c>
      <c r="F2039" s="95">
        <f ca="1" t="shared" si="152"/>
        <v>0</v>
      </c>
      <c r="G2039" s="95">
        <f ca="1" t="shared" si="153"/>
        <v>0</v>
      </c>
      <c r="H2039" s="95" cm="1">
        <f ca="1" t="array" ref="H2039">MIN(30-SUM(I2039:L2039),_xlfn.XLOOKUP($D2039&amp;"_"&amp;H$52,$B$14:$B$36&amp;"_"&amp;$C$14:$C$36,$D$14:$D$36)*$E2039,18)</f>
        <v>10.3524</v>
      </c>
      <c r="I2039" s="95" cm="1">
        <f ca="1" t="array" ref="I2039">MIN(30-SUM(J2039:L2039),6-L2039,_xlfn.XLOOKUP($D2039&amp;"_"&amp;I$52,$B$14:$B$36&amp;"_"&amp;$C$14:$C$36,$D$14:$D$36)*$E2039)</f>
        <v>0</v>
      </c>
      <c r="J2039" s="95" cm="1">
        <f ca="1" t="array" ref="J2039">MIN(8,_xlfn.XLOOKUP($D2039&amp;"_"&amp;J$52,$B$14:$B$36&amp;"_"&amp;$C$14:$C$36,$D$14:$D$36)*$E2039)</f>
        <v>8</v>
      </c>
      <c r="K2039" s="95" cm="1">
        <f ca="1" t="array" ref="K2039">MIN(18,_xlfn.XLOOKUP($D2039&amp;"_"&amp;K$52,$B$14:$B$36&amp;"_"&amp;$C$14:$C$36,$D$14:$D$36)*$E2039)</f>
        <v>5.6476</v>
      </c>
      <c r="L2039" s="95" cm="1">
        <f ca="1" t="array" ref="L2039">MIN(6,_xlfn.XLOOKUP($D2039&amp;"_"&amp;L$52,$B$14:$B$36&amp;"_"&amp;$C$14:$C$36,$D$14:$D$36)*$E2039)</f>
        <v>6</v>
      </c>
      <c r="M2039" s="95" cm="1">
        <f ca="1" t="array" ref="M2039">(1+SUMPRODUCT(G2039:H2039,OFFSET($H$40:$I$40,D2039,0)))*(1+OFFSET($J$40,D2039,0))^I2039*(1+OFFSET($K$40,D2039,0))^J2039*(1+OFFSET($L$40,D2039,0))^K2039*(1+OFFSET($M$40,D2039,0))^L2039</f>
        <v>419.203900543184</v>
      </c>
      <c r="N2039" s="95">
        <f ca="1">MAX(MAX($N$53:N2038),OFFSET($C$52,MATCH(M2039*1.07,$M$53:$M$2052,1),0)-C2039)</f>
        <v>73440</v>
      </c>
    </row>
    <row r="2040" spans="2:14">
      <c r="B2040" s="95">
        <v>1988</v>
      </c>
      <c r="C2040" s="95">
        <f t="shared" si="151"/>
        <v>715680</v>
      </c>
      <c r="D2040" s="95">
        <f ca="1">_xlfn.XLOOKUP(总览!$B$44,$B$40:$B$45,$C$40:$C$45)</f>
        <v>5</v>
      </c>
      <c r="E2040" s="95">
        <f ca="1" t="shared" si="154"/>
        <v>2018</v>
      </c>
      <c r="F2040" s="95">
        <f ca="1" t="shared" si="152"/>
        <v>0</v>
      </c>
      <c r="G2040" s="95">
        <f ca="1" t="shared" si="153"/>
        <v>0</v>
      </c>
      <c r="H2040" s="95" cm="1">
        <f ca="1" t="array" ref="H2040">MIN(30-SUM(I2040:L2040),_xlfn.XLOOKUP($D2040&amp;"_"&amp;H$52,$B$14:$B$36&amp;"_"&amp;$C$14:$C$36,$D$14:$D$36)*$E2040,18)</f>
        <v>10.3496</v>
      </c>
      <c r="I2040" s="95" cm="1">
        <f ca="1" t="array" ref="I2040">MIN(30-SUM(J2040:L2040),6-L2040,_xlfn.XLOOKUP($D2040&amp;"_"&amp;I$52,$B$14:$B$36&amp;"_"&amp;$C$14:$C$36,$D$14:$D$36)*$E2040)</f>
        <v>0</v>
      </c>
      <c r="J2040" s="95" cm="1">
        <f ca="1" t="array" ref="J2040">MIN(8,_xlfn.XLOOKUP($D2040&amp;"_"&amp;J$52,$B$14:$B$36&amp;"_"&amp;$C$14:$C$36,$D$14:$D$36)*$E2040)</f>
        <v>8</v>
      </c>
      <c r="K2040" s="95" cm="1">
        <f ca="1" t="array" ref="K2040">MIN(18,_xlfn.XLOOKUP($D2040&amp;"_"&amp;K$52,$B$14:$B$36&amp;"_"&amp;$C$14:$C$36,$D$14:$D$36)*$E2040)</f>
        <v>5.6504</v>
      </c>
      <c r="L2040" s="95" cm="1">
        <f ca="1" t="array" ref="L2040">MIN(6,_xlfn.XLOOKUP($D2040&amp;"_"&amp;L$52,$B$14:$B$36&amp;"_"&amp;$C$14:$C$36,$D$14:$D$36)*$E2040)</f>
        <v>6</v>
      </c>
      <c r="M2040" s="95" cm="1">
        <f ca="1" t="array" ref="M2040">(1+SUMPRODUCT(G2040:H2040,OFFSET($H$40:$I$40,D2040,0)))*(1+OFFSET($J$40,D2040,0))^I2040*(1+OFFSET($K$40,D2040,0))^J2040*(1+OFFSET($L$40,D2040,0))^K2040*(1+OFFSET($M$40,D2040,0))^L2040</f>
        <v>419.341464671227</v>
      </c>
      <c r="N2040" s="95">
        <f ca="1">MAX(MAX($N$53:N2039),OFFSET($C$52,MATCH(M2040*1.07,$M$53:$M$2052,1),0)-C2040)</f>
        <v>73440</v>
      </c>
    </row>
    <row r="2041" spans="2:14">
      <c r="B2041" s="95">
        <v>1989</v>
      </c>
      <c r="C2041" s="95">
        <f t="shared" si="151"/>
        <v>716040</v>
      </c>
      <c r="D2041" s="95">
        <f ca="1">_xlfn.XLOOKUP(总览!$B$44,$B$40:$B$45,$C$40:$C$45)</f>
        <v>5</v>
      </c>
      <c r="E2041" s="95">
        <f ca="1" t="shared" si="154"/>
        <v>2019</v>
      </c>
      <c r="F2041" s="95">
        <f ca="1" t="shared" si="152"/>
        <v>0</v>
      </c>
      <c r="G2041" s="95">
        <f ca="1" t="shared" si="153"/>
        <v>0</v>
      </c>
      <c r="H2041" s="95" cm="1">
        <f ca="1" t="array" ref="H2041">MIN(30-SUM(I2041:L2041),_xlfn.XLOOKUP($D2041&amp;"_"&amp;H$52,$B$14:$B$36&amp;"_"&amp;$C$14:$C$36,$D$14:$D$36)*$E2041,18)</f>
        <v>10.3468</v>
      </c>
      <c r="I2041" s="95" cm="1">
        <f ca="1" t="array" ref="I2041">MIN(30-SUM(J2041:L2041),6-L2041,_xlfn.XLOOKUP($D2041&amp;"_"&amp;I$52,$B$14:$B$36&amp;"_"&amp;$C$14:$C$36,$D$14:$D$36)*$E2041)</f>
        <v>0</v>
      </c>
      <c r="J2041" s="95" cm="1">
        <f ca="1" t="array" ref="J2041">MIN(8,_xlfn.XLOOKUP($D2041&amp;"_"&amp;J$52,$B$14:$B$36&amp;"_"&amp;$C$14:$C$36,$D$14:$D$36)*$E2041)</f>
        <v>8</v>
      </c>
      <c r="K2041" s="95" cm="1">
        <f ca="1" t="array" ref="K2041">MIN(18,_xlfn.XLOOKUP($D2041&amp;"_"&amp;K$52,$B$14:$B$36&amp;"_"&amp;$C$14:$C$36,$D$14:$D$36)*$E2041)</f>
        <v>5.6532</v>
      </c>
      <c r="L2041" s="95" cm="1">
        <f ca="1" t="array" ref="L2041">MIN(6,_xlfn.XLOOKUP($D2041&amp;"_"&amp;L$52,$B$14:$B$36&amp;"_"&amp;$C$14:$C$36,$D$14:$D$36)*$E2041)</f>
        <v>6</v>
      </c>
      <c r="M2041" s="95" cm="1">
        <f ca="1" t="array" ref="M2041">(1+SUMPRODUCT(G2041:H2041,OFFSET($H$40:$I$40,D2041,0)))*(1+OFFSET($J$40,D2041,0))^I2041*(1+OFFSET($K$40,D2041,0))^J2041*(1+OFFSET($L$40,D2041,0))^K2041*(1+OFFSET($M$40,D2041,0))^L2041</f>
        <v>419.479059983426</v>
      </c>
      <c r="N2041" s="95">
        <f ca="1">MAX(MAX($N$53:N2040),OFFSET($C$52,MATCH(M2041*1.07,$M$53:$M$2052,1),0)-C2041)</f>
        <v>73440</v>
      </c>
    </row>
    <row r="2042" spans="2:14">
      <c r="B2042" s="95">
        <v>1990</v>
      </c>
      <c r="C2042" s="95">
        <f t="shared" si="151"/>
        <v>716400</v>
      </c>
      <c r="D2042" s="95">
        <f ca="1">_xlfn.XLOOKUP(总览!$B$44,$B$40:$B$45,$C$40:$C$45)</f>
        <v>5</v>
      </c>
      <c r="E2042" s="95">
        <f ca="1" t="shared" si="154"/>
        <v>2020</v>
      </c>
      <c r="F2042" s="95">
        <f ca="1" t="shared" si="152"/>
        <v>0</v>
      </c>
      <c r="G2042" s="95">
        <f ca="1" t="shared" si="153"/>
        <v>0</v>
      </c>
      <c r="H2042" s="95" cm="1">
        <f ca="1" t="array" ref="H2042">MIN(30-SUM(I2042:L2042),_xlfn.XLOOKUP($D2042&amp;"_"&amp;H$52,$B$14:$B$36&amp;"_"&amp;$C$14:$C$36,$D$14:$D$36)*$E2042,18)</f>
        <v>10.344</v>
      </c>
      <c r="I2042" s="95" cm="1">
        <f ca="1" t="array" ref="I2042">MIN(30-SUM(J2042:L2042),6-L2042,_xlfn.XLOOKUP($D2042&amp;"_"&amp;I$52,$B$14:$B$36&amp;"_"&amp;$C$14:$C$36,$D$14:$D$36)*$E2042)</f>
        <v>0</v>
      </c>
      <c r="J2042" s="95" cm="1">
        <f ca="1" t="array" ref="J2042">MIN(8,_xlfn.XLOOKUP($D2042&amp;"_"&amp;J$52,$B$14:$B$36&amp;"_"&amp;$C$14:$C$36,$D$14:$D$36)*$E2042)</f>
        <v>8</v>
      </c>
      <c r="K2042" s="95" cm="1">
        <f ca="1" t="array" ref="K2042">MIN(18,_xlfn.XLOOKUP($D2042&amp;"_"&amp;K$52,$B$14:$B$36&amp;"_"&amp;$C$14:$C$36,$D$14:$D$36)*$E2042)</f>
        <v>5.656</v>
      </c>
      <c r="L2042" s="95" cm="1">
        <f ca="1" t="array" ref="L2042">MIN(6,_xlfn.XLOOKUP($D2042&amp;"_"&amp;L$52,$B$14:$B$36&amp;"_"&amp;$C$14:$C$36,$D$14:$D$36)*$E2042)</f>
        <v>6</v>
      </c>
      <c r="M2042" s="95" cm="1">
        <f ca="1" t="array" ref="M2042">(1+SUMPRODUCT(G2042:H2042,OFFSET($H$40:$I$40,D2042,0)))*(1+OFFSET($J$40,D2042,0))^I2042*(1+OFFSET($K$40,D2042,0))^J2042*(1+OFFSET($L$40,D2042,0))^K2042*(1+OFFSET($M$40,D2042,0))^L2042</f>
        <v>419.616686475758</v>
      </c>
      <c r="N2042" s="95">
        <f ca="1">MAX(MAX($N$53:N2041),OFFSET($C$52,MATCH(M2042*1.07,$M$53:$M$2052,1),0)-C2042)</f>
        <v>73440</v>
      </c>
    </row>
    <row r="2043" spans="2:14">
      <c r="B2043" s="95">
        <v>1991</v>
      </c>
      <c r="C2043" s="95">
        <f t="shared" si="151"/>
        <v>716760</v>
      </c>
      <c r="D2043" s="95">
        <f ca="1">_xlfn.XLOOKUP(总览!$B$44,$B$40:$B$45,$C$40:$C$45)</f>
        <v>5</v>
      </c>
      <c r="E2043" s="95">
        <f ca="1" t="shared" si="154"/>
        <v>2021</v>
      </c>
      <c r="F2043" s="95">
        <f ca="1" t="shared" si="152"/>
        <v>0</v>
      </c>
      <c r="G2043" s="95">
        <f ca="1" t="shared" si="153"/>
        <v>0</v>
      </c>
      <c r="H2043" s="95" cm="1">
        <f ca="1" t="array" ref="H2043">MIN(30-SUM(I2043:L2043),_xlfn.XLOOKUP($D2043&amp;"_"&amp;H$52,$B$14:$B$36&amp;"_"&amp;$C$14:$C$36,$D$14:$D$36)*$E2043,18)</f>
        <v>10.3412</v>
      </c>
      <c r="I2043" s="95" cm="1">
        <f ca="1" t="array" ref="I2043">MIN(30-SUM(J2043:L2043),6-L2043,_xlfn.XLOOKUP($D2043&amp;"_"&amp;I$52,$B$14:$B$36&amp;"_"&amp;$C$14:$C$36,$D$14:$D$36)*$E2043)</f>
        <v>0</v>
      </c>
      <c r="J2043" s="95" cm="1">
        <f ca="1" t="array" ref="J2043">MIN(8,_xlfn.XLOOKUP($D2043&amp;"_"&amp;J$52,$B$14:$B$36&amp;"_"&amp;$C$14:$C$36,$D$14:$D$36)*$E2043)</f>
        <v>8</v>
      </c>
      <c r="K2043" s="95" cm="1">
        <f ca="1" t="array" ref="K2043">MIN(18,_xlfn.XLOOKUP($D2043&amp;"_"&amp;K$52,$B$14:$B$36&amp;"_"&amp;$C$14:$C$36,$D$14:$D$36)*$E2043)</f>
        <v>5.6588</v>
      </c>
      <c r="L2043" s="95" cm="1">
        <f ca="1" t="array" ref="L2043">MIN(6,_xlfn.XLOOKUP($D2043&amp;"_"&amp;L$52,$B$14:$B$36&amp;"_"&amp;$C$14:$C$36,$D$14:$D$36)*$E2043)</f>
        <v>6</v>
      </c>
      <c r="M2043" s="95" cm="1">
        <f ca="1" t="array" ref="M2043">(1+SUMPRODUCT(G2043:H2043,OFFSET($H$40:$I$40,D2043,0)))*(1+OFFSET($J$40,D2043,0))^I2043*(1+OFFSET($K$40,D2043,0))^J2043*(1+OFFSET($L$40,D2043,0))^K2043*(1+OFFSET($M$40,D2043,0))^L2043</f>
        <v>419.754344144189</v>
      </c>
      <c r="N2043" s="95">
        <f ca="1">MAX(MAX($N$53:N2042),OFFSET($C$52,MATCH(M2043*1.07,$M$53:$M$2052,1),0)-C2043)</f>
        <v>73440</v>
      </c>
    </row>
    <row r="2044" spans="2:14">
      <c r="B2044" s="95">
        <v>1992</v>
      </c>
      <c r="C2044" s="95">
        <f t="shared" si="151"/>
        <v>717120</v>
      </c>
      <c r="D2044" s="95">
        <f ca="1">_xlfn.XLOOKUP(总览!$B$44,$B$40:$B$45,$C$40:$C$45)</f>
        <v>5</v>
      </c>
      <c r="E2044" s="95">
        <f ca="1" t="shared" si="154"/>
        <v>2022</v>
      </c>
      <c r="F2044" s="95">
        <f ca="1" t="shared" si="152"/>
        <v>0</v>
      </c>
      <c r="G2044" s="95">
        <f ca="1" t="shared" si="153"/>
        <v>0</v>
      </c>
      <c r="H2044" s="95" cm="1">
        <f ca="1" t="array" ref="H2044">MIN(30-SUM(I2044:L2044),_xlfn.XLOOKUP($D2044&amp;"_"&amp;H$52,$B$14:$B$36&amp;"_"&amp;$C$14:$C$36,$D$14:$D$36)*$E2044,18)</f>
        <v>10.3384</v>
      </c>
      <c r="I2044" s="95" cm="1">
        <f ca="1" t="array" ref="I2044">MIN(30-SUM(J2044:L2044),6-L2044,_xlfn.XLOOKUP($D2044&amp;"_"&amp;I$52,$B$14:$B$36&amp;"_"&amp;$C$14:$C$36,$D$14:$D$36)*$E2044)</f>
        <v>0</v>
      </c>
      <c r="J2044" s="95" cm="1">
        <f ca="1" t="array" ref="J2044">MIN(8,_xlfn.XLOOKUP($D2044&amp;"_"&amp;J$52,$B$14:$B$36&amp;"_"&amp;$C$14:$C$36,$D$14:$D$36)*$E2044)</f>
        <v>8</v>
      </c>
      <c r="K2044" s="95" cm="1">
        <f ca="1" t="array" ref="K2044">MIN(18,_xlfn.XLOOKUP($D2044&amp;"_"&amp;K$52,$B$14:$B$36&amp;"_"&amp;$C$14:$C$36,$D$14:$D$36)*$E2044)</f>
        <v>5.6616</v>
      </c>
      <c r="L2044" s="95" cm="1">
        <f ca="1" t="array" ref="L2044">MIN(6,_xlfn.XLOOKUP($D2044&amp;"_"&amp;L$52,$B$14:$B$36&amp;"_"&amp;$C$14:$C$36,$D$14:$D$36)*$E2044)</f>
        <v>6</v>
      </c>
      <c r="M2044" s="95" cm="1">
        <f ca="1" t="array" ref="M2044">(1+SUMPRODUCT(G2044:H2044,OFFSET($H$40:$I$40,D2044,0)))*(1+OFFSET($J$40,D2044,0))^I2044*(1+OFFSET($K$40,D2044,0))^J2044*(1+OFFSET($L$40,D2044,0))^K2044*(1+OFFSET($M$40,D2044,0))^L2044</f>
        <v>419.892032984673</v>
      </c>
      <c r="N2044" s="95">
        <f ca="1">MAX(MAX($N$53:N2043),OFFSET($C$52,MATCH(M2044*1.07,$M$53:$M$2052,1),0)-C2044)</f>
        <v>73440</v>
      </c>
    </row>
    <row r="2045" spans="2:14">
      <c r="B2045" s="95">
        <v>1993</v>
      </c>
      <c r="C2045" s="95">
        <f t="shared" si="151"/>
        <v>717480</v>
      </c>
      <c r="D2045" s="95">
        <f ca="1">_xlfn.XLOOKUP(总览!$B$44,$B$40:$B$45,$C$40:$C$45)</f>
        <v>5</v>
      </c>
      <c r="E2045" s="95">
        <f ca="1" t="shared" si="154"/>
        <v>2023</v>
      </c>
      <c r="F2045" s="95">
        <f ca="1" t="shared" si="152"/>
        <v>0</v>
      </c>
      <c r="G2045" s="95">
        <f ca="1" t="shared" si="153"/>
        <v>0</v>
      </c>
      <c r="H2045" s="95" cm="1">
        <f ca="1" t="array" ref="H2045">MIN(30-SUM(I2045:L2045),_xlfn.XLOOKUP($D2045&amp;"_"&amp;H$52,$B$14:$B$36&amp;"_"&amp;$C$14:$C$36,$D$14:$D$36)*$E2045,18)</f>
        <v>10.3356</v>
      </c>
      <c r="I2045" s="95" cm="1">
        <f ca="1" t="array" ref="I2045">MIN(30-SUM(J2045:L2045),6-L2045,_xlfn.XLOOKUP($D2045&amp;"_"&amp;I$52,$B$14:$B$36&amp;"_"&amp;$C$14:$C$36,$D$14:$D$36)*$E2045)</f>
        <v>0</v>
      </c>
      <c r="J2045" s="95" cm="1">
        <f ca="1" t="array" ref="J2045">MIN(8,_xlfn.XLOOKUP($D2045&amp;"_"&amp;J$52,$B$14:$B$36&amp;"_"&amp;$C$14:$C$36,$D$14:$D$36)*$E2045)</f>
        <v>8</v>
      </c>
      <c r="K2045" s="95" cm="1">
        <f ca="1" t="array" ref="K2045">MIN(18,_xlfn.XLOOKUP($D2045&amp;"_"&amp;K$52,$B$14:$B$36&amp;"_"&amp;$C$14:$C$36,$D$14:$D$36)*$E2045)</f>
        <v>5.6644</v>
      </c>
      <c r="L2045" s="95" cm="1">
        <f ca="1" t="array" ref="L2045">MIN(6,_xlfn.XLOOKUP($D2045&amp;"_"&amp;L$52,$B$14:$B$36&amp;"_"&amp;$C$14:$C$36,$D$14:$D$36)*$E2045)</f>
        <v>6</v>
      </c>
      <c r="M2045" s="95" cm="1">
        <f ca="1" t="array" ref="M2045">(1+SUMPRODUCT(G2045:H2045,OFFSET($H$40:$I$40,D2045,0)))*(1+OFFSET($J$40,D2045,0))^I2045*(1+OFFSET($K$40,D2045,0))^J2045*(1+OFFSET($L$40,D2045,0))^K2045*(1+OFFSET($M$40,D2045,0))^L2045</f>
        <v>420.029752993152</v>
      </c>
      <c r="N2045" s="95">
        <f ca="1">MAX(MAX($N$53:N2044),OFFSET($C$52,MATCH(M2045*1.07,$M$53:$M$2052,1),0)-C2045)</f>
        <v>73440</v>
      </c>
    </row>
    <row r="2046" spans="2:14">
      <c r="B2046" s="95">
        <v>1994</v>
      </c>
      <c r="C2046" s="95">
        <f t="shared" si="151"/>
        <v>717840</v>
      </c>
      <c r="D2046" s="95">
        <f ca="1">_xlfn.XLOOKUP(总览!$B$44,$B$40:$B$45,$C$40:$C$45)</f>
        <v>5</v>
      </c>
      <c r="E2046" s="95">
        <f ca="1" t="shared" si="154"/>
        <v>2024</v>
      </c>
      <c r="F2046" s="95">
        <f ca="1" t="shared" si="152"/>
        <v>0</v>
      </c>
      <c r="G2046" s="95">
        <f ca="1" t="shared" si="153"/>
        <v>0</v>
      </c>
      <c r="H2046" s="95" cm="1">
        <f ca="1" t="array" ref="H2046">MIN(30-SUM(I2046:L2046),_xlfn.XLOOKUP($D2046&amp;"_"&amp;H$52,$B$14:$B$36&amp;"_"&amp;$C$14:$C$36,$D$14:$D$36)*$E2046,18)</f>
        <v>10.3328</v>
      </c>
      <c r="I2046" s="95" cm="1">
        <f ca="1" t="array" ref="I2046">MIN(30-SUM(J2046:L2046),6-L2046,_xlfn.XLOOKUP($D2046&amp;"_"&amp;I$52,$B$14:$B$36&amp;"_"&amp;$C$14:$C$36,$D$14:$D$36)*$E2046)</f>
        <v>0</v>
      </c>
      <c r="J2046" s="95" cm="1">
        <f ca="1" t="array" ref="J2046">MIN(8,_xlfn.XLOOKUP($D2046&amp;"_"&amp;J$52,$B$14:$B$36&amp;"_"&amp;$C$14:$C$36,$D$14:$D$36)*$E2046)</f>
        <v>8</v>
      </c>
      <c r="K2046" s="95" cm="1">
        <f ca="1" t="array" ref="K2046">MIN(18,_xlfn.XLOOKUP($D2046&amp;"_"&amp;K$52,$B$14:$B$36&amp;"_"&amp;$C$14:$C$36,$D$14:$D$36)*$E2046)</f>
        <v>5.6672</v>
      </c>
      <c r="L2046" s="95" cm="1">
        <f ca="1" t="array" ref="L2046">MIN(6,_xlfn.XLOOKUP($D2046&amp;"_"&amp;L$52,$B$14:$B$36&amp;"_"&amp;$C$14:$C$36,$D$14:$D$36)*$E2046)</f>
        <v>6</v>
      </c>
      <c r="M2046" s="95" cm="1">
        <f ca="1" t="array" ref="M2046">(1+SUMPRODUCT(G2046:H2046,OFFSET($H$40:$I$40,D2046,0)))*(1+OFFSET($J$40,D2046,0))^I2046*(1+OFFSET($K$40,D2046,0))^J2046*(1+OFFSET($L$40,D2046,0))^K2046*(1+OFFSET($M$40,D2046,0))^L2046</f>
        <v>420.167504165554</v>
      </c>
      <c r="N2046" s="95">
        <f ca="1">MAX(MAX($N$53:N2045),OFFSET($C$52,MATCH(M2046*1.07,$M$53:$M$2052,1),0)-C2046)</f>
        <v>73440</v>
      </c>
    </row>
    <row r="2047" spans="2:14">
      <c r="B2047" s="95">
        <v>1995</v>
      </c>
      <c r="C2047" s="95">
        <f t="shared" si="151"/>
        <v>718200</v>
      </c>
      <c r="D2047" s="95">
        <f ca="1">_xlfn.XLOOKUP(总览!$B$44,$B$40:$B$45,$C$40:$C$45)</f>
        <v>5</v>
      </c>
      <c r="E2047" s="95">
        <f ca="1" t="shared" si="154"/>
        <v>2025</v>
      </c>
      <c r="F2047" s="95">
        <f ca="1" t="shared" si="152"/>
        <v>0</v>
      </c>
      <c r="G2047" s="95">
        <f ca="1" t="shared" si="153"/>
        <v>0</v>
      </c>
      <c r="H2047" s="95" cm="1">
        <f ca="1" t="array" ref="H2047">MIN(30-SUM(I2047:L2047),_xlfn.XLOOKUP($D2047&amp;"_"&amp;H$52,$B$14:$B$36&amp;"_"&amp;$C$14:$C$36,$D$14:$D$36)*$E2047,18)</f>
        <v>10.33</v>
      </c>
      <c r="I2047" s="95" cm="1">
        <f ca="1" t="array" ref="I2047">MIN(30-SUM(J2047:L2047),6-L2047,_xlfn.XLOOKUP($D2047&amp;"_"&amp;I$52,$B$14:$B$36&amp;"_"&amp;$C$14:$C$36,$D$14:$D$36)*$E2047)</f>
        <v>0</v>
      </c>
      <c r="J2047" s="95" cm="1">
        <f ca="1" t="array" ref="J2047">MIN(8,_xlfn.XLOOKUP($D2047&amp;"_"&amp;J$52,$B$14:$B$36&amp;"_"&amp;$C$14:$C$36,$D$14:$D$36)*$E2047)</f>
        <v>8</v>
      </c>
      <c r="K2047" s="95" cm="1">
        <f ca="1" t="array" ref="K2047">MIN(18,_xlfn.XLOOKUP($D2047&amp;"_"&amp;K$52,$B$14:$B$36&amp;"_"&amp;$C$14:$C$36,$D$14:$D$36)*$E2047)</f>
        <v>5.67</v>
      </c>
      <c r="L2047" s="95" cm="1">
        <f ca="1" t="array" ref="L2047">MIN(6,_xlfn.XLOOKUP($D2047&amp;"_"&amp;L$52,$B$14:$B$36&amp;"_"&amp;$C$14:$C$36,$D$14:$D$36)*$E2047)</f>
        <v>6</v>
      </c>
      <c r="M2047" s="95" cm="1">
        <f ca="1" t="array" ref="M2047">(1+SUMPRODUCT(G2047:H2047,OFFSET($H$40:$I$40,D2047,0)))*(1+OFFSET($J$40,D2047,0))^I2047*(1+OFFSET($K$40,D2047,0))^J2047*(1+OFFSET($L$40,D2047,0))^K2047*(1+OFFSET($M$40,D2047,0))^L2047</f>
        <v>420.305286497796</v>
      </c>
      <c r="N2047" s="95">
        <f ca="1">MAX(MAX($N$53:N2046),OFFSET($C$52,MATCH(M2047*1.07,$M$53:$M$2052,1),0)-C2047)</f>
        <v>73440</v>
      </c>
    </row>
    <row r="2048" spans="2:14">
      <c r="B2048" s="95">
        <v>1996</v>
      </c>
      <c r="C2048" s="95">
        <f t="shared" si="151"/>
        <v>718560</v>
      </c>
      <c r="D2048" s="95">
        <f ca="1">_xlfn.XLOOKUP(总览!$B$44,$B$40:$B$45,$C$40:$C$45)</f>
        <v>5</v>
      </c>
      <c r="E2048" s="95">
        <f ca="1" t="shared" si="154"/>
        <v>2026</v>
      </c>
      <c r="F2048" s="95">
        <f ca="1" t="shared" si="152"/>
        <v>0</v>
      </c>
      <c r="G2048" s="95">
        <f ca="1" t="shared" si="153"/>
        <v>0</v>
      </c>
      <c r="H2048" s="95" cm="1">
        <f ca="1" t="array" ref="H2048">MIN(30-SUM(I2048:L2048),_xlfn.XLOOKUP($D2048&amp;"_"&amp;H$52,$B$14:$B$36&amp;"_"&amp;$C$14:$C$36,$D$14:$D$36)*$E2048,18)</f>
        <v>10.3272</v>
      </c>
      <c r="I2048" s="95" cm="1">
        <f ca="1" t="array" ref="I2048">MIN(30-SUM(J2048:L2048),6-L2048,_xlfn.XLOOKUP($D2048&amp;"_"&amp;I$52,$B$14:$B$36&amp;"_"&amp;$C$14:$C$36,$D$14:$D$36)*$E2048)</f>
        <v>0</v>
      </c>
      <c r="J2048" s="95" cm="1">
        <f ca="1" t="array" ref="J2048">MIN(8,_xlfn.XLOOKUP($D2048&amp;"_"&amp;J$52,$B$14:$B$36&amp;"_"&amp;$C$14:$C$36,$D$14:$D$36)*$E2048)</f>
        <v>8</v>
      </c>
      <c r="K2048" s="95" cm="1">
        <f ca="1" t="array" ref="K2048">MIN(18,_xlfn.XLOOKUP($D2048&amp;"_"&amp;K$52,$B$14:$B$36&amp;"_"&amp;$C$14:$C$36,$D$14:$D$36)*$E2048)</f>
        <v>5.6728</v>
      </c>
      <c r="L2048" s="95" cm="1">
        <f ca="1" t="array" ref="L2048">MIN(6,_xlfn.XLOOKUP($D2048&amp;"_"&amp;L$52,$B$14:$B$36&amp;"_"&amp;$C$14:$C$36,$D$14:$D$36)*$E2048)</f>
        <v>6</v>
      </c>
      <c r="M2048" s="95" cm="1">
        <f ca="1" t="array" ref="M2048">(1+SUMPRODUCT(G2048:H2048,OFFSET($H$40:$I$40,D2048,0)))*(1+OFFSET($J$40,D2048,0))^I2048*(1+OFFSET($K$40,D2048,0))^J2048*(1+OFFSET($L$40,D2048,0))^K2048*(1+OFFSET($M$40,D2048,0))^L2048</f>
        <v>420.443099985783</v>
      </c>
      <c r="N2048" s="95">
        <f ca="1">MAX(MAX($N$53:N2047),OFFSET($C$52,MATCH(M2048*1.07,$M$53:$M$2052,1),0)-C2048)</f>
        <v>73440</v>
      </c>
    </row>
    <row r="2049" spans="2:14">
      <c r="B2049" s="95">
        <v>1997</v>
      </c>
      <c r="C2049" s="95">
        <f t="shared" si="151"/>
        <v>718920</v>
      </c>
      <c r="D2049" s="95">
        <f ca="1">_xlfn.XLOOKUP(总览!$B$44,$B$40:$B$45,$C$40:$C$45)</f>
        <v>5</v>
      </c>
      <c r="E2049" s="95">
        <f ca="1" t="shared" si="154"/>
        <v>2027</v>
      </c>
      <c r="F2049" s="95">
        <f ca="1" t="shared" si="152"/>
        <v>0</v>
      </c>
      <c r="G2049" s="95">
        <f ca="1" t="shared" si="153"/>
        <v>0</v>
      </c>
      <c r="H2049" s="95" cm="1">
        <f ca="1" t="array" ref="H2049">MIN(30-SUM(I2049:L2049),_xlfn.XLOOKUP($D2049&amp;"_"&amp;H$52,$B$14:$B$36&amp;"_"&amp;$C$14:$C$36,$D$14:$D$36)*$E2049,18)</f>
        <v>10.3244</v>
      </c>
      <c r="I2049" s="95" cm="1">
        <f ca="1" t="array" ref="I2049">MIN(30-SUM(J2049:L2049),6-L2049,_xlfn.XLOOKUP($D2049&amp;"_"&amp;I$52,$B$14:$B$36&amp;"_"&amp;$C$14:$C$36,$D$14:$D$36)*$E2049)</f>
        <v>0</v>
      </c>
      <c r="J2049" s="95" cm="1">
        <f ca="1" t="array" ref="J2049">MIN(8,_xlfn.XLOOKUP($D2049&amp;"_"&amp;J$52,$B$14:$B$36&amp;"_"&amp;$C$14:$C$36,$D$14:$D$36)*$E2049)</f>
        <v>8</v>
      </c>
      <c r="K2049" s="95" cm="1">
        <f ca="1" t="array" ref="K2049">MIN(18,_xlfn.XLOOKUP($D2049&amp;"_"&amp;K$52,$B$14:$B$36&amp;"_"&amp;$C$14:$C$36,$D$14:$D$36)*$E2049)</f>
        <v>5.6756</v>
      </c>
      <c r="L2049" s="95" cm="1">
        <f ca="1" t="array" ref="L2049">MIN(6,_xlfn.XLOOKUP($D2049&amp;"_"&amp;L$52,$B$14:$B$36&amp;"_"&amp;$C$14:$C$36,$D$14:$D$36)*$E2049)</f>
        <v>6</v>
      </c>
      <c r="M2049" s="95" cm="1">
        <f ca="1" t="array" ref="M2049">(1+SUMPRODUCT(G2049:H2049,OFFSET($H$40:$I$40,D2049,0)))*(1+OFFSET($J$40,D2049,0))^I2049*(1+OFFSET($K$40,D2049,0))^J2049*(1+OFFSET($L$40,D2049,0))^K2049*(1+OFFSET($M$40,D2049,0))^L2049</f>
        <v>420.580944625408</v>
      </c>
      <c r="N2049" s="95">
        <f ca="1">MAX(MAX($N$53:N2048),OFFSET($C$52,MATCH(M2049*1.07,$M$53:$M$2052,1),0)-C2049)</f>
        <v>73440</v>
      </c>
    </row>
    <row r="2050" spans="2:14">
      <c r="B2050" s="95">
        <v>1998</v>
      </c>
      <c r="C2050" s="95">
        <f t="shared" si="151"/>
        <v>719280</v>
      </c>
      <c r="D2050" s="95">
        <f ca="1">_xlfn.XLOOKUP(总览!$B$44,$B$40:$B$45,$C$40:$C$45)</f>
        <v>5</v>
      </c>
      <c r="E2050" s="95">
        <f ca="1" t="shared" si="154"/>
        <v>2028</v>
      </c>
      <c r="F2050" s="95">
        <f ca="1" t="shared" si="152"/>
        <v>0</v>
      </c>
      <c r="G2050" s="95">
        <f ca="1" t="shared" si="153"/>
        <v>0</v>
      </c>
      <c r="H2050" s="95" cm="1">
        <f ca="1" t="array" ref="H2050">MIN(30-SUM(I2050:L2050),_xlfn.XLOOKUP($D2050&amp;"_"&amp;H$52,$B$14:$B$36&amp;"_"&amp;$C$14:$C$36,$D$14:$D$36)*$E2050,18)</f>
        <v>10.3216</v>
      </c>
      <c r="I2050" s="95" cm="1">
        <f ca="1" t="array" ref="I2050">MIN(30-SUM(J2050:L2050),6-L2050,_xlfn.XLOOKUP($D2050&amp;"_"&amp;I$52,$B$14:$B$36&amp;"_"&amp;$C$14:$C$36,$D$14:$D$36)*$E2050)</f>
        <v>0</v>
      </c>
      <c r="J2050" s="95" cm="1">
        <f ca="1" t="array" ref="J2050">MIN(8,_xlfn.XLOOKUP($D2050&amp;"_"&amp;J$52,$B$14:$B$36&amp;"_"&amp;$C$14:$C$36,$D$14:$D$36)*$E2050)</f>
        <v>8</v>
      </c>
      <c r="K2050" s="95" cm="1">
        <f ca="1" t="array" ref="K2050">MIN(18,_xlfn.XLOOKUP($D2050&amp;"_"&amp;K$52,$B$14:$B$36&amp;"_"&amp;$C$14:$C$36,$D$14:$D$36)*$E2050)</f>
        <v>5.6784</v>
      </c>
      <c r="L2050" s="95" cm="1">
        <f ca="1" t="array" ref="L2050">MIN(6,_xlfn.XLOOKUP($D2050&amp;"_"&amp;L$52,$B$14:$B$36&amp;"_"&amp;$C$14:$C$36,$D$14:$D$36)*$E2050)</f>
        <v>6</v>
      </c>
      <c r="M2050" s="95" cm="1">
        <f ca="1" t="array" ref="M2050">(1+SUMPRODUCT(G2050:H2050,OFFSET($H$40:$I$40,D2050,0)))*(1+OFFSET($J$40,D2050,0))^I2050*(1+OFFSET($K$40,D2050,0))^J2050*(1+OFFSET($L$40,D2050,0))^K2050*(1+OFFSET($M$40,D2050,0))^L2050</f>
        <v>420.718820412549</v>
      </c>
      <c r="N2050" s="95">
        <f ca="1">MAX(MAX($N$53:N2049),OFFSET($C$52,MATCH(M2050*1.07,$M$53:$M$2052,1),0)-C2050)</f>
        <v>73440</v>
      </c>
    </row>
    <row r="2051" spans="2:14">
      <c r="B2051" s="95">
        <v>1999</v>
      </c>
      <c r="C2051" s="95">
        <f t="shared" si="151"/>
        <v>719640</v>
      </c>
      <c r="D2051" s="95">
        <f ca="1">_xlfn.XLOOKUP(总览!$B$44,$B$40:$B$45,$C$40:$C$45)</f>
        <v>5</v>
      </c>
      <c r="E2051" s="95">
        <f ca="1" t="shared" si="154"/>
        <v>2029</v>
      </c>
      <c r="F2051" s="95">
        <f ca="1" t="shared" si="152"/>
        <v>0</v>
      </c>
      <c r="G2051" s="95">
        <f ca="1" t="shared" si="153"/>
        <v>0</v>
      </c>
      <c r="H2051" s="95" cm="1">
        <f ca="1" t="array" ref="H2051">MIN(30-SUM(I2051:L2051),_xlfn.XLOOKUP($D2051&amp;"_"&amp;H$52,$B$14:$B$36&amp;"_"&amp;$C$14:$C$36,$D$14:$D$36)*$E2051,18)</f>
        <v>10.3188</v>
      </c>
      <c r="I2051" s="95" cm="1">
        <f ca="1" t="array" ref="I2051">MIN(30-SUM(J2051:L2051),6-L2051,_xlfn.XLOOKUP($D2051&amp;"_"&amp;I$52,$B$14:$B$36&amp;"_"&amp;$C$14:$C$36,$D$14:$D$36)*$E2051)</f>
        <v>0</v>
      </c>
      <c r="J2051" s="95" cm="1">
        <f ca="1" t="array" ref="J2051">MIN(8,_xlfn.XLOOKUP($D2051&amp;"_"&amp;J$52,$B$14:$B$36&amp;"_"&amp;$C$14:$C$36,$D$14:$D$36)*$E2051)</f>
        <v>8</v>
      </c>
      <c r="K2051" s="95" cm="1">
        <f ca="1" t="array" ref="K2051">MIN(18,_xlfn.XLOOKUP($D2051&amp;"_"&amp;K$52,$B$14:$B$36&amp;"_"&amp;$C$14:$C$36,$D$14:$D$36)*$E2051)</f>
        <v>5.6812</v>
      </c>
      <c r="L2051" s="95" cm="1">
        <f ca="1" t="array" ref="L2051">MIN(6,_xlfn.XLOOKUP($D2051&amp;"_"&amp;L$52,$B$14:$B$36&amp;"_"&amp;$C$14:$C$36,$D$14:$D$36)*$E2051)</f>
        <v>6</v>
      </c>
      <c r="M2051" s="95" cm="1">
        <f ca="1" t="array" ref="M2051">(1+SUMPRODUCT(G2051:H2051,OFFSET($H$40:$I$40,D2051,0)))*(1+OFFSET($J$40,D2051,0))^I2051*(1+OFFSET($K$40,D2051,0))^J2051*(1+OFFSET($L$40,D2051,0))^K2051*(1+OFFSET($M$40,D2051,0))^L2051</f>
        <v>420.856727343076</v>
      </c>
      <c r="N2051" s="95">
        <f ca="1">MAX(MAX($N$53:N2050),OFFSET($C$52,MATCH(M2051*1.07,$M$53:$M$2052,1),0)-C2051)</f>
        <v>73440</v>
      </c>
    </row>
    <row r="2052" spans="2:14">
      <c r="B2052" s="95">
        <v>2000</v>
      </c>
      <c r="C2052" s="95">
        <f t="shared" si="151"/>
        <v>720000</v>
      </c>
      <c r="D2052" s="95">
        <f ca="1">_xlfn.XLOOKUP(总览!$B$44,$B$40:$B$45,$C$40:$C$45)</f>
        <v>5</v>
      </c>
      <c r="E2052" s="95">
        <f ca="1" t="shared" si="154"/>
        <v>2030</v>
      </c>
      <c r="F2052" s="95">
        <f ca="1" t="shared" si="152"/>
        <v>0</v>
      </c>
      <c r="G2052" s="95">
        <f ca="1" t="shared" si="153"/>
        <v>0</v>
      </c>
      <c r="H2052" s="95" cm="1">
        <f ca="1" t="array" ref="H2052">MIN(30-SUM(I2052:L2052),_xlfn.XLOOKUP($D2052&amp;"_"&amp;H$52,$B$14:$B$36&amp;"_"&amp;$C$14:$C$36,$D$14:$D$36)*$E2052,18)</f>
        <v>10.316</v>
      </c>
      <c r="I2052" s="95" cm="1">
        <f ca="1" t="array" ref="I2052">MIN(30-SUM(J2052:L2052),6-L2052,_xlfn.XLOOKUP($D2052&amp;"_"&amp;I$52,$B$14:$B$36&amp;"_"&amp;$C$14:$C$36,$D$14:$D$36)*$E2052)</f>
        <v>0</v>
      </c>
      <c r="J2052" s="95" cm="1">
        <f ca="1" t="array" ref="J2052">MIN(8,_xlfn.XLOOKUP($D2052&amp;"_"&amp;J$52,$B$14:$B$36&amp;"_"&amp;$C$14:$C$36,$D$14:$D$36)*$E2052)</f>
        <v>8</v>
      </c>
      <c r="K2052" s="95" cm="1">
        <f ca="1" t="array" ref="K2052">MIN(18,_xlfn.XLOOKUP($D2052&amp;"_"&amp;K$52,$B$14:$B$36&amp;"_"&amp;$C$14:$C$36,$D$14:$D$36)*$E2052)</f>
        <v>5.684</v>
      </c>
      <c r="L2052" s="95" cm="1">
        <f ca="1" t="array" ref="L2052">MIN(6,_xlfn.XLOOKUP($D2052&amp;"_"&amp;L$52,$B$14:$B$36&amp;"_"&amp;$C$14:$C$36,$D$14:$D$36)*$E2052)</f>
        <v>6</v>
      </c>
      <c r="M2052" s="95" cm="1">
        <f ca="1" t="array" ref="M2052">(1+SUMPRODUCT(G2052:H2052,OFFSET($H$40:$I$40,D2052,0)))*(1+OFFSET($J$40,D2052,0))^I2052*(1+OFFSET($K$40,D2052,0))^J2052*(1+OFFSET($L$40,D2052,0))^K2052*(1+OFFSET($M$40,D2052,0))^L2052</f>
        <v>420.994665412843</v>
      </c>
      <c r="N2052" s="95">
        <f ca="1">MAX(MAX($N$53:N2051),OFFSET($C$52,MATCH(M2052*1.07,$M$53:$M$2052,1),0)-C2052)</f>
        <v>73440</v>
      </c>
    </row>
  </sheetData>
  <conditionalFormatting sqref="G41:M4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{866472d2-87de-4735-9f20-b00883259ba3}</x14:id>
        </ext>
      </extLst>
    </cfRule>
  </conditionalFormatting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6472d2-87de-4735-9f20-b00883259b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G41:M47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23"/>
  <dimension ref="A1:AS1396"/>
  <sheetViews>
    <sheetView workbookViewId="0">
      <selection activeCell="K26" sqref="K26"/>
    </sheetView>
  </sheetViews>
  <sheetFormatPr defaultColWidth="50.625" defaultRowHeight="14.25" customHeight="1"/>
  <cols>
    <col min="1" max="1" width="18.625" style="33" customWidth="1"/>
    <col min="2" max="2" width="39.875" style="34" customWidth="1"/>
    <col min="3" max="3" width="12.5" style="35" customWidth="1"/>
    <col min="4" max="5" width="6" style="33" customWidth="1"/>
    <col min="6" max="6" width="11.125" style="35" customWidth="1"/>
    <col min="7" max="12" width="11.125" style="35" hidden="1" customWidth="1"/>
    <col min="13" max="18" width="11.125" style="35" customWidth="1"/>
    <col min="19" max="19" width="32" style="35" hidden="1" customWidth="1"/>
    <col min="20" max="21" width="15.625" style="35" hidden="1" customWidth="1"/>
    <col min="22" max="22" width="19.5" style="35" hidden="1" customWidth="1"/>
    <col min="23" max="23" width="30.625" style="36" hidden="1" customWidth="1"/>
    <col min="24" max="24" width="17.125" style="35" hidden="1" customWidth="1"/>
    <col min="25" max="25" width="16.875" style="35" customWidth="1"/>
    <col min="26" max="26" width="11" style="35" hidden="1" customWidth="1"/>
    <col min="27" max="27" width="10" style="35" customWidth="1"/>
    <col min="28" max="28" width="56.5" style="35" customWidth="1"/>
    <col min="29" max="29" width="12.375" style="35" hidden="1" customWidth="1"/>
    <col min="30" max="31" width="12.125" style="35" customWidth="1"/>
    <col min="32" max="33" width="12.125" style="35" hidden="1" customWidth="1"/>
    <col min="34" max="34" width="9" style="35" hidden="1" customWidth="1"/>
    <col min="35" max="35" width="12.375" style="33" hidden="1" customWidth="1"/>
    <col min="36" max="36" width="45.625" style="37" hidden="1" customWidth="1"/>
    <col min="37" max="37" width="12.375" style="35" hidden="1" customWidth="1"/>
    <col min="38" max="38" width="12.125" style="35" customWidth="1"/>
    <col min="39" max="16383" width="50.625" style="35"/>
  </cols>
  <sheetData>
    <row r="1" s="24" customFormat="1" ht="114" customHeight="1" spans="1:38">
      <c r="A1" s="24" t="s">
        <v>121</v>
      </c>
      <c r="B1" s="38" t="s">
        <v>122</v>
      </c>
      <c r="C1" s="24" t="s">
        <v>123</v>
      </c>
      <c r="D1" s="24" t="s">
        <v>124</v>
      </c>
      <c r="F1" s="24" t="s">
        <v>125</v>
      </c>
      <c r="G1" s="24">
        <v>1</v>
      </c>
      <c r="H1" s="24">
        <v>2</v>
      </c>
      <c r="I1" s="24">
        <v>3</v>
      </c>
      <c r="J1" s="24">
        <v>4</v>
      </c>
      <c r="K1" s="24">
        <v>5</v>
      </c>
      <c r="L1" s="24">
        <v>6</v>
      </c>
      <c r="M1" s="25" t="s">
        <v>126</v>
      </c>
      <c r="N1" s="25" t="s">
        <v>127</v>
      </c>
      <c r="O1" s="25" t="s">
        <v>128</v>
      </c>
      <c r="P1" s="25" t="s">
        <v>129</v>
      </c>
      <c r="Q1" s="25" t="s">
        <v>130</v>
      </c>
      <c r="R1" s="25" t="s">
        <v>131</v>
      </c>
      <c r="S1" s="24" t="s">
        <v>132</v>
      </c>
      <c r="T1" s="24" t="s">
        <v>133</v>
      </c>
      <c r="U1" s="24" t="s">
        <v>134</v>
      </c>
      <c r="V1" s="24" t="s">
        <v>135</v>
      </c>
      <c r="W1" s="24" t="s">
        <v>136</v>
      </c>
      <c r="X1" s="24" t="s">
        <v>137</v>
      </c>
      <c r="Y1" s="24" t="s">
        <v>138</v>
      </c>
      <c r="Z1" s="24" t="s">
        <v>139</v>
      </c>
      <c r="AA1" s="24" t="s">
        <v>140</v>
      </c>
      <c r="AB1" s="24" t="s">
        <v>141</v>
      </c>
      <c r="AC1" s="24" t="s">
        <v>142</v>
      </c>
      <c r="AD1" s="24" t="s">
        <v>143</v>
      </c>
      <c r="AE1" s="24" t="s">
        <v>5</v>
      </c>
      <c r="AF1" s="24" t="s">
        <v>144</v>
      </c>
      <c r="AG1" s="24" t="s">
        <v>145</v>
      </c>
      <c r="AH1" s="24" t="s">
        <v>146</v>
      </c>
      <c r="AI1" s="39" t="s">
        <v>147</v>
      </c>
      <c r="AJ1" s="39" t="s">
        <v>148</v>
      </c>
      <c r="AK1" s="39" t="s">
        <v>149</v>
      </c>
      <c r="AL1" s="24" t="s">
        <v>150</v>
      </c>
    </row>
    <row r="2" s="24" customFormat="1" hidden="1" customHeight="1" spans="1:38">
      <c r="A2" s="24" t="s">
        <v>151</v>
      </c>
      <c r="B2" s="38"/>
      <c r="C2" s="24" t="s">
        <v>152</v>
      </c>
      <c r="D2" s="24" t="s">
        <v>153</v>
      </c>
      <c r="F2" s="24" t="s">
        <v>154</v>
      </c>
      <c r="M2" s="25"/>
      <c r="N2" s="25"/>
      <c r="O2" s="25"/>
      <c r="P2" s="25"/>
      <c r="Q2" s="25"/>
      <c r="R2" s="25"/>
      <c r="S2" s="24" t="s">
        <v>155</v>
      </c>
      <c r="T2" s="24" t="s">
        <v>156</v>
      </c>
      <c r="U2" s="24" t="s">
        <v>157</v>
      </c>
      <c r="V2" s="24" t="s">
        <v>158</v>
      </c>
      <c r="W2" s="38" t="s">
        <v>159</v>
      </c>
      <c r="X2" s="38" t="s">
        <v>160</v>
      </c>
      <c r="Y2" s="24" t="s">
        <v>161</v>
      </c>
      <c r="Z2" s="24" t="s">
        <v>162</v>
      </c>
      <c r="AA2" s="24" t="s">
        <v>163</v>
      </c>
      <c r="AB2" s="24" t="s">
        <v>164</v>
      </c>
      <c r="AC2" s="24" t="s">
        <v>165</v>
      </c>
      <c r="AD2" s="24" t="s">
        <v>166</v>
      </c>
      <c r="AE2" s="24" t="s">
        <v>167</v>
      </c>
      <c r="AF2" s="24" t="s">
        <v>168</v>
      </c>
      <c r="AG2" s="24" t="s">
        <v>169</v>
      </c>
      <c r="AH2" s="24" t="s">
        <v>170</v>
      </c>
      <c r="AJ2" s="40"/>
    </row>
    <row r="3" s="25" customFormat="1" hidden="1" customHeight="1" spans="1:38">
      <c r="B3" s="41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 t="str">
        <f>IF(C3="","","[{global_atk,"&amp;4*D3&amp;"}]")</f>
        <v/>
      </c>
      <c r="W3" s="41"/>
      <c r="X3" s="35"/>
      <c r="Y3" s="42"/>
      <c r="Z3" s="35"/>
      <c r="AA3" s="36"/>
      <c r="AB3" s="36"/>
      <c r="AD3" s="36"/>
      <c r="AE3" s="36"/>
      <c r="AF3" s="36"/>
      <c r="AG3" s="36"/>
      <c r="AH3" s="36"/>
      <c r="AI3" s="33"/>
      <c r="AJ3" s="37"/>
      <c r="AK3" s="35"/>
      <c r="AL3" s="36"/>
    </row>
    <row r="4" s="26" customFormat="1" hidden="1" customHeight="1" spans="1:38">
      <c r="B4" s="43" t="s">
        <v>171</v>
      </c>
      <c r="D4" s="43" t="s">
        <v>171</v>
      </c>
      <c r="E4" s="43"/>
      <c r="F4" s="43"/>
      <c r="G4" s="43"/>
      <c r="H4" s="43"/>
      <c r="I4" s="43"/>
      <c r="J4" s="43"/>
      <c r="K4" s="43"/>
      <c r="L4" s="43"/>
      <c r="M4" s="36"/>
      <c r="N4" s="36"/>
      <c r="O4" s="36"/>
      <c r="P4" s="36"/>
      <c r="Q4" s="36"/>
      <c r="R4" s="36"/>
      <c r="S4" s="43"/>
      <c r="T4" s="43"/>
      <c r="U4" s="43"/>
      <c r="W4" s="44"/>
      <c r="X4" s="45"/>
      <c r="Y4" s="42"/>
      <c r="Z4" s="45"/>
      <c r="AA4" s="43"/>
      <c r="AB4" s="43" t="s">
        <v>171</v>
      </c>
      <c r="AD4" s="43"/>
      <c r="AE4" s="43"/>
      <c r="AF4" s="43"/>
      <c r="AG4" s="43"/>
      <c r="AH4" s="43"/>
      <c r="AI4" s="46"/>
      <c r="AJ4" s="47" t="s">
        <v>171</v>
      </c>
      <c r="AK4" s="45"/>
      <c r="AL4" s="36"/>
    </row>
    <row r="5" s="25" customFormat="1" hidden="1" customHeight="1" spans="1:38">
      <c r="A5" s="48" t="str">
        <f>IF(ISBLANK(AI5),"",AI5)</f>
        <v/>
      </c>
      <c r="B5" s="49" t="s">
        <v>172</v>
      </c>
      <c r="C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>
        <v>4</v>
      </c>
      <c r="W5" s="41"/>
      <c r="X5" s="35"/>
      <c r="Y5" s="42"/>
      <c r="Z5" s="35"/>
      <c r="AA5" s="36"/>
      <c r="AB5" s="36"/>
      <c r="AC5" s="36"/>
      <c r="AD5" s="36"/>
      <c r="AE5" s="36"/>
      <c r="AF5" s="36"/>
      <c r="AG5" s="36"/>
      <c r="AH5" s="36" t="s">
        <v>173</v>
      </c>
      <c r="AI5" s="33"/>
      <c r="AJ5" s="37"/>
      <c r="AK5" s="35"/>
      <c r="AL5" s="36"/>
    </row>
    <row r="6" s="25" customFormat="1" hidden="1" customHeight="1" spans="1:38">
      <c r="A6" s="48">
        <v>5501011</v>
      </c>
      <c r="B6" s="50"/>
      <c r="C6" s="48" t="str">
        <f t="shared" ref="C6:C69" si="0">IF(ISBLANK(AI6),"",LEFT(AI6,6)&amp;1)</f>
        <v>5501011</v>
      </c>
      <c r="D6" s="42">
        <f t="shared" ref="D6:D69" si="1">IF(ISBLANK(AI6),"",VALUE(RIGHT(A6,1)))</f>
        <v>1</v>
      </c>
      <c r="E6" s="42"/>
      <c r="F6" s="36" t="s">
        <v>174</v>
      </c>
      <c r="G6" s="36">
        <f>IF(LEFT(F6,2)="[1",1,"")</f>
        <v>1</v>
      </c>
      <c r="H6" s="36">
        <f>IFERROR(IF(--MID($F6,2*COUNTIF($G6:G6,"&gt;"&amp;0)+2,1)=H$1,H$1,""),"")</f>
        <v>2</v>
      </c>
      <c r="I6" s="36">
        <f>IFERROR(IF(--MID($F6,2*COUNTIF($G6:H6,"&gt;"&amp;0)+2,1)=I$1,I$1,""),"")</f>
        <v>3</v>
      </c>
      <c r="J6" s="36">
        <f>IFERROR(IF(--MID($F6,2*COUNTIF($G6:I6,"&gt;"&amp;0)+2,1)=J$1,J$1,""),"")</f>
        <v>4</v>
      </c>
      <c r="K6" s="36">
        <f>IFERROR(IF(--MID($F6,2*COUNTIF($G6:J6,"&gt;"&amp;0)+2,1)=K$1,K$1,""),"")</f>
        <v>5</v>
      </c>
      <c r="L6" s="36">
        <f>IFERROR(IF(--MID($F6,2*COUNTIF($G6:K6,"&gt;"&amp;0)+2,1)=L$1,L$1,""),"")</f>
        <v>6</v>
      </c>
      <c r="M6" s="51" cm="1">
        <f t="array" ref="M6">IF($A6="","",IF(G6="","",_xlfn.XLOOKUP($D6&amp;"_"&amp;$AE6,符文权重!$A:$A&amp;"_"&amp;符文权重!$C:$C,符文权重!$D:$D)*$Y6/SUMIFS($Y:$Y,G:G,G6,$D:$D,$D6,$AE:$AE,$AE6)/SUMIF(符文权重!$A:$A,$D6,符文权重!$D:$D)))</f>
        <v>0.05</v>
      </c>
      <c r="N6" s="51" cm="1">
        <f t="array" ref="N6">IF($A6="","",IF(H6="","",_xlfn.XLOOKUP($D6&amp;"_"&amp;$AE6,符文权重!$A:$A&amp;"_"&amp;符文权重!$C:$C,符文权重!$D:$D)*$Y6/SUMIFS($Y:$Y,H:H,H6,$D:$D,$D6,$AE:$AE,$AE6)/SUMIF(符文权重!$A:$A,$D6,符文权重!$D:$D)))</f>
        <v>0.05</v>
      </c>
      <c r="O6" s="51" cm="1">
        <f t="array" ref="O6">IF($A6="","",IF(I6="","",_xlfn.XLOOKUP($D6&amp;"_"&amp;$AE6,符文权重!$A:$A&amp;"_"&amp;符文权重!$C:$C,符文权重!$D:$D)*$Y6/SUMIFS($Y:$Y,I:I,I6,$D:$D,$D6,$AE:$AE,$AE6)/SUMIF(符文权重!$A:$A,$D6,符文权重!$D:$D)))</f>
        <v>0.05</v>
      </c>
      <c r="P6" s="51" cm="1">
        <f t="array" ref="P6">IF($A6="","",IF(J6="","",_xlfn.XLOOKUP($D6&amp;"_"&amp;$AE6,符文权重!$A:$A&amp;"_"&amp;符文权重!$C:$C,符文权重!$D:$D)*$Y6/SUMIFS($Y:$Y,J:J,J6,$D:$D,$D6,$AE:$AE,$AE6)/SUMIF(符文权重!$A:$A,$D6,符文权重!$D:$D)))</f>
        <v>0.05</v>
      </c>
      <c r="Q6" s="51" cm="1">
        <f t="array" ref="Q6">IF($A6="","",IF(K6="","",_xlfn.XLOOKUP($D6&amp;"_"&amp;$AE6,符文权重!$A:$A&amp;"_"&amp;符文权重!$C:$C,符文权重!$D:$D)*$Y6/SUMIFS($Y:$Y,K:K,K6,$D:$D,$D6,$AE:$AE,$AE6)/SUMIF(符文权重!$A:$A,$D6,符文权重!$D:$D)))</f>
        <v>0.05</v>
      </c>
      <c r="R6" s="51" cm="1">
        <f t="array" ref="R6">IF($A6="","",IF(L6="","",_xlfn.XLOOKUP($D6&amp;"_"&amp;$AE6,符文权重!$A:$A&amp;"_"&amp;符文权重!$C:$C,符文权重!$D:$D)*$Y6/SUMIFS($Y:$Y,L:L,L6,$D:$D,$D6,$AE:$AE,$AE6)/SUMIF(符文权重!$A:$A,$D6,符文权重!$D:$D)))</f>
        <v>0.05</v>
      </c>
      <c r="S6" s="36" t="s">
        <v>175</v>
      </c>
      <c r="T6" s="36"/>
      <c r="U6" s="36" t="e">
        <f>IF(C6="","",SUBSTITUTE(SUBSTITUTE("[{global_atk,"&amp;#REF!*D6&amp;"}]",21,20),9,8))</f>
        <v>#REF!</v>
      </c>
      <c r="V6" s="52" t="str">
        <f t="shared" ref="V6:V12" si="2">"["&amp;A6&amp;"]"</f>
        <v>[5501011]</v>
      </c>
      <c r="W6" s="36" t="s">
        <v>176</v>
      </c>
      <c r="X6" s="35"/>
      <c r="Y6" s="42">
        <v>100</v>
      </c>
      <c r="Z6" s="35"/>
      <c r="AA6" s="42" t="s">
        <v>177</v>
      </c>
      <c r="AB6" s="42" t="str">
        <f t="shared" ref="AB6:AB69" si="3">SUBSTITUTE(AJ6,"%s",AK6)</f>
        <v>攻击力&lt;color=#54b76b&gt;+20&lt;/color&gt; </v>
      </c>
      <c r="AC6" s="48" t="str">
        <f t="shared" ref="AC6:AC69" si="4">IF(ISBLANK(AI6),"",C6)</f>
        <v>5501011</v>
      </c>
      <c r="AD6" s="42" t="str">
        <f t="shared" ref="AD6:AD69" si="5">IF(ISBLANK(AK6),"","["&amp;AK6&amp;"]")</f>
        <v>[20]</v>
      </c>
      <c r="AE6" s="36">
        <v>1</v>
      </c>
      <c r="AF6" s="36"/>
      <c r="AG6" s="36">
        <v>0</v>
      </c>
      <c r="AH6" s="35" t="s">
        <v>178</v>
      </c>
      <c r="AI6" s="33">
        <v>5501011</v>
      </c>
      <c r="AJ6" s="37" t="s">
        <v>179</v>
      </c>
      <c r="AK6" s="35">
        <v>20</v>
      </c>
      <c r="AL6" s="36">
        <v>1</v>
      </c>
    </row>
    <row r="7" s="25" customFormat="1" hidden="1" customHeight="1" spans="1:38">
      <c r="A7" s="48">
        <v>5501012</v>
      </c>
      <c r="B7" s="42"/>
      <c r="C7" s="48" t="str">
        <f t="shared" si="0"/>
        <v>5501011</v>
      </c>
      <c r="D7" s="42">
        <f t="shared" si="1"/>
        <v>2</v>
      </c>
      <c r="E7" s="42"/>
      <c r="F7" s="36" t="s">
        <v>174</v>
      </c>
      <c r="G7" s="36">
        <f>IF(LEFT(F7,2)="[1",1,"")</f>
        <v>1</v>
      </c>
      <c r="H7" s="36">
        <f>IFERROR(IF(--MID($F7,2*COUNTIF($G7:G7,"&gt;"&amp;0)+2,1)=H$1,H$1,""),"")</f>
        <v>2</v>
      </c>
      <c r="I7" s="36">
        <f>IFERROR(IF(--MID($F7,2*COUNTIF($G7:H7,"&gt;"&amp;0)+2,1)=I$1,I$1,""),"")</f>
        <v>3</v>
      </c>
      <c r="J7" s="36">
        <f>IFERROR(IF(--MID($F7,2*COUNTIF($G7:I7,"&gt;"&amp;0)+2,1)=J$1,J$1,""),"")</f>
        <v>4</v>
      </c>
      <c r="K7" s="36">
        <f>IFERROR(IF(--MID($F7,2*COUNTIF($G7:J7,"&gt;"&amp;0)+2,1)=K$1,K$1,""),"")</f>
        <v>5</v>
      </c>
      <c r="L7" s="36">
        <f>IFERROR(IF(--MID($F7,2*COUNTIF($G7:K7,"&gt;"&amp;0)+2,1)=L$1,L$1,""),"")</f>
        <v>6</v>
      </c>
      <c r="M7" s="51" cm="1">
        <f t="array" ref="M7">IF($A7="","",IF(G7="","",_xlfn.XLOOKUP($D7&amp;"_"&amp;$AE7,符文权重!$A:$A&amp;"_"&amp;符文权重!$C:$C,符文权重!$D:$D)*$Y7/SUMIFS($Y:$Y,G:G,G7,$D:$D,$D7,$AE:$AE,$AE7)/SUMIF(符文权重!$A:$A,$D7,符文权重!$D:$D)))</f>
        <v>0.0363636363636364</v>
      </c>
      <c r="N7" s="51" cm="1">
        <f t="array" ref="N7">IF($A7="","",IF(H7="","",_xlfn.XLOOKUP($D7&amp;"_"&amp;$AE7,符文权重!$A:$A&amp;"_"&amp;符文权重!$C:$C,符文权重!$D:$D)*$Y7/SUMIFS($Y:$Y,H:H,H7,$D:$D,$D7,$AE:$AE,$AE7)/SUMIF(符文权重!$A:$A,$D7,符文权重!$D:$D)))</f>
        <v>0.0363636363636364</v>
      </c>
      <c r="O7" s="51" cm="1">
        <f t="array" ref="O7">IF($A7="","",IF(I7="","",_xlfn.XLOOKUP($D7&amp;"_"&amp;$AE7,符文权重!$A:$A&amp;"_"&amp;符文权重!$C:$C,符文权重!$D:$D)*$Y7/SUMIFS($Y:$Y,I:I,I7,$D:$D,$D7,$AE:$AE,$AE7)/SUMIF(符文权重!$A:$A,$D7,符文权重!$D:$D)))</f>
        <v>0.0363636363636364</v>
      </c>
      <c r="P7" s="51" cm="1">
        <f t="array" ref="P7">IF($A7="","",IF(J7="","",_xlfn.XLOOKUP($D7&amp;"_"&amp;$AE7,符文权重!$A:$A&amp;"_"&amp;符文权重!$C:$C,符文权重!$D:$D)*$Y7/SUMIFS($Y:$Y,J:J,J7,$D:$D,$D7,$AE:$AE,$AE7)/SUMIF(符文权重!$A:$A,$D7,符文权重!$D:$D)))</f>
        <v>0.0363636363636364</v>
      </c>
      <c r="Q7" s="51" cm="1">
        <f t="array" ref="Q7">IF($A7="","",IF(K7="","",_xlfn.XLOOKUP($D7&amp;"_"&amp;$AE7,符文权重!$A:$A&amp;"_"&amp;符文权重!$C:$C,符文权重!$D:$D)*$Y7/SUMIFS($Y:$Y,K:K,K7,$D:$D,$D7,$AE:$AE,$AE7)/SUMIF(符文权重!$A:$A,$D7,符文权重!$D:$D)))</f>
        <v>0.0363636363636364</v>
      </c>
      <c r="R7" s="51" cm="1">
        <f t="array" ref="R7">IF($A7="","",IF(L7="","",_xlfn.XLOOKUP($D7&amp;"_"&amp;$AE7,符文权重!$A:$A&amp;"_"&amp;符文权重!$C:$C,符文权重!$D:$D)*$Y7/SUMIFS($Y:$Y,L:L,L7,$D:$D,$D7,$AE:$AE,$AE7)/SUMIF(符文权重!$A:$A,$D7,符文权重!$D:$D)))</f>
        <v>0.0363636363636364</v>
      </c>
      <c r="S7" s="36" t="s">
        <v>175</v>
      </c>
      <c r="T7" s="36"/>
      <c r="U7" s="36" t="e">
        <f>IF(C7="","",SUBSTITUTE(SUBSTITUTE("[{global_atk,"&amp;#REF!*D7&amp;"}]",21,20),9,8))</f>
        <v>#REF!</v>
      </c>
      <c r="V7" s="52" t="str">
        <f t="shared" si="2"/>
        <v>[5501012]</v>
      </c>
      <c r="W7" s="36" t="s">
        <v>180</v>
      </c>
      <c r="X7" s="35"/>
      <c r="Y7" s="42">
        <v>100</v>
      </c>
      <c r="Z7" s="35"/>
      <c r="AA7" s="42" t="s">
        <v>181</v>
      </c>
      <c r="AB7" s="42" t="str">
        <f t="shared" si="3"/>
        <v>攻击力&lt;color=#54b76b&gt;+30&lt;/color&gt; </v>
      </c>
      <c r="AC7" s="48" t="str">
        <f t="shared" si="4"/>
        <v>5501011</v>
      </c>
      <c r="AD7" s="42" t="str">
        <f t="shared" si="5"/>
        <v>[30]</v>
      </c>
      <c r="AE7" s="36">
        <v>1</v>
      </c>
      <c r="AF7" s="36"/>
      <c r="AG7" s="36">
        <v>0</v>
      </c>
      <c r="AH7" s="35" t="s">
        <v>178</v>
      </c>
      <c r="AI7" s="48">
        <f t="shared" ref="AI7:AI12" si="6">AI6+1</f>
        <v>5501012</v>
      </c>
      <c r="AJ7" s="53" t="str">
        <f t="shared" ref="AJ7:AJ12" si="7">AJ6</f>
        <v>攻击力&lt;color=#54b76b&gt;+%s&lt;/color&gt; </v>
      </c>
      <c r="AK7" s="35">
        <v>30</v>
      </c>
      <c r="AL7" s="36">
        <v>1</v>
      </c>
    </row>
    <row r="8" s="25" customFormat="1" hidden="1" customHeight="1" spans="1:38">
      <c r="A8" s="48">
        <v>5501013</v>
      </c>
      <c r="B8" s="42"/>
      <c r="C8" s="48" t="str">
        <f t="shared" si="0"/>
        <v>5501011</v>
      </c>
      <c r="D8" s="42">
        <f t="shared" si="1"/>
        <v>3</v>
      </c>
      <c r="E8" s="42"/>
      <c r="F8" s="36" t="s">
        <v>174</v>
      </c>
      <c r="G8" s="36">
        <f t="shared" ref="G8:G70" si="8">IF(LEFT(F8,2)="[1",1,"")</f>
        <v>1</v>
      </c>
      <c r="H8" s="36">
        <f>IFERROR(IF(--MID($F8,2*COUNTIF($G8:G8,"&gt;"&amp;0)+2,1)=H$1,H$1,""),"")</f>
        <v>2</v>
      </c>
      <c r="I8" s="36">
        <f>IFERROR(IF(--MID($F8,2*COUNTIF($G8:H8,"&gt;"&amp;0)+2,1)=I$1,I$1,""),"")</f>
        <v>3</v>
      </c>
      <c r="J8" s="36">
        <f>IFERROR(IF(--MID($F8,2*COUNTIF($G8:I8,"&gt;"&amp;0)+2,1)=J$1,J$1,""),"")</f>
        <v>4</v>
      </c>
      <c r="K8" s="36">
        <f>IFERROR(IF(--MID($F8,2*COUNTIF($G8:J8,"&gt;"&amp;0)+2,1)=K$1,K$1,""),"")</f>
        <v>5</v>
      </c>
      <c r="L8" s="36">
        <f>IFERROR(IF(--MID($F8,2*COUNTIF($G8:K8,"&gt;"&amp;0)+2,1)=L$1,L$1,""),"")</f>
        <v>6</v>
      </c>
      <c r="M8" s="51" cm="1">
        <f t="array" ref="M8">IF($A8="","",IF(G8="","",_xlfn.XLOOKUP($D8&amp;"_"&amp;$AE8,符文权重!$A:$A&amp;"_"&amp;符文权重!$C:$C,符文权重!$D:$D)*$Y8/SUMIFS($Y:$Y,G:G,G8,$D:$D,$D8,$AE:$AE,$AE8)/SUMIF(符文权重!$A:$A,$D8,符文权重!$D:$D)))</f>
        <v>0.035</v>
      </c>
      <c r="N8" s="51" cm="1">
        <f t="array" ref="N8">IF($A8="","",IF(H8="","",_xlfn.XLOOKUP($D8&amp;"_"&amp;$AE8,符文权重!$A:$A&amp;"_"&amp;符文权重!$C:$C,符文权重!$D:$D)*$Y8/SUMIFS($Y:$Y,H:H,H8,$D:$D,$D8,$AE:$AE,$AE8)/SUMIF(符文权重!$A:$A,$D8,符文权重!$D:$D)))</f>
        <v>0.035</v>
      </c>
      <c r="O8" s="51" cm="1">
        <f t="array" ref="O8">IF($A8="","",IF(I8="","",_xlfn.XLOOKUP($D8&amp;"_"&amp;$AE8,符文权重!$A:$A&amp;"_"&amp;符文权重!$C:$C,符文权重!$D:$D)*$Y8/SUMIFS($Y:$Y,I:I,I8,$D:$D,$D8,$AE:$AE,$AE8)/SUMIF(符文权重!$A:$A,$D8,符文权重!$D:$D)))</f>
        <v>0.035</v>
      </c>
      <c r="P8" s="51" cm="1">
        <f t="array" ref="P8">IF($A8="","",IF(J8="","",_xlfn.XLOOKUP($D8&amp;"_"&amp;$AE8,符文权重!$A:$A&amp;"_"&amp;符文权重!$C:$C,符文权重!$D:$D)*$Y8/SUMIFS($Y:$Y,J:J,J8,$D:$D,$D8,$AE:$AE,$AE8)/SUMIF(符文权重!$A:$A,$D8,符文权重!$D:$D)))</f>
        <v>0.035</v>
      </c>
      <c r="Q8" s="51" cm="1">
        <f t="array" ref="Q8">IF($A8="","",IF(K8="","",_xlfn.XLOOKUP($D8&amp;"_"&amp;$AE8,符文权重!$A:$A&amp;"_"&amp;符文权重!$C:$C,符文权重!$D:$D)*$Y8/SUMIFS($Y:$Y,K:K,K8,$D:$D,$D8,$AE:$AE,$AE8)/SUMIF(符文权重!$A:$A,$D8,符文权重!$D:$D)))</f>
        <v>0.035</v>
      </c>
      <c r="R8" s="51" cm="1">
        <f t="array" ref="R8">IF($A8="","",IF(L8="","",_xlfn.XLOOKUP($D8&amp;"_"&amp;$AE8,符文权重!$A:$A&amp;"_"&amp;符文权重!$C:$C,符文权重!$D:$D)*$Y8/SUMIFS($Y:$Y,L:L,L8,$D:$D,$D8,$AE:$AE,$AE8)/SUMIF(符文权重!$A:$A,$D8,符文权重!$D:$D)))</f>
        <v>0.035</v>
      </c>
      <c r="S8" s="36" t="s">
        <v>175</v>
      </c>
      <c r="T8" s="36"/>
      <c r="U8" s="36" t="e">
        <f>IF(C8="","",SUBSTITUTE(SUBSTITUTE("[{global_atk,"&amp;#REF!*D8&amp;"}]",21,20),9,8))</f>
        <v>#REF!</v>
      </c>
      <c r="V8" s="52" t="str">
        <f t="shared" si="2"/>
        <v>[5501013]</v>
      </c>
      <c r="W8" s="36" t="s">
        <v>182</v>
      </c>
      <c r="X8" s="35"/>
      <c r="Y8" s="42">
        <v>100</v>
      </c>
      <c r="Z8" s="35"/>
      <c r="AA8" s="42" t="s">
        <v>183</v>
      </c>
      <c r="AB8" s="42" t="str">
        <f t="shared" si="3"/>
        <v>攻击力&lt;color=#54b76b&gt;+40&lt;/color&gt; </v>
      </c>
      <c r="AC8" s="48" t="str">
        <f t="shared" si="4"/>
        <v>5501011</v>
      </c>
      <c r="AD8" s="42" t="str">
        <f t="shared" si="5"/>
        <v>[40]</v>
      </c>
      <c r="AE8" s="36">
        <v>1</v>
      </c>
      <c r="AF8" s="36"/>
      <c r="AG8" s="36">
        <v>0</v>
      </c>
      <c r="AH8" s="35" t="s">
        <v>178</v>
      </c>
      <c r="AI8" s="48">
        <f t="shared" si="6"/>
        <v>5501013</v>
      </c>
      <c r="AJ8" s="53" t="str">
        <f t="shared" si="7"/>
        <v>攻击力&lt;color=#54b76b&gt;+%s&lt;/color&gt; </v>
      </c>
      <c r="AK8" s="35">
        <v>40</v>
      </c>
      <c r="AL8" s="36">
        <v>1</v>
      </c>
    </row>
    <row r="9" s="25" customFormat="1" hidden="1" customHeight="1" spans="1:38">
      <c r="A9" s="48">
        <v>5501014</v>
      </c>
      <c r="B9" s="42"/>
      <c r="C9" s="48" t="str">
        <f t="shared" si="0"/>
        <v>5501011</v>
      </c>
      <c r="D9" s="42">
        <f t="shared" si="1"/>
        <v>4</v>
      </c>
      <c r="E9" s="42"/>
      <c r="F9" s="36" t="s">
        <v>174</v>
      </c>
      <c r="G9" s="36">
        <f t="shared" si="8"/>
        <v>1</v>
      </c>
      <c r="H9" s="36">
        <f>IFERROR(IF(--MID($F9,2*COUNTIF($G9:G9,"&gt;"&amp;0)+2,1)=H$1,H$1,""),"")</f>
        <v>2</v>
      </c>
      <c r="I9" s="36">
        <f>IFERROR(IF(--MID($F9,2*COUNTIF($G9:H9,"&gt;"&amp;0)+2,1)=I$1,I$1,""),"")</f>
        <v>3</v>
      </c>
      <c r="J9" s="36">
        <f>IFERROR(IF(--MID($F9,2*COUNTIF($G9:I9,"&gt;"&amp;0)+2,1)=J$1,J$1,""),"")</f>
        <v>4</v>
      </c>
      <c r="K9" s="36">
        <f>IFERROR(IF(--MID($F9,2*COUNTIF($G9:J9,"&gt;"&amp;0)+2,1)=K$1,K$1,""),"")</f>
        <v>5</v>
      </c>
      <c r="L9" s="36">
        <f>IFERROR(IF(--MID($F9,2*COUNTIF($G9:K9,"&gt;"&amp;0)+2,1)=L$1,L$1,""),"")</f>
        <v>6</v>
      </c>
      <c r="M9" s="51" cm="1">
        <f t="array" ref="M9">IF($A9="","",IF(G9="","",_xlfn.XLOOKUP($D9&amp;"_"&amp;$AE9,符文权重!$A:$A&amp;"_"&amp;符文权重!$C:$C,符文权重!$D:$D)*$Y9/SUMIFS($Y:$Y,G:G,G9,$D:$D,$D9,$AE:$AE,$AE9)/SUMIF(符文权重!$A:$A,$D9,符文权重!$D:$D)))</f>
        <v>0.0229365529511942</v>
      </c>
      <c r="N9" s="51" cm="1">
        <f t="array" ref="N9">IF($A9="","",IF(H9="","",_xlfn.XLOOKUP($D9&amp;"_"&amp;$AE9,符文权重!$A:$A&amp;"_"&amp;符文权重!$C:$C,符文权重!$D:$D)*$Y9/SUMIFS($Y:$Y,H:H,H9,$D:$D,$D9,$AE:$AE,$AE9)/SUMIF(符文权重!$A:$A,$D9,符文权重!$D:$D)))</f>
        <v>0.0229365529511942</v>
      </c>
      <c r="O9" s="51" cm="1">
        <f t="array" ref="O9">IF($A9="","",IF(I9="","",_xlfn.XLOOKUP($D9&amp;"_"&amp;$AE9,符文权重!$A:$A&amp;"_"&amp;符文权重!$C:$C,符文权重!$D:$D)*$Y9/SUMIFS($Y:$Y,I:I,I9,$D:$D,$D9,$AE:$AE,$AE9)/SUMIF(符文权重!$A:$A,$D9,符文权重!$D:$D)))</f>
        <v>0.0229365529511942</v>
      </c>
      <c r="P9" s="51" cm="1">
        <f t="array" ref="P9">IF($A9="","",IF(J9="","",_xlfn.XLOOKUP($D9&amp;"_"&amp;$AE9,符文权重!$A:$A&amp;"_"&amp;符文权重!$C:$C,符文权重!$D:$D)*$Y9/SUMIFS($Y:$Y,J:J,J9,$D:$D,$D9,$AE:$AE,$AE9)/SUMIF(符文权重!$A:$A,$D9,符文权重!$D:$D)))</f>
        <v>0.0229365529511942</v>
      </c>
      <c r="Q9" s="51" cm="1">
        <f t="array" ref="Q9">IF($A9="","",IF(K9="","",_xlfn.XLOOKUP($D9&amp;"_"&amp;$AE9,符文权重!$A:$A&amp;"_"&amp;符文权重!$C:$C,符文权重!$D:$D)*$Y9/SUMIFS($Y:$Y,K:K,K9,$D:$D,$D9,$AE:$AE,$AE9)/SUMIF(符文权重!$A:$A,$D9,符文权重!$D:$D)))</f>
        <v>0.0229365529511942</v>
      </c>
      <c r="R9" s="51" cm="1">
        <f t="array" ref="R9">IF($A9="","",IF(L9="","",_xlfn.XLOOKUP($D9&amp;"_"&amp;$AE9,符文权重!$A:$A&amp;"_"&amp;符文权重!$C:$C,符文权重!$D:$D)*$Y9/SUMIFS($Y:$Y,L:L,L9,$D:$D,$D9,$AE:$AE,$AE9)/SUMIF(符文权重!$A:$A,$D9,符文权重!$D:$D)))</f>
        <v>0.0229365529511942</v>
      </c>
      <c r="S9" s="36" t="s">
        <v>175</v>
      </c>
      <c r="T9" s="36"/>
      <c r="U9" s="36" t="e">
        <f>IF(C9="","",SUBSTITUTE(SUBSTITUTE("[{global_atk,"&amp;#REF!*D9&amp;"}]",21,20),9,8))</f>
        <v>#REF!</v>
      </c>
      <c r="V9" s="52" t="str">
        <f t="shared" si="2"/>
        <v>[5501014]</v>
      </c>
      <c r="W9" s="36" t="s">
        <v>184</v>
      </c>
      <c r="X9" s="35"/>
      <c r="Y9" s="42">
        <v>100</v>
      </c>
      <c r="Z9" s="35"/>
      <c r="AA9" s="42" t="s">
        <v>185</v>
      </c>
      <c r="AB9" s="42" t="str">
        <f t="shared" si="3"/>
        <v>攻击力&lt;color=#54b76b&gt;+50&lt;/color&gt; </v>
      </c>
      <c r="AC9" s="48" t="str">
        <f t="shared" si="4"/>
        <v>5501011</v>
      </c>
      <c r="AD9" s="42" t="str">
        <f t="shared" si="5"/>
        <v>[50]</v>
      </c>
      <c r="AE9" s="36">
        <v>1</v>
      </c>
      <c r="AF9" s="36"/>
      <c r="AG9" s="36">
        <v>0</v>
      </c>
      <c r="AH9" s="35" t="s">
        <v>178</v>
      </c>
      <c r="AI9" s="48">
        <f t="shared" si="6"/>
        <v>5501014</v>
      </c>
      <c r="AJ9" s="53" t="str">
        <f t="shared" si="7"/>
        <v>攻击力&lt;color=#54b76b&gt;+%s&lt;/color&gt; </v>
      </c>
      <c r="AK9" s="35">
        <v>50</v>
      </c>
      <c r="AL9" s="36">
        <v>1</v>
      </c>
    </row>
    <row r="10" s="25" customFormat="1" hidden="1" customHeight="1" spans="1:38">
      <c r="A10" s="48">
        <v>5501015</v>
      </c>
      <c r="B10" s="42"/>
      <c r="C10" s="48" t="str">
        <f t="shared" si="0"/>
        <v>5501011</v>
      </c>
      <c r="D10" s="42">
        <f t="shared" si="1"/>
        <v>5</v>
      </c>
      <c r="E10" s="42"/>
      <c r="F10" s="36" t="s">
        <v>174</v>
      </c>
      <c r="G10" s="36">
        <f t="shared" si="8"/>
        <v>1</v>
      </c>
      <c r="H10" s="36">
        <f>IFERROR(IF(--MID($F10,2*COUNTIF($G10:G10,"&gt;"&amp;0)+2,1)=H$1,H$1,""),"")</f>
        <v>2</v>
      </c>
      <c r="I10" s="36">
        <f>IFERROR(IF(--MID($F10,2*COUNTIF($G10:H10,"&gt;"&amp;0)+2,1)=I$1,I$1,""),"")</f>
        <v>3</v>
      </c>
      <c r="J10" s="36">
        <f>IFERROR(IF(--MID($F10,2*COUNTIF($G10:I10,"&gt;"&amp;0)+2,1)=J$1,J$1,""),"")</f>
        <v>4</v>
      </c>
      <c r="K10" s="36">
        <f>IFERROR(IF(--MID($F10,2*COUNTIF($G10:J10,"&gt;"&amp;0)+2,1)=K$1,K$1,""),"")</f>
        <v>5</v>
      </c>
      <c r="L10" s="36">
        <f>IFERROR(IF(--MID($F10,2*COUNTIF($G10:K10,"&gt;"&amp;0)+2,1)=L$1,L$1,""),"")</f>
        <v>6</v>
      </c>
      <c r="M10" s="51" cm="1">
        <f t="array" ref="M10">IF($A10="","",IF(G10="","",_xlfn.XLOOKUP($D10&amp;"_"&amp;$AE10,符文权重!$A:$A&amp;"_"&amp;符文权重!$C:$C,符文权重!$D:$D)*$Y10/SUMIFS($Y:$Y,G:G,G10,$D:$D,$D10,$AE:$AE,$AE10)/SUMIF(符文权重!$A:$A,$D10,符文权重!$D:$D)))</f>
        <v>0.0204</v>
      </c>
      <c r="N10" s="51" cm="1">
        <f t="array" ref="N10">IF($A10="","",IF(H10="","",_xlfn.XLOOKUP($D10&amp;"_"&amp;$AE10,符文权重!$A:$A&amp;"_"&amp;符文权重!$C:$C,符文权重!$D:$D)*$Y10/SUMIFS($Y:$Y,H:H,H10,$D:$D,$D10,$AE:$AE,$AE10)/SUMIF(符文权重!$A:$A,$D10,符文权重!$D:$D)))</f>
        <v>0.0204</v>
      </c>
      <c r="O10" s="51" cm="1">
        <f t="array" ref="O10">IF($A10="","",IF(I10="","",_xlfn.XLOOKUP($D10&amp;"_"&amp;$AE10,符文权重!$A:$A&amp;"_"&amp;符文权重!$C:$C,符文权重!$D:$D)*$Y10/SUMIFS($Y:$Y,I:I,I10,$D:$D,$D10,$AE:$AE,$AE10)/SUMIF(符文权重!$A:$A,$D10,符文权重!$D:$D)))</f>
        <v>0.0204</v>
      </c>
      <c r="P10" s="51" cm="1">
        <f t="array" ref="P10">IF($A10="","",IF(J10="","",_xlfn.XLOOKUP($D10&amp;"_"&amp;$AE10,符文权重!$A:$A&amp;"_"&amp;符文权重!$C:$C,符文权重!$D:$D)*$Y10/SUMIFS($Y:$Y,J:J,J10,$D:$D,$D10,$AE:$AE,$AE10)/SUMIF(符文权重!$A:$A,$D10,符文权重!$D:$D)))</f>
        <v>0.0204</v>
      </c>
      <c r="Q10" s="51" cm="1">
        <f t="array" ref="Q10">IF($A10="","",IF(K10="","",_xlfn.XLOOKUP($D10&amp;"_"&amp;$AE10,符文权重!$A:$A&amp;"_"&amp;符文权重!$C:$C,符文权重!$D:$D)*$Y10/SUMIFS($Y:$Y,K:K,K10,$D:$D,$D10,$AE:$AE,$AE10)/SUMIF(符文权重!$A:$A,$D10,符文权重!$D:$D)))</f>
        <v>0.0204</v>
      </c>
      <c r="R10" s="51" cm="1">
        <f t="array" ref="R10">IF($A10="","",IF(L10="","",_xlfn.XLOOKUP($D10&amp;"_"&amp;$AE10,符文权重!$A:$A&amp;"_"&amp;符文权重!$C:$C,符文权重!$D:$D)*$Y10/SUMIFS($Y:$Y,L:L,L10,$D:$D,$D10,$AE:$AE,$AE10)/SUMIF(符文权重!$A:$A,$D10,符文权重!$D:$D)))</f>
        <v>0.0204</v>
      </c>
      <c r="S10" s="36" t="s">
        <v>175</v>
      </c>
      <c r="T10" s="36"/>
      <c r="U10" s="36" t="e">
        <f>IF(C10="","",SUBSTITUTE(SUBSTITUTE("[{global_atk,"&amp;#REF!*D10&amp;"}]",21,20),9,8))</f>
        <v>#REF!</v>
      </c>
      <c r="V10" s="52" t="str">
        <f t="shared" si="2"/>
        <v>[5501015]</v>
      </c>
      <c r="W10" s="36" t="s">
        <v>186</v>
      </c>
      <c r="X10" s="35"/>
      <c r="Y10" s="42">
        <v>100</v>
      </c>
      <c r="Z10" s="35"/>
      <c r="AA10" s="42" t="s">
        <v>187</v>
      </c>
      <c r="AB10" s="42" t="str">
        <f t="shared" si="3"/>
        <v>攻击力&lt;color=#54b76b&gt;+64&lt;/color&gt; </v>
      </c>
      <c r="AC10" s="48" t="str">
        <f t="shared" si="4"/>
        <v>5501011</v>
      </c>
      <c r="AD10" s="42" t="str">
        <f t="shared" si="5"/>
        <v>[64]</v>
      </c>
      <c r="AE10" s="36">
        <v>1</v>
      </c>
      <c r="AF10" s="36"/>
      <c r="AG10" s="36">
        <v>0</v>
      </c>
      <c r="AH10" s="35" t="s">
        <v>178</v>
      </c>
      <c r="AI10" s="48">
        <f t="shared" si="6"/>
        <v>5501015</v>
      </c>
      <c r="AJ10" s="53" t="str">
        <f t="shared" si="7"/>
        <v>攻击力&lt;color=#54b76b&gt;+%s&lt;/color&gt; </v>
      </c>
      <c r="AK10" s="35">
        <v>64</v>
      </c>
      <c r="AL10" s="36">
        <v>1</v>
      </c>
    </row>
    <row r="11" s="25" customFormat="1" hidden="1" customHeight="1" spans="1:38">
      <c r="A11" s="48">
        <v>5501016</v>
      </c>
      <c r="B11" s="42"/>
      <c r="C11" s="48" t="str">
        <f t="shared" si="0"/>
        <v>5501011</v>
      </c>
      <c r="D11" s="42">
        <f t="shared" si="1"/>
        <v>6</v>
      </c>
      <c r="E11" s="42"/>
      <c r="F11" s="36" t="s">
        <v>174</v>
      </c>
      <c r="G11" s="36">
        <f t="shared" si="8"/>
        <v>1</v>
      </c>
      <c r="H11" s="36">
        <f>IFERROR(IF(--MID($F11,2*COUNTIF($G11:G11,"&gt;"&amp;0)+2,1)=H$1,H$1,""),"")</f>
        <v>2</v>
      </c>
      <c r="I11" s="36">
        <f>IFERROR(IF(--MID($F11,2*COUNTIF($G11:H11,"&gt;"&amp;0)+2,1)=I$1,I$1,""),"")</f>
        <v>3</v>
      </c>
      <c r="J11" s="36">
        <f>IFERROR(IF(--MID($F11,2*COUNTIF($G11:I11,"&gt;"&amp;0)+2,1)=J$1,J$1,""),"")</f>
        <v>4</v>
      </c>
      <c r="K11" s="36">
        <f>IFERROR(IF(--MID($F11,2*COUNTIF($G11:J11,"&gt;"&amp;0)+2,1)=K$1,K$1,""),"")</f>
        <v>5</v>
      </c>
      <c r="L11" s="36">
        <f>IFERROR(IF(--MID($F11,2*COUNTIF($G11:K11,"&gt;"&amp;0)+2,1)=L$1,L$1,""),"")</f>
        <v>6</v>
      </c>
      <c r="M11" s="51" cm="1">
        <f t="array" ref="M11">IF($A11="","",IF(G11="","",_xlfn.XLOOKUP($D11&amp;"_"&amp;$AE11,符文权重!$A:$A&amp;"_"&amp;符文权重!$C:$C,符文权重!$D:$D)*$Y11/SUMIFS($Y:$Y,G:G,G11,$D:$D,$D11,$AE:$AE,$AE11)/SUMIF(符文权重!$A:$A,$D11,符文权重!$D:$D)))</f>
        <v>0.0204</v>
      </c>
      <c r="N11" s="51" cm="1">
        <f t="array" ref="N11">IF($A11="","",IF(H11="","",_xlfn.XLOOKUP($D11&amp;"_"&amp;$AE11,符文权重!$A:$A&amp;"_"&amp;符文权重!$C:$C,符文权重!$D:$D)*$Y11/SUMIFS($Y:$Y,H:H,H11,$D:$D,$D11,$AE:$AE,$AE11)/SUMIF(符文权重!$A:$A,$D11,符文权重!$D:$D)))</f>
        <v>0.0204</v>
      </c>
      <c r="O11" s="51" cm="1">
        <f t="array" ref="O11">IF($A11="","",IF(I11="","",_xlfn.XLOOKUP($D11&amp;"_"&amp;$AE11,符文权重!$A:$A&amp;"_"&amp;符文权重!$C:$C,符文权重!$D:$D)*$Y11/SUMIFS($Y:$Y,I:I,I11,$D:$D,$D11,$AE:$AE,$AE11)/SUMIF(符文权重!$A:$A,$D11,符文权重!$D:$D)))</f>
        <v>0.0204</v>
      </c>
      <c r="P11" s="51" cm="1">
        <f t="array" ref="P11">IF($A11="","",IF(J11="","",_xlfn.XLOOKUP($D11&amp;"_"&amp;$AE11,符文权重!$A:$A&amp;"_"&amp;符文权重!$C:$C,符文权重!$D:$D)*$Y11/SUMIFS($Y:$Y,J:J,J11,$D:$D,$D11,$AE:$AE,$AE11)/SUMIF(符文权重!$A:$A,$D11,符文权重!$D:$D)))</f>
        <v>0.0204</v>
      </c>
      <c r="Q11" s="51" cm="1">
        <f t="array" ref="Q11">IF($A11="","",IF(K11="","",_xlfn.XLOOKUP($D11&amp;"_"&amp;$AE11,符文权重!$A:$A&amp;"_"&amp;符文权重!$C:$C,符文权重!$D:$D)*$Y11/SUMIFS($Y:$Y,K:K,K11,$D:$D,$D11,$AE:$AE,$AE11)/SUMIF(符文权重!$A:$A,$D11,符文权重!$D:$D)))</f>
        <v>0.0204</v>
      </c>
      <c r="R11" s="51" cm="1">
        <f t="array" ref="R11">IF($A11="","",IF(L11="","",_xlfn.XLOOKUP($D11&amp;"_"&amp;$AE11,符文权重!$A:$A&amp;"_"&amp;符文权重!$C:$C,符文权重!$D:$D)*$Y11/SUMIFS($Y:$Y,L:L,L11,$D:$D,$D11,$AE:$AE,$AE11)/SUMIF(符文权重!$A:$A,$D11,符文权重!$D:$D)))</f>
        <v>0.0204</v>
      </c>
      <c r="S11" s="36" t="s">
        <v>175</v>
      </c>
      <c r="T11" s="36"/>
      <c r="U11" s="36" t="e">
        <f>IF(C11="","",SUBSTITUTE(SUBSTITUTE("[{global_atk,"&amp;#REF!*D11&amp;"}]",21,20),9,8))</f>
        <v>#REF!</v>
      </c>
      <c r="V11" s="52" t="str">
        <f t="shared" si="2"/>
        <v>[5501016]</v>
      </c>
      <c r="W11" s="36" t="s">
        <v>188</v>
      </c>
      <c r="X11" s="35"/>
      <c r="Y11" s="42">
        <v>100</v>
      </c>
      <c r="Z11" s="35"/>
      <c r="AA11" s="42" t="s">
        <v>189</v>
      </c>
      <c r="AB11" s="42" t="str">
        <f t="shared" si="3"/>
        <v>攻击力&lt;color=#54b76b&gt;+80&lt;/color&gt; </v>
      </c>
      <c r="AC11" s="48" t="str">
        <f t="shared" si="4"/>
        <v>5501011</v>
      </c>
      <c r="AD11" s="42" t="str">
        <f t="shared" si="5"/>
        <v>[80]</v>
      </c>
      <c r="AE11" s="36">
        <v>1</v>
      </c>
      <c r="AF11" s="36"/>
      <c r="AG11" s="36">
        <v>0</v>
      </c>
      <c r="AH11" s="35" t="s">
        <v>178</v>
      </c>
      <c r="AI11" s="48">
        <f t="shared" si="6"/>
        <v>5501016</v>
      </c>
      <c r="AJ11" s="53" t="str">
        <f t="shared" si="7"/>
        <v>攻击力&lt;color=#54b76b&gt;+%s&lt;/color&gt; </v>
      </c>
      <c r="AK11" s="35">
        <v>80</v>
      </c>
      <c r="AL11" s="36">
        <v>1</v>
      </c>
    </row>
    <row r="12" s="25" customFormat="1" hidden="1" customHeight="1" spans="1:38">
      <c r="A12" s="48">
        <v>5501017</v>
      </c>
      <c r="B12" s="42"/>
      <c r="C12" s="48" t="str">
        <f t="shared" si="0"/>
        <v>5501011</v>
      </c>
      <c r="D12" s="42">
        <f t="shared" si="1"/>
        <v>7</v>
      </c>
      <c r="E12" s="42"/>
      <c r="F12" s="36" t="s">
        <v>174</v>
      </c>
      <c r="G12" s="36">
        <f t="shared" si="8"/>
        <v>1</v>
      </c>
      <c r="H12" s="36">
        <f>IFERROR(IF(--MID($F12,2*COUNTIF($G12:G12,"&gt;"&amp;0)+2,1)=H$1,H$1,""),"")</f>
        <v>2</v>
      </c>
      <c r="I12" s="36">
        <f>IFERROR(IF(--MID($F12,2*COUNTIF($G12:H12,"&gt;"&amp;0)+2,1)=I$1,I$1,""),"")</f>
        <v>3</v>
      </c>
      <c r="J12" s="36">
        <f>IFERROR(IF(--MID($F12,2*COUNTIF($G12:I12,"&gt;"&amp;0)+2,1)=J$1,J$1,""),"")</f>
        <v>4</v>
      </c>
      <c r="K12" s="36">
        <f>IFERROR(IF(--MID($F12,2*COUNTIF($G12:J12,"&gt;"&amp;0)+2,1)=K$1,K$1,""),"")</f>
        <v>5</v>
      </c>
      <c r="L12" s="36">
        <f>IFERROR(IF(--MID($F12,2*COUNTIF($G12:K12,"&gt;"&amp;0)+2,1)=L$1,L$1,""),"")</f>
        <v>6</v>
      </c>
      <c r="M12" s="51" cm="1">
        <f t="array" ref="M12">IF($A12="","",IF(G12="","",_xlfn.XLOOKUP($D12&amp;"_"&amp;$AE12,符文权重!$A:$A&amp;"_"&amp;符文权重!$C:$C,符文权重!$D:$D)*$Y12/SUMIFS($Y:$Y,G:G,G12,$D:$D,$D12,$AE:$AE,$AE12)/SUMIF(符文权重!$A:$A,$D12,符文权重!$D:$D)))</f>
        <v>0.0204</v>
      </c>
      <c r="N12" s="51" cm="1">
        <f t="array" ref="N12">IF($A12="","",IF(H12="","",_xlfn.XLOOKUP($D12&amp;"_"&amp;$AE12,符文权重!$A:$A&amp;"_"&amp;符文权重!$C:$C,符文权重!$D:$D)*$Y12/SUMIFS($Y:$Y,H:H,H12,$D:$D,$D12,$AE:$AE,$AE12)/SUMIF(符文权重!$A:$A,$D12,符文权重!$D:$D)))</f>
        <v>0.0204</v>
      </c>
      <c r="O12" s="51" cm="1">
        <f t="array" ref="O12">IF($A12="","",IF(I12="","",_xlfn.XLOOKUP($D12&amp;"_"&amp;$AE12,符文权重!$A:$A&amp;"_"&amp;符文权重!$C:$C,符文权重!$D:$D)*$Y12/SUMIFS($Y:$Y,I:I,I12,$D:$D,$D12,$AE:$AE,$AE12)/SUMIF(符文权重!$A:$A,$D12,符文权重!$D:$D)))</f>
        <v>0.0204</v>
      </c>
      <c r="P12" s="51" cm="1">
        <f t="array" ref="P12">IF($A12="","",IF(J12="","",_xlfn.XLOOKUP($D12&amp;"_"&amp;$AE12,符文权重!$A:$A&amp;"_"&amp;符文权重!$C:$C,符文权重!$D:$D)*$Y12/SUMIFS($Y:$Y,J:J,J12,$D:$D,$D12,$AE:$AE,$AE12)/SUMIF(符文权重!$A:$A,$D12,符文权重!$D:$D)))</f>
        <v>0.0204</v>
      </c>
      <c r="Q12" s="51" cm="1">
        <f t="array" ref="Q12">IF($A12="","",IF(K12="","",_xlfn.XLOOKUP($D12&amp;"_"&amp;$AE12,符文权重!$A:$A&amp;"_"&amp;符文权重!$C:$C,符文权重!$D:$D)*$Y12/SUMIFS($Y:$Y,K:K,K12,$D:$D,$D12,$AE:$AE,$AE12)/SUMIF(符文权重!$A:$A,$D12,符文权重!$D:$D)))</f>
        <v>0.0204</v>
      </c>
      <c r="R12" s="51" cm="1">
        <f t="array" ref="R12">IF($A12="","",IF(L12="","",_xlfn.XLOOKUP($D12&amp;"_"&amp;$AE12,符文权重!$A:$A&amp;"_"&amp;符文权重!$C:$C,符文权重!$D:$D)*$Y12/SUMIFS($Y:$Y,L:L,L12,$D:$D,$D12,$AE:$AE,$AE12)/SUMIF(符文权重!$A:$A,$D12,符文权重!$D:$D)))</f>
        <v>0.0204</v>
      </c>
      <c r="S12" s="36" t="s">
        <v>175</v>
      </c>
      <c r="T12" s="36"/>
      <c r="U12" s="36" t="e">
        <f>IF(C12="","",SUBSTITUTE(SUBSTITUTE("[{global_atk,"&amp;#REF!*D12&amp;"}]",21,20),9,8))</f>
        <v>#REF!</v>
      </c>
      <c r="V12" s="52" t="str">
        <f t="shared" si="2"/>
        <v>[5501017]</v>
      </c>
      <c r="W12" s="36" t="s">
        <v>190</v>
      </c>
      <c r="X12" s="35"/>
      <c r="Y12" s="42">
        <v>100</v>
      </c>
      <c r="Z12" s="35"/>
      <c r="AA12" s="42" t="s">
        <v>191</v>
      </c>
      <c r="AB12" s="42" t="str">
        <f t="shared" si="3"/>
        <v>攻击力&lt;color=#54b76b&gt;+100&lt;/color&gt; </v>
      </c>
      <c r="AC12" s="48" t="str">
        <f t="shared" si="4"/>
        <v>5501011</v>
      </c>
      <c r="AD12" s="42" t="str">
        <f t="shared" si="5"/>
        <v>[100]</v>
      </c>
      <c r="AE12" s="36">
        <v>1</v>
      </c>
      <c r="AF12" s="36"/>
      <c r="AG12" s="36">
        <v>0</v>
      </c>
      <c r="AH12" s="35" t="s">
        <v>178</v>
      </c>
      <c r="AI12" s="48">
        <f t="shared" si="6"/>
        <v>5501017</v>
      </c>
      <c r="AJ12" s="53" t="str">
        <f t="shared" si="7"/>
        <v>攻击力&lt;color=#54b76b&gt;+%s&lt;/color&gt; </v>
      </c>
      <c r="AK12" s="35">
        <v>100</v>
      </c>
      <c r="AL12" s="36">
        <v>1</v>
      </c>
    </row>
    <row r="13" s="25" customFormat="1" hidden="1" customHeight="1" spans="1:38">
      <c r="A13" s="48" t="s">
        <v>178</v>
      </c>
      <c r="B13" s="41"/>
      <c r="C13" s="48" t="str">
        <f t="shared" si="0"/>
        <v/>
      </c>
      <c r="D13" s="42" t="str">
        <f t="shared" si="1"/>
        <v/>
      </c>
      <c r="E13" s="42"/>
      <c r="F13" s="36"/>
      <c r="G13" s="36" t="str">
        <f t="shared" si="8"/>
        <v/>
      </c>
      <c r="H13" s="36" t="str">
        <f>IFERROR(IF(--MID($F13,2*COUNTIF($G13:G13,"&gt;"&amp;0)+2,1)=H$1,H$1,""),"")</f>
        <v/>
      </c>
      <c r="I13" s="36" t="str">
        <f>IFERROR(IF(--MID($F13,2*COUNTIF($G13:H13,"&gt;"&amp;0)+2,1)=I$1,I$1,""),"")</f>
        <v/>
      </c>
      <c r="J13" s="36" t="str">
        <f>IFERROR(IF(--MID($F13,2*COUNTIF($G13:I13,"&gt;"&amp;0)+2,1)=J$1,J$1,""),"")</f>
        <v/>
      </c>
      <c r="K13" s="36" t="str">
        <f>IFERROR(IF(--MID($F13,2*COUNTIF($G13:J13,"&gt;"&amp;0)+2,1)=K$1,K$1,""),"")</f>
        <v/>
      </c>
      <c r="L13" s="36" t="str">
        <f>IFERROR(IF(--MID($F13,2*COUNTIF($G13:K13,"&gt;"&amp;0)+2,1)=L$1,L$1,""),"")</f>
        <v/>
      </c>
      <c r="M13" s="51" t="str" cm="1">
        <f t="array" ref="M13">IF($A13="","",IF(G13="","",_xlfn.XLOOKUP($D13&amp;"_"&amp;$AE13,符文权重!$A:$A&amp;"_"&amp;符文权重!$C:$C,符文权重!$D:$D)*$Y13/SUMIFS($Y:$Y,G:G,G13,$D:$D,$D13,$AE:$AE,$AE13)/SUMIF(符文权重!$A:$A,$D13,符文权重!$D:$D)))</f>
        <v/>
      </c>
      <c r="N13" s="51" t="str" cm="1">
        <f t="array" ref="N13">IF($A13="","",IF(H13="","",_xlfn.XLOOKUP($D13&amp;"_"&amp;$AE13,符文权重!$A:$A&amp;"_"&amp;符文权重!$C:$C,符文权重!$D:$D)*$Y13/SUMIFS($Y:$Y,H:H,H13,$D:$D,$D13,$AE:$AE,$AE13)/SUMIF(符文权重!$A:$A,$D13,符文权重!$D:$D)))</f>
        <v/>
      </c>
      <c r="O13" s="51" t="str" cm="1">
        <f t="array" ref="O13">IF($A13="","",IF(I13="","",_xlfn.XLOOKUP($D13&amp;"_"&amp;$AE13,符文权重!$A:$A&amp;"_"&amp;符文权重!$C:$C,符文权重!$D:$D)*$Y13/SUMIFS($Y:$Y,I:I,I13,$D:$D,$D13,$AE:$AE,$AE13)/SUMIF(符文权重!$A:$A,$D13,符文权重!$D:$D)))</f>
        <v/>
      </c>
      <c r="P13" s="51" t="str" cm="1">
        <f t="array" ref="P13">IF($A13="","",IF(J13="","",_xlfn.XLOOKUP($D13&amp;"_"&amp;$AE13,符文权重!$A:$A&amp;"_"&amp;符文权重!$C:$C,符文权重!$D:$D)*$Y13/SUMIFS($Y:$Y,J:J,J13,$D:$D,$D13,$AE:$AE,$AE13)/SUMIF(符文权重!$A:$A,$D13,符文权重!$D:$D)))</f>
        <v/>
      </c>
      <c r="Q13" s="51" t="str" cm="1">
        <f t="array" ref="Q13">IF($A13="","",IF(K13="","",_xlfn.XLOOKUP($D13&amp;"_"&amp;$AE13,符文权重!$A:$A&amp;"_"&amp;符文权重!$C:$C,符文权重!$D:$D)*$Y13/SUMIFS($Y:$Y,K:K,K13,$D:$D,$D13,$AE:$AE,$AE13)/SUMIF(符文权重!$A:$A,$D13,符文权重!$D:$D)))</f>
        <v/>
      </c>
      <c r="R13" s="51" t="str" cm="1">
        <f t="array" ref="R13">IF($A13="","",IF(L13="","",_xlfn.XLOOKUP($D13&amp;"_"&amp;$AE13,符文权重!$A:$A&amp;"_"&amp;符文权重!$C:$C,符文权重!$D:$D)*$Y13/SUMIFS($Y:$Y,L:L,L13,$D:$D,$D13,$AE:$AE,$AE13)/SUMIF(符文权重!$A:$A,$D13,符文权重!$D:$D)))</f>
        <v/>
      </c>
      <c r="S13" s="36"/>
      <c r="T13" s="36"/>
      <c r="U13" s="36"/>
      <c r="V13" s="52"/>
      <c r="W13" s="41"/>
      <c r="X13" s="35"/>
      <c r="Y13" s="42"/>
      <c r="Z13" s="35"/>
      <c r="AA13" s="42" t="s">
        <v>178</v>
      </c>
      <c r="AB13" s="42" t="str">
        <f t="shared" si="3"/>
        <v/>
      </c>
      <c r="AC13" s="48" t="str">
        <f t="shared" si="4"/>
        <v/>
      </c>
      <c r="AD13" s="42" t="str">
        <f t="shared" si="5"/>
        <v/>
      </c>
      <c r="AE13" s="36"/>
      <c r="AF13" s="36"/>
      <c r="AG13" s="36"/>
      <c r="AH13" s="35" t="s">
        <v>178</v>
      </c>
      <c r="AI13" s="33"/>
      <c r="AJ13" s="37"/>
      <c r="AK13" s="35"/>
      <c r="AL13" s="36"/>
    </row>
    <row r="14" s="25" customFormat="1" hidden="1" customHeight="1" spans="1:38">
      <c r="A14" s="48">
        <v>5501021</v>
      </c>
      <c r="B14" s="54"/>
      <c r="C14" s="48" t="str">
        <f t="shared" si="0"/>
        <v>5501021</v>
      </c>
      <c r="D14" s="42">
        <f t="shared" si="1"/>
        <v>1</v>
      </c>
      <c r="E14" s="42"/>
      <c r="F14" s="36" t="s">
        <v>174</v>
      </c>
      <c r="G14" s="36">
        <f t="shared" si="8"/>
        <v>1</v>
      </c>
      <c r="H14" s="36">
        <f>IFERROR(IF(--MID($F14,2*COUNTIF($G14:G14,"&gt;"&amp;0)+2,1)=H$1,H$1,""),"")</f>
        <v>2</v>
      </c>
      <c r="I14" s="36">
        <f>IFERROR(IF(--MID($F14,2*COUNTIF($G14:H14,"&gt;"&amp;0)+2,1)=I$1,I$1,""),"")</f>
        <v>3</v>
      </c>
      <c r="J14" s="36">
        <f>IFERROR(IF(--MID($F14,2*COUNTIF($G14:I14,"&gt;"&amp;0)+2,1)=J$1,J$1,""),"")</f>
        <v>4</v>
      </c>
      <c r="K14" s="36">
        <f>IFERROR(IF(--MID($F14,2*COUNTIF($G14:J14,"&gt;"&amp;0)+2,1)=K$1,K$1,""),"")</f>
        <v>5</v>
      </c>
      <c r="L14" s="36">
        <f>IFERROR(IF(--MID($F14,2*COUNTIF($G14:K14,"&gt;"&amp;0)+2,1)=L$1,L$1,""),"")</f>
        <v>6</v>
      </c>
      <c r="M14" s="51" cm="1">
        <f t="array" ref="M14">IF($A14="","",IF(G14="","",_xlfn.XLOOKUP($D14&amp;"_"&amp;$AE14,符文权重!$A:$A&amp;"_"&amp;符文权重!$C:$C,符文权重!$D:$D)*$Y14/SUMIFS($Y:$Y,G:G,G14,$D:$D,$D14,$AE:$AE,$AE14)/SUMIF(符文权重!$A:$A,$D14,符文权重!$D:$D)))</f>
        <v>0.05</v>
      </c>
      <c r="N14" s="51" cm="1">
        <f t="array" ref="N14">IF($A14="","",IF(H14="","",_xlfn.XLOOKUP($D14&amp;"_"&amp;$AE14,符文权重!$A:$A&amp;"_"&amp;符文权重!$C:$C,符文权重!$D:$D)*$Y14/SUMIFS($Y:$Y,H:H,H14,$D:$D,$D14,$AE:$AE,$AE14)/SUMIF(符文权重!$A:$A,$D14,符文权重!$D:$D)))</f>
        <v>0.05</v>
      </c>
      <c r="O14" s="51" cm="1">
        <f t="array" ref="O14">IF($A14="","",IF(I14="","",_xlfn.XLOOKUP($D14&amp;"_"&amp;$AE14,符文权重!$A:$A&amp;"_"&amp;符文权重!$C:$C,符文权重!$D:$D)*$Y14/SUMIFS($Y:$Y,I:I,I14,$D:$D,$D14,$AE:$AE,$AE14)/SUMIF(符文权重!$A:$A,$D14,符文权重!$D:$D)))</f>
        <v>0.05</v>
      </c>
      <c r="P14" s="51" cm="1">
        <f t="array" ref="P14">IF($A14="","",IF(J14="","",_xlfn.XLOOKUP($D14&amp;"_"&amp;$AE14,符文权重!$A:$A&amp;"_"&amp;符文权重!$C:$C,符文权重!$D:$D)*$Y14/SUMIFS($Y:$Y,J:J,J14,$D:$D,$D14,$AE:$AE,$AE14)/SUMIF(符文权重!$A:$A,$D14,符文权重!$D:$D)))</f>
        <v>0.05</v>
      </c>
      <c r="Q14" s="51" cm="1">
        <f t="array" ref="Q14">IF($A14="","",IF(K14="","",_xlfn.XLOOKUP($D14&amp;"_"&amp;$AE14,符文权重!$A:$A&amp;"_"&amp;符文权重!$C:$C,符文权重!$D:$D)*$Y14/SUMIFS($Y:$Y,K:K,K14,$D:$D,$D14,$AE:$AE,$AE14)/SUMIF(符文权重!$A:$A,$D14,符文权重!$D:$D)))</f>
        <v>0.05</v>
      </c>
      <c r="R14" s="51" cm="1">
        <f t="array" ref="R14">IF($A14="","",IF(L14="","",_xlfn.XLOOKUP($D14&amp;"_"&amp;$AE14,符文权重!$A:$A&amp;"_"&amp;符文权重!$C:$C,符文权重!$D:$D)*$Y14/SUMIFS($Y:$Y,L:L,L14,$D:$D,$D14,$AE:$AE,$AE14)/SUMIF(符文权重!$A:$A,$D14,符文权重!$D:$D)))</f>
        <v>0.05</v>
      </c>
      <c r="S14" s="36" t="s">
        <v>192</v>
      </c>
      <c r="T14" s="36" t="s">
        <v>193</v>
      </c>
      <c r="U14" s="36" t="e">
        <f>IF(C14="","",SUBSTITUTE(SUBSTITUTE("[{global_atk,"&amp;#REF!*D14&amp;"}]",21,20),9,8))</f>
        <v>#REF!</v>
      </c>
      <c r="V14" s="52" t="str">
        <f t="shared" ref="V14:V20" si="9">"["&amp;A14&amp;"]"</f>
        <v>[5501021]</v>
      </c>
      <c r="W14" s="36" t="s">
        <v>194</v>
      </c>
      <c r="X14" s="35"/>
      <c r="Y14" s="42">
        <v>100</v>
      </c>
      <c r="Z14" s="35"/>
      <c r="AA14" s="42" t="s">
        <v>177</v>
      </c>
      <c r="AB14" s="42" t="str">
        <f t="shared" si="3"/>
        <v>射手职业攻击力&lt;color=#54b76b&gt;+30&lt;/color&gt;</v>
      </c>
      <c r="AC14" s="48" t="str">
        <f t="shared" si="4"/>
        <v>5501021</v>
      </c>
      <c r="AD14" s="42" t="str">
        <f t="shared" si="5"/>
        <v>[30]</v>
      </c>
      <c r="AE14" s="36">
        <v>1</v>
      </c>
      <c r="AF14" s="36"/>
      <c r="AG14" s="36">
        <v>0</v>
      </c>
      <c r="AH14" s="35" t="s">
        <v>178</v>
      </c>
      <c r="AI14" s="33">
        <v>5501021</v>
      </c>
      <c r="AJ14" s="55" t="s">
        <v>195</v>
      </c>
      <c r="AK14" s="35">
        <v>30</v>
      </c>
      <c r="AL14" s="36">
        <v>1</v>
      </c>
    </row>
    <row r="15" s="25" customFormat="1" hidden="1" customHeight="1" spans="1:38">
      <c r="A15" s="48">
        <v>5501022</v>
      </c>
      <c r="B15" s="36"/>
      <c r="C15" s="48" t="str">
        <f t="shared" si="0"/>
        <v>5501021</v>
      </c>
      <c r="D15" s="42">
        <f t="shared" si="1"/>
        <v>2</v>
      </c>
      <c r="E15" s="42"/>
      <c r="F15" s="36" t="s">
        <v>174</v>
      </c>
      <c r="G15" s="36">
        <f t="shared" si="8"/>
        <v>1</v>
      </c>
      <c r="H15" s="36">
        <f>IFERROR(IF(--MID($F15,2*COUNTIF($G15:G15,"&gt;"&amp;0)+2,1)=H$1,H$1,""),"")</f>
        <v>2</v>
      </c>
      <c r="I15" s="36">
        <f>IFERROR(IF(--MID($F15,2*COUNTIF($G15:H15,"&gt;"&amp;0)+2,1)=I$1,I$1,""),"")</f>
        <v>3</v>
      </c>
      <c r="J15" s="36">
        <f>IFERROR(IF(--MID($F15,2*COUNTIF($G15:I15,"&gt;"&amp;0)+2,1)=J$1,J$1,""),"")</f>
        <v>4</v>
      </c>
      <c r="K15" s="36">
        <f>IFERROR(IF(--MID($F15,2*COUNTIF($G15:J15,"&gt;"&amp;0)+2,1)=K$1,K$1,""),"")</f>
        <v>5</v>
      </c>
      <c r="L15" s="36">
        <f>IFERROR(IF(--MID($F15,2*COUNTIF($G15:K15,"&gt;"&amp;0)+2,1)=L$1,L$1,""),"")</f>
        <v>6</v>
      </c>
      <c r="M15" s="51" cm="1">
        <f t="array" ref="M15">IF($A15="","",IF(G15="","",_xlfn.XLOOKUP($D15&amp;"_"&amp;$AE15,符文权重!$A:$A&amp;"_"&amp;符文权重!$C:$C,符文权重!$D:$D)*$Y15/SUMIFS($Y:$Y,G:G,G15,$D:$D,$D15,$AE:$AE,$AE15)/SUMIF(符文权重!$A:$A,$D15,符文权重!$D:$D)))</f>
        <v>0.0363636363636364</v>
      </c>
      <c r="N15" s="51" cm="1">
        <f t="array" ref="N15">IF($A15="","",IF(H15="","",_xlfn.XLOOKUP($D15&amp;"_"&amp;$AE15,符文权重!$A:$A&amp;"_"&amp;符文权重!$C:$C,符文权重!$D:$D)*$Y15/SUMIFS($Y:$Y,H:H,H15,$D:$D,$D15,$AE:$AE,$AE15)/SUMIF(符文权重!$A:$A,$D15,符文权重!$D:$D)))</f>
        <v>0.0363636363636364</v>
      </c>
      <c r="O15" s="51" cm="1">
        <f t="array" ref="O15">IF($A15="","",IF(I15="","",_xlfn.XLOOKUP($D15&amp;"_"&amp;$AE15,符文权重!$A:$A&amp;"_"&amp;符文权重!$C:$C,符文权重!$D:$D)*$Y15/SUMIFS($Y:$Y,I:I,I15,$D:$D,$D15,$AE:$AE,$AE15)/SUMIF(符文权重!$A:$A,$D15,符文权重!$D:$D)))</f>
        <v>0.0363636363636364</v>
      </c>
      <c r="P15" s="51" cm="1">
        <f t="array" ref="P15">IF($A15="","",IF(J15="","",_xlfn.XLOOKUP($D15&amp;"_"&amp;$AE15,符文权重!$A:$A&amp;"_"&amp;符文权重!$C:$C,符文权重!$D:$D)*$Y15/SUMIFS($Y:$Y,J:J,J15,$D:$D,$D15,$AE:$AE,$AE15)/SUMIF(符文权重!$A:$A,$D15,符文权重!$D:$D)))</f>
        <v>0.0363636363636364</v>
      </c>
      <c r="Q15" s="51" cm="1">
        <f t="array" ref="Q15">IF($A15="","",IF(K15="","",_xlfn.XLOOKUP($D15&amp;"_"&amp;$AE15,符文权重!$A:$A&amp;"_"&amp;符文权重!$C:$C,符文权重!$D:$D)*$Y15/SUMIFS($Y:$Y,K:K,K15,$D:$D,$D15,$AE:$AE,$AE15)/SUMIF(符文权重!$A:$A,$D15,符文权重!$D:$D)))</f>
        <v>0.0363636363636364</v>
      </c>
      <c r="R15" s="51" cm="1">
        <f t="array" ref="R15">IF($A15="","",IF(L15="","",_xlfn.XLOOKUP($D15&amp;"_"&amp;$AE15,符文权重!$A:$A&amp;"_"&amp;符文权重!$C:$C,符文权重!$D:$D)*$Y15/SUMIFS($Y:$Y,L:L,L15,$D:$D,$D15,$AE:$AE,$AE15)/SUMIF(符文权重!$A:$A,$D15,符文权重!$D:$D)))</f>
        <v>0.0363636363636364</v>
      </c>
      <c r="S15" s="36" t="s">
        <v>192</v>
      </c>
      <c r="T15" s="36" t="s">
        <v>193</v>
      </c>
      <c r="U15" s="36" t="e">
        <f>IF(C15="","",SUBSTITUTE(SUBSTITUTE("[{global_atk,"&amp;#REF!*D15&amp;"}]",21,20),9,8))</f>
        <v>#REF!</v>
      </c>
      <c r="V15" s="52" t="str">
        <f t="shared" si="9"/>
        <v>[5501022]</v>
      </c>
      <c r="W15" s="36" t="s">
        <v>196</v>
      </c>
      <c r="X15" s="35"/>
      <c r="Y15" s="42">
        <v>100</v>
      </c>
      <c r="Z15" s="35"/>
      <c r="AA15" s="42" t="s">
        <v>181</v>
      </c>
      <c r="AB15" s="42" t="str">
        <f t="shared" si="3"/>
        <v>射手职业攻击力&lt;color=#54b76b&gt;+40&lt;/color&gt;</v>
      </c>
      <c r="AC15" s="48" t="str">
        <f t="shared" si="4"/>
        <v>5501021</v>
      </c>
      <c r="AD15" s="42" t="str">
        <f t="shared" si="5"/>
        <v>[40]</v>
      </c>
      <c r="AE15" s="36">
        <v>1</v>
      </c>
      <c r="AF15" s="36"/>
      <c r="AG15" s="36">
        <v>0</v>
      </c>
      <c r="AH15" s="35" t="s">
        <v>178</v>
      </c>
      <c r="AI15" s="48">
        <f t="shared" ref="AI15:AI20" si="10">AI14+1</f>
        <v>5501022</v>
      </c>
      <c r="AJ15" s="53" t="str">
        <f t="shared" ref="AJ15:AJ20" si="11">AJ14</f>
        <v>射手职业攻击力&lt;color=#54b76b&gt;+%s&lt;/color&gt;</v>
      </c>
      <c r="AK15" s="35">
        <v>40</v>
      </c>
      <c r="AL15" s="36">
        <v>1</v>
      </c>
    </row>
    <row r="16" s="25" customFormat="1" hidden="1" customHeight="1" spans="1:38">
      <c r="A16" s="48">
        <v>5501023</v>
      </c>
      <c r="B16" s="36"/>
      <c r="C16" s="48" t="str">
        <f t="shared" si="0"/>
        <v>5501021</v>
      </c>
      <c r="D16" s="42">
        <f t="shared" si="1"/>
        <v>3</v>
      </c>
      <c r="E16" s="42"/>
      <c r="F16" s="36" t="s">
        <v>174</v>
      </c>
      <c r="G16" s="36">
        <f t="shared" si="8"/>
        <v>1</v>
      </c>
      <c r="H16" s="36">
        <f>IFERROR(IF(--MID($F16,2*COUNTIF($G16:G16,"&gt;"&amp;0)+2,1)=H$1,H$1,""),"")</f>
        <v>2</v>
      </c>
      <c r="I16" s="36">
        <f>IFERROR(IF(--MID($F16,2*COUNTIF($G16:H16,"&gt;"&amp;0)+2,1)=I$1,I$1,""),"")</f>
        <v>3</v>
      </c>
      <c r="J16" s="36">
        <f>IFERROR(IF(--MID($F16,2*COUNTIF($G16:I16,"&gt;"&amp;0)+2,1)=J$1,J$1,""),"")</f>
        <v>4</v>
      </c>
      <c r="K16" s="36">
        <f>IFERROR(IF(--MID($F16,2*COUNTIF($G16:J16,"&gt;"&amp;0)+2,1)=K$1,K$1,""),"")</f>
        <v>5</v>
      </c>
      <c r="L16" s="36">
        <f>IFERROR(IF(--MID($F16,2*COUNTIF($G16:K16,"&gt;"&amp;0)+2,1)=L$1,L$1,""),"")</f>
        <v>6</v>
      </c>
      <c r="M16" s="51" cm="1">
        <f t="array" ref="M16">IF($A16="","",IF(G16="","",_xlfn.XLOOKUP($D16&amp;"_"&amp;$AE16,符文权重!$A:$A&amp;"_"&amp;符文权重!$C:$C,符文权重!$D:$D)*$Y16/SUMIFS($Y:$Y,G:G,G16,$D:$D,$D16,$AE:$AE,$AE16)/SUMIF(符文权重!$A:$A,$D16,符文权重!$D:$D)))</f>
        <v>0.035</v>
      </c>
      <c r="N16" s="51" cm="1">
        <f t="array" ref="N16">IF($A16="","",IF(H16="","",_xlfn.XLOOKUP($D16&amp;"_"&amp;$AE16,符文权重!$A:$A&amp;"_"&amp;符文权重!$C:$C,符文权重!$D:$D)*$Y16/SUMIFS($Y:$Y,H:H,H16,$D:$D,$D16,$AE:$AE,$AE16)/SUMIF(符文权重!$A:$A,$D16,符文权重!$D:$D)))</f>
        <v>0.035</v>
      </c>
      <c r="O16" s="51" cm="1">
        <f t="array" ref="O16">IF($A16="","",IF(I16="","",_xlfn.XLOOKUP($D16&amp;"_"&amp;$AE16,符文权重!$A:$A&amp;"_"&amp;符文权重!$C:$C,符文权重!$D:$D)*$Y16/SUMIFS($Y:$Y,I:I,I16,$D:$D,$D16,$AE:$AE,$AE16)/SUMIF(符文权重!$A:$A,$D16,符文权重!$D:$D)))</f>
        <v>0.035</v>
      </c>
      <c r="P16" s="51" cm="1">
        <f t="array" ref="P16">IF($A16="","",IF(J16="","",_xlfn.XLOOKUP($D16&amp;"_"&amp;$AE16,符文权重!$A:$A&amp;"_"&amp;符文权重!$C:$C,符文权重!$D:$D)*$Y16/SUMIFS($Y:$Y,J:J,J16,$D:$D,$D16,$AE:$AE,$AE16)/SUMIF(符文权重!$A:$A,$D16,符文权重!$D:$D)))</f>
        <v>0.035</v>
      </c>
      <c r="Q16" s="51" cm="1">
        <f t="array" ref="Q16">IF($A16="","",IF(K16="","",_xlfn.XLOOKUP($D16&amp;"_"&amp;$AE16,符文权重!$A:$A&amp;"_"&amp;符文权重!$C:$C,符文权重!$D:$D)*$Y16/SUMIFS($Y:$Y,K:K,K16,$D:$D,$D16,$AE:$AE,$AE16)/SUMIF(符文权重!$A:$A,$D16,符文权重!$D:$D)))</f>
        <v>0.035</v>
      </c>
      <c r="R16" s="51" cm="1">
        <f t="array" ref="R16">IF($A16="","",IF(L16="","",_xlfn.XLOOKUP($D16&amp;"_"&amp;$AE16,符文权重!$A:$A&amp;"_"&amp;符文权重!$C:$C,符文权重!$D:$D)*$Y16/SUMIFS($Y:$Y,L:L,L16,$D:$D,$D16,$AE:$AE,$AE16)/SUMIF(符文权重!$A:$A,$D16,符文权重!$D:$D)))</f>
        <v>0.035</v>
      </c>
      <c r="S16" s="36" t="s">
        <v>192</v>
      </c>
      <c r="T16" s="36" t="s">
        <v>193</v>
      </c>
      <c r="U16" s="36" t="e">
        <f>IF(C16="","",SUBSTITUTE(SUBSTITUTE("[{global_atk,"&amp;#REF!*D16&amp;"}]",21,20),9,8))</f>
        <v>#REF!</v>
      </c>
      <c r="V16" s="52" t="str">
        <f t="shared" si="9"/>
        <v>[5501023]</v>
      </c>
      <c r="W16" s="36" t="s">
        <v>197</v>
      </c>
      <c r="X16" s="35"/>
      <c r="Y16" s="42">
        <v>100</v>
      </c>
      <c r="Z16" s="35"/>
      <c r="AA16" s="42" t="s">
        <v>183</v>
      </c>
      <c r="AB16" s="42" t="str">
        <f t="shared" si="3"/>
        <v>射手职业攻击力&lt;color=#54b76b&gt;+50&lt;/color&gt;</v>
      </c>
      <c r="AC16" s="48" t="str">
        <f t="shared" si="4"/>
        <v>5501021</v>
      </c>
      <c r="AD16" s="42" t="str">
        <f t="shared" si="5"/>
        <v>[50]</v>
      </c>
      <c r="AE16" s="36">
        <v>1</v>
      </c>
      <c r="AF16" s="36"/>
      <c r="AG16" s="36">
        <v>0</v>
      </c>
      <c r="AH16" s="35" t="s">
        <v>178</v>
      </c>
      <c r="AI16" s="48">
        <f t="shared" si="10"/>
        <v>5501023</v>
      </c>
      <c r="AJ16" s="53" t="str">
        <f t="shared" si="11"/>
        <v>射手职业攻击力&lt;color=#54b76b&gt;+%s&lt;/color&gt;</v>
      </c>
      <c r="AK16" s="35">
        <v>50</v>
      </c>
      <c r="AL16" s="36">
        <v>1</v>
      </c>
    </row>
    <row r="17" s="25" customFormat="1" hidden="1" customHeight="1" spans="1:38">
      <c r="A17" s="48">
        <v>5501024</v>
      </c>
      <c r="B17" s="36"/>
      <c r="C17" s="48" t="str">
        <f t="shared" si="0"/>
        <v>5501021</v>
      </c>
      <c r="D17" s="42">
        <f t="shared" si="1"/>
        <v>4</v>
      </c>
      <c r="E17" s="42"/>
      <c r="F17" s="36" t="s">
        <v>174</v>
      </c>
      <c r="G17" s="36">
        <f t="shared" si="8"/>
        <v>1</v>
      </c>
      <c r="H17" s="36">
        <f>IFERROR(IF(--MID($F17,2*COUNTIF($G17:G17,"&gt;"&amp;0)+2,1)=H$1,H$1,""),"")</f>
        <v>2</v>
      </c>
      <c r="I17" s="36">
        <f>IFERROR(IF(--MID($F17,2*COUNTIF($G17:H17,"&gt;"&amp;0)+2,1)=I$1,I$1,""),"")</f>
        <v>3</v>
      </c>
      <c r="J17" s="36">
        <f>IFERROR(IF(--MID($F17,2*COUNTIF($G17:I17,"&gt;"&amp;0)+2,1)=J$1,J$1,""),"")</f>
        <v>4</v>
      </c>
      <c r="K17" s="36">
        <f>IFERROR(IF(--MID($F17,2*COUNTIF($G17:J17,"&gt;"&amp;0)+2,1)=K$1,K$1,""),"")</f>
        <v>5</v>
      </c>
      <c r="L17" s="36">
        <f>IFERROR(IF(--MID($F17,2*COUNTIF($G17:K17,"&gt;"&amp;0)+2,1)=L$1,L$1,""),"")</f>
        <v>6</v>
      </c>
      <c r="M17" s="51" cm="1">
        <f t="array" ref="M17">IF($A17="","",IF(G17="","",_xlfn.XLOOKUP($D17&amp;"_"&amp;$AE17,符文权重!$A:$A&amp;"_"&amp;符文权重!$C:$C,符文权重!$D:$D)*$Y17/SUMIFS($Y:$Y,G:G,G17,$D:$D,$D17,$AE:$AE,$AE17)/SUMIF(符文权重!$A:$A,$D17,符文权重!$D:$D)))</f>
        <v>0.0229365529511942</v>
      </c>
      <c r="N17" s="51" cm="1">
        <f t="array" ref="N17">IF($A17="","",IF(H17="","",_xlfn.XLOOKUP($D17&amp;"_"&amp;$AE17,符文权重!$A:$A&amp;"_"&amp;符文权重!$C:$C,符文权重!$D:$D)*$Y17/SUMIFS($Y:$Y,H:H,H17,$D:$D,$D17,$AE:$AE,$AE17)/SUMIF(符文权重!$A:$A,$D17,符文权重!$D:$D)))</f>
        <v>0.0229365529511942</v>
      </c>
      <c r="O17" s="51" cm="1">
        <f t="array" ref="O17">IF($A17="","",IF(I17="","",_xlfn.XLOOKUP($D17&amp;"_"&amp;$AE17,符文权重!$A:$A&amp;"_"&amp;符文权重!$C:$C,符文权重!$D:$D)*$Y17/SUMIFS($Y:$Y,I:I,I17,$D:$D,$D17,$AE:$AE,$AE17)/SUMIF(符文权重!$A:$A,$D17,符文权重!$D:$D)))</f>
        <v>0.0229365529511942</v>
      </c>
      <c r="P17" s="51" cm="1">
        <f t="array" ref="P17">IF($A17="","",IF(J17="","",_xlfn.XLOOKUP($D17&amp;"_"&amp;$AE17,符文权重!$A:$A&amp;"_"&amp;符文权重!$C:$C,符文权重!$D:$D)*$Y17/SUMIFS($Y:$Y,J:J,J17,$D:$D,$D17,$AE:$AE,$AE17)/SUMIF(符文权重!$A:$A,$D17,符文权重!$D:$D)))</f>
        <v>0.0229365529511942</v>
      </c>
      <c r="Q17" s="51" cm="1">
        <f t="array" ref="Q17">IF($A17="","",IF(K17="","",_xlfn.XLOOKUP($D17&amp;"_"&amp;$AE17,符文权重!$A:$A&amp;"_"&amp;符文权重!$C:$C,符文权重!$D:$D)*$Y17/SUMIFS($Y:$Y,K:K,K17,$D:$D,$D17,$AE:$AE,$AE17)/SUMIF(符文权重!$A:$A,$D17,符文权重!$D:$D)))</f>
        <v>0.0229365529511942</v>
      </c>
      <c r="R17" s="51" cm="1">
        <f t="array" ref="R17">IF($A17="","",IF(L17="","",_xlfn.XLOOKUP($D17&amp;"_"&amp;$AE17,符文权重!$A:$A&amp;"_"&amp;符文权重!$C:$C,符文权重!$D:$D)*$Y17/SUMIFS($Y:$Y,L:L,L17,$D:$D,$D17,$AE:$AE,$AE17)/SUMIF(符文权重!$A:$A,$D17,符文权重!$D:$D)))</f>
        <v>0.0229365529511942</v>
      </c>
      <c r="S17" s="36" t="s">
        <v>192</v>
      </c>
      <c r="T17" s="36" t="s">
        <v>193</v>
      </c>
      <c r="U17" s="36" t="e">
        <f>IF(C17="","",SUBSTITUTE(SUBSTITUTE("[{global_atk,"&amp;#REF!*D17&amp;"}]",21,20),9,8))</f>
        <v>#REF!</v>
      </c>
      <c r="V17" s="52" t="str">
        <f t="shared" si="9"/>
        <v>[5501024]</v>
      </c>
      <c r="W17" s="36" t="s">
        <v>198</v>
      </c>
      <c r="X17" s="35"/>
      <c r="Y17" s="42">
        <v>100</v>
      </c>
      <c r="Z17" s="35"/>
      <c r="AA17" s="42" t="s">
        <v>185</v>
      </c>
      <c r="AB17" s="42" t="str">
        <f t="shared" si="3"/>
        <v>射手职业攻击力&lt;color=#54b76b&gt;+75&lt;/color&gt;</v>
      </c>
      <c r="AC17" s="48" t="str">
        <f t="shared" si="4"/>
        <v>5501021</v>
      </c>
      <c r="AD17" s="42" t="str">
        <f t="shared" si="5"/>
        <v>[75]</v>
      </c>
      <c r="AE17" s="36">
        <v>1</v>
      </c>
      <c r="AF17" s="36"/>
      <c r="AG17" s="36">
        <v>0</v>
      </c>
      <c r="AH17" s="35" t="s">
        <v>178</v>
      </c>
      <c r="AI17" s="48">
        <f t="shared" si="10"/>
        <v>5501024</v>
      </c>
      <c r="AJ17" s="53" t="str">
        <f t="shared" si="11"/>
        <v>射手职业攻击力&lt;color=#54b76b&gt;+%s&lt;/color&gt;</v>
      </c>
      <c r="AK17" s="35">
        <v>75</v>
      </c>
      <c r="AL17" s="36">
        <v>1</v>
      </c>
    </row>
    <row r="18" s="25" customFormat="1" hidden="1" customHeight="1" spans="1:38">
      <c r="A18" s="48">
        <v>5501025</v>
      </c>
      <c r="B18" s="36"/>
      <c r="C18" s="48" t="str">
        <f t="shared" si="0"/>
        <v>5501021</v>
      </c>
      <c r="D18" s="42">
        <f t="shared" si="1"/>
        <v>5</v>
      </c>
      <c r="E18" s="42"/>
      <c r="F18" s="36" t="s">
        <v>174</v>
      </c>
      <c r="G18" s="36">
        <f t="shared" si="8"/>
        <v>1</v>
      </c>
      <c r="H18" s="36">
        <f>IFERROR(IF(--MID($F18,2*COUNTIF($G18:G18,"&gt;"&amp;0)+2,1)=H$1,H$1,""),"")</f>
        <v>2</v>
      </c>
      <c r="I18" s="36">
        <f>IFERROR(IF(--MID($F18,2*COUNTIF($G18:H18,"&gt;"&amp;0)+2,1)=I$1,I$1,""),"")</f>
        <v>3</v>
      </c>
      <c r="J18" s="36">
        <f>IFERROR(IF(--MID($F18,2*COUNTIF($G18:I18,"&gt;"&amp;0)+2,1)=J$1,J$1,""),"")</f>
        <v>4</v>
      </c>
      <c r="K18" s="36">
        <f>IFERROR(IF(--MID($F18,2*COUNTIF($G18:J18,"&gt;"&amp;0)+2,1)=K$1,K$1,""),"")</f>
        <v>5</v>
      </c>
      <c r="L18" s="36">
        <f>IFERROR(IF(--MID($F18,2*COUNTIF($G18:K18,"&gt;"&amp;0)+2,1)=L$1,L$1,""),"")</f>
        <v>6</v>
      </c>
      <c r="M18" s="51" cm="1">
        <f t="array" ref="M18">IF($A18="","",IF(G18="","",_xlfn.XLOOKUP($D18&amp;"_"&amp;$AE18,符文权重!$A:$A&amp;"_"&amp;符文权重!$C:$C,符文权重!$D:$D)*$Y18/SUMIFS($Y:$Y,G:G,G18,$D:$D,$D18,$AE:$AE,$AE18)/SUMIF(符文权重!$A:$A,$D18,符文权重!$D:$D)))</f>
        <v>0.0204</v>
      </c>
      <c r="N18" s="51" cm="1">
        <f t="array" ref="N18">IF($A18="","",IF(H18="","",_xlfn.XLOOKUP($D18&amp;"_"&amp;$AE18,符文权重!$A:$A&amp;"_"&amp;符文权重!$C:$C,符文权重!$D:$D)*$Y18/SUMIFS($Y:$Y,H:H,H18,$D:$D,$D18,$AE:$AE,$AE18)/SUMIF(符文权重!$A:$A,$D18,符文权重!$D:$D)))</f>
        <v>0.0204</v>
      </c>
      <c r="O18" s="51" cm="1">
        <f t="array" ref="O18">IF($A18="","",IF(I18="","",_xlfn.XLOOKUP($D18&amp;"_"&amp;$AE18,符文权重!$A:$A&amp;"_"&amp;符文权重!$C:$C,符文权重!$D:$D)*$Y18/SUMIFS($Y:$Y,I:I,I18,$D:$D,$D18,$AE:$AE,$AE18)/SUMIF(符文权重!$A:$A,$D18,符文权重!$D:$D)))</f>
        <v>0.0204</v>
      </c>
      <c r="P18" s="51" cm="1">
        <f t="array" ref="P18">IF($A18="","",IF(J18="","",_xlfn.XLOOKUP($D18&amp;"_"&amp;$AE18,符文权重!$A:$A&amp;"_"&amp;符文权重!$C:$C,符文权重!$D:$D)*$Y18/SUMIFS($Y:$Y,J:J,J18,$D:$D,$D18,$AE:$AE,$AE18)/SUMIF(符文权重!$A:$A,$D18,符文权重!$D:$D)))</f>
        <v>0.0204</v>
      </c>
      <c r="Q18" s="51" cm="1">
        <f t="array" ref="Q18">IF($A18="","",IF(K18="","",_xlfn.XLOOKUP($D18&amp;"_"&amp;$AE18,符文权重!$A:$A&amp;"_"&amp;符文权重!$C:$C,符文权重!$D:$D)*$Y18/SUMIFS($Y:$Y,K:K,K18,$D:$D,$D18,$AE:$AE,$AE18)/SUMIF(符文权重!$A:$A,$D18,符文权重!$D:$D)))</f>
        <v>0.0204</v>
      </c>
      <c r="R18" s="51" cm="1">
        <f t="array" ref="R18">IF($A18="","",IF(L18="","",_xlfn.XLOOKUP($D18&amp;"_"&amp;$AE18,符文权重!$A:$A&amp;"_"&amp;符文权重!$C:$C,符文权重!$D:$D)*$Y18/SUMIFS($Y:$Y,L:L,L18,$D:$D,$D18,$AE:$AE,$AE18)/SUMIF(符文权重!$A:$A,$D18,符文权重!$D:$D)))</f>
        <v>0.0204</v>
      </c>
      <c r="S18" s="36" t="s">
        <v>192</v>
      </c>
      <c r="T18" s="36" t="s">
        <v>193</v>
      </c>
      <c r="U18" s="36" t="e">
        <f>IF(C18="","",SUBSTITUTE(SUBSTITUTE("[{global_atk,"&amp;#REF!*D18&amp;"}]",21,20),9,8))</f>
        <v>#REF!</v>
      </c>
      <c r="V18" s="52" t="str">
        <f t="shared" si="9"/>
        <v>[5501025]</v>
      </c>
      <c r="W18" s="36" t="s">
        <v>199</v>
      </c>
      <c r="X18" s="35"/>
      <c r="Y18" s="42">
        <v>100</v>
      </c>
      <c r="Z18" s="35"/>
      <c r="AA18" s="42" t="s">
        <v>187</v>
      </c>
      <c r="AB18" s="42" t="str">
        <f t="shared" si="3"/>
        <v>射手职业攻击力&lt;color=#54b76b&gt;+96&lt;/color&gt;</v>
      </c>
      <c r="AC18" s="48" t="str">
        <f t="shared" si="4"/>
        <v>5501021</v>
      </c>
      <c r="AD18" s="42" t="str">
        <f t="shared" si="5"/>
        <v>[96]</v>
      </c>
      <c r="AE18" s="36">
        <v>1</v>
      </c>
      <c r="AF18" s="36"/>
      <c r="AG18" s="36">
        <v>0</v>
      </c>
      <c r="AH18" s="35" t="s">
        <v>178</v>
      </c>
      <c r="AI18" s="48">
        <f t="shared" si="10"/>
        <v>5501025</v>
      </c>
      <c r="AJ18" s="53" t="str">
        <f t="shared" si="11"/>
        <v>射手职业攻击力&lt;color=#54b76b&gt;+%s&lt;/color&gt;</v>
      </c>
      <c r="AK18" s="35">
        <v>96</v>
      </c>
      <c r="AL18" s="36">
        <v>1</v>
      </c>
    </row>
    <row r="19" s="25" customFormat="1" hidden="1" customHeight="1" spans="1:38">
      <c r="A19" s="48">
        <v>5501026</v>
      </c>
      <c r="B19" s="36"/>
      <c r="C19" s="48" t="str">
        <f t="shared" si="0"/>
        <v>5501021</v>
      </c>
      <c r="D19" s="42">
        <f t="shared" si="1"/>
        <v>6</v>
      </c>
      <c r="E19" s="42"/>
      <c r="F19" s="36" t="s">
        <v>174</v>
      </c>
      <c r="G19" s="36">
        <f t="shared" si="8"/>
        <v>1</v>
      </c>
      <c r="H19" s="36">
        <f>IFERROR(IF(--MID($F19,2*COUNTIF($G19:G19,"&gt;"&amp;0)+2,1)=H$1,H$1,""),"")</f>
        <v>2</v>
      </c>
      <c r="I19" s="36">
        <f>IFERROR(IF(--MID($F19,2*COUNTIF($G19:H19,"&gt;"&amp;0)+2,1)=I$1,I$1,""),"")</f>
        <v>3</v>
      </c>
      <c r="J19" s="36">
        <f>IFERROR(IF(--MID($F19,2*COUNTIF($G19:I19,"&gt;"&amp;0)+2,1)=J$1,J$1,""),"")</f>
        <v>4</v>
      </c>
      <c r="K19" s="36">
        <f>IFERROR(IF(--MID($F19,2*COUNTIF($G19:J19,"&gt;"&amp;0)+2,1)=K$1,K$1,""),"")</f>
        <v>5</v>
      </c>
      <c r="L19" s="36">
        <f>IFERROR(IF(--MID($F19,2*COUNTIF($G19:K19,"&gt;"&amp;0)+2,1)=L$1,L$1,""),"")</f>
        <v>6</v>
      </c>
      <c r="M19" s="51" cm="1">
        <f t="array" ref="M19">IF($A19="","",IF(G19="","",_xlfn.XLOOKUP($D19&amp;"_"&amp;$AE19,符文权重!$A:$A&amp;"_"&amp;符文权重!$C:$C,符文权重!$D:$D)*$Y19/SUMIFS($Y:$Y,G:G,G19,$D:$D,$D19,$AE:$AE,$AE19)/SUMIF(符文权重!$A:$A,$D19,符文权重!$D:$D)))</f>
        <v>0.0204</v>
      </c>
      <c r="N19" s="51" cm="1">
        <f t="array" ref="N19">IF($A19="","",IF(H19="","",_xlfn.XLOOKUP($D19&amp;"_"&amp;$AE19,符文权重!$A:$A&amp;"_"&amp;符文权重!$C:$C,符文权重!$D:$D)*$Y19/SUMIFS($Y:$Y,H:H,H19,$D:$D,$D19,$AE:$AE,$AE19)/SUMIF(符文权重!$A:$A,$D19,符文权重!$D:$D)))</f>
        <v>0.0204</v>
      </c>
      <c r="O19" s="51" cm="1">
        <f t="array" ref="O19">IF($A19="","",IF(I19="","",_xlfn.XLOOKUP($D19&amp;"_"&amp;$AE19,符文权重!$A:$A&amp;"_"&amp;符文权重!$C:$C,符文权重!$D:$D)*$Y19/SUMIFS($Y:$Y,I:I,I19,$D:$D,$D19,$AE:$AE,$AE19)/SUMIF(符文权重!$A:$A,$D19,符文权重!$D:$D)))</f>
        <v>0.0204</v>
      </c>
      <c r="P19" s="51" cm="1">
        <f t="array" ref="P19">IF($A19="","",IF(J19="","",_xlfn.XLOOKUP($D19&amp;"_"&amp;$AE19,符文权重!$A:$A&amp;"_"&amp;符文权重!$C:$C,符文权重!$D:$D)*$Y19/SUMIFS($Y:$Y,J:J,J19,$D:$D,$D19,$AE:$AE,$AE19)/SUMIF(符文权重!$A:$A,$D19,符文权重!$D:$D)))</f>
        <v>0.0204</v>
      </c>
      <c r="Q19" s="51" cm="1">
        <f t="array" ref="Q19">IF($A19="","",IF(K19="","",_xlfn.XLOOKUP($D19&amp;"_"&amp;$AE19,符文权重!$A:$A&amp;"_"&amp;符文权重!$C:$C,符文权重!$D:$D)*$Y19/SUMIFS($Y:$Y,K:K,K19,$D:$D,$D19,$AE:$AE,$AE19)/SUMIF(符文权重!$A:$A,$D19,符文权重!$D:$D)))</f>
        <v>0.0204</v>
      </c>
      <c r="R19" s="51" cm="1">
        <f t="array" ref="R19">IF($A19="","",IF(L19="","",_xlfn.XLOOKUP($D19&amp;"_"&amp;$AE19,符文权重!$A:$A&amp;"_"&amp;符文权重!$C:$C,符文权重!$D:$D)*$Y19/SUMIFS($Y:$Y,L:L,L19,$D:$D,$D19,$AE:$AE,$AE19)/SUMIF(符文权重!$A:$A,$D19,符文权重!$D:$D)))</f>
        <v>0.0204</v>
      </c>
      <c r="S19" s="36" t="s">
        <v>192</v>
      </c>
      <c r="T19" s="36" t="s">
        <v>193</v>
      </c>
      <c r="U19" s="36" t="e">
        <f>IF(C19="","",SUBSTITUTE(SUBSTITUTE("[{global_atk,"&amp;#REF!*D19&amp;"}]",21,20),9,8))</f>
        <v>#REF!</v>
      </c>
      <c r="V19" s="52" t="str">
        <f t="shared" si="9"/>
        <v>[5501026]</v>
      </c>
      <c r="W19" s="36" t="s">
        <v>200</v>
      </c>
      <c r="X19" s="35"/>
      <c r="Y19" s="42">
        <v>100</v>
      </c>
      <c r="Z19" s="35"/>
      <c r="AA19" s="42" t="s">
        <v>189</v>
      </c>
      <c r="AB19" s="42" t="str">
        <f t="shared" si="3"/>
        <v>射手职业攻击力&lt;color=#54b76b&gt;+120&lt;/color&gt;</v>
      </c>
      <c r="AC19" s="48" t="str">
        <f t="shared" si="4"/>
        <v>5501021</v>
      </c>
      <c r="AD19" s="42" t="str">
        <f t="shared" si="5"/>
        <v>[120]</v>
      </c>
      <c r="AE19" s="36">
        <v>1</v>
      </c>
      <c r="AF19" s="36"/>
      <c r="AG19" s="36">
        <v>0</v>
      </c>
      <c r="AH19" s="35" t="s">
        <v>178</v>
      </c>
      <c r="AI19" s="48">
        <f t="shared" si="10"/>
        <v>5501026</v>
      </c>
      <c r="AJ19" s="53" t="str">
        <f t="shared" si="11"/>
        <v>射手职业攻击力&lt;color=#54b76b&gt;+%s&lt;/color&gt;</v>
      </c>
      <c r="AK19" s="35">
        <v>120</v>
      </c>
      <c r="AL19" s="36">
        <v>1</v>
      </c>
    </row>
    <row r="20" s="25" customFormat="1" hidden="1" customHeight="1" spans="1:38">
      <c r="A20" s="48">
        <v>5501027</v>
      </c>
      <c r="B20" s="36"/>
      <c r="C20" s="48" t="str">
        <f t="shared" si="0"/>
        <v>5501021</v>
      </c>
      <c r="D20" s="42">
        <f t="shared" si="1"/>
        <v>7</v>
      </c>
      <c r="E20" s="42"/>
      <c r="F20" s="36" t="s">
        <v>174</v>
      </c>
      <c r="G20" s="36">
        <f t="shared" si="8"/>
        <v>1</v>
      </c>
      <c r="H20" s="36">
        <f>IFERROR(IF(--MID($F20,2*COUNTIF($G20:G20,"&gt;"&amp;0)+2,1)=H$1,H$1,""),"")</f>
        <v>2</v>
      </c>
      <c r="I20" s="36">
        <f>IFERROR(IF(--MID($F20,2*COUNTIF($G20:H20,"&gt;"&amp;0)+2,1)=I$1,I$1,""),"")</f>
        <v>3</v>
      </c>
      <c r="J20" s="36">
        <f>IFERROR(IF(--MID($F20,2*COUNTIF($G20:I20,"&gt;"&amp;0)+2,1)=J$1,J$1,""),"")</f>
        <v>4</v>
      </c>
      <c r="K20" s="36">
        <f>IFERROR(IF(--MID($F20,2*COUNTIF($G20:J20,"&gt;"&amp;0)+2,1)=K$1,K$1,""),"")</f>
        <v>5</v>
      </c>
      <c r="L20" s="36">
        <f>IFERROR(IF(--MID($F20,2*COUNTIF($G20:K20,"&gt;"&amp;0)+2,1)=L$1,L$1,""),"")</f>
        <v>6</v>
      </c>
      <c r="M20" s="51" cm="1">
        <f t="array" ref="M20">IF($A20="","",IF(G20="","",_xlfn.XLOOKUP($D20&amp;"_"&amp;$AE20,符文权重!$A:$A&amp;"_"&amp;符文权重!$C:$C,符文权重!$D:$D)*$Y20/SUMIFS($Y:$Y,G:G,G20,$D:$D,$D20,$AE:$AE,$AE20)/SUMIF(符文权重!$A:$A,$D20,符文权重!$D:$D)))</f>
        <v>0.0204</v>
      </c>
      <c r="N20" s="51" cm="1">
        <f t="array" ref="N20">IF($A20="","",IF(H20="","",_xlfn.XLOOKUP($D20&amp;"_"&amp;$AE20,符文权重!$A:$A&amp;"_"&amp;符文权重!$C:$C,符文权重!$D:$D)*$Y20/SUMIFS($Y:$Y,H:H,H20,$D:$D,$D20,$AE:$AE,$AE20)/SUMIF(符文权重!$A:$A,$D20,符文权重!$D:$D)))</f>
        <v>0.0204</v>
      </c>
      <c r="O20" s="51" cm="1">
        <f t="array" ref="O20">IF($A20="","",IF(I20="","",_xlfn.XLOOKUP($D20&amp;"_"&amp;$AE20,符文权重!$A:$A&amp;"_"&amp;符文权重!$C:$C,符文权重!$D:$D)*$Y20/SUMIFS($Y:$Y,I:I,I20,$D:$D,$D20,$AE:$AE,$AE20)/SUMIF(符文权重!$A:$A,$D20,符文权重!$D:$D)))</f>
        <v>0.0204</v>
      </c>
      <c r="P20" s="51" cm="1">
        <f t="array" ref="P20">IF($A20="","",IF(J20="","",_xlfn.XLOOKUP($D20&amp;"_"&amp;$AE20,符文权重!$A:$A&amp;"_"&amp;符文权重!$C:$C,符文权重!$D:$D)*$Y20/SUMIFS($Y:$Y,J:J,J20,$D:$D,$D20,$AE:$AE,$AE20)/SUMIF(符文权重!$A:$A,$D20,符文权重!$D:$D)))</f>
        <v>0.0204</v>
      </c>
      <c r="Q20" s="51" cm="1">
        <f t="array" ref="Q20">IF($A20="","",IF(K20="","",_xlfn.XLOOKUP($D20&amp;"_"&amp;$AE20,符文权重!$A:$A&amp;"_"&amp;符文权重!$C:$C,符文权重!$D:$D)*$Y20/SUMIFS($Y:$Y,K:K,K20,$D:$D,$D20,$AE:$AE,$AE20)/SUMIF(符文权重!$A:$A,$D20,符文权重!$D:$D)))</f>
        <v>0.0204</v>
      </c>
      <c r="R20" s="51" cm="1">
        <f t="array" ref="R20">IF($A20="","",IF(L20="","",_xlfn.XLOOKUP($D20&amp;"_"&amp;$AE20,符文权重!$A:$A&amp;"_"&amp;符文权重!$C:$C,符文权重!$D:$D)*$Y20/SUMIFS($Y:$Y,L:L,L20,$D:$D,$D20,$AE:$AE,$AE20)/SUMIF(符文权重!$A:$A,$D20,符文权重!$D:$D)))</f>
        <v>0.0204</v>
      </c>
      <c r="S20" s="36" t="s">
        <v>192</v>
      </c>
      <c r="T20" s="36" t="s">
        <v>193</v>
      </c>
      <c r="U20" s="36" t="e">
        <f>IF(C20="","",SUBSTITUTE(SUBSTITUTE("[{global_atk,"&amp;#REF!*D20&amp;"}]",21,20),9,8))</f>
        <v>#REF!</v>
      </c>
      <c r="V20" s="52" t="str">
        <f t="shared" si="9"/>
        <v>[5501027]</v>
      </c>
      <c r="W20" s="36" t="s">
        <v>201</v>
      </c>
      <c r="X20" s="35"/>
      <c r="Y20" s="42">
        <v>100</v>
      </c>
      <c r="Z20" s="35"/>
      <c r="AA20" s="42" t="s">
        <v>191</v>
      </c>
      <c r="AB20" s="42" t="str">
        <f t="shared" si="3"/>
        <v>射手职业攻击力&lt;color=#54b76b&gt;+150&lt;/color&gt;</v>
      </c>
      <c r="AC20" s="48" t="str">
        <f t="shared" si="4"/>
        <v>5501021</v>
      </c>
      <c r="AD20" s="42" t="str">
        <f t="shared" si="5"/>
        <v>[150]</v>
      </c>
      <c r="AE20" s="36">
        <v>1</v>
      </c>
      <c r="AF20" s="36"/>
      <c r="AG20" s="36">
        <v>0</v>
      </c>
      <c r="AH20" s="35" t="s">
        <v>178</v>
      </c>
      <c r="AI20" s="48">
        <f t="shared" si="10"/>
        <v>5501027</v>
      </c>
      <c r="AJ20" s="53" t="str">
        <f t="shared" si="11"/>
        <v>射手职业攻击力&lt;color=#54b76b&gt;+%s&lt;/color&gt;</v>
      </c>
      <c r="AK20" s="35">
        <v>150</v>
      </c>
      <c r="AL20" s="36">
        <v>1</v>
      </c>
    </row>
    <row r="21" s="25" customFormat="1" hidden="1" customHeight="1" spans="1:38">
      <c r="A21" s="48" t="s">
        <v>178</v>
      </c>
      <c r="B21" s="34"/>
      <c r="C21" s="48" t="str">
        <f t="shared" si="0"/>
        <v/>
      </c>
      <c r="D21" s="42" t="str">
        <f t="shared" si="1"/>
        <v/>
      </c>
      <c r="E21" s="42"/>
      <c r="F21" s="36"/>
      <c r="G21" s="36" t="str">
        <f t="shared" si="8"/>
        <v/>
      </c>
      <c r="H21" s="36" t="str">
        <f>IFERROR(IF(--MID($F21,2*COUNTIF($G21:G21,"&gt;"&amp;0)+2,1)=H$1,H$1,""),"")</f>
        <v/>
      </c>
      <c r="I21" s="36" t="str">
        <f>IFERROR(IF(--MID($F21,2*COUNTIF($G21:H21,"&gt;"&amp;0)+2,1)=I$1,I$1,""),"")</f>
        <v/>
      </c>
      <c r="J21" s="36" t="str">
        <f>IFERROR(IF(--MID($F21,2*COUNTIF($G21:I21,"&gt;"&amp;0)+2,1)=J$1,J$1,""),"")</f>
        <v/>
      </c>
      <c r="K21" s="36" t="str">
        <f>IFERROR(IF(--MID($F21,2*COUNTIF($G21:J21,"&gt;"&amp;0)+2,1)=K$1,K$1,""),"")</f>
        <v/>
      </c>
      <c r="L21" s="36" t="str">
        <f>IFERROR(IF(--MID($F21,2*COUNTIF($G21:K21,"&gt;"&amp;0)+2,1)=L$1,L$1,""),"")</f>
        <v/>
      </c>
      <c r="M21" s="51" t="str" cm="1">
        <f t="array" ref="M21">IF($A21="","",IF(G21="","",_xlfn.XLOOKUP($D21&amp;"_"&amp;$AE21,符文权重!$A:$A&amp;"_"&amp;符文权重!$C:$C,符文权重!$D:$D)*$Y21/SUMIFS($Y:$Y,G:G,G21,$D:$D,$D21,$AE:$AE,$AE21)/SUMIF(符文权重!$A:$A,$D21,符文权重!$D:$D)))</f>
        <v/>
      </c>
      <c r="N21" s="36" t="str" cm="1">
        <f t="array" ref="N21">IF($A21="","",IF(H21="","",_xlfn.XLOOKUP($D21&amp;"_"&amp;$AE21,符文权重!$A:$A&amp;"_"&amp;符文权重!$C:$C,符文权重!$D:$D)*$Y21/SUMIFS($Y:$Y,H:H,H21,$D:$D,$D$6,$AE:$AE,$AE$6)))</f>
        <v/>
      </c>
      <c r="O21" s="36" t="str" cm="1">
        <f t="array" ref="O21">IF($A21="","",IF(I21="","",_xlfn.XLOOKUP($D21&amp;"_"&amp;$AE21,符文权重!$A:$A&amp;"_"&amp;符文权重!$C:$C,符文权重!$D:$D)*$Y21/SUMIFS($Y:$Y,I:I,I21,$D:$D,$D$6,$AE:$AE,$AE$6)))</f>
        <v/>
      </c>
      <c r="P21" s="36" t="str" cm="1">
        <f t="array" ref="P21">IF($A21="","",IF(J21="","",_xlfn.XLOOKUP($D21&amp;"_"&amp;$AE21,符文权重!$A:$A&amp;"_"&amp;符文权重!$C:$C,符文权重!$D:$D)*$Y21/SUMIFS($Y:$Y,J:J,J21,$D:$D,$D$6,$AE:$AE,$AE$6)))</f>
        <v/>
      </c>
      <c r="Q21" s="36" t="str" cm="1">
        <f t="array" ref="Q21">IF($A21="","",IF(K21="","",_xlfn.XLOOKUP($D21&amp;"_"&amp;$AE21,符文权重!$A:$A&amp;"_"&amp;符文权重!$C:$C,符文权重!$D:$D)*$Y21/SUMIFS($Y:$Y,K:K,K21,$D:$D,$D$6,$AE:$AE,$AE$6)))</f>
        <v/>
      </c>
      <c r="R21" s="36" t="str" cm="1">
        <f t="array" ref="R21">IF($A21="","",IF(L21="","",_xlfn.XLOOKUP($D21&amp;"_"&amp;$AE21,符文权重!$A:$A&amp;"_"&amp;符文权重!$C:$C,符文权重!$D:$D)*$Y21/SUMIFS($Y:$Y,L:L,L21,$D:$D,$D$6,$AE:$AE,$AE$6)))</f>
        <v/>
      </c>
      <c r="S21" s="36" t="s">
        <v>178</v>
      </c>
      <c r="T21" s="36" t="s">
        <v>178</v>
      </c>
      <c r="U21" s="36"/>
      <c r="V21" s="52"/>
      <c r="W21" s="36"/>
      <c r="X21" s="35"/>
      <c r="Y21" s="42"/>
      <c r="Z21" s="35"/>
      <c r="AA21" s="42" t="s">
        <v>178</v>
      </c>
      <c r="AB21" s="42" t="str">
        <f t="shared" si="3"/>
        <v/>
      </c>
      <c r="AC21" s="48" t="str">
        <f t="shared" si="4"/>
        <v/>
      </c>
      <c r="AD21" s="42" t="str">
        <f t="shared" si="5"/>
        <v/>
      </c>
      <c r="AE21" s="36"/>
      <c r="AF21" s="36"/>
      <c r="AG21" s="36"/>
      <c r="AH21" s="35" t="s">
        <v>178</v>
      </c>
      <c r="AI21" s="33"/>
      <c r="AJ21" s="55"/>
      <c r="AK21" s="35"/>
      <c r="AL21" s="36"/>
    </row>
    <row r="22" s="25" customFormat="1" hidden="1" customHeight="1" spans="1:38">
      <c r="A22" s="48">
        <v>5501031</v>
      </c>
      <c r="B22" s="50"/>
      <c r="C22" s="48" t="str">
        <f t="shared" si="0"/>
        <v>5501031</v>
      </c>
      <c r="D22" s="42">
        <f t="shared" si="1"/>
        <v>1</v>
      </c>
      <c r="E22" s="42"/>
      <c r="F22" s="36" t="s">
        <v>174</v>
      </c>
      <c r="G22" s="36">
        <f t="shared" si="8"/>
        <v>1</v>
      </c>
      <c r="H22" s="36">
        <f>IFERROR(IF(--MID($F22,2*COUNTIF($G22:G22,"&gt;"&amp;0)+2,1)=H$1,H$1,""),"")</f>
        <v>2</v>
      </c>
      <c r="I22" s="36">
        <f>IFERROR(IF(--MID($F22,2*COUNTIF($G22:H22,"&gt;"&amp;0)+2,1)=I$1,I$1,""),"")</f>
        <v>3</v>
      </c>
      <c r="J22" s="36">
        <f>IFERROR(IF(--MID($F22,2*COUNTIF($G22:I22,"&gt;"&amp;0)+2,1)=J$1,J$1,""),"")</f>
        <v>4</v>
      </c>
      <c r="K22" s="36">
        <f>IFERROR(IF(--MID($F22,2*COUNTIF($G22:J22,"&gt;"&amp;0)+2,1)=K$1,K$1,""),"")</f>
        <v>5</v>
      </c>
      <c r="L22" s="36">
        <f>IFERROR(IF(--MID($F22,2*COUNTIF($G22:K22,"&gt;"&amp;0)+2,1)=L$1,L$1,""),"")</f>
        <v>6</v>
      </c>
      <c r="M22" s="51" cm="1">
        <f t="array" ref="M22">IF($A22="","",IF(G22="","",_xlfn.XLOOKUP($D22&amp;"_"&amp;$AE22,符文权重!$A:$A&amp;"_"&amp;符文权重!$C:$C,符文权重!$D:$D)*$Y22/SUMIFS($Y:$Y,G:G,G22,$D:$D,$D22,$AE:$AE,$AE22)/SUMIF(符文权重!$A:$A,$D22,符文权重!$D:$D)))</f>
        <v>0.05</v>
      </c>
      <c r="N22" s="51" cm="1">
        <f t="array" ref="N22">IF($A22="","",IF(H22="","",_xlfn.XLOOKUP($D22&amp;"_"&amp;$AE22,符文权重!$A:$A&amp;"_"&amp;符文权重!$C:$C,符文权重!$D:$D)*$Y22/SUMIFS($Y:$Y,H:H,H22,$D:$D,$D22,$AE:$AE,$AE22)/SUMIF(符文权重!$A:$A,$D22,符文权重!$D:$D)))</f>
        <v>0.05</v>
      </c>
      <c r="O22" s="51" cm="1">
        <f t="array" ref="O22">IF($A22="","",IF(I22="","",_xlfn.XLOOKUP($D22&amp;"_"&amp;$AE22,符文权重!$A:$A&amp;"_"&amp;符文权重!$C:$C,符文权重!$D:$D)*$Y22/SUMIFS($Y:$Y,I:I,I22,$D:$D,$D22,$AE:$AE,$AE22)/SUMIF(符文权重!$A:$A,$D22,符文权重!$D:$D)))</f>
        <v>0.05</v>
      </c>
      <c r="P22" s="51" cm="1">
        <f t="array" ref="P22">IF($A22="","",IF(J22="","",_xlfn.XLOOKUP($D22&amp;"_"&amp;$AE22,符文权重!$A:$A&amp;"_"&amp;符文权重!$C:$C,符文权重!$D:$D)*$Y22/SUMIFS($Y:$Y,J:J,J22,$D:$D,$D22,$AE:$AE,$AE22)/SUMIF(符文权重!$A:$A,$D22,符文权重!$D:$D)))</f>
        <v>0.05</v>
      </c>
      <c r="Q22" s="51" cm="1">
        <f t="array" ref="Q22">IF($A22="","",IF(K22="","",_xlfn.XLOOKUP($D22&amp;"_"&amp;$AE22,符文权重!$A:$A&amp;"_"&amp;符文权重!$C:$C,符文权重!$D:$D)*$Y22/SUMIFS($Y:$Y,K:K,K22,$D:$D,$D22,$AE:$AE,$AE22)/SUMIF(符文权重!$A:$A,$D22,符文权重!$D:$D)))</f>
        <v>0.05</v>
      </c>
      <c r="R22" s="51" cm="1">
        <f t="array" ref="R22">IF($A22="","",IF(L22="","",_xlfn.XLOOKUP($D22&amp;"_"&amp;$AE22,符文权重!$A:$A&amp;"_"&amp;符文权重!$C:$C,符文权重!$D:$D)*$Y22/SUMIFS($Y:$Y,L:L,L22,$D:$D,$D22,$AE:$AE,$AE22)/SUMIF(符文权重!$A:$A,$D22,符文权重!$D:$D)))</f>
        <v>0.05</v>
      </c>
      <c r="S22" s="36" t="s">
        <v>192</v>
      </c>
      <c r="T22" s="36" t="s">
        <v>202</v>
      </c>
      <c r="U22" s="36" t="e">
        <f>IF(C22="","",SUBSTITUTE(SUBSTITUTE("[{global_atk,"&amp;#REF!*D22&amp;"}]",21,20),9,8))</f>
        <v>#REF!</v>
      </c>
      <c r="V22" s="52" t="str">
        <f t="shared" ref="V22:V28" si="12">"["&amp;A22&amp;"]"</f>
        <v>[5501031]</v>
      </c>
      <c r="W22" s="36" t="s">
        <v>203</v>
      </c>
      <c r="X22" s="35"/>
      <c r="Y22" s="42">
        <v>100</v>
      </c>
      <c r="Z22" s="35"/>
      <c r="AA22" s="42" t="s">
        <v>177</v>
      </c>
      <c r="AB22" s="42" t="str">
        <f t="shared" si="3"/>
        <v>战士职业攻击力&lt;color=#54b76b&gt;+30&lt;/color&gt;</v>
      </c>
      <c r="AC22" s="48" t="str">
        <f t="shared" si="4"/>
        <v>5501031</v>
      </c>
      <c r="AD22" s="42" t="str">
        <f t="shared" si="5"/>
        <v>[30]</v>
      </c>
      <c r="AE22" s="36">
        <v>1</v>
      </c>
      <c r="AF22" s="36"/>
      <c r="AG22" s="36">
        <v>0</v>
      </c>
      <c r="AH22" s="35" t="s">
        <v>178</v>
      </c>
      <c r="AI22" s="33">
        <v>5501031</v>
      </c>
      <c r="AJ22" s="55" t="s">
        <v>204</v>
      </c>
      <c r="AK22" s="35">
        <v>30</v>
      </c>
      <c r="AL22" s="36">
        <v>1</v>
      </c>
    </row>
    <row r="23" s="25" customFormat="1" hidden="1" customHeight="1" spans="1:38">
      <c r="A23" s="48">
        <v>5501032</v>
      </c>
      <c r="B23" s="42"/>
      <c r="C23" s="48" t="str">
        <f t="shared" si="0"/>
        <v>5501031</v>
      </c>
      <c r="D23" s="42">
        <f t="shared" si="1"/>
        <v>2</v>
      </c>
      <c r="E23" s="42"/>
      <c r="F23" s="36" t="s">
        <v>174</v>
      </c>
      <c r="G23" s="36">
        <f t="shared" si="8"/>
        <v>1</v>
      </c>
      <c r="H23" s="36">
        <f>IFERROR(IF(--MID($F23,2*COUNTIF($G23:G23,"&gt;"&amp;0)+2,1)=H$1,H$1,""),"")</f>
        <v>2</v>
      </c>
      <c r="I23" s="36">
        <f>IFERROR(IF(--MID($F23,2*COUNTIF($G23:H23,"&gt;"&amp;0)+2,1)=I$1,I$1,""),"")</f>
        <v>3</v>
      </c>
      <c r="J23" s="36">
        <f>IFERROR(IF(--MID($F23,2*COUNTIF($G23:I23,"&gt;"&amp;0)+2,1)=J$1,J$1,""),"")</f>
        <v>4</v>
      </c>
      <c r="K23" s="36">
        <f>IFERROR(IF(--MID($F23,2*COUNTIF($G23:J23,"&gt;"&amp;0)+2,1)=K$1,K$1,""),"")</f>
        <v>5</v>
      </c>
      <c r="L23" s="36">
        <f>IFERROR(IF(--MID($F23,2*COUNTIF($G23:K23,"&gt;"&amp;0)+2,1)=L$1,L$1,""),"")</f>
        <v>6</v>
      </c>
      <c r="M23" s="51" cm="1">
        <f t="array" ref="M23">IF($A23="","",IF(G23="","",_xlfn.XLOOKUP($D23&amp;"_"&amp;$AE23,符文权重!$A:$A&amp;"_"&amp;符文权重!$C:$C,符文权重!$D:$D)*$Y23/SUMIFS($Y:$Y,G:G,G23,$D:$D,$D23,$AE:$AE,$AE23)/SUMIF(符文权重!$A:$A,$D23,符文权重!$D:$D)))</f>
        <v>0.0363636363636364</v>
      </c>
      <c r="N23" s="51" cm="1">
        <f t="array" ref="N23">IF($A23="","",IF(H23="","",_xlfn.XLOOKUP($D23&amp;"_"&amp;$AE23,符文权重!$A:$A&amp;"_"&amp;符文权重!$C:$C,符文权重!$D:$D)*$Y23/SUMIFS($Y:$Y,H:H,H23,$D:$D,$D23,$AE:$AE,$AE23)/SUMIF(符文权重!$A:$A,$D23,符文权重!$D:$D)))</f>
        <v>0.0363636363636364</v>
      </c>
      <c r="O23" s="51" cm="1">
        <f t="array" ref="O23">IF($A23="","",IF(I23="","",_xlfn.XLOOKUP($D23&amp;"_"&amp;$AE23,符文权重!$A:$A&amp;"_"&amp;符文权重!$C:$C,符文权重!$D:$D)*$Y23/SUMIFS($Y:$Y,I:I,I23,$D:$D,$D23,$AE:$AE,$AE23)/SUMIF(符文权重!$A:$A,$D23,符文权重!$D:$D)))</f>
        <v>0.0363636363636364</v>
      </c>
      <c r="P23" s="51" cm="1">
        <f t="array" ref="P23">IF($A23="","",IF(J23="","",_xlfn.XLOOKUP($D23&amp;"_"&amp;$AE23,符文权重!$A:$A&amp;"_"&amp;符文权重!$C:$C,符文权重!$D:$D)*$Y23/SUMIFS($Y:$Y,J:J,J23,$D:$D,$D23,$AE:$AE,$AE23)/SUMIF(符文权重!$A:$A,$D23,符文权重!$D:$D)))</f>
        <v>0.0363636363636364</v>
      </c>
      <c r="Q23" s="51" cm="1">
        <f t="array" ref="Q23">IF($A23="","",IF(K23="","",_xlfn.XLOOKUP($D23&amp;"_"&amp;$AE23,符文权重!$A:$A&amp;"_"&amp;符文权重!$C:$C,符文权重!$D:$D)*$Y23/SUMIFS($Y:$Y,K:K,K23,$D:$D,$D23,$AE:$AE,$AE23)/SUMIF(符文权重!$A:$A,$D23,符文权重!$D:$D)))</f>
        <v>0.0363636363636364</v>
      </c>
      <c r="R23" s="51" cm="1">
        <f t="array" ref="R23">IF($A23="","",IF(L23="","",_xlfn.XLOOKUP($D23&amp;"_"&amp;$AE23,符文权重!$A:$A&amp;"_"&amp;符文权重!$C:$C,符文权重!$D:$D)*$Y23/SUMIFS($Y:$Y,L:L,L23,$D:$D,$D23,$AE:$AE,$AE23)/SUMIF(符文权重!$A:$A,$D23,符文权重!$D:$D)))</f>
        <v>0.0363636363636364</v>
      </c>
      <c r="S23" s="36" t="s">
        <v>192</v>
      </c>
      <c r="T23" s="36" t="s">
        <v>202</v>
      </c>
      <c r="U23" s="36" t="e">
        <f>IF(C23="","",SUBSTITUTE(SUBSTITUTE("[{global_atk,"&amp;#REF!*D23&amp;"}]",21,20),9,8))</f>
        <v>#REF!</v>
      </c>
      <c r="V23" s="52" t="str">
        <f t="shared" si="12"/>
        <v>[5501032]</v>
      </c>
      <c r="W23" s="36" t="s">
        <v>205</v>
      </c>
      <c r="X23" s="35"/>
      <c r="Y23" s="42">
        <v>100</v>
      </c>
      <c r="Z23" s="35"/>
      <c r="AA23" s="42" t="s">
        <v>181</v>
      </c>
      <c r="AB23" s="42" t="str">
        <f t="shared" si="3"/>
        <v>战士职业攻击力&lt;color=#54b76b&gt;+40&lt;/color&gt;</v>
      </c>
      <c r="AC23" s="48" t="str">
        <f t="shared" si="4"/>
        <v>5501031</v>
      </c>
      <c r="AD23" s="42" t="str">
        <f t="shared" si="5"/>
        <v>[40]</v>
      </c>
      <c r="AE23" s="36">
        <v>1</v>
      </c>
      <c r="AF23" s="36"/>
      <c r="AG23" s="36">
        <v>0</v>
      </c>
      <c r="AH23" s="35" t="s">
        <v>178</v>
      </c>
      <c r="AI23" s="48">
        <f t="shared" ref="AI23:AI28" si="13">AI22+1</f>
        <v>5501032</v>
      </c>
      <c r="AJ23" s="53" t="str">
        <f t="shared" ref="AJ23:AJ28" si="14">AJ22</f>
        <v>战士职业攻击力&lt;color=#54b76b&gt;+%s&lt;/color&gt;</v>
      </c>
      <c r="AK23" s="35">
        <v>40</v>
      </c>
      <c r="AL23" s="36">
        <v>1</v>
      </c>
    </row>
    <row r="24" s="25" customFormat="1" hidden="1" customHeight="1" spans="1:38">
      <c r="A24" s="48">
        <v>5501033</v>
      </c>
      <c r="B24" s="42"/>
      <c r="C24" s="48" t="str">
        <f t="shared" si="0"/>
        <v>5501031</v>
      </c>
      <c r="D24" s="42">
        <f t="shared" si="1"/>
        <v>3</v>
      </c>
      <c r="E24" s="42"/>
      <c r="F24" s="36" t="s">
        <v>174</v>
      </c>
      <c r="G24" s="36">
        <f t="shared" si="8"/>
        <v>1</v>
      </c>
      <c r="H24" s="36">
        <f>IFERROR(IF(--MID($F24,2*COUNTIF($G24:G24,"&gt;"&amp;0)+2,1)=H$1,H$1,""),"")</f>
        <v>2</v>
      </c>
      <c r="I24" s="36">
        <f>IFERROR(IF(--MID($F24,2*COUNTIF($G24:H24,"&gt;"&amp;0)+2,1)=I$1,I$1,""),"")</f>
        <v>3</v>
      </c>
      <c r="J24" s="36">
        <f>IFERROR(IF(--MID($F24,2*COUNTIF($G24:I24,"&gt;"&amp;0)+2,1)=J$1,J$1,""),"")</f>
        <v>4</v>
      </c>
      <c r="K24" s="36">
        <f>IFERROR(IF(--MID($F24,2*COUNTIF($G24:J24,"&gt;"&amp;0)+2,1)=K$1,K$1,""),"")</f>
        <v>5</v>
      </c>
      <c r="L24" s="36">
        <f>IFERROR(IF(--MID($F24,2*COUNTIF($G24:K24,"&gt;"&amp;0)+2,1)=L$1,L$1,""),"")</f>
        <v>6</v>
      </c>
      <c r="M24" s="51" cm="1">
        <f t="array" ref="M24">IF($A24="","",IF(G24="","",_xlfn.XLOOKUP($D24&amp;"_"&amp;$AE24,符文权重!$A:$A&amp;"_"&amp;符文权重!$C:$C,符文权重!$D:$D)*$Y24/SUMIFS($Y:$Y,G:G,G24,$D:$D,$D24,$AE:$AE,$AE24)/SUMIF(符文权重!$A:$A,$D24,符文权重!$D:$D)))</f>
        <v>0.035</v>
      </c>
      <c r="N24" s="51" cm="1">
        <f t="array" ref="N24">IF($A24="","",IF(H24="","",_xlfn.XLOOKUP($D24&amp;"_"&amp;$AE24,符文权重!$A:$A&amp;"_"&amp;符文权重!$C:$C,符文权重!$D:$D)*$Y24/SUMIFS($Y:$Y,H:H,H24,$D:$D,$D24,$AE:$AE,$AE24)/SUMIF(符文权重!$A:$A,$D24,符文权重!$D:$D)))</f>
        <v>0.035</v>
      </c>
      <c r="O24" s="51" cm="1">
        <f t="array" ref="O24">IF($A24="","",IF(I24="","",_xlfn.XLOOKUP($D24&amp;"_"&amp;$AE24,符文权重!$A:$A&amp;"_"&amp;符文权重!$C:$C,符文权重!$D:$D)*$Y24/SUMIFS($Y:$Y,I:I,I24,$D:$D,$D24,$AE:$AE,$AE24)/SUMIF(符文权重!$A:$A,$D24,符文权重!$D:$D)))</f>
        <v>0.035</v>
      </c>
      <c r="P24" s="51" cm="1">
        <f t="array" ref="P24">IF($A24="","",IF(J24="","",_xlfn.XLOOKUP($D24&amp;"_"&amp;$AE24,符文权重!$A:$A&amp;"_"&amp;符文权重!$C:$C,符文权重!$D:$D)*$Y24/SUMIFS($Y:$Y,J:J,J24,$D:$D,$D24,$AE:$AE,$AE24)/SUMIF(符文权重!$A:$A,$D24,符文权重!$D:$D)))</f>
        <v>0.035</v>
      </c>
      <c r="Q24" s="51" cm="1">
        <f t="array" ref="Q24">IF($A24="","",IF(K24="","",_xlfn.XLOOKUP($D24&amp;"_"&amp;$AE24,符文权重!$A:$A&amp;"_"&amp;符文权重!$C:$C,符文权重!$D:$D)*$Y24/SUMIFS($Y:$Y,K:K,K24,$D:$D,$D24,$AE:$AE,$AE24)/SUMIF(符文权重!$A:$A,$D24,符文权重!$D:$D)))</f>
        <v>0.035</v>
      </c>
      <c r="R24" s="51" cm="1">
        <f t="array" ref="R24">IF($A24="","",IF(L24="","",_xlfn.XLOOKUP($D24&amp;"_"&amp;$AE24,符文权重!$A:$A&amp;"_"&amp;符文权重!$C:$C,符文权重!$D:$D)*$Y24/SUMIFS($Y:$Y,L:L,L24,$D:$D,$D24,$AE:$AE,$AE24)/SUMIF(符文权重!$A:$A,$D24,符文权重!$D:$D)))</f>
        <v>0.035</v>
      </c>
      <c r="S24" s="36" t="s">
        <v>192</v>
      </c>
      <c r="T24" s="36" t="s">
        <v>202</v>
      </c>
      <c r="U24" s="36" t="e">
        <f>IF(C24="","",SUBSTITUTE(SUBSTITUTE("[{global_atk,"&amp;#REF!*D24&amp;"}]",21,20),9,8))</f>
        <v>#REF!</v>
      </c>
      <c r="V24" s="52" t="str">
        <f t="shared" si="12"/>
        <v>[5501033]</v>
      </c>
      <c r="W24" s="36" t="s">
        <v>206</v>
      </c>
      <c r="X24" s="35"/>
      <c r="Y24" s="42">
        <v>100</v>
      </c>
      <c r="Z24" s="35"/>
      <c r="AA24" s="42" t="s">
        <v>183</v>
      </c>
      <c r="AB24" s="42" t="str">
        <f t="shared" si="3"/>
        <v>战士职业攻击力&lt;color=#54b76b&gt;+50&lt;/color&gt;</v>
      </c>
      <c r="AC24" s="48" t="str">
        <f t="shared" si="4"/>
        <v>5501031</v>
      </c>
      <c r="AD24" s="42" t="str">
        <f t="shared" si="5"/>
        <v>[50]</v>
      </c>
      <c r="AE24" s="36">
        <v>1</v>
      </c>
      <c r="AF24" s="36"/>
      <c r="AG24" s="36">
        <v>0</v>
      </c>
      <c r="AH24" s="35" t="s">
        <v>178</v>
      </c>
      <c r="AI24" s="48">
        <f t="shared" si="13"/>
        <v>5501033</v>
      </c>
      <c r="AJ24" s="53" t="str">
        <f t="shared" si="14"/>
        <v>战士职业攻击力&lt;color=#54b76b&gt;+%s&lt;/color&gt;</v>
      </c>
      <c r="AK24" s="35">
        <v>50</v>
      </c>
      <c r="AL24" s="36">
        <v>1</v>
      </c>
    </row>
    <row r="25" s="25" customFormat="1" hidden="1" customHeight="1" spans="1:38">
      <c r="A25" s="48">
        <v>5501034</v>
      </c>
      <c r="B25" s="42"/>
      <c r="C25" s="48" t="str">
        <f t="shared" si="0"/>
        <v>5501031</v>
      </c>
      <c r="D25" s="42">
        <f t="shared" si="1"/>
        <v>4</v>
      </c>
      <c r="E25" s="42"/>
      <c r="F25" s="36" t="s">
        <v>174</v>
      </c>
      <c r="G25" s="36">
        <f t="shared" si="8"/>
        <v>1</v>
      </c>
      <c r="H25" s="36">
        <f>IFERROR(IF(--MID($F25,2*COUNTIF($G25:G25,"&gt;"&amp;0)+2,1)=H$1,H$1,""),"")</f>
        <v>2</v>
      </c>
      <c r="I25" s="36">
        <f>IFERROR(IF(--MID($F25,2*COUNTIF($G25:H25,"&gt;"&amp;0)+2,1)=I$1,I$1,""),"")</f>
        <v>3</v>
      </c>
      <c r="J25" s="36">
        <f>IFERROR(IF(--MID($F25,2*COUNTIF($G25:I25,"&gt;"&amp;0)+2,1)=J$1,J$1,""),"")</f>
        <v>4</v>
      </c>
      <c r="K25" s="36">
        <f>IFERROR(IF(--MID($F25,2*COUNTIF($G25:J25,"&gt;"&amp;0)+2,1)=K$1,K$1,""),"")</f>
        <v>5</v>
      </c>
      <c r="L25" s="36">
        <f>IFERROR(IF(--MID($F25,2*COUNTIF($G25:K25,"&gt;"&amp;0)+2,1)=L$1,L$1,""),"")</f>
        <v>6</v>
      </c>
      <c r="M25" s="51" cm="1">
        <f t="array" ref="M25">IF($A25="","",IF(G25="","",_xlfn.XLOOKUP($D25&amp;"_"&amp;$AE25,符文权重!$A:$A&amp;"_"&amp;符文权重!$C:$C,符文权重!$D:$D)*$Y25/SUMIFS($Y:$Y,G:G,G25,$D:$D,$D25,$AE:$AE,$AE25)/SUMIF(符文权重!$A:$A,$D25,符文权重!$D:$D)))</f>
        <v>0.0229365529511942</v>
      </c>
      <c r="N25" s="51" cm="1">
        <f t="array" ref="N25">IF($A25="","",IF(H25="","",_xlfn.XLOOKUP($D25&amp;"_"&amp;$AE25,符文权重!$A:$A&amp;"_"&amp;符文权重!$C:$C,符文权重!$D:$D)*$Y25/SUMIFS($Y:$Y,H:H,H25,$D:$D,$D25,$AE:$AE,$AE25)/SUMIF(符文权重!$A:$A,$D25,符文权重!$D:$D)))</f>
        <v>0.0229365529511942</v>
      </c>
      <c r="O25" s="51" cm="1">
        <f t="array" ref="O25">IF($A25="","",IF(I25="","",_xlfn.XLOOKUP($D25&amp;"_"&amp;$AE25,符文权重!$A:$A&amp;"_"&amp;符文权重!$C:$C,符文权重!$D:$D)*$Y25/SUMIFS($Y:$Y,I:I,I25,$D:$D,$D25,$AE:$AE,$AE25)/SUMIF(符文权重!$A:$A,$D25,符文权重!$D:$D)))</f>
        <v>0.0229365529511942</v>
      </c>
      <c r="P25" s="51" cm="1">
        <f t="array" ref="P25">IF($A25="","",IF(J25="","",_xlfn.XLOOKUP($D25&amp;"_"&amp;$AE25,符文权重!$A:$A&amp;"_"&amp;符文权重!$C:$C,符文权重!$D:$D)*$Y25/SUMIFS($Y:$Y,J:J,J25,$D:$D,$D25,$AE:$AE,$AE25)/SUMIF(符文权重!$A:$A,$D25,符文权重!$D:$D)))</f>
        <v>0.0229365529511942</v>
      </c>
      <c r="Q25" s="51" cm="1">
        <f t="array" ref="Q25">IF($A25="","",IF(K25="","",_xlfn.XLOOKUP($D25&amp;"_"&amp;$AE25,符文权重!$A:$A&amp;"_"&amp;符文权重!$C:$C,符文权重!$D:$D)*$Y25/SUMIFS($Y:$Y,K:K,K25,$D:$D,$D25,$AE:$AE,$AE25)/SUMIF(符文权重!$A:$A,$D25,符文权重!$D:$D)))</f>
        <v>0.0229365529511942</v>
      </c>
      <c r="R25" s="51" cm="1">
        <f t="array" ref="R25">IF($A25="","",IF(L25="","",_xlfn.XLOOKUP($D25&amp;"_"&amp;$AE25,符文权重!$A:$A&amp;"_"&amp;符文权重!$C:$C,符文权重!$D:$D)*$Y25/SUMIFS($Y:$Y,L:L,L25,$D:$D,$D25,$AE:$AE,$AE25)/SUMIF(符文权重!$A:$A,$D25,符文权重!$D:$D)))</f>
        <v>0.0229365529511942</v>
      </c>
      <c r="S25" s="36" t="s">
        <v>192</v>
      </c>
      <c r="T25" s="36" t="s">
        <v>202</v>
      </c>
      <c r="U25" s="36" t="e">
        <f>IF(C25="","",SUBSTITUTE(SUBSTITUTE("[{global_atk,"&amp;#REF!*D25&amp;"}]",21,20),9,8))</f>
        <v>#REF!</v>
      </c>
      <c r="V25" s="52" t="str">
        <f t="shared" si="12"/>
        <v>[5501034]</v>
      </c>
      <c r="W25" s="36" t="s">
        <v>207</v>
      </c>
      <c r="X25" s="35"/>
      <c r="Y25" s="42">
        <v>100</v>
      </c>
      <c r="Z25" s="35"/>
      <c r="AA25" s="42" t="s">
        <v>185</v>
      </c>
      <c r="AB25" s="42" t="str">
        <f t="shared" si="3"/>
        <v>战士职业攻击力&lt;color=#54b76b&gt;+75&lt;/color&gt;</v>
      </c>
      <c r="AC25" s="48" t="str">
        <f t="shared" si="4"/>
        <v>5501031</v>
      </c>
      <c r="AD25" s="42" t="str">
        <f t="shared" si="5"/>
        <v>[75]</v>
      </c>
      <c r="AE25" s="36">
        <v>1</v>
      </c>
      <c r="AF25" s="36"/>
      <c r="AG25" s="36">
        <v>0</v>
      </c>
      <c r="AH25" s="35" t="s">
        <v>178</v>
      </c>
      <c r="AI25" s="48">
        <f t="shared" si="13"/>
        <v>5501034</v>
      </c>
      <c r="AJ25" s="53" t="str">
        <f t="shared" si="14"/>
        <v>战士职业攻击力&lt;color=#54b76b&gt;+%s&lt;/color&gt;</v>
      </c>
      <c r="AK25" s="35">
        <v>75</v>
      </c>
      <c r="AL25" s="36">
        <v>1</v>
      </c>
    </row>
    <row r="26" s="25" customFormat="1" hidden="1" customHeight="1" spans="1:38">
      <c r="A26" s="48">
        <v>5501035</v>
      </c>
      <c r="B26" s="42"/>
      <c r="C26" s="48" t="str">
        <f t="shared" si="0"/>
        <v>5501031</v>
      </c>
      <c r="D26" s="42">
        <f t="shared" si="1"/>
        <v>5</v>
      </c>
      <c r="E26" s="42"/>
      <c r="F26" s="36" t="s">
        <v>174</v>
      </c>
      <c r="G26" s="36">
        <f t="shared" si="8"/>
        <v>1</v>
      </c>
      <c r="H26" s="36">
        <f>IFERROR(IF(--MID($F26,2*COUNTIF($G26:G26,"&gt;"&amp;0)+2,1)=H$1,H$1,""),"")</f>
        <v>2</v>
      </c>
      <c r="I26" s="36">
        <f>IFERROR(IF(--MID($F26,2*COUNTIF($G26:H26,"&gt;"&amp;0)+2,1)=I$1,I$1,""),"")</f>
        <v>3</v>
      </c>
      <c r="J26" s="36">
        <f>IFERROR(IF(--MID($F26,2*COUNTIF($G26:I26,"&gt;"&amp;0)+2,1)=J$1,J$1,""),"")</f>
        <v>4</v>
      </c>
      <c r="K26" s="36">
        <f>IFERROR(IF(--MID($F26,2*COUNTIF($G26:J26,"&gt;"&amp;0)+2,1)=K$1,K$1,""),"")</f>
        <v>5</v>
      </c>
      <c r="L26" s="36">
        <f>IFERROR(IF(--MID($F26,2*COUNTIF($G26:K26,"&gt;"&amp;0)+2,1)=L$1,L$1,""),"")</f>
        <v>6</v>
      </c>
      <c r="M26" s="51" cm="1">
        <f t="array" ref="M26">IF($A26="","",IF(G26="","",_xlfn.XLOOKUP($D26&amp;"_"&amp;$AE26,符文权重!$A:$A&amp;"_"&amp;符文权重!$C:$C,符文权重!$D:$D)*$Y26/SUMIFS($Y:$Y,G:G,G26,$D:$D,$D26,$AE:$AE,$AE26)/SUMIF(符文权重!$A:$A,$D26,符文权重!$D:$D)))</f>
        <v>0.0204</v>
      </c>
      <c r="N26" s="51" cm="1">
        <f t="array" ref="N26">IF($A26="","",IF(H26="","",_xlfn.XLOOKUP($D26&amp;"_"&amp;$AE26,符文权重!$A:$A&amp;"_"&amp;符文权重!$C:$C,符文权重!$D:$D)*$Y26/SUMIFS($Y:$Y,H:H,H26,$D:$D,$D26,$AE:$AE,$AE26)/SUMIF(符文权重!$A:$A,$D26,符文权重!$D:$D)))</f>
        <v>0.0204</v>
      </c>
      <c r="O26" s="51" cm="1">
        <f t="array" ref="O26">IF($A26="","",IF(I26="","",_xlfn.XLOOKUP($D26&amp;"_"&amp;$AE26,符文权重!$A:$A&amp;"_"&amp;符文权重!$C:$C,符文权重!$D:$D)*$Y26/SUMIFS($Y:$Y,I:I,I26,$D:$D,$D26,$AE:$AE,$AE26)/SUMIF(符文权重!$A:$A,$D26,符文权重!$D:$D)))</f>
        <v>0.0204</v>
      </c>
      <c r="P26" s="51" cm="1">
        <f t="array" ref="P26">IF($A26="","",IF(J26="","",_xlfn.XLOOKUP($D26&amp;"_"&amp;$AE26,符文权重!$A:$A&amp;"_"&amp;符文权重!$C:$C,符文权重!$D:$D)*$Y26/SUMIFS($Y:$Y,J:J,J26,$D:$D,$D26,$AE:$AE,$AE26)/SUMIF(符文权重!$A:$A,$D26,符文权重!$D:$D)))</f>
        <v>0.0204</v>
      </c>
      <c r="Q26" s="51" cm="1">
        <f t="array" ref="Q26">IF($A26="","",IF(K26="","",_xlfn.XLOOKUP($D26&amp;"_"&amp;$AE26,符文权重!$A:$A&amp;"_"&amp;符文权重!$C:$C,符文权重!$D:$D)*$Y26/SUMIFS($Y:$Y,K:K,K26,$D:$D,$D26,$AE:$AE,$AE26)/SUMIF(符文权重!$A:$A,$D26,符文权重!$D:$D)))</f>
        <v>0.0204</v>
      </c>
      <c r="R26" s="51" cm="1">
        <f t="array" ref="R26">IF($A26="","",IF(L26="","",_xlfn.XLOOKUP($D26&amp;"_"&amp;$AE26,符文权重!$A:$A&amp;"_"&amp;符文权重!$C:$C,符文权重!$D:$D)*$Y26/SUMIFS($Y:$Y,L:L,L26,$D:$D,$D26,$AE:$AE,$AE26)/SUMIF(符文权重!$A:$A,$D26,符文权重!$D:$D)))</f>
        <v>0.0204</v>
      </c>
      <c r="S26" s="36" t="s">
        <v>192</v>
      </c>
      <c r="T26" s="36" t="s">
        <v>202</v>
      </c>
      <c r="U26" s="36" t="e">
        <f>IF(C26="","",SUBSTITUTE(SUBSTITUTE("[{global_atk,"&amp;#REF!*D26&amp;"}]",21,20),9,8))</f>
        <v>#REF!</v>
      </c>
      <c r="V26" s="52" t="str">
        <f t="shared" si="12"/>
        <v>[5501035]</v>
      </c>
      <c r="W26" s="36" t="s">
        <v>208</v>
      </c>
      <c r="X26" s="35"/>
      <c r="Y26" s="42">
        <v>100</v>
      </c>
      <c r="Z26" s="35"/>
      <c r="AA26" s="42" t="s">
        <v>187</v>
      </c>
      <c r="AB26" s="42" t="str">
        <f t="shared" si="3"/>
        <v>战士职业攻击力&lt;color=#54b76b&gt;+96&lt;/color&gt;</v>
      </c>
      <c r="AC26" s="48" t="str">
        <f t="shared" si="4"/>
        <v>5501031</v>
      </c>
      <c r="AD26" s="42" t="str">
        <f t="shared" si="5"/>
        <v>[96]</v>
      </c>
      <c r="AE26" s="36">
        <v>1</v>
      </c>
      <c r="AF26" s="36"/>
      <c r="AG26" s="36">
        <v>0</v>
      </c>
      <c r="AH26" s="35" t="s">
        <v>178</v>
      </c>
      <c r="AI26" s="48">
        <f t="shared" si="13"/>
        <v>5501035</v>
      </c>
      <c r="AJ26" s="53" t="str">
        <f t="shared" si="14"/>
        <v>战士职业攻击力&lt;color=#54b76b&gt;+%s&lt;/color&gt;</v>
      </c>
      <c r="AK26" s="35">
        <v>96</v>
      </c>
      <c r="AL26" s="36">
        <v>1</v>
      </c>
    </row>
    <row r="27" s="25" customFormat="1" hidden="1" customHeight="1" spans="1:38">
      <c r="A27" s="48">
        <v>5501036</v>
      </c>
      <c r="B27" s="42"/>
      <c r="C27" s="48" t="str">
        <f t="shared" si="0"/>
        <v>5501031</v>
      </c>
      <c r="D27" s="42">
        <f t="shared" si="1"/>
        <v>6</v>
      </c>
      <c r="E27" s="42"/>
      <c r="F27" s="36" t="s">
        <v>174</v>
      </c>
      <c r="G27" s="36">
        <f t="shared" si="8"/>
        <v>1</v>
      </c>
      <c r="H27" s="36">
        <f>IFERROR(IF(--MID($F27,2*COUNTIF($G27:G27,"&gt;"&amp;0)+2,1)=H$1,H$1,""),"")</f>
        <v>2</v>
      </c>
      <c r="I27" s="36">
        <f>IFERROR(IF(--MID($F27,2*COUNTIF($G27:H27,"&gt;"&amp;0)+2,1)=I$1,I$1,""),"")</f>
        <v>3</v>
      </c>
      <c r="J27" s="36">
        <f>IFERROR(IF(--MID($F27,2*COUNTIF($G27:I27,"&gt;"&amp;0)+2,1)=J$1,J$1,""),"")</f>
        <v>4</v>
      </c>
      <c r="K27" s="36">
        <f>IFERROR(IF(--MID($F27,2*COUNTIF($G27:J27,"&gt;"&amp;0)+2,1)=K$1,K$1,""),"")</f>
        <v>5</v>
      </c>
      <c r="L27" s="36">
        <f>IFERROR(IF(--MID($F27,2*COUNTIF($G27:K27,"&gt;"&amp;0)+2,1)=L$1,L$1,""),"")</f>
        <v>6</v>
      </c>
      <c r="M27" s="51" cm="1">
        <f t="array" ref="M27">IF($A27="","",IF(G27="","",_xlfn.XLOOKUP($D27&amp;"_"&amp;$AE27,符文权重!$A:$A&amp;"_"&amp;符文权重!$C:$C,符文权重!$D:$D)*$Y27/SUMIFS($Y:$Y,G:G,G27,$D:$D,$D27,$AE:$AE,$AE27)/SUMIF(符文权重!$A:$A,$D27,符文权重!$D:$D)))</f>
        <v>0.0204</v>
      </c>
      <c r="N27" s="51" cm="1">
        <f t="array" ref="N27">IF($A27="","",IF(H27="","",_xlfn.XLOOKUP($D27&amp;"_"&amp;$AE27,符文权重!$A:$A&amp;"_"&amp;符文权重!$C:$C,符文权重!$D:$D)*$Y27/SUMIFS($Y:$Y,H:H,H27,$D:$D,$D27,$AE:$AE,$AE27)/SUMIF(符文权重!$A:$A,$D27,符文权重!$D:$D)))</f>
        <v>0.0204</v>
      </c>
      <c r="O27" s="51" cm="1">
        <f t="array" ref="O27">IF($A27="","",IF(I27="","",_xlfn.XLOOKUP($D27&amp;"_"&amp;$AE27,符文权重!$A:$A&amp;"_"&amp;符文权重!$C:$C,符文权重!$D:$D)*$Y27/SUMIFS($Y:$Y,I:I,I27,$D:$D,$D27,$AE:$AE,$AE27)/SUMIF(符文权重!$A:$A,$D27,符文权重!$D:$D)))</f>
        <v>0.0204</v>
      </c>
      <c r="P27" s="51" cm="1">
        <f t="array" ref="P27">IF($A27="","",IF(J27="","",_xlfn.XLOOKUP($D27&amp;"_"&amp;$AE27,符文权重!$A:$A&amp;"_"&amp;符文权重!$C:$C,符文权重!$D:$D)*$Y27/SUMIFS($Y:$Y,J:J,J27,$D:$D,$D27,$AE:$AE,$AE27)/SUMIF(符文权重!$A:$A,$D27,符文权重!$D:$D)))</f>
        <v>0.0204</v>
      </c>
      <c r="Q27" s="51" cm="1">
        <f t="array" ref="Q27">IF($A27="","",IF(K27="","",_xlfn.XLOOKUP($D27&amp;"_"&amp;$AE27,符文权重!$A:$A&amp;"_"&amp;符文权重!$C:$C,符文权重!$D:$D)*$Y27/SUMIFS($Y:$Y,K:K,K27,$D:$D,$D27,$AE:$AE,$AE27)/SUMIF(符文权重!$A:$A,$D27,符文权重!$D:$D)))</f>
        <v>0.0204</v>
      </c>
      <c r="R27" s="51" cm="1">
        <f t="array" ref="R27">IF($A27="","",IF(L27="","",_xlfn.XLOOKUP($D27&amp;"_"&amp;$AE27,符文权重!$A:$A&amp;"_"&amp;符文权重!$C:$C,符文权重!$D:$D)*$Y27/SUMIFS($Y:$Y,L:L,L27,$D:$D,$D27,$AE:$AE,$AE27)/SUMIF(符文权重!$A:$A,$D27,符文权重!$D:$D)))</f>
        <v>0.0204</v>
      </c>
      <c r="S27" s="36" t="s">
        <v>192</v>
      </c>
      <c r="T27" s="36" t="s">
        <v>202</v>
      </c>
      <c r="U27" s="36" t="e">
        <f>IF(C27="","",SUBSTITUTE(SUBSTITUTE("[{global_atk,"&amp;#REF!*D27&amp;"}]",21,20),9,8))</f>
        <v>#REF!</v>
      </c>
      <c r="V27" s="52" t="str">
        <f t="shared" si="12"/>
        <v>[5501036]</v>
      </c>
      <c r="W27" s="36" t="s">
        <v>209</v>
      </c>
      <c r="X27" s="35"/>
      <c r="Y27" s="42">
        <v>100</v>
      </c>
      <c r="Z27" s="35"/>
      <c r="AA27" s="42" t="s">
        <v>189</v>
      </c>
      <c r="AB27" s="42" t="str">
        <f t="shared" si="3"/>
        <v>战士职业攻击力&lt;color=#54b76b&gt;+120&lt;/color&gt;</v>
      </c>
      <c r="AC27" s="48" t="str">
        <f t="shared" si="4"/>
        <v>5501031</v>
      </c>
      <c r="AD27" s="42" t="str">
        <f t="shared" si="5"/>
        <v>[120]</v>
      </c>
      <c r="AE27" s="36">
        <v>1</v>
      </c>
      <c r="AF27" s="36"/>
      <c r="AG27" s="36">
        <v>0</v>
      </c>
      <c r="AH27" s="35" t="s">
        <v>178</v>
      </c>
      <c r="AI27" s="48">
        <f t="shared" si="13"/>
        <v>5501036</v>
      </c>
      <c r="AJ27" s="53" t="str">
        <f t="shared" si="14"/>
        <v>战士职业攻击力&lt;color=#54b76b&gt;+%s&lt;/color&gt;</v>
      </c>
      <c r="AK27" s="35">
        <v>120</v>
      </c>
      <c r="AL27" s="36">
        <v>1</v>
      </c>
    </row>
    <row r="28" s="25" customFormat="1" hidden="1" customHeight="1" spans="1:38">
      <c r="A28" s="48">
        <v>5501037</v>
      </c>
      <c r="B28" s="42"/>
      <c r="C28" s="48" t="str">
        <f t="shared" si="0"/>
        <v>5501031</v>
      </c>
      <c r="D28" s="42">
        <f t="shared" si="1"/>
        <v>7</v>
      </c>
      <c r="E28" s="42"/>
      <c r="F28" s="36" t="s">
        <v>174</v>
      </c>
      <c r="G28" s="36">
        <f t="shared" si="8"/>
        <v>1</v>
      </c>
      <c r="H28" s="36">
        <f>IFERROR(IF(--MID($F28,2*COUNTIF($G28:G28,"&gt;"&amp;0)+2,1)=H$1,H$1,""),"")</f>
        <v>2</v>
      </c>
      <c r="I28" s="36">
        <f>IFERROR(IF(--MID($F28,2*COUNTIF($G28:H28,"&gt;"&amp;0)+2,1)=I$1,I$1,""),"")</f>
        <v>3</v>
      </c>
      <c r="J28" s="36">
        <f>IFERROR(IF(--MID($F28,2*COUNTIF($G28:I28,"&gt;"&amp;0)+2,1)=J$1,J$1,""),"")</f>
        <v>4</v>
      </c>
      <c r="K28" s="36">
        <f>IFERROR(IF(--MID($F28,2*COUNTIF($G28:J28,"&gt;"&amp;0)+2,1)=K$1,K$1,""),"")</f>
        <v>5</v>
      </c>
      <c r="L28" s="36">
        <f>IFERROR(IF(--MID($F28,2*COUNTIF($G28:K28,"&gt;"&amp;0)+2,1)=L$1,L$1,""),"")</f>
        <v>6</v>
      </c>
      <c r="M28" s="51" cm="1">
        <f t="array" ref="M28">IF($A28="","",IF(G28="","",_xlfn.XLOOKUP($D28&amp;"_"&amp;$AE28,符文权重!$A:$A&amp;"_"&amp;符文权重!$C:$C,符文权重!$D:$D)*$Y28/SUMIFS($Y:$Y,G:G,G28,$D:$D,$D28,$AE:$AE,$AE28)/SUMIF(符文权重!$A:$A,$D28,符文权重!$D:$D)))</f>
        <v>0.0204</v>
      </c>
      <c r="N28" s="51" cm="1">
        <f t="array" ref="N28">IF($A28="","",IF(H28="","",_xlfn.XLOOKUP($D28&amp;"_"&amp;$AE28,符文权重!$A:$A&amp;"_"&amp;符文权重!$C:$C,符文权重!$D:$D)*$Y28/SUMIFS($Y:$Y,H:H,H28,$D:$D,$D28,$AE:$AE,$AE28)/SUMIF(符文权重!$A:$A,$D28,符文权重!$D:$D)))</f>
        <v>0.0204</v>
      </c>
      <c r="O28" s="51" cm="1">
        <f t="array" ref="O28">IF($A28="","",IF(I28="","",_xlfn.XLOOKUP($D28&amp;"_"&amp;$AE28,符文权重!$A:$A&amp;"_"&amp;符文权重!$C:$C,符文权重!$D:$D)*$Y28/SUMIFS($Y:$Y,I:I,I28,$D:$D,$D28,$AE:$AE,$AE28)/SUMIF(符文权重!$A:$A,$D28,符文权重!$D:$D)))</f>
        <v>0.0204</v>
      </c>
      <c r="P28" s="51" cm="1">
        <f t="array" ref="P28">IF($A28="","",IF(J28="","",_xlfn.XLOOKUP($D28&amp;"_"&amp;$AE28,符文权重!$A:$A&amp;"_"&amp;符文权重!$C:$C,符文权重!$D:$D)*$Y28/SUMIFS($Y:$Y,J:J,J28,$D:$D,$D28,$AE:$AE,$AE28)/SUMIF(符文权重!$A:$A,$D28,符文权重!$D:$D)))</f>
        <v>0.0204</v>
      </c>
      <c r="Q28" s="51" cm="1">
        <f t="array" ref="Q28">IF($A28="","",IF(K28="","",_xlfn.XLOOKUP($D28&amp;"_"&amp;$AE28,符文权重!$A:$A&amp;"_"&amp;符文权重!$C:$C,符文权重!$D:$D)*$Y28/SUMIFS($Y:$Y,K:K,K28,$D:$D,$D28,$AE:$AE,$AE28)/SUMIF(符文权重!$A:$A,$D28,符文权重!$D:$D)))</f>
        <v>0.0204</v>
      </c>
      <c r="R28" s="51" cm="1">
        <f t="array" ref="R28">IF($A28="","",IF(L28="","",_xlfn.XLOOKUP($D28&amp;"_"&amp;$AE28,符文权重!$A:$A&amp;"_"&amp;符文权重!$C:$C,符文权重!$D:$D)*$Y28/SUMIFS($Y:$Y,L:L,L28,$D:$D,$D28,$AE:$AE,$AE28)/SUMIF(符文权重!$A:$A,$D28,符文权重!$D:$D)))</f>
        <v>0.0204</v>
      </c>
      <c r="S28" s="36" t="s">
        <v>192</v>
      </c>
      <c r="T28" s="36" t="s">
        <v>202</v>
      </c>
      <c r="U28" s="36" t="e">
        <f>IF(C28="","",SUBSTITUTE(SUBSTITUTE("[{global_atk,"&amp;#REF!*D28&amp;"}]",21,20),9,8))</f>
        <v>#REF!</v>
      </c>
      <c r="V28" s="52" t="str">
        <f t="shared" si="12"/>
        <v>[5501037]</v>
      </c>
      <c r="W28" s="36" t="s">
        <v>210</v>
      </c>
      <c r="X28" s="35"/>
      <c r="Y28" s="42">
        <v>100</v>
      </c>
      <c r="Z28" s="35"/>
      <c r="AA28" s="42" t="s">
        <v>191</v>
      </c>
      <c r="AB28" s="42" t="str">
        <f t="shared" si="3"/>
        <v>战士职业攻击力&lt;color=#54b76b&gt;+150&lt;/color&gt;</v>
      </c>
      <c r="AC28" s="48" t="str">
        <f t="shared" si="4"/>
        <v>5501031</v>
      </c>
      <c r="AD28" s="42" t="str">
        <f t="shared" si="5"/>
        <v>[150]</v>
      </c>
      <c r="AE28" s="36">
        <v>1</v>
      </c>
      <c r="AF28" s="36"/>
      <c r="AG28" s="36">
        <v>0</v>
      </c>
      <c r="AH28" s="35" t="s">
        <v>178</v>
      </c>
      <c r="AI28" s="48">
        <f t="shared" si="13"/>
        <v>5501037</v>
      </c>
      <c r="AJ28" s="53" t="str">
        <f t="shared" si="14"/>
        <v>战士职业攻击力&lt;color=#54b76b&gt;+%s&lt;/color&gt;</v>
      </c>
      <c r="AK28" s="35">
        <v>150</v>
      </c>
      <c r="AL28" s="36">
        <v>1</v>
      </c>
    </row>
    <row r="29" s="25" customFormat="1" hidden="1" customHeight="1" spans="1:38">
      <c r="A29" s="48" t="s">
        <v>178</v>
      </c>
      <c r="B29" s="34"/>
      <c r="C29" s="48" t="str">
        <f t="shared" si="0"/>
        <v/>
      </c>
      <c r="D29" s="42" t="str">
        <f t="shared" si="1"/>
        <v/>
      </c>
      <c r="E29" s="42"/>
      <c r="F29" s="36"/>
      <c r="G29" s="36" t="str">
        <f t="shared" si="8"/>
        <v/>
      </c>
      <c r="H29" s="36" t="str">
        <f>IFERROR(IF(--MID($F29,2*COUNTIF($G29:G29,"&gt;"&amp;0)+2,1)=H$1,H$1,""),"")</f>
        <v/>
      </c>
      <c r="I29" s="36" t="str">
        <f>IFERROR(IF(--MID($F29,2*COUNTIF($G29:H29,"&gt;"&amp;0)+2,1)=I$1,I$1,""),"")</f>
        <v/>
      </c>
      <c r="J29" s="36" t="str">
        <f>IFERROR(IF(--MID($F29,2*COUNTIF($G29:I29,"&gt;"&amp;0)+2,1)=J$1,J$1,""),"")</f>
        <v/>
      </c>
      <c r="K29" s="36" t="str">
        <f>IFERROR(IF(--MID($F29,2*COUNTIF($G29:J29,"&gt;"&amp;0)+2,1)=K$1,K$1,""),"")</f>
        <v/>
      </c>
      <c r="L29" s="36" t="str">
        <f>IFERROR(IF(--MID($F29,2*COUNTIF($G29:K29,"&gt;"&amp;0)+2,1)=L$1,L$1,""),"")</f>
        <v/>
      </c>
      <c r="M29" s="51" t="str" cm="1">
        <f t="array" ref="M29">IF($A29="","",IF(G29="","",_xlfn.XLOOKUP($D29&amp;"_"&amp;$AE29,符文权重!$A:$A&amp;"_"&amp;符文权重!$C:$C,符文权重!$D:$D)*$Y29/SUMIFS($Y:$Y,G:G,G29,$D:$D,$D29,$AE:$AE,$AE29)/SUMIF(符文权重!$A:$A,$D29,符文权重!$D:$D)))</f>
        <v/>
      </c>
      <c r="N29" s="36" t="str" cm="1">
        <f t="array" ref="N29">IF($A29="","",IF(H29="","",_xlfn.XLOOKUP($D29&amp;"_"&amp;$AE29,符文权重!$A:$A&amp;"_"&amp;符文权重!$C:$C,符文权重!$D:$D)*$Y29/SUMIFS($Y:$Y,H:H,H29,$D:$D,$D$6,$AE:$AE,$AE$6)))</f>
        <v/>
      </c>
      <c r="O29" s="36" t="str" cm="1">
        <f t="array" ref="O29">IF($A29="","",IF(I29="","",_xlfn.XLOOKUP($D29&amp;"_"&amp;$AE29,符文权重!$A:$A&amp;"_"&amp;符文权重!$C:$C,符文权重!$D:$D)*$Y29/SUMIFS($Y:$Y,I:I,I29,$D:$D,$D$6,$AE:$AE,$AE$6)))</f>
        <v/>
      </c>
      <c r="P29" s="36" t="str" cm="1">
        <f t="array" ref="P29">IF($A29="","",IF(J29="","",_xlfn.XLOOKUP($D29&amp;"_"&amp;$AE29,符文权重!$A:$A&amp;"_"&amp;符文权重!$C:$C,符文权重!$D:$D)*$Y29/SUMIFS($Y:$Y,J:J,J29,$D:$D,$D$6,$AE:$AE,$AE$6)))</f>
        <v/>
      </c>
      <c r="Q29" s="36" t="str" cm="1">
        <f t="array" ref="Q29">IF($A29="","",IF(K29="","",_xlfn.XLOOKUP($D29&amp;"_"&amp;$AE29,符文权重!$A:$A&amp;"_"&amp;符文权重!$C:$C,符文权重!$D:$D)*$Y29/SUMIFS($Y:$Y,K:K,K29,$D:$D,$D$6,$AE:$AE,$AE$6)))</f>
        <v/>
      </c>
      <c r="R29" s="36" t="str" cm="1">
        <f t="array" ref="R29">IF($A29="","",IF(L29="","",_xlfn.XLOOKUP($D29&amp;"_"&amp;$AE29,符文权重!$A:$A&amp;"_"&amp;符文权重!$C:$C,符文权重!$D:$D)*$Y29/SUMIFS($Y:$Y,L:L,L29,$D:$D,$D$6,$AE:$AE,$AE$6)))</f>
        <v/>
      </c>
      <c r="S29" s="36" t="s">
        <v>178</v>
      </c>
      <c r="T29" s="36" t="s">
        <v>178</v>
      </c>
      <c r="U29" s="36"/>
      <c r="V29" s="52"/>
      <c r="W29" s="36"/>
      <c r="X29" s="35"/>
      <c r="Y29" s="42"/>
      <c r="Z29" s="35"/>
      <c r="AA29" s="42" t="s">
        <v>178</v>
      </c>
      <c r="AB29" s="42" t="str">
        <f t="shared" si="3"/>
        <v/>
      </c>
      <c r="AC29" s="48" t="str">
        <f t="shared" si="4"/>
        <v/>
      </c>
      <c r="AD29" s="42" t="str">
        <f t="shared" si="5"/>
        <v/>
      </c>
      <c r="AE29" s="36"/>
      <c r="AF29" s="36"/>
      <c r="AG29" s="36"/>
      <c r="AH29" s="35" t="s">
        <v>178</v>
      </c>
      <c r="AI29" s="33"/>
      <c r="AJ29" s="55"/>
      <c r="AK29" s="35"/>
      <c r="AL29" s="36"/>
    </row>
    <row r="30" s="25" customFormat="1" hidden="1" customHeight="1" spans="1:38">
      <c r="A30" s="48">
        <v>5501041</v>
      </c>
      <c r="B30" s="50"/>
      <c r="C30" s="48" t="str">
        <f t="shared" si="0"/>
        <v>5501041</v>
      </c>
      <c r="D30" s="42">
        <f t="shared" si="1"/>
        <v>1</v>
      </c>
      <c r="E30" s="42"/>
      <c r="F30" s="36" t="s">
        <v>174</v>
      </c>
      <c r="G30" s="36">
        <f t="shared" si="8"/>
        <v>1</v>
      </c>
      <c r="H30" s="36">
        <f>IFERROR(IF(--MID($F30,2*COUNTIF($G30:G30,"&gt;"&amp;0)+2,1)=H$1,H$1,""),"")</f>
        <v>2</v>
      </c>
      <c r="I30" s="36">
        <f>IFERROR(IF(--MID($F30,2*COUNTIF($G30:H30,"&gt;"&amp;0)+2,1)=I$1,I$1,""),"")</f>
        <v>3</v>
      </c>
      <c r="J30" s="36">
        <f>IFERROR(IF(--MID($F30,2*COUNTIF($G30:I30,"&gt;"&amp;0)+2,1)=J$1,J$1,""),"")</f>
        <v>4</v>
      </c>
      <c r="K30" s="36">
        <f>IFERROR(IF(--MID($F30,2*COUNTIF($G30:J30,"&gt;"&amp;0)+2,1)=K$1,K$1,""),"")</f>
        <v>5</v>
      </c>
      <c r="L30" s="36">
        <f>IFERROR(IF(--MID($F30,2*COUNTIF($G30:K30,"&gt;"&amp;0)+2,1)=L$1,L$1,""),"")</f>
        <v>6</v>
      </c>
      <c r="M30" s="51" cm="1">
        <f t="array" ref="M30">IF($A30="","",IF(G30="","",_xlfn.XLOOKUP($D30&amp;"_"&amp;$AE30,符文权重!$A:$A&amp;"_"&amp;符文权重!$C:$C,符文权重!$D:$D)*$Y30/SUMIFS($Y:$Y,G:G,G30,$D:$D,$D30,$AE:$AE,$AE30)/SUMIF(符文权重!$A:$A,$D30,符文权重!$D:$D)))</f>
        <v>0.05</v>
      </c>
      <c r="N30" s="51" cm="1">
        <f t="array" ref="N30">IF($A30="","",IF(H30="","",_xlfn.XLOOKUP($D30&amp;"_"&amp;$AE30,符文权重!$A:$A&amp;"_"&amp;符文权重!$C:$C,符文权重!$D:$D)*$Y30/SUMIFS($Y:$Y,H:H,H30,$D:$D,$D30,$AE:$AE,$AE30)/SUMIF(符文权重!$A:$A,$D30,符文权重!$D:$D)))</f>
        <v>0.05</v>
      </c>
      <c r="O30" s="51" cm="1">
        <f t="array" ref="O30">IF($A30="","",IF(I30="","",_xlfn.XLOOKUP($D30&amp;"_"&amp;$AE30,符文权重!$A:$A&amp;"_"&amp;符文权重!$C:$C,符文权重!$D:$D)*$Y30/SUMIFS($Y:$Y,I:I,I30,$D:$D,$D30,$AE:$AE,$AE30)/SUMIF(符文权重!$A:$A,$D30,符文权重!$D:$D)))</f>
        <v>0.05</v>
      </c>
      <c r="P30" s="51" cm="1">
        <f t="array" ref="P30">IF($A30="","",IF(J30="","",_xlfn.XLOOKUP($D30&amp;"_"&amp;$AE30,符文权重!$A:$A&amp;"_"&amp;符文权重!$C:$C,符文权重!$D:$D)*$Y30/SUMIFS($Y:$Y,J:J,J30,$D:$D,$D30,$AE:$AE,$AE30)/SUMIF(符文权重!$A:$A,$D30,符文权重!$D:$D)))</f>
        <v>0.05</v>
      </c>
      <c r="Q30" s="51" cm="1">
        <f t="array" ref="Q30">IF($A30="","",IF(K30="","",_xlfn.XLOOKUP($D30&amp;"_"&amp;$AE30,符文权重!$A:$A&amp;"_"&amp;符文权重!$C:$C,符文权重!$D:$D)*$Y30/SUMIFS($Y:$Y,K:K,K30,$D:$D,$D30,$AE:$AE,$AE30)/SUMIF(符文权重!$A:$A,$D30,符文权重!$D:$D)))</f>
        <v>0.05</v>
      </c>
      <c r="R30" s="51" cm="1">
        <f t="array" ref="R30">IF($A30="","",IF(L30="","",_xlfn.XLOOKUP($D30&amp;"_"&amp;$AE30,符文权重!$A:$A&amp;"_"&amp;符文权重!$C:$C,符文权重!$D:$D)*$Y30/SUMIFS($Y:$Y,L:L,L30,$D:$D,$D30,$AE:$AE,$AE30)/SUMIF(符文权重!$A:$A,$D30,符文权重!$D:$D)))</f>
        <v>0.05</v>
      </c>
      <c r="S30" s="36" t="s">
        <v>192</v>
      </c>
      <c r="T30" s="36" t="s">
        <v>211</v>
      </c>
      <c r="U30" s="36" t="e">
        <f>IF(C30="","",SUBSTITUTE(SUBSTITUTE("[{global_atk,"&amp;#REF!*D30&amp;"}]",21,20),9,8))</f>
        <v>#REF!</v>
      </c>
      <c r="V30" s="52" t="str">
        <f t="shared" ref="V30:V36" si="15">"["&amp;A30&amp;"]"</f>
        <v>[5501041]</v>
      </c>
      <c r="W30" s="36" t="s">
        <v>212</v>
      </c>
      <c r="X30" s="35"/>
      <c r="Y30" s="42">
        <v>100</v>
      </c>
      <c r="Z30" s="35"/>
      <c r="AA30" s="42" t="s">
        <v>177</v>
      </c>
      <c r="AB30" s="42" t="str">
        <f t="shared" si="3"/>
        <v>法师职业攻击力&lt;color=#54b76b&gt;+30&lt;/color&gt;</v>
      </c>
      <c r="AC30" s="48" t="str">
        <f t="shared" si="4"/>
        <v>5501041</v>
      </c>
      <c r="AD30" s="42" t="str">
        <f t="shared" si="5"/>
        <v>[30]</v>
      </c>
      <c r="AE30" s="36">
        <v>1</v>
      </c>
      <c r="AF30" s="36"/>
      <c r="AG30" s="36">
        <v>0</v>
      </c>
      <c r="AH30" s="35" t="s">
        <v>178</v>
      </c>
      <c r="AI30" s="33">
        <v>5501041</v>
      </c>
      <c r="AJ30" s="55" t="s">
        <v>213</v>
      </c>
      <c r="AK30" s="35">
        <v>30</v>
      </c>
      <c r="AL30" s="36">
        <v>1</v>
      </c>
    </row>
    <row r="31" s="25" customFormat="1" hidden="1" customHeight="1" spans="1:38">
      <c r="A31" s="48">
        <v>5501042</v>
      </c>
      <c r="B31" s="42"/>
      <c r="C31" s="48" t="str">
        <f t="shared" si="0"/>
        <v>5501041</v>
      </c>
      <c r="D31" s="42">
        <f t="shared" si="1"/>
        <v>2</v>
      </c>
      <c r="E31" s="42"/>
      <c r="F31" s="36" t="s">
        <v>174</v>
      </c>
      <c r="G31" s="36">
        <f t="shared" si="8"/>
        <v>1</v>
      </c>
      <c r="H31" s="36">
        <f>IFERROR(IF(--MID($F31,2*COUNTIF($G31:G31,"&gt;"&amp;0)+2,1)=H$1,H$1,""),"")</f>
        <v>2</v>
      </c>
      <c r="I31" s="36">
        <f>IFERROR(IF(--MID($F31,2*COUNTIF($G31:H31,"&gt;"&amp;0)+2,1)=I$1,I$1,""),"")</f>
        <v>3</v>
      </c>
      <c r="J31" s="36">
        <f>IFERROR(IF(--MID($F31,2*COUNTIF($G31:I31,"&gt;"&amp;0)+2,1)=J$1,J$1,""),"")</f>
        <v>4</v>
      </c>
      <c r="K31" s="36">
        <f>IFERROR(IF(--MID($F31,2*COUNTIF($G31:J31,"&gt;"&amp;0)+2,1)=K$1,K$1,""),"")</f>
        <v>5</v>
      </c>
      <c r="L31" s="36">
        <f>IFERROR(IF(--MID($F31,2*COUNTIF($G31:K31,"&gt;"&amp;0)+2,1)=L$1,L$1,""),"")</f>
        <v>6</v>
      </c>
      <c r="M31" s="51" cm="1">
        <f t="array" ref="M31">IF($A31="","",IF(G31="","",_xlfn.XLOOKUP($D31&amp;"_"&amp;$AE31,符文权重!$A:$A&amp;"_"&amp;符文权重!$C:$C,符文权重!$D:$D)*$Y31/SUMIFS($Y:$Y,G:G,G31,$D:$D,$D31,$AE:$AE,$AE31)/SUMIF(符文权重!$A:$A,$D31,符文权重!$D:$D)))</f>
        <v>0.0363636363636364</v>
      </c>
      <c r="N31" s="51" cm="1">
        <f t="array" ref="N31">IF($A31="","",IF(H31="","",_xlfn.XLOOKUP($D31&amp;"_"&amp;$AE31,符文权重!$A:$A&amp;"_"&amp;符文权重!$C:$C,符文权重!$D:$D)*$Y31/SUMIFS($Y:$Y,H:H,H31,$D:$D,$D31,$AE:$AE,$AE31)/SUMIF(符文权重!$A:$A,$D31,符文权重!$D:$D)))</f>
        <v>0.0363636363636364</v>
      </c>
      <c r="O31" s="51" cm="1">
        <f t="array" ref="O31">IF($A31="","",IF(I31="","",_xlfn.XLOOKUP($D31&amp;"_"&amp;$AE31,符文权重!$A:$A&amp;"_"&amp;符文权重!$C:$C,符文权重!$D:$D)*$Y31/SUMIFS($Y:$Y,I:I,I31,$D:$D,$D31,$AE:$AE,$AE31)/SUMIF(符文权重!$A:$A,$D31,符文权重!$D:$D)))</f>
        <v>0.0363636363636364</v>
      </c>
      <c r="P31" s="51" cm="1">
        <f t="array" ref="P31">IF($A31="","",IF(J31="","",_xlfn.XLOOKUP($D31&amp;"_"&amp;$AE31,符文权重!$A:$A&amp;"_"&amp;符文权重!$C:$C,符文权重!$D:$D)*$Y31/SUMIFS($Y:$Y,J:J,J31,$D:$D,$D31,$AE:$AE,$AE31)/SUMIF(符文权重!$A:$A,$D31,符文权重!$D:$D)))</f>
        <v>0.0363636363636364</v>
      </c>
      <c r="Q31" s="51" cm="1">
        <f t="array" ref="Q31">IF($A31="","",IF(K31="","",_xlfn.XLOOKUP($D31&amp;"_"&amp;$AE31,符文权重!$A:$A&amp;"_"&amp;符文权重!$C:$C,符文权重!$D:$D)*$Y31/SUMIFS($Y:$Y,K:K,K31,$D:$D,$D31,$AE:$AE,$AE31)/SUMIF(符文权重!$A:$A,$D31,符文权重!$D:$D)))</f>
        <v>0.0363636363636364</v>
      </c>
      <c r="R31" s="51" cm="1">
        <f t="array" ref="R31">IF($A31="","",IF(L31="","",_xlfn.XLOOKUP($D31&amp;"_"&amp;$AE31,符文权重!$A:$A&amp;"_"&amp;符文权重!$C:$C,符文权重!$D:$D)*$Y31/SUMIFS($Y:$Y,L:L,L31,$D:$D,$D31,$AE:$AE,$AE31)/SUMIF(符文权重!$A:$A,$D31,符文权重!$D:$D)))</f>
        <v>0.0363636363636364</v>
      </c>
      <c r="S31" s="36" t="s">
        <v>192</v>
      </c>
      <c r="T31" s="36" t="s">
        <v>211</v>
      </c>
      <c r="U31" s="36" t="e">
        <f>IF(C31="","",SUBSTITUTE(SUBSTITUTE("[{global_atk,"&amp;#REF!*D31&amp;"}]",21,20),9,8))</f>
        <v>#REF!</v>
      </c>
      <c r="V31" s="52" t="str">
        <f t="shared" si="15"/>
        <v>[5501042]</v>
      </c>
      <c r="W31" s="36" t="s">
        <v>214</v>
      </c>
      <c r="X31" s="35"/>
      <c r="Y31" s="42">
        <v>100</v>
      </c>
      <c r="Z31" s="35"/>
      <c r="AA31" s="42" t="s">
        <v>181</v>
      </c>
      <c r="AB31" s="42" t="str">
        <f t="shared" si="3"/>
        <v>法师职业攻击力&lt;color=#54b76b&gt;+40&lt;/color&gt;</v>
      </c>
      <c r="AC31" s="48" t="str">
        <f t="shared" si="4"/>
        <v>5501041</v>
      </c>
      <c r="AD31" s="42" t="str">
        <f t="shared" si="5"/>
        <v>[40]</v>
      </c>
      <c r="AE31" s="36">
        <v>1</v>
      </c>
      <c r="AF31" s="36"/>
      <c r="AG31" s="36">
        <v>0</v>
      </c>
      <c r="AH31" s="35" t="s">
        <v>178</v>
      </c>
      <c r="AI31" s="48">
        <f t="shared" ref="AI31:AI36" si="16">AI30+1</f>
        <v>5501042</v>
      </c>
      <c r="AJ31" s="53" t="str">
        <f t="shared" ref="AJ31:AJ36" si="17">AJ30</f>
        <v>法师职业攻击力&lt;color=#54b76b&gt;+%s&lt;/color&gt;</v>
      </c>
      <c r="AK31" s="35">
        <v>40</v>
      </c>
      <c r="AL31" s="36">
        <v>1</v>
      </c>
    </row>
    <row r="32" s="25" customFormat="1" hidden="1" customHeight="1" spans="1:38">
      <c r="A32" s="48">
        <v>5501043</v>
      </c>
      <c r="B32" s="42"/>
      <c r="C32" s="48" t="str">
        <f t="shared" si="0"/>
        <v>5501041</v>
      </c>
      <c r="D32" s="42">
        <f t="shared" si="1"/>
        <v>3</v>
      </c>
      <c r="E32" s="42"/>
      <c r="F32" s="36" t="s">
        <v>174</v>
      </c>
      <c r="G32" s="36">
        <f t="shared" si="8"/>
        <v>1</v>
      </c>
      <c r="H32" s="36">
        <f>IFERROR(IF(--MID($F32,2*COUNTIF($G32:G32,"&gt;"&amp;0)+2,1)=H$1,H$1,""),"")</f>
        <v>2</v>
      </c>
      <c r="I32" s="36">
        <f>IFERROR(IF(--MID($F32,2*COUNTIF($G32:H32,"&gt;"&amp;0)+2,1)=I$1,I$1,""),"")</f>
        <v>3</v>
      </c>
      <c r="J32" s="36">
        <f>IFERROR(IF(--MID($F32,2*COUNTIF($G32:I32,"&gt;"&amp;0)+2,1)=J$1,J$1,""),"")</f>
        <v>4</v>
      </c>
      <c r="K32" s="36">
        <f>IFERROR(IF(--MID($F32,2*COUNTIF($G32:J32,"&gt;"&amp;0)+2,1)=K$1,K$1,""),"")</f>
        <v>5</v>
      </c>
      <c r="L32" s="36">
        <f>IFERROR(IF(--MID($F32,2*COUNTIF($G32:K32,"&gt;"&amp;0)+2,1)=L$1,L$1,""),"")</f>
        <v>6</v>
      </c>
      <c r="M32" s="51" cm="1">
        <f t="array" ref="M32">IF($A32="","",IF(G32="","",_xlfn.XLOOKUP($D32&amp;"_"&amp;$AE32,符文权重!$A:$A&amp;"_"&amp;符文权重!$C:$C,符文权重!$D:$D)*$Y32/SUMIFS($Y:$Y,G:G,G32,$D:$D,$D32,$AE:$AE,$AE32)/SUMIF(符文权重!$A:$A,$D32,符文权重!$D:$D)))</f>
        <v>0.035</v>
      </c>
      <c r="N32" s="51" cm="1">
        <f t="array" ref="N32">IF($A32="","",IF(H32="","",_xlfn.XLOOKUP($D32&amp;"_"&amp;$AE32,符文权重!$A:$A&amp;"_"&amp;符文权重!$C:$C,符文权重!$D:$D)*$Y32/SUMIFS($Y:$Y,H:H,H32,$D:$D,$D32,$AE:$AE,$AE32)/SUMIF(符文权重!$A:$A,$D32,符文权重!$D:$D)))</f>
        <v>0.035</v>
      </c>
      <c r="O32" s="51" cm="1">
        <f t="array" ref="O32">IF($A32="","",IF(I32="","",_xlfn.XLOOKUP($D32&amp;"_"&amp;$AE32,符文权重!$A:$A&amp;"_"&amp;符文权重!$C:$C,符文权重!$D:$D)*$Y32/SUMIFS($Y:$Y,I:I,I32,$D:$D,$D32,$AE:$AE,$AE32)/SUMIF(符文权重!$A:$A,$D32,符文权重!$D:$D)))</f>
        <v>0.035</v>
      </c>
      <c r="P32" s="51" cm="1">
        <f t="array" ref="P32">IF($A32="","",IF(J32="","",_xlfn.XLOOKUP($D32&amp;"_"&amp;$AE32,符文权重!$A:$A&amp;"_"&amp;符文权重!$C:$C,符文权重!$D:$D)*$Y32/SUMIFS($Y:$Y,J:J,J32,$D:$D,$D32,$AE:$AE,$AE32)/SUMIF(符文权重!$A:$A,$D32,符文权重!$D:$D)))</f>
        <v>0.035</v>
      </c>
      <c r="Q32" s="51" cm="1">
        <f t="array" ref="Q32">IF($A32="","",IF(K32="","",_xlfn.XLOOKUP($D32&amp;"_"&amp;$AE32,符文权重!$A:$A&amp;"_"&amp;符文权重!$C:$C,符文权重!$D:$D)*$Y32/SUMIFS($Y:$Y,K:K,K32,$D:$D,$D32,$AE:$AE,$AE32)/SUMIF(符文权重!$A:$A,$D32,符文权重!$D:$D)))</f>
        <v>0.035</v>
      </c>
      <c r="R32" s="51" cm="1">
        <f t="array" ref="R32">IF($A32="","",IF(L32="","",_xlfn.XLOOKUP($D32&amp;"_"&amp;$AE32,符文权重!$A:$A&amp;"_"&amp;符文权重!$C:$C,符文权重!$D:$D)*$Y32/SUMIFS($Y:$Y,L:L,L32,$D:$D,$D32,$AE:$AE,$AE32)/SUMIF(符文权重!$A:$A,$D32,符文权重!$D:$D)))</f>
        <v>0.035</v>
      </c>
      <c r="S32" s="36" t="s">
        <v>192</v>
      </c>
      <c r="T32" s="36" t="s">
        <v>211</v>
      </c>
      <c r="U32" s="36" t="e">
        <f>IF(C32="","",SUBSTITUTE(SUBSTITUTE("[{global_atk,"&amp;#REF!*D32&amp;"}]",21,20),9,8))</f>
        <v>#REF!</v>
      </c>
      <c r="V32" s="52" t="str">
        <f t="shared" si="15"/>
        <v>[5501043]</v>
      </c>
      <c r="W32" s="36" t="s">
        <v>215</v>
      </c>
      <c r="X32" s="35"/>
      <c r="Y32" s="42">
        <v>100</v>
      </c>
      <c r="Z32" s="35"/>
      <c r="AA32" s="42" t="s">
        <v>183</v>
      </c>
      <c r="AB32" s="42" t="str">
        <f t="shared" si="3"/>
        <v>法师职业攻击力&lt;color=#54b76b&gt;+50&lt;/color&gt;</v>
      </c>
      <c r="AC32" s="48" t="str">
        <f t="shared" si="4"/>
        <v>5501041</v>
      </c>
      <c r="AD32" s="42" t="str">
        <f t="shared" si="5"/>
        <v>[50]</v>
      </c>
      <c r="AE32" s="36">
        <v>1</v>
      </c>
      <c r="AF32" s="36"/>
      <c r="AG32" s="36">
        <v>0</v>
      </c>
      <c r="AH32" s="35" t="s">
        <v>178</v>
      </c>
      <c r="AI32" s="48">
        <f t="shared" si="16"/>
        <v>5501043</v>
      </c>
      <c r="AJ32" s="53" t="str">
        <f t="shared" si="17"/>
        <v>法师职业攻击力&lt;color=#54b76b&gt;+%s&lt;/color&gt;</v>
      </c>
      <c r="AK32" s="35">
        <v>50</v>
      </c>
      <c r="AL32" s="36">
        <v>1</v>
      </c>
    </row>
    <row r="33" s="25" customFormat="1" hidden="1" customHeight="1" spans="1:38">
      <c r="A33" s="48">
        <v>5501044</v>
      </c>
      <c r="B33" s="42"/>
      <c r="C33" s="48" t="str">
        <f t="shared" si="0"/>
        <v>5501041</v>
      </c>
      <c r="D33" s="42">
        <f t="shared" si="1"/>
        <v>4</v>
      </c>
      <c r="E33" s="42"/>
      <c r="F33" s="36" t="s">
        <v>174</v>
      </c>
      <c r="G33" s="36">
        <f t="shared" si="8"/>
        <v>1</v>
      </c>
      <c r="H33" s="36">
        <f>IFERROR(IF(--MID($F33,2*COUNTIF($G33:G33,"&gt;"&amp;0)+2,1)=H$1,H$1,""),"")</f>
        <v>2</v>
      </c>
      <c r="I33" s="36">
        <f>IFERROR(IF(--MID($F33,2*COUNTIF($G33:H33,"&gt;"&amp;0)+2,1)=I$1,I$1,""),"")</f>
        <v>3</v>
      </c>
      <c r="J33" s="36">
        <f>IFERROR(IF(--MID($F33,2*COUNTIF($G33:I33,"&gt;"&amp;0)+2,1)=J$1,J$1,""),"")</f>
        <v>4</v>
      </c>
      <c r="K33" s="36">
        <f>IFERROR(IF(--MID($F33,2*COUNTIF($G33:J33,"&gt;"&amp;0)+2,1)=K$1,K$1,""),"")</f>
        <v>5</v>
      </c>
      <c r="L33" s="36">
        <f>IFERROR(IF(--MID($F33,2*COUNTIF($G33:K33,"&gt;"&amp;0)+2,1)=L$1,L$1,""),"")</f>
        <v>6</v>
      </c>
      <c r="M33" s="51" cm="1">
        <f t="array" ref="M33">IF($A33="","",IF(G33="","",_xlfn.XLOOKUP($D33&amp;"_"&amp;$AE33,符文权重!$A:$A&amp;"_"&amp;符文权重!$C:$C,符文权重!$D:$D)*$Y33/SUMIFS($Y:$Y,G:G,G33,$D:$D,$D33,$AE:$AE,$AE33)/SUMIF(符文权重!$A:$A,$D33,符文权重!$D:$D)))</f>
        <v>0.0229365529511942</v>
      </c>
      <c r="N33" s="51" cm="1">
        <f t="array" ref="N33">IF($A33="","",IF(H33="","",_xlfn.XLOOKUP($D33&amp;"_"&amp;$AE33,符文权重!$A:$A&amp;"_"&amp;符文权重!$C:$C,符文权重!$D:$D)*$Y33/SUMIFS($Y:$Y,H:H,H33,$D:$D,$D33,$AE:$AE,$AE33)/SUMIF(符文权重!$A:$A,$D33,符文权重!$D:$D)))</f>
        <v>0.0229365529511942</v>
      </c>
      <c r="O33" s="51" cm="1">
        <f t="array" ref="O33">IF($A33="","",IF(I33="","",_xlfn.XLOOKUP($D33&amp;"_"&amp;$AE33,符文权重!$A:$A&amp;"_"&amp;符文权重!$C:$C,符文权重!$D:$D)*$Y33/SUMIFS($Y:$Y,I:I,I33,$D:$D,$D33,$AE:$AE,$AE33)/SUMIF(符文权重!$A:$A,$D33,符文权重!$D:$D)))</f>
        <v>0.0229365529511942</v>
      </c>
      <c r="P33" s="51" cm="1">
        <f t="array" ref="P33">IF($A33="","",IF(J33="","",_xlfn.XLOOKUP($D33&amp;"_"&amp;$AE33,符文权重!$A:$A&amp;"_"&amp;符文权重!$C:$C,符文权重!$D:$D)*$Y33/SUMIFS($Y:$Y,J:J,J33,$D:$D,$D33,$AE:$AE,$AE33)/SUMIF(符文权重!$A:$A,$D33,符文权重!$D:$D)))</f>
        <v>0.0229365529511942</v>
      </c>
      <c r="Q33" s="51" cm="1">
        <f t="array" ref="Q33">IF($A33="","",IF(K33="","",_xlfn.XLOOKUP($D33&amp;"_"&amp;$AE33,符文权重!$A:$A&amp;"_"&amp;符文权重!$C:$C,符文权重!$D:$D)*$Y33/SUMIFS($Y:$Y,K:K,K33,$D:$D,$D33,$AE:$AE,$AE33)/SUMIF(符文权重!$A:$A,$D33,符文权重!$D:$D)))</f>
        <v>0.0229365529511942</v>
      </c>
      <c r="R33" s="51" cm="1">
        <f t="array" ref="R33">IF($A33="","",IF(L33="","",_xlfn.XLOOKUP($D33&amp;"_"&amp;$AE33,符文权重!$A:$A&amp;"_"&amp;符文权重!$C:$C,符文权重!$D:$D)*$Y33/SUMIFS($Y:$Y,L:L,L33,$D:$D,$D33,$AE:$AE,$AE33)/SUMIF(符文权重!$A:$A,$D33,符文权重!$D:$D)))</f>
        <v>0.0229365529511942</v>
      </c>
      <c r="S33" s="36" t="s">
        <v>192</v>
      </c>
      <c r="T33" s="36" t="s">
        <v>211</v>
      </c>
      <c r="U33" s="36" t="e">
        <f>IF(C33="","",SUBSTITUTE(SUBSTITUTE("[{global_atk,"&amp;#REF!*D33&amp;"}]",21,20),9,8))</f>
        <v>#REF!</v>
      </c>
      <c r="V33" s="52" t="str">
        <f t="shared" si="15"/>
        <v>[5501044]</v>
      </c>
      <c r="W33" s="36" t="s">
        <v>216</v>
      </c>
      <c r="X33" s="35"/>
      <c r="Y33" s="42">
        <v>100</v>
      </c>
      <c r="Z33" s="35"/>
      <c r="AA33" s="42" t="s">
        <v>185</v>
      </c>
      <c r="AB33" s="42" t="str">
        <f t="shared" si="3"/>
        <v>法师职业攻击力&lt;color=#54b76b&gt;+75&lt;/color&gt;</v>
      </c>
      <c r="AC33" s="48" t="str">
        <f t="shared" si="4"/>
        <v>5501041</v>
      </c>
      <c r="AD33" s="42" t="str">
        <f t="shared" si="5"/>
        <v>[75]</v>
      </c>
      <c r="AE33" s="36">
        <v>1</v>
      </c>
      <c r="AF33" s="36"/>
      <c r="AG33" s="36">
        <v>0</v>
      </c>
      <c r="AH33" s="35" t="s">
        <v>178</v>
      </c>
      <c r="AI33" s="48">
        <f t="shared" si="16"/>
        <v>5501044</v>
      </c>
      <c r="AJ33" s="53" t="str">
        <f t="shared" si="17"/>
        <v>法师职业攻击力&lt;color=#54b76b&gt;+%s&lt;/color&gt;</v>
      </c>
      <c r="AK33" s="35">
        <v>75</v>
      </c>
      <c r="AL33" s="36">
        <v>1</v>
      </c>
    </row>
    <row r="34" s="25" customFormat="1" hidden="1" customHeight="1" spans="1:38">
      <c r="A34" s="48">
        <v>5501045</v>
      </c>
      <c r="B34" s="42"/>
      <c r="C34" s="48" t="str">
        <f t="shared" si="0"/>
        <v>5501041</v>
      </c>
      <c r="D34" s="42">
        <f t="shared" si="1"/>
        <v>5</v>
      </c>
      <c r="E34" s="42"/>
      <c r="F34" s="36" t="s">
        <v>174</v>
      </c>
      <c r="G34" s="36">
        <f t="shared" si="8"/>
        <v>1</v>
      </c>
      <c r="H34" s="36">
        <f>IFERROR(IF(--MID($F34,2*COUNTIF($G34:G34,"&gt;"&amp;0)+2,1)=H$1,H$1,""),"")</f>
        <v>2</v>
      </c>
      <c r="I34" s="36">
        <f>IFERROR(IF(--MID($F34,2*COUNTIF($G34:H34,"&gt;"&amp;0)+2,1)=I$1,I$1,""),"")</f>
        <v>3</v>
      </c>
      <c r="J34" s="36">
        <f>IFERROR(IF(--MID($F34,2*COUNTIF($G34:I34,"&gt;"&amp;0)+2,1)=J$1,J$1,""),"")</f>
        <v>4</v>
      </c>
      <c r="K34" s="36">
        <f>IFERROR(IF(--MID($F34,2*COUNTIF($G34:J34,"&gt;"&amp;0)+2,1)=K$1,K$1,""),"")</f>
        <v>5</v>
      </c>
      <c r="L34" s="36">
        <f>IFERROR(IF(--MID($F34,2*COUNTIF($G34:K34,"&gt;"&amp;0)+2,1)=L$1,L$1,""),"")</f>
        <v>6</v>
      </c>
      <c r="M34" s="51" cm="1">
        <f t="array" ref="M34">IF($A34="","",IF(G34="","",_xlfn.XLOOKUP($D34&amp;"_"&amp;$AE34,符文权重!$A:$A&amp;"_"&amp;符文权重!$C:$C,符文权重!$D:$D)*$Y34/SUMIFS($Y:$Y,G:G,G34,$D:$D,$D34,$AE:$AE,$AE34)/SUMIF(符文权重!$A:$A,$D34,符文权重!$D:$D)))</f>
        <v>0.0204</v>
      </c>
      <c r="N34" s="51" cm="1">
        <f t="array" ref="N34">IF($A34="","",IF(H34="","",_xlfn.XLOOKUP($D34&amp;"_"&amp;$AE34,符文权重!$A:$A&amp;"_"&amp;符文权重!$C:$C,符文权重!$D:$D)*$Y34/SUMIFS($Y:$Y,H:H,H34,$D:$D,$D34,$AE:$AE,$AE34)/SUMIF(符文权重!$A:$A,$D34,符文权重!$D:$D)))</f>
        <v>0.0204</v>
      </c>
      <c r="O34" s="51" cm="1">
        <f t="array" ref="O34">IF($A34="","",IF(I34="","",_xlfn.XLOOKUP($D34&amp;"_"&amp;$AE34,符文权重!$A:$A&amp;"_"&amp;符文权重!$C:$C,符文权重!$D:$D)*$Y34/SUMIFS($Y:$Y,I:I,I34,$D:$D,$D34,$AE:$AE,$AE34)/SUMIF(符文权重!$A:$A,$D34,符文权重!$D:$D)))</f>
        <v>0.0204</v>
      </c>
      <c r="P34" s="51" cm="1">
        <f t="array" ref="P34">IF($A34="","",IF(J34="","",_xlfn.XLOOKUP($D34&amp;"_"&amp;$AE34,符文权重!$A:$A&amp;"_"&amp;符文权重!$C:$C,符文权重!$D:$D)*$Y34/SUMIFS($Y:$Y,J:J,J34,$D:$D,$D34,$AE:$AE,$AE34)/SUMIF(符文权重!$A:$A,$D34,符文权重!$D:$D)))</f>
        <v>0.0204</v>
      </c>
      <c r="Q34" s="51" cm="1">
        <f t="array" ref="Q34">IF($A34="","",IF(K34="","",_xlfn.XLOOKUP($D34&amp;"_"&amp;$AE34,符文权重!$A:$A&amp;"_"&amp;符文权重!$C:$C,符文权重!$D:$D)*$Y34/SUMIFS($Y:$Y,K:K,K34,$D:$D,$D34,$AE:$AE,$AE34)/SUMIF(符文权重!$A:$A,$D34,符文权重!$D:$D)))</f>
        <v>0.0204</v>
      </c>
      <c r="R34" s="51" cm="1">
        <f t="array" ref="R34">IF($A34="","",IF(L34="","",_xlfn.XLOOKUP($D34&amp;"_"&amp;$AE34,符文权重!$A:$A&amp;"_"&amp;符文权重!$C:$C,符文权重!$D:$D)*$Y34/SUMIFS($Y:$Y,L:L,L34,$D:$D,$D34,$AE:$AE,$AE34)/SUMIF(符文权重!$A:$A,$D34,符文权重!$D:$D)))</f>
        <v>0.0204</v>
      </c>
      <c r="S34" s="36" t="s">
        <v>192</v>
      </c>
      <c r="T34" s="36" t="s">
        <v>211</v>
      </c>
      <c r="U34" s="36" t="e">
        <f>IF(C34="","",SUBSTITUTE(SUBSTITUTE("[{global_atk,"&amp;#REF!*D34&amp;"}]",21,20),9,8))</f>
        <v>#REF!</v>
      </c>
      <c r="V34" s="52" t="str">
        <f t="shared" si="15"/>
        <v>[5501045]</v>
      </c>
      <c r="W34" s="36" t="s">
        <v>217</v>
      </c>
      <c r="X34" s="35"/>
      <c r="Y34" s="42">
        <v>100</v>
      </c>
      <c r="Z34" s="35"/>
      <c r="AA34" s="42" t="s">
        <v>187</v>
      </c>
      <c r="AB34" s="42" t="str">
        <f t="shared" si="3"/>
        <v>法师职业攻击力&lt;color=#54b76b&gt;+96&lt;/color&gt;</v>
      </c>
      <c r="AC34" s="48" t="str">
        <f t="shared" si="4"/>
        <v>5501041</v>
      </c>
      <c r="AD34" s="42" t="str">
        <f t="shared" si="5"/>
        <v>[96]</v>
      </c>
      <c r="AE34" s="36">
        <v>1</v>
      </c>
      <c r="AF34" s="36"/>
      <c r="AG34" s="36">
        <v>0</v>
      </c>
      <c r="AH34" s="35" t="s">
        <v>178</v>
      </c>
      <c r="AI34" s="48">
        <f t="shared" si="16"/>
        <v>5501045</v>
      </c>
      <c r="AJ34" s="53" t="str">
        <f t="shared" si="17"/>
        <v>法师职业攻击力&lt;color=#54b76b&gt;+%s&lt;/color&gt;</v>
      </c>
      <c r="AK34" s="35">
        <v>96</v>
      </c>
      <c r="AL34" s="36">
        <v>1</v>
      </c>
    </row>
    <row r="35" s="25" customFormat="1" hidden="1" customHeight="1" spans="1:38">
      <c r="A35" s="48">
        <v>5501046</v>
      </c>
      <c r="B35" s="42"/>
      <c r="C35" s="48" t="str">
        <f t="shared" si="0"/>
        <v>5501041</v>
      </c>
      <c r="D35" s="42">
        <f t="shared" si="1"/>
        <v>6</v>
      </c>
      <c r="E35" s="42"/>
      <c r="F35" s="36" t="s">
        <v>174</v>
      </c>
      <c r="G35" s="36">
        <f t="shared" si="8"/>
        <v>1</v>
      </c>
      <c r="H35" s="36">
        <f>IFERROR(IF(--MID($F35,2*COUNTIF($G35:G35,"&gt;"&amp;0)+2,1)=H$1,H$1,""),"")</f>
        <v>2</v>
      </c>
      <c r="I35" s="36">
        <f>IFERROR(IF(--MID($F35,2*COUNTIF($G35:H35,"&gt;"&amp;0)+2,1)=I$1,I$1,""),"")</f>
        <v>3</v>
      </c>
      <c r="J35" s="36">
        <f>IFERROR(IF(--MID($F35,2*COUNTIF($G35:I35,"&gt;"&amp;0)+2,1)=J$1,J$1,""),"")</f>
        <v>4</v>
      </c>
      <c r="K35" s="36">
        <f>IFERROR(IF(--MID($F35,2*COUNTIF($G35:J35,"&gt;"&amp;0)+2,1)=K$1,K$1,""),"")</f>
        <v>5</v>
      </c>
      <c r="L35" s="36">
        <f>IFERROR(IF(--MID($F35,2*COUNTIF($G35:K35,"&gt;"&amp;0)+2,1)=L$1,L$1,""),"")</f>
        <v>6</v>
      </c>
      <c r="M35" s="51" cm="1">
        <f t="array" ref="M35">IF($A35="","",IF(G35="","",_xlfn.XLOOKUP($D35&amp;"_"&amp;$AE35,符文权重!$A:$A&amp;"_"&amp;符文权重!$C:$C,符文权重!$D:$D)*$Y35/SUMIFS($Y:$Y,G:G,G35,$D:$D,$D35,$AE:$AE,$AE35)/SUMIF(符文权重!$A:$A,$D35,符文权重!$D:$D)))</f>
        <v>0.0204</v>
      </c>
      <c r="N35" s="51" cm="1">
        <f t="array" ref="N35">IF($A35="","",IF(H35="","",_xlfn.XLOOKUP($D35&amp;"_"&amp;$AE35,符文权重!$A:$A&amp;"_"&amp;符文权重!$C:$C,符文权重!$D:$D)*$Y35/SUMIFS($Y:$Y,H:H,H35,$D:$D,$D35,$AE:$AE,$AE35)/SUMIF(符文权重!$A:$A,$D35,符文权重!$D:$D)))</f>
        <v>0.0204</v>
      </c>
      <c r="O35" s="51" cm="1">
        <f t="array" ref="O35">IF($A35="","",IF(I35="","",_xlfn.XLOOKUP($D35&amp;"_"&amp;$AE35,符文权重!$A:$A&amp;"_"&amp;符文权重!$C:$C,符文权重!$D:$D)*$Y35/SUMIFS($Y:$Y,I:I,I35,$D:$D,$D35,$AE:$AE,$AE35)/SUMIF(符文权重!$A:$A,$D35,符文权重!$D:$D)))</f>
        <v>0.0204</v>
      </c>
      <c r="P35" s="51" cm="1">
        <f t="array" ref="P35">IF($A35="","",IF(J35="","",_xlfn.XLOOKUP($D35&amp;"_"&amp;$AE35,符文权重!$A:$A&amp;"_"&amp;符文权重!$C:$C,符文权重!$D:$D)*$Y35/SUMIFS($Y:$Y,J:J,J35,$D:$D,$D35,$AE:$AE,$AE35)/SUMIF(符文权重!$A:$A,$D35,符文权重!$D:$D)))</f>
        <v>0.0204</v>
      </c>
      <c r="Q35" s="51" cm="1">
        <f t="array" ref="Q35">IF($A35="","",IF(K35="","",_xlfn.XLOOKUP($D35&amp;"_"&amp;$AE35,符文权重!$A:$A&amp;"_"&amp;符文权重!$C:$C,符文权重!$D:$D)*$Y35/SUMIFS($Y:$Y,K:K,K35,$D:$D,$D35,$AE:$AE,$AE35)/SUMIF(符文权重!$A:$A,$D35,符文权重!$D:$D)))</f>
        <v>0.0204</v>
      </c>
      <c r="R35" s="51" cm="1">
        <f t="array" ref="R35">IF($A35="","",IF(L35="","",_xlfn.XLOOKUP($D35&amp;"_"&amp;$AE35,符文权重!$A:$A&amp;"_"&amp;符文权重!$C:$C,符文权重!$D:$D)*$Y35/SUMIFS($Y:$Y,L:L,L35,$D:$D,$D35,$AE:$AE,$AE35)/SUMIF(符文权重!$A:$A,$D35,符文权重!$D:$D)))</f>
        <v>0.0204</v>
      </c>
      <c r="S35" s="36" t="s">
        <v>192</v>
      </c>
      <c r="T35" s="36" t="s">
        <v>211</v>
      </c>
      <c r="U35" s="36" t="e">
        <f>IF(C35="","",SUBSTITUTE(SUBSTITUTE("[{global_atk,"&amp;#REF!*D35&amp;"}]",21,20),9,8))</f>
        <v>#REF!</v>
      </c>
      <c r="V35" s="52" t="str">
        <f t="shared" si="15"/>
        <v>[5501046]</v>
      </c>
      <c r="W35" s="36" t="s">
        <v>218</v>
      </c>
      <c r="X35" s="35"/>
      <c r="Y35" s="42">
        <v>100</v>
      </c>
      <c r="Z35" s="35"/>
      <c r="AA35" s="42" t="s">
        <v>189</v>
      </c>
      <c r="AB35" s="42" t="str">
        <f t="shared" si="3"/>
        <v>法师职业攻击力&lt;color=#54b76b&gt;+120&lt;/color&gt;</v>
      </c>
      <c r="AC35" s="48" t="str">
        <f t="shared" si="4"/>
        <v>5501041</v>
      </c>
      <c r="AD35" s="42" t="str">
        <f t="shared" si="5"/>
        <v>[120]</v>
      </c>
      <c r="AE35" s="36">
        <v>1</v>
      </c>
      <c r="AF35" s="36"/>
      <c r="AG35" s="36">
        <v>0</v>
      </c>
      <c r="AH35" s="35" t="s">
        <v>178</v>
      </c>
      <c r="AI35" s="48">
        <f t="shared" si="16"/>
        <v>5501046</v>
      </c>
      <c r="AJ35" s="53" t="str">
        <f t="shared" si="17"/>
        <v>法师职业攻击力&lt;color=#54b76b&gt;+%s&lt;/color&gt;</v>
      </c>
      <c r="AK35" s="35">
        <v>120</v>
      </c>
      <c r="AL35" s="36">
        <v>1</v>
      </c>
    </row>
    <row r="36" s="25" customFormat="1" hidden="1" customHeight="1" spans="1:38">
      <c r="A36" s="48">
        <v>5501047</v>
      </c>
      <c r="B36" s="42"/>
      <c r="C36" s="48" t="str">
        <f t="shared" si="0"/>
        <v>5501041</v>
      </c>
      <c r="D36" s="42">
        <f t="shared" si="1"/>
        <v>7</v>
      </c>
      <c r="E36" s="42"/>
      <c r="F36" s="36" t="s">
        <v>174</v>
      </c>
      <c r="G36" s="36">
        <f t="shared" si="8"/>
        <v>1</v>
      </c>
      <c r="H36" s="36">
        <f>IFERROR(IF(--MID($F36,2*COUNTIF($G36:G36,"&gt;"&amp;0)+2,1)=H$1,H$1,""),"")</f>
        <v>2</v>
      </c>
      <c r="I36" s="36">
        <f>IFERROR(IF(--MID($F36,2*COUNTIF($G36:H36,"&gt;"&amp;0)+2,1)=I$1,I$1,""),"")</f>
        <v>3</v>
      </c>
      <c r="J36" s="36">
        <f>IFERROR(IF(--MID($F36,2*COUNTIF($G36:I36,"&gt;"&amp;0)+2,1)=J$1,J$1,""),"")</f>
        <v>4</v>
      </c>
      <c r="K36" s="36">
        <f>IFERROR(IF(--MID($F36,2*COUNTIF($G36:J36,"&gt;"&amp;0)+2,1)=K$1,K$1,""),"")</f>
        <v>5</v>
      </c>
      <c r="L36" s="36">
        <f>IFERROR(IF(--MID($F36,2*COUNTIF($G36:K36,"&gt;"&amp;0)+2,1)=L$1,L$1,""),"")</f>
        <v>6</v>
      </c>
      <c r="M36" s="51" cm="1">
        <f t="array" ref="M36">IF($A36="","",IF(G36="","",_xlfn.XLOOKUP($D36&amp;"_"&amp;$AE36,符文权重!$A:$A&amp;"_"&amp;符文权重!$C:$C,符文权重!$D:$D)*$Y36/SUMIFS($Y:$Y,G:G,G36,$D:$D,$D36,$AE:$AE,$AE36)/SUMIF(符文权重!$A:$A,$D36,符文权重!$D:$D)))</f>
        <v>0.0204</v>
      </c>
      <c r="N36" s="51" cm="1">
        <f t="array" ref="N36">IF($A36="","",IF(H36="","",_xlfn.XLOOKUP($D36&amp;"_"&amp;$AE36,符文权重!$A:$A&amp;"_"&amp;符文权重!$C:$C,符文权重!$D:$D)*$Y36/SUMIFS($Y:$Y,H:H,H36,$D:$D,$D36,$AE:$AE,$AE36)/SUMIF(符文权重!$A:$A,$D36,符文权重!$D:$D)))</f>
        <v>0.0204</v>
      </c>
      <c r="O36" s="51" cm="1">
        <f t="array" ref="O36">IF($A36="","",IF(I36="","",_xlfn.XLOOKUP($D36&amp;"_"&amp;$AE36,符文权重!$A:$A&amp;"_"&amp;符文权重!$C:$C,符文权重!$D:$D)*$Y36/SUMIFS($Y:$Y,I:I,I36,$D:$D,$D36,$AE:$AE,$AE36)/SUMIF(符文权重!$A:$A,$D36,符文权重!$D:$D)))</f>
        <v>0.0204</v>
      </c>
      <c r="P36" s="51" cm="1">
        <f t="array" ref="P36">IF($A36="","",IF(J36="","",_xlfn.XLOOKUP($D36&amp;"_"&amp;$AE36,符文权重!$A:$A&amp;"_"&amp;符文权重!$C:$C,符文权重!$D:$D)*$Y36/SUMIFS($Y:$Y,J:J,J36,$D:$D,$D36,$AE:$AE,$AE36)/SUMIF(符文权重!$A:$A,$D36,符文权重!$D:$D)))</f>
        <v>0.0204</v>
      </c>
      <c r="Q36" s="51" cm="1">
        <f t="array" ref="Q36">IF($A36="","",IF(K36="","",_xlfn.XLOOKUP($D36&amp;"_"&amp;$AE36,符文权重!$A:$A&amp;"_"&amp;符文权重!$C:$C,符文权重!$D:$D)*$Y36/SUMIFS($Y:$Y,K:K,K36,$D:$D,$D36,$AE:$AE,$AE36)/SUMIF(符文权重!$A:$A,$D36,符文权重!$D:$D)))</f>
        <v>0.0204</v>
      </c>
      <c r="R36" s="51" cm="1">
        <f t="array" ref="R36">IF($A36="","",IF(L36="","",_xlfn.XLOOKUP($D36&amp;"_"&amp;$AE36,符文权重!$A:$A&amp;"_"&amp;符文权重!$C:$C,符文权重!$D:$D)*$Y36/SUMIFS($Y:$Y,L:L,L36,$D:$D,$D36,$AE:$AE,$AE36)/SUMIF(符文权重!$A:$A,$D36,符文权重!$D:$D)))</f>
        <v>0.0204</v>
      </c>
      <c r="S36" s="36" t="s">
        <v>192</v>
      </c>
      <c r="T36" s="36" t="s">
        <v>211</v>
      </c>
      <c r="U36" s="36" t="e">
        <f>IF(C36="","",SUBSTITUTE(SUBSTITUTE("[{global_atk,"&amp;#REF!*D36&amp;"}]",21,20),9,8))</f>
        <v>#REF!</v>
      </c>
      <c r="V36" s="52" t="str">
        <f t="shared" si="15"/>
        <v>[5501047]</v>
      </c>
      <c r="W36" s="36" t="s">
        <v>219</v>
      </c>
      <c r="X36" s="35"/>
      <c r="Y36" s="42">
        <v>100</v>
      </c>
      <c r="Z36" s="35"/>
      <c r="AA36" s="42" t="s">
        <v>191</v>
      </c>
      <c r="AB36" s="42" t="str">
        <f t="shared" si="3"/>
        <v>法师职业攻击力&lt;color=#54b76b&gt;+150&lt;/color&gt;</v>
      </c>
      <c r="AC36" s="48" t="str">
        <f t="shared" si="4"/>
        <v>5501041</v>
      </c>
      <c r="AD36" s="42" t="str">
        <f t="shared" si="5"/>
        <v>[150]</v>
      </c>
      <c r="AE36" s="36">
        <v>1</v>
      </c>
      <c r="AF36" s="36"/>
      <c r="AG36" s="36">
        <v>0</v>
      </c>
      <c r="AH36" s="35" t="s">
        <v>178</v>
      </c>
      <c r="AI36" s="48">
        <f t="shared" si="16"/>
        <v>5501047</v>
      </c>
      <c r="AJ36" s="53" t="str">
        <f t="shared" si="17"/>
        <v>法师职业攻击力&lt;color=#54b76b&gt;+%s&lt;/color&gt;</v>
      </c>
      <c r="AK36" s="35">
        <v>150</v>
      </c>
      <c r="AL36" s="36">
        <v>1</v>
      </c>
    </row>
    <row r="37" s="25" customFormat="1" hidden="1" customHeight="1" spans="1:38">
      <c r="A37" s="48" t="s">
        <v>178</v>
      </c>
      <c r="B37" s="34"/>
      <c r="C37" s="48" t="str">
        <f t="shared" si="0"/>
        <v/>
      </c>
      <c r="D37" s="42" t="str">
        <f t="shared" si="1"/>
        <v/>
      </c>
      <c r="E37" s="42"/>
      <c r="F37" s="36"/>
      <c r="G37" s="36" t="str">
        <f t="shared" si="8"/>
        <v/>
      </c>
      <c r="H37" s="36" t="str">
        <f>IFERROR(IF(--MID($F37,2*COUNTIF($G37:G37,"&gt;"&amp;0)+2,1)=H$1,H$1,""),"")</f>
        <v/>
      </c>
      <c r="I37" s="36" t="str">
        <f>IFERROR(IF(--MID($F37,2*COUNTIF($G37:H37,"&gt;"&amp;0)+2,1)=I$1,I$1,""),"")</f>
        <v/>
      </c>
      <c r="J37" s="36" t="str">
        <f>IFERROR(IF(--MID($F37,2*COUNTIF($G37:I37,"&gt;"&amp;0)+2,1)=J$1,J$1,""),"")</f>
        <v/>
      </c>
      <c r="K37" s="36" t="str">
        <f>IFERROR(IF(--MID($F37,2*COUNTIF($G37:J37,"&gt;"&amp;0)+2,1)=K$1,K$1,""),"")</f>
        <v/>
      </c>
      <c r="L37" s="36" t="str">
        <f>IFERROR(IF(--MID($F37,2*COUNTIF($G37:K37,"&gt;"&amp;0)+2,1)=L$1,L$1,""),"")</f>
        <v/>
      </c>
      <c r="M37" s="51" t="str" cm="1">
        <f t="array" ref="M37">IF($A37="","",IF(G37="","",_xlfn.XLOOKUP($D37&amp;"_"&amp;$AE37,符文权重!$A:$A&amp;"_"&amp;符文权重!$C:$C,符文权重!$D:$D)*$Y37/SUMIFS($Y:$Y,G:G,G37,$D:$D,$D37,$AE:$AE,$AE37)/SUMIF(符文权重!$A:$A,$D37,符文权重!$D:$D)))</f>
        <v/>
      </c>
      <c r="N37" s="36" t="str" cm="1">
        <f t="array" ref="N37">IF($A37="","",IF(H37="","",_xlfn.XLOOKUP($D37&amp;"_"&amp;$AE37,符文权重!$A:$A&amp;"_"&amp;符文权重!$C:$C,符文权重!$D:$D)*$Y37/SUMIFS($Y:$Y,H:H,H37,$D:$D,$D$6,$AE:$AE,$AE$6)))</f>
        <v/>
      </c>
      <c r="O37" s="36" t="str" cm="1">
        <f t="array" ref="O37">IF($A37="","",IF(I37="","",_xlfn.XLOOKUP($D37&amp;"_"&amp;$AE37,符文权重!$A:$A&amp;"_"&amp;符文权重!$C:$C,符文权重!$D:$D)*$Y37/SUMIFS($Y:$Y,I:I,I37,$D:$D,$D$6,$AE:$AE,$AE$6)))</f>
        <v/>
      </c>
      <c r="P37" s="36" t="str" cm="1">
        <f t="array" ref="P37">IF($A37="","",IF(J37="","",_xlfn.XLOOKUP($D37&amp;"_"&amp;$AE37,符文权重!$A:$A&amp;"_"&amp;符文权重!$C:$C,符文权重!$D:$D)*$Y37/SUMIFS($Y:$Y,J:J,J37,$D:$D,$D$6,$AE:$AE,$AE$6)))</f>
        <v/>
      </c>
      <c r="Q37" s="36" t="str" cm="1">
        <f t="array" ref="Q37">IF($A37="","",IF(K37="","",_xlfn.XLOOKUP($D37&amp;"_"&amp;$AE37,符文权重!$A:$A&amp;"_"&amp;符文权重!$C:$C,符文权重!$D:$D)*$Y37/SUMIFS($Y:$Y,K:K,K37,$D:$D,$D$6,$AE:$AE,$AE$6)))</f>
        <v/>
      </c>
      <c r="R37" s="36" t="str" cm="1">
        <f t="array" ref="R37">IF($A37="","",IF(L37="","",_xlfn.XLOOKUP($D37&amp;"_"&amp;$AE37,符文权重!$A:$A&amp;"_"&amp;符文权重!$C:$C,符文权重!$D:$D)*$Y37/SUMIFS($Y:$Y,L:L,L37,$D:$D,$D$6,$AE:$AE,$AE$6)))</f>
        <v/>
      </c>
      <c r="S37" s="36" t="s">
        <v>178</v>
      </c>
      <c r="T37" s="36" t="s">
        <v>178</v>
      </c>
      <c r="U37" s="36"/>
      <c r="V37" s="52"/>
      <c r="W37" s="36"/>
      <c r="X37" s="35"/>
      <c r="Y37" s="42"/>
      <c r="Z37" s="35"/>
      <c r="AA37" s="42" t="s">
        <v>178</v>
      </c>
      <c r="AB37" s="42" t="str">
        <f t="shared" si="3"/>
        <v/>
      </c>
      <c r="AC37" s="48" t="str">
        <f t="shared" si="4"/>
        <v/>
      </c>
      <c r="AD37" s="42" t="str">
        <f t="shared" si="5"/>
        <v/>
      </c>
      <c r="AE37" s="36"/>
      <c r="AF37" s="36"/>
      <c r="AG37" s="36"/>
      <c r="AH37" s="35" t="s">
        <v>178</v>
      </c>
      <c r="AI37" s="33"/>
      <c r="AJ37" s="55"/>
      <c r="AK37" s="35"/>
      <c r="AL37" s="36"/>
    </row>
    <row r="38" s="25" customFormat="1" hidden="1" customHeight="1" spans="1:38">
      <c r="A38" s="48">
        <v>5501051</v>
      </c>
      <c r="B38" s="50"/>
      <c r="C38" s="48" t="str">
        <f t="shared" si="0"/>
        <v>5501051</v>
      </c>
      <c r="D38" s="42">
        <f t="shared" si="1"/>
        <v>1</v>
      </c>
      <c r="E38" s="42"/>
      <c r="F38" s="36" t="s">
        <v>174</v>
      </c>
      <c r="G38" s="36">
        <f t="shared" si="8"/>
        <v>1</v>
      </c>
      <c r="H38" s="36">
        <f>IFERROR(IF(--MID($F38,2*COUNTIF($G38:G38,"&gt;"&amp;0)+2,1)=H$1,H$1,""),"")</f>
        <v>2</v>
      </c>
      <c r="I38" s="36">
        <f>IFERROR(IF(--MID($F38,2*COUNTIF($G38:H38,"&gt;"&amp;0)+2,1)=I$1,I$1,""),"")</f>
        <v>3</v>
      </c>
      <c r="J38" s="36">
        <f>IFERROR(IF(--MID($F38,2*COUNTIF($G38:I38,"&gt;"&amp;0)+2,1)=J$1,J$1,""),"")</f>
        <v>4</v>
      </c>
      <c r="K38" s="36">
        <f>IFERROR(IF(--MID($F38,2*COUNTIF($G38:J38,"&gt;"&amp;0)+2,1)=K$1,K$1,""),"")</f>
        <v>5</v>
      </c>
      <c r="L38" s="36">
        <f>IFERROR(IF(--MID($F38,2*COUNTIF($G38:K38,"&gt;"&amp;0)+2,1)=L$1,L$1,""),"")</f>
        <v>6</v>
      </c>
      <c r="M38" s="51" cm="1">
        <f t="array" ref="M38">IF($A38="","",IF(G38="","",_xlfn.XLOOKUP($D38&amp;"_"&amp;$AE38,符文权重!$A:$A&amp;"_"&amp;符文权重!$C:$C,符文权重!$D:$D)*$Y38/SUMIFS($Y:$Y,G:G,G38,$D:$D,$D38,$AE:$AE,$AE38)/SUMIF(符文权重!$A:$A,$D38,符文权重!$D:$D)))</f>
        <v>0.05</v>
      </c>
      <c r="N38" s="51" cm="1">
        <f t="array" ref="N38">IF($A38="","",IF(H38="","",_xlfn.XLOOKUP($D38&amp;"_"&amp;$AE38,符文权重!$A:$A&amp;"_"&amp;符文权重!$C:$C,符文权重!$D:$D)*$Y38/SUMIFS($Y:$Y,H:H,H38,$D:$D,$D38,$AE:$AE,$AE38)/SUMIF(符文权重!$A:$A,$D38,符文权重!$D:$D)))</f>
        <v>0.05</v>
      </c>
      <c r="O38" s="51" cm="1">
        <f t="array" ref="O38">IF($A38="","",IF(I38="","",_xlfn.XLOOKUP($D38&amp;"_"&amp;$AE38,符文权重!$A:$A&amp;"_"&amp;符文权重!$C:$C,符文权重!$D:$D)*$Y38/SUMIFS($Y:$Y,I:I,I38,$D:$D,$D38,$AE:$AE,$AE38)/SUMIF(符文权重!$A:$A,$D38,符文权重!$D:$D)))</f>
        <v>0.05</v>
      </c>
      <c r="P38" s="51" cm="1">
        <f t="array" ref="P38">IF($A38="","",IF(J38="","",_xlfn.XLOOKUP($D38&amp;"_"&amp;$AE38,符文权重!$A:$A&amp;"_"&amp;符文权重!$C:$C,符文权重!$D:$D)*$Y38/SUMIFS($Y:$Y,J:J,J38,$D:$D,$D38,$AE:$AE,$AE38)/SUMIF(符文权重!$A:$A,$D38,符文权重!$D:$D)))</f>
        <v>0.05</v>
      </c>
      <c r="Q38" s="51" cm="1">
        <f t="array" ref="Q38">IF($A38="","",IF(K38="","",_xlfn.XLOOKUP($D38&amp;"_"&amp;$AE38,符文权重!$A:$A&amp;"_"&amp;符文权重!$C:$C,符文权重!$D:$D)*$Y38/SUMIFS($Y:$Y,K:K,K38,$D:$D,$D38,$AE:$AE,$AE38)/SUMIF(符文权重!$A:$A,$D38,符文权重!$D:$D)))</f>
        <v>0.05</v>
      </c>
      <c r="R38" s="51" cm="1">
        <f t="array" ref="R38">IF($A38="","",IF(L38="","",_xlfn.XLOOKUP($D38&amp;"_"&amp;$AE38,符文权重!$A:$A&amp;"_"&amp;符文权重!$C:$C,符文权重!$D:$D)*$Y38/SUMIFS($Y:$Y,L:L,L38,$D:$D,$D38,$AE:$AE,$AE38)/SUMIF(符文权重!$A:$A,$D38,符文权重!$D:$D)))</f>
        <v>0.05</v>
      </c>
      <c r="S38" s="36" t="s">
        <v>192</v>
      </c>
      <c r="T38" s="36" t="s">
        <v>220</v>
      </c>
      <c r="U38" s="36" t="e">
        <f>IF(C38="","",SUBSTITUTE(SUBSTITUTE("[{global_atk,"&amp;#REF!*D38&amp;"}]",21,20),9,8))</f>
        <v>#REF!</v>
      </c>
      <c r="V38" s="52" t="str">
        <f t="shared" ref="V38:V44" si="18">"["&amp;A38&amp;"]"</f>
        <v>[5501051]</v>
      </c>
      <c r="W38" s="36" t="s">
        <v>221</v>
      </c>
      <c r="X38" s="35"/>
      <c r="Y38" s="42">
        <v>100</v>
      </c>
      <c r="Z38" s="35"/>
      <c r="AA38" s="42" t="s">
        <v>177</v>
      </c>
      <c r="AB38" s="42" t="str">
        <f t="shared" si="3"/>
        <v>毒系职业攻击力&lt;color=#54b76b&gt;+30&lt;/color&gt;</v>
      </c>
      <c r="AC38" s="48" t="str">
        <f t="shared" si="4"/>
        <v>5501051</v>
      </c>
      <c r="AD38" s="42" t="str">
        <f t="shared" si="5"/>
        <v>[30]</v>
      </c>
      <c r="AE38" s="36">
        <v>1</v>
      </c>
      <c r="AF38" s="36"/>
      <c r="AG38" s="36">
        <v>0</v>
      </c>
      <c r="AH38" s="35" t="s">
        <v>178</v>
      </c>
      <c r="AI38" s="33">
        <v>5501051</v>
      </c>
      <c r="AJ38" s="55" t="s">
        <v>222</v>
      </c>
      <c r="AK38" s="35">
        <v>30</v>
      </c>
      <c r="AL38" s="36">
        <v>1</v>
      </c>
    </row>
    <row r="39" s="25" customFormat="1" hidden="1" customHeight="1" spans="1:38">
      <c r="A39" s="48">
        <v>5501052</v>
      </c>
      <c r="B39" s="42"/>
      <c r="C39" s="48" t="str">
        <f t="shared" si="0"/>
        <v>5501051</v>
      </c>
      <c r="D39" s="42">
        <f t="shared" si="1"/>
        <v>2</v>
      </c>
      <c r="E39" s="42"/>
      <c r="F39" s="36" t="s">
        <v>174</v>
      </c>
      <c r="G39" s="36">
        <f t="shared" si="8"/>
        <v>1</v>
      </c>
      <c r="H39" s="36">
        <f>IFERROR(IF(--MID($F39,2*COUNTIF($G39:G39,"&gt;"&amp;0)+2,1)=H$1,H$1,""),"")</f>
        <v>2</v>
      </c>
      <c r="I39" s="36">
        <f>IFERROR(IF(--MID($F39,2*COUNTIF($G39:H39,"&gt;"&amp;0)+2,1)=I$1,I$1,""),"")</f>
        <v>3</v>
      </c>
      <c r="J39" s="36">
        <f>IFERROR(IF(--MID($F39,2*COUNTIF($G39:I39,"&gt;"&amp;0)+2,1)=J$1,J$1,""),"")</f>
        <v>4</v>
      </c>
      <c r="K39" s="36">
        <f>IFERROR(IF(--MID($F39,2*COUNTIF($G39:J39,"&gt;"&amp;0)+2,1)=K$1,K$1,""),"")</f>
        <v>5</v>
      </c>
      <c r="L39" s="36">
        <f>IFERROR(IF(--MID($F39,2*COUNTIF($G39:K39,"&gt;"&amp;0)+2,1)=L$1,L$1,""),"")</f>
        <v>6</v>
      </c>
      <c r="M39" s="51" cm="1">
        <f t="array" ref="M39">IF($A39="","",IF(G39="","",_xlfn.XLOOKUP($D39&amp;"_"&amp;$AE39,符文权重!$A:$A&amp;"_"&amp;符文权重!$C:$C,符文权重!$D:$D)*$Y39/SUMIFS($Y:$Y,G:G,G39,$D:$D,$D39,$AE:$AE,$AE39)/SUMIF(符文权重!$A:$A,$D39,符文权重!$D:$D)))</f>
        <v>0.0363636363636364</v>
      </c>
      <c r="N39" s="51" cm="1">
        <f t="array" ref="N39">IF($A39="","",IF(H39="","",_xlfn.XLOOKUP($D39&amp;"_"&amp;$AE39,符文权重!$A:$A&amp;"_"&amp;符文权重!$C:$C,符文权重!$D:$D)*$Y39/SUMIFS($Y:$Y,H:H,H39,$D:$D,$D39,$AE:$AE,$AE39)/SUMIF(符文权重!$A:$A,$D39,符文权重!$D:$D)))</f>
        <v>0.0363636363636364</v>
      </c>
      <c r="O39" s="51" cm="1">
        <f t="array" ref="O39">IF($A39="","",IF(I39="","",_xlfn.XLOOKUP($D39&amp;"_"&amp;$AE39,符文权重!$A:$A&amp;"_"&amp;符文权重!$C:$C,符文权重!$D:$D)*$Y39/SUMIFS($Y:$Y,I:I,I39,$D:$D,$D39,$AE:$AE,$AE39)/SUMIF(符文权重!$A:$A,$D39,符文权重!$D:$D)))</f>
        <v>0.0363636363636364</v>
      </c>
      <c r="P39" s="51" cm="1">
        <f t="array" ref="P39">IF($A39="","",IF(J39="","",_xlfn.XLOOKUP($D39&amp;"_"&amp;$AE39,符文权重!$A:$A&amp;"_"&amp;符文权重!$C:$C,符文权重!$D:$D)*$Y39/SUMIFS($Y:$Y,J:J,J39,$D:$D,$D39,$AE:$AE,$AE39)/SUMIF(符文权重!$A:$A,$D39,符文权重!$D:$D)))</f>
        <v>0.0363636363636364</v>
      </c>
      <c r="Q39" s="51" cm="1">
        <f t="array" ref="Q39">IF($A39="","",IF(K39="","",_xlfn.XLOOKUP($D39&amp;"_"&amp;$AE39,符文权重!$A:$A&amp;"_"&amp;符文权重!$C:$C,符文权重!$D:$D)*$Y39/SUMIFS($Y:$Y,K:K,K39,$D:$D,$D39,$AE:$AE,$AE39)/SUMIF(符文权重!$A:$A,$D39,符文权重!$D:$D)))</f>
        <v>0.0363636363636364</v>
      </c>
      <c r="R39" s="51" cm="1">
        <f t="array" ref="R39">IF($A39="","",IF(L39="","",_xlfn.XLOOKUP($D39&amp;"_"&amp;$AE39,符文权重!$A:$A&amp;"_"&amp;符文权重!$C:$C,符文权重!$D:$D)*$Y39/SUMIFS($Y:$Y,L:L,L39,$D:$D,$D39,$AE:$AE,$AE39)/SUMIF(符文权重!$A:$A,$D39,符文权重!$D:$D)))</f>
        <v>0.0363636363636364</v>
      </c>
      <c r="S39" s="36" t="s">
        <v>192</v>
      </c>
      <c r="T39" s="36" t="s">
        <v>220</v>
      </c>
      <c r="U39" s="36" t="e">
        <f>IF(C39="","",SUBSTITUTE(SUBSTITUTE("[{global_atk,"&amp;#REF!*D39&amp;"}]",21,20),9,8))</f>
        <v>#REF!</v>
      </c>
      <c r="V39" s="52" t="str">
        <f t="shared" si="18"/>
        <v>[5501052]</v>
      </c>
      <c r="W39" s="36" t="s">
        <v>223</v>
      </c>
      <c r="X39" s="35"/>
      <c r="Y39" s="42">
        <v>100</v>
      </c>
      <c r="Z39" s="35"/>
      <c r="AA39" s="42" t="s">
        <v>181</v>
      </c>
      <c r="AB39" s="42" t="str">
        <f t="shared" si="3"/>
        <v>毒系职业攻击力&lt;color=#54b76b&gt;+40&lt;/color&gt;</v>
      </c>
      <c r="AC39" s="48" t="str">
        <f t="shared" si="4"/>
        <v>5501051</v>
      </c>
      <c r="AD39" s="42" t="str">
        <f t="shared" si="5"/>
        <v>[40]</v>
      </c>
      <c r="AE39" s="36">
        <v>1</v>
      </c>
      <c r="AF39" s="36"/>
      <c r="AG39" s="36">
        <v>0</v>
      </c>
      <c r="AH39" s="35" t="s">
        <v>178</v>
      </c>
      <c r="AI39" s="48">
        <f t="shared" ref="AI39:AI44" si="19">AI38+1</f>
        <v>5501052</v>
      </c>
      <c r="AJ39" s="53" t="str">
        <f t="shared" ref="AJ39:AJ44" si="20">AJ38</f>
        <v>毒系职业攻击力&lt;color=#54b76b&gt;+%s&lt;/color&gt;</v>
      </c>
      <c r="AK39" s="35">
        <v>40</v>
      </c>
      <c r="AL39" s="36">
        <v>1</v>
      </c>
    </row>
    <row r="40" s="25" customFormat="1" hidden="1" customHeight="1" spans="1:38">
      <c r="A40" s="48">
        <v>5501053</v>
      </c>
      <c r="B40" s="42"/>
      <c r="C40" s="48" t="str">
        <f t="shared" si="0"/>
        <v>5501051</v>
      </c>
      <c r="D40" s="42">
        <f t="shared" si="1"/>
        <v>3</v>
      </c>
      <c r="E40" s="42"/>
      <c r="F40" s="36" t="s">
        <v>174</v>
      </c>
      <c r="G40" s="36">
        <f t="shared" si="8"/>
        <v>1</v>
      </c>
      <c r="H40" s="36">
        <f>IFERROR(IF(--MID($F40,2*COUNTIF($G40:G40,"&gt;"&amp;0)+2,1)=H$1,H$1,""),"")</f>
        <v>2</v>
      </c>
      <c r="I40" s="36">
        <f>IFERROR(IF(--MID($F40,2*COUNTIF($G40:H40,"&gt;"&amp;0)+2,1)=I$1,I$1,""),"")</f>
        <v>3</v>
      </c>
      <c r="J40" s="36">
        <f>IFERROR(IF(--MID($F40,2*COUNTIF($G40:I40,"&gt;"&amp;0)+2,1)=J$1,J$1,""),"")</f>
        <v>4</v>
      </c>
      <c r="K40" s="36">
        <f>IFERROR(IF(--MID($F40,2*COUNTIF($G40:J40,"&gt;"&amp;0)+2,1)=K$1,K$1,""),"")</f>
        <v>5</v>
      </c>
      <c r="L40" s="36">
        <f>IFERROR(IF(--MID($F40,2*COUNTIF($G40:K40,"&gt;"&amp;0)+2,1)=L$1,L$1,""),"")</f>
        <v>6</v>
      </c>
      <c r="M40" s="51" cm="1">
        <f t="array" ref="M40">IF($A40="","",IF(G40="","",_xlfn.XLOOKUP($D40&amp;"_"&amp;$AE40,符文权重!$A:$A&amp;"_"&amp;符文权重!$C:$C,符文权重!$D:$D)*$Y40/SUMIFS($Y:$Y,G:G,G40,$D:$D,$D40,$AE:$AE,$AE40)/SUMIF(符文权重!$A:$A,$D40,符文权重!$D:$D)))</f>
        <v>0.035</v>
      </c>
      <c r="N40" s="51" cm="1">
        <f t="array" ref="N40">IF($A40="","",IF(H40="","",_xlfn.XLOOKUP($D40&amp;"_"&amp;$AE40,符文权重!$A:$A&amp;"_"&amp;符文权重!$C:$C,符文权重!$D:$D)*$Y40/SUMIFS($Y:$Y,H:H,H40,$D:$D,$D40,$AE:$AE,$AE40)/SUMIF(符文权重!$A:$A,$D40,符文权重!$D:$D)))</f>
        <v>0.035</v>
      </c>
      <c r="O40" s="51" cm="1">
        <f t="array" ref="O40">IF($A40="","",IF(I40="","",_xlfn.XLOOKUP($D40&amp;"_"&amp;$AE40,符文权重!$A:$A&amp;"_"&amp;符文权重!$C:$C,符文权重!$D:$D)*$Y40/SUMIFS($Y:$Y,I:I,I40,$D:$D,$D40,$AE:$AE,$AE40)/SUMIF(符文权重!$A:$A,$D40,符文权重!$D:$D)))</f>
        <v>0.035</v>
      </c>
      <c r="P40" s="51" cm="1">
        <f t="array" ref="P40">IF($A40="","",IF(J40="","",_xlfn.XLOOKUP($D40&amp;"_"&amp;$AE40,符文权重!$A:$A&amp;"_"&amp;符文权重!$C:$C,符文权重!$D:$D)*$Y40/SUMIFS($Y:$Y,J:J,J40,$D:$D,$D40,$AE:$AE,$AE40)/SUMIF(符文权重!$A:$A,$D40,符文权重!$D:$D)))</f>
        <v>0.035</v>
      </c>
      <c r="Q40" s="51" cm="1">
        <f t="array" ref="Q40">IF($A40="","",IF(K40="","",_xlfn.XLOOKUP($D40&amp;"_"&amp;$AE40,符文权重!$A:$A&amp;"_"&amp;符文权重!$C:$C,符文权重!$D:$D)*$Y40/SUMIFS($Y:$Y,K:K,K40,$D:$D,$D40,$AE:$AE,$AE40)/SUMIF(符文权重!$A:$A,$D40,符文权重!$D:$D)))</f>
        <v>0.035</v>
      </c>
      <c r="R40" s="51" cm="1">
        <f t="array" ref="R40">IF($A40="","",IF(L40="","",_xlfn.XLOOKUP($D40&amp;"_"&amp;$AE40,符文权重!$A:$A&amp;"_"&amp;符文权重!$C:$C,符文权重!$D:$D)*$Y40/SUMIFS($Y:$Y,L:L,L40,$D:$D,$D40,$AE:$AE,$AE40)/SUMIF(符文权重!$A:$A,$D40,符文权重!$D:$D)))</f>
        <v>0.035</v>
      </c>
      <c r="S40" s="36" t="s">
        <v>192</v>
      </c>
      <c r="T40" s="36" t="s">
        <v>220</v>
      </c>
      <c r="U40" s="36" t="e">
        <f>IF(C40="","",SUBSTITUTE(SUBSTITUTE("[{global_atk,"&amp;#REF!*D40&amp;"}]",21,20),9,8))</f>
        <v>#REF!</v>
      </c>
      <c r="V40" s="52" t="str">
        <f t="shared" si="18"/>
        <v>[5501053]</v>
      </c>
      <c r="W40" s="36" t="s">
        <v>224</v>
      </c>
      <c r="X40" s="35"/>
      <c r="Y40" s="42">
        <v>100</v>
      </c>
      <c r="Z40" s="35"/>
      <c r="AA40" s="42" t="s">
        <v>183</v>
      </c>
      <c r="AB40" s="42" t="str">
        <f t="shared" si="3"/>
        <v>毒系职业攻击力&lt;color=#54b76b&gt;+50&lt;/color&gt;</v>
      </c>
      <c r="AC40" s="48" t="str">
        <f t="shared" si="4"/>
        <v>5501051</v>
      </c>
      <c r="AD40" s="42" t="str">
        <f t="shared" si="5"/>
        <v>[50]</v>
      </c>
      <c r="AE40" s="36">
        <v>1</v>
      </c>
      <c r="AF40" s="36"/>
      <c r="AG40" s="36">
        <v>0</v>
      </c>
      <c r="AH40" s="35" t="s">
        <v>178</v>
      </c>
      <c r="AI40" s="48">
        <f t="shared" si="19"/>
        <v>5501053</v>
      </c>
      <c r="AJ40" s="53" t="str">
        <f t="shared" si="20"/>
        <v>毒系职业攻击力&lt;color=#54b76b&gt;+%s&lt;/color&gt;</v>
      </c>
      <c r="AK40" s="35">
        <v>50</v>
      </c>
      <c r="AL40" s="36">
        <v>1</v>
      </c>
    </row>
    <row r="41" s="25" customFormat="1" hidden="1" customHeight="1" spans="1:38">
      <c r="A41" s="48">
        <v>5501054</v>
      </c>
      <c r="B41" s="42"/>
      <c r="C41" s="48" t="str">
        <f t="shared" si="0"/>
        <v>5501051</v>
      </c>
      <c r="D41" s="42">
        <f t="shared" si="1"/>
        <v>4</v>
      </c>
      <c r="E41" s="42"/>
      <c r="F41" s="36" t="s">
        <v>174</v>
      </c>
      <c r="G41" s="36">
        <f t="shared" si="8"/>
        <v>1</v>
      </c>
      <c r="H41" s="36">
        <f>IFERROR(IF(--MID($F41,2*COUNTIF($G41:G41,"&gt;"&amp;0)+2,1)=H$1,H$1,""),"")</f>
        <v>2</v>
      </c>
      <c r="I41" s="36">
        <f>IFERROR(IF(--MID($F41,2*COUNTIF($G41:H41,"&gt;"&amp;0)+2,1)=I$1,I$1,""),"")</f>
        <v>3</v>
      </c>
      <c r="J41" s="36">
        <f>IFERROR(IF(--MID($F41,2*COUNTIF($G41:I41,"&gt;"&amp;0)+2,1)=J$1,J$1,""),"")</f>
        <v>4</v>
      </c>
      <c r="K41" s="36">
        <f>IFERROR(IF(--MID($F41,2*COUNTIF($G41:J41,"&gt;"&amp;0)+2,1)=K$1,K$1,""),"")</f>
        <v>5</v>
      </c>
      <c r="L41" s="36">
        <f>IFERROR(IF(--MID($F41,2*COUNTIF($G41:K41,"&gt;"&amp;0)+2,1)=L$1,L$1,""),"")</f>
        <v>6</v>
      </c>
      <c r="M41" s="51" cm="1">
        <f t="array" ref="M41">IF($A41="","",IF(G41="","",_xlfn.XLOOKUP($D41&amp;"_"&amp;$AE41,符文权重!$A:$A&amp;"_"&amp;符文权重!$C:$C,符文权重!$D:$D)*$Y41/SUMIFS($Y:$Y,G:G,G41,$D:$D,$D41,$AE:$AE,$AE41)/SUMIF(符文权重!$A:$A,$D41,符文权重!$D:$D)))</f>
        <v>0.0229365529511942</v>
      </c>
      <c r="N41" s="51" cm="1">
        <f t="array" ref="N41">IF($A41="","",IF(H41="","",_xlfn.XLOOKUP($D41&amp;"_"&amp;$AE41,符文权重!$A:$A&amp;"_"&amp;符文权重!$C:$C,符文权重!$D:$D)*$Y41/SUMIFS($Y:$Y,H:H,H41,$D:$D,$D41,$AE:$AE,$AE41)/SUMIF(符文权重!$A:$A,$D41,符文权重!$D:$D)))</f>
        <v>0.0229365529511942</v>
      </c>
      <c r="O41" s="51" cm="1">
        <f t="array" ref="O41">IF($A41="","",IF(I41="","",_xlfn.XLOOKUP($D41&amp;"_"&amp;$AE41,符文权重!$A:$A&amp;"_"&amp;符文权重!$C:$C,符文权重!$D:$D)*$Y41/SUMIFS($Y:$Y,I:I,I41,$D:$D,$D41,$AE:$AE,$AE41)/SUMIF(符文权重!$A:$A,$D41,符文权重!$D:$D)))</f>
        <v>0.0229365529511942</v>
      </c>
      <c r="P41" s="51" cm="1">
        <f t="array" ref="P41">IF($A41="","",IF(J41="","",_xlfn.XLOOKUP($D41&amp;"_"&amp;$AE41,符文权重!$A:$A&amp;"_"&amp;符文权重!$C:$C,符文权重!$D:$D)*$Y41/SUMIFS($Y:$Y,J:J,J41,$D:$D,$D41,$AE:$AE,$AE41)/SUMIF(符文权重!$A:$A,$D41,符文权重!$D:$D)))</f>
        <v>0.0229365529511942</v>
      </c>
      <c r="Q41" s="51" cm="1">
        <f t="array" ref="Q41">IF($A41="","",IF(K41="","",_xlfn.XLOOKUP($D41&amp;"_"&amp;$AE41,符文权重!$A:$A&amp;"_"&amp;符文权重!$C:$C,符文权重!$D:$D)*$Y41/SUMIFS($Y:$Y,K:K,K41,$D:$D,$D41,$AE:$AE,$AE41)/SUMIF(符文权重!$A:$A,$D41,符文权重!$D:$D)))</f>
        <v>0.0229365529511942</v>
      </c>
      <c r="R41" s="51" cm="1">
        <f t="array" ref="R41">IF($A41="","",IF(L41="","",_xlfn.XLOOKUP($D41&amp;"_"&amp;$AE41,符文权重!$A:$A&amp;"_"&amp;符文权重!$C:$C,符文权重!$D:$D)*$Y41/SUMIFS($Y:$Y,L:L,L41,$D:$D,$D41,$AE:$AE,$AE41)/SUMIF(符文权重!$A:$A,$D41,符文权重!$D:$D)))</f>
        <v>0.0229365529511942</v>
      </c>
      <c r="S41" s="36" t="s">
        <v>192</v>
      </c>
      <c r="T41" s="36" t="s">
        <v>220</v>
      </c>
      <c r="U41" s="36" t="e">
        <f>IF(C41="","",SUBSTITUTE(SUBSTITUTE("[{global_atk,"&amp;#REF!*D41&amp;"}]",21,20),9,8))</f>
        <v>#REF!</v>
      </c>
      <c r="V41" s="52" t="str">
        <f t="shared" si="18"/>
        <v>[5501054]</v>
      </c>
      <c r="W41" s="36" t="s">
        <v>225</v>
      </c>
      <c r="X41" s="35"/>
      <c r="Y41" s="42">
        <v>100</v>
      </c>
      <c r="Z41" s="35"/>
      <c r="AA41" s="42" t="s">
        <v>185</v>
      </c>
      <c r="AB41" s="42" t="str">
        <f t="shared" si="3"/>
        <v>毒系职业攻击力&lt;color=#54b76b&gt;+75&lt;/color&gt;</v>
      </c>
      <c r="AC41" s="48" t="str">
        <f t="shared" si="4"/>
        <v>5501051</v>
      </c>
      <c r="AD41" s="42" t="str">
        <f t="shared" si="5"/>
        <v>[75]</v>
      </c>
      <c r="AE41" s="36">
        <v>1</v>
      </c>
      <c r="AF41" s="36"/>
      <c r="AG41" s="36">
        <v>0</v>
      </c>
      <c r="AH41" s="35" t="s">
        <v>178</v>
      </c>
      <c r="AI41" s="48">
        <f t="shared" si="19"/>
        <v>5501054</v>
      </c>
      <c r="AJ41" s="53" t="str">
        <f t="shared" si="20"/>
        <v>毒系职业攻击力&lt;color=#54b76b&gt;+%s&lt;/color&gt;</v>
      </c>
      <c r="AK41" s="35">
        <v>75</v>
      </c>
      <c r="AL41" s="36">
        <v>1</v>
      </c>
    </row>
    <row r="42" s="25" customFormat="1" hidden="1" customHeight="1" spans="1:38">
      <c r="A42" s="48">
        <v>5501055</v>
      </c>
      <c r="B42" s="42"/>
      <c r="C42" s="48" t="str">
        <f t="shared" si="0"/>
        <v>5501051</v>
      </c>
      <c r="D42" s="42">
        <f t="shared" si="1"/>
        <v>5</v>
      </c>
      <c r="E42" s="42"/>
      <c r="F42" s="36" t="s">
        <v>174</v>
      </c>
      <c r="G42" s="36">
        <f t="shared" si="8"/>
        <v>1</v>
      </c>
      <c r="H42" s="36">
        <f>IFERROR(IF(--MID($F42,2*COUNTIF($G42:G42,"&gt;"&amp;0)+2,1)=H$1,H$1,""),"")</f>
        <v>2</v>
      </c>
      <c r="I42" s="36">
        <f>IFERROR(IF(--MID($F42,2*COUNTIF($G42:H42,"&gt;"&amp;0)+2,1)=I$1,I$1,""),"")</f>
        <v>3</v>
      </c>
      <c r="J42" s="36">
        <f>IFERROR(IF(--MID($F42,2*COUNTIF($G42:I42,"&gt;"&amp;0)+2,1)=J$1,J$1,""),"")</f>
        <v>4</v>
      </c>
      <c r="K42" s="36">
        <f>IFERROR(IF(--MID($F42,2*COUNTIF($G42:J42,"&gt;"&amp;0)+2,1)=K$1,K$1,""),"")</f>
        <v>5</v>
      </c>
      <c r="L42" s="36">
        <f>IFERROR(IF(--MID($F42,2*COUNTIF($G42:K42,"&gt;"&amp;0)+2,1)=L$1,L$1,""),"")</f>
        <v>6</v>
      </c>
      <c r="M42" s="51" cm="1">
        <f t="array" ref="M42">IF($A42="","",IF(G42="","",_xlfn.XLOOKUP($D42&amp;"_"&amp;$AE42,符文权重!$A:$A&amp;"_"&amp;符文权重!$C:$C,符文权重!$D:$D)*$Y42/SUMIFS($Y:$Y,G:G,G42,$D:$D,$D42,$AE:$AE,$AE42)/SUMIF(符文权重!$A:$A,$D42,符文权重!$D:$D)))</f>
        <v>0.0204</v>
      </c>
      <c r="N42" s="51" cm="1">
        <f t="array" ref="N42">IF($A42="","",IF(H42="","",_xlfn.XLOOKUP($D42&amp;"_"&amp;$AE42,符文权重!$A:$A&amp;"_"&amp;符文权重!$C:$C,符文权重!$D:$D)*$Y42/SUMIFS($Y:$Y,H:H,H42,$D:$D,$D42,$AE:$AE,$AE42)/SUMIF(符文权重!$A:$A,$D42,符文权重!$D:$D)))</f>
        <v>0.0204</v>
      </c>
      <c r="O42" s="51" cm="1">
        <f t="array" ref="O42">IF($A42="","",IF(I42="","",_xlfn.XLOOKUP($D42&amp;"_"&amp;$AE42,符文权重!$A:$A&amp;"_"&amp;符文权重!$C:$C,符文权重!$D:$D)*$Y42/SUMIFS($Y:$Y,I:I,I42,$D:$D,$D42,$AE:$AE,$AE42)/SUMIF(符文权重!$A:$A,$D42,符文权重!$D:$D)))</f>
        <v>0.0204</v>
      </c>
      <c r="P42" s="51" cm="1">
        <f t="array" ref="P42">IF($A42="","",IF(J42="","",_xlfn.XLOOKUP($D42&amp;"_"&amp;$AE42,符文权重!$A:$A&amp;"_"&amp;符文权重!$C:$C,符文权重!$D:$D)*$Y42/SUMIFS($Y:$Y,J:J,J42,$D:$D,$D42,$AE:$AE,$AE42)/SUMIF(符文权重!$A:$A,$D42,符文权重!$D:$D)))</f>
        <v>0.0204</v>
      </c>
      <c r="Q42" s="51" cm="1">
        <f t="array" ref="Q42">IF($A42="","",IF(K42="","",_xlfn.XLOOKUP($D42&amp;"_"&amp;$AE42,符文权重!$A:$A&amp;"_"&amp;符文权重!$C:$C,符文权重!$D:$D)*$Y42/SUMIFS($Y:$Y,K:K,K42,$D:$D,$D42,$AE:$AE,$AE42)/SUMIF(符文权重!$A:$A,$D42,符文权重!$D:$D)))</f>
        <v>0.0204</v>
      </c>
      <c r="R42" s="51" cm="1">
        <f t="array" ref="R42">IF($A42="","",IF(L42="","",_xlfn.XLOOKUP($D42&amp;"_"&amp;$AE42,符文权重!$A:$A&amp;"_"&amp;符文权重!$C:$C,符文权重!$D:$D)*$Y42/SUMIFS($Y:$Y,L:L,L42,$D:$D,$D42,$AE:$AE,$AE42)/SUMIF(符文权重!$A:$A,$D42,符文权重!$D:$D)))</f>
        <v>0.0204</v>
      </c>
      <c r="S42" s="36" t="s">
        <v>192</v>
      </c>
      <c r="T42" s="36" t="s">
        <v>220</v>
      </c>
      <c r="U42" s="36" t="e">
        <f>IF(C42="","",SUBSTITUTE(SUBSTITUTE("[{global_atk,"&amp;#REF!*D42&amp;"}]",21,20),9,8))</f>
        <v>#REF!</v>
      </c>
      <c r="V42" s="52" t="str">
        <f t="shared" si="18"/>
        <v>[5501055]</v>
      </c>
      <c r="W42" s="36" t="s">
        <v>226</v>
      </c>
      <c r="X42" s="35"/>
      <c r="Y42" s="42">
        <v>100</v>
      </c>
      <c r="Z42" s="35"/>
      <c r="AA42" s="42" t="s">
        <v>187</v>
      </c>
      <c r="AB42" s="42" t="str">
        <f t="shared" si="3"/>
        <v>毒系职业攻击力&lt;color=#54b76b&gt;+96&lt;/color&gt;</v>
      </c>
      <c r="AC42" s="48" t="str">
        <f t="shared" si="4"/>
        <v>5501051</v>
      </c>
      <c r="AD42" s="42" t="str">
        <f t="shared" si="5"/>
        <v>[96]</v>
      </c>
      <c r="AE42" s="36">
        <v>1</v>
      </c>
      <c r="AF42" s="36"/>
      <c r="AG42" s="36">
        <v>0</v>
      </c>
      <c r="AH42" s="35" t="s">
        <v>178</v>
      </c>
      <c r="AI42" s="48">
        <f t="shared" si="19"/>
        <v>5501055</v>
      </c>
      <c r="AJ42" s="53" t="str">
        <f t="shared" si="20"/>
        <v>毒系职业攻击力&lt;color=#54b76b&gt;+%s&lt;/color&gt;</v>
      </c>
      <c r="AK42" s="35">
        <v>96</v>
      </c>
      <c r="AL42" s="36">
        <v>1</v>
      </c>
    </row>
    <row r="43" s="25" customFormat="1" hidden="1" customHeight="1" spans="1:38">
      <c r="A43" s="48">
        <v>5501056</v>
      </c>
      <c r="B43" s="42"/>
      <c r="C43" s="48" t="str">
        <f t="shared" si="0"/>
        <v>5501051</v>
      </c>
      <c r="D43" s="42">
        <f t="shared" si="1"/>
        <v>6</v>
      </c>
      <c r="E43" s="42"/>
      <c r="F43" s="36" t="s">
        <v>174</v>
      </c>
      <c r="G43" s="36">
        <f t="shared" si="8"/>
        <v>1</v>
      </c>
      <c r="H43" s="36">
        <f>IFERROR(IF(--MID($F43,2*COUNTIF($G43:G43,"&gt;"&amp;0)+2,1)=H$1,H$1,""),"")</f>
        <v>2</v>
      </c>
      <c r="I43" s="36">
        <f>IFERROR(IF(--MID($F43,2*COUNTIF($G43:H43,"&gt;"&amp;0)+2,1)=I$1,I$1,""),"")</f>
        <v>3</v>
      </c>
      <c r="J43" s="36">
        <f>IFERROR(IF(--MID($F43,2*COUNTIF($G43:I43,"&gt;"&amp;0)+2,1)=J$1,J$1,""),"")</f>
        <v>4</v>
      </c>
      <c r="K43" s="36">
        <f>IFERROR(IF(--MID($F43,2*COUNTIF($G43:J43,"&gt;"&amp;0)+2,1)=K$1,K$1,""),"")</f>
        <v>5</v>
      </c>
      <c r="L43" s="36">
        <f>IFERROR(IF(--MID($F43,2*COUNTIF($G43:K43,"&gt;"&amp;0)+2,1)=L$1,L$1,""),"")</f>
        <v>6</v>
      </c>
      <c r="M43" s="51" cm="1">
        <f t="array" ref="M43">IF($A43="","",IF(G43="","",_xlfn.XLOOKUP($D43&amp;"_"&amp;$AE43,符文权重!$A:$A&amp;"_"&amp;符文权重!$C:$C,符文权重!$D:$D)*$Y43/SUMIFS($Y:$Y,G:G,G43,$D:$D,$D43,$AE:$AE,$AE43)/SUMIF(符文权重!$A:$A,$D43,符文权重!$D:$D)))</f>
        <v>0.0204</v>
      </c>
      <c r="N43" s="51" cm="1">
        <f t="array" ref="N43">IF($A43="","",IF(H43="","",_xlfn.XLOOKUP($D43&amp;"_"&amp;$AE43,符文权重!$A:$A&amp;"_"&amp;符文权重!$C:$C,符文权重!$D:$D)*$Y43/SUMIFS($Y:$Y,H:H,H43,$D:$D,$D43,$AE:$AE,$AE43)/SUMIF(符文权重!$A:$A,$D43,符文权重!$D:$D)))</f>
        <v>0.0204</v>
      </c>
      <c r="O43" s="51" cm="1">
        <f t="array" ref="O43">IF($A43="","",IF(I43="","",_xlfn.XLOOKUP($D43&amp;"_"&amp;$AE43,符文权重!$A:$A&amp;"_"&amp;符文权重!$C:$C,符文权重!$D:$D)*$Y43/SUMIFS($Y:$Y,I:I,I43,$D:$D,$D43,$AE:$AE,$AE43)/SUMIF(符文权重!$A:$A,$D43,符文权重!$D:$D)))</f>
        <v>0.0204</v>
      </c>
      <c r="P43" s="51" cm="1">
        <f t="array" ref="P43">IF($A43="","",IF(J43="","",_xlfn.XLOOKUP($D43&amp;"_"&amp;$AE43,符文权重!$A:$A&amp;"_"&amp;符文权重!$C:$C,符文权重!$D:$D)*$Y43/SUMIFS($Y:$Y,J:J,J43,$D:$D,$D43,$AE:$AE,$AE43)/SUMIF(符文权重!$A:$A,$D43,符文权重!$D:$D)))</f>
        <v>0.0204</v>
      </c>
      <c r="Q43" s="51" cm="1">
        <f t="array" ref="Q43">IF($A43="","",IF(K43="","",_xlfn.XLOOKUP($D43&amp;"_"&amp;$AE43,符文权重!$A:$A&amp;"_"&amp;符文权重!$C:$C,符文权重!$D:$D)*$Y43/SUMIFS($Y:$Y,K:K,K43,$D:$D,$D43,$AE:$AE,$AE43)/SUMIF(符文权重!$A:$A,$D43,符文权重!$D:$D)))</f>
        <v>0.0204</v>
      </c>
      <c r="R43" s="51" cm="1">
        <f t="array" ref="R43">IF($A43="","",IF(L43="","",_xlfn.XLOOKUP($D43&amp;"_"&amp;$AE43,符文权重!$A:$A&amp;"_"&amp;符文权重!$C:$C,符文权重!$D:$D)*$Y43/SUMIFS($Y:$Y,L:L,L43,$D:$D,$D43,$AE:$AE,$AE43)/SUMIF(符文权重!$A:$A,$D43,符文权重!$D:$D)))</f>
        <v>0.0204</v>
      </c>
      <c r="S43" s="36" t="s">
        <v>192</v>
      </c>
      <c r="T43" s="36" t="s">
        <v>220</v>
      </c>
      <c r="U43" s="36" t="e">
        <f>IF(C43="","",SUBSTITUTE(SUBSTITUTE("[{global_atk,"&amp;#REF!*D43&amp;"}]",21,20),9,8))</f>
        <v>#REF!</v>
      </c>
      <c r="V43" s="52" t="str">
        <f t="shared" si="18"/>
        <v>[5501056]</v>
      </c>
      <c r="W43" s="36" t="s">
        <v>227</v>
      </c>
      <c r="X43" s="35"/>
      <c r="Y43" s="42">
        <v>100</v>
      </c>
      <c r="Z43" s="35"/>
      <c r="AA43" s="42" t="s">
        <v>189</v>
      </c>
      <c r="AB43" s="42" t="str">
        <f t="shared" si="3"/>
        <v>毒系职业攻击力&lt;color=#54b76b&gt;+120&lt;/color&gt;</v>
      </c>
      <c r="AC43" s="48" t="str">
        <f t="shared" si="4"/>
        <v>5501051</v>
      </c>
      <c r="AD43" s="42" t="str">
        <f t="shared" si="5"/>
        <v>[120]</v>
      </c>
      <c r="AE43" s="36">
        <v>1</v>
      </c>
      <c r="AF43" s="36"/>
      <c r="AG43" s="36">
        <v>0</v>
      </c>
      <c r="AH43" s="35" t="s">
        <v>178</v>
      </c>
      <c r="AI43" s="48">
        <f t="shared" si="19"/>
        <v>5501056</v>
      </c>
      <c r="AJ43" s="53" t="str">
        <f t="shared" si="20"/>
        <v>毒系职业攻击力&lt;color=#54b76b&gt;+%s&lt;/color&gt;</v>
      </c>
      <c r="AK43" s="35">
        <v>120</v>
      </c>
      <c r="AL43" s="36">
        <v>1</v>
      </c>
    </row>
    <row r="44" s="25" customFormat="1" hidden="1" customHeight="1" spans="1:38">
      <c r="A44" s="48">
        <v>5501057</v>
      </c>
      <c r="B44" s="42"/>
      <c r="C44" s="48" t="str">
        <f t="shared" si="0"/>
        <v>5501051</v>
      </c>
      <c r="D44" s="42">
        <f t="shared" si="1"/>
        <v>7</v>
      </c>
      <c r="E44" s="42"/>
      <c r="F44" s="36" t="s">
        <v>174</v>
      </c>
      <c r="G44" s="36">
        <f t="shared" si="8"/>
        <v>1</v>
      </c>
      <c r="H44" s="36">
        <f>IFERROR(IF(--MID($F44,2*COUNTIF($G44:G44,"&gt;"&amp;0)+2,1)=H$1,H$1,""),"")</f>
        <v>2</v>
      </c>
      <c r="I44" s="36">
        <f>IFERROR(IF(--MID($F44,2*COUNTIF($G44:H44,"&gt;"&amp;0)+2,1)=I$1,I$1,""),"")</f>
        <v>3</v>
      </c>
      <c r="J44" s="36">
        <f>IFERROR(IF(--MID($F44,2*COUNTIF($G44:I44,"&gt;"&amp;0)+2,1)=J$1,J$1,""),"")</f>
        <v>4</v>
      </c>
      <c r="K44" s="36">
        <f>IFERROR(IF(--MID($F44,2*COUNTIF($G44:J44,"&gt;"&amp;0)+2,1)=K$1,K$1,""),"")</f>
        <v>5</v>
      </c>
      <c r="L44" s="36">
        <f>IFERROR(IF(--MID($F44,2*COUNTIF($G44:K44,"&gt;"&amp;0)+2,1)=L$1,L$1,""),"")</f>
        <v>6</v>
      </c>
      <c r="M44" s="51" cm="1">
        <f t="array" ref="M44">IF($A44="","",IF(G44="","",_xlfn.XLOOKUP($D44&amp;"_"&amp;$AE44,符文权重!$A:$A&amp;"_"&amp;符文权重!$C:$C,符文权重!$D:$D)*$Y44/SUMIFS($Y:$Y,G:G,G44,$D:$D,$D44,$AE:$AE,$AE44)/SUMIF(符文权重!$A:$A,$D44,符文权重!$D:$D)))</f>
        <v>0.0204</v>
      </c>
      <c r="N44" s="51" cm="1">
        <f t="array" ref="N44">IF($A44="","",IF(H44="","",_xlfn.XLOOKUP($D44&amp;"_"&amp;$AE44,符文权重!$A:$A&amp;"_"&amp;符文权重!$C:$C,符文权重!$D:$D)*$Y44/SUMIFS($Y:$Y,H:H,H44,$D:$D,$D44,$AE:$AE,$AE44)/SUMIF(符文权重!$A:$A,$D44,符文权重!$D:$D)))</f>
        <v>0.0204</v>
      </c>
      <c r="O44" s="51" cm="1">
        <f t="array" ref="O44">IF($A44="","",IF(I44="","",_xlfn.XLOOKUP($D44&amp;"_"&amp;$AE44,符文权重!$A:$A&amp;"_"&amp;符文权重!$C:$C,符文权重!$D:$D)*$Y44/SUMIFS($Y:$Y,I:I,I44,$D:$D,$D44,$AE:$AE,$AE44)/SUMIF(符文权重!$A:$A,$D44,符文权重!$D:$D)))</f>
        <v>0.0204</v>
      </c>
      <c r="P44" s="51" cm="1">
        <f t="array" ref="P44">IF($A44="","",IF(J44="","",_xlfn.XLOOKUP($D44&amp;"_"&amp;$AE44,符文权重!$A:$A&amp;"_"&amp;符文权重!$C:$C,符文权重!$D:$D)*$Y44/SUMIFS($Y:$Y,J:J,J44,$D:$D,$D44,$AE:$AE,$AE44)/SUMIF(符文权重!$A:$A,$D44,符文权重!$D:$D)))</f>
        <v>0.0204</v>
      </c>
      <c r="Q44" s="51" cm="1">
        <f t="array" ref="Q44">IF($A44="","",IF(K44="","",_xlfn.XLOOKUP($D44&amp;"_"&amp;$AE44,符文权重!$A:$A&amp;"_"&amp;符文权重!$C:$C,符文权重!$D:$D)*$Y44/SUMIFS($Y:$Y,K:K,K44,$D:$D,$D44,$AE:$AE,$AE44)/SUMIF(符文权重!$A:$A,$D44,符文权重!$D:$D)))</f>
        <v>0.0204</v>
      </c>
      <c r="R44" s="51" cm="1">
        <f t="array" ref="R44">IF($A44="","",IF(L44="","",_xlfn.XLOOKUP($D44&amp;"_"&amp;$AE44,符文权重!$A:$A&amp;"_"&amp;符文权重!$C:$C,符文权重!$D:$D)*$Y44/SUMIFS($Y:$Y,L:L,L44,$D:$D,$D44,$AE:$AE,$AE44)/SUMIF(符文权重!$A:$A,$D44,符文权重!$D:$D)))</f>
        <v>0.0204</v>
      </c>
      <c r="S44" s="36" t="s">
        <v>192</v>
      </c>
      <c r="T44" s="36" t="s">
        <v>220</v>
      </c>
      <c r="U44" s="36" t="e">
        <f>IF(C44="","",SUBSTITUTE(SUBSTITUTE("[{global_atk,"&amp;#REF!*D44&amp;"}]",21,20),9,8))</f>
        <v>#REF!</v>
      </c>
      <c r="V44" s="52" t="str">
        <f t="shared" si="18"/>
        <v>[5501057]</v>
      </c>
      <c r="W44" s="36" t="s">
        <v>228</v>
      </c>
      <c r="X44" s="35"/>
      <c r="Y44" s="42">
        <v>100</v>
      </c>
      <c r="Z44" s="35"/>
      <c r="AA44" s="42" t="s">
        <v>191</v>
      </c>
      <c r="AB44" s="42" t="str">
        <f t="shared" si="3"/>
        <v>毒系职业攻击力&lt;color=#54b76b&gt;+150&lt;/color&gt;</v>
      </c>
      <c r="AC44" s="48" t="str">
        <f t="shared" si="4"/>
        <v>5501051</v>
      </c>
      <c r="AD44" s="42" t="str">
        <f t="shared" si="5"/>
        <v>[150]</v>
      </c>
      <c r="AE44" s="36">
        <v>1</v>
      </c>
      <c r="AF44" s="36"/>
      <c r="AG44" s="36">
        <v>0</v>
      </c>
      <c r="AH44" s="35" t="s">
        <v>178</v>
      </c>
      <c r="AI44" s="48">
        <f t="shared" si="19"/>
        <v>5501057</v>
      </c>
      <c r="AJ44" s="53" t="str">
        <f t="shared" si="20"/>
        <v>毒系职业攻击力&lt;color=#54b76b&gt;+%s&lt;/color&gt;</v>
      </c>
      <c r="AK44" s="35">
        <v>150</v>
      </c>
      <c r="AL44" s="36">
        <v>1</v>
      </c>
    </row>
    <row r="45" s="25" customFormat="1" hidden="1" customHeight="1" spans="1:38">
      <c r="A45" s="48" t="s">
        <v>178</v>
      </c>
      <c r="B45" s="41"/>
      <c r="C45" s="48" t="str">
        <f t="shared" si="0"/>
        <v/>
      </c>
      <c r="D45" s="42" t="str">
        <f t="shared" si="1"/>
        <v/>
      </c>
      <c r="E45" s="42"/>
      <c r="F45" s="36"/>
      <c r="G45" s="36" t="str">
        <f t="shared" si="8"/>
        <v/>
      </c>
      <c r="H45" s="36" t="str">
        <f>IFERROR(IF(--MID($F45,2*COUNTIF($G45:G45,"&gt;"&amp;0)+2,1)=H$1,H$1,""),"")</f>
        <v/>
      </c>
      <c r="I45" s="36" t="str">
        <f>IFERROR(IF(--MID($F45,2*COUNTIF($G45:H45,"&gt;"&amp;0)+2,1)=I$1,I$1,""),"")</f>
        <v/>
      </c>
      <c r="J45" s="36" t="str">
        <f>IFERROR(IF(--MID($F45,2*COUNTIF($G45:I45,"&gt;"&amp;0)+2,1)=J$1,J$1,""),"")</f>
        <v/>
      </c>
      <c r="K45" s="36" t="str">
        <f>IFERROR(IF(--MID($F45,2*COUNTIF($G45:J45,"&gt;"&amp;0)+2,1)=K$1,K$1,""),"")</f>
        <v/>
      </c>
      <c r="L45" s="36" t="str">
        <f>IFERROR(IF(--MID($F45,2*COUNTIF($G45:K45,"&gt;"&amp;0)+2,1)=L$1,L$1,""),"")</f>
        <v/>
      </c>
      <c r="M45" s="51" t="str" cm="1">
        <f t="array" ref="M45">IF($A45="","",IF(G45="","",_xlfn.XLOOKUP($D45&amp;"_"&amp;$AE45,符文权重!$A:$A&amp;"_"&amp;符文权重!$C:$C,符文权重!$D:$D)*$Y45/SUMIFS($Y:$Y,G:G,G45,$D:$D,$D45,$AE:$AE,$AE45)/SUMIF(符文权重!$A:$A,$D45,符文权重!$D:$D)))</f>
        <v/>
      </c>
      <c r="N45" s="36" t="str" cm="1">
        <f t="array" ref="N45">IF($A45="","",IF(H45="","",_xlfn.XLOOKUP($D45&amp;"_"&amp;$AE45,符文权重!$A:$A&amp;"_"&amp;符文权重!$C:$C,符文权重!$D:$D)*$Y45/SUMIFS($Y:$Y,H:H,H45,$D:$D,$D$6,$AE:$AE,$AE$6)))</f>
        <v/>
      </c>
      <c r="O45" s="36" t="str" cm="1">
        <f t="array" ref="O45">IF($A45="","",IF(I45="","",_xlfn.XLOOKUP($D45&amp;"_"&amp;$AE45,符文权重!$A:$A&amp;"_"&amp;符文权重!$C:$C,符文权重!$D:$D)*$Y45/SUMIFS($Y:$Y,I:I,I45,$D:$D,$D$6,$AE:$AE,$AE$6)))</f>
        <v/>
      </c>
      <c r="P45" s="36" t="str" cm="1">
        <f t="array" ref="P45">IF($A45="","",IF(J45="","",_xlfn.XLOOKUP($D45&amp;"_"&amp;$AE45,符文权重!$A:$A&amp;"_"&amp;符文权重!$C:$C,符文权重!$D:$D)*$Y45/SUMIFS($Y:$Y,J:J,J45,$D:$D,$D$6,$AE:$AE,$AE$6)))</f>
        <v/>
      </c>
      <c r="Q45" s="36" t="str" cm="1">
        <f t="array" ref="Q45">IF($A45="","",IF(K45="","",_xlfn.XLOOKUP($D45&amp;"_"&amp;$AE45,符文权重!$A:$A&amp;"_"&amp;符文权重!$C:$C,符文权重!$D:$D)*$Y45/SUMIFS($Y:$Y,K:K,K45,$D:$D,$D$6,$AE:$AE,$AE$6)))</f>
        <v/>
      </c>
      <c r="R45" s="36" t="str" cm="1">
        <f t="array" ref="R45">IF($A45="","",IF(L45="","",_xlfn.XLOOKUP($D45&amp;"_"&amp;$AE45,符文权重!$A:$A&amp;"_"&amp;符文权重!$C:$C,符文权重!$D:$D)*$Y45/SUMIFS($Y:$Y,L:L,L45,$D:$D,$D$6,$AE:$AE,$AE$6)))</f>
        <v/>
      </c>
      <c r="S45" s="36"/>
      <c r="T45" s="36"/>
      <c r="U45" s="36"/>
      <c r="V45" s="52"/>
      <c r="W45" s="41"/>
      <c r="X45" s="35"/>
      <c r="Y45" s="42"/>
      <c r="Z45" s="35"/>
      <c r="AA45" s="42" t="s">
        <v>178</v>
      </c>
      <c r="AB45" s="42" t="str">
        <f t="shared" si="3"/>
        <v/>
      </c>
      <c r="AC45" s="48" t="str">
        <f t="shared" si="4"/>
        <v/>
      </c>
      <c r="AD45" s="42" t="str">
        <f t="shared" si="5"/>
        <v/>
      </c>
      <c r="AE45" s="36"/>
      <c r="AF45" s="36"/>
      <c r="AG45" s="36"/>
      <c r="AH45" s="35" t="s">
        <v>178</v>
      </c>
      <c r="AI45" s="33"/>
      <c r="AJ45" s="56"/>
      <c r="AK45" s="35"/>
      <c r="AL45" s="36"/>
    </row>
    <row r="46" s="27" customFormat="1" hidden="1" customHeight="1" spans="1:38">
      <c r="A46" s="57">
        <v>5501061</v>
      </c>
      <c r="B46" s="58" t="s">
        <v>229</v>
      </c>
      <c r="C46" s="57" t="str">
        <f t="shared" si="0"/>
        <v>5501061</v>
      </c>
      <c r="D46" s="59">
        <f t="shared" si="1"/>
        <v>1</v>
      </c>
      <c r="E46" s="59"/>
      <c r="F46" s="60" t="s">
        <v>174</v>
      </c>
      <c r="G46" s="36">
        <f t="shared" si="8"/>
        <v>1</v>
      </c>
      <c r="H46" s="36">
        <f>IFERROR(IF(--MID($F46,2*COUNTIF($G46:G46,"&gt;"&amp;0)+2,1)=H$1,H$1,""),"")</f>
        <v>2</v>
      </c>
      <c r="I46" s="36">
        <f>IFERROR(IF(--MID($F46,2*COUNTIF($G46:H46,"&gt;"&amp;0)+2,1)=I$1,I$1,""),"")</f>
        <v>3</v>
      </c>
      <c r="J46" s="36">
        <f>IFERROR(IF(--MID($F46,2*COUNTIF($G46:I46,"&gt;"&amp;0)+2,1)=J$1,J$1,""),"")</f>
        <v>4</v>
      </c>
      <c r="K46" s="36">
        <f>IFERROR(IF(--MID($F46,2*COUNTIF($G46:J46,"&gt;"&amp;0)+2,1)=K$1,K$1,""),"")</f>
        <v>5</v>
      </c>
      <c r="L46" s="36">
        <f>IFERROR(IF(--MID($F46,2*COUNTIF($G46:K46,"&gt;"&amp;0)+2,1)=L$1,L$1,""),"")</f>
        <v>6</v>
      </c>
      <c r="M46" s="36" t="e" cm="1">
        <f t="array" ref="M46">IF(A46="","",_xlfn.XLOOKUP(D46&amp;"_"&amp;AE46,符文权重!A:A&amp;"_"&amp;符文权重!C:C,符文权重!D:D))</f>
        <v>#N/A</v>
      </c>
      <c r="N46" s="36"/>
      <c r="O46" s="36"/>
      <c r="P46" s="36"/>
      <c r="Q46" s="36"/>
      <c r="R46" s="36"/>
      <c r="S46" s="60" t="s">
        <v>192</v>
      </c>
      <c r="T46" s="60" t="s">
        <v>230</v>
      </c>
      <c r="U46" s="60" t="e">
        <f>IF(C46="","",SUBSTITUTE(SUBSTITUTE("[{global_atk,"&amp;#REF!*D46&amp;"}]",21,20),9,8))</f>
        <v>#REF!</v>
      </c>
      <c r="V46" s="61" t="str">
        <f t="shared" ref="V46:V52" si="21">"["&amp;A46&amp;"]"</f>
        <v>[5501061]</v>
      </c>
      <c r="W46" s="60" t="s">
        <v>231</v>
      </c>
      <c r="X46" s="28"/>
      <c r="Y46" s="42">
        <v>100</v>
      </c>
      <c r="Z46" s="28"/>
      <c r="AA46" s="59" t="s">
        <v>177</v>
      </c>
      <c r="AB46" s="42" t="str">
        <f t="shared" si="3"/>
        <v>控制职业攻击力&lt;color=#54b76b&gt;+30&lt;/color&gt;</v>
      </c>
      <c r="AC46" s="57" t="str">
        <f t="shared" si="4"/>
        <v>5501061</v>
      </c>
      <c r="AD46" s="59" t="str">
        <f t="shared" si="5"/>
        <v>[30]</v>
      </c>
      <c r="AE46" s="36">
        <v>100</v>
      </c>
      <c r="AF46" s="60"/>
      <c r="AG46" s="60">
        <v>1</v>
      </c>
      <c r="AH46" s="35" t="s">
        <v>178</v>
      </c>
      <c r="AI46" s="62">
        <v>5501061</v>
      </c>
      <c r="AJ46" s="63" t="s">
        <v>232</v>
      </c>
      <c r="AK46" s="28">
        <v>30</v>
      </c>
      <c r="AL46" s="36">
        <v>1</v>
      </c>
    </row>
    <row r="47" s="27" customFormat="1" hidden="1" customHeight="1" spans="1:38">
      <c r="A47" s="57">
        <v>5501062</v>
      </c>
      <c r="B47" s="58" t="s">
        <v>229</v>
      </c>
      <c r="C47" s="57" t="str">
        <f t="shared" si="0"/>
        <v>5501061</v>
      </c>
      <c r="D47" s="59">
        <f t="shared" si="1"/>
        <v>2</v>
      </c>
      <c r="E47" s="59"/>
      <c r="F47" s="60" t="s">
        <v>174</v>
      </c>
      <c r="G47" s="36">
        <f t="shared" si="8"/>
        <v>1</v>
      </c>
      <c r="H47" s="36">
        <f>IFERROR(IF(--MID($F47,2*COUNTIF($G47:G47,"&gt;"&amp;0)+2,1)=H$1,H$1,""),"")</f>
        <v>2</v>
      </c>
      <c r="I47" s="36">
        <f>IFERROR(IF(--MID($F47,2*COUNTIF($G47:H47,"&gt;"&amp;0)+2,1)=I$1,I$1,""),"")</f>
        <v>3</v>
      </c>
      <c r="J47" s="36">
        <f>IFERROR(IF(--MID($F47,2*COUNTIF($G47:I47,"&gt;"&amp;0)+2,1)=J$1,J$1,""),"")</f>
        <v>4</v>
      </c>
      <c r="K47" s="36">
        <f>IFERROR(IF(--MID($F47,2*COUNTIF($G47:J47,"&gt;"&amp;0)+2,1)=K$1,K$1,""),"")</f>
        <v>5</v>
      </c>
      <c r="L47" s="36">
        <f>IFERROR(IF(--MID($F47,2*COUNTIF($G47:K47,"&gt;"&amp;0)+2,1)=L$1,L$1,""),"")</f>
        <v>6</v>
      </c>
      <c r="M47" s="36" t="e" cm="1">
        <f t="array" ref="M47">IF(A47="","",_xlfn.XLOOKUP(D47&amp;"_"&amp;AE47,符文权重!A:A&amp;"_"&amp;符文权重!C:C,符文权重!D:D))</f>
        <v>#N/A</v>
      </c>
      <c r="N47" s="36"/>
      <c r="O47" s="36"/>
      <c r="P47" s="36"/>
      <c r="Q47" s="36"/>
      <c r="R47" s="36"/>
      <c r="S47" s="60" t="s">
        <v>192</v>
      </c>
      <c r="T47" s="60" t="s">
        <v>230</v>
      </c>
      <c r="U47" s="60" t="e">
        <f>IF(C47="","",SUBSTITUTE(SUBSTITUTE("[{global_atk,"&amp;#REF!*D47&amp;"}]",21,20),9,8))</f>
        <v>#REF!</v>
      </c>
      <c r="V47" s="61" t="str">
        <f t="shared" si="21"/>
        <v>[5501062]</v>
      </c>
      <c r="W47" s="60" t="s">
        <v>233</v>
      </c>
      <c r="X47" s="28"/>
      <c r="Y47" s="42">
        <v>100</v>
      </c>
      <c r="Z47" s="28"/>
      <c r="AA47" s="59" t="s">
        <v>181</v>
      </c>
      <c r="AB47" s="42" t="str">
        <f t="shared" si="3"/>
        <v>控制职业攻击力&lt;color=#54b76b&gt;+40&lt;/color&gt;</v>
      </c>
      <c r="AC47" s="57" t="str">
        <f t="shared" si="4"/>
        <v>5501061</v>
      </c>
      <c r="AD47" s="59" t="str">
        <f t="shared" si="5"/>
        <v>[40]</v>
      </c>
      <c r="AE47" s="36">
        <v>100</v>
      </c>
      <c r="AF47" s="60"/>
      <c r="AG47" s="60">
        <v>1</v>
      </c>
      <c r="AH47" s="35" t="s">
        <v>178</v>
      </c>
      <c r="AI47" s="57">
        <f t="shared" ref="AI47:AI52" si="22">AI46+1</f>
        <v>5501062</v>
      </c>
      <c r="AJ47" s="64" t="str">
        <f t="shared" ref="AJ47:AJ52" si="23">AJ46</f>
        <v>控制职业攻击力&lt;color=#54b76b&gt;+%s&lt;/color&gt;</v>
      </c>
      <c r="AK47" s="28">
        <v>40</v>
      </c>
      <c r="AL47" s="36">
        <v>1</v>
      </c>
    </row>
    <row r="48" s="27" customFormat="1" hidden="1" customHeight="1" spans="1:38">
      <c r="A48" s="57">
        <v>5501063</v>
      </c>
      <c r="B48" s="58" t="s">
        <v>229</v>
      </c>
      <c r="C48" s="57" t="str">
        <f t="shared" si="0"/>
        <v>5501061</v>
      </c>
      <c r="D48" s="59">
        <f t="shared" si="1"/>
        <v>3</v>
      </c>
      <c r="E48" s="59"/>
      <c r="F48" s="60" t="s">
        <v>174</v>
      </c>
      <c r="G48" s="36">
        <f t="shared" si="8"/>
        <v>1</v>
      </c>
      <c r="H48" s="36">
        <f>IFERROR(IF(--MID($F48,2*COUNTIF($G48:G48,"&gt;"&amp;0)+2,1)=H$1,H$1,""),"")</f>
        <v>2</v>
      </c>
      <c r="I48" s="36">
        <f>IFERROR(IF(--MID($F48,2*COUNTIF($G48:H48,"&gt;"&amp;0)+2,1)=I$1,I$1,""),"")</f>
        <v>3</v>
      </c>
      <c r="J48" s="36">
        <f>IFERROR(IF(--MID($F48,2*COUNTIF($G48:I48,"&gt;"&amp;0)+2,1)=J$1,J$1,""),"")</f>
        <v>4</v>
      </c>
      <c r="K48" s="36">
        <f>IFERROR(IF(--MID($F48,2*COUNTIF($G48:J48,"&gt;"&amp;0)+2,1)=K$1,K$1,""),"")</f>
        <v>5</v>
      </c>
      <c r="L48" s="36">
        <f>IFERROR(IF(--MID($F48,2*COUNTIF($G48:K48,"&gt;"&amp;0)+2,1)=L$1,L$1,""),"")</f>
        <v>6</v>
      </c>
      <c r="M48" s="36" t="e" cm="1">
        <f t="array" ref="M48">IF(A48="","",_xlfn.XLOOKUP(D48&amp;"_"&amp;AE48,符文权重!A:A&amp;"_"&amp;符文权重!C:C,符文权重!D:D))</f>
        <v>#N/A</v>
      </c>
      <c r="N48" s="36"/>
      <c r="O48" s="36"/>
      <c r="P48" s="36"/>
      <c r="Q48" s="36"/>
      <c r="R48" s="36"/>
      <c r="S48" s="60" t="s">
        <v>192</v>
      </c>
      <c r="T48" s="60" t="s">
        <v>230</v>
      </c>
      <c r="U48" s="60" t="e">
        <f>IF(C48="","",SUBSTITUTE(SUBSTITUTE("[{global_atk,"&amp;#REF!*D48&amp;"}]",21,20),9,8))</f>
        <v>#REF!</v>
      </c>
      <c r="V48" s="61" t="str">
        <f t="shared" si="21"/>
        <v>[5501063]</v>
      </c>
      <c r="W48" s="60" t="s">
        <v>234</v>
      </c>
      <c r="X48" s="28"/>
      <c r="Y48" s="42">
        <v>100</v>
      </c>
      <c r="Z48" s="28"/>
      <c r="AA48" s="59" t="s">
        <v>183</v>
      </c>
      <c r="AB48" s="42" t="str">
        <f t="shared" si="3"/>
        <v>控制职业攻击力&lt;color=#54b76b&gt;+50&lt;/color&gt;</v>
      </c>
      <c r="AC48" s="57" t="str">
        <f t="shared" si="4"/>
        <v>5501061</v>
      </c>
      <c r="AD48" s="59" t="str">
        <f t="shared" si="5"/>
        <v>[50]</v>
      </c>
      <c r="AE48" s="36">
        <v>100</v>
      </c>
      <c r="AF48" s="60"/>
      <c r="AG48" s="60">
        <v>1</v>
      </c>
      <c r="AH48" s="35" t="s">
        <v>178</v>
      </c>
      <c r="AI48" s="57">
        <f t="shared" si="22"/>
        <v>5501063</v>
      </c>
      <c r="AJ48" s="64" t="str">
        <f t="shared" si="23"/>
        <v>控制职业攻击力&lt;color=#54b76b&gt;+%s&lt;/color&gt;</v>
      </c>
      <c r="AK48" s="28">
        <v>50</v>
      </c>
      <c r="AL48" s="36">
        <v>1</v>
      </c>
    </row>
    <row r="49" s="25" customFormat="1" hidden="1" customHeight="1" spans="1:38">
      <c r="A49" s="48">
        <v>5501064</v>
      </c>
      <c r="B49" s="42"/>
      <c r="C49" s="48" t="str">
        <f t="shared" si="0"/>
        <v>5501061</v>
      </c>
      <c r="D49" s="42">
        <f t="shared" si="1"/>
        <v>4</v>
      </c>
      <c r="E49" s="42"/>
      <c r="F49" s="36" t="s">
        <v>174</v>
      </c>
      <c r="G49" s="36">
        <f t="shared" si="8"/>
        <v>1</v>
      </c>
      <c r="H49" s="36">
        <f>IFERROR(IF(--MID($F49,2*COUNTIF($G49:G49,"&gt;"&amp;0)+2,1)=H$1,H$1,""),"")</f>
        <v>2</v>
      </c>
      <c r="I49" s="36">
        <f>IFERROR(IF(--MID($F49,2*COUNTIF($G49:H49,"&gt;"&amp;0)+2,1)=I$1,I$1,""),"")</f>
        <v>3</v>
      </c>
      <c r="J49" s="36">
        <f>IFERROR(IF(--MID($F49,2*COUNTIF($G49:I49,"&gt;"&amp;0)+2,1)=J$1,J$1,""),"")</f>
        <v>4</v>
      </c>
      <c r="K49" s="36">
        <f>IFERROR(IF(--MID($F49,2*COUNTIF($G49:J49,"&gt;"&amp;0)+2,1)=K$1,K$1,""),"")</f>
        <v>5</v>
      </c>
      <c r="L49" s="36">
        <f>IFERROR(IF(--MID($F49,2*COUNTIF($G49:K49,"&gt;"&amp;0)+2,1)=L$1,L$1,""),"")</f>
        <v>6</v>
      </c>
      <c r="M49" s="51" cm="1">
        <f t="array" ref="M49">IF($A49="","",IF(G49="","",_xlfn.XLOOKUP($D49&amp;"_"&amp;$AE49,符文权重!$A:$A&amp;"_"&amp;符文权重!$C:$C,符文权重!$D:$D)*$Y49/SUMIFS($Y:$Y,G:G,G49,$D:$D,$D49,$AE:$AE,$AE49)/SUMIF(符文权重!$A:$A,$D49,符文权重!$D:$D)))</f>
        <v>0.0075690624738941</v>
      </c>
      <c r="N49" s="51" cm="1">
        <f t="array" ref="N49">IF($A49="","",IF(H49="","",_xlfn.XLOOKUP($D49&amp;"_"&amp;$AE49,符文权重!$A:$A&amp;"_"&amp;符文权重!$C:$C,符文权重!$D:$D)*$Y49/SUMIFS($Y:$Y,H:H,H49,$D:$D,$D49,$AE:$AE,$AE49)/SUMIF(符文权重!$A:$A,$D49,符文权重!$D:$D)))</f>
        <v>0.0075690624738941</v>
      </c>
      <c r="O49" s="51" cm="1">
        <f t="array" ref="O49">IF($A49="","",IF(I49="","",_xlfn.XLOOKUP($D49&amp;"_"&amp;$AE49,符文权重!$A:$A&amp;"_"&amp;符文权重!$C:$C,符文权重!$D:$D)*$Y49/SUMIFS($Y:$Y,I:I,I49,$D:$D,$D49,$AE:$AE,$AE49)/SUMIF(符文权重!$A:$A,$D49,符文权重!$D:$D)))</f>
        <v>0.0075690624738941</v>
      </c>
      <c r="P49" s="51" cm="1">
        <f t="array" ref="P49">IF($A49="","",IF(J49="","",_xlfn.XLOOKUP($D49&amp;"_"&amp;$AE49,符文权重!$A:$A&amp;"_"&amp;符文权重!$C:$C,符文权重!$D:$D)*$Y49/SUMIFS($Y:$Y,J:J,J49,$D:$D,$D49,$AE:$AE,$AE49)/SUMIF(符文权重!$A:$A,$D49,符文权重!$D:$D)))</f>
        <v>0.0075690624738941</v>
      </c>
      <c r="Q49" s="51" cm="1">
        <f t="array" ref="Q49">IF($A49="","",IF(K49="","",_xlfn.XLOOKUP($D49&amp;"_"&amp;$AE49,符文权重!$A:$A&amp;"_"&amp;符文权重!$C:$C,符文权重!$D:$D)*$Y49/SUMIFS($Y:$Y,K:K,K49,$D:$D,$D49,$AE:$AE,$AE49)/SUMIF(符文权重!$A:$A,$D49,符文权重!$D:$D)))</f>
        <v>0.0075690624738941</v>
      </c>
      <c r="R49" s="51" cm="1">
        <f t="array" ref="R49">IF($A49="","",IF(L49="","",_xlfn.XLOOKUP($D49&amp;"_"&amp;$AE49,符文权重!$A:$A&amp;"_"&amp;符文权重!$C:$C,符文权重!$D:$D)*$Y49/SUMIFS($Y:$Y,L:L,L49,$D:$D,$D49,$AE:$AE,$AE49)/SUMIF(符文权重!$A:$A,$D49,符文权重!$D:$D)))</f>
        <v>0.0075690624738941</v>
      </c>
      <c r="S49" s="36" t="s">
        <v>192</v>
      </c>
      <c r="T49" s="36" t="s">
        <v>230</v>
      </c>
      <c r="U49" s="36" t="e">
        <f>IF(C49="","",SUBSTITUTE(SUBSTITUTE("[{global_atk,"&amp;#REF!*D49&amp;"}]",21,20),9,8))</f>
        <v>#REF!</v>
      </c>
      <c r="V49" s="52" t="str">
        <f t="shared" si="21"/>
        <v>[5501064]</v>
      </c>
      <c r="W49" s="36" t="s">
        <v>235</v>
      </c>
      <c r="X49" s="35"/>
      <c r="Y49" s="42">
        <v>33</v>
      </c>
      <c r="Z49" s="35"/>
      <c r="AA49" s="42" t="s">
        <v>185</v>
      </c>
      <c r="AB49" s="42" t="str">
        <f t="shared" si="3"/>
        <v>控制职业攻击力&lt;color=#54b76b&gt;+75&lt;/color&gt;</v>
      </c>
      <c r="AC49" s="48" t="str">
        <f t="shared" si="4"/>
        <v>5501061</v>
      </c>
      <c r="AD49" s="42" t="str">
        <f t="shared" si="5"/>
        <v>[75]</v>
      </c>
      <c r="AE49" s="36">
        <v>1</v>
      </c>
      <c r="AF49" s="36"/>
      <c r="AG49" s="36">
        <v>0</v>
      </c>
      <c r="AH49" s="35" t="s">
        <v>178</v>
      </c>
      <c r="AI49" s="48">
        <f t="shared" si="22"/>
        <v>5501064</v>
      </c>
      <c r="AJ49" s="53" t="str">
        <f t="shared" si="23"/>
        <v>控制职业攻击力&lt;color=#54b76b&gt;+%s&lt;/color&gt;</v>
      </c>
      <c r="AK49" s="35">
        <v>75</v>
      </c>
      <c r="AL49" s="36">
        <v>1</v>
      </c>
    </row>
    <row r="50" s="25" customFormat="1" hidden="1" customHeight="1" spans="1:38">
      <c r="A50" s="48">
        <v>5501065</v>
      </c>
      <c r="B50" s="42"/>
      <c r="C50" s="48" t="str">
        <f t="shared" si="0"/>
        <v>5501061</v>
      </c>
      <c r="D50" s="42">
        <f t="shared" si="1"/>
        <v>5</v>
      </c>
      <c r="E50" s="42"/>
      <c r="F50" s="36" t="s">
        <v>174</v>
      </c>
      <c r="G50" s="36">
        <f t="shared" si="8"/>
        <v>1</v>
      </c>
      <c r="H50" s="36">
        <f>IFERROR(IF(--MID($F50,2*COUNTIF($G50:G50,"&gt;"&amp;0)+2,1)=H$1,H$1,""),"")</f>
        <v>2</v>
      </c>
      <c r="I50" s="36">
        <f>IFERROR(IF(--MID($F50,2*COUNTIF($G50:H50,"&gt;"&amp;0)+2,1)=I$1,I$1,""),"")</f>
        <v>3</v>
      </c>
      <c r="J50" s="36">
        <f>IFERROR(IF(--MID($F50,2*COUNTIF($G50:I50,"&gt;"&amp;0)+2,1)=J$1,J$1,""),"")</f>
        <v>4</v>
      </c>
      <c r="K50" s="36">
        <f>IFERROR(IF(--MID($F50,2*COUNTIF($G50:J50,"&gt;"&amp;0)+2,1)=K$1,K$1,""),"")</f>
        <v>5</v>
      </c>
      <c r="L50" s="36">
        <f>IFERROR(IF(--MID($F50,2*COUNTIF($G50:K50,"&gt;"&amp;0)+2,1)=L$1,L$1,""),"")</f>
        <v>6</v>
      </c>
      <c r="M50" s="51" cm="1">
        <f t="array" ref="M50">IF($A50="","",IF(G50="","",_xlfn.XLOOKUP($D50&amp;"_"&amp;$AE50,符文权重!$A:$A&amp;"_"&amp;符文权重!$C:$C,符文权重!$D:$D)*$Y50/SUMIFS($Y:$Y,G:G,G50,$D:$D,$D50,$AE:$AE,$AE50)/SUMIF(符文权重!$A:$A,$D50,符文权重!$D:$D)))</f>
        <v>0.0204</v>
      </c>
      <c r="N50" s="51" cm="1">
        <f t="array" ref="N50">IF($A50="","",IF(H50="","",_xlfn.XLOOKUP($D50&amp;"_"&amp;$AE50,符文权重!$A:$A&amp;"_"&amp;符文权重!$C:$C,符文权重!$D:$D)*$Y50/SUMIFS($Y:$Y,H:H,H50,$D:$D,$D50,$AE:$AE,$AE50)/SUMIF(符文权重!$A:$A,$D50,符文权重!$D:$D)))</f>
        <v>0.0204</v>
      </c>
      <c r="O50" s="51" cm="1">
        <f t="array" ref="O50">IF($A50="","",IF(I50="","",_xlfn.XLOOKUP($D50&amp;"_"&amp;$AE50,符文权重!$A:$A&amp;"_"&amp;符文权重!$C:$C,符文权重!$D:$D)*$Y50/SUMIFS($Y:$Y,I:I,I50,$D:$D,$D50,$AE:$AE,$AE50)/SUMIF(符文权重!$A:$A,$D50,符文权重!$D:$D)))</f>
        <v>0.0204</v>
      </c>
      <c r="P50" s="51" cm="1">
        <f t="array" ref="P50">IF($A50="","",IF(J50="","",_xlfn.XLOOKUP($D50&amp;"_"&amp;$AE50,符文权重!$A:$A&amp;"_"&amp;符文权重!$C:$C,符文权重!$D:$D)*$Y50/SUMIFS($Y:$Y,J:J,J50,$D:$D,$D50,$AE:$AE,$AE50)/SUMIF(符文权重!$A:$A,$D50,符文权重!$D:$D)))</f>
        <v>0.0204</v>
      </c>
      <c r="Q50" s="51" cm="1">
        <f t="array" ref="Q50">IF($A50="","",IF(K50="","",_xlfn.XLOOKUP($D50&amp;"_"&amp;$AE50,符文权重!$A:$A&amp;"_"&amp;符文权重!$C:$C,符文权重!$D:$D)*$Y50/SUMIFS($Y:$Y,K:K,K50,$D:$D,$D50,$AE:$AE,$AE50)/SUMIF(符文权重!$A:$A,$D50,符文权重!$D:$D)))</f>
        <v>0.0204</v>
      </c>
      <c r="R50" s="51" cm="1">
        <f t="array" ref="R50">IF($A50="","",IF(L50="","",_xlfn.XLOOKUP($D50&amp;"_"&amp;$AE50,符文权重!$A:$A&amp;"_"&amp;符文权重!$C:$C,符文权重!$D:$D)*$Y50/SUMIFS($Y:$Y,L:L,L50,$D:$D,$D50,$AE:$AE,$AE50)/SUMIF(符文权重!$A:$A,$D50,符文权重!$D:$D)))</f>
        <v>0.0204</v>
      </c>
      <c r="S50" s="36" t="s">
        <v>192</v>
      </c>
      <c r="T50" s="36" t="s">
        <v>230</v>
      </c>
      <c r="U50" s="36" t="e">
        <f>IF(C50="","",SUBSTITUTE(SUBSTITUTE("[{global_atk,"&amp;#REF!*D50&amp;"}]",21,20),9,8))</f>
        <v>#REF!</v>
      </c>
      <c r="V50" s="52" t="str">
        <f t="shared" si="21"/>
        <v>[5501065]</v>
      </c>
      <c r="W50" s="36" t="s">
        <v>236</v>
      </c>
      <c r="X50" s="35"/>
      <c r="Y50" s="42">
        <v>100</v>
      </c>
      <c r="Z50" s="35"/>
      <c r="AA50" s="42" t="s">
        <v>187</v>
      </c>
      <c r="AB50" s="42" t="str">
        <f t="shared" si="3"/>
        <v>控制职业攻击力&lt;color=#54b76b&gt;+96&lt;/color&gt;</v>
      </c>
      <c r="AC50" s="48" t="str">
        <f t="shared" si="4"/>
        <v>5501061</v>
      </c>
      <c r="AD50" s="42" t="str">
        <f t="shared" si="5"/>
        <v>[96]</v>
      </c>
      <c r="AE50" s="36">
        <v>1</v>
      </c>
      <c r="AF50" s="36"/>
      <c r="AG50" s="36">
        <v>0</v>
      </c>
      <c r="AH50" s="35" t="s">
        <v>178</v>
      </c>
      <c r="AI50" s="48">
        <f t="shared" si="22"/>
        <v>5501065</v>
      </c>
      <c r="AJ50" s="53" t="str">
        <f t="shared" si="23"/>
        <v>控制职业攻击力&lt;color=#54b76b&gt;+%s&lt;/color&gt;</v>
      </c>
      <c r="AK50" s="35">
        <v>96</v>
      </c>
      <c r="AL50" s="36">
        <v>1</v>
      </c>
    </row>
    <row r="51" s="25" customFormat="1" hidden="1" customHeight="1" spans="1:38">
      <c r="A51" s="48">
        <v>5501066</v>
      </c>
      <c r="B51" s="42"/>
      <c r="C51" s="48" t="str">
        <f t="shared" si="0"/>
        <v>5501061</v>
      </c>
      <c r="D51" s="42">
        <f t="shared" si="1"/>
        <v>6</v>
      </c>
      <c r="E51" s="42"/>
      <c r="F51" s="36" t="s">
        <v>174</v>
      </c>
      <c r="G51" s="36">
        <f t="shared" si="8"/>
        <v>1</v>
      </c>
      <c r="H51" s="36">
        <f>IFERROR(IF(--MID($F51,2*COUNTIF($G51:G51,"&gt;"&amp;0)+2,1)=H$1,H$1,""),"")</f>
        <v>2</v>
      </c>
      <c r="I51" s="36">
        <f>IFERROR(IF(--MID($F51,2*COUNTIF($G51:H51,"&gt;"&amp;0)+2,1)=I$1,I$1,""),"")</f>
        <v>3</v>
      </c>
      <c r="J51" s="36">
        <f>IFERROR(IF(--MID($F51,2*COUNTIF($G51:I51,"&gt;"&amp;0)+2,1)=J$1,J$1,""),"")</f>
        <v>4</v>
      </c>
      <c r="K51" s="36">
        <f>IFERROR(IF(--MID($F51,2*COUNTIF($G51:J51,"&gt;"&amp;0)+2,1)=K$1,K$1,""),"")</f>
        <v>5</v>
      </c>
      <c r="L51" s="36">
        <f>IFERROR(IF(--MID($F51,2*COUNTIF($G51:K51,"&gt;"&amp;0)+2,1)=L$1,L$1,""),"")</f>
        <v>6</v>
      </c>
      <c r="M51" s="51" cm="1">
        <f t="array" ref="M51">IF($A51="","",IF(G51="","",_xlfn.XLOOKUP($D51&amp;"_"&amp;$AE51,符文权重!$A:$A&amp;"_"&amp;符文权重!$C:$C,符文权重!$D:$D)*$Y51/SUMIFS($Y:$Y,G:G,G51,$D:$D,$D51,$AE:$AE,$AE51)/SUMIF(符文权重!$A:$A,$D51,符文权重!$D:$D)))</f>
        <v>0.0204</v>
      </c>
      <c r="N51" s="51" cm="1">
        <f t="array" ref="N51">IF($A51="","",IF(H51="","",_xlfn.XLOOKUP($D51&amp;"_"&amp;$AE51,符文权重!$A:$A&amp;"_"&amp;符文权重!$C:$C,符文权重!$D:$D)*$Y51/SUMIFS($Y:$Y,H:H,H51,$D:$D,$D51,$AE:$AE,$AE51)/SUMIF(符文权重!$A:$A,$D51,符文权重!$D:$D)))</f>
        <v>0.0204</v>
      </c>
      <c r="O51" s="51" cm="1">
        <f t="array" ref="O51">IF($A51="","",IF(I51="","",_xlfn.XLOOKUP($D51&amp;"_"&amp;$AE51,符文权重!$A:$A&amp;"_"&amp;符文权重!$C:$C,符文权重!$D:$D)*$Y51/SUMIFS($Y:$Y,I:I,I51,$D:$D,$D51,$AE:$AE,$AE51)/SUMIF(符文权重!$A:$A,$D51,符文权重!$D:$D)))</f>
        <v>0.0204</v>
      </c>
      <c r="P51" s="51" cm="1">
        <f t="array" ref="P51">IF($A51="","",IF(J51="","",_xlfn.XLOOKUP($D51&amp;"_"&amp;$AE51,符文权重!$A:$A&amp;"_"&amp;符文权重!$C:$C,符文权重!$D:$D)*$Y51/SUMIFS($Y:$Y,J:J,J51,$D:$D,$D51,$AE:$AE,$AE51)/SUMIF(符文权重!$A:$A,$D51,符文权重!$D:$D)))</f>
        <v>0.0204</v>
      </c>
      <c r="Q51" s="51" cm="1">
        <f t="array" ref="Q51">IF($A51="","",IF(K51="","",_xlfn.XLOOKUP($D51&amp;"_"&amp;$AE51,符文权重!$A:$A&amp;"_"&amp;符文权重!$C:$C,符文权重!$D:$D)*$Y51/SUMIFS($Y:$Y,K:K,K51,$D:$D,$D51,$AE:$AE,$AE51)/SUMIF(符文权重!$A:$A,$D51,符文权重!$D:$D)))</f>
        <v>0.0204</v>
      </c>
      <c r="R51" s="51" cm="1">
        <f t="array" ref="R51">IF($A51="","",IF(L51="","",_xlfn.XLOOKUP($D51&amp;"_"&amp;$AE51,符文权重!$A:$A&amp;"_"&amp;符文权重!$C:$C,符文权重!$D:$D)*$Y51/SUMIFS($Y:$Y,L:L,L51,$D:$D,$D51,$AE:$AE,$AE51)/SUMIF(符文权重!$A:$A,$D51,符文权重!$D:$D)))</f>
        <v>0.0204</v>
      </c>
      <c r="S51" s="36" t="s">
        <v>192</v>
      </c>
      <c r="T51" s="36" t="s">
        <v>230</v>
      </c>
      <c r="U51" s="36" t="e">
        <f>IF(C51="","",SUBSTITUTE(SUBSTITUTE("[{global_atk,"&amp;#REF!*D51&amp;"}]",21,20),9,8))</f>
        <v>#REF!</v>
      </c>
      <c r="V51" s="52" t="str">
        <f t="shared" si="21"/>
        <v>[5501066]</v>
      </c>
      <c r="W51" s="36" t="s">
        <v>237</v>
      </c>
      <c r="X51" s="35"/>
      <c r="Y51" s="42">
        <v>100</v>
      </c>
      <c r="Z51" s="35"/>
      <c r="AA51" s="42" t="s">
        <v>189</v>
      </c>
      <c r="AB51" s="42" t="str">
        <f t="shared" si="3"/>
        <v>控制职业攻击力&lt;color=#54b76b&gt;+120&lt;/color&gt;</v>
      </c>
      <c r="AC51" s="48" t="str">
        <f t="shared" si="4"/>
        <v>5501061</v>
      </c>
      <c r="AD51" s="42" t="str">
        <f t="shared" si="5"/>
        <v>[120]</v>
      </c>
      <c r="AE51" s="36">
        <v>1</v>
      </c>
      <c r="AF51" s="36"/>
      <c r="AG51" s="36">
        <v>0</v>
      </c>
      <c r="AH51" s="35" t="s">
        <v>178</v>
      </c>
      <c r="AI51" s="48">
        <f t="shared" si="22"/>
        <v>5501066</v>
      </c>
      <c r="AJ51" s="53" t="str">
        <f t="shared" si="23"/>
        <v>控制职业攻击力&lt;color=#54b76b&gt;+%s&lt;/color&gt;</v>
      </c>
      <c r="AK51" s="35">
        <v>120</v>
      </c>
      <c r="AL51" s="36">
        <v>1</v>
      </c>
    </row>
    <row r="52" s="25" customFormat="1" hidden="1" customHeight="1" spans="1:38">
      <c r="A52" s="48">
        <v>5501067</v>
      </c>
      <c r="B52" s="42"/>
      <c r="C52" s="48" t="str">
        <f t="shared" si="0"/>
        <v>5501061</v>
      </c>
      <c r="D52" s="42">
        <f t="shared" si="1"/>
        <v>7</v>
      </c>
      <c r="E52" s="42"/>
      <c r="F52" s="36" t="s">
        <v>174</v>
      </c>
      <c r="G52" s="36">
        <f t="shared" si="8"/>
        <v>1</v>
      </c>
      <c r="H52" s="36">
        <f>IFERROR(IF(--MID($F52,2*COUNTIF($G52:G52,"&gt;"&amp;0)+2,1)=H$1,H$1,""),"")</f>
        <v>2</v>
      </c>
      <c r="I52" s="36">
        <f>IFERROR(IF(--MID($F52,2*COUNTIF($G52:H52,"&gt;"&amp;0)+2,1)=I$1,I$1,""),"")</f>
        <v>3</v>
      </c>
      <c r="J52" s="36">
        <f>IFERROR(IF(--MID($F52,2*COUNTIF($G52:I52,"&gt;"&amp;0)+2,1)=J$1,J$1,""),"")</f>
        <v>4</v>
      </c>
      <c r="K52" s="36">
        <f>IFERROR(IF(--MID($F52,2*COUNTIF($G52:J52,"&gt;"&amp;0)+2,1)=K$1,K$1,""),"")</f>
        <v>5</v>
      </c>
      <c r="L52" s="36">
        <f>IFERROR(IF(--MID($F52,2*COUNTIF($G52:K52,"&gt;"&amp;0)+2,1)=L$1,L$1,""),"")</f>
        <v>6</v>
      </c>
      <c r="M52" s="51" cm="1">
        <f t="array" ref="M52">IF($A52="","",IF(G52="","",_xlfn.XLOOKUP($D52&amp;"_"&amp;$AE52,符文权重!$A:$A&amp;"_"&amp;符文权重!$C:$C,符文权重!$D:$D)*$Y52/SUMIFS($Y:$Y,G:G,G52,$D:$D,$D52,$AE:$AE,$AE52)/SUMIF(符文权重!$A:$A,$D52,符文权重!$D:$D)))</f>
        <v>0.0204</v>
      </c>
      <c r="N52" s="51" cm="1">
        <f t="array" ref="N52">IF($A52="","",IF(H52="","",_xlfn.XLOOKUP($D52&amp;"_"&amp;$AE52,符文权重!$A:$A&amp;"_"&amp;符文权重!$C:$C,符文权重!$D:$D)*$Y52/SUMIFS($Y:$Y,H:H,H52,$D:$D,$D52,$AE:$AE,$AE52)/SUMIF(符文权重!$A:$A,$D52,符文权重!$D:$D)))</f>
        <v>0.0204</v>
      </c>
      <c r="O52" s="51" cm="1">
        <f t="array" ref="O52">IF($A52="","",IF(I52="","",_xlfn.XLOOKUP($D52&amp;"_"&amp;$AE52,符文权重!$A:$A&amp;"_"&amp;符文权重!$C:$C,符文权重!$D:$D)*$Y52/SUMIFS($Y:$Y,I:I,I52,$D:$D,$D52,$AE:$AE,$AE52)/SUMIF(符文权重!$A:$A,$D52,符文权重!$D:$D)))</f>
        <v>0.0204</v>
      </c>
      <c r="P52" s="51" cm="1">
        <f t="array" ref="P52">IF($A52="","",IF(J52="","",_xlfn.XLOOKUP($D52&amp;"_"&amp;$AE52,符文权重!$A:$A&amp;"_"&amp;符文权重!$C:$C,符文权重!$D:$D)*$Y52/SUMIFS($Y:$Y,J:J,J52,$D:$D,$D52,$AE:$AE,$AE52)/SUMIF(符文权重!$A:$A,$D52,符文权重!$D:$D)))</f>
        <v>0.0204</v>
      </c>
      <c r="Q52" s="51" cm="1">
        <f t="array" ref="Q52">IF($A52="","",IF(K52="","",_xlfn.XLOOKUP($D52&amp;"_"&amp;$AE52,符文权重!$A:$A&amp;"_"&amp;符文权重!$C:$C,符文权重!$D:$D)*$Y52/SUMIFS($Y:$Y,K:K,K52,$D:$D,$D52,$AE:$AE,$AE52)/SUMIF(符文权重!$A:$A,$D52,符文权重!$D:$D)))</f>
        <v>0.0204</v>
      </c>
      <c r="R52" s="51" cm="1">
        <f t="array" ref="R52">IF($A52="","",IF(L52="","",_xlfn.XLOOKUP($D52&amp;"_"&amp;$AE52,符文权重!$A:$A&amp;"_"&amp;符文权重!$C:$C,符文权重!$D:$D)*$Y52/SUMIFS($Y:$Y,L:L,L52,$D:$D,$D52,$AE:$AE,$AE52)/SUMIF(符文权重!$A:$A,$D52,符文权重!$D:$D)))</f>
        <v>0.0204</v>
      </c>
      <c r="S52" s="36" t="s">
        <v>192</v>
      </c>
      <c r="T52" s="36" t="s">
        <v>230</v>
      </c>
      <c r="U52" s="36" t="e">
        <f>IF(C52="","",SUBSTITUTE(SUBSTITUTE("[{global_atk,"&amp;#REF!*D52&amp;"}]",21,20),9,8))</f>
        <v>#REF!</v>
      </c>
      <c r="V52" s="52" t="str">
        <f t="shared" si="21"/>
        <v>[5501067]</v>
      </c>
      <c r="W52" s="36" t="s">
        <v>238</v>
      </c>
      <c r="X52" s="35"/>
      <c r="Y52" s="42">
        <v>100</v>
      </c>
      <c r="Z52" s="35"/>
      <c r="AA52" s="42" t="s">
        <v>191</v>
      </c>
      <c r="AB52" s="42" t="str">
        <f t="shared" si="3"/>
        <v>控制职业攻击力&lt;color=#54b76b&gt;+150&lt;/color&gt;</v>
      </c>
      <c r="AC52" s="48" t="str">
        <f t="shared" si="4"/>
        <v>5501061</v>
      </c>
      <c r="AD52" s="42" t="str">
        <f t="shared" si="5"/>
        <v>[150]</v>
      </c>
      <c r="AE52" s="36">
        <v>1</v>
      </c>
      <c r="AF52" s="36"/>
      <c r="AG52" s="36">
        <v>0</v>
      </c>
      <c r="AH52" s="35" t="s">
        <v>178</v>
      </c>
      <c r="AI52" s="48">
        <f t="shared" si="22"/>
        <v>5501067</v>
      </c>
      <c r="AJ52" s="53" t="str">
        <f t="shared" si="23"/>
        <v>控制职业攻击力&lt;color=#54b76b&gt;+%s&lt;/color&gt;</v>
      </c>
      <c r="AK52" s="35">
        <v>150</v>
      </c>
      <c r="AL52" s="36">
        <v>1</v>
      </c>
    </row>
    <row r="53" s="25" customFormat="1" hidden="1" customHeight="1" spans="1:38">
      <c r="A53" s="48" t="s">
        <v>178</v>
      </c>
      <c r="C53" s="48" t="str">
        <f t="shared" si="0"/>
        <v/>
      </c>
      <c r="D53" s="42" t="str">
        <f t="shared" si="1"/>
        <v/>
      </c>
      <c r="E53" s="42"/>
      <c r="F53" s="36"/>
      <c r="G53" s="36" t="str">
        <f t="shared" si="8"/>
        <v/>
      </c>
      <c r="H53" s="36" t="str">
        <f>IFERROR(IF(--MID($F53,2*COUNTIF($G53:G53,"&gt;"&amp;0)+2,1)=H$1,H$1,""),"")</f>
        <v/>
      </c>
      <c r="I53" s="36" t="str">
        <f>IFERROR(IF(--MID($F53,2*COUNTIF($G53:H53,"&gt;"&amp;0)+2,1)=I$1,I$1,""),"")</f>
        <v/>
      </c>
      <c r="J53" s="36" t="str">
        <f>IFERROR(IF(--MID($F53,2*COUNTIF($G53:I53,"&gt;"&amp;0)+2,1)=J$1,J$1,""),"")</f>
        <v/>
      </c>
      <c r="K53" s="36" t="str">
        <f>IFERROR(IF(--MID($F53,2*COUNTIF($G53:J53,"&gt;"&amp;0)+2,1)=K$1,K$1,""),"")</f>
        <v/>
      </c>
      <c r="L53" s="36" t="str">
        <f>IFERROR(IF(--MID($F53,2*COUNTIF($G53:K53,"&gt;"&amp;0)+2,1)=L$1,L$1,""),"")</f>
        <v/>
      </c>
      <c r="M53" s="51" t="str" cm="1">
        <f t="array" ref="M53">IF($A53="","",IF(G53="","",_xlfn.XLOOKUP($D53&amp;"_"&amp;$AE53,符文权重!$A:$A&amp;"_"&amp;符文权重!$C:$C,符文权重!$D:$D)*$Y53/SUMIFS($Y:$Y,G:G,G53,$D:$D,$D53,$AE:$AE,$AE53)/SUMIF(符文权重!$A:$A,$D53,符文权重!$D:$D)))</f>
        <v/>
      </c>
      <c r="N53" s="36" t="str" cm="1">
        <f t="array" ref="N53">IF($A53="","",IF(H53="","",_xlfn.XLOOKUP($D53&amp;"_"&amp;$AE53,符文权重!$A:$A&amp;"_"&amp;符文权重!$C:$C,符文权重!$D:$D)*$Y53/SUMIFS($Y:$Y,H:H,H53,$D:$D,$D$6,$AE:$AE,$AE$6)))</f>
        <v/>
      </c>
      <c r="O53" s="36" t="str" cm="1">
        <f t="array" ref="O53">IF($A53="","",IF(I53="","",_xlfn.XLOOKUP($D53&amp;"_"&amp;$AE53,符文权重!$A:$A&amp;"_"&amp;符文权重!$C:$C,符文权重!$D:$D)*$Y53/SUMIFS($Y:$Y,I:I,I53,$D:$D,$D$6,$AE:$AE,$AE$6)))</f>
        <v/>
      </c>
      <c r="P53" s="36" t="str" cm="1">
        <f t="array" ref="P53">IF($A53="","",IF(J53="","",_xlfn.XLOOKUP($D53&amp;"_"&amp;$AE53,符文权重!$A:$A&amp;"_"&amp;符文权重!$C:$C,符文权重!$D:$D)*$Y53/SUMIFS($Y:$Y,J:J,J53,$D:$D,$D$6,$AE:$AE,$AE$6)))</f>
        <v/>
      </c>
      <c r="Q53" s="36" t="str" cm="1">
        <f t="array" ref="Q53">IF($A53="","",IF(K53="","",_xlfn.XLOOKUP($D53&amp;"_"&amp;$AE53,符文权重!$A:$A&amp;"_"&amp;符文权重!$C:$C,符文权重!$D:$D)*$Y53/SUMIFS($Y:$Y,K:K,K53,$D:$D,$D$6,$AE:$AE,$AE$6)))</f>
        <v/>
      </c>
      <c r="R53" s="36" t="str" cm="1">
        <f t="array" ref="R53">IF($A53="","",IF(L53="","",_xlfn.XLOOKUP($D53&amp;"_"&amp;$AE53,符文权重!$A:$A&amp;"_"&amp;符文权重!$C:$C,符文权重!$D:$D)*$Y53/SUMIFS($Y:$Y,L:L,L53,$D:$D,$D$6,$AE:$AE,$AE$6)))</f>
        <v/>
      </c>
      <c r="S53" s="36" t="s">
        <v>178</v>
      </c>
      <c r="T53" s="36" t="s">
        <v>178</v>
      </c>
      <c r="U53" s="36"/>
      <c r="V53" s="52"/>
      <c r="W53" s="36"/>
      <c r="X53" s="35"/>
      <c r="Y53" s="42"/>
      <c r="Z53" s="35"/>
      <c r="AA53" s="42" t="s">
        <v>178</v>
      </c>
      <c r="AB53" s="42" t="str">
        <f t="shared" si="3"/>
        <v/>
      </c>
      <c r="AC53" s="48" t="str">
        <f t="shared" si="4"/>
        <v/>
      </c>
      <c r="AD53" s="42" t="str">
        <f t="shared" si="5"/>
        <v/>
      </c>
      <c r="AE53" s="36"/>
      <c r="AF53" s="36"/>
      <c r="AG53" s="36"/>
      <c r="AH53" s="35" t="s">
        <v>178</v>
      </c>
      <c r="AI53" s="33"/>
      <c r="AJ53" s="65"/>
      <c r="AK53" s="35"/>
      <c r="AL53" s="36"/>
    </row>
    <row r="54" s="27" customFormat="1" hidden="1" customHeight="1" spans="1:38">
      <c r="A54" s="57">
        <v>5501071</v>
      </c>
      <c r="B54" s="58" t="s">
        <v>229</v>
      </c>
      <c r="C54" s="57" t="str">
        <f t="shared" si="0"/>
        <v>5501071</v>
      </c>
      <c r="D54" s="59">
        <f t="shared" si="1"/>
        <v>1</v>
      </c>
      <c r="E54" s="59"/>
      <c r="F54" s="60" t="s">
        <v>174</v>
      </c>
      <c r="G54" s="36">
        <f t="shared" si="8"/>
        <v>1</v>
      </c>
      <c r="H54" s="36">
        <f>IFERROR(IF(--MID($F54,2*COUNTIF($G54:G54,"&gt;"&amp;0)+2,1)=H$1,H$1,""),"")</f>
        <v>2</v>
      </c>
      <c r="I54" s="36">
        <f>IFERROR(IF(--MID($F54,2*COUNTIF($G54:H54,"&gt;"&amp;0)+2,1)=I$1,I$1,""),"")</f>
        <v>3</v>
      </c>
      <c r="J54" s="36">
        <f>IFERROR(IF(--MID($F54,2*COUNTIF($G54:I54,"&gt;"&amp;0)+2,1)=J$1,J$1,""),"")</f>
        <v>4</v>
      </c>
      <c r="K54" s="36">
        <f>IFERROR(IF(--MID($F54,2*COUNTIF($G54:J54,"&gt;"&amp;0)+2,1)=K$1,K$1,""),"")</f>
        <v>5</v>
      </c>
      <c r="L54" s="36">
        <f>IFERROR(IF(--MID($F54,2*COUNTIF($G54:K54,"&gt;"&amp;0)+2,1)=L$1,L$1,""),"")</f>
        <v>6</v>
      </c>
      <c r="M54" s="36" t="e" cm="1">
        <f t="array" ref="M54">IF(A54="","",_xlfn.XLOOKUP(D54&amp;"_"&amp;AE54,符文权重!A:A&amp;"_"&amp;符文权重!C:C,符文权重!D:D))</f>
        <v>#N/A</v>
      </c>
      <c r="N54" s="36"/>
      <c r="O54" s="36"/>
      <c r="P54" s="36"/>
      <c r="Q54" s="36"/>
      <c r="R54" s="36"/>
      <c r="S54" s="60" t="s">
        <v>192</v>
      </c>
      <c r="T54" s="60" t="s">
        <v>239</v>
      </c>
      <c r="U54" s="60" t="e">
        <f>IF(C54="","",SUBSTITUTE(SUBSTITUTE("[{global_atk,"&amp;#REF!*D54&amp;"}]",21,20),9,8))</f>
        <v>#REF!</v>
      </c>
      <c r="V54" s="61" t="str">
        <f t="shared" ref="V54:V60" si="24">"["&amp;A54&amp;"]"</f>
        <v>[5501071]</v>
      </c>
      <c r="W54" s="60" t="s">
        <v>240</v>
      </c>
      <c r="X54" s="28"/>
      <c r="Y54" s="42">
        <v>100</v>
      </c>
      <c r="Z54" s="28"/>
      <c r="AA54" s="59" t="s">
        <v>177</v>
      </c>
      <c r="AB54" s="42" t="str">
        <f t="shared" si="3"/>
        <v>召唤职业攻击力&lt;color=#54b76b&gt;+30&lt;/color&gt;</v>
      </c>
      <c r="AC54" s="57" t="str">
        <f t="shared" si="4"/>
        <v>5501071</v>
      </c>
      <c r="AD54" s="59" t="str">
        <f t="shared" si="5"/>
        <v>[30]</v>
      </c>
      <c r="AE54" s="36">
        <v>100</v>
      </c>
      <c r="AF54" s="60"/>
      <c r="AG54" s="60">
        <v>1</v>
      </c>
      <c r="AH54" s="35" t="s">
        <v>178</v>
      </c>
      <c r="AI54" s="62">
        <v>5501071</v>
      </c>
      <c r="AJ54" s="63" t="s">
        <v>241</v>
      </c>
      <c r="AK54" s="28">
        <v>30</v>
      </c>
      <c r="AL54" s="36">
        <v>1</v>
      </c>
    </row>
    <row r="55" s="27" customFormat="1" hidden="1" customHeight="1" spans="1:38">
      <c r="A55" s="57">
        <v>5501072</v>
      </c>
      <c r="B55" s="58" t="s">
        <v>229</v>
      </c>
      <c r="C55" s="57" t="str">
        <f t="shared" si="0"/>
        <v>5501071</v>
      </c>
      <c r="D55" s="59">
        <f t="shared" si="1"/>
        <v>2</v>
      </c>
      <c r="E55" s="59"/>
      <c r="F55" s="60" t="s">
        <v>174</v>
      </c>
      <c r="G55" s="36">
        <f t="shared" si="8"/>
        <v>1</v>
      </c>
      <c r="H55" s="36">
        <f>IFERROR(IF(--MID($F55,2*COUNTIF($G55:G55,"&gt;"&amp;0)+2,1)=H$1,H$1,""),"")</f>
        <v>2</v>
      </c>
      <c r="I55" s="36">
        <f>IFERROR(IF(--MID($F55,2*COUNTIF($G55:H55,"&gt;"&amp;0)+2,1)=I$1,I$1,""),"")</f>
        <v>3</v>
      </c>
      <c r="J55" s="36">
        <f>IFERROR(IF(--MID($F55,2*COUNTIF($G55:I55,"&gt;"&amp;0)+2,1)=J$1,J$1,""),"")</f>
        <v>4</v>
      </c>
      <c r="K55" s="36">
        <f>IFERROR(IF(--MID($F55,2*COUNTIF($G55:J55,"&gt;"&amp;0)+2,1)=K$1,K$1,""),"")</f>
        <v>5</v>
      </c>
      <c r="L55" s="36">
        <f>IFERROR(IF(--MID($F55,2*COUNTIF($G55:K55,"&gt;"&amp;0)+2,1)=L$1,L$1,""),"")</f>
        <v>6</v>
      </c>
      <c r="M55" s="36" t="e" cm="1">
        <f t="array" ref="M55">IF(A55="","",_xlfn.XLOOKUP(D55&amp;"_"&amp;AE55,符文权重!A:A&amp;"_"&amp;符文权重!C:C,符文权重!D:D))</f>
        <v>#N/A</v>
      </c>
      <c r="N55" s="36"/>
      <c r="O55" s="36"/>
      <c r="P55" s="36"/>
      <c r="Q55" s="36"/>
      <c r="R55" s="36"/>
      <c r="S55" s="60" t="s">
        <v>192</v>
      </c>
      <c r="T55" s="60" t="s">
        <v>239</v>
      </c>
      <c r="U55" s="60" t="e">
        <f>IF(C55="","",SUBSTITUTE(SUBSTITUTE("[{global_atk,"&amp;#REF!*D55&amp;"}]",21,20),9,8))</f>
        <v>#REF!</v>
      </c>
      <c r="V55" s="61" t="str">
        <f t="shared" si="24"/>
        <v>[5501072]</v>
      </c>
      <c r="W55" s="60" t="s">
        <v>242</v>
      </c>
      <c r="X55" s="28"/>
      <c r="Y55" s="42">
        <v>100</v>
      </c>
      <c r="Z55" s="28"/>
      <c r="AA55" s="59" t="s">
        <v>181</v>
      </c>
      <c r="AB55" s="42" t="str">
        <f t="shared" si="3"/>
        <v>召唤职业攻击力&lt;color=#54b76b&gt;+40&lt;/color&gt;</v>
      </c>
      <c r="AC55" s="57" t="str">
        <f t="shared" si="4"/>
        <v>5501071</v>
      </c>
      <c r="AD55" s="59" t="str">
        <f t="shared" si="5"/>
        <v>[40]</v>
      </c>
      <c r="AE55" s="36">
        <v>100</v>
      </c>
      <c r="AF55" s="60"/>
      <c r="AG55" s="60">
        <v>1</v>
      </c>
      <c r="AH55" s="35" t="s">
        <v>178</v>
      </c>
      <c r="AI55" s="57">
        <f t="shared" ref="AI55:AI60" si="25">AI54+1</f>
        <v>5501072</v>
      </c>
      <c r="AJ55" s="64" t="str">
        <f t="shared" ref="AJ55:AJ60" si="26">AJ54</f>
        <v>召唤职业攻击力&lt;color=#54b76b&gt;+%s&lt;/color&gt;</v>
      </c>
      <c r="AK55" s="28">
        <v>40</v>
      </c>
      <c r="AL55" s="36">
        <v>1</v>
      </c>
    </row>
    <row r="56" s="27" customFormat="1" hidden="1" customHeight="1" spans="1:38">
      <c r="A56" s="57">
        <v>5501073</v>
      </c>
      <c r="B56" s="58" t="s">
        <v>229</v>
      </c>
      <c r="C56" s="57" t="str">
        <f t="shared" si="0"/>
        <v>5501071</v>
      </c>
      <c r="D56" s="59">
        <f t="shared" si="1"/>
        <v>3</v>
      </c>
      <c r="E56" s="59"/>
      <c r="F56" s="60" t="s">
        <v>174</v>
      </c>
      <c r="G56" s="36">
        <f t="shared" si="8"/>
        <v>1</v>
      </c>
      <c r="H56" s="36">
        <f>IFERROR(IF(--MID($F56,2*COUNTIF($G56:G56,"&gt;"&amp;0)+2,1)=H$1,H$1,""),"")</f>
        <v>2</v>
      </c>
      <c r="I56" s="36">
        <f>IFERROR(IF(--MID($F56,2*COUNTIF($G56:H56,"&gt;"&amp;0)+2,1)=I$1,I$1,""),"")</f>
        <v>3</v>
      </c>
      <c r="J56" s="36">
        <f>IFERROR(IF(--MID($F56,2*COUNTIF($G56:I56,"&gt;"&amp;0)+2,1)=J$1,J$1,""),"")</f>
        <v>4</v>
      </c>
      <c r="K56" s="36">
        <f>IFERROR(IF(--MID($F56,2*COUNTIF($G56:J56,"&gt;"&amp;0)+2,1)=K$1,K$1,""),"")</f>
        <v>5</v>
      </c>
      <c r="L56" s="36">
        <f>IFERROR(IF(--MID($F56,2*COUNTIF($G56:K56,"&gt;"&amp;0)+2,1)=L$1,L$1,""),"")</f>
        <v>6</v>
      </c>
      <c r="M56" s="36" t="e" cm="1">
        <f t="array" ref="M56">IF(A56="","",_xlfn.XLOOKUP(D56&amp;"_"&amp;AE56,符文权重!A:A&amp;"_"&amp;符文权重!C:C,符文权重!D:D))</f>
        <v>#N/A</v>
      </c>
      <c r="N56" s="36"/>
      <c r="O56" s="36"/>
      <c r="P56" s="36"/>
      <c r="Q56" s="36"/>
      <c r="R56" s="36"/>
      <c r="S56" s="60" t="s">
        <v>192</v>
      </c>
      <c r="T56" s="60" t="s">
        <v>239</v>
      </c>
      <c r="U56" s="60" t="e">
        <f>IF(C56="","",SUBSTITUTE(SUBSTITUTE("[{global_atk,"&amp;#REF!*D56&amp;"}]",21,20),9,8))</f>
        <v>#REF!</v>
      </c>
      <c r="V56" s="61" t="str">
        <f t="shared" si="24"/>
        <v>[5501073]</v>
      </c>
      <c r="W56" s="60" t="s">
        <v>243</v>
      </c>
      <c r="X56" s="28"/>
      <c r="Y56" s="42">
        <v>100</v>
      </c>
      <c r="Z56" s="28"/>
      <c r="AA56" s="59" t="s">
        <v>183</v>
      </c>
      <c r="AB56" s="42" t="str">
        <f t="shared" si="3"/>
        <v>召唤职业攻击力&lt;color=#54b76b&gt;+50&lt;/color&gt;</v>
      </c>
      <c r="AC56" s="57" t="str">
        <f t="shared" si="4"/>
        <v>5501071</v>
      </c>
      <c r="AD56" s="59" t="str">
        <f t="shared" si="5"/>
        <v>[50]</v>
      </c>
      <c r="AE56" s="36">
        <v>100</v>
      </c>
      <c r="AF56" s="60"/>
      <c r="AG56" s="60">
        <v>1</v>
      </c>
      <c r="AH56" s="35" t="s">
        <v>178</v>
      </c>
      <c r="AI56" s="57">
        <f t="shared" si="25"/>
        <v>5501073</v>
      </c>
      <c r="AJ56" s="64" t="str">
        <f t="shared" si="26"/>
        <v>召唤职业攻击力&lt;color=#54b76b&gt;+%s&lt;/color&gt;</v>
      </c>
      <c r="AK56" s="28">
        <v>50</v>
      </c>
      <c r="AL56" s="36">
        <v>1</v>
      </c>
    </row>
    <row r="57" s="25" customFormat="1" hidden="1" customHeight="1" spans="1:38">
      <c r="A57" s="48">
        <v>5501074</v>
      </c>
      <c r="B57" s="42"/>
      <c r="C57" s="48" t="str">
        <f t="shared" si="0"/>
        <v>5501071</v>
      </c>
      <c r="D57" s="42">
        <f t="shared" si="1"/>
        <v>4</v>
      </c>
      <c r="E57" s="42"/>
      <c r="F57" s="36" t="s">
        <v>174</v>
      </c>
      <c r="G57" s="36">
        <f t="shared" si="8"/>
        <v>1</v>
      </c>
      <c r="H57" s="36">
        <f>IFERROR(IF(--MID($F57,2*COUNTIF($G57:G57,"&gt;"&amp;0)+2,1)=H$1,H$1,""),"")</f>
        <v>2</v>
      </c>
      <c r="I57" s="36">
        <f>IFERROR(IF(--MID($F57,2*COUNTIF($G57:H57,"&gt;"&amp;0)+2,1)=I$1,I$1,""),"")</f>
        <v>3</v>
      </c>
      <c r="J57" s="36">
        <f>IFERROR(IF(--MID($F57,2*COUNTIF($G57:I57,"&gt;"&amp;0)+2,1)=J$1,J$1,""),"")</f>
        <v>4</v>
      </c>
      <c r="K57" s="36">
        <f>IFERROR(IF(--MID($F57,2*COUNTIF($G57:J57,"&gt;"&amp;0)+2,1)=K$1,K$1,""),"")</f>
        <v>5</v>
      </c>
      <c r="L57" s="36">
        <f>IFERROR(IF(--MID($F57,2*COUNTIF($G57:K57,"&gt;"&amp;0)+2,1)=L$1,L$1,""),"")</f>
        <v>6</v>
      </c>
      <c r="M57" s="51" cm="1">
        <f t="array" ref="M57">IF($A57="","",IF(G57="","",_xlfn.XLOOKUP($D57&amp;"_"&amp;$AE57,符文权重!$A:$A&amp;"_"&amp;符文权重!$C:$C,符文权重!$D:$D)*$Y57/SUMIFS($Y:$Y,G:G,G57,$D:$D,$D57,$AE:$AE,$AE57)/SUMIF(符文权重!$A:$A,$D57,符文权重!$D:$D)))</f>
        <v>0.0075690624738941</v>
      </c>
      <c r="N57" s="51" cm="1">
        <f t="array" ref="N57">IF($A57="","",IF(H57="","",_xlfn.XLOOKUP($D57&amp;"_"&amp;$AE57,符文权重!$A:$A&amp;"_"&amp;符文权重!$C:$C,符文权重!$D:$D)*$Y57/SUMIFS($Y:$Y,H:H,H57,$D:$D,$D57,$AE:$AE,$AE57)/SUMIF(符文权重!$A:$A,$D57,符文权重!$D:$D)))</f>
        <v>0.0075690624738941</v>
      </c>
      <c r="O57" s="51" cm="1">
        <f t="array" ref="O57">IF($A57="","",IF(I57="","",_xlfn.XLOOKUP($D57&amp;"_"&amp;$AE57,符文权重!$A:$A&amp;"_"&amp;符文权重!$C:$C,符文权重!$D:$D)*$Y57/SUMIFS($Y:$Y,I:I,I57,$D:$D,$D57,$AE:$AE,$AE57)/SUMIF(符文权重!$A:$A,$D57,符文权重!$D:$D)))</f>
        <v>0.0075690624738941</v>
      </c>
      <c r="P57" s="51" cm="1">
        <f t="array" ref="P57">IF($A57="","",IF(J57="","",_xlfn.XLOOKUP($D57&amp;"_"&amp;$AE57,符文权重!$A:$A&amp;"_"&amp;符文权重!$C:$C,符文权重!$D:$D)*$Y57/SUMIFS($Y:$Y,J:J,J57,$D:$D,$D57,$AE:$AE,$AE57)/SUMIF(符文权重!$A:$A,$D57,符文权重!$D:$D)))</f>
        <v>0.0075690624738941</v>
      </c>
      <c r="Q57" s="51" cm="1">
        <f t="array" ref="Q57">IF($A57="","",IF(K57="","",_xlfn.XLOOKUP($D57&amp;"_"&amp;$AE57,符文权重!$A:$A&amp;"_"&amp;符文权重!$C:$C,符文权重!$D:$D)*$Y57/SUMIFS($Y:$Y,K:K,K57,$D:$D,$D57,$AE:$AE,$AE57)/SUMIF(符文权重!$A:$A,$D57,符文权重!$D:$D)))</f>
        <v>0.0075690624738941</v>
      </c>
      <c r="R57" s="51" cm="1">
        <f t="array" ref="R57">IF($A57="","",IF(L57="","",_xlfn.XLOOKUP($D57&amp;"_"&amp;$AE57,符文权重!$A:$A&amp;"_"&amp;符文权重!$C:$C,符文权重!$D:$D)*$Y57/SUMIFS($Y:$Y,L:L,L57,$D:$D,$D57,$AE:$AE,$AE57)/SUMIF(符文权重!$A:$A,$D57,符文权重!$D:$D)))</f>
        <v>0.0075690624738941</v>
      </c>
      <c r="S57" s="36" t="s">
        <v>192</v>
      </c>
      <c r="T57" s="36" t="s">
        <v>239</v>
      </c>
      <c r="U57" s="36" t="e">
        <f>IF(C57="","",SUBSTITUTE(SUBSTITUTE("[{global_atk,"&amp;#REF!*D57&amp;"}]",21,20),9,8))</f>
        <v>#REF!</v>
      </c>
      <c r="V57" s="52" t="str">
        <f t="shared" si="24"/>
        <v>[5501074]</v>
      </c>
      <c r="W57" s="36" t="s">
        <v>244</v>
      </c>
      <c r="X57" s="35"/>
      <c r="Y57" s="42">
        <v>33</v>
      </c>
      <c r="Z57" s="35"/>
      <c r="AA57" s="42" t="s">
        <v>185</v>
      </c>
      <c r="AB57" s="42" t="str">
        <f t="shared" si="3"/>
        <v>召唤职业攻击力&lt;color=#54b76b&gt;+75&lt;/color&gt;</v>
      </c>
      <c r="AC57" s="48" t="str">
        <f t="shared" si="4"/>
        <v>5501071</v>
      </c>
      <c r="AD57" s="42" t="str">
        <f t="shared" si="5"/>
        <v>[75]</v>
      </c>
      <c r="AE57" s="36">
        <v>1</v>
      </c>
      <c r="AF57" s="36"/>
      <c r="AG57" s="36">
        <v>0</v>
      </c>
      <c r="AH57" s="35" t="s">
        <v>178</v>
      </c>
      <c r="AI57" s="48">
        <f t="shared" si="25"/>
        <v>5501074</v>
      </c>
      <c r="AJ57" s="53" t="str">
        <f t="shared" si="26"/>
        <v>召唤职业攻击力&lt;color=#54b76b&gt;+%s&lt;/color&gt;</v>
      </c>
      <c r="AK57" s="35">
        <v>75</v>
      </c>
      <c r="AL57" s="36">
        <v>1</v>
      </c>
    </row>
    <row r="58" s="25" customFormat="1" hidden="1" customHeight="1" spans="1:38">
      <c r="A58" s="48">
        <v>5501075</v>
      </c>
      <c r="B58" s="42"/>
      <c r="C58" s="48" t="str">
        <f t="shared" si="0"/>
        <v>5501071</v>
      </c>
      <c r="D58" s="42">
        <f t="shared" si="1"/>
        <v>5</v>
      </c>
      <c r="E58" s="42"/>
      <c r="F58" s="36" t="s">
        <v>174</v>
      </c>
      <c r="G58" s="36">
        <f t="shared" si="8"/>
        <v>1</v>
      </c>
      <c r="H58" s="36">
        <f>IFERROR(IF(--MID($F58,2*COUNTIF($G58:G58,"&gt;"&amp;0)+2,1)=H$1,H$1,""),"")</f>
        <v>2</v>
      </c>
      <c r="I58" s="36">
        <f>IFERROR(IF(--MID($F58,2*COUNTIF($G58:H58,"&gt;"&amp;0)+2,1)=I$1,I$1,""),"")</f>
        <v>3</v>
      </c>
      <c r="J58" s="36">
        <f>IFERROR(IF(--MID($F58,2*COUNTIF($G58:I58,"&gt;"&amp;0)+2,1)=J$1,J$1,""),"")</f>
        <v>4</v>
      </c>
      <c r="K58" s="36">
        <f>IFERROR(IF(--MID($F58,2*COUNTIF($G58:J58,"&gt;"&amp;0)+2,1)=K$1,K$1,""),"")</f>
        <v>5</v>
      </c>
      <c r="L58" s="36">
        <f>IFERROR(IF(--MID($F58,2*COUNTIF($G58:K58,"&gt;"&amp;0)+2,1)=L$1,L$1,""),"")</f>
        <v>6</v>
      </c>
      <c r="M58" s="51" cm="1">
        <f t="array" ref="M58">IF($A58="","",IF(G58="","",_xlfn.XLOOKUP($D58&amp;"_"&amp;$AE58,符文权重!$A:$A&amp;"_"&amp;符文权重!$C:$C,符文权重!$D:$D)*$Y58/SUMIFS($Y:$Y,G:G,G58,$D:$D,$D58,$AE:$AE,$AE58)/SUMIF(符文权重!$A:$A,$D58,符文权重!$D:$D)))</f>
        <v>0.0204</v>
      </c>
      <c r="N58" s="51" cm="1">
        <f t="array" ref="N58">IF($A58="","",IF(H58="","",_xlfn.XLOOKUP($D58&amp;"_"&amp;$AE58,符文权重!$A:$A&amp;"_"&amp;符文权重!$C:$C,符文权重!$D:$D)*$Y58/SUMIFS($Y:$Y,H:H,H58,$D:$D,$D58,$AE:$AE,$AE58)/SUMIF(符文权重!$A:$A,$D58,符文权重!$D:$D)))</f>
        <v>0.0204</v>
      </c>
      <c r="O58" s="51" cm="1">
        <f t="array" ref="O58">IF($A58="","",IF(I58="","",_xlfn.XLOOKUP($D58&amp;"_"&amp;$AE58,符文权重!$A:$A&amp;"_"&amp;符文权重!$C:$C,符文权重!$D:$D)*$Y58/SUMIFS($Y:$Y,I:I,I58,$D:$D,$D58,$AE:$AE,$AE58)/SUMIF(符文权重!$A:$A,$D58,符文权重!$D:$D)))</f>
        <v>0.0204</v>
      </c>
      <c r="P58" s="51" cm="1">
        <f t="array" ref="P58">IF($A58="","",IF(J58="","",_xlfn.XLOOKUP($D58&amp;"_"&amp;$AE58,符文权重!$A:$A&amp;"_"&amp;符文权重!$C:$C,符文权重!$D:$D)*$Y58/SUMIFS($Y:$Y,J:J,J58,$D:$D,$D58,$AE:$AE,$AE58)/SUMIF(符文权重!$A:$A,$D58,符文权重!$D:$D)))</f>
        <v>0.0204</v>
      </c>
      <c r="Q58" s="51" cm="1">
        <f t="array" ref="Q58">IF($A58="","",IF(K58="","",_xlfn.XLOOKUP($D58&amp;"_"&amp;$AE58,符文权重!$A:$A&amp;"_"&amp;符文权重!$C:$C,符文权重!$D:$D)*$Y58/SUMIFS($Y:$Y,K:K,K58,$D:$D,$D58,$AE:$AE,$AE58)/SUMIF(符文权重!$A:$A,$D58,符文权重!$D:$D)))</f>
        <v>0.0204</v>
      </c>
      <c r="R58" s="51" cm="1">
        <f t="array" ref="R58">IF($A58="","",IF(L58="","",_xlfn.XLOOKUP($D58&amp;"_"&amp;$AE58,符文权重!$A:$A&amp;"_"&amp;符文权重!$C:$C,符文权重!$D:$D)*$Y58/SUMIFS($Y:$Y,L:L,L58,$D:$D,$D58,$AE:$AE,$AE58)/SUMIF(符文权重!$A:$A,$D58,符文权重!$D:$D)))</f>
        <v>0.0204</v>
      </c>
      <c r="S58" s="36" t="s">
        <v>192</v>
      </c>
      <c r="T58" s="36" t="s">
        <v>239</v>
      </c>
      <c r="U58" s="36" t="e">
        <f>IF(C58="","",SUBSTITUTE(SUBSTITUTE("[{global_atk,"&amp;#REF!*D58&amp;"}]",21,20),9,8))</f>
        <v>#REF!</v>
      </c>
      <c r="V58" s="52" t="str">
        <f t="shared" si="24"/>
        <v>[5501075]</v>
      </c>
      <c r="W58" s="36" t="s">
        <v>245</v>
      </c>
      <c r="X58" s="35"/>
      <c r="Y58" s="42">
        <v>100</v>
      </c>
      <c r="Z58" s="35"/>
      <c r="AA58" s="42" t="s">
        <v>187</v>
      </c>
      <c r="AB58" s="42" t="str">
        <f t="shared" si="3"/>
        <v>召唤职业攻击力&lt;color=#54b76b&gt;+96&lt;/color&gt;</v>
      </c>
      <c r="AC58" s="48" t="str">
        <f t="shared" si="4"/>
        <v>5501071</v>
      </c>
      <c r="AD58" s="42" t="str">
        <f t="shared" si="5"/>
        <v>[96]</v>
      </c>
      <c r="AE58" s="36">
        <v>1</v>
      </c>
      <c r="AF58" s="36"/>
      <c r="AG58" s="36">
        <v>0</v>
      </c>
      <c r="AH58" s="35" t="s">
        <v>178</v>
      </c>
      <c r="AI58" s="48">
        <f t="shared" si="25"/>
        <v>5501075</v>
      </c>
      <c r="AJ58" s="53" t="str">
        <f t="shared" si="26"/>
        <v>召唤职业攻击力&lt;color=#54b76b&gt;+%s&lt;/color&gt;</v>
      </c>
      <c r="AK58" s="35">
        <v>96</v>
      </c>
      <c r="AL58" s="36">
        <v>1</v>
      </c>
    </row>
    <row r="59" s="25" customFormat="1" hidden="1" customHeight="1" spans="1:38">
      <c r="A59" s="48">
        <v>5501076</v>
      </c>
      <c r="B59" s="42"/>
      <c r="C59" s="48" t="str">
        <f t="shared" si="0"/>
        <v>5501071</v>
      </c>
      <c r="D59" s="42">
        <f t="shared" si="1"/>
        <v>6</v>
      </c>
      <c r="E59" s="42"/>
      <c r="F59" s="36" t="s">
        <v>174</v>
      </c>
      <c r="G59" s="36">
        <f t="shared" si="8"/>
        <v>1</v>
      </c>
      <c r="H59" s="36">
        <f>IFERROR(IF(--MID($F59,2*COUNTIF($G59:G59,"&gt;"&amp;0)+2,1)=H$1,H$1,""),"")</f>
        <v>2</v>
      </c>
      <c r="I59" s="36">
        <f>IFERROR(IF(--MID($F59,2*COUNTIF($G59:H59,"&gt;"&amp;0)+2,1)=I$1,I$1,""),"")</f>
        <v>3</v>
      </c>
      <c r="J59" s="36">
        <f>IFERROR(IF(--MID($F59,2*COUNTIF($G59:I59,"&gt;"&amp;0)+2,1)=J$1,J$1,""),"")</f>
        <v>4</v>
      </c>
      <c r="K59" s="36">
        <f>IFERROR(IF(--MID($F59,2*COUNTIF($G59:J59,"&gt;"&amp;0)+2,1)=K$1,K$1,""),"")</f>
        <v>5</v>
      </c>
      <c r="L59" s="36">
        <f>IFERROR(IF(--MID($F59,2*COUNTIF($G59:K59,"&gt;"&amp;0)+2,1)=L$1,L$1,""),"")</f>
        <v>6</v>
      </c>
      <c r="M59" s="51" cm="1">
        <f t="array" ref="M59">IF($A59="","",IF(G59="","",_xlfn.XLOOKUP($D59&amp;"_"&amp;$AE59,符文权重!$A:$A&amp;"_"&amp;符文权重!$C:$C,符文权重!$D:$D)*$Y59/SUMIFS($Y:$Y,G:G,G59,$D:$D,$D59,$AE:$AE,$AE59)/SUMIF(符文权重!$A:$A,$D59,符文权重!$D:$D)))</f>
        <v>0.0204</v>
      </c>
      <c r="N59" s="51" cm="1">
        <f t="array" ref="N59">IF($A59="","",IF(H59="","",_xlfn.XLOOKUP($D59&amp;"_"&amp;$AE59,符文权重!$A:$A&amp;"_"&amp;符文权重!$C:$C,符文权重!$D:$D)*$Y59/SUMIFS($Y:$Y,H:H,H59,$D:$D,$D59,$AE:$AE,$AE59)/SUMIF(符文权重!$A:$A,$D59,符文权重!$D:$D)))</f>
        <v>0.0204</v>
      </c>
      <c r="O59" s="51" cm="1">
        <f t="array" ref="O59">IF($A59="","",IF(I59="","",_xlfn.XLOOKUP($D59&amp;"_"&amp;$AE59,符文权重!$A:$A&amp;"_"&amp;符文权重!$C:$C,符文权重!$D:$D)*$Y59/SUMIFS($Y:$Y,I:I,I59,$D:$D,$D59,$AE:$AE,$AE59)/SUMIF(符文权重!$A:$A,$D59,符文权重!$D:$D)))</f>
        <v>0.0204</v>
      </c>
      <c r="P59" s="51" cm="1">
        <f t="array" ref="P59">IF($A59="","",IF(J59="","",_xlfn.XLOOKUP($D59&amp;"_"&amp;$AE59,符文权重!$A:$A&amp;"_"&amp;符文权重!$C:$C,符文权重!$D:$D)*$Y59/SUMIFS($Y:$Y,J:J,J59,$D:$D,$D59,$AE:$AE,$AE59)/SUMIF(符文权重!$A:$A,$D59,符文权重!$D:$D)))</f>
        <v>0.0204</v>
      </c>
      <c r="Q59" s="51" cm="1">
        <f t="array" ref="Q59">IF($A59="","",IF(K59="","",_xlfn.XLOOKUP($D59&amp;"_"&amp;$AE59,符文权重!$A:$A&amp;"_"&amp;符文权重!$C:$C,符文权重!$D:$D)*$Y59/SUMIFS($Y:$Y,K:K,K59,$D:$D,$D59,$AE:$AE,$AE59)/SUMIF(符文权重!$A:$A,$D59,符文权重!$D:$D)))</f>
        <v>0.0204</v>
      </c>
      <c r="R59" s="51" cm="1">
        <f t="array" ref="R59">IF($A59="","",IF(L59="","",_xlfn.XLOOKUP($D59&amp;"_"&amp;$AE59,符文权重!$A:$A&amp;"_"&amp;符文权重!$C:$C,符文权重!$D:$D)*$Y59/SUMIFS($Y:$Y,L:L,L59,$D:$D,$D59,$AE:$AE,$AE59)/SUMIF(符文权重!$A:$A,$D59,符文权重!$D:$D)))</f>
        <v>0.0204</v>
      </c>
      <c r="S59" s="36" t="s">
        <v>192</v>
      </c>
      <c r="T59" s="36" t="s">
        <v>239</v>
      </c>
      <c r="U59" s="36" t="e">
        <f>IF(C59="","",SUBSTITUTE(SUBSTITUTE("[{global_atk,"&amp;#REF!*D59&amp;"}]",21,20),9,8))</f>
        <v>#REF!</v>
      </c>
      <c r="V59" s="52" t="str">
        <f t="shared" si="24"/>
        <v>[5501076]</v>
      </c>
      <c r="W59" s="36" t="s">
        <v>246</v>
      </c>
      <c r="X59" s="35"/>
      <c r="Y59" s="42">
        <v>100</v>
      </c>
      <c r="Z59" s="35"/>
      <c r="AA59" s="42" t="s">
        <v>189</v>
      </c>
      <c r="AB59" s="42" t="str">
        <f t="shared" si="3"/>
        <v>召唤职业攻击力&lt;color=#54b76b&gt;+120&lt;/color&gt;</v>
      </c>
      <c r="AC59" s="48" t="str">
        <f t="shared" si="4"/>
        <v>5501071</v>
      </c>
      <c r="AD59" s="42" t="str">
        <f t="shared" si="5"/>
        <v>[120]</v>
      </c>
      <c r="AE59" s="36">
        <v>1</v>
      </c>
      <c r="AF59" s="36"/>
      <c r="AG59" s="36">
        <v>0</v>
      </c>
      <c r="AH59" s="35" t="s">
        <v>178</v>
      </c>
      <c r="AI59" s="48">
        <f t="shared" si="25"/>
        <v>5501076</v>
      </c>
      <c r="AJ59" s="53" t="str">
        <f t="shared" si="26"/>
        <v>召唤职业攻击力&lt;color=#54b76b&gt;+%s&lt;/color&gt;</v>
      </c>
      <c r="AK59" s="35">
        <v>120</v>
      </c>
      <c r="AL59" s="36">
        <v>1</v>
      </c>
    </row>
    <row r="60" s="25" customFormat="1" hidden="1" customHeight="1" spans="1:38">
      <c r="A60" s="48">
        <v>5501077</v>
      </c>
      <c r="B60" s="42"/>
      <c r="C60" s="48" t="str">
        <f t="shared" si="0"/>
        <v>5501071</v>
      </c>
      <c r="D60" s="42">
        <f t="shared" si="1"/>
        <v>7</v>
      </c>
      <c r="E60" s="42"/>
      <c r="F60" s="36" t="s">
        <v>174</v>
      </c>
      <c r="G60" s="36">
        <f t="shared" si="8"/>
        <v>1</v>
      </c>
      <c r="H60" s="36">
        <f>IFERROR(IF(--MID($F60,2*COUNTIF($G60:G60,"&gt;"&amp;0)+2,1)=H$1,H$1,""),"")</f>
        <v>2</v>
      </c>
      <c r="I60" s="36">
        <f>IFERROR(IF(--MID($F60,2*COUNTIF($G60:H60,"&gt;"&amp;0)+2,1)=I$1,I$1,""),"")</f>
        <v>3</v>
      </c>
      <c r="J60" s="36">
        <f>IFERROR(IF(--MID($F60,2*COUNTIF($G60:I60,"&gt;"&amp;0)+2,1)=J$1,J$1,""),"")</f>
        <v>4</v>
      </c>
      <c r="K60" s="36">
        <f>IFERROR(IF(--MID($F60,2*COUNTIF($G60:J60,"&gt;"&amp;0)+2,1)=K$1,K$1,""),"")</f>
        <v>5</v>
      </c>
      <c r="L60" s="36">
        <f>IFERROR(IF(--MID($F60,2*COUNTIF($G60:K60,"&gt;"&amp;0)+2,1)=L$1,L$1,""),"")</f>
        <v>6</v>
      </c>
      <c r="M60" s="51" cm="1">
        <f t="array" ref="M60">IF($A60="","",IF(G60="","",_xlfn.XLOOKUP($D60&amp;"_"&amp;$AE60,符文权重!$A:$A&amp;"_"&amp;符文权重!$C:$C,符文权重!$D:$D)*$Y60/SUMIFS($Y:$Y,G:G,G60,$D:$D,$D60,$AE:$AE,$AE60)/SUMIF(符文权重!$A:$A,$D60,符文权重!$D:$D)))</f>
        <v>0.0204</v>
      </c>
      <c r="N60" s="51" cm="1">
        <f t="array" ref="N60">IF($A60="","",IF(H60="","",_xlfn.XLOOKUP($D60&amp;"_"&amp;$AE60,符文权重!$A:$A&amp;"_"&amp;符文权重!$C:$C,符文权重!$D:$D)*$Y60/SUMIFS($Y:$Y,H:H,H60,$D:$D,$D60,$AE:$AE,$AE60)/SUMIF(符文权重!$A:$A,$D60,符文权重!$D:$D)))</f>
        <v>0.0204</v>
      </c>
      <c r="O60" s="51" cm="1">
        <f t="array" ref="O60">IF($A60="","",IF(I60="","",_xlfn.XLOOKUP($D60&amp;"_"&amp;$AE60,符文权重!$A:$A&amp;"_"&amp;符文权重!$C:$C,符文权重!$D:$D)*$Y60/SUMIFS($Y:$Y,I:I,I60,$D:$D,$D60,$AE:$AE,$AE60)/SUMIF(符文权重!$A:$A,$D60,符文权重!$D:$D)))</f>
        <v>0.0204</v>
      </c>
      <c r="P60" s="51" cm="1">
        <f t="array" ref="P60">IF($A60="","",IF(J60="","",_xlfn.XLOOKUP($D60&amp;"_"&amp;$AE60,符文权重!$A:$A&amp;"_"&amp;符文权重!$C:$C,符文权重!$D:$D)*$Y60/SUMIFS($Y:$Y,J:J,J60,$D:$D,$D60,$AE:$AE,$AE60)/SUMIF(符文权重!$A:$A,$D60,符文权重!$D:$D)))</f>
        <v>0.0204</v>
      </c>
      <c r="Q60" s="51" cm="1">
        <f t="array" ref="Q60">IF($A60="","",IF(K60="","",_xlfn.XLOOKUP($D60&amp;"_"&amp;$AE60,符文权重!$A:$A&amp;"_"&amp;符文权重!$C:$C,符文权重!$D:$D)*$Y60/SUMIFS($Y:$Y,K:K,K60,$D:$D,$D60,$AE:$AE,$AE60)/SUMIF(符文权重!$A:$A,$D60,符文权重!$D:$D)))</f>
        <v>0.0204</v>
      </c>
      <c r="R60" s="51" cm="1">
        <f t="array" ref="R60">IF($A60="","",IF(L60="","",_xlfn.XLOOKUP($D60&amp;"_"&amp;$AE60,符文权重!$A:$A&amp;"_"&amp;符文权重!$C:$C,符文权重!$D:$D)*$Y60/SUMIFS($Y:$Y,L:L,L60,$D:$D,$D60,$AE:$AE,$AE60)/SUMIF(符文权重!$A:$A,$D60,符文权重!$D:$D)))</f>
        <v>0.0204</v>
      </c>
      <c r="S60" s="36" t="s">
        <v>192</v>
      </c>
      <c r="T60" s="36" t="s">
        <v>239</v>
      </c>
      <c r="U60" s="36" t="e">
        <f>IF(C60="","",SUBSTITUTE(SUBSTITUTE("[{global_atk,"&amp;#REF!*D60&amp;"}]",21,20),9,8))</f>
        <v>#REF!</v>
      </c>
      <c r="V60" s="52" t="str">
        <f t="shared" si="24"/>
        <v>[5501077]</v>
      </c>
      <c r="W60" s="36" t="s">
        <v>247</v>
      </c>
      <c r="X60" s="35"/>
      <c r="Y60" s="42">
        <v>100</v>
      </c>
      <c r="Z60" s="35"/>
      <c r="AA60" s="42" t="s">
        <v>191</v>
      </c>
      <c r="AB60" s="42" t="str">
        <f t="shared" si="3"/>
        <v>召唤职业攻击力&lt;color=#54b76b&gt;+150&lt;/color&gt;</v>
      </c>
      <c r="AC60" s="48" t="str">
        <f t="shared" si="4"/>
        <v>5501071</v>
      </c>
      <c r="AD60" s="42" t="str">
        <f t="shared" si="5"/>
        <v>[150]</v>
      </c>
      <c r="AE60" s="36">
        <v>1</v>
      </c>
      <c r="AF60" s="36"/>
      <c r="AG60" s="36">
        <v>0</v>
      </c>
      <c r="AH60" s="35" t="s">
        <v>178</v>
      </c>
      <c r="AI60" s="48">
        <f t="shared" si="25"/>
        <v>5501077</v>
      </c>
      <c r="AJ60" s="53" t="str">
        <f t="shared" si="26"/>
        <v>召唤职业攻击力&lt;color=#54b76b&gt;+%s&lt;/color&gt;</v>
      </c>
      <c r="AK60" s="35">
        <v>150</v>
      </c>
      <c r="AL60" s="36">
        <v>1</v>
      </c>
    </row>
    <row r="61" s="25" customFormat="1" hidden="1" customHeight="1" spans="1:38">
      <c r="A61" s="48" t="s">
        <v>178</v>
      </c>
      <c r="B61" s="41"/>
      <c r="C61" s="48" t="str">
        <f t="shared" si="0"/>
        <v/>
      </c>
      <c r="D61" s="42" t="str">
        <f t="shared" si="1"/>
        <v/>
      </c>
      <c r="E61" s="42"/>
      <c r="F61" s="36"/>
      <c r="G61" s="36" t="str">
        <f t="shared" si="8"/>
        <v/>
      </c>
      <c r="H61" s="36" t="str">
        <f>IFERROR(IF(--MID($F61,2*COUNTIF($G61:G61,"&gt;"&amp;0)+2,1)=H$1,H$1,""),"")</f>
        <v/>
      </c>
      <c r="I61" s="36" t="str">
        <f>IFERROR(IF(--MID($F61,2*COUNTIF($G61:H61,"&gt;"&amp;0)+2,1)=I$1,I$1,""),"")</f>
        <v/>
      </c>
      <c r="J61" s="36" t="str">
        <f>IFERROR(IF(--MID($F61,2*COUNTIF($G61:I61,"&gt;"&amp;0)+2,1)=J$1,J$1,""),"")</f>
        <v/>
      </c>
      <c r="K61" s="36" t="str">
        <f>IFERROR(IF(--MID($F61,2*COUNTIF($G61:J61,"&gt;"&amp;0)+2,1)=K$1,K$1,""),"")</f>
        <v/>
      </c>
      <c r="L61" s="36" t="str">
        <f>IFERROR(IF(--MID($F61,2*COUNTIF($G61:K61,"&gt;"&amp;0)+2,1)=L$1,L$1,""),"")</f>
        <v/>
      </c>
      <c r="M61" s="51" t="str" cm="1">
        <f t="array" ref="M61">IF($A61="","",IF(G61="","",_xlfn.XLOOKUP($D61&amp;"_"&amp;$AE61,符文权重!$A:$A&amp;"_"&amp;符文权重!$C:$C,符文权重!$D:$D)*$Y61/SUMIFS($Y:$Y,G:G,G61,$D:$D,$D61,$AE:$AE,$AE61)/SUMIF(符文权重!$A:$A,$D61,符文权重!$D:$D)))</f>
        <v/>
      </c>
      <c r="N61" s="36" t="str" cm="1">
        <f t="array" ref="N61">IF($A61="","",IF(H61="","",_xlfn.XLOOKUP($D61&amp;"_"&amp;$AE61,符文权重!$A:$A&amp;"_"&amp;符文权重!$C:$C,符文权重!$D:$D)*$Y61/SUMIFS($Y:$Y,H:H,H61,$D:$D,$D$6,$AE:$AE,$AE$6)))</f>
        <v/>
      </c>
      <c r="O61" s="36" t="str" cm="1">
        <f t="array" ref="O61">IF($A61="","",IF(I61="","",_xlfn.XLOOKUP($D61&amp;"_"&amp;$AE61,符文权重!$A:$A&amp;"_"&amp;符文权重!$C:$C,符文权重!$D:$D)*$Y61/SUMIFS($Y:$Y,I:I,I61,$D:$D,$D$6,$AE:$AE,$AE$6)))</f>
        <v/>
      </c>
      <c r="P61" s="36" t="str" cm="1">
        <f t="array" ref="P61">IF($A61="","",IF(J61="","",_xlfn.XLOOKUP($D61&amp;"_"&amp;$AE61,符文权重!$A:$A&amp;"_"&amp;符文权重!$C:$C,符文权重!$D:$D)*$Y61/SUMIFS($Y:$Y,J:J,J61,$D:$D,$D$6,$AE:$AE,$AE$6)))</f>
        <v/>
      </c>
      <c r="Q61" s="36" t="str" cm="1">
        <f t="array" ref="Q61">IF($A61="","",IF(K61="","",_xlfn.XLOOKUP($D61&amp;"_"&amp;$AE61,符文权重!$A:$A&amp;"_"&amp;符文权重!$C:$C,符文权重!$D:$D)*$Y61/SUMIFS($Y:$Y,K:K,K61,$D:$D,$D$6,$AE:$AE,$AE$6)))</f>
        <v/>
      </c>
      <c r="R61" s="36" t="str" cm="1">
        <f t="array" ref="R61">IF($A61="","",IF(L61="","",_xlfn.XLOOKUP($D61&amp;"_"&amp;$AE61,符文权重!$A:$A&amp;"_"&amp;符文权重!$C:$C,符文权重!$D:$D)*$Y61/SUMIFS($Y:$Y,L:L,L61,$D:$D,$D$6,$AE:$AE,$AE$6)))</f>
        <v/>
      </c>
      <c r="S61" s="36"/>
      <c r="T61" s="36"/>
      <c r="U61" s="36"/>
      <c r="V61" s="52"/>
      <c r="W61" s="41"/>
      <c r="X61" s="35"/>
      <c r="Y61" s="42"/>
      <c r="Z61" s="35"/>
      <c r="AA61" s="42" t="s">
        <v>178</v>
      </c>
      <c r="AB61" s="42" t="str">
        <f t="shared" si="3"/>
        <v/>
      </c>
      <c r="AC61" s="48" t="str">
        <f t="shared" si="4"/>
        <v/>
      </c>
      <c r="AD61" s="42" t="str">
        <f t="shared" si="5"/>
        <v/>
      </c>
      <c r="AE61" s="36"/>
      <c r="AF61" s="36"/>
      <c r="AG61" s="36"/>
      <c r="AH61" s="35" t="s">
        <v>178</v>
      </c>
      <c r="AI61" s="33"/>
      <c r="AJ61" s="56"/>
      <c r="AK61" s="35"/>
      <c r="AL61" s="36"/>
    </row>
    <row r="62" s="27" customFormat="1" hidden="1" customHeight="1" spans="1:38">
      <c r="A62" s="57">
        <v>5501081</v>
      </c>
      <c r="B62" s="58" t="s">
        <v>229</v>
      </c>
      <c r="C62" s="57" t="str">
        <f t="shared" si="0"/>
        <v>5501081</v>
      </c>
      <c r="D62" s="59">
        <f t="shared" si="1"/>
        <v>1</v>
      </c>
      <c r="E62" s="59"/>
      <c r="F62" s="60" t="s">
        <v>174</v>
      </c>
      <c r="G62" s="36">
        <f t="shared" si="8"/>
        <v>1</v>
      </c>
      <c r="H62" s="36">
        <f>IFERROR(IF(--MID($F62,2*COUNTIF($G62:G62,"&gt;"&amp;0)+2,1)=H$1,H$1,""),"")</f>
        <v>2</v>
      </c>
      <c r="I62" s="36">
        <f>IFERROR(IF(--MID($F62,2*COUNTIF($G62:H62,"&gt;"&amp;0)+2,1)=I$1,I$1,""),"")</f>
        <v>3</v>
      </c>
      <c r="J62" s="36">
        <f>IFERROR(IF(--MID($F62,2*COUNTIF($G62:I62,"&gt;"&amp;0)+2,1)=J$1,J$1,""),"")</f>
        <v>4</v>
      </c>
      <c r="K62" s="36">
        <f>IFERROR(IF(--MID($F62,2*COUNTIF($G62:J62,"&gt;"&amp;0)+2,1)=K$1,K$1,""),"")</f>
        <v>5</v>
      </c>
      <c r="L62" s="36">
        <f>IFERROR(IF(--MID($F62,2*COUNTIF($G62:K62,"&gt;"&amp;0)+2,1)=L$1,L$1,""),"")</f>
        <v>6</v>
      </c>
      <c r="M62" s="36" t="e" cm="1">
        <f t="array" ref="M62">IF(A62="","",_xlfn.XLOOKUP(D62&amp;"_"&amp;AE62,符文权重!A:A&amp;"_"&amp;符文权重!C:C,符文权重!D:D))</f>
        <v>#N/A</v>
      </c>
      <c r="N62" s="36"/>
      <c r="O62" s="36"/>
      <c r="P62" s="36"/>
      <c r="Q62" s="36"/>
      <c r="R62" s="36"/>
      <c r="S62" s="60" t="s">
        <v>175</v>
      </c>
      <c r="T62" s="60"/>
      <c r="U62" s="60" t="e">
        <f>IF(C62="","",SUBSTITUTE(SUBSTITUTE("[{global_atk,"&amp;#REF!*D62&amp;"}]",21,20),9,8))</f>
        <v>#REF!</v>
      </c>
      <c r="V62" s="61" t="str">
        <f t="shared" ref="V62:V68" si="27">"["&amp;A62&amp;"]"</f>
        <v>[5501081]</v>
      </c>
      <c r="W62" s="60" t="s">
        <v>248</v>
      </c>
      <c r="X62" s="28"/>
      <c r="Y62" s="42">
        <v>100</v>
      </c>
      <c r="Z62" s="28"/>
      <c r="AA62" s="59" t="s">
        <v>177</v>
      </c>
      <c r="AB62" s="42" t="str">
        <f t="shared" si="3"/>
        <v>队长和梦灵伤害&lt;color=#54b76b&gt;+3%&lt;/color&gt;</v>
      </c>
      <c r="AC62" s="57" t="str">
        <f t="shared" si="4"/>
        <v>5501081</v>
      </c>
      <c r="AD62" s="59" t="str">
        <f t="shared" si="5"/>
        <v>[3]</v>
      </c>
      <c r="AE62" s="36">
        <v>100</v>
      </c>
      <c r="AF62" s="60"/>
      <c r="AG62" s="60">
        <v>1</v>
      </c>
      <c r="AH62" s="35" t="s">
        <v>178</v>
      </c>
      <c r="AI62" s="62">
        <v>5501081</v>
      </c>
      <c r="AJ62" s="63" t="s">
        <v>249</v>
      </c>
      <c r="AK62" s="28">
        <v>3</v>
      </c>
      <c r="AL62" s="36">
        <v>1</v>
      </c>
    </row>
    <row r="63" s="25" customFormat="1" hidden="1" customHeight="1" spans="1:38">
      <c r="A63" s="48">
        <v>5501082</v>
      </c>
      <c r="B63" s="42"/>
      <c r="C63" s="48" t="str">
        <f t="shared" si="0"/>
        <v>5501081</v>
      </c>
      <c r="D63" s="42">
        <f t="shared" si="1"/>
        <v>2</v>
      </c>
      <c r="E63" s="42"/>
      <c r="F63" s="36" t="s">
        <v>174</v>
      </c>
      <c r="G63" s="36">
        <f t="shared" si="8"/>
        <v>1</v>
      </c>
      <c r="H63" s="36">
        <f>IFERROR(IF(--MID($F63,2*COUNTIF($G63:G63,"&gt;"&amp;0)+2,1)=H$1,H$1,""),"")</f>
        <v>2</v>
      </c>
      <c r="I63" s="36">
        <f>IFERROR(IF(--MID($F63,2*COUNTIF($G63:H63,"&gt;"&amp;0)+2,1)=I$1,I$1,""),"")</f>
        <v>3</v>
      </c>
      <c r="J63" s="36">
        <f>IFERROR(IF(--MID($F63,2*COUNTIF($G63:I63,"&gt;"&amp;0)+2,1)=J$1,J$1,""),"")</f>
        <v>4</v>
      </c>
      <c r="K63" s="36">
        <f>IFERROR(IF(--MID($F63,2*COUNTIF($G63:J63,"&gt;"&amp;0)+2,1)=K$1,K$1,""),"")</f>
        <v>5</v>
      </c>
      <c r="L63" s="36">
        <f>IFERROR(IF(--MID($F63,2*COUNTIF($G63:K63,"&gt;"&amp;0)+2,1)=L$1,L$1,""),"")</f>
        <v>6</v>
      </c>
      <c r="M63" s="51" cm="1">
        <f t="array" ref="M63">IF($A63="","",IF(G63="","",_xlfn.XLOOKUP($D63&amp;"_"&amp;$AE63,符文权重!$A:$A&amp;"_"&amp;符文权重!$C:$C,符文权重!$D:$D)*$Y63/SUMIFS($Y:$Y,G:G,G63,$D:$D,$D63,$AE:$AE,$AE63)/SUMIF(符文权重!$A:$A,$D63,符文权重!$D:$D)))</f>
        <v>0.0363636363636364</v>
      </c>
      <c r="N63" s="51" cm="1">
        <f t="array" ref="N63">IF($A63="","",IF(H63="","",_xlfn.XLOOKUP($D63&amp;"_"&amp;$AE63,符文权重!$A:$A&amp;"_"&amp;符文权重!$C:$C,符文权重!$D:$D)*$Y63/SUMIFS($Y:$Y,H:H,H63,$D:$D,$D63,$AE:$AE,$AE63)/SUMIF(符文权重!$A:$A,$D63,符文权重!$D:$D)))</f>
        <v>0.0363636363636364</v>
      </c>
      <c r="O63" s="51" cm="1">
        <f t="array" ref="O63">IF($A63="","",IF(I63="","",_xlfn.XLOOKUP($D63&amp;"_"&amp;$AE63,符文权重!$A:$A&amp;"_"&amp;符文权重!$C:$C,符文权重!$D:$D)*$Y63/SUMIFS($Y:$Y,I:I,I63,$D:$D,$D63,$AE:$AE,$AE63)/SUMIF(符文权重!$A:$A,$D63,符文权重!$D:$D)))</f>
        <v>0.0363636363636364</v>
      </c>
      <c r="P63" s="51" cm="1">
        <f t="array" ref="P63">IF($A63="","",IF(J63="","",_xlfn.XLOOKUP($D63&amp;"_"&amp;$AE63,符文权重!$A:$A&amp;"_"&amp;符文权重!$C:$C,符文权重!$D:$D)*$Y63/SUMIFS($Y:$Y,J:J,J63,$D:$D,$D63,$AE:$AE,$AE63)/SUMIF(符文权重!$A:$A,$D63,符文权重!$D:$D)))</f>
        <v>0.0363636363636364</v>
      </c>
      <c r="Q63" s="51" cm="1">
        <f t="array" ref="Q63">IF($A63="","",IF(K63="","",_xlfn.XLOOKUP($D63&amp;"_"&amp;$AE63,符文权重!$A:$A&amp;"_"&amp;符文权重!$C:$C,符文权重!$D:$D)*$Y63/SUMIFS($Y:$Y,K:K,K63,$D:$D,$D63,$AE:$AE,$AE63)/SUMIF(符文权重!$A:$A,$D63,符文权重!$D:$D)))</f>
        <v>0.0363636363636364</v>
      </c>
      <c r="R63" s="51" cm="1">
        <f t="array" ref="R63">IF($A63="","",IF(L63="","",_xlfn.XLOOKUP($D63&amp;"_"&amp;$AE63,符文权重!$A:$A&amp;"_"&amp;符文权重!$C:$C,符文权重!$D:$D)*$Y63/SUMIFS($Y:$Y,L:L,L63,$D:$D,$D63,$AE:$AE,$AE63)/SUMIF(符文权重!$A:$A,$D63,符文权重!$D:$D)))</f>
        <v>0.0363636363636364</v>
      </c>
      <c r="S63" s="36" t="s">
        <v>175</v>
      </c>
      <c r="T63" s="36"/>
      <c r="U63" s="36" t="e">
        <f>IF(C63="","",SUBSTITUTE(SUBSTITUTE("[{global_atk,"&amp;#REF!*D63&amp;"}]",21,20),9,8))</f>
        <v>#REF!</v>
      </c>
      <c r="V63" s="52" t="str">
        <f t="shared" si="27"/>
        <v>[5501082]</v>
      </c>
      <c r="W63" s="36" t="s">
        <v>250</v>
      </c>
      <c r="X63" s="35"/>
      <c r="Y63" s="42">
        <v>100</v>
      </c>
      <c r="Z63" s="35"/>
      <c r="AA63" s="42" t="s">
        <v>181</v>
      </c>
      <c r="AB63" s="42" t="str">
        <f t="shared" si="3"/>
        <v>队长和梦灵伤害&lt;color=#54b76b&gt;+4%&lt;/color&gt;</v>
      </c>
      <c r="AC63" s="48" t="str">
        <f t="shared" si="4"/>
        <v>5501081</v>
      </c>
      <c r="AD63" s="42" t="str">
        <f t="shared" si="5"/>
        <v>[4]</v>
      </c>
      <c r="AE63" s="36">
        <v>1</v>
      </c>
      <c r="AF63" s="36"/>
      <c r="AG63" s="36">
        <v>0</v>
      </c>
      <c r="AH63" s="35" t="s">
        <v>178</v>
      </c>
      <c r="AI63" s="48">
        <f t="shared" ref="AI63:AI68" si="28">AI62+1</f>
        <v>5501082</v>
      </c>
      <c r="AJ63" s="53" t="str">
        <f t="shared" ref="AJ63:AJ68" si="29">AJ62</f>
        <v>队长和梦灵伤害&lt;color=#54b76b&gt;+%s%&lt;/color&gt;</v>
      </c>
      <c r="AK63" s="35">
        <v>4</v>
      </c>
      <c r="AL63" s="36">
        <v>1</v>
      </c>
    </row>
    <row r="64" s="25" customFormat="1" hidden="1" customHeight="1" spans="1:38">
      <c r="A64" s="48">
        <v>5501083</v>
      </c>
      <c r="B64" s="42"/>
      <c r="C64" s="48" t="str">
        <f t="shared" si="0"/>
        <v>5501081</v>
      </c>
      <c r="D64" s="42">
        <f t="shared" si="1"/>
        <v>3</v>
      </c>
      <c r="E64" s="42"/>
      <c r="F64" s="36" t="s">
        <v>174</v>
      </c>
      <c r="G64" s="36">
        <f t="shared" si="8"/>
        <v>1</v>
      </c>
      <c r="H64" s="36">
        <f>IFERROR(IF(--MID($F64,2*COUNTIF($G64:G64,"&gt;"&amp;0)+2,1)=H$1,H$1,""),"")</f>
        <v>2</v>
      </c>
      <c r="I64" s="36">
        <f>IFERROR(IF(--MID($F64,2*COUNTIF($G64:H64,"&gt;"&amp;0)+2,1)=I$1,I$1,""),"")</f>
        <v>3</v>
      </c>
      <c r="J64" s="36">
        <f>IFERROR(IF(--MID($F64,2*COUNTIF($G64:I64,"&gt;"&amp;0)+2,1)=J$1,J$1,""),"")</f>
        <v>4</v>
      </c>
      <c r="K64" s="36">
        <f>IFERROR(IF(--MID($F64,2*COUNTIF($G64:J64,"&gt;"&amp;0)+2,1)=K$1,K$1,""),"")</f>
        <v>5</v>
      </c>
      <c r="L64" s="36">
        <f>IFERROR(IF(--MID($F64,2*COUNTIF($G64:K64,"&gt;"&amp;0)+2,1)=L$1,L$1,""),"")</f>
        <v>6</v>
      </c>
      <c r="M64" s="51" cm="1">
        <f t="array" ref="M64">IF($A64="","",IF(G64="","",_xlfn.XLOOKUP($D64&amp;"_"&amp;$AE64,符文权重!$A:$A&amp;"_"&amp;符文权重!$C:$C,符文权重!$D:$D)*$Y64/SUMIFS($Y:$Y,G:G,G64,$D:$D,$D64,$AE:$AE,$AE64)/SUMIF(符文权重!$A:$A,$D64,符文权重!$D:$D)))</f>
        <v>0.035</v>
      </c>
      <c r="N64" s="51" cm="1">
        <f t="array" ref="N64">IF($A64="","",IF(H64="","",_xlfn.XLOOKUP($D64&amp;"_"&amp;$AE64,符文权重!$A:$A&amp;"_"&amp;符文权重!$C:$C,符文权重!$D:$D)*$Y64/SUMIFS($Y:$Y,H:H,H64,$D:$D,$D64,$AE:$AE,$AE64)/SUMIF(符文权重!$A:$A,$D64,符文权重!$D:$D)))</f>
        <v>0.035</v>
      </c>
      <c r="O64" s="51" cm="1">
        <f t="array" ref="O64">IF($A64="","",IF(I64="","",_xlfn.XLOOKUP($D64&amp;"_"&amp;$AE64,符文权重!$A:$A&amp;"_"&amp;符文权重!$C:$C,符文权重!$D:$D)*$Y64/SUMIFS($Y:$Y,I:I,I64,$D:$D,$D64,$AE:$AE,$AE64)/SUMIF(符文权重!$A:$A,$D64,符文权重!$D:$D)))</f>
        <v>0.035</v>
      </c>
      <c r="P64" s="51" cm="1">
        <f t="array" ref="P64">IF($A64="","",IF(J64="","",_xlfn.XLOOKUP($D64&amp;"_"&amp;$AE64,符文权重!$A:$A&amp;"_"&amp;符文权重!$C:$C,符文权重!$D:$D)*$Y64/SUMIFS($Y:$Y,J:J,J64,$D:$D,$D64,$AE:$AE,$AE64)/SUMIF(符文权重!$A:$A,$D64,符文权重!$D:$D)))</f>
        <v>0.035</v>
      </c>
      <c r="Q64" s="51" cm="1">
        <f t="array" ref="Q64">IF($A64="","",IF(K64="","",_xlfn.XLOOKUP($D64&amp;"_"&amp;$AE64,符文权重!$A:$A&amp;"_"&amp;符文权重!$C:$C,符文权重!$D:$D)*$Y64/SUMIFS($Y:$Y,K:K,K64,$D:$D,$D64,$AE:$AE,$AE64)/SUMIF(符文权重!$A:$A,$D64,符文权重!$D:$D)))</f>
        <v>0.035</v>
      </c>
      <c r="R64" s="51" cm="1">
        <f t="array" ref="R64">IF($A64="","",IF(L64="","",_xlfn.XLOOKUP($D64&amp;"_"&amp;$AE64,符文权重!$A:$A&amp;"_"&amp;符文权重!$C:$C,符文权重!$D:$D)*$Y64/SUMIFS($Y:$Y,L:L,L64,$D:$D,$D64,$AE:$AE,$AE64)/SUMIF(符文权重!$A:$A,$D64,符文权重!$D:$D)))</f>
        <v>0.035</v>
      </c>
      <c r="S64" s="36" t="s">
        <v>175</v>
      </c>
      <c r="T64" s="36"/>
      <c r="U64" s="36" t="e">
        <f>IF(C64="","",SUBSTITUTE(SUBSTITUTE("[{global_atk,"&amp;#REF!*D64&amp;"}]",21,20),9,8))</f>
        <v>#REF!</v>
      </c>
      <c r="V64" s="52" t="str">
        <f t="shared" si="27"/>
        <v>[5501083]</v>
      </c>
      <c r="W64" s="36" t="s">
        <v>251</v>
      </c>
      <c r="X64" s="35"/>
      <c r="Y64" s="42">
        <v>100</v>
      </c>
      <c r="Z64" s="35"/>
      <c r="AA64" s="42" t="s">
        <v>183</v>
      </c>
      <c r="AB64" s="42" t="str">
        <f t="shared" si="3"/>
        <v>队长和梦灵伤害&lt;color=#54b76b&gt;+5%&lt;/color&gt;</v>
      </c>
      <c r="AC64" s="48" t="str">
        <f t="shared" si="4"/>
        <v>5501081</v>
      </c>
      <c r="AD64" s="42" t="str">
        <f t="shared" si="5"/>
        <v>[5]</v>
      </c>
      <c r="AE64" s="36">
        <v>1</v>
      </c>
      <c r="AF64" s="36"/>
      <c r="AG64" s="36">
        <v>0</v>
      </c>
      <c r="AH64" s="35" t="s">
        <v>178</v>
      </c>
      <c r="AI64" s="48">
        <f t="shared" si="28"/>
        <v>5501083</v>
      </c>
      <c r="AJ64" s="53" t="str">
        <f t="shared" si="29"/>
        <v>队长和梦灵伤害&lt;color=#54b76b&gt;+%s%&lt;/color&gt;</v>
      </c>
      <c r="AK64" s="35">
        <v>5</v>
      </c>
      <c r="AL64" s="36">
        <v>1</v>
      </c>
    </row>
    <row r="65" s="25" customFormat="1" hidden="1" customHeight="1" spans="1:38">
      <c r="A65" s="48">
        <v>5501084</v>
      </c>
      <c r="B65" s="42"/>
      <c r="C65" s="48" t="str">
        <f t="shared" si="0"/>
        <v>5501081</v>
      </c>
      <c r="D65" s="42">
        <f t="shared" si="1"/>
        <v>4</v>
      </c>
      <c r="E65" s="42"/>
      <c r="F65" s="36" t="s">
        <v>174</v>
      </c>
      <c r="G65" s="36">
        <f t="shared" si="8"/>
        <v>1</v>
      </c>
      <c r="H65" s="36">
        <f>IFERROR(IF(--MID($F65,2*COUNTIF($G65:G65,"&gt;"&amp;0)+2,1)=H$1,H$1,""),"")</f>
        <v>2</v>
      </c>
      <c r="I65" s="36">
        <f>IFERROR(IF(--MID($F65,2*COUNTIF($G65:H65,"&gt;"&amp;0)+2,1)=I$1,I$1,""),"")</f>
        <v>3</v>
      </c>
      <c r="J65" s="36">
        <f>IFERROR(IF(--MID($F65,2*COUNTIF($G65:I65,"&gt;"&amp;0)+2,1)=J$1,J$1,""),"")</f>
        <v>4</v>
      </c>
      <c r="K65" s="36">
        <f>IFERROR(IF(--MID($F65,2*COUNTIF($G65:J65,"&gt;"&amp;0)+2,1)=K$1,K$1,""),"")</f>
        <v>5</v>
      </c>
      <c r="L65" s="36">
        <f>IFERROR(IF(--MID($F65,2*COUNTIF($G65:K65,"&gt;"&amp;0)+2,1)=L$1,L$1,""),"")</f>
        <v>6</v>
      </c>
      <c r="M65" s="51" cm="1">
        <f t="array" ref="M65">IF($A65="","",IF(G65="","",_xlfn.XLOOKUP($D65&amp;"_"&amp;$AE65,符文权重!$A:$A&amp;"_"&amp;符文权重!$C:$C,符文权重!$D:$D)*$Y65/SUMIFS($Y:$Y,G:G,G65,$D:$D,$D65,$AE:$AE,$AE65)/SUMIF(符文权重!$A:$A,$D65,符文权重!$D:$D)))</f>
        <v>0.0229365529511942</v>
      </c>
      <c r="N65" s="51" cm="1">
        <f t="array" ref="N65">IF($A65="","",IF(H65="","",_xlfn.XLOOKUP($D65&amp;"_"&amp;$AE65,符文权重!$A:$A&amp;"_"&amp;符文权重!$C:$C,符文权重!$D:$D)*$Y65/SUMIFS($Y:$Y,H:H,H65,$D:$D,$D65,$AE:$AE,$AE65)/SUMIF(符文权重!$A:$A,$D65,符文权重!$D:$D)))</f>
        <v>0.0229365529511942</v>
      </c>
      <c r="O65" s="51" cm="1">
        <f t="array" ref="O65">IF($A65="","",IF(I65="","",_xlfn.XLOOKUP($D65&amp;"_"&amp;$AE65,符文权重!$A:$A&amp;"_"&amp;符文权重!$C:$C,符文权重!$D:$D)*$Y65/SUMIFS($Y:$Y,I:I,I65,$D:$D,$D65,$AE:$AE,$AE65)/SUMIF(符文权重!$A:$A,$D65,符文权重!$D:$D)))</f>
        <v>0.0229365529511942</v>
      </c>
      <c r="P65" s="51" cm="1">
        <f t="array" ref="P65">IF($A65="","",IF(J65="","",_xlfn.XLOOKUP($D65&amp;"_"&amp;$AE65,符文权重!$A:$A&amp;"_"&amp;符文权重!$C:$C,符文权重!$D:$D)*$Y65/SUMIFS($Y:$Y,J:J,J65,$D:$D,$D65,$AE:$AE,$AE65)/SUMIF(符文权重!$A:$A,$D65,符文权重!$D:$D)))</f>
        <v>0.0229365529511942</v>
      </c>
      <c r="Q65" s="51" cm="1">
        <f t="array" ref="Q65">IF($A65="","",IF(K65="","",_xlfn.XLOOKUP($D65&amp;"_"&amp;$AE65,符文权重!$A:$A&amp;"_"&amp;符文权重!$C:$C,符文权重!$D:$D)*$Y65/SUMIFS($Y:$Y,K:K,K65,$D:$D,$D65,$AE:$AE,$AE65)/SUMIF(符文权重!$A:$A,$D65,符文权重!$D:$D)))</f>
        <v>0.0229365529511942</v>
      </c>
      <c r="R65" s="51" cm="1">
        <f t="array" ref="R65">IF($A65="","",IF(L65="","",_xlfn.XLOOKUP($D65&amp;"_"&amp;$AE65,符文权重!$A:$A&amp;"_"&amp;符文权重!$C:$C,符文权重!$D:$D)*$Y65/SUMIFS($Y:$Y,L:L,L65,$D:$D,$D65,$AE:$AE,$AE65)/SUMIF(符文权重!$A:$A,$D65,符文权重!$D:$D)))</f>
        <v>0.0229365529511942</v>
      </c>
      <c r="S65" s="36" t="s">
        <v>175</v>
      </c>
      <c r="T65" s="36"/>
      <c r="U65" s="36" t="e">
        <f>IF(C65="","",SUBSTITUTE(SUBSTITUTE("[{global_atk,"&amp;#REF!*D65&amp;"}]",21,20),9,8))</f>
        <v>#REF!</v>
      </c>
      <c r="V65" s="52" t="str">
        <f t="shared" si="27"/>
        <v>[5501084]</v>
      </c>
      <c r="W65" s="36" t="s">
        <v>252</v>
      </c>
      <c r="X65" s="35"/>
      <c r="Y65" s="42">
        <v>100</v>
      </c>
      <c r="Z65" s="35"/>
      <c r="AA65" s="42" t="s">
        <v>185</v>
      </c>
      <c r="AB65" s="42" t="str">
        <f t="shared" si="3"/>
        <v>队长和梦灵伤害&lt;color=#54b76b&gt;+6%&lt;/color&gt;</v>
      </c>
      <c r="AC65" s="48" t="str">
        <f t="shared" si="4"/>
        <v>5501081</v>
      </c>
      <c r="AD65" s="42" t="str">
        <f t="shared" si="5"/>
        <v>[6]</v>
      </c>
      <c r="AE65" s="36">
        <v>1</v>
      </c>
      <c r="AF65" s="36"/>
      <c r="AG65" s="36">
        <v>0</v>
      </c>
      <c r="AH65" s="35" t="s">
        <v>178</v>
      </c>
      <c r="AI65" s="48">
        <f t="shared" si="28"/>
        <v>5501084</v>
      </c>
      <c r="AJ65" s="53" t="str">
        <f t="shared" si="29"/>
        <v>队长和梦灵伤害&lt;color=#54b76b&gt;+%s%&lt;/color&gt;</v>
      </c>
      <c r="AK65" s="35">
        <v>6</v>
      </c>
      <c r="AL65" s="36">
        <v>1</v>
      </c>
    </row>
    <row r="66" s="25" customFormat="1" hidden="1" customHeight="1" spans="1:38">
      <c r="A66" s="48">
        <v>5501085</v>
      </c>
      <c r="B66" s="42"/>
      <c r="C66" s="48" t="str">
        <f t="shared" si="0"/>
        <v>5501081</v>
      </c>
      <c r="D66" s="42">
        <f t="shared" si="1"/>
        <v>5</v>
      </c>
      <c r="E66" s="42"/>
      <c r="F66" s="36" t="s">
        <v>174</v>
      </c>
      <c r="G66" s="36">
        <f t="shared" si="8"/>
        <v>1</v>
      </c>
      <c r="H66" s="36">
        <f>IFERROR(IF(--MID($F66,2*COUNTIF($G66:G66,"&gt;"&amp;0)+2,1)=H$1,H$1,""),"")</f>
        <v>2</v>
      </c>
      <c r="I66" s="36">
        <f>IFERROR(IF(--MID($F66,2*COUNTIF($G66:H66,"&gt;"&amp;0)+2,1)=I$1,I$1,""),"")</f>
        <v>3</v>
      </c>
      <c r="J66" s="36">
        <f>IFERROR(IF(--MID($F66,2*COUNTIF($G66:I66,"&gt;"&amp;0)+2,1)=J$1,J$1,""),"")</f>
        <v>4</v>
      </c>
      <c r="K66" s="36">
        <f>IFERROR(IF(--MID($F66,2*COUNTIF($G66:J66,"&gt;"&amp;0)+2,1)=K$1,K$1,""),"")</f>
        <v>5</v>
      </c>
      <c r="L66" s="36">
        <f>IFERROR(IF(--MID($F66,2*COUNTIF($G66:K66,"&gt;"&amp;0)+2,1)=L$1,L$1,""),"")</f>
        <v>6</v>
      </c>
      <c r="M66" s="51" cm="1">
        <f t="array" ref="M66">IF($A66="","",IF(G66="","",_xlfn.XLOOKUP($D66&amp;"_"&amp;$AE66,符文权重!$A:$A&amp;"_"&amp;符文权重!$C:$C,符文权重!$D:$D)*$Y66/SUMIFS($Y:$Y,G:G,G66,$D:$D,$D66,$AE:$AE,$AE66)/SUMIF(符文权重!$A:$A,$D66,符文权重!$D:$D)))</f>
        <v>0.0204</v>
      </c>
      <c r="N66" s="51" cm="1">
        <f t="array" ref="N66">IF($A66="","",IF(H66="","",_xlfn.XLOOKUP($D66&amp;"_"&amp;$AE66,符文权重!$A:$A&amp;"_"&amp;符文权重!$C:$C,符文权重!$D:$D)*$Y66/SUMIFS($Y:$Y,H:H,H66,$D:$D,$D66,$AE:$AE,$AE66)/SUMIF(符文权重!$A:$A,$D66,符文权重!$D:$D)))</f>
        <v>0.0204</v>
      </c>
      <c r="O66" s="51" cm="1">
        <f t="array" ref="O66">IF($A66="","",IF(I66="","",_xlfn.XLOOKUP($D66&amp;"_"&amp;$AE66,符文权重!$A:$A&amp;"_"&amp;符文权重!$C:$C,符文权重!$D:$D)*$Y66/SUMIFS($Y:$Y,I:I,I66,$D:$D,$D66,$AE:$AE,$AE66)/SUMIF(符文权重!$A:$A,$D66,符文权重!$D:$D)))</f>
        <v>0.0204</v>
      </c>
      <c r="P66" s="51" cm="1">
        <f t="array" ref="P66">IF($A66="","",IF(J66="","",_xlfn.XLOOKUP($D66&amp;"_"&amp;$AE66,符文权重!$A:$A&amp;"_"&amp;符文权重!$C:$C,符文权重!$D:$D)*$Y66/SUMIFS($Y:$Y,J:J,J66,$D:$D,$D66,$AE:$AE,$AE66)/SUMIF(符文权重!$A:$A,$D66,符文权重!$D:$D)))</f>
        <v>0.0204</v>
      </c>
      <c r="Q66" s="51" cm="1">
        <f t="array" ref="Q66">IF($A66="","",IF(K66="","",_xlfn.XLOOKUP($D66&amp;"_"&amp;$AE66,符文权重!$A:$A&amp;"_"&amp;符文权重!$C:$C,符文权重!$D:$D)*$Y66/SUMIFS($Y:$Y,K:K,K66,$D:$D,$D66,$AE:$AE,$AE66)/SUMIF(符文权重!$A:$A,$D66,符文权重!$D:$D)))</f>
        <v>0.0204</v>
      </c>
      <c r="R66" s="51" cm="1">
        <f t="array" ref="R66">IF($A66="","",IF(L66="","",_xlfn.XLOOKUP($D66&amp;"_"&amp;$AE66,符文权重!$A:$A&amp;"_"&amp;符文权重!$C:$C,符文权重!$D:$D)*$Y66/SUMIFS($Y:$Y,L:L,L66,$D:$D,$D66,$AE:$AE,$AE66)/SUMIF(符文权重!$A:$A,$D66,符文权重!$D:$D)))</f>
        <v>0.0204</v>
      </c>
      <c r="S66" s="36" t="s">
        <v>175</v>
      </c>
      <c r="T66" s="36"/>
      <c r="U66" s="36" t="e">
        <f>IF(C66="","",SUBSTITUTE(SUBSTITUTE("[{global_atk,"&amp;#REF!*D66&amp;"}]",21,20),9,8))</f>
        <v>#REF!</v>
      </c>
      <c r="V66" s="52" t="str">
        <f t="shared" si="27"/>
        <v>[5501085]</v>
      </c>
      <c r="W66" s="36" t="s">
        <v>253</v>
      </c>
      <c r="X66" s="35"/>
      <c r="Y66" s="42">
        <v>100</v>
      </c>
      <c r="Z66" s="35"/>
      <c r="AA66" s="42" t="s">
        <v>187</v>
      </c>
      <c r="AB66" s="42" t="str">
        <f t="shared" si="3"/>
        <v>队长和梦灵伤害&lt;color=#54b76b&gt;+8%&lt;/color&gt;</v>
      </c>
      <c r="AC66" s="48" t="str">
        <f t="shared" si="4"/>
        <v>5501081</v>
      </c>
      <c r="AD66" s="42" t="str">
        <f t="shared" si="5"/>
        <v>[8]</v>
      </c>
      <c r="AE66" s="36">
        <v>1</v>
      </c>
      <c r="AF66" s="36"/>
      <c r="AG66" s="36">
        <v>0</v>
      </c>
      <c r="AH66" s="35" t="s">
        <v>178</v>
      </c>
      <c r="AI66" s="48">
        <f t="shared" si="28"/>
        <v>5501085</v>
      </c>
      <c r="AJ66" s="53" t="str">
        <f t="shared" si="29"/>
        <v>队长和梦灵伤害&lt;color=#54b76b&gt;+%s%&lt;/color&gt;</v>
      </c>
      <c r="AK66" s="35">
        <v>8</v>
      </c>
      <c r="AL66" s="36">
        <v>1</v>
      </c>
    </row>
    <row r="67" s="25" customFormat="1" hidden="1" customHeight="1" spans="1:38">
      <c r="A67" s="48">
        <v>5501086</v>
      </c>
      <c r="B67" s="42"/>
      <c r="C67" s="48" t="str">
        <f t="shared" si="0"/>
        <v>5501081</v>
      </c>
      <c r="D67" s="42">
        <f t="shared" si="1"/>
        <v>6</v>
      </c>
      <c r="E67" s="42"/>
      <c r="F67" s="36" t="s">
        <v>174</v>
      </c>
      <c r="G67" s="36">
        <f t="shared" si="8"/>
        <v>1</v>
      </c>
      <c r="H67" s="36">
        <f>IFERROR(IF(--MID($F67,2*COUNTIF($G67:G67,"&gt;"&amp;0)+2,1)=H$1,H$1,""),"")</f>
        <v>2</v>
      </c>
      <c r="I67" s="36">
        <f>IFERROR(IF(--MID($F67,2*COUNTIF($G67:H67,"&gt;"&amp;0)+2,1)=I$1,I$1,""),"")</f>
        <v>3</v>
      </c>
      <c r="J67" s="36">
        <f>IFERROR(IF(--MID($F67,2*COUNTIF($G67:I67,"&gt;"&amp;0)+2,1)=J$1,J$1,""),"")</f>
        <v>4</v>
      </c>
      <c r="K67" s="36">
        <f>IFERROR(IF(--MID($F67,2*COUNTIF($G67:J67,"&gt;"&amp;0)+2,1)=K$1,K$1,""),"")</f>
        <v>5</v>
      </c>
      <c r="L67" s="36">
        <f>IFERROR(IF(--MID($F67,2*COUNTIF($G67:K67,"&gt;"&amp;0)+2,1)=L$1,L$1,""),"")</f>
        <v>6</v>
      </c>
      <c r="M67" s="51" cm="1">
        <f t="array" ref="M67">IF($A67="","",IF(G67="","",_xlfn.XLOOKUP($D67&amp;"_"&amp;$AE67,符文权重!$A:$A&amp;"_"&amp;符文权重!$C:$C,符文权重!$D:$D)*$Y67/SUMIFS($Y:$Y,G:G,G67,$D:$D,$D67,$AE:$AE,$AE67)/SUMIF(符文权重!$A:$A,$D67,符文权重!$D:$D)))</f>
        <v>0.0204</v>
      </c>
      <c r="N67" s="51" cm="1">
        <f t="array" ref="N67">IF($A67="","",IF(H67="","",_xlfn.XLOOKUP($D67&amp;"_"&amp;$AE67,符文权重!$A:$A&amp;"_"&amp;符文权重!$C:$C,符文权重!$D:$D)*$Y67/SUMIFS($Y:$Y,H:H,H67,$D:$D,$D67,$AE:$AE,$AE67)/SUMIF(符文权重!$A:$A,$D67,符文权重!$D:$D)))</f>
        <v>0.0204</v>
      </c>
      <c r="O67" s="51" cm="1">
        <f t="array" ref="O67">IF($A67="","",IF(I67="","",_xlfn.XLOOKUP($D67&amp;"_"&amp;$AE67,符文权重!$A:$A&amp;"_"&amp;符文权重!$C:$C,符文权重!$D:$D)*$Y67/SUMIFS($Y:$Y,I:I,I67,$D:$D,$D67,$AE:$AE,$AE67)/SUMIF(符文权重!$A:$A,$D67,符文权重!$D:$D)))</f>
        <v>0.0204</v>
      </c>
      <c r="P67" s="51" cm="1">
        <f t="array" ref="P67">IF($A67="","",IF(J67="","",_xlfn.XLOOKUP($D67&amp;"_"&amp;$AE67,符文权重!$A:$A&amp;"_"&amp;符文权重!$C:$C,符文权重!$D:$D)*$Y67/SUMIFS($Y:$Y,J:J,J67,$D:$D,$D67,$AE:$AE,$AE67)/SUMIF(符文权重!$A:$A,$D67,符文权重!$D:$D)))</f>
        <v>0.0204</v>
      </c>
      <c r="Q67" s="51" cm="1">
        <f t="array" ref="Q67">IF($A67="","",IF(K67="","",_xlfn.XLOOKUP($D67&amp;"_"&amp;$AE67,符文权重!$A:$A&amp;"_"&amp;符文权重!$C:$C,符文权重!$D:$D)*$Y67/SUMIFS($Y:$Y,K:K,K67,$D:$D,$D67,$AE:$AE,$AE67)/SUMIF(符文权重!$A:$A,$D67,符文权重!$D:$D)))</f>
        <v>0.0204</v>
      </c>
      <c r="R67" s="51" cm="1">
        <f t="array" ref="R67">IF($A67="","",IF(L67="","",_xlfn.XLOOKUP($D67&amp;"_"&amp;$AE67,符文权重!$A:$A&amp;"_"&amp;符文权重!$C:$C,符文权重!$D:$D)*$Y67/SUMIFS($Y:$Y,L:L,L67,$D:$D,$D67,$AE:$AE,$AE67)/SUMIF(符文权重!$A:$A,$D67,符文权重!$D:$D)))</f>
        <v>0.0204</v>
      </c>
      <c r="S67" s="36" t="s">
        <v>175</v>
      </c>
      <c r="T67" s="36"/>
      <c r="U67" s="36" t="e">
        <f>IF(C67="","",SUBSTITUTE(SUBSTITUTE("[{global_atk,"&amp;#REF!*D67&amp;"}]",21,20),9,8))</f>
        <v>#REF!</v>
      </c>
      <c r="V67" s="52" t="str">
        <f t="shared" si="27"/>
        <v>[5501086]</v>
      </c>
      <c r="W67" s="36" t="s">
        <v>254</v>
      </c>
      <c r="X67" s="35"/>
      <c r="Y67" s="42">
        <v>100</v>
      </c>
      <c r="Z67" s="35"/>
      <c r="AA67" s="42" t="s">
        <v>189</v>
      </c>
      <c r="AB67" s="42" t="str">
        <f t="shared" si="3"/>
        <v>队长和梦灵伤害&lt;color=#54b76b&gt;+10%&lt;/color&gt;</v>
      </c>
      <c r="AC67" s="48" t="str">
        <f t="shared" si="4"/>
        <v>5501081</v>
      </c>
      <c r="AD67" s="42" t="str">
        <f t="shared" si="5"/>
        <v>[10]</v>
      </c>
      <c r="AE67" s="36">
        <v>1</v>
      </c>
      <c r="AF67" s="36"/>
      <c r="AG67" s="36">
        <v>0</v>
      </c>
      <c r="AH67" s="35" t="s">
        <v>178</v>
      </c>
      <c r="AI67" s="48">
        <f t="shared" si="28"/>
        <v>5501086</v>
      </c>
      <c r="AJ67" s="53" t="str">
        <f t="shared" si="29"/>
        <v>队长和梦灵伤害&lt;color=#54b76b&gt;+%s%&lt;/color&gt;</v>
      </c>
      <c r="AK67" s="35">
        <v>10</v>
      </c>
      <c r="AL67" s="36">
        <v>1</v>
      </c>
    </row>
    <row r="68" s="25" customFormat="1" hidden="1" customHeight="1" spans="1:38">
      <c r="A68" s="48">
        <v>5501087</v>
      </c>
      <c r="B68" s="42"/>
      <c r="C68" s="48" t="str">
        <f t="shared" si="0"/>
        <v>5501081</v>
      </c>
      <c r="D68" s="42">
        <f t="shared" si="1"/>
        <v>7</v>
      </c>
      <c r="E68" s="42"/>
      <c r="F68" s="36" t="s">
        <v>174</v>
      </c>
      <c r="G68" s="36">
        <f t="shared" si="8"/>
        <v>1</v>
      </c>
      <c r="H68" s="36">
        <f>IFERROR(IF(--MID($F68,2*COUNTIF($G68:G68,"&gt;"&amp;0)+2,1)=H$1,H$1,""),"")</f>
        <v>2</v>
      </c>
      <c r="I68" s="36">
        <f>IFERROR(IF(--MID($F68,2*COUNTIF($G68:H68,"&gt;"&amp;0)+2,1)=I$1,I$1,""),"")</f>
        <v>3</v>
      </c>
      <c r="J68" s="36">
        <f>IFERROR(IF(--MID($F68,2*COUNTIF($G68:I68,"&gt;"&amp;0)+2,1)=J$1,J$1,""),"")</f>
        <v>4</v>
      </c>
      <c r="K68" s="36">
        <f>IFERROR(IF(--MID($F68,2*COUNTIF($G68:J68,"&gt;"&amp;0)+2,1)=K$1,K$1,""),"")</f>
        <v>5</v>
      </c>
      <c r="L68" s="36">
        <f>IFERROR(IF(--MID($F68,2*COUNTIF($G68:K68,"&gt;"&amp;0)+2,1)=L$1,L$1,""),"")</f>
        <v>6</v>
      </c>
      <c r="M68" s="51" cm="1">
        <f t="array" ref="M68">IF($A68="","",IF(G68="","",_xlfn.XLOOKUP($D68&amp;"_"&amp;$AE68,符文权重!$A:$A&amp;"_"&amp;符文权重!$C:$C,符文权重!$D:$D)*$Y68/SUMIFS($Y:$Y,G:G,G68,$D:$D,$D68,$AE:$AE,$AE68)/SUMIF(符文权重!$A:$A,$D68,符文权重!$D:$D)))</f>
        <v>0.0204</v>
      </c>
      <c r="N68" s="51" cm="1">
        <f t="array" ref="N68">IF($A68="","",IF(H68="","",_xlfn.XLOOKUP($D68&amp;"_"&amp;$AE68,符文权重!$A:$A&amp;"_"&amp;符文权重!$C:$C,符文权重!$D:$D)*$Y68/SUMIFS($Y:$Y,H:H,H68,$D:$D,$D68,$AE:$AE,$AE68)/SUMIF(符文权重!$A:$A,$D68,符文权重!$D:$D)))</f>
        <v>0.0204</v>
      </c>
      <c r="O68" s="51" cm="1">
        <f t="array" ref="O68">IF($A68="","",IF(I68="","",_xlfn.XLOOKUP($D68&amp;"_"&amp;$AE68,符文权重!$A:$A&amp;"_"&amp;符文权重!$C:$C,符文权重!$D:$D)*$Y68/SUMIFS($Y:$Y,I:I,I68,$D:$D,$D68,$AE:$AE,$AE68)/SUMIF(符文权重!$A:$A,$D68,符文权重!$D:$D)))</f>
        <v>0.0204</v>
      </c>
      <c r="P68" s="51" cm="1">
        <f t="array" ref="P68">IF($A68="","",IF(J68="","",_xlfn.XLOOKUP($D68&amp;"_"&amp;$AE68,符文权重!$A:$A&amp;"_"&amp;符文权重!$C:$C,符文权重!$D:$D)*$Y68/SUMIFS($Y:$Y,J:J,J68,$D:$D,$D68,$AE:$AE,$AE68)/SUMIF(符文权重!$A:$A,$D68,符文权重!$D:$D)))</f>
        <v>0.0204</v>
      </c>
      <c r="Q68" s="51" cm="1">
        <f t="array" ref="Q68">IF($A68="","",IF(K68="","",_xlfn.XLOOKUP($D68&amp;"_"&amp;$AE68,符文权重!$A:$A&amp;"_"&amp;符文权重!$C:$C,符文权重!$D:$D)*$Y68/SUMIFS($Y:$Y,K:K,K68,$D:$D,$D68,$AE:$AE,$AE68)/SUMIF(符文权重!$A:$A,$D68,符文权重!$D:$D)))</f>
        <v>0.0204</v>
      </c>
      <c r="R68" s="51" cm="1">
        <f t="array" ref="R68">IF($A68="","",IF(L68="","",_xlfn.XLOOKUP($D68&amp;"_"&amp;$AE68,符文权重!$A:$A&amp;"_"&amp;符文权重!$C:$C,符文权重!$D:$D)*$Y68/SUMIFS($Y:$Y,L:L,L68,$D:$D,$D68,$AE:$AE,$AE68)/SUMIF(符文权重!$A:$A,$D68,符文权重!$D:$D)))</f>
        <v>0.0204</v>
      </c>
      <c r="S68" s="36" t="s">
        <v>175</v>
      </c>
      <c r="T68" s="36"/>
      <c r="U68" s="36" t="e">
        <f>IF(C68="","",SUBSTITUTE(SUBSTITUTE("[{global_atk,"&amp;#REF!*D68&amp;"}]",21,20),9,8))</f>
        <v>#REF!</v>
      </c>
      <c r="V68" s="52" t="str">
        <f t="shared" si="27"/>
        <v>[5501087]</v>
      </c>
      <c r="W68" s="36" t="s">
        <v>255</v>
      </c>
      <c r="X68" s="35"/>
      <c r="Y68" s="42">
        <v>100</v>
      </c>
      <c r="Z68" s="35"/>
      <c r="AA68" s="42" t="s">
        <v>191</v>
      </c>
      <c r="AB68" s="42" t="str">
        <f t="shared" si="3"/>
        <v>队长和梦灵伤害&lt;color=#54b76b&gt;+12%&lt;/color&gt;</v>
      </c>
      <c r="AC68" s="48" t="str">
        <f t="shared" si="4"/>
        <v>5501081</v>
      </c>
      <c r="AD68" s="42" t="str">
        <f t="shared" si="5"/>
        <v>[12]</v>
      </c>
      <c r="AE68" s="36">
        <v>1</v>
      </c>
      <c r="AF68" s="36"/>
      <c r="AG68" s="36">
        <v>0</v>
      </c>
      <c r="AH68" s="35" t="s">
        <v>178</v>
      </c>
      <c r="AI68" s="48">
        <f t="shared" si="28"/>
        <v>5501087</v>
      </c>
      <c r="AJ68" s="53" t="str">
        <f t="shared" si="29"/>
        <v>队长和梦灵伤害&lt;color=#54b76b&gt;+%s%&lt;/color&gt;</v>
      </c>
      <c r="AK68" s="35">
        <v>12</v>
      </c>
      <c r="AL68" s="36">
        <v>1</v>
      </c>
    </row>
    <row r="69" s="25" customFormat="1" hidden="1" customHeight="1" spans="1:38">
      <c r="A69" s="48" t="s">
        <v>178</v>
      </c>
      <c r="C69" s="48" t="str">
        <f t="shared" si="0"/>
        <v/>
      </c>
      <c r="D69" s="42" t="str">
        <f t="shared" si="1"/>
        <v/>
      </c>
      <c r="E69" s="42"/>
      <c r="F69" s="36"/>
      <c r="G69" s="36" t="str">
        <f t="shared" si="8"/>
        <v/>
      </c>
      <c r="H69" s="36" t="str">
        <f>IFERROR(IF(--MID($F69,2*COUNTIF($G69:G69,"&gt;"&amp;0)+2,1)=H$1,H$1,""),"")</f>
        <v/>
      </c>
      <c r="I69" s="36" t="str">
        <f>IFERROR(IF(--MID($F69,2*COUNTIF($G69:H69,"&gt;"&amp;0)+2,1)=I$1,I$1,""),"")</f>
        <v/>
      </c>
      <c r="J69" s="36" t="str">
        <f>IFERROR(IF(--MID($F69,2*COUNTIF($G69:I69,"&gt;"&amp;0)+2,1)=J$1,J$1,""),"")</f>
        <v/>
      </c>
      <c r="K69" s="36" t="str">
        <f>IFERROR(IF(--MID($F69,2*COUNTIF($G69:J69,"&gt;"&amp;0)+2,1)=K$1,K$1,""),"")</f>
        <v/>
      </c>
      <c r="L69" s="36" t="str">
        <f>IFERROR(IF(--MID($F69,2*COUNTIF($G69:K69,"&gt;"&amp;0)+2,1)=L$1,L$1,""),"")</f>
        <v/>
      </c>
      <c r="M69" s="51" t="str" cm="1">
        <f t="array" ref="M69">IF($A69="","",IF(G69="","",_xlfn.XLOOKUP($D69&amp;"_"&amp;$AE69,符文权重!$A:$A&amp;"_"&amp;符文权重!$C:$C,符文权重!$D:$D)*$Y69/SUMIFS($Y:$Y,G:G,G69,$D:$D,$D69,$AE:$AE,$AE69)/SUMIF(符文权重!$A:$A,$D69,符文权重!$D:$D)))</f>
        <v/>
      </c>
      <c r="N69" s="36" t="str" cm="1">
        <f t="array" ref="N69">IF($A69="","",IF(H69="","",_xlfn.XLOOKUP($D69&amp;"_"&amp;$AE69,符文权重!$A:$A&amp;"_"&amp;符文权重!$C:$C,符文权重!$D:$D)*$Y69/SUMIFS($Y:$Y,H:H,H69,$D:$D,$D$6,$AE:$AE,$AE$6)))</f>
        <v/>
      </c>
      <c r="O69" s="36" t="str" cm="1">
        <f t="array" ref="O69">IF($A69="","",IF(I69="","",_xlfn.XLOOKUP($D69&amp;"_"&amp;$AE69,符文权重!$A:$A&amp;"_"&amp;符文权重!$C:$C,符文权重!$D:$D)*$Y69/SUMIFS($Y:$Y,I:I,I69,$D:$D,$D$6,$AE:$AE,$AE$6)))</f>
        <v/>
      </c>
      <c r="P69" s="36" t="str" cm="1">
        <f t="array" ref="P69">IF($A69="","",IF(J69="","",_xlfn.XLOOKUP($D69&amp;"_"&amp;$AE69,符文权重!$A:$A&amp;"_"&amp;符文权重!$C:$C,符文权重!$D:$D)*$Y69/SUMIFS($Y:$Y,J:J,J69,$D:$D,$D$6,$AE:$AE,$AE$6)))</f>
        <v/>
      </c>
      <c r="Q69" s="36" t="str" cm="1">
        <f t="array" ref="Q69">IF($A69="","",IF(K69="","",_xlfn.XLOOKUP($D69&amp;"_"&amp;$AE69,符文权重!$A:$A&amp;"_"&amp;符文权重!$C:$C,符文权重!$D:$D)*$Y69/SUMIFS($Y:$Y,K:K,K69,$D:$D,$D$6,$AE:$AE,$AE$6)))</f>
        <v/>
      </c>
      <c r="R69" s="36" t="str" cm="1">
        <f t="array" ref="R69">IF($A69="","",IF(L69="","",_xlfn.XLOOKUP($D69&amp;"_"&amp;$AE69,符文权重!$A:$A&amp;"_"&amp;符文权重!$C:$C,符文权重!$D:$D)*$Y69/SUMIFS($Y:$Y,L:L,L69,$D:$D,$D$6,$AE:$AE,$AE$6)))</f>
        <v/>
      </c>
      <c r="S69" s="36" t="s">
        <v>178</v>
      </c>
      <c r="T69" s="36" t="s">
        <v>178</v>
      </c>
      <c r="U69" s="36"/>
      <c r="V69" s="52"/>
      <c r="W69" s="36"/>
      <c r="X69" s="35"/>
      <c r="Y69" s="42"/>
      <c r="Z69" s="35"/>
      <c r="AA69" s="42" t="s">
        <v>178</v>
      </c>
      <c r="AB69" s="42" t="str">
        <f t="shared" si="3"/>
        <v/>
      </c>
      <c r="AC69" s="48" t="str">
        <f t="shared" si="4"/>
        <v/>
      </c>
      <c r="AD69" s="42" t="str">
        <f t="shared" si="5"/>
        <v/>
      </c>
      <c r="AE69" s="36"/>
      <c r="AF69" s="36"/>
      <c r="AG69" s="36"/>
      <c r="AH69" s="35" t="s">
        <v>178</v>
      </c>
      <c r="AI69" s="33"/>
      <c r="AJ69" s="65"/>
      <c r="AK69" s="35"/>
      <c r="AL69" s="36"/>
    </row>
    <row r="70" s="25" customFormat="1" hidden="1" customHeight="1" spans="1:38">
      <c r="A70" s="48">
        <v>5501091</v>
      </c>
      <c r="B70" s="50"/>
      <c r="C70" s="48" t="str">
        <f t="shared" ref="C70:C132" si="30">IF(ISBLANK(AI70),"",LEFT(AI70,6)&amp;1)</f>
        <v>5501091</v>
      </c>
      <c r="D70" s="42">
        <f t="shared" ref="D70:D132" si="31">IF(ISBLANK(AI70),"",VALUE(RIGHT(A70,1)))</f>
        <v>1</v>
      </c>
      <c r="E70" s="42"/>
      <c r="F70" s="36" t="s">
        <v>174</v>
      </c>
      <c r="G70" s="36">
        <f t="shared" si="8"/>
        <v>1</v>
      </c>
      <c r="H70" s="36">
        <f>IFERROR(IF(--MID($F70,2*COUNTIF($G70:G70,"&gt;"&amp;0)+2,1)=H$1,H$1,""),"")</f>
        <v>2</v>
      </c>
      <c r="I70" s="36">
        <f>IFERROR(IF(--MID($F70,2*COUNTIF($G70:H70,"&gt;"&amp;0)+2,1)=I$1,I$1,""),"")</f>
        <v>3</v>
      </c>
      <c r="J70" s="36">
        <f>IFERROR(IF(--MID($F70,2*COUNTIF($G70:I70,"&gt;"&amp;0)+2,1)=J$1,J$1,""),"")</f>
        <v>4</v>
      </c>
      <c r="K70" s="36">
        <f>IFERROR(IF(--MID($F70,2*COUNTIF($G70:J70,"&gt;"&amp;0)+2,1)=K$1,K$1,""),"")</f>
        <v>5</v>
      </c>
      <c r="L70" s="36">
        <f>IFERROR(IF(--MID($F70,2*COUNTIF($G70:K70,"&gt;"&amp;0)+2,1)=L$1,L$1,""),"")</f>
        <v>6</v>
      </c>
      <c r="M70" s="51" cm="1">
        <f t="array" ref="M70">IF($A70="","",IF(G70="","",_xlfn.XLOOKUP($D70&amp;"_"&amp;$AE70,符文权重!$A:$A&amp;"_"&amp;符文权重!$C:$C,符文权重!$D:$D)*$Y70/SUMIFS($Y:$Y,G:G,G70,$D:$D,$D70,$AE:$AE,$AE70)/SUMIF(符文权重!$A:$A,$D70,符文权重!$D:$D)))</f>
        <v>0.05</v>
      </c>
      <c r="N70" s="51" cm="1">
        <f t="array" ref="N70">IF($A70="","",IF(H70="","",_xlfn.XLOOKUP($D70&amp;"_"&amp;$AE70,符文权重!$A:$A&amp;"_"&amp;符文权重!$C:$C,符文权重!$D:$D)*$Y70/SUMIFS($Y:$Y,H:H,H70,$D:$D,$D70,$AE:$AE,$AE70)/SUMIF(符文权重!$A:$A,$D70,符文权重!$D:$D)))</f>
        <v>0.05</v>
      </c>
      <c r="O70" s="51" cm="1">
        <f t="array" ref="O70">IF($A70="","",IF(I70="","",_xlfn.XLOOKUP($D70&amp;"_"&amp;$AE70,符文权重!$A:$A&amp;"_"&amp;符文权重!$C:$C,符文权重!$D:$D)*$Y70/SUMIFS($Y:$Y,I:I,I70,$D:$D,$D70,$AE:$AE,$AE70)/SUMIF(符文权重!$A:$A,$D70,符文权重!$D:$D)))</f>
        <v>0.05</v>
      </c>
      <c r="P70" s="51" cm="1">
        <f t="array" ref="P70">IF($A70="","",IF(J70="","",_xlfn.XLOOKUP($D70&amp;"_"&amp;$AE70,符文权重!$A:$A&amp;"_"&amp;符文权重!$C:$C,符文权重!$D:$D)*$Y70/SUMIFS($Y:$Y,J:J,J70,$D:$D,$D70,$AE:$AE,$AE70)/SUMIF(符文权重!$A:$A,$D70,符文权重!$D:$D)))</f>
        <v>0.05</v>
      </c>
      <c r="Q70" s="51" cm="1">
        <f t="array" ref="Q70">IF($A70="","",IF(K70="","",_xlfn.XLOOKUP($D70&amp;"_"&amp;$AE70,符文权重!$A:$A&amp;"_"&amp;符文权重!$C:$C,符文权重!$D:$D)*$Y70/SUMIFS($Y:$Y,K:K,K70,$D:$D,$D70,$AE:$AE,$AE70)/SUMIF(符文权重!$A:$A,$D70,符文权重!$D:$D)))</f>
        <v>0.05</v>
      </c>
      <c r="R70" s="51" cm="1">
        <f t="array" ref="R70">IF($A70="","",IF(L70="","",_xlfn.XLOOKUP($D70&amp;"_"&amp;$AE70,符文权重!$A:$A&amp;"_"&amp;符文权重!$C:$C,符文权重!$D:$D)*$Y70/SUMIFS($Y:$Y,L:L,L70,$D:$D,$D70,$AE:$AE,$AE70)/SUMIF(符文权重!$A:$A,$D70,符文权重!$D:$D)))</f>
        <v>0.05</v>
      </c>
      <c r="S70" s="36" t="s">
        <v>256</v>
      </c>
      <c r="T70" s="36"/>
      <c r="U70" s="36" t="e">
        <f>IF(C70="","",SUBSTITUTE(SUBSTITUTE("[{global_atk,"&amp;#REF!*D70&amp;"}]",21,20),9,8))</f>
        <v>#REF!</v>
      </c>
      <c r="V70" s="52" t="str">
        <f t="shared" ref="V70:V76" si="32">"["&amp;A70&amp;"]"</f>
        <v>[5501091]</v>
      </c>
      <c r="W70" s="36" t="s">
        <v>257</v>
      </c>
      <c r="X70" s="35"/>
      <c r="Y70" s="42">
        <v>100</v>
      </c>
      <c r="Z70" s="35"/>
      <c r="AA70" s="42" t="s">
        <v>177</v>
      </c>
      <c r="AB70" s="42" t="str">
        <f t="shared" ref="AB70:AB133" si="33">SUBSTITUTE(AJ70,"%s",AK70)</f>
        <v>队长伤害&lt;color=#54b76b&gt;+10%&lt;/color&gt;</v>
      </c>
      <c r="AC70" s="48" t="str">
        <f t="shared" ref="AC70:AC132" si="34">IF(ISBLANK(AI70),"",C70)</f>
        <v>5501091</v>
      </c>
      <c r="AD70" s="42" t="str">
        <f t="shared" ref="AD70:AD132" si="35">IF(ISBLANK(AK70),"","["&amp;AK70&amp;"]")</f>
        <v>[10]</v>
      </c>
      <c r="AE70" s="36">
        <v>1</v>
      </c>
      <c r="AF70" s="36"/>
      <c r="AG70" s="36">
        <v>0</v>
      </c>
      <c r="AH70" s="35" t="s">
        <v>178</v>
      </c>
      <c r="AI70" s="33">
        <v>5501091</v>
      </c>
      <c r="AJ70" s="55" t="s">
        <v>258</v>
      </c>
      <c r="AK70" s="36">
        <v>10</v>
      </c>
      <c r="AL70" s="36">
        <v>1</v>
      </c>
    </row>
    <row r="71" s="25" customFormat="1" hidden="1" customHeight="1" spans="1:38">
      <c r="A71" s="48">
        <v>5501092</v>
      </c>
      <c r="B71" s="42"/>
      <c r="C71" s="48" t="str">
        <f t="shared" si="30"/>
        <v>5501091</v>
      </c>
      <c r="D71" s="42">
        <f t="shared" si="31"/>
        <v>2</v>
      </c>
      <c r="E71" s="42"/>
      <c r="F71" s="36" t="s">
        <v>174</v>
      </c>
      <c r="G71" s="36">
        <f t="shared" ref="G71:G134" si="36">IF(LEFT(F71,2)="[1",1,"")</f>
        <v>1</v>
      </c>
      <c r="H71" s="36">
        <f>IFERROR(IF(--MID($F71,2*COUNTIF($G71:G71,"&gt;"&amp;0)+2,1)=H$1,H$1,""),"")</f>
        <v>2</v>
      </c>
      <c r="I71" s="36">
        <f>IFERROR(IF(--MID($F71,2*COUNTIF($G71:H71,"&gt;"&amp;0)+2,1)=I$1,I$1,""),"")</f>
        <v>3</v>
      </c>
      <c r="J71" s="36">
        <f>IFERROR(IF(--MID($F71,2*COUNTIF($G71:I71,"&gt;"&amp;0)+2,1)=J$1,J$1,""),"")</f>
        <v>4</v>
      </c>
      <c r="K71" s="36">
        <f>IFERROR(IF(--MID($F71,2*COUNTIF($G71:J71,"&gt;"&amp;0)+2,1)=K$1,K$1,""),"")</f>
        <v>5</v>
      </c>
      <c r="L71" s="36">
        <f>IFERROR(IF(--MID($F71,2*COUNTIF($G71:K71,"&gt;"&amp;0)+2,1)=L$1,L$1,""),"")</f>
        <v>6</v>
      </c>
      <c r="M71" s="51" cm="1">
        <f t="array" ref="M71">IF($A71="","",IF(G71="","",_xlfn.XLOOKUP($D71&amp;"_"&amp;$AE71,符文权重!$A:$A&amp;"_"&amp;符文权重!$C:$C,符文权重!$D:$D)*$Y71/SUMIFS($Y:$Y,G:G,G71,$D:$D,$D71,$AE:$AE,$AE71)/SUMIF(符文权重!$A:$A,$D71,符文权重!$D:$D)))</f>
        <v>0.0363636363636364</v>
      </c>
      <c r="N71" s="51" cm="1">
        <f t="array" ref="N71">IF($A71="","",IF(H71="","",_xlfn.XLOOKUP($D71&amp;"_"&amp;$AE71,符文权重!$A:$A&amp;"_"&amp;符文权重!$C:$C,符文权重!$D:$D)*$Y71/SUMIFS($Y:$Y,H:H,H71,$D:$D,$D71,$AE:$AE,$AE71)/SUMIF(符文权重!$A:$A,$D71,符文权重!$D:$D)))</f>
        <v>0.0363636363636364</v>
      </c>
      <c r="O71" s="51" cm="1">
        <f t="array" ref="O71">IF($A71="","",IF(I71="","",_xlfn.XLOOKUP($D71&amp;"_"&amp;$AE71,符文权重!$A:$A&amp;"_"&amp;符文权重!$C:$C,符文权重!$D:$D)*$Y71/SUMIFS($Y:$Y,I:I,I71,$D:$D,$D71,$AE:$AE,$AE71)/SUMIF(符文权重!$A:$A,$D71,符文权重!$D:$D)))</f>
        <v>0.0363636363636364</v>
      </c>
      <c r="P71" s="51" cm="1">
        <f t="array" ref="P71">IF($A71="","",IF(J71="","",_xlfn.XLOOKUP($D71&amp;"_"&amp;$AE71,符文权重!$A:$A&amp;"_"&amp;符文权重!$C:$C,符文权重!$D:$D)*$Y71/SUMIFS($Y:$Y,J:J,J71,$D:$D,$D71,$AE:$AE,$AE71)/SUMIF(符文权重!$A:$A,$D71,符文权重!$D:$D)))</f>
        <v>0.0363636363636364</v>
      </c>
      <c r="Q71" s="51" cm="1">
        <f t="array" ref="Q71">IF($A71="","",IF(K71="","",_xlfn.XLOOKUP($D71&amp;"_"&amp;$AE71,符文权重!$A:$A&amp;"_"&amp;符文权重!$C:$C,符文权重!$D:$D)*$Y71/SUMIFS($Y:$Y,K:K,K71,$D:$D,$D71,$AE:$AE,$AE71)/SUMIF(符文权重!$A:$A,$D71,符文权重!$D:$D)))</f>
        <v>0.0363636363636364</v>
      </c>
      <c r="R71" s="51" cm="1">
        <f t="array" ref="R71">IF($A71="","",IF(L71="","",_xlfn.XLOOKUP($D71&amp;"_"&amp;$AE71,符文权重!$A:$A&amp;"_"&amp;符文权重!$C:$C,符文权重!$D:$D)*$Y71/SUMIFS($Y:$Y,L:L,L71,$D:$D,$D71,$AE:$AE,$AE71)/SUMIF(符文权重!$A:$A,$D71,符文权重!$D:$D)))</f>
        <v>0.0363636363636364</v>
      </c>
      <c r="S71" s="36" t="s">
        <v>256</v>
      </c>
      <c r="T71" s="36"/>
      <c r="U71" s="36" t="e">
        <f>IF(C71="","",SUBSTITUTE(SUBSTITUTE("[{global_atk,"&amp;#REF!*D71&amp;"}]",21,20),9,8))</f>
        <v>#REF!</v>
      </c>
      <c r="V71" s="52" t="str">
        <f t="shared" si="32"/>
        <v>[5501092]</v>
      </c>
      <c r="W71" s="36" t="s">
        <v>259</v>
      </c>
      <c r="X71" s="35"/>
      <c r="Y71" s="42">
        <v>100</v>
      </c>
      <c r="Z71" s="35"/>
      <c r="AA71" s="42" t="s">
        <v>181</v>
      </c>
      <c r="AB71" s="42" t="str">
        <f t="shared" si="33"/>
        <v>队长伤害&lt;color=#54b76b&gt;+15%&lt;/color&gt;</v>
      </c>
      <c r="AC71" s="48" t="str">
        <f t="shared" si="34"/>
        <v>5501091</v>
      </c>
      <c r="AD71" s="42" t="str">
        <f t="shared" si="35"/>
        <v>[15]</v>
      </c>
      <c r="AE71" s="36">
        <v>1</v>
      </c>
      <c r="AF71" s="36"/>
      <c r="AG71" s="36">
        <v>0</v>
      </c>
      <c r="AH71" s="35" t="s">
        <v>178</v>
      </c>
      <c r="AI71" s="48">
        <f t="shared" ref="AI71:AI76" si="37">AI70+1</f>
        <v>5501092</v>
      </c>
      <c r="AJ71" s="53" t="str">
        <f t="shared" ref="AJ71:AJ76" si="38">AJ70</f>
        <v>队长伤害&lt;color=#54b76b&gt;+%s%&lt;/color&gt;</v>
      </c>
      <c r="AK71" s="36">
        <v>15</v>
      </c>
      <c r="AL71" s="36">
        <v>1</v>
      </c>
    </row>
    <row r="72" s="25" customFormat="1" hidden="1" customHeight="1" spans="1:38">
      <c r="A72" s="48">
        <v>5501093</v>
      </c>
      <c r="B72" s="42"/>
      <c r="C72" s="48" t="str">
        <f t="shared" si="30"/>
        <v>5501091</v>
      </c>
      <c r="D72" s="42">
        <f t="shared" si="31"/>
        <v>3</v>
      </c>
      <c r="E72" s="42"/>
      <c r="F72" s="36" t="s">
        <v>174</v>
      </c>
      <c r="G72" s="36">
        <f t="shared" si="36"/>
        <v>1</v>
      </c>
      <c r="H72" s="36">
        <f>IFERROR(IF(--MID($F72,2*COUNTIF($G72:G72,"&gt;"&amp;0)+2,1)=H$1,H$1,""),"")</f>
        <v>2</v>
      </c>
      <c r="I72" s="36">
        <f>IFERROR(IF(--MID($F72,2*COUNTIF($G72:H72,"&gt;"&amp;0)+2,1)=I$1,I$1,""),"")</f>
        <v>3</v>
      </c>
      <c r="J72" s="36">
        <f>IFERROR(IF(--MID($F72,2*COUNTIF($G72:I72,"&gt;"&amp;0)+2,1)=J$1,J$1,""),"")</f>
        <v>4</v>
      </c>
      <c r="K72" s="36">
        <f>IFERROR(IF(--MID($F72,2*COUNTIF($G72:J72,"&gt;"&amp;0)+2,1)=K$1,K$1,""),"")</f>
        <v>5</v>
      </c>
      <c r="L72" s="36">
        <f>IFERROR(IF(--MID($F72,2*COUNTIF($G72:K72,"&gt;"&amp;0)+2,1)=L$1,L$1,""),"")</f>
        <v>6</v>
      </c>
      <c r="M72" s="51" cm="1">
        <f t="array" ref="M72">IF($A72="","",IF(G72="","",_xlfn.XLOOKUP($D72&amp;"_"&amp;$AE72,符文权重!$A:$A&amp;"_"&amp;符文权重!$C:$C,符文权重!$D:$D)*$Y72/SUMIFS($Y:$Y,G:G,G72,$D:$D,$D72,$AE:$AE,$AE72)/SUMIF(符文权重!$A:$A,$D72,符文权重!$D:$D)))</f>
        <v>0.035</v>
      </c>
      <c r="N72" s="51" cm="1">
        <f t="array" ref="N72">IF($A72="","",IF(H72="","",_xlfn.XLOOKUP($D72&amp;"_"&amp;$AE72,符文权重!$A:$A&amp;"_"&amp;符文权重!$C:$C,符文权重!$D:$D)*$Y72/SUMIFS($Y:$Y,H:H,H72,$D:$D,$D72,$AE:$AE,$AE72)/SUMIF(符文权重!$A:$A,$D72,符文权重!$D:$D)))</f>
        <v>0.035</v>
      </c>
      <c r="O72" s="51" cm="1">
        <f t="array" ref="O72">IF($A72="","",IF(I72="","",_xlfn.XLOOKUP($D72&amp;"_"&amp;$AE72,符文权重!$A:$A&amp;"_"&amp;符文权重!$C:$C,符文权重!$D:$D)*$Y72/SUMIFS($Y:$Y,I:I,I72,$D:$D,$D72,$AE:$AE,$AE72)/SUMIF(符文权重!$A:$A,$D72,符文权重!$D:$D)))</f>
        <v>0.035</v>
      </c>
      <c r="P72" s="51" cm="1">
        <f t="array" ref="P72">IF($A72="","",IF(J72="","",_xlfn.XLOOKUP($D72&amp;"_"&amp;$AE72,符文权重!$A:$A&amp;"_"&amp;符文权重!$C:$C,符文权重!$D:$D)*$Y72/SUMIFS($Y:$Y,J:J,J72,$D:$D,$D72,$AE:$AE,$AE72)/SUMIF(符文权重!$A:$A,$D72,符文权重!$D:$D)))</f>
        <v>0.035</v>
      </c>
      <c r="Q72" s="51" cm="1">
        <f t="array" ref="Q72">IF($A72="","",IF(K72="","",_xlfn.XLOOKUP($D72&amp;"_"&amp;$AE72,符文权重!$A:$A&amp;"_"&amp;符文权重!$C:$C,符文权重!$D:$D)*$Y72/SUMIFS($Y:$Y,K:K,K72,$D:$D,$D72,$AE:$AE,$AE72)/SUMIF(符文权重!$A:$A,$D72,符文权重!$D:$D)))</f>
        <v>0.035</v>
      </c>
      <c r="R72" s="51" cm="1">
        <f t="array" ref="R72">IF($A72="","",IF(L72="","",_xlfn.XLOOKUP($D72&amp;"_"&amp;$AE72,符文权重!$A:$A&amp;"_"&amp;符文权重!$C:$C,符文权重!$D:$D)*$Y72/SUMIFS($Y:$Y,L:L,L72,$D:$D,$D72,$AE:$AE,$AE72)/SUMIF(符文权重!$A:$A,$D72,符文权重!$D:$D)))</f>
        <v>0.035</v>
      </c>
      <c r="S72" s="36" t="s">
        <v>256</v>
      </c>
      <c r="T72" s="36"/>
      <c r="U72" s="36" t="e">
        <f>IF(C72="","",SUBSTITUTE(SUBSTITUTE("[{global_atk,"&amp;#REF!*D72&amp;"}]",21,20),9,8))</f>
        <v>#REF!</v>
      </c>
      <c r="V72" s="52" t="str">
        <f t="shared" si="32"/>
        <v>[5501093]</v>
      </c>
      <c r="W72" s="36" t="s">
        <v>260</v>
      </c>
      <c r="X72" s="35"/>
      <c r="Y72" s="42">
        <v>100</v>
      </c>
      <c r="Z72" s="35"/>
      <c r="AA72" s="42" t="s">
        <v>183</v>
      </c>
      <c r="AB72" s="42" t="str">
        <f t="shared" si="33"/>
        <v>队长伤害&lt;color=#54b76b&gt;+20%&lt;/color&gt;</v>
      </c>
      <c r="AC72" s="48" t="str">
        <f t="shared" si="34"/>
        <v>5501091</v>
      </c>
      <c r="AD72" s="42" t="str">
        <f t="shared" si="35"/>
        <v>[20]</v>
      </c>
      <c r="AE72" s="36">
        <v>1</v>
      </c>
      <c r="AF72" s="36"/>
      <c r="AG72" s="36">
        <v>0</v>
      </c>
      <c r="AH72" s="35" t="s">
        <v>178</v>
      </c>
      <c r="AI72" s="48">
        <f t="shared" si="37"/>
        <v>5501093</v>
      </c>
      <c r="AJ72" s="53" t="str">
        <f t="shared" si="38"/>
        <v>队长伤害&lt;color=#54b76b&gt;+%s%&lt;/color&gt;</v>
      </c>
      <c r="AK72" s="36">
        <v>20</v>
      </c>
      <c r="AL72" s="36">
        <v>1</v>
      </c>
    </row>
    <row r="73" s="25" customFormat="1" hidden="1" customHeight="1" spans="1:38">
      <c r="A73" s="48">
        <v>5501094</v>
      </c>
      <c r="B73" s="42"/>
      <c r="C73" s="48" t="str">
        <f t="shared" si="30"/>
        <v>5501091</v>
      </c>
      <c r="D73" s="42">
        <f t="shared" si="31"/>
        <v>4</v>
      </c>
      <c r="E73" s="42"/>
      <c r="F73" s="36" t="s">
        <v>174</v>
      </c>
      <c r="G73" s="36">
        <f t="shared" si="36"/>
        <v>1</v>
      </c>
      <c r="H73" s="36">
        <f>IFERROR(IF(--MID($F73,2*COUNTIF($G73:G73,"&gt;"&amp;0)+2,1)=H$1,H$1,""),"")</f>
        <v>2</v>
      </c>
      <c r="I73" s="36">
        <f>IFERROR(IF(--MID($F73,2*COUNTIF($G73:H73,"&gt;"&amp;0)+2,1)=I$1,I$1,""),"")</f>
        <v>3</v>
      </c>
      <c r="J73" s="36">
        <f>IFERROR(IF(--MID($F73,2*COUNTIF($G73:I73,"&gt;"&amp;0)+2,1)=J$1,J$1,""),"")</f>
        <v>4</v>
      </c>
      <c r="K73" s="36">
        <f>IFERROR(IF(--MID($F73,2*COUNTIF($G73:J73,"&gt;"&amp;0)+2,1)=K$1,K$1,""),"")</f>
        <v>5</v>
      </c>
      <c r="L73" s="36">
        <f>IFERROR(IF(--MID($F73,2*COUNTIF($G73:K73,"&gt;"&amp;0)+2,1)=L$1,L$1,""),"")</f>
        <v>6</v>
      </c>
      <c r="M73" s="51" cm="1">
        <f t="array" ref="M73">IF($A73="","",IF(G73="","",_xlfn.XLOOKUP($D73&amp;"_"&amp;$AE73,符文权重!$A:$A&amp;"_"&amp;符文权重!$C:$C,符文权重!$D:$D)*$Y73/SUMIFS($Y:$Y,G:G,G73,$D:$D,$D73,$AE:$AE,$AE73)/SUMIF(符文权重!$A:$A,$D73,符文权重!$D:$D)))</f>
        <v>0.0229365529511942</v>
      </c>
      <c r="N73" s="51" cm="1">
        <f t="array" ref="N73">IF($A73="","",IF(H73="","",_xlfn.XLOOKUP($D73&amp;"_"&amp;$AE73,符文权重!$A:$A&amp;"_"&amp;符文权重!$C:$C,符文权重!$D:$D)*$Y73/SUMIFS($Y:$Y,H:H,H73,$D:$D,$D73,$AE:$AE,$AE73)/SUMIF(符文权重!$A:$A,$D73,符文权重!$D:$D)))</f>
        <v>0.0229365529511942</v>
      </c>
      <c r="O73" s="51" cm="1">
        <f t="array" ref="O73">IF($A73="","",IF(I73="","",_xlfn.XLOOKUP($D73&amp;"_"&amp;$AE73,符文权重!$A:$A&amp;"_"&amp;符文权重!$C:$C,符文权重!$D:$D)*$Y73/SUMIFS($Y:$Y,I:I,I73,$D:$D,$D73,$AE:$AE,$AE73)/SUMIF(符文权重!$A:$A,$D73,符文权重!$D:$D)))</f>
        <v>0.0229365529511942</v>
      </c>
      <c r="P73" s="51" cm="1">
        <f t="array" ref="P73">IF($A73="","",IF(J73="","",_xlfn.XLOOKUP($D73&amp;"_"&amp;$AE73,符文权重!$A:$A&amp;"_"&amp;符文权重!$C:$C,符文权重!$D:$D)*$Y73/SUMIFS($Y:$Y,J:J,J73,$D:$D,$D73,$AE:$AE,$AE73)/SUMIF(符文权重!$A:$A,$D73,符文权重!$D:$D)))</f>
        <v>0.0229365529511942</v>
      </c>
      <c r="Q73" s="51" cm="1">
        <f t="array" ref="Q73">IF($A73="","",IF(K73="","",_xlfn.XLOOKUP($D73&amp;"_"&amp;$AE73,符文权重!$A:$A&amp;"_"&amp;符文权重!$C:$C,符文权重!$D:$D)*$Y73/SUMIFS($Y:$Y,K:K,K73,$D:$D,$D73,$AE:$AE,$AE73)/SUMIF(符文权重!$A:$A,$D73,符文权重!$D:$D)))</f>
        <v>0.0229365529511942</v>
      </c>
      <c r="R73" s="51" cm="1">
        <f t="array" ref="R73">IF($A73="","",IF(L73="","",_xlfn.XLOOKUP($D73&amp;"_"&amp;$AE73,符文权重!$A:$A&amp;"_"&amp;符文权重!$C:$C,符文权重!$D:$D)*$Y73/SUMIFS($Y:$Y,L:L,L73,$D:$D,$D73,$AE:$AE,$AE73)/SUMIF(符文权重!$A:$A,$D73,符文权重!$D:$D)))</f>
        <v>0.0229365529511942</v>
      </c>
      <c r="S73" s="36" t="s">
        <v>256</v>
      </c>
      <c r="T73" s="36"/>
      <c r="U73" s="36" t="e">
        <f>IF(C73="","",SUBSTITUTE(SUBSTITUTE("[{global_atk,"&amp;#REF!*D73&amp;"}]",21,20),9,8))</f>
        <v>#REF!</v>
      </c>
      <c r="V73" s="52" t="str">
        <f t="shared" si="32"/>
        <v>[5501094]</v>
      </c>
      <c r="W73" s="36" t="s">
        <v>261</v>
      </c>
      <c r="X73" s="35"/>
      <c r="Y73" s="42">
        <v>100</v>
      </c>
      <c r="Z73" s="35"/>
      <c r="AA73" s="42" t="s">
        <v>185</v>
      </c>
      <c r="AB73" s="42" t="str">
        <f t="shared" si="33"/>
        <v>队长伤害&lt;color=#54b76b&gt;+25%&lt;/color&gt;</v>
      </c>
      <c r="AC73" s="48" t="str">
        <f t="shared" si="34"/>
        <v>5501091</v>
      </c>
      <c r="AD73" s="42" t="str">
        <f t="shared" si="35"/>
        <v>[25]</v>
      </c>
      <c r="AE73" s="36">
        <v>1</v>
      </c>
      <c r="AF73" s="36"/>
      <c r="AG73" s="36">
        <v>0</v>
      </c>
      <c r="AH73" s="35" t="s">
        <v>178</v>
      </c>
      <c r="AI73" s="48">
        <f t="shared" si="37"/>
        <v>5501094</v>
      </c>
      <c r="AJ73" s="53" t="str">
        <f t="shared" si="38"/>
        <v>队长伤害&lt;color=#54b76b&gt;+%s%&lt;/color&gt;</v>
      </c>
      <c r="AK73" s="36">
        <v>25</v>
      </c>
      <c r="AL73" s="36">
        <v>1</v>
      </c>
    </row>
    <row r="74" s="25" customFormat="1" hidden="1" customHeight="1" spans="1:38">
      <c r="A74" s="48">
        <v>5501095</v>
      </c>
      <c r="B74" s="42"/>
      <c r="C74" s="48" t="str">
        <f t="shared" si="30"/>
        <v>5501091</v>
      </c>
      <c r="D74" s="42">
        <f t="shared" si="31"/>
        <v>5</v>
      </c>
      <c r="E74" s="42"/>
      <c r="F74" s="36" t="s">
        <v>174</v>
      </c>
      <c r="G74" s="36">
        <f t="shared" si="36"/>
        <v>1</v>
      </c>
      <c r="H74" s="36">
        <f>IFERROR(IF(--MID($F74,2*COUNTIF($G74:G74,"&gt;"&amp;0)+2,1)=H$1,H$1,""),"")</f>
        <v>2</v>
      </c>
      <c r="I74" s="36">
        <f>IFERROR(IF(--MID($F74,2*COUNTIF($G74:H74,"&gt;"&amp;0)+2,1)=I$1,I$1,""),"")</f>
        <v>3</v>
      </c>
      <c r="J74" s="36">
        <f>IFERROR(IF(--MID($F74,2*COUNTIF($G74:I74,"&gt;"&amp;0)+2,1)=J$1,J$1,""),"")</f>
        <v>4</v>
      </c>
      <c r="K74" s="36">
        <f>IFERROR(IF(--MID($F74,2*COUNTIF($G74:J74,"&gt;"&amp;0)+2,1)=K$1,K$1,""),"")</f>
        <v>5</v>
      </c>
      <c r="L74" s="36">
        <f>IFERROR(IF(--MID($F74,2*COUNTIF($G74:K74,"&gt;"&amp;0)+2,1)=L$1,L$1,""),"")</f>
        <v>6</v>
      </c>
      <c r="M74" s="51" cm="1">
        <f t="array" ref="M74">IF($A74="","",IF(G74="","",_xlfn.XLOOKUP($D74&amp;"_"&amp;$AE74,符文权重!$A:$A&amp;"_"&amp;符文权重!$C:$C,符文权重!$D:$D)*$Y74/SUMIFS($Y:$Y,G:G,G74,$D:$D,$D74,$AE:$AE,$AE74)/SUMIF(符文权重!$A:$A,$D74,符文权重!$D:$D)))</f>
        <v>0.0204</v>
      </c>
      <c r="N74" s="51" cm="1">
        <f t="array" ref="N74">IF($A74="","",IF(H74="","",_xlfn.XLOOKUP($D74&amp;"_"&amp;$AE74,符文权重!$A:$A&amp;"_"&amp;符文权重!$C:$C,符文权重!$D:$D)*$Y74/SUMIFS($Y:$Y,H:H,H74,$D:$D,$D74,$AE:$AE,$AE74)/SUMIF(符文权重!$A:$A,$D74,符文权重!$D:$D)))</f>
        <v>0.0204</v>
      </c>
      <c r="O74" s="51" cm="1">
        <f t="array" ref="O74">IF($A74="","",IF(I74="","",_xlfn.XLOOKUP($D74&amp;"_"&amp;$AE74,符文权重!$A:$A&amp;"_"&amp;符文权重!$C:$C,符文权重!$D:$D)*$Y74/SUMIFS($Y:$Y,I:I,I74,$D:$D,$D74,$AE:$AE,$AE74)/SUMIF(符文权重!$A:$A,$D74,符文权重!$D:$D)))</f>
        <v>0.0204</v>
      </c>
      <c r="P74" s="51" cm="1">
        <f t="array" ref="P74">IF($A74="","",IF(J74="","",_xlfn.XLOOKUP($D74&amp;"_"&amp;$AE74,符文权重!$A:$A&amp;"_"&amp;符文权重!$C:$C,符文权重!$D:$D)*$Y74/SUMIFS($Y:$Y,J:J,J74,$D:$D,$D74,$AE:$AE,$AE74)/SUMIF(符文权重!$A:$A,$D74,符文权重!$D:$D)))</f>
        <v>0.0204</v>
      </c>
      <c r="Q74" s="51" cm="1">
        <f t="array" ref="Q74">IF($A74="","",IF(K74="","",_xlfn.XLOOKUP($D74&amp;"_"&amp;$AE74,符文权重!$A:$A&amp;"_"&amp;符文权重!$C:$C,符文权重!$D:$D)*$Y74/SUMIFS($Y:$Y,K:K,K74,$D:$D,$D74,$AE:$AE,$AE74)/SUMIF(符文权重!$A:$A,$D74,符文权重!$D:$D)))</f>
        <v>0.0204</v>
      </c>
      <c r="R74" s="51" cm="1">
        <f t="array" ref="R74">IF($A74="","",IF(L74="","",_xlfn.XLOOKUP($D74&amp;"_"&amp;$AE74,符文权重!$A:$A&amp;"_"&amp;符文权重!$C:$C,符文权重!$D:$D)*$Y74/SUMIFS($Y:$Y,L:L,L74,$D:$D,$D74,$AE:$AE,$AE74)/SUMIF(符文权重!$A:$A,$D74,符文权重!$D:$D)))</f>
        <v>0.0204</v>
      </c>
      <c r="S74" s="36" t="s">
        <v>256</v>
      </c>
      <c r="T74" s="36"/>
      <c r="U74" s="36" t="e">
        <f>IF(C74="","",SUBSTITUTE(SUBSTITUTE("[{global_atk,"&amp;#REF!*D74&amp;"}]",21,20),9,8))</f>
        <v>#REF!</v>
      </c>
      <c r="V74" s="52" t="str">
        <f t="shared" si="32"/>
        <v>[5501095]</v>
      </c>
      <c r="W74" s="36" t="s">
        <v>262</v>
      </c>
      <c r="X74" s="35"/>
      <c r="Y74" s="42">
        <v>100</v>
      </c>
      <c r="Z74" s="35"/>
      <c r="AA74" s="42" t="s">
        <v>187</v>
      </c>
      <c r="AB74" s="42" t="str">
        <f t="shared" si="33"/>
        <v>队长伤害&lt;color=#54b76b&gt;+32%&lt;/color&gt;</v>
      </c>
      <c r="AC74" s="48" t="str">
        <f t="shared" si="34"/>
        <v>5501091</v>
      </c>
      <c r="AD74" s="42" t="str">
        <f t="shared" si="35"/>
        <v>[32]</v>
      </c>
      <c r="AE74" s="36">
        <v>1</v>
      </c>
      <c r="AF74" s="36"/>
      <c r="AG74" s="36">
        <v>0</v>
      </c>
      <c r="AH74" s="35" t="s">
        <v>178</v>
      </c>
      <c r="AI74" s="48">
        <f t="shared" si="37"/>
        <v>5501095</v>
      </c>
      <c r="AJ74" s="53" t="str">
        <f t="shared" si="38"/>
        <v>队长伤害&lt;color=#54b76b&gt;+%s%&lt;/color&gt;</v>
      </c>
      <c r="AK74" s="36">
        <v>32</v>
      </c>
      <c r="AL74" s="36">
        <v>1</v>
      </c>
    </row>
    <row r="75" s="25" customFormat="1" hidden="1" customHeight="1" spans="1:38">
      <c r="A75" s="48">
        <v>5501096</v>
      </c>
      <c r="B75" s="42"/>
      <c r="C75" s="48" t="str">
        <f t="shared" si="30"/>
        <v>5501091</v>
      </c>
      <c r="D75" s="42">
        <f t="shared" si="31"/>
        <v>6</v>
      </c>
      <c r="E75" s="42"/>
      <c r="F75" s="36" t="s">
        <v>174</v>
      </c>
      <c r="G75" s="36">
        <f t="shared" si="36"/>
        <v>1</v>
      </c>
      <c r="H75" s="36">
        <f>IFERROR(IF(--MID($F75,2*COUNTIF($G75:G75,"&gt;"&amp;0)+2,1)=H$1,H$1,""),"")</f>
        <v>2</v>
      </c>
      <c r="I75" s="36">
        <f>IFERROR(IF(--MID($F75,2*COUNTIF($G75:H75,"&gt;"&amp;0)+2,1)=I$1,I$1,""),"")</f>
        <v>3</v>
      </c>
      <c r="J75" s="36">
        <f>IFERROR(IF(--MID($F75,2*COUNTIF($G75:I75,"&gt;"&amp;0)+2,1)=J$1,J$1,""),"")</f>
        <v>4</v>
      </c>
      <c r="K75" s="36">
        <f>IFERROR(IF(--MID($F75,2*COUNTIF($G75:J75,"&gt;"&amp;0)+2,1)=K$1,K$1,""),"")</f>
        <v>5</v>
      </c>
      <c r="L75" s="36">
        <f>IFERROR(IF(--MID($F75,2*COUNTIF($G75:K75,"&gt;"&amp;0)+2,1)=L$1,L$1,""),"")</f>
        <v>6</v>
      </c>
      <c r="M75" s="51" cm="1">
        <f t="array" ref="M75">IF($A75="","",IF(G75="","",_xlfn.XLOOKUP($D75&amp;"_"&amp;$AE75,符文权重!$A:$A&amp;"_"&amp;符文权重!$C:$C,符文权重!$D:$D)*$Y75/SUMIFS($Y:$Y,G:G,G75,$D:$D,$D75,$AE:$AE,$AE75)/SUMIF(符文权重!$A:$A,$D75,符文权重!$D:$D)))</f>
        <v>0.0204</v>
      </c>
      <c r="N75" s="51" cm="1">
        <f t="array" ref="N75">IF($A75="","",IF(H75="","",_xlfn.XLOOKUP($D75&amp;"_"&amp;$AE75,符文权重!$A:$A&amp;"_"&amp;符文权重!$C:$C,符文权重!$D:$D)*$Y75/SUMIFS($Y:$Y,H:H,H75,$D:$D,$D75,$AE:$AE,$AE75)/SUMIF(符文权重!$A:$A,$D75,符文权重!$D:$D)))</f>
        <v>0.0204</v>
      </c>
      <c r="O75" s="51" cm="1">
        <f t="array" ref="O75">IF($A75="","",IF(I75="","",_xlfn.XLOOKUP($D75&amp;"_"&amp;$AE75,符文权重!$A:$A&amp;"_"&amp;符文权重!$C:$C,符文权重!$D:$D)*$Y75/SUMIFS($Y:$Y,I:I,I75,$D:$D,$D75,$AE:$AE,$AE75)/SUMIF(符文权重!$A:$A,$D75,符文权重!$D:$D)))</f>
        <v>0.0204</v>
      </c>
      <c r="P75" s="51" cm="1">
        <f t="array" ref="P75">IF($A75="","",IF(J75="","",_xlfn.XLOOKUP($D75&amp;"_"&amp;$AE75,符文权重!$A:$A&amp;"_"&amp;符文权重!$C:$C,符文权重!$D:$D)*$Y75/SUMIFS($Y:$Y,J:J,J75,$D:$D,$D75,$AE:$AE,$AE75)/SUMIF(符文权重!$A:$A,$D75,符文权重!$D:$D)))</f>
        <v>0.0204</v>
      </c>
      <c r="Q75" s="51" cm="1">
        <f t="array" ref="Q75">IF($A75="","",IF(K75="","",_xlfn.XLOOKUP($D75&amp;"_"&amp;$AE75,符文权重!$A:$A&amp;"_"&amp;符文权重!$C:$C,符文权重!$D:$D)*$Y75/SUMIFS($Y:$Y,K:K,K75,$D:$D,$D75,$AE:$AE,$AE75)/SUMIF(符文权重!$A:$A,$D75,符文权重!$D:$D)))</f>
        <v>0.0204</v>
      </c>
      <c r="R75" s="51" cm="1">
        <f t="array" ref="R75">IF($A75="","",IF(L75="","",_xlfn.XLOOKUP($D75&amp;"_"&amp;$AE75,符文权重!$A:$A&amp;"_"&amp;符文权重!$C:$C,符文权重!$D:$D)*$Y75/SUMIFS($Y:$Y,L:L,L75,$D:$D,$D75,$AE:$AE,$AE75)/SUMIF(符文权重!$A:$A,$D75,符文权重!$D:$D)))</f>
        <v>0.0204</v>
      </c>
      <c r="S75" s="36" t="s">
        <v>256</v>
      </c>
      <c r="T75" s="36"/>
      <c r="U75" s="36" t="e">
        <f>IF(C75="","",SUBSTITUTE(SUBSTITUTE("[{global_atk,"&amp;#REF!*D75&amp;"}]",21,20),9,8))</f>
        <v>#REF!</v>
      </c>
      <c r="V75" s="52" t="str">
        <f t="shared" si="32"/>
        <v>[5501096]</v>
      </c>
      <c r="W75" s="36" t="s">
        <v>263</v>
      </c>
      <c r="X75" s="35"/>
      <c r="Y75" s="42">
        <v>100</v>
      </c>
      <c r="Z75" s="35"/>
      <c r="AA75" s="42" t="s">
        <v>189</v>
      </c>
      <c r="AB75" s="42" t="str">
        <f t="shared" si="33"/>
        <v>队长伤害&lt;color=#54b76b&gt;+40%&lt;/color&gt;</v>
      </c>
      <c r="AC75" s="48" t="str">
        <f t="shared" si="34"/>
        <v>5501091</v>
      </c>
      <c r="AD75" s="42" t="str">
        <f t="shared" si="35"/>
        <v>[40]</v>
      </c>
      <c r="AE75" s="36">
        <v>1</v>
      </c>
      <c r="AF75" s="36"/>
      <c r="AG75" s="36">
        <v>0</v>
      </c>
      <c r="AH75" s="35" t="s">
        <v>178</v>
      </c>
      <c r="AI75" s="48">
        <f t="shared" si="37"/>
        <v>5501096</v>
      </c>
      <c r="AJ75" s="53" t="str">
        <f t="shared" si="38"/>
        <v>队长伤害&lt;color=#54b76b&gt;+%s%&lt;/color&gt;</v>
      </c>
      <c r="AK75" s="36">
        <v>40</v>
      </c>
      <c r="AL75" s="36">
        <v>1</v>
      </c>
    </row>
    <row r="76" s="25" customFormat="1" hidden="1" customHeight="1" spans="1:38">
      <c r="A76" s="48">
        <v>5501097</v>
      </c>
      <c r="B76" s="42"/>
      <c r="C76" s="48" t="str">
        <f t="shared" si="30"/>
        <v>5501091</v>
      </c>
      <c r="D76" s="42">
        <f t="shared" si="31"/>
        <v>7</v>
      </c>
      <c r="E76" s="42"/>
      <c r="F76" s="36" t="s">
        <v>174</v>
      </c>
      <c r="G76" s="36">
        <f t="shared" si="36"/>
        <v>1</v>
      </c>
      <c r="H76" s="36">
        <f>IFERROR(IF(--MID($F76,2*COUNTIF($G76:G76,"&gt;"&amp;0)+2,1)=H$1,H$1,""),"")</f>
        <v>2</v>
      </c>
      <c r="I76" s="36">
        <f>IFERROR(IF(--MID($F76,2*COUNTIF($G76:H76,"&gt;"&amp;0)+2,1)=I$1,I$1,""),"")</f>
        <v>3</v>
      </c>
      <c r="J76" s="36">
        <f>IFERROR(IF(--MID($F76,2*COUNTIF($G76:I76,"&gt;"&amp;0)+2,1)=J$1,J$1,""),"")</f>
        <v>4</v>
      </c>
      <c r="K76" s="36">
        <f>IFERROR(IF(--MID($F76,2*COUNTIF($G76:J76,"&gt;"&amp;0)+2,1)=K$1,K$1,""),"")</f>
        <v>5</v>
      </c>
      <c r="L76" s="36">
        <f>IFERROR(IF(--MID($F76,2*COUNTIF($G76:K76,"&gt;"&amp;0)+2,1)=L$1,L$1,""),"")</f>
        <v>6</v>
      </c>
      <c r="M76" s="51" cm="1">
        <f t="array" ref="M76">IF($A76="","",IF(G76="","",_xlfn.XLOOKUP($D76&amp;"_"&amp;$AE76,符文权重!$A:$A&amp;"_"&amp;符文权重!$C:$C,符文权重!$D:$D)*$Y76/SUMIFS($Y:$Y,G:G,G76,$D:$D,$D76,$AE:$AE,$AE76)/SUMIF(符文权重!$A:$A,$D76,符文权重!$D:$D)))</f>
        <v>0.0204</v>
      </c>
      <c r="N76" s="51" cm="1">
        <f t="array" ref="N76">IF($A76="","",IF(H76="","",_xlfn.XLOOKUP($D76&amp;"_"&amp;$AE76,符文权重!$A:$A&amp;"_"&amp;符文权重!$C:$C,符文权重!$D:$D)*$Y76/SUMIFS($Y:$Y,H:H,H76,$D:$D,$D76,$AE:$AE,$AE76)/SUMIF(符文权重!$A:$A,$D76,符文权重!$D:$D)))</f>
        <v>0.0204</v>
      </c>
      <c r="O76" s="51" cm="1">
        <f t="array" ref="O76">IF($A76="","",IF(I76="","",_xlfn.XLOOKUP($D76&amp;"_"&amp;$AE76,符文权重!$A:$A&amp;"_"&amp;符文权重!$C:$C,符文权重!$D:$D)*$Y76/SUMIFS($Y:$Y,I:I,I76,$D:$D,$D76,$AE:$AE,$AE76)/SUMIF(符文权重!$A:$A,$D76,符文权重!$D:$D)))</f>
        <v>0.0204</v>
      </c>
      <c r="P76" s="51" cm="1">
        <f t="array" ref="P76">IF($A76="","",IF(J76="","",_xlfn.XLOOKUP($D76&amp;"_"&amp;$AE76,符文权重!$A:$A&amp;"_"&amp;符文权重!$C:$C,符文权重!$D:$D)*$Y76/SUMIFS($Y:$Y,J:J,J76,$D:$D,$D76,$AE:$AE,$AE76)/SUMIF(符文权重!$A:$A,$D76,符文权重!$D:$D)))</f>
        <v>0.0204</v>
      </c>
      <c r="Q76" s="51" cm="1">
        <f t="array" ref="Q76">IF($A76="","",IF(K76="","",_xlfn.XLOOKUP($D76&amp;"_"&amp;$AE76,符文权重!$A:$A&amp;"_"&amp;符文权重!$C:$C,符文权重!$D:$D)*$Y76/SUMIFS($Y:$Y,K:K,K76,$D:$D,$D76,$AE:$AE,$AE76)/SUMIF(符文权重!$A:$A,$D76,符文权重!$D:$D)))</f>
        <v>0.0204</v>
      </c>
      <c r="R76" s="51" cm="1">
        <f t="array" ref="R76">IF($A76="","",IF(L76="","",_xlfn.XLOOKUP($D76&amp;"_"&amp;$AE76,符文权重!$A:$A&amp;"_"&amp;符文权重!$C:$C,符文权重!$D:$D)*$Y76/SUMIFS($Y:$Y,L:L,L76,$D:$D,$D76,$AE:$AE,$AE76)/SUMIF(符文权重!$A:$A,$D76,符文权重!$D:$D)))</f>
        <v>0.0204</v>
      </c>
      <c r="S76" s="36" t="s">
        <v>256</v>
      </c>
      <c r="T76" s="36"/>
      <c r="U76" s="36" t="e">
        <f>IF(C76="","",SUBSTITUTE(SUBSTITUTE("[{global_atk,"&amp;#REF!*D76&amp;"}]",21,20),9,8))</f>
        <v>#REF!</v>
      </c>
      <c r="V76" s="52" t="str">
        <f t="shared" si="32"/>
        <v>[5501097]</v>
      </c>
      <c r="W76" s="36" t="s">
        <v>264</v>
      </c>
      <c r="X76" s="35"/>
      <c r="Y76" s="42">
        <v>100</v>
      </c>
      <c r="Z76" s="35"/>
      <c r="AA76" s="42" t="s">
        <v>191</v>
      </c>
      <c r="AB76" s="42" t="str">
        <f t="shared" si="33"/>
        <v>队长伤害&lt;color=#54b76b&gt;+50%&lt;/color&gt;</v>
      </c>
      <c r="AC76" s="48" t="str">
        <f t="shared" si="34"/>
        <v>5501091</v>
      </c>
      <c r="AD76" s="42" t="str">
        <f t="shared" si="35"/>
        <v>[50]</v>
      </c>
      <c r="AE76" s="36">
        <v>1</v>
      </c>
      <c r="AF76" s="36"/>
      <c r="AG76" s="36">
        <v>0</v>
      </c>
      <c r="AH76" s="35" t="s">
        <v>178</v>
      </c>
      <c r="AI76" s="48">
        <f t="shared" si="37"/>
        <v>5501097</v>
      </c>
      <c r="AJ76" s="53" t="str">
        <f t="shared" si="38"/>
        <v>队长伤害&lt;color=#54b76b&gt;+%s%&lt;/color&gt;</v>
      </c>
      <c r="AK76" s="36">
        <v>50</v>
      </c>
      <c r="AL76" s="36">
        <v>1</v>
      </c>
    </row>
    <row r="77" s="25" customFormat="1" hidden="1" customHeight="1" spans="1:38">
      <c r="A77" s="48" t="s">
        <v>178</v>
      </c>
      <c r="B77" s="41"/>
      <c r="C77" s="48" t="str">
        <f t="shared" si="30"/>
        <v/>
      </c>
      <c r="D77" s="42" t="str">
        <f t="shared" si="31"/>
        <v/>
      </c>
      <c r="E77" s="42"/>
      <c r="F77" s="36"/>
      <c r="G77" s="36" t="str">
        <f t="shared" si="36"/>
        <v/>
      </c>
      <c r="H77" s="36" t="str">
        <f>IFERROR(IF(--MID($F77,2*COUNTIF($G77:G77,"&gt;"&amp;0)+2,1)=H$1,H$1,""),"")</f>
        <v/>
      </c>
      <c r="I77" s="36" t="str">
        <f>IFERROR(IF(--MID($F77,2*COUNTIF($G77:H77,"&gt;"&amp;0)+2,1)=I$1,I$1,""),"")</f>
        <v/>
      </c>
      <c r="J77" s="36" t="str">
        <f>IFERROR(IF(--MID($F77,2*COUNTIF($G77:I77,"&gt;"&amp;0)+2,1)=J$1,J$1,""),"")</f>
        <v/>
      </c>
      <c r="K77" s="36" t="str">
        <f>IFERROR(IF(--MID($F77,2*COUNTIF($G77:J77,"&gt;"&amp;0)+2,1)=K$1,K$1,""),"")</f>
        <v/>
      </c>
      <c r="L77" s="36" t="str">
        <f>IFERROR(IF(--MID($F77,2*COUNTIF($G77:K77,"&gt;"&amp;0)+2,1)=L$1,L$1,""),"")</f>
        <v/>
      </c>
      <c r="M77" s="51" t="str" cm="1">
        <f t="array" ref="M77">IF($A77="","",IF(G77="","",_xlfn.XLOOKUP($D77&amp;"_"&amp;$AE77,符文权重!$A:$A&amp;"_"&amp;符文权重!$C:$C,符文权重!$D:$D)*$Y77/SUMIFS($Y:$Y,G:G,G77,$D:$D,$D77,$AE:$AE,$AE77)/SUMIF(符文权重!$A:$A,$D77,符文权重!$D:$D)))</f>
        <v/>
      </c>
      <c r="N77" s="36" t="str" cm="1">
        <f t="array" ref="N77">IF($A77="","",IF(H77="","",_xlfn.XLOOKUP($D77&amp;"_"&amp;$AE77,符文权重!$A:$A&amp;"_"&amp;符文权重!$C:$C,符文权重!$D:$D)*$Y77/SUMIFS($Y:$Y,H:H,H77,$D:$D,$D$6,$AE:$AE,$AE$6)))</f>
        <v/>
      </c>
      <c r="O77" s="36" t="str" cm="1">
        <f t="array" ref="O77">IF($A77="","",IF(I77="","",_xlfn.XLOOKUP($D77&amp;"_"&amp;$AE77,符文权重!$A:$A&amp;"_"&amp;符文权重!$C:$C,符文权重!$D:$D)*$Y77/SUMIFS($Y:$Y,I:I,I77,$D:$D,$D$6,$AE:$AE,$AE$6)))</f>
        <v/>
      </c>
      <c r="P77" s="36" t="str" cm="1">
        <f t="array" ref="P77">IF($A77="","",IF(J77="","",_xlfn.XLOOKUP($D77&amp;"_"&amp;$AE77,符文权重!$A:$A&amp;"_"&amp;符文权重!$C:$C,符文权重!$D:$D)*$Y77/SUMIFS($Y:$Y,J:J,J77,$D:$D,$D$6,$AE:$AE,$AE$6)))</f>
        <v/>
      </c>
      <c r="Q77" s="36" t="str" cm="1">
        <f t="array" ref="Q77">IF($A77="","",IF(K77="","",_xlfn.XLOOKUP($D77&amp;"_"&amp;$AE77,符文权重!$A:$A&amp;"_"&amp;符文权重!$C:$C,符文权重!$D:$D)*$Y77/SUMIFS($Y:$Y,K:K,K77,$D:$D,$D$6,$AE:$AE,$AE$6)))</f>
        <v/>
      </c>
      <c r="R77" s="36" t="str" cm="1">
        <f t="array" ref="R77">IF($A77="","",IF(L77="","",_xlfn.XLOOKUP($D77&amp;"_"&amp;$AE77,符文权重!$A:$A&amp;"_"&amp;符文权重!$C:$C,符文权重!$D:$D)*$Y77/SUMIFS($Y:$Y,L:L,L77,$D:$D,$D$6,$AE:$AE,$AE$6)))</f>
        <v/>
      </c>
      <c r="S77" s="36"/>
      <c r="T77" s="36"/>
      <c r="U77" s="36"/>
      <c r="V77" s="52"/>
      <c r="W77" s="41"/>
      <c r="X77" s="35"/>
      <c r="Y77" s="42"/>
      <c r="Z77" s="35"/>
      <c r="AA77" s="42" t="s">
        <v>178</v>
      </c>
      <c r="AB77" s="42" t="str">
        <f t="shared" si="33"/>
        <v/>
      </c>
      <c r="AC77" s="48" t="str">
        <f t="shared" si="34"/>
        <v/>
      </c>
      <c r="AD77" s="42" t="str">
        <f t="shared" si="35"/>
        <v/>
      </c>
      <c r="AE77" s="36"/>
      <c r="AF77" s="36"/>
      <c r="AG77" s="36"/>
      <c r="AH77" s="35" t="s">
        <v>178</v>
      </c>
      <c r="AI77" s="33"/>
      <c r="AJ77" s="56"/>
      <c r="AK77" s="36"/>
      <c r="AL77" s="36"/>
    </row>
    <row r="78" s="25" customFormat="1" hidden="1" customHeight="1" spans="1:38">
      <c r="A78" s="48">
        <v>5501101</v>
      </c>
      <c r="B78" s="50"/>
      <c r="C78" s="48" t="str">
        <f t="shared" si="30"/>
        <v>5501101</v>
      </c>
      <c r="D78" s="42">
        <f t="shared" si="31"/>
        <v>1</v>
      </c>
      <c r="E78" s="42"/>
      <c r="F78" s="36" t="s">
        <v>174</v>
      </c>
      <c r="G78" s="36">
        <f t="shared" si="36"/>
        <v>1</v>
      </c>
      <c r="H78" s="36">
        <f>IFERROR(IF(--MID($F78,2*COUNTIF($G78:G78,"&gt;"&amp;0)+2,1)=H$1,H$1,""),"")</f>
        <v>2</v>
      </c>
      <c r="I78" s="36">
        <f>IFERROR(IF(--MID($F78,2*COUNTIF($G78:H78,"&gt;"&amp;0)+2,1)=I$1,I$1,""),"")</f>
        <v>3</v>
      </c>
      <c r="J78" s="36">
        <f>IFERROR(IF(--MID($F78,2*COUNTIF($G78:I78,"&gt;"&amp;0)+2,1)=J$1,J$1,""),"")</f>
        <v>4</v>
      </c>
      <c r="K78" s="36">
        <f>IFERROR(IF(--MID($F78,2*COUNTIF($G78:J78,"&gt;"&amp;0)+2,1)=K$1,K$1,""),"")</f>
        <v>5</v>
      </c>
      <c r="L78" s="36">
        <f>IFERROR(IF(--MID($F78,2*COUNTIF($G78:K78,"&gt;"&amp;0)+2,1)=L$1,L$1,""),"")</f>
        <v>6</v>
      </c>
      <c r="M78" s="51" cm="1">
        <f t="array" ref="M78">IF($A78="","",IF(G78="","",_xlfn.XLOOKUP($D78&amp;"_"&amp;$AE78,符文权重!$A:$A&amp;"_"&amp;符文权重!$C:$C,符文权重!$D:$D)*$Y78/SUMIFS($Y:$Y,G:G,G78,$D:$D,$D78,$AE:$AE,$AE78)/SUMIF(符文权重!$A:$A,$D78,符文权重!$D:$D)))</f>
        <v>0.05</v>
      </c>
      <c r="N78" s="51" cm="1">
        <f t="array" ref="N78">IF($A78="","",IF(H78="","",_xlfn.XLOOKUP($D78&amp;"_"&amp;$AE78,符文权重!$A:$A&amp;"_"&amp;符文权重!$C:$C,符文权重!$D:$D)*$Y78/SUMIFS($Y:$Y,H:H,H78,$D:$D,$D78,$AE:$AE,$AE78)/SUMIF(符文权重!$A:$A,$D78,符文权重!$D:$D)))</f>
        <v>0.05</v>
      </c>
      <c r="O78" s="51" cm="1">
        <f t="array" ref="O78">IF($A78="","",IF(I78="","",_xlfn.XLOOKUP($D78&amp;"_"&amp;$AE78,符文权重!$A:$A&amp;"_"&amp;符文权重!$C:$C,符文权重!$D:$D)*$Y78/SUMIFS($Y:$Y,I:I,I78,$D:$D,$D78,$AE:$AE,$AE78)/SUMIF(符文权重!$A:$A,$D78,符文权重!$D:$D)))</f>
        <v>0.05</v>
      </c>
      <c r="P78" s="51" cm="1">
        <f t="array" ref="P78">IF($A78="","",IF(J78="","",_xlfn.XLOOKUP($D78&amp;"_"&amp;$AE78,符文权重!$A:$A&amp;"_"&amp;符文权重!$C:$C,符文权重!$D:$D)*$Y78/SUMIFS($Y:$Y,J:J,J78,$D:$D,$D78,$AE:$AE,$AE78)/SUMIF(符文权重!$A:$A,$D78,符文权重!$D:$D)))</f>
        <v>0.05</v>
      </c>
      <c r="Q78" s="51" cm="1">
        <f t="array" ref="Q78">IF($A78="","",IF(K78="","",_xlfn.XLOOKUP($D78&amp;"_"&amp;$AE78,符文权重!$A:$A&amp;"_"&amp;符文权重!$C:$C,符文权重!$D:$D)*$Y78/SUMIFS($Y:$Y,K:K,K78,$D:$D,$D78,$AE:$AE,$AE78)/SUMIF(符文权重!$A:$A,$D78,符文权重!$D:$D)))</f>
        <v>0.05</v>
      </c>
      <c r="R78" s="51" cm="1">
        <f t="array" ref="R78">IF($A78="","",IF(L78="","",_xlfn.XLOOKUP($D78&amp;"_"&amp;$AE78,符文权重!$A:$A&amp;"_"&amp;符文权重!$C:$C,符文权重!$D:$D)*$Y78/SUMIFS($Y:$Y,L:L,L78,$D:$D,$D78,$AE:$AE,$AE78)/SUMIF(符文权重!$A:$A,$D78,符文权重!$D:$D)))</f>
        <v>0.05</v>
      </c>
      <c r="S78" s="36" t="s">
        <v>192</v>
      </c>
      <c r="T78" s="36" t="s">
        <v>202</v>
      </c>
      <c r="U78" s="36" t="e">
        <f>IF(C78="","",SUBSTITUTE(SUBSTITUTE("[{global_atk,"&amp;#REF!*D78&amp;"}]",21,20),9,8))</f>
        <v>#REF!</v>
      </c>
      <c r="V78" s="52" t="str">
        <f t="shared" ref="V78:V84" si="39">"["&amp;A78&amp;"]"</f>
        <v>[5501101]</v>
      </c>
      <c r="W78" s="36" t="s">
        <v>265</v>
      </c>
      <c r="X78" s="35"/>
      <c r="Y78" s="42">
        <v>100</v>
      </c>
      <c r="Z78" s="35"/>
      <c r="AA78" s="42" t="s">
        <v>177</v>
      </c>
      <c r="AB78" s="42" t="str">
        <f t="shared" si="33"/>
        <v>战士职业伤害&lt;color=#54b76b&gt;+4%&lt;/color&gt;</v>
      </c>
      <c r="AC78" s="48" t="str">
        <f t="shared" si="34"/>
        <v>5501101</v>
      </c>
      <c r="AD78" s="42" t="str">
        <f t="shared" si="35"/>
        <v>[4]</v>
      </c>
      <c r="AE78" s="36">
        <v>1</v>
      </c>
      <c r="AF78" s="36"/>
      <c r="AG78" s="36">
        <v>0</v>
      </c>
      <c r="AH78" s="35" t="s">
        <v>178</v>
      </c>
      <c r="AI78" s="33">
        <v>5501101</v>
      </c>
      <c r="AJ78" s="55" t="s">
        <v>266</v>
      </c>
      <c r="AK78" s="36">
        <v>4</v>
      </c>
      <c r="AL78" s="36">
        <v>1</v>
      </c>
    </row>
    <row r="79" s="25" customFormat="1" hidden="1" customHeight="1" spans="1:38">
      <c r="A79" s="48">
        <v>5501102</v>
      </c>
      <c r="B79" s="42"/>
      <c r="C79" s="48" t="str">
        <f t="shared" si="30"/>
        <v>5501101</v>
      </c>
      <c r="D79" s="42">
        <f t="shared" si="31"/>
        <v>2</v>
      </c>
      <c r="E79" s="42"/>
      <c r="F79" s="36" t="s">
        <v>174</v>
      </c>
      <c r="G79" s="36">
        <f t="shared" si="36"/>
        <v>1</v>
      </c>
      <c r="H79" s="36">
        <f>IFERROR(IF(--MID($F79,2*COUNTIF($G79:G79,"&gt;"&amp;0)+2,1)=H$1,H$1,""),"")</f>
        <v>2</v>
      </c>
      <c r="I79" s="36">
        <f>IFERROR(IF(--MID($F79,2*COUNTIF($G79:H79,"&gt;"&amp;0)+2,1)=I$1,I$1,""),"")</f>
        <v>3</v>
      </c>
      <c r="J79" s="36">
        <f>IFERROR(IF(--MID($F79,2*COUNTIF($G79:I79,"&gt;"&amp;0)+2,1)=J$1,J$1,""),"")</f>
        <v>4</v>
      </c>
      <c r="K79" s="36">
        <f>IFERROR(IF(--MID($F79,2*COUNTIF($G79:J79,"&gt;"&amp;0)+2,1)=K$1,K$1,""),"")</f>
        <v>5</v>
      </c>
      <c r="L79" s="36">
        <f>IFERROR(IF(--MID($F79,2*COUNTIF($G79:K79,"&gt;"&amp;0)+2,1)=L$1,L$1,""),"")</f>
        <v>6</v>
      </c>
      <c r="M79" s="51" cm="1">
        <f t="array" ref="M79">IF($A79="","",IF(G79="","",_xlfn.XLOOKUP($D79&amp;"_"&amp;$AE79,符文权重!$A:$A&amp;"_"&amp;符文权重!$C:$C,符文权重!$D:$D)*$Y79/SUMIFS($Y:$Y,G:G,G79,$D:$D,$D79,$AE:$AE,$AE79)/SUMIF(符文权重!$A:$A,$D79,符文权重!$D:$D)))</f>
        <v>0.0363636363636364</v>
      </c>
      <c r="N79" s="51" cm="1">
        <f t="array" ref="N79">IF($A79="","",IF(H79="","",_xlfn.XLOOKUP($D79&amp;"_"&amp;$AE79,符文权重!$A:$A&amp;"_"&amp;符文权重!$C:$C,符文权重!$D:$D)*$Y79/SUMIFS($Y:$Y,H:H,H79,$D:$D,$D79,$AE:$AE,$AE79)/SUMIF(符文权重!$A:$A,$D79,符文权重!$D:$D)))</f>
        <v>0.0363636363636364</v>
      </c>
      <c r="O79" s="51" cm="1">
        <f t="array" ref="O79">IF($A79="","",IF(I79="","",_xlfn.XLOOKUP($D79&amp;"_"&amp;$AE79,符文权重!$A:$A&amp;"_"&amp;符文权重!$C:$C,符文权重!$D:$D)*$Y79/SUMIFS($Y:$Y,I:I,I79,$D:$D,$D79,$AE:$AE,$AE79)/SUMIF(符文权重!$A:$A,$D79,符文权重!$D:$D)))</f>
        <v>0.0363636363636364</v>
      </c>
      <c r="P79" s="51" cm="1">
        <f t="array" ref="P79">IF($A79="","",IF(J79="","",_xlfn.XLOOKUP($D79&amp;"_"&amp;$AE79,符文权重!$A:$A&amp;"_"&amp;符文权重!$C:$C,符文权重!$D:$D)*$Y79/SUMIFS($Y:$Y,J:J,J79,$D:$D,$D79,$AE:$AE,$AE79)/SUMIF(符文权重!$A:$A,$D79,符文权重!$D:$D)))</f>
        <v>0.0363636363636364</v>
      </c>
      <c r="Q79" s="51" cm="1">
        <f t="array" ref="Q79">IF($A79="","",IF(K79="","",_xlfn.XLOOKUP($D79&amp;"_"&amp;$AE79,符文权重!$A:$A&amp;"_"&amp;符文权重!$C:$C,符文权重!$D:$D)*$Y79/SUMIFS($Y:$Y,K:K,K79,$D:$D,$D79,$AE:$AE,$AE79)/SUMIF(符文权重!$A:$A,$D79,符文权重!$D:$D)))</f>
        <v>0.0363636363636364</v>
      </c>
      <c r="R79" s="51" cm="1">
        <f t="array" ref="R79">IF($A79="","",IF(L79="","",_xlfn.XLOOKUP($D79&amp;"_"&amp;$AE79,符文权重!$A:$A&amp;"_"&amp;符文权重!$C:$C,符文权重!$D:$D)*$Y79/SUMIFS($Y:$Y,L:L,L79,$D:$D,$D79,$AE:$AE,$AE79)/SUMIF(符文权重!$A:$A,$D79,符文权重!$D:$D)))</f>
        <v>0.0363636363636364</v>
      </c>
      <c r="S79" s="36" t="s">
        <v>192</v>
      </c>
      <c r="T79" s="36" t="s">
        <v>202</v>
      </c>
      <c r="U79" s="36" t="e">
        <f>IF(C79="","",SUBSTITUTE(SUBSTITUTE("[{global_atk,"&amp;#REF!*D79&amp;"}]",21,20),9,8))</f>
        <v>#REF!</v>
      </c>
      <c r="V79" s="52" t="str">
        <f t="shared" si="39"/>
        <v>[5501102]</v>
      </c>
      <c r="W79" s="36" t="s">
        <v>267</v>
      </c>
      <c r="X79" s="35"/>
      <c r="Y79" s="42">
        <v>100</v>
      </c>
      <c r="Z79" s="35"/>
      <c r="AA79" s="42" t="s">
        <v>181</v>
      </c>
      <c r="AB79" s="42" t="str">
        <f t="shared" si="33"/>
        <v>战士职业伤害&lt;color=#54b76b&gt;+6%&lt;/color&gt;</v>
      </c>
      <c r="AC79" s="48" t="str">
        <f t="shared" si="34"/>
        <v>5501101</v>
      </c>
      <c r="AD79" s="42" t="str">
        <f t="shared" si="35"/>
        <v>[6]</v>
      </c>
      <c r="AE79" s="36">
        <v>1</v>
      </c>
      <c r="AF79" s="36"/>
      <c r="AG79" s="36">
        <v>0</v>
      </c>
      <c r="AH79" s="35" t="s">
        <v>178</v>
      </c>
      <c r="AI79" s="48">
        <f t="shared" ref="AI79:AI84" si="40">AI78+1</f>
        <v>5501102</v>
      </c>
      <c r="AJ79" s="53" t="str">
        <f t="shared" ref="AJ79:AJ84" si="41">AJ78</f>
        <v>战士职业伤害&lt;color=#54b76b&gt;+%s%&lt;/color&gt;</v>
      </c>
      <c r="AK79" s="36">
        <v>6</v>
      </c>
      <c r="AL79" s="36">
        <v>1</v>
      </c>
    </row>
    <row r="80" s="25" customFormat="1" hidden="1" customHeight="1" spans="1:38">
      <c r="A80" s="48">
        <v>5501103</v>
      </c>
      <c r="B80" s="42"/>
      <c r="C80" s="48" t="str">
        <f t="shared" si="30"/>
        <v>5501101</v>
      </c>
      <c r="D80" s="42">
        <f t="shared" si="31"/>
        <v>3</v>
      </c>
      <c r="E80" s="42"/>
      <c r="F80" s="36" t="s">
        <v>174</v>
      </c>
      <c r="G80" s="36">
        <f t="shared" si="36"/>
        <v>1</v>
      </c>
      <c r="H80" s="36">
        <f>IFERROR(IF(--MID($F80,2*COUNTIF($G80:G80,"&gt;"&amp;0)+2,1)=H$1,H$1,""),"")</f>
        <v>2</v>
      </c>
      <c r="I80" s="36">
        <f>IFERROR(IF(--MID($F80,2*COUNTIF($G80:H80,"&gt;"&amp;0)+2,1)=I$1,I$1,""),"")</f>
        <v>3</v>
      </c>
      <c r="J80" s="36">
        <f>IFERROR(IF(--MID($F80,2*COUNTIF($G80:I80,"&gt;"&amp;0)+2,1)=J$1,J$1,""),"")</f>
        <v>4</v>
      </c>
      <c r="K80" s="36">
        <f>IFERROR(IF(--MID($F80,2*COUNTIF($G80:J80,"&gt;"&amp;0)+2,1)=K$1,K$1,""),"")</f>
        <v>5</v>
      </c>
      <c r="L80" s="36">
        <f>IFERROR(IF(--MID($F80,2*COUNTIF($G80:K80,"&gt;"&amp;0)+2,1)=L$1,L$1,""),"")</f>
        <v>6</v>
      </c>
      <c r="M80" s="51" cm="1">
        <f t="array" ref="M80">IF($A80="","",IF(G80="","",_xlfn.XLOOKUP($D80&amp;"_"&amp;$AE80,符文权重!$A:$A&amp;"_"&amp;符文权重!$C:$C,符文权重!$D:$D)*$Y80/SUMIFS($Y:$Y,G:G,G80,$D:$D,$D80,$AE:$AE,$AE80)/SUMIF(符文权重!$A:$A,$D80,符文权重!$D:$D)))</f>
        <v>0.035</v>
      </c>
      <c r="N80" s="51" cm="1">
        <f t="array" ref="N80">IF($A80="","",IF(H80="","",_xlfn.XLOOKUP($D80&amp;"_"&amp;$AE80,符文权重!$A:$A&amp;"_"&amp;符文权重!$C:$C,符文权重!$D:$D)*$Y80/SUMIFS($Y:$Y,H:H,H80,$D:$D,$D80,$AE:$AE,$AE80)/SUMIF(符文权重!$A:$A,$D80,符文权重!$D:$D)))</f>
        <v>0.035</v>
      </c>
      <c r="O80" s="51" cm="1">
        <f t="array" ref="O80">IF($A80="","",IF(I80="","",_xlfn.XLOOKUP($D80&amp;"_"&amp;$AE80,符文权重!$A:$A&amp;"_"&amp;符文权重!$C:$C,符文权重!$D:$D)*$Y80/SUMIFS($Y:$Y,I:I,I80,$D:$D,$D80,$AE:$AE,$AE80)/SUMIF(符文权重!$A:$A,$D80,符文权重!$D:$D)))</f>
        <v>0.035</v>
      </c>
      <c r="P80" s="51" cm="1">
        <f t="array" ref="P80">IF($A80="","",IF(J80="","",_xlfn.XLOOKUP($D80&amp;"_"&amp;$AE80,符文权重!$A:$A&amp;"_"&amp;符文权重!$C:$C,符文权重!$D:$D)*$Y80/SUMIFS($Y:$Y,J:J,J80,$D:$D,$D80,$AE:$AE,$AE80)/SUMIF(符文权重!$A:$A,$D80,符文权重!$D:$D)))</f>
        <v>0.035</v>
      </c>
      <c r="Q80" s="51" cm="1">
        <f t="array" ref="Q80">IF($A80="","",IF(K80="","",_xlfn.XLOOKUP($D80&amp;"_"&amp;$AE80,符文权重!$A:$A&amp;"_"&amp;符文权重!$C:$C,符文权重!$D:$D)*$Y80/SUMIFS($Y:$Y,K:K,K80,$D:$D,$D80,$AE:$AE,$AE80)/SUMIF(符文权重!$A:$A,$D80,符文权重!$D:$D)))</f>
        <v>0.035</v>
      </c>
      <c r="R80" s="51" cm="1">
        <f t="array" ref="R80">IF($A80="","",IF(L80="","",_xlfn.XLOOKUP($D80&amp;"_"&amp;$AE80,符文权重!$A:$A&amp;"_"&amp;符文权重!$C:$C,符文权重!$D:$D)*$Y80/SUMIFS($Y:$Y,L:L,L80,$D:$D,$D80,$AE:$AE,$AE80)/SUMIF(符文权重!$A:$A,$D80,符文权重!$D:$D)))</f>
        <v>0.035</v>
      </c>
      <c r="S80" s="36" t="s">
        <v>192</v>
      </c>
      <c r="T80" s="36" t="s">
        <v>202</v>
      </c>
      <c r="U80" s="36" t="e">
        <f>IF(C80="","",SUBSTITUTE(SUBSTITUTE("[{global_atk,"&amp;#REF!*D80&amp;"}]",21,20),9,8))</f>
        <v>#REF!</v>
      </c>
      <c r="V80" s="52" t="str">
        <f t="shared" si="39"/>
        <v>[5501103]</v>
      </c>
      <c r="W80" s="36" t="s">
        <v>268</v>
      </c>
      <c r="X80" s="35"/>
      <c r="Y80" s="42">
        <v>100</v>
      </c>
      <c r="Z80" s="35"/>
      <c r="AA80" s="42" t="s">
        <v>183</v>
      </c>
      <c r="AB80" s="42" t="str">
        <f t="shared" si="33"/>
        <v>战士职业伤害&lt;color=#54b76b&gt;+8%&lt;/color&gt;</v>
      </c>
      <c r="AC80" s="48" t="str">
        <f t="shared" si="34"/>
        <v>5501101</v>
      </c>
      <c r="AD80" s="42" t="str">
        <f t="shared" si="35"/>
        <v>[8]</v>
      </c>
      <c r="AE80" s="36">
        <v>1</v>
      </c>
      <c r="AF80" s="36"/>
      <c r="AG80" s="36">
        <v>0</v>
      </c>
      <c r="AH80" s="35" t="s">
        <v>178</v>
      </c>
      <c r="AI80" s="48">
        <f t="shared" si="40"/>
        <v>5501103</v>
      </c>
      <c r="AJ80" s="53" t="str">
        <f t="shared" si="41"/>
        <v>战士职业伤害&lt;color=#54b76b&gt;+%s%&lt;/color&gt;</v>
      </c>
      <c r="AK80" s="36">
        <v>8</v>
      </c>
      <c r="AL80" s="36">
        <v>1</v>
      </c>
    </row>
    <row r="81" s="25" customFormat="1" hidden="1" customHeight="1" spans="1:38">
      <c r="A81" s="48">
        <v>5501104</v>
      </c>
      <c r="B81" s="42"/>
      <c r="C81" s="48" t="str">
        <f t="shared" si="30"/>
        <v>5501101</v>
      </c>
      <c r="D81" s="42">
        <f t="shared" si="31"/>
        <v>4</v>
      </c>
      <c r="E81" s="42"/>
      <c r="F81" s="36" t="s">
        <v>174</v>
      </c>
      <c r="G81" s="36">
        <f t="shared" si="36"/>
        <v>1</v>
      </c>
      <c r="H81" s="36">
        <f>IFERROR(IF(--MID($F81,2*COUNTIF($G81:G81,"&gt;"&amp;0)+2,1)=H$1,H$1,""),"")</f>
        <v>2</v>
      </c>
      <c r="I81" s="36">
        <f>IFERROR(IF(--MID($F81,2*COUNTIF($G81:H81,"&gt;"&amp;0)+2,1)=I$1,I$1,""),"")</f>
        <v>3</v>
      </c>
      <c r="J81" s="36">
        <f>IFERROR(IF(--MID($F81,2*COUNTIF($G81:I81,"&gt;"&amp;0)+2,1)=J$1,J$1,""),"")</f>
        <v>4</v>
      </c>
      <c r="K81" s="36">
        <f>IFERROR(IF(--MID($F81,2*COUNTIF($G81:J81,"&gt;"&amp;0)+2,1)=K$1,K$1,""),"")</f>
        <v>5</v>
      </c>
      <c r="L81" s="36">
        <f>IFERROR(IF(--MID($F81,2*COUNTIF($G81:K81,"&gt;"&amp;0)+2,1)=L$1,L$1,""),"")</f>
        <v>6</v>
      </c>
      <c r="M81" s="51" cm="1">
        <f t="array" ref="M81">IF($A81="","",IF(G81="","",_xlfn.XLOOKUP($D81&amp;"_"&amp;$AE81,符文权重!$A:$A&amp;"_"&amp;符文权重!$C:$C,符文权重!$D:$D)*$Y81/SUMIFS($Y:$Y,G:G,G81,$D:$D,$D81,$AE:$AE,$AE81)/SUMIF(符文权重!$A:$A,$D81,符文权重!$D:$D)))</f>
        <v>0.0229365529511942</v>
      </c>
      <c r="N81" s="51" cm="1">
        <f t="array" ref="N81">IF($A81="","",IF(H81="","",_xlfn.XLOOKUP($D81&amp;"_"&amp;$AE81,符文权重!$A:$A&amp;"_"&amp;符文权重!$C:$C,符文权重!$D:$D)*$Y81/SUMIFS($Y:$Y,H:H,H81,$D:$D,$D81,$AE:$AE,$AE81)/SUMIF(符文权重!$A:$A,$D81,符文权重!$D:$D)))</f>
        <v>0.0229365529511942</v>
      </c>
      <c r="O81" s="51" cm="1">
        <f t="array" ref="O81">IF($A81="","",IF(I81="","",_xlfn.XLOOKUP($D81&amp;"_"&amp;$AE81,符文权重!$A:$A&amp;"_"&amp;符文权重!$C:$C,符文权重!$D:$D)*$Y81/SUMIFS($Y:$Y,I:I,I81,$D:$D,$D81,$AE:$AE,$AE81)/SUMIF(符文权重!$A:$A,$D81,符文权重!$D:$D)))</f>
        <v>0.0229365529511942</v>
      </c>
      <c r="P81" s="51" cm="1">
        <f t="array" ref="P81">IF($A81="","",IF(J81="","",_xlfn.XLOOKUP($D81&amp;"_"&amp;$AE81,符文权重!$A:$A&amp;"_"&amp;符文权重!$C:$C,符文权重!$D:$D)*$Y81/SUMIFS($Y:$Y,J:J,J81,$D:$D,$D81,$AE:$AE,$AE81)/SUMIF(符文权重!$A:$A,$D81,符文权重!$D:$D)))</f>
        <v>0.0229365529511942</v>
      </c>
      <c r="Q81" s="51" cm="1">
        <f t="array" ref="Q81">IF($A81="","",IF(K81="","",_xlfn.XLOOKUP($D81&amp;"_"&amp;$AE81,符文权重!$A:$A&amp;"_"&amp;符文权重!$C:$C,符文权重!$D:$D)*$Y81/SUMIFS($Y:$Y,K:K,K81,$D:$D,$D81,$AE:$AE,$AE81)/SUMIF(符文权重!$A:$A,$D81,符文权重!$D:$D)))</f>
        <v>0.0229365529511942</v>
      </c>
      <c r="R81" s="51" cm="1">
        <f t="array" ref="R81">IF($A81="","",IF(L81="","",_xlfn.XLOOKUP($D81&amp;"_"&amp;$AE81,符文权重!$A:$A&amp;"_"&amp;符文权重!$C:$C,符文权重!$D:$D)*$Y81/SUMIFS($Y:$Y,L:L,L81,$D:$D,$D81,$AE:$AE,$AE81)/SUMIF(符文权重!$A:$A,$D81,符文权重!$D:$D)))</f>
        <v>0.0229365529511942</v>
      </c>
      <c r="S81" s="36" t="s">
        <v>192</v>
      </c>
      <c r="T81" s="36" t="s">
        <v>202</v>
      </c>
      <c r="U81" s="36" t="e">
        <f>IF(C81="","",SUBSTITUTE(SUBSTITUTE("[{global_atk,"&amp;#REF!*D81&amp;"}]",21,20),9,8))</f>
        <v>#REF!</v>
      </c>
      <c r="V81" s="52" t="str">
        <f t="shared" si="39"/>
        <v>[5501104]</v>
      </c>
      <c r="W81" s="36" t="s">
        <v>269</v>
      </c>
      <c r="X81" s="35"/>
      <c r="Y81" s="42">
        <v>100</v>
      </c>
      <c r="Z81" s="35"/>
      <c r="AA81" s="42" t="s">
        <v>185</v>
      </c>
      <c r="AB81" s="42" t="str">
        <f t="shared" si="33"/>
        <v>战士职业伤害&lt;color=#54b76b&gt;+10%&lt;/color&gt;</v>
      </c>
      <c r="AC81" s="48" t="str">
        <f t="shared" si="34"/>
        <v>5501101</v>
      </c>
      <c r="AD81" s="42" t="str">
        <f t="shared" si="35"/>
        <v>[10]</v>
      </c>
      <c r="AE81" s="36">
        <v>1</v>
      </c>
      <c r="AF81" s="36"/>
      <c r="AG81" s="36">
        <v>0</v>
      </c>
      <c r="AH81" s="35" t="s">
        <v>178</v>
      </c>
      <c r="AI81" s="48">
        <f t="shared" si="40"/>
        <v>5501104</v>
      </c>
      <c r="AJ81" s="53" t="str">
        <f t="shared" si="41"/>
        <v>战士职业伤害&lt;color=#54b76b&gt;+%s%&lt;/color&gt;</v>
      </c>
      <c r="AK81" s="36">
        <v>10</v>
      </c>
      <c r="AL81" s="36">
        <v>1</v>
      </c>
    </row>
    <row r="82" s="25" customFormat="1" hidden="1" customHeight="1" spans="1:38">
      <c r="A82" s="48">
        <v>5501105</v>
      </c>
      <c r="B82" s="42"/>
      <c r="C82" s="48" t="str">
        <f t="shared" si="30"/>
        <v>5501101</v>
      </c>
      <c r="D82" s="42">
        <f t="shared" si="31"/>
        <v>5</v>
      </c>
      <c r="E82" s="42"/>
      <c r="F82" s="36" t="s">
        <v>174</v>
      </c>
      <c r="G82" s="36">
        <f t="shared" si="36"/>
        <v>1</v>
      </c>
      <c r="H82" s="36">
        <f>IFERROR(IF(--MID($F82,2*COUNTIF($G82:G82,"&gt;"&amp;0)+2,1)=H$1,H$1,""),"")</f>
        <v>2</v>
      </c>
      <c r="I82" s="36">
        <f>IFERROR(IF(--MID($F82,2*COUNTIF($G82:H82,"&gt;"&amp;0)+2,1)=I$1,I$1,""),"")</f>
        <v>3</v>
      </c>
      <c r="J82" s="36">
        <f>IFERROR(IF(--MID($F82,2*COUNTIF($G82:I82,"&gt;"&amp;0)+2,1)=J$1,J$1,""),"")</f>
        <v>4</v>
      </c>
      <c r="K82" s="36">
        <f>IFERROR(IF(--MID($F82,2*COUNTIF($G82:J82,"&gt;"&amp;0)+2,1)=K$1,K$1,""),"")</f>
        <v>5</v>
      </c>
      <c r="L82" s="36">
        <f>IFERROR(IF(--MID($F82,2*COUNTIF($G82:K82,"&gt;"&amp;0)+2,1)=L$1,L$1,""),"")</f>
        <v>6</v>
      </c>
      <c r="M82" s="51" cm="1">
        <f t="array" ref="M82">IF($A82="","",IF(G82="","",_xlfn.XLOOKUP($D82&amp;"_"&amp;$AE82,符文权重!$A:$A&amp;"_"&amp;符文权重!$C:$C,符文权重!$D:$D)*$Y82/SUMIFS($Y:$Y,G:G,G82,$D:$D,$D82,$AE:$AE,$AE82)/SUMIF(符文权重!$A:$A,$D82,符文权重!$D:$D)))</f>
        <v>0.0204</v>
      </c>
      <c r="N82" s="51" cm="1">
        <f t="array" ref="N82">IF($A82="","",IF(H82="","",_xlfn.XLOOKUP($D82&amp;"_"&amp;$AE82,符文权重!$A:$A&amp;"_"&amp;符文权重!$C:$C,符文权重!$D:$D)*$Y82/SUMIFS($Y:$Y,H:H,H82,$D:$D,$D82,$AE:$AE,$AE82)/SUMIF(符文权重!$A:$A,$D82,符文权重!$D:$D)))</f>
        <v>0.0204</v>
      </c>
      <c r="O82" s="51" cm="1">
        <f t="array" ref="O82">IF($A82="","",IF(I82="","",_xlfn.XLOOKUP($D82&amp;"_"&amp;$AE82,符文权重!$A:$A&amp;"_"&amp;符文权重!$C:$C,符文权重!$D:$D)*$Y82/SUMIFS($Y:$Y,I:I,I82,$D:$D,$D82,$AE:$AE,$AE82)/SUMIF(符文权重!$A:$A,$D82,符文权重!$D:$D)))</f>
        <v>0.0204</v>
      </c>
      <c r="P82" s="51" cm="1">
        <f t="array" ref="P82">IF($A82="","",IF(J82="","",_xlfn.XLOOKUP($D82&amp;"_"&amp;$AE82,符文权重!$A:$A&amp;"_"&amp;符文权重!$C:$C,符文权重!$D:$D)*$Y82/SUMIFS($Y:$Y,J:J,J82,$D:$D,$D82,$AE:$AE,$AE82)/SUMIF(符文权重!$A:$A,$D82,符文权重!$D:$D)))</f>
        <v>0.0204</v>
      </c>
      <c r="Q82" s="51" cm="1">
        <f t="array" ref="Q82">IF($A82="","",IF(K82="","",_xlfn.XLOOKUP($D82&amp;"_"&amp;$AE82,符文权重!$A:$A&amp;"_"&amp;符文权重!$C:$C,符文权重!$D:$D)*$Y82/SUMIFS($Y:$Y,K:K,K82,$D:$D,$D82,$AE:$AE,$AE82)/SUMIF(符文权重!$A:$A,$D82,符文权重!$D:$D)))</f>
        <v>0.0204</v>
      </c>
      <c r="R82" s="51" cm="1">
        <f t="array" ref="R82">IF($A82="","",IF(L82="","",_xlfn.XLOOKUP($D82&amp;"_"&amp;$AE82,符文权重!$A:$A&amp;"_"&amp;符文权重!$C:$C,符文权重!$D:$D)*$Y82/SUMIFS($Y:$Y,L:L,L82,$D:$D,$D82,$AE:$AE,$AE82)/SUMIF(符文权重!$A:$A,$D82,符文权重!$D:$D)))</f>
        <v>0.0204</v>
      </c>
      <c r="S82" s="36" t="s">
        <v>192</v>
      </c>
      <c r="T82" s="36" t="s">
        <v>202</v>
      </c>
      <c r="U82" s="36" t="e">
        <f>IF(C82="","",SUBSTITUTE(SUBSTITUTE("[{global_atk,"&amp;#REF!*D82&amp;"}]",21,20),9,8))</f>
        <v>#REF!</v>
      </c>
      <c r="V82" s="52" t="str">
        <f t="shared" si="39"/>
        <v>[5501105]</v>
      </c>
      <c r="W82" s="36" t="s">
        <v>270</v>
      </c>
      <c r="X82" s="35"/>
      <c r="Y82" s="42">
        <v>100</v>
      </c>
      <c r="Z82" s="35"/>
      <c r="AA82" s="42" t="s">
        <v>187</v>
      </c>
      <c r="AB82" s="42" t="str">
        <f t="shared" si="33"/>
        <v>战士职业伤害&lt;color=#54b76b&gt;+12.5%&lt;/color&gt;</v>
      </c>
      <c r="AC82" s="48" t="str">
        <f t="shared" si="34"/>
        <v>5501101</v>
      </c>
      <c r="AD82" s="42" t="str">
        <f t="shared" si="35"/>
        <v>[12.5]</v>
      </c>
      <c r="AE82" s="36">
        <v>1</v>
      </c>
      <c r="AF82" s="36"/>
      <c r="AG82" s="36">
        <v>0</v>
      </c>
      <c r="AH82" s="35" t="s">
        <v>178</v>
      </c>
      <c r="AI82" s="48">
        <f t="shared" si="40"/>
        <v>5501105</v>
      </c>
      <c r="AJ82" s="53" t="str">
        <f t="shared" si="41"/>
        <v>战士职业伤害&lt;color=#54b76b&gt;+%s%&lt;/color&gt;</v>
      </c>
      <c r="AK82" s="36">
        <v>12.5</v>
      </c>
      <c r="AL82" s="36">
        <v>1</v>
      </c>
    </row>
    <row r="83" s="25" customFormat="1" hidden="1" customHeight="1" spans="1:38">
      <c r="A83" s="48">
        <v>5501106</v>
      </c>
      <c r="B83" s="42"/>
      <c r="C83" s="48" t="str">
        <f t="shared" si="30"/>
        <v>5501101</v>
      </c>
      <c r="D83" s="42">
        <f t="shared" si="31"/>
        <v>6</v>
      </c>
      <c r="E83" s="42"/>
      <c r="F83" s="36" t="s">
        <v>174</v>
      </c>
      <c r="G83" s="36">
        <f t="shared" si="36"/>
        <v>1</v>
      </c>
      <c r="H83" s="36">
        <f>IFERROR(IF(--MID($F83,2*COUNTIF($G83:G83,"&gt;"&amp;0)+2,1)=H$1,H$1,""),"")</f>
        <v>2</v>
      </c>
      <c r="I83" s="36">
        <f>IFERROR(IF(--MID($F83,2*COUNTIF($G83:H83,"&gt;"&amp;0)+2,1)=I$1,I$1,""),"")</f>
        <v>3</v>
      </c>
      <c r="J83" s="36">
        <f>IFERROR(IF(--MID($F83,2*COUNTIF($G83:I83,"&gt;"&amp;0)+2,1)=J$1,J$1,""),"")</f>
        <v>4</v>
      </c>
      <c r="K83" s="36">
        <f>IFERROR(IF(--MID($F83,2*COUNTIF($G83:J83,"&gt;"&amp;0)+2,1)=K$1,K$1,""),"")</f>
        <v>5</v>
      </c>
      <c r="L83" s="36">
        <f>IFERROR(IF(--MID($F83,2*COUNTIF($G83:K83,"&gt;"&amp;0)+2,1)=L$1,L$1,""),"")</f>
        <v>6</v>
      </c>
      <c r="M83" s="51" cm="1">
        <f t="array" ref="M83">IF($A83="","",IF(G83="","",_xlfn.XLOOKUP($D83&amp;"_"&amp;$AE83,符文权重!$A:$A&amp;"_"&amp;符文权重!$C:$C,符文权重!$D:$D)*$Y83/SUMIFS($Y:$Y,G:G,G83,$D:$D,$D83,$AE:$AE,$AE83)/SUMIF(符文权重!$A:$A,$D83,符文权重!$D:$D)))</f>
        <v>0.0204</v>
      </c>
      <c r="N83" s="51" cm="1">
        <f t="array" ref="N83">IF($A83="","",IF(H83="","",_xlfn.XLOOKUP($D83&amp;"_"&amp;$AE83,符文权重!$A:$A&amp;"_"&amp;符文权重!$C:$C,符文权重!$D:$D)*$Y83/SUMIFS($Y:$Y,H:H,H83,$D:$D,$D83,$AE:$AE,$AE83)/SUMIF(符文权重!$A:$A,$D83,符文权重!$D:$D)))</f>
        <v>0.0204</v>
      </c>
      <c r="O83" s="51" cm="1">
        <f t="array" ref="O83">IF($A83="","",IF(I83="","",_xlfn.XLOOKUP($D83&amp;"_"&amp;$AE83,符文权重!$A:$A&amp;"_"&amp;符文权重!$C:$C,符文权重!$D:$D)*$Y83/SUMIFS($Y:$Y,I:I,I83,$D:$D,$D83,$AE:$AE,$AE83)/SUMIF(符文权重!$A:$A,$D83,符文权重!$D:$D)))</f>
        <v>0.0204</v>
      </c>
      <c r="P83" s="51" cm="1">
        <f t="array" ref="P83">IF($A83="","",IF(J83="","",_xlfn.XLOOKUP($D83&amp;"_"&amp;$AE83,符文权重!$A:$A&amp;"_"&amp;符文权重!$C:$C,符文权重!$D:$D)*$Y83/SUMIFS($Y:$Y,J:J,J83,$D:$D,$D83,$AE:$AE,$AE83)/SUMIF(符文权重!$A:$A,$D83,符文权重!$D:$D)))</f>
        <v>0.0204</v>
      </c>
      <c r="Q83" s="51" cm="1">
        <f t="array" ref="Q83">IF($A83="","",IF(K83="","",_xlfn.XLOOKUP($D83&amp;"_"&amp;$AE83,符文权重!$A:$A&amp;"_"&amp;符文权重!$C:$C,符文权重!$D:$D)*$Y83/SUMIFS($Y:$Y,K:K,K83,$D:$D,$D83,$AE:$AE,$AE83)/SUMIF(符文权重!$A:$A,$D83,符文权重!$D:$D)))</f>
        <v>0.0204</v>
      </c>
      <c r="R83" s="51" cm="1">
        <f t="array" ref="R83">IF($A83="","",IF(L83="","",_xlfn.XLOOKUP($D83&amp;"_"&amp;$AE83,符文权重!$A:$A&amp;"_"&amp;符文权重!$C:$C,符文权重!$D:$D)*$Y83/SUMIFS($Y:$Y,L:L,L83,$D:$D,$D83,$AE:$AE,$AE83)/SUMIF(符文权重!$A:$A,$D83,符文权重!$D:$D)))</f>
        <v>0.0204</v>
      </c>
      <c r="S83" s="36" t="s">
        <v>192</v>
      </c>
      <c r="T83" s="36" t="s">
        <v>202</v>
      </c>
      <c r="U83" s="36" t="e">
        <f>IF(C83="","",SUBSTITUTE(SUBSTITUTE("[{global_atk,"&amp;#REF!*D83&amp;"}]",21,20),9,8))</f>
        <v>#REF!</v>
      </c>
      <c r="V83" s="52" t="str">
        <f t="shared" si="39"/>
        <v>[5501106]</v>
      </c>
      <c r="W83" s="36" t="s">
        <v>271</v>
      </c>
      <c r="X83" s="35"/>
      <c r="Y83" s="42">
        <v>100</v>
      </c>
      <c r="Z83" s="35"/>
      <c r="AA83" s="42" t="s">
        <v>189</v>
      </c>
      <c r="AB83" s="42" t="str">
        <f t="shared" si="33"/>
        <v>战士职业伤害&lt;color=#54b76b&gt;+15%&lt;/color&gt;</v>
      </c>
      <c r="AC83" s="48" t="str">
        <f t="shared" si="34"/>
        <v>5501101</v>
      </c>
      <c r="AD83" s="42" t="str">
        <f t="shared" si="35"/>
        <v>[15]</v>
      </c>
      <c r="AE83" s="36">
        <v>1</v>
      </c>
      <c r="AF83" s="36"/>
      <c r="AG83" s="36">
        <v>0</v>
      </c>
      <c r="AH83" s="35" t="s">
        <v>178</v>
      </c>
      <c r="AI83" s="48">
        <f t="shared" si="40"/>
        <v>5501106</v>
      </c>
      <c r="AJ83" s="53" t="str">
        <f t="shared" si="41"/>
        <v>战士职业伤害&lt;color=#54b76b&gt;+%s%&lt;/color&gt;</v>
      </c>
      <c r="AK83" s="36">
        <v>15</v>
      </c>
      <c r="AL83" s="36">
        <v>1</v>
      </c>
    </row>
    <row r="84" s="25" customFormat="1" hidden="1" customHeight="1" spans="1:38">
      <c r="A84" s="48">
        <v>5501107</v>
      </c>
      <c r="B84" s="42"/>
      <c r="C84" s="48" t="str">
        <f t="shared" si="30"/>
        <v>5501101</v>
      </c>
      <c r="D84" s="42">
        <f t="shared" si="31"/>
        <v>7</v>
      </c>
      <c r="E84" s="42"/>
      <c r="F84" s="36" t="s">
        <v>174</v>
      </c>
      <c r="G84" s="36">
        <f t="shared" si="36"/>
        <v>1</v>
      </c>
      <c r="H84" s="36">
        <f>IFERROR(IF(--MID($F84,2*COUNTIF($G84:G84,"&gt;"&amp;0)+2,1)=H$1,H$1,""),"")</f>
        <v>2</v>
      </c>
      <c r="I84" s="36">
        <f>IFERROR(IF(--MID($F84,2*COUNTIF($G84:H84,"&gt;"&amp;0)+2,1)=I$1,I$1,""),"")</f>
        <v>3</v>
      </c>
      <c r="J84" s="36">
        <f>IFERROR(IF(--MID($F84,2*COUNTIF($G84:I84,"&gt;"&amp;0)+2,1)=J$1,J$1,""),"")</f>
        <v>4</v>
      </c>
      <c r="K84" s="36">
        <f>IFERROR(IF(--MID($F84,2*COUNTIF($G84:J84,"&gt;"&amp;0)+2,1)=K$1,K$1,""),"")</f>
        <v>5</v>
      </c>
      <c r="L84" s="36">
        <f>IFERROR(IF(--MID($F84,2*COUNTIF($G84:K84,"&gt;"&amp;0)+2,1)=L$1,L$1,""),"")</f>
        <v>6</v>
      </c>
      <c r="M84" s="51" cm="1">
        <f t="array" ref="M84">IF($A84="","",IF(G84="","",_xlfn.XLOOKUP($D84&amp;"_"&amp;$AE84,符文权重!$A:$A&amp;"_"&amp;符文权重!$C:$C,符文权重!$D:$D)*$Y84/SUMIFS($Y:$Y,G:G,G84,$D:$D,$D84,$AE:$AE,$AE84)/SUMIF(符文权重!$A:$A,$D84,符文权重!$D:$D)))</f>
        <v>0.0204</v>
      </c>
      <c r="N84" s="51" cm="1">
        <f t="array" ref="N84">IF($A84="","",IF(H84="","",_xlfn.XLOOKUP($D84&amp;"_"&amp;$AE84,符文权重!$A:$A&amp;"_"&amp;符文权重!$C:$C,符文权重!$D:$D)*$Y84/SUMIFS($Y:$Y,H:H,H84,$D:$D,$D84,$AE:$AE,$AE84)/SUMIF(符文权重!$A:$A,$D84,符文权重!$D:$D)))</f>
        <v>0.0204</v>
      </c>
      <c r="O84" s="51" cm="1">
        <f t="array" ref="O84">IF($A84="","",IF(I84="","",_xlfn.XLOOKUP($D84&amp;"_"&amp;$AE84,符文权重!$A:$A&amp;"_"&amp;符文权重!$C:$C,符文权重!$D:$D)*$Y84/SUMIFS($Y:$Y,I:I,I84,$D:$D,$D84,$AE:$AE,$AE84)/SUMIF(符文权重!$A:$A,$D84,符文权重!$D:$D)))</f>
        <v>0.0204</v>
      </c>
      <c r="P84" s="51" cm="1">
        <f t="array" ref="P84">IF($A84="","",IF(J84="","",_xlfn.XLOOKUP($D84&amp;"_"&amp;$AE84,符文权重!$A:$A&amp;"_"&amp;符文权重!$C:$C,符文权重!$D:$D)*$Y84/SUMIFS($Y:$Y,J:J,J84,$D:$D,$D84,$AE:$AE,$AE84)/SUMIF(符文权重!$A:$A,$D84,符文权重!$D:$D)))</f>
        <v>0.0204</v>
      </c>
      <c r="Q84" s="51" cm="1">
        <f t="array" ref="Q84">IF($A84="","",IF(K84="","",_xlfn.XLOOKUP($D84&amp;"_"&amp;$AE84,符文权重!$A:$A&amp;"_"&amp;符文权重!$C:$C,符文权重!$D:$D)*$Y84/SUMIFS($Y:$Y,K:K,K84,$D:$D,$D84,$AE:$AE,$AE84)/SUMIF(符文权重!$A:$A,$D84,符文权重!$D:$D)))</f>
        <v>0.0204</v>
      </c>
      <c r="R84" s="51" cm="1">
        <f t="array" ref="R84">IF($A84="","",IF(L84="","",_xlfn.XLOOKUP($D84&amp;"_"&amp;$AE84,符文权重!$A:$A&amp;"_"&amp;符文权重!$C:$C,符文权重!$D:$D)*$Y84/SUMIFS($Y:$Y,L:L,L84,$D:$D,$D84,$AE:$AE,$AE84)/SUMIF(符文权重!$A:$A,$D84,符文权重!$D:$D)))</f>
        <v>0.0204</v>
      </c>
      <c r="S84" s="36" t="s">
        <v>192</v>
      </c>
      <c r="T84" s="36" t="s">
        <v>202</v>
      </c>
      <c r="U84" s="36" t="e">
        <f>IF(C84="","",SUBSTITUTE(SUBSTITUTE("[{global_atk,"&amp;#REF!*D84&amp;"}]",21,20),9,8))</f>
        <v>#REF!</v>
      </c>
      <c r="V84" s="52" t="str">
        <f t="shared" si="39"/>
        <v>[5501107]</v>
      </c>
      <c r="W84" s="36" t="s">
        <v>272</v>
      </c>
      <c r="X84" s="35"/>
      <c r="Y84" s="42">
        <v>100</v>
      </c>
      <c r="Z84" s="35"/>
      <c r="AA84" s="42" t="s">
        <v>191</v>
      </c>
      <c r="AB84" s="42" t="str">
        <f t="shared" si="33"/>
        <v>战士职业伤害&lt;color=#54b76b&gt;+20%&lt;/color&gt;</v>
      </c>
      <c r="AC84" s="48" t="str">
        <f t="shared" si="34"/>
        <v>5501101</v>
      </c>
      <c r="AD84" s="42" t="str">
        <f t="shared" si="35"/>
        <v>[20]</v>
      </c>
      <c r="AE84" s="36">
        <v>1</v>
      </c>
      <c r="AF84" s="36"/>
      <c r="AG84" s="36">
        <v>0</v>
      </c>
      <c r="AH84" s="35" t="s">
        <v>178</v>
      </c>
      <c r="AI84" s="48">
        <f t="shared" si="40"/>
        <v>5501107</v>
      </c>
      <c r="AJ84" s="53" t="str">
        <f t="shared" si="41"/>
        <v>战士职业伤害&lt;color=#54b76b&gt;+%s%&lt;/color&gt;</v>
      </c>
      <c r="AK84" s="36">
        <v>20</v>
      </c>
      <c r="AL84" s="36">
        <v>1</v>
      </c>
    </row>
    <row r="85" s="25" customFormat="1" hidden="1" customHeight="1" spans="1:38">
      <c r="A85" s="48" t="s">
        <v>178</v>
      </c>
      <c r="B85" s="41"/>
      <c r="C85" s="48" t="str">
        <f t="shared" si="30"/>
        <v/>
      </c>
      <c r="D85" s="42" t="str">
        <f t="shared" si="31"/>
        <v/>
      </c>
      <c r="E85" s="42"/>
      <c r="F85" s="36"/>
      <c r="G85" s="36" t="str">
        <f t="shared" si="36"/>
        <v/>
      </c>
      <c r="H85" s="36" t="str">
        <f>IFERROR(IF(--MID($F85,2*COUNTIF($G85:G85,"&gt;"&amp;0)+2,1)=H$1,H$1,""),"")</f>
        <v/>
      </c>
      <c r="I85" s="36" t="str">
        <f>IFERROR(IF(--MID($F85,2*COUNTIF($G85:H85,"&gt;"&amp;0)+2,1)=I$1,I$1,""),"")</f>
        <v/>
      </c>
      <c r="J85" s="36" t="str">
        <f>IFERROR(IF(--MID($F85,2*COUNTIF($G85:I85,"&gt;"&amp;0)+2,1)=J$1,J$1,""),"")</f>
        <v/>
      </c>
      <c r="K85" s="36" t="str">
        <f>IFERROR(IF(--MID($F85,2*COUNTIF($G85:J85,"&gt;"&amp;0)+2,1)=K$1,K$1,""),"")</f>
        <v/>
      </c>
      <c r="L85" s="36" t="str">
        <f>IFERROR(IF(--MID($F85,2*COUNTIF($G85:K85,"&gt;"&amp;0)+2,1)=L$1,L$1,""),"")</f>
        <v/>
      </c>
      <c r="M85" s="51" t="str" cm="1">
        <f t="array" ref="M85">IF($A85="","",IF(G85="","",_xlfn.XLOOKUP($D85&amp;"_"&amp;$AE85,符文权重!$A:$A&amp;"_"&amp;符文权重!$C:$C,符文权重!$D:$D)*$Y85/SUMIFS($Y:$Y,G:G,G85,$D:$D,$D85,$AE:$AE,$AE85)/SUMIF(符文权重!$A:$A,$D85,符文权重!$D:$D)))</f>
        <v/>
      </c>
      <c r="N85" s="36" t="str" cm="1">
        <f t="array" ref="N85">IF($A85="","",IF(H85="","",_xlfn.XLOOKUP($D85&amp;"_"&amp;$AE85,符文权重!$A:$A&amp;"_"&amp;符文权重!$C:$C,符文权重!$D:$D)*$Y85/SUMIFS($Y:$Y,H:H,H85,$D:$D,$D$6,$AE:$AE,$AE$6)))</f>
        <v/>
      </c>
      <c r="O85" s="36" t="str" cm="1">
        <f t="array" ref="O85">IF($A85="","",IF(I85="","",_xlfn.XLOOKUP($D85&amp;"_"&amp;$AE85,符文权重!$A:$A&amp;"_"&amp;符文权重!$C:$C,符文权重!$D:$D)*$Y85/SUMIFS($Y:$Y,I:I,I85,$D:$D,$D$6,$AE:$AE,$AE$6)))</f>
        <v/>
      </c>
      <c r="P85" s="36" t="str" cm="1">
        <f t="array" ref="P85">IF($A85="","",IF(J85="","",_xlfn.XLOOKUP($D85&amp;"_"&amp;$AE85,符文权重!$A:$A&amp;"_"&amp;符文权重!$C:$C,符文权重!$D:$D)*$Y85/SUMIFS($Y:$Y,J:J,J85,$D:$D,$D$6,$AE:$AE,$AE$6)))</f>
        <v/>
      </c>
      <c r="Q85" s="36" t="str" cm="1">
        <f t="array" ref="Q85">IF($A85="","",IF(K85="","",_xlfn.XLOOKUP($D85&amp;"_"&amp;$AE85,符文权重!$A:$A&amp;"_"&amp;符文权重!$C:$C,符文权重!$D:$D)*$Y85/SUMIFS($Y:$Y,K:K,K85,$D:$D,$D$6,$AE:$AE,$AE$6)))</f>
        <v/>
      </c>
      <c r="R85" s="36" t="str" cm="1">
        <f t="array" ref="R85">IF($A85="","",IF(L85="","",_xlfn.XLOOKUP($D85&amp;"_"&amp;$AE85,符文权重!$A:$A&amp;"_"&amp;符文权重!$C:$C,符文权重!$D:$D)*$Y85/SUMIFS($Y:$Y,L:L,L85,$D:$D,$D$6,$AE:$AE,$AE$6)))</f>
        <v/>
      </c>
      <c r="S85" s="36"/>
      <c r="T85" s="36"/>
      <c r="U85" s="36"/>
      <c r="V85" s="52"/>
      <c r="W85" s="36"/>
      <c r="X85" s="35"/>
      <c r="Y85" s="42"/>
      <c r="Z85" s="35"/>
      <c r="AA85" s="42" t="s">
        <v>178</v>
      </c>
      <c r="AB85" s="42" t="str">
        <f t="shared" si="33"/>
        <v/>
      </c>
      <c r="AC85" s="48" t="str">
        <f t="shared" si="34"/>
        <v/>
      </c>
      <c r="AD85" s="42" t="str">
        <f t="shared" si="35"/>
        <v/>
      </c>
      <c r="AE85" s="36"/>
      <c r="AF85" s="36"/>
      <c r="AG85" s="36"/>
      <c r="AH85" s="35" t="s">
        <v>178</v>
      </c>
      <c r="AI85" s="33"/>
      <c r="AJ85" s="56"/>
      <c r="AK85" s="36"/>
      <c r="AL85" s="36"/>
    </row>
    <row r="86" s="25" customFormat="1" hidden="1" customHeight="1" spans="1:38">
      <c r="A86" s="48">
        <v>5501111</v>
      </c>
      <c r="B86" s="50"/>
      <c r="C86" s="48" t="str">
        <f t="shared" si="30"/>
        <v>5501111</v>
      </c>
      <c r="D86" s="42">
        <f t="shared" si="31"/>
        <v>1</v>
      </c>
      <c r="E86" s="42"/>
      <c r="F86" s="36" t="s">
        <v>174</v>
      </c>
      <c r="G86" s="36">
        <f t="shared" si="36"/>
        <v>1</v>
      </c>
      <c r="H86" s="36">
        <f>IFERROR(IF(--MID($F86,2*COUNTIF($G86:G86,"&gt;"&amp;0)+2,1)=H$1,H$1,""),"")</f>
        <v>2</v>
      </c>
      <c r="I86" s="36">
        <f>IFERROR(IF(--MID($F86,2*COUNTIF($G86:H86,"&gt;"&amp;0)+2,1)=I$1,I$1,""),"")</f>
        <v>3</v>
      </c>
      <c r="J86" s="36">
        <f>IFERROR(IF(--MID($F86,2*COUNTIF($G86:I86,"&gt;"&amp;0)+2,1)=J$1,J$1,""),"")</f>
        <v>4</v>
      </c>
      <c r="K86" s="36">
        <f>IFERROR(IF(--MID($F86,2*COUNTIF($G86:J86,"&gt;"&amp;0)+2,1)=K$1,K$1,""),"")</f>
        <v>5</v>
      </c>
      <c r="L86" s="36">
        <f>IFERROR(IF(--MID($F86,2*COUNTIF($G86:K86,"&gt;"&amp;0)+2,1)=L$1,L$1,""),"")</f>
        <v>6</v>
      </c>
      <c r="M86" s="51" cm="1">
        <f t="array" ref="M86">IF($A86="","",IF(G86="","",_xlfn.XLOOKUP($D86&amp;"_"&amp;$AE86,符文权重!$A:$A&amp;"_"&amp;符文权重!$C:$C,符文权重!$D:$D)*$Y86/SUMIFS($Y:$Y,G:G,G86,$D:$D,$D86,$AE:$AE,$AE86)/SUMIF(符文权重!$A:$A,$D86,符文权重!$D:$D)))</f>
        <v>0.05</v>
      </c>
      <c r="N86" s="51" cm="1">
        <f t="array" ref="N86">IF($A86="","",IF(H86="","",_xlfn.XLOOKUP($D86&amp;"_"&amp;$AE86,符文权重!$A:$A&amp;"_"&amp;符文权重!$C:$C,符文权重!$D:$D)*$Y86/SUMIFS($Y:$Y,H:H,H86,$D:$D,$D86,$AE:$AE,$AE86)/SUMIF(符文权重!$A:$A,$D86,符文权重!$D:$D)))</f>
        <v>0.05</v>
      </c>
      <c r="O86" s="51" cm="1">
        <f t="array" ref="O86">IF($A86="","",IF(I86="","",_xlfn.XLOOKUP($D86&amp;"_"&amp;$AE86,符文权重!$A:$A&amp;"_"&amp;符文权重!$C:$C,符文权重!$D:$D)*$Y86/SUMIFS($Y:$Y,I:I,I86,$D:$D,$D86,$AE:$AE,$AE86)/SUMIF(符文权重!$A:$A,$D86,符文权重!$D:$D)))</f>
        <v>0.05</v>
      </c>
      <c r="P86" s="51" cm="1">
        <f t="array" ref="P86">IF($A86="","",IF(J86="","",_xlfn.XLOOKUP($D86&amp;"_"&amp;$AE86,符文权重!$A:$A&amp;"_"&amp;符文权重!$C:$C,符文权重!$D:$D)*$Y86/SUMIFS($Y:$Y,J:J,J86,$D:$D,$D86,$AE:$AE,$AE86)/SUMIF(符文权重!$A:$A,$D86,符文权重!$D:$D)))</f>
        <v>0.05</v>
      </c>
      <c r="Q86" s="51" cm="1">
        <f t="array" ref="Q86">IF($A86="","",IF(K86="","",_xlfn.XLOOKUP($D86&amp;"_"&amp;$AE86,符文权重!$A:$A&amp;"_"&amp;符文权重!$C:$C,符文权重!$D:$D)*$Y86/SUMIFS($Y:$Y,K:K,K86,$D:$D,$D86,$AE:$AE,$AE86)/SUMIF(符文权重!$A:$A,$D86,符文权重!$D:$D)))</f>
        <v>0.05</v>
      </c>
      <c r="R86" s="51" cm="1">
        <f t="array" ref="R86">IF($A86="","",IF(L86="","",_xlfn.XLOOKUP($D86&amp;"_"&amp;$AE86,符文权重!$A:$A&amp;"_"&amp;符文权重!$C:$C,符文权重!$D:$D)*$Y86/SUMIFS($Y:$Y,L:L,L86,$D:$D,$D86,$AE:$AE,$AE86)/SUMIF(符文权重!$A:$A,$D86,符文权重!$D:$D)))</f>
        <v>0.05</v>
      </c>
      <c r="S86" s="36" t="s">
        <v>192</v>
      </c>
      <c r="T86" s="36" t="s">
        <v>193</v>
      </c>
      <c r="U86" s="36" t="e">
        <f>IF(C86="","",SUBSTITUTE(SUBSTITUTE("[{global_atk,"&amp;#REF!*D86&amp;"}]",21,20),9,8))</f>
        <v>#REF!</v>
      </c>
      <c r="V86" s="52" t="str">
        <f t="shared" ref="V86:V92" si="42">"["&amp;A86&amp;"]"</f>
        <v>[5501111]</v>
      </c>
      <c r="W86" s="36" t="s">
        <v>273</v>
      </c>
      <c r="X86" s="35"/>
      <c r="Y86" s="42">
        <v>100</v>
      </c>
      <c r="Z86" s="35"/>
      <c r="AA86" s="42" t="s">
        <v>177</v>
      </c>
      <c r="AB86" s="42" t="str">
        <f t="shared" si="33"/>
        <v>射手职业伤害&lt;color=#54b76b&gt;+4%&lt;/color&gt;</v>
      </c>
      <c r="AC86" s="48" t="str">
        <f t="shared" si="34"/>
        <v>5501111</v>
      </c>
      <c r="AD86" s="42" t="str">
        <f t="shared" si="35"/>
        <v>[4]</v>
      </c>
      <c r="AE86" s="36">
        <v>1</v>
      </c>
      <c r="AF86" s="36"/>
      <c r="AG86" s="36">
        <v>0</v>
      </c>
      <c r="AH86" s="35" t="s">
        <v>178</v>
      </c>
      <c r="AI86" s="33">
        <v>5501111</v>
      </c>
      <c r="AJ86" s="55" t="s">
        <v>274</v>
      </c>
      <c r="AK86" s="36">
        <v>4</v>
      </c>
      <c r="AL86" s="36">
        <v>1</v>
      </c>
    </row>
    <row r="87" s="25" customFormat="1" hidden="1" customHeight="1" spans="1:38">
      <c r="A87" s="48">
        <v>5501112</v>
      </c>
      <c r="B87" s="42"/>
      <c r="C87" s="48" t="str">
        <f t="shared" si="30"/>
        <v>5501111</v>
      </c>
      <c r="D87" s="42">
        <f t="shared" si="31"/>
        <v>2</v>
      </c>
      <c r="E87" s="42"/>
      <c r="F87" s="36" t="s">
        <v>174</v>
      </c>
      <c r="G87" s="36">
        <f t="shared" si="36"/>
        <v>1</v>
      </c>
      <c r="H87" s="36">
        <f>IFERROR(IF(--MID($F87,2*COUNTIF($G87:G87,"&gt;"&amp;0)+2,1)=H$1,H$1,""),"")</f>
        <v>2</v>
      </c>
      <c r="I87" s="36">
        <f>IFERROR(IF(--MID($F87,2*COUNTIF($G87:H87,"&gt;"&amp;0)+2,1)=I$1,I$1,""),"")</f>
        <v>3</v>
      </c>
      <c r="J87" s="36">
        <f>IFERROR(IF(--MID($F87,2*COUNTIF($G87:I87,"&gt;"&amp;0)+2,1)=J$1,J$1,""),"")</f>
        <v>4</v>
      </c>
      <c r="K87" s="36">
        <f>IFERROR(IF(--MID($F87,2*COUNTIF($G87:J87,"&gt;"&amp;0)+2,1)=K$1,K$1,""),"")</f>
        <v>5</v>
      </c>
      <c r="L87" s="36">
        <f>IFERROR(IF(--MID($F87,2*COUNTIF($G87:K87,"&gt;"&amp;0)+2,1)=L$1,L$1,""),"")</f>
        <v>6</v>
      </c>
      <c r="M87" s="51" cm="1">
        <f t="array" ref="M87">IF($A87="","",IF(G87="","",_xlfn.XLOOKUP($D87&amp;"_"&amp;$AE87,符文权重!$A:$A&amp;"_"&amp;符文权重!$C:$C,符文权重!$D:$D)*$Y87/SUMIFS($Y:$Y,G:G,G87,$D:$D,$D87,$AE:$AE,$AE87)/SUMIF(符文权重!$A:$A,$D87,符文权重!$D:$D)))</f>
        <v>0.0363636363636364</v>
      </c>
      <c r="N87" s="51" cm="1">
        <f t="array" ref="N87">IF($A87="","",IF(H87="","",_xlfn.XLOOKUP($D87&amp;"_"&amp;$AE87,符文权重!$A:$A&amp;"_"&amp;符文权重!$C:$C,符文权重!$D:$D)*$Y87/SUMIFS($Y:$Y,H:H,H87,$D:$D,$D87,$AE:$AE,$AE87)/SUMIF(符文权重!$A:$A,$D87,符文权重!$D:$D)))</f>
        <v>0.0363636363636364</v>
      </c>
      <c r="O87" s="51" cm="1">
        <f t="array" ref="O87">IF($A87="","",IF(I87="","",_xlfn.XLOOKUP($D87&amp;"_"&amp;$AE87,符文权重!$A:$A&amp;"_"&amp;符文权重!$C:$C,符文权重!$D:$D)*$Y87/SUMIFS($Y:$Y,I:I,I87,$D:$D,$D87,$AE:$AE,$AE87)/SUMIF(符文权重!$A:$A,$D87,符文权重!$D:$D)))</f>
        <v>0.0363636363636364</v>
      </c>
      <c r="P87" s="51" cm="1">
        <f t="array" ref="P87">IF($A87="","",IF(J87="","",_xlfn.XLOOKUP($D87&amp;"_"&amp;$AE87,符文权重!$A:$A&amp;"_"&amp;符文权重!$C:$C,符文权重!$D:$D)*$Y87/SUMIFS($Y:$Y,J:J,J87,$D:$D,$D87,$AE:$AE,$AE87)/SUMIF(符文权重!$A:$A,$D87,符文权重!$D:$D)))</f>
        <v>0.0363636363636364</v>
      </c>
      <c r="Q87" s="51" cm="1">
        <f t="array" ref="Q87">IF($A87="","",IF(K87="","",_xlfn.XLOOKUP($D87&amp;"_"&amp;$AE87,符文权重!$A:$A&amp;"_"&amp;符文权重!$C:$C,符文权重!$D:$D)*$Y87/SUMIFS($Y:$Y,K:K,K87,$D:$D,$D87,$AE:$AE,$AE87)/SUMIF(符文权重!$A:$A,$D87,符文权重!$D:$D)))</f>
        <v>0.0363636363636364</v>
      </c>
      <c r="R87" s="51" cm="1">
        <f t="array" ref="R87">IF($A87="","",IF(L87="","",_xlfn.XLOOKUP($D87&amp;"_"&amp;$AE87,符文权重!$A:$A&amp;"_"&amp;符文权重!$C:$C,符文权重!$D:$D)*$Y87/SUMIFS($Y:$Y,L:L,L87,$D:$D,$D87,$AE:$AE,$AE87)/SUMIF(符文权重!$A:$A,$D87,符文权重!$D:$D)))</f>
        <v>0.0363636363636364</v>
      </c>
      <c r="S87" s="36" t="s">
        <v>192</v>
      </c>
      <c r="T87" s="36" t="s">
        <v>193</v>
      </c>
      <c r="U87" s="36" t="e">
        <f>IF(C87="","",SUBSTITUTE(SUBSTITUTE("[{global_atk,"&amp;#REF!*D87&amp;"}]",21,20),9,8))</f>
        <v>#REF!</v>
      </c>
      <c r="V87" s="52" t="str">
        <f t="shared" si="42"/>
        <v>[5501112]</v>
      </c>
      <c r="W87" s="36" t="s">
        <v>275</v>
      </c>
      <c r="X87" s="35"/>
      <c r="Y87" s="42">
        <v>100</v>
      </c>
      <c r="Z87" s="35"/>
      <c r="AA87" s="42" t="s">
        <v>181</v>
      </c>
      <c r="AB87" s="42" t="str">
        <f t="shared" si="33"/>
        <v>射手职业伤害&lt;color=#54b76b&gt;+6%&lt;/color&gt;</v>
      </c>
      <c r="AC87" s="48" t="str">
        <f t="shared" si="34"/>
        <v>5501111</v>
      </c>
      <c r="AD87" s="42" t="str">
        <f t="shared" si="35"/>
        <v>[6]</v>
      </c>
      <c r="AE87" s="36">
        <v>1</v>
      </c>
      <c r="AF87" s="36"/>
      <c r="AG87" s="36">
        <v>0</v>
      </c>
      <c r="AH87" s="35" t="s">
        <v>178</v>
      </c>
      <c r="AI87" s="48">
        <f t="shared" ref="AI87:AI92" si="43">AI86+1</f>
        <v>5501112</v>
      </c>
      <c r="AJ87" s="53" t="str">
        <f t="shared" ref="AJ87:AJ92" si="44">AJ86</f>
        <v>射手职业伤害&lt;color=#54b76b&gt;+%s%&lt;/color&gt;</v>
      </c>
      <c r="AK87" s="36">
        <v>6</v>
      </c>
      <c r="AL87" s="36">
        <v>1</v>
      </c>
    </row>
    <row r="88" s="25" customFormat="1" hidden="1" customHeight="1" spans="1:38">
      <c r="A88" s="48">
        <v>5501113</v>
      </c>
      <c r="B88" s="42"/>
      <c r="C88" s="48" t="str">
        <f t="shared" si="30"/>
        <v>5501111</v>
      </c>
      <c r="D88" s="42">
        <f t="shared" si="31"/>
        <v>3</v>
      </c>
      <c r="E88" s="42"/>
      <c r="F88" s="36" t="s">
        <v>174</v>
      </c>
      <c r="G88" s="36">
        <f t="shared" si="36"/>
        <v>1</v>
      </c>
      <c r="H88" s="36">
        <f>IFERROR(IF(--MID($F88,2*COUNTIF($G88:G88,"&gt;"&amp;0)+2,1)=H$1,H$1,""),"")</f>
        <v>2</v>
      </c>
      <c r="I88" s="36">
        <f>IFERROR(IF(--MID($F88,2*COUNTIF($G88:H88,"&gt;"&amp;0)+2,1)=I$1,I$1,""),"")</f>
        <v>3</v>
      </c>
      <c r="J88" s="36">
        <f>IFERROR(IF(--MID($F88,2*COUNTIF($G88:I88,"&gt;"&amp;0)+2,1)=J$1,J$1,""),"")</f>
        <v>4</v>
      </c>
      <c r="K88" s="36">
        <f>IFERROR(IF(--MID($F88,2*COUNTIF($G88:J88,"&gt;"&amp;0)+2,1)=K$1,K$1,""),"")</f>
        <v>5</v>
      </c>
      <c r="L88" s="36">
        <f>IFERROR(IF(--MID($F88,2*COUNTIF($G88:K88,"&gt;"&amp;0)+2,1)=L$1,L$1,""),"")</f>
        <v>6</v>
      </c>
      <c r="M88" s="51" cm="1">
        <f t="array" ref="M88">IF($A88="","",IF(G88="","",_xlfn.XLOOKUP($D88&amp;"_"&amp;$AE88,符文权重!$A:$A&amp;"_"&amp;符文权重!$C:$C,符文权重!$D:$D)*$Y88/SUMIFS($Y:$Y,G:G,G88,$D:$D,$D88,$AE:$AE,$AE88)/SUMIF(符文权重!$A:$A,$D88,符文权重!$D:$D)))</f>
        <v>0.035</v>
      </c>
      <c r="N88" s="51" cm="1">
        <f t="array" ref="N88">IF($A88="","",IF(H88="","",_xlfn.XLOOKUP($D88&amp;"_"&amp;$AE88,符文权重!$A:$A&amp;"_"&amp;符文权重!$C:$C,符文权重!$D:$D)*$Y88/SUMIFS($Y:$Y,H:H,H88,$D:$D,$D88,$AE:$AE,$AE88)/SUMIF(符文权重!$A:$A,$D88,符文权重!$D:$D)))</f>
        <v>0.035</v>
      </c>
      <c r="O88" s="51" cm="1">
        <f t="array" ref="O88">IF($A88="","",IF(I88="","",_xlfn.XLOOKUP($D88&amp;"_"&amp;$AE88,符文权重!$A:$A&amp;"_"&amp;符文权重!$C:$C,符文权重!$D:$D)*$Y88/SUMIFS($Y:$Y,I:I,I88,$D:$D,$D88,$AE:$AE,$AE88)/SUMIF(符文权重!$A:$A,$D88,符文权重!$D:$D)))</f>
        <v>0.035</v>
      </c>
      <c r="P88" s="51" cm="1">
        <f t="array" ref="P88">IF($A88="","",IF(J88="","",_xlfn.XLOOKUP($D88&amp;"_"&amp;$AE88,符文权重!$A:$A&amp;"_"&amp;符文权重!$C:$C,符文权重!$D:$D)*$Y88/SUMIFS($Y:$Y,J:J,J88,$D:$D,$D88,$AE:$AE,$AE88)/SUMIF(符文权重!$A:$A,$D88,符文权重!$D:$D)))</f>
        <v>0.035</v>
      </c>
      <c r="Q88" s="51" cm="1">
        <f t="array" ref="Q88">IF($A88="","",IF(K88="","",_xlfn.XLOOKUP($D88&amp;"_"&amp;$AE88,符文权重!$A:$A&amp;"_"&amp;符文权重!$C:$C,符文权重!$D:$D)*$Y88/SUMIFS($Y:$Y,K:K,K88,$D:$D,$D88,$AE:$AE,$AE88)/SUMIF(符文权重!$A:$A,$D88,符文权重!$D:$D)))</f>
        <v>0.035</v>
      </c>
      <c r="R88" s="51" cm="1">
        <f t="array" ref="R88">IF($A88="","",IF(L88="","",_xlfn.XLOOKUP($D88&amp;"_"&amp;$AE88,符文权重!$A:$A&amp;"_"&amp;符文权重!$C:$C,符文权重!$D:$D)*$Y88/SUMIFS($Y:$Y,L:L,L88,$D:$D,$D88,$AE:$AE,$AE88)/SUMIF(符文权重!$A:$A,$D88,符文权重!$D:$D)))</f>
        <v>0.035</v>
      </c>
      <c r="S88" s="36" t="s">
        <v>192</v>
      </c>
      <c r="T88" s="36" t="s">
        <v>193</v>
      </c>
      <c r="U88" s="36" t="e">
        <f>IF(C88="","",SUBSTITUTE(SUBSTITUTE("[{global_atk,"&amp;#REF!*D88&amp;"}]",21,20),9,8))</f>
        <v>#REF!</v>
      </c>
      <c r="V88" s="52" t="str">
        <f t="shared" si="42"/>
        <v>[5501113]</v>
      </c>
      <c r="W88" s="36" t="s">
        <v>276</v>
      </c>
      <c r="X88" s="35"/>
      <c r="Y88" s="42">
        <v>100</v>
      </c>
      <c r="Z88" s="35"/>
      <c r="AA88" s="42" t="s">
        <v>183</v>
      </c>
      <c r="AB88" s="42" t="str">
        <f t="shared" si="33"/>
        <v>射手职业伤害&lt;color=#54b76b&gt;+8%&lt;/color&gt;</v>
      </c>
      <c r="AC88" s="48" t="str">
        <f t="shared" si="34"/>
        <v>5501111</v>
      </c>
      <c r="AD88" s="42" t="str">
        <f t="shared" si="35"/>
        <v>[8]</v>
      </c>
      <c r="AE88" s="36">
        <v>1</v>
      </c>
      <c r="AF88" s="36"/>
      <c r="AG88" s="36">
        <v>0</v>
      </c>
      <c r="AH88" s="35" t="s">
        <v>178</v>
      </c>
      <c r="AI88" s="48">
        <f t="shared" si="43"/>
        <v>5501113</v>
      </c>
      <c r="AJ88" s="53" t="str">
        <f t="shared" si="44"/>
        <v>射手职业伤害&lt;color=#54b76b&gt;+%s%&lt;/color&gt;</v>
      </c>
      <c r="AK88" s="36">
        <v>8</v>
      </c>
      <c r="AL88" s="36">
        <v>1</v>
      </c>
    </row>
    <row r="89" s="25" customFormat="1" hidden="1" customHeight="1" spans="1:38">
      <c r="A89" s="48">
        <v>5501114</v>
      </c>
      <c r="B89" s="42"/>
      <c r="C89" s="48" t="str">
        <f t="shared" si="30"/>
        <v>5501111</v>
      </c>
      <c r="D89" s="42">
        <f t="shared" si="31"/>
        <v>4</v>
      </c>
      <c r="E89" s="42"/>
      <c r="F89" s="36" t="s">
        <v>174</v>
      </c>
      <c r="G89" s="36">
        <f t="shared" si="36"/>
        <v>1</v>
      </c>
      <c r="H89" s="36">
        <f>IFERROR(IF(--MID($F89,2*COUNTIF($G89:G89,"&gt;"&amp;0)+2,1)=H$1,H$1,""),"")</f>
        <v>2</v>
      </c>
      <c r="I89" s="36">
        <f>IFERROR(IF(--MID($F89,2*COUNTIF($G89:H89,"&gt;"&amp;0)+2,1)=I$1,I$1,""),"")</f>
        <v>3</v>
      </c>
      <c r="J89" s="36">
        <f>IFERROR(IF(--MID($F89,2*COUNTIF($G89:I89,"&gt;"&amp;0)+2,1)=J$1,J$1,""),"")</f>
        <v>4</v>
      </c>
      <c r="K89" s="36">
        <f>IFERROR(IF(--MID($F89,2*COUNTIF($G89:J89,"&gt;"&amp;0)+2,1)=K$1,K$1,""),"")</f>
        <v>5</v>
      </c>
      <c r="L89" s="36">
        <f>IFERROR(IF(--MID($F89,2*COUNTIF($G89:K89,"&gt;"&amp;0)+2,1)=L$1,L$1,""),"")</f>
        <v>6</v>
      </c>
      <c r="M89" s="51" cm="1">
        <f t="array" ref="M89">IF($A89="","",IF(G89="","",_xlfn.XLOOKUP($D89&amp;"_"&amp;$AE89,符文权重!$A:$A&amp;"_"&amp;符文权重!$C:$C,符文权重!$D:$D)*$Y89/SUMIFS($Y:$Y,G:G,G89,$D:$D,$D89,$AE:$AE,$AE89)/SUMIF(符文权重!$A:$A,$D89,符文权重!$D:$D)))</f>
        <v>0.0229365529511942</v>
      </c>
      <c r="N89" s="51" cm="1">
        <f t="array" ref="N89">IF($A89="","",IF(H89="","",_xlfn.XLOOKUP($D89&amp;"_"&amp;$AE89,符文权重!$A:$A&amp;"_"&amp;符文权重!$C:$C,符文权重!$D:$D)*$Y89/SUMIFS($Y:$Y,H:H,H89,$D:$D,$D89,$AE:$AE,$AE89)/SUMIF(符文权重!$A:$A,$D89,符文权重!$D:$D)))</f>
        <v>0.0229365529511942</v>
      </c>
      <c r="O89" s="51" cm="1">
        <f t="array" ref="O89">IF($A89="","",IF(I89="","",_xlfn.XLOOKUP($D89&amp;"_"&amp;$AE89,符文权重!$A:$A&amp;"_"&amp;符文权重!$C:$C,符文权重!$D:$D)*$Y89/SUMIFS($Y:$Y,I:I,I89,$D:$D,$D89,$AE:$AE,$AE89)/SUMIF(符文权重!$A:$A,$D89,符文权重!$D:$D)))</f>
        <v>0.0229365529511942</v>
      </c>
      <c r="P89" s="51" cm="1">
        <f t="array" ref="P89">IF($A89="","",IF(J89="","",_xlfn.XLOOKUP($D89&amp;"_"&amp;$AE89,符文权重!$A:$A&amp;"_"&amp;符文权重!$C:$C,符文权重!$D:$D)*$Y89/SUMIFS($Y:$Y,J:J,J89,$D:$D,$D89,$AE:$AE,$AE89)/SUMIF(符文权重!$A:$A,$D89,符文权重!$D:$D)))</f>
        <v>0.0229365529511942</v>
      </c>
      <c r="Q89" s="51" cm="1">
        <f t="array" ref="Q89">IF($A89="","",IF(K89="","",_xlfn.XLOOKUP($D89&amp;"_"&amp;$AE89,符文权重!$A:$A&amp;"_"&amp;符文权重!$C:$C,符文权重!$D:$D)*$Y89/SUMIFS($Y:$Y,K:K,K89,$D:$D,$D89,$AE:$AE,$AE89)/SUMIF(符文权重!$A:$A,$D89,符文权重!$D:$D)))</f>
        <v>0.0229365529511942</v>
      </c>
      <c r="R89" s="51" cm="1">
        <f t="array" ref="R89">IF($A89="","",IF(L89="","",_xlfn.XLOOKUP($D89&amp;"_"&amp;$AE89,符文权重!$A:$A&amp;"_"&amp;符文权重!$C:$C,符文权重!$D:$D)*$Y89/SUMIFS($Y:$Y,L:L,L89,$D:$D,$D89,$AE:$AE,$AE89)/SUMIF(符文权重!$A:$A,$D89,符文权重!$D:$D)))</f>
        <v>0.0229365529511942</v>
      </c>
      <c r="S89" s="36" t="s">
        <v>192</v>
      </c>
      <c r="T89" s="36" t="s">
        <v>193</v>
      </c>
      <c r="U89" s="36" t="e">
        <f>IF(C89="","",SUBSTITUTE(SUBSTITUTE("[{global_atk,"&amp;#REF!*D89&amp;"}]",21,20),9,8))</f>
        <v>#REF!</v>
      </c>
      <c r="V89" s="52" t="str">
        <f t="shared" si="42"/>
        <v>[5501114]</v>
      </c>
      <c r="W89" s="36" t="s">
        <v>277</v>
      </c>
      <c r="X89" s="35"/>
      <c r="Y89" s="42">
        <v>100</v>
      </c>
      <c r="Z89" s="35"/>
      <c r="AA89" s="42" t="s">
        <v>185</v>
      </c>
      <c r="AB89" s="42" t="str">
        <f t="shared" si="33"/>
        <v>射手职业伤害&lt;color=#54b76b&gt;+10%&lt;/color&gt;</v>
      </c>
      <c r="AC89" s="48" t="str">
        <f t="shared" si="34"/>
        <v>5501111</v>
      </c>
      <c r="AD89" s="42" t="str">
        <f t="shared" si="35"/>
        <v>[10]</v>
      </c>
      <c r="AE89" s="36">
        <v>1</v>
      </c>
      <c r="AF89" s="36"/>
      <c r="AG89" s="36">
        <v>0</v>
      </c>
      <c r="AH89" s="35" t="s">
        <v>178</v>
      </c>
      <c r="AI89" s="48">
        <f t="shared" si="43"/>
        <v>5501114</v>
      </c>
      <c r="AJ89" s="53" t="str">
        <f t="shared" si="44"/>
        <v>射手职业伤害&lt;color=#54b76b&gt;+%s%&lt;/color&gt;</v>
      </c>
      <c r="AK89" s="36">
        <v>10</v>
      </c>
      <c r="AL89" s="36">
        <v>1</v>
      </c>
    </row>
    <row r="90" s="25" customFormat="1" hidden="1" customHeight="1" spans="1:38">
      <c r="A90" s="48">
        <v>5501115</v>
      </c>
      <c r="B90" s="42"/>
      <c r="C90" s="48" t="str">
        <f t="shared" si="30"/>
        <v>5501111</v>
      </c>
      <c r="D90" s="42">
        <f t="shared" si="31"/>
        <v>5</v>
      </c>
      <c r="E90" s="42"/>
      <c r="F90" s="36" t="s">
        <v>174</v>
      </c>
      <c r="G90" s="36">
        <f t="shared" si="36"/>
        <v>1</v>
      </c>
      <c r="H90" s="36">
        <f>IFERROR(IF(--MID($F90,2*COUNTIF($G90:G90,"&gt;"&amp;0)+2,1)=H$1,H$1,""),"")</f>
        <v>2</v>
      </c>
      <c r="I90" s="36">
        <f>IFERROR(IF(--MID($F90,2*COUNTIF($G90:H90,"&gt;"&amp;0)+2,1)=I$1,I$1,""),"")</f>
        <v>3</v>
      </c>
      <c r="J90" s="36">
        <f>IFERROR(IF(--MID($F90,2*COUNTIF($G90:I90,"&gt;"&amp;0)+2,1)=J$1,J$1,""),"")</f>
        <v>4</v>
      </c>
      <c r="K90" s="36">
        <f>IFERROR(IF(--MID($F90,2*COUNTIF($G90:J90,"&gt;"&amp;0)+2,1)=K$1,K$1,""),"")</f>
        <v>5</v>
      </c>
      <c r="L90" s="36">
        <f>IFERROR(IF(--MID($F90,2*COUNTIF($G90:K90,"&gt;"&amp;0)+2,1)=L$1,L$1,""),"")</f>
        <v>6</v>
      </c>
      <c r="M90" s="51" cm="1">
        <f t="array" ref="M90">IF($A90="","",IF(G90="","",_xlfn.XLOOKUP($D90&amp;"_"&amp;$AE90,符文权重!$A:$A&amp;"_"&amp;符文权重!$C:$C,符文权重!$D:$D)*$Y90/SUMIFS($Y:$Y,G:G,G90,$D:$D,$D90,$AE:$AE,$AE90)/SUMIF(符文权重!$A:$A,$D90,符文权重!$D:$D)))</f>
        <v>0.0204</v>
      </c>
      <c r="N90" s="51" cm="1">
        <f t="array" ref="N90">IF($A90="","",IF(H90="","",_xlfn.XLOOKUP($D90&amp;"_"&amp;$AE90,符文权重!$A:$A&amp;"_"&amp;符文权重!$C:$C,符文权重!$D:$D)*$Y90/SUMIFS($Y:$Y,H:H,H90,$D:$D,$D90,$AE:$AE,$AE90)/SUMIF(符文权重!$A:$A,$D90,符文权重!$D:$D)))</f>
        <v>0.0204</v>
      </c>
      <c r="O90" s="51" cm="1">
        <f t="array" ref="O90">IF($A90="","",IF(I90="","",_xlfn.XLOOKUP($D90&amp;"_"&amp;$AE90,符文权重!$A:$A&amp;"_"&amp;符文权重!$C:$C,符文权重!$D:$D)*$Y90/SUMIFS($Y:$Y,I:I,I90,$D:$D,$D90,$AE:$AE,$AE90)/SUMIF(符文权重!$A:$A,$D90,符文权重!$D:$D)))</f>
        <v>0.0204</v>
      </c>
      <c r="P90" s="51" cm="1">
        <f t="array" ref="P90">IF($A90="","",IF(J90="","",_xlfn.XLOOKUP($D90&amp;"_"&amp;$AE90,符文权重!$A:$A&amp;"_"&amp;符文权重!$C:$C,符文权重!$D:$D)*$Y90/SUMIFS($Y:$Y,J:J,J90,$D:$D,$D90,$AE:$AE,$AE90)/SUMIF(符文权重!$A:$A,$D90,符文权重!$D:$D)))</f>
        <v>0.0204</v>
      </c>
      <c r="Q90" s="51" cm="1">
        <f t="array" ref="Q90">IF($A90="","",IF(K90="","",_xlfn.XLOOKUP($D90&amp;"_"&amp;$AE90,符文权重!$A:$A&amp;"_"&amp;符文权重!$C:$C,符文权重!$D:$D)*$Y90/SUMIFS($Y:$Y,K:K,K90,$D:$D,$D90,$AE:$AE,$AE90)/SUMIF(符文权重!$A:$A,$D90,符文权重!$D:$D)))</f>
        <v>0.0204</v>
      </c>
      <c r="R90" s="51" cm="1">
        <f t="array" ref="R90">IF($A90="","",IF(L90="","",_xlfn.XLOOKUP($D90&amp;"_"&amp;$AE90,符文权重!$A:$A&amp;"_"&amp;符文权重!$C:$C,符文权重!$D:$D)*$Y90/SUMIFS($Y:$Y,L:L,L90,$D:$D,$D90,$AE:$AE,$AE90)/SUMIF(符文权重!$A:$A,$D90,符文权重!$D:$D)))</f>
        <v>0.0204</v>
      </c>
      <c r="S90" s="36" t="s">
        <v>192</v>
      </c>
      <c r="T90" s="36" t="s">
        <v>193</v>
      </c>
      <c r="U90" s="36" t="e">
        <f>IF(C90="","",SUBSTITUTE(SUBSTITUTE("[{global_atk,"&amp;#REF!*D90&amp;"}]",21,20),9,8))</f>
        <v>#REF!</v>
      </c>
      <c r="V90" s="52" t="str">
        <f t="shared" si="42"/>
        <v>[5501115]</v>
      </c>
      <c r="W90" s="36" t="s">
        <v>278</v>
      </c>
      <c r="X90" s="35"/>
      <c r="Y90" s="42">
        <v>100</v>
      </c>
      <c r="Z90" s="35"/>
      <c r="AA90" s="42" t="s">
        <v>187</v>
      </c>
      <c r="AB90" s="42" t="str">
        <f t="shared" si="33"/>
        <v>射手职业伤害&lt;color=#54b76b&gt;+12.5%&lt;/color&gt;</v>
      </c>
      <c r="AC90" s="48" t="str">
        <f t="shared" si="34"/>
        <v>5501111</v>
      </c>
      <c r="AD90" s="42" t="str">
        <f t="shared" si="35"/>
        <v>[12.5]</v>
      </c>
      <c r="AE90" s="36">
        <v>1</v>
      </c>
      <c r="AF90" s="36"/>
      <c r="AG90" s="36">
        <v>0</v>
      </c>
      <c r="AH90" s="35" t="s">
        <v>178</v>
      </c>
      <c r="AI90" s="48">
        <f t="shared" si="43"/>
        <v>5501115</v>
      </c>
      <c r="AJ90" s="53" t="str">
        <f t="shared" si="44"/>
        <v>射手职业伤害&lt;color=#54b76b&gt;+%s%&lt;/color&gt;</v>
      </c>
      <c r="AK90" s="36">
        <v>12.5</v>
      </c>
      <c r="AL90" s="36">
        <v>1</v>
      </c>
    </row>
    <row r="91" s="25" customFormat="1" hidden="1" customHeight="1" spans="1:38">
      <c r="A91" s="48">
        <v>5501116</v>
      </c>
      <c r="B91" s="42"/>
      <c r="C91" s="48" t="str">
        <f t="shared" si="30"/>
        <v>5501111</v>
      </c>
      <c r="D91" s="42">
        <f t="shared" si="31"/>
        <v>6</v>
      </c>
      <c r="E91" s="42"/>
      <c r="F91" s="36" t="s">
        <v>174</v>
      </c>
      <c r="G91" s="36">
        <f t="shared" si="36"/>
        <v>1</v>
      </c>
      <c r="H91" s="36">
        <f>IFERROR(IF(--MID($F91,2*COUNTIF($G91:G91,"&gt;"&amp;0)+2,1)=H$1,H$1,""),"")</f>
        <v>2</v>
      </c>
      <c r="I91" s="36">
        <f>IFERROR(IF(--MID($F91,2*COUNTIF($G91:H91,"&gt;"&amp;0)+2,1)=I$1,I$1,""),"")</f>
        <v>3</v>
      </c>
      <c r="J91" s="36">
        <f>IFERROR(IF(--MID($F91,2*COUNTIF($G91:I91,"&gt;"&amp;0)+2,1)=J$1,J$1,""),"")</f>
        <v>4</v>
      </c>
      <c r="K91" s="36">
        <f>IFERROR(IF(--MID($F91,2*COUNTIF($G91:J91,"&gt;"&amp;0)+2,1)=K$1,K$1,""),"")</f>
        <v>5</v>
      </c>
      <c r="L91" s="36">
        <f>IFERROR(IF(--MID($F91,2*COUNTIF($G91:K91,"&gt;"&amp;0)+2,1)=L$1,L$1,""),"")</f>
        <v>6</v>
      </c>
      <c r="M91" s="51" cm="1">
        <f t="array" ref="M91">IF($A91="","",IF(G91="","",_xlfn.XLOOKUP($D91&amp;"_"&amp;$AE91,符文权重!$A:$A&amp;"_"&amp;符文权重!$C:$C,符文权重!$D:$D)*$Y91/SUMIFS($Y:$Y,G:G,G91,$D:$D,$D91,$AE:$AE,$AE91)/SUMIF(符文权重!$A:$A,$D91,符文权重!$D:$D)))</f>
        <v>0.0204</v>
      </c>
      <c r="N91" s="51" cm="1">
        <f t="array" ref="N91">IF($A91="","",IF(H91="","",_xlfn.XLOOKUP($D91&amp;"_"&amp;$AE91,符文权重!$A:$A&amp;"_"&amp;符文权重!$C:$C,符文权重!$D:$D)*$Y91/SUMIFS($Y:$Y,H:H,H91,$D:$D,$D91,$AE:$AE,$AE91)/SUMIF(符文权重!$A:$A,$D91,符文权重!$D:$D)))</f>
        <v>0.0204</v>
      </c>
      <c r="O91" s="51" cm="1">
        <f t="array" ref="O91">IF($A91="","",IF(I91="","",_xlfn.XLOOKUP($D91&amp;"_"&amp;$AE91,符文权重!$A:$A&amp;"_"&amp;符文权重!$C:$C,符文权重!$D:$D)*$Y91/SUMIFS($Y:$Y,I:I,I91,$D:$D,$D91,$AE:$AE,$AE91)/SUMIF(符文权重!$A:$A,$D91,符文权重!$D:$D)))</f>
        <v>0.0204</v>
      </c>
      <c r="P91" s="51" cm="1">
        <f t="array" ref="P91">IF($A91="","",IF(J91="","",_xlfn.XLOOKUP($D91&amp;"_"&amp;$AE91,符文权重!$A:$A&amp;"_"&amp;符文权重!$C:$C,符文权重!$D:$D)*$Y91/SUMIFS($Y:$Y,J:J,J91,$D:$D,$D91,$AE:$AE,$AE91)/SUMIF(符文权重!$A:$A,$D91,符文权重!$D:$D)))</f>
        <v>0.0204</v>
      </c>
      <c r="Q91" s="51" cm="1">
        <f t="array" ref="Q91">IF($A91="","",IF(K91="","",_xlfn.XLOOKUP($D91&amp;"_"&amp;$AE91,符文权重!$A:$A&amp;"_"&amp;符文权重!$C:$C,符文权重!$D:$D)*$Y91/SUMIFS($Y:$Y,K:K,K91,$D:$D,$D91,$AE:$AE,$AE91)/SUMIF(符文权重!$A:$A,$D91,符文权重!$D:$D)))</f>
        <v>0.0204</v>
      </c>
      <c r="R91" s="51" cm="1">
        <f t="array" ref="R91">IF($A91="","",IF(L91="","",_xlfn.XLOOKUP($D91&amp;"_"&amp;$AE91,符文权重!$A:$A&amp;"_"&amp;符文权重!$C:$C,符文权重!$D:$D)*$Y91/SUMIFS($Y:$Y,L:L,L91,$D:$D,$D91,$AE:$AE,$AE91)/SUMIF(符文权重!$A:$A,$D91,符文权重!$D:$D)))</f>
        <v>0.0204</v>
      </c>
      <c r="S91" s="36" t="s">
        <v>192</v>
      </c>
      <c r="T91" s="36" t="s">
        <v>193</v>
      </c>
      <c r="U91" s="36" t="e">
        <f>IF(C91="","",SUBSTITUTE(SUBSTITUTE("[{global_atk,"&amp;#REF!*D91&amp;"}]",21,20),9,8))</f>
        <v>#REF!</v>
      </c>
      <c r="V91" s="52" t="str">
        <f t="shared" si="42"/>
        <v>[5501116]</v>
      </c>
      <c r="W91" s="36" t="s">
        <v>279</v>
      </c>
      <c r="X91" s="35"/>
      <c r="Y91" s="42">
        <v>100</v>
      </c>
      <c r="Z91" s="35"/>
      <c r="AA91" s="42" t="s">
        <v>189</v>
      </c>
      <c r="AB91" s="42" t="str">
        <f t="shared" si="33"/>
        <v>射手职业伤害&lt;color=#54b76b&gt;+15%&lt;/color&gt;</v>
      </c>
      <c r="AC91" s="48" t="str">
        <f t="shared" si="34"/>
        <v>5501111</v>
      </c>
      <c r="AD91" s="42" t="str">
        <f t="shared" si="35"/>
        <v>[15]</v>
      </c>
      <c r="AE91" s="36">
        <v>1</v>
      </c>
      <c r="AF91" s="36"/>
      <c r="AG91" s="36">
        <v>0</v>
      </c>
      <c r="AH91" s="35" t="s">
        <v>178</v>
      </c>
      <c r="AI91" s="48">
        <f t="shared" si="43"/>
        <v>5501116</v>
      </c>
      <c r="AJ91" s="53" t="str">
        <f t="shared" si="44"/>
        <v>射手职业伤害&lt;color=#54b76b&gt;+%s%&lt;/color&gt;</v>
      </c>
      <c r="AK91" s="36">
        <v>15</v>
      </c>
      <c r="AL91" s="36">
        <v>1</v>
      </c>
    </row>
    <row r="92" s="25" customFormat="1" hidden="1" customHeight="1" spans="1:38">
      <c r="A92" s="48">
        <v>5501117</v>
      </c>
      <c r="B92" s="42"/>
      <c r="C92" s="48" t="str">
        <f t="shared" si="30"/>
        <v>5501111</v>
      </c>
      <c r="D92" s="42">
        <f t="shared" si="31"/>
        <v>7</v>
      </c>
      <c r="E92" s="42"/>
      <c r="F92" s="36" t="s">
        <v>174</v>
      </c>
      <c r="G92" s="36">
        <f t="shared" si="36"/>
        <v>1</v>
      </c>
      <c r="H92" s="36">
        <f>IFERROR(IF(--MID($F92,2*COUNTIF($G92:G92,"&gt;"&amp;0)+2,1)=H$1,H$1,""),"")</f>
        <v>2</v>
      </c>
      <c r="I92" s="36">
        <f>IFERROR(IF(--MID($F92,2*COUNTIF($G92:H92,"&gt;"&amp;0)+2,1)=I$1,I$1,""),"")</f>
        <v>3</v>
      </c>
      <c r="J92" s="36">
        <f>IFERROR(IF(--MID($F92,2*COUNTIF($G92:I92,"&gt;"&amp;0)+2,1)=J$1,J$1,""),"")</f>
        <v>4</v>
      </c>
      <c r="K92" s="36">
        <f>IFERROR(IF(--MID($F92,2*COUNTIF($G92:J92,"&gt;"&amp;0)+2,1)=K$1,K$1,""),"")</f>
        <v>5</v>
      </c>
      <c r="L92" s="36">
        <f>IFERROR(IF(--MID($F92,2*COUNTIF($G92:K92,"&gt;"&amp;0)+2,1)=L$1,L$1,""),"")</f>
        <v>6</v>
      </c>
      <c r="M92" s="51" cm="1">
        <f t="array" ref="M92">IF($A92="","",IF(G92="","",_xlfn.XLOOKUP($D92&amp;"_"&amp;$AE92,符文权重!$A:$A&amp;"_"&amp;符文权重!$C:$C,符文权重!$D:$D)*$Y92/SUMIFS($Y:$Y,G:G,G92,$D:$D,$D92,$AE:$AE,$AE92)/SUMIF(符文权重!$A:$A,$D92,符文权重!$D:$D)))</f>
        <v>0.0204</v>
      </c>
      <c r="N92" s="51" cm="1">
        <f t="array" ref="N92">IF($A92="","",IF(H92="","",_xlfn.XLOOKUP($D92&amp;"_"&amp;$AE92,符文权重!$A:$A&amp;"_"&amp;符文权重!$C:$C,符文权重!$D:$D)*$Y92/SUMIFS($Y:$Y,H:H,H92,$D:$D,$D92,$AE:$AE,$AE92)/SUMIF(符文权重!$A:$A,$D92,符文权重!$D:$D)))</f>
        <v>0.0204</v>
      </c>
      <c r="O92" s="51" cm="1">
        <f t="array" ref="O92">IF($A92="","",IF(I92="","",_xlfn.XLOOKUP($D92&amp;"_"&amp;$AE92,符文权重!$A:$A&amp;"_"&amp;符文权重!$C:$C,符文权重!$D:$D)*$Y92/SUMIFS($Y:$Y,I:I,I92,$D:$D,$D92,$AE:$AE,$AE92)/SUMIF(符文权重!$A:$A,$D92,符文权重!$D:$D)))</f>
        <v>0.0204</v>
      </c>
      <c r="P92" s="51" cm="1">
        <f t="array" ref="P92">IF($A92="","",IF(J92="","",_xlfn.XLOOKUP($D92&amp;"_"&amp;$AE92,符文权重!$A:$A&amp;"_"&amp;符文权重!$C:$C,符文权重!$D:$D)*$Y92/SUMIFS($Y:$Y,J:J,J92,$D:$D,$D92,$AE:$AE,$AE92)/SUMIF(符文权重!$A:$A,$D92,符文权重!$D:$D)))</f>
        <v>0.0204</v>
      </c>
      <c r="Q92" s="51" cm="1">
        <f t="array" ref="Q92">IF($A92="","",IF(K92="","",_xlfn.XLOOKUP($D92&amp;"_"&amp;$AE92,符文权重!$A:$A&amp;"_"&amp;符文权重!$C:$C,符文权重!$D:$D)*$Y92/SUMIFS($Y:$Y,K:K,K92,$D:$D,$D92,$AE:$AE,$AE92)/SUMIF(符文权重!$A:$A,$D92,符文权重!$D:$D)))</f>
        <v>0.0204</v>
      </c>
      <c r="R92" s="51" cm="1">
        <f t="array" ref="R92">IF($A92="","",IF(L92="","",_xlfn.XLOOKUP($D92&amp;"_"&amp;$AE92,符文权重!$A:$A&amp;"_"&amp;符文权重!$C:$C,符文权重!$D:$D)*$Y92/SUMIFS($Y:$Y,L:L,L92,$D:$D,$D92,$AE:$AE,$AE92)/SUMIF(符文权重!$A:$A,$D92,符文权重!$D:$D)))</f>
        <v>0.0204</v>
      </c>
      <c r="S92" s="36" t="s">
        <v>192</v>
      </c>
      <c r="T92" s="36" t="s">
        <v>193</v>
      </c>
      <c r="U92" s="36" t="e">
        <f>IF(C92="","",SUBSTITUTE(SUBSTITUTE("[{global_atk,"&amp;#REF!*D92&amp;"}]",21,20),9,8))</f>
        <v>#REF!</v>
      </c>
      <c r="V92" s="52" t="str">
        <f t="shared" si="42"/>
        <v>[5501117]</v>
      </c>
      <c r="W92" s="36" t="s">
        <v>280</v>
      </c>
      <c r="X92" s="35"/>
      <c r="Y92" s="42">
        <v>100</v>
      </c>
      <c r="Z92" s="35"/>
      <c r="AA92" s="42" t="s">
        <v>191</v>
      </c>
      <c r="AB92" s="42" t="str">
        <f t="shared" si="33"/>
        <v>射手职业伤害&lt;color=#54b76b&gt;+20%&lt;/color&gt;</v>
      </c>
      <c r="AC92" s="48" t="str">
        <f t="shared" si="34"/>
        <v>5501111</v>
      </c>
      <c r="AD92" s="42" t="str">
        <f t="shared" si="35"/>
        <v>[20]</v>
      </c>
      <c r="AE92" s="36">
        <v>1</v>
      </c>
      <c r="AF92" s="36"/>
      <c r="AG92" s="36">
        <v>0</v>
      </c>
      <c r="AH92" s="35" t="s">
        <v>178</v>
      </c>
      <c r="AI92" s="48">
        <f t="shared" si="43"/>
        <v>5501117</v>
      </c>
      <c r="AJ92" s="53" t="str">
        <f t="shared" si="44"/>
        <v>射手职业伤害&lt;color=#54b76b&gt;+%s%&lt;/color&gt;</v>
      </c>
      <c r="AK92" s="36">
        <v>20</v>
      </c>
      <c r="AL92" s="36">
        <v>1</v>
      </c>
    </row>
    <row r="93" s="25" customFormat="1" hidden="1" customHeight="1" spans="1:38">
      <c r="A93" s="48" t="s">
        <v>178</v>
      </c>
      <c r="B93" s="34"/>
      <c r="C93" s="48" t="str">
        <f t="shared" si="30"/>
        <v/>
      </c>
      <c r="D93" s="42" t="str">
        <f t="shared" si="31"/>
        <v/>
      </c>
      <c r="E93" s="42"/>
      <c r="F93" s="36"/>
      <c r="G93" s="36" t="str">
        <f t="shared" si="36"/>
        <v/>
      </c>
      <c r="H93" s="36" t="str">
        <f>IFERROR(IF(--MID($F93,2*COUNTIF($G93:G93,"&gt;"&amp;0)+2,1)=H$1,H$1,""),"")</f>
        <v/>
      </c>
      <c r="I93" s="36" t="str">
        <f>IFERROR(IF(--MID($F93,2*COUNTIF($G93:H93,"&gt;"&amp;0)+2,1)=I$1,I$1,""),"")</f>
        <v/>
      </c>
      <c r="J93" s="36" t="str">
        <f>IFERROR(IF(--MID($F93,2*COUNTIF($G93:I93,"&gt;"&amp;0)+2,1)=J$1,J$1,""),"")</f>
        <v/>
      </c>
      <c r="K93" s="36" t="str">
        <f>IFERROR(IF(--MID($F93,2*COUNTIF($G93:J93,"&gt;"&amp;0)+2,1)=K$1,K$1,""),"")</f>
        <v/>
      </c>
      <c r="L93" s="36" t="str">
        <f>IFERROR(IF(--MID($F93,2*COUNTIF($G93:K93,"&gt;"&amp;0)+2,1)=L$1,L$1,""),"")</f>
        <v/>
      </c>
      <c r="M93" s="51" t="str" cm="1">
        <f t="array" ref="M93">IF($A93="","",IF(G93="","",_xlfn.XLOOKUP($D93&amp;"_"&amp;$AE93,符文权重!$A:$A&amp;"_"&amp;符文权重!$C:$C,符文权重!$D:$D)*$Y93/SUMIFS($Y:$Y,G:G,G93,$D:$D,$D93,$AE:$AE,$AE93)/SUMIF(符文权重!$A:$A,$D93,符文权重!$D:$D)))</f>
        <v/>
      </c>
      <c r="N93" s="36" t="str" cm="1">
        <f t="array" ref="N93">IF($A93="","",IF(H93="","",_xlfn.XLOOKUP($D93&amp;"_"&amp;$AE93,符文权重!$A:$A&amp;"_"&amp;符文权重!$C:$C,符文权重!$D:$D)*$Y93/SUMIFS($Y:$Y,H:H,H93,$D:$D,$D$6,$AE:$AE,$AE$6)))</f>
        <v/>
      </c>
      <c r="O93" s="36" t="str" cm="1">
        <f t="array" ref="O93">IF($A93="","",IF(I93="","",_xlfn.XLOOKUP($D93&amp;"_"&amp;$AE93,符文权重!$A:$A&amp;"_"&amp;符文权重!$C:$C,符文权重!$D:$D)*$Y93/SUMIFS($Y:$Y,I:I,I93,$D:$D,$D$6,$AE:$AE,$AE$6)))</f>
        <v/>
      </c>
      <c r="P93" s="36" t="str" cm="1">
        <f t="array" ref="P93">IF($A93="","",IF(J93="","",_xlfn.XLOOKUP($D93&amp;"_"&amp;$AE93,符文权重!$A:$A&amp;"_"&amp;符文权重!$C:$C,符文权重!$D:$D)*$Y93/SUMIFS($Y:$Y,J:J,J93,$D:$D,$D$6,$AE:$AE,$AE$6)))</f>
        <v/>
      </c>
      <c r="Q93" s="36" t="str" cm="1">
        <f t="array" ref="Q93">IF($A93="","",IF(K93="","",_xlfn.XLOOKUP($D93&amp;"_"&amp;$AE93,符文权重!$A:$A&amp;"_"&amp;符文权重!$C:$C,符文权重!$D:$D)*$Y93/SUMIFS($Y:$Y,K:K,K93,$D:$D,$D$6,$AE:$AE,$AE$6)))</f>
        <v/>
      </c>
      <c r="R93" s="36" t="str" cm="1">
        <f t="array" ref="R93">IF($A93="","",IF(L93="","",_xlfn.XLOOKUP($D93&amp;"_"&amp;$AE93,符文权重!$A:$A&amp;"_"&amp;符文权重!$C:$C,符文权重!$D:$D)*$Y93/SUMIFS($Y:$Y,L:L,L93,$D:$D,$D$6,$AE:$AE,$AE$6)))</f>
        <v/>
      </c>
      <c r="S93" s="36"/>
      <c r="T93" s="36"/>
      <c r="U93" s="36"/>
      <c r="V93" s="52"/>
      <c r="W93" s="36"/>
      <c r="X93" s="35"/>
      <c r="Y93" s="42"/>
      <c r="Z93" s="35"/>
      <c r="AA93" s="42" t="s">
        <v>178</v>
      </c>
      <c r="AB93" s="42" t="str">
        <f t="shared" si="33"/>
        <v/>
      </c>
      <c r="AC93" s="48" t="str">
        <f t="shared" si="34"/>
        <v/>
      </c>
      <c r="AD93" s="42" t="str">
        <f t="shared" si="35"/>
        <v/>
      </c>
      <c r="AE93" s="36"/>
      <c r="AF93" s="36"/>
      <c r="AG93" s="36"/>
      <c r="AH93" s="35" t="s">
        <v>178</v>
      </c>
      <c r="AI93" s="33"/>
      <c r="AJ93" s="55"/>
      <c r="AK93" s="36"/>
      <c r="AL93" s="36"/>
    </row>
    <row r="94" s="25" customFormat="1" hidden="1" customHeight="1" spans="1:38">
      <c r="A94" s="48">
        <v>5501121</v>
      </c>
      <c r="B94" s="34"/>
      <c r="C94" s="48" t="str">
        <f t="shared" si="30"/>
        <v>5501121</v>
      </c>
      <c r="D94" s="42">
        <f t="shared" si="31"/>
        <v>1</v>
      </c>
      <c r="E94" s="42"/>
      <c r="F94" s="36" t="s">
        <v>174</v>
      </c>
      <c r="G94" s="36">
        <f t="shared" si="36"/>
        <v>1</v>
      </c>
      <c r="H94" s="36">
        <f>IFERROR(IF(--MID($F94,2*COUNTIF($G94:G94,"&gt;"&amp;0)+2,1)=H$1,H$1,""),"")</f>
        <v>2</v>
      </c>
      <c r="I94" s="36">
        <f>IFERROR(IF(--MID($F94,2*COUNTIF($G94:H94,"&gt;"&amp;0)+2,1)=I$1,I$1,""),"")</f>
        <v>3</v>
      </c>
      <c r="J94" s="36">
        <f>IFERROR(IF(--MID($F94,2*COUNTIF($G94:I94,"&gt;"&amp;0)+2,1)=J$1,J$1,""),"")</f>
        <v>4</v>
      </c>
      <c r="K94" s="36">
        <f>IFERROR(IF(--MID($F94,2*COUNTIF($G94:J94,"&gt;"&amp;0)+2,1)=K$1,K$1,""),"")</f>
        <v>5</v>
      </c>
      <c r="L94" s="36">
        <f>IFERROR(IF(--MID($F94,2*COUNTIF($G94:K94,"&gt;"&amp;0)+2,1)=L$1,L$1,""),"")</f>
        <v>6</v>
      </c>
      <c r="M94" s="51" cm="1">
        <f t="array" ref="M94">IF($A94="","",IF(G94="","",_xlfn.XLOOKUP($D94&amp;"_"&amp;$AE94,符文权重!$A:$A&amp;"_"&amp;符文权重!$C:$C,符文权重!$D:$D)*$Y94/SUMIFS($Y:$Y,G:G,G94,$D:$D,$D94,$AE:$AE,$AE94)/SUMIF(符文权重!$A:$A,$D94,符文权重!$D:$D)))</f>
        <v>0.05</v>
      </c>
      <c r="N94" s="51" cm="1">
        <f t="array" ref="N94">IF($A94="","",IF(H94="","",_xlfn.XLOOKUP($D94&amp;"_"&amp;$AE94,符文权重!$A:$A&amp;"_"&amp;符文权重!$C:$C,符文权重!$D:$D)*$Y94/SUMIFS($Y:$Y,H:H,H94,$D:$D,$D94,$AE:$AE,$AE94)/SUMIF(符文权重!$A:$A,$D94,符文权重!$D:$D)))</f>
        <v>0.05</v>
      </c>
      <c r="O94" s="51" cm="1">
        <f t="array" ref="O94">IF($A94="","",IF(I94="","",_xlfn.XLOOKUP($D94&amp;"_"&amp;$AE94,符文权重!$A:$A&amp;"_"&amp;符文权重!$C:$C,符文权重!$D:$D)*$Y94/SUMIFS($Y:$Y,I:I,I94,$D:$D,$D94,$AE:$AE,$AE94)/SUMIF(符文权重!$A:$A,$D94,符文权重!$D:$D)))</f>
        <v>0.05</v>
      </c>
      <c r="P94" s="51" cm="1">
        <f t="array" ref="P94">IF($A94="","",IF(J94="","",_xlfn.XLOOKUP($D94&amp;"_"&amp;$AE94,符文权重!$A:$A&amp;"_"&amp;符文权重!$C:$C,符文权重!$D:$D)*$Y94/SUMIFS($Y:$Y,J:J,J94,$D:$D,$D94,$AE:$AE,$AE94)/SUMIF(符文权重!$A:$A,$D94,符文权重!$D:$D)))</f>
        <v>0.05</v>
      </c>
      <c r="Q94" s="51" cm="1">
        <f t="array" ref="Q94">IF($A94="","",IF(K94="","",_xlfn.XLOOKUP($D94&amp;"_"&amp;$AE94,符文权重!$A:$A&amp;"_"&amp;符文权重!$C:$C,符文权重!$D:$D)*$Y94/SUMIFS($Y:$Y,K:K,K94,$D:$D,$D94,$AE:$AE,$AE94)/SUMIF(符文权重!$A:$A,$D94,符文权重!$D:$D)))</f>
        <v>0.05</v>
      </c>
      <c r="R94" s="51" cm="1">
        <f t="array" ref="R94">IF($A94="","",IF(L94="","",_xlfn.XLOOKUP($D94&amp;"_"&amp;$AE94,符文权重!$A:$A&amp;"_"&amp;符文权重!$C:$C,符文权重!$D:$D)*$Y94/SUMIFS($Y:$Y,L:L,L94,$D:$D,$D94,$AE:$AE,$AE94)/SUMIF(符文权重!$A:$A,$D94,符文权重!$D:$D)))</f>
        <v>0.05</v>
      </c>
      <c r="S94" s="36" t="s">
        <v>192</v>
      </c>
      <c r="T94" s="36" t="s">
        <v>211</v>
      </c>
      <c r="U94" s="36" t="e">
        <f>IF(C94="","",SUBSTITUTE(SUBSTITUTE("[{global_atk,"&amp;#REF!*D94&amp;"}]",21,20),9,8))</f>
        <v>#REF!</v>
      </c>
      <c r="V94" s="52" t="str">
        <f t="shared" ref="V94:V100" si="45">"["&amp;A94&amp;"]"</f>
        <v>[5501121]</v>
      </c>
      <c r="W94" s="36" t="s">
        <v>281</v>
      </c>
      <c r="X94" s="35"/>
      <c r="Y94" s="42">
        <v>100</v>
      </c>
      <c r="Z94" s="35"/>
      <c r="AA94" s="42" t="s">
        <v>177</v>
      </c>
      <c r="AB94" s="42" t="str">
        <f t="shared" si="33"/>
        <v>法师职业伤害&lt;color=#54b76b&gt;+4%&lt;/color&gt;</v>
      </c>
      <c r="AC94" s="48" t="str">
        <f t="shared" si="34"/>
        <v>5501121</v>
      </c>
      <c r="AD94" s="42" t="str">
        <f t="shared" si="35"/>
        <v>[4]</v>
      </c>
      <c r="AE94" s="36">
        <v>1</v>
      </c>
      <c r="AF94" s="36"/>
      <c r="AG94" s="36">
        <v>0</v>
      </c>
      <c r="AH94" s="35" t="s">
        <v>178</v>
      </c>
      <c r="AI94" s="33">
        <v>5501121</v>
      </c>
      <c r="AJ94" s="55" t="s">
        <v>282</v>
      </c>
      <c r="AK94" s="36">
        <v>4</v>
      </c>
      <c r="AL94" s="36">
        <v>1</v>
      </c>
    </row>
    <row r="95" s="25" customFormat="1" hidden="1" customHeight="1" spans="1:38">
      <c r="A95" s="48">
        <v>5501122</v>
      </c>
      <c r="B95" s="34"/>
      <c r="C95" s="48" t="str">
        <f t="shared" si="30"/>
        <v>5501121</v>
      </c>
      <c r="D95" s="42">
        <f t="shared" si="31"/>
        <v>2</v>
      </c>
      <c r="E95" s="42"/>
      <c r="F95" s="36" t="s">
        <v>174</v>
      </c>
      <c r="G95" s="36">
        <f t="shared" si="36"/>
        <v>1</v>
      </c>
      <c r="H95" s="36">
        <f>IFERROR(IF(--MID($F95,2*COUNTIF($G95:G95,"&gt;"&amp;0)+2,1)=H$1,H$1,""),"")</f>
        <v>2</v>
      </c>
      <c r="I95" s="36">
        <f>IFERROR(IF(--MID($F95,2*COUNTIF($G95:H95,"&gt;"&amp;0)+2,1)=I$1,I$1,""),"")</f>
        <v>3</v>
      </c>
      <c r="J95" s="36">
        <f>IFERROR(IF(--MID($F95,2*COUNTIF($G95:I95,"&gt;"&amp;0)+2,1)=J$1,J$1,""),"")</f>
        <v>4</v>
      </c>
      <c r="K95" s="36">
        <f>IFERROR(IF(--MID($F95,2*COUNTIF($G95:J95,"&gt;"&amp;0)+2,1)=K$1,K$1,""),"")</f>
        <v>5</v>
      </c>
      <c r="L95" s="36">
        <f>IFERROR(IF(--MID($F95,2*COUNTIF($G95:K95,"&gt;"&amp;0)+2,1)=L$1,L$1,""),"")</f>
        <v>6</v>
      </c>
      <c r="M95" s="51" cm="1">
        <f t="array" ref="M95">IF($A95="","",IF(G95="","",_xlfn.XLOOKUP($D95&amp;"_"&amp;$AE95,符文权重!$A:$A&amp;"_"&amp;符文权重!$C:$C,符文权重!$D:$D)*$Y95/SUMIFS($Y:$Y,G:G,G95,$D:$D,$D95,$AE:$AE,$AE95)/SUMIF(符文权重!$A:$A,$D95,符文权重!$D:$D)))</f>
        <v>0.0363636363636364</v>
      </c>
      <c r="N95" s="51" cm="1">
        <f t="array" ref="N95">IF($A95="","",IF(H95="","",_xlfn.XLOOKUP($D95&amp;"_"&amp;$AE95,符文权重!$A:$A&amp;"_"&amp;符文权重!$C:$C,符文权重!$D:$D)*$Y95/SUMIFS($Y:$Y,H:H,H95,$D:$D,$D95,$AE:$AE,$AE95)/SUMIF(符文权重!$A:$A,$D95,符文权重!$D:$D)))</f>
        <v>0.0363636363636364</v>
      </c>
      <c r="O95" s="51" cm="1">
        <f t="array" ref="O95">IF($A95="","",IF(I95="","",_xlfn.XLOOKUP($D95&amp;"_"&amp;$AE95,符文权重!$A:$A&amp;"_"&amp;符文权重!$C:$C,符文权重!$D:$D)*$Y95/SUMIFS($Y:$Y,I:I,I95,$D:$D,$D95,$AE:$AE,$AE95)/SUMIF(符文权重!$A:$A,$D95,符文权重!$D:$D)))</f>
        <v>0.0363636363636364</v>
      </c>
      <c r="P95" s="51" cm="1">
        <f t="array" ref="P95">IF($A95="","",IF(J95="","",_xlfn.XLOOKUP($D95&amp;"_"&amp;$AE95,符文权重!$A:$A&amp;"_"&amp;符文权重!$C:$C,符文权重!$D:$D)*$Y95/SUMIFS($Y:$Y,J:J,J95,$D:$D,$D95,$AE:$AE,$AE95)/SUMIF(符文权重!$A:$A,$D95,符文权重!$D:$D)))</f>
        <v>0.0363636363636364</v>
      </c>
      <c r="Q95" s="51" cm="1">
        <f t="array" ref="Q95">IF($A95="","",IF(K95="","",_xlfn.XLOOKUP($D95&amp;"_"&amp;$AE95,符文权重!$A:$A&amp;"_"&amp;符文权重!$C:$C,符文权重!$D:$D)*$Y95/SUMIFS($Y:$Y,K:K,K95,$D:$D,$D95,$AE:$AE,$AE95)/SUMIF(符文权重!$A:$A,$D95,符文权重!$D:$D)))</f>
        <v>0.0363636363636364</v>
      </c>
      <c r="R95" s="51" cm="1">
        <f t="array" ref="R95">IF($A95="","",IF(L95="","",_xlfn.XLOOKUP($D95&amp;"_"&amp;$AE95,符文权重!$A:$A&amp;"_"&amp;符文权重!$C:$C,符文权重!$D:$D)*$Y95/SUMIFS($Y:$Y,L:L,L95,$D:$D,$D95,$AE:$AE,$AE95)/SUMIF(符文权重!$A:$A,$D95,符文权重!$D:$D)))</f>
        <v>0.0363636363636364</v>
      </c>
      <c r="S95" s="36" t="s">
        <v>192</v>
      </c>
      <c r="T95" s="36" t="s">
        <v>211</v>
      </c>
      <c r="U95" s="36" t="e">
        <f>IF(C95="","",SUBSTITUTE(SUBSTITUTE("[{global_atk,"&amp;#REF!*D95&amp;"}]",21,20),9,8))</f>
        <v>#REF!</v>
      </c>
      <c r="V95" s="52" t="str">
        <f t="shared" si="45"/>
        <v>[5501122]</v>
      </c>
      <c r="W95" s="36" t="s">
        <v>283</v>
      </c>
      <c r="X95" s="35"/>
      <c r="Y95" s="42">
        <v>100</v>
      </c>
      <c r="Z95" s="35"/>
      <c r="AA95" s="42" t="s">
        <v>181</v>
      </c>
      <c r="AB95" s="42" t="str">
        <f t="shared" si="33"/>
        <v>法师职业伤害&lt;color=#54b76b&gt;+6%&lt;/color&gt;</v>
      </c>
      <c r="AC95" s="48" t="str">
        <f t="shared" si="34"/>
        <v>5501121</v>
      </c>
      <c r="AD95" s="42" t="str">
        <f t="shared" si="35"/>
        <v>[6]</v>
      </c>
      <c r="AE95" s="36">
        <v>1</v>
      </c>
      <c r="AF95" s="36"/>
      <c r="AG95" s="36">
        <v>0</v>
      </c>
      <c r="AH95" s="35" t="s">
        <v>178</v>
      </c>
      <c r="AI95" s="48">
        <f t="shared" ref="AI95:AI100" si="46">AI94+1</f>
        <v>5501122</v>
      </c>
      <c r="AJ95" s="53" t="str">
        <f t="shared" ref="AJ95:AJ100" si="47">AJ94</f>
        <v>法师职业伤害&lt;color=#54b76b&gt;+%s%&lt;/color&gt;</v>
      </c>
      <c r="AK95" s="36">
        <v>6</v>
      </c>
      <c r="AL95" s="36">
        <v>1</v>
      </c>
    </row>
    <row r="96" s="25" customFormat="1" hidden="1" customHeight="1" spans="1:38">
      <c r="A96" s="48">
        <v>5501123</v>
      </c>
      <c r="B96" s="34"/>
      <c r="C96" s="48" t="str">
        <f t="shared" si="30"/>
        <v>5501121</v>
      </c>
      <c r="D96" s="42">
        <f t="shared" si="31"/>
        <v>3</v>
      </c>
      <c r="E96" s="42"/>
      <c r="F96" s="36" t="s">
        <v>174</v>
      </c>
      <c r="G96" s="36">
        <f t="shared" si="36"/>
        <v>1</v>
      </c>
      <c r="H96" s="36">
        <f>IFERROR(IF(--MID($F96,2*COUNTIF($G96:G96,"&gt;"&amp;0)+2,1)=H$1,H$1,""),"")</f>
        <v>2</v>
      </c>
      <c r="I96" s="36">
        <f>IFERROR(IF(--MID($F96,2*COUNTIF($G96:H96,"&gt;"&amp;0)+2,1)=I$1,I$1,""),"")</f>
        <v>3</v>
      </c>
      <c r="J96" s="36">
        <f>IFERROR(IF(--MID($F96,2*COUNTIF($G96:I96,"&gt;"&amp;0)+2,1)=J$1,J$1,""),"")</f>
        <v>4</v>
      </c>
      <c r="K96" s="36">
        <f>IFERROR(IF(--MID($F96,2*COUNTIF($G96:J96,"&gt;"&amp;0)+2,1)=K$1,K$1,""),"")</f>
        <v>5</v>
      </c>
      <c r="L96" s="36">
        <f>IFERROR(IF(--MID($F96,2*COUNTIF($G96:K96,"&gt;"&amp;0)+2,1)=L$1,L$1,""),"")</f>
        <v>6</v>
      </c>
      <c r="M96" s="51" cm="1">
        <f t="array" ref="M96">IF($A96="","",IF(G96="","",_xlfn.XLOOKUP($D96&amp;"_"&amp;$AE96,符文权重!$A:$A&amp;"_"&amp;符文权重!$C:$C,符文权重!$D:$D)*$Y96/SUMIFS($Y:$Y,G:G,G96,$D:$D,$D96,$AE:$AE,$AE96)/SUMIF(符文权重!$A:$A,$D96,符文权重!$D:$D)))</f>
        <v>0.035</v>
      </c>
      <c r="N96" s="51" cm="1">
        <f t="array" ref="N96">IF($A96="","",IF(H96="","",_xlfn.XLOOKUP($D96&amp;"_"&amp;$AE96,符文权重!$A:$A&amp;"_"&amp;符文权重!$C:$C,符文权重!$D:$D)*$Y96/SUMIFS($Y:$Y,H:H,H96,$D:$D,$D96,$AE:$AE,$AE96)/SUMIF(符文权重!$A:$A,$D96,符文权重!$D:$D)))</f>
        <v>0.035</v>
      </c>
      <c r="O96" s="51" cm="1">
        <f t="array" ref="O96">IF($A96="","",IF(I96="","",_xlfn.XLOOKUP($D96&amp;"_"&amp;$AE96,符文权重!$A:$A&amp;"_"&amp;符文权重!$C:$C,符文权重!$D:$D)*$Y96/SUMIFS($Y:$Y,I:I,I96,$D:$D,$D96,$AE:$AE,$AE96)/SUMIF(符文权重!$A:$A,$D96,符文权重!$D:$D)))</f>
        <v>0.035</v>
      </c>
      <c r="P96" s="51" cm="1">
        <f t="array" ref="P96">IF($A96="","",IF(J96="","",_xlfn.XLOOKUP($D96&amp;"_"&amp;$AE96,符文权重!$A:$A&amp;"_"&amp;符文权重!$C:$C,符文权重!$D:$D)*$Y96/SUMIFS($Y:$Y,J:J,J96,$D:$D,$D96,$AE:$AE,$AE96)/SUMIF(符文权重!$A:$A,$D96,符文权重!$D:$D)))</f>
        <v>0.035</v>
      </c>
      <c r="Q96" s="51" cm="1">
        <f t="array" ref="Q96">IF($A96="","",IF(K96="","",_xlfn.XLOOKUP($D96&amp;"_"&amp;$AE96,符文权重!$A:$A&amp;"_"&amp;符文权重!$C:$C,符文权重!$D:$D)*$Y96/SUMIFS($Y:$Y,K:K,K96,$D:$D,$D96,$AE:$AE,$AE96)/SUMIF(符文权重!$A:$A,$D96,符文权重!$D:$D)))</f>
        <v>0.035</v>
      </c>
      <c r="R96" s="51" cm="1">
        <f t="array" ref="R96">IF($A96="","",IF(L96="","",_xlfn.XLOOKUP($D96&amp;"_"&amp;$AE96,符文权重!$A:$A&amp;"_"&amp;符文权重!$C:$C,符文权重!$D:$D)*$Y96/SUMIFS($Y:$Y,L:L,L96,$D:$D,$D96,$AE:$AE,$AE96)/SUMIF(符文权重!$A:$A,$D96,符文权重!$D:$D)))</f>
        <v>0.035</v>
      </c>
      <c r="S96" s="36" t="s">
        <v>192</v>
      </c>
      <c r="T96" s="36" t="s">
        <v>211</v>
      </c>
      <c r="U96" s="36" t="e">
        <f>IF(C96="","",SUBSTITUTE(SUBSTITUTE("[{global_atk,"&amp;#REF!*D96&amp;"}]",21,20),9,8))</f>
        <v>#REF!</v>
      </c>
      <c r="V96" s="52" t="str">
        <f t="shared" si="45"/>
        <v>[5501123]</v>
      </c>
      <c r="W96" s="36" t="s">
        <v>284</v>
      </c>
      <c r="X96" s="35"/>
      <c r="Y96" s="42">
        <v>100</v>
      </c>
      <c r="Z96" s="35"/>
      <c r="AA96" s="42" t="s">
        <v>183</v>
      </c>
      <c r="AB96" s="42" t="str">
        <f t="shared" si="33"/>
        <v>法师职业伤害&lt;color=#54b76b&gt;+8%&lt;/color&gt;</v>
      </c>
      <c r="AC96" s="48" t="str">
        <f t="shared" si="34"/>
        <v>5501121</v>
      </c>
      <c r="AD96" s="42" t="str">
        <f t="shared" si="35"/>
        <v>[8]</v>
      </c>
      <c r="AE96" s="36">
        <v>1</v>
      </c>
      <c r="AF96" s="36"/>
      <c r="AG96" s="36">
        <v>0</v>
      </c>
      <c r="AH96" s="35" t="s">
        <v>178</v>
      </c>
      <c r="AI96" s="48">
        <f t="shared" si="46"/>
        <v>5501123</v>
      </c>
      <c r="AJ96" s="53" t="str">
        <f t="shared" si="47"/>
        <v>法师职业伤害&lt;color=#54b76b&gt;+%s%&lt;/color&gt;</v>
      </c>
      <c r="AK96" s="36">
        <v>8</v>
      </c>
      <c r="AL96" s="36">
        <v>1</v>
      </c>
    </row>
    <row r="97" s="25" customFormat="1" hidden="1" customHeight="1" spans="1:38">
      <c r="A97" s="48">
        <v>5501124</v>
      </c>
      <c r="B97" s="34"/>
      <c r="C97" s="48" t="str">
        <f t="shared" si="30"/>
        <v>5501121</v>
      </c>
      <c r="D97" s="42">
        <f t="shared" si="31"/>
        <v>4</v>
      </c>
      <c r="E97" s="42"/>
      <c r="F97" s="36" t="s">
        <v>174</v>
      </c>
      <c r="G97" s="36">
        <f t="shared" si="36"/>
        <v>1</v>
      </c>
      <c r="H97" s="36">
        <f>IFERROR(IF(--MID($F97,2*COUNTIF($G97:G97,"&gt;"&amp;0)+2,1)=H$1,H$1,""),"")</f>
        <v>2</v>
      </c>
      <c r="I97" s="36">
        <f>IFERROR(IF(--MID($F97,2*COUNTIF($G97:H97,"&gt;"&amp;0)+2,1)=I$1,I$1,""),"")</f>
        <v>3</v>
      </c>
      <c r="J97" s="36">
        <f>IFERROR(IF(--MID($F97,2*COUNTIF($G97:I97,"&gt;"&amp;0)+2,1)=J$1,J$1,""),"")</f>
        <v>4</v>
      </c>
      <c r="K97" s="36">
        <f>IFERROR(IF(--MID($F97,2*COUNTIF($G97:J97,"&gt;"&amp;0)+2,1)=K$1,K$1,""),"")</f>
        <v>5</v>
      </c>
      <c r="L97" s="36">
        <f>IFERROR(IF(--MID($F97,2*COUNTIF($G97:K97,"&gt;"&amp;0)+2,1)=L$1,L$1,""),"")</f>
        <v>6</v>
      </c>
      <c r="M97" s="51" cm="1">
        <f t="array" ref="M97">IF($A97="","",IF(G97="","",_xlfn.XLOOKUP($D97&amp;"_"&amp;$AE97,符文权重!$A:$A&amp;"_"&amp;符文权重!$C:$C,符文权重!$D:$D)*$Y97/SUMIFS($Y:$Y,G:G,G97,$D:$D,$D97,$AE:$AE,$AE97)/SUMIF(符文权重!$A:$A,$D97,符文权重!$D:$D)))</f>
        <v>0.0229365529511942</v>
      </c>
      <c r="N97" s="51" cm="1">
        <f t="array" ref="N97">IF($A97="","",IF(H97="","",_xlfn.XLOOKUP($D97&amp;"_"&amp;$AE97,符文权重!$A:$A&amp;"_"&amp;符文权重!$C:$C,符文权重!$D:$D)*$Y97/SUMIFS($Y:$Y,H:H,H97,$D:$D,$D97,$AE:$AE,$AE97)/SUMIF(符文权重!$A:$A,$D97,符文权重!$D:$D)))</f>
        <v>0.0229365529511942</v>
      </c>
      <c r="O97" s="51" cm="1">
        <f t="array" ref="O97">IF($A97="","",IF(I97="","",_xlfn.XLOOKUP($D97&amp;"_"&amp;$AE97,符文权重!$A:$A&amp;"_"&amp;符文权重!$C:$C,符文权重!$D:$D)*$Y97/SUMIFS($Y:$Y,I:I,I97,$D:$D,$D97,$AE:$AE,$AE97)/SUMIF(符文权重!$A:$A,$D97,符文权重!$D:$D)))</f>
        <v>0.0229365529511942</v>
      </c>
      <c r="P97" s="51" cm="1">
        <f t="array" ref="P97">IF($A97="","",IF(J97="","",_xlfn.XLOOKUP($D97&amp;"_"&amp;$AE97,符文权重!$A:$A&amp;"_"&amp;符文权重!$C:$C,符文权重!$D:$D)*$Y97/SUMIFS($Y:$Y,J:J,J97,$D:$D,$D97,$AE:$AE,$AE97)/SUMIF(符文权重!$A:$A,$D97,符文权重!$D:$D)))</f>
        <v>0.0229365529511942</v>
      </c>
      <c r="Q97" s="51" cm="1">
        <f t="array" ref="Q97">IF($A97="","",IF(K97="","",_xlfn.XLOOKUP($D97&amp;"_"&amp;$AE97,符文权重!$A:$A&amp;"_"&amp;符文权重!$C:$C,符文权重!$D:$D)*$Y97/SUMIFS($Y:$Y,K:K,K97,$D:$D,$D97,$AE:$AE,$AE97)/SUMIF(符文权重!$A:$A,$D97,符文权重!$D:$D)))</f>
        <v>0.0229365529511942</v>
      </c>
      <c r="R97" s="51" cm="1">
        <f t="array" ref="R97">IF($A97="","",IF(L97="","",_xlfn.XLOOKUP($D97&amp;"_"&amp;$AE97,符文权重!$A:$A&amp;"_"&amp;符文权重!$C:$C,符文权重!$D:$D)*$Y97/SUMIFS($Y:$Y,L:L,L97,$D:$D,$D97,$AE:$AE,$AE97)/SUMIF(符文权重!$A:$A,$D97,符文权重!$D:$D)))</f>
        <v>0.0229365529511942</v>
      </c>
      <c r="S97" s="36" t="s">
        <v>192</v>
      </c>
      <c r="T97" s="36" t="s">
        <v>211</v>
      </c>
      <c r="U97" s="36" t="e">
        <f>IF(C97="","",SUBSTITUTE(SUBSTITUTE("[{global_atk,"&amp;#REF!*D97&amp;"}]",21,20),9,8))</f>
        <v>#REF!</v>
      </c>
      <c r="V97" s="52" t="str">
        <f t="shared" si="45"/>
        <v>[5501124]</v>
      </c>
      <c r="W97" s="36" t="s">
        <v>285</v>
      </c>
      <c r="X97" s="35"/>
      <c r="Y97" s="42">
        <v>100</v>
      </c>
      <c r="Z97" s="35"/>
      <c r="AA97" s="42" t="s">
        <v>185</v>
      </c>
      <c r="AB97" s="42" t="str">
        <f t="shared" si="33"/>
        <v>法师职业伤害&lt;color=#54b76b&gt;+10%&lt;/color&gt;</v>
      </c>
      <c r="AC97" s="48" t="str">
        <f t="shared" si="34"/>
        <v>5501121</v>
      </c>
      <c r="AD97" s="42" t="str">
        <f t="shared" si="35"/>
        <v>[10]</v>
      </c>
      <c r="AE97" s="36">
        <v>1</v>
      </c>
      <c r="AF97" s="36"/>
      <c r="AG97" s="36">
        <v>0</v>
      </c>
      <c r="AH97" s="35" t="s">
        <v>178</v>
      </c>
      <c r="AI97" s="48">
        <f t="shared" si="46"/>
        <v>5501124</v>
      </c>
      <c r="AJ97" s="53" t="str">
        <f t="shared" si="47"/>
        <v>法师职业伤害&lt;color=#54b76b&gt;+%s%&lt;/color&gt;</v>
      </c>
      <c r="AK97" s="36">
        <v>10</v>
      </c>
      <c r="AL97" s="36">
        <v>1</v>
      </c>
    </row>
    <row r="98" s="25" customFormat="1" hidden="1" customHeight="1" spans="1:38">
      <c r="A98" s="48">
        <v>5501125</v>
      </c>
      <c r="B98" s="34"/>
      <c r="C98" s="48" t="str">
        <f t="shared" si="30"/>
        <v>5501121</v>
      </c>
      <c r="D98" s="42">
        <f t="shared" si="31"/>
        <v>5</v>
      </c>
      <c r="E98" s="42"/>
      <c r="F98" s="36" t="s">
        <v>174</v>
      </c>
      <c r="G98" s="36">
        <f t="shared" si="36"/>
        <v>1</v>
      </c>
      <c r="H98" s="36">
        <f>IFERROR(IF(--MID($F98,2*COUNTIF($G98:G98,"&gt;"&amp;0)+2,1)=H$1,H$1,""),"")</f>
        <v>2</v>
      </c>
      <c r="I98" s="36">
        <f>IFERROR(IF(--MID($F98,2*COUNTIF($G98:H98,"&gt;"&amp;0)+2,1)=I$1,I$1,""),"")</f>
        <v>3</v>
      </c>
      <c r="J98" s="36">
        <f>IFERROR(IF(--MID($F98,2*COUNTIF($G98:I98,"&gt;"&amp;0)+2,1)=J$1,J$1,""),"")</f>
        <v>4</v>
      </c>
      <c r="K98" s="36">
        <f>IFERROR(IF(--MID($F98,2*COUNTIF($G98:J98,"&gt;"&amp;0)+2,1)=K$1,K$1,""),"")</f>
        <v>5</v>
      </c>
      <c r="L98" s="36">
        <f>IFERROR(IF(--MID($F98,2*COUNTIF($G98:K98,"&gt;"&amp;0)+2,1)=L$1,L$1,""),"")</f>
        <v>6</v>
      </c>
      <c r="M98" s="51" cm="1">
        <f t="array" ref="M98">IF($A98="","",IF(G98="","",_xlfn.XLOOKUP($D98&amp;"_"&amp;$AE98,符文权重!$A:$A&amp;"_"&amp;符文权重!$C:$C,符文权重!$D:$D)*$Y98/SUMIFS($Y:$Y,G:G,G98,$D:$D,$D98,$AE:$AE,$AE98)/SUMIF(符文权重!$A:$A,$D98,符文权重!$D:$D)))</f>
        <v>0.0204</v>
      </c>
      <c r="N98" s="51" cm="1">
        <f t="array" ref="N98">IF($A98="","",IF(H98="","",_xlfn.XLOOKUP($D98&amp;"_"&amp;$AE98,符文权重!$A:$A&amp;"_"&amp;符文权重!$C:$C,符文权重!$D:$D)*$Y98/SUMIFS($Y:$Y,H:H,H98,$D:$D,$D98,$AE:$AE,$AE98)/SUMIF(符文权重!$A:$A,$D98,符文权重!$D:$D)))</f>
        <v>0.0204</v>
      </c>
      <c r="O98" s="51" cm="1">
        <f t="array" ref="O98">IF($A98="","",IF(I98="","",_xlfn.XLOOKUP($D98&amp;"_"&amp;$AE98,符文权重!$A:$A&amp;"_"&amp;符文权重!$C:$C,符文权重!$D:$D)*$Y98/SUMIFS($Y:$Y,I:I,I98,$D:$D,$D98,$AE:$AE,$AE98)/SUMIF(符文权重!$A:$A,$D98,符文权重!$D:$D)))</f>
        <v>0.0204</v>
      </c>
      <c r="P98" s="51" cm="1">
        <f t="array" ref="P98">IF($A98="","",IF(J98="","",_xlfn.XLOOKUP($D98&amp;"_"&amp;$AE98,符文权重!$A:$A&amp;"_"&amp;符文权重!$C:$C,符文权重!$D:$D)*$Y98/SUMIFS($Y:$Y,J:J,J98,$D:$D,$D98,$AE:$AE,$AE98)/SUMIF(符文权重!$A:$A,$D98,符文权重!$D:$D)))</f>
        <v>0.0204</v>
      </c>
      <c r="Q98" s="51" cm="1">
        <f t="array" ref="Q98">IF($A98="","",IF(K98="","",_xlfn.XLOOKUP($D98&amp;"_"&amp;$AE98,符文权重!$A:$A&amp;"_"&amp;符文权重!$C:$C,符文权重!$D:$D)*$Y98/SUMIFS($Y:$Y,K:K,K98,$D:$D,$D98,$AE:$AE,$AE98)/SUMIF(符文权重!$A:$A,$D98,符文权重!$D:$D)))</f>
        <v>0.0204</v>
      </c>
      <c r="R98" s="51" cm="1">
        <f t="array" ref="R98">IF($A98="","",IF(L98="","",_xlfn.XLOOKUP($D98&amp;"_"&amp;$AE98,符文权重!$A:$A&amp;"_"&amp;符文权重!$C:$C,符文权重!$D:$D)*$Y98/SUMIFS($Y:$Y,L:L,L98,$D:$D,$D98,$AE:$AE,$AE98)/SUMIF(符文权重!$A:$A,$D98,符文权重!$D:$D)))</f>
        <v>0.0204</v>
      </c>
      <c r="S98" s="36" t="s">
        <v>192</v>
      </c>
      <c r="T98" s="36" t="s">
        <v>211</v>
      </c>
      <c r="U98" s="36" t="e">
        <f>IF(C98="","",SUBSTITUTE(SUBSTITUTE("[{global_atk,"&amp;#REF!*D98&amp;"}]",21,20),9,8))</f>
        <v>#REF!</v>
      </c>
      <c r="V98" s="52" t="str">
        <f t="shared" si="45"/>
        <v>[5501125]</v>
      </c>
      <c r="W98" s="36" t="s">
        <v>286</v>
      </c>
      <c r="X98" s="35"/>
      <c r="Y98" s="42">
        <v>100</v>
      </c>
      <c r="Z98" s="35"/>
      <c r="AA98" s="42" t="s">
        <v>187</v>
      </c>
      <c r="AB98" s="42" t="str">
        <f t="shared" si="33"/>
        <v>法师职业伤害&lt;color=#54b76b&gt;+12.5%&lt;/color&gt;</v>
      </c>
      <c r="AC98" s="48" t="str">
        <f t="shared" si="34"/>
        <v>5501121</v>
      </c>
      <c r="AD98" s="42" t="str">
        <f t="shared" si="35"/>
        <v>[12.5]</v>
      </c>
      <c r="AE98" s="36">
        <v>1</v>
      </c>
      <c r="AF98" s="36"/>
      <c r="AG98" s="36">
        <v>0</v>
      </c>
      <c r="AH98" s="35" t="s">
        <v>178</v>
      </c>
      <c r="AI98" s="48">
        <f t="shared" si="46"/>
        <v>5501125</v>
      </c>
      <c r="AJ98" s="53" t="str">
        <f t="shared" si="47"/>
        <v>法师职业伤害&lt;color=#54b76b&gt;+%s%&lt;/color&gt;</v>
      </c>
      <c r="AK98" s="36">
        <v>12.5</v>
      </c>
      <c r="AL98" s="36">
        <v>1</v>
      </c>
    </row>
    <row r="99" s="25" customFormat="1" hidden="1" customHeight="1" spans="1:38">
      <c r="A99" s="48">
        <v>5501126</v>
      </c>
      <c r="B99" s="34"/>
      <c r="C99" s="48" t="str">
        <f t="shared" si="30"/>
        <v>5501121</v>
      </c>
      <c r="D99" s="42">
        <f t="shared" si="31"/>
        <v>6</v>
      </c>
      <c r="E99" s="42"/>
      <c r="F99" s="36" t="s">
        <v>174</v>
      </c>
      <c r="G99" s="36">
        <f t="shared" si="36"/>
        <v>1</v>
      </c>
      <c r="H99" s="36">
        <f>IFERROR(IF(--MID($F99,2*COUNTIF($G99:G99,"&gt;"&amp;0)+2,1)=H$1,H$1,""),"")</f>
        <v>2</v>
      </c>
      <c r="I99" s="36">
        <f>IFERROR(IF(--MID($F99,2*COUNTIF($G99:H99,"&gt;"&amp;0)+2,1)=I$1,I$1,""),"")</f>
        <v>3</v>
      </c>
      <c r="J99" s="36">
        <f>IFERROR(IF(--MID($F99,2*COUNTIF($G99:I99,"&gt;"&amp;0)+2,1)=J$1,J$1,""),"")</f>
        <v>4</v>
      </c>
      <c r="K99" s="36">
        <f>IFERROR(IF(--MID($F99,2*COUNTIF($G99:J99,"&gt;"&amp;0)+2,1)=K$1,K$1,""),"")</f>
        <v>5</v>
      </c>
      <c r="L99" s="36">
        <f>IFERROR(IF(--MID($F99,2*COUNTIF($G99:K99,"&gt;"&amp;0)+2,1)=L$1,L$1,""),"")</f>
        <v>6</v>
      </c>
      <c r="M99" s="51" cm="1">
        <f t="array" ref="M99">IF($A99="","",IF(G99="","",_xlfn.XLOOKUP($D99&amp;"_"&amp;$AE99,符文权重!$A:$A&amp;"_"&amp;符文权重!$C:$C,符文权重!$D:$D)*$Y99/SUMIFS($Y:$Y,G:G,G99,$D:$D,$D99,$AE:$AE,$AE99)/SUMIF(符文权重!$A:$A,$D99,符文权重!$D:$D)))</f>
        <v>0.0204</v>
      </c>
      <c r="N99" s="51" cm="1">
        <f t="array" ref="N99">IF($A99="","",IF(H99="","",_xlfn.XLOOKUP($D99&amp;"_"&amp;$AE99,符文权重!$A:$A&amp;"_"&amp;符文权重!$C:$C,符文权重!$D:$D)*$Y99/SUMIFS($Y:$Y,H:H,H99,$D:$D,$D99,$AE:$AE,$AE99)/SUMIF(符文权重!$A:$A,$D99,符文权重!$D:$D)))</f>
        <v>0.0204</v>
      </c>
      <c r="O99" s="51" cm="1">
        <f t="array" ref="O99">IF($A99="","",IF(I99="","",_xlfn.XLOOKUP($D99&amp;"_"&amp;$AE99,符文权重!$A:$A&amp;"_"&amp;符文权重!$C:$C,符文权重!$D:$D)*$Y99/SUMIFS($Y:$Y,I:I,I99,$D:$D,$D99,$AE:$AE,$AE99)/SUMIF(符文权重!$A:$A,$D99,符文权重!$D:$D)))</f>
        <v>0.0204</v>
      </c>
      <c r="P99" s="51" cm="1">
        <f t="array" ref="P99">IF($A99="","",IF(J99="","",_xlfn.XLOOKUP($D99&amp;"_"&amp;$AE99,符文权重!$A:$A&amp;"_"&amp;符文权重!$C:$C,符文权重!$D:$D)*$Y99/SUMIFS($Y:$Y,J:J,J99,$D:$D,$D99,$AE:$AE,$AE99)/SUMIF(符文权重!$A:$A,$D99,符文权重!$D:$D)))</f>
        <v>0.0204</v>
      </c>
      <c r="Q99" s="51" cm="1">
        <f t="array" ref="Q99">IF($A99="","",IF(K99="","",_xlfn.XLOOKUP($D99&amp;"_"&amp;$AE99,符文权重!$A:$A&amp;"_"&amp;符文权重!$C:$C,符文权重!$D:$D)*$Y99/SUMIFS($Y:$Y,K:K,K99,$D:$D,$D99,$AE:$AE,$AE99)/SUMIF(符文权重!$A:$A,$D99,符文权重!$D:$D)))</f>
        <v>0.0204</v>
      </c>
      <c r="R99" s="51" cm="1">
        <f t="array" ref="R99">IF($A99="","",IF(L99="","",_xlfn.XLOOKUP($D99&amp;"_"&amp;$AE99,符文权重!$A:$A&amp;"_"&amp;符文权重!$C:$C,符文权重!$D:$D)*$Y99/SUMIFS($Y:$Y,L:L,L99,$D:$D,$D99,$AE:$AE,$AE99)/SUMIF(符文权重!$A:$A,$D99,符文权重!$D:$D)))</f>
        <v>0.0204</v>
      </c>
      <c r="S99" s="36" t="s">
        <v>192</v>
      </c>
      <c r="T99" s="36" t="s">
        <v>211</v>
      </c>
      <c r="U99" s="36" t="e">
        <f>IF(C99="","",SUBSTITUTE(SUBSTITUTE("[{global_atk,"&amp;#REF!*D99&amp;"}]",21,20),9,8))</f>
        <v>#REF!</v>
      </c>
      <c r="V99" s="52" t="str">
        <f t="shared" si="45"/>
        <v>[5501126]</v>
      </c>
      <c r="W99" s="36" t="s">
        <v>287</v>
      </c>
      <c r="X99" s="35"/>
      <c r="Y99" s="42">
        <v>100</v>
      </c>
      <c r="Z99" s="35"/>
      <c r="AA99" s="42" t="s">
        <v>189</v>
      </c>
      <c r="AB99" s="42" t="str">
        <f t="shared" si="33"/>
        <v>法师职业伤害&lt;color=#54b76b&gt;+15%&lt;/color&gt;</v>
      </c>
      <c r="AC99" s="48" t="str">
        <f t="shared" si="34"/>
        <v>5501121</v>
      </c>
      <c r="AD99" s="42" t="str">
        <f t="shared" si="35"/>
        <v>[15]</v>
      </c>
      <c r="AE99" s="36">
        <v>1</v>
      </c>
      <c r="AF99" s="36"/>
      <c r="AG99" s="36">
        <v>0</v>
      </c>
      <c r="AH99" s="35" t="s">
        <v>178</v>
      </c>
      <c r="AI99" s="48">
        <f t="shared" si="46"/>
        <v>5501126</v>
      </c>
      <c r="AJ99" s="53" t="str">
        <f t="shared" si="47"/>
        <v>法师职业伤害&lt;color=#54b76b&gt;+%s%&lt;/color&gt;</v>
      </c>
      <c r="AK99" s="36">
        <v>15</v>
      </c>
      <c r="AL99" s="36">
        <v>1</v>
      </c>
    </row>
    <row r="100" s="25" customFormat="1" hidden="1" customHeight="1" spans="1:38">
      <c r="A100" s="48">
        <v>5501127</v>
      </c>
      <c r="B100" s="34"/>
      <c r="C100" s="48" t="str">
        <f t="shared" si="30"/>
        <v>5501121</v>
      </c>
      <c r="D100" s="42">
        <f t="shared" si="31"/>
        <v>7</v>
      </c>
      <c r="E100" s="42"/>
      <c r="F100" s="36" t="s">
        <v>174</v>
      </c>
      <c r="G100" s="36">
        <f t="shared" si="36"/>
        <v>1</v>
      </c>
      <c r="H100" s="36">
        <f>IFERROR(IF(--MID($F100,2*COUNTIF($G100:G100,"&gt;"&amp;0)+2,1)=H$1,H$1,""),"")</f>
        <v>2</v>
      </c>
      <c r="I100" s="36">
        <f>IFERROR(IF(--MID($F100,2*COUNTIF($G100:H100,"&gt;"&amp;0)+2,1)=I$1,I$1,""),"")</f>
        <v>3</v>
      </c>
      <c r="J100" s="36">
        <f>IFERROR(IF(--MID($F100,2*COUNTIF($G100:I100,"&gt;"&amp;0)+2,1)=J$1,J$1,""),"")</f>
        <v>4</v>
      </c>
      <c r="K100" s="36">
        <f>IFERROR(IF(--MID($F100,2*COUNTIF($G100:J100,"&gt;"&amp;0)+2,1)=K$1,K$1,""),"")</f>
        <v>5</v>
      </c>
      <c r="L100" s="36">
        <f>IFERROR(IF(--MID($F100,2*COUNTIF($G100:K100,"&gt;"&amp;0)+2,1)=L$1,L$1,""),"")</f>
        <v>6</v>
      </c>
      <c r="M100" s="51" cm="1">
        <f t="array" ref="M100">IF($A100="","",IF(G100="","",_xlfn.XLOOKUP($D100&amp;"_"&amp;$AE100,符文权重!$A:$A&amp;"_"&amp;符文权重!$C:$C,符文权重!$D:$D)*$Y100/SUMIFS($Y:$Y,G:G,G100,$D:$D,$D100,$AE:$AE,$AE100)/SUMIF(符文权重!$A:$A,$D100,符文权重!$D:$D)))</f>
        <v>0.0204</v>
      </c>
      <c r="N100" s="51" cm="1">
        <f t="array" ref="N100">IF($A100="","",IF(H100="","",_xlfn.XLOOKUP($D100&amp;"_"&amp;$AE100,符文权重!$A:$A&amp;"_"&amp;符文权重!$C:$C,符文权重!$D:$D)*$Y100/SUMIFS($Y:$Y,H:H,H100,$D:$D,$D100,$AE:$AE,$AE100)/SUMIF(符文权重!$A:$A,$D100,符文权重!$D:$D)))</f>
        <v>0.0204</v>
      </c>
      <c r="O100" s="51" cm="1">
        <f t="array" ref="O100">IF($A100="","",IF(I100="","",_xlfn.XLOOKUP($D100&amp;"_"&amp;$AE100,符文权重!$A:$A&amp;"_"&amp;符文权重!$C:$C,符文权重!$D:$D)*$Y100/SUMIFS($Y:$Y,I:I,I100,$D:$D,$D100,$AE:$AE,$AE100)/SUMIF(符文权重!$A:$A,$D100,符文权重!$D:$D)))</f>
        <v>0.0204</v>
      </c>
      <c r="P100" s="51" cm="1">
        <f t="array" ref="P100">IF($A100="","",IF(J100="","",_xlfn.XLOOKUP($D100&amp;"_"&amp;$AE100,符文权重!$A:$A&amp;"_"&amp;符文权重!$C:$C,符文权重!$D:$D)*$Y100/SUMIFS($Y:$Y,J:J,J100,$D:$D,$D100,$AE:$AE,$AE100)/SUMIF(符文权重!$A:$A,$D100,符文权重!$D:$D)))</f>
        <v>0.0204</v>
      </c>
      <c r="Q100" s="51" cm="1">
        <f t="array" ref="Q100">IF($A100="","",IF(K100="","",_xlfn.XLOOKUP($D100&amp;"_"&amp;$AE100,符文权重!$A:$A&amp;"_"&amp;符文权重!$C:$C,符文权重!$D:$D)*$Y100/SUMIFS($Y:$Y,K:K,K100,$D:$D,$D100,$AE:$AE,$AE100)/SUMIF(符文权重!$A:$A,$D100,符文权重!$D:$D)))</f>
        <v>0.0204</v>
      </c>
      <c r="R100" s="51" cm="1">
        <f t="array" ref="R100">IF($A100="","",IF(L100="","",_xlfn.XLOOKUP($D100&amp;"_"&amp;$AE100,符文权重!$A:$A&amp;"_"&amp;符文权重!$C:$C,符文权重!$D:$D)*$Y100/SUMIFS($Y:$Y,L:L,L100,$D:$D,$D100,$AE:$AE,$AE100)/SUMIF(符文权重!$A:$A,$D100,符文权重!$D:$D)))</f>
        <v>0.0204</v>
      </c>
      <c r="S100" s="36" t="s">
        <v>192</v>
      </c>
      <c r="T100" s="36" t="s">
        <v>211</v>
      </c>
      <c r="U100" s="36" t="e">
        <f>IF(C100="","",SUBSTITUTE(SUBSTITUTE("[{global_atk,"&amp;#REF!*D100&amp;"}]",21,20),9,8))</f>
        <v>#REF!</v>
      </c>
      <c r="V100" s="52" t="str">
        <f t="shared" si="45"/>
        <v>[5501127]</v>
      </c>
      <c r="W100" s="36" t="s">
        <v>288</v>
      </c>
      <c r="X100" s="35"/>
      <c r="Y100" s="42">
        <v>100</v>
      </c>
      <c r="Z100" s="35"/>
      <c r="AA100" s="42" t="s">
        <v>191</v>
      </c>
      <c r="AB100" s="42" t="str">
        <f t="shared" si="33"/>
        <v>法师职业伤害&lt;color=#54b76b&gt;+20%&lt;/color&gt;</v>
      </c>
      <c r="AC100" s="48" t="str">
        <f t="shared" si="34"/>
        <v>5501121</v>
      </c>
      <c r="AD100" s="42" t="str">
        <f t="shared" si="35"/>
        <v>[20]</v>
      </c>
      <c r="AE100" s="36">
        <v>1</v>
      </c>
      <c r="AF100" s="36"/>
      <c r="AG100" s="36">
        <v>0</v>
      </c>
      <c r="AH100" s="35" t="s">
        <v>178</v>
      </c>
      <c r="AI100" s="48">
        <f t="shared" si="46"/>
        <v>5501127</v>
      </c>
      <c r="AJ100" s="53" t="str">
        <f t="shared" si="47"/>
        <v>法师职业伤害&lt;color=#54b76b&gt;+%s%&lt;/color&gt;</v>
      </c>
      <c r="AK100" s="36">
        <v>20</v>
      </c>
      <c r="AL100" s="36">
        <v>1</v>
      </c>
    </row>
    <row r="101" s="25" customFormat="1" hidden="1" customHeight="1" spans="1:38">
      <c r="A101" s="48" t="s">
        <v>178</v>
      </c>
      <c r="B101" s="34"/>
      <c r="C101" s="48" t="str">
        <f t="shared" si="30"/>
        <v/>
      </c>
      <c r="D101" s="42" t="str">
        <f t="shared" si="31"/>
        <v/>
      </c>
      <c r="E101" s="42"/>
      <c r="F101" s="36"/>
      <c r="G101" s="36" t="str">
        <f t="shared" si="36"/>
        <v/>
      </c>
      <c r="H101" s="36" t="str">
        <f>IFERROR(IF(--MID($F101,2*COUNTIF($G101:G101,"&gt;"&amp;0)+2,1)=H$1,H$1,""),"")</f>
        <v/>
      </c>
      <c r="I101" s="36" t="str">
        <f>IFERROR(IF(--MID($F101,2*COUNTIF($G101:H101,"&gt;"&amp;0)+2,1)=I$1,I$1,""),"")</f>
        <v/>
      </c>
      <c r="J101" s="36" t="str">
        <f>IFERROR(IF(--MID($F101,2*COUNTIF($G101:I101,"&gt;"&amp;0)+2,1)=J$1,J$1,""),"")</f>
        <v/>
      </c>
      <c r="K101" s="36" t="str">
        <f>IFERROR(IF(--MID($F101,2*COUNTIF($G101:J101,"&gt;"&amp;0)+2,1)=K$1,K$1,""),"")</f>
        <v/>
      </c>
      <c r="L101" s="36" t="str">
        <f>IFERROR(IF(--MID($F101,2*COUNTIF($G101:K101,"&gt;"&amp;0)+2,1)=L$1,L$1,""),"")</f>
        <v/>
      </c>
      <c r="M101" s="51" t="str" cm="1">
        <f t="array" ref="M101">IF($A101="","",IF(G101="","",_xlfn.XLOOKUP($D101&amp;"_"&amp;$AE101,符文权重!$A:$A&amp;"_"&amp;符文权重!$C:$C,符文权重!$D:$D)*$Y101/SUMIFS($Y:$Y,G:G,G101,$D:$D,$D101,$AE:$AE,$AE101)/SUMIF(符文权重!$A:$A,$D101,符文权重!$D:$D)))</f>
        <v/>
      </c>
      <c r="N101" s="36" t="str" cm="1">
        <f t="array" ref="N101">IF($A101="","",IF(H101="","",_xlfn.XLOOKUP($D101&amp;"_"&amp;$AE101,符文权重!$A:$A&amp;"_"&amp;符文权重!$C:$C,符文权重!$D:$D)*$Y101/SUMIFS($Y:$Y,H:H,H101,$D:$D,$D$6,$AE:$AE,$AE$6)))</f>
        <v/>
      </c>
      <c r="O101" s="36" t="str" cm="1">
        <f t="array" ref="O101">IF($A101="","",IF(I101="","",_xlfn.XLOOKUP($D101&amp;"_"&amp;$AE101,符文权重!$A:$A&amp;"_"&amp;符文权重!$C:$C,符文权重!$D:$D)*$Y101/SUMIFS($Y:$Y,I:I,I101,$D:$D,$D$6,$AE:$AE,$AE$6)))</f>
        <v/>
      </c>
      <c r="P101" s="36" t="str" cm="1">
        <f t="array" ref="P101">IF($A101="","",IF(J101="","",_xlfn.XLOOKUP($D101&amp;"_"&amp;$AE101,符文权重!$A:$A&amp;"_"&amp;符文权重!$C:$C,符文权重!$D:$D)*$Y101/SUMIFS($Y:$Y,J:J,J101,$D:$D,$D$6,$AE:$AE,$AE$6)))</f>
        <v/>
      </c>
      <c r="Q101" s="36" t="str" cm="1">
        <f t="array" ref="Q101">IF($A101="","",IF(K101="","",_xlfn.XLOOKUP($D101&amp;"_"&amp;$AE101,符文权重!$A:$A&amp;"_"&amp;符文权重!$C:$C,符文权重!$D:$D)*$Y101/SUMIFS($Y:$Y,K:K,K101,$D:$D,$D$6,$AE:$AE,$AE$6)))</f>
        <v/>
      </c>
      <c r="R101" s="36" t="str" cm="1">
        <f t="array" ref="R101">IF($A101="","",IF(L101="","",_xlfn.XLOOKUP($D101&amp;"_"&amp;$AE101,符文权重!$A:$A&amp;"_"&amp;符文权重!$C:$C,符文权重!$D:$D)*$Y101/SUMIFS($Y:$Y,L:L,L101,$D:$D,$D$6,$AE:$AE,$AE$6)))</f>
        <v/>
      </c>
      <c r="S101" s="36"/>
      <c r="T101" s="36"/>
      <c r="U101" s="36"/>
      <c r="V101" s="52"/>
      <c r="W101" s="36"/>
      <c r="X101" s="35"/>
      <c r="Y101" s="42"/>
      <c r="Z101" s="35"/>
      <c r="AA101" s="42" t="s">
        <v>178</v>
      </c>
      <c r="AB101" s="42" t="str">
        <f t="shared" si="33"/>
        <v/>
      </c>
      <c r="AC101" s="48" t="str">
        <f t="shared" si="34"/>
        <v/>
      </c>
      <c r="AD101" s="42" t="str">
        <f t="shared" si="35"/>
        <v/>
      </c>
      <c r="AE101" s="36"/>
      <c r="AF101" s="36"/>
      <c r="AG101" s="36"/>
      <c r="AH101" s="35" t="s">
        <v>178</v>
      </c>
      <c r="AI101" s="33"/>
      <c r="AJ101" s="55"/>
      <c r="AK101" s="36"/>
      <c r="AL101" s="36"/>
    </row>
    <row r="102" s="25" customFormat="1" hidden="1" customHeight="1" spans="1:38">
      <c r="A102" s="48">
        <v>5501131</v>
      </c>
      <c r="B102" s="34"/>
      <c r="C102" s="48" t="str">
        <f t="shared" si="30"/>
        <v>5501131</v>
      </c>
      <c r="D102" s="42">
        <f t="shared" si="31"/>
        <v>1</v>
      </c>
      <c r="E102" s="42"/>
      <c r="F102" s="36" t="s">
        <v>174</v>
      </c>
      <c r="G102" s="36">
        <f t="shared" si="36"/>
        <v>1</v>
      </c>
      <c r="H102" s="36">
        <f>IFERROR(IF(--MID($F102,2*COUNTIF($G102:G102,"&gt;"&amp;0)+2,1)=H$1,H$1,""),"")</f>
        <v>2</v>
      </c>
      <c r="I102" s="36">
        <f>IFERROR(IF(--MID($F102,2*COUNTIF($G102:H102,"&gt;"&amp;0)+2,1)=I$1,I$1,""),"")</f>
        <v>3</v>
      </c>
      <c r="J102" s="36">
        <f>IFERROR(IF(--MID($F102,2*COUNTIF($G102:I102,"&gt;"&amp;0)+2,1)=J$1,J$1,""),"")</f>
        <v>4</v>
      </c>
      <c r="K102" s="36">
        <f>IFERROR(IF(--MID($F102,2*COUNTIF($G102:J102,"&gt;"&amp;0)+2,1)=K$1,K$1,""),"")</f>
        <v>5</v>
      </c>
      <c r="L102" s="36">
        <f>IFERROR(IF(--MID($F102,2*COUNTIF($G102:K102,"&gt;"&amp;0)+2,1)=L$1,L$1,""),"")</f>
        <v>6</v>
      </c>
      <c r="M102" s="51" cm="1">
        <f t="array" ref="M102">IF($A102="","",IF(G102="","",_xlfn.XLOOKUP($D102&amp;"_"&amp;$AE102,符文权重!$A:$A&amp;"_"&amp;符文权重!$C:$C,符文权重!$D:$D)*$Y102/SUMIFS($Y:$Y,G:G,G102,$D:$D,$D102,$AE:$AE,$AE102)/SUMIF(符文权重!$A:$A,$D102,符文权重!$D:$D)))</f>
        <v>0.05</v>
      </c>
      <c r="N102" s="51" cm="1">
        <f t="array" ref="N102">IF($A102="","",IF(H102="","",_xlfn.XLOOKUP($D102&amp;"_"&amp;$AE102,符文权重!$A:$A&amp;"_"&amp;符文权重!$C:$C,符文权重!$D:$D)*$Y102/SUMIFS($Y:$Y,H:H,H102,$D:$D,$D102,$AE:$AE,$AE102)/SUMIF(符文权重!$A:$A,$D102,符文权重!$D:$D)))</f>
        <v>0.05</v>
      </c>
      <c r="O102" s="51" cm="1">
        <f t="array" ref="O102">IF($A102="","",IF(I102="","",_xlfn.XLOOKUP($D102&amp;"_"&amp;$AE102,符文权重!$A:$A&amp;"_"&amp;符文权重!$C:$C,符文权重!$D:$D)*$Y102/SUMIFS($Y:$Y,I:I,I102,$D:$D,$D102,$AE:$AE,$AE102)/SUMIF(符文权重!$A:$A,$D102,符文权重!$D:$D)))</f>
        <v>0.05</v>
      </c>
      <c r="P102" s="51" cm="1">
        <f t="array" ref="P102">IF($A102="","",IF(J102="","",_xlfn.XLOOKUP($D102&amp;"_"&amp;$AE102,符文权重!$A:$A&amp;"_"&amp;符文权重!$C:$C,符文权重!$D:$D)*$Y102/SUMIFS($Y:$Y,J:J,J102,$D:$D,$D102,$AE:$AE,$AE102)/SUMIF(符文权重!$A:$A,$D102,符文权重!$D:$D)))</f>
        <v>0.05</v>
      </c>
      <c r="Q102" s="51" cm="1">
        <f t="array" ref="Q102">IF($A102="","",IF(K102="","",_xlfn.XLOOKUP($D102&amp;"_"&amp;$AE102,符文权重!$A:$A&amp;"_"&amp;符文权重!$C:$C,符文权重!$D:$D)*$Y102/SUMIFS($Y:$Y,K:K,K102,$D:$D,$D102,$AE:$AE,$AE102)/SUMIF(符文权重!$A:$A,$D102,符文权重!$D:$D)))</f>
        <v>0.05</v>
      </c>
      <c r="R102" s="51" cm="1">
        <f t="array" ref="R102">IF($A102="","",IF(L102="","",_xlfn.XLOOKUP($D102&amp;"_"&amp;$AE102,符文权重!$A:$A&amp;"_"&amp;符文权重!$C:$C,符文权重!$D:$D)*$Y102/SUMIFS($Y:$Y,L:L,L102,$D:$D,$D102,$AE:$AE,$AE102)/SUMIF(符文权重!$A:$A,$D102,符文权重!$D:$D)))</f>
        <v>0.05</v>
      </c>
      <c r="S102" s="36" t="s">
        <v>192</v>
      </c>
      <c r="T102" s="36" t="s">
        <v>220</v>
      </c>
      <c r="U102" s="36" t="e">
        <f>IF(C102="","",SUBSTITUTE(SUBSTITUTE("[{global_atk,"&amp;#REF!*D102&amp;"}]",21,20),9,8))</f>
        <v>#REF!</v>
      </c>
      <c r="V102" s="52" t="str">
        <f t="shared" ref="V102:V108" si="48">"["&amp;A102&amp;"]"</f>
        <v>[5501131]</v>
      </c>
      <c r="W102" s="36" t="s">
        <v>289</v>
      </c>
      <c r="X102" s="35"/>
      <c r="Y102" s="42">
        <v>100</v>
      </c>
      <c r="Z102" s="35"/>
      <c r="AA102" s="42" t="s">
        <v>177</v>
      </c>
      <c r="AB102" s="42" t="str">
        <f t="shared" si="33"/>
        <v>毒系职业伤害&lt;color=#54b76b&gt;+4%&lt;/color&gt;</v>
      </c>
      <c r="AC102" s="48" t="str">
        <f t="shared" si="34"/>
        <v>5501131</v>
      </c>
      <c r="AD102" s="42" t="str">
        <f t="shared" si="35"/>
        <v>[4]</v>
      </c>
      <c r="AE102" s="36">
        <v>1</v>
      </c>
      <c r="AF102" s="36"/>
      <c r="AG102" s="36">
        <v>0</v>
      </c>
      <c r="AH102" s="35" t="s">
        <v>178</v>
      </c>
      <c r="AI102" s="33">
        <v>5501131</v>
      </c>
      <c r="AJ102" s="55" t="s">
        <v>290</v>
      </c>
      <c r="AK102" s="36">
        <v>4</v>
      </c>
      <c r="AL102" s="36">
        <v>1</v>
      </c>
    </row>
    <row r="103" s="25" customFormat="1" hidden="1" customHeight="1" spans="1:38">
      <c r="A103" s="48">
        <v>5501132</v>
      </c>
      <c r="B103" s="34"/>
      <c r="C103" s="48" t="str">
        <f t="shared" si="30"/>
        <v>5501131</v>
      </c>
      <c r="D103" s="42">
        <f t="shared" si="31"/>
        <v>2</v>
      </c>
      <c r="E103" s="42"/>
      <c r="F103" s="36" t="s">
        <v>174</v>
      </c>
      <c r="G103" s="36">
        <f t="shared" si="36"/>
        <v>1</v>
      </c>
      <c r="H103" s="36">
        <f>IFERROR(IF(--MID($F103,2*COUNTIF($G103:G103,"&gt;"&amp;0)+2,1)=H$1,H$1,""),"")</f>
        <v>2</v>
      </c>
      <c r="I103" s="36">
        <f>IFERROR(IF(--MID($F103,2*COUNTIF($G103:H103,"&gt;"&amp;0)+2,1)=I$1,I$1,""),"")</f>
        <v>3</v>
      </c>
      <c r="J103" s="36">
        <f>IFERROR(IF(--MID($F103,2*COUNTIF($G103:I103,"&gt;"&amp;0)+2,1)=J$1,J$1,""),"")</f>
        <v>4</v>
      </c>
      <c r="K103" s="36">
        <f>IFERROR(IF(--MID($F103,2*COUNTIF($G103:J103,"&gt;"&amp;0)+2,1)=K$1,K$1,""),"")</f>
        <v>5</v>
      </c>
      <c r="L103" s="36">
        <f>IFERROR(IF(--MID($F103,2*COUNTIF($G103:K103,"&gt;"&amp;0)+2,1)=L$1,L$1,""),"")</f>
        <v>6</v>
      </c>
      <c r="M103" s="51" cm="1">
        <f t="array" ref="M103">IF($A103="","",IF(G103="","",_xlfn.XLOOKUP($D103&amp;"_"&amp;$AE103,符文权重!$A:$A&amp;"_"&amp;符文权重!$C:$C,符文权重!$D:$D)*$Y103/SUMIFS($Y:$Y,G:G,G103,$D:$D,$D103,$AE:$AE,$AE103)/SUMIF(符文权重!$A:$A,$D103,符文权重!$D:$D)))</f>
        <v>0.0363636363636364</v>
      </c>
      <c r="N103" s="51" cm="1">
        <f t="array" ref="N103">IF($A103="","",IF(H103="","",_xlfn.XLOOKUP($D103&amp;"_"&amp;$AE103,符文权重!$A:$A&amp;"_"&amp;符文权重!$C:$C,符文权重!$D:$D)*$Y103/SUMIFS($Y:$Y,H:H,H103,$D:$D,$D103,$AE:$AE,$AE103)/SUMIF(符文权重!$A:$A,$D103,符文权重!$D:$D)))</f>
        <v>0.0363636363636364</v>
      </c>
      <c r="O103" s="51" cm="1">
        <f t="array" ref="O103">IF($A103="","",IF(I103="","",_xlfn.XLOOKUP($D103&amp;"_"&amp;$AE103,符文权重!$A:$A&amp;"_"&amp;符文权重!$C:$C,符文权重!$D:$D)*$Y103/SUMIFS($Y:$Y,I:I,I103,$D:$D,$D103,$AE:$AE,$AE103)/SUMIF(符文权重!$A:$A,$D103,符文权重!$D:$D)))</f>
        <v>0.0363636363636364</v>
      </c>
      <c r="P103" s="51" cm="1">
        <f t="array" ref="P103">IF($A103="","",IF(J103="","",_xlfn.XLOOKUP($D103&amp;"_"&amp;$AE103,符文权重!$A:$A&amp;"_"&amp;符文权重!$C:$C,符文权重!$D:$D)*$Y103/SUMIFS($Y:$Y,J:J,J103,$D:$D,$D103,$AE:$AE,$AE103)/SUMIF(符文权重!$A:$A,$D103,符文权重!$D:$D)))</f>
        <v>0.0363636363636364</v>
      </c>
      <c r="Q103" s="51" cm="1">
        <f t="array" ref="Q103">IF($A103="","",IF(K103="","",_xlfn.XLOOKUP($D103&amp;"_"&amp;$AE103,符文权重!$A:$A&amp;"_"&amp;符文权重!$C:$C,符文权重!$D:$D)*$Y103/SUMIFS($Y:$Y,K:K,K103,$D:$D,$D103,$AE:$AE,$AE103)/SUMIF(符文权重!$A:$A,$D103,符文权重!$D:$D)))</f>
        <v>0.0363636363636364</v>
      </c>
      <c r="R103" s="51" cm="1">
        <f t="array" ref="R103">IF($A103="","",IF(L103="","",_xlfn.XLOOKUP($D103&amp;"_"&amp;$AE103,符文权重!$A:$A&amp;"_"&amp;符文权重!$C:$C,符文权重!$D:$D)*$Y103/SUMIFS($Y:$Y,L:L,L103,$D:$D,$D103,$AE:$AE,$AE103)/SUMIF(符文权重!$A:$A,$D103,符文权重!$D:$D)))</f>
        <v>0.0363636363636364</v>
      </c>
      <c r="S103" s="36" t="s">
        <v>192</v>
      </c>
      <c r="T103" s="36" t="s">
        <v>220</v>
      </c>
      <c r="U103" s="36" t="e">
        <f>IF(C103="","",SUBSTITUTE(SUBSTITUTE("[{global_atk,"&amp;#REF!*D103&amp;"}]",21,20),9,8))</f>
        <v>#REF!</v>
      </c>
      <c r="V103" s="52" t="str">
        <f t="shared" si="48"/>
        <v>[5501132]</v>
      </c>
      <c r="W103" s="36" t="s">
        <v>291</v>
      </c>
      <c r="X103" s="35"/>
      <c r="Y103" s="42">
        <v>100</v>
      </c>
      <c r="Z103" s="35"/>
      <c r="AA103" s="42" t="s">
        <v>181</v>
      </c>
      <c r="AB103" s="42" t="str">
        <f t="shared" si="33"/>
        <v>毒系职业伤害&lt;color=#54b76b&gt;+6%&lt;/color&gt;</v>
      </c>
      <c r="AC103" s="48" t="str">
        <f t="shared" si="34"/>
        <v>5501131</v>
      </c>
      <c r="AD103" s="42" t="str">
        <f t="shared" si="35"/>
        <v>[6]</v>
      </c>
      <c r="AE103" s="36">
        <v>1</v>
      </c>
      <c r="AF103" s="36"/>
      <c r="AG103" s="36">
        <v>0</v>
      </c>
      <c r="AH103" s="35" t="s">
        <v>178</v>
      </c>
      <c r="AI103" s="48">
        <f t="shared" ref="AI103:AI108" si="49">AI102+1</f>
        <v>5501132</v>
      </c>
      <c r="AJ103" s="53" t="str">
        <f t="shared" ref="AJ103:AJ108" si="50">AJ102</f>
        <v>毒系职业伤害&lt;color=#54b76b&gt;+%s%&lt;/color&gt;</v>
      </c>
      <c r="AK103" s="36">
        <v>6</v>
      </c>
      <c r="AL103" s="36">
        <v>1</v>
      </c>
    </row>
    <row r="104" s="25" customFormat="1" hidden="1" customHeight="1" spans="1:38">
      <c r="A104" s="48">
        <v>5501133</v>
      </c>
      <c r="B104" s="34"/>
      <c r="C104" s="48" t="str">
        <f t="shared" si="30"/>
        <v>5501131</v>
      </c>
      <c r="D104" s="42">
        <f t="shared" si="31"/>
        <v>3</v>
      </c>
      <c r="E104" s="42"/>
      <c r="F104" s="36" t="s">
        <v>174</v>
      </c>
      <c r="G104" s="36">
        <f t="shared" si="36"/>
        <v>1</v>
      </c>
      <c r="H104" s="36">
        <f>IFERROR(IF(--MID($F104,2*COUNTIF($G104:G104,"&gt;"&amp;0)+2,1)=H$1,H$1,""),"")</f>
        <v>2</v>
      </c>
      <c r="I104" s="36">
        <f>IFERROR(IF(--MID($F104,2*COUNTIF($G104:H104,"&gt;"&amp;0)+2,1)=I$1,I$1,""),"")</f>
        <v>3</v>
      </c>
      <c r="J104" s="36">
        <f>IFERROR(IF(--MID($F104,2*COUNTIF($G104:I104,"&gt;"&amp;0)+2,1)=J$1,J$1,""),"")</f>
        <v>4</v>
      </c>
      <c r="K104" s="36">
        <f>IFERROR(IF(--MID($F104,2*COUNTIF($G104:J104,"&gt;"&amp;0)+2,1)=K$1,K$1,""),"")</f>
        <v>5</v>
      </c>
      <c r="L104" s="36">
        <f>IFERROR(IF(--MID($F104,2*COUNTIF($G104:K104,"&gt;"&amp;0)+2,1)=L$1,L$1,""),"")</f>
        <v>6</v>
      </c>
      <c r="M104" s="51" cm="1">
        <f t="array" ref="M104">IF($A104="","",IF(G104="","",_xlfn.XLOOKUP($D104&amp;"_"&amp;$AE104,符文权重!$A:$A&amp;"_"&amp;符文权重!$C:$C,符文权重!$D:$D)*$Y104/SUMIFS($Y:$Y,G:G,G104,$D:$D,$D104,$AE:$AE,$AE104)/SUMIF(符文权重!$A:$A,$D104,符文权重!$D:$D)))</f>
        <v>0.035</v>
      </c>
      <c r="N104" s="51" cm="1">
        <f t="array" ref="N104">IF($A104="","",IF(H104="","",_xlfn.XLOOKUP($D104&amp;"_"&amp;$AE104,符文权重!$A:$A&amp;"_"&amp;符文权重!$C:$C,符文权重!$D:$D)*$Y104/SUMIFS($Y:$Y,H:H,H104,$D:$D,$D104,$AE:$AE,$AE104)/SUMIF(符文权重!$A:$A,$D104,符文权重!$D:$D)))</f>
        <v>0.035</v>
      </c>
      <c r="O104" s="51" cm="1">
        <f t="array" ref="O104">IF($A104="","",IF(I104="","",_xlfn.XLOOKUP($D104&amp;"_"&amp;$AE104,符文权重!$A:$A&amp;"_"&amp;符文权重!$C:$C,符文权重!$D:$D)*$Y104/SUMIFS($Y:$Y,I:I,I104,$D:$D,$D104,$AE:$AE,$AE104)/SUMIF(符文权重!$A:$A,$D104,符文权重!$D:$D)))</f>
        <v>0.035</v>
      </c>
      <c r="P104" s="51" cm="1">
        <f t="array" ref="P104">IF($A104="","",IF(J104="","",_xlfn.XLOOKUP($D104&amp;"_"&amp;$AE104,符文权重!$A:$A&amp;"_"&amp;符文权重!$C:$C,符文权重!$D:$D)*$Y104/SUMIFS($Y:$Y,J:J,J104,$D:$D,$D104,$AE:$AE,$AE104)/SUMIF(符文权重!$A:$A,$D104,符文权重!$D:$D)))</f>
        <v>0.035</v>
      </c>
      <c r="Q104" s="51" cm="1">
        <f t="array" ref="Q104">IF($A104="","",IF(K104="","",_xlfn.XLOOKUP($D104&amp;"_"&amp;$AE104,符文权重!$A:$A&amp;"_"&amp;符文权重!$C:$C,符文权重!$D:$D)*$Y104/SUMIFS($Y:$Y,K:K,K104,$D:$D,$D104,$AE:$AE,$AE104)/SUMIF(符文权重!$A:$A,$D104,符文权重!$D:$D)))</f>
        <v>0.035</v>
      </c>
      <c r="R104" s="51" cm="1">
        <f t="array" ref="R104">IF($A104="","",IF(L104="","",_xlfn.XLOOKUP($D104&amp;"_"&amp;$AE104,符文权重!$A:$A&amp;"_"&amp;符文权重!$C:$C,符文权重!$D:$D)*$Y104/SUMIFS($Y:$Y,L:L,L104,$D:$D,$D104,$AE:$AE,$AE104)/SUMIF(符文权重!$A:$A,$D104,符文权重!$D:$D)))</f>
        <v>0.035</v>
      </c>
      <c r="S104" s="36" t="s">
        <v>192</v>
      </c>
      <c r="T104" s="36" t="s">
        <v>220</v>
      </c>
      <c r="U104" s="36" t="e">
        <f>IF(C104="","",SUBSTITUTE(SUBSTITUTE("[{global_atk,"&amp;#REF!*D104&amp;"}]",21,20),9,8))</f>
        <v>#REF!</v>
      </c>
      <c r="V104" s="52" t="str">
        <f t="shared" si="48"/>
        <v>[5501133]</v>
      </c>
      <c r="W104" s="36" t="s">
        <v>292</v>
      </c>
      <c r="X104" s="35"/>
      <c r="Y104" s="42">
        <v>100</v>
      </c>
      <c r="Z104" s="35"/>
      <c r="AA104" s="42" t="s">
        <v>183</v>
      </c>
      <c r="AB104" s="42" t="str">
        <f t="shared" si="33"/>
        <v>毒系职业伤害&lt;color=#54b76b&gt;+8%&lt;/color&gt;</v>
      </c>
      <c r="AC104" s="48" t="str">
        <f t="shared" si="34"/>
        <v>5501131</v>
      </c>
      <c r="AD104" s="42" t="str">
        <f t="shared" si="35"/>
        <v>[8]</v>
      </c>
      <c r="AE104" s="36">
        <v>1</v>
      </c>
      <c r="AF104" s="36"/>
      <c r="AG104" s="36">
        <v>0</v>
      </c>
      <c r="AH104" s="35" t="s">
        <v>178</v>
      </c>
      <c r="AI104" s="48">
        <f t="shared" si="49"/>
        <v>5501133</v>
      </c>
      <c r="AJ104" s="53" t="str">
        <f t="shared" si="50"/>
        <v>毒系职业伤害&lt;color=#54b76b&gt;+%s%&lt;/color&gt;</v>
      </c>
      <c r="AK104" s="36">
        <v>8</v>
      </c>
      <c r="AL104" s="36">
        <v>1</v>
      </c>
    </row>
    <row r="105" s="25" customFormat="1" hidden="1" customHeight="1" spans="1:38">
      <c r="A105" s="48">
        <v>5501134</v>
      </c>
      <c r="B105" s="34"/>
      <c r="C105" s="48" t="str">
        <f t="shared" si="30"/>
        <v>5501131</v>
      </c>
      <c r="D105" s="42">
        <f t="shared" si="31"/>
        <v>4</v>
      </c>
      <c r="E105" s="42"/>
      <c r="F105" s="36" t="s">
        <v>174</v>
      </c>
      <c r="G105" s="36">
        <f t="shared" si="36"/>
        <v>1</v>
      </c>
      <c r="H105" s="36">
        <f>IFERROR(IF(--MID($F105,2*COUNTIF($G105:G105,"&gt;"&amp;0)+2,1)=H$1,H$1,""),"")</f>
        <v>2</v>
      </c>
      <c r="I105" s="36">
        <f>IFERROR(IF(--MID($F105,2*COUNTIF($G105:H105,"&gt;"&amp;0)+2,1)=I$1,I$1,""),"")</f>
        <v>3</v>
      </c>
      <c r="J105" s="36">
        <f>IFERROR(IF(--MID($F105,2*COUNTIF($G105:I105,"&gt;"&amp;0)+2,1)=J$1,J$1,""),"")</f>
        <v>4</v>
      </c>
      <c r="K105" s="36">
        <f>IFERROR(IF(--MID($F105,2*COUNTIF($G105:J105,"&gt;"&amp;0)+2,1)=K$1,K$1,""),"")</f>
        <v>5</v>
      </c>
      <c r="L105" s="36">
        <f>IFERROR(IF(--MID($F105,2*COUNTIF($G105:K105,"&gt;"&amp;0)+2,1)=L$1,L$1,""),"")</f>
        <v>6</v>
      </c>
      <c r="M105" s="51" cm="1">
        <f t="array" ref="M105">IF($A105="","",IF(G105="","",_xlfn.XLOOKUP($D105&amp;"_"&amp;$AE105,符文权重!$A:$A&amp;"_"&amp;符文权重!$C:$C,符文权重!$D:$D)*$Y105/SUMIFS($Y:$Y,G:G,G105,$D:$D,$D105,$AE:$AE,$AE105)/SUMIF(符文权重!$A:$A,$D105,符文权重!$D:$D)))</f>
        <v>0.0229365529511942</v>
      </c>
      <c r="N105" s="51" cm="1">
        <f t="array" ref="N105">IF($A105="","",IF(H105="","",_xlfn.XLOOKUP($D105&amp;"_"&amp;$AE105,符文权重!$A:$A&amp;"_"&amp;符文权重!$C:$C,符文权重!$D:$D)*$Y105/SUMIFS($Y:$Y,H:H,H105,$D:$D,$D105,$AE:$AE,$AE105)/SUMIF(符文权重!$A:$A,$D105,符文权重!$D:$D)))</f>
        <v>0.0229365529511942</v>
      </c>
      <c r="O105" s="51" cm="1">
        <f t="array" ref="O105">IF($A105="","",IF(I105="","",_xlfn.XLOOKUP($D105&amp;"_"&amp;$AE105,符文权重!$A:$A&amp;"_"&amp;符文权重!$C:$C,符文权重!$D:$D)*$Y105/SUMIFS($Y:$Y,I:I,I105,$D:$D,$D105,$AE:$AE,$AE105)/SUMIF(符文权重!$A:$A,$D105,符文权重!$D:$D)))</f>
        <v>0.0229365529511942</v>
      </c>
      <c r="P105" s="51" cm="1">
        <f t="array" ref="P105">IF($A105="","",IF(J105="","",_xlfn.XLOOKUP($D105&amp;"_"&amp;$AE105,符文权重!$A:$A&amp;"_"&amp;符文权重!$C:$C,符文权重!$D:$D)*$Y105/SUMIFS($Y:$Y,J:J,J105,$D:$D,$D105,$AE:$AE,$AE105)/SUMIF(符文权重!$A:$A,$D105,符文权重!$D:$D)))</f>
        <v>0.0229365529511942</v>
      </c>
      <c r="Q105" s="51" cm="1">
        <f t="array" ref="Q105">IF($A105="","",IF(K105="","",_xlfn.XLOOKUP($D105&amp;"_"&amp;$AE105,符文权重!$A:$A&amp;"_"&amp;符文权重!$C:$C,符文权重!$D:$D)*$Y105/SUMIFS($Y:$Y,K:K,K105,$D:$D,$D105,$AE:$AE,$AE105)/SUMIF(符文权重!$A:$A,$D105,符文权重!$D:$D)))</f>
        <v>0.0229365529511942</v>
      </c>
      <c r="R105" s="51" cm="1">
        <f t="array" ref="R105">IF($A105="","",IF(L105="","",_xlfn.XLOOKUP($D105&amp;"_"&amp;$AE105,符文权重!$A:$A&amp;"_"&amp;符文权重!$C:$C,符文权重!$D:$D)*$Y105/SUMIFS($Y:$Y,L:L,L105,$D:$D,$D105,$AE:$AE,$AE105)/SUMIF(符文权重!$A:$A,$D105,符文权重!$D:$D)))</f>
        <v>0.0229365529511942</v>
      </c>
      <c r="S105" s="36" t="s">
        <v>192</v>
      </c>
      <c r="T105" s="36" t="s">
        <v>220</v>
      </c>
      <c r="U105" s="36" t="e">
        <f>IF(C105="","",SUBSTITUTE(SUBSTITUTE("[{global_atk,"&amp;#REF!*D105&amp;"}]",21,20),9,8))</f>
        <v>#REF!</v>
      </c>
      <c r="V105" s="52" t="str">
        <f t="shared" si="48"/>
        <v>[5501134]</v>
      </c>
      <c r="W105" s="36" t="s">
        <v>293</v>
      </c>
      <c r="X105" s="35"/>
      <c r="Y105" s="42">
        <v>100</v>
      </c>
      <c r="Z105" s="35"/>
      <c r="AA105" s="42" t="s">
        <v>185</v>
      </c>
      <c r="AB105" s="42" t="str">
        <f t="shared" si="33"/>
        <v>毒系职业伤害&lt;color=#54b76b&gt;+10%&lt;/color&gt;</v>
      </c>
      <c r="AC105" s="48" t="str">
        <f t="shared" si="34"/>
        <v>5501131</v>
      </c>
      <c r="AD105" s="42" t="str">
        <f t="shared" si="35"/>
        <v>[10]</v>
      </c>
      <c r="AE105" s="36">
        <v>1</v>
      </c>
      <c r="AF105" s="36"/>
      <c r="AG105" s="36">
        <v>0</v>
      </c>
      <c r="AH105" s="35" t="s">
        <v>178</v>
      </c>
      <c r="AI105" s="48">
        <f t="shared" si="49"/>
        <v>5501134</v>
      </c>
      <c r="AJ105" s="53" t="str">
        <f t="shared" si="50"/>
        <v>毒系职业伤害&lt;color=#54b76b&gt;+%s%&lt;/color&gt;</v>
      </c>
      <c r="AK105" s="36">
        <v>10</v>
      </c>
      <c r="AL105" s="36">
        <v>1</v>
      </c>
    </row>
    <row r="106" s="25" customFormat="1" hidden="1" customHeight="1" spans="1:38">
      <c r="A106" s="48">
        <v>5501135</v>
      </c>
      <c r="B106" s="34"/>
      <c r="C106" s="48" t="str">
        <f t="shared" si="30"/>
        <v>5501131</v>
      </c>
      <c r="D106" s="42">
        <f t="shared" si="31"/>
        <v>5</v>
      </c>
      <c r="E106" s="42"/>
      <c r="F106" s="36" t="s">
        <v>174</v>
      </c>
      <c r="G106" s="36">
        <f t="shared" si="36"/>
        <v>1</v>
      </c>
      <c r="H106" s="36">
        <f>IFERROR(IF(--MID($F106,2*COUNTIF($G106:G106,"&gt;"&amp;0)+2,1)=H$1,H$1,""),"")</f>
        <v>2</v>
      </c>
      <c r="I106" s="36">
        <f>IFERROR(IF(--MID($F106,2*COUNTIF($G106:H106,"&gt;"&amp;0)+2,1)=I$1,I$1,""),"")</f>
        <v>3</v>
      </c>
      <c r="J106" s="36">
        <f>IFERROR(IF(--MID($F106,2*COUNTIF($G106:I106,"&gt;"&amp;0)+2,1)=J$1,J$1,""),"")</f>
        <v>4</v>
      </c>
      <c r="K106" s="36">
        <f>IFERROR(IF(--MID($F106,2*COUNTIF($G106:J106,"&gt;"&amp;0)+2,1)=K$1,K$1,""),"")</f>
        <v>5</v>
      </c>
      <c r="L106" s="36">
        <f>IFERROR(IF(--MID($F106,2*COUNTIF($G106:K106,"&gt;"&amp;0)+2,1)=L$1,L$1,""),"")</f>
        <v>6</v>
      </c>
      <c r="M106" s="51" cm="1">
        <f t="array" ref="M106">IF($A106="","",IF(G106="","",_xlfn.XLOOKUP($D106&amp;"_"&amp;$AE106,符文权重!$A:$A&amp;"_"&amp;符文权重!$C:$C,符文权重!$D:$D)*$Y106/SUMIFS($Y:$Y,G:G,G106,$D:$D,$D106,$AE:$AE,$AE106)/SUMIF(符文权重!$A:$A,$D106,符文权重!$D:$D)))</f>
        <v>0.0204</v>
      </c>
      <c r="N106" s="51" cm="1">
        <f t="array" ref="N106">IF($A106="","",IF(H106="","",_xlfn.XLOOKUP($D106&amp;"_"&amp;$AE106,符文权重!$A:$A&amp;"_"&amp;符文权重!$C:$C,符文权重!$D:$D)*$Y106/SUMIFS($Y:$Y,H:H,H106,$D:$D,$D106,$AE:$AE,$AE106)/SUMIF(符文权重!$A:$A,$D106,符文权重!$D:$D)))</f>
        <v>0.0204</v>
      </c>
      <c r="O106" s="51" cm="1">
        <f t="array" ref="O106">IF($A106="","",IF(I106="","",_xlfn.XLOOKUP($D106&amp;"_"&amp;$AE106,符文权重!$A:$A&amp;"_"&amp;符文权重!$C:$C,符文权重!$D:$D)*$Y106/SUMIFS($Y:$Y,I:I,I106,$D:$D,$D106,$AE:$AE,$AE106)/SUMIF(符文权重!$A:$A,$D106,符文权重!$D:$D)))</f>
        <v>0.0204</v>
      </c>
      <c r="P106" s="51" cm="1">
        <f t="array" ref="P106">IF($A106="","",IF(J106="","",_xlfn.XLOOKUP($D106&amp;"_"&amp;$AE106,符文权重!$A:$A&amp;"_"&amp;符文权重!$C:$C,符文权重!$D:$D)*$Y106/SUMIFS($Y:$Y,J:J,J106,$D:$D,$D106,$AE:$AE,$AE106)/SUMIF(符文权重!$A:$A,$D106,符文权重!$D:$D)))</f>
        <v>0.0204</v>
      </c>
      <c r="Q106" s="51" cm="1">
        <f t="array" ref="Q106">IF($A106="","",IF(K106="","",_xlfn.XLOOKUP($D106&amp;"_"&amp;$AE106,符文权重!$A:$A&amp;"_"&amp;符文权重!$C:$C,符文权重!$D:$D)*$Y106/SUMIFS($Y:$Y,K:K,K106,$D:$D,$D106,$AE:$AE,$AE106)/SUMIF(符文权重!$A:$A,$D106,符文权重!$D:$D)))</f>
        <v>0.0204</v>
      </c>
      <c r="R106" s="51" cm="1">
        <f t="array" ref="R106">IF($A106="","",IF(L106="","",_xlfn.XLOOKUP($D106&amp;"_"&amp;$AE106,符文权重!$A:$A&amp;"_"&amp;符文权重!$C:$C,符文权重!$D:$D)*$Y106/SUMIFS($Y:$Y,L:L,L106,$D:$D,$D106,$AE:$AE,$AE106)/SUMIF(符文权重!$A:$A,$D106,符文权重!$D:$D)))</f>
        <v>0.0204</v>
      </c>
      <c r="S106" s="36" t="s">
        <v>192</v>
      </c>
      <c r="T106" s="36" t="s">
        <v>220</v>
      </c>
      <c r="U106" s="36" t="e">
        <f>IF(C106="","",SUBSTITUTE(SUBSTITUTE("[{global_atk,"&amp;#REF!*D106&amp;"}]",21,20),9,8))</f>
        <v>#REF!</v>
      </c>
      <c r="V106" s="52" t="str">
        <f t="shared" si="48"/>
        <v>[5501135]</v>
      </c>
      <c r="W106" s="36" t="s">
        <v>294</v>
      </c>
      <c r="X106" s="35"/>
      <c r="Y106" s="42">
        <v>100</v>
      </c>
      <c r="Z106" s="35"/>
      <c r="AA106" s="42" t="s">
        <v>187</v>
      </c>
      <c r="AB106" s="42" t="str">
        <f t="shared" si="33"/>
        <v>毒系职业伤害&lt;color=#54b76b&gt;+12.5%&lt;/color&gt;</v>
      </c>
      <c r="AC106" s="48" t="str">
        <f t="shared" si="34"/>
        <v>5501131</v>
      </c>
      <c r="AD106" s="42" t="str">
        <f t="shared" si="35"/>
        <v>[12.5]</v>
      </c>
      <c r="AE106" s="36">
        <v>1</v>
      </c>
      <c r="AF106" s="36"/>
      <c r="AG106" s="36">
        <v>0</v>
      </c>
      <c r="AH106" s="35" t="s">
        <v>178</v>
      </c>
      <c r="AI106" s="48">
        <f t="shared" si="49"/>
        <v>5501135</v>
      </c>
      <c r="AJ106" s="53" t="str">
        <f t="shared" si="50"/>
        <v>毒系职业伤害&lt;color=#54b76b&gt;+%s%&lt;/color&gt;</v>
      </c>
      <c r="AK106" s="36">
        <v>12.5</v>
      </c>
      <c r="AL106" s="36">
        <v>1</v>
      </c>
    </row>
    <row r="107" s="25" customFormat="1" hidden="1" customHeight="1" spans="1:38">
      <c r="A107" s="48">
        <v>5501136</v>
      </c>
      <c r="B107" s="34"/>
      <c r="C107" s="48" t="str">
        <f t="shared" si="30"/>
        <v>5501131</v>
      </c>
      <c r="D107" s="42">
        <f t="shared" si="31"/>
        <v>6</v>
      </c>
      <c r="E107" s="42"/>
      <c r="F107" s="36" t="s">
        <v>174</v>
      </c>
      <c r="G107" s="36">
        <f t="shared" si="36"/>
        <v>1</v>
      </c>
      <c r="H107" s="36">
        <f>IFERROR(IF(--MID($F107,2*COUNTIF($G107:G107,"&gt;"&amp;0)+2,1)=H$1,H$1,""),"")</f>
        <v>2</v>
      </c>
      <c r="I107" s="36">
        <f>IFERROR(IF(--MID($F107,2*COUNTIF($G107:H107,"&gt;"&amp;0)+2,1)=I$1,I$1,""),"")</f>
        <v>3</v>
      </c>
      <c r="J107" s="36">
        <f>IFERROR(IF(--MID($F107,2*COUNTIF($G107:I107,"&gt;"&amp;0)+2,1)=J$1,J$1,""),"")</f>
        <v>4</v>
      </c>
      <c r="K107" s="36">
        <f>IFERROR(IF(--MID($F107,2*COUNTIF($G107:J107,"&gt;"&amp;0)+2,1)=K$1,K$1,""),"")</f>
        <v>5</v>
      </c>
      <c r="L107" s="36">
        <f>IFERROR(IF(--MID($F107,2*COUNTIF($G107:K107,"&gt;"&amp;0)+2,1)=L$1,L$1,""),"")</f>
        <v>6</v>
      </c>
      <c r="M107" s="51" cm="1">
        <f t="array" ref="M107">IF($A107="","",IF(G107="","",_xlfn.XLOOKUP($D107&amp;"_"&amp;$AE107,符文权重!$A:$A&amp;"_"&amp;符文权重!$C:$C,符文权重!$D:$D)*$Y107/SUMIFS($Y:$Y,G:G,G107,$D:$D,$D107,$AE:$AE,$AE107)/SUMIF(符文权重!$A:$A,$D107,符文权重!$D:$D)))</f>
        <v>0.0204</v>
      </c>
      <c r="N107" s="51" cm="1">
        <f t="array" ref="N107">IF($A107="","",IF(H107="","",_xlfn.XLOOKUP($D107&amp;"_"&amp;$AE107,符文权重!$A:$A&amp;"_"&amp;符文权重!$C:$C,符文权重!$D:$D)*$Y107/SUMIFS($Y:$Y,H:H,H107,$D:$D,$D107,$AE:$AE,$AE107)/SUMIF(符文权重!$A:$A,$D107,符文权重!$D:$D)))</f>
        <v>0.0204</v>
      </c>
      <c r="O107" s="51" cm="1">
        <f t="array" ref="O107">IF($A107="","",IF(I107="","",_xlfn.XLOOKUP($D107&amp;"_"&amp;$AE107,符文权重!$A:$A&amp;"_"&amp;符文权重!$C:$C,符文权重!$D:$D)*$Y107/SUMIFS($Y:$Y,I:I,I107,$D:$D,$D107,$AE:$AE,$AE107)/SUMIF(符文权重!$A:$A,$D107,符文权重!$D:$D)))</f>
        <v>0.0204</v>
      </c>
      <c r="P107" s="51" cm="1">
        <f t="array" ref="P107">IF($A107="","",IF(J107="","",_xlfn.XLOOKUP($D107&amp;"_"&amp;$AE107,符文权重!$A:$A&amp;"_"&amp;符文权重!$C:$C,符文权重!$D:$D)*$Y107/SUMIFS($Y:$Y,J:J,J107,$D:$D,$D107,$AE:$AE,$AE107)/SUMIF(符文权重!$A:$A,$D107,符文权重!$D:$D)))</f>
        <v>0.0204</v>
      </c>
      <c r="Q107" s="51" cm="1">
        <f t="array" ref="Q107">IF($A107="","",IF(K107="","",_xlfn.XLOOKUP($D107&amp;"_"&amp;$AE107,符文权重!$A:$A&amp;"_"&amp;符文权重!$C:$C,符文权重!$D:$D)*$Y107/SUMIFS($Y:$Y,K:K,K107,$D:$D,$D107,$AE:$AE,$AE107)/SUMIF(符文权重!$A:$A,$D107,符文权重!$D:$D)))</f>
        <v>0.0204</v>
      </c>
      <c r="R107" s="51" cm="1">
        <f t="array" ref="R107">IF($A107="","",IF(L107="","",_xlfn.XLOOKUP($D107&amp;"_"&amp;$AE107,符文权重!$A:$A&amp;"_"&amp;符文权重!$C:$C,符文权重!$D:$D)*$Y107/SUMIFS($Y:$Y,L:L,L107,$D:$D,$D107,$AE:$AE,$AE107)/SUMIF(符文权重!$A:$A,$D107,符文权重!$D:$D)))</f>
        <v>0.0204</v>
      </c>
      <c r="S107" s="36" t="s">
        <v>192</v>
      </c>
      <c r="T107" s="36" t="s">
        <v>220</v>
      </c>
      <c r="U107" s="36" t="e">
        <f>IF(C107="","",SUBSTITUTE(SUBSTITUTE("[{global_atk,"&amp;#REF!*D107&amp;"}]",21,20),9,8))</f>
        <v>#REF!</v>
      </c>
      <c r="V107" s="52" t="str">
        <f t="shared" si="48"/>
        <v>[5501136]</v>
      </c>
      <c r="W107" s="36" t="s">
        <v>295</v>
      </c>
      <c r="X107" s="35"/>
      <c r="Y107" s="42">
        <v>100</v>
      </c>
      <c r="Z107" s="35"/>
      <c r="AA107" s="42" t="s">
        <v>189</v>
      </c>
      <c r="AB107" s="42" t="str">
        <f t="shared" si="33"/>
        <v>毒系职业伤害&lt;color=#54b76b&gt;+15%&lt;/color&gt;</v>
      </c>
      <c r="AC107" s="48" t="str">
        <f t="shared" si="34"/>
        <v>5501131</v>
      </c>
      <c r="AD107" s="42" t="str">
        <f t="shared" si="35"/>
        <v>[15]</v>
      </c>
      <c r="AE107" s="36">
        <v>1</v>
      </c>
      <c r="AF107" s="36"/>
      <c r="AG107" s="36">
        <v>0</v>
      </c>
      <c r="AH107" s="35" t="s">
        <v>178</v>
      </c>
      <c r="AI107" s="48">
        <f t="shared" si="49"/>
        <v>5501136</v>
      </c>
      <c r="AJ107" s="53" t="str">
        <f t="shared" si="50"/>
        <v>毒系职业伤害&lt;color=#54b76b&gt;+%s%&lt;/color&gt;</v>
      </c>
      <c r="AK107" s="36">
        <v>15</v>
      </c>
      <c r="AL107" s="36">
        <v>1</v>
      </c>
    </row>
    <row r="108" s="25" customFormat="1" hidden="1" customHeight="1" spans="1:38">
      <c r="A108" s="48">
        <v>5501137</v>
      </c>
      <c r="B108" s="34"/>
      <c r="C108" s="48" t="str">
        <f t="shared" si="30"/>
        <v>5501131</v>
      </c>
      <c r="D108" s="42">
        <f t="shared" si="31"/>
        <v>7</v>
      </c>
      <c r="E108" s="42"/>
      <c r="F108" s="36" t="s">
        <v>174</v>
      </c>
      <c r="G108" s="36">
        <f t="shared" si="36"/>
        <v>1</v>
      </c>
      <c r="H108" s="36">
        <f>IFERROR(IF(--MID($F108,2*COUNTIF($G108:G108,"&gt;"&amp;0)+2,1)=H$1,H$1,""),"")</f>
        <v>2</v>
      </c>
      <c r="I108" s="36">
        <f>IFERROR(IF(--MID($F108,2*COUNTIF($G108:H108,"&gt;"&amp;0)+2,1)=I$1,I$1,""),"")</f>
        <v>3</v>
      </c>
      <c r="J108" s="36">
        <f>IFERROR(IF(--MID($F108,2*COUNTIF($G108:I108,"&gt;"&amp;0)+2,1)=J$1,J$1,""),"")</f>
        <v>4</v>
      </c>
      <c r="K108" s="36">
        <f>IFERROR(IF(--MID($F108,2*COUNTIF($G108:J108,"&gt;"&amp;0)+2,1)=K$1,K$1,""),"")</f>
        <v>5</v>
      </c>
      <c r="L108" s="36">
        <f>IFERROR(IF(--MID($F108,2*COUNTIF($G108:K108,"&gt;"&amp;0)+2,1)=L$1,L$1,""),"")</f>
        <v>6</v>
      </c>
      <c r="M108" s="51" cm="1">
        <f t="array" ref="M108">IF($A108="","",IF(G108="","",_xlfn.XLOOKUP($D108&amp;"_"&amp;$AE108,符文权重!$A:$A&amp;"_"&amp;符文权重!$C:$C,符文权重!$D:$D)*$Y108/SUMIFS($Y:$Y,G:G,G108,$D:$D,$D108,$AE:$AE,$AE108)/SUMIF(符文权重!$A:$A,$D108,符文权重!$D:$D)))</f>
        <v>0.0204</v>
      </c>
      <c r="N108" s="51" cm="1">
        <f t="array" ref="N108">IF($A108="","",IF(H108="","",_xlfn.XLOOKUP($D108&amp;"_"&amp;$AE108,符文权重!$A:$A&amp;"_"&amp;符文权重!$C:$C,符文权重!$D:$D)*$Y108/SUMIFS($Y:$Y,H:H,H108,$D:$D,$D108,$AE:$AE,$AE108)/SUMIF(符文权重!$A:$A,$D108,符文权重!$D:$D)))</f>
        <v>0.0204</v>
      </c>
      <c r="O108" s="51" cm="1">
        <f t="array" ref="O108">IF($A108="","",IF(I108="","",_xlfn.XLOOKUP($D108&amp;"_"&amp;$AE108,符文权重!$A:$A&amp;"_"&amp;符文权重!$C:$C,符文权重!$D:$D)*$Y108/SUMIFS($Y:$Y,I:I,I108,$D:$D,$D108,$AE:$AE,$AE108)/SUMIF(符文权重!$A:$A,$D108,符文权重!$D:$D)))</f>
        <v>0.0204</v>
      </c>
      <c r="P108" s="51" cm="1">
        <f t="array" ref="P108">IF($A108="","",IF(J108="","",_xlfn.XLOOKUP($D108&amp;"_"&amp;$AE108,符文权重!$A:$A&amp;"_"&amp;符文权重!$C:$C,符文权重!$D:$D)*$Y108/SUMIFS($Y:$Y,J:J,J108,$D:$D,$D108,$AE:$AE,$AE108)/SUMIF(符文权重!$A:$A,$D108,符文权重!$D:$D)))</f>
        <v>0.0204</v>
      </c>
      <c r="Q108" s="51" cm="1">
        <f t="array" ref="Q108">IF($A108="","",IF(K108="","",_xlfn.XLOOKUP($D108&amp;"_"&amp;$AE108,符文权重!$A:$A&amp;"_"&amp;符文权重!$C:$C,符文权重!$D:$D)*$Y108/SUMIFS($Y:$Y,K:K,K108,$D:$D,$D108,$AE:$AE,$AE108)/SUMIF(符文权重!$A:$A,$D108,符文权重!$D:$D)))</f>
        <v>0.0204</v>
      </c>
      <c r="R108" s="51" cm="1">
        <f t="array" ref="R108">IF($A108="","",IF(L108="","",_xlfn.XLOOKUP($D108&amp;"_"&amp;$AE108,符文权重!$A:$A&amp;"_"&amp;符文权重!$C:$C,符文权重!$D:$D)*$Y108/SUMIFS($Y:$Y,L:L,L108,$D:$D,$D108,$AE:$AE,$AE108)/SUMIF(符文权重!$A:$A,$D108,符文权重!$D:$D)))</f>
        <v>0.0204</v>
      </c>
      <c r="S108" s="36" t="s">
        <v>192</v>
      </c>
      <c r="T108" s="36" t="s">
        <v>220</v>
      </c>
      <c r="U108" s="36" t="e">
        <f>IF(C108="","",SUBSTITUTE(SUBSTITUTE("[{global_atk,"&amp;#REF!*D108&amp;"}]",21,20),9,8))</f>
        <v>#REF!</v>
      </c>
      <c r="V108" s="52" t="str">
        <f t="shared" si="48"/>
        <v>[5501137]</v>
      </c>
      <c r="W108" s="36" t="s">
        <v>296</v>
      </c>
      <c r="X108" s="35"/>
      <c r="Y108" s="42">
        <v>100</v>
      </c>
      <c r="Z108" s="35"/>
      <c r="AA108" s="42" t="s">
        <v>191</v>
      </c>
      <c r="AB108" s="42" t="str">
        <f t="shared" si="33"/>
        <v>毒系职业伤害&lt;color=#54b76b&gt;+20%&lt;/color&gt;</v>
      </c>
      <c r="AC108" s="48" t="str">
        <f t="shared" si="34"/>
        <v>5501131</v>
      </c>
      <c r="AD108" s="42" t="str">
        <f t="shared" si="35"/>
        <v>[20]</v>
      </c>
      <c r="AE108" s="36">
        <v>1</v>
      </c>
      <c r="AF108" s="36"/>
      <c r="AG108" s="36">
        <v>0</v>
      </c>
      <c r="AH108" s="35" t="s">
        <v>178</v>
      </c>
      <c r="AI108" s="48">
        <f t="shared" si="49"/>
        <v>5501137</v>
      </c>
      <c r="AJ108" s="53" t="str">
        <f t="shared" si="50"/>
        <v>毒系职业伤害&lt;color=#54b76b&gt;+%s%&lt;/color&gt;</v>
      </c>
      <c r="AK108" s="36">
        <v>20</v>
      </c>
      <c r="AL108" s="36">
        <v>1</v>
      </c>
    </row>
    <row r="109" s="25" customFormat="1" hidden="1" customHeight="1" spans="1:38">
      <c r="A109" s="48" t="s">
        <v>178</v>
      </c>
      <c r="B109" s="34"/>
      <c r="C109" s="48" t="str">
        <f t="shared" si="30"/>
        <v/>
      </c>
      <c r="D109" s="42" t="str">
        <f t="shared" si="31"/>
        <v/>
      </c>
      <c r="E109" s="42"/>
      <c r="F109" s="36"/>
      <c r="G109" s="36" t="str">
        <f t="shared" si="36"/>
        <v/>
      </c>
      <c r="H109" s="36" t="str">
        <f>IFERROR(IF(--MID($F109,2*COUNTIF($G109:G109,"&gt;"&amp;0)+2,1)=H$1,H$1,""),"")</f>
        <v/>
      </c>
      <c r="I109" s="36" t="str">
        <f>IFERROR(IF(--MID($F109,2*COUNTIF($G109:H109,"&gt;"&amp;0)+2,1)=I$1,I$1,""),"")</f>
        <v/>
      </c>
      <c r="J109" s="36" t="str">
        <f>IFERROR(IF(--MID($F109,2*COUNTIF($G109:I109,"&gt;"&amp;0)+2,1)=J$1,J$1,""),"")</f>
        <v/>
      </c>
      <c r="K109" s="36" t="str">
        <f>IFERROR(IF(--MID($F109,2*COUNTIF($G109:J109,"&gt;"&amp;0)+2,1)=K$1,K$1,""),"")</f>
        <v/>
      </c>
      <c r="L109" s="36" t="str">
        <f>IFERROR(IF(--MID($F109,2*COUNTIF($G109:K109,"&gt;"&amp;0)+2,1)=L$1,L$1,""),"")</f>
        <v/>
      </c>
      <c r="M109" s="51" t="str" cm="1">
        <f t="array" ref="M109">IF($A109="","",IF(G109="","",_xlfn.XLOOKUP($D109&amp;"_"&amp;$AE109,符文权重!$A:$A&amp;"_"&amp;符文权重!$C:$C,符文权重!$D:$D)*$Y109/SUMIFS($Y:$Y,G:G,G109,$D:$D,$D109,$AE:$AE,$AE109)/SUMIF(符文权重!$A:$A,$D109,符文权重!$D:$D)))</f>
        <v/>
      </c>
      <c r="N109" s="36" t="str" cm="1">
        <f t="array" ref="N109">IF($A109="","",IF(H109="","",_xlfn.XLOOKUP($D109&amp;"_"&amp;$AE109,符文权重!$A:$A&amp;"_"&amp;符文权重!$C:$C,符文权重!$D:$D)*$Y109/SUMIFS($Y:$Y,H:H,H109,$D:$D,$D$6,$AE:$AE,$AE$6)))</f>
        <v/>
      </c>
      <c r="O109" s="36" t="str" cm="1">
        <f t="array" ref="O109">IF($A109="","",IF(I109="","",_xlfn.XLOOKUP($D109&amp;"_"&amp;$AE109,符文权重!$A:$A&amp;"_"&amp;符文权重!$C:$C,符文权重!$D:$D)*$Y109/SUMIFS($Y:$Y,I:I,I109,$D:$D,$D$6,$AE:$AE,$AE$6)))</f>
        <v/>
      </c>
      <c r="P109" s="36" t="str" cm="1">
        <f t="array" ref="P109">IF($A109="","",IF(J109="","",_xlfn.XLOOKUP($D109&amp;"_"&amp;$AE109,符文权重!$A:$A&amp;"_"&amp;符文权重!$C:$C,符文权重!$D:$D)*$Y109/SUMIFS($Y:$Y,J:J,J109,$D:$D,$D$6,$AE:$AE,$AE$6)))</f>
        <v/>
      </c>
      <c r="Q109" s="36" t="str" cm="1">
        <f t="array" ref="Q109">IF($A109="","",IF(K109="","",_xlfn.XLOOKUP($D109&amp;"_"&amp;$AE109,符文权重!$A:$A&amp;"_"&amp;符文权重!$C:$C,符文权重!$D:$D)*$Y109/SUMIFS($Y:$Y,K:K,K109,$D:$D,$D$6,$AE:$AE,$AE$6)))</f>
        <v/>
      </c>
      <c r="R109" s="36" t="str" cm="1">
        <f t="array" ref="R109">IF($A109="","",IF(L109="","",_xlfn.XLOOKUP($D109&amp;"_"&amp;$AE109,符文权重!$A:$A&amp;"_"&amp;符文权重!$C:$C,符文权重!$D:$D)*$Y109/SUMIFS($Y:$Y,L:L,L109,$D:$D,$D$6,$AE:$AE,$AE$6)))</f>
        <v/>
      </c>
      <c r="S109" s="36"/>
      <c r="T109" s="36"/>
      <c r="U109" s="36"/>
      <c r="V109" s="52"/>
      <c r="W109" s="36"/>
      <c r="X109" s="35"/>
      <c r="Y109" s="42"/>
      <c r="Z109" s="35"/>
      <c r="AA109" s="42" t="s">
        <v>178</v>
      </c>
      <c r="AB109" s="42" t="str">
        <f t="shared" si="33"/>
        <v/>
      </c>
      <c r="AC109" s="48" t="str">
        <f t="shared" si="34"/>
        <v/>
      </c>
      <c r="AD109" s="42" t="str">
        <f t="shared" si="35"/>
        <v/>
      </c>
      <c r="AE109" s="36"/>
      <c r="AF109" s="36"/>
      <c r="AG109" s="36"/>
      <c r="AH109" s="35" t="s">
        <v>178</v>
      </c>
      <c r="AI109" s="33"/>
      <c r="AJ109" s="55"/>
      <c r="AK109" s="36"/>
      <c r="AL109" s="36"/>
    </row>
    <row r="110" s="27" customFormat="1" hidden="1" customHeight="1" spans="1:38">
      <c r="A110" s="57">
        <v>5501141</v>
      </c>
      <c r="B110" s="58" t="s">
        <v>229</v>
      </c>
      <c r="C110" s="57" t="str">
        <f t="shared" si="30"/>
        <v>5501141</v>
      </c>
      <c r="D110" s="59">
        <f t="shared" si="31"/>
        <v>1</v>
      </c>
      <c r="E110" s="59"/>
      <c r="F110" s="60" t="s">
        <v>174</v>
      </c>
      <c r="G110" s="36">
        <f t="shared" si="36"/>
        <v>1</v>
      </c>
      <c r="H110" s="36">
        <f>IFERROR(IF(--MID($F110,2*COUNTIF($G110:G110,"&gt;"&amp;0)+2,1)=H$1,H$1,""),"")</f>
        <v>2</v>
      </c>
      <c r="I110" s="36">
        <f>IFERROR(IF(--MID($F110,2*COUNTIF($G110:H110,"&gt;"&amp;0)+2,1)=I$1,I$1,""),"")</f>
        <v>3</v>
      </c>
      <c r="J110" s="36">
        <f>IFERROR(IF(--MID($F110,2*COUNTIF($G110:I110,"&gt;"&amp;0)+2,1)=J$1,J$1,""),"")</f>
        <v>4</v>
      </c>
      <c r="K110" s="36">
        <f>IFERROR(IF(--MID($F110,2*COUNTIF($G110:J110,"&gt;"&amp;0)+2,1)=K$1,K$1,""),"")</f>
        <v>5</v>
      </c>
      <c r="L110" s="36">
        <f>IFERROR(IF(--MID($F110,2*COUNTIF($G110:K110,"&gt;"&amp;0)+2,1)=L$1,L$1,""),"")</f>
        <v>6</v>
      </c>
      <c r="M110" s="36" t="e" cm="1">
        <f t="array" ref="M110">IF(A110="","",_xlfn.XLOOKUP(D110&amp;"_"&amp;AE110,符文权重!A:A&amp;"_"&amp;符文权重!C:C,符文权重!D:D))</f>
        <v>#N/A</v>
      </c>
      <c r="N110" s="36"/>
      <c r="O110" s="36"/>
      <c r="P110" s="36"/>
      <c r="Q110" s="36"/>
      <c r="R110" s="36"/>
      <c r="S110" s="60" t="s">
        <v>192</v>
      </c>
      <c r="T110" s="60" t="s">
        <v>230</v>
      </c>
      <c r="U110" s="60" t="e">
        <f>IF(C110="","",SUBSTITUTE(SUBSTITUTE("[{global_atk,"&amp;#REF!*D110&amp;"}]",21,20),9,8))</f>
        <v>#REF!</v>
      </c>
      <c r="V110" s="61" t="str">
        <f t="shared" ref="V110:V116" si="51">"["&amp;A110&amp;"]"</f>
        <v>[5501141]</v>
      </c>
      <c r="W110" s="60" t="s">
        <v>297</v>
      </c>
      <c r="X110" s="28"/>
      <c r="Y110" s="42">
        <v>100</v>
      </c>
      <c r="Z110" s="28"/>
      <c r="AA110" s="59" t="s">
        <v>177</v>
      </c>
      <c r="AB110" s="42" t="str">
        <f t="shared" si="33"/>
        <v>控制职业伤害&lt;color=#54b76b&gt;+0%&lt;/color&gt;</v>
      </c>
      <c r="AC110" s="57" t="str">
        <f t="shared" si="34"/>
        <v>5501141</v>
      </c>
      <c r="AD110" s="59" t="str">
        <f t="shared" si="35"/>
        <v>[0]</v>
      </c>
      <c r="AE110" s="36">
        <v>100</v>
      </c>
      <c r="AF110" s="60"/>
      <c r="AG110" s="60">
        <v>1</v>
      </c>
      <c r="AH110" s="35" t="s">
        <v>178</v>
      </c>
      <c r="AI110" s="62">
        <v>5501141</v>
      </c>
      <c r="AJ110" s="63" t="s">
        <v>298</v>
      </c>
      <c r="AK110" s="60">
        <v>0</v>
      </c>
      <c r="AL110" s="36">
        <v>1</v>
      </c>
    </row>
    <row r="111" s="27" customFormat="1" hidden="1" customHeight="1" spans="1:38">
      <c r="A111" s="57">
        <v>5501142</v>
      </c>
      <c r="B111" s="58" t="s">
        <v>229</v>
      </c>
      <c r="C111" s="57" t="str">
        <f t="shared" si="30"/>
        <v>5501141</v>
      </c>
      <c r="D111" s="59">
        <f t="shared" si="31"/>
        <v>2</v>
      </c>
      <c r="E111" s="59"/>
      <c r="F111" s="60" t="s">
        <v>174</v>
      </c>
      <c r="G111" s="36">
        <f t="shared" si="36"/>
        <v>1</v>
      </c>
      <c r="H111" s="36">
        <f>IFERROR(IF(--MID($F111,2*COUNTIF($G111:G111,"&gt;"&amp;0)+2,1)=H$1,H$1,""),"")</f>
        <v>2</v>
      </c>
      <c r="I111" s="36">
        <f>IFERROR(IF(--MID($F111,2*COUNTIF($G111:H111,"&gt;"&amp;0)+2,1)=I$1,I$1,""),"")</f>
        <v>3</v>
      </c>
      <c r="J111" s="36">
        <f>IFERROR(IF(--MID($F111,2*COUNTIF($G111:I111,"&gt;"&amp;0)+2,1)=J$1,J$1,""),"")</f>
        <v>4</v>
      </c>
      <c r="K111" s="36">
        <f>IFERROR(IF(--MID($F111,2*COUNTIF($G111:J111,"&gt;"&amp;0)+2,1)=K$1,K$1,""),"")</f>
        <v>5</v>
      </c>
      <c r="L111" s="36">
        <f>IFERROR(IF(--MID($F111,2*COUNTIF($G111:K111,"&gt;"&amp;0)+2,1)=L$1,L$1,""),"")</f>
        <v>6</v>
      </c>
      <c r="M111" s="36" t="e" cm="1">
        <f t="array" ref="M111">IF(A111="","",_xlfn.XLOOKUP(D111&amp;"_"&amp;AE111,符文权重!A:A&amp;"_"&amp;符文权重!C:C,符文权重!D:D))</f>
        <v>#N/A</v>
      </c>
      <c r="N111" s="36"/>
      <c r="O111" s="36"/>
      <c r="P111" s="36"/>
      <c r="Q111" s="36"/>
      <c r="R111" s="36"/>
      <c r="S111" s="60" t="s">
        <v>192</v>
      </c>
      <c r="T111" s="60" t="s">
        <v>230</v>
      </c>
      <c r="U111" s="60" t="e">
        <f>IF(C111="","",SUBSTITUTE(SUBSTITUTE("[{global_atk,"&amp;#REF!*D111&amp;"}]",21,20),9,8))</f>
        <v>#REF!</v>
      </c>
      <c r="V111" s="61" t="str">
        <f t="shared" si="51"/>
        <v>[5501142]</v>
      </c>
      <c r="W111" s="60" t="s">
        <v>299</v>
      </c>
      <c r="X111" s="28"/>
      <c r="Y111" s="42">
        <v>100</v>
      </c>
      <c r="Z111" s="28"/>
      <c r="AA111" s="59" t="s">
        <v>181</v>
      </c>
      <c r="AB111" s="42" t="str">
        <f t="shared" si="33"/>
        <v>控制职业伤害&lt;color=#54b76b&gt;+0%&lt;/color&gt;</v>
      </c>
      <c r="AC111" s="57" t="str">
        <f t="shared" si="34"/>
        <v>5501141</v>
      </c>
      <c r="AD111" s="59" t="str">
        <f t="shared" si="35"/>
        <v>[0]</v>
      </c>
      <c r="AE111" s="36">
        <v>100</v>
      </c>
      <c r="AF111" s="60"/>
      <c r="AG111" s="60">
        <v>1</v>
      </c>
      <c r="AH111" s="35" t="s">
        <v>178</v>
      </c>
      <c r="AI111" s="57">
        <f t="shared" ref="AI111:AI116" si="52">AI110+1</f>
        <v>5501142</v>
      </c>
      <c r="AJ111" s="64" t="str">
        <f t="shared" ref="AJ111:AJ116" si="53">AJ110</f>
        <v>控制职业伤害&lt;color=#54b76b&gt;+%s%&lt;/color&gt;</v>
      </c>
      <c r="AK111" s="60">
        <v>0</v>
      </c>
      <c r="AL111" s="36">
        <v>1</v>
      </c>
    </row>
    <row r="112" s="27" customFormat="1" hidden="1" customHeight="1" spans="1:38">
      <c r="A112" s="57">
        <v>5501143</v>
      </c>
      <c r="B112" s="58" t="s">
        <v>229</v>
      </c>
      <c r="C112" s="57" t="str">
        <f t="shared" si="30"/>
        <v>5501141</v>
      </c>
      <c r="D112" s="59">
        <f t="shared" si="31"/>
        <v>3</v>
      </c>
      <c r="E112" s="59"/>
      <c r="F112" s="60" t="s">
        <v>174</v>
      </c>
      <c r="G112" s="36">
        <f t="shared" si="36"/>
        <v>1</v>
      </c>
      <c r="H112" s="36">
        <f>IFERROR(IF(--MID($F112,2*COUNTIF($G112:G112,"&gt;"&amp;0)+2,1)=H$1,H$1,""),"")</f>
        <v>2</v>
      </c>
      <c r="I112" s="36">
        <f>IFERROR(IF(--MID($F112,2*COUNTIF($G112:H112,"&gt;"&amp;0)+2,1)=I$1,I$1,""),"")</f>
        <v>3</v>
      </c>
      <c r="J112" s="36">
        <f>IFERROR(IF(--MID($F112,2*COUNTIF($G112:I112,"&gt;"&amp;0)+2,1)=J$1,J$1,""),"")</f>
        <v>4</v>
      </c>
      <c r="K112" s="36">
        <f>IFERROR(IF(--MID($F112,2*COUNTIF($G112:J112,"&gt;"&amp;0)+2,1)=K$1,K$1,""),"")</f>
        <v>5</v>
      </c>
      <c r="L112" s="36">
        <f>IFERROR(IF(--MID($F112,2*COUNTIF($G112:K112,"&gt;"&amp;0)+2,1)=L$1,L$1,""),"")</f>
        <v>6</v>
      </c>
      <c r="M112" s="36" t="e" cm="1">
        <f t="array" ref="M112">IF(A112="","",_xlfn.XLOOKUP(D112&amp;"_"&amp;AE112,符文权重!A:A&amp;"_"&amp;符文权重!C:C,符文权重!D:D))</f>
        <v>#N/A</v>
      </c>
      <c r="N112" s="36"/>
      <c r="O112" s="36"/>
      <c r="P112" s="36"/>
      <c r="Q112" s="36"/>
      <c r="R112" s="36"/>
      <c r="S112" s="60" t="s">
        <v>192</v>
      </c>
      <c r="T112" s="60" t="s">
        <v>230</v>
      </c>
      <c r="U112" s="60" t="e">
        <f>IF(C112="","",SUBSTITUTE(SUBSTITUTE("[{global_atk,"&amp;#REF!*D112&amp;"}]",21,20),9,8))</f>
        <v>#REF!</v>
      </c>
      <c r="V112" s="61" t="str">
        <f t="shared" si="51"/>
        <v>[5501143]</v>
      </c>
      <c r="W112" s="60" t="s">
        <v>300</v>
      </c>
      <c r="X112" s="28"/>
      <c r="Y112" s="42">
        <v>100</v>
      </c>
      <c r="Z112" s="28"/>
      <c r="AA112" s="59" t="s">
        <v>183</v>
      </c>
      <c r="AB112" s="42" t="str">
        <f t="shared" si="33"/>
        <v>控制职业伤害&lt;color=#54b76b&gt;+0%&lt;/color&gt;</v>
      </c>
      <c r="AC112" s="57" t="str">
        <f t="shared" si="34"/>
        <v>5501141</v>
      </c>
      <c r="AD112" s="59" t="str">
        <f t="shared" si="35"/>
        <v>[0]</v>
      </c>
      <c r="AE112" s="36">
        <v>100</v>
      </c>
      <c r="AF112" s="60"/>
      <c r="AG112" s="60">
        <v>1</v>
      </c>
      <c r="AH112" s="35" t="s">
        <v>178</v>
      </c>
      <c r="AI112" s="57">
        <f t="shared" si="52"/>
        <v>5501143</v>
      </c>
      <c r="AJ112" s="64" t="str">
        <f t="shared" si="53"/>
        <v>控制职业伤害&lt;color=#54b76b&gt;+%s%&lt;/color&gt;</v>
      </c>
      <c r="AK112" s="60">
        <v>0</v>
      </c>
      <c r="AL112" s="36">
        <v>1</v>
      </c>
    </row>
    <row r="113" s="25" customFormat="1" hidden="1" customHeight="1" spans="1:38">
      <c r="A113" s="48">
        <v>5501144</v>
      </c>
      <c r="B113" s="34"/>
      <c r="C113" s="48" t="str">
        <f t="shared" si="30"/>
        <v>5501141</v>
      </c>
      <c r="D113" s="42">
        <f t="shared" si="31"/>
        <v>4</v>
      </c>
      <c r="E113" s="42"/>
      <c r="F113" s="36" t="s">
        <v>174</v>
      </c>
      <c r="G113" s="36">
        <f t="shared" si="36"/>
        <v>1</v>
      </c>
      <c r="H113" s="36">
        <f>IFERROR(IF(--MID($F113,2*COUNTIF($G113:G113,"&gt;"&amp;0)+2,1)=H$1,H$1,""),"")</f>
        <v>2</v>
      </c>
      <c r="I113" s="36">
        <f>IFERROR(IF(--MID($F113,2*COUNTIF($G113:H113,"&gt;"&amp;0)+2,1)=I$1,I$1,""),"")</f>
        <v>3</v>
      </c>
      <c r="J113" s="36">
        <f>IFERROR(IF(--MID($F113,2*COUNTIF($G113:I113,"&gt;"&amp;0)+2,1)=J$1,J$1,""),"")</f>
        <v>4</v>
      </c>
      <c r="K113" s="36">
        <f>IFERROR(IF(--MID($F113,2*COUNTIF($G113:J113,"&gt;"&amp;0)+2,1)=K$1,K$1,""),"")</f>
        <v>5</v>
      </c>
      <c r="L113" s="36">
        <f>IFERROR(IF(--MID($F113,2*COUNTIF($G113:K113,"&gt;"&amp;0)+2,1)=L$1,L$1,""),"")</f>
        <v>6</v>
      </c>
      <c r="M113" s="51" cm="1">
        <f t="array" ref="M113">IF($A113="","",IF(G113="","",_xlfn.XLOOKUP($D113&amp;"_"&amp;$AE113,符文权重!$A:$A&amp;"_"&amp;符文权重!$C:$C,符文权重!$D:$D)*$Y113/SUMIFS($Y:$Y,G:G,G113,$D:$D,$D113,$AE:$AE,$AE113)/SUMIF(符文权重!$A:$A,$D113,符文权重!$D:$D)))</f>
        <v>0.0229365529511942</v>
      </c>
      <c r="N113" s="51" cm="1">
        <f t="array" ref="N113">IF($A113="","",IF(H113="","",_xlfn.XLOOKUP($D113&amp;"_"&amp;$AE113,符文权重!$A:$A&amp;"_"&amp;符文权重!$C:$C,符文权重!$D:$D)*$Y113/SUMIFS($Y:$Y,H:H,H113,$D:$D,$D113,$AE:$AE,$AE113)/SUMIF(符文权重!$A:$A,$D113,符文权重!$D:$D)))</f>
        <v>0.0229365529511942</v>
      </c>
      <c r="O113" s="51" cm="1">
        <f t="array" ref="O113">IF($A113="","",IF(I113="","",_xlfn.XLOOKUP($D113&amp;"_"&amp;$AE113,符文权重!$A:$A&amp;"_"&amp;符文权重!$C:$C,符文权重!$D:$D)*$Y113/SUMIFS($Y:$Y,I:I,I113,$D:$D,$D113,$AE:$AE,$AE113)/SUMIF(符文权重!$A:$A,$D113,符文权重!$D:$D)))</f>
        <v>0.0229365529511942</v>
      </c>
      <c r="P113" s="51" cm="1">
        <f t="array" ref="P113">IF($A113="","",IF(J113="","",_xlfn.XLOOKUP($D113&amp;"_"&amp;$AE113,符文权重!$A:$A&amp;"_"&amp;符文权重!$C:$C,符文权重!$D:$D)*$Y113/SUMIFS($Y:$Y,J:J,J113,$D:$D,$D113,$AE:$AE,$AE113)/SUMIF(符文权重!$A:$A,$D113,符文权重!$D:$D)))</f>
        <v>0.0229365529511942</v>
      </c>
      <c r="Q113" s="51" cm="1">
        <f t="array" ref="Q113">IF($A113="","",IF(K113="","",_xlfn.XLOOKUP($D113&amp;"_"&amp;$AE113,符文权重!$A:$A&amp;"_"&amp;符文权重!$C:$C,符文权重!$D:$D)*$Y113/SUMIFS($Y:$Y,K:K,K113,$D:$D,$D113,$AE:$AE,$AE113)/SUMIF(符文权重!$A:$A,$D113,符文权重!$D:$D)))</f>
        <v>0.0229365529511942</v>
      </c>
      <c r="R113" s="51" cm="1">
        <f t="array" ref="R113">IF($A113="","",IF(L113="","",_xlfn.XLOOKUP($D113&amp;"_"&amp;$AE113,符文权重!$A:$A&amp;"_"&amp;符文权重!$C:$C,符文权重!$D:$D)*$Y113/SUMIFS($Y:$Y,L:L,L113,$D:$D,$D113,$AE:$AE,$AE113)/SUMIF(符文权重!$A:$A,$D113,符文权重!$D:$D)))</f>
        <v>0.0229365529511942</v>
      </c>
      <c r="S113" s="36" t="s">
        <v>192</v>
      </c>
      <c r="T113" s="36" t="s">
        <v>230</v>
      </c>
      <c r="U113" s="36" t="e">
        <f>IF(C113="","",SUBSTITUTE(SUBSTITUTE("[{global_atk,"&amp;#REF!*D113&amp;"}]",21,20),9,8))</f>
        <v>#REF!</v>
      </c>
      <c r="V113" s="52" t="str">
        <f t="shared" si="51"/>
        <v>[5501144]</v>
      </c>
      <c r="W113" s="36" t="s">
        <v>301</v>
      </c>
      <c r="X113" s="35"/>
      <c r="Y113" s="42">
        <v>100</v>
      </c>
      <c r="Z113" s="35"/>
      <c r="AA113" s="42" t="s">
        <v>185</v>
      </c>
      <c r="AB113" s="42" t="str">
        <f t="shared" si="33"/>
        <v>控制职业伤害&lt;color=#54b76b&gt;+10%&lt;/color&gt;</v>
      </c>
      <c r="AC113" s="48" t="str">
        <f t="shared" si="34"/>
        <v>5501141</v>
      </c>
      <c r="AD113" s="42" t="str">
        <f t="shared" si="35"/>
        <v>[10]</v>
      </c>
      <c r="AE113" s="36">
        <v>1</v>
      </c>
      <c r="AF113" s="36"/>
      <c r="AG113" s="36">
        <v>0</v>
      </c>
      <c r="AH113" s="35" t="s">
        <v>178</v>
      </c>
      <c r="AI113" s="48">
        <f t="shared" si="52"/>
        <v>5501144</v>
      </c>
      <c r="AJ113" s="53" t="str">
        <f t="shared" si="53"/>
        <v>控制职业伤害&lt;color=#54b76b&gt;+%s%&lt;/color&gt;</v>
      </c>
      <c r="AK113" s="36">
        <v>10</v>
      </c>
      <c r="AL113" s="36">
        <v>1</v>
      </c>
    </row>
    <row r="114" s="25" customFormat="1" hidden="1" customHeight="1" spans="1:38">
      <c r="A114" s="48">
        <v>5501145</v>
      </c>
      <c r="B114" s="34"/>
      <c r="C114" s="48" t="str">
        <f t="shared" si="30"/>
        <v>5501141</v>
      </c>
      <c r="D114" s="42">
        <f t="shared" si="31"/>
        <v>5</v>
      </c>
      <c r="E114" s="42"/>
      <c r="F114" s="36" t="s">
        <v>174</v>
      </c>
      <c r="G114" s="36">
        <f t="shared" si="36"/>
        <v>1</v>
      </c>
      <c r="H114" s="36">
        <f>IFERROR(IF(--MID($F114,2*COUNTIF($G114:G114,"&gt;"&amp;0)+2,1)=H$1,H$1,""),"")</f>
        <v>2</v>
      </c>
      <c r="I114" s="36">
        <f>IFERROR(IF(--MID($F114,2*COUNTIF($G114:H114,"&gt;"&amp;0)+2,1)=I$1,I$1,""),"")</f>
        <v>3</v>
      </c>
      <c r="J114" s="36">
        <f>IFERROR(IF(--MID($F114,2*COUNTIF($G114:I114,"&gt;"&amp;0)+2,1)=J$1,J$1,""),"")</f>
        <v>4</v>
      </c>
      <c r="K114" s="36">
        <f>IFERROR(IF(--MID($F114,2*COUNTIF($G114:J114,"&gt;"&amp;0)+2,1)=K$1,K$1,""),"")</f>
        <v>5</v>
      </c>
      <c r="L114" s="36">
        <f>IFERROR(IF(--MID($F114,2*COUNTIF($G114:K114,"&gt;"&amp;0)+2,1)=L$1,L$1,""),"")</f>
        <v>6</v>
      </c>
      <c r="M114" s="51" cm="1">
        <f t="array" ref="M114">IF($A114="","",IF(G114="","",_xlfn.XLOOKUP($D114&amp;"_"&amp;$AE114,符文权重!$A:$A&amp;"_"&amp;符文权重!$C:$C,符文权重!$D:$D)*$Y114/SUMIFS($Y:$Y,G:G,G114,$D:$D,$D114,$AE:$AE,$AE114)/SUMIF(符文权重!$A:$A,$D114,符文权重!$D:$D)))</f>
        <v>0.0204</v>
      </c>
      <c r="N114" s="51" cm="1">
        <f t="array" ref="N114">IF($A114="","",IF(H114="","",_xlfn.XLOOKUP($D114&amp;"_"&amp;$AE114,符文权重!$A:$A&amp;"_"&amp;符文权重!$C:$C,符文权重!$D:$D)*$Y114/SUMIFS($Y:$Y,H:H,H114,$D:$D,$D114,$AE:$AE,$AE114)/SUMIF(符文权重!$A:$A,$D114,符文权重!$D:$D)))</f>
        <v>0.0204</v>
      </c>
      <c r="O114" s="51" cm="1">
        <f t="array" ref="O114">IF($A114="","",IF(I114="","",_xlfn.XLOOKUP($D114&amp;"_"&amp;$AE114,符文权重!$A:$A&amp;"_"&amp;符文权重!$C:$C,符文权重!$D:$D)*$Y114/SUMIFS($Y:$Y,I:I,I114,$D:$D,$D114,$AE:$AE,$AE114)/SUMIF(符文权重!$A:$A,$D114,符文权重!$D:$D)))</f>
        <v>0.0204</v>
      </c>
      <c r="P114" s="51" cm="1">
        <f t="array" ref="P114">IF($A114="","",IF(J114="","",_xlfn.XLOOKUP($D114&amp;"_"&amp;$AE114,符文权重!$A:$A&amp;"_"&amp;符文权重!$C:$C,符文权重!$D:$D)*$Y114/SUMIFS($Y:$Y,J:J,J114,$D:$D,$D114,$AE:$AE,$AE114)/SUMIF(符文权重!$A:$A,$D114,符文权重!$D:$D)))</f>
        <v>0.0204</v>
      </c>
      <c r="Q114" s="51" cm="1">
        <f t="array" ref="Q114">IF($A114="","",IF(K114="","",_xlfn.XLOOKUP($D114&amp;"_"&amp;$AE114,符文权重!$A:$A&amp;"_"&amp;符文权重!$C:$C,符文权重!$D:$D)*$Y114/SUMIFS($Y:$Y,K:K,K114,$D:$D,$D114,$AE:$AE,$AE114)/SUMIF(符文权重!$A:$A,$D114,符文权重!$D:$D)))</f>
        <v>0.0204</v>
      </c>
      <c r="R114" s="51" cm="1">
        <f t="array" ref="R114">IF($A114="","",IF(L114="","",_xlfn.XLOOKUP($D114&amp;"_"&amp;$AE114,符文权重!$A:$A&amp;"_"&amp;符文权重!$C:$C,符文权重!$D:$D)*$Y114/SUMIFS($Y:$Y,L:L,L114,$D:$D,$D114,$AE:$AE,$AE114)/SUMIF(符文权重!$A:$A,$D114,符文权重!$D:$D)))</f>
        <v>0.0204</v>
      </c>
      <c r="S114" s="36" t="s">
        <v>192</v>
      </c>
      <c r="T114" s="36" t="s">
        <v>230</v>
      </c>
      <c r="U114" s="36" t="e">
        <f>IF(C114="","",SUBSTITUTE(SUBSTITUTE("[{global_atk,"&amp;#REF!*D114&amp;"}]",21,20),9,8))</f>
        <v>#REF!</v>
      </c>
      <c r="V114" s="52" t="str">
        <f t="shared" si="51"/>
        <v>[5501145]</v>
      </c>
      <c r="W114" s="36" t="s">
        <v>302</v>
      </c>
      <c r="X114" s="35"/>
      <c r="Y114" s="42">
        <v>100</v>
      </c>
      <c r="Z114" s="35"/>
      <c r="AA114" s="42" t="s">
        <v>187</v>
      </c>
      <c r="AB114" s="42" t="str">
        <f t="shared" si="33"/>
        <v>控制职业伤害&lt;color=#54b76b&gt;+12.5%&lt;/color&gt;</v>
      </c>
      <c r="AC114" s="48" t="str">
        <f t="shared" si="34"/>
        <v>5501141</v>
      </c>
      <c r="AD114" s="42" t="str">
        <f t="shared" si="35"/>
        <v>[12.5]</v>
      </c>
      <c r="AE114" s="36">
        <v>1</v>
      </c>
      <c r="AF114" s="36"/>
      <c r="AG114" s="36">
        <v>0</v>
      </c>
      <c r="AH114" s="35" t="s">
        <v>178</v>
      </c>
      <c r="AI114" s="48">
        <f t="shared" si="52"/>
        <v>5501145</v>
      </c>
      <c r="AJ114" s="53" t="str">
        <f t="shared" si="53"/>
        <v>控制职业伤害&lt;color=#54b76b&gt;+%s%&lt;/color&gt;</v>
      </c>
      <c r="AK114" s="36">
        <v>12.5</v>
      </c>
      <c r="AL114" s="36">
        <v>1</v>
      </c>
    </row>
    <row r="115" s="25" customFormat="1" hidden="1" customHeight="1" spans="1:38">
      <c r="A115" s="48">
        <v>5501146</v>
      </c>
      <c r="B115" s="34"/>
      <c r="C115" s="48" t="str">
        <f t="shared" si="30"/>
        <v>5501141</v>
      </c>
      <c r="D115" s="42">
        <f t="shared" si="31"/>
        <v>6</v>
      </c>
      <c r="E115" s="42"/>
      <c r="F115" s="36" t="s">
        <v>174</v>
      </c>
      <c r="G115" s="36">
        <f t="shared" si="36"/>
        <v>1</v>
      </c>
      <c r="H115" s="36">
        <f>IFERROR(IF(--MID($F115,2*COUNTIF($G115:G115,"&gt;"&amp;0)+2,1)=H$1,H$1,""),"")</f>
        <v>2</v>
      </c>
      <c r="I115" s="36">
        <f>IFERROR(IF(--MID($F115,2*COUNTIF($G115:H115,"&gt;"&amp;0)+2,1)=I$1,I$1,""),"")</f>
        <v>3</v>
      </c>
      <c r="J115" s="36">
        <f>IFERROR(IF(--MID($F115,2*COUNTIF($G115:I115,"&gt;"&amp;0)+2,1)=J$1,J$1,""),"")</f>
        <v>4</v>
      </c>
      <c r="K115" s="36">
        <f>IFERROR(IF(--MID($F115,2*COUNTIF($G115:J115,"&gt;"&amp;0)+2,1)=K$1,K$1,""),"")</f>
        <v>5</v>
      </c>
      <c r="L115" s="36">
        <f>IFERROR(IF(--MID($F115,2*COUNTIF($G115:K115,"&gt;"&amp;0)+2,1)=L$1,L$1,""),"")</f>
        <v>6</v>
      </c>
      <c r="M115" s="51" cm="1">
        <f t="array" ref="M115">IF($A115="","",IF(G115="","",_xlfn.XLOOKUP($D115&amp;"_"&amp;$AE115,符文权重!$A:$A&amp;"_"&amp;符文权重!$C:$C,符文权重!$D:$D)*$Y115/SUMIFS($Y:$Y,G:G,G115,$D:$D,$D115,$AE:$AE,$AE115)/SUMIF(符文权重!$A:$A,$D115,符文权重!$D:$D)))</f>
        <v>0.0204</v>
      </c>
      <c r="N115" s="51" cm="1">
        <f t="array" ref="N115">IF($A115="","",IF(H115="","",_xlfn.XLOOKUP($D115&amp;"_"&amp;$AE115,符文权重!$A:$A&amp;"_"&amp;符文权重!$C:$C,符文权重!$D:$D)*$Y115/SUMIFS($Y:$Y,H:H,H115,$D:$D,$D115,$AE:$AE,$AE115)/SUMIF(符文权重!$A:$A,$D115,符文权重!$D:$D)))</f>
        <v>0.0204</v>
      </c>
      <c r="O115" s="51" cm="1">
        <f t="array" ref="O115">IF($A115="","",IF(I115="","",_xlfn.XLOOKUP($D115&amp;"_"&amp;$AE115,符文权重!$A:$A&amp;"_"&amp;符文权重!$C:$C,符文权重!$D:$D)*$Y115/SUMIFS($Y:$Y,I:I,I115,$D:$D,$D115,$AE:$AE,$AE115)/SUMIF(符文权重!$A:$A,$D115,符文权重!$D:$D)))</f>
        <v>0.0204</v>
      </c>
      <c r="P115" s="51" cm="1">
        <f t="array" ref="P115">IF($A115="","",IF(J115="","",_xlfn.XLOOKUP($D115&amp;"_"&amp;$AE115,符文权重!$A:$A&amp;"_"&amp;符文权重!$C:$C,符文权重!$D:$D)*$Y115/SUMIFS($Y:$Y,J:J,J115,$D:$D,$D115,$AE:$AE,$AE115)/SUMIF(符文权重!$A:$A,$D115,符文权重!$D:$D)))</f>
        <v>0.0204</v>
      </c>
      <c r="Q115" s="51" cm="1">
        <f t="array" ref="Q115">IF($A115="","",IF(K115="","",_xlfn.XLOOKUP($D115&amp;"_"&amp;$AE115,符文权重!$A:$A&amp;"_"&amp;符文权重!$C:$C,符文权重!$D:$D)*$Y115/SUMIFS($Y:$Y,K:K,K115,$D:$D,$D115,$AE:$AE,$AE115)/SUMIF(符文权重!$A:$A,$D115,符文权重!$D:$D)))</f>
        <v>0.0204</v>
      </c>
      <c r="R115" s="51" cm="1">
        <f t="array" ref="R115">IF($A115="","",IF(L115="","",_xlfn.XLOOKUP($D115&amp;"_"&amp;$AE115,符文权重!$A:$A&amp;"_"&amp;符文权重!$C:$C,符文权重!$D:$D)*$Y115/SUMIFS($Y:$Y,L:L,L115,$D:$D,$D115,$AE:$AE,$AE115)/SUMIF(符文权重!$A:$A,$D115,符文权重!$D:$D)))</f>
        <v>0.0204</v>
      </c>
      <c r="S115" s="36" t="s">
        <v>192</v>
      </c>
      <c r="T115" s="36" t="s">
        <v>230</v>
      </c>
      <c r="U115" s="36" t="e">
        <f>IF(C115="","",SUBSTITUTE(SUBSTITUTE("[{global_atk,"&amp;#REF!*D115&amp;"}]",21,20),9,8))</f>
        <v>#REF!</v>
      </c>
      <c r="V115" s="52" t="str">
        <f t="shared" si="51"/>
        <v>[5501146]</v>
      </c>
      <c r="W115" s="36" t="s">
        <v>303</v>
      </c>
      <c r="X115" s="35"/>
      <c r="Y115" s="42">
        <v>100</v>
      </c>
      <c r="Z115" s="35"/>
      <c r="AA115" s="42" t="s">
        <v>189</v>
      </c>
      <c r="AB115" s="42" t="str">
        <f t="shared" si="33"/>
        <v>控制职业伤害&lt;color=#54b76b&gt;+15%&lt;/color&gt;</v>
      </c>
      <c r="AC115" s="48" t="str">
        <f t="shared" si="34"/>
        <v>5501141</v>
      </c>
      <c r="AD115" s="42" t="str">
        <f t="shared" si="35"/>
        <v>[15]</v>
      </c>
      <c r="AE115" s="36">
        <v>1</v>
      </c>
      <c r="AF115" s="36"/>
      <c r="AG115" s="36">
        <v>0</v>
      </c>
      <c r="AH115" s="35" t="s">
        <v>178</v>
      </c>
      <c r="AI115" s="48">
        <f t="shared" si="52"/>
        <v>5501146</v>
      </c>
      <c r="AJ115" s="53" t="str">
        <f t="shared" si="53"/>
        <v>控制职业伤害&lt;color=#54b76b&gt;+%s%&lt;/color&gt;</v>
      </c>
      <c r="AK115" s="36">
        <v>15</v>
      </c>
      <c r="AL115" s="36">
        <v>1</v>
      </c>
    </row>
    <row r="116" s="25" customFormat="1" hidden="1" customHeight="1" spans="1:38">
      <c r="A116" s="48">
        <v>5501147</v>
      </c>
      <c r="B116" s="34"/>
      <c r="C116" s="48" t="str">
        <f t="shared" si="30"/>
        <v>5501141</v>
      </c>
      <c r="D116" s="42">
        <f t="shared" si="31"/>
        <v>7</v>
      </c>
      <c r="E116" s="42"/>
      <c r="F116" s="36" t="s">
        <v>174</v>
      </c>
      <c r="G116" s="36">
        <f t="shared" si="36"/>
        <v>1</v>
      </c>
      <c r="H116" s="36">
        <f>IFERROR(IF(--MID($F116,2*COUNTIF($G116:G116,"&gt;"&amp;0)+2,1)=H$1,H$1,""),"")</f>
        <v>2</v>
      </c>
      <c r="I116" s="36">
        <f>IFERROR(IF(--MID($F116,2*COUNTIF($G116:H116,"&gt;"&amp;0)+2,1)=I$1,I$1,""),"")</f>
        <v>3</v>
      </c>
      <c r="J116" s="36">
        <f>IFERROR(IF(--MID($F116,2*COUNTIF($G116:I116,"&gt;"&amp;0)+2,1)=J$1,J$1,""),"")</f>
        <v>4</v>
      </c>
      <c r="K116" s="36">
        <f>IFERROR(IF(--MID($F116,2*COUNTIF($G116:J116,"&gt;"&amp;0)+2,1)=K$1,K$1,""),"")</f>
        <v>5</v>
      </c>
      <c r="L116" s="36">
        <f>IFERROR(IF(--MID($F116,2*COUNTIF($G116:K116,"&gt;"&amp;0)+2,1)=L$1,L$1,""),"")</f>
        <v>6</v>
      </c>
      <c r="M116" s="51" cm="1">
        <f t="array" ref="M116">IF($A116="","",IF(G116="","",_xlfn.XLOOKUP($D116&amp;"_"&amp;$AE116,符文权重!$A:$A&amp;"_"&amp;符文权重!$C:$C,符文权重!$D:$D)*$Y116/SUMIFS($Y:$Y,G:G,G116,$D:$D,$D116,$AE:$AE,$AE116)/SUMIF(符文权重!$A:$A,$D116,符文权重!$D:$D)))</f>
        <v>0.0204</v>
      </c>
      <c r="N116" s="51" cm="1">
        <f t="array" ref="N116">IF($A116="","",IF(H116="","",_xlfn.XLOOKUP($D116&amp;"_"&amp;$AE116,符文权重!$A:$A&amp;"_"&amp;符文权重!$C:$C,符文权重!$D:$D)*$Y116/SUMIFS($Y:$Y,H:H,H116,$D:$D,$D116,$AE:$AE,$AE116)/SUMIF(符文权重!$A:$A,$D116,符文权重!$D:$D)))</f>
        <v>0.0204</v>
      </c>
      <c r="O116" s="51" cm="1">
        <f t="array" ref="O116">IF($A116="","",IF(I116="","",_xlfn.XLOOKUP($D116&amp;"_"&amp;$AE116,符文权重!$A:$A&amp;"_"&amp;符文权重!$C:$C,符文权重!$D:$D)*$Y116/SUMIFS($Y:$Y,I:I,I116,$D:$D,$D116,$AE:$AE,$AE116)/SUMIF(符文权重!$A:$A,$D116,符文权重!$D:$D)))</f>
        <v>0.0204</v>
      </c>
      <c r="P116" s="51" cm="1">
        <f t="array" ref="P116">IF($A116="","",IF(J116="","",_xlfn.XLOOKUP($D116&amp;"_"&amp;$AE116,符文权重!$A:$A&amp;"_"&amp;符文权重!$C:$C,符文权重!$D:$D)*$Y116/SUMIFS($Y:$Y,J:J,J116,$D:$D,$D116,$AE:$AE,$AE116)/SUMIF(符文权重!$A:$A,$D116,符文权重!$D:$D)))</f>
        <v>0.0204</v>
      </c>
      <c r="Q116" s="51" cm="1">
        <f t="array" ref="Q116">IF($A116="","",IF(K116="","",_xlfn.XLOOKUP($D116&amp;"_"&amp;$AE116,符文权重!$A:$A&amp;"_"&amp;符文权重!$C:$C,符文权重!$D:$D)*$Y116/SUMIFS($Y:$Y,K:K,K116,$D:$D,$D116,$AE:$AE,$AE116)/SUMIF(符文权重!$A:$A,$D116,符文权重!$D:$D)))</f>
        <v>0.0204</v>
      </c>
      <c r="R116" s="51" cm="1">
        <f t="array" ref="R116">IF($A116="","",IF(L116="","",_xlfn.XLOOKUP($D116&amp;"_"&amp;$AE116,符文权重!$A:$A&amp;"_"&amp;符文权重!$C:$C,符文权重!$D:$D)*$Y116/SUMIFS($Y:$Y,L:L,L116,$D:$D,$D116,$AE:$AE,$AE116)/SUMIF(符文权重!$A:$A,$D116,符文权重!$D:$D)))</f>
        <v>0.0204</v>
      </c>
      <c r="S116" s="36" t="s">
        <v>192</v>
      </c>
      <c r="T116" s="36" t="s">
        <v>230</v>
      </c>
      <c r="U116" s="36" t="e">
        <f>IF(C116="","",SUBSTITUTE(SUBSTITUTE("[{global_atk,"&amp;#REF!*D116&amp;"}]",21,20),9,8))</f>
        <v>#REF!</v>
      </c>
      <c r="V116" s="52" t="str">
        <f t="shared" si="51"/>
        <v>[5501147]</v>
      </c>
      <c r="W116" s="36" t="s">
        <v>304</v>
      </c>
      <c r="X116" s="35"/>
      <c r="Y116" s="42">
        <v>100</v>
      </c>
      <c r="Z116" s="35"/>
      <c r="AA116" s="42" t="s">
        <v>191</v>
      </c>
      <c r="AB116" s="42" t="str">
        <f t="shared" si="33"/>
        <v>控制职业伤害&lt;color=#54b76b&gt;+20%&lt;/color&gt;</v>
      </c>
      <c r="AC116" s="48" t="str">
        <f t="shared" si="34"/>
        <v>5501141</v>
      </c>
      <c r="AD116" s="42" t="str">
        <f t="shared" si="35"/>
        <v>[20]</v>
      </c>
      <c r="AE116" s="36">
        <v>1</v>
      </c>
      <c r="AF116" s="36"/>
      <c r="AG116" s="36">
        <v>0</v>
      </c>
      <c r="AH116" s="35" t="s">
        <v>178</v>
      </c>
      <c r="AI116" s="48">
        <f t="shared" si="52"/>
        <v>5501147</v>
      </c>
      <c r="AJ116" s="53" t="str">
        <f t="shared" si="53"/>
        <v>控制职业伤害&lt;color=#54b76b&gt;+%s%&lt;/color&gt;</v>
      </c>
      <c r="AK116" s="36">
        <v>20</v>
      </c>
      <c r="AL116" s="36">
        <v>1</v>
      </c>
    </row>
    <row r="117" s="25" customFormat="1" hidden="1" customHeight="1" spans="1:38">
      <c r="A117" s="48" t="s">
        <v>178</v>
      </c>
      <c r="B117" s="34"/>
      <c r="C117" s="48" t="str">
        <f t="shared" si="30"/>
        <v/>
      </c>
      <c r="D117" s="42" t="str">
        <f t="shared" si="31"/>
        <v/>
      </c>
      <c r="E117" s="42"/>
      <c r="F117" s="36"/>
      <c r="G117" s="36" t="str">
        <f t="shared" si="36"/>
        <v/>
      </c>
      <c r="H117" s="36" t="str">
        <f>IFERROR(IF(--MID($F117,2*COUNTIF($G117:G117,"&gt;"&amp;0)+2,1)=H$1,H$1,""),"")</f>
        <v/>
      </c>
      <c r="I117" s="36" t="str">
        <f>IFERROR(IF(--MID($F117,2*COUNTIF($G117:H117,"&gt;"&amp;0)+2,1)=I$1,I$1,""),"")</f>
        <v/>
      </c>
      <c r="J117" s="36" t="str">
        <f>IFERROR(IF(--MID($F117,2*COUNTIF($G117:I117,"&gt;"&amp;0)+2,1)=J$1,J$1,""),"")</f>
        <v/>
      </c>
      <c r="K117" s="36" t="str">
        <f>IFERROR(IF(--MID($F117,2*COUNTIF($G117:J117,"&gt;"&amp;0)+2,1)=K$1,K$1,""),"")</f>
        <v/>
      </c>
      <c r="L117" s="36" t="str">
        <f>IFERROR(IF(--MID($F117,2*COUNTIF($G117:K117,"&gt;"&amp;0)+2,1)=L$1,L$1,""),"")</f>
        <v/>
      </c>
      <c r="M117" s="51" t="str" cm="1">
        <f t="array" ref="M117">IF($A117="","",IF(G117="","",_xlfn.XLOOKUP($D117&amp;"_"&amp;$AE117,符文权重!$A:$A&amp;"_"&amp;符文权重!$C:$C,符文权重!$D:$D)*$Y117/SUMIFS($Y:$Y,G:G,G117,$D:$D,$D117,$AE:$AE,$AE117)/SUMIF(符文权重!$A:$A,$D117,符文权重!$D:$D)))</f>
        <v/>
      </c>
      <c r="N117" s="36" t="str" cm="1">
        <f t="array" ref="N117">IF($A117="","",IF(H117="","",_xlfn.XLOOKUP($D117&amp;"_"&amp;$AE117,符文权重!$A:$A&amp;"_"&amp;符文权重!$C:$C,符文权重!$D:$D)*$Y117/SUMIFS($Y:$Y,H:H,H117,$D:$D,$D$6,$AE:$AE,$AE$6)))</f>
        <v/>
      </c>
      <c r="O117" s="36" t="str" cm="1">
        <f t="array" ref="O117">IF($A117="","",IF(I117="","",_xlfn.XLOOKUP($D117&amp;"_"&amp;$AE117,符文权重!$A:$A&amp;"_"&amp;符文权重!$C:$C,符文权重!$D:$D)*$Y117/SUMIFS($Y:$Y,I:I,I117,$D:$D,$D$6,$AE:$AE,$AE$6)))</f>
        <v/>
      </c>
      <c r="P117" s="36" t="str" cm="1">
        <f t="array" ref="P117">IF($A117="","",IF(J117="","",_xlfn.XLOOKUP($D117&amp;"_"&amp;$AE117,符文权重!$A:$A&amp;"_"&amp;符文权重!$C:$C,符文权重!$D:$D)*$Y117/SUMIFS($Y:$Y,J:J,J117,$D:$D,$D$6,$AE:$AE,$AE$6)))</f>
        <v/>
      </c>
      <c r="Q117" s="36" t="str" cm="1">
        <f t="array" ref="Q117">IF($A117="","",IF(K117="","",_xlfn.XLOOKUP($D117&amp;"_"&amp;$AE117,符文权重!$A:$A&amp;"_"&amp;符文权重!$C:$C,符文权重!$D:$D)*$Y117/SUMIFS($Y:$Y,K:K,K117,$D:$D,$D$6,$AE:$AE,$AE$6)))</f>
        <v/>
      </c>
      <c r="R117" s="36" t="str" cm="1">
        <f t="array" ref="R117">IF($A117="","",IF(L117="","",_xlfn.XLOOKUP($D117&amp;"_"&amp;$AE117,符文权重!$A:$A&amp;"_"&amp;符文权重!$C:$C,符文权重!$D:$D)*$Y117/SUMIFS($Y:$Y,L:L,L117,$D:$D,$D$6,$AE:$AE,$AE$6)))</f>
        <v/>
      </c>
      <c r="S117" s="36"/>
      <c r="T117" s="36"/>
      <c r="U117" s="36"/>
      <c r="V117" s="52"/>
      <c r="W117" s="36"/>
      <c r="X117" s="35"/>
      <c r="Y117" s="42"/>
      <c r="Z117" s="35"/>
      <c r="AA117" s="42" t="s">
        <v>178</v>
      </c>
      <c r="AB117" s="42" t="str">
        <f t="shared" si="33"/>
        <v/>
      </c>
      <c r="AC117" s="48" t="str">
        <f t="shared" si="34"/>
        <v/>
      </c>
      <c r="AD117" s="42" t="str">
        <f t="shared" si="35"/>
        <v/>
      </c>
      <c r="AE117" s="36"/>
      <c r="AF117" s="36"/>
      <c r="AG117" s="36"/>
      <c r="AH117" s="35" t="s">
        <v>178</v>
      </c>
      <c r="AI117" s="33"/>
      <c r="AJ117" s="55"/>
      <c r="AK117" s="36"/>
      <c r="AL117" s="36"/>
    </row>
    <row r="118" s="27" customFormat="1" hidden="1" customHeight="1" spans="1:38">
      <c r="A118" s="57">
        <v>5501151</v>
      </c>
      <c r="B118" s="58" t="s">
        <v>229</v>
      </c>
      <c r="C118" s="57" t="str">
        <f t="shared" si="30"/>
        <v>5501151</v>
      </c>
      <c r="D118" s="59">
        <f t="shared" si="31"/>
        <v>1</v>
      </c>
      <c r="E118" s="59"/>
      <c r="F118" s="60" t="s">
        <v>174</v>
      </c>
      <c r="G118" s="36">
        <f t="shared" si="36"/>
        <v>1</v>
      </c>
      <c r="H118" s="36">
        <f>IFERROR(IF(--MID($F118,2*COUNTIF($G118:G118,"&gt;"&amp;0)+2,1)=H$1,H$1,""),"")</f>
        <v>2</v>
      </c>
      <c r="I118" s="36">
        <f>IFERROR(IF(--MID($F118,2*COUNTIF($G118:H118,"&gt;"&amp;0)+2,1)=I$1,I$1,""),"")</f>
        <v>3</v>
      </c>
      <c r="J118" s="36">
        <f>IFERROR(IF(--MID($F118,2*COUNTIF($G118:I118,"&gt;"&amp;0)+2,1)=J$1,J$1,""),"")</f>
        <v>4</v>
      </c>
      <c r="K118" s="36">
        <f>IFERROR(IF(--MID($F118,2*COUNTIF($G118:J118,"&gt;"&amp;0)+2,1)=K$1,K$1,""),"")</f>
        <v>5</v>
      </c>
      <c r="L118" s="36">
        <f>IFERROR(IF(--MID($F118,2*COUNTIF($G118:K118,"&gt;"&amp;0)+2,1)=L$1,L$1,""),"")</f>
        <v>6</v>
      </c>
      <c r="M118" s="36" t="e" cm="1">
        <f t="array" ref="M118">IF(A118="","",_xlfn.XLOOKUP(D118&amp;"_"&amp;AE118,符文权重!A:A&amp;"_"&amp;符文权重!C:C,符文权重!D:D))</f>
        <v>#N/A</v>
      </c>
      <c r="N118" s="36"/>
      <c r="O118" s="36"/>
      <c r="P118" s="36"/>
      <c r="Q118" s="36"/>
      <c r="R118" s="36"/>
      <c r="S118" s="60" t="s">
        <v>192</v>
      </c>
      <c r="T118" s="60" t="s">
        <v>239</v>
      </c>
      <c r="U118" s="60" t="e">
        <f>IF(C118="","",SUBSTITUTE(SUBSTITUTE("[{global_atk,"&amp;#REF!*D118&amp;"}]",21,20),9,8))</f>
        <v>#REF!</v>
      </c>
      <c r="V118" s="61" t="str">
        <f t="shared" ref="V118:V124" si="54">"["&amp;A118&amp;"]"</f>
        <v>[5501151]</v>
      </c>
      <c r="W118" s="60" t="s">
        <v>305</v>
      </c>
      <c r="X118" s="28"/>
      <c r="Y118" s="42">
        <v>100</v>
      </c>
      <c r="Z118" s="28"/>
      <c r="AA118" s="59" t="s">
        <v>177</v>
      </c>
      <c r="AB118" s="42" t="str">
        <f t="shared" si="33"/>
        <v>召唤职业伤害&lt;color=#54b76b&gt;+0%&lt;/color&gt;</v>
      </c>
      <c r="AC118" s="57" t="str">
        <f t="shared" si="34"/>
        <v>5501151</v>
      </c>
      <c r="AD118" s="59" t="str">
        <f t="shared" si="35"/>
        <v>[0]</v>
      </c>
      <c r="AE118" s="36">
        <v>100</v>
      </c>
      <c r="AF118" s="60"/>
      <c r="AG118" s="60">
        <v>1</v>
      </c>
      <c r="AH118" s="35" t="s">
        <v>178</v>
      </c>
      <c r="AI118" s="62">
        <v>5501151</v>
      </c>
      <c r="AJ118" s="63" t="s">
        <v>306</v>
      </c>
      <c r="AK118" s="60">
        <v>0</v>
      </c>
      <c r="AL118" s="36">
        <v>1</v>
      </c>
    </row>
    <row r="119" s="27" customFormat="1" hidden="1" customHeight="1" spans="1:38">
      <c r="A119" s="57">
        <v>5501152</v>
      </c>
      <c r="B119" s="58" t="s">
        <v>229</v>
      </c>
      <c r="C119" s="57" t="str">
        <f t="shared" si="30"/>
        <v>5501151</v>
      </c>
      <c r="D119" s="59">
        <f t="shared" si="31"/>
        <v>2</v>
      </c>
      <c r="E119" s="59"/>
      <c r="F119" s="60" t="s">
        <v>174</v>
      </c>
      <c r="G119" s="36">
        <f t="shared" si="36"/>
        <v>1</v>
      </c>
      <c r="H119" s="36">
        <f>IFERROR(IF(--MID($F119,2*COUNTIF($G119:G119,"&gt;"&amp;0)+2,1)=H$1,H$1,""),"")</f>
        <v>2</v>
      </c>
      <c r="I119" s="36">
        <f>IFERROR(IF(--MID($F119,2*COUNTIF($G119:H119,"&gt;"&amp;0)+2,1)=I$1,I$1,""),"")</f>
        <v>3</v>
      </c>
      <c r="J119" s="36">
        <f>IFERROR(IF(--MID($F119,2*COUNTIF($G119:I119,"&gt;"&amp;0)+2,1)=J$1,J$1,""),"")</f>
        <v>4</v>
      </c>
      <c r="K119" s="36">
        <f>IFERROR(IF(--MID($F119,2*COUNTIF($G119:J119,"&gt;"&amp;0)+2,1)=K$1,K$1,""),"")</f>
        <v>5</v>
      </c>
      <c r="L119" s="36">
        <f>IFERROR(IF(--MID($F119,2*COUNTIF($G119:K119,"&gt;"&amp;0)+2,1)=L$1,L$1,""),"")</f>
        <v>6</v>
      </c>
      <c r="M119" s="36" t="e" cm="1">
        <f t="array" ref="M119">IF(A119="","",_xlfn.XLOOKUP(D119&amp;"_"&amp;AE119,符文权重!A:A&amp;"_"&amp;符文权重!C:C,符文权重!D:D))</f>
        <v>#N/A</v>
      </c>
      <c r="N119" s="36"/>
      <c r="O119" s="36"/>
      <c r="P119" s="36"/>
      <c r="Q119" s="36"/>
      <c r="R119" s="36"/>
      <c r="S119" s="60" t="s">
        <v>192</v>
      </c>
      <c r="T119" s="60" t="s">
        <v>239</v>
      </c>
      <c r="U119" s="60" t="e">
        <f>IF(C119="","",SUBSTITUTE(SUBSTITUTE("[{global_atk,"&amp;#REF!*D119&amp;"}]",21,20),9,8))</f>
        <v>#REF!</v>
      </c>
      <c r="V119" s="61" t="str">
        <f t="shared" si="54"/>
        <v>[5501152]</v>
      </c>
      <c r="W119" s="60" t="s">
        <v>307</v>
      </c>
      <c r="X119" s="28"/>
      <c r="Y119" s="42">
        <v>100</v>
      </c>
      <c r="Z119" s="28"/>
      <c r="AA119" s="59" t="s">
        <v>181</v>
      </c>
      <c r="AB119" s="42" t="str">
        <f t="shared" si="33"/>
        <v>召唤职业伤害&lt;color=#54b76b&gt;+0%&lt;/color&gt;</v>
      </c>
      <c r="AC119" s="57" t="str">
        <f t="shared" si="34"/>
        <v>5501151</v>
      </c>
      <c r="AD119" s="59" t="str">
        <f t="shared" si="35"/>
        <v>[0]</v>
      </c>
      <c r="AE119" s="36">
        <v>100</v>
      </c>
      <c r="AF119" s="60"/>
      <c r="AG119" s="60">
        <v>1</v>
      </c>
      <c r="AH119" s="35" t="s">
        <v>178</v>
      </c>
      <c r="AI119" s="57">
        <f t="shared" ref="AI119:AI124" si="55">AI118+1</f>
        <v>5501152</v>
      </c>
      <c r="AJ119" s="64" t="str">
        <f t="shared" ref="AJ119:AJ124" si="56">AJ118</f>
        <v>召唤职业伤害&lt;color=#54b76b&gt;+%s%&lt;/color&gt;</v>
      </c>
      <c r="AK119" s="60">
        <v>0</v>
      </c>
      <c r="AL119" s="36">
        <v>1</v>
      </c>
    </row>
    <row r="120" s="27" customFormat="1" hidden="1" customHeight="1" spans="1:38">
      <c r="A120" s="57">
        <v>5501153</v>
      </c>
      <c r="B120" s="58" t="s">
        <v>229</v>
      </c>
      <c r="C120" s="57" t="str">
        <f t="shared" si="30"/>
        <v>5501151</v>
      </c>
      <c r="D120" s="59">
        <f t="shared" si="31"/>
        <v>3</v>
      </c>
      <c r="E120" s="59"/>
      <c r="F120" s="60" t="s">
        <v>174</v>
      </c>
      <c r="G120" s="36">
        <f t="shared" si="36"/>
        <v>1</v>
      </c>
      <c r="H120" s="36">
        <f>IFERROR(IF(--MID($F120,2*COUNTIF($G120:G120,"&gt;"&amp;0)+2,1)=H$1,H$1,""),"")</f>
        <v>2</v>
      </c>
      <c r="I120" s="36">
        <f>IFERROR(IF(--MID($F120,2*COUNTIF($G120:H120,"&gt;"&amp;0)+2,1)=I$1,I$1,""),"")</f>
        <v>3</v>
      </c>
      <c r="J120" s="36">
        <f>IFERROR(IF(--MID($F120,2*COUNTIF($G120:I120,"&gt;"&amp;0)+2,1)=J$1,J$1,""),"")</f>
        <v>4</v>
      </c>
      <c r="K120" s="36">
        <f>IFERROR(IF(--MID($F120,2*COUNTIF($G120:J120,"&gt;"&amp;0)+2,1)=K$1,K$1,""),"")</f>
        <v>5</v>
      </c>
      <c r="L120" s="36">
        <f>IFERROR(IF(--MID($F120,2*COUNTIF($G120:K120,"&gt;"&amp;0)+2,1)=L$1,L$1,""),"")</f>
        <v>6</v>
      </c>
      <c r="M120" s="36" t="e" cm="1">
        <f t="array" ref="M120">IF(A120="","",_xlfn.XLOOKUP(D120&amp;"_"&amp;AE120,符文权重!A:A&amp;"_"&amp;符文权重!C:C,符文权重!D:D))</f>
        <v>#N/A</v>
      </c>
      <c r="N120" s="36"/>
      <c r="O120" s="36"/>
      <c r="P120" s="36"/>
      <c r="Q120" s="36"/>
      <c r="R120" s="36"/>
      <c r="S120" s="60" t="s">
        <v>192</v>
      </c>
      <c r="T120" s="60" t="s">
        <v>239</v>
      </c>
      <c r="U120" s="60" t="e">
        <f>IF(C120="","",SUBSTITUTE(SUBSTITUTE("[{global_atk,"&amp;#REF!*D120&amp;"}]",21,20),9,8))</f>
        <v>#REF!</v>
      </c>
      <c r="V120" s="61" t="str">
        <f t="shared" si="54"/>
        <v>[5501153]</v>
      </c>
      <c r="W120" s="60" t="s">
        <v>308</v>
      </c>
      <c r="X120" s="28"/>
      <c r="Y120" s="42">
        <v>100</v>
      </c>
      <c r="Z120" s="28"/>
      <c r="AA120" s="59" t="s">
        <v>183</v>
      </c>
      <c r="AB120" s="42" t="str">
        <f t="shared" si="33"/>
        <v>召唤职业伤害&lt;color=#54b76b&gt;+0%&lt;/color&gt;</v>
      </c>
      <c r="AC120" s="57" t="str">
        <f t="shared" si="34"/>
        <v>5501151</v>
      </c>
      <c r="AD120" s="59" t="str">
        <f t="shared" si="35"/>
        <v>[0]</v>
      </c>
      <c r="AE120" s="36">
        <v>100</v>
      </c>
      <c r="AF120" s="60"/>
      <c r="AG120" s="60">
        <v>1</v>
      </c>
      <c r="AH120" s="35" t="s">
        <v>178</v>
      </c>
      <c r="AI120" s="57">
        <f t="shared" si="55"/>
        <v>5501153</v>
      </c>
      <c r="AJ120" s="64" t="str">
        <f t="shared" si="56"/>
        <v>召唤职业伤害&lt;color=#54b76b&gt;+%s%&lt;/color&gt;</v>
      </c>
      <c r="AK120" s="60">
        <v>0</v>
      </c>
      <c r="AL120" s="36">
        <v>1</v>
      </c>
    </row>
    <row r="121" s="25" customFormat="1" hidden="1" customHeight="1" spans="1:38">
      <c r="A121" s="48">
        <v>5501154</v>
      </c>
      <c r="B121" s="34"/>
      <c r="C121" s="48" t="str">
        <f t="shared" si="30"/>
        <v>5501151</v>
      </c>
      <c r="D121" s="42">
        <f t="shared" si="31"/>
        <v>4</v>
      </c>
      <c r="E121" s="42"/>
      <c r="F121" s="36" t="s">
        <v>174</v>
      </c>
      <c r="G121" s="36">
        <f t="shared" si="36"/>
        <v>1</v>
      </c>
      <c r="H121" s="36">
        <f>IFERROR(IF(--MID($F121,2*COUNTIF($G121:G121,"&gt;"&amp;0)+2,1)=H$1,H$1,""),"")</f>
        <v>2</v>
      </c>
      <c r="I121" s="36">
        <f>IFERROR(IF(--MID($F121,2*COUNTIF($G121:H121,"&gt;"&amp;0)+2,1)=I$1,I$1,""),"")</f>
        <v>3</v>
      </c>
      <c r="J121" s="36">
        <f>IFERROR(IF(--MID($F121,2*COUNTIF($G121:I121,"&gt;"&amp;0)+2,1)=J$1,J$1,""),"")</f>
        <v>4</v>
      </c>
      <c r="K121" s="36">
        <f>IFERROR(IF(--MID($F121,2*COUNTIF($G121:J121,"&gt;"&amp;0)+2,1)=K$1,K$1,""),"")</f>
        <v>5</v>
      </c>
      <c r="L121" s="36">
        <f>IFERROR(IF(--MID($F121,2*COUNTIF($G121:K121,"&gt;"&amp;0)+2,1)=L$1,L$1,""),"")</f>
        <v>6</v>
      </c>
      <c r="M121" s="51" cm="1">
        <f t="array" ref="M121">IF($A121="","",IF(G121="","",_xlfn.XLOOKUP($D121&amp;"_"&amp;$AE121,符文权重!$A:$A&amp;"_"&amp;符文权重!$C:$C,符文权重!$D:$D)*$Y121/SUMIFS($Y:$Y,G:G,G121,$D:$D,$D121,$AE:$AE,$AE121)/SUMIF(符文权重!$A:$A,$D121,符文权重!$D:$D)))</f>
        <v>0.0229365529511942</v>
      </c>
      <c r="N121" s="51" cm="1">
        <f t="array" ref="N121">IF($A121="","",IF(H121="","",_xlfn.XLOOKUP($D121&amp;"_"&amp;$AE121,符文权重!$A:$A&amp;"_"&amp;符文权重!$C:$C,符文权重!$D:$D)*$Y121/SUMIFS($Y:$Y,H:H,H121,$D:$D,$D121,$AE:$AE,$AE121)/SUMIF(符文权重!$A:$A,$D121,符文权重!$D:$D)))</f>
        <v>0.0229365529511942</v>
      </c>
      <c r="O121" s="51" cm="1">
        <f t="array" ref="O121">IF($A121="","",IF(I121="","",_xlfn.XLOOKUP($D121&amp;"_"&amp;$AE121,符文权重!$A:$A&amp;"_"&amp;符文权重!$C:$C,符文权重!$D:$D)*$Y121/SUMIFS($Y:$Y,I:I,I121,$D:$D,$D121,$AE:$AE,$AE121)/SUMIF(符文权重!$A:$A,$D121,符文权重!$D:$D)))</f>
        <v>0.0229365529511942</v>
      </c>
      <c r="P121" s="51" cm="1">
        <f t="array" ref="P121">IF($A121="","",IF(J121="","",_xlfn.XLOOKUP($D121&amp;"_"&amp;$AE121,符文权重!$A:$A&amp;"_"&amp;符文权重!$C:$C,符文权重!$D:$D)*$Y121/SUMIFS($Y:$Y,J:J,J121,$D:$D,$D121,$AE:$AE,$AE121)/SUMIF(符文权重!$A:$A,$D121,符文权重!$D:$D)))</f>
        <v>0.0229365529511942</v>
      </c>
      <c r="Q121" s="51" cm="1">
        <f t="array" ref="Q121">IF($A121="","",IF(K121="","",_xlfn.XLOOKUP($D121&amp;"_"&amp;$AE121,符文权重!$A:$A&amp;"_"&amp;符文权重!$C:$C,符文权重!$D:$D)*$Y121/SUMIFS($Y:$Y,K:K,K121,$D:$D,$D121,$AE:$AE,$AE121)/SUMIF(符文权重!$A:$A,$D121,符文权重!$D:$D)))</f>
        <v>0.0229365529511942</v>
      </c>
      <c r="R121" s="51" cm="1">
        <f t="array" ref="R121">IF($A121="","",IF(L121="","",_xlfn.XLOOKUP($D121&amp;"_"&amp;$AE121,符文权重!$A:$A&amp;"_"&amp;符文权重!$C:$C,符文权重!$D:$D)*$Y121/SUMIFS($Y:$Y,L:L,L121,$D:$D,$D121,$AE:$AE,$AE121)/SUMIF(符文权重!$A:$A,$D121,符文权重!$D:$D)))</f>
        <v>0.0229365529511942</v>
      </c>
      <c r="S121" s="36" t="s">
        <v>192</v>
      </c>
      <c r="T121" s="36" t="s">
        <v>239</v>
      </c>
      <c r="U121" s="36" t="e">
        <f>IF(C121="","",SUBSTITUTE(SUBSTITUTE("[{global_atk,"&amp;#REF!*D121&amp;"}]",21,20),9,8))</f>
        <v>#REF!</v>
      </c>
      <c r="V121" s="52" t="str">
        <f t="shared" si="54"/>
        <v>[5501154]</v>
      </c>
      <c r="W121" s="36" t="s">
        <v>309</v>
      </c>
      <c r="X121" s="35"/>
      <c r="Y121" s="42">
        <v>100</v>
      </c>
      <c r="Z121" s="35"/>
      <c r="AA121" s="42" t="s">
        <v>185</v>
      </c>
      <c r="AB121" s="42" t="str">
        <f t="shared" si="33"/>
        <v>召唤职业伤害&lt;color=#54b76b&gt;+10%&lt;/color&gt;</v>
      </c>
      <c r="AC121" s="48" t="str">
        <f t="shared" si="34"/>
        <v>5501151</v>
      </c>
      <c r="AD121" s="42" t="str">
        <f t="shared" si="35"/>
        <v>[10]</v>
      </c>
      <c r="AE121" s="36">
        <v>1</v>
      </c>
      <c r="AF121" s="36"/>
      <c r="AG121" s="36">
        <v>0</v>
      </c>
      <c r="AH121" s="35" t="s">
        <v>178</v>
      </c>
      <c r="AI121" s="48">
        <f t="shared" si="55"/>
        <v>5501154</v>
      </c>
      <c r="AJ121" s="53" t="str">
        <f t="shared" si="56"/>
        <v>召唤职业伤害&lt;color=#54b76b&gt;+%s%&lt;/color&gt;</v>
      </c>
      <c r="AK121" s="36">
        <v>10</v>
      </c>
      <c r="AL121" s="36">
        <v>1</v>
      </c>
    </row>
    <row r="122" s="25" customFormat="1" hidden="1" customHeight="1" spans="1:38">
      <c r="A122" s="48">
        <v>5501155</v>
      </c>
      <c r="B122" s="34"/>
      <c r="C122" s="48" t="str">
        <f t="shared" si="30"/>
        <v>5501151</v>
      </c>
      <c r="D122" s="42">
        <f t="shared" si="31"/>
        <v>5</v>
      </c>
      <c r="E122" s="42"/>
      <c r="F122" s="36" t="s">
        <v>174</v>
      </c>
      <c r="G122" s="36">
        <f t="shared" si="36"/>
        <v>1</v>
      </c>
      <c r="H122" s="36">
        <f>IFERROR(IF(--MID($F122,2*COUNTIF($G122:G122,"&gt;"&amp;0)+2,1)=H$1,H$1,""),"")</f>
        <v>2</v>
      </c>
      <c r="I122" s="36">
        <f>IFERROR(IF(--MID($F122,2*COUNTIF($G122:H122,"&gt;"&amp;0)+2,1)=I$1,I$1,""),"")</f>
        <v>3</v>
      </c>
      <c r="J122" s="36">
        <f>IFERROR(IF(--MID($F122,2*COUNTIF($G122:I122,"&gt;"&amp;0)+2,1)=J$1,J$1,""),"")</f>
        <v>4</v>
      </c>
      <c r="K122" s="36">
        <f>IFERROR(IF(--MID($F122,2*COUNTIF($G122:J122,"&gt;"&amp;0)+2,1)=K$1,K$1,""),"")</f>
        <v>5</v>
      </c>
      <c r="L122" s="36">
        <f>IFERROR(IF(--MID($F122,2*COUNTIF($G122:K122,"&gt;"&amp;0)+2,1)=L$1,L$1,""),"")</f>
        <v>6</v>
      </c>
      <c r="M122" s="51" cm="1">
        <f t="array" ref="M122">IF($A122="","",IF(G122="","",_xlfn.XLOOKUP($D122&amp;"_"&amp;$AE122,符文权重!$A:$A&amp;"_"&amp;符文权重!$C:$C,符文权重!$D:$D)*$Y122/SUMIFS($Y:$Y,G:G,G122,$D:$D,$D122,$AE:$AE,$AE122)/SUMIF(符文权重!$A:$A,$D122,符文权重!$D:$D)))</f>
        <v>0.0204</v>
      </c>
      <c r="N122" s="51" cm="1">
        <f t="array" ref="N122">IF($A122="","",IF(H122="","",_xlfn.XLOOKUP($D122&amp;"_"&amp;$AE122,符文权重!$A:$A&amp;"_"&amp;符文权重!$C:$C,符文权重!$D:$D)*$Y122/SUMIFS($Y:$Y,H:H,H122,$D:$D,$D122,$AE:$AE,$AE122)/SUMIF(符文权重!$A:$A,$D122,符文权重!$D:$D)))</f>
        <v>0.0204</v>
      </c>
      <c r="O122" s="51" cm="1">
        <f t="array" ref="O122">IF($A122="","",IF(I122="","",_xlfn.XLOOKUP($D122&amp;"_"&amp;$AE122,符文权重!$A:$A&amp;"_"&amp;符文权重!$C:$C,符文权重!$D:$D)*$Y122/SUMIFS($Y:$Y,I:I,I122,$D:$D,$D122,$AE:$AE,$AE122)/SUMIF(符文权重!$A:$A,$D122,符文权重!$D:$D)))</f>
        <v>0.0204</v>
      </c>
      <c r="P122" s="51" cm="1">
        <f t="array" ref="P122">IF($A122="","",IF(J122="","",_xlfn.XLOOKUP($D122&amp;"_"&amp;$AE122,符文权重!$A:$A&amp;"_"&amp;符文权重!$C:$C,符文权重!$D:$D)*$Y122/SUMIFS($Y:$Y,J:J,J122,$D:$D,$D122,$AE:$AE,$AE122)/SUMIF(符文权重!$A:$A,$D122,符文权重!$D:$D)))</f>
        <v>0.0204</v>
      </c>
      <c r="Q122" s="51" cm="1">
        <f t="array" ref="Q122">IF($A122="","",IF(K122="","",_xlfn.XLOOKUP($D122&amp;"_"&amp;$AE122,符文权重!$A:$A&amp;"_"&amp;符文权重!$C:$C,符文权重!$D:$D)*$Y122/SUMIFS($Y:$Y,K:K,K122,$D:$D,$D122,$AE:$AE,$AE122)/SUMIF(符文权重!$A:$A,$D122,符文权重!$D:$D)))</f>
        <v>0.0204</v>
      </c>
      <c r="R122" s="51" cm="1">
        <f t="array" ref="R122">IF($A122="","",IF(L122="","",_xlfn.XLOOKUP($D122&amp;"_"&amp;$AE122,符文权重!$A:$A&amp;"_"&amp;符文权重!$C:$C,符文权重!$D:$D)*$Y122/SUMIFS($Y:$Y,L:L,L122,$D:$D,$D122,$AE:$AE,$AE122)/SUMIF(符文权重!$A:$A,$D122,符文权重!$D:$D)))</f>
        <v>0.0204</v>
      </c>
      <c r="S122" s="36" t="s">
        <v>192</v>
      </c>
      <c r="T122" s="36" t="s">
        <v>239</v>
      </c>
      <c r="U122" s="36" t="e">
        <f>IF(C122="","",SUBSTITUTE(SUBSTITUTE("[{global_atk,"&amp;#REF!*D122&amp;"}]",21,20),9,8))</f>
        <v>#REF!</v>
      </c>
      <c r="V122" s="52" t="str">
        <f t="shared" si="54"/>
        <v>[5501155]</v>
      </c>
      <c r="W122" s="36" t="s">
        <v>310</v>
      </c>
      <c r="X122" s="35"/>
      <c r="Y122" s="42">
        <v>100</v>
      </c>
      <c r="Z122" s="35"/>
      <c r="AA122" s="42" t="s">
        <v>187</v>
      </c>
      <c r="AB122" s="42" t="str">
        <f t="shared" si="33"/>
        <v>召唤职业伤害&lt;color=#54b76b&gt;+12.5%&lt;/color&gt;</v>
      </c>
      <c r="AC122" s="48" t="str">
        <f t="shared" si="34"/>
        <v>5501151</v>
      </c>
      <c r="AD122" s="42" t="str">
        <f t="shared" si="35"/>
        <v>[12.5]</v>
      </c>
      <c r="AE122" s="36">
        <v>1</v>
      </c>
      <c r="AF122" s="36"/>
      <c r="AG122" s="36">
        <v>0</v>
      </c>
      <c r="AH122" s="35" t="s">
        <v>178</v>
      </c>
      <c r="AI122" s="48">
        <f t="shared" si="55"/>
        <v>5501155</v>
      </c>
      <c r="AJ122" s="53" t="str">
        <f t="shared" si="56"/>
        <v>召唤职业伤害&lt;color=#54b76b&gt;+%s%&lt;/color&gt;</v>
      </c>
      <c r="AK122" s="36">
        <v>12.5</v>
      </c>
      <c r="AL122" s="36">
        <v>1</v>
      </c>
    </row>
    <row r="123" s="25" customFormat="1" hidden="1" customHeight="1" spans="1:38">
      <c r="A123" s="48">
        <v>5501156</v>
      </c>
      <c r="B123" s="41"/>
      <c r="C123" s="48" t="str">
        <f t="shared" si="30"/>
        <v>5501151</v>
      </c>
      <c r="D123" s="42">
        <f t="shared" si="31"/>
        <v>6</v>
      </c>
      <c r="E123" s="42"/>
      <c r="F123" s="36" t="s">
        <v>174</v>
      </c>
      <c r="G123" s="36">
        <f t="shared" si="36"/>
        <v>1</v>
      </c>
      <c r="H123" s="36">
        <f>IFERROR(IF(--MID($F123,2*COUNTIF($G123:G123,"&gt;"&amp;0)+2,1)=H$1,H$1,""),"")</f>
        <v>2</v>
      </c>
      <c r="I123" s="36">
        <f>IFERROR(IF(--MID($F123,2*COUNTIF($G123:H123,"&gt;"&amp;0)+2,1)=I$1,I$1,""),"")</f>
        <v>3</v>
      </c>
      <c r="J123" s="36">
        <f>IFERROR(IF(--MID($F123,2*COUNTIF($G123:I123,"&gt;"&amp;0)+2,1)=J$1,J$1,""),"")</f>
        <v>4</v>
      </c>
      <c r="K123" s="36">
        <f>IFERROR(IF(--MID($F123,2*COUNTIF($G123:J123,"&gt;"&amp;0)+2,1)=K$1,K$1,""),"")</f>
        <v>5</v>
      </c>
      <c r="L123" s="36">
        <f>IFERROR(IF(--MID($F123,2*COUNTIF($G123:K123,"&gt;"&amp;0)+2,1)=L$1,L$1,""),"")</f>
        <v>6</v>
      </c>
      <c r="M123" s="51" cm="1">
        <f t="array" ref="M123">IF($A123="","",IF(G123="","",_xlfn.XLOOKUP($D123&amp;"_"&amp;$AE123,符文权重!$A:$A&amp;"_"&amp;符文权重!$C:$C,符文权重!$D:$D)*$Y123/SUMIFS($Y:$Y,G:G,G123,$D:$D,$D123,$AE:$AE,$AE123)/SUMIF(符文权重!$A:$A,$D123,符文权重!$D:$D)))</f>
        <v>0.0204</v>
      </c>
      <c r="N123" s="51" cm="1">
        <f t="array" ref="N123">IF($A123="","",IF(H123="","",_xlfn.XLOOKUP($D123&amp;"_"&amp;$AE123,符文权重!$A:$A&amp;"_"&amp;符文权重!$C:$C,符文权重!$D:$D)*$Y123/SUMIFS($Y:$Y,H:H,H123,$D:$D,$D123,$AE:$AE,$AE123)/SUMIF(符文权重!$A:$A,$D123,符文权重!$D:$D)))</f>
        <v>0.0204</v>
      </c>
      <c r="O123" s="51" cm="1">
        <f t="array" ref="O123">IF($A123="","",IF(I123="","",_xlfn.XLOOKUP($D123&amp;"_"&amp;$AE123,符文权重!$A:$A&amp;"_"&amp;符文权重!$C:$C,符文权重!$D:$D)*$Y123/SUMIFS($Y:$Y,I:I,I123,$D:$D,$D123,$AE:$AE,$AE123)/SUMIF(符文权重!$A:$A,$D123,符文权重!$D:$D)))</f>
        <v>0.0204</v>
      </c>
      <c r="P123" s="51" cm="1">
        <f t="array" ref="P123">IF($A123="","",IF(J123="","",_xlfn.XLOOKUP($D123&amp;"_"&amp;$AE123,符文权重!$A:$A&amp;"_"&amp;符文权重!$C:$C,符文权重!$D:$D)*$Y123/SUMIFS($Y:$Y,J:J,J123,$D:$D,$D123,$AE:$AE,$AE123)/SUMIF(符文权重!$A:$A,$D123,符文权重!$D:$D)))</f>
        <v>0.0204</v>
      </c>
      <c r="Q123" s="51" cm="1">
        <f t="array" ref="Q123">IF($A123="","",IF(K123="","",_xlfn.XLOOKUP($D123&amp;"_"&amp;$AE123,符文权重!$A:$A&amp;"_"&amp;符文权重!$C:$C,符文权重!$D:$D)*$Y123/SUMIFS($Y:$Y,K:K,K123,$D:$D,$D123,$AE:$AE,$AE123)/SUMIF(符文权重!$A:$A,$D123,符文权重!$D:$D)))</f>
        <v>0.0204</v>
      </c>
      <c r="R123" s="51" cm="1">
        <f t="array" ref="R123">IF($A123="","",IF(L123="","",_xlfn.XLOOKUP($D123&amp;"_"&amp;$AE123,符文权重!$A:$A&amp;"_"&amp;符文权重!$C:$C,符文权重!$D:$D)*$Y123/SUMIFS($Y:$Y,L:L,L123,$D:$D,$D123,$AE:$AE,$AE123)/SUMIF(符文权重!$A:$A,$D123,符文权重!$D:$D)))</f>
        <v>0.0204</v>
      </c>
      <c r="S123" s="36" t="s">
        <v>192</v>
      </c>
      <c r="T123" s="36" t="s">
        <v>239</v>
      </c>
      <c r="U123" s="36" t="e">
        <f>IF(C123="","",SUBSTITUTE(SUBSTITUTE("[{global_atk,"&amp;#REF!*D123&amp;"}]",21,20),9,8))</f>
        <v>#REF!</v>
      </c>
      <c r="V123" s="52" t="str">
        <f t="shared" si="54"/>
        <v>[5501156]</v>
      </c>
      <c r="W123" s="36" t="s">
        <v>311</v>
      </c>
      <c r="X123" s="35"/>
      <c r="Y123" s="42">
        <v>100</v>
      </c>
      <c r="Z123" s="35"/>
      <c r="AA123" s="42" t="s">
        <v>189</v>
      </c>
      <c r="AB123" s="42" t="str">
        <f t="shared" si="33"/>
        <v>召唤职业伤害&lt;color=#54b76b&gt;+15%&lt;/color&gt;</v>
      </c>
      <c r="AC123" s="48" t="str">
        <f t="shared" si="34"/>
        <v>5501151</v>
      </c>
      <c r="AD123" s="42" t="str">
        <f t="shared" si="35"/>
        <v>[15]</v>
      </c>
      <c r="AE123" s="36">
        <v>1</v>
      </c>
      <c r="AF123" s="36"/>
      <c r="AG123" s="36">
        <v>0</v>
      </c>
      <c r="AH123" s="35" t="s">
        <v>178</v>
      </c>
      <c r="AI123" s="48">
        <f t="shared" si="55"/>
        <v>5501156</v>
      </c>
      <c r="AJ123" s="53" t="str">
        <f t="shared" si="56"/>
        <v>召唤职业伤害&lt;color=#54b76b&gt;+%s%&lt;/color&gt;</v>
      </c>
      <c r="AK123" s="36">
        <v>15</v>
      </c>
      <c r="AL123" s="36">
        <v>1</v>
      </c>
    </row>
    <row r="124" s="25" customFormat="1" hidden="1" customHeight="1" spans="1:38">
      <c r="A124" s="48">
        <v>5501157</v>
      </c>
      <c r="B124" s="41"/>
      <c r="C124" s="48" t="str">
        <f t="shared" si="30"/>
        <v>5501151</v>
      </c>
      <c r="D124" s="42">
        <f t="shared" si="31"/>
        <v>7</v>
      </c>
      <c r="E124" s="42"/>
      <c r="F124" s="36" t="s">
        <v>174</v>
      </c>
      <c r="G124" s="36">
        <f t="shared" si="36"/>
        <v>1</v>
      </c>
      <c r="H124" s="36">
        <f>IFERROR(IF(--MID($F124,2*COUNTIF($G124:G124,"&gt;"&amp;0)+2,1)=H$1,H$1,""),"")</f>
        <v>2</v>
      </c>
      <c r="I124" s="36">
        <f>IFERROR(IF(--MID($F124,2*COUNTIF($G124:H124,"&gt;"&amp;0)+2,1)=I$1,I$1,""),"")</f>
        <v>3</v>
      </c>
      <c r="J124" s="36">
        <f>IFERROR(IF(--MID($F124,2*COUNTIF($G124:I124,"&gt;"&amp;0)+2,1)=J$1,J$1,""),"")</f>
        <v>4</v>
      </c>
      <c r="K124" s="36">
        <f>IFERROR(IF(--MID($F124,2*COUNTIF($G124:J124,"&gt;"&amp;0)+2,1)=K$1,K$1,""),"")</f>
        <v>5</v>
      </c>
      <c r="L124" s="36">
        <f>IFERROR(IF(--MID($F124,2*COUNTIF($G124:K124,"&gt;"&amp;0)+2,1)=L$1,L$1,""),"")</f>
        <v>6</v>
      </c>
      <c r="M124" s="51" cm="1">
        <f t="array" ref="M124">IF($A124="","",IF(G124="","",_xlfn.XLOOKUP($D124&amp;"_"&amp;$AE124,符文权重!$A:$A&amp;"_"&amp;符文权重!$C:$C,符文权重!$D:$D)*$Y124/SUMIFS($Y:$Y,G:G,G124,$D:$D,$D124,$AE:$AE,$AE124)/SUMIF(符文权重!$A:$A,$D124,符文权重!$D:$D)))</f>
        <v>0.0204</v>
      </c>
      <c r="N124" s="51" cm="1">
        <f t="array" ref="N124">IF($A124="","",IF(H124="","",_xlfn.XLOOKUP($D124&amp;"_"&amp;$AE124,符文权重!$A:$A&amp;"_"&amp;符文权重!$C:$C,符文权重!$D:$D)*$Y124/SUMIFS($Y:$Y,H:H,H124,$D:$D,$D124,$AE:$AE,$AE124)/SUMIF(符文权重!$A:$A,$D124,符文权重!$D:$D)))</f>
        <v>0.0204</v>
      </c>
      <c r="O124" s="51" cm="1">
        <f t="array" ref="O124">IF($A124="","",IF(I124="","",_xlfn.XLOOKUP($D124&amp;"_"&amp;$AE124,符文权重!$A:$A&amp;"_"&amp;符文权重!$C:$C,符文权重!$D:$D)*$Y124/SUMIFS($Y:$Y,I:I,I124,$D:$D,$D124,$AE:$AE,$AE124)/SUMIF(符文权重!$A:$A,$D124,符文权重!$D:$D)))</f>
        <v>0.0204</v>
      </c>
      <c r="P124" s="51" cm="1">
        <f t="array" ref="P124">IF($A124="","",IF(J124="","",_xlfn.XLOOKUP($D124&amp;"_"&amp;$AE124,符文权重!$A:$A&amp;"_"&amp;符文权重!$C:$C,符文权重!$D:$D)*$Y124/SUMIFS($Y:$Y,J:J,J124,$D:$D,$D124,$AE:$AE,$AE124)/SUMIF(符文权重!$A:$A,$D124,符文权重!$D:$D)))</f>
        <v>0.0204</v>
      </c>
      <c r="Q124" s="51" cm="1">
        <f t="array" ref="Q124">IF($A124="","",IF(K124="","",_xlfn.XLOOKUP($D124&amp;"_"&amp;$AE124,符文权重!$A:$A&amp;"_"&amp;符文权重!$C:$C,符文权重!$D:$D)*$Y124/SUMIFS($Y:$Y,K:K,K124,$D:$D,$D124,$AE:$AE,$AE124)/SUMIF(符文权重!$A:$A,$D124,符文权重!$D:$D)))</f>
        <v>0.0204</v>
      </c>
      <c r="R124" s="51" cm="1">
        <f t="array" ref="R124">IF($A124="","",IF(L124="","",_xlfn.XLOOKUP($D124&amp;"_"&amp;$AE124,符文权重!$A:$A&amp;"_"&amp;符文权重!$C:$C,符文权重!$D:$D)*$Y124/SUMIFS($Y:$Y,L:L,L124,$D:$D,$D124,$AE:$AE,$AE124)/SUMIF(符文权重!$A:$A,$D124,符文权重!$D:$D)))</f>
        <v>0.0204</v>
      </c>
      <c r="S124" s="36" t="s">
        <v>192</v>
      </c>
      <c r="T124" s="36" t="s">
        <v>239</v>
      </c>
      <c r="U124" s="36" t="e">
        <f>IF(C124="","",SUBSTITUTE(SUBSTITUTE("[{global_atk,"&amp;#REF!*D124&amp;"}]",21,20),9,8))</f>
        <v>#REF!</v>
      </c>
      <c r="V124" s="52" t="str">
        <f t="shared" si="54"/>
        <v>[5501157]</v>
      </c>
      <c r="W124" s="36" t="s">
        <v>312</v>
      </c>
      <c r="X124" s="35"/>
      <c r="Y124" s="42">
        <v>100</v>
      </c>
      <c r="Z124" s="35"/>
      <c r="AA124" s="42" t="s">
        <v>191</v>
      </c>
      <c r="AB124" s="42" t="str">
        <f t="shared" si="33"/>
        <v>召唤职业伤害&lt;color=#54b76b&gt;+20%&lt;/color&gt;</v>
      </c>
      <c r="AC124" s="48" t="str">
        <f t="shared" si="34"/>
        <v>5501151</v>
      </c>
      <c r="AD124" s="42" t="str">
        <f t="shared" si="35"/>
        <v>[20]</v>
      </c>
      <c r="AE124" s="36">
        <v>1</v>
      </c>
      <c r="AF124" s="36"/>
      <c r="AG124" s="36">
        <v>0</v>
      </c>
      <c r="AH124" s="35" t="s">
        <v>178</v>
      </c>
      <c r="AI124" s="48">
        <f t="shared" si="55"/>
        <v>5501157</v>
      </c>
      <c r="AJ124" s="53" t="str">
        <f t="shared" si="56"/>
        <v>召唤职业伤害&lt;color=#54b76b&gt;+%s%&lt;/color&gt;</v>
      </c>
      <c r="AK124" s="36">
        <v>20</v>
      </c>
      <c r="AL124" s="36">
        <v>1</v>
      </c>
    </row>
    <row r="125" s="25" customFormat="1" hidden="1" customHeight="1" spans="1:38">
      <c r="A125" s="48" t="s">
        <v>178</v>
      </c>
      <c r="B125" s="41"/>
      <c r="C125" s="48" t="str">
        <f t="shared" si="30"/>
        <v/>
      </c>
      <c r="D125" s="42" t="str">
        <f t="shared" si="31"/>
        <v/>
      </c>
      <c r="E125" s="42"/>
      <c r="F125" s="36"/>
      <c r="G125" s="36" t="str">
        <f t="shared" si="36"/>
        <v/>
      </c>
      <c r="H125" s="36" t="str">
        <f>IFERROR(IF(--MID($F125,2*COUNTIF($G125:G125,"&gt;"&amp;0)+2,1)=H$1,H$1,""),"")</f>
        <v/>
      </c>
      <c r="I125" s="36" t="str">
        <f>IFERROR(IF(--MID($F125,2*COUNTIF($G125:H125,"&gt;"&amp;0)+2,1)=I$1,I$1,""),"")</f>
        <v/>
      </c>
      <c r="J125" s="36" t="str">
        <f>IFERROR(IF(--MID($F125,2*COUNTIF($G125:I125,"&gt;"&amp;0)+2,1)=J$1,J$1,""),"")</f>
        <v/>
      </c>
      <c r="K125" s="36" t="str">
        <f>IFERROR(IF(--MID($F125,2*COUNTIF($G125:J125,"&gt;"&amp;0)+2,1)=K$1,K$1,""),"")</f>
        <v/>
      </c>
      <c r="L125" s="36" t="str">
        <f>IFERROR(IF(--MID($F125,2*COUNTIF($G125:K125,"&gt;"&amp;0)+2,1)=L$1,L$1,""),"")</f>
        <v/>
      </c>
      <c r="M125" s="51" t="str" cm="1">
        <f t="array" ref="M125">IF($A125="","",IF(G125="","",_xlfn.XLOOKUP($D125&amp;"_"&amp;$AE125,符文权重!$A:$A&amp;"_"&amp;符文权重!$C:$C,符文权重!$D:$D)*$Y125/SUMIFS($Y:$Y,G:G,G125,$D:$D,$D125,$AE:$AE,$AE125)/SUMIF(符文权重!$A:$A,$D125,符文权重!$D:$D)))</f>
        <v/>
      </c>
      <c r="N125" s="36" t="str" cm="1">
        <f t="array" ref="N125">IF($A125="","",IF(H125="","",_xlfn.XLOOKUP($D125&amp;"_"&amp;$AE125,符文权重!$A:$A&amp;"_"&amp;符文权重!$C:$C,符文权重!$D:$D)*$Y125/SUMIFS($Y:$Y,H:H,H125,$D:$D,$D$6,$AE:$AE,$AE$6)))</f>
        <v/>
      </c>
      <c r="O125" s="36" t="str" cm="1">
        <f t="array" ref="O125">IF($A125="","",IF(I125="","",_xlfn.XLOOKUP($D125&amp;"_"&amp;$AE125,符文权重!$A:$A&amp;"_"&amp;符文权重!$C:$C,符文权重!$D:$D)*$Y125/SUMIFS($Y:$Y,I:I,I125,$D:$D,$D$6,$AE:$AE,$AE$6)))</f>
        <v/>
      </c>
      <c r="P125" s="36" t="str" cm="1">
        <f t="array" ref="P125">IF($A125="","",IF(J125="","",_xlfn.XLOOKUP($D125&amp;"_"&amp;$AE125,符文权重!$A:$A&amp;"_"&amp;符文权重!$C:$C,符文权重!$D:$D)*$Y125/SUMIFS($Y:$Y,J:J,J125,$D:$D,$D$6,$AE:$AE,$AE$6)))</f>
        <v/>
      </c>
      <c r="Q125" s="36" t="str" cm="1">
        <f t="array" ref="Q125">IF($A125="","",IF(K125="","",_xlfn.XLOOKUP($D125&amp;"_"&amp;$AE125,符文权重!$A:$A&amp;"_"&amp;符文权重!$C:$C,符文权重!$D:$D)*$Y125/SUMIFS($Y:$Y,K:K,K125,$D:$D,$D$6,$AE:$AE,$AE$6)))</f>
        <v/>
      </c>
      <c r="R125" s="36" t="str" cm="1">
        <f t="array" ref="R125">IF($A125="","",IF(L125="","",_xlfn.XLOOKUP($D125&amp;"_"&amp;$AE125,符文权重!$A:$A&amp;"_"&amp;符文权重!$C:$C,符文权重!$D:$D)*$Y125/SUMIFS($Y:$Y,L:L,L125,$D:$D,$D$6,$AE:$AE,$AE$6)))</f>
        <v/>
      </c>
      <c r="S125" s="36"/>
      <c r="T125" s="36"/>
      <c r="U125" s="36"/>
      <c r="V125" s="52"/>
      <c r="W125" s="41"/>
      <c r="X125" s="35"/>
      <c r="Y125" s="42"/>
      <c r="Z125" s="35"/>
      <c r="AA125" s="42" t="s">
        <v>178</v>
      </c>
      <c r="AB125" s="42" t="str">
        <f t="shared" si="33"/>
        <v/>
      </c>
      <c r="AC125" s="48" t="str">
        <f t="shared" si="34"/>
        <v/>
      </c>
      <c r="AD125" s="42" t="str">
        <f t="shared" si="35"/>
        <v/>
      </c>
      <c r="AE125" s="36"/>
      <c r="AF125" s="36"/>
      <c r="AG125" s="36"/>
      <c r="AH125" s="35" t="s">
        <v>178</v>
      </c>
      <c r="AI125" s="33"/>
      <c r="AJ125" s="56"/>
      <c r="AK125" s="36"/>
      <c r="AL125" s="36"/>
    </row>
    <row r="126" s="25" customFormat="1" hidden="1" customHeight="1" spans="1:38">
      <c r="A126" s="48">
        <v>5501161</v>
      </c>
      <c r="B126" s="34" t="s">
        <v>313</v>
      </c>
      <c r="C126" s="48" t="str">
        <f t="shared" si="30"/>
        <v>5501161</v>
      </c>
      <c r="D126" s="42">
        <f t="shared" si="31"/>
        <v>1</v>
      </c>
      <c r="E126" s="42"/>
      <c r="F126" s="36" t="s">
        <v>174</v>
      </c>
      <c r="G126" s="36">
        <f t="shared" si="36"/>
        <v>1</v>
      </c>
      <c r="H126" s="36">
        <f>IFERROR(IF(--MID($F126,2*COUNTIF($G126:G126,"&gt;"&amp;0)+2,1)=H$1,H$1,""),"")</f>
        <v>2</v>
      </c>
      <c r="I126" s="36">
        <f>IFERROR(IF(--MID($F126,2*COUNTIF($G126:H126,"&gt;"&amp;0)+2,1)=I$1,I$1,""),"")</f>
        <v>3</v>
      </c>
      <c r="J126" s="36">
        <f>IFERROR(IF(--MID($F126,2*COUNTIF($G126:I126,"&gt;"&amp;0)+2,1)=J$1,J$1,""),"")</f>
        <v>4</v>
      </c>
      <c r="K126" s="36">
        <f>IFERROR(IF(--MID($F126,2*COUNTIF($G126:J126,"&gt;"&amp;0)+2,1)=K$1,K$1,""),"")</f>
        <v>5</v>
      </c>
      <c r="L126" s="36">
        <f>IFERROR(IF(--MID($F126,2*COUNTIF($G126:K126,"&gt;"&amp;0)+2,1)=L$1,L$1,""),"")</f>
        <v>6</v>
      </c>
      <c r="M126" s="51" cm="1">
        <f t="array" ref="M126">IF($A126="","",IF(G126="","",_xlfn.XLOOKUP($D126&amp;"_"&amp;$AE126,符文权重!$A:$A&amp;"_"&amp;符文权重!$C:$C,符文权重!$D:$D)*$Y126/SUMIFS($Y:$Y,G:G,G126,$D:$D,$D126,$AE:$AE,$AE126)/SUMIF(符文权重!$A:$A,$D126,符文权重!$D:$D)))</f>
        <v>0.128571428571429</v>
      </c>
      <c r="N126" s="51" cm="1">
        <f t="array" ref="N126">IF($A126="","",IF(H126="","",_xlfn.XLOOKUP($D126&amp;"_"&amp;$AE126,符文权重!$A:$A&amp;"_"&amp;符文权重!$C:$C,符文权重!$D:$D)*$Y126/SUMIFS($Y:$Y,H:H,H126,$D:$D,$D126,$AE:$AE,$AE126)/SUMIF(符文权重!$A:$A,$D126,符文权重!$D:$D)))</f>
        <v>0.15</v>
      </c>
      <c r="O126" s="51" cm="1">
        <f t="array" ref="O126">IF($A126="","",IF(I126="","",_xlfn.XLOOKUP($D126&amp;"_"&amp;$AE126,符文权重!$A:$A&amp;"_"&amp;符文权重!$C:$C,符文权重!$D:$D)*$Y126/SUMIFS($Y:$Y,I:I,I126,$D:$D,$D126,$AE:$AE,$AE126)/SUMIF(符文权重!$A:$A,$D126,符文权重!$D:$D)))</f>
        <v>0.128571428571429</v>
      </c>
      <c r="P126" s="51" cm="1">
        <f t="array" ref="P126">IF($A126="","",IF(J126="","",_xlfn.XLOOKUP($D126&amp;"_"&amp;$AE126,符文权重!$A:$A&amp;"_"&amp;符文权重!$C:$C,符文权重!$D:$D)*$Y126/SUMIFS($Y:$Y,J:J,J126,$D:$D,$D126,$AE:$AE,$AE126)/SUMIF(符文权重!$A:$A,$D126,符文权重!$D:$D)))</f>
        <v>0.15</v>
      </c>
      <c r="Q126" s="51" cm="1">
        <f t="array" ref="Q126">IF($A126="","",IF(K126="","",_xlfn.XLOOKUP($D126&amp;"_"&amp;$AE126,符文权重!$A:$A&amp;"_"&amp;符文权重!$C:$C,符文权重!$D:$D)*$Y126/SUMIFS($Y:$Y,K:K,K126,$D:$D,$D126,$AE:$AE,$AE126)/SUMIF(符文权重!$A:$A,$D126,符文权重!$D:$D)))</f>
        <v>0.128571428571429</v>
      </c>
      <c r="R126" s="51" cm="1">
        <f t="array" ref="R126">IF($A126="","",IF(L126="","",_xlfn.XLOOKUP($D126&amp;"_"&amp;$AE126,符文权重!$A:$A&amp;"_"&amp;符文权重!$C:$C,符文权重!$D:$D)*$Y126/SUMIFS($Y:$Y,L:L,L126,$D:$D,$D126,$AE:$AE,$AE126)/SUMIF(符文权重!$A:$A,$D126,符文权重!$D:$D)))</f>
        <v>0.15</v>
      </c>
      <c r="S126" s="36" t="s">
        <v>175</v>
      </c>
      <c r="T126" s="36"/>
      <c r="U126" s="36" t="e">
        <f>IF(C126="","",SUBSTITUTE(SUBSTITUTE("[{global_atk,"&amp;#REF!*D126&amp;"}]",21,20),9,8))</f>
        <v>#REF!</v>
      </c>
      <c r="V126" s="52" t="str">
        <f t="shared" ref="V126:V132" si="57">"["&amp;A126&amp;"]"</f>
        <v>[5501161]</v>
      </c>
      <c r="W126" s="36" t="s">
        <v>314</v>
      </c>
      <c r="X126" s="35"/>
      <c r="Y126" s="42">
        <v>100</v>
      </c>
      <c r="Z126" s="35"/>
      <c r="AA126" s="42" t="s">
        <v>177</v>
      </c>
      <c r="AB126" s="42" t="str">
        <f t="shared" si="33"/>
        <v>对远程怪物伤害&lt;color=#54b76b&gt;+10%&lt;/color&gt;</v>
      </c>
      <c r="AC126" s="48" t="str">
        <f t="shared" si="34"/>
        <v>5501161</v>
      </c>
      <c r="AD126" s="42" t="str">
        <f t="shared" si="35"/>
        <v>[10]</v>
      </c>
      <c r="AE126" s="36">
        <v>2</v>
      </c>
      <c r="AF126" s="36"/>
      <c r="AG126" s="36">
        <v>0</v>
      </c>
      <c r="AH126" s="35" t="s">
        <v>178</v>
      </c>
      <c r="AI126" s="33">
        <v>5501161</v>
      </c>
      <c r="AJ126" s="55" t="s">
        <v>313</v>
      </c>
      <c r="AK126" s="36">
        <v>10</v>
      </c>
      <c r="AL126" s="36">
        <v>2</v>
      </c>
    </row>
    <row r="127" s="25" customFormat="1" hidden="1" customHeight="1" spans="1:38">
      <c r="A127" s="48">
        <v>5501162</v>
      </c>
      <c r="B127" s="34" t="s">
        <v>313</v>
      </c>
      <c r="C127" s="48" t="str">
        <f t="shared" si="30"/>
        <v>5501161</v>
      </c>
      <c r="D127" s="42">
        <f t="shared" si="31"/>
        <v>2</v>
      </c>
      <c r="E127" s="42"/>
      <c r="F127" s="36" t="s">
        <v>174</v>
      </c>
      <c r="G127" s="36">
        <f t="shared" si="36"/>
        <v>1</v>
      </c>
      <c r="H127" s="36">
        <f>IFERROR(IF(--MID($F127,2*COUNTIF($G127:G127,"&gt;"&amp;0)+2,1)=H$1,H$1,""),"")</f>
        <v>2</v>
      </c>
      <c r="I127" s="36">
        <f>IFERROR(IF(--MID($F127,2*COUNTIF($G127:H127,"&gt;"&amp;0)+2,1)=I$1,I$1,""),"")</f>
        <v>3</v>
      </c>
      <c r="J127" s="36">
        <f>IFERROR(IF(--MID($F127,2*COUNTIF($G127:I127,"&gt;"&amp;0)+2,1)=J$1,J$1,""),"")</f>
        <v>4</v>
      </c>
      <c r="K127" s="36">
        <f>IFERROR(IF(--MID($F127,2*COUNTIF($G127:J127,"&gt;"&amp;0)+2,1)=K$1,K$1,""),"")</f>
        <v>5</v>
      </c>
      <c r="L127" s="36">
        <f>IFERROR(IF(--MID($F127,2*COUNTIF($G127:K127,"&gt;"&amp;0)+2,1)=L$1,L$1,""),"")</f>
        <v>6</v>
      </c>
      <c r="M127" s="51" cm="1">
        <f t="array" ref="M127">IF($A127="","",IF(G127="","",_xlfn.XLOOKUP($D127&amp;"_"&amp;$AE127,符文权重!$A:$A&amp;"_"&amp;符文权重!$C:$C,符文权重!$D:$D)*$Y127/SUMIFS($Y:$Y,G:G,G127,$D:$D,$D127,$AE:$AE,$AE127)/SUMIF(符文权重!$A:$A,$D127,符文权重!$D:$D)))</f>
        <v>0.1</v>
      </c>
      <c r="N127" s="51" cm="1">
        <f t="array" ref="N127">IF($A127="","",IF(H127="","",_xlfn.XLOOKUP($D127&amp;"_"&amp;$AE127,符文权重!$A:$A&amp;"_"&amp;符文权重!$C:$C,符文权重!$D:$D)*$Y127/SUMIFS($Y:$Y,H:H,H127,$D:$D,$D127,$AE:$AE,$AE127)/SUMIF(符文权重!$A:$A,$D127,符文权重!$D:$D)))</f>
        <v>0.11</v>
      </c>
      <c r="O127" s="51" cm="1">
        <f t="array" ref="O127">IF($A127="","",IF(I127="","",_xlfn.XLOOKUP($D127&amp;"_"&amp;$AE127,符文权重!$A:$A&amp;"_"&amp;符文权重!$C:$C,符文权重!$D:$D)*$Y127/SUMIFS($Y:$Y,I:I,I127,$D:$D,$D127,$AE:$AE,$AE127)/SUMIF(符文权重!$A:$A,$D127,符文权重!$D:$D)))</f>
        <v>0.1</v>
      </c>
      <c r="P127" s="51" cm="1">
        <f t="array" ref="P127">IF($A127="","",IF(J127="","",_xlfn.XLOOKUP($D127&amp;"_"&amp;$AE127,符文权重!$A:$A&amp;"_"&amp;符文权重!$C:$C,符文权重!$D:$D)*$Y127/SUMIFS($Y:$Y,J:J,J127,$D:$D,$D127,$AE:$AE,$AE127)/SUMIF(符文权重!$A:$A,$D127,符文权重!$D:$D)))</f>
        <v>0.11</v>
      </c>
      <c r="Q127" s="51" cm="1">
        <f t="array" ref="Q127">IF($A127="","",IF(K127="","",_xlfn.XLOOKUP($D127&amp;"_"&amp;$AE127,符文权重!$A:$A&amp;"_"&amp;符文权重!$C:$C,符文权重!$D:$D)*$Y127/SUMIFS($Y:$Y,K:K,K127,$D:$D,$D127,$AE:$AE,$AE127)/SUMIF(符文权重!$A:$A,$D127,符文权重!$D:$D)))</f>
        <v>0.1</v>
      </c>
      <c r="R127" s="51" cm="1">
        <f t="array" ref="R127">IF($A127="","",IF(L127="","",_xlfn.XLOOKUP($D127&amp;"_"&amp;$AE127,符文权重!$A:$A&amp;"_"&amp;符文权重!$C:$C,符文权重!$D:$D)*$Y127/SUMIFS($Y:$Y,L:L,L127,$D:$D,$D127,$AE:$AE,$AE127)/SUMIF(符文权重!$A:$A,$D127,符文权重!$D:$D)))</f>
        <v>0.11</v>
      </c>
      <c r="S127" s="36" t="s">
        <v>175</v>
      </c>
      <c r="T127" s="36"/>
      <c r="U127" s="36" t="e">
        <f>IF(C127="","",SUBSTITUTE(SUBSTITUTE("[{global_atk,"&amp;#REF!*D127&amp;"}]",21,20),9,8))</f>
        <v>#REF!</v>
      </c>
      <c r="V127" s="52" t="str">
        <f t="shared" si="57"/>
        <v>[5501162]</v>
      </c>
      <c r="W127" s="36" t="s">
        <v>315</v>
      </c>
      <c r="X127" s="35"/>
      <c r="Y127" s="42">
        <v>100</v>
      </c>
      <c r="Z127" s="35"/>
      <c r="AA127" s="42" t="s">
        <v>181</v>
      </c>
      <c r="AB127" s="42" t="str">
        <f t="shared" si="33"/>
        <v>对远程怪物伤害&lt;color=#54b76b&gt;+15%&lt;/color&gt;</v>
      </c>
      <c r="AC127" s="48" t="str">
        <f t="shared" si="34"/>
        <v>5501161</v>
      </c>
      <c r="AD127" s="42" t="str">
        <f t="shared" si="35"/>
        <v>[15]</v>
      </c>
      <c r="AE127" s="36">
        <v>2</v>
      </c>
      <c r="AF127" s="36"/>
      <c r="AG127" s="36">
        <v>0</v>
      </c>
      <c r="AH127" s="35" t="s">
        <v>178</v>
      </c>
      <c r="AI127" s="48">
        <f t="shared" ref="AI127:AI132" si="58">AI126+1</f>
        <v>5501162</v>
      </c>
      <c r="AJ127" s="53" t="str">
        <f t="shared" ref="AJ127:AJ132" si="59">AJ126</f>
        <v>对远程怪物伤害&lt;color=#54b76b&gt;+%s%&lt;/color&gt;</v>
      </c>
      <c r="AK127" s="36">
        <v>15</v>
      </c>
      <c r="AL127" s="36">
        <v>2</v>
      </c>
    </row>
    <row r="128" s="25" customFormat="1" hidden="1" customHeight="1" spans="1:38">
      <c r="A128" s="48">
        <v>5501163</v>
      </c>
      <c r="B128" s="34" t="s">
        <v>313</v>
      </c>
      <c r="C128" s="48" t="str">
        <f t="shared" si="30"/>
        <v>5501161</v>
      </c>
      <c r="D128" s="42">
        <f t="shared" si="31"/>
        <v>3</v>
      </c>
      <c r="E128" s="42"/>
      <c r="F128" s="36" t="s">
        <v>174</v>
      </c>
      <c r="G128" s="36">
        <f t="shared" si="36"/>
        <v>1</v>
      </c>
      <c r="H128" s="36">
        <f>IFERROR(IF(--MID($F128,2*COUNTIF($G128:G128,"&gt;"&amp;0)+2,1)=H$1,H$1,""),"")</f>
        <v>2</v>
      </c>
      <c r="I128" s="36">
        <f>IFERROR(IF(--MID($F128,2*COUNTIF($G128:H128,"&gt;"&amp;0)+2,1)=I$1,I$1,""),"")</f>
        <v>3</v>
      </c>
      <c r="J128" s="36">
        <f>IFERROR(IF(--MID($F128,2*COUNTIF($G128:I128,"&gt;"&amp;0)+2,1)=J$1,J$1,""),"")</f>
        <v>4</v>
      </c>
      <c r="K128" s="36">
        <f>IFERROR(IF(--MID($F128,2*COUNTIF($G128:J128,"&gt;"&amp;0)+2,1)=K$1,K$1,""),"")</f>
        <v>5</v>
      </c>
      <c r="L128" s="36">
        <f>IFERROR(IF(--MID($F128,2*COUNTIF($G128:K128,"&gt;"&amp;0)+2,1)=L$1,L$1,""),"")</f>
        <v>6</v>
      </c>
      <c r="M128" s="51" cm="1">
        <f t="array" ref="M128">IF($A128="","",IF(G128="","",_xlfn.XLOOKUP($D128&amp;"_"&amp;$AE128,符文权重!$A:$A&amp;"_"&amp;符文权重!$C:$C,符文权重!$D:$D)*$Y128/SUMIFS($Y:$Y,G:G,G128,$D:$D,$D128,$AE:$AE,$AE128)/SUMIF(符文权重!$A:$A,$D128,符文权重!$D:$D)))</f>
        <v>0.0909961685823755</v>
      </c>
      <c r="N128" s="51" cm="1">
        <f t="array" ref="N128">IF($A128="","",IF(H128="","",_xlfn.XLOOKUP($D128&amp;"_"&amp;$AE128,符文权重!$A:$A&amp;"_"&amp;符文权重!$C:$C,符文权重!$D:$D)*$Y128/SUMIFS($Y:$Y,H:H,H128,$D:$D,$D128,$AE:$AE,$AE128)/SUMIF(符文权重!$A:$A,$D128,符文权重!$D:$D)))</f>
        <v>0.112559241706161</v>
      </c>
      <c r="O128" s="51" cm="1">
        <f t="array" ref="O128">IF($A128="","",IF(I128="","",_xlfn.XLOOKUP($D128&amp;"_"&amp;$AE128,符文权重!$A:$A&amp;"_"&amp;符文权重!$C:$C,符文权重!$D:$D)*$Y128/SUMIFS($Y:$Y,I:I,I128,$D:$D,$D128,$AE:$AE,$AE128)/SUMIF(符文权重!$A:$A,$D128,符文权重!$D:$D)))</f>
        <v>0.0920542635658915</v>
      </c>
      <c r="P128" s="51" cm="1">
        <f t="array" ref="P128">IF($A128="","",IF(J128="","",_xlfn.XLOOKUP($D128&amp;"_"&amp;$AE128,符文权重!$A:$A&amp;"_"&amp;符文权重!$C:$C,符文权重!$D:$D)*$Y128/SUMIFS($Y:$Y,J:J,J128,$D:$D,$D128,$AE:$AE,$AE128)/SUMIF(符文权重!$A:$A,$D128,符文权重!$D:$D)))</f>
        <v>0.0909961685823755</v>
      </c>
      <c r="Q128" s="51" cm="1">
        <f t="array" ref="Q128">IF($A128="","",IF(K128="","",_xlfn.XLOOKUP($D128&amp;"_"&amp;$AE128,符文权重!$A:$A&amp;"_"&amp;符文权重!$C:$C,符文权重!$D:$D)*$Y128/SUMIFS($Y:$Y,K:K,K128,$D:$D,$D128,$AE:$AE,$AE128)/SUMIF(符文权重!$A:$A,$D128,符文权重!$D:$D)))</f>
        <v>0.114182692307692</v>
      </c>
      <c r="R128" s="51" cm="1">
        <f t="array" ref="R128">IF($A128="","",IF(L128="","",_xlfn.XLOOKUP($D128&amp;"_"&amp;$AE128,符文权重!$A:$A&amp;"_"&amp;符文权重!$C:$C,符文权重!$D:$D)*$Y128/SUMIFS($Y:$Y,L:L,L128,$D:$D,$D128,$AE:$AE,$AE128)/SUMIF(符文权重!$A:$A,$D128,符文权重!$D:$D)))</f>
        <v>0.0909961685823755</v>
      </c>
      <c r="S128" s="36" t="s">
        <v>175</v>
      </c>
      <c r="T128" s="36"/>
      <c r="U128" s="36" t="e">
        <f>IF(C128="","",SUBSTITUTE(SUBSTITUTE("[{global_atk,"&amp;#REF!*D128&amp;"}]",21,20),9,8))</f>
        <v>#REF!</v>
      </c>
      <c r="V128" s="52" t="str">
        <f t="shared" si="57"/>
        <v>[5501163]</v>
      </c>
      <c r="W128" s="36" t="s">
        <v>316</v>
      </c>
      <c r="X128" s="35"/>
      <c r="Y128" s="42">
        <v>100</v>
      </c>
      <c r="Z128" s="35"/>
      <c r="AA128" s="42" t="s">
        <v>183</v>
      </c>
      <c r="AB128" s="42" t="str">
        <f t="shared" si="33"/>
        <v>对远程怪物伤害&lt;color=#54b76b&gt;+20%&lt;/color&gt;</v>
      </c>
      <c r="AC128" s="48" t="str">
        <f t="shared" si="34"/>
        <v>5501161</v>
      </c>
      <c r="AD128" s="42" t="str">
        <f t="shared" si="35"/>
        <v>[20]</v>
      </c>
      <c r="AE128" s="36">
        <v>2</v>
      </c>
      <c r="AF128" s="36"/>
      <c r="AG128" s="36">
        <v>0</v>
      </c>
      <c r="AH128" s="35" t="s">
        <v>178</v>
      </c>
      <c r="AI128" s="48">
        <f t="shared" si="58"/>
        <v>5501163</v>
      </c>
      <c r="AJ128" s="53" t="str">
        <f t="shared" si="59"/>
        <v>对远程怪物伤害&lt;color=#54b76b&gt;+%s%&lt;/color&gt;</v>
      </c>
      <c r="AK128" s="36">
        <v>20</v>
      </c>
      <c r="AL128" s="36">
        <v>2</v>
      </c>
    </row>
    <row r="129" s="25" customFormat="1" hidden="1" customHeight="1" spans="1:38">
      <c r="A129" s="48">
        <v>5501164</v>
      </c>
      <c r="B129" s="34" t="s">
        <v>313</v>
      </c>
      <c r="C129" s="48" t="str">
        <f t="shared" si="30"/>
        <v>5501161</v>
      </c>
      <c r="D129" s="42">
        <f t="shared" si="31"/>
        <v>4</v>
      </c>
      <c r="E129" s="42"/>
      <c r="F129" s="36" t="s">
        <v>174</v>
      </c>
      <c r="G129" s="36">
        <f t="shared" si="36"/>
        <v>1</v>
      </c>
      <c r="H129" s="36">
        <f>IFERROR(IF(--MID($F129,2*COUNTIF($G129:G129,"&gt;"&amp;0)+2,1)=H$1,H$1,""),"")</f>
        <v>2</v>
      </c>
      <c r="I129" s="36">
        <f>IFERROR(IF(--MID($F129,2*COUNTIF($G129:H129,"&gt;"&amp;0)+2,1)=I$1,I$1,""),"")</f>
        <v>3</v>
      </c>
      <c r="J129" s="36">
        <f>IFERROR(IF(--MID($F129,2*COUNTIF($G129:I129,"&gt;"&amp;0)+2,1)=J$1,J$1,""),"")</f>
        <v>4</v>
      </c>
      <c r="K129" s="36">
        <f>IFERROR(IF(--MID($F129,2*COUNTIF($G129:J129,"&gt;"&amp;0)+2,1)=K$1,K$1,""),"")</f>
        <v>5</v>
      </c>
      <c r="L129" s="36">
        <f>IFERROR(IF(--MID($F129,2*COUNTIF($G129:K129,"&gt;"&amp;0)+2,1)=L$1,L$1,""),"")</f>
        <v>6</v>
      </c>
      <c r="M129" s="51" cm="1">
        <f t="array" ref="M129">IF($A129="","",IF(G129="","",_xlfn.XLOOKUP($D129&amp;"_"&amp;$AE129,符文权重!$A:$A&amp;"_"&amp;符文权重!$C:$C,符文权重!$D:$D)*$Y129/SUMIFS($Y:$Y,G:G,G129,$D:$D,$D129,$AE:$AE,$AE129)/SUMIF(符文权重!$A:$A,$D129,符文权重!$D:$D)))</f>
        <v>0.0628628628628629</v>
      </c>
      <c r="N129" s="51" cm="1">
        <f t="array" ref="N129">IF($A129="","",IF(H129="","",_xlfn.XLOOKUP($D129&amp;"_"&amp;$AE129,符文权重!$A:$A&amp;"_"&amp;符文权重!$C:$C,符文权重!$D:$D)*$Y129/SUMIFS($Y:$Y,H:H,H129,$D:$D,$D129,$AE:$AE,$AE129)/SUMIF(符文权重!$A:$A,$D129,符文权重!$D:$D)))</f>
        <v>0.0785785785785786</v>
      </c>
      <c r="O129" s="51" cm="1">
        <f t="array" ref="O129">IF($A129="","",IF(I129="","",_xlfn.XLOOKUP($D129&amp;"_"&amp;$AE129,符文权重!$A:$A&amp;"_"&amp;符文权重!$C:$C,符文权重!$D:$D)*$Y129/SUMIFS($Y:$Y,I:I,I129,$D:$D,$D129,$AE:$AE,$AE129)/SUMIF(符文权重!$A:$A,$D129,符文权重!$D:$D)))</f>
        <v>0.0628628628628629</v>
      </c>
      <c r="P129" s="51" cm="1">
        <f t="array" ref="P129">IF($A129="","",IF(J129="","",_xlfn.XLOOKUP($D129&amp;"_"&amp;$AE129,符文权重!$A:$A&amp;"_"&amp;符文权重!$C:$C,符文权重!$D:$D)*$Y129/SUMIFS($Y:$Y,J:J,J129,$D:$D,$D129,$AE:$AE,$AE129)/SUMIF(符文权重!$A:$A,$D129,符文权重!$D:$D)))</f>
        <v>0.0628628628628629</v>
      </c>
      <c r="Q129" s="51" cm="1">
        <f t="array" ref="Q129">IF($A129="","",IF(K129="","",_xlfn.XLOOKUP($D129&amp;"_"&amp;$AE129,符文权重!$A:$A&amp;"_"&amp;符文权重!$C:$C,符文权重!$D:$D)*$Y129/SUMIFS($Y:$Y,K:K,K129,$D:$D,$D129,$AE:$AE,$AE129)/SUMIF(符文权重!$A:$A,$D129,符文权重!$D:$D)))</f>
        <v>0.0785785785785786</v>
      </c>
      <c r="R129" s="51" cm="1">
        <f t="array" ref="R129">IF($A129="","",IF(L129="","",_xlfn.XLOOKUP($D129&amp;"_"&amp;$AE129,符文权重!$A:$A&amp;"_"&amp;符文权重!$C:$C,符文权重!$D:$D)*$Y129/SUMIFS($Y:$Y,L:L,L129,$D:$D,$D129,$AE:$AE,$AE129)/SUMIF(符文权重!$A:$A,$D129,符文权重!$D:$D)))</f>
        <v>0.0628628628628629</v>
      </c>
      <c r="S129" s="36" t="s">
        <v>175</v>
      </c>
      <c r="T129" s="36"/>
      <c r="U129" s="36" t="e">
        <f>IF(C129="","",SUBSTITUTE(SUBSTITUTE("[{global_atk,"&amp;#REF!*D129&amp;"}]",21,20),9,8))</f>
        <v>#REF!</v>
      </c>
      <c r="V129" s="52" t="str">
        <f t="shared" si="57"/>
        <v>[5501164]</v>
      </c>
      <c r="W129" s="36" t="s">
        <v>317</v>
      </c>
      <c r="X129" s="35"/>
      <c r="Y129" s="42">
        <v>100</v>
      </c>
      <c r="Z129" s="35"/>
      <c r="AA129" s="42" t="s">
        <v>185</v>
      </c>
      <c r="AB129" s="42" t="str">
        <f t="shared" si="33"/>
        <v>对远程怪物伤害&lt;color=#54b76b&gt;+25%&lt;/color&gt;</v>
      </c>
      <c r="AC129" s="48" t="str">
        <f t="shared" si="34"/>
        <v>5501161</v>
      </c>
      <c r="AD129" s="42" t="str">
        <f t="shared" si="35"/>
        <v>[25]</v>
      </c>
      <c r="AE129" s="36">
        <v>2</v>
      </c>
      <c r="AF129" s="36"/>
      <c r="AG129" s="36">
        <v>0</v>
      </c>
      <c r="AH129" s="35" t="s">
        <v>178</v>
      </c>
      <c r="AI129" s="48">
        <f t="shared" si="58"/>
        <v>5501164</v>
      </c>
      <c r="AJ129" s="53" t="str">
        <f t="shared" si="59"/>
        <v>对远程怪物伤害&lt;color=#54b76b&gt;+%s%&lt;/color&gt;</v>
      </c>
      <c r="AK129" s="36">
        <v>25</v>
      </c>
      <c r="AL129" s="36">
        <v>2</v>
      </c>
    </row>
    <row r="130" s="25" customFormat="1" hidden="1" customHeight="1" spans="1:38">
      <c r="A130" s="48">
        <v>5501165</v>
      </c>
      <c r="B130" s="34" t="s">
        <v>313</v>
      </c>
      <c r="C130" s="48" t="str">
        <f t="shared" si="30"/>
        <v>5501161</v>
      </c>
      <c r="D130" s="42">
        <f t="shared" si="31"/>
        <v>5</v>
      </c>
      <c r="E130" s="42"/>
      <c r="F130" s="36" t="s">
        <v>174</v>
      </c>
      <c r="G130" s="36">
        <f t="shared" si="36"/>
        <v>1</v>
      </c>
      <c r="H130" s="36">
        <f>IFERROR(IF(--MID($F130,2*COUNTIF($G130:G130,"&gt;"&amp;0)+2,1)=H$1,H$1,""),"")</f>
        <v>2</v>
      </c>
      <c r="I130" s="36">
        <f>IFERROR(IF(--MID($F130,2*COUNTIF($G130:H130,"&gt;"&amp;0)+2,1)=I$1,I$1,""),"")</f>
        <v>3</v>
      </c>
      <c r="J130" s="36">
        <f>IFERROR(IF(--MID($F130,2*COUNTIF($G130:I130,"&gt;"&amp;0)+2,1)=J$1,J$1,""),"")</f>
        <v>4</v>
      </c>
      <c r="K130" s="36">
        <f>IFERROR(IF(--MID($F130,2*COUNTIF($G130:J130,"&gt;"&amp;0)+2,1)=K$1,K$1,""),"")</f>
        <v>5</v>
      </c>
      <c r="L130" s="36">
        <f>IFERROR(IF(--MID($F130,2*COUNTIF($G130:K130,"&gt;"&amp;0)+2,1)=L$1,L$1,""),"")</f>
        <v>6</v>
      </c>
      <c r="M130" s="51" cm="1">
        <f t="array" ref="M130">IF($A130="","",IF(G130="","",_xlfn.XLOOKUP($D130&amp;"_"&amp;$AE130,符文权重!$A:$A&amp;"_"&amp;符文权重!$C:$C,符文权重!$D:$D)*$Y130/SUMIFS($Y:$Y,G:G,G130,$D:$D,$D130,$AE:$AE,$AE130)/SUMIF(符文权重!$A:$A,$D130,符文权重!$D:$D)))</f>
        <v>0.0612</v>
      </c>
      <c r="N130" s="51" cm="1">
        <f t="array" ref="N130">IF($A130="","",IF(H130="","",_xlfn.XLOOKUP($D130&amp;"_"&amp;$AE130,符文权重!$A:$A&amp;"_"&amp;符文权重!$C:$C,符文权重!$D:$D)*$Y130/SUMIFS($Y:$Y,H:H,H130,$D:$D,$D130,$AE:$AE,$AE130)/SUMIF(符文权重!$A:$A,$D130,符文权重!$D:$D)))</f>
        <v>0.0765</v>
      </c>
      <c r="O130" s="51" cm="1">
        <f t="array" ref="O130">IF($A130="","",IF(I130="","",_xlfn.XLOOKUP($D130&amp;"_"&amp;$AE130,符文权重!$A:$A&amp;"_"&amp;符文权重!$C:$C,符文权重!$D:$D)*$Y130/SUMIFS($Y:$Y,I:I,I130,$D:$D,$D130,$AE:$AE,$AE130)/SUMIF(符文权重!$A:$A,$D130,符文权重!$D:$D)))</f>
        <v>0.0612</v>
      </c>
      <c r="P130" s="51" cm="1">
        <f t="array" ref="P130">IF($A130="","",IF(J130="","",_xlfn.XLOOKUP($D130&amp;"_"&amp;$AE130,符文权重!$A:$A&amp;"_"&amp;符文权重!$C:$C,符文权重!$D:$D)*$Y130/SUMIFS($Y:$Y,J:J,J130,$D:$D,$D130,$AE:$AE,$AE130)/SUMIF(符文权重!$A:$A,$D130,符文权重!$D:$D)))</f>
        <v>0.0612</v>
      </c>
      <c r="Q130" s="51" cm="1">
        <f t="array" ref="Q130">IF($A130="","",IF(K130="","",_xlfn.XLOOKUP($D130&amp;"_"&amp;$AE130,符文权重!$A:$A&amp;"_"&amp;符文权重!$C:$C,符文权重!$D:$D)*$Y130/SUMIFS($Y:$Y,K:K,K130,$D:$D,$D130,$AE:$AE,$AE130)/SUMIF(符文权重!$A:$A,$D130,符文权重!$D:$D)))</f>
        <v>0.0765</v>
      </c>
      <c r="R130" s="51" cm="1">
        <f t="array" ref="R130">IF($A130="","",IF(L130="","",_xlfn.XLOOKUP($D130&amp;"_"&amp;$AE130,符文权重!$A:$A&amp;"_"&amp;符文权重!$C:$C,符文权重!$D:$D)*$Y130/SUMIFS($Y:$Y,L:L,L130,$D:$D,$D130,$AE:$AE,$AE130)/SUMIF(符文权重!$A:$A,$D130,符文权重!$D:$D)))</f>
        <v>0.0612</v>
      </c>
      <c r="S130" s="36" t="s">
        <v>175</v>
      </c>
      <c r="T130" s="36"/>
      <c r="U130" s="36" t="e">
        <f>IF(C130="","",SUBSTITUTE(SUBSTITUTE("[{global_atk,"&amp;#REF!*D130&amp;"}]",21,20),9,8))</f>
        <v>#REF!</v>
      </c>
      <c r="V130" s="52" t="str">
        <f t="shared" si="57"/>
        <v>[5501165]</v>
      </c>
      <c r="W130" s="36" t="s">
        <v>318</v>
      </c>
      <c r="X130" s="35"/>
      <c r="Y130" s="42">
        <v>100</v>
      </c>
      <c r="Z130" s="35"/>
      <c r="AA130" s="42" t="s">
        <v>187</v>
      </c>
      <c r="AB130" s="42" t="str">
        <f t="shared" si="33"/>
        <v>对远程怪物伤害&lt;color=#54b76b&gt;+32%&lt;/color&gt;</v>
      </c>
      <c r="AC130" s="48" t="str">
        <f t="shared" si="34"/>
        <v>5501161</v>
      </c>
      <c r="AD130" s="42" t="str">
        <f t="shared" si="35"/>
        <v>[32]</v>
      </c>
      <c r="AE130" s="36">
        <v>2</v>
      </c>
      <c r="AF130" s="36"/>
      <c r="AG130" s="36">
        <v>0</v>
      </c>
      <c r="AH130" s="35" t="s">
        <v>178</v>
      </c>
      <c r="AI130" s="48">
        <f t="shared" si="58"/>
        <v>5501165</v>
      </c>
      <c r="AJ130" s="53" t="str">
        <f t="shared" si="59"/>
        <v>对远程怪物伤害&lt;color=#54b76b&gt;+%s%&lt;/color&gt;</v>
      </c>
      <c r="AK130" s="36">
        <v>32</v>
      </c>
      <c r="AL130" s="36">
        <v>2</v>
      </c>
    </row>
    <row r="131" s="25" customFormat="1" hidden="1" customHeight="1" spans="1:38">
      <c r="A131" s="48">
        <v>5501166</v>
      </c>
      <c r="B131" s="34" t="s">
        <v>313</v>
      </c>
      <c r="C131" s="48" t="str">
        <f t="shared" si="30"/>
        <v>5501161</v>
      </c>
      <c r="D131" s="42">
        <f t="shared" si="31"/>
        <v>6</v>
      </c>
      <c r="E131" s="42"/>
      <c r="F131" s="36" t="s">
        <v>174</v>
      </c>
      <c r="G131" s="36">
        <f t="shared" si="36"/>
        <v>1</v>
      </c>
      <c r="H131" s="36">
        <f>IFERROR(IF(--MID($F131,2*COUNTIF($G131:G131,"&gt;"&amp;0)+2,1)=H$1,H$1,""),"")</f>
        <v>2</v>
      </c>
      <c r="I131" s="36">
        <f>IFERROR(IF(--MID($F131,2*COUNTIF($G131:H131,"&gt;"&amp;0)+2,1)=I$1,I$1,""),"")</f>
        <v>3</v>
      </c>
      <c r="J131" s="36">
        <f>IFERROR(IF(--MID($F131,2*COUNTIF($G131:I131,"&gt;"&amp;0)+2,1)=J$1,J$1,""),"")</f>
        <v>4</v>
      </c>
      <c r="K131" s="36">
        <f>IFERROR(IF(--MID($F131,2*COUNTIF($G131:J131,"&gt;"&amp;0)+2,1)=K$1,K$1,""),"")</f>
        <v>5</v>
      </c>
      <c r="L131" s="36">
        <f>IFERROR(IF(--MID($F131,2*COUNTIF($G131:K131,"&gt;"&amp;0)+2,1)=L$1,L$1,""),"")</f>
        <v>6</v>
      </c>
      <c r="M131" s="51" cm="1">
        <f t="array" ref="M131">IF($A131="","",IF(G131="","",_xlfn.XLOOKUP($D131&amp;"_"&amp;$AE131,符文权重!$A:$A&amp;"_"&amp;符文权重!$C:$C,符文权重!$D:$D)*$Y131/SUMIFS($Y:$Y,G:G,G131,$D:$D,$D131,$AE:$AE,$AE131)/SUMIF(符文权重!$A:$A,$D131,符文权重!$D:$D)))</f>
        <v>0.0612</v>
      </c>
      <c r="N131" s="51" cm="1">
        <f t="array" ref="N131">IF($A131="","",IF(H131="","",_xlfn.XLOOKUP($D131&amp;"_"&amp;$AE131,符文权重!$A:$A&amp;"_"&amp;符文权重!$C:$C,符文权重!$D:$D)*$Y131/SUMIFS($Y:$Y,H:H,H131,$D:$D,$D131,$AE:$AE,$AE131)/SUMIF(符文权重!$A:$A,$D131,符文权重!$D:$D)))</f>
        <v>0.0765</v>
      </c>
      <c r="O131" s="51" cm="1">
        <f t="array" ref="O131">IF($A131="","",IF(I131="","",_xlfn.XLOOKUP($D131&amp;"_"&amp;$AE131,符文权重!$A:$A&amp;"_"&amp;符文权重!$C:$C,符文权重!$D:$D)*$Y131/SUMIFS($Y:$Y,I:I,I131,$D:$D,$D131,$AE:$AE,$AE131)/SUMIF(符文权重!$A:$A,$D131,符文权重!$D:$D)))</f>
        <v>0.0612</v>
      </c>
      <c r="P131" s="51" cm="1">
        <f t="array" ref="P131">IF($A131="","",IF(J131="","",_xlfn.XLOOKUP($D131&amp;"_"&amp;$AE131,符文权重!$A:$A&amp;"_"&amp;符文权重!$C:$C,符文权重!$D:$D)*$Y131/SUMIFS($Y:$Y,J:J,J131,$D:$D,$D131,$AE:$AE,$AE131)/SUMIF(符文权重!$A:$A,$D131,符文权重!$D:$D)))</f>
        <v>0.0612</v>
      </c>
      <c r="Q131" s="51" cm="1">
        <f t="array" ref="Q131">IF($A131="","",IF(K131="","",_xlfn.XLOOKUP($D131&amp;"_"&amp;$AE131,符文权重!$A:$A&amp;"_"&amp;符文权重!$C:$C,符文权重!$D:$D)*$Y131/SUMIFS($Y:$Y,K:K,K131,$D:$D,$D131,$AE:$AE,$AE131)/SUMIF(符文权重!$A:$A,$D131,符文权重!$D:$D)))</f>
        <v>0.0765</v>
      </c>
      <c r="R131" s="51" cm="1">
        <f t="array" ref="R131">IF($A131="","",IF(L131="","",_xlfn.XLOOKUP($D131&amp;"_"&amp;$AE131,符文权重!$A:$A&amp;"_"&amp;符文权重!$C:$C,符文权重!$D:$D)*$Y131/SUMIFS($Y:$Y,L:L,L131,$D:$D,$D131,$AE:$AE,$AE131)/SUMIF(符文权重!$A:$A,$D131,符文权重!$D:$D)))</f>
        <v>0.0612</v>
      </c>
      <c r="S131" s="36" t="s">
        <v>175</v>
      </c>
      <c r="T131" s="36"/>
      <c r="U131" s="36" t="e">
        <f>IF(C131="","",SUBSTITUTE(SUBSTITUTE("[{global_atk,"&amp;#REF!*D131&amp;"}]",21,20),9,8))</f>
        <v>#REF!</v>
      </c>
      <c r="V131" s="52" t="str">
        <f t="shared" si="57"/>
        <v>[5501166]</v>
      </c>
      <c r="W131" s="36" t="s">
        <v>319</v>
      </c>
      <c r="X131" s="35"/>
      <c r="Y131" s="42">
        <v>100</v>
      </c>
      <c r="Z131" s="35"/>
      <c r="AA131" s="42" t="s">
        <v>189</v>
      </c>
      <c r="AB131" s="42" t="str">
        <f t="shared" si="33"/>
        <v>对远程怪物伤害&lt;color=#54b76b&gt;+40%&lt;/color&gt;</v>
      </c>
      <c r="AC131" s="48" t="str">
        <f t="shared" si="34"/>
        <v>5501161</v>
      </c>
      <c r="AD131" s="42" t="str">
        <f t="shared" si="35"/>
        <v>[40]</v>
      </c>
      <c r="AE131" s="36">
        <v>2</v>
      </c>
      <c r="AF131" s="36"/>
      <c r="AG131" s="36">
        <v>0</v>
      </c>
      <c r="AH131" s="35" t="s">
        <v>178</v>
      </c>
      <c r="AI131" s="48">
        <f t="shared" si="58"/>
        <v>5501166</v>
      </c>
      <c r="AJ131" s="53" t="str">
        <f t="shared" si="59"/>
        <v>对远程怪物伤害&lt;color=#54b76b&gt;+%s%&lt;/color&gt;</v>
      </c>
      <c r="AK131" s="36">
        <v>40</v>
      </c>
      <c r="AL131" s="36">
        <v>2</v>
      </c>
    </row>
    <row r="132" s="25" customFormat="1" hidden="1" customHeight="1" spans="1:38">
      <c r="A132" s="48">
        <v>5501167</v>
      </c>
      <c r="B132" s="34" t="s">
        <v>313</v>
      </c>
      <c r="C132" s="48" t="str">
        <f t="shared" si="30"/>
        <v>5501161</v>
      </c>
      <c r="D132" s="42">
        <f t="shared" si="31"/>
        <v>7</v>
      </c>
      <c r="E132" s="42"/>
      <c r="F132" s="36" t="s">
        <v>174</v>
      </c>
      <c r="G132" s="36">
        <f t="shared" si="36"/>
        <v>1</v>
      </c>
      <c r="H132" s="36">
        <f>IFERROR(IF(--MID($F132,2*COUNTIF($G132:G132,"&gt;"&amp;0)+2,1)=H$1,H$1,""),"")</f>
        <v>2</v>
      </c>
      <c r="I132" s="36">
        <f>IFERROR(IF(--MID($F132,2*COUNTIF($G132:H132,"&gt;"&amp;0)+2,1)=I$1,I$1,""),"")</f>
        <v>3</v>
      </c>
      <c r="J132" s="36">
        <f>IFERROR(IF(--MID($F132,2*COUNTIF($G132:I132,"&gt;"&amp;0)+2,1)=J$1,J$1,""),"")</f>
        <v>4</v>
      </c>
      <c r="K132" s="36">
        <f>IFERROR(IF(--MID($F132,2*COUNTIF($G132:J132,"&gt;"&amp;0)+2,1)=K$1,K$1,""),"")</f>
        <v>5</v>
      </c>
      <c r="L132" s="36">
        <f>IFERROR(IF(--MID($F132,2*COUNTIF($G132:K132,"&gt;"&amp;0)+2,1)=L$1,L$1,""),"")</f>
        <v>6</v>
      </c>
      <c r="M132" s="51" cm="1">
        <f t="array" ref="M132">IF($A132="","",IF(G132="","",_xlfn.XLOOKUP($D132&amp;"_"&amp;$AE132,符文权重!$A:$A&amp;"_"&amp;符文权重!$C:$C,符文权重!$D:$D)*$Y132/SUMIFS($Y:$Y,G:G,G132,$D:$D,$D132,$AE:$AE,$AE132)/SUMIF(符文权重!$A:$A,$D132,符文权重!$D:$D)))</f>
        <v>0.0612</v>
      </c>
      <c r="N132" s="51" cm="1">
        <f t="array" ref="N132">IF($A132="","",IF(H132="","",_xlfn.XLOOKUP($D132&amp;"_"&amp;$AE132,符文权重!$A:$A&amp;"_"&amp;符文权重!$C:$C,符文权重!$D:$D)*$Y132/SUMIFS($Y:$Y,H:H,H132,$D:$D,$D132,$AE:$AE,$AE132)/SUMIF(符文权重!$A:$A,$D132,符文权重!$D:$D)))</f>
        <v>0.0765</v>
      </c>
      <c r="O132" s="51" cm="1">
        <f t="array" ref="O132">IF($A132="","",IF(I132="","",_xlfn.XLOOKUP($D132&amp;"_"&amp;$AE132,符文权重!$A:$A&amp;"_"&amp;符文权重!$C:$C,符文权重!$D:$D)*$Y132/SUMIFS($Y:$Y,I:I,I132,$D:$D,$D132,$AE:$AE,$AE132)/SUMIF(符文权重!$A:$A,$D132,符文权重!$D:$D)))</f>
        <v>0.0612</v>
      </c>
      <c r="P132" s="51" cm="1">
        <f t="array" ref="P132">IF($A132="","",IF(J132="","",_xlfn.XLOOKUP($D132&amp;"_"&amp;$AE132,符文权重!$A:$A&amp;"_"&amp;符文权重!$C:$C,符文权重!$D:$D)*$Y132/SUMIFS($Y:$Y,J:J,J132,$D:$D,$D132,$AE:$AE,$AE132)/SUMIF(符文权重!$A:$A,$D132,符文权重!$D:$D)))</f>
        <v>0.0612</v>
      </c>
      <c r="Q132" s="51" cm="1">
        <f t="array" ref="Q132">IF($A132="","",IF(K132="","",_xlfn.XLOOKUP($D132&amp;"_"&amp;$AE132,符文权重!$A:$A&amp;"_"&amp;符文权重!$C:$C,符文权重!$D:$D)*$Y132/SUMIFS($Y:$Y,K:K,K132,$D:$D,$D132,$AE:$AE,$AE132)/SUMIF(符文权重!$A:$A,$D132,符文权重!$D:$D)))</f>
        <v>0.0765</v>
      </c>
      <c r="R132" s="51" cm="1">
        <f t="array" ref="R132">IF($A132="","",IF(L132="","",_xlfn.XLOOKUP($D132&amp;"_"&amp;$AE132,符文权重!$A:$A&amp;"_"&amp;符文权重!$C:$C,符文权重!$D:$D)*$Y132/SUMIFS($Y:$Y,L:L,L132,$D:$D,$D132,$AE:$AE,$AE132)/SUMIF(符文权重!$A:$A,$D132,符文权重!$D:$D)))</f>
        <v>0.0612</v>
      </c>
      <c r="S132" s="36" t="s">
        <v>175</v>
      </c>
      <c r="T132" s="36"/>
      <c r="U132" s="36" t="e">
        <f>IF(C132="","",SUBSTITUTE(SUBSTITUTE("[{global_atk,"&amp;#REF!*D132&amp;"}]",21,20),9,8))</f>
        <v>#REF!</v>
      </c>
      <c r="V132" s="52" t="str">
        <f t="shared" si="57"/>
        <v>[5501167]</v>
      </c>
      <c r="W132" s="36" t="s">
        <v>320</v>
      </c>
      <c r="X132" s="35"/>
      <c r="Y132" s="42">
        <v>100</v>
      </c>
      <c r="Z132" s="35"/>
      <c r="AA132" s="42" t="s">
        <v>191</v>
      </c>
      <c r="AB132" s="42" t="str">
        <f t="shared" si="33"/>
        <v>对远程怪物伤害&lt;color=#54b76b&gt;+50%&lt;/color&gt;</v>
      </c>
      <c r="AC132" s="48" t="str">
        <f t="shared" si="34"/>
        <v>5501161</v>
      </c>
      <c r="AD132" s="42" t="str">
        <f t="shared" si="35"/>
        <v>[50]</v>
      </c>
      <c r="AE132" s="36">
        <v>2</v>
      </c>
      <c r="AF132" s="36"/>
      <c r="AG132" s="36">
        <v>0</v>
      </c>
      <c r="AH132" s="35" t="s">
        <v>178</v>
      </c>
      <c r="AI132" s="48">
        <f t="shared" si="58"/>
        <v>5501167</v>
      </c>
      <c r="AJ132" s="53" t="str">
        <f t="shared" si="59"/>
        <v>对远程怪物伤害&lt;color=#54b76b&gt;+%s%&lt;/color&gt;</v>
      </c>
      <c r="AK132" s="36">
        <v>50</v>
      </c>
      <c r="AL132" s="36">
        <v>2</v>
      </c>
    </row>
    <row r="133" s="25" customFormat="1" hidden="1" customHeight="1" spans="1:38">
      <c r="A133" s="48"/>
      <c r="B133" s="34"/>
      <c r="C133" s="48"/>
      <c r="D133" s="42"/>
      <c r="E133" s="42"/>
      <c r="F133" s="36"/>
      <c r="G133" s="36" t="str">
        <f t="shared" si="36"/>
        <v/>
      </c>
      <c r="H133" s="36" t="str">
        <f>IFERROR(IF(--MID($F133,2*COUNTIF($G133:G133,"&gt;"&amp;0)+2,1)=H$1,H$1,""),"")</f>
        <v/>
      </c>
      <c r="I133" s="36" t="str">
        <f>IFERROR(IF(--MID($F133,2*COUNTIF($G133:H133,"&gt;"&amp;0)+2,1)=I$1,I$1,""),"")</f>
        <v/>
      </c>
      <c r="J133" s="36" t="str">
        <f>IFERROR(IF(--MID($F133,2*COUNTIF($G133:I133,"&gt;"&amp;0)+2,1)=J$1,J$1,""),"")</f>
        <v/>
      </c>
      <c r="K133" s="36" t="str">
        <f>IFERROR(IF(--MID($F133,2*COUNTIF($G133:J133,"&gt;"&amp;0)+2,1)=K$1,K$1,""),"")</f>
        <v/>
      </c>
      <c r="L133" s="36" t="str">
        <f>IFERROR(IF(--MID($F133,2*COUNTIF($G133:K133,"&gt;"&amp;0)+2,1)=L$1,L$1,""),"")</f>
        <v/>
      </c>
      <c r="M133" s="51" t="str" cm="1">
        <f t="array" ref="M133">IF($A133="","",IF(G133="","",_xlfn.XLOOKUP($D133&amp;"_"&amp;$AE133,符文权重!$A:$A&amp;"_"&amp;符文权重!$C:$C,符文权重!$D:$D)*$Y133/SUMIFS($Y:$Y,G:G,G133,$D:$D,$D133,$AE:$AE,$AE133)/SUMIF(符文权重!$A:$A,$D133,符文权重!$D:$D)))</f>
        <v/>
      </c>
      <c r="N133" s="36" t="str" cm="1">
        <f t="array" ref="N133">IF($A133="","",IF(H133="","",_xlfn.XLOOKUP($D133&amp;"_"&amp;$AE133,符文权重!$A:$A&amp;"_"&amp;符文权重!$C:$C,符文权重!$D:$D)*$Y133/SUMIFS($Y:$Y,H:H,H133,$D:$D,$D$6,$AE:$AE,$AE$6)))</f>
        <v/>
      </c>
      <c r="O133" s="36" t="str" cm="1">
        <f t="array" ref="O133">IF($A133="","",IF(I133="","",_xlfn.XLOOKUP($D133&amp;"_"&amp;$AE133,符文权重!$A:$A&amp;"_"&amp;符文权重!$C:$C,符文权重!$D:$D)*$Y133/SUMIFS($Y:$Y,I:I,I133,$D:$D,$D$6,$AE:$AE,$AE$6)))</f>
        <v/>
      </c>
      <c r="P133" s="36" t="str" cm="1">
        <f t="array" ref="P133">IF($A133="","",IF(J133="","",_xlfn.XLOOKUP($D133&amp;"_"&amp;$AE133,符文权重!$A:$A&amp;"_"&amp;符文权重!$C:$C,符文权重!$D:$D)*$Y133/SUMIFS($Y:$Y,J:J,J133,$D:$D,$D$6,$AE:$AE,$AE$6)))</f>
        <v/>
      </c>
      <c r="Q133" s="36" t="str" cm="1">
        <f t="array" ref="Q133">IF($A133="","",IF(K133="","",_xlfn.XLOOKUP($D133&amp;"_"&amp;$AE133,符文权重!$A:$A&amp;"_"&amp;符文权重!$C:$C,符文权重!$D:$D)*$Y133/SUMIFS($Y:$Y,K:K,K133,$D:$D,$D$6,$AE:$AE,$AE$6)))</f>
        <v/>
      </c>
      <c r="R133" s="36" t="str" cm="1">
        <f t="array" ref="R133">IF($A133="","",IF(L133="","",_xlfn.XLOOKUP($D133&amp;"_"&amp;$AE133,符文权重!$A:$A&amp;"_"&amp;符文权重!$C:$C,符文权重!$D:$D)*$Y133/SUMIFS($Y:$Y,L:L,L133,$D:$D,$D$6,$AE:$AE,$AE$6)))</f>
        <v/>
      </c>
      <c r="S133" s="36"/>
      <c r="T133" s="36"/>
      <c r="U133" s="36"/>
      <c r="V133" s="52"/>
      <c r="W133" s="36"/>
      <c r="X133" s="35"/>
      <c r="Y133" s="42"/>
      <c r="Z133" s="35"/>
      <c r="AA133" s="42"/>
      <c r="AB133" s="42" t="str">
        <f t="shared" si="33"/>
        <v/>
      </c>
      <c r="AC133" s="48"/>
      <c r="AD133" s="42"/>
      <c r="AE133" s="36"/>
      <c r="AF133" s="36"/>
      <c r="AG133" s="36"/>
      <c r="AH133" s="35" t="s">
        <v>178</v>
      </c>
      <c r="AI133" s="33"/>
      <c r="AJ133" s="55"/>
      <c r="AK133" s="36"/>
      <c r="AL133" s="36"/>
    </row>
    <row r="134" s="25" customFormat="1" hidden="1" customHeight="1" spans="1:38">
      <c r="A134" s="48">
        <v>5501171</v>
      </c>
      <c r="B134" s="34" t="s">
        <v>321</v>
      </c>
      <c r="C134" s="48" t="str">
        <f t="shared" ref="C134:C140" si="60">IF(ISBLANK(AI134),"",LEFT(AI134,6)&amp;1)</f>
        <v>5501171</v>
      </c>
      <c r="D134" s="42">
        <f t="shared" ref="D134:D140" si="61">IF(ISBLANK(AI134),"",VALUE(RIGHT(A134,1)))</f>
        <v>1</v>
      </c>
      <c r="E134" s="42"/>
      <c r="F134" s="36" t="s">
        <v>174</v>
      </c>
      <c r="G134" s="36">
        <f t="shared" si="36"/>
        <v>1</v>
      </c>
      <c r="H134" s="36">
        <f>IFERROR(IF(--MID($F134,2*COUNTIF($G134:G134,"&gt;"&amp;0)+2,1)=H$1,H$1,""),"")</f>
        <v>2</v>
      </c>
      <c r="I134" s="36">
        <f>IFERROR(IF(--MID($F134,2*COUNTIF($G134:H134,"&gt;"&amp;0)+2,1)=I$1,I$1,""),"")</f>
        <v>3</v>
      </c>
      <c r="J134" s="36">
        <f>IFERROR(IF(--MID($F134,2*COUNTIF($G134:I134,"&gt;"&amp;0)+2,1)=J$1,J$1,""),"")</f>
        <v>4</v>
      </c>
      <c r="K134" s="36">
        <f>IFERROR(IF(--MID($F134,2*COUNTIF($G134:J134,"&gt;"&amp;0)+2,1)=K$1,K$1,""),"")</f>
        <v>5</v>
      </c>
      <c r="L134" s="36">
        <f>IFERROR(IF(--MID($F134,2*COUNTIF($G134:K134,"&gt;"&amp;0)+2,1)=L$1,L$1,""),"")</f>
        <v>6</v>
      </c>
      <c r="M134" s="51" cm="1">
        <f t="array" ref="M134">IF($A134="","",IF(G134="","",_xlfn.XLOOKUP($D134&amp;"_"&amp;$AE134,符文权重!$A:$A&amp;"_"&amp;符文权重!$C:$C,符文权重!$D:$D)*$Y134/SUMIFS($Y:$Y,G:G,G134,$D:$D,$D134,$AE:$AE,$AE134)/SUMIF(符文权重!$A:$A,$D134,符文权重!$D:$D)))</f>
        <v>0.128571428571429</v>
      </c>
      <c r="N134" s="51" cm="1">
        <f t="array" ref="N134">IF($A134="","",IF(H134="","",_xlfn.XLOOKUP($D134&amp;"_"&amp;$AE134,符文权重!$A:$A&amp;"_"&amp;符文权重!$C:$C,符文权重!$D:$D)*$Y134/SUMIFS($Y:$Y,H:H,H134,$D:$D,$D134,$AE:$AE,$AE134)/SUMIF(符文权重!$A:$A,$D134,符文权重!$D:$D)))</f>
        <v>0.15</v>
      </c>
      <c r="O134" s="51" cm="1">
        <f t="array" ref="O134">IF($A134="","",IF(I134="","",_xlfn.XLOOKUP($D134&amp;"_"&amp;$AE134,符文权重!$A:$A&amp;"_"&amp;符文权重!$C:$C,符文权重!$D:$D)*$Y134/SUMIFS($Y:$Y,I:I,I134,$D:$D,$D134,$AE:$AE,$AE134)/SUMIF(符文权重!$A:$A,$D134,符文权重!$D:$D)))</f>
        <v>0.128571428571429</v>
      </c>
      <c r="P134" s="51" cm="1">
        <f t="array" ref="P134">IF($A134="","",IF(J134="","",_xlfn.XLOOKUP($D134&amp;"_"&amp;$AE134,符文权重!$A:$A&amp;"_"&amp;符文权重!$C:$C,符文权重!$D:$D)*$Y134/SUMIFS($Y:$Y,J:J,J134,$D:$D,$D134,$AE:$AE,$AE134)/SUMIF(符文权重!$A:$A,$D134,符文权重!$D:$D)))</f>
        <v>0.15</v>
      </c>
      <c r="Q134" s="51" cm="1">
        <f t="array" ref="Q134">IF($A134="","",IF(K134="","",_xlfn.XLOOKUP($D134&amp;"_"&amp;$AE134,符文权重!$A:$A&amp;"_"&amp;符文权重!$C:$C,符文权重!$D:$D)*$Y134/SUMIFS($Y:$Y,K:K,K134,$D:$D,$D134,$AE:$AE,$AE134)/SUMIF(符文权重!$A:$A,$D134,符文权重!$D:$D)))</f>
        <v>0.128571428571429</v>
      </c>
      <c r="R134" s="51" cm="1">
        <f t="array" ref="R134">IF($A134="","",IF(L134="","",_xlfn.XLOOKUP($D134&amp;"_"&amp;$AE134,符文权重!$A:$A&amp;"_"&amp;符文权重!$C:$C,符文权重!$D:$D)*$Y134/SUMIFS($Y:$Y,L:L,L134,$D:$D,$D134,$AE:$AE,$AE134)/SUMIF(符文权重!$A:$A,$D134,符文权重!$D:$D)))</f>
        <v>0.15</v>
      </c>
      <c r="S134" s="36" t="s">
        <v>175</v>
      </c>
      <c r="T134" s="36"/>
      <c r="U134" s="36" t="e">
        <f>IF(C134="","",SUBSTITUTE(SUBSTITUTE("[{global_atk,"&amp;#REF!*D134&amp;"}]",21,20),9,8))</f>
        <v>#REF!</v>
      </c>
      <c r="V134" s="52" t="str">
        <f t="shared" ref="V134:V140" si="62">"["&amp;A134&amp;"]"</f>
        <v>[5501171]</v>
      </c>
      <c r="W134" s="36" t="s">
        <v>322</v>
      </c>
      <c r="X134" s="35"/>
      <c r="Y134" s="42">
        <v>100</v>
      </c>
      <c r="Z134" s="35"/>
      <c r="AA134" s="42" t="s">
        <v>177</v>
      </c>
      <c r="AB134" s="42" t="str">
        <f t="shared" ref="AB134:AB197" si="63">SUBSTITUTE(AJ134,"%s",AK134)</f>
        <v>对肉盾怪物伤害&lt;color=#54b76b&gt;+10%&lt;/color&gt;</v>
      </c>
      <c r="AC134" s="48" t="str">
        <f t="shared" ref="AC134:AC140" si="64">IF(ISBLANK(AI134),"",C134)</f>
        <v>5501171</v>
      </c>
      <c r="AD134" s="42" t="str">
        <f t="shared" ref="AD134:AD140" si="65">IF(ISBLANK(AK134),"","["&amp;AK134&amp;"]")</f>
        <v>[10]</v>
      </c>
      <c r="AE134" s="36">
        <v>2</v>
      </c>
      <c r="AF134" s="36"/>
      <c r="AG134" s="36">
        <v>0</v>
      </c>
      <c r="AH134" s="35" t="s">
        <v>178</v>
      </c>
      <c r="AI134" s="33">
        <v>5501171</v>
      </c>
      <c r="AJ134" s="55" t="s">
        <v>321</v>
      </c>
      <c r="AK134" s="36">
        <v>10</v>
      </c>
      <c r="AL134" s="36">
        <v>2</v>
      </c>
    </row>
    <row r="135" s="25" customFormat="1" hidden="1" customHeight="1" spans="1:38">
      <c r="A135" s="48">
        <v>5501172</v>
      </c>
      <c r="B135" s="34" t="s">
        <v>321</v>
      </c>
      <c r="C135" s="48" t="str">
        <f t="shared" si="60"/>
        <v>5501171</v>
      </c>
      <c r="D135" s="42">
        <f t="shared" si="61"/>
        <v>2</v>
      </c>
      <c r="E135" s="42"/>
      <c r="F135" s="36" t="s">
        <v>174</v>
      </c>
      <c r="G135" s="36">
        <f t="shared" ref="G135:G198" si="66">IF(LEFT(F135,2)="[1",1,"")</f>
        <v>1</v>
      </c>
      <c r="H135" s="36">
        <f>IFERROR(IF(--MID($F135,2*COUNTIF($G135:G135,"&gt;"&amp;0)+2,1)=H$1,H$1,""),"")</f>
        <v>2</v>
      </c>
      <c r="I135" s="36">
        <f>IFERROR(IF(--MID($F135,2*COUNTIF($G135:H135,"&gt;"&amp;0)+2,1)=I$1,I$1,""),"")</f>
        <v>3</v>
      </c>
      <c r="J135" s="36">
        <f>IFERROR(IF(--MID($F135,2*COUNTIF($G135:I135,"&gt;"&amp;0)+2,1)=J$1,J$1,""),"")</f>
        <v>4</v>
      </c>
      <c r="K135" s="36">
        <f>IFERROR(IF(--MID($F135,2*COUNTIF($G135:J135,"&gt;"&amp;0)+2,1)=K$1,K$1,""),"")</f>
        <v>5</v>
      </c>
      <c r="L135" s="36">
        <f>IFERROR(IF(--MID($F135,2*COUNTIF($G135:K135,"&gt;"&amp;0)+2,1)=L$1,L$1,""),"")</f>
        <v>6</v>
      </c>
      <c r="M135" s="51" cm="1">
        <f t="array" ref="M135">IF($A135="","",IF(G135="","",_xlfn.XLOOKUP($D135&amp;"_"&amp;$AE135,符文权重!$A:$A&amp;"_"&amp;符文权重!$C:$C,符文权重!$D:$D)*$Y135/SUMIFS($Y:$Y,G:G,G135,$D:$D,$D135,$AE:$AE,$AE135)/SUMIF(符文权重!$A:$A,$D135,符文权重!$D:$D)))</f>
        <v>0.1</v>
      </c>
      <c r="N135" s="51" cm="1">
        <f t="array" ref="N135">IF($A135="","",IF(H135="","",_xlfn.XLOOKUP($D135&amp;"_"&amp;$AE135,符文权重!$A:$A&amp;"_"&amp;符文权重!$C:$C,符文权重!$D:$D)*$Y135/SUMIFS($Y:$Y,H:H,H135,$D:$D,$D135,$AE:$AE,$AE135)/SUMIF(符文权重!$A:$A,$D135,符文权重!$D:$D)))</f>
        <v>0.11</v>
      </c>
      <c r="O135" s="51" cm="1">
        <f t="array" ref="O135">IF($A135="","",IF(I135="","",_xlfn.XLOOKUP($D135&amp;"_"&amp;$AE135,符文权重!$A:$A&amp;"_"&amp;符文权重!$C:$C,符文权重!$D:$D)*$Y135/SUMIFS($Y:$Y,I:I,I135,$D:$D,$D135,$AE:$AE,$AE135)/SUMIF(符文权重!$A:$A,$D135,符文权重!$D:$D)))</f>
        <v>0.1</v>
      </c>
      <c r="P135" s="51" cm="1">
        <f t="array" ref="P135">IF($A135="","",IF(J135="","",_xlfn.XLOOKUP($D135&amp;"_"&amp;$AE135,符文权重!$A:$A&amp;"_"&amp;符文权重!$C:$C,符文权重!$D:$D)*$Y135/SUMIFS($Y:$Y,J:J,J135,$D:$D,$D135,$AE:$AE,$AE135)/SUMIF(符文权重!$A:$A,$D135,符文权重!$D:$D)))</f>
        <v>0.11</v>
      </c>
      <c r="Q135" s="51" cm="1">
        <f t="array" ref="Q135">IF($A135="","",IF(K135="","",_xlfn.XLOOKUP($D135&amp;"_"&amp;$AE135,符文权重!$A:$A&amp;"_"&amp;符文权重!$C:$C,符文权重!$D:$D)*$Y135/SUMIFS($Y:$Y,K:K,K135,$D:$D,$D135,$AE:$AE,$AE135)/SUMIF(符文权重!$A:$A,$D135,符文权重!$D:$D)))</f>
        <v>0.1</v>
      </c>
      <c r="R135" s="51" cm="1">
        <f t="array" ref="R135">IF($A135="","",IF(L135="","",_xlfn.XLOOKUP($D135&amp;"_"&amp;$AE135,符文权重!$A:$A&amp;"_"&amp;符文权重!$C:$C,符文权重!$D:$D)*$Y135/SUMIFS($Y:$Y,L:L,L135,$D:$D,$D135,$AE:$AE,$AE135)/SUMIF(符文权重!$A:$A,$D135,符文权重!$D:$D)))</f>
        <v>0.11</v>
      </c>
      <c r="S135" s="36" t="s">
        <v>175</v>
      </c>
      <c r="T135" s="36"/>
      <c r="U135" s="36" t="e">
        <f>IF(C135="","",SUBSTITUTE(SUBSTITUTE("[{global_atk,"&amp;#REF!*D135&amp;"}]",21,20),9,8))</f>
        <v>#REF!</v>
      </c>
      <c r="V135" s="52" t="str">
        <f t="shared" si="62"/>
        <v>[5501172]</v>
      </c>
      <c r="W135" s="36" t="s">
        <v>323</v>
      </c>
      <c r="X135" s="35"/>
      <c r="Y135" s="42">
        <v>100</v>
      </c>
      <c r="Z135" s="35"/>
      <c r="AA135" s="42" t="s">
        <v>181</v>
      </c>
      <c r="AB135" s="42" t="str">
        <f t="shared" si="63"/>
        <v>对肉盾怪物伤害&lt;color=#54b76b&gt;+15%&lt;/color&gt;</v>
      </c>
      <c r="AC135" s="48" t="str">
        <f t="shared" si="64"/>
        <v>5501171</v>
      </c>
      <c r="AD135" s="42" t="str">
        <f t="shared" si="65"/>
        <v>[15]</v>
      </c>
      <c r="AE135" s="36">
        <v>2</v>
      </c>
      <c r="AF135" s="36"/>
      <c r="AG135" s="36">
        <v>0</v>
      </c>
      <c r="AH135" s="35" t="s">
        <v>178</v>
      </c>
      <c r="AI135" s="48">
        <f t="shared" ref="AI135:AI140" si="67">AI134+1</f>
        <v>5501172</v>
      </c>
      <c r="AJ135" s="53" t="str">
        <f t="shared" ref="AJ135:AJ140" si="68">AJ134</f>
        <v>对肉盾怪物伤害&lt;color=#54b76b&gt;+%s%&lt;/color&gt;</v>
      </c>
      <c r="AK135" s="36">
        <v>15</v>
      </c>
      <c r="AL135" s="36">
        <v>2</v>
      </c>
    </row>
    <row r="136" s="25" customFormat="1" hidden="1" customHeight="1" spans="1:38">
      <c r="A136" s="48">
        <v>5501173</v>
      </c>
      <c r="B136" s="34" t="s">
        <v>321</v>
      </c>
      <c r="C136" s="48" t="str">
        <f t="shared" si="60"/>
        <v>5501171</v>
      </c>
      <c r="D136" s="42">
        <f t="shared" si="61"/>
        <v>3</v>
      </c>
      <c r="E136" s="42"/>
      <c r="F136" s="36" t="s">
        <v>174</v>
      </c>
      <c r="G136" s="36">
        <f t="shared" si="66"/>
        <v>1</v>
      </c>
      <c r="H136" s="36">
        <f>IFERROR(IF(--MID($F136,2*COUNTIF($G136:G136,"&gt;"&amp;0)+2,1)=H$1,H$1,""),"")</f>
        <v>2</v>
      </c>
      <c r="I136" s="36">
        <f>IFERROR(IF(--MID($F136,2*COUNTIF($G136:H136,"&gt;"&amp;0)+2,1)=I$1,I$1,""),"")</f>
        <v>3</v>
      </c>
      <c r="J136" s="36">
        <f>IFERROR(IF(--MID($F136,2*COUNTIF($G136:I136,"&gt;"&amp;0)+2,1)=J$1,J$1,""),"")</f>
        <v>4</v>
      </c>
      <c r="K136" s="36">
        <f>IFERROR(IF(--MID($F136,2*COUNTIF($G136:J136,"&gt;"&amp;0)+2,1)=K$1,K$1,""),"")</f>
        <v>5</v>
      </c>
      <c r="L136" s="36">
        <f>IFERROR(IF(--MID($F136,2*COUNTIF($G136:K136,"&gt;"&amp;0)+2,1)=L$1,L$1,""),"")</f>
        <v>6</v>
      </c>
      <c r="M136" s="51" cm="1">
        <f t="array" ref="M136">IF($A136="","",IF(G136="","",_xlfn.XLOOKUP($D136&amp;"_"&amp;$AE136,符文权重!$A:$A&amp;"_"&amp;符文权重!$C:$C,符文权重!$D:$D)*$Y136/SUMIFS($Y:$Y,G:G,G136,$D:$D,$D136,$AE:$AE,$AE136)/SUMIF(符文权重!$A:$A,$D136,符文权重!$D:$D)))</f>
        <v>0.0909961685823755</v>
      </c>
      <c r="N136" s="51" cm="1">
        <f t="array" ref="N136">IF($A136="","",IF(H136="","",_xlfn.XLOOKUP($D136&amp;"_"&amp;$AE136,符文权重!$A:$A&amp;"_"&amp;符文权重!$C:$C,符文权重!$D:$D)*$Y136/SUMIFS($Y:$Y,H:H,H136,$D:$D,$D136,$AE:$AE,$AE136)/SUMIF(符文权重!$A:$A,$D136,符文权重!$D:$D)))</f>
        <v>0.112559241706161</v>
      </c>
      <c r="O136" s="51" cm="1">
        <f t="array" ref="O136">IF($A136="","",IF(I136="","",_xlfn.XLOOKUP($D136&amp;"_"&amp;$AE136,符文权重!$A:$A&amp;"_"&amp;符文权重!$C:$C,符文权重!$D:$D)*$Y136/SUMIFS($Y:$Y,I:I,I136,$D:$D,$D136,$AE:$AE,$AE136)/SUMIF(符文权重!$A:$A,$D136,符文权重!$D:$D)))</f>
        <v>0.0920542635658915</v>
      </c>
      <c r="P136" s="51" cm="1">
        <f t="array" ref="P136">IF($A136="","",IF(J136="","",_xlfn.XLOOKUP($D136&amp;"_"&amp;$AE136,符文权重!$A:$A&amp;"_"&amp;符文权重!$C:$C,符文权重!$D:$D)*$Y136/SUMIFS($Y:$Y,J:J,J136,$D:$D,$D136,$AE:$AE,$AE136)/SUMIF(符文权重!$A:$A,$D136,符文权重!$D:$D)))</f>
        <v>0.0909961685823755</v>
      </c>
      <c r="Q136" s="51" cm="1">
        <f t="array" ref="Q136">IF($A136="","",IF(K136="","",_xlfn.XLOOKUP($D136&amp;"_"&amp;$AE136,符文权重!$A:$A&amp;"_"&amp;符文权重!$C:$C,符文权重!$D:$D)*$Y136/SUMIFS($Y:$Y,K:K,K136,$D:$D,$D136,$AE:$AE,$AE136)/SUMIF(符文权重!$A:$A,$D136,符文权重!$D:$D)))</f>
        <v>0.114182692307692</v>
      </c>
      <c r="R136" s="51" cm="1">
        <f t="array" ref="R136">IF($A136="","",IF(L136="","",_xlfn.XLOOKUP($D136&amp;"_"&amp;$AE136,符文权重!$A:$A&amp;"_"&amp;符文权重!$C:$C,符文权重!$D:$D)*$Y136/SUMIFS($Y:$Y,L:L,L136,$D:$D,$D136,$AE:$AE,$AE136)/SUMIF(符文权重!$A:$A,$D136,符文权重!$D:$D)))</f>
        <v>0.0909961685823755</v>
      </c>
      <c r="S136" s="36" t="s">
        <v>175</v>
      </c>
      <c r="T136" s="36"/>
      <c r="U136" s="36" t="e">
        <f>IF(C136="","",SUBSTITUTE(SUBSTITUTE("[{global_atk,"&amp;#REF!*D136&amp;"}]",21,20),9,8))</f>
        <v>#REF!</v>
      </c>
      <c r="V136" s="52" t="str">
        <f t="shared" si="62"/>
        <v>[5501173]</v>
      </c>
      <c r="W136" s="36" t="s">
        <v>324</v>
      </c>
      <c r="X136" s="35"/>
      <c r="Y136" s="42">
        <v>100</v>
      </c>
      <c r="Z136" s="35"/>
      <c r="AA136" s="42" t="s">
        <v>183</v>
      </c>
      <c r="AB136" s="42" t="str">
        <f t="shared" si="63"/>
        <v>对肉盾怪物伤害&lt;color=#54b76b&gt;+20%&lt;/color&gt;</v>
      </c>
      <c r="AC136" s="48" t="str">
        <f t="shared" si="64"/>
        <v>5501171</v>
      </c>
      <c r="AD136" s="42" t="str">
        <f t="shared" si="65"/>
        <v>[20]</v>
      </c>
      <c r="AE136" s="36">
        <v>2</v>
      </c>
      <c r="AF136" s="36"/>
      <c r="AG136" s="36">
        <v>0</v>
      </c>
      <c r="AH136" s="35" t="s">
        <v>178</v>
      </c>
      <c r="AI136" s="48">
        <f t="shared" si="67"/>
        <v>5501173</v>
      </c>
      <c r="AJ136" s="53" t="str">
        <f t="shared" si="68"/>
        <v>对肉盾怪物伤害&lt;color=#54b76b&gt;+%s%&lt;/color&gt;</v>
      </c>
      <c r="AK136" s="36">
        <v>20</v>
      </c>
      <c r="AL136" s="36">
        <v>2</v>
      </c>
    </row>
    <row r="137" s="25" customFormat="1" hidden="1" customHeight="1" spans="1:38">
      <c r="A137" s="48">
        <v>5501174</v>
      </c>
      <c r="B137" s="34" t="s">
        <v>321</v>
      </c>
      <c r="C137" s="48" t="str">
        <f t="shared" si="60"/>
        <v>5501171</v>
      </c>
      <c r="D137" s="42">
        <f t="shared" si="61"/>
        <v>4</v>
      </c>
      <c r="E137" s="42"/>
      <c r="F137" s="36" t="s">
        <v>174</v>
      </c>
      <c r="G137" s="36">
        <f t="shared" si="66"/>
        <v>1</v>
      </c>
      <c r="H137" s="36">
        <f>IFERROR(IF(--MID($F137,2*COUNTIF($G137:G137,"&gt;"&amp;0)+2,1)=H$1,H$1,""),"")</f>
        <v>2</v>
      </c>
      <c r="I137" s="36">
        <f>IFERROR(IF(--MID($F137,2*COUNTIF($G137:H137,"&gt;"&amp;0)+2,1)=I$1,I$1,""),"")</f>
        <v>3</v>
      </c>
      <c r="J137" s="36">
        <f>IFERROR(IF(--MID($F137,2*COUNTIF($G137:I137,"&gt;"&amp;0)+2,1)=J$1,J$1,""),"")</f>
        <v>4</v>
      </c>
      <c r="K137" s="36">
        <f>IFERROR(IF(--MID($F137,2*COUNTIF($G137:J137,"&gt;"&amp;0)+2,1)=K$1,K$1,""),"")</f>
        <v>5</v>
      </c>
      <c r="L137" s="36">
        <f>IFERROR(IF(--MID($F137,2*COUNTIF($G137:K137,"&gt;"&amp;0)+2,1)=L$1,L$1,""),"")</f>
        <v>6</v>
      </c>
      <c r="M137" s="51" cm="1">
        <f t="array" ref="M137">IF($A137="","",IF(G137="","",_xlfn.XLOOKUP($D137&amp;"_"&amp;$AE137,符文权重!$A:$A&amp;"_"&amp;符文权重!$C:$C,符文权重!$D:$D)*$Y137/SUMIFS($Y:$Y,G:G,G137,$D:$D,$D137,$AE:$AE,$AE137)/SUMIF(符文权重!$A:$A,$D137,符文权重!$D:$D)))</f>
        <v>0.0628628628628629</v>
      </c>
      <c r="N137" s="51" cm="1">
        <f t="array" ref="N137">IF($A137="","",IF(H137="","",_xlfn.XLOOKUP($D137&amp;"_"&amp;$AE137,符文权重!$A:$A&amp;"_"&amp;符文权重!$C:$C,符文权重!$D:$D)*$Y137/SUMIFS($Y:$Y,H:H,H137,$D:$D,$D137,$AE:$AE,$AE137)/SUMIF(符文权重!$A:$A,$D137,符文权重!$D:$D)))</f>
        <v>0.0785785785785786</v>
      </c>
      <c r="O137" s="51" cm="1">
        <f t="array" ref="O137">IF($A137="","",IF(I137="","",_xlfn.XLOOKUP($D137&amp;"_"&amp;$AE137,符文权重!$A:$A&amp;"_"&amp;符文权重!$C:$C,符文权重!$D:$D)*$Y137/SUMIFS($Y:$Y,I:I,I137,$D:$D,$D137,$AE:$AE,$AE137)/SUMIF(符文权重!$A:$A,$D137,符文权重!$D:$D)))</f>
        <v>0.0628628628628629</v>
      </c>
      <c r="P137" s="51" cm="1">
        <f t="array" ref="P137">IF($A137="","",IF(J137="","",_xlfn.XLOOKUP($D137&amp;"_"&amp;$AE137,符文权重!$A:$A&amp;"_"&amp;符文权重!$C:$C,符文权重!$D:$D)*$Y137/SUMIFS($Y:$Y,J:J,J137,$D:$D,$D137,$AE:$AE,$AE137)/SUMIF(符文权重!$A:$A,$D137,符文权重!$D:$D)))</f>
        <v>0.0628628628628629</v>
      </c>
      <c r="Q137" s="51" cm="1">
        <f t="array" ref="Q137">IF($A137="","",IF(K137="","",_xlfn.XLOOKUP($D137&amp;"_"&amp;$AE137,符文权重!$A:$A&amp;"_"&amp;符文权重!$C:$C,符文权重!$D:$D)*$Y137/SUMIFS($Y:$Y,K:K,K137,$D:$D,$D137,$AE:$AE,$AE137)/SUMIF(符文权重!$A:$A,$D137,符文权重!$D:$D)))</f>
        <v>0.0785785785785786</v>
      </c>
      <c r="R137" s="51" cm="1">
        <f t="array" ref="R137">IF($A137="","",IF(L137="","",_xlfn.XLOOKUP($D137&amp;"_"&amp;$AE137,符文权重!$A:$A&amp;"_"&amp;符文权重!$C:$C,符文权重!$D:$D)*$Y137/SUMIFS($Y:$Y,L:L,L137,$D:$D,$D137,$AE:$AE,$AE137)/SUMIF(符文权重!$A:$A,$D137,符文权重!$D:$D)))</f>
        <v>0.0628628628628629</v>
      </c>
      <c r="S137" s="36" t="s">
        <v>175</v>
      </c>
      <c r="T137" s="36"/>
      <c r="U137" s="36" t="e">
        <f>IF(C137="","",SUBSTITUTE(SUBSTITUTE("[{global_atk,"&amp;#REF!*D137&amp;"}]",21,20),9,8))</f>
        <v>#REF!</v>
      </c>
      <c r="V137" s="52" t="str">
        <f t="shared" si="62"/>
        <v>[5501174]</v>
      </c>
      <c r="W137" s="36" t="s">
        <v>325</v>
      </c>
      <c r="X137" s="35"/>
      <c r="Y137" s="42">
        <v>100</v>
      </c>
      <c r="Z137" s="35"/>
      <c r="AA137" s="42" t="s">
        <v>185</v>
      </c>
      <c r="AB137" s="42" t="str">
        <f t="shared" si="63"/>
        <v>对肉盾怪物伤害&lt;color=#54b76b&gt;+25%&lt;/color&gt;</v>
      </c>
      <c r="AC137" s="48" t="str">
        <f t="shared" si="64"/>
        <v>5501171</v>
      </c>
      <c r="AD137" s="42" t="str">
        <f t="shared" si="65"/>
        <v>[25]</v>
      </c>
      <c r="AE137" s="36">
        <v>2</v>
      </c>
      <c r="AF137" s="36"/>
      <c r="AG137" s="36">
        <v>0</v>
      </c>
      <c r="AH137" s="35" t="s">
        <v>178</v>
      </c>
      <c r="AI137" s="48">
        <f t="shared" si="67"/>
        <v>5501174</v>
      </c>
      <c r="AJ137" s="53" t="str">
        <f t="shared" si="68"/>
        <v>对肉盾怪物伤害&lt;color=#54b76b&gt;+%s%&lt;/color&gt;</v>
      </c>
      <c r="AK137" s="36">
        <v>25</v>
      </c>
      <c r="AL137" s="36">
        <v>2</v>
      </c>
    </row>
    <row r="138" s="25" customFormat="1" hidden="1" customHeight="1" spans="1:38">
      <c r="A138" s="48">
        <v>5501175</v>
      </c>
      <c r="B138" s="34" t="s">
        <v>321</v>
      </c>
      <c r="C138" s="48" t="str">
        <f t="shared" si="60"/>
        <v>5501171</v>
      </c>
      <c r="D138" s="42">
        <f t="shared" si="61"/>
        <v>5</v>
      </c>
      <c r="E138" s="42"/>
      <c r="F138" s="36" t="s">
        <v>174</v>
      </c>
      <c r="G138" s="36">
        <f t="shared" si="66"/>
        <v>1</v>
      </c>
      <c r="H138" s="36">
        <f>IFERROR(IF(--MID($F138,2*COUNTIF($G138:G138,"&gt;"&amp;0)+2,1)=H$1,H$1,""),"")</f>
        <v>2</v>
      </c>
      <c r="I138" s="36">
        <f>IFERROR(IF(--MID($F138,2*COUNTIF($G138:H138,"&gt;"&amp;0)+2,1)=I$1,I$1,""),"")</f>
        <v>3</v>
      </c>
      <c r="J138" s="36">
        <f>IFERROR(IF(--MID($F138,2*COUNTIF($G138:I138,"&gt;"&amp;0)+2,1)=J$1,J$1,""),"")</f>
        <v>4</v>
      </c>
      <c r="K138" s="36">
        <f>IFERROR(IF(--MID($F138,2*COUNTIF($G138:J138,"&gt;"&amp;0)+2,1)=K$1,K$1,""),"")</f>
        <v>5</v>
      </c>
      <c r="L138" s="36">
        <f>IFERROR(IF(--MID($F138,2*COUNTIF($G138:K138,"&gt;"&amp;0)+2,1)=L$1,L$1,""),"")</f>
        <v>6</v>
      </c>
      <c r="M138" s="51" cm="1">
        <f t="array" ref="M138">IF($A138="","",IF(G138="","",_xlfn.XLOOKUP($D138&amp;"_"&amp;$AE138,符文权重!$A:$A&amp;"_"&amp;符文权重!$C:$C,符文权重!$D:$D)*$Y138/SUMIFS($Y:$Y,G:G,G138,$D:$D,$D138,$AE:$AE,$AE138)/SUMIF(符文权重!$A:$A,$D138,符文权重!$D:$D)))</f>
        <v>0.0612</v>
      </c>
      <c r="N138" s="51" cm="1">
        <f t="array" ref="N138">IF($A138="","",IF(H138="","",_xlfn.XLOOKUP($D138&amp;"_"&amp;$AE138,符文权重!$A:$A&amp;"_"&amp;符文权重!$C:$C,符文权重!$D:$D)*$Y138/SUMIFS($Y:$Y,H:H,H138,$D:$D,$D138,$AE:$AE,$AE138)/SUMIF(符文权重!$A:$A,$D138,符文权重!$D:$D)))</f>
        <v>0.0765</v>
      </c>
      <c r="O138" s="51" cm="1">
        <f t="array" ref="O138">IF($A138="","",IF(I138="","",_xlfn.XLOOKUP($D138&amp;"_"&amp;$AE138,符文权重!$A:$A&amp;"_"&amp;符文权重!$C:$C,符文权重!$D:$D)*$Y138/SUMIFS($Y:$Y,I:I,I138,$D:$D,$D138,$AE:$AE,$AE138)/SUMIF(符文权重!$A:$A,$D138,符文权重!$D:$D)))</f>
        <v>0.0612</v>
      </c>
      <c r="P138" s="51" cm="1">
        <f t="array" ref="P138">IF($A138="","",IF(J138="","",_xlfn.XLOOKUP($D138&amp;"_"&amp;$AE138,符文权重!$A:$A&amp;"_"&amp;符文权重!$C:$C,符文权重!$D:$D)*$Y138/SUMIFS($Y:$Y,J:J,J138,$D:$D,$D138,$AE:$AE,$AE138)/SUMIF(符文权重!$A:$A,$D138,符文权重!$D:$D)))</f>
        <v>0.0612</v>
      </c>
      <c r="Q138" s="51" cm="1">
        <f t="array" ref="Q138">IF($A138="","",IF(K138="","",_xlfn.XLOOKUP($D138&amp;"_"&amp;$AE138,符文权重!$A:$A&amp;"_"&amp;符文权重!$C:$C,符文权重!$D:$D)*$Y138/SUMIFS($Y:$Y,K:K,K138,$D:$D,$D138,$AE:$AE,$AE138)/SUMIF(符文权重!$A:$A,$D138,符文权重!$D:$D)))</f>
        <v>0.0765</v>
      </c>
      <c r="R138" s="51" cm="1">
        <f t="array" ref="R138">IF($A138="","",IF(L138="","",_xlfn.XLOOKUP($D138&amp;"_"&amp;$AE138,符文权重!$A:$A&amp;"_"&amp;符文权重!$C:$C,符文权重!$D:$D)*$Y138/SUMIFS($Y:$Y,L:L,L138,$D:$D,$D138,$AE:$AE,$AE138)/SUMIF(符文权重!$A:$A,$D138,符文权重!$D:$D)))</f>
        <v>0.0612</v>
      </c>
      <c r="S138" s="36" t="s">
        <v>175</v>
      </c>
      <c r="T138" s="36"/>
      <c r="U138" s="36" t="e">
        <f>IF(C138="","",SUBSTITUTE(SUBSTITUTE("[{global_atk,"&amp;#REF!*D138&amp;"}]",21,20),9,8))</f>
        <v>#REF!</v>
      </c>
      <c r="V138" s="52" t="str">
        <f t="shared" si="62"/>
        <v>[5501175]</v>
      </c>
      <c r="W138" s="36" t="s">
        <v>326</v>
      </c>
      <c r="X138" s="35"/>
      <c r="Y138" s="42">
        <v>100</v>
      </c>
      <c r="Z138" s="35"/>
      <c r="AA138" s="42" t="s">
        <v>187</v>
      </c>
      <c r="AB138" s="42" t="str">
        <f t="shared" si="63"/>
        <v>对肉盾怪物伤害&lt;color=#54b76b&gt;+32%&lt;/color&gt;</v>
      </c>
      <c r="AC138" s="48" t="str">
        <f t="shared" si="64"/>
        <v>5501171</v>
      </c>
      <c r="AD138" s="42" t="str">
        <f t="shared" si="65"/>
        <v>[32]</v>
      </c>
      <c r="AE138" s="36">
        <v>2</v>
      </c>
      <c r="AF138" s="36"/>
      <c r="AG138" s="36">
        <v>0</v>
      </c>
      <c r="AH138" s="35" t="s">
        <v>178</v>
      </c>
      <c r="AI138" s="48">
        <f t="shared" si="67"/>
        <v>5501175</v>
      </c>
      <c r="AJ138" s="53" t="str">
        <f t="shared" si="68"/>
        <v>对肉盾怪物伤害&lt;color=#54b76b&gt;+%s%&lt;/color&gt;</v>
      </c>
      <c r="AK138" s="36">
        <v>32</v>
      </c>
      <c r="AL138" s="36">
        <v>2</v>
      </c>
    </row>
    <row r="139" s="25" customFormat="1" hidden="1" customHeight="1" spans="1:38">
      <c r="A139" s="48">
        <v>5501176</v>
      </c>
      <c r="B139" s="34" t="s">
        <v>321</v>
      </c>
      <c r="C139" s="48" t="str">
        <f t="shared" si="60"/>
        <v>5501171</v>
      </c>
      <c r="D139" s="42">
        <f t="shared" si="61"/>
        <v>6</v>
      </c>
      <c r="E139" s="42"/>
      <c r="F139" s="36" t="s">
        <v>174</v>
      </c>
      <c r="G139" s="36">
        <f t="shared" si="66"/>
        <v>1</v>
      </c>
      <c r="H139" s="36">
        <f>IFERROR(IF(--MID($F139,2*COUNTIF($G139:G139,"&gt;"&amp;0)+2,1)=H$1,H$1,""),"")</f>
        <v>2</v>
      </c>
      <c r="I139" s="36">
        <f>IFERROR(IF(--MID($F139,2*COUNTIF($G139:H139,"&gt;"&amp;0)+2,1)=I$1,I$1,""),"")</f>
        <v>3</v>
      </c>
      <c r="J139" s="36">
        <f>IFERROR(IF(--MID($F139,2*COUNTIF($G139:I139,"&gt;"&amp;0)+2,1)=J$1,J$1,""),"")</f>
        <v>4</v>
      </c>
      <c r="K139" s="36">
        <f>IFERROR(IF(--MID($F139,2*COUNTIF($G139:J139,"&gt;"&amp;0)+2,1)=K$1,K$1,""),"")</f>
        <v>5</v>
      </c>
      <c r="L139" s="36">
        <f>IFERROR(IF(--MID($F139,2*COUNTIF($G139:K139,"&gt;"&amp;0)+2,1)=L$1,L$1,""),"")</f>
        <v>6</v>
      </c>
      <c r="M139" s="51" cm="1">
        <f t="array" ref="M139">IF($A139="","",IF(G139="","",_xlfn.XLOOKUP($D139&amp;"_"&amp;$AE139,符文权重!$A:$A&amp;"_"&amp;符文权重!$C:$C,符文权重!$D:$D)*$Y139/SUMIFS($Y:$Y,G:G,G139,$D:$D,$D139,$AE:$AE,$AE139)/SUMIF(符文权重!$A:$A,$D139,符文权重!$D:$D)))</f>
        <v>0.0612</v>
      </c>
      <c r="N139" s="51" cm="1">
        <f t="array" ref="N139">IF($A139="","",IF(H139="","",_xlfn.XLOOKUP($D139&amp;"_"&amp;$AE139,符文权重!$A:$A&amp;"_"&amp;符文权重!$C:$C,符文权重!$D:$D)*$Y139/SUMIFS($Y:$Y,H:H,H139,$D:$D,$D139,$AE:$AE,$AE139)/SUMIF(符文权重!$A:$A,$D139,符文权重!$D:$D)))</f>
        <v>0.0765</v>
      </c>
      <c r="O139" s="51" cm="1">
        <f t="array" ref="O139">IF($A139="","",IF(I139="","",_xlfn.XLOOKUP($D139&amp;"_"&amp;$AE139,符文权重!$A:$A&amp;"_"&amp;符文权重!$C:$C,符文权重!$D:$D)*$Y139/SUMIFS($Y:$Y,I:I,I139,$D:$D,$D139,$AE:$AE,$AE139)/SUMIF(符文权重!$A:$A,$D139,符文权重!$D:$D)))</f>
        <v>0.0612</v>
      </c>
      <c r="P139" s="51" cm="1">
        <f t="array" ref="P139">IF($A139="","",IF(J139="","",_xlfn.XLOOKUP($D139&amp;"_"&amp;$AE139,符文权重!$A:$A&amp;"_"&amp;符文权重!$C:$C,符文权重!$D:$D)*$Y139/SUMIFS($Y:$Y,J:J,J139,$D:$D,$D139,$AE:$AE,$AE139)/SUMIF(符文权重!$A:$A,$D139,符文权重!$D:$D)))</f>
        <v>0.0612</v>
      </c>
      <c r="Q139" s="51" cm="1">
        <f t="array" ref="Q139">IF($A139="","",IF(K139="","",_xlfn.XLOOKUP($D139&amp;"_"&amp;$AE139,符文权重!$A:$A&amp;"_"&amp;符文权重!$C:$C,符文权重!$D:$D)*$Y139/SUMIFS($Y:$Y,K:K,K139,$D:$D,$D139,$AE:$AE,$AE139)/SUMIF(符文权重!$A:$A,$D139,符文权重!$D:$D)))</f>
        <v>0.0765</v>
      </c>
      <c r="R139" s="51" cm="1">
        <f t="array" ref="R139">IF($A139="","",IF(L139="","",_xlfn.XLOOKUP($D139&amp;"_"&amp;$AE139,符文权重!$A:$A&amp;"_"&amp;符文权重!$C:$C,符文权重!$D:$D)*$Y139/SUMIFS($Y:$Y,L:L,L139,$D:$D,$D139,$AE:$AE,$AE139)/SUMIF(符文权重!$A:$A,$D139,符文权重!$D:$D)))</f>
        <v>0.0612</v>
      </c>
      <c r="S139" s="36" t="s">
        <v>175</v>
      </c>
      <c r="T139" s="36"/>
      <c r="U139" s="36" t="e">
        <f>IF(C139="","",SUBSTITUTE(SUBSTITUTE("[{global_atk,"&amp;#REF!*D139&amp;"}]",21,20),9,8))</f>
        <v>#REF!</v>
      </c>
      <c r="V139" s="52" t="str">
        <f t="shared" si="62"/>
        <v>[5501176]</v>
      </c>
      <c r="W139" s="36" t="s">
        <v>327</v>
      </c>
      <c r="X139" s="35"/>
      <c r="Y139" s="42">
        <v>100</v>
      </c>
      <c r="Z139" s="35"/>
      <c r="AA139" s="42" t="s">
        <v>189</v>
      </c>
      <c r="AB139" s="42" t="str">
        <f t="shared" si="63"/>
        <v>对肉盾怪物伤害&lt;color=#54b76b&gt;+40%&lt;/color&gt;</v>
      </c>
      <c r="AC139" s="48" t="str">
        <f t="shared" si="64"/>
        <v>5501171</v>
      </c>
      <c r="AD139" s="42" t="str">
        <f t="shared" si="65"/>
        <v>[40]</v>
      </c>
      <c r="AE139" s="36">
        <v>2</v>
      </c>
      <c r="AF139" s="36"/>
      <c r="AG139" s="36">
        <v>0</v>
      </c>
      <c r="AH139" s="35" t="s">
        <v>178</v>
      </c>
      <c r="AI139" s="48">
        <f t="shared" si="67"/>
        <v>5501176</v>
      </c>
      <c r="AJ139" s="53" t="str">
        <f t="shared" si="68"/>
        <v>对肉盾怪物伤害&lt;color=#54b76b&gt;+%s%&lt;/color&gt;</v>
      </c>
      <c r="AK139" s="36">
        <v>40</v>
      </c>
      <c r="AL139" s="36">
        <v>2</v>
      </c>
    </row>
    <row r="140" s="25" customFormat="1" hidden="1" customHeight="1" spans="1:38">
      <c r="A140" s="48">
        <v>5501177</v>
      </c>
      <c r="B140" s="34" t="s">
        <v>321</v>
      </c>
      <c r="C140" s="48" t="str">
        <f t="shared" si="60"/>
        <v>5501171</v>
      </c>
      <c r="D140" s="42">
        <f t="shared" si="61"/>
        <v>7</v>
      </c>
      <c r="E140" s="42"/>
      <c r="F140" s="36" t="s">
        <v>174</v>
      </c>
      <c r="G140" s="36">
        <f t="shared" si="66"/>
        <v>1</v>
      </c>
      <c r="H140" s="36">
        <f>IFERROR(IF(--MID($F140,2*COUNTIF($G140:G140,"&gt;"&amp;0)+2,1)=H$1,H$1,""),"")</f>
        <v>2</v>
      </c>
      <c r="I140" s="36">
        <f>IFERROR(IF(--MID($F140,2*COUNTIF($G140:H140,"&gt;"&amp;0)+2,1)=I$1,I$1,""),"")</f>
        <v>3</v>
      </c>
      <c r="J140" s="36">
        <f>IFERROR(IF(--MID($F140,2*COUNTIF($G140:I140,"&gt;"&amp;0)+2,1)=J$1,J$1,""),"")</f>
        <v>4</v>
      </c>
      <c r="K140" s="36">
        <f>IFERROR(IF(--MID($F140,2*COUNTIF($G140:J140,"&gt;"&amp;0)+2,1)=K$1,K$1,""),"")</f>
        <v>5</v>
      </c>
      <c r="L140" s="36">
        <f>IFERROR(IF(--MID($F140,2*COUNTIF($G140:K140,"&gt;"&amp;0)+2,1)=L$1,L$1,""),"")</f>
        <v>6</v>
      </c>
      <c r="M140" s="51" cm="1">
        <f t="array" ref="M140">IF($A140="","",IF(G140="","",_xlfn.XLOOKUP($D140&amp;"_"&amp;$AE140,符文权重!$A:$A&amp;"_"&amp;符文权重!$C:$C,符文权重!$D:$D)*$Y140/SUMIFS($Y:$Y,G:G,G140,$D:$D,$D140,$AE:$AE,$AE140)/SUMIF(符文权重!$A:$A,$D140,符文权重!$D:$D)))</f>
        <v>0.0612</v>
      </c>
      <c r="N140" s="51" cm="1">
        <f t="array" ref="N140">IF($A140="","",IF(H140="","",_xlfn.XLOOKUP($D140&amp;"_"&amp;$AE140,符文权重!$A:$A&amp;"_"&amp;符文权重!$C:$C,符文权重!$D:$D)*$Y140/SUMIFS($Y:$Y,H:H,H140,$D:$D,$D140,$AE:$AE,$AE140)/SUMIF(符文权重!$A:$A,$D140,符文权重!$D:$D)))</f>
        <v>0.0765</v>
      </c>
      <c r="O140" s="51" cm="1">
        <f t="array" ref="O140">IF($A140="","",IF(I140="","",_xlfn.XLOOKUP($D140&amp;"_"&amp;$AE140,符文权重!$A:$A&amp;"_"&amp;符文权重!$C:$C,符文权重!$D:$D)*$Y140/SUMIFS($Y:$Y,I:I,I140,$D:$D,$D140,$AE:$AE,$AE140)/SUMIF(符文权重!$A:$A,$D140,符文权重!$D:$D)))</f>
        <v>0.0612</v>
      </c>
      <c r="P140" s="51" cm="1">
        <f t="array" ref="P140">IF($A140="","",IF(J140="","",_xlfn.XLOOKUP($D140&amp;"_"&amp;$AE140,符文权重!$A:$A&amp;"_"&amp;符文权重!$C:$C,符文权重!$D:$D)*$Y140/SUMIFS($Y:$Y,J:J,J140,$D:$D,$D140,$AE:$AE,$AE140)/SUMIF(符文权重!$A:$A,$D140,符文权重!$D:$D)))</f>
        <v>0.0612</v>
      </c>
      <c r="Q140" s="51" cm="1">
        <f t="array" ref="Q140">IF($A140="","",IF(K140="","",_xlfn.XLOOKUP($D140&amp;"_"&amp;$AE140,符文权重!$A:$A&amp;"_"&amp;符文权重!$C:$C,符文权重!$D:$D)*$Y140/SUMIFS($Y:$Y,K:K,K140,$D:$D,$D140,$AE:$AE,$AE140)/SUMIF(符文权重!$A:$A,$D140,符文权重!$D:$D)))</f>
        <v>0.0765</v>
      </c>
      <c r="R140" s="51" cm="1">
        <f t="array" ref="R140">IF($A140="","",IF(L140="","",_xlfn.XLOOKUP($D140&amp;"_"&amp;$AE140,符文权重!$A:$A&amp;"_"&amp;符文权重!$C:$C,符文权重!$D:$D)*$Y140/SUMIFS($Y:$Y,L:L,L140,$D:$D,$D140,$AE:$AE,$AE140)/SUMIF(符文权重!$A:$A,$D140,符文权重!$D:$D)))</f>
        <v>0.0612</v>
      </c>
      <c r="S140" s="36" t="s">
        <v>175</v>
      </c>
      <c r="T140" s="36"/>
      <c r="U140" s="36" t="e">
        <f>IF(C140="","",SUBSTITUTE(SUBSTITUTE("[{global_atk,"&amp;#REF!*D140&amp;"}]",21,20),9,8))</f>
        <v>#REF!</v>
      </c>
      <c r="V140" s="52" t="str">
        <f t="shared" si="62"/>
        <v>[5501177]</v>
      </c>
      <c r="W140" s="36" t="s">
        <v>328</v>
      </c>
      <c r="X140" s="35"/>
      <c r="Y140" s="42">
        <v>100</v>
      </c>
      <c r="Z140" s="35"/>
      <c r="AA140" s="42" t="s">
        <v>191</v>
      </c>
      <c r="AB140" s="42" t="str">
        <f t="shared" si="63"/>
        <v>对肉盾怪物伤害&lt;color=#54b76b&gt;+50%&lt;/color&gt;</v>
      </c>
      <c r="AC140" s="48" t="str">
        <f t="shared" si="64"/>
        <v>5501171</v>
      </c>
      <c r="AD140" s="42" t="str">
        <f t="shared" si="65"/>
        <v>[50]</v>
      </c>
      <c r="AE140" s="36">
        <v>2</v>
      </c>
      <c r="AF140" s="36"/>
      <c r="AG140" s="36">
        <v>0</v>
      </c>
      <c r="AH140" s="35" t="s">
        <v>178</v>
      </c>
      <c r="AI140" s="48">
        <f t="shared" si="67"/>
        <v>5501177</v>
      </c>
      <c r="AJ140" s="53" t="str">
        <f t="shared" si="68"/>
        <v>对肉盾怪物伤害&lt;color=#54b76b&gt;+%s%&lt;/color&gt;</v>
      </c>
      <c r="AK140" s="36">
        <v>50</v>
      </c>
      <c r="AL140" s="36">
        <v>2</v>
      </c>
    </row>
    <row r="141" s="25" customFormat="1" hidden="1" customHeight="1" spans="1:38">
      <c r="A141" s="48"/>
      <c r="B141" s="34"/>
      <c r="C141" s="48"/>
      <c r="D141" s="42"/>
      <c r="E141" s="42"/>
      <c r="F141" s="36"/>
      <c r="G141" s="36" t="str">
        <f t="shared" si="66"/>
        <v/>
      </c>
      <c r="H141" s="36" t="str">
        <f>IFERROR(IF(--MID($F141,2*COUNTIF($G141:G141,"&gt;"&amp;0)+2,1)=H$1,H$1,""),"")</f>
        <v/>
      </c>
      <c r="I141" s="36" t="str">
        <f>IFERROR(IF(--MID($F141,2*COUNTIF($G141:H141,"&gt;"&amp;0)+2,1)=I$1,I$1,""),"")</f>
        <v/>
      </c>
      <c r="J141" s="36" t="str">
        <f>IFERROR(IF(--MID($F141,2*COUNTIF($G141:I141,"&gt;"&amp;0)+2,1)=J$1,J$1,""),"")</f>
        <v/>
      </c>
      <c r="K141" s="36" t="str">
        <f>IFERROR(IF(--MID($F141,2*COUNTIF($G141:J141,"&gt;"&amp;0)+2,1)=K$1,K$1,""),"")</f>
        <v/>
      </c>
      <c r="L141" s="36" t="str">
        <f>IFERROR(IF(--MID($F141,2*COUNTIF($G141:K141,"&gt;"&amp;0)+2,1)=L$1,L$1,""),"")</f>
        <v/>
      </c>
      <c r="M141" s="51" t="str" cm="1">
        <f t="array" ref="M141">IF($A141="","",IF(G141="","",_xlfn.XLOOKUP($D141&amp;"_"&amp;$AE141,符文权重!$A:$A&amp;"_"&amp;符文权重!$C:$C,符文权重!$D:$D)*$Y141/SUMIFS($Y:$Y,G:G,G141,$D:$D,$D141,$AE:$AE,$AE141)/SUMIF(符文权重!$A:$A,$D141,符文权重!$D:$D)))</f>
        <v/>
      </c>
      <c r="N141" s="36" t="str" cm="1">
        <f t="array" ref="N141">IF($A141="","",IF(H141="","",_xlfn.XLOOKUP($D141&amp;"_"&amp;$AE141,符文权重!$A:$A&amp;"_"&amp;符文权重!$C:$C,符文权重!$D:$D)*$Y141/SUMIFS($Y:$Y,H:H,H141,$D:$D,$D$6,$AE:$AE,$AE$6)))</f>
        <v/>
      </c>
      <c r="O141" s="36" t="str" cm="1">
        <f t="array" ref="O141">IF($A141="","",IF(I141="","",_xlfn.XLOOKUP($D141&amp;"_"&amp;$AE141,符文权重!$A:$A&amp;"_"&amp;符文权重!$C:$C,符文权重!$D:$D)*$Y141/SUMIFS($Y:$Y,I:I,I141,$D:$D,$D$6,$AE:$AE,$AE$6)))</f>
        <v/>
      </c>
      <c r="P141" s="36" t="str" cm="1">
        <f t="array" ref="P141">IF($A141="","",IF(J141="","",_xlfn.XLOOKUP($D141&amp;"_"&amp;$AE141,符文权重!$A:$A&amp;"_"&amp;符文权重!$C:$C,符文权重!$D:$D)*$Y141/SUMIFS($Y:$Y,J:J,J141,$D:$D,$D$6,$AE:$AE,$AE$6)))</f>
        <v/>
      </c>
      <c r="Q141" s="36" t="str" cm="1">
        <f t="array" ref="Q141">IF($A141="","",IF(K141="","",_xlfn.XLOOKUP($D141&amp;"_"&amp;$AE141,符文权重!$A:$A&amp;"_"&amp;符文权重!$C:$C,符文权重!$D:$D)*$Y141/SUMIFS($Y:$Y,K:K,K141,$D:$D,$D$6,$AE:$AE,$AE$6)))</f>
        <v/>
      </c>
      <c r="R141" s="36" t="str" cm="1">
        <f t="array" ref="R141">IF($A141="","",IF(L141="","",_xlfn.XLOOKUP($D141&amp;"_"&amp;$AE141,符文权重!$A:$A&amp;"_"&amp;符文权重!$C:$C,符文权重!$D:$D)*$Y141/SUMIFS($Y:$Y,L:L,L141,$D:$D,$D$6,$AE:$AE,$AE$6)))</f>
        <v/>
      </c>
      <c r="S141" s="36"/>
      <c r="T141" s="36"/>
      <c r="U141" s="36"/>
      <c r="V141" s="52"/>
      <c r="W141" s="36"/>
      <c r="X141" s="35"/>
      <c r="Y141" s="42"/>
      <c r="Z141" s="35"/>
      <c r="AA141" s="42"/>
      <c r="AB141" s="42" t="str">
        <f t="shared" si="63"/>
        <v/>
      </c>
      <c r="AC141" s="48"/>
      <c r="AD141" s="42"/>
      <c r="AE141" s="36"/>
      <c r="AF141" s="36"/>
      <c r="AG141" s="36"/>
      <c r="AH141" s="35" t="s">
        <v>178</v>
      </c>
      <c r="AI141" s="33"/>
      <c r="AJ141" s="55"/>
      <c r="AK141" s="36"/>
      <c r="AL141" s="36"/>
    </row>
    <row r="142" s="25" customFormat="1" hidden="1" customHeight="1" spans="1:38">
      <c r="A142" s="48">
        <v>5501181</v>
      </c>
      <c r="B142" s="34" t="s">
        <v>329</v>
      </c>
      <c r="C142" s="48" t="str">
        <f t="shared" ref="C142:C205" si="69">IF(ISBLANK(AI142),"",LEFT(AI142,6)&amp;1)</f>
        <v>5501181</v>
      </c>
      <c r="D142" s="42">
        <f t="shared" ref="D142:D205" si="70">IF(ISBLANK(AI142),"",VALUE(RIGHT(A142,1)))</f>
        <v>1</v>
      </c>
      <c r="E142" s="42"/>
      <c r="F142" s="36" t="s">
        <v>174</v>
      </c>
      <c r="G142" s="36">
        <f t="shared" si="66"/>
        <v>1</v>
      </c>
      <c r="H142" s="36">
        <f>IFERROR(IF(--MID($F142,2*COUNTIF($G142:G142,"&gt;"&amp;0)+2,1)=H$1,H$1,""),"")</f>
        <v>2</v>
      </c>
      <c r="I142" s="36">
        <f>IFERROR(IF(--MID($F142,2*COUNTIF($G142:H142,"&gt;"&amp;0)+2,1)=I$1,I$1,""),"")</f>
        <v>3</v>
      </c>
      <c r="J142" s="36">
        <f>IFERROR(IF(--MID($F142,2*COUNTIF($G142:I142,"&gt;"&amp;0)+2,1)=J$1,J$1,""),"")</f>
        <v>4</v>
      </c>
      <c r="K142" s="36">
        <f>IFERROR(IF(--MID($F142,2*COUNTIF($G142:J142,"&gt;"&amp;0)+2,1)=K$1,K$1,""),"")</f>
        <v>5</v>
      </c>
      <c r="L142" s="36">
        <f>IFERROR(IF(--MID($F142,2*COUNTIF($G142:K142,"&gt;"&amp;0)+2,1)=L$1,L$1,""),"")</f>
        <v>6</v>
      </c>
      <c r="M142" s="51" cm="1">
        <f t="array" ref="M142">IF($A142="","",IF(G142="","",_xlfn.XLOOKUP($D142&amp;"_"&amp;$AE142,符文权重!$A:$A&amp;"_"&amp;符文权重!$C:$C,符文权重!$D:$D)*$Y142/SUMIFS($Y:$Y,G:G,G142,$D:$D,$D142,$AE:$AE,$AE142)/SUMIF(符文权重!$A:$A,$D142,符文权重!$D:$D)))</f>
        <v>0.128571428571429</v>
      </c>
      <c r="N142" s="51" cm="1">
        <f t="array" ref="N142">IF($A142="","",IF(H142="","",_xlfn.XLOOKUP($D142&amp;"_"&amp;$AE142,符文权重!$A:$A&amp;"_"&amp;符文权重!$C:$C,符文权重!$D:$D)*$Y142/SUMIFS($Y:$Y,H:H,H142,$D:$D,$D142,$AE:$AE,$AE142)/SUMIF(符文权重!$A:$A,$D142,符文权重!$D:$D)))</f>
        <v>0.15</v>
      </c>
      <c r="O142" s="51" cm="1">
        <f t="array" ref="O142">IF($A142="","",IF(I142="","",_xlfn.XLOOKUP($D142&amp;"_"&amp;$AE142,符文权重!$A:$A&amp;"_"&amp;符文权重!$C:$C,符文权重!$D:$D)*$Y142/SUMIFS($Y:$Y,I:I,I142,$D:$D,$D142,$AE:$AE,$AE142)/SUMIF(符文权重!$A:$A,$D142,符文权重!$D:$D)))</f>
        <v>0.128571428571429</v>
      </c>
      <c r="P142" s="51" cm="1">
        <f t="array" ref="P142">IF($A142="","",IF(J142="","",_xlfn.XLOOKUP($D142&amp;"_"&amp;$AE142,符文权重!$A:$A&amp;"_"&amp;符文权重!$C:$C,符文权重!$D:$D)*$Y142/SUMIFS($Y:$Y,J:J,J142,$D:$D,$D142,$AE:$AE,$AE142)/SUMIF(符文权重!$A:$A,$D142,符文权重!$D:$D)))</f>
        <v>0.15</v>
      </c>
      <c r="Q142" s="51" cm="1">
        <f t="array" ref="Q142">IF($A142="","",IF(K142="","",_xlfn.XLOOKUP($D142&amp;"_"&amp;$AE142,符文权重!$A:$A&amp;"_"&amp;符文权重!$C:$C,符文权重!$D:$D)*$Y142/SUMIFS($Y:$Y,K:K,K142,$D:$D,$D142,$AE:$AE,$AE142)/SUMIF(符文权重!$A:$A,$D142,符文权重!$D:$D)))</f>
        <v>0.128571428571429</v>
      </c>
      <c r="R142" s="51" cm="1">
        <f t="array" ref="R142">IF($A142="","",IF(L142="","",_xlfn.XLOOKUP($D142&amp;"_"&amp;$AE142,符文权重!$A:$A&amp;"_"&amp;符文权重!$C:$C,符文权重!$D:$D)*$Y142/SUMIFS($Y:$Y,L:L,L142,$D:$D,$D142,$AE:$AE,$AE142)/SUMIF(符文权重!$A:$A,$D142,符文权重!$D:$D)))</f>
        <v>0.15</v>
      </c>
      <c r="S142" s="36" t="s">
        <v>175</v>
      </c>
      <c r="T142" s="36"/>
      <c r="U142" s="36" t="e">
        <f>IF(C142="","",SUBSTITUTE(SUBSTITUTE("[{global_atk,"&amp;#REF!*D142&amp;"}]",21,20),9,8))</f>
        <v>#REF!</v>
      </c>
      <c r="V142" s="52" t="str">
        <f t="shared" ref="V142:V148" si="71">"["&amp;A142&amp;"]"</f>
        <v>[5501181]</v>
      </c>
      <c r="W142" s="36" t="s">
        <v>330</v>
      </c>
      <c r="X142" s="35"/>
      <c r="Y142" s="42">
        <v>100</v>
      </c>
      <c r="Z142" s="35"/>
      <c r="AA142" s="42" t="s">
        <v>177</v>
      </c>
      <c r="AB142" s="42" t="str">
        <f t="shared" si="63"/>
        <v>对高速怪物伤害&lt;color=#54b76b&gt;+10%&lt;/color&gt;</v>
      </c>
      <c r="AC142" s="48" t="str">
        <f t="shared" ref="AC142:AC205" si="72">IF(ISBLANK(AI142),"",C142)</f>
        <v>5501181</v>
      </c>
      <c r="AD142" s="42" t="str">
        <f t="shared" ref="AD142:AD205" si="73">IF(ISBLANK(AK142),"","["&amp;AK142&amp;"]")</f>
        <v>[10]</v>
      </c>
      <c r="AE142" s="36">
        <v>2</v>
      </c>
      <c r="AF142" s="36"/>
      <c r="AG142" s="36">
        <v>0</v>
      </c>
      <c r="AH142" s="35" t="s">
        <v>178</v>
      </c>
      <c r="AI142" s="33">
        <v>5501181</v>
      </c>
      <c r="AJ142" s="55" t="s">
        <v>329</v>
      </c>
      <c r="AK142" s="36">
        <v>10</v>
      </c>
      <c r="AL142" s="36">
        <v>2</v>
      </c>
    </row>
    <row r="143" s="25" customFormat="1" hidden="1" customHeight="1" spans="1:38">
      <c r="A143" s="48">
        <v>5501182</v>
      </c>
      <c r="B143" s="34" t="s">
        <v>329</v>
      </c>
      <c r="C143" s="48" t="str">
        <f t="shared" si="69"/>
        <v>5501181</v>
      </c>
      <c r="D143" s="42">
        <f t="shared" si="70"/>
        <v>2</v>
      </c>
      <c r="E143" s="42"/>
      <c r="F143" s="36" t="s">
        <v>174</v>
      </c>
      <c r="G143" s="36">
        <f t="shared" si="66"/>
        <v>1</v>
      </c>
      <c r="H143" s="36">
        <f>IFERROR(IF(--MID($F143,2*COUNTIF($G143:G143,"&gt;"&amp;0)+2,1)=H$1,H$1,""),"")</f>
        <v>2</v>
      </c>
      <c r="I143" s="36">
        <f>IFERROR(IF(--MID($F143,2*COUNTIF($G143:H143,"&gt;"&amp;0)+2,1)=I$1,I$1,""),"")</f>
        <v>3</v>
      </c>
      <c r="J143" s="36">
        <f>IFERROR(IF(--MID($F143,2*COUNTIF($G143:I143,"&gt;"&amp;0)+2,1)=J$1,J$1,""),"")</f>
        <v>4</v>
      </c>
      <c r="K143" s="36">
        <f>IFERROR(IF(--MID($F143,2*COUNTIF($G143:J143,"&gt;"&amp;0)+2,1)=K$1,K$1,""),"")</f>
        <v>5</v>
      </c>
      <c r="L143" s="36">
        <f>IFERROR(IF(--MID($F143,2*COUNTIF($G143:K143,"&gt;"&amp;0)+2,1)=L$1,L$1,""),"")</f>
        <v>6</v>
      </c>
      <c r="M143" s="51" cm="1">
        <f t="array" ref="M143">IF($A143="","",IF(G143="","",_xlfn.XLOOKUP($D143&amp;"_"&amp;$AE143,符文权重!$A:$A&amp;"_"&amp;符文权重!$C:$C,符文权重!$D:$D)*$Y143/SUMIFS($Y:$Y,G:G,G143,$D:$D,$D143,$AE:$AE,$AE143)/SUMIF(符文权重!$A:$A,$D143,符文权重!$D:$D)))</f>
        <v>0.1</v>
      </c>
      <c r="N143" s="51" cm="1">
        <f t="array" ref="N143">IF($A143="","",IF(H143="","",_xlfn.XLOOKUP($D143&amp;"_"&amp;$AE143,符文权重!$A:$A&amp;"_"&amp;符文权重!$C:$C,符文权重!$D:$D)*$Y143/SUMIFS($Y:$Y,H:H,H143,$D:$D,$D143,$AE:$AE,$AE143)/SUMIF(符文权重!$A:$A,$D143,符文权重!$D:$D)))</f>
        <v>0.11</v>
      </c>
      <c r="O143" s="51" cm="1">
        <f t="array" ref="O143">IF($A143="","",IF(I143="","",_xlfn.XLOOKUP($D143&amp;"_"&amp;$AE143,符文权重!$A:$A&amp;"_"&amp;符文权重!$C:$C,符文权重!$D:$D)*$Y143/SUMIFS($Y:$Y,I:I,I143,$D:$D,$D143,$AE:$AE,$AE143)/SUMIF(符文权重!$A:$A,$D143,符文权重!$D:$D)))</f>
        <v>0.1</v>
      </c>
      <c r="P143" s="51" cm="1">
        <f t="array" ref="P143">IF($A143="","",IF(J143="","",_xlfn.XLOOKUP($D143&amp;"_"&amp;$AE143,符文权重!$A:$A&amp;"_"&amp;符文权重!$C:$C,符文权重!$D:$D)*$Y143/SUMIFS($Y:$Y,J:J,J143,$D:$D,$D143,$AE:$AE,$AE143)/SUMIF(符文权重!$A:$A,$D143,符文权重!$D:$D)))</f>
        <v>0.11</v>
      </c>
      <c r="Q143" s="51" cm="1">
        <f t="array" ref="Q143">IF($A143="","",IF(K143="","",_xlfn.XLOOKUP($D143&amp;"_"&amp;$AE143,符文权重!$A:$A&amp;"_"&amp;符文权重!$C:$C,符文权重!$D:$D)*$Y143/SUMIFS($Y:$Y,K:K,K143,$D:$D,$D143,$AE:$AE,$AE143)/SUMIF(符文权重!$A:$A,$D143,符文权重!$D:$D)))</f>
        <v>0.1</v>
      </c>
      <c r="R143" s="51" cm="1">
        <f t="array" ref="R143">IF($A143="","",IF(L143="","",_xlfn.XLOOKUP($D143&amp;"_"&amp;$AE143,符文权重!$A:$A&amp;"_"&amp;符文权重!$C:$C,符文权重!$D:$D)*$Y143/SUMIFS($Y:$Y,L:L,L143,$D:$D,$D143,$AE:$AE,$AE143)/SUMIF(符文权重!$A:$A,$D143,符文权重!$D:$D)))</f>
        <v>0.11</v>
      </c>
      <c r="S143" s="36" t="s">
        <v>175</v>
      </c>
      <c r="T143" s="36"/>
      <c r="U143" s="36" t="e">
        <f>IF(C143="","",SUBSTITUTE(SUBSTITUTE("[{global_atk,"&amp;#REF!*D143&amp;"}]",21,20),9,8))</f>
        <v>#REF!</v>
      </c>
      <c r="V143" s="52" t="str">
        <f t="shared" si="71"/>
        <v>[5501182]</v>
      </c>
      <c r="W143" s="36" t="s">
        <v>331</v>
      </c>
      <c r="X143" s="35"/>
      <c r="Y143" s="42">
        <v>100</v>
      </c>
      <c r="Z143" s="35"/>
      <c r="AA143" s="42" t="s">
        <v>181</v>
      </c>
      <c r="AB143" s="42" t="str">
        <f t="shared" si="63"/>
        <v>对高速怪物伤害&lt;color=#54b76b&gt;+15%&lt;/color&gt;</v>
      </c>
      <c r="AC143" s="48" t="str">
        <f t="shared" si="72"/>
        <v>5501181</v>
      </c>
      <c r="AD143" s="42" t="str">
        <f t="shared" si="73"/>
        <v>[15]</v>
      </c>
      <c r="AE143" s="36">
        <v>2</v>
      </c>
      <c r="AF143" s="36"/>
      <c r="AG143" s="36">
        <v>0</v>
      </c>
      <c r="AH143" s="35" t="s">
        <v>178</v>
      </c>
      <c r="AI143" s="48">
        <f t="shared" ref="AI143:AI148" si="74">AI142+1</f>
        <v>5501182</v>
      </c>
      <c r="AJ143" s="53" t="str">
        <f t="shared" ref="AJ143:AJ148" si="75">AJ142</f>
        <v>对高速怪物伤害&lt;color=#54b76b&gt;+%s%&lt;/color&gt;</v>
      </c>
      <c r="AK143" s="36">
        <v>15</v>
      </c>
      <c r="AL143" s="36">
        <v>2</v>
      </c>
    </row>
    <row r="144" s="25" customFormat="1" hidden="1" customHeight="1" spans="1:38">
      <c r="A144" s="48">
        <v>5501183</v>
      </c>
      <c r="B144" s="34" t="s">
        <v>329</v>
      </c>
      <c r="C144" s="48" t="str">
        <f t="shared" si="69"/>
        <v>5501181</v>
      </c>
      <c r="D144" s="42">
        <f t="shared" si="70"/>
        <v>3</v>
      </c>
      <c r="E144" s="42"/>
      <c r="F144" s="36" t="s">
        <v>174</v>
      </c>
      <c r="G144" s="36">
        <f t="shared" si="66"/>
        <v>1</v>
      </c>
      <c r="H144" s="36">
        <f>IFERROR(IF(--MID($F144,2*COUNTIF($G144:G144,"&gt;"&amp;0)+2,1)=H$1,H$1,""),"")</f>
        <v>2</v>
      </c>
      <c r="I144" s="36">
        <f>IFERROR(IF(--MID($F144,2*COUNTIF($G144:H144,"&gt;"&amp;0)+2,1)=I$1,I$1,""),"")</f>
        <v>3</v>
      </c>
      <c r="J144" s="36">
        <f>IFERROR(IF(--MID($F144,2*COUNTIF($G144:I144,"&gt;"&amp;0)+2,1)=J$1,J$1,""),"")</f>
        <v>4</v>
      </c>
      <c r="K144" s="36">
        <f>IFERROR(IF(--MID($F144,2*COUNTIF($G144:J144,"&gt;"&amp;0)+2,1)=K$1,K$1,""),"")</f>
        <v>5</v>
      </c>
      <c r="L144" s="36">
        <f>IFERROR(IF(--MID($F144,2*COUNTIF($G144:K144,"&gt;"&amp;0)+2,1)=L$1,L$1,""),"")</f>
        <v>6</v>
      </c>
      <c r="M144" s="51" cm="1">
        <f t="array" ref="M144">IF($A144="","",IF(G144="","",_xlfn.XLOOKUP($D144&amp;"_"&amp;$AE144,符文权重!$A:$A&amp;"_"&amp;符文权重!$C:$C,符文权重!$D:$D)*$Y144/SUMIFS($Y:$Y,G:G,G144,$D:$D,$D144,$AE:$AE,$AE144)/SUMIF(符文权重!$A:$A,$D144,符文权重!$D:$D)))</f>
        <v>0.0909961685823755</v>
      </c>
      <c r="N144" s="51" cm="1">
        <f t="array" ref="N144">IF($A144="","",IF(H144="","",_xlfn.XLOOKUP($D144&amp;"_"&amp;$AE144,符文权重!$A:$A&amp;"_"&amp;符文权重!$C:$C,符文权重!$D:$D)*$Y144/SUMIFS($Y:$Y,H:H,H144,$D:$D,$D144,$AE:$AE,$AE144)/SUMIF(符文权重!$A:$A,$D144,符文权重!$D:$D)))</f>
        <v>0.112559241706161</v>
      </c>
      <c r="O144" s="51" cm="1">
        <f t="array" ref="O144">IF($A144="","",IF(I144="","",_xlfn.XLOOKUP($D144&amp;"_"&amp;$AE144,符文权重!$A:$A&amp;"_"&amp;符文权重!$C:$C,符文权重!$D:$D)*$Y144/SUMIFS($Y:$Y,I:I,I144,$D:$D,$D144,$AE:$AE,$AE144)/SUMIF(符文权重!$A:$A,$D144,符文权重!$D:$D)))</f>
        <v>0.0920542635658915</v>
      </c>
      <c r="P144" s="51" cm="1">
        <f t="array" ref="P144">IF($A144="","",IF(J144="","",_xlfn.XLOOKUP($D144&amp;"_"&amp;$AE144,符文权重!$A:$A&amp;"_"&amp;符文权重!$C:$C,符文权重!$D:$D)*$Y144/SUMIFS($Y:$Y,J:J,J144,$D:$D,$D144,$AE:$AE,$AE144)/SUMIF(符文权重!$A:$A,$D144,符文权重!$D:$D)))</f>
        <v>0.0909961685823755</v>
      </c>
      <c r="Q144" s="51" cm="1">
        <f t="array" ref="Q144">IF($A144="","",IF(K144="","",_xlfn.XLOOKUP($D144&amp;"_"&amp;$AE144,符文权重!$A:$A&amp;"_"&amp;符文权重!$C:$C,符文权重!$D:$D)*$Y144/SUMIFS($Y:$Y,K:K,K144,$D:$D,$D144,$AE:$AE,$AE144)/SUMIF(符文权重!$A:$A,$D144,符文权重!$D:$D)))</f>
        <v>0.114182692307692</v>
      </c>
      <c r="R144" s="51" cm="1">
        <f t="array" ref="R144">IF($A144="","",IF(L144="","",_xlfn.XLOOKUP($D144&amp;"_"&amp;$AE144,符文权重!$A:$A&amp;"_"&amp;符文权重!$C:$C,符文权重!$D:$D)*$Y144/SUMIFS($Y:$Y,L:L,L144,$D:$D,$D144,$AE:$AE,$AE144)/SUMIF(符文权重!$A:$A,$D144,符文权重!$D:$D)))</f>
        <v>0.0909961685823755</v>
      </c>
      <c r="S144" s="36" t="s">
        <v>175</v>
      </c>
      <c r="T144" s="36"/>
      <c r="U144" s="36" t="e">
        <f>IF(C144="","",SUBSTITUTE(SUBSTITUTE("[{global_atk,"&amp;#REF!*D144&amp;"}]",21,20),9,8))</f>
        <v>#REF!</v>
      </c>
      <c r="V144" s="52" t="str">
        <f t="shared" si="71"/>
        <v>[5501183]</v>
      </c>
      <c r="W144" s="36" t="s">
        <v>332</v>
      </c>
      <c r="X144" s="35"/>
      <c r="Y144" s="42">
        <v>100</v>
      </c>
      <c r="Z144" s="35"/>
      <c r="AA144" s="42" t="s">
        <v>183</v>
      </c>
      <c r="AB144" s="42" t="str">
        <f t="shared" si="63"/>
        <v>对高速怪物伤害&lt;color=#54b76b&gt;+20%&lt;/color&gt;</v>
      </c>
      <c r="AC144" s="48" t="str">
        <f t="shared" si="72"/>
        <v>5501181</v>
      </c>
      <c r="AD144" s="42" t="str">
        <f t="shared" si="73"/>
        <v>[20]</v>
      </c>
      <c r="AE144" s="36">
        <v>2</v>
      </c>
      <c r="AF144" s="36"/>
      <c r="AG144" s="36">
        <v>0</v>
      </c>
      <c r="AH144" s="35" t="s">
        <v>178</v>
      </c>
      <c r="AI144" s="48">
        <f t="shared" si="74"/>
        <v>5501183</v>
      </c>
      <c r="AJ144" s="53" t="str">
        <f t="shared" si="75"/>
        <v>对高速怪物伤害&lt;color=#54b76b&gt;+%s%&lt;/color&gt;</v>
      </c>
      <c r="AK144" s="36">
        <v>20</v>
      </c>
      <c r="AL144" s="36">
        <v>2</v>
      </c>
    </row>
    <row r="145" s="25" customFormat="1" hidden="1" customHeight="1" spans="1:45">
      <c r="A145" s="48">
        <v>5501184</v>
      </c>
      <c r="B145" s="34" t="s">
        <v>329</v>
      </c>
      <c r="C145" s="48" t="str">
        <f t="shared" si="69"/>
        <v>5501181</v>
      </c>
      <c r="D145" s="42">
        <f t="shared" si="70"/>
        <v>4</v>
      </c>
      <c r="E145" s="42"/>
      <c r="F145" s="36" t="s">
        <v>174</v>
      </c>
      <c r="G145" s="36">
        <f t="shared" si="66"/>
        <v>1</v>
      </c>
      <c r="H145" s="36">
        <f>IFERROR(IF(--MID($F145,2*COUNTIF($G145:G145,"&gt;"&amp;0)+2,1)=H$1,H$1,""),"")</f>
        <v>2</v>
      </c>
      <c r="I145" s="36">
        <f>IFERROR(IF(--MID($F145,2*COUNTIF($G145:H145,"&gt;"&amp;0)+2,1)=I$1,I$1,""),"")</f>
        <v>3</v>
      </c>
      <c r="J145" s="36">
        <f>IFERROR(IF(--MID($F145,2*COUNTIF($G145:I145,"&gt;"&amp;0)+2,1)=J$1,J$1,""),"")</f>
        <v>4</v>
      </c>
      <c r="K145" s="36">
        <f>IFERROR(IF(--MID($F145,2*COUNTIF($G145:J145,"&gt;"&amp;0)+2,1)=K$1,K$1,""),"")</f>
        <v>5</v>
      </c>
      <c r="L145" s="36">
        <f>IFERROR(IF(--MID($F145,2*COUNTIF($G145:K145,"&gt;"&amp;0)+2,1)=L$1,L$1,""),"")</f>
        <v>6</v>
      </c>
      <c r="M145" s="51" cm="1">
        <f t="array" ref="M145">IF($A145="","",IF(G145="","",_xlfn.XLOOKUP($D145&amp;"_"&amp;$AE145,符文权重!$A:$A&amp;"_"&amp;符文权重!$C:$C,符文权重!$D:$D)*$Y145/SUMIFS($Y:$Y,G:G,G145,$D:$D,$D145,$AE:$AE,$AE145)/SUMIF(符文权重!$A:$A,$D145,符文权重!$D:$D)))</f>
        <v>0.0628628628628629</v>
      </c>
      <c r="N145" s="51" cm="1">
        <f t="array" ref="N145">IF($A145="","",IF(H145="","",_xlfn.XLOOKUP($D145&amp;"_"&amp;$AE145,符文权重!$A:$A&amp;"_"&amp;符文权重!$C:$C,符文权重!$D:$D)*$Y145/SUMIFS($Y:$Y,H:H,H145,$D:$D,$D145,$AE:$AE,$AE145)/SUMIF(符文权重!$A:$A,$D145,符文权重!$D:$D)))</f>
        <v>0.0785785785785786</v>
      </c>
      <c r="O145" s="51" cm="1">
        <f t="array" ref="O145">IF($A145="","",IF(I145="","",_xlfn.XLOOKUP($D145&amp;"_"&amp;$AE145,符文权重!$A:$A&amp;"_"&amp;符文权重!$C:$C,符文权重!$D:$D)*$Y145/SUMIFS($Y:$Y,I:I,I145,$D:$D,$D145,$AE:$AE,$AE145)/SUMIF(符文权重!$A:$A,$D145,符文权重!$D:$D)))</f>
        <v>0.0628628628628629</v>
      </c>
      <c r="P145" s="51" cm="1">
        <f t="array" ref="P145">IF($A145="","",IF(J145="","",_xlfn.XLOOKUP($D145&amp;"_"&amp;$AE145,符文权重!$A:$A&amp;"_"&amp;符文权重!$C:$C,符文权重!$D:$D)*$Y145/SUMIFS($Y:$Y,J:J,J145,$D:$D,$D145,$AE:$AE,$AE145)/SUMIF(符文权重!$A:$A,$D145,符文权重!$D:$D)))</f>
        <v>0.0628628628628629</v>
      </c>
      <c r="Q145" s="51" cm="1">
        <f t="array" ref="Q145">IF($A145="","",IF(K145="","",_xlfn.XLOOKUP($D145&amp;"_"&amp;$AE145,符文权重!$A:$A&amp;"_"&amp;符文权重!$C:$C,符文权重!$D:$D)*$Y145/SUMIFS($Y:$Y,K:K,K145,$D:$D,$D145,$AE:$AE,$AE145)/SUMIF(符文权重!$A:$A,$D145,符文权重!$D:$D)))</f>
        <v>0.0785785785785786</v>
      </c>
      <c r="R145" s="51" cm="1">
        <f t="array" ref="R145">IF($A145="","",IF(L145="","",_xlfn.XLOOKUP($D145&amp;"_"&amp;$AE145,符文权重!$A:$A&amp;"_"&amp;符文权重!$C:$C,符文权重!$D:$D)*$Y145/SUMIFS($Y:$Y,L:L,L145,$D:$D,$D145,$AE:$AE,$AE145)/SUMIF(符文权重!$A:$A,$D145,符文权重!$D:$D)))</f>
        <v>0.0628628628628629</v>
      </c>
      <c r="S145" s="36" t="s">
        <v>175</v>
      </c>
      <c r="T145" s="36"/>
      <c r="U145" s="36" t="e">
        <f>IF(C145="","",SUBSTITUTE(SUBSTITUTE("[{global_atk,"&amp;#REF!*D145&amp;"}]",21,20),9,8))</f>
        <v>#REF!</v>
      </c>
      <c r="V145" s="52" t="str">
        <f t="shared" si="71"/>
        <v>[5501184]</v>
      </c>
      <c r="W145" s="36" t="s">
        <v>333</v>
      </c>
      <c r="X145" s="35"/>
      <c r="Y145" s="42">
        <v>100</v>
      </c>
      <c r="Z145" s="35"/>
      <c r="AA145" s="42" t="s">
        <v>185</v>
      </c>
      <c r="AB145" s="42" t="str">
        <f t="shared" si="63"/>
        <v>对高速怪物伤害&lt;color=#54b76b&gt;+25%&lt;/color&gt;</v>
      </c>
      <c r="AC145" s="48" t="str">
        <f t="shared" si="72"/>
        <v>5501181</v>
      </c>
      <c r="AD145" s="42" t="str">
        <f t="shared" si="73"/>
        <v>[25]</v>
      </c>
      <c r="AE145" s="36">
        <v>2</v>
      </c>
      <c r="AF145" s="36"/>
      <c r="AG145" s="36">
        <v>0</v>
      </c>
      <c r="AH145" s="35" t="s">
        <v>178</v>
      </c>
      <c r="AI145" s="48">
        <f t="shared" si="74"/>
        <v>5501184</v>
      </c>
      <c r="AJ145" s="53" t="str">
        <f t="shared" si="75"/>
        <v>对高速怪物伤害&lt;color=#54b76b&gt;+%s%&lt;/color&gt;</v>
      </c>
      <c r="AK145" s="36">
        <v>25</v>
      </c>
      <c r="AL145" s="36">
        <v>2</v>
      </c>
    </row>
    <row r="146" s="25" customFormat="1" hidden="1" customHeight="1" spans="1:45">
      <c r="A146" s="48">
        <v>5501185</v>
      </c>
      <c r="B146" s="34" t="s">
        <v>329</v>
      </c>
      <c r="C146" s="48" t="str">
        <f t="shared" si="69"/>
        <v>5501181</v>
      </c>
      <c r="D146" s="42">
        <f t="shared" si="70"/>
        <v>5</v>
      </c>
      <c r="E146" s="42"/>
      <c r="F146" s="36" t="s">
        <v>174</v>
      </c>
      <c r="G146" s="36">
        <f t="shared" si="66"/>
        <v>1</v>
      </c>
      <c r="H146" s="36">
        <f>IFERROR(IF(--MID($F146,2*COUNTIF($G146:G146,"&gt;"&amp;0)+2,1)=H$1,H$1,""),"")</f>
        <v>2</v>
      </c>
      <c r="I146" s="36">
        <f>IFERROR(IF(--MID($F146,2*COUNTIF($G146:H146,"&gt;"&amp;0)+2,1)=I$1,I$1,""),"")</f>
        <v>3</v>
      </c>
      <c r="J146" s="36">
        <f>IFERROR(IF(--MID($F146,2*COUNTIF($G146:I146,"&gt;"&amp;0)+2,1)=J$1,J$1,""),"")</f>
        <v>4</v>
      </c>
      <c r="K146" s="36">
        <f>IFERROR(IF(--MID($F146,2*COUNTIF($G146:J146,"&gt;"&amp;0)+2,1)=K$1,K$1,""),"")</f>
        <v>5</v>
      </c>
      <c r="L146" s="36">
        <f>IFERROR(IF(--MID($F146,2*COUNTIF($G146:K146,"&gt;"&amp;0)+2,1)=L$1,L$1,""),"")</f>
        <v>6</v>
      </c>
      <c r="M146" s="51" cm="1">
        <f t="array" ref="M146">IF($A146="","",IF(G146="","",_xlfn.XLOOKUP($D146&amp;"_"&amp;$AE146,符文权重!$A:$A&amp;"_"&amp;符文权重!$C:$C,符文权重!$D:$D)*$Y146/SUMIFS($Y:$Y,G:G,G146,$D:$D,$D146,$AE:$AE,$AE146)/SUMIF(符文权重!$A:$A,$D146,符文权重!$D:$D)))</f>
        <v>0.0612</v>
      </c>
      <c r="N146" s="51" cm="1">
        <f t="array" ref="N146">IF($A146="","",IF(H146="","",_xlfn.XLOOKUP($D146&amp;"_"&amp;$AE146,符文权重!$A:$A&amp;"_"&amp;符文权重!$C:$C,符文权重!$D:$D)*$Y146/SUMIFS($Y:$Y,H:H,H146,$D:$D,$D146,$AE:$AE,$AE146)/SUMIF(符文权重!$A:$A,$D146,符文权重!$D:$D)))</f>
        <v>0.0765</v>
      </c>
      <c r="O146" s="51" cm="1">
        <f t="array" ref="O146">IF($A146="","",IF(I146="","",_xlfn.XLOOKUP($D146&amp;"_"&amp;$AE146,符文权重!$A:$A&amp;"_"&amp;符文权重!$C:$C,符文权重!$D:$D)*$Y146/SUMIFS($Y:$Y,I:I,I146,$D:$D,$D146,$AE:$AE,$AE146)/SUMIF(符文权重!$A:$A,$D146,符文权重!$D:$D)))</f>
        <v>0.0612</v>
      </c>
      <c r="P146" s="51" cm="1">
        <f t="array" ref="P146">IF($A146="","",IF(J146="","",_xlfn.XLOOKUP($D146&amp;"_"&amp;$AE146,符文权重!$A:$A&amp;"_"&amp;符文权重!$C:$C,符文权重!$D:$D)*$Y146/SUMIFS($Y:$Y,J:J,J146,$D:$D,$D146,$AE:$AE,$AE146)/SUMIF(符文权重!$A:$A,$D146,符文权重!$D:$D)))</f>
        <v>0.0612</v>
      </c>
      <c r="Q146" s="51" cm="1">
        <f t="array" ref="Q146">IF($A146="","",IF(K146="","",_xlfn.XLOOKUP($D146&amp;"_"&amp;$AE146,符文权重!$A:$A&amp;"_"&amp;符文权重!$C:$C,符文权重!$D:$D)*$Y146/SUMIFS($Y:$Y,K:K,K146,$D:$D,$D146,$AE:$AE,$AE146)/SUMIF(符文权重!$A:$A,$D146,符文权重!$D:$D)))</f>
        <v>0.0765</v>
      </c>
      <c r="R146" s="51" cm="1">
        <f t="array" ref="R146">IF($A146="","",IF(L146="","",_xlfn.XLOOKUP($D146&amp;"_"&amp;$AE146,符文权重!$A:$A&amp;"_"&amp;符文权重!$C:$C,符文权重!$D:$D)*$Y146/SUMIFS($Y:$Y,L:L,L146,$D:$D,$D146,$AE:$AE,$AE146)/SUMIF(符文权重!$A:$A,$D146,符文权重!$D:$D)))</f>
        <v>0.0612</v>
      </c>
      <c r="S146" s="36" t="s">
        <v>175</v>
      </c>
      <c r="T146" s="36"/>
      <c r="U146" s="36" t="e">
        <f>IF(C146="","",SUBSTITUTE(SUBSTITUTE("[{global_atk,"&amp;#REF!*D146&amp;"}]",21,20),9,8))</f>
        <v>#REF!</v>
      </c>
      <c r="V146" s="52" t="str">
        <f t="shared" si="71"/>
        <v>[5501185]</v>
      </c>
      <c r="W146" s="36" t="s">
        <v>334</v>
      </c>
      <c r="X146" s="35"/>
      <c r="Y146" s="42">
        <v>100</v>
      </c>
      <c r="Z146" s="35"/>
      <c r="AA146" s="42" t="s">
        <v>187</v>
      </c>
      <c r="AB146" s="42" t="str">
        <f t="shared" si="63"/>
        <v>对高速怪物伤害&lt;color=#54b76b&gt;+32%&lt;/color&gt;</v>
      </c>
      <c r="AC146" s="48" t="str">
        <f t="shared" si="72"/>
        <v>5501181</v>
      </c>
      <c r="AD146" s="42" t="str">
        <f t="shared" si="73"/>
        <v>[32]</v>
      </c>
      <c r="AE146" s="36">
        <v>2</v>
      </c>
      <c r="AF146" s="36"/>
      <c r="AG146" s="36">
        <v>0</v>
      </c>
      <c r="AH146" s="35" t="s">
        <v>178</v>
      </c>
      <c r="AI146" s="48">
        <f t="shared" si="74"/>
        <v>5501185</v>
      </c>
      <c r="AJ146" s="53" t="str">
        <f t="shared" si="75"/>
        <v>对高速怪物伤害&lt;color=#54b76b&gt;+%s%&lt;/color&gt;</v>
      </c>
      <c r="AK146" s="36">
        <v>32</v>
      </c>
      <c r="AL146" s="36">
        <v>2</v>
      </c>
    </row>
    <row r="147" s="25" customFormat="1" hidden="1" customHeight="1" spans="1:45">
      <c r="A147" s="48">
        <v>5501186</v>
      </c>
      <c r="B147" s="34" t="s">
        <v>329</v>
      </c>
      <c r="C147" s="48" t="str">
        <f t="shared" si="69"/>
        <v>5501181</v>
      </c>
      <c r="D147" s="42">
        <f t="shared" si="70"/>
        <v>6</v>
      </c>
      <c r="E147" s="42"/>
      <c r="F147" s="36" t="s">
        <v>174</v>
      </c>
      <c r="G147" s="36">
        <f t="shared" si="66"/>
        <v>1</v>
      </c>
      <c r="H147" s="36">
        <f>IFERROR(IF(--MID($F147,2*COUNTIF($G147:G147,"&gt;"&amp;0)+2,1)=H$1,H$1,""),"")</f>
        <v>2</v>
      </c>
      <c r="I147" s="36">
        <f>IFERROR(IF(--MID($F147,2*COUNTIF($G147:H147,"&gt;"&amp;0)+2,1)=I$1,I$1,""),"")</f>
        <v>3</v>
      </c>
      <c r="J147" s="36">
        <f>IFERROR(IF(--MID($F147,2*COUNTIF($G147:I147,"&gt;"&amp;0)+2,1)=J$1,J$1,""),"")</f>
        <v>4</v>
      </c>
      <c r="K147" s="36">
        <f>IFERROR(IF(--MID($F147,2*COUNTIF($G147:J147,"&gt;"&amp;0)+2,1)=K$1,K$1,""),"")</f>
        <v>5</v>
      </c>
      <c r="L147" s="36">
        <f>IFERROR(IF(--MID($F147,2*COUNTIF($G147:K147,"&gt;"&amp;0)+2,1)=L$1,L$1,""),"")</f>
        <v>6</v>
      </c>
      <c r="M147" s="51" cm="1">
        <f t="array" ref="M147">IF($A147="","",IF(G147="","",_xlfn.XLOOKUP($D147&amp;"_"&amp;$AE147,符文权重!$A:$A&amp;"_"&amp;符文权重!$C:$C,符文权重!$D:$D)*$Y147/SUMIFS($Y:$Y,G:G,G147,$D:$D,$D147,$AE:$AE,$AE147)/SUMIF(符文权重!$A:$A,$D147,符文权重!$D:$D)))</f>
        <v>0.0612</v>
      </c>
      <c r="N147" s="51" cm="1">
        <f t="array" ref="N147">IF($A147="","",IF(H147="","",_xlfn.XLOOKUP($D147&amp;"_"&amp;$AE147,符文权重!$A:$A&amp;"_"&amp;符文权重!$C:$C,符文权重!$D:$D)*$Y147/SUMIFS($Y:$Y,H:H,H147,$D:$D,$D147,$AE:$AE,$AE147)/SUMIF(符文权重!$A:$A,$D147,符文权重!$D:$D)))</f>
        <v>0.0765</v>
      </c>
      <c r="O147" s="51" cm="1">
        <f t="array" ref="O147">IF($A147="","",IF(I147="","",_xlfn.XLOOKUP($D147&amp;"_"&amp;$AE147,符文权重!$A:$A&amp;"_"&amp;符文权重!$C:$C,符文权重!$D:$D)*$Y147/SUMIFS($Y:$Y,I:I,I147,$D:$D,$D147,$AE:$AE,$AE147)/SUMIF(符文权重!$A:$A,$D147,符文权重!$D:$D)))</f>
        <v>0.0612</v>
      </c>
      <c r="P147" s="51" cm="1">
        <f t="array" ref="P147">IF($A147="","",IF(J147="","",_xlfn.XLOOKUP($D147&amp;"_"&amp;$AE147,符文权重!$A:$A&amp;"_"&amp;符文权重!$C:$C,符文权重!$D:$D)*$Y147/SUMIFS($Y:$Y,J:J,J147,$D:$D,$D147,$AE:$AE,$AE147)/SUMIF(符文权重!$A:$A,$D147,符文权重!$D:$D)))</f>
        <v>0.0612</v>
      </c>
      <c r="Q147" s="51" cm="1">
        <f t="array" ref="Q147">IF($A147="","",IF(K147="","",_xlfn.XLOOKUP($D147&amp;"_"&amp;$AE147,符文权重!$A:$A&amp;"_"&amp;符文权重!$C:$C,符文权重!$D:$D)*$Y147/SUMIFS($Y:$Y,K:K,K147,$D:$D,$D147,$AE:$AE,$AE147)/SUMIF(符文权重!$A:$A,$D147,符文权重!$D:$D)))</f>
        <v>0.0765</v>
      </c>
      <c r="R147" s="51" cm="1">
        <f t="array" ref="R147">IF($A147="","",IF(L147="","",_xlfn.XLOOKUP($D147&amp;"_"&amp;$AE147,符文权重!$A:$A&amp;"_"&amp;符文权重!$C:$C,符文权重!$D:$D)*$Y147/SUMIFS($Y:$Y,L:L,L147,$D:$D,$D147,$AE:$AE,$AE147)/SUMIF(符文权重!$A:$A,$D147,符文权重!$D:$D)))</f>
        <v>0.0612</v>
      </c>
      <c r="S147" s="36" t="s">
        <v>175</v>
      </c>
      <c r="T147" s="36"/>
      <c r="U147" s="36" t="e">
        <f>IF(C147="","",SUBSTITUTE(SUBSTITUTE("[{global_atk,"&amp;#REF!*D147&amp;"}]",21,20),9,8))</f>
        <v>#REF!</v>
      </c>
      <c r="V147" s="52" t="str">
        <f t="shared" si="71"/>
        <v>[5501186]</v>
      </c>
      <c r="W147" s="36" t="s">
        <v>335</v>
      </c>
      <c r="X147" s="35"/>
      <c r="Y147" s="42">
        <v>100</v>
      </c>
      <c r="Z147" s="35"/>
      <c r="AA147" s="42" t="s">
        <v>189</v>
      </c>
      <c r="AB147" s="42" t="str">
        <f t="shared" si="63"/>
        <v>对高速怪物伤害&lt;color=#54b76b&gt;+40%&lt;/color&gt;</v>
      </c>
      <c r="AC147" s="48" t="str">
        <f t="shared" si="72"/>
        <v>5501181</v>
      </c>
      <c r="AD147" s="42" t="str">
        <f t="shared" si="73"/>
        <v>[40]</v>
      </c>
      <c r="AE147" s="36">
        <v>2</v>
      </c>
      <c r="AF147" s="36"/>
      <c r="AG147" s="36">
        <v>0</v>
      </c>
      <c r="AH147" s="35" t="s">
        <v>178</v>
      </c>
      <c r="AI147" s="48">
        <f t="shared" si="74"/>
        <v>5501186</v>
      </c>
      <c r="AJ147" s="53" t="str">
        <f t="shared" si="75"/>
        <v>对高速怪物伤害&lt;color=#54b76b&gt;+%s%&lt;/color&gt;</v>
      </c>
      <c r="AK147" s="36">
        <v>40</v>
      </c>
      <c r="AL147" s="36">
        <v>2</v>
      </c>
    </row>
    <row r="148" s="25" customFormat="1" hidden="1" customHeight="1" spans="1:45">
      <c r="A148" s="48">
        <v>5501187</v>
      </c>
      <c r="B148" s="34" t="s">
        <v>329</v>
      </c>
      <c r="C148" s="48" t="str">
        <f t="shared" si="69"/>
        <v>5501181</v>
      </c>
      <c r="D148" s="42">
        <f t="shared" si="70"/>
        <v>7</v>
      </c>
      <c r="E148" s="42"/>
      <c r="F148" s="36" t="s">
        <v>174</v>
      </c>
      <c r="G148" s="36">
        <f t="shared" si="66"/>
        <v>1</v>
      </c>
      <c r="H148" s="36">
        <f>IFERROR(IF(--MID($F148,2*COUNTIF($G148:G148,"&gt;"&amp;0)+2,1)=H$1,H$1,""),"")</f>
        <v>2</v>
      </c>
      <c r="I148" s="36">
        <f>IFERROR(IF(--MID($F148,2*COUNTIF($G148:H148,"&gt;"&amp;0)+2,1)=I$1,I$1,""),"")</f>
        <v>3</v>
      </c>
      <c r="J148" s="36">
        <f>IFERROR(IF(--MID($F148,2*COUNTIF($G148:I148,"&gt;"&amp;0)+2,1)=J$1,J$1,""),"")</f>
        <v>4</v>
      </c>
      <c r="K148" s="36">
        <f>IFERROR(IF(--MID($F148,2*COUNTIF($G148:J148,"&gt;"&amp;0)+2,1)=K$1,K$1,""),"")</f>
        <v>5</v>
      </c>
      <c r="L148" s="36">
        <f>IFERROR(IF(--MID($F148,2*COUNTIF($G148:K148,"&gt;"&amp;0)+2,1)=L$1,L$1,""),"")</f>
        <v>6</v>
      </c>
      <c r="M148" s="51" cm="1">
        <f t="array" ref="M148">IF($A148="","",IF(G148="","",_xlfn.XLOOKUP($D148&amp;"_"&amp;$AE148,符文权重!$A:$A&amp;"_"&amp;符文权重!$C:$C,符文权重!$D:$D)*$Y148/SUMIFS($Y:$Y,G:G,G148,$D:$D,$D148,$AE:$AE,$AE148)/SUMIF(符文权重!$A:$A,$D148,符文权重!$D:$D)))</f>
        <v>0.0612</v>
      </c>
      <c r="N148" s="51" cm="1">
        <f t="array" ref="N148">IF($A148="","",IF(H148="","",_xlfn.XLOOKUP($D148&amp;"_"&amp;$AE148,符文权重!$A:$A&amp;"_"&amp;符文权重!$C:$C,符文权重!$D:$D)*$Y148/SUMIFS($Y:$Y,H:H,H148,$D:$D,$D148,$AE:$AE,$AE148)/SUMIF(符文权重!$A:$A,$D148,符文权重!$D:$D)))</f>
        <v>0.0765</v>
      </c>
      <c r="O148" s="51" cm="1">
        <f t="array" ref="O148">IF($A148="","",IF(I148="","",_xlfn.XLOOKUP($D148&amp;"_"&amp;$AE148,符文权重!$A:$A&amp;"_"&amp;符文权重!$C:$C,符文权重!$D:$D)*$Y148/SUMIFS($Y:$Y,I:I,I148,$D:$D,$D148,$AE:$AE,$AE148)/SUMIF(符文权重!$A:$A,$D148,符文权重!$D:$D)))</f>
        <v>0.0612</v>
      </c>
      <c r="P148" s="51" cm="1">
        <f t="array" ref="P148">IF($A148="","",IF(J148="","",_xlfn.XLOOKUP($D148&amp;"_"&amp;$AE148,符文权重!$A:$A&amp;"_"&amp;符文权重!$C:$C,符文权重!$D:$D)*$Y148/SUMIFS($Y:$Y,J:J,J148,$D:$D,$D148,$AE:$AE,$AE148)/SUMIF(符文权重!$A:$A,$D148,符文权重!$D:$D)))</f>
        <v>0.0612</v>
      </c>
      <c r="Q148" s="51" cm="1">
        <f t="array" ref="Q148">IF($A148="","",IF(K148="","",_xlfn.XLOOKUP($D148&amp;"_"&amp;$AE148,符文权重!$A:$A&amp;"_"&amp;符文权重!$C:$C,符文权重!$D:$D)*$Y148/SUMIFS($Y:$Y,K:K,K148,$D:$D,$D148,$AE:$AE,$AE148)/SUMIF(符文权重!$A:$A,$D148,符文权重!$D:$D)))</f>
        <v>0.0765</v>
      </c>
      <c r="R148" s="51" cm="1">
        <f t="array" ref="R148">IF($A148="","",IF(L148="","",_xlfn.XLOOKUP($D148&amp;"_"&amp;$AE148,符文权重!$A:$A&amp;"_"&amp;符文权重!$C:$C,符文权重!$D:$D)*$Y148/SUMIFS($Y:$Y,L:L,L148,$D:$D,$D148,$AE:$AE,$AE148)/SUMIF(符文权重!$A:$A,$D148,符文权重!$D:$D)))</f>
        <v>0.0612</v>
      </c>
      <c r="S148" s="36" t="s">
        <v>175</v>
      </c>
      <c r="T148" s="36"/>
      <c r="U148" s="36" t="e">
        <f>IF(C148="","",SUBSTITUTE(SUBSTITUTE("[{global_atk,"&amp;#REF!*D148&amp;"}]",21,20),9,8))</f>
        <v>#REF!</v>
      </c>
      <c r="V148" s="52" t="str">
        <f t="shared" si="71"/>
        <v>[5501187]</v>
      </c>
      <c r="W148" s="36" t="s">
        <v>336</v>
      </c>
      <c r="X148" s="35"/>
      <c r="Y148" s="42">
        <v>100</v>
      </c>
      <c r="Z148" s="35"/>
      <c r="AA148" s="42" t="s">
        <v>191</v>
      </c>
      <c r="AB148" s="42" t="str">
        <f t="shared" si="63"/>
        <v>对高速怪物伤害&lt;color=#54b76b&gt;+50%&lt;/color&gt;</v>
      </c>
      <c r="AC148" s="48" t="str">
        <f t="shared" si="72"/>
        <v>5501181</v>
      </c>
      <c r="AD148" s="42" t="str">
        <f t="shared" si="73"/>
        <v>[50]</v>
      </c>
      <c r="AE148" s="36">
        <v>2</v>
      </c>
      <c r="AF148" s="36"/>
      <c r="AG148" s="36">
        <v>0</v>
      </c>
      <c r="AH148" s="35" t="s">
        <v>178</v>
      </c>
      <c r="AI148" s="48">
        <f t="shared" si="74"/>
        <v>5501187</v>
      </c>
      <c r="AJ148" s="53" t="str">
        <f t="shared" si="75"/>
        <v>对高速怪物伤害&lt;color=#54b76b&gt;+%s%&lt;/color&gt;</v>
      </c>
      <c r="AK148" s="36">
        <v>50</v>
      </c>
      <c r="AL148" s="36">
        <v>2</v>
      </c>
    </row>
    <row r="149" s="25" customFormat="1" hidden="1" customHeight="1" spans="1:45">
      <c r="A149" s="48" t="s">
        <v>178</v>
      </c>
      <c r="B149" s="49" t="s">
        <v>337</v>
      </c>
      <c r="C149" s="48" t="str">
        <f t="shared" si="69"/>
        <v/>
      </c>
      <c r="D149" s="42" t="str">
        <f t="shared" si="70"/>
        <v/>
      </c>
      <c r="E149" s="42"/>
      <c r="F149" s="36"/>
      <c r="G149" s="36" t="str">
        <f t="shared" si="66"/>
        <v/>
      </c>
      <c r="H149" s="36" t="str">
        <f>IFERROR(IF(--MID($F149,2*COUNTIF($G149:G149,"&gt;"&amp;0)+2,1)=H$1,H$1,""),"")</f>
        <v/>
      </c>
      <c r="I149" s="36" t="str">
        <f>IFERROR(IF(--MID($F149,2*COUNTIF($G149:H149,"&gt;"&amp;0)+2,1)=I$1,I$1,""),"")</f>
        <v/>
      </c>
      <c r="J149" s="36" t="str">
        <f>IFERROR(IF(--MID($F149,2*COUNTIF($G149:I149,"&gt;"&amp;0)+2,1)=J$1,J$1,""),"")</f>
        <v/>
      </c>
      <c r="K149" s="36" t="str">
        <f>IFERROR(IF(--MID($F149,2*COUNTIF($G149:J149,"&gt;"&amp;0)+2,1)=K$1,K$1,""),"")</f>
        <v/>
      </c>
      <c r="L149" s="36" t="str">
        <f>IFERROR(IF(--MID($F149,2*COUNTIF($G149:K149,"&gt;"&amp;0)+2,1)=L$1,L$1,""),"")</f>
        <v/>
      </c>
      <c r="M149" s="51" t="str" cm="1">
        <f t="array" ref="M149">IF($A149="","",IF(G149="","",_xlfn.XLOOKUP($D149&amp;"_"&amp;$AE149,符文权重!$A:$A&amp;"_"&amp;符文权重!$C:$C,符文权重!$D:$D)*$Y149/SUMIFS($Y:$Y,G:G,G149,$D:$D,$D149,$AE:$AE,$AE149)/SUMIF(符文权重!$A:$A,$D149,符文权重!$D:$D)))</f>
        <v/>
      </c>
      <c r="N149" s="36" t="str" cm="1">
        <f t="array" ref="N149">IF($A149="","",IF(H149="","",_xlfn.XLOOKUP($D149&amp;"_"&amp;$AE149,符文权重!$A:$A&amp;"_"&amp;符文权重!$C:$C,符文权重!$D:$D)*$Y149/SUMIFS($Y:$Y,H:H,H149,$D:$D,$D$6,$AE:$AE,$AE$6)))</f>
        <v/>
      </c>
      <c r="O149" s="36" t="str" cm="1">
        <f t="array" ref="O149">IF($A149="","",IF(I149="","",_xlfn.XLOOKUP($D149&amp;"_"&amp;$AE149,符文权重!$A:$A&amp;"_"&amp;符文权重!$C:$C,符文权重!$D:$D)*$Y149/SUMIFS($Y:$Y,I:I,I149,$D:$D,$D$6,$AE:$AE,$AE$6)))</f>
        <v/>
      </c>
      <c r="P149" s="36" t="str" cm="1">
        <f t="array" ref="P149">IF($A149="","",IF(J149="","",_xlfn.XLOOKUP($D149&amp;"_"&amp;$AE149,符文权重!$A:$A&amp;"_"&amp;符文权重!$C:$C,符文权重!$D:$D)*$Y149/SUMIFS($Y:$Y,J:J,J149,$D:$D,$D$6,$AE:$AE,$AE$6)))</f>
        <v/>
      </c>
      <c r="Q149" s="36" t="str" cm="1">
        <f t="array" ref="Q149">IF($A149="","",IF(K149="","",_xlfn.XLOOKUP($D149&amp;"_"&amp;$AE149,符文权重!$A:$A&amp;"_"&amp;符文权重!$C:$C,符文权重!$D:$D)*$Y149/SUMIFS($Y:$Y,K:K,K149,$D:$D,$D$6,$AE:$AE,$AE$6)))</f>
        <v/>
      </c>
      <c r="R149" s="36" t="str" cm="1">
        <f t="array" ref="R149">IF($A149="","",IF(L149="","",_xlfn.XLOOKUP($D149&amp;"_"&amp;$AE149,符文权重!$A:$A&amp;"_"&amp;符文权重!$C:$C,符文权重!$D:$D)*$Y149/SUMIFS($Y:$Y,L:L,L149,$D:$D,$D$6,$AE:$AE,$AE$6)))</f>
        <v/>
      </c>
      <c r="S149" s="36"/>
      <c r="T149" s="36"/>
      <c r="U149" s="36"/>
      <c r="W149" s="41"/>
      <c r="X149" s="35"/>
      <c r="Y149" s="42"/>
      <c r="Z149" s="35"/>
      <c r="AA149" s="42" t="s">
        <v>178</v>
      </c>
      <c r="AB149" s="42" t="str">
        <f t="shared" si="63"/>
        <v/>
      </c>
      <c r="AC149" s="48" t="str">
        <f t="shared" si="72"/>
        <v/>
      </c>
      <c r="AD149" s="42" t="str">
        <f t="shared" si="73"/>
        <v/>
      </c>
      <c r="AE149" s="36"/>
      <c r="AF149" s="36"/>
      <c r="AG149" s="36"/>
      <c r="AH149" s="35" t="s">
        <v>178</v>
      </c>
      <c r="AI149" s="33"/>
      <c r="AJ149" s="56"/>
      <c r="AK149" s="36"/>
      <c r="AL149" s="36"/>
    </row>
    <row r="150" s="25" customFormat="1" hidden="1" customHeight="1" spans="1:45">
      <c r="A150" s="48">
        <v>5502011</v>
      </c>
      <c r="B150" s="34" t="s">
        <v>338</v>
      </c>
      <c r="C150" s="48" t="str">
        <f t="shared" si="69"/>
        <v>5502011</v>
      </c>
      <c r="D150" s="42">
        <f t="shared" si="70"/>
        <v>1</v>
      </c>
      <c r="E150" s="42"/>
      <c r="F150" s="36" t="s">
        <v>339</v>
      </c>
      <c r="G150" s="36">
        <f t="shared" si="66"/>
        <v>1</v>
      </c>
      <c r="H150" s="36" t="str">
        <f>IFERROR(IF(--MID($F150,2*COUNTIF($G150:G150,"&gt;"&amp;0)+2,1)=H$1,H$1,""),"")</f>
        <v/>
      </c>
      <c r="I150" s="36">
        <f>IFERROR(IF(--MID($F150,2*COUNTIF($G150:H150,"&gt;"&amp;0)+2,1)=I$1,I$1,""),"")</f>
        <v>3</v>
      </c>
      <c r="J150" s="36" t="str">
        <f>IFERROR(IF(--MID($F150,2*COUNTIF($G150:I150,"&gt;"&amp;0)+2,1)=J$1,J$1,""),"")</f>
        <v/>
      </c>
      <c r="K150" s="36">
        <f>IFERROR(IF(--MID($F150,2*COUNTIF($G150:J150,"&gt;"&amp;0)+2,1)=K$1,K$1,""),"")</f>
        <v>5</v>
      </c>
      <c r="L150" s="36" t="str">
        <f>IFERROR(IF(--MID($F150,2*COUNTIF($G150:K150,"&gt;"&amp;0)+2,1)=L$1,L$1,""),"")</f>
        <v/>
      </c>
      <c r="M150" s="51" cm="1">
        <f t="array" ref="M150">IF($A150="","",IF(G150="","",_xlfn.XLOOKUP($D150&amp;"_"&amp;$AE150,符文权重!$A:$A&amp;"_"&amp;符文权重!$C:$C,符文权重!$D:$D)*$Y150/SUMIFS($Y:$Y,G:G,G150,$D:$D,$D150,$AE:$AE,$AE150)/SUMIF(符文权重!$A:$A,$D150,符文权重!$D:$D)))</f>
        <v>0.0642857142857143</v>
      </c>
      <c r="N150" s="51" t="str" cm="1">
        <f t="array" ref="N150">IF($A150="","",IF(H150="","",_xlfn.XLOOKUP($D150&amp;"_"&amp;$AE150,符文权重!$A:$A&amp;"_"&amp;符文权重!$C:$C,符文权重!$D:$D)*$Y150/SUMIFS($Y:$Y,H:H,H150,$D:$D,$D150,$AE:$AE,$AE150)/SUMIF(符文权重!$A:$A,$D150,符文权重!$D:$D)))</f>
        <v/>
      </c>
      <c r="O150" s="51" cm="1">
        <f t="array" ref="O150">IF($A150="","",IF(I150="","",_xlfn.XLOOKUP($D150&amp;"_"&amp;$AE150,符文权重!$A:$A&amp;"_"&amp;符文权重!$C:$C,符文权重!$D:$D)*$Y150/SUMIFS($Y:$Y,I:I,I150,$D:$D,$D150,$AE:$AE,$AE150)/SUMIF(符文权重!$A:$A,$D150,符文权重!$D:$D)))</f>
        <v>0.0642857142857143</v>
      </c>
      <c r="P150" s="51" t="str" cm="1">
        <f t="array" ref="P150">IF($A150="","",IF(J150="","",_xlfn.XLOOKUP($D150&amp;"_"&amp;$AE150,符文权重!$A:$A&amp;"_"&amp;符文权重!$C:$C,符文权重!$D:$D)*$Y150/SUMIFS($Y:$Y,J:J,J150,$D:$D,$D150,$AE:$AE,$AE150)/SUMIF(符文权重!$A:$A,$D150,符文权重!$D:$D)))</f>
        <v/>
      </c>
      <c r="Q150" s="51" cm="1">
        <f t="array" ref="Q150">IF($A150="","",IF(K150="","",_xlfn.XLOOKUP($D150&amp;"_"&amp;$AE150,符文权重!$A:$A&amp;"_"&amp;符文权重!$C:$C,符文权重!$D:$D)*$Y150/SUMIFS($Y:$Y,K:K,K150,$D:$D,$D150,$AE:$AE,$AE150)/SUMIF(符文权重!$A:$A,$D150,符文权重!$D:$D)))</f>
        <v>0.0642857142857143</v>
      </c>
      <c r="R150" s="51" t="str" cm="1">
        <f t="array" ref="R150">IF($A150="","",IF(L150="","",_xlfn.XLOOKUP($D150&amp;"_"&amp;$AE150,符文权重!$A:$A&amp;"_"&amp;符文权重!$C:$C,符文权重!$D:$D)*$Y150/SUMIFS($Y:$Y,L:L,L150,$D:$D,$D150,$AE:$AE,$AE150)/SUMIF(符文权重!$A:$A,$D150,符文权重!$D:$D)))</f>
        <v/>
      </c>
      <c r="S150" s="36" t="s">
        <v>175</v>
      </c>
      <c r="T150" s="36"/>
      <c r="U150" s="36" t="e">
        <f>IF(C150="","",SUBSTITUTE(SUBSTITUTE("[{global_atk,"&amp;#REF!*D150&amp;"}]",21,20),9,8))</f>
        <v>#REF!</v>
      </c>
      <c r="V150" s="52" t="str">
        <f t="shared" ref="V150:V156" si="76">"["&amp;A150&amp;"]"</f>
        <v>[5502011]</v>
      </c>
      <c r="W150" s="36"/>
      <c r="X150" s="35"/>
      <c r="Y150" s="42">
        <v>50</v>
      </c>
      <c r="Z150" s="35"/>
      <c r="AA150" s="42" t="s">
        <v>177</v>
      </c>
      <c r="AB150" s="42" t="str">
        <f t="shared" si="63"/>
        <v>对血量高于70%的怪物伤害&lt;color=#54b76b&gt;+10%&lt;/color&gt;</v>
      </c>
      <c r="AC150" s="48" t="str">
        <f t="shared" si="72"/>
        <v>5502011</v>
      </c>
      <c r="AD150" s="42" t="str">
        <f t="shared" si="73"/>
        <v>[10]</v>
      </c>
      <c r="AE150" s="36">
        <v>2</v>
      </c>
      <c r="AF150" s="36"/>
      <c r="AG150" s="36">
        <v>0</v>
      </c>
      <c r="AH150" s="35" t="s">
        <v>178</v>
      </c>
      <c r="AI150" s="33">
        <v>5502011</v>
      </c>
      <c r="AJ150" s="55" t="s">
        <v>338</v>
      </c>
      <c r="AK150" s="36">
        <v>10</v>
      </c>
      <c r="AL150" s="36">
        <v>3</v>
      </c>
    </row>
    <row r="151" s="25" customFormat="1" hidden="1" customHeight="1" spans="1:45">
      <c r="A151" s="48">
        <v>5502012</v>
      </c>
      <c r="B151" s="34" t="s">
        <v>338</v>
      </c>
      <c r="C151" s="48" t="str">
        <f t="shared" si="69"/>
        <v>5502011</v>
      </c>
      <c r="D151" s="42">
        <f t="shared" si="70"/>
        <v>2</v>
      </c>
      <c r="E151" s="42"/>
      <c r="F151" s="36" t="s">
        <v>339</v>
      </c>
      <c r="G151" s="36">
        <f t="shared" si="66"/>
        <v>1</v>
      </c>
      <c r="H151" s="36" t="str">
        <f>IFERROR(IF(--MID($F151,2*COUNTIF($G151:G151,"&gt;"&amp;0)+2,1)=H$1,H$1,""),"")</f>
        <v/>
      </c>
      <c r="I151" s="36">
        <f>IFERROR(IF(--MID($F151,2*COUNTIF($G151:H151,"&gt;"&amp;0)+2,1)=I$1,I$1,""),"")</f>
        <v>3</v>
      </c>
      <c r="J151" s="36" t="str">
        <f>IFERROR(IF(--MID($F151,2*COUNTIF($G151:I151,"&gt;"&amp;0)+2,1)=J$1,J$1,""),"")</f>
        <v/>
      </c>
      <c r="K151" s="36">
        <f>IFERROR(IF(--MID($F151,2*COUNTIF($G151:J151,"&gt;"&amp;0)+2,1)=K$1,K$1,""),"")</f>
        <v>5</v>
      </c>
      <c r="L151" s="36" t="str">
        <f>IFERROR(IF(--MID($F151,2*COUNTIF($G151:K151,"&gt;"&amp;0)+2,1)=L$1,L$1,""),"")</f>
        <v/>
      </c>
      <c r="M151" s="51" cm="1">
        <f t="array" ref="M151">IF($A151="","",IF(G151="","",_xlfn.XLOOKUP($D151&amp;"_"&amp;$AE151,符文权重!$A:$A&amp;"_"&amp;符文权重!$C:$C,符文权重!$D:$D)*$Y151/SUMIFS($Y:$Y,G:G,G151,$D:$D,$D151,$AE:$AE,$AE151)/SUMIF(符文权重!$A:$A,$D151,符文权重!$D:$D)))</f>
        <v>0.05</v>
      </c>
      <c r="N151" s="51" t="str" cm="1">
        <f t="array" ref="N151">IF($A151="","",IF(H151="","",_xlfn.XLOOKUP($D151&amp;"_"&amp;$AE151,符文权重!$A:$A&amp;"_"&amp;符文权重!$C:$C,符文权重!$D:$D)*$Y151/SUMIFS($Y:$Y,H:H,H151,$D:$D,$D151,$AE:$AE,$AE151)/SUMIF(符文权重!$A:$A,$D151,符文权重!$D:$D)))</f>
        <v/>
      </c>
      <c r="O151" s="51" cm="1">
        <f t="array" ref="O151">IF($A151="","",IF(I151="","",_xlfn.XLOOKUP($D151&amp;"_"&amp;$AE151,符文权重!$A:$A&amp;"_"&amp;符文权重!$C:$C,符文权重!$D:$D)*$Y151/SUMIFS($Y:$Y,I:I,I151,$D:$D,$D151,$AE:$AE,$AE151)/SUMIF(符文权重!$A:$A,$D151,符文权重!$D:$D)))</f>
        <v>0.05</v>
      </c>
      <c r="P151" s="51" t="str" cm="1">
        <f t="array" ref="P151">IF($A151="","",IF(J151="","",_xlfn.XLOOKUP($D151&amp;"_"&amp;$AE151,符文权重!$A:$A&amp;"_"&amp;符文权重!$C:$C,符文权重!$D:$D)*$Y151/SUMIFS($Y:$Y,J:J,J151,$D:$D,$D151,$AE:$AE,$AE151)/SUMIF(符文权重!$A:$A,$D151,符文权重!$D:$D)))</f>
        <v/>
      </c>
      <c r="Q151" s="51" cm="1">
        <f t="array" ref="Q151">IF($A151="","",IF(K151="","",_xlfn.XLOOKUP($D151&amp;"_"&amp;$AE151,符文权重!$A:$A&amp;"_"&amp;符文权重!$C:$C,符文权重!$D:$D)*$Y151/SUMIFS($Y:$Y,K:K,K151,$D:$D,$D151,$AE:$AE,$AE151)/SUMIF(符文权重!$A:$A,$D151,符文权重!$D:$D)))</f>
        <v>0.05</v>
      </c>
      <c r="R151" s="51" t="str" cm="1">
        <f t="array" ref="R151">IF($A151="","",IF(L151="","",_xlfn.XLOOKUP($D151&amp;"_"&amp;$AE151,符文权重!$A:$A&amp;"_"&amp;符文权重!$C:$C,符文权重!$D:$D)*$Y151/SUMIFS($Y:$Y,L:L,L151,$D:$D,$D151,$AE:$AE,$AE151)/SUMIF(符文权重!$A:$A,$D151,符文权重!$D:$D)))</f>
        <v/>
      </c>
      <c r="S151" s="36" t="s">
        <v>175</v>
      </c>
      <c r="T151" s="36"/>
      <c r="U151" s="36" t="e">
        <f>IF(C151="","",SUBSTITUTE(SUBSTITUTE("[{global_atk,"&amp;#REF!*D151&amp;"}]",21,20),9,8))</f>
        <v>#REF!</v>
      </c>
      <c r="V151" s="52" t="str">
        <f t="shared" si="76"/>
        <v>[5502012]</v>
      </c>
      <c r="W151" s="36"/>
      <c r="X151" s="35"/>
      <c r="Y151" s="42">
        <v>50</v>
      </c>
      <c r="Z151" s="35"/>
      <c r="AA151" s="42" t="s">
        <v>181</v>
      </c>
      <c r="AB151" s="42" t="str">
        <f t="shared" si="63"/>
        <v>对血量高于70%的怪物伤害&lt;color=#54b76b&gt;+15%&lt;/color&gt;</v>
      </c>
      <c r="AC151" s="48" t="str">
        <f t="shared" si="72"/>
        <v>5502011</v>
      </c>
      <c r="AD151" s="42" t="str">
        <f t="shared" si="73"/>
        <v>[15]</v>
      </c>
      <c r="AE151" s="36">
        <v>2</v>
      </c>
      <c r="AF151" s="36"/>
      <c r="AG151" s="36">
        <v>0</v>
      </c>
      <c r="AH151" s="35" t="s">
        <v>178</v>
      </c>
      <c r="AI151" s="48">
        <f t="shared" ref="AI151:AI156" si="77">AI150+1</f>
        <v>5502012</v>
      </c>
      <c r="AJ151" s="53" t="str">
        <f t="shared" ref="AJ151:AJ156" si="78">AJ150</f>
        <v>对血量高于70%的怪物伤害&lt;color=#54b76b&gt;+%s%&lt;/color&gt;</v>
      </c>
      <c r="AK151" s="36">
        <v>15</v>
      </c>
      <c r="AL151" s="36">
        <v>3</v>
      </c>
    </row>
    <row r="152" s="25" customFormat="1" hidden="1" customHeight="1" spans="1:45">
      <c r="A152" s="48">
        <v>5502013</v>
      </c>
      <c r="B152" s="34" t="s">
        <v>338</v>
      </c>
      <c r="C152" s="48" t="str">
        <f t="shared" si="69"/>
        <v>5502011</v>
      </c>
      <c r="D152" s="42">
        <f t="shared" si="70"/>
        <v>3</v>
      </c>
      <c r="E152" s="42"/>
      <c r="F152" s="36" t="s">
        <v>339</v>
      </c>
      <c r="G152" s="36">
        <f t="shared" si="66"/>
        <v>1</v>
      </c>
      <c r="H152" s="36" t="str">
        <f>IFERROR(IF(--MID($F152,2*COUNTIF($G152:G152,"&gt;"&amp;0)+2,1)=H$1,H$1,""),"")</f>
        <v/>
      </c>
      <c r="I152" s="36">
        <f>IFERROR(IF(--MID($F152,2*COUNTIF($G152:H152,"&gt;"&amp;0)+2,1)=I$1,I$1,""),"")</f>
        <v>3</v>
      </c>
      <c r="J152" s="36" t="str">
        <f>IFERROR(IF(--MID($F152,2*COUNTIF($G152:I152,"&gt;"&amp;0)+2,1)=J$1,J$1,""),"")</f>
        <v/>
      </c>
      <c r="K152" s="36">
        <f>IFERROR(IF(--MID($F152,2*COUNTIF($G152:J152,"&gt;"&amp;0)+2,1)=K$1,K$1,""),"")</f>
        <v>5</v>
      </c>
      <c r="L152" s="36" t="str">
        <f>IFERROR(IF(--MID($F152,2*COUNTIF($G152:K152,"&gt;"&amp;0)+2,1)=L$1,L$1,""),"")</f>
        <v/>
      </c>
      <c r="M152" s="51" cm="1">
        <f t="array" ref="M152">IF($A152="","",IF(G152="","",_xlfn.XLOOKUP($D152&amp;"_"&amp;$AE152,符文权重!$A:$A&amp;"_"&amp;符文权重!$C:$C,符文权重!$D:$D)*$Y152/SUMIFS($Y:$Y,G:G,G152,$D:$D,$D152,$AE:$AE,$AE152)/SUMIF(符文权重!$A:$A,$D152,符文权重!$D:$D)))</f>
        <v>0.0257879656160458</v>
      </c>
      <c r="N152" s="51" t="str" cm="1">
        <f t="array" ref="N152">IF($A152="","",IF(H152="","",_xlfn.XLOOKUP($D152&amp;"_"&amp;$AE152,符文权重!$A:$A&amp;"_"&amp;符文权重!$C:$C,符文权重!$D:$D)*$Y152/SUMIFS($Y:$Y,H:H,H152,$D:$D,$D152,$AE:$AE,$AE152)/SUMIF(符文权重!$A:$A,$D152,符文权重!$D:$D)))</f>
        <v/>
      </c>
      <c r="O152" s="51" cm="1">
        <f t="array" ref="O152">IF($A152="","",IF(I152="","",_xlfn.XLOOKUP($D152&amp;"_"&amp;$AE152,符文权重!$A:$A&amp;"_"&amp;符文权重!$C:$C,符文权重!$D:$D)*$Y152/SUMIFS($Y:$Y,I:I,I152,$D:$D,$D152,$AE:$AE,$AE152)/SUMIF(符文权重!$A:$A,$D152,符文权重!$D:$D)))</f>
        <v>0.0257879656160458</v>
      </c>
      <c r="P152" s="51" t="str" cm="1">
        <f t="array" ref="P152">IF($A152="","",IF(J152="","",_xlfn.XLOOKUP($D152&amp;"_"&amp;$AE152,符文权重!$A:$A&amp;"_"&amp;符文权重!$C:$C,符文权重!$D:$D)*$Y152/SUMIFS($Y:$Y,J:J,J152,$D:$D,$D152,$AE:$AE,$AE152)/SUMIF(符文权重!$A:$A,$D152,符文权重!$D:$D)))</f>
        <v/>
      </c>
      <c r="Q152" s="51" cm="1">
        <f t="array" ref="Q152">IF($A152="","",IF(K152="","",_xlfn.XLOOKUP($D152&amp;"_"&amp;$AE152,符文权重!$A:$A&amp;"_"&amp;符文权重!$C:$C,符文权重!$D:$D)*$Y152/SUMIFS($Y:$Y,K:K,K152,$D:$D,$D152,$AE:$AE,$AE152)/SUMIF(符文权重!$A:$A,$D152,符文权重!$D:$D)))</f>
        <v>0.0257879656160458</v>
      </c>
      <c r="R152" s="51" t="str" cm="1">
        <f t="array" ref="R152">IF($A152="","",IF(L152="","",_xlfn.XLOOKUP($D152&amp;"_"&amp;$AE152,符文权重!$A:$A&amp;"_"&amp;符文权重!$C:$C,符文权重!$D:$D)*$Y152/SUMIFS($Y:$Y,L:L,L152,$D:$D,$D152,$AE:$AE,$AE152)/SUMIF(符文权重!$A:$A,$D152,符文权重!$D:$D)))</f>
        <v/>
      </c>
      <c r="S152" s="36" t="s">
        <v>175</v>
      </c>
      <c r="T152" s="36"/>
      <c r="U152" s="36" t="e">
        <f>IF(C152="","",SUBSTITUTE(SUBSTITUTE("[{global_atk,"&amp;#REF!*D152&amp;"}]",21,20),9,8))</f>
        <v>#REF!</v>
      </c>
      <c r="V152" s="52" t="str">
        <f t="shared" si="76"/>
        <v>[5502013]</v>
      </c>
      <c r="W152" s="36"/>
      <c r="X152" s="35"/>
      <c r="Y152" s="42">
        <v>100</v>
      </c>
      <c r="Z152" s="35"/>
      <c r="AA152" s="42" t="s">
        <v>183</v>
      </c>
      <c r="AB152" s="42" t="str">
        <f t="shared" si="63"/>
        <v>对血量高于70%的怪物伤害&lt;color=#54b76b&gt;+20%&lt;/color&gt;</v>
      </c>
      <c r="AC152" s="48" t="str">
        <f t="shared" si="72"/>
        <v>5502011</v>
      </c>
      <c r="AD152" s="42" t="str">
        <f t="shared" si="73"/>
        <v>[20]</v>
      </c>
      <c r="AE152" s="36">
        <v>3</v>
      </c>
      <c r="AF152" s="36"/>
      <c r="AG152" s="36">
        <v>0</v>
      </c>
      <c r="AH152" s="35" t="s">
        <v>178</v>
      </c>
      <c r="AI152" s="48">
        <f t="shared" si="77"/>
        <v>5502013</v>
      </c>
      <c r="AJ152" s="53" t="str">
        <f t="shared" si="78"/>
        <v>对血量高于70%的怪物伤害&lt;color=#54b76b&gt;+%s%&lt;/color&gt;</v>
      </c>
      <c r="AK152" s="36">
        <v>20</v>
      </c>
      <c r="AL152" s="36">
        <v>3</v>
      </c>
      <c r="AO152" s="25">
        <v>1500</v>
      </c>
      <c r="AP152" s="25">
        <v>1000</v>
      </c>
      <c r="AQ152" s="25">
        <v>1200</v>
      </c>
      <c r="AR152" s="25">
        <v>1000</v>
      </c>
    </row>
    <row r="153" s="25" customFormat="1" hidden="1" customHeight="1" spans="1:45">
      <c r="A153" s="48">
        <v>5502014</v>
      </c>
      <c r="B153" s="34" t="s">
        <v>338</v>
      </c>
      <c r="C153" s="48" t="str">
        <f t="shared" si="69"/>
        <v>5502011</v>
      </c>
      <c r="D153" s="42">
        <f t="shared" si="70"/>
        <v>4</v>
      </c>
      <c r="E153" s="42"/>
      <c r="F153" s="36" t="s">
        <v>339</v>
      </c>
      <c r="G153" s="36">
        <f t="shared" si="66"/>
        <v>1</v>
      </c>
      <c r="H153" s="36" t="str">
        <f>IFERROR(IF(--MID($F153,2*COUNTIF($G153:G153,"&gt;"&amp;0)+2,1)=H$1,H$1,""),"")</f>
        <v/>
      </c>
      <c r="I153" s="36">
        <f>IFERROR(IF(--MID($F153,2*COUNTIF($G153:H153,"&gt;"&amp;0)+2,1)=I$1,I$1,""),"")</f>
        <v>3</v>
      </c>
      <c r="J153" s="36" t="str">
        <f>IFERROR(IF(--MID($F153,2*COUNTIF($G153:I153,"&gt;"&amp;0)+2,1)=J$1,J$1,""),"")</f>
        <v/>
      </c>
      <c r="K153" s="36">
        <f>IFERROR(IF(--MID($F153,2*COUNTIF($G153:J153,"&gt;"&amp;0)+2,1)=K$1,K$1,""),"")</f>
        <v>5</v>
      </c>
      <c r="L153" s="36" t="str">
        <f>IFERROR(IF(--MID($F153,2*COUNTIF($G153:K153,"&gt;"&amp;0)+2,1)=L$1,L$1,""),"")</f>
        <v/>
      </c>
      <c r="M153" s="51" cm="1">
        <f t="array" ref="M153">IF($A153="","",IF(G153="","",_xlfn.XLOOKUP($D153&amp;"_"&amp;$AE153,符文权重!$A:$A&amp;"_"&amp;符文权重!$C:$C,符文权重!$D:$D)*$Y153/SUMIFS($Y:$Y,G:G,G153,$D:$D,$D153,$AE:$AE,$AE153)/SUMIF(符文权重!$A:$A,$D153,符文权重!$D:$D)))</f>
        <v>0.0861973084195306</v>
      </c>
      <c r="N153" s="51" t="str" cm="1">
        <f t="array" ref="N153">IF($A153="","",IF(H153="","",_xlfn.XLOOKUP($D153&amp;"_"&amp;$AE153,符文权重!$A:$A&amp;"_"&amp;符文权重!$C:$C,符文权重!$D:$D)*$Y153/SUMIFS($Y:$Y,H:H,H153,$D:$D,$D153,$AE:$AE,$AE153)/SUMIF(符文权重!$A:$A,$D153,符文权重!$D:$D)))</f>
        <v/>
      </c>
      <c r="O153" s="51" cm="1">
        <f t="array" ref="O153">IF($A153="","",IF(I153="","",_xlfn.XLOOKUP($D153&amp;"_"&amp;$AE153,符文权重!$A:$A&amp;"_"&amp;符文权重!$C:$C,符文权重!$D:$D)*$Y153/SUMIFS($Y:$Y,I:I,I153,$D:$D,$D153,$AE:$AE,$AE153)/SUMIF(符文权重!$A:$A,$D153,符文权重!$D:$D)))</f>
        <v>0.0891696293995144</v>
      </c>
      <c r="P153" s="51" t="str" cm="1">
        <f t="array" ref="P153">IF($A153="","",IF(J153="","",_xlfn.XLOOKUP($D153&amp;"_"&amp;$AE153,符文权重!$A:$A&amp;"_"&amp;符文权重!$C:$C,符文权重!$D:$D)*$Y153/SUMIFS($Y:$Y,J:J,J153,$D:$D,$D153,$AE:$AE,$AE153)/SUMIF(符文权重!$A:$A,$D153,符文权重!$D:$D)))</f>
        <v/>
      </c>
      <c r="Q153" s="51" cm="1">
        <f t="array" ref="Q153">IF($A153="","",IF(K153="","",_xlfn.XLOOKUP($D153&amp;"_"&amp;$AE153,符文权重!$A:$A&amp;"_"&amp;符文权重!$C:$C,符文权重!$D:$D)*$Y153/SUMIFS($Y:$Y,K:K,K153,$D:$D,$D153,$AE:$AE,$AE153)/SUMIF(符文权重!$A:$A,$D153,符文权重!$D:$D)))</f>
        <v>0.0881563381563382</v>
      </c>
      <c r="R153" s="51" t="str" cm="1">
        <f t="array" ref="R153">IF($A153="","",IF(L153="","",_xlfn.XLOOKUP($D153&amp;"_"&amp;$AE153,符文权重!$A:$A&amp;"_"&amp;符文权重!$C:$C,符文权重!$D:$D)*$Y153/SUMIFS($Y:$Y,L:L,L153,$D:$D,$D153,$AE:$AE,$AE153)/SUMIF(符文权重!$A:$A,$D153,符文权重!$D:$D)))</f>
        <v/>
      </c>
      <c r="S153" s="36" t="s">
        <v>175</v>
      </c>
      <c r="T153" s="36"/>
      <c r="U153" s="36" t="e">
        <f>IF(C153="","",SUBSTITUTE(SUBSTITUTE("[{global_atk,"&amp;#REF!*D153&amp;"}]",21,20),9,8))</f>
        <v>#REF!</v>
      </c>
      <c r="V153" s="52" t="str">
        <f t="shared" si="76"/>
        <v>[5502014]</v>
      </c>
      <c r="W153" s="36"/>
      <c r="X153" s="35"/>
      <c r="Y153" s="42">
        <v>100</v>
      </c>
      <c r="Z153" s="35"/>
      <c r="AA153" s="42" t="s">
        <v>185</v>
      </c>
      <c r="AB153" s="42" t="str">
        <f t="shared" si="63"/>
        <v>对血量高于70%的怪物伤害&lt;color=#54b76b&gt;+25%&lt;/color&gt;</v>
      </c>
      <c r="AC153" s="48" t="str">
        <f t="shared" si="72"/>
        <v>5502011</v>
      </c>
      <c r="AD153" s="42" t="str">
        <f t="shared" si="73"/>
        <v>[25]</v>
      </c>
      <c r="AE153" s="36">
        <v>3</v>
      </c>
      <c r="AF153" s="36"/>
      <c r="AG153" s="36">
        <v>0</v>
      </c>
      <c r="AH153" s="35" t="s">
        <v>178</v>
      </c>
      <c r="AI153" s="48">
        <f t="shared" si="77"/>
        <v>5502014</v>
      </c>
      <c r="AJ153" s="53" t="str">
        <f t="shared" si="78"/>
        <v>对血量高于70%的怪物伤害&lt;color=#54b76b&gt;+%s%&lt;/color&gt;</v>
      </c>
      <c r="AK153" s="36">
        <v>25</v>
      </c>
      <c r="AL153" s="36">
        <v>3</v>
      </c>
      <c r="AO153" s="25">
        <v>1500</v>
      </c>
      <c r="AP153" s="25">
        <v>1000</v>
      </c>
      <c r="AQ153" s="25">
        <v>1200</v>
      </c>
      <c r="AR153" s="25">
        <v>1200</v>
      </c>
      <c r="AS153" s="25">
        <v>1200</v>
      </c>
    </row>
    <row r="154" s="25" customFormat="1" hidden="1" customHeight="1" spans="1:45">
      <c r="A154" s="48">
        <v>5502015</v>
      </c>
      <c r="B154" s="34" t="s">
        <v>338</v>
      </c>
      <c r="C154" s="48" t="str">
        <f t="shared" si="69"/>
        <v>5502011</v>
      </c>
      <c r="D154" s="42">
        <f t="shared" si="70"/>
        <v>5</v>
      </c>
      <c r="E154" s="42"/>
      <c r="F154" s="36" t="s">
        <v>339</v>
      </c>
      <c r="G154" s="36">
        <f t="shared" si="66"/>
        <v>1</v>
      </c>
      <c r="H154" s="36" t="str">
        <f>IFERROR(IF(--MID($F154,2*COUNTIF($G154:G154,"&gt;"&amp;0)+2,1)=H$1,H$1,""),"")</f>
        <v/>
      </c>
      <c r="I154" s="36">
        <f>IFERROR(IF(--MID($F154,2*COUNTIF($G154:H154,"&gt;"&amp;0)+2,1)=I$1,I$1,""),"")</f>
        <v>3</v>
      </c>
      <c r="J154" s="36" t="str">
        <f>IFERROR(IF(--MID($F154,2*COUNTIF($G154:I154,"&gt;"&amp;0)+2,1)=J$1,J$1,""),"")</f>
        <v/>
      </c>
      <c r="K154" s="36">
        <f>IFERROR(IF(--MID($F154,2*COUNTIF($G154:J154,"&gt;"&amp;0)+2,1)=K$1,K$1,""),"")</f>
        <v>5</v>
      </c>
      <c r="L154" s="36" t="str">
        <f>IFERROR(IF(--MID($F154,2*COUNTIF($G154:K154,"&gt;"&amp;0)+2,1)=L$1,L$1,""),"")</f>
        <v/>
      </c>
      <c r="M154" s="51" cm="1">
        <f t="array" ref="M154">IF($A154="","",IF(G154="","",_xlfn.XLOOKUP($D154&amp;"_"&amp;$AE154,符文权重!$A:$A&amp;"_"&amp;符文权重!$C:$C,符文权重!$D:$D)*$Y154/SUMIFS($Y:$Y,G:G,G154,$D:$D,$D154,$AE:$AE,$AE154)/SUMIF(符文权重!$A:$A,$D154,符文权重!$D:$D)))</f>
        <v>0.101666666666667</v>
      </c>
      <c r="N154" s="51" t="str" cm="1">
        <f t="array" ref="N154">IF($A154="","",IF(H154="","",_xlfn.XLOOKUP($D154&amp;"_"&amp;$AE154,符文权重!$A:$A&amp;"_"&amp;符文权重!$C:$C,符文权重!$D:$D)*$Y154/SUMIFS($Y:$Y,H:H,H154,$D:$D,$D154,$AE:$AE,$AE154)/SUMIF(符文权重!$A:$A,$D154,符文权重!$D:$D)))</f>
        <v/>
      </c>
      <c r="O154" s="51" cm="1">
        <f t="array" ref="O154">IF($A154="","",IF(I154="","",_xlfn.XLOOKUP($D154&amp;"_"&amp;$AE154,符文权重!$A:$A&amp;"_"&amp;符文权重!$C:$C,符文权重!$D:$D)*$Y154/SUMIFS($Y:$Y,I:I,I154,$D:$D,$D154,$AE:$AE,$AE154)/SUMIF(符文权重!$A:$A,$D154,符文权重!$D:$D)))</f>
        <v>0.101666666666667</v>
      </c>
      <c r="P154" s="51" t="str" cm="1">
        <f t="array" ref="P154">IF($A154="","",IF(J154="","",_xlfn.XLOOKUP($D154&amp;"_"&amp;$AE154,符文权重!$A:$A&amp;"_"&amp;符文权重!$C:$C,符文权重!$D:$D)*$Y154/SUMIFS($Y:$Y,J:J,J154,$D:$D,$D154,$AE:$AE,$AE154)/SUMIF(符文权重!$A:$A,$D154,符文权重!$D:$D)))</f>
        <v/>
      </c>
      <c r="Q154" s="51" cm="1">
        <f t="array" ref="Q154">IF($A154="","",IF(K154="","",_xlfn.XLOOKUP($D154&amp;"_"&amp;$AE154,符文权重!$A:$A&amp;"_"&amp;符文权重!$C:$C,符文权重!$D:$D)*$Y154/SUMIFS($Y:$Y,K:K,K154,$D:$D,$D154,$AE:$AE,$AE154)/SUMIF(符文权重!$A:$A,$D154,符文权重!$D:$D)))</f>
        <v>0.098705501618123</v>
      </c>
      <c r="R154" s="51" t="str" cm="1">
        <f t="array" ref="R154">IF($A154="","",IF(L154="","",_xlfn.XLOOKUP($D154&amp;"_"&amp;$AE154,符文权重!$A:$A&amp;"_"&amp;符文权重!$C:$C,符文权重!$D:$D)*$Y154/SUMIFS($Y:$Y,L:L,L154,$D:$D,$D154,$AE:$AE,$AE154)/SUMIF(符文权重!$A:$A,$D154,符文权重!$D:$D)))</f>
        <v/>
      </c>
      <c r="S154" s="36" t="s">
        <v>175</v>
      </c>
      <c r="T154" s="36"/>
      <c r="U154" s="36" t="e">
        <f>IF(C154="","",SUBSTITUTE(SUBSTITUTE("[{global_atk,"&amp;#REF!*D154&amp;"}]",21,20),9,8))</f>
        <v>#REF!</v>
      </c>
      <c r="V154" s="52" t="str">
        <f t="shared" si="76"/>
        <v>[5502015]</v>
      </c>
      <c r="W154" s="36"/>
      <c r="X154" s="35"/>
      <c r="Y154" s="42">
        <v>100</v>
      </c>
      <c r="Z154" s="35"/>
      <c r="AA154" s="42" t="s">
        <v>187</v>
      </c>
      <c r="AB154" s="42" t="str">
        <f t="shared" si="63"/>
        <v>对血量高于70%的怪物伤害&lt;color=#54b76b&gt;+32%&lt;/color&gt;</v>
      </c>
      <c r="AC154" s="48" t="str">
        <f t="shared" si="72"/>
        <v>5502011</v>
      </c>
      <c r="AD154" s="42" t="str">
        <f t="shared" si="73"/>
        <v>[32]</v>
      </c>
      <c r="AE154" s="36">
        <v>3</v>
      </c>
      <c r="AF154" s="36"/>
      <c r="AG154" s="36">
        <v>0</v>
      </c>
      <c r="AH154" s="35" t="s">
        <v>178</v>
      </c>
      <c r="AI154" s="48">
        <f t="shared" si="77"/>
        <v>5502015</v>
      </c>
      <c r="AJ154" s="53" t="str">
        <f t="shared" si="78"/>
        <v>对血量高于70%的怪物伤害&lt;color=#54b76b&gt;+%s%&lt;/color&gt;</v>
      </c>
      <c r="AK154" s="36">
        <v>32</v>
      </c>
      <c r="AL154" s="36">
        <v>3</v>
      </c>
    </row>
    <row r="155" s="25" customFormat="1" hidden="1" customHeight="1" spans="1:45">
      <c r="A155" s="48">
        <v>5502016</v>
      </c>
      <c r="B155" s="34" t="s">
        <v>338</v>
      </c>
      <c r="C155" s="48" t="str">
        <f t="shared" si="69"/>
        <v>5502011</v>
      </c>
      <c r="D155" s="42">
        <f t="shared" si="70"/>
        <v>6</v>
      </c>
      <c r="E155" s="42"/>
      <c r="F155" s="36" t="s">
        <v>339</v>
      </c>
      <c r="G155" s="36">
        <f t="shared" si="66"/>
        <v>1</v>
      </c>
      <c r="H155" s="36" t="str">
        <f>IFERROR(IF(--MID($F155,2*COUNTIF($G155:G155,"&gt;"&amp;0)+2,1)=H$1,H$1,""),"")</f>
        <v/>
      </c>
      <c r="I155" s="36">
        <f>IFERROR(IF(--MID($F155,2*COUNTIF($G155:H155,"&gt;"&amp;0)+2,1)=I$1,I$1,""),"")</f>
        <v>3</v>
      </c>
      <c r="J155" s="36" t="str">
        <f>IFERROR(IF(--MID($F155,2*COUNTIF($G155:I155,"&gt;"&amp;0)+2,1)=J$1,J$1,""),"")</f>
        <v/>
      </c>
      <c r="K155" s="36">
        <f>IFERROR(IF(--MID($F155,2*COUNTIF($G155:J155,"&gt;"&amp;0)+2,1)=K$1,K$1,""),"")</f>
        <v>5</v>
      </c>
      <c r="L155" s="36" t="str">
        <f>IFERROR(IF(--MID($F155,2*COUNTIF($G155:K155,"&gt;"&amp;0)+2,1)=L$1,L$1,""),"")</f>
        <v/>
      </c>
      <c r="M155" s="51" cm="1">
        <f t="array" ref="M155">IF($A155="","",IF(G155="","",_xlfn.XLOOKUP($D155&amp;"_"&amp;$AE155,符文权重!$A:$A&amp;"_"&amp;符文权重!$C:$C,符文权重!$D:$D)*$Y155/SUMIFS($Y:$Y,G:G,G155,$D:$D,$D155,$AE:$AE,$AE155)/SUMIF(符文权重!$A:$A,$D155,符文权重!$D:$D)))</f>
        <v>0.101666666666667</v>
      </c>
      <c r="N155" s="51" t="str" cm="1">
        <f t="array" ref="N155">IF($A155="","",IF(H155="","",_xlfn.XLOOKUP($D155&amp;"_"&amp;$AE155,符文权重!$A:$A&amp;"_"&amp;符文权重!$C:$C,符文权重!$D:$D)*$Y155/SUMIFS($Y:$Y,H:H,H155,$D:$D,$D155,$AE:$AE,$AE155)/SUMIF(符文权重!$A:$A,$D155,符文权重!$D:$D)))</f>
        <v/>
      </c>
      <c r="O155" s="51" cm="1">
        <f t="array" ref="O155">IF($A155="","",IF(I155="","",_xlfn.XLOOKUP($D155&amp;"_"&amp;$AE155,符文权重!$A:$A&amp;"_"&amp;符文权重!$C:$C,符文权重!$D:$D)*$Y155/SUMIFS($Y:$Y,I:I,I155,$D:$D,$D155,$AE:$AE,$AE155)/SUMIF(符文权重!$A:$A,$D155,符文权重!$D:$D)))</f>
        <v>0.101666666666667</v>
      </c>
      <c r="P155" s="51" t="str" cm="1">
        <f t="array" ref="P155">IF($A155="","",IF(J155="","",_xlfn.XLOOKUP($D155&amp;"_"&amp;$AE155,符文权重!$A:$A&amp;"_"&amp;符文权重!$C:$C,符文权重!$D:$D)*$Y155/SUMIFS($Y:$Y,J:J,J155,$D:$D,$D155,$AE:$AE,$AE155)/SUMIF(符文权重!$A:$A,$D155,符文权重!$D:$D)))</f>
        <v/>
      </c>
      <c r="Q155" s="51" cm="1">
        <f t="array" ref="Q155">IF($A155="","",IF(K155="","",_xlfn.XLOOKUP($D155&amp;"_"&amp;$AE155,符文权重!$A:$A&amp;"_"&amp;符文权重!$C:$C,符文权重!$D:$D)*$Y155/SUMIFS($Y:$Y,K:K,K155,$D:$D,$D155,$AE:$AE,$AE155)/SUMIF(符文权重!$A:$A,$D155,符文权重!$D:$D)))</f>
        <v>0.098705501618123</v>
      </c>
      <c r="R155" s="51" t="str" cm="1">
        <f t="array" ref="R155">IF($A155="","",IF(L155="","",_xlfn.XLOOKUP($D155&amp;"_"&amp;$AE155,符文权重!$A:$A&amp;"_"&amp;符文权重!$C:$C,符文权重!$D:$D)*$Y155/SUMIFS($Y:$Y,L:L,L155,$D:$D,$D155,$AE:$AE,$AE155)/SUMIF(符文权重!$A:$A,$D155,符文权重!$D:$D)))</f>
        <v/>
      </c>
      <c r="S155" s="36" t="s">
        <v>175</v>
      </c>
      <c r="T155" s="36"/>
      <c r="U155" s="36" t="e">
        <f>IF(C155="","",SUBSTITUTE(SUBSTITUTE("[{global_atk,"&amp;#REF!*D155&amp;"}]",21,20),9,8))</f>
        <v>#REF!</v>
      </c>
      <c r="V155" s="52" t="str">
        <f t="shared" si="76"/>
        <v>[5502016]</v>
      </c>
      <c r="W155" s="36"/>
      <c r="X155" s="35"/>
      <c r="Y155" s="42">
        <v>100</v>
      </c>
      <c r="Z155" s="35"/>
      <c r="AA155" s="42" t="s">
        <v>189</v>
      </c>
      <c r="AB155" s="42" t="str">
        <f t="shared" si="63"/>
        <v>对血量高于70%的怪物伤害&lt;color=#54b76b&gt;+40%&lt;/color&gt;</v>
      </c>
      <c r="AC155" s="48" t="str">
        <f t="shared" si="72"/>
        <v>5502011</v>
      </c>
      <c r="AD155" s="42" t="str">
        <f t="shared" si="73"/>
        <v>[40]</v>
      </c>
      <c r="AE155" s="36">
        <v>3</v>
      </c>
      <c r="AF155" s="36"/>
      <c r="AG155" s="36">
        <v>0</v>
      </c>
      <c r="AH155" s="35" t="s">
        <v>178</v>
      </c>
      <c r="AI155" s="48">
        <f t="shared" si="77"/>
        <v>5502016</v>
      </c>
      <c r="AJ155" s="53" t="str">
        <f t="shared" si="78"/>
        <v>对血量高于70%的怪物伤害&lt;color=#54b76b&gt;+%s%&lt;/color&gt;</v>
      </c>
      <c r="AK155" s="36">
        <v>40</v>
      </c>
      <c r="AL155" s="36">
        <v>3</v>
      </c>
    </row>
    <row r="156" s="25" customFormat="1" hidden="1" customHeight="1" spans="1:45">
      <c r="A156" s="48">
        <v>5502017</v>
      </c>
      <c r="B156" s="34" t="s">
        <v>338</v>
      </c>
      <c r="C156" s="48" t="str">
        <f t="shared" si="69"/>
        <v>5502011</v>
      </c>
      <c r="D156" s="42">
        <f t="shared" si="70"/>
        <v>7</v>
      </c>
      <c r="E156" s="42"/>
      <c r="F156" s="36" t="s">
        <v>339</v>
      </c>
      <c r="G156" s="36">
        <f t="shared" si="66"/>
        <v>1</v>
      </c>
      <c r="H156" s="36" t="str">
        <f>IFERROR(IF(--MID($F156,2*COUNTIF($G156:G156,"&gt;"&amp;0)+2,1)=H$1,H$1,""),"")</f>
        <v/>
      </c>
      <c r="I156" s="36">
        <f>IFERROR(IF(--MID($F156,2*COUNTIF($G156:H156,"&gt;"&amp;0)+2,1)=I$1,I$1,""),"")</f>
        <v>3</v>
      </c>
      <c r="J156" s="36" t="str">
        <f>IFERROR(IF(--MID($F156,2*COUNTIF($G156:I156,"&gt;"&amp;0)+2,1)=J$1,J$1,""),"")</f>
        <v/>
      </c>
      <c r="K156" s="36">
        <f>IFERROR(IF(--MID($F156,2*COUNTIF($G156:J156,"&gt;"&amp;0)+2,1)=K$1,K$1,""),"")</f>
        <v>5</v>
      </c>
      <c r="L156" s="36" t="str">
        <f>IFERROR(IF(--MID($F156,2*COUNTIF($G156:K156,"&gt;"&amp;0)+2,1)=L$1,L$1,""),"")</f>
        <v/>
      </c>
      <c r="M156" s="51" cm="1">
        <f t="array" ref="M156">IF($A156="","",IF(G156="","",_xlfn.XLOOKUP($D156&amp;"_"&amp;$AE156,符文权重!$A:$A&amp;"_"&amp;符文权重!$C:$C,符文权重!$D:$D)*$Y156/SUMIFS($Y:$Y,G:G,G156,$D:$D,$D156,$AE:$AE,$AE156)/SUMIF(符文权重!$A:$A,$D156,符文权重!$D:$D)))</f>
        <v>0.101666666666667</v>
      </c>
      <c r="N156" s="51" t="str" cm="1">
        <f t="array" ref="N156">IF($A156="","",IF(H156="","",_xlfn.XLOOKUP($D156&amp;"_"&amp;$AE156,符文权重!$A:$A&amp;"_"&amp;符文权重!$C:$C,符文权重!$D:$D)*$Y156/SUMIFS($Y:$Y,H:H,H156,$D:$D,$D156,$AE:$AE,$AE156)/SUMIF(符文权重!$A:$A,$D156,符文权重!$D:$D)))</f>
        <v/>
      </c>
      <c r="O156" s="51" cm="1">
        <f t="array" ref="O156">IF($A156="","",IF(I156="","",_xlfn.XLOOKUP($D156&amp;"_"&amp;$AE156,符文权重!$A:$A&amp;"_"&amp;符文权重!$C:$C,符文权重!$D:$D)*$Y156/SUMIFS($Y:$Y,I:I,I156,$D:$D,$D156,$AE:$AE,$AE156)/SUMIF(符文权重!$A:$A,$D156,符文权重!$D:$D)))</f>
        <v>0.101666666666667</v>
      </c>
      <c r="P156" s="51" t="str" cm="1">
        <f t="array" ref="P156">IF($A156="","",IF(J156="","",_xlfn.XLOOKUP($D156&amp;"_"&amp;$AE156,符文权重!$A:$A&amp;"_"&amp;符文权重!$C:$C,符文权重!$D:$D)*$Y156/SUMIFS($Y:$Y,J:J,J156,$D:$D,$D156,$AE:$AE,$AE156)/SUMIF(符文权重!$A:$A,$D156,符文权重!$D:$D)))</f>
        <v/>
      </c>
      <c r="Q156" s="51" cm="1">
        <f t="array" ref="Q156">IF($A156="","",IF(K156="","",_xlfn.XLOOKUP($D156&amp;"_"&amp;$AE156,符文权重!$A:$A&amp;"_"&amp;符文权重!$C:$C,符文权重!$D:$D)*$Y156/SUMIFS($Y:$Y,K:K,K156,$D:$D,$D156,$AE:$AE,$AE156)/SUMIF(符文权重!$A:$A,$D156,符文权重!$D:$D)))</f>
        <v>0.098705501618123</v>
      </c>
      <c r="R156" s="51" t="str" cm="1">
        <f t="array" ref="R156">IF($A156="","",IF(L156="","",_xlfn.XLOOKUP($D156&amp;"_"&amp;$AE156,符文权重!$A:$A&amp;"_"&amp;符文权重!$C:$C,符文权重!$D:$D)*$Y156/SUMIFS($Y:$Y,L:L,L156,$D:$D,$D156,$AE:$AE,$AE156)/SUMIF(符文权重!$A:$A,$D156,符文权重!$D:$D)))</f>
        <v/>
      </c>
      <c r="S156" s="36" t="s">
        <v>175</v>
      </c>
      <c r="T156" s="36"/>
      <c r="U156" s="36" t="e">
        <f>IF(C156="","",SUBSTITUTE(SUBSTITUTE("[{global_atk,"&amp;#REF!*D156&amp;"}]",21,20),9,8))</f>
        <v>#REF!</v>
      </c>
      <c r="V156" s="52" t="str">
        <f t="shared" si="76"/>
        <v>[5502017]</v>
      </c>
      <c r="W156" s="36"/>
      <c r="X156" s="35"/>
      <c r="Y156" s="42">
        <v>100</v>
      </c>
      <c r="Z156" s="35"/>
      <c r="AA156" s="42" t="s">
        <v>191</v>
      </c>
      <c r="AB156" s="42" t="str">
        <f t="shared" si="63"/>
        <v>对血量高于70%的怪物伤害&lt;color=#54b76b&gt;+50%&lt;/color&gt;</v>
      </c>
      <c r="AC156" s="48" t="str">
        <f t="shared" si="72"/>
        <v>5502011</v>
      </c>
      <c r="AD156" s="42" t="str">
        <f t="shared" si="73"/>
        <v>[50]</v>
      </c>
      <c r="AE156" s="36">
        <v>3</v>
      </c>
      <c r="AF156" s="36"/>
      <c r="AG156" s="36">
        <v>0</v>
      </c>
      <c r="AH156" s="35" t="s">
        <v>178</v>
      </c>
      <c r="AI156" s="48">
        <f t="shared" si="77"/>
        <v>5502017</v>
      </c>
      <c r="AJ156" s="53" t="str">
        <f t="shared" si="78"/>
        <v>对血量高于70%的怪物伤害&lt;color=#54b76b&gt;+%s%&lt;/color&gt;</v>
      </c>
      <c r="AK156" s="36">
        <v>50</v>
      </c>
      <c r="AL156" s="36">
        <v>3</v>
      </c>
    </row>
    <row r="157" s="25" customFormat="1" hidden="1" customHeight="1" spans="1:45">
      <c r="A157" s="48" t="s">
        <v>178</v>
      </c>
      <c r="B157" s="41"/>
      <c r="C157" s="48" t="str">
        <f t="shared" si="69"/>
        <v/>
      </c>
      <c r="D157" s="42" t="str">
        <f t="shared" si="70"/>
        <v/>
      </c>
      <c r="E157" s="42"/>
      <c r="F157" s="36"/>
      <c r="G157" s="36" t="str">
        <f t="shared" si="66"/>
        <v/>
      </c>
      <c r="H157" s="36" t="str">
        <f>IFERROR(IF(--MID($F157,2*COUNTIF($G157:G157,"&gt;"&amp;0)+2,1)=H$1,H$1,""),"")</f>
        <v/>
      </c>
      <c r="I157" s="36" t="str">
        <f>IFERROR(IF(--MID($F157,2*COUNTIF($G157:H157,"&gt;"&amp;0)+2,1)=I$1,I$1,""),"")</f>
        <v/>
      </c>
      <c r="J157" s="36" t="str">
        <f>IFERROR(IF(--MID($F157,2*COUNTIF($G157:I157,"&gt;"&amp;0)+2,1)=J$1,J$1,""),"")</f>
        <v/>
      </c>
      <c r="K157" s="36" t="str">
        <f>IFERROR(IF(--MID($F157,2*COUNTIF($G157:J157,"&gt;"&amp;0)+2,1)=K$1,K$1,""),"")</f>
        <v/>
      </c>
      <c r="L157" s="36" t="str">
        <f>IFERROR(IF(--MID($F157,2*COUNTIF($G157:K157,"&gt;"&amp;0)+2,1)=L$1,L$1,""),"")</f>
        <v/>
      </c>
      <c r="M157" s="51" t="str" cm="1">
        <f t="array" ref="M157">IF($A157="","",IF(G157="","",_xlfn.XLOOKUP($D157&amp;"_"&amp;$AE157,符文权重!$A:$A&amp;"_"&amp;符文权重!$C:$C,符文权重!$D:$D)*$Y157/SUMIFS($Y:$Y,G:G,G157,$D:$D,$D157,$AE:$AE,$AE157)/SUMIF(符文权重!$A:$A,$D157,符文权重!$D:$D)))</f>
        <v/>
      </c>
      <c r="N157" s="36" t="str" cm="1">
        <f t="array" ref="N157">IF($A157="","",IF(H157="","",_xlfn.XLOOKUP($D157&amp;"_"&amp;$AE157,符文权重!$A:$A&amp;"_"&amp;符文权重!$C:$C,符文权重!$D:$D)*$Y157/SUMIFS($Y:$Y,H:H,H157,$D:$D,$D$6,$AE:$AE,$AE$6)))</f>
        <v/>
      </c>
      <c r="O157" s="36" t="str" cm="1">
        <f t="array" ref="O157">IF($A157="","",IF(I157="","",_xlfn.XLOOKUP($D157&amp;"_"&amp;$AE157,符文权重!$A:$A&amp;"_"&amp;符文权重!$C:$C,符文权重!$D:$D)*$Y157/SUMIFS($Y:$Y,I:I,I157,$D:$D,$D$6,$AE:$AE,$AE$6)))</f>
        <v/>
      </c>
      <c r="P157" s="36" t="str" cm="1">
        <f t="array" ref="P157">IF($A157="","",IF(J157="","",_xlfn.XLOOKUP($D157&amp;"_"&amp;$AE157,符文权重!$A:$A&amp;"_"&amp;符文权重!$C:$C,符文权重!$D:$D)*$Y157/SUMIFS($Y:$Y,J:J,J157,$D:$D,$D$6,$AE:$AE,$AE$6)))</f>
        <v/>
      </c>
      <c r="Q157" s="36" t="str" cm="1">
        <f t="array" ref="Q157">IF($A157="","",IF(K157="","",_xlfn.XLOOKUP($D157&amp;"_"&amp;$AE157,符文权重!$A:$A&amp;"_"&amp;符文权重!$C:$C,符文权重!$D:$D)*$Y157/SUMIFS($Y:$Y,K:K,K157,$D:$D,$D$6,$AE:$AE,$AE$6)))</f>
        <v/>
      </c>
      <c r="R157" s="36" t="str" cm="1">
        <f t="array" ref="R157">IF($A157="","",IF(L157="","",_xlfn.XLOOKUP($D157&amp;"_"&amp;$AE157,符文权重!$A:$A&amp;"_"&amp;符文权重!$C:$C,符文权重!$D:$D)*$Y157/SUMIFS($Y:$Y,L:L,L157,$D:$D,$D$6,$AE:$AE,$AE$6)))</f>
        <v/>
      </c>
      <c r="S157" s="36"/>
      <c r="T157" s="36"/>
      <c r="U157" s="36"/>
      <c r="W157" s="41"/>
      <c r="X157" s="35"/>
      <c r="Y157" s="42"/>
      <c r="Z157" s="35"/>
      <c r="AA157" s="42" t="s">
        <v>178</v>
      </c>
      <c r="AB157" s="42" t="str">
        <f t="shared" si="63"/>
        <v/>
      </c>
      <c r="AC157" s="48" t="str">
        <f t="shared" si="72"/>
        <v/>
      </c>
      <c r="AD157" s="42" t="str">
        <f t="shared" si="73"/>
        <v/>
      </c>
      <c r="AE157" s="36"/>
      <c r="AF157" s="36"/>
      <c r="AG157" s="36"/>
      <c r="AH157" s="35" t="s">
        <v>178</v>
      </c>
      <c r="AI157" s="33"/>
      <c r="AJ157" s="56"/>
      <c r="AK157" s="36"/>
      <c r="AL157" s="36"/>
    </row>
    <row r="158" s="27" customFormat="1" hidden="1" customHeight="1" spans="1:45">
      <c r="A158" s="57">
        <v>5502021</v>
      </c>
      <c r="B158" s="58" t="s">
        <v>340</v>
      </c>
      <c r="C158" s="57" t="str">
        <f t="shared" si="69"/>
        <v>5502021</v>
      </c>
      <c r="D158" s="59">
        <f t="shared" si="70"/>
        <v>1</v>
      </c>
      <c r="E158" s="59"/>
      <c r="F158" s="60" t="s">
        <v>341</v>
      </c>
      <c r="G158" s="36" t="str">
        <f t="shared" si="66"/>
        <v/>
      </c>
      <c r="H158" s="36">
        <f>IFERROR(IF(--MID($F158,2*COUNTIF($G158:G158,"&gt;"&amp;0)+2,1)=H$1,H$1,""),"")</f>
        <v>2</v>
      </c>
      <c r="I158" s="36" t="str">
        <f>IFERROR(IF(--MID($F158,2*COUNTIF($G158:H158,"&gt;"&amp;0)+2,1)=I$1,I$1,""),"")</f>
        <v/>
      </c>
      <c r="J158" s="36">
        <f>IFERROR(IF(--MID($F158,2*COUNTIF($G158:I158,"&gt;"&amp;0)+2,1)=J$1,J$1,""),"")</f>
        <v>4</v>
      </c>
      <c r="K158" s="36" t="str">
        <f>IFERROR(IF(--MID($F158,2*COUNTIF($G158:J158,"&gt;"&amp;0)+2,1)=K$1,K$1,""),"")</f>
        <v/>
      </c>
      <c r="L158" s="36">
        <f>IFERROR(IF(--MID($F158,2*COUNTIF($G158:K158,"&gt;"&amp;0)+2,1)=L$1,L$1,""),"")</f>
        <v>6</v>
      </c>
      <c r="M158" s="36" t="e" cm="1">
        <f t="array" ref="M158">IF(A158="","",_xlfn.XLOOKUP(D158&amp;"_"&amp;AE158,符文权重!A:A&amp;"_"&amp;符文权重!C:C,符文权重!D:D))</f>
        <v>#N/A</v>
      </c>
      <c r="N158" s="36"/>
      <c r="O158" s="36"/>
      <c r="P158" s="36"/>
      <c r="Q158" s="36"/>
      <c r="R158" s="36"/>
      <c r="S158" s="60" t="s">
        <v>175</v>
      </c>
      <c r="T158" s="60"/>
      <c r="U158" s="60" t="e">
        <f>IF(C158="","",SUBSTITUTE(SUBSTITUTE("[{global_atk,"&amp;#REF!*D158&amp;"}]",21,20),9,8))</f>
        <v>#REF!</v>
      </c>
      <c r="V158" s="61" t="str">
        <f t="shared" ref="V158:V164" si="79">"["&amp;A158&amp;"]"</f>
        <v>[5502021]</v>
      </c>
      <c r="W158" s="60"/>
      <c r="X158" s="28"/>
      <c r="Y158" s="42">
        <v>100</v>
      </c>
      <c r="Z158" s="28"/>
      <c r="AA158" s="59" t="s">
        <v>177</v>
      </c>
      <c r="AB158" s="42" t="str">
        <f t="shared" si="63"/>
        <v>对有负面状态的怪物伤害&lt;color=#54b76b&gt;+0%&lt;/color&gt;</v>
      </c>
      <c r="AC158" s="57" t="str">
        <f t="shared" si="72"/>
        <v>5502021</v>
      </c>
      <c r="AD158" s="59" t="str">
        <f t="shared" si="73"/>
        <v>[0]</v>
      </c>
      <c r="AE158" s="60">
        <v>100</v>
      </c>
      <c r="AF158" s="60"/>
      <c r="AG158" s="60">
        <v>1</v>
      </c>
      <c r="AH158" s="35" t="s">
        <v>178</v>
      </c>
      <c r="AI158" s="62">
        <v>5502021</v>
      </c>
      <c r="AJ158" s="63" t="s">
        <v>340</v>
      </c>
      <c r="AK158" s="60">
        <v>0</v>
      </c>
      <c r="AL158" s="36"/>
    </row>
    <row r="159" s="27" customFormat="1" hidden="1" customHeight="1" spans="1:45">
      <c r="A159" s="57">
        <v>5502022</v>
      </c>
      <c r="B159" s="58" t="s">
        <v>340</v>
      </c>
      <c r="C159" s="57" t="str">
        <f t="shared" si="69"/>
        <v>5502021</v>
      </c>
      <c r="D159" s="59">
        <f t="shared" si="70"/>
        <v>2</v>
      </c>
      <c r="E159" s="59"/>
      <c r="F159" s="60" t="s">
        <v>341</v>
      </c>
      <c r="G159" s="36" t="str">
        <f t="shared" si="66"/>
        <v/>
      </c>
      <c r="H159" s="36">
        <f>IFERROR(IF(--MID($F159,2*COUNTIF($G159:G159,"&gt;"&amp;0)+2,1)=H$1,H$1,""),"")</f>
        <v>2</v>
      </c>
      <c r="I159" s="36" t="str">
        <f>IFERROR(IF(--MID($F159,2*COUNTIF($G159:H159,"&gt;"&amp;0)+2,1)=I$1,I$1,""),"")</f>
        <v/>
      </c>
      <c r="J159" s="36">
        <f>IFERROR(IF(--MID($F159,2*COUNTIF($G159:I159,"&gt;"&amp;0)+2,1)=J$1,J$1,""),"")</f>
        <v>4</v>
      </c>
      <c r="K159" s="36" t="str">
        <f>IFERROR(IF(--MID($F159,2*COUNTIF($G159:J159,"&gt;"&amp;0)+2,1)=K$1,K$1,""),"")</f>
        <v/>
      </c>
      <c r="L159" s="36">
        <f>IFERROR(IF(--MID($F159,2*COUNTIF($G159:K159,"&gt;"&amp;0)+2,1)=L$1,L$1,""),"")</f>
        <v>6</v>
      </c>
      <c r="M159" s="36" t="e" cm="1">
        <f t="array" ref="M159">IF(A159="","",_xlfn.XLOOKUP(D159&amp;"_"&amp;AE159,符文权重!A:A&amp;"_"&amp;符文权重!C:C,符文权重!D:D))</f>
        <v>#N/A</v>
      </c>
      <c r="N159" s="36"/>
      <c r="O159" s="36"/>
      <c r="P159" s="36"/>
      <c r="Q159" s="36"/>
      <c r="R159" s="36"/>
      <c r="S159" s="60" t="s">
        <v>175</v>
      </c>
      <c r="T159" s="60"/>
      <c r="U159" s="60" t="e">
        <f>IF(C159="","",SUBSTITUTE(SUBSTITUTE("[{global_atk,"&amp;#REF!*D159&amp;"}]",21,20),9,8))</f>
        <v>#REF!</v>
      </c>
      <c r="V159" s="61" t="str">
        <f t="shared" si="79"/>
        <v>[5502022]</v>
      </c>
      <c r="W159" s="60"/>
      <c r="X159" s="28"/>
      <c r="Y159" s="42">
        <v>100</v>
      </c>
      <c r="Z159" s="28"/>
      <c r="AA159" s="59" t="s">
        <v>181</v>
      </c>
      <c r="AB159" s="42" t="str">
        <f t="shared" si="63"/>
        <v>对有负面状态的怪物伤害&lt;color=#54b76b&gt;+8%&lt;/color&gt;</v>
      </c>
      <c r="AC159" s="57" t="str">
        <f t="shared" si="72"/>
        <v>5502021</v>
      </c>
      <c r="AD159" s="59" t="str">
        <f t="shared" si="73"/>
        <v>[8]</v>
      </c>
      <c r="AE159" s="60">
        <v>100</v>
      </c>
      <c r="AF159" s="60"/>
      <c r="AG159" s="60">
        <v>1</v>
      </c>
      <c r="AH159" s="35" t="s">
        <v>178</v>
      </c>
      <c r="AI159" s="57">
        <f t="shared" ref="AI159:AI164" si="80">AI158+1</f>
        <v>5502022</v>
      </c>
      <c r="AJ159" s="64" t="str">
        <f t="shared" ref="AJ159:AJ164" si="81">AJ158</f>
        <v>对有负面状态的怪物伤害&lt;color=#54b76b&gt;+%s%&lt;/color&gt;</v>
      </c>
      <c r="AK159" s="60">
        <v>8</v>
      </c>
      <c r="AL159" s="36"/>
    </row>
    <row r="160" s="25" customFormat="1" hidden="1" customHeight="1" spans="1:45">
      <c r="A160" s="48">
        <v>5502023</v>
      </c>
      <c r="B160" s="34" t="s">
        <v>340</v>
      </c>
      <c r="C160" s="48" t="str">
        <f t="shared" si="69"/>
        <v>5502021</v>
      </c>
      <c r="D160" s="42">
        <f t="shared" si="70"/>
        <v>3</v>
      </c>
      <c r="E160" s="42"/>
      <c r="F160" s="36" t="s">
        <v>341</v>
      </c>
      <c r="G160" s="36" t="str">
        <f t="shared" si="66"/>
        <v/>
      </c>
      <c r="H160" s="36">
        <f>IFERROR(IF(--MID($F160,2*COUNTIF($G160:G160,"&gt;"&amp;0)+2,1)=H$1,H$1,""),"")</f>
        <v>2</v>
      </c>
      <c r="I160" s="36" t="str">
        <f>IFERROR(IF(--MID($F160,2*COUNTIF($G160:H160,"&gt;"&amp;0)+2,1)=I$1,I$1,""),"")</f>
        <v/>
      </c>
      <c r="J160" s="36">
        <f>IFERROR(IF(--MID($F160,2*COUNTIF($G160:I160,"&gt;"&amp;0)+2,1)=J$1,J$1,""),"")</f>
        <v>4</v>
      </c>
      <c r="K160" s="36" t="str">
        <f>IFERROR(IF(--MID($F160,2*COUNTIF($G160:J160,"&gt;"&amp;0)+2,1)=K$1,K$1,""),"")</f>
        <v/>
      </c>
      <c r="L160" s="36">
        <f>IFERROR(IF(--MID($F160,2*COUNTIF($G160:K160,"&gt;"&amp;0)+2,1)=L$1,L$1,""),"")</f>
        <v>6</v>
      </c>
      <c r="M160" s="51" t="str" cm="1">
        <f t="array" ref="M160">IF($A160="","",IF(G160="","",_xlfn.XLOOKUP($D160&amp;"_"&amp;$AE160,符文权重!$A:$A&amp;"_"&amp;符文权重!$C:$C,符文权重!$D:$D)*$Y160/SUMIFS($Y:$Y,G:G,G160,$D:$D,$D160,$AE:$AE,$AE160)/SUMIF(符文权重!$A:$A,$D160,符文权重!$D:$D)))</f>
        <v/>
      </c>
      <c r="N160" s="51" cm="1">
        <f t="array" ref="N160">IF($A160="","",IF(H160="","",_xlfn.XLOOKUP($D160&amp;"_"&amp;$AE160,符文权重!$A:$A&amp;"_"&amp;符文权重!$C:$C,符文权重!$D:$D)*$Y160/SUMIFS($Y:$Y,H:H,H160,$D:$D,$D160,$AE:$AE,$AE160)/SUMIF(符文权重!$A:$A,$D160,符文权重!$D:$D)))</f>
        <v>0.0257879656160458</v>
      </c>
      <c r="O160" s="51" t="str" cm="1">
        <f t="array" ref="O160">IF($A160="","",IF(I160="","",_xlfn.XLOOKUP($D160&amp;"_"&amp;$AE160,符文权重!$A:$A&amp;"_"&amp;符文权重!$C:$C,符文权重!$D:$D)*$Y160/SUMIFS($Y:$Y,I:I,I160,$D:$D,$D160,$AE:$AE,$AE160)/SUMIF(符文权重!$A:$A,$D160,符文权重!$D:$D)))</f>
        <v/>
      </c>
      <c r="P160" s="51" cm="1">
        <f t="array" ref="P160">IF($A160="","",IF(J160="","",_xlfn.XLOOKUP($D160&amp;"_"&amp;$AE160,符文权重!$A:$A&amp;"_"&amp;符文权重!$C:$C,符文权重!$D:$D)*$Y160/SUMIFS($Y:$Y,J:J,J160,$D:$D,$D160,$AE:$AE,$AE160)/SUMIF(符文权重!$A:$A,$D160,符文权重!$D:$D)))</f>
        <v>0.0257879656160458</v>
      </c>
      <c r="Q160" s="51" t="str" cm="1">
        <f t="array" ref="Q160">IF($A160="","",IF(K160="","",_xlfn.XLOOKUP($D160&amp;"_"&amp;$AE160,符文权重!$A:$A&amp;"_"&amp;符文权重!$C:$C,符文权重!$D:$D)*$Y160/SUMIFS($Y:$Y,K:K,K160,$D:$D,$D160,$AE:$AE,$AE160)/SUMIF(符文权重!$A:$A,$D160,符文权重!$D:$D)))</f>
        <v/>
      </c>
      <c r="R160" s="51" cm="1">
        <f t="array" ref="R160">IF($A160="","",IF(L160="","",_xlfn.XLOOKUP($D160&amp;"_"&amp;$AE160,符文权重!$A:$A&amp;"_"&amp;符文权重!$C:$C,符文权重!$D:$D)*$Y160/SUMIFS($Y:$Y,L:L,L160,$D:$D,$D160,$AE:$AE,$AE160)/SUMIF(符文权重!$A:$A,$D160,符文权重!$D:$D)))</f>
        <v>0.0257879656160458</v>
      </c>
      <c r="S160" s="36" t="s">
        <v>175</v>
      </c>
      <c r="T160" s="36"/>
      <c r="U160" s="36" t="e">
        <f>IF(C160="","",SUBSTITUTE(SUBSTITUTE("[{global_atk,"&amp;#REF!*D160&amp;"}]",21,20),9,8))</f>
        <v>#REF!</v>
      </c>
      <c r="V160" s="52" t="str">
        <f t="shared" si="79"/>
        <v>[5502023]</v>
      </c>
      <c r="W160" s="36"/>
      <c r="X160" s="35"/>
      <c r="Y160" s="42">
        <v>100</v>
      </c>
      <c r="Z160" s="35"/>
      <c r="AA160" s="42" t="s">
        <v>183</v>
      </c>
      <c r="AB160" s="42" t="str">
        <f t="shared" si="63"/>
        <v>对有负面状态的怪物伤害&lt;color=#54b76b&gt;+12%&lt;/color&gt;</v>
      </c>
      <c r="AC160" s="48" t="str">
        <f t="shared" si="72"/>
        <v>5502021</v>
      </c>
      <c r="AD160" s="42" t="str">
        <f t="shared" si="73"/>
        <v>[12]</v>
      </c>
      <c r="AE160" s="36">
        <v>3</v>
      </c>
      <c r="AF160" s="36"/>
      <c r="AG160" s="36">
        <v>0</v>
      </c>
      <c r="AH160" s="35" t="s">
        <v>178</v>
      </c>
      <c r="AI160" s="48">
        <f t="shared" si="80"/>
        <v>5502023</v>
      </c>
      <c r="AJ160" s="53" t="str">
        <f t="shared" si="81"/>
        <v>对有负面状态的怪物伤害&lt;color=#54b76b&gt;+%s%&lt;/color&gt;</v>
      </c>
      <c r="AK160" s="36">
        <v>12</v>
      </c>
      <c r="AL160" s="36">
        <v>3</v>
      </c>
    </row>
    <row r="161" s="25" customFormat="1" hidden="1" customHeight="1" spans="1:38">
      <c r="A161" s="48">
        <v>5502024</v>
      </c>
      <c r="B161" s="34" t="s">
        <v>340</v>
      </c>
      <c r="C161" s="48" t="str">
        <f t="shared" si="69"/>
        <v>5502021</v>
      </c>
      <c r="D161" s="42">
        <f t="shared" si="70"/>
        <v>4</v>
      </c>
      <c r="E161" s="42"/>
      <c r="F161" s="36" t="s">
        <v>341</v>
      </c>
      <c r="G161" s="36" t="str">
        <f t="shared" si="66"/>
        <v/>
      </c>
      <c r="H161" s="36">
        <f>IFERROR(IF(--MID($F161,2*COUNTIF($G161:G161,"&gt;"&amp;0)+2,1)=H$1,H$1,""),"")</f>
        <v>2</v>
      </c>
      <c r="I161" s="36" t="str">
        <f>IFERROR(IF(--MID($F161,2*COUNTIF($G161:H161,"&gt;"&amp;0)+2,1)=I$1,I$1,""),"")</f>
        <v/>
      </c>
      <c r="J161" s="36">
        <f>IFERROR(IF(--MID($F161,2*COUNTIF($G161:I161,"&gt;"&amp;0)+2,1)=J$1,J$1,""),"")</f>
        <v>4</v>
      </c>
      <c r="K161" s="36" t="str">
        <f>IFERROR(IF(--MID($F161,2*COUNTIF($G161:J161,"&gt;"&amp;0)+2,1)=K$1,K$1,""),"")</f>
        <v/>
      </c>
      <c r="L161" s="36">
        <f>IFERROR(IF(--MID($F161,2*COUNTIF($G161:K161,"&gt;"&amp;0)+2,1)=L$1,L$1,""),"")</f>
        <v>6</v>
      </c>
      <c r="M161" s="51" t="str" cm="1">
        <f t="array" ref="M161">IF($A161="","",IF(G161="","",_xlfn.XLOOKUP($D161&amp;"_"&amp;$AE161,符文权重!$A:$A&amp;"_"&amp;符文权重!$C:$C,符文权重!$D:$D)*$Y161/SUMIFS($Y:$Y,G:G,G161,$D:$D,$D161,$AE:$AE,$AE161)/SUMIF(符文权重!$A:$A,$D161,符文权重!$D:$D)))</f>
        <v/>
      </c>
      <c r="N161" s="51" cm="1">
        <f t="array" ref="N161">IF($A161="","",IF(H161="","",_xlfn.XLOOKUP($D161&amp;"_"&amp;$AE161,符文权重!$A:$A&amp;"_"&amp;符文权重!$C:$C,符文权重!$D:$D)*$Y161/SUMIFS($Y:$Y,H:H,H161,$D:$D,$D161,$AE:$AE,$AE161)/SUMIF(符文权重!$A:$A,$D161,符文权重!$D:$D)))</f>
        <v>0.0861973084195306</v>
      </c>
      <c r="O161" s="51" t="str" cm="1">
        <f t="array" ref="O161">IF($A161="","",IF(I161="","",_xlfn.XLOOKUP($D161&amp;"_"&amp;$AE161,符文权重!$A:$A&amp;"_"&amp;符文权重!$C:$C,符文权重!$D:$D)*$Y161/SUMIFS($Y:$Y,I:I,I161,$D:$D,$D161,$AE:$AE,$AE161)/SUMIF(符文权重!$A:$A,$D161,符文权重!$D:$D)))</f>
        <v/>
      </c>
      <c r="P161" s="51" cm="1">
        <f t="array" ref="P161">IF($A161="","",IF(J161="","",_xlfn.XLOOKUP($D161&amp;"_"&amp;$AE161,符文权重!$A:$A&amp;"_"&amp;符文权重!$C:$C,符文权重!$D:$D)*$Y161/SUMIFS($Y:$Y,J:J,J161,$D:$D,$D161,$AE:$AE,$AE161)/SUMIF(符文权重!$A:$A,$D161,符文权重!$D:$D)))</f>
        <v>0.0861973084195306</v>
      </c>
      <c r="Q161" s="51" t="str" cm="1">
        <f t="array" ref="Q161">IF($A161="","",IF(K161="","",_xlfn.XLOOKUP($D161&amp;"_"&amp;$AE161,符文权重!$A:$A&amp;"_"&amp;符文权重!$C:$C,符文权重!$D:$D)*$Y161/SUMIFS($Y:$Y,K:K,K161,$D:$D,$D161,$AE:$AE,$AE161)/SUMIF(符文权重!$A:$A,$D161,符文权重!$D:$D)))</f>
        <v/>
      </c>
      <c r="R161" s="51" cm="1">
        <f t="array" ref="R161">IF($A161="","",IF(L161="","",_xlfn.XLOOKUP($D161&amp;"_"&amp;$AE161,符文权重!$A:$A&amp;"_"&amp;符文权重!$C:$C,符文权重!$D:$D)*$Y161/SUMIFS($Y:$Y,L:L,L161,$D:$D,$D161,$AE:$AE,$AE161)/SUMIF(符文权重!$A:$A,$D161,符文权重!$D:$D)))</f>
        <v>0.0852500852500852</v>
      </c>
      <c r="S161" s="36" t="s">
        <v>175</v>
      </c>
      <c r="T161" s="36"/>
      <c r="U161" s="36" t="e">
        <f>IF(C161="","",SUBSTITUTE(SUBSTITUTE("[{global_atk,"&amp;#REF!*D161&amp;"}]",21,20),9,8))</f>
        <v>#REF!</v>
      </c>
      <c r="V161" s="52" t="str">
        <f t="shared" si="79"/>
        <v>[5502024]</v>
      </c>
      <c r="W161" s="36"/>
      <c r="X161" s="35"/>
      <c r="Y161" s="42">
        <v>100</v>
      </c>
      <c r="Z161" s="35"/>
      <c r="AA161" s="42" t="s">
        <v>185</v>
      </c>
      <c r="AB161" s="42" t="str">
        <f t="shared" si="63"/>
        <v>对有负面状态的怪物伤害&lt;color=#54b76b&gt;+18%&lt;/color&gt;</v>
      </c>
      <c r="AC161" s="48" t="str">
        <f t="shared" si="72"/>
        <v>5502021</v>
      </c>
      <c r="AD161" s="42" t="str">
        <f t="shared" si="73"/>
        <v>[18]</v>
      </c>
      <c r="AE161" s="36">
        <v>3</v>
      </c>
      <c r="AF161" s="36"/>
      <c r="AG161" s="36">
        <v>0</v>
      </c>
      <c r="AH161" s="35" t="s">
        <v>178</v>
      </c>
      <c r="AI161" s="48">
        <f t="shared" si="80"/>
        <v>5502024</v>
      </c>
      <c r="AJ161" s="53" t="str">
        <f t="shared" si="81"/>
        <v>对有负面状态的怪物伤害&lt;color=#54b76b&gt;+%s%&lt;/color&gt;</v>
      </c>
      <c r="AK161" s="36">
        <v>18</v>
      </c>
      <c r="AL161" s="36">
        <v>3</v>
      </c>
    </row>
    <row r="162" s="25" customFormat="1" hidden="1" customHeight="1" spans="1:38">
      <c r="A162" s="48">
        <v>5502025</v>
      </c>
      <c r="B162" s="34" t="s">
        <v>340</v>
      </c>
      <c r="C162" s="48" t="str">
        <f t="shared" si="69"/>
        <v>5502021</v>
      </c>
      <c r="D162" s="42">
        <f t="shared" si="70"/>
        <v>5</v>
      </c>
      <c r="E162" s="42"/>
      <c r="F162" s="36" t="s">
        <v>341</v>
      </c>
      <c r="G162" s="36" t="str">
        <f t="shared" si="66"/>
        <v/>
      </c>
      <c r="H162" s="36">
        <f>IFERROR(IF(--MID($F162,2*COUNTIF($G162:G162,"&gt;"&amp;0)+2,1)=H$1,H$1,""),"")</f>
        <v>2</v>
      </c>
      <c r="I162" s="36" t="str">
        <f>IFERROR(IF(--MID($F162,2*COUNTIF($G162:H162,"&gt;"&amp;0)+2,1)=I$1,I$1,""),"")</f>
        <v/>
      </c>
      <c r="J162" s="36">
        <f>IFERROR(IF(--MID($F162,2*COUNTIF($G162:I162,"&gt;"&amp;0)+2,1)=J$1,J$1,""),"")</f>
        <v>4</v>
      </c>
      <c r="K162" s="36" t="str">
        <f>IFERROR(IF(--MID($F162,2*COUNTIF($G162:J162,"&gt;"&amp;0)+2,1)=K$1,K$1,""),"")</f>
        <v/>
      </c>
      <c r="L162" s="36">
        <f>IFERROR(IF(--MID($F162,2*COUNTIF($G162:K162,"&gt;"&amp;0)+2,1)=L$1,L$1,""),"")</f>
        <v>6</v>
      </c>
      <c r="M162" s="51" t="str" cm="1">
        <f t="array" ref="M162">IF($A162="","",IF(G162="","",_xlfn.XLOOKUP($D162&amp;"_"&amp;$AE162,符文权重!$A:$A&amp;"_"&amp;符文权重!$C:$C,符文权重!$D:$D)*$Y162/SUMIFS($Y:$Y,G:G,G162,$D:$D,$D162,$AE:$AE,$AE162)/SUMIF(符文权重!$A:$A,$D162,符文权重!$D:$D)))</f>
        <v/>
      </c>
      <c r="N162" s="51" cm="1">
        <f t="array" ref="N162">IF($A162="","",IF(H162="","",_xlfn.XLOOKUP($D162&amp;"_"&amp;$AE162,符文权重!$A:$A&amp;"_"&amp;符文权重!$C:$C,符文权重!$D:$D)*$Y162/SUMIFS($Y:$Y,H:H,H162,$D:$D,$D162,$AE:$AE,$AE162)/SUMIF(符文权重!$A:$A,$D162,符文权重!$D:$D)))</f>
        <v>0.098705501618123</v>
      </c>
      <c r="O162" s="51" t="str" cm="1">
        <f t="array" ref="O162">IF($A162="","",IF(I162="","",_xlfn.XLOOKUP($D162&amp;"_"&amp;$AE162,符文权重!$A:$A&amp;"_"&amp;符文权重!$C:$C,符文权重!$D:$D)*$Y162/SUMIFS($Y:$Y,I:I,I162,$D:$D,$D162,$AE:$AE,$AE162)/SUMIF(符文权重!$A:$A,$D162,符文权重!$D:$D)))</f>
        <v/>
      </c>
      <c r="P162" s="51" cm="1">
        <f t="array" ref="P162">IF($A162="","",IF(J162="","",_xlfn.XLOOKUP($D162&amp;"_"&amp;$AE162,符文权重!$A:$A&amp;"_"&amp;符文权重!$C:$C,符文权重!$D:$D)*$Y162/SUMIFS($Y:$Y,J:J,J162,$D:$D,$D162,$AE:$AE,$AE162)/SUMIF(符文权重!$A:$A,$D162,符文权重!$D:$D)))</f>
        <v>0.101666666666667</v>
      </c>
      <c r="Q162" s="51" t="str" cm="1">
        <f t="array" ref="Q162">IF($A162="","",IF(K162="","",_xlfn.XLOOKUP($D162&amp;"_"&amp;$AE162,符文权重!$A:$A&amp;"_"&amp;符文权重!$C:$C,符文权重!$D:$D)*$Y162/SUMIFS($Y:$Y,K:K,K162,$D:$D,$D162,$AE:$AE,$AE162)/SUMIF(符文权重!$A:$A,$D162,符文权重!$D:$D)))</f>
        <v/>
      </c>
      <c r="R162" s="51" cm="1">
        <f t="array" ref="R162">IF($A162="","",IF(L162="","",_xlfn.XLOOKUP($D162&amp;"_"&amp;$AE162,符文权重!$A:$A&amp;"_"&amp;符文权重!$C:$C,符文权重!$D:$D)*$Y162/SUMIFS($Y:$Y,L:L,L162,$D:$D,$D162,$AE:$AE,$AE162)/SUMIF(符文权重!$A:$A,$D162,符文权重!$D:$D)))</f>
        <v>0.101666666666667</v>
      </c>
      <c r="S162" s="36" t="s">
        <v>175</v>
      </c>
      <c r="T162" s="36"/>
      <c r="U162" s="36" t="e">
        <f>IF(C162="","",SUBSTITUTE(SUBSTITUTE("[{global_atk,"&amp;#REF!*D162&amp;"}]",21,20),9,8))</f>
        <v>#REF!</v>
      </c>
      <c r="V162" s="52" t="str">
        <f t="shared" si="79"/>
        <v>[5502025]</v>
      </c>
      <c r="W162" s="36"/>
      <c r="X162" s="35"/>
      <c r="Y162" s="42">
        <v>100</v>
      </c>
      <c r="Z162" s="35"/>
      <c r="AA162" s="42" t="s">
        <v>187</v>
      </c>
      <c r="AB162" s="42" t="str">
        <f t="shared" si="63"/>
        <v>对有负面状态的怪物伤害&lt;color=#54b76b&gt;+26%&lt;/color&gt;</v>
      </c>
      <c r="AC162" s="48" t="str">
        <f t="shared" si="72"/>
        <v>5502021</v>
      </c>
      <c r="AD162" s="42" t="str">
        <f t="shared" si="73"/>
        <v>[26]</v>
      </c>
      <c r="AE162" s="36">
        <v>3</v>
      </c>
      <c r="AF162" s="36"/>
      <c r="AG162" s="36">
        <v>0</v>
      </c>
      <c r="AH162" s="35" t="s">
        <v>178</v>
      </c>
      <c r="AI162" s="48">
        <f t="shared" si="80"/>
        <v>5502025</v>
      </c>
      <c r="AJ162" s="53" t="str">
        <f t="shared" si="81"/>
        <v>对有负面状态的怪物伤害&lt;color=#54b76b&gt;+%s%&lt;/color&gt;</v>
      </c>
      <c r="AK162" s="36">
        <v>26</v>
      </c>
      <c r="AL162" s="36">
        <v>3</v>
      </c>
    </row>
    <row r="163" s="25" customFormat="1" hidden="1" customHeight="1" spans="1:38">
      <c r="A163" s="48">
        <v>5502026</v>
      </c>
      <c r="B163" s="34" t="s">
        <v>340</v>
      </c>
      <c r="C163" s="48" t="str">
        <f t="shared" si="69"/>
        <v>5502021</v>
      </c>
      <c r="D163" s="42">
        <f t="shared" si="70"/>
        <v>6</v>
      </c>
      <c r="E163" s="42"/>
      <c r="F163" s="36" t="s">
        <v>341</v>
      </c>
      <c r="G163" s="36" t="str">
        <f t="shared" si="66"/>
        <v/>
      </c>
      <c r="H163" s="36">
        <f>IFERROR(IF(--MID($F163,2*COUNTIF($G163:G163,"&gt;"&amp;0)+2,1)=H$1,H$1,""),"")</f>
        <v>2</v>
      </c>
      <c r="I163" s="36" t="str">
        <f>IFERROR(IF(--MID($F163,2*COUNTIF($G163:H163,"&gt;"&amp;0)+2,1)=I$1,I$1,""),"")</f>
        <v/>
      </c>
      <c r="J163" s="36">
        <f>IFERROR(IF(--MID($F163,2*COUNTIF($G163:I163,"&gt;"&amp;0)+2,1)=J$1,J$1,""),"")</f>
        <v>4</v>
      </c>
      <c r="K163" s="36" t="str">
        <f>IFERROR(IF(--MID($F163,2*COUNTIF($G163:J163,"&gt;"&amp;0)+2,1)=K$1,K$1,""),"")</f>
        <v/>
      </c>
      <c r="L163" s="36">
        <f>IFERROR(IF(--MID($F163,2*COUNTIF($G163:K163,"&gt;"&amp;0)+2,1)=L$1,L$1,""),"")</f>
        <v>6</v>
      </c>
      <c r="M163" s="51" t="str" cm="1">
        <f t="array" ref="M163">IF($A163="","",IF(G163="","",_xlfn.XLOOKUP($D163&amp;"_"&amp;$AE163,符文权重!$A:$A&amp;"_"&amp;符文权重!$C:$C,符文权重!$D:$D)*$Y163/SUMIFS($Y:$Y,G:G,G163,$D:$D,$D163,$AE:$AE,$AE163)/SUMIF(符文权重!$A:$A,$D163,符文权重!$D:$D)))</f>
        <v/>
      </c>
      <c r="N163" s="51" cm="1">
        <f t="array" ref="N163">IF($A163="","",IF(H163="","",_xlfn.XLOOKUP($D163&amp;"_"&amp;$AE163,符文权重!$A:$A&amp;"_"&amp;符文权重!$C:$C,符文权重!$D:$D)*$Y163/SUMIFS($Y:$Y,H:H,H163,$D:$D,$D163,$AE:$AE,$AE163)/SUMIF(符文权重!$A:$A,$D163,符文权重!$D:$D)))</f>
        <v>0.098705501618123</v>
      </c>
      <c r="O163" s="51" t="str" cm="1">
        <f t="array" ref="O163">IF($A163="","",IF(I163="","",_xlfn.XLOOKUP($D163&amp;"_"&amp;$AE163,符文权重!$A:$A&amp;"_"&amp;符文权重!$C:$C,符文权重!$D:$D)*$Y163/SUMIFS($Y:$Y,I:I,I163,$D:$D,$D163,$AE:$AE,$AE163)/SUMIF(符文权重!$A:$A,$D163,符文权重!$D:$D)))</f>
        <v/>
      </c>
      <c r="P163" s="51" cm="1">
        <f t="array" ref="P163">IF($A163="","",IF(J163="","",_xlfn.XLOOKUP($D163&amp;"_"&amp;$AE163,符文权重!$A:$A&amp;"_"&amp;符文权重!$C:$C,符文权重!$D:$D)*$Y163/SUMIFS($Y:$Y,J:J,J163,$D:$D,$D163,$AE:$AE,$AE163)/SUMIF(符文权重!$A:$A,$D163,符文权重!$D:$D)))</f>
        <v>0.101666666666667</v>
      </c>
      <c r="Q163" s="51" t="str" cm="1">
        <f t="array" ref="Q163">IF($A163="","",IF(K163="","",_xlfn.XLOOKUP($D163&amp;"_"&amp;$AE163,符文权重!$A:$A&amp;"_"&amp;符文权重!$C:$C,符文权重!$D:$D)*$Y163/SUMIFS($Y:$Y,K:K,K163,$D:$D,$D163,$AE:$AE,$AE163)/SUMIF(符文权重!$A:$A,$D163,符文权重!$D:$D)))</f>
        <v/>
      </c>
      <c r="R163" s="51" cm="1">
        <f t="array" ref="R163">IF($A163="","",IF(L163="","",_xlfn.XLOOKUP($D163&amp;"_"&amp;$AE163,符文权重!$A:$A&amp;"_"&amp;符文权重!$C:$C,符文权重!$D:$D)*$Y163/SUMIFS($Y:$Y,L:L,L163,$D:$D,$D163,$AE:$AE,$AE163)/SUMIF(符文权重!$A:$A,$D163,符文权重!$D:$D)))</f>
        <v>0.101666666666667</v>
      </c>
      <c r="S163" s="36" t="s">
        <v>175</v>
      </c>
      <c r="T163" s="36"/>
      <c r="U163" s="36" t="e">
        <f>IF(C163="","",SUBSTITUTE(SUBSTITUTE("[{global_atk,"&amp;#REF!*D163&amp;"}]",21,20),9,8))</f>
        <v>#REF!</v>
      </c>
      <c r="V163" s="52" t="str">
        <f t="shared" si="79"/>
        <v>[5502026]</v>
      </c>
      <c r="W163" s="36"/>
      <c r="X163" s="35"/>
      <c r="Y163" s="42">
        <v>100</v>
      </c>
      <c r="Z163" s="35"/>
      <c r="AA163" s="42" t="s">
        <v>189</v>
      </c>
      <c r="AB163" s="42" t="str">
        <f t="shared" si="63"/>
        <v>对有负面状态的怪物伤害&lt;color=#54b76b&gt;+36%&lt;/color&gt;</v>
      </c>
      <c r="AC163" s="48" t="str">
        <f t="shared" si="72"/>
        <v>5502021</v>
      </c>
      <c r="AD163" s="42" t="str">
        <f t="shared" si="73"/>
        <v>[36]</v>
      </c>
      <c r="AE163" s="36">
        <v>3</v>
      </c>
      <c r="AF163" s="36"/>
      <c r="AG163" s="36">
        <v>0</v>
      </c>
      <c r="AH163" s="35" t="s">
        <v>178</v>
      </c>
      <c r="AI163" s="48">
        <f t="shared" si="80"/>
        <v>5502026</v>
      </c>
      <c r="AJ163" s="53" t="str">
        <f t="shared" si="81"/>
        <v>对有负面状态的怪物伤害&lt;color=#54b76b&gt;+%s%&lt;/color&gt;</v>
      </c>
      <c r="AK163" s="36">
        <v>36</v>
      </c>
      <c r="AL163" s="36">
        <v>3</v>
      </c>
    </row>
    <row r="164" s="25" customFormat="1" hidden="1" customHeight="1" spans="1:38">
      <c r="A164" s="48">
        <v>5502027</v>
      </c>
      <c r="B164" s="34" t="s">
        <v>340</v>
      </c>
      <c r="C164" s="48" t="str">
        <f t="shared" si="69"/>
        <v>5502021</v>
      </c>
      <c r="D164" s="42">
        <f t="shared" si="70"/>
        <v>7</v>
      </c>
      <c r="E164" s="42"/>
      <c r="F164" s="36" t="s">
        <v>341</v>
      </c>
      <c r="G164" s="36" t="str">
        <f t="shared" si="66"/>
        <v/>
      </c>
      <c r="H164" s="36">
        <f>IFERROR(IF(--MID($F164,2*COUNTIF($G164:G164,"&gt;"&amp;0)+2,1)=H$1,H$1,""),"")</f>
        <v>2</v>
      </c>
      <c r="I164" s="36" t="str">
        <f>IFERROR(IF(--MID($F164,2*COUNTIF($G164:H164,"&gt;"&amp;0)+2,1)=I$1,I$1,""),"")</f>
        <v/>
      </c>
      <c r="J164" s="36">
        <f>IFERROR(IF(--MID($F164,2*COUNTIF($G164:I164,"&gt;"&amp;0)+2,1)=J$1,J$1,""),"")</f>
        <v>4</v>
      </c>
      <c r="K164" s="36" t="str">
        <f>IFERROR(IF(--MID($F164,2*COUNTIF($G164:J164,"&gt;"&amp;0)+2,1)=K$1,K$1,""),"")</f>
        <v/>
      </c>
      <c r="L164" s="36">
        <f>IFERROR(IF(--MID($F164,2*COUNTIF($G164:K164,"&gt;"&amp;0)+2,1)=L$1,L$1,""),"")</f>
        <v>6</v>
      </c>
      <c r="M164" s="51" t="str" cm="1">
        <f t="array" ref="M164">IF($A164="","",IF(G164="","",_xlfn.XLOOKUP($D164&amp;"_"&amp;$AE164,符文权重!$A:$A&amp;"_"&amp;符文权重!$C:$C,符文权重!$D:$D)*$Y164/SUMIFS($Y:$Y,G:G,G164,$D:$D,$D164,$AE:$AE,$AE164)/SUMIF(符文权重!$A:$A,$D164,符文权重!$D:$D)))</f>
        <v/>
      </c>
      <c r="N164" s="51" cm="1">
        <f t="array" ref="N164">IF($A164="","",IF(H164="","",_xlfn.XLOOKUP($D164&amp;"_"&amp;$AE164,符文权重!$A:$A&amp;"_"&amp;符文权重!$C:$C,符文权重!$D:$D)*$Y164/SUMIFS($Y:$Y,H:H,H164,$D:$D,$D164,$AE:$AE,$AE164)/SUMIF(符文权重!$A:$A,$D164,符文权重!$D:$D)))</f>
        <v>0.098705501618123</v>
      </c>
      <c r="O164" s="51" t="str" cm="1">
        <f t="array" ref="O164">IF($A164="","",IF(I164="","",_xlfn.XLOOKUP($D164&amp;"_"&amp;$AE164,符文权重!$A:$A&amp;"_"&amp;符文权重!$C:$C,符文权重!$D:$D)*$Y164/SUMIFS($Y:$Y,I:I,I164,$D:$D,$D164,$AE:$AE,$AE164)/SUMIF(符文权重!$A:$A,$D164,符文权重!$D:$D)))</f>
        <v/>
      </c>
      <c r="P164" s="51" cm="1">
        <f t="array" ref="P164">IF($A164="","",IF(J164="","",_xlfn.XLOOKUP($D164&amp;"_"&amp;$AE164,符文权重!$A:$A&amp;"_"&amp;符文权重!$C:$C,符文权重!$D:$D)*$Y164/SUMIFS($Y:$Y,J:J,J164,$D:$D,$D164,$AE:$AE,$AE164)/SUMIF(符文权重!$A:$A,$D164,符文权重!$D:$D)))</f>
        <v>0.101666666666667</v>
      </c>
      <c r="Q164" s="51" t="str" cm="1">
        <f t="array" ref="Q164">IF($A164="","",IF(K164="","",_xlfn.XLOOKUP($D164&amp;"_"&amp;$AE164,符文权重!$A:$A&amp;"_"&amp;符文权重!$C:$C,符文权重!$D:$D)*$Y164/SUMIFS($Y:$Y,K:K,K164,$D:$D,$D164,$AE:$AE,$AE164)/SUMIF(符文权重!$A:$A,$D164,符文权重!$D:$D)))</f>
        <v/>
      </c>
      <c r="R164" s="51" cm="1">
        <f t="array" ref="R164">IF($A164="","",IF(L164="","",_xlfn.XLOOKUP($D164&amp;"_"&amp;$AE164,符文权重!$A:$A&amp;"_"&amp;符文权重!$C:$C,符文权重!$D:$D)*$Y164/SUMIFS($Y:$Y,L:L,L164,$D:$D,$D164,$AE:$AE,$AE164)/SUMIF(符文权重!$A:$A,$D164,符文权重!$D:$D)))</f>
        <v>0.101666666666667</v>
      </c>
      <c r="S164" s="36" t="s">
        <v>175</v>
      </c>
      <c r="T164" s="36"/>
      <c r="U164" s="36" t="e">
        <f>IF(C164="","",SUBSTITUTE(SUBSTITUTE("[{global_atk,"&amp;#REF!*D164&amp;"}]",21,20),9,8))</f>
        <v>#REF!</v>
      </c>
      <c r="V164" s="52" t="str">
        <f t="shared" si="79"/>
        <v>[5502027]</v>
      </c>
      <c r="W164" s="36"/>
      <c r="X164" s="35"/>
      <c r="Y164" s="42">
        <v>100</v>
      </c>
      <c r="Z164" s="35"/>
      <c r="AA164" s="42" t="s">
        <v>191</v>
      </c>
      <c r="AB164" s="42" t="str">
        <f t="shared" si="63"/>
        <v>对有负面状态的怪物伤害&lt;color=#54b76b&gt;+48%&lt;/color&gt;</v>
      </c>
      <c r="AC164" s="48" t="str">
        <f t="shared" si="72"/>
        <v>5502021</v>
      </c>
      <c r="AD164" s="42" t="str">
        <f t="shared" si="73"/>
        <v>[48]</v>
      </c>
      <c r="AE164" s="36">
        <v>3</v>
      </c>
      <c r="AF164" s="36"/>
      <c r="AG164" s="36">
        <v>0</v>
      </c>
      <c r="AH164" s="35" t="s">
        <v>178</v>
      </c>
      <c r="AI164" s="48">
        <f t="shared" si="80"/>
        <v>5502027</v>
      </c>
      <c r="AJ164" s="53" t="str">
        <f t="shared" si="81"/>
        <v>对有负面状态的怪物伤害&lt;color=#54b76b&gt;+%s%&lt;/color&gt;</v>
      </c>
      <c r="AK164" s="36">
        <v>48</v>
      </c>
      <c r="AL164" s="36">
        <v>3</v>
      </c>
    </row>
    <row r="165" s="25" customFormat="1" hidden="1" customHeight="1" spans="1:38">
      <c r="A165" s="48" t="s">
        <v>178</v>
      </c>
      <c r="B165" s="41"/>
      <c r="C165" s="48" t="str">
        <f t="shared" si="69"/>
        <v/>
      </c>
      <c r="D165" s="42" t="str">
        <f t="shared" si="70"/>
        <v/>
      </c>
      <c r="E165" s="42"/>
      <c r="F165" s="36"/>
      <c r="G165" s="36" t="str">
        <f t="shared" si="66"/>
        <v/>
      </c>
      <c r="H165" s="36" t="str">
        <f>IFERROR(IF(--MID($F165,2*COUNTIF($G165:G165,"&gt;"&amp;0)+2,1)=H$1,H$1,""),"")</f>
        <v/>
      </c>
      <c r="I165" s="36" t="str">
        <f>IFERROR(IF(--MID($F165,2*COUNTIF($G165:H165,"&gt;"&amp;0)+2,1)=I$1,I$1,""),"")</f>
        <v/>
      </c>
      <c r="J165" s="36" t="str">
        <f>IFERROR(IF(--MID($F165,2*COUNTIF($G165:I165,"&gt;"&amp;0)+2,1)=J$1,J$1,""),"")</f>
        <v/>
      </c>
      <c r="K165" s="36" t="str">
        <f>IFERROR(IF(--MID($F165,2*COUNTIF($G165:J165,"&gt;"&amp;0)+2,1)=K$1,K$1,""),"")</f>
        <v/>
      </c>
      <c r="L165" s="36" t="str">
        <f>IFERROR(IF(--MID($F165,2*COUNTIF($G165:K165,"&gt;"&amp;0)+2,1)=L$1,L$1,""),"")</f>
        <v/>
      </c>
      <c r="M165" s="51" t="str" cm="1">
        <f t="array" ref="M165">IF($A165="","",IF(G165="","",_xlfn.XLOOKUP($D165&amp;"_"&amp;$AE165,符文权重!$A:$A&amp;"_"&amp;符文权重!$C:$C,符文权重!$D:$D)*$Y165/SUMIFS($Y:$Y,G:G,G165,$D:$D,$D165,$AE:$AE,$AE165)/SUMIF(符文权重!$A:$A,$D165,符文权重!$D:$D)))</f>
        <v/>
      </c>
      <c r="N165" s="36" t="str" cm="1">
        <f t="array" ref="N165">IF($A165="","",IF(H165="","",_xlfn.XLOOKUP($D165&amp;"_"&amp;$AE165,符文权重!$A:$A&amp;"_"&amp;符文权重!$C:$C,符文权重!$D:$D)*$Y165/SUMIFS($Y:$Y,H:H,H165,$D:$D,$D$6,$AE:$AE,$AE$6)))</f>
        <v/>
      </c>
      <c r="O165" s="36" t="str" cm="1">
        <f t="array" ref="O165">IF($A165="","",IF(I165="","",_xlfn.XLOOKUP($D165&amp;"_"&amp;$AE165,符文权重!$A:$A&amp;"_"&amp;符文权重!$C:$C,符文权重!$D:$D)*$Y165/SUMIFS($Y:$Y,I:I,I165,$D:$D,$D$6,$AE:$AE,$AE$6)))</f>
        <v/>
      </c>
      <c r="P165" s="36" t="str" cm="1">
        <f t="array" ref="P165">IF($A165="","",IF(J165="","",_xlfn.XLOOKUP($D165&amp;"_"&amp;$AE165,符文权重!$A:$A&amp;"_"&amp;符文权重!$C:$C,符文权重!$D:$D)*$Y165/SUMIFS($Y:$Y,J:J,J165,$D:$D,$D$6,$AE:$AE,$AE$6)))</f>
        <v/>
      </c>
      <c r="Q165" s="36" t="str" cm="1">
        <f t="array" ref="Q165">IF($A165="","",IF(K165="","",_xlfn.XLOOKUP($D165&amp;"_"&amp;$AE165,符文权重!$A:$A&amp;"_"&amp;符文权重!$C:$C,符文权重!$D:$D)*$Y165/SUMIFS($Y:$Y,K:K,K165,$D:$D,$D$6,$AE:$AE,$AE$6)))</f>
        <v/>
      </c>
      <c r="R165" s="36" t="str" cm="1">
        <f t="array" ref="R165">IF($A165="","",IF(L165="","",_xlfn.XLOOKUP($D165&amp;"_"&amp;$AE165,符文权重!$A:$A&amp;"_"&amp;符文权重!$C:$C,符文权重!$D:$D)*$Y165/SUMIFS($Y:$Y,L:L,L165,$D:$D,$D$6,$AE:$AE,$AE$6)))</f>
        <v/>
      </c>
      <c r="S165" s="36"/>
      <c r="T165" s="36"/>
      <c r="U165" s="36"/>
      <c r="W165" s="41"/>
      <c r="X165" s="35"/>
      <c r="Y165" s="42"/>
      <c r="Z165" s="35"/>
      <c r="AA165" s="42" t="s">
        <v>178</v>
      </c>
      <c r="AB165" s="42" t="str">
        <f t="shared" si="63"/>
        <v/>
      </c>
      <c r="AC165" s="48" t="str">
        <f t="shared" si="72"/>
        <v/>
      </c>
      <c r="AD165" s="42" t="str">
        <f t="shared" si="73"/>
        <v/>
      </c>
      <c r="AE165" s="36"/>
      <c r="AF165" s="36"/>
      <c r="AG165" s="36"/>
      <c r="AH165" s="35" t="s">
        <v>178</v>
      </c>
      <c r="AI165" s="33"/>
      <c r="AJ165" s="56"/>
      <c r="AK165" s="36"/>
      <c r="AL165" s="36"/>
    </row>
    <row r="166" s="27" customFormat="1" hidden="1" customHeight="1" spans="1:38">
      <c r="A166" s="57">
        <v>5502031</v>
      </c>
      <c r="B166" s="58" t="s">
        <v>342</v>
      </c>
      <c r="C166" s="57" t="str">
        <f t="shared" si="69"/>
        <v>5502031</v>
      </c>
      <c r="D166" s="59">
        <f t="shared" si="70"/>
        <v>1</v>
      </c>
      <c r="E166" s="59"/>
      <c r="F166" s="60" t="s">
        <v>343</v>
      </c>
      <c r="G166" s="36" t="str">
        <f t="shared" si="66"/>
        <v/>
      </c>
      <c r="H166" s="36">
        <f>IFERROR(IF(--MID($F166,2*COUNTIF($G166:G166,"&gt;"&amp;0)+2,1)=H$1,H$1,""),"")</f>
        <v>2</v>
      </c>
      <c r="I166" s="36" t="str">
        <f>IFERROR(IF(--MID($F166,2*COUNTIF($G166:H166,"&gt;"&amp;0)+2,1)=I$1,I$1,""),"")</f>
        <v/>
      </c>
      <c r="J166" s="36" t="str">
        <f>IFERROR(IF(--MID($F166,2*COUNTIF($G166:I166,"&gt;"&amp;0)+2,1)=J$1,J$1,""),"")</f>
        <v/>
      </c>
      <c r="K166" s="36">
        <f>IFERROR(IF(--MID($F166,2*COUNTIF($G166:J166,"&gt;"&amp;0)+2,1)=K$1,K$1,""),"")</f>
        <v>5</v>
      </c>
      <c r="L166" s="36" t="str">
        <f>IFERROR(IF(--MID($F166,2*COUNTIF($G166:K166,"&gt;"&amp;0)+2,1)=L$1,L$1,""),"")</f>
        <v/>
      </c>
      <c r="M166" s="36" t="e" cm="1">
        <f t="array" ref="M166">IF(A166="","",_xlfn.XLOOKUP(D166&amp;"_"&amp;AE166,符文权重!A:A&amp;"_"&amp;符文权重!C:C,符文权重!D:D))</f>
        <v>#N/A</v>
      </c>
      <c r="N166" s="36"/>
      <c r="O166" s="36"/>
      <c r="P166" s="36"/>
      <c r="Q166" s="36"/>
      <c r="R166" s="36"/>
      <c r="S166" s="60" t="s">
        <v>344</v>
      </c>
      <c r="T166" s="60"/>
      <c r="U166" s="60" t="e">
        <f>IF(C166="","",SUBSTITUTE(SUBSTITUTE("[{global_atk,"&amp;#REF!*D166&amp;"}]",21,20),9,8))</f>
        <v>#REF!</v>
      </c>
      <c r="V166" s="61" t="str">
        <f t="shared" ref="V166:V172" si="82">"["&amp;A166&amp;"]"</f>
        <v>[5502031]</v>
      </c>
      <c r="W166" s="60"/>
      <c r="X166" s="28"/>
      <c r="Y166" s="42">
        <v>100</v>
      </c>
      <c r="Z166" s="28"/>
      <c r="AA166" s="59" t="s">
        <v>177</v>
      </c>
      <c r="AB166" s="42" t="str">
        <f t="shared" si="63"/>
        <v>梦灵可免疫&lt;color=#54b76b&gt;0&lt;/color&gt;次伤害</v>
      </c>
      <c r="AC166" s="57" t="str">
        <f t="shared" si="72"/>
        <v>5502031</v>
      </c>
      <c r="AD166" s="59" t="str">
        <f t="shared" si="73"/>
        <v>[0]</v>
      </c>
      <c r="AE166" s="60">
        <v>100</v>
      </c>
      <c r="AF166" s="60"/>
      <c r="AG166" s="60">
        <v>1</v>
      </c>
      <c r="AH166" s="35" t="s">
        <v>178</v>
      </c>
      <c r="AI166" s="62">
        <v>5502031</v>
      </c>
      <c r="AJ166" s="63" t="s">
        <v>342</v>
      </c>
      <c r="AK166" s="60">
        <v>0</v>
      </c>
      <c r="AL166" s="36"/>
    </row>
    <row r="167" s="25" customFormat="1" hidden="1" customHeight="1" spans="1:38">
      <c r="A167" s="48">
        <v>5502032</v>
      </c>
      <c r="B167" s="34" t="s">
        <v>342</v>
      </c>
      <c r="C167" s="48" t="str">
        <f t="shared" si="69"/>
        <v>5502031</v>
      </c>
      <c r="D167" s="42">
        <f t="shared" si="70"/>
        <v>2</v>
      </c>
      <c r="E167" s="42"/>
      <c r="F167" s="36" t="s">
        <v>343</v>
      </c>
      <c r="G167" s="36" t="str">
        <f t="shared" si="66"/>
        <v/>
      </c>
      <c r="H167" s="36">
        <f>IFERROR(IF(--MID($F167,2*COUNTIF($G167:G167,"&gt;"&amp;0)+2,1)=H$1,H$1,""),"")</f>
        <v>2</v>
      </c>
      <c r="I167" s="36" t="str">
        <f>IFERROR(IF(--MID($F167,2*COUNTIF($G167:H167,"&gt;"&amp;0)+2,1)=I$1,I$1,""),"")</f>
        <v/>
      </c>
      <c r="J167" s="36" t="str">
        <f>IFERROR(IF(--MID($F167,2*COUNTIF($G167:I167,"&gt;"&amp;0)+2,1)=J$1,J$1,""),"")</f>
        <v/>
      </c>
      <c r="K167" s="36">
        <f>IFERROR(IF(--MID($F167,2*COUNTIF($G167:J167,"&gt;"&amp;0)+2,1)=K$1,K$1,""),"")</f>
        <v>5</v>
      </c>
      <c r="L167" s="36" t="str">
        <f>IFERROR(IF(--MID($F167,2*COUNTIF($G167:K167,"&gt;"&amp;0)+2,1)=L$1,L$1,""),"")</f>
        <v/>
      </c>
      <c r="M167" s="51" t="str" cm="1">
        <f t="array" ref="M167">IF($A167="","",IF(G167="","",_xlfn.XLOOKUP($D167&amp;"_"&amp;$AE167,符文权重!$A:$A&amp;"_"&amp;符文权重!$C:$C,符文权重!$D:$D)*$Y167/SUMIFS($Y:$Y,G:G,G167,$D:$D,$D167,$AE:$AE,$AE167)/SUMIF(符文权重!$A:$A,$D167,符文权重!$D:$D)))</f>
        <v/>
      </c>
      <c r="N167" s="51" cm="1">
        <f t="array" ref="N167">IF($A167="","",IF(H167="","",_xlfn.XLOOKUP($D167&amp;"_"&amp;$AE167,符文权重!$A:$A&amp;"_"&amp;符文权重!$C:$C,符文权重!$D:$D)*$Y167/SUMIFS($Y:$Y,H:H,H167,$D:$D,$D167,$AE:$AE,$AE167)/SUMIF(符文权重!$A:$A,$D167,符文权重!$D:$D)))</f>
        <v>0.11</v>
      </c>
      <c r="O167" s="51" t="str" cm="1">
        <f t="array" ref="O167">IF($A167="","",IF(I167="","",_xlfn.XLOOKUP($D167&amp;"_"&amp;$AE167,符文权重!$A:$A&amp;"_"&amp;符文权重!$C:$C,符文权重!$D:$D)*$Y167/SUMIFS($Y:$Y,I:I,I167,$D:$D,$D167,$AE:$AE,$AE167)/SUMIF(符文权重!$A:$A,$D167,符文权重!$D:$D)))</f>
        <v/>
      </c>
      <c r="P167" s="51" t="str" cm="1">
        <f t="array" ref="P167">IF($A167="","",IF(J167="","",_xlfn.XLOOKUP($D167&amp;"_"&amp;$AE167,符文权重!$A:$A&amp;"_"&amp;符文权重!$C:$C,符文权重!$D:$D)*$Y167/SUMIFS($Y:$Y,J:J,J167,$D:$D,$D167,$AE:$AE,$AE167)/SUMIF(符文权重!$A:$A,$D167,符文权重!$D:$D)))</f>
        <v/>
      </c>
      <c r="Q167" s="51" cm="1">
        <f t="array" ref="Q167">IF($A167="","",IF(K167="","",_xlfn.XLOOKUP($D167&amp;"_"&amp;$AE167,符文权重!$A:$A&amp;"_"&amp;符文权重!$C:$C,符文权重!$D:$D)*$Y167/SUMIFS($Y:$Y,K:K,K167,$D:$D,$D167,$AE:$AE,$AE167)/SUMIF(符文权重!$A:$A,$D167,符文权重!$D:$D)))</f>
        <v>0.1</v>
      </c>
      <c r="R167" s="51" t="str" cm="1">
        <f t="array" ref="R167">IF($A167="","",IF(L167="","",_xlfn.XLOOKUP($D167&amp;"_"&amp;$AE167,符文权重!$A:$A&amp;"_"&amp;符文权重!$C:$C,符文权重!$D:$D)*$Y167/SUMIFS($Y:$Y,L:L,L167,$D:$D,$D167,$AE:$AE,$AE167)/SUMIF(符文权重!$A:$A,$D167,符文权重!$D:$D)))</f>
        <v/>
      </c>
      <c r="S167" s="36" t="s">
        <v>344</v>
      </c>
      <c r="T167" s="36"/>
      <c r="U167" s="36" t="e">
        <f>IF(C167="","",SUBSTITUTE(SUBSTITUTE("[{global_atk,"&amp;#REF!*D167&amp;"}]",21,20),9,8))</f>
        <v>#REF!</v>
      </c>
      <c r="V167" s="52" t="str">
        <f t="shared" si="82"/>
        <v>[5502032]</v>
      </c>
      <c r="W167" s="36"/>
      <c r="X167" s="35"/>
      <c r="Y167" s="42">
        <v>100</v>
      </c>
      <c r="Z167" s="35"/>
      <c r="AA167" s="42" t="s">
        <v>181</v>
      </c>
      <c r="AB167" s="42" t="str">
        <f t="shared" si="63"/>
        <v>梦灵可免疫&lt;color=#54b76b&gt;1&lt;/color&gt;次伤害</v>
      </c>
      <c r="AC167" s="48" t="str">
        <f t="shared" si="72"/>
        <v>5502031</v>
      </c>
      <c r="AD167" s="42" t="str">
        <f t="shared" si="73"/>
        <v>[1]</v>
      </c>
      <c r="AE167" s="36">
        <v>2</v>
      </c>
      <c r="AF167" s="36"/>
      <c r="AG167" s="36">
        <v>0</v>
      </c>
      <c r="AH167" s="35" t="s">
        <v>178</v>
      </c>
      <c r="AI167" s="48">
        <f t="shared" ref="AI167:AI172" si="83">AI166+1</f>
        <v>5502032</v>
      </c>
      <c r="AJ167" s="53" t="str">
        <f t="shared" ref="AJ167:AJ172" si="84">AJ166</f>
        <v>梦灵可免疫&lt;color=#54b76b&gt;%s&lt;/color&gt;次伤害</v>
      </c>
      <c r="AK167" s="36">
        <v>1</v>
      </c>
      <c r="AL167" s="36">
        <v>2</v>
      </c>
    </row>
    <row r="168" s="25" customFormat="1" hidden="1" customHeight="1" spans="1:38">
      <c r="A168" s="48">
        <v>5502033</v>
      </c>
      <c r="B168" s="34" t="s">
        <v>342</v>
      </c>
      <c r="C168" s="48" t="str">
        <f t="shared" si="69"/>
        <v>5502031</v>
      </c>
      <c r="D168" s="42">
        <f t="shared" si="70"/>
        <v>3</v>
      </c>
      <c r="E168" s="42"/>
      <c r="F168" s="36" t="s">
        <v>343</v>
      </c>
      <c r="G168" s="36" t="str">
        <f t="shared" si="66"/>
        <v/>
      </c>
      <c r="H168" s="36">
        <f>IFERROR(IF(--MID($F168,2*COUNTIF($G168:G168,"&gt;"&amp;0)+2,1)=H$1,H$1,""),"")</f>
        <v>2</v>
      </c>
      <c r="I168" s="36" t="str">
        <f>IFERROR(IF(--MID($F168,2*COUNTIF($G168:H168,"&gt;"&amp;0)+2,1)=I$1,I$1,""),"")</f>
        <v/>
      </c>
      <c r="J168" s="36" t="str">
        <f>IFERROR(IF(--MID($F168,2*COUNTIF($G168:I168,"&gt;"&amp;0)+2,1)=J$1,J$1,""),"")</f>
        <v/>
      </c>
      <c r="K168" s="36">
        <f>IFERROR(IF(--MID($F168,2*COUNTIF($G168:J168,"&gt;"&amp;0)+2,1)=K$1,K$1,""),"")</f>
        <v>5</v>
      </c>
      <c r="L168" s="36" t="str">
        <f>IFERROR(IF(--MID($F168,2*COUNTIF($G168:K168,"&gt;"&amp;0)+2,1)=L$1,L$1,""),"")</f>
        <v/>
      </c>
      <c r="M168" s="51" t="str" cm="1">
        <f t="array" ref="M168">IF($A168="","",IF(G168="","",_xlfn.XLOOKUP($D168&amp;"_"&amp;$AE168,符文权重!$A:$A&amp;"_"&amp;符文权重!$C:$C,符文权重!$D:$D)*$Y168/SUMIFS($Y:$Y,G:G,G168,$D:$D,$D168,$AE:$AE,$AE168)/SUMIF(符文权重!$A:$A,$D168,符文权重!$D:$D)))</f>
        <v/>
      </c>
      <c r="N168" s="66" cm="1">
        <f t="array" ref="N168">IF($A168="","",IF(H168="","",_xlfn.XLOOKUP($D168&amp;"_"&amp;$AE168,符文权重!$A:$A&amp;"_"&amp;符文权重!$C:$C,符文权重!$D:$D)*$Y168/SUMIFS($Y:$Y,H:H,H168,$D:$D,$D168,$AE:$AE,$AE168)/SUMIF(符文权重!$A:$A,$D168,符文权重!$D:$D)))</f>
        <v>0.0166666666666667</v>
      </c>
      <c r="O168" s="66" t="str" cm="1">
        <f t="array" ref="O168">IF($A168="","",IF(I168="","",_xlfn.XLOOKUP($D168&amp;"_"&amp;$AE168,符文权重!$A:$A&amp;"_"&amp;符文权重!$C:$C,符文权重!$D:$D)*$Y168/SUMIFS($Y:$Y,I:I,I168,$D:$D,$D168,$AE:$AE,$AE168)/SUMIF(符文权重!$A:$A,$D168,符文权重!$D:$D)))</f>
        <v/>
      </c>
      <c r="P168" s="66" t="str" cm="1">
        <f t="array" ref="P168">IF($A168="","",IF(J168="","",_xlfn.XLOOKUP($D168&amp;"_"&amp;$AE168,符文权重!$A:$A&amp;"_"&amp;符文权重!$C:$C,符文权重!$D:$D)*$Y168/SUMIFS($Y:$Y,J:J,J168,$D:$D,$D168,$AE:$AE,$AE168)/SUMIF(符文权重!$A:$A,$D168,符文权重!$D:$D)))</f>
        <v/>
      </c>
      <c r="Q168" s="66" cm="1">
        <f t="array" ref="Q168">IF($A168="","",IF(K168="","",_xlfn.XLOOKUP($D168&amp;"_"&amp;$AE168,符文权重!$A:$A&amp;"_"&amp;符文权重!$C:$C,符文权重!$D:$D)*$Y168/SUMIFS($Y:$Y,K:K,K168,$D:$D,$D168,$AE:$AE,$AE168)/SUMIF(符文权重!$A:$A,$D168,符文权重!$D:$D)))</f>
        <v>0.0125</v>
      </c>
      <c r="R168" s="51" t="str" cm="1">
        <f t="array" ref="R168">IF($A168="","",IF(L168="","",_xlfn.XLOOKUP($D168&amp;"_"&amp;$AE168,符文权重!$A:$A&amp;"_"&amp;符文权重!$C:$C,符文权重!$D:$D)*$Y168/SUMIFS($Y:$Y,L:L,L168,$D:$D,$D168,$AE:$AE,$AE168)/SUMIF(符文权重!$A:$A,$D168,符文权重!$D:$D)))</f>
        <v/>
      </c>
      <c r="S168" s="36" t="s">
        <v>344</v>
      </c>
      <c r="T168" s="36"/>
      <c r="U168" s="36" t="e">
        <f>IF(C168="","",SUBSTITUTE(SUBSTITUTE("[{global_atk,"&amp;#REF!*D168&amp;"}]",21,20),9,8))</f>
        <v>#REF!</v>
      </c>
      <c r="V168" s="52" t="str">
        <f t="shared" si="82"/>
        <v>[5502033]</v>
      </c>
      <c r="W168" s="36"/>
      <c r="X168" s="35"/>
      <c r="Y168" s="42">
        <v>100</v>
      </c>
      <c r="Z168" s="35"/>
      <c r="AA168" s="42" t="s">
        <v>183</v>
      </c>
      <c r="AB168" s="42" t="str">
        <f t="shared" si="63"/>
        <v>梦灵可免疫&lt;color=#54b76b&gt;3&lt;/color&gt;次伤害</v>
      </c>
      <c r="AC168" s="48" t="str">
        <f t="shared" si="72"/>
        <v>5502031</v>
      </c>
      <c r="AD168" s="42" t="str">
        <f t="shared" si="73"/>
        <v>[3]</v>
      </c>
      <c r="AE168" s="36">
        <v>4</v>
      </c>
      <c r="AF168" s="36"/>
      <c r="AG168" s="36">
        <v>0</v>
      </c>
      <c r="AH168" s="35" t="s">
        <v>178</v>
      </c>
      <c r="AI168" s="48">
        <f t="shared" si="83"/>
        <v>5502033</v>
      </c>
      <c r="AJ168" s="53" t="str">
        <f t="shared" si="84"/>
        <v>梦灵可免疫&lt;color=#54b76b&gt;%s&lt;/color&gt;次伤害</v>
      </c>
      <c r="AK168" s="36">
        <v>3</v>
      </c>
      <c r="AL168" s="36">
        <v>3</v>
      </c>
    </row>
    <row r="169" s="25" customFormat="1" hidden="1" customHeight="1" spans="1:38">
      <c r="A169" s="48">
        <v>5502034</v>
      </c>
      <c r="B169" s="34" t="s">
        <v>342</v>
      </c>
      <c r="C169" s="48" t="str">
        <f t="shared" si="69"/>
        <v>5502031</v>
      </c>
      <c r="D169" s="42">
        <f t="shared" si="70"/>
        <v>4</v>
      </c>
      <c r="E169" s="42"/>
      <c r="F169" s="36" t="s">
        <v>343</v>
      </c>
      <c r="G169" s="36" t="str">
        <f t="shared" si="66"/>
        <v/>
      </c>
      <c r="H169" s="36">
        <f>IFERROR(IF(--MID($F169,2*COUNTIF($G169:G169,"&gt;"&amp;0)+2,1)=H$1,H$1,""),"")</f>
        <v>2</v>
      </c>
      <c r="I169" s="36" t="str">
        <f>IFERROR(IF(--MID($F169,2*COUNTIF($G169:H169,"&gt;"&amp;0)+2,1)=I$1,I$1,""),"")</f>
        <v/>
      </c>
      <c r="J169" s="36" t="str">
        <f>IFERROR(IF(--MID($F169,2*COUNTIF($G169:I169,"&gt;"&amp;0)+2,1)=J$1,J$1,""),"")</f>
        <v/>
      </c>
      <c r="K169" s="36">
        <f>IFERROR(IF(--MID($F169,2*COUNTIF($G169:J169,"&gt;"&amp;0)+2,1)=K$1,K$1,""),"")</f>
        <v>5</v>
      </c>
      <c r="L169" s="36" t="str">
        <f>IFERROR(IF(--MID($F169,2*COUNTIF($G169:K169,"&gt;"&amp;0)+2,1)=L$1,L$1,""),"")</f>
        <v/>
      </c>
      <c r="M169" s="51" t="str" cm="1">
        <f t="array" ref="M169">IF($A169="","",IF(G169="","",_xlfn.XLOOKUP($D169&amp;"_"&amp;$AE169,符文权重!$A:$A&amp;"_"&amp;符文权重!$C:$C,符文权重!$D:$D)*$Y169/SUMIFS($Y:$Y,G:G,G169,$D:$D,$D169,$AE:$AE,$AE169)/SUMIF(符文权重!$A:$A,$D169,符文权重!$D:$D)))</f>
        <v/>
      </c>
      <c r="N169" s="66" cm="1">
        <f t="array" ref="N169">IF($A169="","",IF(H169="","",_xlfn.XLOOKUP($D169&amp;"_"&amp;$AE169,符文权重!$A:$A&amp;"_"&amp;符文权重!$C:$C,符文权重!$D:$D)*$Y169/SUMIFS($Y:$Y,H:H,H169,$D:$D,$D169,$AE:$AE,$AE169)/SUMIF(符文权重!$A:$A,$D169,符文权重!$D:$D)))</f>
        <v>0.014867808985456</v>
      </c>
      <c r="O169" s="66" t="str" cm="1">
        <f t="array" ref="O169">IF($A169="","",IF(I169="","",_xlfn.XLOOKUP($D169&amp;"_"&amp;$AE169,符文权重!$A:$A&amp;"_"&amp;符文权重!$C:$C,符文权重!$D:$D)*$Y169/SUMIFS($Y:$Y,I:I,I169,$D:$D,$D169,$AE:$AE,$AE169)/SUMIF(符文权重!$A:$A,$D169,符文权重!$D:$D)))</f>
        <v/>
      </c>
      <c r="P169" s="66" t="str" cm="1">
        <f t="array" ref="P169">IF($A169="","",IF(J169="","",_xlfn.XLOOKUP($D169&amp;"_"&amp;$AE169,符文权重!$A:$A&amp;"_"&amp;符文权重!$C:$C,符文权重!$D:$D)*$Y169/SUMIFS($Y:$Y,J:J,J169,$D:$D,$D169,$AE:$AE,$AE169)/SUMIF(符文权重!$A:$A,$D169,符文权重!$D:$D)))</f>
        <v/>
      </c>
      <c r="Q169" s="66" cm="1">
        <f t="array" ref="Q169">IF($A169="","",IF(K169="","",_xlfn.XLOOKUP($D169&amp;"_"&amp;$AE169,符文权重!$A:$A&amp;"_"&amp;符文权重!$C:$C,符文权重!$D:$D)*$Y169/SUMIFS($Y:$Y,K:K,K169,$D:$D,$D169,$AE:$AE,$AE169)/SUMIF(符文权重!$A:$A,$D169,符文权重!$D:$D)))</f>
        <v>0.0114887614887615</v>
      </c>
      <c r="R169" s="51" t="str" cm="1">
        <f t="array" ref="R169">IF($A169="","",IF(L169="","",_xlfn.XLOOKUP($D169&amp;"_"&amp;$AE169,符文权重!$A:$A&amp;"_"&amp;符文权重!$C:$C,符文权重!$D:$D)*$Y169/SUMIFS($Y:$Y,L:L,L169,$D:$D,$D169,$AE:$AE,$AE169)/SUMIF(符文权重!$A:$A,$D169,符文权重!$D:$D)))</f>
        <v/>
      </c>
      <c r="S169" s="36" t="s">
        <v>344</v>
      </c>
      <c r="T169" s="36"/>
      <c r="U169" s="36" t="e">
        <f>IF(C169="","",SUBSTITUTE(SUBSTITUTE("[{global_atk,"&amp;#REF!*D169&amp;"}]",21,20),9,8))</f>
        <v>#REF!</v>
      </c>
      <c r="V169" s="52" t="str">
        <f t="shared" si="82"/>
        <v>[5502034]</v>
      </c>
      <c r="W169" s="36"/>
      <c r="X169" s="35"/>
      <c r="Y169" s="42">
        <v>100</v>
      </c>
      <c r="Z169" s="35"/>
      <c r="AA169" s="42" t="s">
        <v>185</v>
      </c>
      <c r="AB169" s="42" t="str">
        <f t="shared" si="63"/>
        <v>梦灵可免疫&lt;color=#54b76b&gt;5&lt;/color&gt;次伤害</v>
      </c>
      <c r="AC169" s="48" t="str">
        <f t="shared" si="72"/>
        <v>5502031</v>
      </c>
      <c r="AD169" s="42" t="str">
        <f t="shared" si="73"/>
        <v>[5]</v>
      </c>
      <c r="AE169" s="36">
        <v>4</v>
      </c>
      <c r="AF169" s="36"/>
      <c r="AG169" s="36">
        <v>0</v>
      </c>
      <c r="AH169" s="35" t="s">
        <v>178</v>
      </c>
      <c r="AI169" s="48">
        <f t="shared" si="83"/>
        <v>5502034</v>
      </c>
      <c r="AJ169" s="53" t="str">
        <f t="shared" si="84"/>
        <v>梦灵可免疫&lt;color=#54b76b&gt;%s&lt;/color&gt;次伤害</v>
      </c>
      <c r="AK169" s="36">
        <v>5</v>
      </c>
      <c r="AL169" s="36">
        <v>5</v>
      </c>
    </row>
    <row r="170" s="25" customFormat="1" hidden="1" customHeight="1" spans="1:38">
      <c r="A170" s="48">
        <v>5502035</v>
      </c>
      <c r="B170" s="34" t="s">
        <v>342</v>
      </c>
      <c r="C170" s="48" t="str">
        <f t="shared" si="69"/>
        <v>5502031</v>
      </c>
      <c r="D170" s="42">
        <f t="shared" si="70"/>
        <v>5</v>
      </c>
      <c r="E170" s="42"/>
      <c r="F170" s="36" t="s">
        <v>343</v>
      </c>
      <c r="G170" s="36" t="str">
        <f t="shared" si="66"/>
        <v/>
      </c>
      <c r="H170" s="36">
        <f>IFERROR(IF(--MID($F170,2*COUNTIF($G170:G170,"&gt;"&amp;0)+2,1)=H$1,H$1,""),"")</f>
        <v>2</v>
      </c>
      <c r="I170" s="36" t="str">
        <f>IFERROR(IF(--MID($F170,2*COUNTIF($G170:H170,"&gt;"&amp;0)+2,1)=I$1,I$1,""),"")</f>
        <v/>
      </c>
      <c r="J170" s="36" t="str">
        <f>IFERROR(IF(--MID($F170,2*COUNTIF($G170:I170,"&gt;"&amp;0)+2,1)=J$1,J$1,""),"")</f>
        <v/>
      </c>
      <c r="K170" s="36">
        <f>IFERROR(IF(--MID($F170,2*COUNTIF($G170:J170,"&gt;"&amp;0)+2,1)=K$1,K$1,""),"")</f>
        <v>5</v>
      </c>
      <c r="L170" s="36" t="str">
        <f>IFERROR(IF(--MID($F170,2*COUNTIF($G170:K170,"&gt;"&amp;0)+2,1)=L$1,L$1,""),"")</f>
        <v/>
      </c>
      <c r="M170" s="51" t="str" cm="1">
        <f t="array" ref="M170">IF($A170="","",IF(G170="","",_xlfn.XLOOKUP($D170&amp;"_"&amp;$AE170,符文权重!$A:$A&amp;"_"&amp;符文权重!$C:$C,符文权重!$D:$D)*$Y170/SUMIFS($Y:$Y,G:G,G170,$D:$D,$D170,$AE:$AE,$AE170)/SUMIF(符文权重!$A:$A,$D170,符文权重!$D:$D)))</f>
        <v/>
      </c>
      <c r="N170" s="66" cm="1">
        <f t="array" ref="N170">IF($A170="","",IF(H170="","",_xlfn.XLOOKUP($D170&amp;"_"&amp;$AE170,符文权重!$A:$A&amp;"_"&amp;符文权重!$C:$C,符文权重!$D:$D)*$Y170/SUMIFS($Y:$Y,H:H,H170,$D:$D,$D170,$AE:$AE,$AE170)/SUMIF(符文权重!$A:$A,$D170,符文权重!$D:$D)))</f>
        <v>0.00375</v>
      </c>
      <c r="O170" s="66" t="str" cm="1">
        <f t="array" ref="O170">IF($A170="","",IF(I170="","",_xlfn.XLOOKUP($D170&amp;"_"&amp;$AE170,符文权重!$A:$A&amp;"_"&amp;符文权重!$C:$C,符文权重!$D:$D)*$Y170/SUMIFS($Y:$Y,I:I,I170,$D:$D,$D170,$AE:$AE,$AE170)/SUMIF(符文权重!$A:$A,$D170,符文权重!$D:$D)))</f>
        <v/>
      </c>
      <c r="P170" s="66" t="str" cm="1">
        <f t="array" ref="P170">IF($A170="","",IF(J170="","",_xlfn.XLOOKUP($D170&amp;"_"&amp;$AE170,符文权重!$A:$A&amp;"_"&amp;符文权重!$C:$C,符文权重!$D:$D)*$Y170/SUMIFS($Y:$Y,J:J,J170,$D:$D,$D170,$AE:$AE,$AE170)/SUMIF(符文权重!$A:$A,$D170,符文权重!$D:$D)))</f>
        <v/>
      </c>
      <c r="Q170" s="66" cm="1">
        <f t="array" ref="Q170">IF($A170="","",IF(K170="","",_xlfn.XLOOKUP($D170&amp;"_"&amp;$AE170,符文权重!$A:$A&amp;"_"&amp;符文权重!$C:$C,符文权重!$D:$D)*$Y170/SUMIFS($Y:$Y,K:K,K170,$D:$D,$D170,$AE:$AE,$AE170)/SUMIF(符文权重!$A:$A,$D170,符文权重!$D:$D)))</f>
        <v>0.00375</v>
      </c>
      <c r="R170" s="51" t="str" cm="1">
        <f t="array" ref="R170">IF($A170="","",IF(L170="","",_xlfn.XLOOKUP($D170&amp;"_"&amp;$AE170,符文权重!$A:$A&amp;"_"&amp;符文权重!$C:$C,符文权重!$D:$D)*$Y170/SUMIFS($Y:$Y,L:L,L170,$D:$D,$D170,$AE:$AE,$AE170)/SUMIF(符文权重!$A:$A,$D170,符文权重!$D:$D)))</f>
        <v/>
      </c>
      <c r="S170" s="36" t="s">
        <v>344</v>
      </c>
      <c r="T170" s="36"/>
      <c r="U170" s="36" t="e">
        <f>IF(C170="","",SUBSTITUTE(SUBSTITUTE("[{global_atk,"&amp;#REF!*D170&amp;"}]",21,20),9,8))</f>
        <v>#REF!</v>
      </c>
      <c r="V170" s="52" t="str">
        <f t="shared" si="82"/>
        <v>[5502035]</v>
      </c>
      <c r="W170" s="36"/>
      <c r="X170" s="35"/>
      <c r="Y170" s="42">
        <v>100</v>
      </c>
      <c r="Z170" s="35"/>
      <c r="AA170" s="42" t="s">
        <v>187</v>
      </c>
      <c r="AB170" s="42" t="str">
        <f t="shared" si="63"/>
        <v>梦灵可免疫&lt;color=#54b76b&gt;6&lt;/color&gt;次伤害</v>
      </c>
      <c r="AC170" s="48" t="str">
        <f t="shared" si="72"/>
        <v>5502031</v>
      </c>
      <c r="AD170" s="42" t="str">
        <f t="shared" si="73"/>
        <v>[6]</v>
      </c>
      <c r="AE170" s="36">
        <v>5</v>
      </c>
      <c r="AF170" s="36"/>
      <c r="AG170" s="36">
        <v>0</v>
      </c>
      <c r="AH170" s="35" t="s">
        <v>178</v>
      </c>
      <c r="AI170" s="48">
        <f t="shared" si="83"/>
        <v>5502035</v>
      </c>
      <c r="AJ170" s="53" t="str">
        <f t="shared" si="84"/>
        <v>梦灵可免疫&lt;color=#54b76b&gt;%s&lt;/color&gt;次伤害</v>
      </c>
      <c r="AK170" s="36">
        <v>6</v>
      </c>
      <c r="AL170" s="36">
        <v>5</v>
      </c>
    </row>
    <row r="171" s="25" customFormat="1" hidden="1" customHeight="1" spans="1:38">
      <c r="A171" s="48">
        <v>5502036</v>
      </c>
      <c r="B171" s="34" t="s">
        <v>342</v>
      </c>
      <c r="C171" s="48" t="str">
        <f t="shared" si="69"/>
        <v>5502031</v>
      </c>
      <c r="D171" s="42">
        <f t="shared" si="70"/>
        <v>6</v>
      </c>
      <c r="E171" s="42"/>
      <c r="F171" s="36" t="s">
        <v>343</v>
      </c>
      <c r="G171" s="36" t="str">
        <f t="shared" si="66"/>
        <v/>
      </c>
      <c r="H171" s="36">
        <f>IFERROR(IF(--MID($F171,2*COUNTIF($G171:G171,"&gt;"&amp;0)+2,1)=H$1,H$1,""),"")</f>
        <v>2</v>
      </c>
      <c r="I171" s="36" t="str">
        <f>IFERROR(IF(--MID($F171,2*COUNTIF($G171:H171,"&gt;"&amp;0)+2,1)=I$1,I$1,""),"")</f>
        <v/>
      </c>
      <c r="J171" s="36" t="str">
        <f>IFERROR(IF(--MID($F171,2*COUNTIF($G171:I171,"&gt;"&amp;0)+2,1)=J$1,J$1,""),"")</f>
        <v/>
      </c>
      <c r="K171" s="36">
        <f>IFERROR(IF(--MID($F171,2*COUNTIF($G171:J171,"&gt;"&amp;0)+2,1)=K$1,K$1,""),"")</f>
        <v>5</v>
      </c>
      <c r="L171" s="36" t="str">
        <f>IFERROR(IF(--MID($F171,2*COUNTIF($G171:K171,"&gt;"&amp;0)+2,1)=L$1,L$1,""),"")</f>
        <v/>
      </c>
      <c r="M171" s="51" t="str" cm="1">
        <f t="array" ref="M171">IF($A171="","",IF(G171="","",_xlfn.XLOOKUP($D171&amp;"_"&amp;$AE171,符文权重!$A:$A&amp;"_"&amp;符文权重!$C:$C,符文权重!$D:$D)*$Y171/SUMIFS($Y:$Y,G:G,G171,$D:$D,$D171,$AE:$AE,$AE171)/SUMIF(符文权重!$A:$A,$D171,符文权重!$D:$D)))</f>
        <v/>
      </c>
      <c r="N171" s="66" cm="1">
        <f t="array" ref="N171">IF($A171="","",IF(H171="","",_xlfn.XLOOKUP($D171&amp;"_"&amp;$AE171,符文权重!$A:$A&amp;"_"&amp;符文权重!$C:$C,符文权重!$D:$D)*$Y171/SUMIFS($Y:$Y,H:H,H171,$D:$D,$D171,$AE:$AE,$AE171)/SUMIF(符文权重!$A:$A,$D171,符文权重!$D:$D)))</f>
        <v>0.00375</v>
      </c>
      <c r="O171" s="66" t="str" cm="1">
        <f t="array" ref="O171">IF($A171="","",IF(I171="","",_xlfn.XLOOKUP($D171&amp;"_"&amp;$AE171,符文权重!$A:$A&amp;"_"&amp;符文权重!$C:$C,符文权重!$D:$D)*$Y171/SUMIFS($Y:$Y,I:I,I171,$D:$D,$D171,$AE:$AE,$AE171)/SUMIF(符文权重!$A:$A,$D171,符文权重!$D:$D)))</f>
        <v/>
      </c>
      <c r="P171" s="66" t="str" cm="1">
        <f t="array" ref="P171">IF($A171="","",IF(J171="","",_xlfn.XLOOKUP($D171&amp;"_"&amp;$AE171,符文权重!$A:$A&amp;"_"&amp;符文权重!$C:$C,符文权重!$D:$D)*$Y171/SUMIFS($Y:$Y,J:J,J171,$D:$D,$D171,$AE:$AE,$AE171)/SUMIF(符文权重!$A:$A,$D171,符文权重!$D:$D)))</f>
        <v/>
      </c>
      <c r="Q171" s="66" cm="1">
        <f t="array" ref="Q171">IF($A171="","",IF(K171="","",_xlfn.XLOOKUP($D171&amp;"_"&amp;$AE171,符文权重!$A:$A&amp;"_"&amp;符文权重!$C:$C,符文权重!$D:$D)*$Y171/SUMIFS($Y:$Y,K:K,K171,$D:$D,$D171,$AE:$AE,$AE171)/SUMIF(符文权重!$A:$A,$D171,符文权重!$D:$D)))</f>
        <v>0.00375</v>
      </c>
      <c r="R171" s="51" t="str" cm="1">
        <f t="array" ref="R171">IF($A171="","",IF(L171="","",_xlfn.XLOOKUP($D171&amp;"_"&amp;$AE171,符文权重!$A:$A&amp;"_"&amp;符文权重!$C:$C,符文权重!$D:$D)*$Y171/SUMIFS($Y:$Y,L:L,L171,$D:$D,$D171,$AE:$AE,$AE171)/SUMIF(符文权重!$A:$A,$D171,符文权重!$D:$D)))</f>
        <v/>
      </c>
      <c r="S171" s="36" t="s">
        <v>344</v>
      </c>
      <c r="T171" s="36"/>
      <c r="U171" s="36" t="e">
        <f>IF(C171="","",SUBSTITUTE(SUBSTITUTE("[{global_atk,"&amp;#REF!*D171&amp;"}]",21,20),9,8))</f>
        <v>#REF!</v>
      </c>
      <c r="V171" s="52" t="str">
        <f t="shared" si="82"/>
        <v>[5502036]</v>
      </c>
      <c r="W171" s="36"/>
      <c r="X171" s="35"/>
      <c r="Y171" s="42">
        <v>100</v>
      </c>
      <c r="Z171" s="35"/>
      <c r="AA171" s="42" t="s">
        <v>189</v>
      </c>
      <c r="AB171" s="42" t="str">
        <f t="shared" si="63"/>
        <v>梦灵可免疫&lt;color=#54b76b&gt;7&lt;/color&gt;次伤害</v>
      </c>
      <c r="AC171" s="48" t="str">
        <f t="shared" si="72"/>
        <v>5502031</v>
      </c>
      <c r="AD171" s="42" t="str">
        <f t="shared" si="73"/>
        <v>[7]</v>
      </c>
      <c r="AE171" s="36">
        <v>5</v>
      </c>
      <c r="AF171" s="36"/>
      <c r="AG171" s="36">
        <v>0</v>
      </c>
      <c r="AH171" s="35" t="s">
        <v>178</v>
      </c>
      <c r="AI171" s="48">
        <f t="shared" si="83"/>
        <v>5502036</v>
      </c>
      <c r="AJ171" s="53" t="str">
        <f t="shared" si="84"/>
        <v>梦灵可免疫&lt;color=#54b76b&gt;%s&lt;/color&gt;次伤害</v>
      </c>
      <c r="AK171" s="36">
        <v>7</v>
      </c>
      <c r="AL171" s="36">
        <v>5</v>
      </c>
    </row>
    <row r="172" s="25" customFormat="1" hidden="1" customHeight="1" spans="1:38">
      <c r="A172" s="48">
        <v>5502037</v>
      </c>
      <c r="B172" s="34" t="s">
        <v>342</v>
      </c>
      <c r="C172" s="48" t="str">
        <f t="shared" si="69"/>
        <v>5502031</v>
      </c>
      <c r="D172" s="42">
        <f t="shared" si="70"/>
        <v>7</v>
      </c>
      <c r="E172" s="42"/>
      <c r="F172" s="36" t="s">
        <v>343</v>
      </c>
      <c r="G172" s="36" t="str">
        <f t="shared" si="66"/>
        <v/>
      </c>
      <c r="H172" s="36">
        <f>IFERROR(IF(--MID($F172,2*COUNTIF($G172:G172,"&gt;"&amp;0)+2,1)=H$1,H$1,""),"")</f>
        <v>2</v>
      </c>
      <c r="I172" s="36" t="str">
        <f>IFERROR(IF(--MID($F172,2*COUNTIF($G172:H172,"&gt;"&amp;0)+2,1)=I$1,I$1,""),"")</f>
        <v/>
      </c>
      <c r="J172" s="36" t="str">
        <f>IFERROR(IF(--MID($F172,2*COUNTIF($G172:I172,"&gt;"&amp;0)+2,1)=J$1,J$1,""),"")</f>
        <v/>
      </c>
      <c r="K172" s="36">
        <f>IFERROR(IF(--MID($F172,2*COUNTIF($G172:J172,"&gt;"&amp;0)+2,1)=K$1,K$1,""),"")</f>
        <v>5</v>
      </c>
      <c r="L172" s="36" t="str">
        <f>IFERROR(IF(--MID($F172,2*COUNTIF($G172:K172,"&gt;"&amp;0)+2,1)=L$1,L$1,""),"")</f>
        <v/>
      </c>
      <c r="M172" s="51" t="str" cm="1">
        <f t="array" ref="M172">IF($A172="","",IF(G172="","",_xlfn.XLOOKUP($D172&amp;"_"&amp;$AE172,符文权重!$A:$A&amp;"_"&amp;符文权重!$C:$C,符文权重!$D:$D)*$Y172/SUMIFS($Y:$Y,G:G,G172,$D:$D,$D172,$AE:$AE,$AE172)/SUMIF(符文权重!$A:$A,$D172,符文权重!$D:$D)))</f>
        <v/>
      </c>
      <c r="N172" s="66" cm="1">
        <f t="array" ref="N172">IF($A172="","",IF(H172="","",_xlfn.XLOOKUP($D172&amp;"_"&amp;$AE172,符文权重!$A:$A&amp;"_"&amp;符文权重!$C:$C,符文权重!$D:$D)*$Y172/SUMIFS($Y:$Y,H:H,H172,$D:$D,$D172,$AE:$AE,$AE172)/SUMIF(符文权重!$A:$A,$D172,符文权重!$D:$D)))</f>
        <v>0.00375</v>
      </c>
      <c r="O172" s="66" t="str" cm="1">
        <f t="array" ref="O172">IF($A172="","",IF(I172="","",_xlfn.XLOOKUP($D172&amp;"_"&amp;$AE172,符文权重!$A:$A&amp;"_"&amp;符文权重!$C:$C,符文权重!$D:$D)*$Y172/SUMIFS($Y:$Y,I:I,I172,$D:$D,$D172,$AE:$AE,$AE172)/SUMIF(符文权重!$A:$A,$D172,符文权重!$D:$D)))</f>
        <v/>
      </c>
      <c r="P172" s="66" t="str" cm="1">
        <f t="array" ref="P172">IF($A172="","",IF(J172="","",_xlfn.XLOOKUP($D172&amp;"_"&amp;$AE172,符文权重!$A:$A&amp;"_"&amp;符文权重!$C:$C,符文权重!$D:$D)*$Y172/SUMIFS($Y:$Y,J:J,J172,$D:$D,$D172,$AE:$AE,$AE172)/SUMIF(符文权重!$A:$A,$D172,符文权重!$D:$D)))</f>
        <v/>
      </c>
      <c r="Q172" s="66" cm="1">
        <f t="array" ref="Q172">IF($A172="","",IF(K172="","",_xlfn.XLOOKUP($D172&amp;"_"&amp;$AE172,符文权重!$A:$A&amp;"_"&amp;符文权重!$C:$C,符文权重!$D:$D)*$Y172/SUMIFS($Y:$Y,K:K,K172,$D:$D,$D172,$AE:$AE,$AE172)/SUMIF(符文权重!$A:$A,$D172,符文权重!$D:$D)))</f>
        <v>0.00375</v>
      </c>
      <c r="R172" s="51" t="str" cm="1">
        <f t="array" ref="R172">IF($A172="","",IF(L172="","",_xlfn.XLOOKUP($D172&amp;"_"&amp;$AE172,符文权重!$A:$A&amp;"_"&amp;符文权重!$C:$C,符文权重!$D:$D)*$Y172/SUMIFS($Y:$Y,L:L,L172,$D:$D,$D172,$AE:$AE,$AE172)/SUMIF(符文权重!$A:$A,$D172,符文权重!$D:$D)))</f>
        <v/>
      </c>
      <c r="S172" s="36" t="s">
        <v>344</v>
      </c>
      <c r="T172" s="36"/>
      <c r="U172" s="36" t="e">
        <f>IF(C172="","",SUBSTITUTE(SUBSTITUTE("[{global_atk,"&amp;#REF!*D172&amp;"}]",21,20),9,8))</f>
        <v>#REF!</v>
      </c>
      <c r="V172" s="52" t="str">
        <f t="shared" si="82"/>
        <v>[5502037]</v>
      </c>
      <c r="W172" s="36"/>
      <c r="X172" s="35"/>
      <c r="Y172" s="42">
        <v>100</v>
      </c>
      <c r="Z172" s="35"/>
      <c r="AA172" s="42" t="s">
        <v>191</v>
      </c>
      <c r="AB172" s="42" t="str">
        <f t="shared" si="63"/>
        <v>梦灵可免疫&lt;color=#54b76b&gt;8&lt;/color&gt;次伤害</v>
      </c>
      <c r="AC172" s="48" t="str">
        <f t="shared" si="72"/>
        <v>5502031</v>
      </c>
      <c r="AD172" s="42" t="str">
        <f t="shared" si="73"/>
        <v>[8]</v>
      </c>
      <c r="AE172" s="36">
        <v>5</v>
      </c>
      <c r="AF172" s="36"/>
      <c r="AG172" s="36">
        <v>0</v>
      </c>
      <c r="AH172" s="35" t="s">
        <v>178</v>
      </c>
      <c r="AI172" s="48">
        <f t="shared" si="83"/>
        <v>5502037</v>
      </c>
      <c r="AJ172" s="53" t="str">
        <f t="shared" si="84"/>
        <v>梦灵可免疫&lt;color=#54b76b&gt;%s&lt;/color&gt;次伤害</v>
      </c>
      <c r="AK172" s="36">
        <v>8</v>
      </c>
      <c r="AL172" s="36">
        <v>5</v>
      </c>
    </row>
    <row r="173" s="25" customFormat="1" hidden="1" customHeight="1" spans="1:38">
      <c r="A173" s="48" t="s">
        <v>178</v>
      </c>
      <c r="B173" s="41"/>
      <c r="C173" s="48" t="str">
        <f t="shared" si="69"/>
        <v/>
      </c>
      <c r="D173" s="42" t="str">
        <f t="shared" si="70"/>
        <v/>
      </c>
      <c r="E173" s="42"/>
      <c r="F173" s="36"/>
      <c r="G173" s="36" t="str">
        <f t="shared" si="66"/>
        <v/>
      </c>
      <c r="H173" s="36" t="str">
        <f>IFERROR(IF(--MID($F173,2*COUNTIF($G173:G173,"&gt;"&amp;0)+2,1)=H$1,H$1,""),"")</f>
        <v/>
      </c>
      <c r="I173" s="36" t="str">
        <f>IFERROR(IF(--MID($F173,2*COUNTIF($G173:H173,"&gt;"&amp;0)+2,1)=I$1,I$1,""),"")</f>
        <v/>
      </c>
      <c r="J173" s="36" t="str">
        <f>IFERROR(IF(--MID($F173,2*COUNTIF($G173:I173,"&gt;"&amp;0)+2,1)=J$1,J$1,""),"")</f>
        <v/>
      </c>
      <c r="K173" s="36" t="str">
        <f>IFERROR(IF(--MID($F173,2*COUNTIF($G173:J173,"&gt;"&amp;0)+2,1)=K$1,K$1,""),"")</f>
        <v/>
      </c>
      <c r="L173" s="36" t="str">
        <f>IFERROR(IF(--MID($F173,2*COUNTIF($G173:K173,"&gt;"&amp;0)+2,1)=L$1,L$1,""),"")</f>
        <v/>
      </c>
      <c r="M173" s="51" t="str" cm="1">
        <f t="array" ref="M173">IF($A173="","",IF(G173="","",_xlfn.XLOOKUP($D173&amp;"_"&amp;$AE173,符文权重!$A:$A&amp;"_"&amp;符文权重!$C:$C,符文权重!$D:$D)*$Y173/SUMIFS($Y:$Y,G:G,G173,$D:$D,$D173,$AE:$AE,$AE173)/SUMIF(符文权重!$A:$A,$D173,符文权重!$D:$D)))</f>
        <v/>
      </c>
      <c r="N173" s="36" t="str" cm="1">
        <f t="array" ref="N173">IF($A173="","",IF(H173="","",_xlfn.XLOOKUP($D173&amp;"_"&amp;$AE173,符文权重!$A:$A&amp;"_"&amp;符文权重!$C:$C,符文权重!$D:$D)*$Y173/SUMIFS($Y:$Y,H:H,H173,$D:$D,$D$6,$AE:$AE,$AE$6)))</f>
        <v/>
      </c>
      <c r="O173" s="36" t="str" cm="1">
        <f t="array" ref="O173">IF($A173="","",IF(I173="","",_xlfn.XLOOKUP($D173&amp;"_"&amp;$AE173,符文权重!$A:$A&amp;"_"&amp;符文权重!$C:$C,符文权重!$D:$D)*$Y173/SUMIFS($Y:$Y,I:I,I173,$D:$D,$D$6,$AE:$AE,$AE$6)))</f>
        <v/>
      </c>
      <c r="P173" s="36" t="str" cm="1">
        <f t="array" ref="P173">IF($A173="","",IF(J173="","",_xlfn.XLOOKUP($D173&amp;"_"&amp;$AE173,符文权重!$A:$A&amp;"_"&amp;符文权重!$C:$C,符文权重!$D:$D)*$Y173/SUMIFS($Y:$Y,J:J,J173,$D:$D,$D$6,$AE:$AE,$AE$6)))</f>
        <v/>
      </c>
      <c r="Q173" s="36" t="str" cm="1">
        <f t="array" ref="Q173">IF($A173="","",IF(K173="","",_xlfn.XLOOKUP($D173&amp;"_"&amp;$AE173,符文权重!$A:$A&amp;"_"&amp;符文权重!$C:$C,符文权重!$D:$D)*$Y173/SUMIFS($Y:$Y,K:K,K173,$D:$D,$D$6,$AE:$AE,$AE$6)))</f>
        <v/>
      </c>
      <c r="R173" s="36" t="str" cm="1">
        <f t="array" ref="R173">IF($A173="","",IF(L173="","",_xlfn.XLOOKUP($D173&amp;"_"&amp;$AE173,符文权重!$A:$A&amp;"_"&amp;符文权重!$C:$C,符文权重!$D:$D)*$Y173/SUMIFS($Y:$Y,L:L,L173,$D:$D,$D$6,$AE:$AE,$AE$6)))</f>
        <v/>
      </c>
      <c r="S173" s="36"/>
      <c r="T173" s="36"/>
      <c r="U173" s="36"/>
      <c r="W173" s="41"/>
      <c r="X173" s="35"/>
      <c r="Y173" s="42"/>
      <c r="Z173" s="35"/>
      <c r="AA173" s="42" t="s">
        <v>178</v>
      </c>
      <c r="AB173" s="42" t="str">
        <f t="shared" si="63"/>
        <v/>
      </c>
      <c r="AC173" s="48" t="str">
        <f t="shared" si="72"/>
        <v/>
      </c>
      <c r="AD173" s="42" t="str">
        <f t="shared" si="73"/>
        <v/>
      </c>
      <c r="AE173" s="36"/>
      <c r="AF173" s="36"/>
      <c r="AG173" s="36"/>
      <c r="AH173" s="35" t="s">
        <v>178</v>
      </c>
      <c r="AI173" s="33"/>
      <c r="AJ173" s="56"/>
      <c r="AK173" s="36"/>
      <c r="AL173" s="36"/>
    </row>
    <row r="174" s="27" customFormat="1" hidden="1" customHeight="1" spans="1:38">
      <c r="A174" s="57">
        <v>5502041</v>
      </c>
      <c r="B174" s="58" t="s">
        <v>345</v>
      </c>
      <c r="C174" s="57" t="str">
        <f t="shared" si="69"/>
        <v>5502041</v>
      </c>
      <c r="D174" s="59">
        <f t="shared" si="70"/>
        <v>1</v>
      </c>
      <c r="E174" s="59"/>
      <c r="F174" s="60" t="s">
        <v>346</v>
      </c>
      <c r="G174" s="36">
        <f t="shared" si="66"/>
        <v>1</v>
      </c>
      <c r="H174" s="36" t="str">
        <f>IFERROR(IF(--MID($F174,2*COUNTIF($G174:G174,"&gt;"&amp;0)+2,1)=H$1,H$1,""),"")</f>
        <v/>
      </c>
      <c r="I174" s="36" t="str">
        <f>IFERROR(IF(--MID($F174,2*COUNTIF($G174:H174,"&gt;"&amp;0)+2,1)=I$1,I$1,""),"")</f>
        <v/>
      </c>
      <c r="J174" s="36">
        <f>IFERROR(IF(--MID($F174,2*COUNTIF($G174:I174,"&gt;"&amp;0)+2,1)=J$1,J$1,""),"")</f>
        <v>4</v>
      </c>
      <c r="K174" s="36" t="str">
        <f>IFERROR(IF(--MID($F174,2*COUNTIF($G174:J174,"&gt;"&amp;0)+2,1)=K$1,K$1,""),"")</f>
        <v/>
      </c>
      <c r="L174" s="36" t="str">
        <f>IFERROR(IF(--MID($F174,2*COUNTIF($G174:K174,"&gt;"&amp;0)+2,1)=L$1,L$1,""),"")</f>
        <v/>
      </c>
      <c r="M174" s="36" t="e" cm="1">
        <f t="array" ref="M174">IF(A174="","",_xlfn.XLOOKUP(D174&amp;"_"&amp;AE174,符文权重!A:A&amp;"_"&amp;符文权重!C:C,符文权重!D:D))</f>
        <v>#N/A</v>
      </c>
      <c r="N174" s="36"/>
      <c r="O174" s="36"/>
      <c r="P174" s="36"/>
      <c r="Q174" s="36"/>
      <c r="R174" s="36"/>
      <c r="S174" s="60" t="s">
        <v>175</v>
      </c>
      <c r="T174" s="60"/>
      <c r="U174" s="60" t="e">
        <f>IF(C174="","",SUBSTITUTE(SUBSTITUTE("[{global_atk,"&amp;#REF!*D174&amp;"}]",21,20),9,8))</f>
        <v>#REF!</v>
      </c>
      <c r="V174" s="61" t="str">
        <f t="shared" ref="V174:V180" si="85">"["&amp;A174&amp;"]"</f>
        <v>[5502041]</v>
      </c>
      <c r="W174" s="60"/>
      <c r="X174" s="28"/>
      <c r="Y174" s="42">
        <v>100</v>
      </c>
      <c r="Z174" s="28"/>
      <c r="AA174" s="59" t="s">
        <v>177</v>
      </c>
      <c r="AB174" s="42" t="str">
        <f t="shared" si="63"/>
        <v>最前排梦灵获得&lt;color=#54b76b&gt;10%&lt;/color&gt;最大生命值</v>
      </c>
      <c r="AC174" s="57" t="str">
        <f t="shared" si="72"/>
        <v>5502041</v>
      </c>
      <c r="AD174" s="59" t="str">
        <f t="shared" si="73"/>
        <v>[10]</v>
      </c>
      <c r="AE174" s="60">
        <v>100</v>
      </c>
      <c r="AF174" s="60"/>
      <c r="AG174" s="60">
        <v>1</v>
      </c>
      <c r="AH174" s="35" t="s">
        <v>178</v>
      </c>
      <c r="AI174" s="62">
        <v>5502041</v>
      </c>
      <c r="AJ174" s="63" t="s">
        <v>345</v>
      </c>
      <c r="AK174" s="60">
        <v>10</v>
      </c>
      <c r="AL174" s="36"/>
    </row>
    <row r="175" s="25" customFormat="1" hidden="1" customHeight="1" spans="1:38">
      <c r="A175" s="48">
        <v>5502042</v>
      </c>
      <c r="B175" s="34" t="s">
        <v>345</v>
      </c>
      <c r="C175" s="48" t="str">
        <f t="shared" si="69"/>
        <v>5502041</v>
      </c>
      <c r="D175" s="42">
        <f t="shared" si="70"/>
        <v>2</v>
      </c>
      <c r="E175" s="42"/>
      <c r="F175" s="36" t="s">
        <v>346</v>
      </c>
      <c r="G175" s="36">
        <f t="shared" si="66"/>
        <v>1</v>
      </c>
      <c r="H175" s="36" t="str">
        <f>IFERROR(IF(--MID($F175,2*COUNTIF($G175:G175,"&gt;"&amp;0)+2,1)=H$1,H$1,""),"")</f>
        <v/>
      </c>
      <c r="I175" s="36" t="str">
        <f>IFERROR(IF(--MID($F175,2*COUNTIF($G175:H175,"&gt;"&amp;0)+2,1)=I$1,I$1,""),"")</f>
        <v/>
      </c>
      <c r="J175" s="36">
        <f>IFERROR(IF(--MID($F175,2*COUNTIF($G175:I175,"&gt;"&amp;0)+2,1)=J$1,J$1,""),"")</f>
        <v>4</v>
      </c>
      <c r="K175" s="36" t="str">
        <f>IFERROR(IF(--MID($F175,2*COUNTIF($G175:J175,"&gt;"&amp;0)+2,1)=K$1,K$1,""),"")</f>
        <v/>
      </c>
      <c r="L175" s="36" t="str">
        <f>IFERROR(IF(--MID($F175,2*COUNTIF($G175:K175,"&gt;"&amp;0)+2,1)=L$1,L$1,""),"")</f>
        <v/>
      </c>
      <c r="M175" s="51" cm="1">
        <f t="array" ref="M175">IF($A175="","",IF(G175="","",_xlfn.XLOOKUP($D175&amp;"_"&amp;$AE175,符文权重!$A:$A&amp;"_"&amp;符文权重!$C:$C,符文权重!$D:$D)*$Y175/SUMIFS($Y:$Y,G:G,G175,$D:$D,$D175,$AE:$AE,$AE175)/SUMIF(符文权重!$A:$A,$D175,符文权重!$D:$D)))</f>
        <v>0.1</v>
      </c>
      <c r="N175" s="51" t="str" cm="1">
        <f t="array" ref="N175">IF($A175="","",IF(H175="","",_xlfn.XLOOKUP($D175&amp;"_"&amp;$AE175,符文权重!$A:$A&amp;"_"&amp;符文权重!$C:$C,符文权重!$D:$D)*$Y175/SUMIFS($Y:$Y,H:H,H175,$D:$D,$D175,$AE:$AE,$AE175)/SUMIF(符文权重!$A:$A,$D175,符文权重!$D:$D)))</f>
        <v/>
      </c>
      <c r="O175" s="51" t="str" cm="1">
        <f t="array" ref="O175">IF($A175="","",IF(I175="","",_xlfn.XLOOKUP($D175&amp;"_"&amp;$AE175,符文权重!$A:$A&amp;"_"&amp;符文权重!$C:$C,符文权重!$D:$D)*$Y175/SUMIFS($Y:$Y,I:I,I175,$D:$D,$D175,$AE:$AE,$AE175)/SUMIF(符文权重!$A:$A,$D175,符文权重!$D:$D)))</f>
        <v/>
      </c>
      <c r="P175" s="51" cm="1">
        <f t="array" ref="P175">IF($A175="","",IF(J175="","",_xlfn.XLOOKUP($D175&amp;"_"&amp;$AE175,符文权重!$A:$A&amp;"_"&amp;符文权重!$C:$C,符文权重!$D:$D)*$Y175/SUMIFS($Y:$Y,J:J,J175,$D:$D,$D175,$AE:$AE,$AE175)/SUMIF(符文权重!$A:$A,$D175,符文权重!$D:$D)))</f>
        <v>0.11</v>
      </c>
      <c r="Q175" s="51" t="str" cm="1">
        <f t="array" ref="Q175">IF($A175="","",IF(K175="","",_xlfn.XLOOKUP($D175&amp;"_"&amp;$AE175,符文权重!$A:$A&amp;"_"&amp;符文权重!$C:$C,符文权重!$D:$D)*$Y175/SUMIFS($Y:$Y,K:K,K175,$D:$D,$D175,$AE:$AE,$AE175)/SUMIF(符文权重!$A:$A,$D175,符文权重!$D:$D)))</f>
        <v/>
      </c>
      <c r="R175" s="51" t="str" cm="1">
        <f t="array" ref="R175">IF($A175="","",IF(L175="","",_xlfn.XLOOKUP($D175&amp;"_"&amp;$AE175,符文权重!$A:$A&amp;"_"&amp;符文权重!$C:$C,符文权重!$D:$D)*$Y175/SUMIFS($Y:$Y,L:L,L175,$D:$D,$D175,$AE:$AE,$AE175)/SUMIF(符文权重!$A:$A,$D175,符文权重!$D:$D)))</f>
        <v/>
      </c>
      <c r="S175" s="36" t="s">
        <v>175</v>
      </c>
      <c r="T175" s="36"/>
      <c r="U175" s="36" t="e">
        <f>IF(C175="","",SUBSTITUTE(SUBSTITUTE("[{global_atk,"&amp;#REF!*D175&amp;"}]",21,20),9,8))</f>
        <v>#REF!</v>
      </c>
      <c r="V175" s="52" t="str">
        <f t="shared" si="85"/>
        <v>[5502042]</v>
      </c>
      <c r="W175" s="36"/>
      <c r="X175" s="35"/>
      <c r="Y175" s="42">
        <v>100</v>
      </c>
      <c r="Z175" s="35"/>
      <c r="AA175" s="42" t="s">
        <v>181</v>
      </c>
      <c r="AB175" s="42" t="str">
        <f t="shared" si="63"/>
        <v>最前排梦灵获得&lt;color=#54b76b&gt;15%&lt;/color&gt;最大生命值</v>
      </c>
      <c r="AC175" s="48" t="str">
        <f t="shared" si="72"/>
        <v>5502041</v>
      </c>
      <c r="AD175" s="42" t="str">
        <f t="shared" si="73"/>
        <v>[15]</v>
      </c>
      <c r="AE175" s="36">
        <v>2</v>
      </c>
      <c r="AF175" s="36"/>
      <c r="AG175" s="36">
        <v>0</v>
      </c>
      <c r="AH175" s="35" t="s">
        <v>178</v>
      </c>
      <c r="AI175" s="48">
        <f t="shared" ref="AI175:AI180" si="86">AI174+1</f>
        <v>5502042</v>
      </c>
      <c r="AJ175" s="53" t="str">
        <f t="shared" ref="AJ175:AJ180" si="87">AJ174</f>
        <v>最前排梦灵获得&lt;color=#54b76b&gt;%s%&lt;/color&gt;最大生命值</v>
      </c>
      <c r="AK175" s="36">
        <v>15</v>
      </c>
      <c r="AL175" s="36">
        <v>2</v>
      </c>
    </row>
    <row r="176" s="25" customFormat="1" hidden="1" customHeight="1" spans="1:38">
      <c r="A176" s="48">
        <v>5502043</v>
      </c>
      <c r="B176" s="34" t="s">
        <v>345</v>
      </c>
      <c r="C176" s="48" t="str">
        <f t="shared" si="69"/>
        <v>5502041</v>
      </c>
      <c r="D176" s="42">
        <f t="shared" si="70"/>
        <v>3</v>
      </c>
      <c r="E176" s="42"/>
      <c r="F176" s="36" t="s">
        <v>346</v>
      </c>
      <c r="G176" s="36">
        <f t="shared" si="66"/>
        <v>1</v>
      </c>
      <c r="H176" s="36" t="str">
        <f>IFERROR(IF(--MID($F176,2*COUNTIF($G176:G176,"&gt;"&amp;0)+2,1)=H$1,H$1,""),"")</f>
        <v/>
      </c>
      <c r="I176" s="36" t="str">
        <f>IFERROR(IF(--MID($F176,2*COUNTIF($G176:H176,"&gt;"&amp;0)+2,1)=I$1,I$1,""),"")</f>
        <v/>
      </c>
      <c r="J176" s="36">
        <f>IFERROR(IF(--MID($F176,2*COUNTIF($G176:I176,"&gt;"&amp;0)+2,1)=J$1,J$1,""),"")</f>
        <v>4</v>
      </c>
      <c r="K176" s="36" t="str">
        <f>IFERROR(IF(--MID($F176,2*COUNTIF($G176:J176,"&gt;"&amp;0)+2,1)=K$1,K$1,""),"")</f>
        <v/>
      </c>
      <c r="L176" s="36" t="str">
        <f>IFERROR(IF(--MID($F176,2*COUNTIF($G176:K176,"&gt;"&amp;0)+2,1)=L$1,L$1,""),"")</f>
        <v/>
      </c>
      <c r="M176" s="51" cm="1">
        <f t="array" ref="M176">IF($A176="","",IF(G176="","",_xlfn.XLOOKUP($D176&amp;"_"&amp;$AE176,符文权重!$A:$A&amp;"_"&amp;符文权重!$C:$C,符文权重!$D:$D)*$Y176/SUMIFS($Y:$Y,G:G,G176,$D:$D,$D176,$AE:$AE,$AE176)/SUMIF(符文权重!$A:$A,$D176,符文权重!$D:$D)))</f>
        <v>0.0909961685823755</v>
      </c>
      <c r="N176" s="51" t="str" cm="1">
        <f t="array" ref="N176">IF($A176="","",IF(H176="","",_xlfn.XLOOKUP($D176&amp;"_"&amp;$AE176,符文权重!$A:$A&amp;"_"&amp;符文权重!$C:$C,符文权重!$D:$D)*$Y176/SUMIFS($Y:$Y,H:H,H176,$D:$D,$D176,$AE:$AE,$AE176)/SUMIF(符文权重!$A:$A,$D176,符文权重!$D:$D)))</f>
        <v/>
      </c>
      <c r="O176" s="51" t="str" cm="1">
        <f t="array" ref="O176">IF($A176="","",IF(I176="","",_xlfn.XLOOKUP($D176&amp;"_"&amp;$AE176,符文权重!$A:$A&amp;"_"&amp;符文权重!$C:$C,符文权重!$D:$D)*$Y176/SUMIFS($Y:$Y,I:I,I176,$D:$D,$D176,$AE:$AE,$AE176)/SUMIF(符文权重!$A:$A,$D176,符文权重!$D:$D)))</f>
        <v/>
      </c>
      <c r="P176" s="51" cm="1">
        <f t="array" ref="P176">IF($A176="","",IF(J176="","",_xlfn.XLOOKUP($D176&amp;"_"&amp;$AE176,符文权重!$A:$A&amp;"_"&amp;符文权重!$C:$C,符文权重!$D:$D)*$Y176/SUMIFS($Y:$Y,J:J,J176,$D:$D,$D176,$AE:$AE,$AE176)/SUMIF(符文权重!$A:$A,$D176,符文权重!$D:$D)))</f>
        <v>0.0909961685823755</v>
      </c>
      <c r="Q176" s="51" t="str" cm="1">
        <f t="array" ref="Q176">IF($A176="","",IF(K176="","",_xlfn.XLOOKUP($D176&amp;"_"&amp;$AE176,符文权重!$A:$A&amp;"_"&amp;符文权重!$C:$C,符文权重!$D:$D)*$Y176/SUMIFS($Y:$Y,K:K,K176,$D:$D,$D176,$AE:$AE,$AE176)/SUMIF(符文权重!$A:$A,$D176,符文权重!$D:$D)))</f>
        <v/>
      </c>
      <c r="R176" s="51" t="str" cm="1">
        <f t="array" ref="R176">IF($A176="","",IF(L176="","",_xlfn.XLOOKUP($D176&amp;"_"&amp;$AE176,符文权重!$A:$A&amp;"_"&amp;符文权重!$C:$C,符文权重!$D:$D)*$Y176/SUMIFS($Y:$Y,L:L,L176,$D:$D,$D176,$AE:$AE,$AE176)/SUMIF(符文权重!$A:$A,$D176,符文权重!$D:$D)))</f>
        <v/>
      </c>
      <c r="S176" s="36" t="s">
        <v>175</v>
      </c>
      <c r="T176" s="36"/>
      <c r="U176" s="36" t="e">
        <f>IF(C176="","",SUBSTITUTE(SUBSTITUTE("[{global_atk,"&amp;#REF!*D176&amp;"}]",21,20),9,8))</f>
        <v>#REF!</v>
      </c>
      <c r="V176" s="52" t="str">
        <f t="shared" si="85"/>
        <v>[5502043]</v>
      </c>
      <c r="W176" s="36"/>
      <c r="X176" s="35"/>
      <c r="Y176" s="42">
        <v>100</v>
      </c>
      <c r="Z176" s="35"/>
      <c r="AA176" s="42" t="s">
        <v>183</v>
      </c>
      <c r="AB176" s="42" t="str">
        <f t="shared" si="63"/>
        <v>最前排梦灵获得&lt;color=#54b76b&gt;25%&lt;/color&gt;最大生命值</v>
      </c>
      <c r="AC176" s="48" t="str">
        <f t="shared" si="72"/>
        <v>5502041</v>
      </c>
      <c r="AD176" s="42" t="str">
        <f t="shared" si="73"/>
        <v>[25]</v>
      </c>
      <c r="AE176" s="36">
        <v>2</v>
      </c>
      <c r="AF176" s="36"/>
      <c r="AG176" s="36">
        <v>0</v>
      </c>
      <c r="AH176" s="35" t="s">
        <v>178</v>
      </c>
      <c r="AI176" s="48">
        <f t="shared" si="86"/>
        <v>5502043</v>
      </c>
      <c r="AJ176" s="53" t="str">
        <f t="shared" si="87"/>
        <v>最前排梦灵获得&lt;color=#54b76b&gt;%s%&lt;/color&gt;最大生命值</v>
      </c>
      <c r="AK176" s="36">
        <v>25</v>
      </c>
      <c r="AL176" s="36">
        <v>2</v>
      </c>
    </row>
    <row r="177" s="25" customFormat="1" hidden="1" customHeight="1" spans="1:38">
      <c r="A177" s="48">
        <v>5502044</v>
      </c>
      <c r="B177" s="34" t="s">
        <v>345</v>
      </c>
      <c r="C177" s="48" t="str">
        <f t="shared" si="69"/>
        <v>5502041</v>
      </c>
      <c r="D177" s="42">
        <f t="shared" si="70"/>
        <v>4</v>
      </c>
      <c r="E177" s="42"/>
      <c r="F177" s="36" t="s">
        <v>346</v>
      </c>
      <c r="G177" s="36">
        <f t="shared" si="66"/>
        <v>1</v>
      </c>
      <c r="H177" s="36" t="str">
        <f>IFERROR(IF(--MID($F177,2*COUNTIF($G177:G177,"&gt;"&amp;0)+2,1)=H$1,H$1,""),"")</f>
        <v/>
      </c>
      <c r="I177" s="36" t="str">
        <f>IFERROR(IF(--MID($F177,2*COUNTIF($G177:H177,"&gt;"&amp;0)+2,1)=I$1,I$1,""),"")</f>
        <v/>
      </c>
      <c r="J177" s="36">
        <f>IFERROR(IF(--MID($F177,2*COUNTIF($G177:I177,"&gt;"&amp;0)+2,1)=J$1,J$1,""),"")</f>
        <v>4</v>
      </c>
      <c r="K177" s="36" t="str">
        <f>IFERROR(IF(--MID($F177,2*COUNTIF($G177:J177,"&gt;"&amp;0)+2,1)=K$1,K$1,""),"")</f>
        <v/>
      </c>
      <c r="L177" s="36" t="str">
        <f>IFERROR(IF(--MID($F177,2*COUNTIF($G177:K177,"&gt;"&amp;0)+2,1)=L$1,L$1,""),"")</f>
        <v/>
      </c>
      <c r="M177" s="51" cm="1">
        <f t="array" ref="M177">IF($A177="","",IF(G177="","",_xlfn.XLOOKUP($D177&amp;"_"&amp;$AE177,符文权重!$A:$A&amp;"_"&amp;符文权重!$C:$C,符文权重!$D:$D)*$Y177/SUMIFS($Y:$Y,G:G,G177,$D:$D,$D177,$AE:$AE,$AE177)/SUMIF(符文权重!$A:$A,$D177,符文权重!$D:$D)))</f>
        <v>0.0628628628628629</v>
      </c>
      <c r="N177" s="51" t="str" cm="1">
        <f t="array" ref="N177">IF($A177="","",IF(H177="","",_xlfn.XLOOKUP($D177&amp;"_"&amp;$AE177,符文权重!$A:$A&amp;"_"&amp;符文权重!$C:$C,符文权重!$D:$D)*$Y177/SUMIFS($Y:$Y,H:H,H177,$D:$D,$D177,$AE:$AE,$AE177)/SUMIF(符文权重!$A:$A,$D177,符文权重!$D:$D)))</f>
        <v/>
      </c>
      <c r="O177" s="51" t="str" cm="1">
        <f t="array" ref="O177">IF($A177="","",IF(I177="","",_xlfn.XLOOKUP($D177&amp;"_"&amp;$AE177,符文权重!$A:$A&amp;"_"&amp;符文权重!$C:$C,符文权重!$D:$D)*$Y177/SUMIFS($Y:$Y,I:I,I177,$D:$D,$D177,$AE:$AE,$AE177)/SUMIF(符文权重!$A:$A,$D177,符文权重!$D:$D)))</f>
        <v/>
      </c>
      <c r="P177" s="51" cm="1">
        <f t="array" ref="P177">IF($A177="","",IF(J177="","",_xlfn.XLOOKUP($D177&amp;"_"&amp;$AE177,符文权重!$A:$A&amp;"_"&amp;符文权重!$C:$C,符文权重!$D:$D)*$Y177/SUMIFS($Y:$Y,J:J,J177,$D:$D,$D177,$AE:$AE,$AE177)/SUMIF(符文权重!$A:$A,$D177,符文权重!$D:$D)))</f>
        <v>0.0628628628628629</v>
      </c>
      <c r="Q177" s="51" t="str" cm="1">
        <f t="array" ref="Q177">IF($A177="","",IF(K177="","",_xlfn.XLOOKUP($D177&amp;"_"&amp;$AE177,符文权重!$A:$A&amp;"_"&amp;符文权重!$C:$C,符文权重!$D:$D)*$Y177/SUMIFS($Y:$Y,K:K,K177,$D:$D,$D177,$AE:$AE,$AE177)/SUMIF(符文权重!$A:$A,$D177,符文权重!$D:$D)))</f>
        <v/>
      </c>
      <c r="R177" s="51" t="str" cm="1">
        <f t="array" ref="R177">IF($A177="","",IF(L177="","",_xlfn.XLOOKUP($D177&amp;"_"&amp;$AE177,符文权重!$A:$A&amp;"_"&amp;符文权重!$C:$C,符文权重!$D:$D)*$Y177/SUMIFS($Y:$Y,L:L,L177,$D:$D,$D177,$AE:$AE,$AE177)/SUMIF(符文权重!$A:$A,$D177,符文权重!$D:$D)))</f>
        <v/>
      </c>
      <c r="S177" s="36" t="s">
        <v>175</v>
      </c>
      <c r="T177" s="36"/>
      <c r="U177" s="36" t="e">
        <f>IF(C177="","",SUBSTITUTE(SUBSTITUTE("[{global_atk,"&amp;#REF!*D177&amp;"}]",21,20),9,8))</f>
        <v>#REF!</v>
      </c>
      <c r="V177" s="52" t="str">
        <f t="shared" si="85"/>
        <v>[5502044]</v>
      </c>
      <c r="W177" s="36"/>
      <c r="X177" s="35"/>
      <c r="Y177" s="42">
        <v>100</v>
      </c>
      <c r="Z177" s="35"/>
      <c r="AA177" s="42" t="s">
        <v>185</v>
      </c>
      <c r="AB177" s="42" t="str">
        <f t="shared" si="63"/>
        <v>最前排梦灵获得&lt;color=#54b76b&gt;30%&lt;/color&gt;最大生命值</v>
      </c>
      <c r="AC177" s="48" t="str">
        <f t="shared" si="72"/>
        <v>5502041</v>
      </c>
      <c r="AD177" s="42" t="str">
        <f t="shared" si="73"/>
        <v>[30]</v>
      </c>
      <c r="AE177" s="36">
        <v>2</v>
      </c>
      <c r="AF177" s="36"/>
      <c r="AG177" s="36">
        <v>0</v>
      </c>
      <c r="AH177" s="35" t="s">
        <v>178</v>
      </c>
      <c r="AI177" s="48">
        <f t="shared" si="86"/>
        <v>5502044</v>
      </c>
      <c r="AJ177" s="53" t="str">
        <f t="shared" si="87"/>
        <v>最前排梦灵获得&lt;color=#54b76b&gt;%s%&lt;/color&gt;最大生命值</v>
      </c>
      <c r="AK177" s="36">
        <v>30</v>
      </c>
      <c r="AL177" s="36">
        <v>2</v>
      </c>
    </row>
    <row r="178" s="25" customFormat="1" hidden="1" customHeight="1" spans="1:38">
      <c r="A178" s="48">
        <v>5502045</v>
      </c>
      <c r="B178" s="34" t="s">
        <v>345</v>
      </c>
      <c r="C178" s="48" t="str">
        <f t="shared" si="69"/>
        <v>5502041</v>
      </c>
      <c r="D178" s="42">
        <f t="shared" si="70"/>
        <v>5</v>
      </c>
      <c r="E178" s="42"/>
      <c r="F178" s="36" t="s">
        <v>346</v>
      </c>
      <c r="G178" s="36">
        <f t="shared" si="66"/>
        <v>1</v>
      </c>
      <c r="H178" s="36" t="str">
        <f>IFERROR(IF(--MID($F178,2*COUNTIF($G178:G178,"&gt;"&amp;0)+2,1)=H$1,H$1,""),"")</f>
        <v/>
      </c>
      <c r="I178" s="36" t="str">
        <f>IFERROR(IF(--MID($F178,2*COUNTIF($G178:H178,"&gt;"&amp;0)+2,1)=I$1,I$1,""),"")</f>
        <v/>
      </c>
      <c r="J178" s="36">
        <f>IFERROR(IF(--MID($F178,2*COUNTIF($G178:I178,"&gt;"&amp;0)+2,1)=J$1,J$1,""),"")</f>
        <v>4</v>
      </c>
      <c r="K178" s="36" t="str">
        <f>IFERROR(IF(--MID($F178,2*COUNTIF($G178:J178,"&gt;"&amp;0)+2,1)=K$1,K$1,""),"")</f>
        <v/>
      </c>
      <c r="L178" s="36" t="str">
        <f>IFERROR(IF(--MID($F178,2*COUNTIF($G178:K178,"&gt;"&amp;0)+2,1)=L$1,L$1,""),"")</f>
        <v/>
      </c>
      <c r="M178" s="51" cm="1">
        <f t="array" ref="M178">IF($A178="","",IF(G178="","",_xlfn.XLOOKUP($D178&amp;"_"&amp;$AE178,符文权重!$A:$A&amp;"_"&amp;符文权重!$C:$C,符文权重!$D:$D)*$Y178/SUMIFS($Y:$Y,G:G,G178,$D:$D,$D178,$AE:$AE,$AE178)/SUMIF(符文权重!$A:$A,$D178,符文权重!$D:$D)))</f>
        <v>0.0612</v>
      </c>
      <c r="N178" s="51" t="str" cm="1">
        <f t="array" ref="N178">IF($A178="","",IF(H178="","",_xlfn.XLOOKUP($D178&amp;"_"&amp;$AE178,符文权重!$A:$A&amp;"_"&amp;符文权重!$C:$C,符文权重!$D:$D)*$Y178/SUMIFS($Y:$Y,H:H,H178,$D:$D,$D178,$AE:$AE,$AE178)/SUMIF(符文权重!$A:$A,$D178,符文权重!$D:$D)))</f>
        <v/>
      </c>
      <c r="O178" s="51" t="str" cm="1">
        <f t="array" ref="O178">IF($A178="","",IF(I178="","",_xlfn.XLOOKUP($D178&amp;"_"&amp;$AE178,符文权重!$A:$A&amp;"_"&amp;符文权重!$C:$C,符文权重!$D:$D)*$Y178/SUMIFS($Y:$Y,I:I,I178,$D:$D,$D178,$AE:$AE,$AE178)/SUMIF(符文权重!$A:$A,$D178,符文权重!$D:$D)))</f>
        <v/>
      </c>
      <c r="P178" s="51" cm="1">
        <f t="array" ref="P178">IF($A178="","",IF(J178="","",_xlfn.XLOOKUP($D178&amp;"_"&amp;$AE178,符文权重!$A:$A&amp;"_"&amp;符文权重!$C:$C,符文权重!$D:$D)*$Y178/SUMIFS($Y:$Y,J:J,J178,$D:$D,$D178,$AE:$AE,$AE178)/SUMIF(符文权重!$A:$A,$D178,符文权重!$D:$D)))</f>
        <v>0.0612</v>
      </c>
      <c r="Q178" s="51" t="str" cm="1">
        <f t="array" ref="Q178">IF($A178="","",IF(K178="","",_xlfn.XLOOKUP($D178&amp;"_"&amp;$AE178,符文权重!$A:$A&amp;"_"&amp;符文权重!$C:$C,符文权重!$D:$D)*$Y178/SUMIFS($Y:$Y,K:K,K178,$D:$D,$D178,$AE:$AE,$AE178)/SUMIF(符文权重!$A:$A,$D178,符文权重!$D:$D)))</f>
        <v/>
      </c>
      <c r="R178" s="51" t="str" cm="1">
        <f t="array" ref="R178">IF($A178="","",IF(L178="","",_xlfn.XLOOKUP($D178&amp;"_"&amp;$AE178,符文权重!$A:$A&amp;"_"&amp;符文权重!$C:$C,符文权重!$D:$D)*$Y178/SUMIFS($Y:$Y,L:L,L178,$D:$D,$D178,$AE:$AE,$AE178)/SUMIF(符文权重!$A:$A,$D178,符文权重!$D:$D)))</f>
        <v/>
      </c>
      <c r="S178" s="36" t="s">
        <v>175</v>
      </c>
      <c r="T178" s="36"/>
      <c r="U178" s="36" t="e">
        <f>IF(C178="","",SUBSTITUTE(SUBSTITUTE("[{global_atk,"&amp;#REF!*D178&amp;"}]",21,20),9,8))</f>
        <v>#REF!</v>
      </c>
      <c r="V178" s="52" t="str">
        <f t="shared" si="85"/>
        <v>[5502045]</v>
      </c>
      <c r="W178" s="36"/>
      <c r="X178" s="35"/>
      <c r="Y178" s="42">
        <v>100</v>
      </c>
      <c r="Z178" s="35"/>
      <c r="AA178" s="42" t="s">
        <v>187</v>
      </c>
      <c r="AB178" s="42" t="str">
        <f t="shared" si="63"/>
        <v>最前排梦灵获得&lt;color=#54b76b&gt;36%&lt;/color&gt;最大生命值</v>
      </c>
      <c r="AC178" s="48" t="str">
        <f t="shared" si="72"/>
        <v>5502041</v>
      </c>
      <c r="AD178" s="42" t="str">
        <f t="shared" si="73"/>
        <v>[36]</v>
      </c>
      <c r="AE178" s="36">
        <v>2</v>
      </c>
      <c r="AF178" s="36"/>
      <c r="AG178" s="36">
        <v>0</v>
      </c>
      <c r="AH178" s="35" t="s">
        <v>178</v>
      </c>
      <c r="AI178" s="48">
        <f t="shared" si="86"/>
        <v>5502045</v>
      </c>
      <c r="AJ178" s="53" t="str">
        <f t="shared" si="87"/>
        <v>最前排梦灵获得&lt;color=#54b76b&gt;%s%&lt;/color&gt;最大生命值</v>
      </c>
      <c r="AK178" s="36">
        <v>36</v>
      </c>
      <c r="AL178" s="36">
        <v>2</v>
      </c>
    </row>
    <row r="179" s="25" customFormat="1" hidden="1" customHeight="1" spans="1:38">
      <c r="A179" s="48">
        <v>5502046</v>
      </c>
      <c r="B179" s="34" t="s">
        <v>345</v>
      </c>
      <c r="C179" s="48" t="str">
        <f t="shared" si="69"/>
        <v>5502041</v>
      </c>
      <c r="D179" s="42">
        <f t="shared" si="70"/>
        <v>6</v>
      </c>
      <c r="E179" s="42"/>
      <c r="F179" s="36" t="s">
        <v>346</v>
      </c>
      <c r="G179" s="36">
        <f t="shared" si="66"/>
        <v>1</v>
      </c>
      <c r="H179" s="36" t="str">
        <f>IFERROR(IF(--MID($F179,2*COUNTIF($G179:G179,"&gt;"&amp;0)+2,1)=H$1,H$1,""),"")</f>
        <v/>
      </c>
      <c r="I179" s="36" t="str">
        <f>IFERROR(IF(--MID($F179,2*COUNTIF($G179:H179,"&gt;"&amp;0)+2,1)=I$1,I$1,""),"")</f>
        <v/>
      </c>
      <c r="J179" s="36">
        <f>IFERROR(IF(--MID($F179,2*COUNTIF($G179:I179,"&gt;"&amp;0)+2,1)=J$1,J$1,""),"")</f>
        <v>4</v>
      </c>
      <c r="K179" s="36" t="str">
        <f>IFERROR(IF(--MID($F179,2*COUNTIF($G179:J179,"&gt;"&amp;0)+2,1)=K$1,K$1,""),"")</f>
        <v/>
      </c>
      <c r="L179" s="36" t="str">
        <f>IFERROR(IF(--MID($F179,2*COUNTIF($G179:K179,"&gt;"&amp;0)+2,1)=L$1,L$1,""),"")</f>
        <v/>
      </c>
      <c r="M179" s="51" cm="1">
        <f t="array" ref="M179">IF($A179="","",IF(G179="","",_xlfn.XLOOKUP($D179&amp;"_"&amp;$AE179,符文权重!$A:$A&amp;"_"&amp;符文权重!$C:$C,符文权重!$D:$D)*$Y179/SUMIFS($Y:$Y,G:G,G179,$D:$D,$D179,$AE:$AE,$AE179)/SUMIF(符文权重!$A:$A,$D179,符文权重!$D:$D)))</f>
        <v>0.0612</v>
      </c>
      <c r="N179" s="51" t="str" cm="1">
        <f t="array" ref="N179">IF($A179="","",IF(H179="","",_xlfn.XLOOKUP($D179&amp;"_"&amp;$AE179,符文权重!$A:$A&amp;"_"&amp;符文权重!$C:$C,符文权重!$D:$D)*$Y179/SUMIFS($Y:$Y,H:H,H179,$D:$D,$D179,$AE:$AE,$AE179)/SUMIF(符文权重!$A:$A,$D179,符文权重!$D:$D)))</f>
        <v/>
      </c>
      <c r="O179" s="51" t="str" cm="1">
        <f t="array" ref="O179">IF($A179="","",IF(I179="","",_xlfn.XLOOKUP($D179&amp;"_"&amp;$AE179,符文权重!$A:$A&amp;"_"&amp;符文权重!$C:$C,符文权重!$D:$D)*$Y179/SUMIFS($Y:$Y,I:I,I179,$D:$D,$D179,$AE:$AE,$AE179)/SUMIF(符文权重!$A:$A,$D179,符文权重!$D:$D)))</f>
        <v/>
      </c>
      <c r="P179" s="51" cm="1">
        <f t="array" ref="P179">IF($A179="","",IF(J179="","",_xlfn.XLOOKUP($D179&amp;"_"&amp;$AE179,符文权重!$A:$A&amp;"_"&amp;符文权重!$C:$C,符文权重!$D:$D)*$Y179/SUMIFS($Y:$Y,J:J,J179,$D:$D,$D179,$AE:$AE,$AE179)/SUMIF(符文权重!$A:$A,$D179,符文权重!$D:$D)))</f>
        <v>0.0612</v>
      </c>
      <c r="Q179" s="51" t="str" cm="1">
        <f t="array" ref="Q179">IF($A179="","",IF(K179="","",_xlfn.XLOOKUP($D179&amp;"_"&amp;$AE179,符文权重!$A:$A&amp;"_"&amp;符文权重!$C:$C,符文权重!$D:$D)*$Y179/SUMIFS($Y:$Y,K:K,K179,$D:$D,$D179,$AE:$AE,$AE179)/SUMIF(符文权重!$A:$A,$D179,符文权重!$D:$D)))</f>
        <v/>
      </c>
      <c r="R179" s="51" t="str" cm="1">
        <f t="array" ref="R179">IF($A179="","",IF(L179="","",_xlfn.XLOOKUP($D179&amp;"_"&amp;$AE179,符文权重!$A:$A&amp;"_"&amp;符文权重!$C:$C,符文权重!$D:$D)*$Y179/SUMIFS($Y:$Y,L:L,L179,$D:$D,$D179,$AE:$AE,$AE179)/SUMIF(符文权重!$A:$A,$D179,符文权重!$D:$D)))</f>
        <v/>
      </c>
      <c r="S179" s="36" t="s">
        <v>175</v>
      </c>
      <c r="T179" s="36"/>
      <c r="U179" s="36" t="e">
        <f>IF(C179="","",SUBSTITUTE(SUBSTITUTE("[{global_atk,"&amp;#REF!*D179&amp;"}]",21,20),9,8))</f>
        <v>#REF!</v>
      </c>
      <c r="V179" s="52" t="str">
        <f t="shared" si="85"/>
        <v>[5502046]</v>
      </c>
      <c r="W179" s="36"/>
      <c r="X179" s="35"/>
      <c r="Y179" s="42">
        <v>100</v>
      </c>
      <c r="Z179" s="35"/>
      <c r="AA179" s="42" t="s">
        <v>189</v>
      </c>
      <c r="AB179" s="42" t="str">
        <f t="shared" si="63"/>
        <v>最前排梦灵获得&lt;color=#54b76b&gt;45%&lt;/color&gt;最大生命值</v>
      </c>
      <c r="AC179" s="48" t="str">
        <f t="shared" si="72"/>
        <v>5502041</v>
      </c>
      <c r="AD179" s="42" t="str">
        <f t="shared" si="73"/>
        <v>[45]</v>
      </c>
      <c r="AE179" s="36">
        <v>2</v>
      </c>
      <c r="AF179" s="36"/>
      <c r="AG179" s="36">
        <v>0</v>
      </c>
      <c r="AH179" s="35" t="s">
        <v>178</v>
      </c>
      <c r="AI179" s="48">
        <f t="shared" si="86"/>
        <v>5502046</v>
      </c>
      <c r="AJ179" s="53" t="str">
        <f t="shared" si="87"/>
        <v>最前排梦灵获得&lt;color=#54b76b&gt;%s%&lt;/color&gt;最大生命值</v>
      </c>
      <c r="AK179" s="36">
        <v>45</v>
      </c>
      <c r="AL179" s="36">
        <v>2</v>
      </c>
    </row>
    <row r="180" s="25" customFormat="1" hidden="1" customHeight="1" spans="1:38">
      <c r="A180" s="48">
        <v>5502047</v>
      </c>
      <c r="B180" s="34" t="s">
        <v>345</v>
      </c>
      <c r="C180" s="48" t="str">
        <f t="shared" si="69"/>
        <v>5502041</v>
      </c>
      <c r="D180" s="42">
        <f t="shared" si="70"/>
        <v>7</v>
      </c>
      <c r="E180" s="42"/>
      <c r="F180" s="36" t="s">
        <v>346</v>
      </c>
      <c r="G180" s="36">
        <f t="shared" si="66"/>
        <v>1</v>
      </c>
      <c r="H180" s="36" t="str">
        <f>IFERROR(IF(--MID($F180,2*COUNTIF($G180:G180,"&gt;"&amp;0)+2,1)=H$1,H$1,""),"")</f>
        <v/>
      </c>
      <c r="I180" s="36" t="str">
        <f>IFERROR(IF(--MID($F180,2*COUNTIF($G180:H180,"&gt;"&amp;0)+2,1)=I$1,I$1,""),"")</f>
        <v/>
      </c>
      <c r="J180" s="36">
        <f>IFERROR(IF(--MID($F180,2*COUNTIF($G180:I180,"&gt;"&amp;0)+2,1)=J$1,J$1,""),"")</f>
        <v>4</v>
      </c>
      <c r="K180" s="36" t="str">
        <f>IFERROR(IF(--MID($F180,2*COUNTIF($G180:J180,"&gt;"&amp;0)+2,1)=K$1,K$1,""),"")</f>
        <v/>
      </c>
      <c r="L180" s="36" t="str">
        <f>IFERROR(IF(--MID($F180,2*COUNTIF($G180:K180,"&gt;"&amp;0)+2,1)=L$1,L$1,""),"")</f>
        <v/>
      </c>
      <c r="M180" s="51" cm="1">
        <f t="array" ref="M180">IF($A180="","",IF(G180="","",_xlfn.XLOOKUP($D180&amp;"_"&amp;$AE180,符文权重!$A:$A&amp;"_"&amp;符文权重!$C:$C,符文权重!$D:$D)*$Y180/SUMIFS($Y:$Y,G:G,G180,$D:$D,$D180,$AE:$AE,$AE180)/SUMIF(符文权重!$A:$A,$D180,符文权重!$D:$D)))</f>
        <v>0.0612</v>
      </c>
      <c r="N180" s="51" t="str" cm="1">
        <f t="array" ref="N180">IF($A180="","",IF(H180="","",_xlfn.XLOOKUP($D180&amp;"_"&amp;$AE180,符文权重!$A:$A&amp;"_"&amp;符文权重!$C:$C,符文权重!$D:$D)*$Y180/SUMIFS($Y:$Y,H:H,H180,$D:$D,$D180,$AE:$AE,$AE180)/SUMIF(符文权重!$A:$A,$D180,符文权重!$D:$D)))</f>
        <v/>
      </c>
      <c r="O180" s="51" t="str" cm="1">
        <f t="array" ref="O180">IF($A180="","",IF(I180="","",_xlfn.XLOOKUP($D180&amp;"_"&amp;$AE180,符文权重!$A:$A&amp;"_"&amp;符文权重!$C:$C,符文权重!$D:$D)*$Y180/SUMIFS($Y:$Y,I:I,I180,$D:$D,$D180,$AE:$AE,$AE180)/SUMIF(符文权重!$A:$A,$D180,符文权重!$D:$D)))</f>
        <v/>
      </c>
      <c r="P180" s="51" cm="1">
        <f t="array" ref="P180">IF($A180="","",IF(J180="","",_xlfn.XLOOKUP($D180&amp;"_"&amp;$AE180,符文权重!$A:$A&amp;"_"&amp;符文权重!$C:$C,符文权重!$D:$D)*$Y180/SUMIFS($Y:$Y,J:J,J180,$D:$D,$D180,$AE:$AE,$AE180)/SUMIF(符文权重!$A:$A,$D180,符文权重!$D:$D)))</f>
        <v>0.0612</v>
      </c>
      <c r="Q180" s="51" t="str" cm="1">
        <f t="array" ref="Q180">IF($A180="","",IF(K180="","",_xlfn.XLOOKUP($D180&amp;"_"&amp;$AE180,符文权重!$A:$A&amp;"_"&amp;符文权重!$C:$C,符文权重!$D:$D)*$Y180/SUMIFS($Y:$Y,K:K,K180,$D:$D,$D180,$AE:$AE,$AE180)/SUMIF(符文权重!$A:$A,$D180,符文权重!$D:$D)))</f>
        <v/>
      </c>
      <c r="R180" s="51" t="str" cm="1">
        <f t="array" ref="R180">IF($A180="","",IF(L180="","",_xlfn.XLOOKUP($D180&amp;"_"&amp;$AE180,符文权重!$A:$A&amp;"_"&amp;符文权重!$C:$C,符文权重!$D:$D)*$Y180/SUMIFS($Y:$Y,L:L,L180,$D:$D,$D180,$AE:$AE,$AE180)/SUMIF(符文权重!$A:$A,$D180,符文权重!$D:$D)))</f>
        <v/>
      </c>
      <c r="S180" s="36" t="s">
        <v>175</v>
      </c>
      <c r="T180" s="36"/>
      <c r="U180" s="36" t="e">
        <f>IF(C180="","",SUBSTITUTE(SUBSTITUTE("[{global_atk,"&amp;#REF!*D180&amp;"}]",21,20),9,8))</f>
        <v>#REF!</v>
      </c>
      <c r="V180" s="52" t="str">
        <f t="shared" si="85"/>
        <v>[5502047]</v>
      </c>
      <c r="W180" s="36"/>
      <c r="X180" s="35"/>
      <c r="Y180" s="42">
        <v>100</v>
      </c>
      <c r="Z180" s="35"/>
      <c r="AA180" s="42" t="s">
        <v>191</v>
      </c>
      <c r="AB180" s="42" t="str">
        <f t="shared" si="63"/>
        <v>最前排梦灵获得&lt;color=#54b76b&gt;55%&lt;/color&gt;最大生命值</v>
      </c>
      <c r="AC180" s="48" t="str">
        <f t="shared" si="72"/>
        <v>5502041</v>
      </c>
      <c r="AD180" s="42" t="str">
        <f t="shared" si="73"/>
        <v>[55]</v>
      </c>
      <c r="AE180" s="36">
        <v>2</v>
      </c>
      <c r="AF180" s="36"/>
      <c r="AG180" s="36">
        <v>0</v>
      </c>
      <c r="AH180" s="35" t="s">
        <v>178</v>
      </c>
      <c r="AI180" s="48">
        <f t="shared" si="86"/>
        <v>5502047</v>
      </c>
      <c r="AJ180" s="53" t="str">
        <f t="shared" si="87"/>
        <v>最前排梦灵获得&lt;color=#54b76b&gt;%s%&lt;/color&gt;最大生命值</v>
      </c>
      <c r="AK180" s="36">
        <v>55</v>
      </c>
      <c r="AL180" s="36">
        <v>2</v>
      </c>
    </row>
    <row r="181" s="25" customFormat="1" hidden="1" customHeight="1" spans="1:38">
      <c r="A181" s="48" t="s">
        <v>178</v>
      </c>
      <c r="B181" s="41"/>
      <c r="C181" s="48" t="str">
        <f t="shared" si="69"/>
        <v/>
      </c>
      <c r="D181" s="42" t="str">
        <f t="shared" si="70"/>
        <v/>
      </c>
      <c r="E181" s="42"/>
      <c r="F181" s="36"/>
      <c r="G181" s="36" t="str">
        <f t="shared" si="66"/>
        <v/>
      </c>
      <c r="H181" s="36" t="str">
        <f>IFERROR(IF(--MID($F181,2*COUNTIF($G181:G181,"&gt;"&amp;0)+2,1)=H$1,H$1,""),"")</f>
        <v/>
      </c>
      <c r="I181" s="36" t="str">
        <f>IFERROR(IF(--MID($F181,2*COUNTIF($G181:H181,"&gt;"&amp;0)+2,1)=I$1,I$1,""),"")</f>
        <v/>
      </c>
      <c r="J181" s="36" t="str">
        <f>IFERROR(IF(--MID($F181,2*COUNTIF($G181:I181,"&gt;"&amp;0)+2,1)=J$1,J$1,""),"")</f>
        <v/>
      </c>
      <c r="K181" s="36" t="str">
        <f>IFERROR(IF(--MID($F181,2*COUNTIF($G181:J181,"&gt;"&amp;0)+2,1)=K$1,K$1,""),"")</f>
        <v/>
      </c>
      <c r="L181" s="36" t="str">
        <f>IFERROR(IF(--MID($F181,2*COUNTIF($G181:K181,"&gt;"&amp;0)+2,1)=L$1,L$1,""),"")</f>
        <v/>
      </c>
      <c r="M181" s="51" t="str" cm="1">
        <f t="array" ref="M181">IF($A181="","",IF(G181="","",_xlfn.XLOOKUP($D181&amp;"_"&amp;$AE181,符文权重!$A:$A&amp;"_"&amp;符文权重!$C:$C,符文权重!$D:$D)*$Y181/SUMIFS($Y:$Y,G:G,G181,$D:$D,$D181,$AE:$AE,$AE181)/SUMIF(符文权重!$A:$A,$D181,符文权重!$D:$D)))</f>
        <v/>
      </c>
      <c r="N181" s="36" t="str" cm="1">
        <f t="array" ref="N181">IF($A181="","",IF(H181="","",_xlfn.XLOOKUP($D181&amp;"_"&amp;$AE181,符文权重!$A:$A&amp;"_"&amp;符文权重!$C:$C,符文权重!$D:$D)*$Y181/SUMIFS($Y:$Y,H:H,H181,$D:$D,$D$6,$AE:$AE,$AE$6)))</f>
        <v/>
      </c>
      <c r="O181" s="36" t="str" cm="1">
        <f t="array" ref="O181">IF($A181="","",IF(I181="","",_xlfn.XLOOKUP($D181&amp;"_"&amp;$AE181,符文权重!$A:$A&amp;"_"&amp;符文权重!$C:$C,符文权重!$D:$D)*$Y181/SUMIFS($Y:$Y,I:I,I181,$D:$D,$D$6,$AE:$AE,$AE$6)))</f>
        <v/>
      </c>
      <c r="P181" s="36" t="str" cm="1">
        <f t="array" ref="P181">IF($A181="","",IF(J181="","",_xlfn.XLOOKUP($D181&amp;"_"&amp;$AE181,符文权重!$A:$A&amp;"_"&amp;符文权重!$C:$C,符文权重!$D:$D)*$Y181/SUMIFS($Y:$Y,J:J,J181,$D:$D,$D$6,$AE:$AE,$AE$6)))</f>
        <v/>
      </c>
      <c r="Q181" s="36" t="str" cm="1">
        <f t="array" ref="Q181">IF($A181="","",IF(K181="","",_xlfn.XLOOKUP($D181&amp;"_"&amp;$AE181,符文权重!$A:$A&amp;"_"&amp;符文权重!$C:$C,符文权重!$D:$D)*$Y181/SUMIFS($Y:$Y,K:K,K181,$D:$D,$D$6,$AE:$AE,$AE$6)))</f>
        <v/>
      </c>
      <c r="R181" s="36" t="str" cm="1">
        <f t="array" ref="R181">IF($A181="","",IF(L181="","",_xlfn.XLOOKUP($D181&amp;"_"&amp;$AE181,符文权重!$A:$A&amp;"_"&amp;符文权重!$C:$C,符文权重!$D:$D)*$Y181/SUMIFS($Y:$Y,L:L,L181,$D:$D,$D$6,$AE:$AE,$AE$6)))</f>
        <v/>
      </c>
      <c r="S181" s="36"/>
      <c r="T181" s="36"/>
      <c r="U181" s="36"/>
      <c r="W181" s="41"/>
      <c r="X181" s="35"/>
      <c r="Y181" s="42"/>
      <c r="Z181" s="35"/>
      <c r="AA181" s="42" t="s">
        <v>178</v>
      </c>
      <c r="AB181" s="42" t="str">
        <f t="shared" si="63"/>
        <v/>
      </c>
      <c r="AC181" s="48" t="str">
        <f t="shared" si="72"/>
        <v/>
      </c>
      <c r="AD181" s="42" t="str">
        <f t="shared" si="73"/>
        <v/>
      </c>
      <c r="AE181" s="36"/>
      <c r="AF181" s="36"/>
      <c r="AG181" s="36"/>
      <c r="AH181" s="35" t="s">
        <v>178</v>
      </c>
      <c r="AI181" s="33"/>
      <c r="AJ181" s="56"/>
      <c r="AK181" s="36"/>
      <c r="AL181" s="36"/>
    </row>
    <row r="182" s="27" customFormat="1" hidden="1" customHeight="1" spans="1:38">
      <c r="A182" s="57">
        <v>5502051</v>
      </c>
      <c r="B182" s="58" t="s">
        <v>347</v>
      </c>
      <c r="C182" s="57" t="str">
        <f t="shared" si="69"/>
        <v>5502051</v>
      </c>
      <c r="D182" s="59">
        <f t="shared" si="70"/>
        <v>1</v>
      </c>
      <c r="E182" s="59"/>
      <c r="F182" s="60" t="s">
        <v>348</v>
      </c>
      <c r="G182" s="36" t="str">
        <f t="shared" si="66"/>
        <v/>
      </c>
      <c r="H182" s="36" t="str">
        <f>IFERROR(IF(--MID($F182,2*COUNTIF($G182:G182,"&gt;"&amp;0)+2,1)=H$1,H$1,""),"")</f>
        <v/>
      </c>
      <c r="I182" s="36">
        <f>IFERROR(IF(--MID($F182,2*COUNTIF($G182:H182,"&gt;"&amp;0)+2,1)=I$1,I$1,""),"")</f>
        <v>3</v>
      </c>
      <c r="J182" s="36" t="str">
        <f>IFERROR(IF(--MID($F182,2*COUNTIF($G182:I182,"&gt;"&amp;0)+2,1)=J$1,J$1,""),"")</f>
        <v/>
      </c>
      <c r="K182" s="36" t="str">
        <f>IFERROR(IF(--MID($F182,2*COUNTIF($G182:J182,"&gt;"&amp;0)+2,1)=K$1,K$1,""),"")</f>
        <v/>
      </c>
      <c r="L182" s="36">
        <f>IFERROR(IF(--MID($F182,2*COUNTIF($G182:K182,"&gt;"&amp;0)+2,1)=L$1,L$1,""),"")</f>
        <v>6</v>
      </c>
      <c r="M182" s="36" t="e" cm="1">
        <f t="array" ref="M182">IF(A182="","",_xlfn.XLOOKUP(D182&amp;"_"&amp;AE182,符文权重!A:A&amp;"_"&amp;符文权重!C:C,符文权重!D:D))</f>
        <v>#N/A</v>
      </c>
      <c r="N182" s="36"/>
      <c r="O182" s="36"/>
      <c r="P182" s="36"/>
      <c r="Q182" s="36"/>
      <c r="R182" s="36"/>
      <c r="S182" s="60" t="s">
        <v>175</v>
      </c>
      <c r="T182" s="60"/>
      <c r="U182" s="60" t="e">
        <f>IF(C182="","",SUBSTITUTE(SUBSTITUTE("[{global_atk,"&amp;#REF!*D182&amp;"}]",21,20),9,8))</f>
        <v>#REF!</v>
      </c>
      <c r="V182" s="61" t="str">
        <f t="shared" ref="V182:V188" si="88">"["&amp;A182&amp;"]"</f>
        <v>[5502051]</v>
      </c>
      <c r="W182" s="60"/>
      <c r="X182" s="28"/>
      <c r="Y182" s="42">
        <v>100</v>
      </c>
      <c r="Z182" s="28"/>
      <c r="AA182" s="59" t="s">
        <v>177</v>
      </c>
      <c r="AB182" s="42" t="str">
        <f t="shared" si="63"/>
        <v>最前排梦灵获得相当于&lt;color=#54b76b&gt;0%&lt;/color&gt;最大生命值的护盾</v>
      </c>
      <c r="AC182" s="57" t="str">
        <f t="shared" si="72"/>
        <v>5502051</v>
      </c>
      <c r="AD182" s="59" t="str">
        <f t="shared" si="73"/>
        <v>[0]</v>
      </c>
      <c r="AE182" s="60">
        <v>100</v>
      </c>
      <c r="AF182" s="60"/>
      <c r="AG182" s="60">
        <v>1</v>
      </c>
      <c r="AH182" s="35" t="s">
        <v>178</v>
      </c>
      <c r="AI182" s="62">
        <v>5502051</v>
      </c>
      <c r="AJ182" s="63" t="s">
        <v>347</v>
      </c>
      <c r="AK182" s="60">
        <v>0</v>
      </c>
      <c r="AL182" s="36"/>
    </row>
    <row r="183" s="25" customFormat="1" hidden="1" customHeight="1" spans="1:38">
      <c r="A183" s="48">
        <v>5502052</v>
      </c>
      <c r="B183" s="34" t="s">
        <v>347</v>
      </c>
      <c r="C183" s="48" t="str">
        <f t="shared" si="69"/>
        <v>5502051</v>
      </c>
      <c r="D183" s="42">
        <f t="shared" si="70"/>
        <v>2</v>
      </c>
      <c r="E183" s="42"/>
      <c r="F183" s="36" t="s">
        <v>348</v>
      </c>
      <c r="G183" s="36" t="str">
        <f t="shared" si="66"/>
        <v/>
      </c>
      <c r="H183" s="36" t="str">
        <f>IFERROR(IF(--MID($F183,2*COUNTIF($G183:G183,"&gt;"&amp;0)+2,1)=H$1,H$1,""),"")</f>
        <v/>
      </c>
      <c r="I183" s="36">
        <f>IFERROR(IF(--MID($F183,2*COUNTIF($G183:H183,"&gt;"&amp;0)+2,1)=I$1,I$1,""),"")</f>
        <v>3</v>
      </c>
      <c r="J183" s="36" t="str">
        <f>IFERROR(IF(--MID($F183,2*COUNTIF($G183:I183,"&gt;"&amp;0)+2,1)=J$1,J$1,""),"")</f>
        <v/>
      </c>
      <c r="K183" s="36" t="str">
        <f>IFERROR(IF(--MID($F183,2*COUNTIF($G183:J183,"&gt;"&amp;0)+2,1)=K$1,K$1,""),"")</f>
        <v/>
      </c>
      <c r="L183" s="36">
        <f>IFERROR(IF(--MID($F183,2*COUNTIF($G183:K183,"&gt;"&amp;0)+2,1)=L$1,L$1,""),"")</f>
        <v>6</v>
      </c>
      <c r="M183" s="51" t="str" cm="1">
        <f t="array" ref="M183">IF($A183="","",IF(G183="","",_xlfn.XLOOKUP($D183&amp;"_"&amp;$AE183,符文权重!$A:$A&amp;"_"&amp;符文权重!$C:$C,符文权重!$D:$D)*$Y183/SUMIFS($Y:$Y,G:G,G183,$D:$D,$D183,$AE:$AE,$AE183)/SUMIF(符文权重!$A:$A,$D183,符文权重!$D:$D)))</f>
        <v/>
      </c>
      <c r="N183" s="51" t="str" cm="1">
        <f t="array" ref="N183">IF($A183="","",IF(H183="","",_xlfn.XLOOKUP($D183&amp;"_"&amp;$AE183,符文权重!$A:$A&amp;"_"&amp;符文权重!$C:$C,符文权重!$D:$D)*$Y183/SUMIFS($Y:$Y,H:H,H183,$D:$D,$D183,$AE:$AE,$AE183)/SUMIF(符文权重!$A:$A,$D183,符文权重!$D:$D)))</f>
        <v/>
      </c>
      <c r="O183" s="51" cm="1">
        <f t="array" ref="O183">IF($A183="","",IF(I183="","",_xlfn.XLOOKUP($D183&amp;"_"&amp;$AE183,符文权重!$A:$A&amp;"_"&amp;符文权重!$C:$C,符文权重!$D:$D)*$Y183/SUMIFS($Y:$Y,I:I,I183,$D:$D,$D183,$AE:$AE,$AE183)/SUMIF(符文权重!$A:$A,$D183,符文权重!$D:$D)))</f>
        <v>0.1</v>
      </c>
      <c r="P183" s="51" t="str" cm="1">
        <f t="array" ref="P183">IF($A183="","",IF(J183="","",_xlfn.XLOOKUP($D183&amp;"_"&amp;$AE183,符文权重!$A:$A&amp;"_"&amp;符文权重!$C:$C,符文权重!$D:$D)*$Y183/SUMIFS($Y:$Y,J:J,J183,$D:$D,$D183,$AE:$AE,$AE183)/SUMIF(符文权重!$A:$A,$D183,符文权重!$D:$D)))</f>
        <v/>
      </c>
      <c r="Q183" s="51" t="str" cm="1">
        <f t="array" ref="Q183">IF($A183="","",IF(K183="","",_xlfn.XLOOKUP($D183&amp;"_"&amp;$AE183,符文权重!$A:$A&amp;"_"&amp;符文权重!$C:$C,符文权重!$D:$D)*$Y183/SUMIFS($Y:$Y,K:K,K183,$D:$D,$D183,$AE:$AE,$AE183)/SUMIF(符文权重!$A:$A,$D183,符文权重!$D:$D)))</f>
        <v/>
      </c>
      <c r="R183" s="51" cm="1">
        <f t="array" ref="R183">IF($A183="","",IF(L183="","",_xlfn.XLOOKUP($D183&amp;"_"&amp;$AE183,符文权重!$A:$A&amp;"_"&amp;符文权重!$C:$C,符文权重!$D:$D)*$Y183/SUMIFS($Y:$Y,L:L,L183,$D:$D,$D183,$AE:$AE,$AE183)/SUMIF(符文权重!$A:$A,$D183,符文权重!$D:$D)))</f>
        <v>0.11</v>
      </c>
      <c r="S183" s="36" t="s">
        <v>175</v>
      </c>
      <c r="T183" s="36"/>
      <c r="U183" s="36" t="e">
        <f>IF(C183="","",SUBSTITUTE(SUBSTITUTE("[{global_atk,"&amp;#REF!*D183&amp;"}]",21,20),9,8))</f>
        <v>#REF!</v>
      </c>
      <c r="V183" s="52" t="str">
        <f t="shared" si="88"/>
        <v>[5502052]</v>
      </c>
      <c r="W183" s="36"/>
      <c r="X183" s="35"/>
      <c r="Y183" s="42">
        <v>100</v>
      </c>
      <c r="Z183" s="35"/>
      <c r="AA183" s="42" t="s">
        <v>181</v>
      </c>
      <c r="AB183" s="42" t="str">
        <f t="shared" si="63"/>
        <v>最前排梦灵获得相当于&lt;color=#54b76b&gt;5%&lt;/color&gt;最大生命值的护盾</v>
      </c>
      <c r="AC183" s="48" t="str">
        <f t="shared" si="72"/>
        <v>5502051</v>
      </c>
      <c r="AD183" s="42" t="str">
        <f t="shared" si="73"/>
        <v>[5]</v>
      </c>
      <c r="AE183" s="36">
        <v>2</v>
      </c>
      <c r="AF183" s="36"/>
      <c r="AG183" s="36">
        <v>0</v>
      </c>
      <c r="AH183" s="35" t="s">
        <v>178</v>
      </c>
      <c r="AI183" s="48">
        <f t="shared" ref="AI183:AI188" si="89">AI182+1</f>
        <v>5502052</v>
      </c>
      <c r="AJ183" s="53" t="str">
        <f t="shared" ref="AJ183:AJ188" si="90">AJ182</f>
        <v>最前排梦灵获得相当于&lt;color=#54b76b&gt;%s%&lt;/color&gt;最大生命值的护盾</v>
      </c>
      <c r="AK183" s="36">
        <v>5</v>
      </c>
      <c r="AL183" s="36">
        <v>2</v>
      </c>
    </row>
    <row r="184" s="25" customFormat="1" hidden="1" customHeight="1" spans="1:38">
      <c r="A184" s="48">
        <v>5502053</v>
      </c>
      <c r="B184" s="34" t="s">
        <v>347</v>
      </c>
      <c r="C184" s="48" t="str">
        <f t="shared" si="69"/>
        <v>5502051</v>
      </c>
      <c r="D184" s="42">
        <f t="shared" si="70"/>
        <v>3</v>
      </c>
      <c r="E184" s="42"/>
      <c r="F184" s="36" t="s">
        <v>348</v>
      </c>
      <c r="G184" s="36" t="str">
        <f t="shared" si="66"/>
        <v/>
      </c>
      <c r="H184" s="36" t="str">
        <f>IFERROR(IF(--MID($F184,2*COUNTIF($G184:G184,"&gt;"&amp;0)+2,1)=H$1,H$1,""),"")</f>
        <v/>
      </c>
      <c r="I184" s="36">
        <f>IFERROR(IF(--MID($F184,2*COUNTIF($G184:H184,"&gt;"&amp;0)+2,1)=I$1,I$1,""),"")</f>
        <v>3</v>
      </c>
      <c r="J184" s="36" t="str">
        <f>IFERROR(IF(--MID($F184,2*COUNTIF($G184:I184,"&gt;"&amp;0)+2,1)=J$1,J$1,""),"")</f>
        <v/>
      </c>
      <c r="K184" s="36" t="str">
        <f>IFERROR(IF(--MID($F184,2*COUNTIF($G184:J184,"&gt;"&amp;0)+2,1)=K$1,K$1,""),"")</f>
        <v/>
      </c>
      <c r="L184" s="36">
        <f>IFERROR(IF(--MID($F184,2*COUNTIF($G184:K184,"&gt;"&amp;0)+2,1)=L$1,L$1,""),"")</f>
        <v>6</v>
      </c>
      <c r="M184" s="51" t="str" cm="1">
        <f t="array" ref="M184">IF($A184="","",IF(G184="","",_xlfn.XLOOKUP($D184&amp;"_"&amp;$AE184,符文权重!$A:$A&amp;"_"&amp;符文权重!$C:$C,符文权重!$D:$D)*$Y184/SUMIFS($Y:$Y,G:G,G184,$D:$D,$D184,$AE:$AE,$AE184)/SUMIF(符文权重!$A:$A,$D184,符文权重!$D:$D)))</f>
        <v/>
      </c>
      <c r="N184" s="51" t="str" cm="1">
        <f t="array" ref="N184">IF($A184="","",IF(H184="","",_xlfn.XLOOKUP($D184&amp;"_"&amp;$AE184,符文权重!$A:$A&amp;"_"&amp;符文权重!$C:$C,符文权重!$D:$D)*$Y184/SUMIFS($Y:$Y,H:H,H184,$D:$D,$D184,$AE:$AE,$AE184)/SUMIF(符文权重!$A:$A,$D184,符文权重!$D:$D)))</f>
        <v/>
      </c>
      <c r="O184" s="51" cm="1">
        <f t="array" ref="O184">IF($A184="","",IF(I184="","",_xlfn.XLOOKUP($D184&amp;"_"&amp;$AE184,符文权重!$A:$A&amp;"_"&amp;符文权重!$C:$C,符文权重!$D:$D)*$Y184/SUMIFS($Y:$Y,I:I,I184,$D:$D,$D184,$AE:$AE,$AE184)/SUMIF(符文权重!$A:$A,$D184,符文权重!$D:$D)))</f>
        <v>0.0920542635658915</v>
      </c>
      <c r="P184" s="51" t="str" cm="1">
        <f t="array" ref="P184">IF($A184="","",IF(J184="","",_xlfn.XLOOKUP($D184&amp;"_"&amp;$AE184,符文权重!$A:$A&amp;"_"&amp;符文权重!$C:$C,符文权重!$D:$D)*$Y184/SUMIFS($Y:$Y,J:J,J184,$D:$D,$D184,$AE:$AE,$AE184)/SUMIF(符文权重!$A:$A,$D184,符文权重!$D:$D)))</f>
        <v/>
      </c>
      <c r="Q184" s="51" t="str" cm="1">
        <f t="array" ref="Q184">IF($A184="","",IF(K184="","",_xlfn.XLOOKUP($D184&amp;"_"&amp;$AE184,符文权重!$A:$A&amp;"_"&amp;符文权重!$C:$C,符文权重!$D:$D)*$Y184/SUMIFS($Y:$Y,K:K,K184,$D:$D,$D184,$AE:$AE,$AE184)/SUMIF(符文权重!$A:$A,$D184,符文权重!$D:$D)))</f>
        <v/>
      </c>
      <c r="R184" s="51" cm="1">
        <f t="array" ref="R184">IF($A184="","",IF(L184="","",_xlfn.XLOOKUP($D184&amp;"_"&amp;$AE184,符文权重!$A:$A&amp;"_"&amp;符文权重!$C:$C,符文权重!$D:$D)*$Y184/SUMIFS($Y:$Y,L:L,L184,$D:$D,$D184,$AE:$AE,$AE184)/SUMIF(符文权重!$A:$A,$D184,符文权重!$D:$D)))</f>
        <v>0.0909961685823755</v>
      </c>
      <c r="S184" s="36" t="s">
        <v>175</v>
      </c>
      <c r="T184" s="36"/>
      <c r="U184" s="36" t="e">
        <f>IF(C184="","",SUBSTITUTE(SUBSTITUTE("[{global_atk,"&amp;#REF!*D184&amp;"}]",21,20),9,8))</f>
        <v>#REF!</v>
      </c>
      <c r="V184" s="52" t="str">
        <f t="shared" si="88"/>
        <v>[5502053]</v>
      </c>
      <c r="W184" s="36"/>
      <c r="X184" s="35"/>
      <c r="Y184" s="42">
        <v>100</v>
      </c>
      <c r="Z184" s="35"/>
      <c r="AA184" s="42" t="s">
        <v>183</v>
      </c>
      <c r="AB184" s="42" t="str">
        <f t="shared" si="63"/>
        <v>最前排梦灵获得相当于&lt;color=#54b76b&gt;7.5%&lt;/color&gt;最大生命值的护盾</v>
      </c>
      <c r="AC184" s="48" t="str">
        <f t="shared" si="72"/>
        <v>5502051</v>
      </c>
      <c r="AD184" s="42" t="str">
        <f t="shared" si="73"/>
        <v>[7.5]</v>
      </c>
      <c r="AE184" s="36">
        <v>2</v>
      </c>
      <c r="AF184" s="36"/>
      <c r="AG184" s="36">
        <v>0</v>
      </c>
      <c r="AH184" s="35" t="s">
        <v>178</v>
      </c>
      <c r="AI184" s="48">
        <f t="shared" si="89"/>
        <v>5502053</v>
      </c>
      <c r="AJ184" s="53" t="str">
        <f t="shared" si="90"/>
        <v>最前排梦灵获得相当于&lt;color=#54b76b&gt;%s%&lt;/color&gt;最大生命值的护盾</v>
      </c>
      <c r="AK184" s="36">
        <v>7.5</v>
      </c>
      <c r="AL184" s="36">
        <v>2</v>
      </c>
    </row>
    <row r="185" s="25" customFormat="1" hidden="1" customHeight="1" spans="1:38">
      <c r="A185" s="48">
        <v>5502054</v>
      </c>
      <c r="B185" s="34" t="s">
        <v>347</v>
      </c>
      <c r="C185" s="48" t="str">
        <f t="shared" si="69"/>
        <v>5502051</v>
      </c>
      <c r="D185" s="42">
        <f t="shared" si="70"/>
        <v>4</v>
      </c>
      <c r="E185" s="42"/>
      <c r="F185" s="36" t="s">
        <v>348</v>
      </c>
      <c r="G185" s="36" t="str">
        <f t="shared" si="66"/>
        <v/>
      </c>
      <c r="H185" s="36" t="str">
        <f>IFERROR(IF(--MID($F185,2*COUNTIF($G185:G185,"&gt;"&amp;0)+2,1)=H$1,H$1,""),"")</f>
        <v/>
      </c>
      <c r="I185" s="36">
        <f>IFERROR(IF(--MID($F185,2*COUNTIF($G185:H185,"&gt;"&amp;0)+2,1)=I$1,I$1,""),"")</f>
        <v>3</v>
      </c>
      <c r="J185" s="36" t="str">
        <f>IFERROR(IF(--MID($F185,2*COUNTIF($G185:I185,"&gt;"&amp;0)+2,1)=J$1,J$1,""),"")</f>
        <v/>
      </c>
      <c r="K185" s="36" t="str">
        <f>IFERROR(IF(--MID($F185,2*COUNTIF($G185:J185,"&gt;"&amp;0)+2,1)=K$1,K$1,""),"")</f>
        <v/>
      </c>
      <c r="L185" s="36">
        <f>IFERROR(IF(--MID($F185,2*COUNTIF($G185:K185,"&gt;"&amp;0)+2,1)=L$1,L$1,""),"")</f>
        <v>6</v>
      </c>
      <c r="M185" s="51" t="str" cm="1">
        <f t="array" ref="M185">IF($A185="","",IF(G185="","",_xlfn.XLOOKUP($D185&amp;"_"&amp;$AE185,符文权重!$A:$A&amp;"_"&amp;符文权重!$C:$C,符文权重!$D:$D)*$Y185/SUMIFS($Y:$Y,G:G,G185,$D:$D,$D185,$AE:$AE,$AE185)/SUMIF(符文权重!$A:$A,$D185,符文权重!$D:$D)))</f>
        <v/>
      </c>
      <c r="N185" s="51" t="str" cm="1">
        <f t="array" ref="N185">IF($A185="","",IF(H185="","",_xlfn.XLOOKUP($D185&amp;"_"&amp;$AE185,符文权重!$A:$A&amp;"_"&amp;符文权重!$C:$C,符文权重!$D:$D)*$Y185/SUMIFS($Y:$Y,H:H,H185,$D:$D,$D185,$AE:$AE,$AE185)/SUMIF(符文权重!$A:$A,$D185,符文权重!$D:$D)))</f>
        <v/>
      </c>
      <c r="O185" s="51" cm="1">
        <f t="array" ref="O185">IF($A185="","",IF(I185="","",_xlfn.XLOOKUP($D185&amp;"_"&amp;$AE185,符文权重!$A:$A&amp;"_"&amp;符文权重!$C:$C,符文权重!$D:$D)*$Y185/SUMIFS($Y:$Y,I:I,I185,$D:$D,$D185,$AE:$AE,$AE185)/SUMIF(符文权重!$A:$A,$D185,符文权重!$D:$D)))</f>
        <v>0.0628628628628629</v>
      </c>
      <c r="P185" s="51" t="str" cm="1">
        <f t="array" ref="P185">IF($A185="","",IF(J185="","",_xlfn.XLOOKUP($D185&amp;"_"&amp;$AE185,符文权重!$A:$A&amp;"_"&amp;符文权重!$C:$C,符文权重!$D:$D)*$Y185/SUMIFS($Y:$Y,J:J,J185,$D:$D,$D185,$AE:$AE,$AE185)/SUMIF(符文权重!$A:$A,$D185,符文权重!$D:$D)))</f>
        <v/>
      </c>
      <c r="Q185" s="51" t="str" cm="1">
        <f t="array" ref="Q185">IF($A185="","",IF(K185="","",_xlfn.XLOOKUP($D185&amp;"_"&amp;$AE185,符文权重!$A:$A&amp;"_"&amp;符文权重!$C:$C,符文权重!$D:$D)*$Y185/SUMIFS($Y:$Y,K:K,K185,$D:$D,$D185,$AE:$AE,$AE185)/SUMIF(符文权重!$A:$A,$D185,符文权重!$D:$D)))</f>
        <v/>
      </c>
      <c r="R185" s="51" cm="1">
        <f t="array" ref="R185">IF($A185="","",IF(L185="","",_xlfn.XLOOKUP($D185&amp;"_"&amp;$AE185,符文权重!$A:$A&amp;"_"&amp;符文权重!$C:$C,符文权重!$D:$D)*$Y185/SUMIFS($Y:$Y,L:L,L185,$D:$D,$D185,$AE:$AE,$AE185)/SUMIF(符文权重!$A:$A,$D185,符文权重!$D:$D)))</f>
        <v>0.0628628628628629</v>
      </c>
      <c r="S185" s="36" t="s">
        <v>175</v>
      </c>
      <c r="T185" s="36"/>
      <c r="U185" s="36" t="e">
        <f>IF(C185="","",SUBSTITUTE(SUBSTITUTE("[{global_atk,"&amp;#REF!*D185&amp;"}]",21,20),9,8))</f>
        <v>#REF!</v>
      </c>
      <c r="V185" s="52" t="str">
        <f t="shared" si="88"/>
        <v>[5502054]</v>
      </c>
      <c r="W185" s="36"/>
      <c r="X185" s="35"/>
      <c r="Y185" s="42">
        <v>100</v>
      </c>
      <c r="Z185" s="35"/>
      <c r="AA185" s="42" t="s">
        <v>185</v>
      </c>
      <c r="AB185" s="42" t="str">
        <f t="shared" si="63"/>
        <v>最前排梦灵获得相当于&lt;color=#54b76b&gt;10%&lt;/color&gt;最大生命值的护盾</v>
      </c>
      <c r="AC185" s="48" t="str">
        <f t="shared" si="72"/>
        <v>5502051</v>
      </c>
      <c r="AD185" s="42" t="str">
        <f t="shared" si="73"/>
        <v>[10]</v>
      </c>
      <c r="AE185" s="36">
        <v>2</v>
      </c>
      <c r="AF185" s="36"/>
      <c r="AG185" s="36">
        <v>0</v>
      </c>
      <c r="AH185" s="35" t="s">
        <v>178</v>
      </c>
      <c r="AI185" s="48">
        <f t="shared" si="89"/>
        <v>5502054</v>
      </c>
      <c r="AJ185" s="53" t="str">
        <f t="shared" si="90"/>
        <v>最前排梦灵获得相当于&lt;color=#54b76b&gt;%s%&lt;/color&gt;最大生命值的护盾</v>
      </c>
      <c r="AK185" s="36">
        <v>10</v>
      </c>
      <c r="AL185" s="36">
        <v>2</v>
      </c>
    </row>
    <row r="186" s="25" customFormat="1" hidden="1" customHeight="1" spans="1:38">
      <c r="A186" s="48">
        <v>5502055</v>
      </c>
      <c r="B186" s="34" t="s">
        <v>347</v>
      </c>
      <c r="C186" s="48" t="str">
        <f t="shared" si="69"/>
        <v>5502051</v>
      </c>
      <c r="D186" s="42">
        <f t="shared" si="70"/>
        <v>5</v>
      </c>
      <c r="E186" s="42"/>
      <c r="F186" s="36" t="s">
        <v>348</v>
      </c>
      <c r="G186" s="36" t="str">
        <f t="shared" si="66"/>
        <v/>
      </c>
      <c r="H186" s="36" t="str">
        <f>IFERROR(IF(--MID($F186,2*COUNTIF($G186:G186,"&gt;"&amp;0)+2,1)=H$1,H$1,""),"")</f>
        <v/>
      </c>
      <c r="I186" s="36">
        <f>IFERROR(IF(--MID($F186,2*COUNTIF($G186:H186,"&gt;"&amp;0)+2,1)=I$1,I$1,""),"")</f>
        <v>3</v>
      </c>
      <c r="J186" s="36" t="str">
        <f>IFERROR(IF(--MID($F186,2*COUNTIF($G186:I186,"&gt;"&amp;0)+2,1)=J$1,J$1,""),"")</f>
        <v/>
      </c>
      <c r="K186" s="36" t="str">
        <f>IFERROR(IF(--MID($F186,2*COUNTIF($G186:J186,"&gt;"&amp;0)+2,1)=K$1,K$1,""),"")</f>
        <v/>
      </c>
      <c r="L186" s="36">
        <f>IFERROR(IF(--MID($F186,2*COUNTIF($G186:K186,"&gt;"&amp;0)+2,1)=L$1,L$1,""),"")</f>
        <v>6</v>
      </c>
      <c r="M186" s="51" t="str" cm="1">
        <f t="array" ref="M186">IF($A186="","",IF(G186="","",_xlfn.XLOOKUP($D186&amp;"_"&amp;$AE186,符文权重!$A:$A&amp;"_"&amp;符文权重!$C:$C,符文权重!$D:$D)*$Y186/SUMIFS($Y:$Y,G:G,G186,$D:$D,$D186,$AE:$AE,$AE186)/SUMIF(符文权重!$A:$A,$D186,符文权重!$D:$D)))</f>
        <v/>
      </c>
      <c r="N186" s="51" t="str" cm="1">
        <f t="array" ref="N186">IF($A186="","",IF(H186="","",_xlfn.XLOOKUP($D186&amp;"_"&amp;$AE186,符文权重!$A:$A&amp;"_"&amp;符文权重!$C:$C,符文权重!$D:$D)*$Y186/SUMIFS($Y:$Y,H:H,H186,$D:$D,$D186,$AE:$AE,$AE186)/SUMIF(符文权重!$A:$A,$D186,符文权重!$D:$D)))</f>
        <v/>
      </c>
      <c r="O186" s="51" cm="1">
        <f t="array" ref="O186">IF($A186="","",IF(I186="","",_xlfn.XLOOKUP($D186&amp;"_"&amp;$AE186,符文权重!$A:$A&amp;"_"&amp;符文权重!$C:$C,符文权重!$D:$D)*$Y186/SUMIFS($Y:$Y,I:I,I186,$D:$D,$D186,$AE:$AE,$AE186)/SUMIF(符文权重!$A:$A,$D186,符文权重!$D:$D)))</f>
        <v>0.0612</v>
      </c>
      <c r="P186" s="51" t="str" cm="1">
        <f t="array" ref="P186">IF($A186="","",IF(J186="","",_xlfn.XLOOKUP($D186&amp;"_"&amp;$AE186,符文权重!$A:$A&amp;"_"&amp;符文权重!$C:$C,符文权重!$D:$D)*$Y186/SUMIFS($Y:$Y,J:J,J186,$D:$D,$D186,$AE:$AE,$AE186)/SUMIF(符文权重!$A:$A,$D186,符文权重!$D:$D)))</f>
        <v/>
      </c>
      <c r="Q186" s="51" t="str" cm="1">
        <f t="array" ref="Q186">IF($A186="","",IF(K186="","",_xlfn.XLOOKUP($D186&amp;"_"&amp;$AE186,符文权重!$A:$A&amp;"_"&amp;符文权重!$C:$C,符文权重!$D:$D)*$Y186/SUMIFS($Y:$Y,K:K,K186,$D:$D,$D186,$AE:$AE,$AE186)/SUMIF(符文权重!$A:$A,$D186,符文权重!$D:$D)))</f>
        <v/>
      </c>
      <c r="R186" s="51" cm="1">
        <f t="array" ref="R186">IF($A186="","",IF(L186="","",_xlfn.XLOOKUP($D186&amp;"_"&amp;$AE186,符文权重!$A:$A&amp;"_"&amp;符文权重!$C:$C,符文权重!$D:$D)*$Y186/SUMIFS($Y:$Y,L:L,L186,$D:$D,$D186,$AE:$AE,$AE186)/SUMIF(符文权重!$A:$A,$D186,符文权重!$D:$D)))</f>
        <v>0.0612</v>
      </c>
      <c r="S186" s="36" t="s">
        <v>175</v>
      </c>
      <c r="T186" s="36"/>
      <c r="U186" s="36" t="e">
        <f>IF(C186="","",SUBSTITUTE(SUBSTITUTE("[{global_atk,"&amp;#REF!*D186&amp;"}]",21,20),9,8))</f>
        <v>#REF!</v>
      </c>
      <c r="V186" s="52" t="str">
        <f t="shared" si="88"/>
        <v>[5502055]</v>
      </c>
      <c r="W186" s="36"/>
      <c r="X186" s="35"/>
      <c r="Y186" s="42">
        <v>100</v>
      </c>
      <c r="Z186" s="35"/>
      <c r="AA186" s="42" t="s">
        <v>187</v>
      </c>
      <c r="AB186" s="42" t="str">
        <f t="shared" si="63"/>
        <v>最前排梦灵获得相当于&lt;color=#54b76b&gt;12.5%&lt;/color&gt;最大生命值的护盾</v>
      </c>
      <c r="AC186" s="48" t="str">
        <f t="shared" si="72"/>
        <v>5502051</v>
      </c>
      <c r="AD186" s="42" t="str">
        <f t="shared" si="73"/>
        <v>[12.5]</v>
      </c>
      <c r="AE186" s="36">
        <v>2</v>
      </c>
      <c r="AF186" s="36"/>
      <c r="AG186" s="36">
        <v>0</v>
      </c>
      <c r="AH186" s="35" t="s">
        <v>178</v>
      </c>
      <c r="AI186" s="48">
        <f t="shared" si="89"/>
        <v>5502055</v>
      </c>
      <c r="AJ186" s="53" t="str">
        <f t="shared" si="90"/>
        <v>最前排梦灵获得相当于&lt;color=#54b76b&gt;%s%&lt;/color&gt;最大生命值的护盾</v>
      </c>
      <c r="AK186" s="36">
        <v>12.5</v>
      </c>
      <c r="AL186" s="36">
        <v>2</v>
      </c>
    </row>
    <row r="187" s="25" customFormat="1" hidden="1" customHeight="1" spans="1:38">
      <c r="A187" s="48">
        <v>5502056</v>
      </c>
      <c r="B187" s="34" t="s">
        <v>347</v>
      </c>
      <c r="C187" s="48" t="str">
        <f t="shared" si="69"/>
        <v>5502051</v>
      </c>
      <c r="D187" s="42">
        <f t="shared" si="70"/>
        <v>6</v>
      </c>
      <c r="E187" s="42"/>
      <c r="F187" s="36" t="s">
        <v>348</v>
      </c>
      <c r="G187" s="36" t="str">
        <f t="shared" si="66"/>
        <v/>
      </c>
      <c r="H187" s="36" t="str">
        <f>IFERROR(IF(--MID($F187,2*COUNTIF($G187:G187,"&gt;"&amp;0)+2,1)=H$1,H$1,""),"")</f>
        <v/>
      </c>
      <c r="I187" s="36">
        <f>IFERROR(IF(--MID($F187,2*COUNTIF($G187:H187,"&gt;"&amp;0)+2,1)=I$1,I$1,""),"")</f>
        <v>3</v>
      </c>
      <c r="J187" s="36" t="str">
        <f>IFERROR(IF(--MID($F187,2*COUNTIF($G187:I187,"&gt;"&amp;0)+2,1)=J$1,J$1,""),"")</f>
        <v/>
      </c>
      <c r="K187" s="36" t="str">
        <f>IFERROR(IF(--MID($F187,2*COUNTIF($G187:J187,"&gt;"&amp;0)+2,1)=K$1,K$1,""),"")</f>
        <v/>
      </c>
      <c r="L187" s="36">
        <f>IFERROR(IF(--MID($F187,2*COUNTIF($G187:K187,"&gt;"&amp;0)+2,1)=L$1,L$1,""),"")</f>
        <v>6</v>
      </c>
      <c r="M187" s="51" t="str" cm="1">
        <f t="array" ref="M187">IF($A187="","",IF(G187="","",_xlfn.XLOOKUP($D187&amp;"_"&amp;$AE187,符文权重!$A:$A&amp;"_"&amp;符文权重!$C:$C,符文权重!$D:$D)*$Y187/SUMIFS($Y:$Y,G:G,G187,$D:$D,$D187,$AE:$AE,$AE187)/SUMIF(符文权重!$A:$A,$D187,符文权重!$D:$D)))</f>
        <v/>
      </c>
      <c r="N187" s="51" t="str" cm="1">
        <f t="array" ref="N187">IF($A187="","",IF(H187="","",_xlfn.XLOOKUP($D187&amp;"_"&amp;$AE187,符文权重!$A:$A&amp;"_"&amp;符文权重!$C:$C,符文权重!$D:$D)*$Y187/SUMIFS($Y:$Y,H:H,H187,$D:$D,$D187,$AE:$AE,$AE187)/SUMIF(符文权重!$A:$A,$D187,符文权重!$D:$D)))</f>
        <v/>
      </c>
      <c r="O187" s="51" cm="1">
        <f t="array" ref="O187">IF($A187="","",IF(I187="","",_xlfn.XLOOKUP($D187&amp;"_"&amp;$AE187,符文权重!$A:$A&amp;"_"&amp;符文权重!$C:$C,符文权重!$D:$D)*$Y187/SUMIFS($Y:$Y,I:I,I187,$D:$D,$D187,$AE:$AE,$AE187)/SUMIF(符文权重!$A:$A,$D187,符文权重!$D:$D)))</f>
        <v>0.0612</v>
      </c>
      <c r="P187" s="51" t="str" cm="1">
        <f t="array" ref="P187">IF($A187="","",IF(J187="","",_xlfn.XLOOKUP($D187&amp;"_"&amp;$AE187,符文权重!$A:$A&amp;"_"&amp;符文权重!$C:$C,符文权重!$D:$D)*$Y187/SUMIFS($Y:$Y,J:J,J187,$D:$D,$D187,$AE:$AE,$AE187)/SUMIF(符文权重!$A:$A,$D187,符文权重!$D:$D)))</f>
        <v/>
      </c>
      <c r="Q187" s="51" t="str" cm="1">
        <f t="array" ref="Q187">IF($A187="","",IF(K187="","",_xlfn.XLOOKUP($D187&amp;"_"&amp;$AE187,符文权重!$A:$A&amp;"_"&amp;符文权重!$C:$C,符文权重!$D:$D)*$Y187/SUMIFS($Y:$Y,K:K,K187,$D:$D,$D187,$AE:$AE,$AE187)/SUMIF(符文权重!$A:$A,$D187,符文权重!$D:$D)))</f>
        <v/>
      </c>
      <c r="R187" s="51" cm="1">
        <f t="array" ref="R187">IF($A187="","",IF(L187="","",_xlfn.XLOOKUP($D187&amp;"_"&amp;$AE187,符文权重!$A:$A&amp;"_"&amp;符文权重!$C:$C,符文权重!$D:$D)*$Y187/SUMIFS($Y:$Y,L:L,L187,$D:$D,$D187,$AE:$AE,$AE187)/SUMIF(符文权重!$A:$A,$D187,符文权重!$D:$D)))</f>
        <v>0.0612</v>
      </c>
      <c r="S187" s="36" t="s">
        <v>175</v>
      </c>
      <c r="T187" s="36"/>
      <c r="U187" s="36" t="e">
        <f>IF(C187="","",SUBSTITUTE(SUBSTITUTE("[{global_atk,"&amp;#REF!*D187&amp;"}]",21,20),9,8))</f>
        <v>#REF!</v>
      </c>
      <c r="V187" s="52" t="str">
        <f t="shared" si="88"/>
        <v>[5502056]</v>
      </c>
      <c r="W187" s="36"/>
      <c r="X187" s="35"/>
      <c r="Y187" s="42">
        <v>100</v>
      </c>
      <c r="Z187" s="35"/>
      <c r="AA187" s="42" t="s">
        <v>189</v>
      </c>
      <c r="AB187" s="42" t="str">
        <f t="shared" si="63"/>
        <v>最前排梦灵获得相当于&lt;color=#54b76b&gt;15%&lt;/color&gt;最大生命值的护盾</v>
      </c>
      <c r="AC187" s="48" t="str">
        <f t="shared" si="72"/>
        <v>5502051</v>
      </c>
      <c r="AD187" s="42" t="str">
        <f t="shared" si="73"/>
        <v>[15]</v>
      </c>
      <c r="AE187" s="36">
        <v>2</v>
      </c>
      <c r="AF187" s="36"/>
      <c r="AG187" s="36">
        <v>0</v>
      </c>
      <c r="AH187" s="35" t="s">
        <v>178</v>
      </c>
      <c r="AI187" s="48">
        <f t="shared" si="89"/>
        <v>5502056</v>
      </c>
      <c r="AJ187" s="53" t="str">
        <f t="shared" si="90"/>
        <v>最前排梦灵获得相当于&lt;color=#54b76b&gt;%s%&lt;/color&gt;最大生命值的护盾</v>
      </c>
      <c r="AK187" s="36">
        <v>15</v>
      </c>
      <c r="AL187" s="36">
        <v>2</v>
      </c>
    </row>
    <row r="188" s="25" customFormat="1" hidden="1" customHeight="1" spans="1:38">
      <c r="A188" s="48">
        <v>5502057</v>
      </c>
      <c r="B188" s="34" t="s">
        <v>347</v>
      </c>
      <c r="C188" s="48" t="str">
        <f t="shared" si="69"/>
        <v>5502051</v>
      </c>
      <c r="D188" s="42">
        <f t="shared" si="70"/>
        <v>7</v>
      </c>
      <c r="E188" s="42"/>
      <c r="F188" s="36" t="s">
        <v>348</v>
      </c>
      <c r="G188" s="36" t="str">
        <f t="shared" si="66"/>
        <v/>
      </c>
      <c r="H188" s="36" t="str">
        <f>IFERROR(IF(--MID($F188,2*COUNTIF($G188:G188,"&gt;"&amp;0)+2,1)=H$1,H$1,""),"")</f>
        <v/>
      </c>
      <c r="I188" s="36">
        <f>IFERROR(IF(--MID($F188,2*COUNTIF($G188:H188,"&gt;"&amp;0)+2,1)=I$1,I$1,""),"")</f>
        <v>3</v>
      </c>
      <c r="J188" s="36" t="str">
        <f>IFERROR(IF(--MID($F188,2*COUNTIF($G188:I188,"&gt;"&amp;0)+2,1)=J$1,J$1,""),"")</f>
        <v/>
      </c>
      <c r="K188" s="36" t="str">
        <f>IFERROR(IF(--MID($F188,2*COUNTIF($G188:J188,"&gt;"&amp;0)+2,1)=K$1,K$1,""),"")</f>
        <v/>
      </c>
      <c r="L188" s="36">
        <f>IFERROR(IF(--MID($F188,2*COUNTIF($G188:K188,"&gt;"&amp;0)+2,1)=L$1,L$1,""),"")</f>
        <v>6</v>
      </c>
      <c r="M188" s="51" t="str" cm="1">
        <f t="array" ref="M188">IF($A188="","",IF(G188="","",_xlfn.XLOOKUP($D188&amp;"_"&amp;$AE188,符文权重!$A:$A&amp;"_"&amp;符文权重!$C:$C,符文权重!$D:$D)*$Y188/SUMIFS($Y:$Y,G:G,G188,$D:$D,$D188,$AE:$AE,$AE188)/SUMIF(符文权重!$A:$A,$D188,符文权重!$D:$D)))</f>
        <v/>
      </c>
      <c r="N188" s="51" t="str" cm="1">
        <f t="array" ref="N188">IF($A188="","",IF(H188="","",_xlfn.XLOOKUP($D188&amp;"_"&amp;$AE188,符文权重!$A:$A&amp;"_"&amp;符文权重!$C:$C,符文权重!$D:$D)*$Y188/SUMIFS($Y:$Y,H:H,H188,$D:$D,$D188,$AE:$AE,$AE188)/SUMIF(符文权重!$A:$A,$D188,符文权重!$D:$D)))</f>
        <v/>
      </c>
      <c r="O188" s="51" cm="1">
        <f t="array" ref="O188">IF($A188="","",IF(I188="","",_xlfn.XLOOKUP($D188&amp;"_"&amp;$AE188,符文权重!$A:$A&amp;"_"&amp;符文权重!$C:$C,符文权重!$D:$D)*$Y188/SUMIFS($Y:$Y,I:I,I188,$D:$D,$D188,$AE:$AE,$AE188)/SUMIF(符文权重!$A:$A,$D188,符文权重!$D:$D)))</f>
        <v>0.0612</v>
      </c>
      <c r="P188" s="51" t="str" cm="1">
        <f t="array" ref="P188">IF($A188="","",IF(J188="","",_xlfn.XLOOKUP($D188&amp;"_"&amp;$AE188,符文权重!$A:$A&amp;"_"&amp;符文权重!$C:$C,符文权重!$D:$D)*$Y188/SUMIFS($Y:$Y,J:J,J188,$D:$D,$D188,$AE:$AE,$AE188)/SUMIF(符文权重!$A:$A,$D188,符文权重!$D:$D)))</f>
        <v/>
      </c>
      <c r="Q188" s="51" t="str" cm="1">
        <f t="array" ref="Q188">IF($A188="","",IF(K188="","",_xlfn.XLOOKUP($D188&amp;"_"&amp;$AE188,符文权重!$A:$A&amp;"_"&amp;符文权重!$C:$C,符文权重!$D:$D)*$Y188/SUMIFS($Y:$Y,K:K,K188,$D:$D,$D188,$AE:$AE,$AE188)/SUMIF(符文权重!$A:$A,$D188,符文权重!$D:$D)))</f>
        <v/>
      </c>
      <c r="R188" s="51" cm="1">
        <f t="array" ref="R188">IF($A188="","",IF(L188="","",_xlfn.XLOOKUP($D188&amp;"_"&amp;$AE188,符文权重!$A:$A&amp;"_"&amp;符文权重!$C:$C,符文权重!$D:$D)*$Y188/SUMIFS($Y:$Y,L:L,L188,$D:$D,$D188,$AE:$AE,$AE188)/SUMIF(符文权重!$A:$A,$D188,符文权重!$D:$D)))</f>
        <v>0.0612</v>
      </c>
      <c r="S188" s="36" t="s">
        <v>175</v>
      </c>
      <c r="T188" s="36"/>
      <c r="U188" s="36" t="e">
        <f>IF(C188="","",SUBSTITUTE(SUBSTITUTE("[{global_atk,"&amp;#REF!*D188&amp;"}]",21,20),9,8))</f>
        <v>#REF!</v>
      </c>
      <c r="V188" s="52" t="str">
        <f t="shared" si="88"/>
        <v>[5502057]</v>
      </c>
      <c r="W188" s="36"/>
      <c r="X188" s="35"/>
      <c r="Y188" s="42">
        <v>100</v>
      </c>
      <c r="Z188" s="35"/>
      <c r="AA188" s="42" t="s">
        <v>191</v>
      </c>
      <c r="AB188" s="42" t="str">
        <f t="shared" si="63"/>
        <v>最前排梦灵获得相当于&lt;color=#54b76b&gt;17.5%&lt;/color&gt;最大生命值的护盾</v>
      </c>
      <c r="AC188" s="48" t="str">
        <f t="shared" si="72"/>
        <v>5502051</v>
      </c>
      <c r="AD188" s="42" t="str">
        <f t="shared" si="73"/>
        <v>[17.5]</v>
      </c>
      <c r="AE188" s="36">
        <v>2</v>
      </c>
      <c r="AF188" s="36"/>
      <c r="AG188" s="36">
        <v>0</v>
      </c>
      <c r="AH188" s="35" t="s">
        <v>178</v>
      </c>
      <c r="AI188" s="48">
        <f t="shared" si="89"/>
        <v>5502057</v>
      </c>
      <c r="AJ188" s="53" t="str">
        <f t="shared" si="90"/>
        <v>最前排梦灵获得相当于&lt;color=#54b76b&gt;%s%&lt;/color&gt;最大生命值的护盾</v>
      </c>
      <c r="AK188" s="36">
        <v>17.5</v>
      </c>
      <c r="AL188" s="36">
        <v>2</v>
      </c>
    </row>
    <row r="189" s="25" customFormat="1" hidden="1" customHeight="1" spans="1:38">
      <c r="A189" s="48" t="s">
        <v>178</v>
      </c>
      <c r="B189" s="41"/>
      <c r="C189" s="48" t="str">
        <f t="shared" si="69"/>
        <v/>
      </c>
      <c r="D189" s="42" t="str">
        <f t="shared" si="70"/>
        <v/>
      </c>
      <c r="E189" s="42"/>
      <c r="F189" s="36"/>
      <c r="G189" s="36" t="str">
        <f t="shared" si="66"/>
        <v/>
      </c>
      <c r="H189" s="36" t="str">
        <f>IFERROR(IF(--MID($F189,2*COUNTIF($G189:G189,"&gt;"&amp;0)+2,1)=H$1,H$1,""),"")</f>
        <v/>
      </c>
      <c r="I189" s="36" t="str">
        <f>IFERROR(IF(--MID($F189,2*COUNTIF($G189:H189,"&gt;"&amp;0)+2,1)=I$1,I$1,""),"")</f>
        <v/>
      </c>
      <c r="J189" s="36" t="str">
        <f>IFERROR(IF(--MID($F189,2*COUNTIF($G189:I189,"&gt;"&amp;0)+2,1)=J$1,J$1,""),"")</f>
        <v/>
      </c>
      <c r="K189" s="36" t="str">
        <f>IFERROR(IF(--MID($F189,2*COUNTIF($G189:J189,"&gt;"&amp;0)+2,1)=K$1,K$1,""),"")</f>
        <v/>
      </c>
      <c r="L189" s="36" t="str">
        <f>IFERROR(IF(--MID($F189,2*COUNTIF($G189:K189,"&gt;"&amp;0)+2,1)=L$1,L$1,""),"")</f>
        <v/>
      </c>
      <c r="M189" s="51" t="str" cm="1">
        <f t="array" ref="M189">IF($A189="","",IF(G189="","",_xlfn.XLOOKUP($D189&amp;"_"&amp;$AE189,符文权重!$A:$A&amp;"_"&amp;符文权重!$C:$C,符文权重!$D:$D)*$Y189/SUMIFS($Y:$Y,G:G,G189,$D:$D,$D189,$AE:$AE,$AE189)/SUMIF(符文权重!$A:$A,$D189,符文权重!$D:$D)))</f>
        <v/>
      </c>
      <c r="N189" s="36" t="str" cm="1">
        <f t="array" ref="N189">IF($A189="","",IF(H189="","",_xlfn.XLOOKUP($D189&amp;"_"&amp;$AE189,符文权重!$A:$A&amp;"_"&amp;符文权重!$C:$C,符文权重!$D:$D)*$Y189/SUMIFS($Y:$Y,H:H,H189,$D:$D,$D$6,$AE:$AE,$AE$6)))</f>
        <v/>
      </c>
      <c r="O189" s="36" t="str" cm="1">
        <f t="array" ref="O189">IF($A189="","",IF(I189="","",_xlfn.XLOOKUP($D189&amp;"_"&amp;$AE189,符文权重!$A:$A&amp;"_"&amp;符文权重!$C:$C,符文权重!$D:$D)*$Y189/SUMIFS($Y:$Y,I:I,I189,$D:$D,$D$6,$AE:$AE,$AE$6)))</f>
        <v/>
      </c>
      <c r="P189" s="36" t="str" cm="1">
        <f t="array" ref="P189">IF($A189="","",IF(J189="","",_xlfn.XLOOKUP($D189&amp;"_"&amp;$AE189,符文权重!$A:$A&amp;"_"&amp;符文权重!$C:$C,符文权重!$D:$D)*$Y189/SUMIFS($Y:$Y,J:J,J189,$D:$D,$D$6,$AE:$AE,$AE$6)))</f>
        <v/>
      </c>
      <c r="Q189" s="36" t="str" cm="1">
        <f t="array" ref="Q189">IF($A189="","",IF(K189="","",_xlfn.XLOOKUP($D189&amp;"_"&amp;$AE189,符文权重!$A:$A&amp;"_"&amp;符文权重!$C:$C,符文权重!$D:$D)*$Y189/SUMIFS($Y:$Y,K:K,K189,$D:$D,$D$6,$AE:$AE,$AE$6)))</f>
        <v/>
      </c>
      <c r="R189" s="36" t="str" cm="1">
        <f t="array" ref="R189">IF($A189="","",IF(L189="","",_xlfn.XLOOKUP($D189&amp;"_"&amp;$AE189,符文权重!$A:$A&amp;"_"&amp;符文权重!$C:$C,符文权重!$D:$D)*$Y189/SUMIFS($Y:$Y,L:L,L189,$D:$D,$D$6,$AE:$AE,$AE$6)))</f>
        <v/>
      </c>
      <c r="S189" s="36"/>
      <c r="T189" s="36"/>
      <c r="U189" s="36"/>
      <c r="W189" s="41"/>
      <c r="X189" s="35"/>
      <c r="Y189" s="42"/>
      <c r="Z189" s="35"/>
      <c r="AA189" s="42" t="s">
        <v>178</v>
      </c>
      <c r="AB189" s="42" t="str">
        <f t="shared" si="63"/>
        <v/>
      </c>
      <c r="AC189" s="48" t="str">
        <f t="shared" si="72"/>
        <v/>
      </c>
      <c r="AD189" s="42" t="str">
        <f t="shared" si="73"/>
        <v/>
      </c>
      <c r="AE189" s="36"/>
      <c r="AF189" s="36"/>
      <c r="AG189" s="36"/>
      <c r="AH189" s="35" t="s">
        <v>178</v>
      </c>
      <c r="AI189" s="33"/>
      <c r="AJ189" s="56"/>
      <c r="AK189" s="36"/>
      <c r="AL189" s="36"/>
    </row>
    <row r="190" s="27" customFormat="1" hidden="1" customHeight="1" spans="1:38">
      <c r="A190" s="57">
        <v>5502061</v>
      </c>
      <c r="B190" s="58" t="s">
        <v>349</v>
      </c>
      <c r="C190" s="57" t="str">
        <f t="shared" si="69"/>
        <v>5502061</v>
      </c>
      <c r="D190" s="59">
        <f t="shared" si="70"/>
        <v>1</v>
      </c>
      <c r="E190" s="59"/>
      <c r="F190" s="60" t="s">
        <v>220</v>
      </c>
      <c r="G190" s="36" t="str">
        <f t="shared" si="66"/>
        <v/>
      </c>
      <c r="H190" s="36" t="str">
        <f>IFERROR(IF(--MID($F190,2*COUNTIF($G190:G190,"&gt;"&amp;0)+2,1)=H$1,H$1,""),"")</f>
        <v/>
      </c>
      <c r="I190" s="36" t="str">
        <f>IFERROR(IF(--MID($F190,2*COUNTIF($G190:H190,"&gt;"&amp;0)+2,1)=I$1,I$1,""),"")</f>
        <v/>
      </c>
      <c r="J190" s="36" t="str">
        <f>IFERROR(IF(--MID($F190,2*COUNTIF($G190:I190,"&gt;"&amp;0)+2,1)=J$1,J$1,""),"")</f>
        <v/>
      </c>
      <c r="K190" s="36" t="str">
        <f>IFERROR(IF(--MID($F190,2*COUNTIF($G190:J190,"&gt;"&amp;0)+2,1)=K$1,K$1,""),"")</f>
        <v/>
      </c>
      <c r="L190" s="36">
        <f>IFERROR(IF(--MID($F190,2*COUNTIF($G190:K190,"&gt;"&amp;0)+2,1)=L$1,L$1,""),"")</f>
        <v>6</v>
      </c>
      <c r="M190" s="36" t="e" cm="1">
        <f t="array" ref="M190">IF(A190="","",_xlfn.XLOOKUP(D190&amp;"_"&amp;AE190,符文权重!A:A&amp;"_"&amp;符文权重!C:C,符文权重!D:D))</f>
        <v>#N/A</v>
      </c>
      <c r="N190" s="36"/>
      <c r="O190" s="36"/>
      <c r="P190" s="36"/>
      <c r="Q190" s="36"/>
      <c r="R190" s="36"/>
      <c r="S190" s="60" t="s">
        <v>175</v>
      </c>
      <c r="T190" s="60"/>
      <c r="U190" s="60" t="e">
        <f>IF(C190="","",SUBSTITUTE(SUBSTITUTE("[{global_atk,"&amp;#REF!*D190&amp;"}]",21,20),9,8))</f>
        <v>#REF!</v>
      </c>
      <c r="V190" s="61" t="str">
        <f t="shared" ref="V190:V196" si="91">"["&amp;A190&amp;"]"</f>
        <v>[5502061]</v>
      </c>
      <c r="W190" s="60"/>
      <c r="X190" s="28"/>
      <c r="Y190" s="42">
        <v>100</v>
      </c>
      <c r="Z190" s="28"/>
      <c r="AA190" s="59" t="s">
        <v>177</v>
      </c>
      <c r="AB190" s="42" t="str">
        <f t="shared" si="63"/>
        <v>受到远程怪伤害降低&lt;color=#54b76b&gt;0%&lt;/color&gt;</v>
      </c>
      <c r="AC190" s="57" t="str">
        <f t="shared" si="72"/>
        <v>5502061</v>
      </c>
      <c r="AD190" s="59" t="str">
        <f t="shared" si="73"/>
        <v>[0]</v>
      </c>
      <c r="AE190" s="60">
        <v>100</v>
      </c>
      <c r="AF190" s="60"/>
      <c r="AG190" s="60">
        <v>1</v>
      </c>
      <c r="AH190" s="28" t="s">
        <v>178</v>
      </c>
      <c r="AI190" s="62">
        <v>5502061</v>
      </c>
      <c r="AJ190" s="63" t="s">
        <v>349</v>
      </c>
      <c r="AK190" s="60">
        <v>0</v>
      </c>
      <c r="AL190" s="36"/>
    </row>
    <row r="191" s="27" customFormat="1" hidden="1" customHeight="1" spans="1:38">
      <c r="A191" s="57">
        <v>5502062</v>
      </c>
      <c r="B191" s="58" t="s">
        <v>349</v>
      </c>
      <c r="C191" s="57" t="str">
        <f t="shared" si="69"/>
        <v>5502061</v>
      </c>
      <c r="D191" s="59">
        <f t="shared" si="70"/>
        <v>2</v>
      </c>
      <c r="E191" s="59"/>
      <c r="F191" s="60" t="s">
        <v>220</v>
      </c>
      <c r="G191" s="36" t="str">
        <f t="shared" si="66"/>
        <v/>
      </c>
      <c r="H191" s="36" t="str">
        <f>IFERROR(IF(--MID($F191,2*COUNTIF($G191:G191,"&gt;"&amp;0)+2,1)=H$1,H$1,""),"")</f>
        <v/>
      </c>
      <c r="I191" s="36" t="str">
        <f>IFERROR(IF(--MID($F191,2*COUNTIF($G191:H191,"&gt;"&amp;0)+2,1)=I$1,I$1,""),"")</f>
        <v/>
      </c>
      <c r="J191" s="36" t="str">
        <f>IFERROR(IF(--MID($F191,2*COUNTIF($G191:I191,"&gt;"&amp;0)+2,1)=J$1,J$1,""),"")</f>
        <v/>
      </c>
      <c r="K191" s="36" t="str">
        <f>IFERROR(IF(--MID($F191,2*COUNTIF($G191:J191,"&gt;"&amp;0)+2,1)=K$1,K$1,""),"")</f>
        <v/>
      </c>
      <c r="L191" s="36">
        <f>IFERROR(IF(--MID($F191,2*COUNTIF($G191:K191,"&gt;"&amp;0)+2,1)=L$1,L$1,""),"")</f>
        <v>6</v>
      </c>
      <c r="M191" s="36" t="e" cm="1">
        <f t="array" ref="M191">IF(A191="","",_xlfn.XLOOKUP(D191&amp;"_"&amp;AE191,符文权重!A:A&amp;"_"&amp;符文权重!C:C,符文权重!D:D))</f>
        <v>#N/A</v>
      </c>
      <c r="N191" s="36"/>
      <c r="O191" s="36"/>
      <c r="P191" s="36"/>
      <c r="Q191" s="36"/>
      <c r="R191" s="36"/>
      <c r="S191" s="60" t="s">
        <v>175</v>
      </c>
      <c r="T191" s="60"/>
      <c r="U191" s="60" t="e">
        <f>IF(C191="","",SUBSTITUTE(SUBSTITUTE("[{global_atk,"&amp;#REF!*D191&amp;"}]",21,20),9,8))</f>
        <v>#REF!</v>
      </c>
      <c r="V191" s="61" t="str">
        <f t="shared" si="91"/>
        <v>[5502062]</v>
      </c>
      <c r="W191" s="60"/>
      <c r="X191" s="28"/>
      <c r="Y191" s="42">
        <v>100</v>
      </c>
      <c r="Z191" s="28"/>
      <c r="AA191" s="59" t="s">
        <v>181</v>
      </c>
      <c r="AB191" s="42" t="str">
        <f t="shared" si="63"/>
        <v>受到远程怪伤害降低&lt;color=#54b76b&gt;8%&lt;/color&gt;</v>
      </c>
      <c r="AC191" s="57" t="str">
        <f t="shared" si="72"/>
        <v>5502061</v>
      </c>
      <c r="AD191" s="59" t="str">
        <f t="shared" si="73"/>
        <v>[8]</v>
      </c>
      <c r="AE191" s="60">
        <v>100</v>
      </c>
      <c r="AF191" s="60"/>
      <c r="AG191" s="60">
        <v>1</v>
      </c>
      <c r="AH191" s="28" t="s">
        <v>178</v>
      </c>
      <c r="AI191" s="57">
        <f t="shared" ref="AI191:AI196" si="92">AI190+1</f>
        <v>5502062</v>
      </c>
      <c r="AJ191" s="64" t="str">
        <f t="shared" ref="AJ191:AJ196" si="93">AJ190</f>
        <v>受到远程怪伤害降低&lt;color=#54b76b&gt;%s%&lt;/color&gt;</v>
      </c>
      <c r="AK191" s="60">
        <v>8</v>
      </c>
      <c r="AL191" s="36"/>
    </row>
    <row r="192" s="27" customFormat="1" hidden="1" customHeight="1" spans="1:38">
      <c r="A192" s="57">
        <v>5502063</v>
      </c>
      <c r="B192" s="58" t="s">
        <v>349</v>
      </c>
      <c r="C192" s="57" t="str">
        <f t="shared" si="69"/>
        <v>5502061</v>
      </c>
      <c r="D192" s="59">
        <f t="shared" si="70"/>
        <v>3</v>
      </c>
      <c r="E192" s="59"/>
      <c r="F192" s="60" t="s">
        <v>220</v>
      </c>
      <c r="G192" s="36" t="str">
        <f t="shared" si="66"/>
        <v/>
      </c>
      <c r="H192" s="36" t="str">
        <f>IFERROR(IF(--MID($F192,2*COUNTIF($G192:G192,"&gt;"&amp;0)+2,1)=H$1,H$1,""),"")</f>
        <v/>
      </c>
      <c r="I192" s="36" t="str">
        <f>IFERROR(IF(--MID($F192,2*COUNTIF($G192:H192,"&gt;"&amp;0)+2,1)=I$1,I$1,""),"")</f>
        <v/>
      </c>
      <c r="J192" s="36" t="str">
        <f>IFERROR(IF(--MID($F192,2*COUNTIF($G192:I192,"&gt;"&amp;0)+2,1)=J$1,J$1,""),"")</f>
        <v/>
      </c>
      <c r="K192" s="36" t="str">
        <f>IFERROR(IF(--MID($F192,2*COUNTIF($G192:J192,"&gt;"&amp;0)+2,1)=K$1,K$1,""),"")</f>
        <v/>
      </c>
      <c r="L192" s="36">
        <f>IFERROR(IF(--MID($F192,2*COUNTIF($G192:K192,"&gt;"&amp;0)+2,1)=L$1,L$1,""),"")</f>
        <v>6</v>
      </c>
      <c r="M192" s="36" t="e" cm="1">
        <f t="array" ref="M192">IF(A192="","",_xlfn.XLOOKUP(D192&amp;"_"&amp;AE192,符文权重!A:A&amp;"_"&amp;符文权重!C:C,符文权重!D:D))</f>
        <v>#N/A</v>
      </c>
      <c r="N192" s="36"/>
      <c r="O192" s="36"/>
      <c r="P192" s="36"/>
      <c r="Q192" s="36"/>
      <c r="R192" s="36"/>
      <c r="S192" s="60" t="s">
        <v>175</v>
      </c>
      <c r="T192" s="60"/>
      <c r="U192" s="60" t="e">
        <f>IF(C192="","",SUBSTITUTE(SUBSTITUTE("[{global_atk,"&amp;#REF!*D192&amp;"}]",21,20),9,8))</f>
        <v>#REF!</v>
      </c>
      <c r="V192" s="61" t="str">
        <f t="shared" si="91"/>
        <v>[5502063]</v>
      </c>
      <c r="W192" s="60"/>
      <c r="X192" s="28"/>
      <c r="Y192" s="42">
        <v>100</v>
      </c>
      <c r="Z192" s="28"/>
      <c r="AA192" s="59" t="s">
        <v>183</v>
      </c>
      <c r="AB192" s="42" t="str">
        <f t="shared" si="63"/>
        <v>受到远程怪伤害降低&lt;color=#54b76b&gt;12%&lt;/color&gt;</v>
      </c>
      <c r="AC192" s="57" t="str">
        <f t="shared" si="72"/>
        <v>5502061</v>
      </c>
      <c r="AD192" s="59" t="str">
        <f t="shared" si="73"/>
        <v>[12]</v>
      </c>
      <c r="AE192" s="60">
        <v>100</v>
      </c>
      <c r="AF192" s="60"/>
      <c r="AG192" s="60">
        <v>1</v>
      </c>
      <c r="AH192" s="28" t="s">
        <v>178</v>
      </c>
      <c r="AI192" s="57">
        <f t="shared" si="92"/>
        <v>5502063</v>
      </c>
      <c r="AJ192" s="64" t="str">
        <f t="shared" si="93"/>
        <v>受到远程怪伤害降低&lt;color=#54b76b&gt;%s%&lt;/color&gt;</v>
      </c>
      <c r="AK192" s="60">
        <v>12</v>
      </c>
      <c r="AL192" s="36"/>
    </row>
    <row r="193" s="27" customFormat="1" hidden="1" customHeight="1" spans="1:38">
      <c r="A193" s="57">
        <v>5502064</v>
      </c>
      <c r="B193" s="58" t="s">
        <v>349</v>
      </c>
      <c r="C193" s="57" t="str">
        <f t="shared" si="69"/>
        <v>5502061</v>
      </c>
      <c r="D193" s="59">
        <f t="shared" si="70"/>
        <v>4</v>
      </c>
      <c r="E193" s="59"/>
      <c r="F193" s="60" t="s">
        <v>220</v>
      </c>
      <c r="G193" s="36" t="str">
        <f t="shared" si="66"/>
        <v/>
      </c>
      <c r="H193" s="36" t="str">
        <f>IFERROR(IF(--MID($F193,2*COUNTIF($G193:G193,"&gt;"&amp;0)+2,1)=H$1,H$1,""),"")</f>
        <v/>
      </c>
      <c r="I193" s="36" t="str">
        <f>IFERROR(IF(--MID($F193,2*COUNTIF($G193:H193,"&gt;"&amp;0)+2,1)=I$1,I$1,""),"")</f>
        <v/>
      </c>
      <c r="J193" s="36" t="str">
        <f>IFERROR(IF(--MID($F193,2*COUNTIF($G193:I193,"&gt;"&amp;0)+2,1)=J$1,J$1,""),"")</f>
        <v/>
      </c>
      <c r="K193" s="36" t="str">
        <f>IFERROR(IF(--MID($F193,2*COUNTIF($G193:J193,"&gt;"&amp;0)+2,1)=K$1,K$1,""),"")</f>
        <v/>
      </c>
      <c r="L193" s="36">
        <f>IFERROR(IF(--MID($F193,2*COUNTIF($G193:K193,"&gt;"&amp;0)+2,1)=L$1,L$1,""),"")</f>
        <v>6</v>
      </c>
      <c r="M193" s="36" t="e" cm="1">
        <f t="array" ref="M193">IF(A193="","",_xlfn.XLOOKUP(D193&amp;"_"&amp;AE193,符文权重!A:A&amp;"_"&amp;符文权重!C:C,符文权重!D:D))</f>
        <v>#N/A</v>
      </c>
      <c r="N193" s="36"/>
      <c r="O193" s="36"/>
      <c r="P193" s="36"/>
      <c r="Q193" s="36"/>
      <c r="R193" s="36"/>
      <c r="S193" s="60" t="s">
        <v>175</v>
      </c>
      <c r="T193" s="60"/>
      <c r="U193" s="60" t="e">
        <f>IF(C193="","",SUBSTITUTE(SUBSTITUTE("[{global_atk,"&amp;#REF!*D193&amp;"}]",21,20),9,8))</f>
        <v>#REF!</v>
      </c>
      <c r="V193" s="61" t="str">
        <f t="shared" si="91"/>
        <v>[5502064]</v>
      </c>
      <c r="W193" s="60"/>
      <c r="X193" s="28"/>
      <c r="Y193" s="42">
        <v>100</v>
      </c>
      <c r="Z193" s="28"/>
      <c r="AA193" s="59" t="s">
        <v>185</v>
      </c>
      <c r="AB193" s="42" t="str">
        <f t="shared" si="63"/>
        <v>受到远程怪伤害降低&lt;color=#54b76b&gt;16%&lt;/color&gt;</v>
      </c>
      <c r="AC193" s="57" t="str">
        <f t="shared" si="72"/>
        <v>5502061</v>
      </c>
      <c r="AD193" s="59" t="str">
        <f t="shared" si="73"/>
        <v>[16]</v>
      </c>
      <c r="AE193" s="60">
        <v>100</v>
      </c>
      <c r="AF193" s="60"/>
      <c r="AG193" s="60">
        <v>1</v>
      </c>
      <c r="AH193" s="28" t="s">
        <v>178</v>
      </c>
      <c r="AI193" s="57">
        <f t="shared" si="92"/>
        <v>5502064</v>
      </c>
      <c r="AJ193" s="64" t="str">
        <f t="shared" si="93"/>
        <v>受到远程怪伤害降低&lt;color=#54b76b&gt;%s%&lt;/color&gt;</v>
      </c>
      <c r="AK193" s="60">
        <v>16</v>
      </c>
      <c r="AL193" s="36"/>
    </row>
    <row r="194" s="27" customFormat="1" hidden="1" customHeight="1" spans="1:38">
      <c r="A194" s="57">
        <v>5502065</v>
      </c>
      <c r="B194" s="58" t="s">
        <v>349</v>
      </c>
      <c r="C194" s="57" t="str">
        <f t="shared" si="69"/>
        <v>5502061</v>
      </c>
      <c r="D194" s="59">
        <f t="shared" si="70"/>
        <v>5</v>
      </c>
      <c r="E194" s="59"/>
      <c r="F194" s="60" t="s">
        <v>220</v>
      </c>
      <c r="G194" s="36" t="str">
        <f t="shared" si="66"/>
        <v/>
      </c>
      <c r="H194" s="36" t="str">
        <f>IFERROR(IF(--MID($F194,2*COUNTIF($G194:G194,"&gt;"&amp;0)+2,1)=H$1,H$1,""),"")</f>
        <v/>
      </c>
      <c r="I194" s="36" t="str">
        <f>IFERROR(IF(--MID($F194,2*COUNTIF($G194:H194,"&gt;"&amp;0)+2,1)=I$1,I$1,""),"")</f>
        <v/>
      </c>
      <c r="J194" s="36" t="str">
        <f>IFERROR(IF(--MID($F194,2*COUNTIF($G194:I194,"&gt;"&amp;0)+2,1)=J$1,J$1,""),"")</f>
        <v/>
      </c>
      <c r="K194" s="36" t="str">
        <f>IFERROR(IF(--MID($F194,2*COUNTIF($G194:J194,"&gt;"&amp;0)+2,1)=K$1,K$1,""),"")</f>
        <v/>
      </c>
      <c r="L194" s="36">
        <f>IFERROR(IF(--MID($F194,2*COUNTIF($G194:K194,"&gt;"&amp;0)+2,1)=L$1,L$1,""),"")</f>
        <v>6</v>
      </c>
      <c r="M194" s="36" t="e" cm="1">
        <f t="array" ref="M194">IF(A194="","",_xlfn.XLOOKUP(D194&amp;"_"&amp;AE194,符文权重!A:A&amp;"_"&amp;符文权重!C:C,符文权重!D:D))</f>
        <v>#N/A</v>
      </c>
      <c r="N194" s="36"/>
      <c r="O194" s="36"/>
      <c r="P194" s="36"/>
      <c r="Q194" s="36"/>
      <c r="R194" s="36"/>
      <c r="S194" s="60" t="s">
        <v>175</v>
      </c>
      <c r="T194" s="60"/>
      <c r="U194" s="60" t="e">
        <f>IF(C194="","",SUBSTITUTE(SUBSTITUTE("[{global_atk,"&amp;#REF!*D194&amp;"}]",21,20),9,8))</f>
        <v>#REF!</v>
      </c>
      <c r="V194" s="61" t="str">
        <f t="shared" si="91"/>
        <v>[5502065]</v>
      </c>
      <c r="W194" s="60"/>
      <c r="X194" s="28"/>
      <c r="Y194" s="42">
        <v>100</v>
      </c>
      <c r="Z194" s="28"/>
      <c r="AA194" s="59" t="s">
        <v>187</v>
      </c>
      <c r="AB194" s="42" t="str">
        <f t="shared" si="63"/>
        <v>受到远程怪伤害降低&lt;color=#54b76b&gt;20%&lt;/color&gt;</v>
      </c>
      <c r="AC194" s="57" t="str">
        <f t="shared" si="72"/>
        <v>5502061</v>
      </c>
      <c r="AD194" s="59" t="str">
        <f t="shared" si="73"/>
        <v>[20]</v>
      </c>
      <c r="AE194" s="60">
        <v>100</v>
      </c>
      <c r="AF194" s="60"/>
      <c r="AG194" s="60">
        <v>1</v>
      </c>
      <c r="AH194" s="28" t="s">
        <v>178</v>
      </c>
      <c r="AI194" s="57">
        <f t="shared" si="92"/>
        <v>5502065</v>
      </c>
      <c r="AJ194" s="64" t="str">
        <f t="shared" si="93"/>
        <v>受到远程怪伤害降低&lt;color=#54b76b&gt;%s%&lt;/color&gt;</v>
      </c>
      <c r="AK194" s="60">
        <v>20</v>
      </c>
      <c r="AL194" s="36"/>
    </row>
    <row r="195" s="27" customFormat="1" hidden="1" customHeight="1" spans="1:38">
      <c r="A195" s="57">
        <v>5502066</v>
      </c>
      <c r="B195" s="58" t="s">
        <v>349</v>
      </c>
      <c r="C195" s="57" t="str">
        <f t="shared" si="69"/>
        <v>5502061</v>
      </c>
      <c r="D195" s="59">
        <f t="shared" si="70"/>
        <v>6</v>
      </c>
      <c r="E195" s="59"/>
      <c r="F195" s="60" t="s">
        <v>220</v>
      </c>
      <c r="G195" s="36" t="str">
        <f t="shared" si="66"/>
        <v/>
      </c>
      <c r="H195" s="36" t="str">
        <f>IFERROR(IF(--MID($F195,2*COUNTIF($G195:G195,"&gt;"&amp;0)+2,1)=H$1,H$1,""),"")</f>
        <v/>
      </c>
      <c r="I195" s="36" t="str">
        <f>IFERROR(IF(--MID($F195,2*COUNTIF($G195:H195,"&gt;"&amp;0)+2,1)=I$1,I$1,""),"")</f>
        <v/>
      </c>
      <c r="J195" s="36" t="str">
        <f>IFERROR(IF(--MID($F195,2*COUNTIF($G195:I195,"&gt;"&amp;0)+2,1)=J$1,J$1,""),"")</f>
        <v/>
      </c>
      <c r="K195" s="36" t="str">
        <f>IFERROR(IF(--MID($F195,2*COUNTIF($G195:J195,"&gt;"&amp;0)+2,1)=K$1,K$1,""),"")</f>
        <v/>
      </c>
      <c r="L195" s="36">
        <f>IFERROR(IF(--MID($F195,2*COUNTIF($G195:K195,"&gt;"&amp;0)+2,1)=L$1,L$1,""),"")</f>
        <v>6</v>
      </c>
      <c r="M195" s="36" t="e" cm="1">
        <f t="array" ref="M195">IF(A195="","",_xlfn.XLOOKUP(D195&amp;"_"&amp;AE195,符文权重!A:A&amp;"_"&amp;符文权重!C:C,符文权重!D:D))</f>
        <v>#N/A</v>
      </c>
      <c r="N195" s="36"/>
      <c r="O195" s="36"/>
      <c r="P195" s="36"/>
      <c r="Q195" s="36"/>
      <c r="R195" s="36"/>
      <c r="S195" s="60" t="s">
        <v>175</v>
      </c>
      <c r="T195" s="60"/>
      <c r="U195" s="60" t="e">
        <f>IF(C195="","",SUBSTITUTE(SUBSTITUTE("[{global_atk,"&amp;#REF!*D195&amp;"}]",21,20),9,8))</f>
        <v>#REF!</v>
      </c>
      <c r="V195" s="61" t="str">
        <f t="shared" si="91"/>
        <v>[5502066]</v>
      </c>
      <c r="W195" s="60"/>
      <c r="X195" s="28"/>
      <c r="Y195" s="42">
        <v>100</v>
      </c>
      <c r="Z195" s="28"/>
      <c r="AA195" s="59" t="s">
        <v>189</v>
      </c>
      <c r="AB195" s="42" t="str">
        <f t="shared" si="63"/>
        <v>受到远程怪伤害降低&lt;color=#54b76b&gt;24%&lt;/color&gt;</v>
      </c>
      <c r="AC195" s="57" t="str">
        <f t="shared" si="72"/>
        <v>5502061</v>
      </c>
      <c r="AD195" s="59" t="str">
        <f t="shared" si="73"/>
        <v>[24]</v>
      </c>
      <c r="AE195" s="60">
        <v>100</v>
      </c>
      <c r="AF195" s="60"/>
      <c r="AG195" s="60">
        <v>1</v>
      </c>
      <c r="AH195" s="28" t="s">
        <v>178</v>
      </c>
      <c r="AI195" s="57">
        <f t="shared" si="92"/>
        <v>5502066</v>
      </c>
      <c r="AJ195" s="64" t="str">
        <f t="shared" si="93"/>
        <v>受到远程怪伤害降低&lt;color=#54b76b&gt;%s%&lt;/color&gt;</v>
      </c>
      <c r="AK195" s="60">
        <v>24</v>
      </c>
      <c r="AL195" s="36"/>
    </row>
    <row r="196" s="27" customFormat="1" hidden="1" customHeight="1" spans="1:38">
      <c r="A196" s="57">
        <v>5502067</v>
      </c>
      <c r="B196" s="58" t="s">
        <v>349</v>
      </c>
      <c r="C196" s="57" t="str">
        <f t="shared" si="69"/>
        <v>5502061</v>
      </c>
      <c r="D196" s="59">
        <f t="shared" si="70"/>
        <v>7</v>
      </c>
      <c r="E196" s="59"/>
      <c r="F196" s="60" t="s">
        <v>220</v>
      </c>
      <c r="G196" s="36" t="str">
        <f t="shared" si="66"/>
        <v/>
      </c>
      <c r="H196" s="36" t="str">
        <f>IFERROR(IF(--MID($F196,2*COUNTIF($G196:G196,"&gt;"&amp;0)+2,1)=H$1,H$1,""),"")</f>
        <v/>
      </c>
      <c r="I196" s="36" t="str">
        <f>IFERROR(IF(--MID($F196,2*COUNTIF($G196:H196,"&gt;"&amp;0)+2,1)=I$1,I$1,""),"")</f>
        <v/>
      </c>
      <c r="J196" s="36" t="str">
        <f>IFERROR(IF(--MID($F196,2*COUNTIF($G196:I196,"&gt;"&amp;0)+2,1)=J$1,J$1,""),"")</f>
        <v/>
      </c>
      <c r="K196" s="36" t="str">
        <f>IFERROR(IF(--MID($F196,2*COUNTIF($G196:J196,"&gt;"&amp;0)+2,1)=K$1,K$1,""),"")</f>
        <v/>
      </c>
      <c r="L196" s="36">
        <f>IFERROR(IF(--MID($F196,2*COUNTIF($G196:K196,"&gt;"&amp;0)+2,1)=L$1,L$1,""),"")</f>
        <v>6</v>
      </c>
      <c r="M196" s="36" t="e" cm="1">
        <f t="array" ref="M196">IF(A196="","",_xlfn.XLOOKUP(D196&amp;"_"&amp;AE196,符文权重!A:A&amp;"_"&amp;符文权重!C:C,符文权重!D:D))</f>
        <v>#N/A</v>
      </c>
      <c r="N196" s="36"/>
      <c r="O196" s="36"/>
      <c r="P196" s="36"/>
      <c r="Q196" s="36"/>
      <c r="R196" s="36"/>
      <c r="S196" s="60" t="s">
        <v>175</v>
      </c>
      <c r="T196" s="60"/>
      <c r="U196" s="60" t="e">
        <f>IF(C196="","",SUBSTITUTE(SUBSTITUTE("[{global_atk,"&amp;#REF!*D196&amp;"}]",21,20),9,8))</f>
        <v>#REF!</v>
      </c>
      <c r="V196" s="61" t="str">
        <f t="shared" si="91"/>
        <v>[5502067]</v>
      </c>
      <c r="W196" s="60"/>
      <c r="X196" s="28"/>
      <c r="Y196" s="42">
        <v>100</v>
      </c>
      <c r="Z196" s="28"/>
      <c r="AA196" s="59" t="s">
        <v>191</v>
      </c>
      <c r="AB196" s="42" t="str">
        <f t="shared" si="63"/>
        <v>受到远程怪伤害降低&lt;color=#54b76b&gt;28%&lt;/color&gt;</v>
      </c>
      <c r="AC196" s="57" t="str">
        <f t="shared" si="72"/>
        <v>5502061</v>
      </c>
      <c r="AD196" s="59" t="str">
        <f t="shared" si="73"/>
        <v>[28]</v>
      </c>
      <c r="AE196" s="60">
        <v>100</v>
      </c>
      <c r="AF196" s="60"/>
      <c r="AG196" s="60">
        <v>1</v>
      </c>
      <c r="AH196" s="28" t="s">
        <v>178</v>
      </c>
      <c r="AI196" s="57">
        <f t="shared" si="92"/>
        <v>5502067</v>
      </c>
      <c r="AJ196" s="64" t="str">
        <f t="shared" si="93"/>
        <v>受到远程怪伤害降低&lt;color=#54b76b&gt;%s%&lt;/color&gt;</v>
      </c>
      <c r="AK196" s="60">
        <v>28</v>
      </c>
      <c r="AL196" s="36"/>
    </row>
    <row r="197" s="25" customFormat="1" hidden="1" customHeight="1" spans="1:38">
      <c r="A197" s="48" t="s">
        <v>178</v>
      </c>
      <c r="B197" s="49" t="s">
        <v>350</v>
      </c>
      <c r="C197" s="48" t="str">
        <f t="shared" si="69"/>
        <v/>
      </c>
      <c r="D197" s="42" t="str">
        <f t="shared" si="70"/>
        <v/>
      </c>
      <c r="E197" s="42"/>
      <c r="F197" s="36"/>
      <c r="G197" s="36" t="str">
        <f t="shared" si="66"/>
        <v/>
      </c>
      <c r="H197" s="36" t="str">
        <f>IFERROR(IF(--MID($F197,2*COUNTIF($G197:G197,"&gt;"&amp;0)+2,1)=H$1,H$1,""),"")</f>
        <v/>
      </c>
      <c r="I197" s="36" t="str">
        <f>IFERROR(IF(--MID($F197,2*COUNTIF($G197:H197,"&gt;"&amp;0)+2,1)=I$1,I$1,""),"")</f>
        <v/>
      </c>
      <c r="J197" s="36" t="str">
        <f>IFERROR(IF(--MID($F197,2*COUNTIF($G197:I197,"&gt;"&amp;0)+2,1)=J$1,J$1,""),"")</f>
        <v/>
      </c>
      <c r="K197" s="36" t="str">
        <f>IFERROR(IF(--MID($F197,2*COUNTIF($G197:J197,"&gt;"&amp;0)+2,1)=K$1,K$1,""),"")</f>
        <v/>
      </c>
      <c r="L197" s="36" t="str">
        <f>IFERROR(IF(--MID($F197,2*COUNTIF($G197:K197,"&gt;"&amp;0)+2,1)=L$1,L$1,""),"")</f>
        <v/>
      </c>
      <c r="M197" s="51" t="str" cm="1">
        <f t="array" ref="M197">IF($A197="","",IF(G197="","",_xlfn.XLOOKUP($D197&amp;"_"&amp;$AE197,符文权重!$A:$A&amp;"_"&amp;符文权重!$C:$C,符文权重!$D:$D)*$Y197/SUMIFS($Y:$Y,G:G,G197,$D:$D,$D197,$AE:$AE,$AE197)/SUMIF(符文权重!$A:$A,$D197,符文权重!$D:$D)))</f>
        <v/>
      </c>
      <c r="N197" s="36" t="str" cm="1">
        <f t="array" ref="N197">IF($A197="","",IF(H197="","",_xlfn.XLOOKUP($D197&amp;"_"&amp;$AE197,符文权重!$A:$A&amp;"_"&amp;符文权重!$C:$C,符文权重!$D:$D)*$Y197/SUMIFS($Y:$Y,H:H,H197,$D:$D,$D$6,$AE:$AE,$AE$6)))</f>
        <v/>
      </c>
      <c r="O197" s="36" t="str" cm="1">
        <f t="array" ref="O197">IF($A197="","",IF(I197="","",_xlfn.XLOOKUP($D197&amp;"_"&amp;$AE197,符文权重!$A:$A&amp;"_"&amp;符文权重!$C:$C,符文权重!$D:$D)*$Y197/SUMIFS($Y:$Y,I:I,I197,$D:$D,$D$6,$AE:$AE,$AE$6)))</f>
        <v/>
      </c>
      <c r="P197" s="36" t="str" cm="1">
        <f t="array" ref="P197">IF($A197="","",IF(J197="","",_xlfn.XLOOKUP($D197&amp;"_"&amp;$AE197,符文权重!$A:$A&amp;"_"&amp;符文权重!$C:$C,符文权重!$D:$D)*$Y197/SUMIFS($Y:$Y,J:J,J197,$D:$D,$D$6,$AE:$AE,$AE$6)))</f>
        <v/>
      </c>
      <c r="Q197" s="36" t="str" cm="1">
        <f t="array" ref="Q197">IF($A197="","",IF(K197="","",_xlfn.XLOOKUP($D197&amp;"_"&amp;$AE197,符文权重!$A:$A&amp;"_"&amp;符文权重!$C:$C,符文权重!$D:$D)*$Y197/SUMIFS($Y:$Y,K:K,K197,$D:$D,$D$6,$AE:$AE,$AE$6)))</f>
        <v/>
      </c>
      <c r="R197" s="36" t="str" cm="1">
        <f t="array" ref="R197">IF($A197="","",IF(L197="","",_xlfn.XLOOKUP($D197&amp;"_"&amp;$AE197,符文权重!$A:$A&amp;"_"&amp;符文权重!$C:$C,符文权重!$D:$D)*$Y197/SUMIFS($Y:$Y,L:L,L197,$D:$D,$D$6,$AE:$AE,$AE$6)))</f>
        <v/>
      </c>
      <c r="S197" s="36"/>
      <c r="T197" s="36"/>
      <c r="U197" s="36"/>
      <c r="W197" s="41"/>
      <c r="X197" s="35"/>
      <c r="Y197" s="42"/>
      <c r="Z197" s="35"/>
      <c r="AA197" s="42" t="s">
        <v>178</v>
      </c>
      <c r="AB197" s="42" t="str">
        <f t="shared" si="63"/>
        <v/>
      </c>
      <c r="AC197" s="48" t="str">
        <f t="shared" si="72"/>
        <v/>
      </c>
      <c r="AD197" s="42" t="str">
        <f t="shared" si="73"/>
        <v/>
      </c>
      <c r="AE197" s="36"/>
      <c r="AF197" s="36"/>
      <c r="AG197" s="36"/>
      <c r="AH197" s="35" t="s">
        <v>178</v>
      </c>
      <c r="AI197" s="33"/>
      <c r="AJ197" s="56"/>
      <c r="AK197" s="36"/>
      <c r="AL197" s="36"/>
    </row>
    <row r="198" s="27" customFormat="1" hidden="1" customHeight="1" spans="1:38">
      <c r="A198" s="57">
        <v>5503011</v>
      </c>
      <c r="B198" s="58" t="s">
        <v>351</v>
      </c>
      <c r="C198" s="57" t="str">
        <f t="shared" si="69"/>
        <v>5503011</v>
      </c>
      <c r="D198" s="59">
        <f t="shared" si="70"/>
        <v>1</v>
      </c>
      <c r="E198" s="59"/>
      <c r="F198" s="60" t="s">
        <v>352</v>
      </c>
      <c r="G198" s="36">
        <f t="shared" si="66"/>
        <v>1</v>
      </c>
      <c r="H198" s="36" t="str">
        <f>IFERROR(IF(--MID($F198,2*COUNTIF($G198:G198,"&gt;"&amp;0)+2,1)=H$1,H$1,""),"")</f>
        <v/>
      </c>
      <c r="I198" s="36" t="str">
        <f>IFERROR(IF(--MID($F198,2*COUNTIF($G198:H198,"&gt;"&amp;0)+2,1)=I$1,I$1,""),"")</f>
        <v/>
      </c>
      <c r="J198" s="36" t="str">
        <f>IFERROR(IF(--MID($F198,2*COUNTIF($G198:I198,"&gt;"&amp;0)+2,1)=J$1,J$1,""),"")</f>
        <v/>
      </c>
      <c r="K198" s="36" t="str">
        <f>IFERROR(IF(--MID($F198,2*COUNTIF($G198:J198,"&gt;"&amp;0)+2,1)=K$1,K$1,""),"")</f>
        <v/>
      </c>
      <c r="L198" s="36">
        <f>IFERROR(IF(--MID($F198,2*COUNTIF($G198:K198,"&gt;"&amp;0)+2,1)=L$1,L$1,""),"")</f>
        <v>6</v>
      </c>
      <c r="M198" s="36" t="e" cm="1">
        <f t="array" ref="M198">IF(A198="","",_xlfn.XLOOKUP(D198&amp;"_"&amp;AE198,符文权重!A:A&amp;"_"&amp;符文权重!C:C,符文权重!D:D))</f>
        <v>#N/A</v>
      </c>
      <c r="N198" s="36"/>
      <c r="O198" s="36"/>
      <c r="P198" s="36"/>
      <c r="Q198" s="36"/>
      <c r="R198" s="36"/>
      <c r="S198" s="60" t="s">
        <v>256</v>
      </c>
      <c r="T198" s="60"/>
      <c r="U198" s="60" t="e">
        <f>IF(C198="","",SUBSTITUTE(SUBSTITUTE("[{global_atk,"&amp;#REF!*D198&amp;"}]",21,20),9,8))</f>
        <v>#REF!</v>
      </c>
      <c r="V198" s="61" t="str">
        <f t="shared" ref="V198:V204" si="94">"["&amp;A198&amp;"]"</f>
        <v>[5503011]</v>
      </c>
      <c r="W198" s="60"/>
      <c r="X198" s="28"/>
      <c r="Y198" s="42">
        <v>33</v>
      </c>
      <c r="Z198" s="28"/>
      <c r="AA198" s="59" t="s">
        <v>177</v>
      </c>
      <c r="AB198" s="42" t="str">
        <f t="shared" ref="AB198:AB261" si="95">SUBSTITUTE(AJ198,"%s",AK198)</f>
        <v>队长技能冷却缩短&lt;color=#54b76b&gt;10%&lt;/color&gt;</v>
      </c>
      <c r="AC198" s="57" t="str">
        <f t="shared" si="72"/>
        <v>5503011</v>
      </c>
      <c r="AD198" s="59" t="str">
        <f t="shared" si="73"/>
        <v>[10]</v>
      </c>
      <c r="AE198" s="60">
        <v>100</v>
      </c>
      <c r="AF198" s="60"/>
      <c r="AG198" s="60">
        <v>1</v>
      </c>
      <c r="AH198" s="35">
        <v>1</v>
      </c>
      <c r="AI198" s="62">
        <v>5503011</v>
      </c>
      <c r="AJ198" s="63" t="s">
        <v>351</v>
      </c>
      <c r="AK198" s="60">
        <v>10</v>
      </c>
      <c r="AL198" s="36"/>
    </row>
    <row r="199" s="27" customFormat="1" hidden="1" customHeight="1" spans="1:38">
      <c r="A199" s="57">
        <v>5503012</v>
      </c>
      <c r="B199" s="58" t="s">
        <v>351</v>
      </c>
      <c r="C199" s="57" t="str">
        <f t="shared" si="69"/>
        <v>5503011</v>
      </c>
      <c r="D199" s="59">
        <f t="shared" si="70"/>
        <v>2</v>
      </c>
      <c r="E199" s="59"/>
      <c r="F199" s="60" t="s">
        <v>352</v>
      </c>
      <c r="G199" s="36">
        <f t="shared" ref="G199:G262" si="96">IF(LEFT(F199,2)="[1",1,"")</f>
        <v>1</v>
      </c>
      <c r="H199" s="36" t="str">
        <f>IFERROR(IF(--MID($F199,2*COUNTIF($G199:G199,"&gt;"&amp;0)+2,1)=H$1,H$1,""),"")</f>
        <v/>
      </c>
      <c r="I199" s="36" t="str">
        <f>IFERROR(IF(--MID($F199,2*COUNTIF($G199:H199,"&gt;"&amp;0)+2,1)=I$1,I$1,""),"")</f>
        <v/>
      </c>
      <c r="J199" s="36" t="str">
        <f>IFERROR(IF(--MID($F199,2*COUNTIF($G199:I199,"&gt;"&amp;0)+2,1)=J$1,J$1,""),"")</f>
        <v/>
      </c>
      <c r="K199" s="36" t="str">
        <f>IFERROR(IF(--MID($F199,2*COUNTIF($G199:J199,"&gt;"&amp;0)+2,1)=K$1,K$1,""),"")</f>
        <v/>
      </c>
      <c r="L199" s="36">
        <f>IFERROR(IF(--MID($F199,2*COUNTIF($G199:K199,"&gt;"&amp;0)+2,1)=L$1,L$1,""),"")</f>
        <v>6</v>
      </c>
      <c r="M199" s="36" t="e" cm="1">
        <f t="array" ref="M199">IF(A199="","",_xlfn.XLOOKUP(D199&amp;"_"&amp;AE199,符文权重!A:A&amp;"_"&amp;符文权重!C:C,符文权重!D:D))</f>
        <v>#N/A</v>
      </c>
      <c r="N199" s="36"/>
      <c r="O199" s="36"/>
      <c r="P199" s="36"/>
      <c r="Q199" s="36"/>
      <c r="R199" s="36"/>
      <c r="S199" s="60" t="s">
        <v>256</v>
      </c>
      <c r="T199" s="60"/>
      <c r="U199" s="60" t="e">
        <f>IF(C199="","",SUBSTITUTE(SUBSTITUTE("[{global_atk,"&amp;#REF!*D199&amp;"}]",21,20),9,8))</f>
        <v>#REF!</v>
      </c>
      <c r="V199" s="61" t="str">
        <f t="shared" si="94"/>
        <v>[5503012]</v>
      </c>
      <c r="W199" s="60"/>
      <c r="X199" s="28"/>
      <c r="Y199" s="42">
        <v>33</v>
      </c>
      <c r="Z199" s="28"/>
      <c r="AA199" s="59" t="s">
        <v>181</v>
      </c>
      <c r="AB199" s="42" t="str">
        <f t="shared" si="95"/>
        <v>队长技能冷却缩短&lt;color=#54b76b&gt;15%&lt;/color&gt;</v>
      </c>
      <c r="AC199" s="57" t="str">
        <f t="shared" si="72"/>
        <v>5503011</v>
      </c>
      <c r="AD199" s="59" t="str">
        <f t="shared" si="73"/>
        <v>[15]</v>
      </c>
      <c r="AE199" s="60">
        <v>100</v>
      </c>
      <c r="AF199" s="60"/>
      <c r="AG199" s="60">
        <v>1</v>
      </c>
      <c r="AH199" s="35">
        <v>1</v>
      </c>
      <c r="AI199" s="57">
        <f t="shared" ref="AI199:AI204" si="97">AI198+1</f>
        <v>5503012</v>
      </c>
      <c r="AJ199" s="64" t="str">
        <f t="shared" ref="AJ199:AJ204" si="98">AJ198</f>
        <v>队长技能冷却缩短&lt;color=#54b76b&gt;%s%&lt;/color&gt;</v>
      </c>
      <c r="AK199" s="60">
        <v>15</v>
      </c>
      <c r="AL199" s="36"/>
    </row>
    <row r="200" s="25" customFormat="1" hidden="1" customHeight="1" spans="1:38">
      <c r="A200" s="48">
        <v>5503013</v>
      </c>
      <c r="B200" s="34" t="s">
        <v>351</v>
      </c>
      <c r="C200" s="48" t="str">
        <f t="shared" si="69"/>
        <v>5503011</v>
      </c>
      <c r="D200" s="42">
        <f t="shared" si="70"/>
        <v>3</v>
      </c>
      <c r="E200" s="42"/>
      <c r="F200" s="36" t="s">
        <v>352</v>
      </c>
      <c r="G200" s="36">
        <f t="shared" si="96"/>
        <v>1</v>
      </c>
      <c r="H200" s="36" t="str">
        <f>IFERROR(IF(--MID($F200,2*COUNTIF($G200:G200,"&gt;"&amp;0)+2,1)=H$1,H$1,""),"")</f>
        <v/>
      </c>
      <c r="I200" s="36" t="str">
        <f>IFERROR(IF(--MID($F200,2*COUNTIF($G200:H200,"&gt;"&amp;0)+2,1)=I$1,I$1,""),"")</f>
        <v/>
      </c>
      <c r="J200" s="36" t="str">
        <f>IFERROR(IF(--MID($F200,2*COUNTIF($G200:I200,"&gt;"&amp;0)+2,1)=J$1,J$1,""),"")</f>
        <v/>
      </c>
      <c r="K200" s="36" t="str">
        <f>IFERROR(IF(--MID($F200,2*COUNTIF($G200:J200,"&gt;"&amp;0)+2,1)=K$1,K$1,""),"")</f>
        <v/>
      </c>
      <c r="L200" s="36">
        <f>IFERROR(IF(--MID($F200,2*COUNTIF($G200:K200,"&gt;"&amp;0)+2,1)=L$1,L$1,""),"")</f>
        <v>6</v>
      </c>
      <c r="M200" s="51" cm="1">
        <f t="array" ref="M200">IF($A200="","",IF(G200="","",_xlfn.XLOOKUP($D200&amp;"_"&amp;$AE200,符文权重!$A:$A&amp;"_"&amp;符文权重!$C:$C,符文权重!$D:$D)*$Y200/SUMIFS($Y:$Y,G:G,G200,$D:$D,$D200,$AE:$AE,$AE200)/SUMIF(符文权重!$A:$A,$D200,符文权重!$D:$D)))</f>
        <v>0.00851002865329513</v>
      </c>
      <c r="N200" s="51" t="str" cm="1">
        <f t="array" ref="N200">IF($A200="","",IF(H200="","",_xlfn.XLOOKUP($D200&amp;"_"&amp;$AE200,符文权重!$A:$A&amp;"_"&amp;符文权重!$C:$C,符文权重!$D:$D)*$Y200/SUMIFS($Y:$Y,H:H,H200,$D:$D,$D200,$AE:$AE,$AE200)/SUMIF(符文权重!$A:$A,$D200,符文权重!$D:$D)))</f>
        <v/>
      </c>
      <c r="O200" s="51" t="str" cm="1">
        <f t="array" ref="O200">IF($A200="","",IF(I200="","",_xlfn.XLOOKUP($D200&amp;"_"&amp;$AE200,符文权重!$A:$A&amp;"_"&amp;符文权重!$C:$C,符文权重!$D:$D)*$Y200/SUMIFS($Y:$Y,I:I,I200,$D:$D,$D200,$AE:$AE,$AE200)/SUMIF(符文权重!$A:$A,$D200,符文权重!$D:$D)))</f>
        <v/>
      </c>
      <c r="P200" s="51" t="str" cm="1">
        <f t="array" ref="P200">IF($A200="","",IF(J200="","",_xlfn.XLOOKUP($D200&amp;"_"&amp;$AE200,符文权重!$A:$A&amp;"_"&amp;符文权重!$C:$C,符文权重!$D:$D)*$Y200/SUMIFS($Y:$Y,J:J,J200,$D:$D,$D200,$AE:$AE,$AE200)/SUMIF(符文权重!$A:$A,$D200,符文权重!$D:$D)))</f>
        <v/>
      </c>
      <c r="Q200" s="51" t="str" cm="1">
        <f t="array" ref="Q200">IF($A200="","",IF(K200="","",_xlfn.XLOOKUP($D200&amp;"_"&amp;$AE200,符文权重!$A:$A&amp;"_"&amp;符文权重!$C:$C,符文权重!$D:$D)*$Y200/SUMIFS($Y:$Y,K:K,K200,$D:$D,$D200,$AE:$AE,$AE200)/SUMIF(符文权重!$A:$A,$D200,符文权重!$D:$D)))</f>
        <v/>
      </c>
      <c r="R200" s="51" cm="1">
        <f t="array" ref="R200">IF($A200="","",IF(L200="","",_xlfn.XLOOKUP($D200&amp;"_"&amp;$AE200,符文权重!$A:$A&amp;"_"&amp;符文权重!$C:$C,符文权重!$D:$D)*$Y200/SUMIFS($Y:$Y,L:L,L200,$D:$D,$D200,$AE:$AE,$AE200)/SUMIF(符文权重!$A:$A,$D200,符文权重!$D:$D)))</f>
        <v>0.00851002865329513</v>
      </c>
      <c r="S200" s="36" t="s">
        <v>256</v>
      </c>
      <c r="T200" s="36"/>
      <c r="U200" s="36" t="e">
        <f>IF(C200="","",SUBSTITUTE(SUBSTITUTE("[{global_atk,"&amp;#REF!*D200&amp;"}]",21,20),9,8))</f>
        <v>#REF!</v>
      </c>
      <c r="V200" s="52" t="str">
        <f t="shared" si="94"/>
        <v>[5503013]</v>
      </c>
      <c r="W200" s="36"/>
      <c r="X200" s="35"/>
      <c r="Y200" s="42">
        <v>33</v>
      </c>
      <c r="Z200" s="35"/>
      <c r="AA200" s="42" t="s">
        <v>183</v>
      </c>
      <c r="AB200" s="42" t="str">
        <f t="shared" si="95"/>
        <v>队长技能冷却缩短&lt;color=#54b76b&gt;20%&lt;/color&gt;</v>
      </c>
      <c r="AC200" s="48" t="str">
        <f t="shared" si="72"/>
        <v>5503011</v>
      </c>
      <c r="AD200" s="42" t="str">
        <f t="shared" si="73"/>
        <v>[20]</v>
      </c>
      <c r="AE200" s="36">
        <v>3</v>
      </c>
      <c r="AF200" s="36"/>
      <c r="AG200" s="36">
        <v>0</v>
      </c>
      <c r="AH200" s="35">
        <v>1</v>
      </c>
      <c r="AI200" s="48">
        <f t="shared" si="97"/>
        <v>5503013</v>
      </c>
      <c r="AJ200" s="53" t="str">
        <f t="shared" si="98"/>
        <v>队长技能冷却缩短&lt;color=#54b76b&gt;%s%&lt;/color&gt;</v>
      </c>
      <c r="AK200" s="36">
        <v>20</v>
      </c>
      <c r="AL200" s="36">
        <v>3</v>
      </c>
    </row>
    <row r="201" s="25" customFormat="1" hidden="1" customHeight="1" spans="1:38">
      <c r="A201" s="48">
        <v>5503014</v>
      </c>
      <c r="B201" s="34" t="s">
        <v>351</v>
      </c>
      <c r="C201" s="48" t="str">
        <f t="shared" si="69"/>
        <v>5503011</v>
      </c>
      <c r="D201" s="42">
        <f t="shared" si="70"/>
        <v>4</v>
      </c>
      <c r="E201" s="42"/>
      <c r="F201" s="36" t="s">
        <v>352</v>
      </c>
      <c r="G201" s="36">
        <f t="shared" si="96"/>
        <v>1</v>
      </c>
      <c r="H201" s="36" t="str">
        <f>IFERROR(IF(--MID($F201,2*COUNTIF($G201:G201,"&gt;"&amp;0)+2,1)=H$1,H$1,""),"")</f>
        <v/>
      </c>
      <c r="I201" s="36" t="str">
        <f>IFERROR(IF(--MID($F201,2*COUNTIF($G201:H201,"&gt;"&amp;0)+2,1)=I$1,I$1,""),"")</f>
        <v/>
      </c>
      <c r="J201" s="36" t="str">
        <f>IFERROR(IF(--MID($F201,2*COUNTIF($G201:I201,"&gt;"&amp;0)+2,1)=J$1,J$1,""),"")</f>
        <v/>
      </c>
      <c r="K201" s="36" t="str">
        <f>IFERROR(IF(--MID($F201,2*COUNTIF($G201:J201,"&gt;"&amp;0)+2,1)=K$1,K$1,""),"")</f>
        <v/>
      </c>
      <c r="L201" s="36">
        <f>IFERROR(IF(--MID($F201,2*COUNTIF($G201:K201,"&gt;"&amp;0)+2,1)=L$1,L$1,""),"")</f>
        <v>6</v>
      </c>
      <c r="M201" s="51" cm="1">
        <f t="array" ref="M201">IF($A201="","",IF(G201="","",_xlfn.XLOOKUP($D201&amp;"_"&amp;$AE201,符文权重!$A:$A&amp;"_"&amp;符文权重!$C:$C,符文权重!$D:$D)*$Y201/SUMIFS($Y:$Y,G:G,G201,$D:$D,$D201,$AE:$AE,$AE201)/SUMIF(符文权重!$A:$A,$D201,符文权重!$D:$D)))</f>
        <v>0.00948170392614837</v>
      </c>
      <c r="N201" s="51" t="str" cm="1">
        <f t="array" ref="N201">IF($A201="","",IF(H201="","",_xlfn.XLOOKUP($D201&amp;"_"&amp;$AE201,符文权重!$A:$A&amp;"_"&amp;符文权重!$C:$C,符文权重!$D:$D)*$Y201/SUMIFS($Y:$Y,H:H,H201,$D:$D,$D201,$AE:$AE,$AE201)/SUMIF(符文权重!$A:$A,$D201,符文权重!$D:$D)))</f>
        <v/>
      </c>
      <c r="O201" s="51" t="str" cm="1">
        <f t="array" ref="O201">IF($A201="","",IF(I201="","",_xlfn.XLOOKUP($D201&amp;"_"&amp;$AE201,符文权重!$A:$A&amp;"_"&amp;符文权重!$C:$C,符文权重!$D:$D)*$Y201/SUMIFS($Y:$Y,I:I,I201,$D:$D,$D201,$AE:$AE,$AE201)/SUMIF(符文权重!$A:$A,$D201,符文权重!$D:$D)))</f>
        <v/>
      </c>
      <c r="P201" s="51" t="str" cm="1">
        <f t="array" ref="P201">IF($A201="","",IF(J201="","",_xlfn.XLOOKUP($D201&amp;"_"&amp;$AE201,符文权重!$A:$A&amp;"_"&amp;符文权重!$C:$C,符文权重!$D:$D)*$Y201/SUMIFS($Y:$Y,J:J,J201,$D:$D,$D201,$AE:$AE,$AE201)/SUMIF(符文权重!$A:$A,$D201,符文权重!$D:$D)))</f>
        <v/>
      </c>
      <c r="Q201" s="51" t="str" cm="1">
        <f t="array" ref="Q201">IF($A201="","",IF(K201="","",_xlfn.XLOOKUP($D201&amp;"_"&amp;$AE201,符文权重!$A:$A&amp;"_"&amp;符文权重!$C:$C,符文权重!$D:$D)*$Y201/SUMIFS($Y:$Y,K:K,K201,$D:$D,$D201,$AE:$AE,$AE201)/SUMIF(符文权重!$A:$A,$D201,符文权重!$D:$D)))</f>
        <v/>
      </c>
      <c r="R201" s="51" cm="1">
        <f t="array" ref="R201">IF($A201="","",IF(L201="","",_xlfn.XLOOKUP($D201&amp;"_"&amp;$AE201,符文权重!$A:$A&amp;"_"&amp;符文权重!$C:$C,符文权重!$D:$D)*$Y201/SUMIFS($Y:$Y,L:L,L201,$D:$D,$D201,$AE:$AE,$AE201)/SUMIF(符文权重!$A:$A,$D201,符文权重!$D:$D)))</f>
        <v>0.00937750937750938</v>
      </c>
      <c r="S201" s="36" t="s">
        <v>256</v>
      </c>
      <c r="T201" s="36"/>
      <c r="U201" s="36" t="e">
        <f>IF(C201="","",SUBSTITUTE(SUBSTITUTE("[{global_atk,"&amp;#REF!*D201&amp;"}]",21,20),9,8))</f>
        <v>#REF!</v>
      </c>
      <c r="V201" s="52" t="str">
        <f t="shared" si="94"/>
        <v>[5503014]</v>
      </c>
      <c r="W201" s="36"/>
      <c r="X201" s="35"/>
      <c r="Y201" s="42">
        <v>11</v>
      </c>
      <c r="Z201" s="35"/>
      <c r="AA201" s="42" t="s">
        <v>185</v>
      </c>
      <c r="AB201" s="42" t="str">
        <f t="shared" si="95"/>
        <v>队长技能冷却缩短&lt;color=#54b76b&gt;25%&lt;/color&gt;</v>
      </c>
      <c r="AC201" s="48" t="str">
        <f t="shared" si="72"/>
        <v>5503011</v>
      </c>
      <c r="AD201" s="42" t="str">
        <f t="shared" si="73"/>
        <v>[25]</v>
      </c>
      <c r="AE201" s="36">
        <v>3</v>
      </c>
      <c r="AF201" s="36"/>
      <c r="AG201" s="36">
        <v>0</v>
      </c>
      <c r="AH201" s="35">
        <v>1</v>
      </c>
      <c r="AI201" s="48">
        <f t="shared" si="97"/>
        <v>5503014</v>
      </c>
      <c r="AJ201" s="53" t="str">
        <f t="shared" si="98"/>
        <v>队长技能冷却缩短&lt;color=#54b76b&gt;%s%&lt;/color&gt;</v>
      </c>
      <c r="AK201" s="36">
        <v>25</v>
      </c>
      <c r="AL201" s="36">
        <v>3</v>
      </c>
    </row>
    <row r="202" s="25" customFormat="1" hidden="1" customHeight="1" spans="1:38">
      <c r="A202" s="48">
        <v>5503015</v>
      </c>
      <c r="B202" s="34" t="s">
        <v>351</v>
      </c>
      <c r="C202" s="48" t="str">
        <f t="shared" si="69"/>
        <v>5503011</v>
      </c>
      <c r="D202" s="42">
        <f t="shared" si="70"/>
        <v>5</v>
      </c>
      <c r="E202" s="42"/>
      <c r="F202" s="36" t="s">
        <v>352</v>
      </c>
      <c r="G202" s="36">
        <f t="shared" si="96"/>
        <v>1</v>
      </c>
      <c r="H202" s="36" t="str">
        <f>IFERROR(IF(--MID($F202,2*COUNTIF($G202:G202,"&gt;"&amp;0)+2,1)=H$1,H$1,""),"")</f>
        <v/>
      </c>
      <c r="I202" s="36" t="str">
        <f>IFERROR(IF(--MID($F202,2*COUNTIF($G202:H202,"&gt;"&amp;0)+2,1)=I$1,I$1,""),"")</f>
        <v/>
      </c>
      <c r="J202" s="36" t="str">
        <f>IFERROR(IF(--MID($F202,2*COUNTIF($G202:I202,"&gt;"&amp;0)+2,1)=J$1,J$1,""),"")</f>
        <v/>
      </c>
      <c r="K202" s="36" t="str">
        <f>IFERROR(IF(--MID($F202,2*COUNTIF($G202:J202,"&gt;"&amp;0)+2,1)=K$1,K$1,""),"")</f>
        <v/>
      </c>
      <c r="L202" s="36">
        <f>IFERROR(IF(--MID($F202,2*COUNTIF($G202:K202,"&gt;"&amp;0)+2,1)=L$1,L$1,""),"")</f>
        <v>6</v>
      </c>
      <c r="M202" s="51" cm="1">
        <f t="array" ref="M202">IF($A202="","",IF(G202="","",_xlfn.XLOOKUP($D202&amp;"_"&amp;$AE202,符文权重!$A:$A&amp;"_"&amp;符文权重!$C:$C,符文权重!$D:$D)*$Y202/SUMIFS($Y:$Y,G:G,G202,$D:$D,$D202,$AE:$AE,$AE202)/SUMIF(符文权重!$A:$A,$D202,符文权重!$D:$D)))</f>
        <v>0.00721428571428571</v>
      </c>
      <c r="N202" s="51" t="str" cm="1">
        <f t="array" ref="N202">IF($A202="","",IF(H202="","",_xlfn.XLOOKUP($D202&amp;"_"&amp;$AE202,符文权重!$A:$A&amp;"_"&amp;符文权重!$C:$C,符文权重!$D:$D)*$Y202/SUMIFS($Y:$Y,H:H,H202,$D:$D,$D202,$AE:$AE,$AE202)/SUMIF(符文权重!$A:$A,$D202,符文权重!$D:$D)))</f>
        <v/>
      </c>
      <c r="O202" s="51" t="str" cm="1">
        <f t="array" ref="O202">IF($A202="","",IF(I202="","",_xlfn.XLOOKUP($D202&amp;"_"&amp;$AE202,符文权重!$A:$A&amp;"_"&amp;符文权重!$C:$C,符文权重!$D:$D)*$Y202/SUMIFS($Y:$Y,I:I,I202,$D:$D,$D202,$AE:$AE,$AE202)/SUMIF(符文权重!$A:$A,$D202,符文权重!$D:$D)))</f>
        <v/>
      </c>
      <c r="P202" s="51" t="str" cm="1">
        <f t="array" ref="P202">IF($A202="","",IF(J202="","",_xlfn.XLOOKUP($D202&amp;"_"&amp;$AE202,符文权重!$A:$A&amp;"_"&amp;符文权重!$C:$C,符文权重!$D:$D)*$Y202/SUMIFS($Y:$Y,J:J,J202,$D:$D,$D202,$AE:$AE,$AE202)/SUMIF(符文权重!$A:$A,$D202,符文权重!$D:$D)))</f>
        <v/>
      </c>
      <c r="Q202" s="51" t="str" cm="1">
        <f t="array" ref="Q202">IF($A202="","",IF(K202="","",_xlfn.XLOOKUP($D202&amp;"_"&amp;$AE202,符文权重!$A:$A&amp;"_"&amp;符文权重!$C:$C,符文权重!$D:$D)*$Y202/SUMIFS($Y:$Y,K:K,K202,$D:$D,$D202,$AE:$AE,$AE202)/SUMIF(符文权重!$A:$A,$D202,符文权重!$D:$D)))</f>
        <v/>
      </c>
      <c r="R202" s="51" cm="1">
        <f t="array" ref="R202">IF($A202="","",IF(L202="","",_xlfn.XLOOKUP($D202&amp;"_"&amp;$AE202,符文权重!$A:$A&amp;"_"&amp;符文权重!$C:$C,符文权重!$D:$D)*$Y202/SUMIFS($Y:$Y,L:L,L202,$D:$D,$D202,$AE:$AE,$AE202)/SUMIF(符文权重!$A:$A,$D202,符文权重!$D:$D)))</f>
        <v>0.0063125</v>
      </c>
      <c r="S202" s="36" t="s">
        <v>256</v>
      </c>
      <c r="T202" s="36"/>
      <c r="U202" s="36" t="e">
        <f>IF(C202="","",SUBSTITUTE(SUBSTITUTE("[{global_atk,"&amp;#REF!*D202&amp;"}]",21,20),9,8))</f>
        <v>#REF!</v>
      </c>
      <c r="V202" s="52" t="str">
        <f t="shared" si="94"/>
        <v>[5503015]</v>
      </c>
      <c r="W202" s="36"/>
      <c r="X202" s="35"/>
      <c r="Y202" s="42">
        <v>100</v>
      </c>
      <c r="Z202" s="35"/>
      <c r="AA202" s="42" t="s">
        <v>187</v>
      </c>
      <c r="AB202" s="42" t="str">
        <f t="shared" si="95"/>
        <v>队长技能冷却缩短&lt;color=#54b76b&gt;30%&lt;/color&gt;</v>
      </c>
      <c r="AC202" s="48" t="str">
        <f t="shared" si="72"/>
        <v>5503011</v>
      </c>
      <c r="AD202" s="42" t="str">
        <f t="shared" si="73"/>
        <v>[30]</v>
      </c>
      <c r="AE202" s="36">
        <v>4</v>
      </c>
      <c r="AF202" s="36"/>
      <c r="AG202" s="36">
        <v>0</v>
      </c>
      <c r="AH202" s="35">
        <v>1</v>
      </c>
      <c r="AI202" s="48">
        <f t="shared" si="97"/>
        <v>5503015</v>
      </c>
      <c r="AJ202" s="53" t="str">
        <f t="shared" si="98"/>
        <v>队长技能冷却缩短&lt;color=#54b76b&gt;%s%&lt;/color&gt;</v>
      </c>
      <c r="AK202" s="36">
        <v>30</v>
      </c>
      <c r="AL202" s="36">
        <v>3</v>
      </c>
    </row>
    <row r="203" s="25" customFormat="1" hidden="1" customHeight="1" spans="1:38">
      <c r="A203" s="48">
        <v>5503016</v>
      </c>
      <c r="B203" s="34" t="s">
        <v>351</v>
      </c>
      <c r="C203" s="48" t="str">
        <f t="shared" si="69"/>
        <v>5503011</v>
      </c>
      <c r="D203" s="42">
        <f t="shared" si="70"/>
        <v>6</v>
      </c>
      <c r="E203" s="42"/>
      <c r="F203" s="36" t="s">
        <v>352</v>
      </c>
      <c r="G203" s="36">
        <f t="shared" si="96"/>
        <v>1</v>
      </c>
      <c r="H203" s="36" t="str">
        <f>IFERROR(IF(--MID($F203,2*COUNTIF($G203:G203,"&gt;"&amp;0)+2,1)=H$1,H$1,""),"")</f>
        <v/>
      </c>
      <c r="I203" s="36" t="str">
        <f>IFERROR(IF(--MID($F203,2*COUNTIF($G203:H203,"&gt;"&amp;0)+2,1)=I$1,I$1,""),"")</f>
        <v/>
      </c>
      <c r="J203" s="36" t="str">
        <f>IFERROR(IF(--MID($F203,2*COUNTIF($G203:I203,"&gt;"&amp;0)+2,1)=J$1,J$1,""),"")</f>
        <v/>
      </c>
      <c r="K203" s="36" t="str">
        <f>IFERROR(IF(--MID($F203,2*COUNTIF($G203:J203,"&gt;"&amp;0)+2,1)=K$1,K$1,""),"")</f>
        <v/>
      </c>
      <c r="L203" s="36">
        <f>IFERROR(IF(--MID($F203,2*COUNTIF($G203:K203,"&gt;"&amp;0)+2,1)=L$1,L$1,""),"")</f>
        <v>6</v>
      </c>
      <c r="M203" s="51" cm="1">
        <f t="array" ref="M203">IF($A203="","",IF(G203="","",_xlfn.XLOOKUP($D203&amp;"_"&amp;$AE203,符文权重!$A:$A&amp;"_"&amp;符文权重!$C:$C,符文权重!$D:$D)*$Y203/SUMIFS($Y:$Y,G:G,G203,$D:$D,$D203,$AE:$AE,$AE203)/SUMIF(符文权重!$A:$A,$D203,符文权重!$D:$D)))</f>
        <v>0.00721428571428571</v>
      </c>
      <c r="N203" s="51" t="str" cm="1">
        <f t="array" ref="N203">IF($A203="","",IF(H203="","",_xlfn.XLOOKUP($D203&amp;"_"&amp;$AE203,符文权重!$A:$A&amp;"_"&amp;符文权重!$C:$C,符文权重!$D:$D)*$Y203/SUMIFS($Y:$Y,H:H,H203,$D:$D,$D203,$AE:$AE,$AE203)/SUMIF(符文权重!$A:$A,$D203,符文权重!$D:$D)))</f>
        <v/>
      </c>
      <c r="O203" s="51" t="str" cm="1">
        <f t="array" ref="O203">IF($A203="","",IF(I203="","",_xlfn.XLOOKUP($D203&amp;"_"&amp;$AE203,符文权重!$A:$A&amp;"_"&amp;符文权重!$C:$C,符文权重!$D:$D)*$Y203/SUMIFS($Y:$Y,I:I,I203,$D:$D,$D203,$AE:$AE,$AE203)/SUMIF(符文权重!$A:$A,$D203,符文权重!$D:$D)))</f>
        <v/>
      </c>
      <c r="P203" s="51" t="str" cm="1">
        <f t="array" ref="P203">IF($A203="","",IF(J203="","",_xlfn.XLOOKUP($D203&amp;"_"&amp;$AE203,符文权重!$A:$A&amp;"_"&amp;符文权重!$C:$C,符文权重!$D:$D)*$Y203/SUMIFS($Y:$Y,J:J,J203,$D:$D,$D203,$AE:$AE,$AE203)/SUMIF(符文权重!$A:$A,$D203,符文权重!$D:$D)))</f>
        <v/>
      </c>
      <c r="Q203" s="51" t="str" cm="1">
        <f t="array" ref="Q203">IF($A203="","",IF(K203="","",_xlfn.XLOOKUP($D203&amp;"_"&amp;$AE203,符文权重!$A:$A&amp;"_"&amp;符文权重!$C:$C,符文权重!$D:$D)*$Y203/SUMIFS($Y:$Y,K:K,K203,$D:$D,$D203,$AE:$AE,$AE203)/SUMIF(符文权重!$A:$A,$D203,符文权重!$D:$D)))</f>
        <v/>
      </c>
      <c r="R203" s="51" cm="1">
        <f t="array" ref="R203">IF($A203="","",IF(L203="","",_xlfn.XLOOKUP($D203&amp;"_"&amp;$AE203,符文权重!$A:$A&amp;"_"&amp;符文权重!$C:$C,符文权重!$D:$D)*$Y203/SUMIFS($Y:$Y,L:L,L203,$D:$D,$D203,$AE:$AE,$AE203)/SUMIF(符文权重!$A:$A,$D203,符文权重!$D:$D)))</f>
        <v>0.0063125</v>
      </c>
      <c r="S203" s="36" t="s">
        <v>256</v>
      </c>
      <c r="T203" s="36"/>
      <c r="U203" s="36" t="e">
        <f>IF(C203="","",SUBSTITUTE(SUBSTITUTE("[{global_atk,"&amp;#REF!*D203&amp;"}]",21,20),9,8))</f>
        <v>#REF!</v>
      </c>
      <c r="V203" s="52" t="str">
        <f t="shared" si="94"/>
        <v>[5503016]</v>
      </c>
      <c r="W203" s="36"/>
      <c r="X203" s="35"/>
      <c r="Y203" s="42">
        <v>100</v>
      </c>
      <c r="Z203" s="35"/>
      <c r="AA203" s="42" t="s">
        <v>189</v>
      </c>
      <c r="AB203" s="42" t="str">
        <f t="shared" si="95"/>
        <v>队长技能冷却缩短&lt;color=#54b76b&gt;35%&lt;/color&gt;</v>
      </c>
      <c r="AC203" s="48" t="str">
        <f t="shared" si="72"/>
        <v>5503011</v>
      </c>
      <c r="AD203" s="42" t="str">
        <f t="shared" si="73"/>
        <v>[35]</v>
      </c>
      <c r="AE203" s="36">
        <v>4</v>
      </c>
      <c r="AF203" s="36"/>
      <c r="AG203" s="36">
        <v>0</v>
      </c>
      <c r="AH203" s="35">
        <v>1</v>
      </c>
      <c r="AI203" s="48">
        <f t="shared" si="97"/>
        <v>5503016</v>
      </c>
      <c r="AJ203" s="53" t="str">
        <f t="shared" si="98"/>
        <v>队长技能冷却缩短&lt;color=#54b76b&gt;%s%&lt;/color&gt;</v>
      </c>
      <c r="AK203" s="36">
        <v>35</v>
      </c>
      <c r="AL203" s="36">
        <v>3</v>
      </c>
    </row>
    <row r="204" s="25" customFormat="1" hidden="1" customHeight="1" spans="1:38">
      <c r="A204" s="48">
        <v>5503017</v>
      </c>
      <c r="B204" s="34" t="s">
        <v>351</v>
      </c>
      <c r="C204" s="48" t="str">
        <f t="shared" si="69"/>
        <v>5503011</v>
      </c>
      <c r="D204" s="42">
        <f t="shared" si="70"/>
        <v>7</v>
      </c>
      <c r="E204" s="42"/>
      <c r="F204" s="36" t="s">
        <v>352</v>
      </c>
      <c r="G204" s="36">
        <f t="shared" si="96"/>
        <v>1</v>
      </c>
      <c r="H204" s="36" t="str">
        <f>IFERROR(IF(--MID($F204,2*COUNTIF($G204:G204,"&gt;"&amp;0)+2,1)=H$1,H$1,""),"")</f>
        <v/>
      </c>
      <c r="I204" s="36" t="str">
        <f>IFERROR(IF(--MID($F204,2*COUNTIF($G204:H204,"&gt;"&amp;0)+2,1)=I$1,I$1,""),"")</f>
        <v/>
      </c>
      <c r="J204" s="36" t="str">
        <f>IFERROR(IF(--MID($F204,2*COUNTIF($G204:I204,"&gt;"&amp;0)+2,1)=J$1,J$1,""),"")</f>
        <v/>
      </c>
      <c r="K204" s="36" t="str">
        <f>IFERROR(IF(--MID($F204,2*COUNTIF($G204:J204,"&gt;"&amp;0)+2,1)=K$1,K$1,""),"")</f>
        <v/>
      </c>
      <c r="L204" s="36">
        <f>IFERROR(IF(--MID($F204,2*COUNTIF($G204:K204,"&gt;"&amp;0)+2,1)=L$1,L$1,""),"")</f>
        <v>6</v>
      </c>
      <c r="M204" s="51" cm="1">
        <f t="array" ref="M204">IF($A204="","",IF(G204="","",_xlfn.XLOOKUP($D204&amp;"_"&amp;$AE204,符文权重!$A:$A&amp;"_"&amp;符文权重!$C:$C,符文权重!$D:$D)*$Y204/SUMIFS($Y:$Y,G:G,G204,$D:$D,$D204,$AE:$AE,$AE204)/SUMIF(符文权重!$A:$A,$D204,符文权重!$D:$D)))</f>
        <v>0.00721428571428571</v>
      </c>
      <c r="N204" s="51" t="str" cm="1">
        <f t="array" ref="N204">IF($A204="","",IF(H204="","",_xlfn.XLOOKUP($D204&amp;"_"&amp;$AE204,符文权重!$A:$A&amp;"_"&amp;符文权重!$C:$C,符文权重!$D:$D)*$Y204/SUMIFS($Y:$Y,H:H,H204,$D:$D,$D204,$AE:$AE,$AE204)/SUMIF(符文权重!$A:$A,$D204,符文权重!$D:$D)))</f>
        <v/>
      </c>
      <c r="O204" s="51" t="str" cm="1">
        <f t="array" ref="O204">IF($A204="","",IF(I204="","",_xlfn.XLOOKUP($D204&amp;"_"&amp;$AE204,符文权重!$A:$A&amp;"_"&amp;符文权重!$C:$C,符文权重!$D:$D)*$Y204/SUMIFS($Y:$Y,I:I,I204,$D:$D,$D204,$AE:$AE,$AE204)/SUMIF(符文权重!$A:$A,$D204,符文权重!$D:$D)))</f>
        <v/>
      </c>
      <c r="P204" s="51" t="str" cm="1">
        <f t="array" ref="P204">IF($A204="","",IF(J204="","",_xlfn.XLOOKUP($D204&amp;"_"&amp;$AE204,符文权重!$A:$A&amp;"_"&amp;符文权重!$C:$C,符文权重!$D:$D)*$Y204/SUMIFS($Y:$Y,J:J,J204,$D:$D,$D204,$AE:$AE,$AE204)/SUMIF(符文权重!$A:$A,$D204,符文权重!$D:$D)))</f>
        <v/>
      </c>
      <c r="Q204" s="51" t="str" cm="1">
        <f t="array" ref="Q204">IF($A204="","",IF(K204="","",_xlfn.XLOOKUP($D204&amp;"_"&amp;$AE204,符文权重!$A:$A&amp;"_"&amp;符文权重!$C:$C,符文权重!$D:$D)*$Y204/SUMIFS($Y:$Y,K:K,K204,$D:$D,$D204,$AE:$AE,$AE204)/SUMIF(符文权重!$A:$A,$D204,符文权重!$D:$D)))</f>
        <v/>
      </c>
      <c r="R204" s="51" cm="1">
        <f t="array" ref="R204">IF($A204="","",IF(L204="","",_xlfn.XLOOKUP($D204&amp;"_"&amp;$AE204,符文权重!$A:$A&amp;"_"&amp;符文权重!$C:$C,符文权重!$D:$D)*$Y204/SUMIFS($Y:$Y,L:L,L204,$D:$D,$D204,$AE:$AE,$AE204)/SUMIF(符文权重!$A:$A,$D204,符文权重!$D:$D)))</f>
        <v>0.0063125</v>
      </c>
      <c r="S204" s="36" t="s">
        <v>256</v>
      </c>
      <c r="T204" s="36"/>
      <c r="U204" s="36" t="e">
        <f>IF(C204="","",SUBSTITUTE(SUBSTITUTE("[{global_atk,"&amp;#REF!*D204&amp;"}]",21,20),9,8))</f>
        <v>#REF!</v>
      </c>
      <c r="V204" s="52" t="str">
        <f t="shared" si="94"/>
        <v>[5503017]</v>
      </c>
      <c r="W204" s="36"/>
      <c r="X204" s="35"/>
      <c r="Y204" s="42">
        <v>100</v>
      </c>
      <c r="Z204" s="35"/>
      <c r="AA204" s="42" t="s">
        <v>191</v>
      </c>
      <c r="AB204" s="42" t="str">
        <f t="shared" si="95"/>
        <v>队长技能冷却缩短&lt;color=#54b76b&gt;40%&lt;/color&gt;</v>
      </c>
      <c r="AC204" s="48" t="str">
        <f t="shared" si="72"/>
        <v>5503011</v>
      </c>
      <c r="AD204" s="42" t="str">
        <f t="shared" si="73"/>
        <v>[40]</v>
      </c>
      <c r="AE204" s="36">
        <v>4</v>
      </c>
      <c r="AF204" s="36"/>
      <c r="AG204" s="36">
        <v>0</v>
      </c>
      <c r="AH204" s="35">
        <v>1</v>
      </c>
      <c r="AI204" s="48">
        <f t="shared" si="97"/>
        <v>5503017</v>
      </c>
      <c r="AJ204" s="53" t="str">
        <f t="shared" si="98"/>
        <v>队长技能冷却缩短&lt;color=#54b76b&gt;%s%&lt;/color&gt;</v>
      </c>
      <c r="AK204" s="36">
        <v>40</v>
      </c>
      <c r="AL204" s="36">
        <v>3</v>
      </c>
    </row>
    <row r="205" s="25" customFormat="1" hidden="1" customHeight="1" spans="1:38">
      <c r="A205" s="48" t="s">
        <v>178</v>
      </c>
      <c r="B205" s="41"/>
      <c r="C205" s="48" t="str">
        <f t="shared" si="69"/>
        <v/>
      </c>
      <c r="D205" s="42" t="str">
        <f t="shared" si="70"/>
        <v/>
      </c>
      <c r="E205" s="42"/>
      <c r="F205" s="36"/>
      <c r="G205" s="36" t="str">
        <f t="shared" si="96"/>
        <v/>
      </c>
      <c r="H205" s="36" t="str">
        <f>IFERROR(IF(--MID($F205,2*COUNTIF($G205:G205,"&gt;"&amp;0)+2,1)=H$1,H$1,""),"")</f>
        <v/>
      </c>
      <c r="I205" s="36" t="str">
        <f>IFERROR(IF(--MID($F205,2*COUNTIF($G205:H205,"&gt;"&amp;0)+2,1)=I$1,I$1,""),"")</f>
        <v/>
      </c>
      <c r="J205" s="36" t="str">
        <f>IFERROR(IF(--MID($F205,2*COUNTIF($G205:I205,"&gt;"&amp;0)+2,1)=J$1,J$1,""),"")</f>
        <v/>
      </c>
      <c r="K205" s="36" t="str">
        <f>IFERROR(IF(--MID($F205,2*COUNTIF($G205:J205,"&gt;"&amp;0)+2,1)=K$1,K$1,""),"")</f>
        <v/>
      </c>
      <c r="L205" s="36" t="str">
        <f>IFERROR(IF(--MID($F205,2*COUNTIF($G205:K205,"&gt;"&amp;0)+2,1)=L$1,L$1,""),"")</f>
        <v/>
      </c>
      <c r="M205" s="51" t="str" cm="1">
        <f t="array" ref="M205">IF($A205="","",IF(G205="","",_xlfn.XLOOKUP($D205&amp;"_"&amp;$AE205,符文权重!$A:$A&amp;"_"&amp;符文权重!$C:$C,符文权重!$D:$D)*$Y205/SUMIFS($Y:$Y,G:G,G205,$D:$D,$D205,$AE:$AE,$AE205)/SUMIF(符文权重!$A:$A,$D205,符文权重!$D:$D)))</f>
        <v/>
      </c>
      <c r="N205" s="36" t="str" cm="1">
        <f t="array" ref="N205">IF($A205="","",IF(H205="","",_xlfn.XLOOKUP($D205&amp;"_"&amp;$AE205,符文权重!$A:$A&amp;"_"&amp;符文权重!$C:$C,符文权重!$D:$D)*$Y205/SUMIFS($Y:$Y,H:H,H205,$D:$D,$D$6,$AE:$AE,$AE$6)))</f>
        <v/>
      </c>
      <c r="O205" s="36" t="str" cm="1">
        <f t="array" ref="O205">IF($A205="","",IF(I205="","",_xlfn.XLOOKUP($D205&amp;"_"&amp;$AE205,符文权重!$A:$A&amp;"_"&amp;符文权重!$C:$C,符文权重!$D:$D)*$Y205/SUMIFS($Y:$Y,I:I,I205,$D:$D,$D$6,$AE:$AE,$AE$6)))</f>
        <v/>
      </c>
      <c r="P205" s="36" t="str" cm="1">
        <f t="array" ref="P205">IF($A205="","",IF(J205="","",_xlfn.XLOOKUP($D205&amp;"_"&amp;$AE205,符文权重!$A:$A&amp;"_"&amp;符文权重!$C:$C,符文权重!$D:$D)*$Y205/SUMIFS($Y:$Y,J:J,J205,$D:$D,$D$6,$AE:$AE,$AE$6)))</f>
        <v/>
      </c>
      <c r="Q205" s="36" t="str" cm="1">
        <f t="array" ref="Q205">IF($A205="","",IF(K205="","",_xlfn.XLOOKUP($D205&amp;"_"&amp;$AE205,符文权重!$A:$A&amp;"_"&amp;符文权重!$C:$C,符文权重!$D:$D)*$Y205/SUMIFS($Y:$Y,K:K,K205,$D:$D,$D$6,$AE:$AE,$AE$6)))</f>
        <v/>
      </c>
      <c r="R205" s="36" t="str" cm="1">
        <f t="array" ref="R205">IF($A205="","",IF(L205="","",_xlfn.XLOOKUP($D205&amp;"_"&amp;$AE205,符文权重!$A:$A&amp;"_"&amp;符文权重!$C:$C,符文权重!$D:$D)*$Y205/SUMIFS($Y:$Y,L:L,L205,$D:$D,$D$6,$AE:$AE,$AE$6)))</f>
        <v/>
      </c>
      <c r="S205" s="36"/>
      <c r="T205" s="36"/>
      <c r="U205" s="36"/>
      <c r="W205" s="41"/>
      <c r="X205" s="35"/>
      <c r="Y205" s="42"/>
      <c r="Z205" s="35"/>
      <c r="AA205" s="42" t="s">
        <v>178</v>
      </c>
      <c r="AB205" s="42" t="str">
        <f t="shared" si="95"/>
        <v/>
      </c>
      <c r="AC205" s="48" t="str">
        <f t="shared" si="72"/>
        <v/>
      </c>
      <c r="AD205" s="42" t="str">
        <f t="shared" si="73"/>
        <v/>
      </c>
      <c r="AE205" s="36"/>
      <c r="AF205" s="36"/>
      <c r="AG205" s="36"/>
      <c r="AH205" s="35" t="s">
        <v>178</v>
      </c>
      <c r="AI205" s="33"/>
      <c r="AJ205" s="56"/>
      <c r="AK205" s="36"/>
      <c r="AL205" s="36"/>
    </row>
    <row r="206" s="27" customFormat="1" hidden="1" customHeight="1" spans="1:38">
      <c r="A206" s="57">
        <v>5503021</v>
      </c>
      <c r="B206" s="58" t="s">
        <v>353</v>
      </c>
      <c r="C206" s="57" t="str">
        <f t="shared" ref="C206:C268" si="99">IF(ISBLANK(AI206),"",LEFT(AI206,6)&amp;1)</f>
        <v>5503021</v>
      </c>
      <c r="D206" s="59">
        <f t="shared" ref="D206:D268" si="100">IF(ISBLANK(AI206),"",VALUE(RIGHT(A206,1)))</f>
        <v>1</v>
      </c>
      <c r="E206" s="59"/>
      <c r="F206" s="60" t="s">
        <v>343</v>
      </c>
      <c r="G206" s="36" t="str">
        <f t="shared" si="96"/>
        <v/>
      </c>
      <c r="H206" s="36">
        <f>IFERROR(IF(--MID($F206,2*COUNTIF($G206:G206,"&gt;"&amp;0)+2,1)=H$1,H$1,""),"")</f>
        <v>2</v>
      </c>
      <c r="I206" s="36" t="str">
        <f>IFERROR(IF(--MID($F206,2*COUNTIF($G206:H206,"&gt;"&amp;0)+2,1)=I$1,I$1,""),"")</f>
        <v/>
      </c>
      <c r="J206" s="36" t="str">
        <f>IFERROR(IF(--MID($F206,2*COUNTIF($G206:I206,"&gt;"&amp;0)+2,1)=J$1,J$1,""),"")</f>
        <v/>
      </c>
      <c r="K206" s="36">
        <f>IFERROR(IF(--MID($F206,2*COUNTIF($G206:J206,"&gt;"&amp;0)+2,1)=K$1,K$1,""),"")</f>
        <v>5</v>
      </c>
      <c r="L206" s="36" t="str">
        <f>IFERROR(IF(--MID($F206,2*COUNTIF($G206:K206,"&gt;"&amp;0)+2,1)=L$1,L$1,""),"")</f>
        <v/>
      </c>
      <c r="M206" s="36" t="e" cm="1">
        <f t="array" ref="M206">IF(A206="","",_xlfn.XLOOKUP(D206&amp;"_"&amp;AE206,符文权重!A:A&amp;"_"&amp;符文权重!C:C,符文权重!D:D))</f>
        <v>#N/A</v>
      </c>
      <c r="N206" s="36"/>
      <c r="O206" s="36"/>
      <c r="P206" s="36"/>
      <c r="Q206" s="36"/>
      <c r="R206" s="36"/>
      <c r="S206" s="60" t="s">
        <v>175</v>
      </c>
      <c r="T206" s="60"/>
      <c r="U206" s="60" t="e">
        <f>IF(C206="","",SUBSTITUTE(SUBSTITUTE("[{global_atk,"&amp;#REF!*D206&amp;"}]",21,20),9,8))</f>
        <v>#REF!</v>
      </c>
      <c r="V206" s="61" t="str">
        <f t="shared" ref="V206:V212" si="101">"["&amp;A206&amp;"]"</f>
        <v>[5503021]</v>
      </c>
      <c r="W206" s="60" t="s">
        <v>354</v>
      </c>
      <c r="X206" s="28"/>
      <c r="Y206" s="42">
        <v>33</v>
      </c>
      <c r="Z206" s="28"/>
      <c r="AA206" s="59" t="s">
        <v>177</v>
      </c>
      <c r="AB206" s="42" t="str">
        <f t="shared" si="95"/>
        <v>暴击伤害&lt;color=#54b76b&gt;+20%&lt;/color&gt;</v>
      </c>
      <c r="AC206" s="57" t="str">
        <f t="shared" ref="AC206:AC268" si="102">IF(ISBLANK(AI206),"",C206)</f>
        <v>5503021</v>
      </c>
      <c r="AD206" s="59" t="str">
        <f t="shared" ref="AD206:AD268" si="103">IF(ISBLANK(AK206),"","["&amp;AK206&amp;"]")</f>
        <v>[20]</v>
      </c>
      <c r="AE206" s="60">
        <v>100</v>
      </c>
      <c r="AF206" s="60"/>
      <c r="AG206" s="60">
        <v>1</v>
      </c>
      <c r="AH206" s="35">
        <v>1</v>
      </c>
      <c r="AI206" s="62">
        <v>5503021</v>
      </c>
      <c r="AJ206" s="63" t="s">
        <v>353</v>
      </c>
      <c r="AK206" s="60">
        <v>20</v>
      </c>
      <c r="AL206" s="36"/>
    </row>
    <row r="207" s="27" customFormat="1" hidden="1" customHeight="1" spans="1:38">
      <c r="A207" s="57">
        <v>5503022</v>
      </c>
      <c r="B207" s="58" t="s">
        <v>353</v>
      </c>
      <c r="C207" s="57" t="str">
        <f t="shared" si="99"/>
        <v>5503021</v>
      </c>
      <c r="D207" s="59">
        <f t="shared" si="100"/>
        <v>2</v>
      </c>
      <c r="E207" s="59"/>
      <c r="F207" s="60" t="s">
        <v>343</v>
      </c>
      <c r="G207" s="36" t="str">
        <f t="shared" si="96"/>
        <v/>
      </c>
      <c r="H207" s="36">
        <f>IFERROR(IF(--MID($F207,2*COUNTIF($G207:G207,"&gt;"&amp;0)+2,1)=H$1,H$1,""),"")</f>
        <v>2</v>
      </c>
      <c r="I207" s="36" t="str">
        <f>IFERROR(IF(--MID($F207,2*COUNTIF($G207:H207,"&gt;"&amp;0)+2,1)=I$1,I$1,""),"")</f>
        <v/>
      </c>
      <c r="J207" s="36" t="str">
        <f>IFERROR(IF(--MID($F207,2*COUNTIF($G207:I207,"&gt;"&amp;0)+2,1)=J$1,J$1,""),"")</f>
        <v/>
      </c>
      <c r="K207" s="36">
        <f>IFERROR(IF(--MID($F207,2*COUNTIF($G207:J207,"&gt;"&amp;0)+2,1)=K$1,K$1,""),"")</f>
        <v>5</v>
      </c>
      <c r="L207" s="36" t="str">
        <f>IFERROR(IF(--MID($F207,2*COUNTIF($G207:K207,"&gt;"&amp;0)+2,1)=L$1,L$1,""),"")</f>
        <v/>
      </c>
      <c r="M207" s="36" t="e" cm="1">
        <f t="array" ref="M207">IF(A207="","",_xlfn.XLOOKUP(D207&amp;"_"&amp;AE207,符文权重!A:A&amp;"_"&amp;符文权重!C:C,符文权重!D:D))</f>
        <v>#N/A</v>
      </c>
      <c r="N207" s="36"/>
      <c r="O207" s="36"/>
      <c r="P207" s="36"/>
      <c r="Q207" s="36"/>
      <c r="R207" s="36"/>
      <c r="S207" s="60" t="s">
        <v>175</v>
      </c>
      <c r="T207" s="60"/>
      <c r="U207" s="60" t="e">
        <f>IF(C207="","",SUBSTITUTE(SUBSTITUTE("[{global_atk,"&amp;#REF!*D207&amp;"}]",21,20),9,8))</f>
        <v>#REF!</v>
      </c>
      <c r="V207" s="61" t="str">
        <f t="shared" si="101"/>
        <v>[5503022]</v>
      </c>
      <c r="W207" s="60" t="s">
        <v>355</v>
      </c>
      <c r="X207" s="28"/>
      <c r="Y207" s="42">
        <v>33</v>
      </c>
      <c r="Z207" s="28"/>
      <c r="AA207" s="59" t="s">
        <v>181</v>
      </c>
      <c r="AB207" s="42" t="str">
        <f t="shared" si="95"/>
        <v>暴击伤害&lt;color=#54b76b&gt;+30%&lt;/color&gt;</v>
      </c>
      <c r="AC207" s="57" t="str">
        <f t="shared" si="102"/>
        <v>5503021</v>
      </c>
      <c r="AD207" s="59" t="str">
        <f t="shared" si="103"/>
        <v>[30]</v>
      </c>
      <c r="AE207" s="60">
        <v>100</v>
      </c>
      <c r="AF207" s="60"/>
      <c r="AG207" s="60">
        <v>1</v>
      </c>
      <c r="AH207" s="35">
        <v>1</v>
      </c>
      <c r="AI207" s="57">
        <f t="shared" ref="AI207:AI212" si="104">AI206+1</f>
        <v>5503022</v>
      </c>
      <c r="AJ207" s="64" t="str">
        <f t="shared" ref="AJ207:AJ212" si="105">AJ206</f>
        <v>暴击伤害&lt;color=#54b76b&gt;+%s%&lt;/color&gt;</v>
      </c>
      <c r="AK207" s="60">
        <v>30</v>
      </c>
      <c r="AL207" s="36"/>
    </row>
    <row r="208" s="25" customFormat="1" hidden="1" customHeight="1" spans="1:38">
      <c r="A208" s="48">
        <v>5503023</v>
      </c>
      <c r="B208" s="34" t="s">
        <v>353</v>
      </c>
      <c r="C208" s="48" t="str">
        <f t="shared" si="99"/>
        <v>5503021</v>
      </c>
      <c r="D208" s="42">
        <f t="shared" si="100"/>
        <v>3</v>
      </c>
      <c r="E208" s="42"/>
      <c r="F208" s="36" t="s">
        <v>343</v>
      </c>
      <c r="G208" s="36" t="str">
        <f t="shared" si="96"/>
        <v/>
      </c>
      <c r="H208" s="36">
        <f>IFERROR(IF(--MID($F208,2*COUNTIF($G208:G208,"&gt;"&amp;0)+2,1)=H$1,H$1,""),"")</f>
        <v>2</v>
      </c>
      <c r="I208" s="36" t="str">
        <f>IFERROR(IF(--MID($F208,2*COUNTIF($G208:H208,"&gt;"&amp;0)+2,1)=I$1,I$1,""),"")</f>
        <v/>
      </c>
      <c r="J208" s="36" t="str">
        <f>IFERROR(IF(--MID($F208,2*COUNTIF($G208:I208,"&gt;"&amp;0)+2,1)=J$1,J$1,""),"")</f>
        <v/>
      </c>
      <c r="K208" s="36">
        <f>IFERROR(IF(--MID($F208,2*COUNTIF($G208:J208,"&gt;"&amp;0)+2,1)=K$1,K$1,""),"")</f>
        <v>5</v>
      </c>
      <c r="L208" s="36" t="str">
        <f>IFERROR(IF(--MID($F208,2*COUNTIF($G208:K208,"&gt;"&amp;0)+2,1)=L$1,L$1,""),"")</f>
        <v/>
      </c>
      <c r="M208" s="51" t="str" cm="1">
        <f t="array" ref="M208">IF($A208="","",IF(G208="","",_xlfn.XLOOKUP($D208&amp;"_"&amp;$AE208,符文权重!$A:$A&amp;"_"&amp;符文权重!$C:$C,符文权重!$D:$D)*$Y208/SUMIFS($Y:$Y,G:G,G208,$D:$D,$D208,$AE:$AE,$AE208)/SUMIF(符文权重!$A:$A,$D208,符文权重!$D:$D)))</f>
        <v/>
      </c>
      <c r="N208" s="51" cm="1">
        <f t="array" ref="N208">IF($A208="","",IF(H208="","",_xlfn.XLOOKUP($D208&amp;"_"&amp;$AE208,符文权重!$A:$A&amp;"_"&amp;符文权重!$C:$C,符文权重!$D:$D)*$Y208/SUMIFS($Y:$Y,H:H,H208,$D:$D,$D208,$AE:$AE,$AE208)/SUMIF(符文权重!$A:$A,$D208,符文权重!$D:$D)))</f>
        <v>0.00851002865329513</v>
      </c>
      <c r="O208" s="51" t="str" cm="1">
        <f t="array" ref="O208">IF($A208="","",IF(I208="","",_xlfn.XLOOKUP($D208&amp;"_"&amp;$AE208,符文权重!$A:$A&amp;"_"&amp;符文权重!$C:$C,符文权重!$D:$D)*$Y208/SUMIFS($Y:$Y,I:I,I208,$D:$D,$D208,$AE:$AE,$AE208)/SUMIF(符文权重!$A:$A,$D208,符文权重!$D:$D)))</f>
        <v/>
      </c>
      <c r="P208" s="51" t="str" cm="1">
        <f t="array" ref="P208">IF($A208="","",IF(J208="","",_xlfn.XLOOKUP($D208&amp;"_"&amp;$AE208,符文权重!$A:$A&amp;"_"&amp;符文权重!$C:$C,符文权重!$D:$D)*$Y208/SUMIFS($Y:$Y,J:J,J208,$D:$D,$D208,$AE:$AE,$AE208)/SUMIF(符文权重!$A:$A,$D208,符文权重!$D:$D)))</f>
        <v/>
      </c>
      <c r="Q208" s="51" cm="1">
        <f t="array" ref="Q208">IF($A208="","",IF(K208="","",_xlfn.XLOOKUP($D208&amp;"_"&amp;$AE208,符文权重!$A:$A&amp;"_"&amp;符文权重!$C:$C,符文权重!$D:$D)*$Y208/SUMIFS($Y:$Y,K:K,K208,$D:$D,$D208,$AE:$AE,$AE208)/SUMIF(符文权重!$A:$A,$D208,符文权重!$D:$D)))</f>
        <v>0.00851002865329513</v>
      </c>
      <c r="R208" s="51" t="str" cm="1">
        <f t="array" ref="R208">IF($A208="","",IF(L208="","",_xlfn.XLOOKUP($D208&amp;"_"&amp;$AE208,符文权重!$A:$A&amp;"_"&amp;符文权重!$C:$C,符文权重!$D:$D)*$Y208/SUMIFS($Y:$Y,L:L,L208,$D:$D,$D208,$AE:$AE,$AE208)/SUMIF(符文权重!$A:$A,$D208,符文权重!$D:$D)))</f>
        <v/>
      </c>
      <c r="S208" s="36" t="s">
        <v>175</v>
      </c>
      <c r="T208" s="36"/>
      <c r="U208" s="36" t="e">
        <f>IF(C208="","",SUBSTITUTE(SUBSTITUTE("[{global_atk,"&amp;#REF!*D208&amp;"}]",21,20),9,8))</f>
        <v>#REF!</v>
      </c>
      <c r="V208" s="52" t="str">
        <f t="shared" si="101"/>
        <v>[5503023]</v>
      </c>
      <c r="W208" s="36" t="s">
        <v>356</v>
      </c>
      <c r="X208" s="35"/>
      <c r="Y208" s="42">
        <v>33</v>
      </c>
      <c r="Z208" s="35"/>
      <c r="AA208" s="42" t="s">
        <v>183</v>
      </c>
      <c r="AB208" s="42" t="str">
        <f t="shared" si="95"/>
        <v>暴击伤害&lt;color=#54b76b&gt;+40%&lt;/color&gt;</v>
      </c>
      <c r="AC208" s="48" t="str">
        <f t="shared" si="102"/>
        <v>5503021</v>
      </c>
      <c r="AD208" s="42" t="str">
        <f t="shared" si="103"/>
        <v>[40]</v>
      </c>
      <c r="AE208" s="36">
        <v>3</v>
      </c>
      <c r="AF208" s="36"/>
      <c r="AG208" s="36">
        <v>0</v>
      </c>
      <c r="AH208" s="35">
        <v>1</v>
      </c>
      <c r="AI208" s="48">
        <f t="shared" si="104"/>
        <v>5503023</v>
      </c>
      <c r="AJ208" s="53" t="str">
        <f t="shared" si="105"/>
        <v>暴击伤害&lt;color=#54b76b&gt;+%s%&lt;/color&gt;</v>
      </c>
      <c r="AK208" s="36">
        <v>40</v>
      </c>
      <c r="AL208" s="36">
        <v>3</v>
      </c>
    </row>
    <row r="209" s="25" customFormat="1" hidden="1" customHeight="1" spans="1:38">
      <c r="A209" s="48">
        <v>5503024</v>
      </c>
      <c r="B209" s="34" t="s">
        <v>353</v>
      </c>
      <c r="C209" s="48" t="str">
        <f t="shared" si="99"/>
        <v>5503021</v>
      </c>
      <c r="D209" s="42">
        <f t="shared" si="100"/>
        <v>4</v>
      </c>
      <c r="E209" s="42"/>
      <c r="F209" s="36" t="s">
        <v>343</v>
      </c>
      <c r="G209" s="36" t="str">
        <f t="shared" si="96"/>
        <v/>
      </c>
      <c r="H209" s="36">
        <f>IFERROR(IF(--MID($F209,2*COUNTIF($G209:G209,"&gt;"&amp;0)+2,1)=H$1,H$1,""),"")</f>
        <v>2</v>
      </c>
      <c r="I209" s="36" t="str">
        <f>IFERROR(IF(--MID($F209,2*COUNTIF($G209:H209,"&gt;"&amp;0)+2,1)=I$1,I$1,""),"")</f>
        <v/>
      </c>
      <c r="J209" s="36" t="str">
        <f>IFERROR(IF(--MID($F209,2*COUNTIF($G209:I209,"&gt;"&amp;0)+2,1)=J$1,J$1,""),"")</f>
        <v/>
      </c>
      <c r="K209" s="36">
        <f>IFERROR(IF(--MID($F209,2*COUNTIF($G209:J209,"&gt;"&amp;0)+2,1)=K$1,K$1,""),"")</f>
        <v>5</v>
      </c>
      <c r="L209" s="36" t="str">
        <f>IFERROR(IF(--MID($F209,2*COUNTIF($G209:K209,"&gt;"&amp;0)+2,1)=L$1,L$1,""),"")</f>
        <v/>
      </c>
      <c r="M209" s="51" t="str" cm="1">
        <f t="array" ref="M209">IF($A209="","",IF(G209="","",_xlfn.XLOOKUP($D209&amp;"_"&amp;$AE209,符文权重!$A:$A&amp;"_"&amp;符文权重!$C:$C,符文权重!$D:$D)*$Y209/SUMIFS($Y:$Y,G:G,G209,$D:$D,$D209,$AE:$AE,$AE209)/SUMIF(符文权重!$A:$A,$D209,符文权重!$D:$D)))</f>
        <v/>
      </c>
      <c r="N209" s="51" cm="1">
        <f t="array" ref="N209">IF($A209="","",IF(H209="","",_xlfn.XLOOKUP($D209&amp;"_"&amp;$AE209,符文权重!$A:$A&amp;"_"&amp;符文权重!$C:$C,符文权重!$D:$D)*$Y209/SUMIFS($Y:$Y,H:H,H209,$D:$D,$D209,$AE:$AE,$AE209)/SUMIF(符文权重!$A:$A,$D209,符文权重!$D:$D)))</f>
        <v>0.00948170392614837</v>
      </c>
      <c r="O209" s="51" t="str" cm="1">
        <f t="array" ref="O209">IF($A209="","",IF(I209="","",_xlfn.XLOOKUP($D209&amp;"_"&amp;$AE209,符文权重!$A:$A&amp;"_"&amp;符文权重!$C:$C,符文权重!$D:$D)*$Y209/SUMIFS($Y:$Y,I:I,I209,$D:$D,$D209,$AE:$AE,$AE209)/SUMIF(符文权重!$A:$A,$D209,符文权重!$D:$D)))</f>
        <v/>
      </c>
      <c r="P209" s="51" t="str" cm="1">
        <f t="array" ref="P209">IF($A209="","",IF(J209="","",_xlfn.XLOOKUP($D209&amp;"_"&amp;$AE209,符文权重!$A:$A&amp;"_"&amp;符文权重!$C:$C,符文权重!$D:$D)*$Y209/SUMIFS($Y:$Y,J:J,J209,$D:$D,$D209,$AE:$AE,$AE209)/SUMIF(符文权重!$A:$A,$D209,符文权重!$D:$D)))</f>
        <v/>
      </c>
      <c r="Q209" s="51" cm="1">
        <f t="array" ref="Q209">IF($A209="","",IF(K209="","",_xlfn.XLOOKUP($D209&amp;"_"&amp;$AE209,符文权重!$A:$A&amp;"_"&amp;符文权重!$C:$C,符文权重!$D:$D)*$Y209/SUMIFS($Y:$Y,K:K,K209,$D:$D,$D209,$AE:$AE,$AE209)/SUMIF(符文权重!$A:$A,$D209,符文权重!$D:$D)))</f>
        <v>0.0096971971971972</v>
      </c>
      <c r="R209" s="51" t="str" cm="1">
        <f t="array" ref="R209">IF($A209="","",IF(L209="","",_xlfn.XLOOKUP($D209&amp;"_"&amp;$AE209,符文权重!$A:$A&amp;"_"&amp;符文权重!$C:$C,符文权重!$D:$D)*$Y209/SUMIFS($Y:$Y,L:L,L209,$D:$D,$D209,$AE:$AE,$AE209)/SUMIF(符文权重!$A:$A,$D209,符文权重!$D:$D)))</f>
        <v/>
      </c>
      <c r="S209" s="36" t="s">
        <v>175</v>
      </c>
      <c r="T209" s="36"/>
      <c r="U209" s="36" t="e">
        <f>IF(C209="","",SUBSTITUTE(SUBSTITUTE("[{global_atk,"&amp;#REF!*D209&amp;"}]",21,20),9,8))</f>
        <v>#REF!</v>
      </c>
      <c r="V209" s="52" t="str">
        <f t="shared" si="101"/>
        <v>[5503024]</v>
      </c>
      <c r="W209" s="36" t="s">
        <v>357</v>
      </c>
      <c r="X209" s="35"/>
      <c r="Y209" s="42">
        <v>11</v>
      </c>
      <c r="Z209" s="35"/>
      <c r="AA209" s="42" t="s">
        <v>185</v>
      </c>
      <c r="AB209" s="42" t="str">
        <f t="shared" si="95"/>
        <v>暴击伤害&lt;color=#54b76b&gt;+50%&lt;/color&gt;</v>
      </c>
      <c r="AC209" s="48" t="str">
        <f t="shared" si="102"/>
        <v>5503021</v>
      </c>
      <c r="AD209" s="42" t="str">
        <f t="shared" si="103"/>
        <v>[50]</v>
      </c>
      <c r="AE209" s="36">
        <v>3</v>
      </c>
      <c r="AF209" s="36"/>
      <c r="AG209" s="36">
        <v>0</v>
      </c>
      <c r="AH209" s="35">
        <v>1</v>
      </c>
      <c r="AI209" s="48">
        <f t="shared" si="104"/>
        <v>5503024</v>
      </c>
      <c r="AJ209" s="53" t="str">
        <f t="shared" si="105"/>
        <v>暴击伤害&lt;color=#54b76b&gt;+%s%&lt;/color&gt;</v>
      </c>
      <c r="AK209" s="36">
        <v>50</v>
      </c>
      <c r="AL209" s="36">
        <v>3</v>
      </c>
    </row>
    <row r="210" s="25" customFormat="1" hidden="1" customHeight="1" spans="1:38">
      <c r="A210" s="48">
        <v>5503025</v>
      </c>
      <c r="B210" s="34" t="s">
        <v>353</v>
      </c>
      <c r="C210" s="48" t="str">
        <f t="shared" si="99"/>
        <v>5503021</v>
      </c>
      <c r="D210" s="42">
        <f t="shared" si="100"/>
        <v>5</v>
      </c>
      <c r="E210" s="42"/>
      <c r="F210" s="36" t="s">
        <v>343</v>
      </c>
      <c r="G210" s="36" t="str">
        <f t="shared" si="96"/>
        <v/>
      </c>
      <c r="H210" s="36">
        <f>IFERROR(IF(--MID($F210,2*COUNTIF($G210:G210,"&gt;"&amp;0)+2,1)=H$1,H$1,""),"")</f>
        <v>2</v>
      </c>
      <c r="I210" s="36" t="str">
        <f>IFERROR(IF(--MID($F210,2*COUNTIF($G210:H210,"&gt;"&amp;0)+2,1)=I$1,I$1,""),"")</f>
        <v/>
      </c>
      <c r="J210" s="36" t="str">
        <f>IFERROR(IF(--MID($F210,2*COUNTIF($G210:I210,"&gt;"&amp;0)+2,1)=J$1,J$1,""),"")</f>
        <v/>
      </c>
      <c r="K210" s="36">
        <f>IFERROR(IF(--MID($F210,2*COUNTIF($G210:J210,"&gt;"&amp;0)+2,1)=K$1,K$1,""),"")</f>
        <v>5</v>
      </c>
      <c r="L210" s="36" t="str">
        <f>IFERROR(IF(--MID($F210,2*COUNTIF($G210:K210,"&gt;"&amp;0)+2,1)=L$1,L$1,""),"")</f>
        <v/>
      </c>
      <c r="M210" s="51" t="str" cm="1">
        <f t="array" ref="M210">IF($A210="","",IF(G210="","",_xlfn.XLOOKUP($D210&amp;"_"&amp;$AE210,符文权重!$A:$A&amp;"_"&amp;符文权重!$C:$C,符文权重!$D:$D)*$Y210/SUMIFS($Y:$Y,G:G,G210,$D:$D,$D210,$AE:$AE,$AE210)/SUMIF(符文权重!$A:$A,$D210,符文权重!$D:$D)))</f>
        <v/>
      </c>
      <c r="N210" s="51" cm="1">
        <f t="array" ref="N210">IF($A210="","",IF(H210="","",_xlfn.XLOOKUP($D210&amp;"_"&amp;$AE210,符文权重!$A:$A&amp;"_"&amp;符文权重!$C:$C,符文权重!$D:$D)*$Y210/SUMIFS($Y:$Y,H:H,H210,$D:$D,$D210,$AE:$AE,$AE210)/SUMIF(符文权重!$A:$A,$D210,符文权重!$D:$D)))</f>
        <v>0.00888349514563107</v>
      </c>
      <c r="O210" s="51" t="str" cm="1">
        <f t="array" ref="O210">IF($A210="","",IF(I210="","",_xlfn.XLOOKUP($D210&amp;"_"&amp;$AE210,符文权重!$A:$A&amp;"_"&amp;符文权重!$C:$C,符文权重!$D:$D)*$Y210/SUMIFS($Y:$Y,I:I,I210,$D:$D,$D210,$AE:$AE,$AE210)/SUMIF(符文权重!$A:$A,$D210,符文权重!$D:$D)))</f>
        <v/>
      </c>
      <c r="P210" s="51" t="str" cm="1">
        <f t="array" ref="P210">IF($A210="","",IF(J210="","",_xlfn.XLOOKUP($D210&amp;"_"&amp;$AE210,符文权重!$A:$A&amp;"_"&amp;符文权重!$C:$C,符文权重!$D:$D)*$Y210/SUMIFS($Y:$Y,J:J,J210,$D:$D,$D210,$AE:$AE,$AE210)/SUMIF(符文权重!$A:$A,$D210,符文权重!$D:$D)))</f>
        <v/>
      </c>
      <c r="Q210" s="51" cm="1">
        <f t="array" ref="Q210">IF($A210="","",IF(K210="","",_xlfn.XLOOKUP($D210&amp;"_"&amp;$AE210,符文权重!$A:$A&amp;"_"&amp;符文权重!$C:$C,符文权重!$D:$D)*$Y210/SUMIFS($Y:$Y,K:K,K210,$D:$D,$D210,$AE:$AE,$AE210)/SUMIF(符文权重!$A:$A,$D210,符文权重!$D:$D)))</f>
        <v>0.00888349514563107</v>
      </c>
      <c r="R210" s="51" t="str" cm="1">
        <f t="array" ref="R210">IF($A210="","",IF(L210="","",_xlfn.XLOOKUP($D210&amp;"_"&amp;$AE210,符文权重!$A:$A&amp;"_"&amp;符文权重!$C:$C,符文权重!$D:$D)*$Y210/SUMIFS($Y:$Y,L:L,L210,$D:$D,$D210,$AE:$AE,$AE210)/SUMIF(符文权重!$A:$A,$D210,符文权重!$D:$D)))</f>
        <v/>
      </c>
      <c r="S210" s="36" t="s">
        <v>175</v>
      </c>
      <c r="T210" s="36"/>
      <c r="U210" s="36" t="e">
        <f>IF(C210="","",SUBSTITUTE(SUBSTITUTE("[{global_atk,"&amp;#REF!*D210&amp;"}]",21,20),9,8))</f>
        <v>#REF!</v>
      </c>
      <c r="V210" s="52" t="str">
        <f t="shared" si="101"/>
        <v>[5503025]</v>
      </c>
      <c r="W210" s="36" t="s">
        <v>358</v>
      </c>
      <c r="X210" s="35"/>
      <c r="Y210" s="42">
        <v>9</v>
      </c>
      <c r="Z210" s="35"/>
      <c r="AA210" s="42" t="s">
        <v>187</v>
      </c>
      <c r="AB210" s="42" t="str">
        <f t="shared" si="95"/>
        <v>暴击伤害&lt;color=#54b76b&gt;+65%&lt;/color&gt;</v>
      </c>
      <c r="AC210" s="48" t="str">
        <f t="shared" si="102"/>
        <v>5503021</v>
      </c>
      <c r="AD210" s="42" t="str">
        <f t="shared" si="103"/>
        <v>[65]</v>
      </c>
      <c r="AE210" s="36">
        <v>3</v>
      </c>
      <c r="AF210" s="36"/>
      <c r="AG210" s="36">
        <v>0</v>
      </c>
      <c r="AH210" s="35">
        <v>1</v>
      </c>
      <c r="AI210" s="48">
        <f t="shared" si="104"/>
        <v>5503025</v>
      </c>
      <c r="AJ210" s="53" t="str">
        <f t="shared" si="105"/>
        <v>暴击伤害&lt;color=#54b76b&gt;+%s%&lt;/color&gt;</v>
      </c>
      <c r="AK210" s="36">
        <v>65</v>
      </c>
      <c r="AL210" s="36">
        <v>3</v>
      </c>
    </row>
    <row r="211" s="25" customFormat="1" hidden="1" customHeight="1" spans="1:38">
      <c r="A211" s="48">
        <v>5503026</v>
      </c>
      <c r="B211" s="34" t="s">
        <v>353</v>
      </c>
      <c r="C211" s="48" t="str">
        <f t="shared" si="99"/>
        <v>5503021</v>
      </c>
      <c r="D211" s="42">
        <f t="shared" si="100"/>
        <v>6</v>
      </c>
      <c r="E211" s="42"/>
      <c r="F211" s="36" t="s">
        <v>343</v>
      </c>
      <c r="G211" s="36" t="str">
        <f t="shared" si="96"/>
        <v/>
      </c>
      <c r="H211" s="36">
        <f>IFERROR(IF(--MID($F211,2*COUNTIF($G211:G211,"&gt;"&amp;0)+2,1)=H$1,H$1,""),"")</f>
        <v>2</v>
      </c>
      <c r="I211" s="36" t="str">
        <f>IFERROR(IF(--MID($F211,2*COUNTIF($G211:H211,"&gt;"&amp;0)+2,1)=I$1,I$1,""),"")</f>
        <v/>
      </c>
      <c r="J211" s="36" t="str">
        <f>IFERROR(IF(--MID($F211,2*COUNTIF($G211:I211,"&gt;"&amp;0)+2,1)=J$1,J$1,""),"")</f>
        <v/>
      </c>
      <c r="K211" s="36">
        <f>IFERROR(IF(--MID($F211,2*COUNTIF($G211:J211,"&gt;"&amp;0)+2,1)=K$1,K$1,""),"")</f>
        <v>5</v>
      </c>
      <c r="L211" s="36" t="str">
        <f>IFERROR(IF(--MID($F211,2*COUNTIF($G211:K211,"&gt;"&amp;0)+2,1)=L$1,L$1,""),"")</f>
        <v/>
      </c>
      <c r="M211" s="51" t="str" cm="1">
        <f t="array" ref="M211">IF($A211="","",IF(G211="","",_xlfn.XLOOKUP($D211&amp;"_"&amp;$AE211,符文权重!$A:$A&amp;"_"&amp;符文权重!$C:$C,符文权重!$D:$D)*$Y211/SUMIFS($Y:$Y,G:G,G211,$D:$D,$D211,$AE:$AE,$AE211)/SUMIF(符文权重!$A:$A,$D211,符文权重!$D:$D)))</f>
        <v/>
      </c>
      <c r="N211" s="51" cm="1">
        <f t="array" ref="N211">IF($A211="","",IF(H211="","",_xlfn.XLOOKUP($D211&amp;"_"&amp;$AE211,符文权重!$A:$A&amp;"_"&amp;符文权重!$C:$C,符文权重!$D:$D)*$Y211/SUMIFS($Y:$Y,H:H,H211,$D:$D,$D211,$AE:$AE,$AE211)/SUMIF(符文权重!$A:$A,$D211,符文权重!$D:$D)))</f>
        <v>0.00888349514563107</v>
      </c>
      <c r="O211" s="51" t="str" cm="1">
        <f t="array" ref="O211">IF($A211="","",IF(I211="","",_xlfn.XLOOKUP($D211&amp;"_"&amp;$AE211,符文权重!$A:$A&amp;"_"&amp;符文权重!$C:$C,符文权重!$D:$D)*$Y211/SUMIFS($Y:$Y,I:I,I211,$D:$D,$D211,$AE:$AE,$AE211)/SUMIF(符文权重!$A:$A,$D211,符文权重!$D:$D)))</f>
        <v/>
      </c>
      <c r="P211" s="51" t="str" cm="1">
        <f t="array" ref="P211">IF($A211="","",IF(J211="","",_xlfn.XLOOKUP($D211&amp;"_"&amp;$AE211,符文权重!$A:$A&amp;"_"&amp;符文权重!$C:$C,符文权重!$D:$D)*$Y211/SUMIFS($Y:$Y,J:J,J211,$D:$D,$D211,$AE:$AE,$AE211)/SUMIF(符文权重!$A:$A,$D211,符文权重!$D:$D)))</f>
        <v/>
      </c>
      <c r="Q211" s="51" cm="1">
        <f t="array" ref="Q211">IF($A211="","",IF(K211="","",_xlfn.XLOOKUP($D211&amp;"_"&amp;$AE211,符文权重!$A:$A&amp;"_"&amp;符文权重!$C:$C,符文权重!$D:$D)*$Y211/SUMIFS($Y:$Y,K:K,K211,$D:$D,$D211,$AE:$AE,$AE211)/SUMIF(符文权重!$A:$A,$D211,符文权重!$D:$D)))</f>
        <v>0.00888349514563107</v>
      </c>
      <c r="R211" s="51" t="str" cm="1">
        <f t="array" ref="R211">IF($A211="","",IF(L211="","",_xlfn.XLOOKUP($D211&amp;"_"&amp;$AE211,符文权重!$A:$A&amp;"_"&amp;符文权重!$C:$C,符文权重!$D:$D)*$Y211/SUMIFS($Y:$Y,L:L,L211,$D:$D,$D211,$AE:$AE,$AE211)/SUMIF(符文权重!$A:$A,$D211,符文权重!$D:$D)))</f>
        <v/>
      </c>
      <c r="S211" s="36" t="s">
        <v>175</v>
      </c>
      <c r="T211" s="36"/>
      <c r="U211" s="36" t="e">
        <f>IF(C211="","",SUBSTITUTE(SUBSTITUTE("[{global_atk,"&amp;#REF!*D211&amp;"}]",21,20),9,8))</f>
        <v>#REF!</v>
      </c>
      <c r="V211" s="52" t="str">
        <f t="shared" si="101"/>
        <v>[5503026]</v>
      </c>
      <c r="W211" s="36" t="s">
        <v>359</v>
      </c>
      <c r="X211" s="35"/>
      <c r="Y211" s="42">
        <v>9</v>
      </c>
      <c r="Z211" s="35"/>
      <c r="AA211" s="42" t="s">
        <v>189</v>
      </c>
      <c r="AB211" s="42" t="str">
        <f t="shared" si="95"/>
        <v>暴击伤害&lt;color=#54b76b&gt;+80%&lt;/color&gt;</v>
      </c>
      <c r="AC211" s="48" t="str">
        <f t="shared" si="102"/>
        <v>5503021</v>
      </c>
      <c r="AD211" s="42" t="str">
        <f t="shared" si="103"/>
        <v>[80]</v>
      </c>
      <c r="AE211" s="36">
        <v>3</v>
      </c>
      <c r="AF211" s="36"/>
      <c r="AG211" s="36">
        <v>0</v>
      </c>
      <c r="AH211" s="35">
        <v>1</v>
      </c>
      <c r="AI211" s="48">
        <f t="shared" si="104"/>
        <v>5503026</v>
      </c>
      <c r="AJ211" s="53" t="str">
        <f t="shared" si="105"/>
        <v>暴击伤害&lt;color=#54b76b&gt;+%s%&lt;/color&gt;</v>
      </c>
      <c r="AK211" s="36">
        <v>80</v>
      </c>
      <c r="AL211" s="36">
        <v>3</v>
      </c>
    </row>
    <row r="212" s="25" customFormat="1" hidden="1" customHeight="1" spans="1:38">
      <c r="A212" s="48">
        <v>5503027</v>
      </c>
      <c r="B212" s="34" t="s">
        <v>353</v>
      </c>
      <c r="C212" s="48" t="str">
        <f t="shared" si="99"/>
        <v>5503021</v>
      </c>
      <c r="D212" s="42">
        <f t="shared" si="100"/>
        <v>7</v>
      </c>
      <c r="E212" s="42"/>
      <c r="F212" s="36" t="s">
        <v>343</v>
      </c>
      <c r="G212" s="36" t="str">
        <f t="shared" si="96"/>
        <v/>
      </c>
      <c r="H212" s="36">
        <f>IFERROR(IF(--MID($F212,2*COUNTIF($G212:G212,"&gt;"&amp;0)+2,1)=H$1,H$1,""),"")</f>
        <v>2</v>
      </c>
      <c r="I212" s="36" t="str">
        <f>IFERROR(IF(--MID($F212,2*COUNTIF($G212:H212,"&gt;"&amp;0)+2,1)=I$1,I$1,""),"")</f>
        <v/>
      </c>
      <c r="J212" s="36" t="str">
        <f>IFERROR(IF(--MID($F212,2*COUNTIF($G212:I212,"&gt;"&amp;0)+2,1)=J$1,J$1,""),"")</f>
        <v/>
      </c>
      <c r="K212" s="36">
        <f>IFERROR(IF(--MID($F212,2*COUNTIF($G212:J212,"&gt;"&amp;0)+2,1)=K$1,K$1,""),"")</f>
        <v>5</v>
      </c>
      <c r="L212" s="36" t="str">
        <f>IFERROR(IF(--MID($F212,2*COUNTIF($G212:K212,"&gt;"&amp;0)+2,1)=L$1,L$1,""),"")</f>
        <v/>
      </c>
      <c r="M212" s="51" t="str" cm="1">
        <f t="array" ref="M212">IF($A212="","",IF(G212="","",_xlfn.XLOOKUP($D212&amp;"_"&amp;$AE212,符文权重!$A:$A&amp;"_"&amp;符文权重!$C:$C,符文权重!$D:$D)*$Y212/SUMIFS($Y:$Y,G:G,G212,$D:$D,$D212,$AE:$AE,$AE212)/SUMIF(符文权重!$A:$A,$D212,符文权重!$D:$D)))</f>
        <v/>
      </c>
      <c r="N212" s="51" cm="1">
        <f t="array" ref="N212">IF($A212="","",IF(H212="","",_xlfn.XLOOKUP($D212&amp;"_"&amp;$AE212,符文权重!$A:$A&amp;"_"&amp;符文权重!$C:$C,符文权重!$D:$D)*$Y212/SUMIFS($Y:$Y,H:H,H212,$D:$D,$D212,$AE:$AE,$AE212)/SUMIF(符文权重!$A:$A,$D212,符文权重!$D:$D)))</f>
        <v>0.00888349514563107</v>
      </c>
      <c r="O212" s="51" t="str" cm="1">
        <f t="array" ref="O212">IF($A212="","",IF(I212="","",_xlfn.XLOOKUP($D212&amp;"_"&amp;$AE212,符文权重!$A:$A&amp;"_"&amp;符文权重!$C:$C,符文权重!$D:$D)*$Y212/SUMIFS($Y:$Y,I:I,I212,$D:$D,$D212,$AE:$AE,$AE212)/SUMIF(符文权重!$A:$A,$D212,符文权重!$D:$D)))</f>
        <v/>
      </c>
      <c r="P212" s="51" t="str" cm="1">
        <f t="array" ref="P212">IF($A212="","",IF(J212="","",_xlfn.XLOOKUP($D212&amp;"_"&amp;$AE212,符文权重!$A:$A&amp;"_"&amp;符文权重!$C:$C,符文权重!$D:$D)*$Y212/SUMIFS($Y:$Y,J:J,J212,$D:$D,$D212,$AE:$AE,$AE212)/SUMIF(符文权重!$A:$A,$D212,符文权重!$D:$D)))</f>
        <v/>
      </c>
      <c r="Q212" s="51" cm="1">
        <f t="array" ref="Q212">IF($A212="","",IF(K212="","",_xlfn.XLOOKUP($D212&amp;"_"&amp;$AE212,符文权重!$A:$A&amp;"_"&amp;符文权重!$C:$C,符文权重!$D:$D)*$Y212/SUMIFS($Y:$Y,K:K,K212,$D:$D,$D212,$AE:$AE,$AE212)/SUMIF(符文权重!$A:$A,$D212,符文权重!$D:$D)))</f>
        <v>0.00888349514563107</v>
      </c>
      <c r="R212" s="51" t="str" cm="1">
        <f t="array" ref="R212">IF($A212="","",IF(L212="","",_xlfn.XLOOKUP($D212&amp;"_"&amp;$AE212,符文权重!$A:$A&amp;"_"&amp;符文权重!$C:$C,符文权重!$D:$D)*$Y212/SUMIFS($Y:$Y,L:L,L212,$D:$D,$D212,$AE:$AE,$AE212)/SUMIF(符文权重!$A:$A,$D212,符文权重!$D:$D)))</f>
        <v/>
      </c>
      <c r="S212" s="36" t="s">
        <v>175</v>
      </c>
      <c r="T212" s="36"/>
      <c r="U212" s="36" t="e">
        <f>IF(C212="","",SUBSTITUTE(SUBSTITUTE("[{global_atk,"&amp;#REF!*D212&amp;"}]",21,20),9,8))</f>
        <v>#REF!</v>
      </c>
      <c r="V212" s="52" t="str">
        <f t="shared" si="101"/>
        <v>[5503027]</v>
      </c>
      <c r="W212" s="36" t="s">
        <v>360</v>
      </c>
      <c r="X212" s="35"/>
      <c r="Y212" s="42">
        <v>9</v>
      </c>
      <c r="Z212" s="35"/>
      <c r="AA212" s="42" t="s">
        <v>191</v>
      </c>
      <c r="AB212" s="42" t="str">
        <f t="shared" si="95"/>
        <v>暴击伤害&lt;color=#54b76b&gt;+100%&lt;/color&gt;</v>
      </c>
      <c r="AC212" s="48" t="str">
        <f t="shared" si="102"/>
        <v>5503021</v>
      </c>
      <c r="AD212" s="42" t="str">
        <f t="shared" si="103"/>
        <v>[100]</v>
      </c>
      <c r="AE212" s="36">
        <v>3</v>
      </c>
      <c r="AF212" s="36"/>
      <c r="AG212" s="36">
        <v>0</v>
      </c>
      <c r="AH212" s="35">
        <v>1</v>
      </c>
      <c r="AI212" s="48">
        <f t="shared" si="104"/>
        <v>5503027</v>
      </c>
      <c r="AJ212" s="53" t="str">
        <f t="shared" si="105"/>
        <v>暴击伤害&lt;color=#54b76b&gt;+%s%&lt;/color&gt;</v>
      </c>
      <c r="AK212" s="36">
        <v>100</v>
      </c>
      <c r="AL212" s="36">
        <v>3</v>
      </c>
    </row>
    <row r="213" s="25" customFormat="1" hidden="1" customHeight="1" spans="1:38">
      <c r="A213" s="48" t="s">
        <v>178</v>
      </c>
      <c r="B213" s="41"/>
      <c r="C213" s="48" t="str">
        <f t="shared" si="99"/>
        <v/>
      </c>
      <c r="D213" s="42" t="str">
        <f t="shared" si="100"/>
        <v/>
      </c>
      <c r="E213" s="42"/>
      <c r="F213" s="36"/>
      <c r="G213" s="36" t="str">
        <f t="shared" si="96"/>
        <v/>
      </c>
      <c r="H213" s="36" t="str">
        <f>IFERROR(IF(--MID($F213,2*COUNTIF($G213:G213,"&gt;"&amp;0)+2,1)=H$1,H$1,""),"")</f>
        <v/>
      </c>
      <c r="I213" s="36" t="str">
        <f>IFERROR(IF(--MID($F213,2*COUNTIF($G213:H213,"&gt;"&amp;0)+2,1)=I$1,I$1,""),"")</f>
        <v/>
      </c>
      <c r="J213" s="36" t="str">
        <f>IFERROR(IF(--MID($F213,2*COUNTIF($G213:I213,"&gt;"&amp;0)+2,1)=J$1,J$1,""),"")</f>
        <v/>
      </c>
      <c r="K213" s="36" t="str">
        <f>IFERROR(IF(--MID($F213,2*COUNTIF($G213:J213,"&gt;"&amp;0)+2,1)=K$1,K$1,""),"")</f>
        <v/>
      </c>
      <c r="L213" s="36" t="str">
        <f>IFERROR(IF(--MID($F213,2*COUNTIF($G213:K213,"&gt;"&amp;0)+2,1)=L$1,L$1,""),"")</f>
        <v/>
      </c>
      <c r="M213" s="51" t="str" cm="1">
        <f t="array" ref="M213">IF($A213="","",IF(G213="","",_xlfn.XLOOKUP($D213&amp;"_"&amp;$AE213,符文权重!$A:$A&amp;"_"&amp;符文权重!$C:$C,符文权重!$D:$D)*$Y213/SUMIFS($Y:$Y,G:G,G213,$D:$D,$D213,$AE:$AE,$AE213)/SUMIF(符文权重!$A:$A,$D213,符文权重!$D:$D)))</f>
        <v/>
      </c>
      <c r="N213" s="36" t="str" cm="1">
        <f t="array" ref="N213">IF($A213="","",IF(H213="","",_xlfn.XLOOKUP($D213&amp;"_"&amp;$AE213,符文权重!$A:$A&amp;"_"&amp;符文权重!$C:$C,符文权重!$D:$D)*$Y213/SUMIFS($Y:$Y,H:H,H213,$D:$D,$D$6,$AE:$AE,$AE$6)))</f>
        <v/>
      </c>
      <c r="O213" s="36" t="str" cm="1">
        <f t="array" ref="O213">IF($A213="","",IF(I213="","",_xlfn.XLOOKUP($D213&amp;"_"&amp;$AE213,符文权重!$A:$A&amp;"_"&amp;符文权重!$C:$C,符文权重!$D:$D)*$Y213/SUMIFS($Y:$Y,I:I,I213,$D:$D,$D$6,$AE:$AE,$AE$6)))</f>
        <v/>
      </c>
      <c r="P213" s="36" t="str" cm="1">
        <f t="array" ref="P213">IF($A213="","",IF(J213="","",_xlfn.XLOOKUP($D213&amp;"_"&amp;$AE213,符文权重!$A:$A&amp;"_"&amp;符文权重!$C:$C,符文权重!$D:$D)*$Y213/SUMIFS($Y:$Y,J:J,J213,$D:$D,$D$6,$AE:$AE,$AE$6)))</f>
        <v/>
      </c>
      <c r="Q213" s="36" t="str" cm="1">
        <f t="array" ref="Q213">IF($A213="","",IF(K213="","",_xlfn.XLOOKUP($D213&amp;"_"&amp;$AE213,符文权重!$A:$A&amp;"_"&amp;符文权重!$C:$C,符文权重!$D:$D)*$Y213/SUMIFS($Y:$Y,K:K,K213,$D:$D,$D$6,$AE:$AE,$AE$6)))</f>
        <v/>
      </c>
      <c r="R213" s="36" t="str" cm="1">
        <f t="array" ref="R213">IF($A213="","",IF(L213="","",_xlfn.XLOOKUP($D213&amp;"_"&amp;$AE213,符文权重!$A:$A&amp;"_"&amp;符文权重!$C:$C,符文权重!$D:$D)*$Y213/SUMIFS($Y:$Y,L:L,L213,$D:$D,$D$6,$AE:$AE,$AE$6)))</f>
        <v/>
      </c>
      <c r="S213" s="36"/>
      <c r="T213" s="36"/>
      <c r="U213" s="36"/>
      <c r="W213" s="41"/>
      <c r="X213" s="35"/>
      <c r="Y213" s="42"/>
      <c r="Z213" s="35"/>
      <c r="AA213" s="42" t="s">
        <v>178</v>
      </c>
      <c r="AB213" s="42" t="str">
        <f t="shared" si="95"/>
        <v/>
      </c>
      <c r="AC213" s="48" t="str">
        <f t="shared" si="102"/>
        <v/>
      </c>
      <c r="AD213" s="42" t="str">
        <f t="shared" si="103"/>
        <v/>
      </c>
      <c r="AE213" s="36"/>
      <c r="AF213" s="36"/>
      <c r="AG213" s="36"/>
      <c r="AH213" s="35" t="s">
        <v>178</v>
      </c>
      <c r="AI213" s="33"/>
      <c r="AJ213" s="56"/>
      <c r="AK213" s="36"/>
      <c r="AL213" s="36"/>
    </row>
    <row r="214" s="27" customFormat="1" hidden="1" customHeight="1" spans="1:38">
      <c r="A214" s="57">
        <v>5503031</v>
      </c>
      <c r="B214" s="58" t="s">
        <v>361</v>
      </c>
      <c r="C214" s="57" t="str">
        <f t="shared" si="99"/>
        <v>5503031</v>
      </c>
      <c r="D214" s="59">
        <f t="shared" si="100"/>
        <v>1</v>
      </c>
      <c r="E214" s="59"/>
      <c r="F214" s="60" t="s">
        <v>174</v>
      </c>
      <c r="G214" s="36">
        <f t="shared" si="96"/>
        <v>1</v>
      </c>
      <c r="H214" s="36">
        <f>IFERROR(IF(--MID($F214,2*COUNTIF($G214:G214,"&gt;"&amp;0)+2,1)=H$1,H$1,""),"")</f>
        <v>2</v>
      </c>
      <c r="I214" s="36">
        <f>IFERROR(IF(--MID($F214,2*COUNTIF($G214:H214,"&gt;"&amp;0)+2,1)=I$1,I$1,""),"")</f>
        <v>3</v>
      </c>
      <c r="J214" s="36">
        <f>IFERROR(IF(--MID($F214,2*COUNTIF($G214:I214,"&gt;"&amp;0)+2,1)=J$1,J$1,""),"")</f>
        <v>4</v>
      </c>
      <c r="K214" s="36">
        <f>IFERROR(IF(--MID($F214,2*COUNTIF($G214:J214,"&gt;"&amp;0)+2,1)=K$1,K$1,""),"")</f>
        <v>5</v>
      </c>
      <c r="L214" s="36">
        <f>IFERROR(IF(--MID($F214,2*COUNTIF($G214:K214,"&gt;"&amp;0)+2,1)=L$1,L$1,""),"")</f>
        <v>6</v>
      </c>
      <c r="M214" s="36" t="e" cm="1">
        <f t="array" ref="M214">IF(A214="","",_xlfn.XLOOKUP(D214&amp;"_"&amp;AE214,符文权重!A:A&amp;"_"&amp;符文权重!C:C,符文权重!D:D))</f>
        <v>#N/A</v>
      </c>
      <c r="N214" s="36"/>
      <c r="O214" s="36"/>
      <c r="P214" s="36"/>
      <c r="Q214" s="36"/>
      <c r="R214" s="36"/>
      <c r="S214" s="60" t="s">
        <v>175</v>
      </c>
      <c r="T214" s="60"/>
      <c r="U214" s="60" t="e">
        <f>IF(C214="","",SUBSTITUTE(SUBSTITUTE("[{global_atk,"&amp;#REF!*D214&amp;"}]",21,20),9,8))</f>
        <v>#REF!</v>
      </c>
      <c r="V214" s="61" t="str">
        <f t="shared" ref="V214:V220" si="106">"["&amp;A214&amp;"]"</f>
        <v>[5503031]</v>
      </c>
      <c r="W214" s="60"/>
      <c r="X214" s="28"/>
      <c r="Y214" s="42">
        <v>100</v>
      </c>
      <c r="Z214" s="28"/>
      <c r="AA214" s="59" t="s">
        <v>177</v>
      </c>
      <c r="AB214" s="42" t="str">
        <f t="shared" si="95"/>
        <v>进入战斗前60秒对怪物伤害&lt;color=#54b76b&gt;+10%&lt;/color&gt;</v>
      </c>
      <c r="AC214" s="57" t="str">
        <f t="shared" si="102"/>
        <v>5503031</v>
      </c>
      <c r="AD214" s="59" t="str">
        <f t="shared" si="103"/>
        <v>[10]</v>
      </c>
      <c r="AE214" s="60">
        <v>100</v>
      </c>
      <c r="AF214" s="60"/>
      <c r="AG214" s="60">
        <v>1</v>
      </c>
      <c r="AH214" s="35" t="s">
        <v>178</v>
      </c>
      <c r="AI214" s="62">
        <v>5503031</v>
      </c>
      <c r="AJ214" s="63" t="s">
        <v>361</v>
      </c>
      <c r="AK214" s="60">
        <v>10</v>
      </c>
      <c r="AL214" s="36"/>
    </row>
    <row r="215" s="27" customFormat="1" hidden="1" customHeight="1" spans="1:38">
      <c r="A215" s="57">
        <v>5503032</v>
      </c>
      <c r="B215" s="58" t="s">
        <v>361</v>
      </c>
      <c r="C215" s="57" t="str">
        <f t="shared" si="99"/>
        <v>5503031</v>
      </c>
      <c r="D215" s="59">
        <f t="shared" si="100"/>
        <v>2</v>
      </c>
      <c r="E215" s="59"/>
      <c r="F215" s="60" t="s">
        <v>174</v>
      </c>
      <c r="G215" s="36">
        <f t="shared" si="96"/>
        <v>1</v>
      </c>
      <c r="H215" s="36">
        <f>IFERROR(IF(--MID($F215,2*COUNTIF($G215:G215,"&gt;"&amp;0)+2,1)=H$1,H$1,""),"")</f>
        <v>2</v>
      </c>
      <c r="I215" s="36">
        <f>IFERROR(IF(--MID($F215,2*COUNTIF($G215:H215,"&gt;"&amp;0)+2,1)=I$1,I$1,""),"")</f>
        <v>3</v>
      </c>
      <c r="J215" s="36">
        <f>IFERROR(IF(--MID($F215,2*COUNTIF($G215:I215,"&gt;"&amp;0)+2,1)=J$1,J$1,""),"")</f>
        <v>4</v>
      </c>
      <c r="K215" s="36">
        <f>IFERROR(IF(--MID($F215,2*COUNTIF($G215:J215,"&gt;"&amp;0)+2,1)=K$1,K$1,""),"")</f>
        <v>5</v>
      </c>
      <c r="L215" s="36">
        <f>IFERROR(IF(--MID($F215,2*COUNTIF($G215:K215,"&gt;"&amp;0)+2,1)=L$1,L$1,""),"")</f>
        <v>6</v>
      </c>
      <c r="M215" s="36" t="e" cm="1">
        <f t="array" ref="M215">IF(A215="","",_xlfn.XLOOKUP(D215&amp;"_"&amp;AE215,符文权重!A:A&amp;"_"&amp;符文权重!C:C,符文权重!D:D))</f>
        <v>#N/A</v>
      </c>
      <c r="N215" s="36"/>
      <c r="O215" s="36"/>
      <c r="P215" s="36"/>
      <c r="Q215" s="36"/>
      <c r="R215" s="36"/>
      <c r="S215" s="60" t="s">
        <v>175</v>
      </c>
      <c r="T215" s="60"/>
      <c r="U215" s="60" t="e">
        <f>IF(C215="","",SUBSTITUTE(SUBSTITUTE("[{global_atk,"&amp;#REF!*D215&amp;"}]",21,20),9,8))</f>
        <v>#REF!</v>
      </c>
      <c r="V215" s="61" t="str">
        <f t="shared" si="106"/>
        <v>[5503032]</v>
      </c>
      <c r="W215" s="60"/>
      <c r="X215" s="28"/>
      <c r="Y215" s="42">
        <v>100</v>
      </c>
      <c r="Z215" s="28"/>
      <c r="AA215" s="59" t="s">
        <v>181</v>
      </c>
      <c r="AB215" s="42" t="str">
        <f t="shared" si="95"/>
        <v>进入战斗前60秒对怪物伤害&lt;color=#54b76b&gt;+15%&lt;/color&gt;</v>
      </c>
      <c r="AC215" s="57" t="str">
        <f t="shared" si="102"/>
        <v>5503031</v>
      </c>
      <c r="AD215" s="59" t="str">
        <f t="shared" si="103"/>
        <v>[15]</v>
      </c>
      <c r="AE215" s="60">
        <v>100</v>
      </c>
      <c r="AF215" s="60"/>
      <c r="AG215" s="60">
        <v>1</v>
      </c>
      <c r="AH215" s="35" t="s">
        <v>178</v>
      </c>
      <c r="AI215" s="57">
        <f t="shared" ref="AI215:AI220" si="107">AI214+1</f>
        <v>5503032</v>
      </c>
      <c r="AJ215" s="64" t="str">
        <f t="shared" ref="AJ215:AJ220" si="108">AJ214</f>
        <v>进入战斗前60秒对怪物伤害&lt;color=#54b76b&gt;+%s%&lt;/color&gt;</v>
      </c>
      <c r="AK215" s="60">
        <v>15</v>
      </c>
      <c r="AL215" s="36"/>
    </row>
    <row r="216" s="25" customFormat="1" hidden="1" customHeight="1" spans="1:38">
      <c r="A216" s="48">
        <v>5503033</v>
      </c>
      <c r="B216" s="34" t="s">
        <v>361</v>
      </c>
      <c r="C216" s="48" t="str">
        <f t="shared" si="99"/>
        <v>5503031</v>
      </c>
      <c r="D216" s="42">
        <f t="shared" si="100"/>
        <v>3</v>
      </c>
      <c r="E216" s="42"/>
      <c r="F216" s="36" t="s">
        <v>174</v>
      </c>
      <c r="G216" s="36">
        <f t="shared" si="96"/>
        <v>1</v>
      </c>
      <c r="H216" s="36">
        <f>IFERROR(IF(--MID($F216,2*COUNTIF($G216:G216,"&gt;"&amp;0)+2,1)=H$1,H$1,""),"")</f>
        <v>2</v>
      </c>
      <c r="I216" s="36">
        <f>IFERROR(IF(--MID($F216,2*COUNTIF($G216:H216,"&gt;"&amp;0)+2,1)=I$1,I$1,""),"")</f>
        <v>3</v>
      </c>
      <c r="J216" s="36">
        <f>IFERROR(IF(--MID($F216,2*COUNTIF($G216:I216,"&gt;"&amp;0)+2,1)=J$1,J$1,""),"")</f>
        <v>4</v>
      </c>
      <c r="K216" s="36">
        <f>IFERROR(IF(--MID($F216,2*COUNTIF($G216:J216,"&gt;"&amp;0)+2,1)=K$1,K$1,""),"")</f>
        <v>5</v>
      </c>
      <c r="L216" s="36">
        <f>IFERROR(IF(--MID($F216,2*COUNTIF($G216:K216,"&gt;"&amp;0)+2,1)=L$1,L$1,""),"")</f>
        <v>6</v>
      </c>
      <c r="M216" s="51" cm="1">
        <f t="array" ref="M216">IF($A216="","",IF(G216="","",_xlfn.XLOOKUP($D216&amp;"_"&amp;$AE216,符文权重!$A:$A&amp;"_"&amp;符文权重!$C:$C,符文权重!$D:$D)*$Y216/SUMIFS($Y:$Y,G:G,G216,$D:$D,$D216,$AE:$AE,$AE216)/SUMIF(符文权重!$A:$A,$D216,符文权重!$D:$D)))</f>
        <v>0.0257879656160458</v>
      </c>
      <c r="N216" s="51" cm="1">
        <f t="array" ref="N216">IF($A216="","",IF(H216="","",_xlfn.XLOOKUP($D216&amp;"_"&amp;$AE216,符文权重!$A:$A&amp;"_"&amp;符文权重!$C:$C,符文权重!$D:$D)*$Y216/SUMIFS($Y:$Y,H:H,H216,$D:$D,$D216,$AE:$AE,$AE216)/SUMIF(符文权重!$A:$A,$D216,符文权重!$D:$D)))</f>
        <v>0.0257879656160458</v>
      </c>
      <c r="O216" s="51" cm="1">
        <f t="array" ref="O216">IF($A216="","",IF(I216="","",_xlfn.XLOOKUP($D216&amp;"_"&amp;$AE216,符文权重!$A:$A&amp;"_"&amp;符文权重!$C:$C,符文权重!$D:$D)*$Y216/SUMIFS($Y:$Y,I:I,I216,$D:$D,$D216,$AE:$AE,$AE216)/SUMIF(符文权重!$A:$A,$D216,符文权重!$D:$D)))</f>
        <v>0.0257879656160458</v>
      </c>
      <c r="P216" s="51" cm="1">
        <f t="array" ref="P216">IF($A216="","",IF(J216="","",_xlfn.XLOOKUP($D216&amp;"_"&amp;$AE216,符文权重!$A:$A&amp;"_"&amp;符文权重!$C:$C,符文权重!$D:$D)*$Y216/SUMIFS($Y:$Y,J:J,J216,$D:$D,$D216,$AE:$AE,$AE216)/SUMIF(符文权重!$A:$A,$D216,符文权重!$D:$D)))</f>
        <v>0.0257879656160458</v>
      </c>
      <c r="Q216" s="51" cm="1">
        <f t="array" ref="Q216">IF($A216="","",IF(K216="","",_xlfn.XLOOKUP($D216&amp;"_"&amp;$AE216,符文权重!$A:$A&amp;"_"&amp;符文权重!$C:$C,符文权重!$D:$D)*$Y216/SUMIFS($Y:$Y,K:K,K216,$D:$D,$D216,$AE:$AE,$AE216)/SUMIF(符文权重!$A:$A,$D216,符文权重!$D:$D)))</f>
        <v>0.0257879656160458</v>
      </c>
      <c r="R216" s="66" cm="1">
        <f t="array" ref="R216">IF($A216="","",IF(L216="","",_xlfn.XLOOKUP($D216&amp;"_"&amp;$AE216,符文权重!$A:$A&amp;"_"&amp;符文权重!$C:$C,符文权重!$D:$D)*$Y216/SUMIFS($Y:$Y,L:L,L216,$D:$D,$D216,$AE:$AE,$AE216)/SUMIF(符文权重!$A:$A,$D216,符文权重!$D:$D)))</f>
        <v>0.0257879656160458</v>
      </c>
      <c r="S216" s="36" t="s">
        <v>175</v>
      </c>
      <c r="T216" s="36"/>
      <c r="U216" s="36" t="e">
        <f>IF(C216="","",SUBSTITUTE(SUBSTITUTE("[{global_atk,"&amp;#REF!*D216&amp;"}]",21,20),9,8))</f>
        <v>#REF!</v>
      </c>
      <c r="V216" s="52" t="str">
        <f t="shared" si="106"/>
        <v>[5503033]</v>
      </c>
      <c r="W216" s="36"/>
      <c r="X216" s="35"/>
      <c r="Y216" s="42">
        <v>100</v>
      </c>
      <c r="Z216" s="35"/>
      <c r="AA216" s="42" t="s">
        <v>183</v>
      </c>
      <c r="AB216" s="42" t="str">
        <f t="shared" si="95"/>
        <v>进入战斗前60秒对怪物伤害&lt;color=#54b76b&gt;+25%&lt;/color&gt;</v>
      </c>
      <c r="AC216" s="48" t="str">
        <f t="shared" si="102"/>
        <v>5503031</v>
      </c>
      <c r="AD216" s="42" t="str">
        <f t="shared" si="103"/>
        <v>[25]</v>
      </c>
      <c r="AE216" s="36">
        <v>3</v>
      </c>
      <c r="AF216" s="36"/>
      <c r="AG216" s="36">
        <v>0</v>
      </c>
      <c r="AH216" s="35" t="s">
        <v>178</v>
      </c>
      <c r="AI216" s="48">
        <f t="shared" si="107"/>
        <v>5503033</v>
      </c>
      <c r="AJ216" s="53" t="str">
        <f t="shared" si="108"/>
        <v>进入战斗前60秒对怪物伤害&lt;color=#54b76b&gt;+%s%&lt;/color&gt;</v>
      </c>
      <c r="AK216" s="36">
        <v>25</v>
      </c>
      <c r="AL216" s="36">
        <v>3</v>
      </c>
    </row>
    <row r="217" s="25" customFormat="1" hidden="1" customHeight="1" spans="1:38">
      <c r="A217" s="48">
        <v>5503034</v>
      </c>
      <c r="B217" s="34" t="s">
        <v>361</v>
      </c>
      <c r="C217" s="48" t="str">
        <f t="shared" si="99"/>
        <v>5503031</v>
      </c>
      <c r="D217" s="42">
        <f t="shared" si="100"/>
        <v>4</v>
      </c>
      <c r="E217" s="42"/>
      <c r="F217" s="36" t="s">
        <v>174</v>
      </c>
      <c r="G217" s="36">
        <f t="shared" si="96"/>
        <v>1</v>
      </c>
      <c r="H217" s="36">
        <f>IFERROR(IF(--MID($F217,2*COUNTIF($G217:G217,"&gt;"&amp;0)+2,1)=H$1,H$1,""),"")</f>
        <v>2</v>
      </c>
      <c r="I217" s="36">
        <f>IFERROR(IF(--MID($F217,2*COUNTIF($G217:H217,"&gt;"&amp;0)+2,1)=I$1,I$1,""),"")</f>
        <v>3</v>
      </c>
      <c r="J217" s="36">
        <f>IFERROR(IF(--MID($F217,2*COUNTIF($G217:I217,"&gt;"&amp;0)+2,1)=J$1,J$1,""),"")</f>
        <v>4</v>
      </c>
      <c r="K217" s="36">
        <f>IFERROR(IF(--MID($F217,2*COUNTIF($G217:J217,"&gt;"&amp;0)+2,1)=K$1,K$1,""),"")</f>
        <v>5</v>
      </c>
      <c r="L217" s="36">
        <f>IFERROR(IF(--MID($F217,2*COUNTIF($G217:K217,"&gt;"&amp;0)+2,1)=L$1,L$1,""),"")</f>
        <v>6</v>
      </c>
      <c r="M217" s="51" cm="1">
        <f t="array" ref="M217">IF($A217="","",IF(G217="","",_xlfn.XLOOKUP($D217&amp;"_"&amp;$AE217,符文权重!$A:$A&amp;"_"&amp;符文权重!$C:$C,符文权重!$D:$D)*$Y217/SUMIFS($Y:$Y,G:G,G217,$D:$D,$D217,$AE:$AE,$AE217)/SUMIF(符文权重!$A:$A,$D217,符文权重!$D:$D)))</f>
        <v>0.0861973084195306</v>
      </c>
      <c r="N217" s="51" cm="1">
        <f t="array" ref="N217">IF($A217="","",IF(H217="","",_xlfn.XLOOKUP($D217&amp;"_"&amp;$AE217,符文权重!$A:$A&amp;"_"&amp;符文权重!$C:$C,符文权重!$D:$D)*$Y217/SUMIFS($Y:$Y,H:H,H217,$D:$D,$D217,$AE:$AE,$AE217)/SUMIF(符文权重!$A:$A,$D217,符文权重!$D:$D)))</f>
        <v>0.0861973084195306</v>
      </c>
      <c r="O217" s="51" cm="1">
        <f t="array" ref="O217">IF($A217="","",IF(I217="","",_xlfn.XLOOKUP($D217&amp;"_"&amp;$AE217,符文权重!$A:$A&amp;"_"&amp;符文权重!$C:$C,符文权重!$D:$D)*$Y217/SUMIFS($Y:$Y,I:I,I217,$D:$D,$D217,$AE:$AE,$AE217)/SUMIF(符文权重!$A:$A,$D217,符文权重!$D:$D)))</f>
        <v>0.0891696293995144</v>
      </c>
      <c r="P217" s="51" cm="1">
        <f t="array" ref="P217">IF($A217="","",IF(J217="","",_xlfn.XLOOKUP($D217&amp;"_"&amp;$AE217,符文权重!$A:$A&amp;"_"&amp;符文权重!$C:$C,符文权重!$D:$D)*$Y217/SUMIFS($Y:$Y,J:J,J217,$D:$D,$D217,$AE:$AE,$AE217)/SUMIF(符文权重!$A:$A,$D217,符文权重!$D:$D)))</f>
        <v>0.0861973084195306</v>
      </c>
      <c r="Q217" s="51" cm="1">
        <f t="array" ref="Q217">IF($A217="","",IF(K217="","",_xlfn.XLOOKUP($D217&amp;"_"&amp;$AE217,符文权重!$A:$A&amp;"_"&amp;符文权重!$C:$C,符文权重!$D:$D)*$Y217/SUMIFS($Y:$Y,K:K,K217,$D:$D,$D217,$AE:$AE,$AE217)/SUMIF(符文权重!$A:$A,$D217,符文权重!$D:$D)))</f>
        <v>0.0881563381563382</v>
      </c>
      <c r="R217" s="66" cm="1">
        <f t="array" ref="R217">IF($A217="","",IF(L217="","",_xlfn.XLOOKUP($D217&amp;"_"&amp;$AE217,符文权重!$A:$A&amp;"_"&amp;符文权重!$C:$C,符文权重!$D:$D)*$Y217/SUMIFS($Y:$Y,L:L,L217,$D:$D,$D217,$AE:$AE,$AE217)/SUMIF(符文权重!$A:$A,$D217,符文权重!$D:$D)))</f>
        <v>0.0852500852500852</v>
      </c>
      <c r="S217" s="36" t="s">
        <v>175</v>
      </c>
      <c r="T217" s="36"/>
      <c r="U217" s="36" t="e">
        <f>IF(C217="","",SUBSTITUTE(SUBSTITUTE("[{global_atk,"&amp;#REF!*D217&amp;"}]",21,20),9,8))</f>
        <v>#REF!</v>
      </c>
      <c r="V217" s="52" t="str">
        <f t="shared" si="106"/>
        <v>[5503034]</v>
      </c>
      <c r="W217" s="36"/>
      <c r="X217" s="35"/>
      <c r="Y217" s="42">
        <v>100</v>
      </c>
      <c r="Z217" s="35"/>
      <c r="AA217" s="42" t="s">
        <v>185</v>
      </c>
      <c r="AB217" s="42" t="str">
        <f t="shared" si="95"/>
        <v>进入战斗前60秒对怪物伤害&lt;color=#54b76b&gt;+30%&lt;/color&gt;</v>
      </c>
      <c r="AC217" s="48" t="str">
        <f t="shared" si="102"/>
        <v>5503031</v>
      </c>
      <c r="AD217" s="42" t="str">
        <f t="shared" si="103"/>
        <v>[30]</v>
      </c>
      <c r="AE217" s="36">
        <v>3</v>
      </c>
      <c r="AF217" s="36"/>
      <c r="AG217" s="36">
        <v>0</v>
      </c>
      <c r="AH217" s="35" t="s">
        <v>178</v>
      </c>
      <c r="AI217" s="48">
        <f t="shared" si="107"/>
        <v>5503034</v>
      </c>
      <c r="AJ217" s="53" t="str">
        <f t="shared" si="108"/>
        <v>进入战斗前60秒对怪物伤害&lt;color=#54b76b&gt;+%s%&lt;/color&gt;</v>
      </c>
      <c r="AK217" s="36">
        <v>30</v>
      </c>
      <c r="AL217" s="36">
        <v>3</v>
      </c>
    </row>
    <row r="218" s="25" customFormat="1" hidden="1" customHeight="1" spans="1:38">
      <c r="A218" s="48">
        <v>5503035</v>
      </c>
      <c r="B218" s="34" t="s">
        <v>361</v>
      </c>
      <c r="C218" s="48" t="str">
        <f t="shared" si="99"/>
        <v>5503031</v>
      </c>
      <c r="D218" s="42">
        <f t="shared" si="100"/>
        <v>5</v>
      </c>
      <c r="E218" s="42"/>
      <c r="F218" s="36" t="s">
        <v>174</v>
      </c>
      <c r="G218" s="36">
        <f t="shared" si="96"/>
        <v>1</v>
      </c>
      <c r="H218" s="36">
        <f>IFERROR(IF(--MID($F218,2*COUNTIF($G218:G218,"&gt;"&amp;0)+2,1)=H$1,H$1,""),"")</f>
        <v>2</v>
      </c>
      <c r="I218" s="36">
        <f>IFERROR(IF(--MID($F218,2*COUNTIF($G218:H218,"&gt;"&amp;0)+2,1)=I$1,I$1,""),"")</f>
        <v>3</v>
      </c>
      <c r="J218" s="36">
        <f>IFERROR(IF(--MID($F218,2*COUNTIF($G218:I218,"&gt;"&amp;0)+2,1)=J$1,J$1,""),"")</f>
        <v>4</v>
      </c>
      <c r="K218" s="36">
        <f>IFERROR(IF(--MID($F218,2*COUNTIF($G218:J218,"&gt;"&amp;0)+2,1)=K$1,K$1,""),"")</f>
        <v>5</v>
      </c>
      <c r="L218" s="36">
        <f>IFERROR(IF(--MID($F218,2*COUNTIF($G218:K218,"&gt;"&amp;0)+2,1)=L$1,L$1,""),"")</f>
        <v>6</v>
      </c>
      <c r="M218" s="51" cm="1">
        <f t="array" ref="M218">IF($A218="","",IF(G218="","",_xlfn.XLOOKUP($D218&amp;"_"&amp;$AE218,符文权重!$A:$A&amp;"_"&amp;符文权重!$C:$C,符文权重!$D:$D)*$Y218/SUMIFS($Y:$Y,G:G,G218,$D:$D,$D218,$AE:$AE,$AE218)/SUMIF(符文权重!$A:$A,$D218,符文权重!$D:$D)))</f>
        <v>0.101666666666667</v>
      </c>
      <c r="N218" s="51" cm="1">
        <f t="array" ref="N218">IF($A218="","",IF(H218="","",_xlfn.XLOOKUP($D218&amp;"_"&amp;$AE218,符文权重!$A:$A&amp;"_"&amp;符文权重!$C:$C,符文权重!$D:$D)*$Y218/SUMIFS($Y:$Y,H:H,H218,$D:$D,$D218,$AE:$AE,$AE218)/SUMIF(符文权重!$A:$A,$D218,符文权重!$D:$D)))</f>
        <v>0.098705501618123</v>
      </c>
      <c r="O218" s="51" cm="1">
        <f t="array" ref="O218">IF($A218="","",IF(I218="","",_xlfn.XLOOKUP($D218&amp;"_"&amp;$AE218,符文权重!$A:$A&amp;"_"&amp;符文权重!$C:$C,符文权重!$D:$D)*$Y218/SUMIFS($Y:$Y,I:I,I218,$D:$D,$D218,$AE:$AE,$AE218)/SUMIF(符文权重!$A:$A,$D218,符文权重!$D:$D)))</f>
        <v>0.101666666666667</v>
      </c>
      <c r="P218" s="51" cm="1">
        <f t="array" ref="P218">IF($A218="","",IF(J218="","",_xlfn.XLOOKUP($D218&amp;"_"&amp;$AE218,符文权重!$A:$A&amp;"_"&amp;符文权重!$C:$C,符文权重!$D:$D)*$Y218/SUMIFS($Y:$Y,J:J,J218,$D:$D,$D218,$AE:$AE,$AE218)/SUMIF(符文权重!$A:$A,$D218,符文权重!$D:$D)))</f>
        <v>0.101666666666667</v>
      </c>
      <c r="Q218" s="51" cm="1">
        <f t="array" ref="Q218">IF($A218="","",IF(K218="","",_xlfn.XLOOKUP($D218&amp;"_"&amp;$AE218,符文权重!$A:$A&amp;"_"&amp;符文权重!$C:$C,符文权重!$D:$D)*$Y218/SUMIFS($Y:$Y,K:K,K218,$D:$D,$D218,$AE:$AE,$AE218)/SUMIF(符文权重!$A:$A,$D218,符文权重!$D:$D)))</f>
        <v>0.098705501618123</v>
      </c>
      <c r="R218" s="66" cm="1">
        <f t="array" ref="R218">IF($A218="","",IF(L218="","",_xlfn.XLOOKUP($D218&amp;"_"&amp;$AE218,符文权重!$A:$A&amp;"_"&amp;符文权重!$C:$C,符文权重!$D:$D)*$Y218/SUMIFS($Y:$Y,L:L,L218,$D:$D,$D218,$AE:$AE,$AE218)/SUMIF(符文权重!$A:$A,$D218,符文权重!$D:$D)))</f>
        <v>0.101666666666667</v>
      </c>
      <c r="S218" s="36" t="s">
        <v>175</v>
      </c>
      <c r="T218" s="36"/>
      <c r="U218" s="36" t="e">
        <f>IF(C218="","",SUBSTITUTE(SUBSTITUTE("[{global_atk,"&amp;#REF!*D218&amp;"}]",21,20),9,8))</f>
        <v>#REF!</v>
      </c>
      <c r="V218" s="52" t="str">
        <f t="shared" si="106"/>
        <v>[5503035]</v>
      </c>
      <c r="W218" s="36"/>
      <c r="X218" s="35"/>
      <c r="Y218" s="42">
        <v>100</v>
      </c>
      <c r="Z218" s="35"/>
      <c r="AA218" s="42" t="s">
        <v>187</v>
      </c>
      <c r="AB218" s="42" t="str">
        <f t="shared" si="95"/>
        <v>进入战斗前60秒对怪物伤害&lt;color=#54b76b&gt;+35%&lt;/color&gt;</v>
      </c>
      <c r="AC218" s="48" t="str">
        <f t="shared" si="102"/>
        <v>5503031</v>
      </c>
      <c r="AD218" s="42" t="str">
        <f t="shared" si="103"/>
        <v>[35]</v>
      </c>
      <c r="AE218" s="36">
        <v>3</v>
      </c>
      <c r="AF218" s="36"/>
      <c r="AG218" s="36">
        <v>0</v>
      </c>
      <c r="AH218" s="35" t="s">
        <v>178</v>
      </c>
      <c r="AI218" s="48">
        <f t="shared" si="107"/>
        <v>5503035</v>
      </c>
      <c r="AJ218" s="53" t="str">
        <f t="shared" si="108"/>
        <v>进入战斗前60秒对怪物伤害&lt;color=#54b76b&gt;+%s%&lt;/color&gt;</v>
      </c>
      <c r="AK218" s="36">
        <v>35</v>
      </c>
      <c r="AL218" s="36">
        <v>3</v>
      </c>
    </row>
    <row r="219" s="25" customFormat="1" hidden="1" customHeight="1" spans="1:38">
      <c r="A219" s="48">
        <v>5503036</v>
      </c>
      <c r="B219" s="34" t="s">
        <v>361</v>
      </c>
      <c r="C219" s="48" t="str">
        <f t="shared" si="99"/>
        <v>5503031</v>
      </c>
      <c r="D219" s="42">
        <f t="shared" si="100"/>
        <v>6</v>
      </c>
      <c r="E219" s="42"/>
      <c r="F219" s="36" t="s">
        <v>174</v>
      </c>
      <c r="G219" s="36">
        <f t="shared" si="96"/>
        <v>1</v>
      </c>
      <c r="H219" s="36">
        <f>IFERROR(IF(--MID($F219,2*COUNTIF($G219:G219,"&gt;"&amp;0)+2,1)=H$1,H$1,""),"")</f>
        <v>2</v>
      </c>
      <c r="I219" s="36">
        <f>IFERROR(IF(--MID($F219,2*COUNTIF($G219:H219,"&gt;"&amp;0)+2,1)=I$1,I$1,""),"")</f>
        <v>3</v>
      </c>
      <c r="J219" s="36">
        <f>IFERROR(IF(--MID($F219,2*COUNTIF($G219:I219,"&gt;"&amp;0)+2,1)=J$1,J$1,""),"")</f>
        <v>4</v>
      </c>
      <c r="K219" s="36">
        <f>IFERROR(IF(--MID($F219,2*COUNTIF($G219:J219,"&gt;"&amp;0)+2,1)=K$1,K$1,""),"")</f>
        <v>5</v>
      </c>
      <c r="L219" s="36">
        <f>IFERROR(IF(--MID($F219,2*COUNTIF($G219:K219,"&gt;"&amp;0)+2,1)=L$1,L$1,""),"")</f>
        <v>6</v>
      </c>
      <c r="M219" s="51" cm="1">
        <f t="array" ref="M219">IF($A219="","",IF(G219="","",_xlfn.XLOOKUP($D219&amp;"_"&amp;$AE219,符文权重!$A:$A&amp;"_"&amp;符文权重!$C:$C,符文权重!$D:$D)*$Y219/SUMIFS($Y:$Y,G:G,G219,$D:$D,$D219,$AE:$AE,$AE219)/SUMIF(符文权重!$A:$A,$D219,符文权重!$D:$D)))</f>
        <v>0.101666666666667</v>
      </c>
      <c r="N219" s="51" cm="1">
        <f t="array" ref="N219">IF($A219="","",IF(H219="","",_xlfn.XLOOKUP($D219&amp;"_"&amp;$AE219,符文权重!$A:$A&amp;"_"&amp;符文权重!$C:$C,符文权重!$D:$D)*$Y219/SUMIFS($Y:$Y,H:H,H219,$D:$D,$D219,$AE:$AE,$AE219)/SUMIF(符文权重!$A:$A,$D219,符文权重!$D:$D)))</f>
        <v>0.098705501618123</v>
      </c>
      <c r="O219" s="51" cm="1">
        <f t="array" ref="O219">IF($A219="","",IF(I219="","",_xlfn.XLOOKUP($D219&amp;"_"&amp;$AE219,符文权重!$A:$A&amp;"_"&amp;符文权重!$C:$C,符文权重!$D:$D)*$Y219/SUMIFS($Y:$Y,I:I,I219,$D:$D,$D219,$AE:$AE,$AE219)/SUMIF(符文权重!$A:$A,$D219,符文权重!$D:$D)))</f>
        <v>0.101666666666667</v>
      </c>
      <c r="P219" s="51" cm="1">
        <f t="array" ref="P219">IF($A219="","",IF(J219="","",_xlfn.XLOOKUP($D219&amp;"_"&amp;$AE219,符文权重!$A:$A&amp;"_"&amp;符文权重!$C:$C,符文权重!$D:$D)*$Y219/SUMIFS($Y:$Y,J:J,J219,$D:$D,$D219,$AE:$AE,$AE219)/SUMIF(符文权重!$A:$A,$D219,符文权重!$D:$D)))</f>
        <v>0.101666666666667</v>
      </c>
      <c r="Q219" s="51" cm="1">
        <f t="array" ref="Q219">IF($A219="","",IF(K219="","",_xlfn.XLOOKUP($D219&amp;"_"&amp;$AE219,符文权重!$A:$A&amp;"_"&amp;符文权重!$C:$C,符文权重!$D:$D)*$Y219/SUMIFS($Y:$Y,K:K,K219,$D:$D,$D219,$AE:$AE,$AE219)/SUMIF(符文权重!$A:$A,$D219,符文权重!$D:$D)))</f>
        <v>0.098705501618123</v>
      </c>
      <c r="R219" s="66" cm="1">
        <f t="array" ref="R219">IF($A219="","",IF(L219="","",_xlfn.XLOOKUP($D219&amp;"_"&amp;$AE219,符文权重!$A:$A&amp;"_"&amp;符文权重!$C:$C,符文权重!$D:$D)*$Y219/SUMIFS($Y:$Y,L:L,L219,$D:$D,$D219,$AE:$AE,$AE219)/SUMIF(符文权重!$A:$A,$D219,符文权重!$D:$D)))</f>
        <v>0.101666666666667</v>
      </c>
      <c r="S219" s="36" t="s">
        <v>175</v>
      </c>
      <c r="T219" s="36"/>
      <c r="U219" s="36" t="e">
        <f>IF(C219="","",SUBSTITUTE(SUBSTITUTE("[{global_atk,"&amp;#REF!*D219&amp;"}]",21,20),9,8))</f>
        <v>#REF!</v>
      </c>
      <c r="V219" s="52" t="str">
        <f t="shared" si="106"/>
        <v>[5503036]</v>
      </c>
      <c r="W219" s="36"/>
      <c r="X219" s="35"/>
      <c r="Y219" s="42">
        <v>100</v>
      </c>
      <c r="Z219" s="35"/>
      <c r="AA219" s="42" t="s">
        <v>189</v>
      </c>
      <c r="AB219" s="42" t="str">
        <f t="shared" si="95"/>
        <v>进入战斗前60秒对怪物伤害&lt;color=#54b76b&gt;+40%&lt;/color&gt;</v>
      </c>
      <c r="AC219" s="48" t="str">
        <f t="shared" si="102"/>
        <v>5503031</v>
      </c>
      <c r="AD219" s="42" t="str">
        <f t="shared" si="103"/>
        <v>[40]</v>
      </c>
      <c r="AE219" s="36">
        <v>3</v>
      </c>
      <c r="AF219" s="36"/>
      <c r="AG219" s="36">
        <v>0</v>
      </c>
      <c r="AH219" s="35" t="s">
        <v>178</v>
      </c>
      <c r="AI219" s="48">
        <f t="shared" si="107"/>
        <v>5503036</v>
      </c>
      <c r="AJ219" s="53" t="str">
        <f t="shared" si="108"/>
        <v>进入战斗前60秒对怪物伤害&lt;color=#54b76b&gt;+%s%&lt;/color&gt;</v>
      </c>
      <c r="AK219" s="36">
        <v>40</v>
      </c>
      <c r="AL219" s="36">
        <v>3</v>
      </c>
    </row>
    <row r="220" s="25" customFormat="1" hidden="1" customHeight="1" spans="1:38">
      <c r="A220" s="48">
        <v>5503037</v>
      </c>
      <c r="B220" s="34" t="s">
        <v>361</v>
      </c>
      <c r="C220" s="48" t="str">
        <f t="shared" si="99"/>
        <v>5503031</v>
      </c>
      <c r="D220" s="42">
        <f t="shared" si="100"/>
        <v>7</v>
      </c>
      <c r="E220" s="42"/>
      <c r="F220" s="36" t="s">
        <v>174</v>
      </c>
      <c r="G220" s="36">
        <f t="shared" si="96"/>
        <v>1</v>
      </c>
      <c r="H220" s="36">
        <f>IFERROR(IF(--MID($F220,2*COUNTIF($G220:G220,"&gt;"&amp;0)+2,1)=H$1,H$1,""),"")</f>
        <v>2</v>
      </c>
      <c r="I220" s="36">
        <f>IFERROR(IF(--MID($F220,2*COUNTIF($G220:H220,"&gt;"&amp;0)+2,1)=I$1,I$1,""),"")</f>
        <v>3</v>
      </c>
      <c r="J220" s="36">
        <f>IFERROR(IF(--MID($F220,2*COUNTIF($G220:I220,"&gt;"&amp;0)+2,1)=J$1,J$1,""),"")</f>
        <v>4</v>
      </c>
      <c r="K220" s="36">
        <f>IFERROR(IF(--MID($F220,2*COUNTIF($G220:J220,"&gt;"&amp;0)+2,1)=K$1,K$1,""),"")</f>
        <v>5</v>
      </c>
      <c r="L220" s="36">
        <f>IFERROR(IF(--MID($F220,2*COUNTIF($G220:K220,"&gt;"&amp;0)+2,1)=L$1,L$1,""),"")</f>
        <v>6</v>
      </c>
      <c r="M220" s="51" cm="1">
        <f t="array" ref="M220">IF($A220="","",IF(G220="","",_xlfn.XLOOKUP($D220&amp;"_"&amp;$AE220,符文权重!$A:$A&amp;"_"&amp;符文权重!$C:$C,符文权重!$D:$D)*$Y220/SUMIFS($Y:$Y,G:G,G220,$D:$D,$D220,$AE:$AE,$AE220)/SUMIF(符文权重!$A:$A,$D220,符文权重!$D:$D)))</f>
        <v>0.101666666666667</v>
      </c>
      <c r="N220" s="51" cm="1">
        <f t="array" ref="N220">IF($A220="","",IF(H220="","",_xlfn.XLOOKUP($D220&amp;"_"&amp;$AE220,符文权重!$A:$A&amp;"_"&amp;符文权重!$C:$C,符文权重!$D:$D)*$Y220/SUMIFS($Y:$Y,H:H,H220,$D:$D,$D220,$AE:$AE,$AE220)/SUMIF(符文权重!$A:$A,$D220,符文权重!$D:$D)))</f>
        <v>0.098705501618123</v>
      </c>
      <c r="O220" s="51" cm="1">
        <f t="array" ref="O220">IF($A220="","",IF(I220="","",_xlfn.XLOOKUP($D220&amp;"_"&amp;$AE220,符文权重!$A:$A&amp;"_"&amp;符文权重!$C:$C,符文权重!$D:$D)*$Y220/SUMIFS($Y:$Y,I:I,I220,$D:$D,$D220,$AE:$AE,$AE220)/SUMIF(符文权重!$A:$A,$D220,符文权重!$D:$D)))</f>
        <v>0.101666666666667</v>
      </c>
      <c r="P220" s="51" cm="1">
        <f t="array" ref="P220">IF($A220="","",IF(J220="","",_xlfn.XLOOKUP($D220&amp;"_"&amp;$AE220,符文权重!$A:$A&amp;"_"&amp;符文权重!$C:$C,符文权重!$D:$D)*$Y220/SUMIFS($Y:$Y,J:J,J220,$D:$D,$D220,$AE:$AE,$AE220)/SUMIF(符文权重!$A:$A,$D220,符文权重!$D:$D)))</f>
        <v>0.101666666666667</v>
      </c>
      <c r="Q220" s="51" cm="1">
        <f t="array" ref="Q220">IF($A220="","",IF(K220="","",_xlfn.XLOOKUP($D220&amp;"_"&amp;$AE220,符文权重!$A:$A&amp;"_"&amp;符文权重!$C:$C,符文权重!$D:$D)*$Y220/SUMIFS($Y:$Y,K:K,K220,$D:$D,$D220,$AE:$AE,$AE220)/SUMIF(符文权重!$A:$A,$D220,符文权重!$D:$D)))</f>
        <v>0.098705501618123</v>
      </c>
      <c r="R220" s="66" cm="1">
        <f t="array" ref="R220">IF($A220="","",IF(L220="","",_xlfn.XLOOKUP($D220&amp;"_"&amp;$AE220,符文权重!$A:$A&amp;"_"&amp;符文权重!$C:$C,符文权重!$D:$D)*$Y220/SUMIFS($Y:$Y,L:L,L220,$D:$D,$D220,$AE:$AE,$AE220)/SUMIF(符文权重!$A:$A,$D220,符文权重!$D:$D)))</f>
        <v>0.101666666666667</v>
      </c>
      <c r="S220" s="36" t="s">
        <v>175</v>
      </c>
      <c r="T220" s="36"/>
      <c r="U220" s="36" t="e">
        <f>IF(C220="","",SUBSTITUTE(SUBSTITUTE("[{global_atk,"&amp;#REF!*D220&amp;"}]",21,20),9,8))</f>
        <v>#REF!</v>
      </c>
      <c r="V220" s="52" t="str">
        <f t="shared" si="106"/>
        <v>[5503037]</v>
      </c>
      <c r="W220" s="36"/>
      <c r="X220" s="35"/>
      <c r="Y220" s="42">
        <v>100</v>
      </c>
      <c r="Z220" s="35"/>
      <c r="AA220" s="42" t="s">
        <v>191</v>
      </c>
      <c r="AB220" s="42" t="str">
        <f t="shared" si="95"/>
        <v>进入战斗前60秒对怪物伤害&lt;color=#54b76b&gt;+45%&lt;/color&gt;</v>
      </c>
      <c r="AC220" s="48" t="str">
        <f t="shared" si="102"/>
        <v>5503031</v>
      </c>
      <c r="AD220" s="42" t="str">
        <f t="shared" si="103"/>
        <v>[45]</v>
      </c>
      <c r="AE220" s="36">
        <v>3</v>
      </c>
      <c r="AF220" s="36"/>
      <c r="AG220" s="36">
        <v>0</v>
      </c>
      <c r="AH220" s="35" t="s">
        <v>178</v>
      </c>
      <c r="AI220" s="48">
        <f t="shared" si="107"/>
        <v>5503037</v>
      </c>
      <c r="AJ220" s="53" t="str">
        <f t="shared" si="108"/>
        <v>进入战斗前60秒对怪物伤害&lt;color=#54b76b&gt;+%s%&lt;/color&gt;</v>
      </c>
      <c r="AK220" s="36">
        <v>45</v>
      </c>
      <c r="AL220" s="36">
        <v>3</v>
      </c>
    </row>
    <row r="221" s="25" customFormat="1" hidden="1" customHeight="1" spans="1:38">
      <c r="A221" s="48" t="s">
        <v>178</v>
      </c>
      <c r="B221" s="41"/>
      <c r="C221" s="48" t="str">
        <f t="shared" si="99"/>
        <v/>
      </c>
      <c r="D221" s="42" t="str">
        <f t="shared" si="100"/>
        <v/>
      </c>
      <c r="E221" s="42"/>
      <c r="F221" s="36"/>
      <c r="G221" s="36" t="str">
        <f t="shared" si="96"/>
        <v/>
      </c>
      <c r="H221" s="36" t="str">
        <f>IFERROR(IF(--MID($F221,2*COUNTIF($G221:G221,"&gt;"&amp;0)+2,1)=H$1,H$1,""),"")</f>
        <v/>
      </c>
      <c r="I221" s="36" t="str">
        <f>IFERROR(IF(--MID($F221,2*COUNTIF($G221:H221,"&gt;"&amp;0)+2,1)=I$1,I$1,""),"")</f>
        <v/>
      </c>
      <c r="J221" s="36" t="str">
        <f>IFERROR(IF(--MID($F221,2*COUNTIF($G221:I221,"&gt;"&amp;0)+2,1)=J$1,J$1,""),"")</f>
        <v/>
      </c>
      <c r="K221" s="36" t="str">
        <f>IFERROR(IF(--MID($F221,2*COUNTIF($G221:J221,"&gt;"&amp;0)+2,1)=K$1,K$1,""),"")</f>
        <v/>
      </c>
      <c r="L221" s="36" t="str">
        <f>IFERROR(IF(--MID($F221,2*COUNTIF($G221:K221,"&gt;"&amp;0)+2,1)=L$1,L$1,""),"")</f>
        <v/>
      </c>
      <c r="M221" s="51" t="str" cm="1">
        <f t="array" ref="M221">IF($A221="","",IF(G221="","",_xlfn.XLOOKUP($D221&amp;"_"&amp;$AE221,符文权重!$A:$A&amp;"_"&amp;符文权重!$C:$C,符文权重!$D:$D)*$Y221/SUMIFS($Y:$Y,G:G,G221,$D:$D,$D221,$AE:$AE,$AE221)/SUMIF(符文权重!$A:$A,$D221,符文权重!$D:$D)))</f>
        <v/>
      </c>
      <c r="N221" s="36" t="str" cm="1">
        <f t="array" ref="N221">IF($A221="","",IF(H221="","",_xlfn.XLOOKUP($D221&amp;"_"&amp;$AE221,符文权重!$A:$A&amp;"_"&amp;符文权重!$C:$C,符文权重!$D:$D)*$Y221/SUMIFS($Y:$Y,H:H,H221,$D:$D,$D$6,$AE:$AE,$AE$6)))</f>
        <v/>
      </c>
      <c r="O221" s="36" t="str" cm="1">
        <f t="array" ref="O221">IF($A221="","",IF(I221="","",_xlfn.XLOOKUP($D221&amp;"_"&amp;$AE221,符文权重!$A:$A&amp;"_"&amp;符文权重!$C:$C,符文权重!$D:$D)*$Y221/SUMIFS($Y:$Y,I:I,I221,$D:$D,$D$6,$AE:$AE,$AE$6)))</f>
        <v/>
      </c>
      <c r="P221" s="36" t="str" cm="1">
        <f t="array" ref="P221">IF($A221="","",IF(J221="","",_xlfn.XLOOKUP($D221&amp;"_"&amp;$AE221,符文权重!$A:$A&amp;"_"&amp;符文权重!$C:$C,符文权重!$D:$D)*$Y221/SUMIFS($Y:$Y,J:J,J221,$D:$D,$D$6,$AE:$AE,$AE$6)))</f>
        <v/>
      </c>
      <c r="Q221" s="36" t="str" cm="1">
        <f t="array" ref="Q221">IF($A221="","",IF(K221="","",_xlfn.XLOOKUP($D221&amp;"_"&amp;$AE221,符文权重!$A:$A&amp;"_"&amp;符文权重!$C:$C,符文权重!$D:$D)*$Y221/SUMIFS($Y:$Y,K:K,K221,$D:$D,$D$6,$AE:$AE,$AE$6)))</f>
        <v/>
      </c>
      <c r="R221" s="36" t="str" cm="1">
        <f t="array" ref="R221">IF($A221="","",IF(L221="","",_xlfn.XLOOKUP($D221&amp;"_"&amp;$AE221,符文权重!$A:$A&amp;"_"&amp;符文权重!$C:$C,符文权重!$D:$D)*$Y221/SUMIFS($Y:$Y,L:L,L221,$D:$D,$D$6,$AE:$AE,$AE$6)))</f>
        <v/>
      </c>
      <c r="S221" s="36"/>
      <c r="T221" s="36"/>
      <c r="U221" s="36"/>
      <c r="W221" s="41"/>
      <c r="X221" s="35"/>
      <c r="Y221" s="42"/>
      <c r="Z221" s="35"/>
      <c r="AA221" s="42" t="s">
        <v>178</v>
      </c>
      <c r="AB221" s="42" t="str">
        <f t="shared" si="95"/>
        <v/>
      </c>
      <c r="AC221" s="48" t="str">
        <f t="shared" si="102"/>
        <v/>
      </c>
      <c r="AD221" s="42" t="str">
        <f t="shared" si="103"/>
        <v/>
      </c>
      <c r="AE221" s="36"/>
      <c r="AF221" s="36"/>
      <c r="AG221" s="36"/>
      <c r="AH221" s="35" t="s">
        <v>178</v>
      </c>
      <c r="AI221" s="33"/>
      <c r="AJ221" s="56"/>
      <c r="AK221" s="36"/>
      <c r="AL221" s="36"/>
    </row>
    <row r="222" s="27" customFormat="1" hidden="1" customHeight="1" spans="1:38">
      <c r="A222" s="57">
        <v>5503041</v>
      </c>
      <c r="B222" s="58" t="s">
        <v>362</v>
      </c>
      <c r="C222" s="57" t="str">
        <f t="shared" si="99"/>
        <v>5503041</v>
      </c>
      <c r="D222" s="59">
        <f t="shared" si="100"/>
        <v>1</v>
      </c>
      <c r="E222" s="59"/>
      <c r="F222" s="60" t="s">
        <v>174</v>
      </c>
      <c r="G222" s="36">
        <f t="shared" si="96"/>
        <v>1</v>
      </c>
      <c r="H222" s="36">
        <f>IFERROR(IF(--MID($F222,2*COUNTIF($G222:G222,"&gt;"&amp;0)+2,1)=H$1,H$1,""),"")</f>
        <v>2</v>
      </c>
      <c r="I222" s="36">
        <f>IFERROR(IF(--MID($F222,2*COUNTIF($G222:H222,"&gt;"&amp;0)+2,1)=I$1,I$1,""),"")</f>
        <v>3</v>
      </c>
      <c r="J222" s="36">
        <f>IFERROR(IF(--MID($F222,2*COUNTIF($G222:I222,"&gt;"&amp;0)+2,1)=J$1,J$1,""),"")</f>
        <v>4</v>
      </c>
      <c r="K222" s="36">
        <f>IFERROR(IF(--MID($F222,2*COUNTIF($G222:J222,"&gt;"&amp;0)+2,1)=K$1,K$1,""),"")</f>
        <v>5</v>
      </c>
      <c r="L222" s="36">
        <f>IFERROR(IF(--MID($F222,2*COUNTIF($G222:K222,"&gt;"&amp;0)+2,1)=L$1,L$1,""),"")</f>
        <v>6</v>
      </c>
      <c r="M222" s="36" t="e" cm="1">
        <f t="array" ref="M222">IF(A222="","",_xlfn.XLOOKUP(D222&amp;"_"&amp;AE222,符文权重!A:A&amp;"_"&amp;符文权重!C:C,符文权重!D:D))</f>
        <v>#N/A</v>
      </c>
      <c r="N222" s="36"/>
      <c r="O222" s="36"/>
      <c r="P222" s="36"/>
      <c r="Q222" s="36"/>
      <c r="R222" s="36"/>
      <c r="S222" s="60" t="s">
        <v>175</v>
      </c>
      <c r="T222" s="60"/>
      <c r="U222" s="60" t="e">
        <f>IF(C222="","",SUBSTITUTE(SUBSTITUTE("[{global_atk,"&amp;#REF!*D222&amp;"}]",21,20),9,8))</f>
        <v>#REF!</v>
      </c>
      <c r="V222" s="61" t="str">
        <f t="shared" ref="V222:V228" si="109">"["&amp;A222&amp;"]"</f>
        <v>[5503041]</v>
      </c>
      <c r="W222" s="60" t="s">
        <v>363</v>
      </c>
      <c r="X222" s="28"/>
      <c r="Y222" s="42">
        <v>100</v>
      </c>
      <c r="Z222" s="28"/>
      <c r="AA222" s="59" t="s">
        <v>177</v>
      </c>
      <c r="AB222" s="42" t="str">
        <f t="shared" si="95"/>
        <v>对精英和首领伤害&lt;color=#54b76b&gt;+10%&lt;/color&gt;</v>
      </c>
      <c r="AC222" s="57" t="str">
        <f t="shared" si="102"/>
        <v>5503041</v>
      </c>
      <c r="AD222" s="59" t="str">
        <f t="shared" si="103"/>
        <v>[10]</v>
      </c>
      <c r="AE222" s="60">
        <v>100</v>
      </c>
      <c r="AF222" s="60"/>
      <c r="AG222" s="60">
        <v>1</v>
      </c>
      <c r="AH222" s="35" t="s">
        <v>178</v>
      </c>
      <c r="AI222" s="62">
        <v>5503041</v>
      </c>
      <c r="AJ222" s="63" t="s">
        <v>362</v>
      </c>
      <c r="AK222" s="60">
        <v>10</v>
      </c>
      <c r="AL222" s="36"/>
    </row>
    <row r="223" s="25" customFormat="1" hidden="1" customHeight="1" spans="1:38">
      <c r="A223" s="48">
        <v>5503042</v>
      </c>
      <c r="B223" s="34" t="s">
        <v>362</v>
      </c>
      <c r="C223" s="48" t="str">
        <f t="shared" si="99"/>
        <v>5503041</v>
      </c>
      <c r="D223" s="42">
        <f t="shared" si="100"/>
        <v>2</v>
      </c>
      <c r="E223" s="42"/>
      <c r="F223" s="36" t="s">
        <v>174</v>
      </c>
      <c r="G223" s="36">
        <f t="shared" si="96"/>
        <v>1</v>
      </c>
      <c r="H223" s="36">
        <f>IFERROR(IF(--MID($F223,2*COUNTIF($G223:G223,"&gt;"&amp;0)+2,1)=H$1,H$1,""),"")</f>
        <v>2</v>
      </c>
      <c r="I223" s="36">
        <f>IFERROR(IF(--MID($F223,2*COUNTIF($G223:H223,"&gt;"&amp;0)+2,1)=I$1,I$1,""),"")</f>
        <v>3</v>
      </c>
      <c r="J223" s="36">
        <f>IFERROR(IF(--MID($F223,2*COUNTIF($G223:I223,"&gt;"&amp;0)+2,1)=J$1,J$1,""),"")</f>
        <v>4</v>
      </c>
      <c r="K223" s="36">
        <f>IFERROR(IF(--MID($F223,2*COUNTIF($G223:J223,"&gt;"&amp;0)+2,1)=K$1,K$1,""),"")</f>
        <v>5</v>
      </c>
      <c r="L223" s="36">
        <f>IFERROR(IF(--MID($F223,2*COUNTIF($G223:K223,"&gt;"&amp;0)+2,1)=L$1,L$1,""),"")</f>
        <v>6</v>
      </c>
      <c r="M223" s="51" cm="1">
        <f t="array" ref="M223">IF($A223="","",IF(G223="","",_xlfn.XLOOKUP($D223&amp;"_"&amp;$AE223,符文权重!$A:$A&amp;"_"&amp;符文权重!$C:$C,符文权重!$D:$D)*$Y223/SUMIFS($Y:$Y,G:G,G223,$D:$D,$D223,$AE:$AE,$AE223)/SUMIF(符文权重!$A:$A,$D223,符文权重!$D:$D)))</f>
        <v>0.1</v>
      </c>
      <c r="N223" s="51" cm="1">
        <f t="array" ref="N223">IF($A223="","",IF(H223="","",_xlfn.XLOOKUP($D223&amp;"_"&amp;$AE223,符文权重!$A:$A&amp;"_"&amp;符文权重!$C:$C,符文权重!$D:$D)*$Y223/SUMIFS($Y:$Y,H:H,H223,$D:$D,$D223,$AE:$AE,$AE223)/SUMIF(符文权重!$A:$A,$D223,符文权重!$D:$D)))</f>
        <v>0.11</v>
      </c>
      <c r="O223" s="51" cm="1">
        <f t="array" ref="O223">IF($A223="","",IF(I223="","",_xlfn.XLOOKUP($D223&amp;"_"&amp;$AE223,符文权重!$A:$A&amp;"_"&amp;符文权重!$C:$C,符文权重!$D:$D)*$Y223/SUMIFS($Y:$Y,I:I,I223,$D:$D,$D223,$AE:$AE,$AE223)/SUMIF(符文权重!$A:$A,$D223,符文权重!$D:$D)))</f>
        <v>0.1</v>
      </c>
      <c r="P223" s="51" cm="1">
        <f t="array" ref="P223">IF($A223="","",IF(J223="","",_xlfn.XLOOKUP($D223&amp;"_"&amp;$AE223,符文权重!$A:$A&amp;"_"&amp;符文权重!$C:$C,符文权重!$D:$D)*$Y223/SUMIFS($Y:$Y,J:J,J223,$D:$D,$D223,$AE:$AE,$AE223)/SUMIF(符文权重!$A:$A,$D223,符文权重!$D:$D)))</f>
        <v>0.11</v>
      </c>
      <c r="Q223" s="51" cm="1">
        <f t="array" ref="Q223">IF($A223="","",IF(K223="","",_xlfn.XLOOKUP($D223&amp;"_"&amp;$AE223,符文权重!$A:$A&amp;"_"&amp;符文权重!$C:$C,符文权重!$D:$D)*$Y223/SUMIFS($Y:$Y,K:K,K223,$D:$D,$D223,$AE:$AE,$AE223)/SUMIF(符文权重!$A:$A,$D223,符文权重!$D:$D)))</f>
        <v>0.1</v>
      </c>
      <c r="R223" s="51" cm="1">
        <f t="array" ref="R223">IF($A223="","",IF(L223="","",_xlfn.XLOOKUP($D223&amp;"_"&amp;$AE223,符文权重!$A:$A&amp;"_"&amp;符文权重!$C:$C,符文权重!$D:$D)*$Y223/SUMIFS($Y:$Y,L:L,L223,$D:$D,$D223,$AE:$AE,$AE223)/SUMIF(符文权重!$A:$A,$D223,符文权重!$D:$D)))</f>
        <v>0.11</v>
      </c>
      <c r="S223" s="36" t="s">
        <v>175</v>
      </c>
      <c r="T223" s="36"/>
      <c r="U223" s="36" t="e">
        <f>IF(C223="","",SUBSTITUTE(SUBSTITUTE("[{global_atk,"&amp;#REF!*D223&amp;"}]",21,20),9,8))</f>
        <v>#REF!</v>
      </c>
      <c r="V223" s="52" t="str">
        <f t="shared" si="109"/>
        <v>[5503042]</v>
      </c>
      <c r="W223" s="36" t="s">
        <v>364</v>
      </c>
      <c r="X223" s="35"/>
      <c r="Y223" s="42">
        <v>100</v>
      </c>
      <c r="Z223" s="35"/>
      <c r="AA223" s="42" t="s">
        <v>181</v>
      </c>
      <c r="AB223" s="42" t="str">
        <f t="shared" si="95"/>
        <v>对精英和首领伤害&lt;color=#54b76b&gt;+15%&lt;/color&gt;</v>
      </c>
      <c r="AC223" s="48" t="str">
        <f t="shared" si="102"/>
        <v>5503041</v>
      </c>
      <c r="AD223" s="42" t="str">
        <f t="shared" si="103"/>
        <v>[15]</v>
      </c>
      <c r="AE223" s="36">
        <v>2</v>
      </c>
      <c r="AF223" s="36"/>
      <c r="AG223" s="36">
        <v>0</v>
      </c>
      <c r="AH223" s="35" t="s">
        <v>178</v>
      </c>
      <c r="AI223" s="48">
        <f t="shared" ref="AI223:AI228" si="110">AI222+1</f>
        <v>5503042</v>
      </c>
      <c r="AJ223" s="53" t="str">
        <f t="shared" ref="AJ223:AJ228" si="111">AJ222</f>
        <v>对精英和首领伤害&lt;color=#54b76b&gt;+%s%&lt;/color&gt;</v>
      </c>
      <c r="AK223" s="36">
        <v>15</v>
      </c>
      <c r="AL223" s="36">
        <v>2</v>
      </c>
    </row>
    <row r="224" s="25" customFormat="1" hidden="1" customHeight="1" spans="1:38">
      <c r="A224" s="48">
        <v>5503043</v>
      </c>
      <c r="B224" s="34" t="s">
        <v>362</v>
      </c>
      <c r="C224" s="48" t="str">
        <f t="shared" si="99"/>
        <v>5503041</v>
      </c>
      <c r="D224" s="42">
        <f t="shared" si="100"/>
        <v>3</v>
      </c>
      <c r="E224" s="42"/>
      <c r="F224" s="36" t="s">
        <v>174</v>
      </c>
      <c r="G224" s="36">
        <f t="shared" si="96"/>
        <v>1</v>
      </c>
      <c r="H224" s="36">
        <f>IFERROR(IF(--MID($F224,2*COUNTIF($G224:G224,"&gt;"&amp;0)+2,1)=H$1,H$1,""),"")</f>
        <v>2</v>
      </c>
      <c r="I224" s="36">
        <f>IFERROR(IF(--MID($F224,2*COUNTIF($G224:H224,"&gt;"&amp;0)+2,1)=I$1,I$1,""),"")</f>
        <v>3</v>
      </c>
      <c r="J224" s="36">
        <f>IFERROR(IF(--MID($F224,2*COUNTIF($G224:I224,"&gt;"&amp;0)+2,1)=J$1,J$1,""),"")</f>
        <v>4</v>
      </c>
      <c r="K224" s="36">
        <f>IFERROR(IF(--MID($F224,2*COUNTIF($G224:J224,"&gt;"&amp;0)+2,1)=K$1,K$1,""),"")</f>
        <v>5</v>
      </c>
      <c r="L224" s="36">
        <f>IFERROR(IF(--MID($F224,2*COUNTIF($G224:K224,"&gt;"&amp;0)+2,1)=L$1,L$1,""),"")</f>
        <v>6</v>
      </c>
      <c r="M224" s="51" cm="1">
        <f t="array" ref="M224">IF($A224="","",IF(G224="","",_xlfn.XLOOKUP($D224&amp;"_"&amp;$AE224,符文权重!$A:$A&amp;"_"&amp;符文权重!$C:$C,符文权重!$D:$D)*$Y224/SUMIFS($Y:$Y,G:G,G224,$D:$D,$D224,$AE:$AE,$AE224)/SUMIF(符文权重!$A:$A,$D224,符文权重!$D:$D)))</f>
        <v>0.0909961685823755</v>
      </c>
      <c r="N224" s="51" cm="1">
        <f t="array" ref="N224">IF($A224="","",IF(H224="","",_xlfn.XLOOKUP($D224&amp;"_"&amp;$AE224,符文权重!$A:$A&amp;"_"&amp;符文权重!$C:$C,符文权重!$D:$D)*$Y224/SUMIFS($Y:$Y,H:H,H224,$D:$D,$D224,$AE:$AE,$AE224)/SUMIF(符文权重!$A:$A,$D224,符文权重!$D:$D)))</f>
        <v>0.112559241706161</v>
      </c>
      <c r="O224" s="51" cm="1">
        <f t="array" ref="O224">IF($A224="","",IF(I224="","",_xlfn.XLOOKUP($D224&amp;"_"&amp;$AE224,符文权重!$A:$A&amp;"_"&amp;符文权重!$C:$C,符文权重!$D:$D)*$Y224/SUMIFS($Y:$Y,I:I,I224,$D:$D,$D224,$AE:$AE,$AE224)/SUMIF(符文权重!$A:$A,$D224,符文权重!$D:$D)))</f>
        <v>0.0920542635658915</v>
      </c>
      <c r="P224" s="51" cm="1">
        <f t="array" ref="P224">IF($A224="","",IF(J224="","",_xlfn.XLOOKUP($D224&amp;"_"&amp;$AE224,符文权重!$A:$A&amp;"_"&amp;符文权重!$C:$C,符文权重!$D:$D)*$Y224/SUMIFS($Y:$Y,J:J,J224,$D:$D,$D224,$AE:$AE,$AE224)/SUMIF(符文权重!$A:$A,$D224,符文权重!$D:$D)))</f>
        <v>0.0909961685823755</v>
      </c>
      <c r="Q224" s="51" cm="1">
        <f t="array" ref="Q224">IF($A224="","",IF(K224="","",_xlfn.XLOOKUP($D224&amp;"_"&amp;$AE224,符文权重!$A:$A&amp;"_"&amp;符文权重!$C:$C,符文权重!$D:$D)*$Y224/SUMIFS($Y:$Y,K:K,K224,$D:$D,$D224,$AE:$AE,$AE224)/SUMIF(符文权重!$A:$A,$D224,符文权重!$D:$D)))</f>
        <v>0.114182692307692</v>
      </c>
      <c r="R224" s="51" cm="1">
        <f t="array" ref="R224">IF($A224="","",IF(L224="","",_xlfn.XLOOKUP($D224&amp;"_"&amp;$AE224,符文权重!$A:$A&amp;"_"&amp;符文权重!$C:$C,符文权重!$D:$D)*$Y224/SUMIFS($Y:$Y,L:L,L224,$D:$D,$D224,$AE:$AE,$AE224)/SUMIF(符文权重!$A:$A,$D224,符文权重!$D:$D)))</f>
        <v>0.0909961685823755</v>
      </c>
      <c r="S224" s="36" t="s">
        <v>175</v>
      </c>
      <c r="T224" s="36"/>
      <c r="U224" s="36" t="e">
        <f>IF(C224="","",SUBSTITUTE(SUBSTITUTE("[{global_atk,"&amp;#REF!*D224&amp;"}]",21,20),9,8))</f>
        <v>#REF!</v>
      </c>
      <c r="V224" s="52" t="str">
        <f t="shared" si="109"/>
        <v>[5503043]</v>
      </c>
      <c r="W224" s="36" t="s">
        <v>365</v>
      </c>
      <c r="X224" s="35"/>
      <c r="Y224" s="42">
        <v>100</v>
      </c>
      <c r="Z224" s="35"/>
      <c r="AA224" s="42" t="s">
        <v>183</v>
      </c>
      <c r="AB224" s="42" t="str">
        <f t="shared" si="95"/>
        <v>对精英和首领伤害&lt;color=#54b76b&gt;+20%&lt;/color&gt;</v>
      </c>
      <c r="AC224" s="48" t="str">
        <f t="shared" si="102"/>
        <v>5503041</v>
      </c>
      <c r="AD224" s="42" t="str">
        <f t="shared" si="103"/>
        <v>[20]</v>
      </c>
      <c r="AE224" s="36">
        <v>2</v>
      </c>
      <c r="AF224" s="36"/>
      <c r="AG224" s="36">
        <v>0</v>
      </c>
      <c r="AH224" s="35" t="s">
        <v>178</v>
      </c>
      <c r="AI224" s="48">
        <f t="shared" si="110"/>
        <v>5503043</v>
      </c>
      <c r="AJ224" s="53" t="str">
        <f t="shared" si="111"/>
        <v>对精英和首领伤害&lt;color=#54b76b&gt;+%s%&lt;/color&gt;</v>
      </c>
      <c r="AK224" s="36">
        <v>20</v>
      </c>
      <c r="AL224" s="36">
        <v>2</v>
      </c>
    </row>
    <row r="225" s="25" customFormat="1" hidden="1" customHeight="1" spans="1:38">
      <c r="A225" s="48">
        <v>5503044</v>
      </c>
      <c r="B225" s="34" t="s">
        <v>362</v>
      </c>
      <c r="C225" s="48" t="str">
        <f t="shared" si="99"/>
        <v>5503041</v>
      </c>
      <c r="D225" s="42">
        <f t="shared" si="100"/>
        <v>4</v>
      </c>
      <c r="E225" s="42"/>
      <c r="F225" s="36" t="s">
        <v>174</v>
      </c>
      <c r="G225" s="36">
        <f t="shared" si="96"/>
        <v>1</v>
      </c>
      <c r="H225" s="36">
        <f>IFERROR(IF(--MID($F225,2*COUNTIF($G225:G225,"&gt;"&amp;0)+2,1)=H$1,H$1,""),"")</f>
        <v>2</v>
      </c>
      <c r="I225" s="36">
        <f>IFERROR(IF(--MID($F225,2*COUNTIF($G225:H225,"&gt;"&amp;0)+2,1)=I$1,I$1,""),"")</f>
        <v>3</v>
      </c>
      <c r="J225" s="36">
        <f>IFERROR(IF(--MID($F225,2*COUNTIF($G225:I225,"&gt;"&amp;0)+2,1)=J$1,J$1,""),"")</f>
        <v>4</v>
      </c>
      <c r="K225" s="36">
        <f>IFERROR(IF(--MID($F225,2*COUNTIF($G225:J225,"&gt;"&amp;0)+2,1)=K$1,K$1,""),"")</f>
        <v>5</v>
      </c>
      <c r="L225" s="36">
        <f>IFERROR(IF(--MID($F225,2*COUNTIF($G225:K225,"&gt;"&amp;0)+2,1)=L$1,L$1,""),"")</f>
        <v>6</v>
      </c>
      <c r="M225" s="51" cm="1">
        <f t="array" ref="M225">IF($A225="","",IF(G225="","",_xlfn.XLOOKUP($D225&amp;"_"&amp;$AE225,符文权重!$A:$A&amp;"_"&amp;符文权重!$C:$C,符文权重!$D:$D)*$Y225/SUMIFS($Y:$Y,G:G,G225,$D:$D,$D225,$AE:$AE,$AE225)/SUMIF(符文权重!$A:$A,$D225,符文权重!$D:$D)))</f>
        <v>0.0628628628628629</v>
      </c>
      <c r="N225" s="51" cm="1">
        <f t="array" ref="N225">IF($A225="","",IF(H225="","",_xlfn.XLOOKUP($D225&amp;"_"&amp;$AE225,符文权重!$A:$A&amp;"_"&amp;符文权重!$C:$C,符文权重!$D:$D)*$Y225/SUMIFS($Y:$Y,H:H,H225,$D:$D,$D225,$AE:$AE,$AE225)/SUMIF(符文权重!$A:$A,$D225,符文权重!$D:$D)))</f>
        <v>0.0785785785785786</v>
      </c>
      <c r="O225" s="51" cm="1">
        <f t="array" ref="O225">IF($A225="","",IF(I225="","",_xlfn.XLOOKUP($D225&amp;"_"&amp;$AE225,符文权重!$A:$A&amp;"_"&amp;符文权重!$C:$C,符文权重!$D:$D)*$Y225/SUMIFS($Y:$Y,I:I,I225,$D:$D,$D225,$AE:$AE,$AE225)/SUMIF(符文权重!$A:$A,$D225,符文权重!$D:$D)))</f>
        <v>0.0628628628628629</v>
      </c>
      <c r="P225" s="51" cm="1">
        <f t="array" ref="P225">IF($A225="","",IF(J225="","",_xlfn.XLOOKUP($D225&amp;"_"&amp;$AE225,符文权重!$A:$A&amp;"_"&amp;符文权重!$C:$C,符文权重!$D:$D)*$Y225/SUMIFS($Y:$Y,J:J,J225,$D:$D,$D225,$AE:$AE,$AE225)/SUMIF(符文权重!$A:$A,$D225,符文权重!$D:$D)))</f>
        <v>0.0628628628628629</v>
      </c>
      <c r="Q225" s="51" cm="1">
        <f t="array" ref="Q225">IF($A225="","",IF(K225="","",_xlfn.XLOOKUP($D225&amp;"_"&amp;$AE225,符文权重!$A:$A&amp;"_"&amp;符文权重!$C:$C,符文权重!$D:$D)*$Y225/SUMIFS($Y:$Y,K:K,K225,$D:$D,$D225,$AE:$AE,$AE225)/SUMIF(符文权重!$A:$A,$D225,符文权重!$D:$D)))</f>
        <v>0.0785785785785786</v>
      </c>
      <c r="R225" s="51" cm="1">
        <f t="array" ref="R225">IF($A225="","",IF(L225="","",_xlfn.XLOOKUP($D225&amp;"_"&amp;$AE225,符文权重!$A:$A&amp;"_"&amp;符文权重!$C:$C,符文权重!$D:$D)*$Y225/SUMIFS($Y:$Y,L:L,L225,$D:$D,$D225,$AE:$AE,$AE225)/SUMIF(符文权重!$A:$A,$D225,符文权重!$D:$D)))</f>
        <v>0.0628628628628629</v>
      </c>
      <c r="S225" s="36" t="s">
        <v>175</v>
      </c>
      <c r="T225" s="36"/>
      <c r="U225" s="36" t="e">
        <f>IF(C225="","",SUBSTITUTE(SUBSTITUTE("[{global_atk,"&amp;#REF!*D225&amp;"}]",21,20),9,8))</f>
        <v>#REF!</v>
      </c>
      <c r="V225" s="52" t="str">
        <f t="shared" si="109"/>
        <v>[5503044]</v>
      </c>
      <c r="W225" s="36" t="s">
        <v>366</v>
      </c>
      <c r="X225" s="35"/>
      <c r="Y225" s="42">
        <v>100</v>
      </c>
      <c r="Z225" s="35"/>
      <c r="AA225" s="42" t="s">
        <v>185</v>
      </c>
      <c r="AB225" s="42" t="str">
        <f t="shared" si="95"/>
        <v>对精英和首领伤害&lt;color=#54b76b&gt;+25%&lt;/color&gt;</v>
      </c>
      <c r="AC225" s="48" t="str">
        <f t="shared" si="102"/>
        <v>5503041</v>
      </c>
      <c r="AD225" s="42" t="str">
        <f t="shared" si="103"/>
        <v>[25]</v>
      </c>
      <c r="AE225" s="36">
        <v>2</v>
      </c>
      <c r="AF225" s="36"/>
      <c r="AG225" s="36">
        <v>0</v>
      </c>
      <c r="AH225" s="35" t="s">
        <v>178</v>
      </c>
      <c r="AI225" s="48">
        <f t="shared" si="110"/>
        <v>5503044</v>
      </c>
      <c r="AJ225" s="53" t="str">
        <f t="shared" si="111"/>
        <v>对精英和首领伤害&lt;color=#54b76b&gt;+%s%&lt;/color&gt;</v>
      </c>
      <c r="AK225" s="36">
        <v>25</v>
      </c>
      <c r="AL225" s="36">
        <v>2</v>
      </c>
    </row>
    <row r="226" s="25" customFormat="1" hidden="1" customHeight="1" spans="1:38">
      <c r="A226" s="48">
        <v>5503045</v>
      </c>
      <c r="B226" s="34" t="s">
        <v>362</v>
      </c>
      <c r="C226" s="48" t="str">
        <f t="shared" si="99"/>
        <v>5503041</v>
      </c>
      <c r="D226" s="42">
        <f t="shared" si="100"/>
        <v>5</v>
      </c>
      <c r="E226" s="42"/>
      <c r="F226" s="36" t="s">
        <v>174</v>
      </c>
      <c r="G226" s="36">
        <f t="shared" si="96"/>
        <v>1</v>
      </c>
      <c r="H226" s="36">
        <f>IFERROR(IF(--MID($F226,2*COUNTIF($G226:G226,"&gt;"&amp;0)+2,1)=H$1,H$1,""),"")</f>
        <v>2</v>
      </c>
      <c r="I226" s="36">
        <f>IFERROR(IF(--MID($F226,2*COUNTIF($G226:H226,"&gt;"&amp;0)+2,1)=I$1,I$1,""),"")</f>
        <v>3</v>
      </c>
      <c r="J226" s="36">
        <f>IFERROR(IF(--MID($F226,2*COUNTIF($G226:I226,"&gt;"&amp;0)+2,1)=J$1,J$1,""),"")</f>
        <v>4</v>
      </c>
      <c r="K226" s="36">
        <f>IFERROR(IF(--MID($F226,2*COUNTIF($G226:J226,"&gt;"&amp;0)+2,1)=K$1,K$1,""),"")</f>
        <v>5</v>
      </c>
      <c r="L226" s="36">
        <f>IFERROR(IF(--MID($F226,2*COUNTIF($G226:K226,"&gt;"&amp;0)+2,1)=L$1,L$1,""),"")</f>
        <v>6</v>
      </c>
      <c r="M226" s="51" cm="1">
        <f t="array" ref="M226">IF($A226="","",IF(G226="","",_xlfn.XLOOKUP($D226&amp;"_"&amp;$AE226,符文权重!$A:$A&amp;"_"&amp;符文权重!$C:$C,符文权重!$D:$D)*$Y226/SUMIFS($Y:$Y,G:G,G226,$D:$D,$D226,$AE:$AE,$AE226)/SUMIF(符文权重!$A:$A,$D226,符文权重!$D:$D)))</f>
        <v>0.0612</v>
      </c>
      <c r="N226" s="51" cm="1">
        <f t="array" ref="N226">IF($A226="","",IF(H226="","",_xlfn.XLOOKUP($D226&amp;"_"&amp;$AE226,符文权重!$A:$A&amp;"_"&amp;符文权重!$C:$C,符文权重!$D:$D)*$Y226/SUMIFS($Y:$Y,H:H,H226,$D:$D,$D226,$AE:$AE,$AE226)/SUMIF(符文权重!$A:$A,$D226,符文权重!$D:$D)))</f>
        <v>0.0765</v>
      </c>
      <c r="O226" s="51" cm="1">
        <f t="array" ref="O226">IF($A226="","",IF(I226="","",_xlfn.XLOOKUP($D226&amp;"_"&amp;$AE226,符文权重!$A:$A&amp;"_"&amp;符文权重!$C:$C,符文权重!$D:$D)*$Y226/SUMIFS($Y:$Y,I:I,I226,$D:$D,$D226,$AE:$AE,$AE226)/SUMIF(符文权重!$A:$A,$D226,符文权重!$D:$D)))</f>
        <v>0.0612</v>
      </c>
      <c r="P226" s="51" cm="1">
        <f t="array" ref="P226">IF($A226="","",IF(J226="","",_xlfn.XLOOKUP($D226&amp;"_"&amp;$AE226,符文权重!$A:$A&amp;"_"&amp;符文权重!$C:$C,符文权重!$D:$D)*$Y226/SUMIFS($Y:$Y,J:J,J226,$D:$D,$D226,$AE:$AE,$AE226)/SUMIF(符文权重!$A:$A,$D226,符文权重!$D:$D)))</f>
        <v>0.0612</v>
      </c>
      <c r="Q226" s="51" cm="1">
        <f t="array" ref="Q226">IF($A226="","",IF(K226="","",_xlfn.XLOOKUP($D226&amp;"_"&amp;$AE226,符文权重!$A:$A&amp;"_"&amp;符文权重!$C:$C,符文权重!$D:$D)*$Y226/SUMIFS($Y:$Y,K:K,K226,$D:$D,$D226,$AE:$AE,$AE226)/SUMIF(符文权重!$A:$A,$D226,符文权重!$D:$D)))</f>
        <v>0.0765</v>
      </c>
      <c r="R226" s="51" cm="1">
        <f t="array" ref="R226">IF($A226="","",IF(L226="","",_xlfn.XLOOKUP($D226&amp;"_"&amp;$AE226,符文权重!$A:$A&amp;"_"&amp;符文权重!$C:$C,符文权重!$D:$D)*$Y226/SUMIFS($Y:$Y,L:L,L226,$D:$D,$D226,$AE:$AE,$AE226)/SUMIF(符文权重!$A:$A,$D226,符文权重!$D:$D)))</f>
        <v>0.0612</v>
      </c>
      <c r="S226" s="36" t="s">
        <v>175</v>
      </c>
      <c r="T226" s="36"/>
      <c r="U226" s="36" t="e">
        <f>IF(C226="","",SUBSTITUTE(SUBSTITUTE("[{global_atk,"&amp;#REF!*D226&amp;"}]",21,20),9,8))</f>
        <v>#REF!</v>
      </c>
      <c r="V226" s="52" t="str">
        <f t="shared" si="109"/>
        <v>[5503045]</v>
      </c>
      <c r="W226" s="36" t="s">
        <v>367</v>
      </c>
      <c r="X226" s="35"/>
      <c r="Y226" s="42">
        <v>100</v>
      </c>
      <c r="Z226" s="35"/>
      <c r="AA226" s="42" t="s">
        <v>187</v>
      </c>
      <c r="AB226" s="42" t="str">
        <f t="shared" si="95"/>
        <v>对精英和首领伤害&lt;color=#54b76b&gt;+32%&lt;/color&gt;</v>
      </c>
      <c r="AC226" s="48" t="str">
        <f t="shared" si="102"/>
        <v>5503041</v>
      </c>
      <c r="AD226" s="42" t="str">
        <f t="shared" si="103"/>
        <v>[32]</v>
      </c>
      <c r="AE226" s="36">
        <v>2</v>
      </c>
      <c r="AF226" s="36"/>
      <c r="AG226" s="36">
        <v>0</v>
      </c>
      <c r="AH226" s="35" t="s">
        <v>178</v>
      </c>
      <c r="AI226" s="48">
        <f t="shared" si="110"/>
        <v>5503045</v>
      </c>
      <c r="AJ226" s="53" t="str">
        <f t="shared" si="111"/>
        <v>对精英和首领伤害&lt;color=#54b76b&gt;+%s%&lt;/color&gt;</v>
      </c>
      <c r="AK226" s="36">
        <v>32</v>
      </c>
      <c r="AL226" s="36">
        <v>2</v>
      </c>
    </row>
    <row r="227" s="25" customFormat="1" hidden="1" customHeight="1" spans="1:38">
      <c r="A227" s="48">
        <v>5503046</v>
      </c>
      <c r="B227" s="34" t="s">
        <v>362</v>
      </c>
      <c r="C227" s="48" t="str">
        <f t="shared" si="99"/>
        <v>5503041</v>
      </c>
      <c r="D227" s="42">
        <f t="shared" si="100"/>
        <v>6</v>
      </c>
      <c r="E227" s="42"/>
      <c r="F227" s="36" t="s">
        <v>174</v>
      </c>
      <c r="G227" s="36">
        <f t="shared" si="96"/>
        <v>1</v>
      </c>
      <c r="H227" s="36">
        <f>IFERROR(IF(--MID($F227,2*COUNTIF($G227:G227,"&gt;"&amp;0)+2,1)=H$1,H$1,""),"")</f>
        <v>2</v>
      </c>
      <c r="I227" s="36">
        <f>IFERROR(IF(--MID($F227,2*COUNTIF($G227:H227,"&gt;"&amp;0)+2,1)=I$1,I$1,""),"")</f>
        <v>3</v>
      </c>
      <c r="J227" s="36">
        <f>IFERROR(IF(--MID($F227,2*COUNTIF($G227:I227,"&gt;"&amp;0)+2,1)=J$1,J$1,""),"")</f>
        <v>4</v>
      </c>
      <c r="K227" s="36">
        <f>IFERROR(IF(--MID($F227,2*COUNTIF($G227:J227,"&gt;"&amp;0)+2,1)=K$1,K$1,""),"")</f>
        <v>5</v>
      </c>
      <c r="L227" s="36">
        <f>IFERROR(IF(--MID($F227,2*COUNTIF($G227:K227,"&gt;"&amp;0)+2,1)=L$1,L$1,""),"")</f>
        <v>6</v>
      </c>
      <c r="M227" s="51" cm="1">
        <f t="array" ref="M227">IF($A227="","",IF(G227="","",_xlfn.XLOOKUP($D227&amp;"_"&amp;$AE227,符文权重!$A:$A&amp;"_"&amp;符文权重!$C:$C,符文权重!$D:$D)*$Y227/SUMIFS($Y:$Y,G:G,G227,$D:$D,$D227,$AE:$AE,$AE227)/SUMIF(符文权重!$A:$A,$D227,符文权重!$D:$D)))</f>
        <v>0.0612</v>
      </c>
      <c r="N227" s="51" cm="1">
        <f t="array" ref="N227">IF($A227="","",IF(H227="","",_xlfn.XLOOKUP($D227&amp;"_"&amp;$AE227,符文权重!$A:$A&amp;"_"&amp;符文权重!$C:$C,符文权重!$D:$D)*$Y227/SUMIFS($Y:$Y,H:H,H227,$D:$D,$D227,$AE:$AE,$AE227)/SUMIF(符文权重!$A:$A,$D227,符文权重!$D:$D)))</f>
        <v>0.0765</v>
      </c>
      <c r="O227" s="51" cm="1">
        <f t="array" ref="O227">IF($A227="","",IF(I227="","",_xlfn.XLOOKUP($D227&amp;"_"&amp;$AE227,符文权重!$A:$A&amp;"_"&amp;符文权重!$C:$C,符文权重!$D:$D)*$Y227/SUMIFS($Y:$Y,I:I,I227,$D:$D,$D227,$AE:$AE,$AE227)/SUMIF(符文权重!$A:$A,$D227,符文权重!$D:$D)))</f>
        <v>0.0612</v>
      </c>
      <c r="P227" s="51" cm="1">
        <f t="array" ref="P227">IF($A227="","",IF(J227="","",_xlfn.XLOOKUP($D227&amp;"_"&amp;$AE227,符文权重!$A:$A&amp;"_"&amp;符文权重!$C:$C,符文权重!$D:$D)*$Y227/SUMIFS($Y:$Y,J:J,J227,$D:$D,$D227,$AE:$AE,$AE227)/SUMIF(符文权重!$A:$A,$D227,符文权重!$D:$D)))</f>
        <v>0.0612</v>
      </c>
      <c r="Q227" s="51" cm="1">
        <f t="array" ref="Q227">IF($A227="","",IF(K227="","",_xlfn.XLOOKUP($D227&amp;"_"&amp;$AE227,符文权重!$A:$A&amp;"_"&amp;符文权重!$C:$C,符文权重!$D:$D)*$Y227/SUMIFS($Y:$Y,K:K,K227,$D:$D,$D227,$AE:$AE,$AE227)/SUMIF(符文权重!$A:$A,$D227,符文权重!$D:$D)))</f>
        <v>0.0765</v>
      </c>
      <c r="R227" s="51" cm="1">
        <f t="array" ref="R227">IF($A227="","",IF(L227="","",_xlfn.XLOOKUP($D227&amp;"_"&amp;$AE227,符文权重!$A:$A&amp;"_"&amp;符文权重!$C:$C,符文权重!$D:$D)*$Y227/SUMIFS($Y:$Y,L:L,L227,$D:$D,$D227,$AE:$AE,$AE227)/SUMIF(符文权重!$A:$A,$D227,符文权重!$D:$D)))</f>
        <v>0.0612</v>
      </c>
      <c r="S227" s="36" t="s">
        <v>175</v>
      </c>
      <c r="T227" s="36"/>
      <c r="U227" s="36" t="e">
        <f>IF(C227="","",SUBSTITUTE(SUBSTITUTE("[{global_atk,"&amp;#REF!*D227&amp;"}]",21,20),9,8))</f>
        <v>#REF!</v>
      </c>
      <c r="V227" s="52" t="str">
        <f t="shared" si="109"/>
        <v>[5503046]</v>
      </c>
      <c r="W227" s="36" t="s">
        <v>368</v>
      </c>
      <c r="X227" s="35"/>
      <c r="Y227" s="42">
        <v>100</v>
      </c>
      <c r="Z227" s="35"/>
      <c r="AA227" s="42" t="s">
        <v>189</v>
      </c>
      <c r="AB227" s="42" t="str">
        <f t="shared" si="95"/>
        <v>对精英和首领伤害&lt;color=#54b76b&gt;+40%&lt;/color&gt;</v>
      </c>
      <c r="AC227" s="48" t="str">
        <f t="shared" si="102"/>
        <v>5503041</v>
      </c>
      <c r="AD227" s="42" t="str">
        <f t="shared" si="103"/>
        <v>[40]</v>
      </c>
      <c r="AE227" s="36">
        <v>2</v>
      </c>
      <c r="AF227" s="36"/>
      <c r="AG227" s="36">
        <v>0</v>
      </c>
      <c r="AH227" s="35" t="s">
        <v>178</v>
      </c>
      <c r="AI227" s="48">
        <f t="shared" si="110"/>
        <v>5503046</v>
      </c>
      <c r="AJ227" s="53" t="str">
        <f t="shared" si="111"/>
        <v>对精英和首领伤害&lt;color=#54b76b&gt;+%s%&lt;/color&gt;</v>
      </c>
      <c r="AK227" s="36">
        <v>40</v>
      </c>
      <c r="AL227" s="36">
        <v>2</v>
      </c>
    </row>
    <row r="228" s="25" customFormat="1" hidden="1" customHeight="1" spans="1:38">
      <c r="A228" s="48">
        <v>5503047</v>
      </c>
      <c r="B228" s="34" t="s">
        <v>362</v>
      </c>
      <c r="C228" s="48" t="str">
        <f t="shared" si="99"/>
        <v>5503041</v>
      </c>
      <c r="D228" s="42">
        <f t="shared" si="100"/>
        <v>7</v>
      </c>
      <c r="E228" s="42"/>
      <c r="F228" s="36" t="s">
        <v>174</v>
      </c>
      <c r="G228" s="36">
        <f t="shared" si="96"/>
        <v>1</v>
      </c>
      <c r="H228" s="36">
        <f>IFERROR(IF(--MID($F228,2*COUNTIF($G228:G228,"&gt;"&amp;0)+2,1)=H$1,H$1,""),"")</f>
        <v>2</v>
      </c>
      <c r="I228" s="36">
        <f>IFERROR(IF(--MID($F228,2*COUNTIF($G228:H228,"&gt;"&amp;0)+2,1)=I$1,I$1,""),"")</f>
        <v>3</v>
      </c>
      <c r="J228" s="36">
        <f>IFERROR(IF(--MID($F228,2*COUNTIF($G228:I228,"&gt;"&amp;0)+2,1)=J$1,J$1,""),"")</f>
        <v>4</v>
      </c>
      <c r="K228" s="36">
        <f>IFERROR(IF(--MID($F228,2*COUNTIF($G228:J228,"&gt;"&amp;0)+2,1)=K$1,K$1,""),"")</f>
        <v>5</v>
      </c>
      <c r="L228" s="36">
        <f>IFERROR(IF(--MID($F228,2*COUNTIF($G228:K228,"&gt;"&amp;0)+2,1)=L$1,L$1,""),"")</f>
        <v>6</v>
      </c>
      <c r="M228" s="51" cm="1">
        <f t="array" ref="M228">IF($A228="","",IF(G228="","",_xlfn.XLOOKUP($D228&amp;"_"&amp;$AE228,符文权重!$A:$A&amp;"_"&amp;符文权重!$C:$C,符文权重!$D:$D)*$Y228/SUMIFS($Y:$Y,G:G,G228,$D:$D,$D228,$AE:$AE,$AE228)/SUMIF(符文权重!$A:$A,$D228,符文权重!$D:$D)))</f>
        <v>0.0612</v>
      </c>
      <c r="N228" s="51" cm="1">
        <f t="array" ref="N228">IF($A228="","",IF(H228="","",_xlfn.XLOOKUP($D228&amp;"_"&amp;$AE228,符文权重!$A:$A&amp;"_"&amp;符文权重!$C:$C,符文权重!$D:$D)*$Y228/SUMIFS($Y:$Y,H:H,H228,$D:$D,$D228,$AE:$AE,$AE228)/SUMIF(符文权重!$A:$A,$D228,符文权重!$D:$D)))</f>
        <v>0.0765</v>
      </c>
      <c r="O228" s="51" cm="1">
        <f t="array" ref="O228">IF($A228="","",IF(I228="","",_xlfn.XLOOKUP($D228&amp;"_"&amp;$AE228,符文权重!$A:$A&amp;"_"&amp;符文权重!$C:$C,符文权重!$D:$D)*$Y228/SUMIFS($Y:$Y,I:I,I228,$D:$D,$D228,$AE:$AE,$AE228)/SUMIF(符文权重!$A:$A,$D228,符文权重!$D:$D)))</f>
        <v>0.0612</v>
      </c>
      <c r="P228" s="51" cm="1">
        <f t="array" ref="P228">IF($A228="","",IF(J228="","",_xlfn.XLOOKUP($D228&amp;"_"&amp;$AE228,符文权重!$A:$A&amp;"_"&amp;符文权重!$C:$C,符文权重!$D:$D)*$Y228/SUMIFS($Y:$Y,J:J,J228,$D:$D,$D228,$AE:$AE,$AE228)/SUMIF(符文权重!$A:$A,$D228,符文权重!$D:$D)))</f>
        <v>0.0612</v>
      </c>
      <c r="Q228" s="51" cm="1">
        <f t="array" ref="Q228">IF($A228="","",IF(K228="","",_xlfn.XLOOKUP($D228&amp;"_"&amp;$AE228,符文权重!$A:$A&amp;"_"&amp;符文权重!$C:$C,符文权重!$D:$D)*$Y228/SUMIFS($Y:$Y,K:K,K228,$D:$D,$D228,$AE:$AE,$AE228)/SUMIF(符文权重!$A:$A,$D228,符文权重!$D:$D)))</f>
        <v>0.0765</v>
      </c>
      <c r="R228" s="51" cm="1">
        <f t="array" ref="R228">IF($A228="","",IF(L228="","",_xlfn.XLOOKUP($D228&amp;"_"&amp;$AE228,符文权重!$A:$A&amp;"_"&amp;符文权重!$C:$C,符文权重!$D:$D)*$Y228/SUMIFS($Y:$Y,L:L,L228,$D:$D,$D228,$AE:$AE,$AE228)/SUMIF(符文权重!$A:$A,$D228,符文权重!$D:$D)))</f>
        <v>0.0612</v>
      </c>
      <c r="S228" s="36" t="s">
        <v>175</v>
      </c>
      <c r="T228" s="36"/>
      <c r="U228" s="36" t="e">
        <f>IF(C228="","",SUBSTITUTE(SUBSTITUTE("[{global_atk,"&amp;#REF!*D228&amp;"}]",21,20),9,8))</f>
        <v>#REF!</v>
      </c>
      <c r="V228" s="52" t="str">
        <f t="shared" si="109"/>
        <v>[5503047]</v>
      </c>
      <c r="W228" s="36" t="s">
        <v>369</v>
      </c>
      <c r="X228" s="35"/>
      <c r="Y228" s="42">
        <v>100</v>
      </c>
      <c r="Z228" s="35"/>
      <c r="AA228" s="42" t="s">
        <v>191</v>
      </c>
      <c r="AB228" s="42" t="str">
        <f t="shared" si="95"/>
        <v>对精英和首领伤害&lt;color=#54b76b&gt;+50%&lt;/color&gt;</v>
      </c>
      <c r="AC228" s="48" t="str">
        <f t="shared" si="102"/>
        <v>5503041</v>
      </c>
      <c r="AD228" s="42" t="str">
        <f t="shared" si="103"/>
        <v>[50]</v>
      </c>
      <c r="AE228" s="36">
        <v>2</v>
      </c>
      <c r="AF228" s="36"/>
      <c r="AG228" s="36">
        <v>0</v>
      </c>
      <c r="AH228" s="35" t="s">
        <v>178</v>
      </c>
      <c r="AI228" s="48">
        <f t="shared" si="110"/>
        <v>5503047</v>
      </c>
      <c r="AJ228" s="53" t="str">
        <f t="shared" si="111"/>
        <v>对精英和首领伤害&lt;color=#54b76b&gt;+%s%&lt;/color&gt;</v>
      </c>
      <c r="AK228" s="36">
        <v>50</v>
      </c>
      <c r="AL228" s="36">
        <v>2</v>
      </c>
    </row>
    <row r="229" s="25" customFormat="1" hidden="1" customHeight="1" spans="1:38">
      <c r="A229" s="48" t="s">
        <v>178</v>
      </c>
      <c r="B229" s="41"/>
      <c r="C229" s="48" t="str">
        <f t="shared" si="99"/>
        <v/>
      </c>
      <c r="D229" s="42" t="str">
        <f t="shared" si="100"/>
        <v/>
      </c>
      <c r="E229" s="42"/>
      <c r="F229" s="36"/>
      <c r="G229" s="36" t="str">
        <f t="shared" si="96"/>
        <v/>
      </c>
      <c r="H229" s="36" t="str">
        <f>IFERROR(IF(--MID($F229,2*COUNTIF($G229:G229,"&gt;"&amp;0)+2,1)=H$1,H$1,""),"")</f>
        <v/>
      </c>
      <c r="I229" s="36" t="str">
        <f>IFERROR(IF(--MID($F229,2*COUNTIF($G229:H229,"&gt;"&amp;0)+2,1)=I$1,I$1,""),"")</f>
        <v/>
      </c>
      <c r="J229" s="36" t="str">
        <f>IFERROR(IF(--MID($F229,2*COUNTIF($G229:I229,"&gt;"&amp;0)+2,1)=J$1,J$1,""),"")</f>
        <v/>
      </c>
      <c r="K229" s="36" t="str">
        <f>IFERROR(IF(--MID($F229,2*COUNTIF($G229:J229,"&gt;"&amp;0)+2,1)=K$1,K$1,""),"")</f>
        <v/>
      </c>
      <c r="L229" s="36" t="str">
        <f>IFERROR(IF(--MID($F229,2*COUNTIF($G229:K229,"&gt;"&amp;0)+2,1)=L$1,L$1,""),"")</f>
        <v/>
      </c>
      <c r="M229" s="51" t="str" cm="1">
        <f t="array" ref="M229">IF($A229="","",IF(G229="","",_xlfn.XLOOKUP($D229&amp;"_"&amp;$AE229,符文权重!$A:$A&amp;"_"&amp;符文权重!$C:$C,符文权重!$D:$D)*$Y229/SUMIFS($Y:$Y,G:G,G229,$D:$D,$D229,$AE:$AE,$AE229)/SUMIF(符文权重!$A:$A,$D229,符文权重!$D:$D)))</f>
        <v/>
      </c>
      <c r="N229" s="36" t="str" cm="1">
        <f t="array" ref="N229">IF($A229="","",IF(H229="","",_xlfn.XLOOKUP($D229&amp;"_"&amp;$AE229,符文权重!$A:$A&amp;"_"&amp;符文权重!$C:$C,符文权重!$D:$D)*$Y229/SUMIFS($Y:$Y,H:H,H229,$D:$D,$D$6,$AE:$AE,$AE$6)))</f>
        <v/>
      </c>
      <c r="O229" s="36" t="str" cm="1">
        <f t="array" ref="O229">IF($A229="","",IF(I229="","",_xlfn.XLOOKUP($D229&amp;"_"&amp;$AE229,符文权重!$A:$A&amp;"_"&amp;符文权重!$C:$C,符文权重!$D:$D)*$Y229/SUMIFS($Y:$Y,I:I,I229,$D:$D,$D$6,$AE:$AE,$AE$6)))</f>
        <v/>
      </c>
      <c r="P229" s="36" t="str" cm="1">
        <f t="array" ref="P229">IF($A229="","",IF(J229="","",_xlfn.XLOOKUP($D229&amp;"_"&amp;$AE229,符文权重!$A:$A&amp;"_"&amp;符文权重!$C:$C,符文权重!$D:$D)*$Y229/SUMIFS($Y:$Y,J:J,J229,$D:$D,$D$6,$AE:$AE,$AE$6)))</f>
        <v/>
      </c>
      <c r="Q229" s="36" t="str" cm="1">
        <f t="array" ref="Q229">IF($A229="","",IF(K229="","",_xlfn.XLOOKUP($D229&amp;"_"&amp;$AE229,符文权重!$A:$A&amp;"_"&amp;符文权重!$C:$C,符文权重!$D:$D)*$Y229/SUMIFS($Y:$Y,K:K,K229,$D:$D,$D$6,$AE:$AE,$AE$6)))</f>
        <v/>
      </c>
      <c r="R229" s="36" t="str" cm="1">
        <f t="array" ref="R229">IF($A229="","",IF(L229="","",_xlfn.XLOOKUP($D229&amp;"_"&amp;$AE229,符文权重!$A:$A&amp;"_"&amp;符文权重!$C:$C,符文权重!$D:$D)*$Y229/SUMIFS($Y:$Y,L:L,L229,$D:$D,$D$6,$AE:$AE,$AE$6)))</f>
        <v/>
      </c>
      <c r="S229" s="36"/>
      <c r="T229" s="36"/>
      <c r="U229" s="36"/>
      <c r="W229" s="41"/>
      <c r="X229" s="35"/>
      <c r="Y229" s="42"/>
      <c r="Z229" s="35"/>
      <c r="AA229" s="42" t="s">
        <v>178</v>
      </c>
      <c r="AB229" s="42" t="str">
        <f t="shared" si="95"/>
        <v/>
      </c>
      <c r="AC229" s="48" t="str">
        <f t="shared" si="102"/>
        <v/>
      </c>
      <c r="AD229" s="42" t="str">
        <f t="shared" si="103"/>
        <v/>
      </c>
      <c r="AE229" s="36"/>
      <c r="AF229" s="36"/>
      <c r="AG229" s="36"/>
      <c r="AH229" s="35" t="s">
        <v>178</v>
      </c>
      <c r="AI229" s="33"/>
      <c r="AJ229" s="56"/>
      <c r="AK229" s="36"/>
      <c r="AL229" s="36"/>
    </row>
    <row r="230" s="27" customFormat="1" hidden="1" customHeight="1" spans="1:38">
      <c r="A230" s="57">
        <v>5503051</v>
      </c>
      <c r="B230" s="58" t="s">
        <v>370</v>
      </c>
      <c r="C230" s="57" t="str">
        <f t="shared" si="99"/>
        <v>5503051</v>
      </c>
      <c r="D230" s="59">
        <f t="shared" si="100"/>
        <v>1</v>
      </c>
      <c r="E230" s="59"/>
      <c r="F230" s="60" t="s">
        <v>371</v>
      </c>
      <c r="G230" s="36" t="str">
        <f t="shared" si="96"/>
        <v/>
      </c>
      <c r="H230" s="36" t="str">
        <f>IFERROR(IF(--MID($F230,2*COUNTIF($G230:G230,"&gt;"&amp;0)+2,1)=H$1,H$1,""),"")</f>
        <v/>
      </c>
      <c r="I230" s="36">
        <f>IFERROR(IF(--MID($F230,2*COUNTIF($G230:H230,"&gt;"&amp;0)+2,1)=I$1,I$1,""),"")</f>
        <v>3</v>
      </c>
      <c r="J230" s="36">
        <f>IFERROR(IF(--MID($F230,2*COUNTIF($G230:I230,"&gt;"&amp;0)+2,1)=J$1,J$1,""),"")</f>
        <v>4</v>
      </c>
      <c r="K230" s="36" t="str">
        <f>IFERROR(IF(--MID($F230,2*COUNTIF($G230:J230,"&gt;"&amp;0)+2,1)=K$1,K$1,""),"")</f>
        <v/>
      </c>
      <c r="L230" s="36" t="str">
        <f>IFERROR(IF(--MID($F230,2*COUNTIF($G230:K230,"&gt;"&amp;0)+2,1)=L$1,L$1,""),"")</f>
        <v/>
      </c>
      <c r="M230" s="36" t="e" cm="1">
        <f t="array" ref="M230">IF(A230="","",_xlfn.XLOOKUP(D230&amp;"_"&amp;AE230,符文权重!A:A&amp;"_"&amp;符文权重!C:C,符文权重!D:D))</f>
        <v>#N/A</v>
      </c>
      <c r="N230" s="36"/>
      <c r="O230" s="36"/>
      <c r="P230" s="36"/>
      <c r="Q230" s="36"/>
      <c r="R230" s="36"/>
      <c r="S230" s="60" t="s">
        <v>256</v>
      </c>
      <c r="T230" s="60"/>
      <c r="U230" s="60" t="e">
        <f>IF(C230="","",SUBSTITUTE(SUBSTITUTE("[{global_atk,"&amp;#REF!*D230&amp;"}]",21,20),9,8))</f>
        <v>#REF!</v>
      </c>
      <c r="V230" s="61" t="str">
        <f t="shared" ref="V230:V236" si="112">"["&amp;A230&amp;"]"</f>
        <v>[5503051]</v>
      </c>
      <c r="W230" s="67"/>
      <c r="X230" s="28"/>
      <c r="Y230" s="42">
        <v>33</v>
      </c>
      <c r="Z230" s="28"/>
      <c r="AA230" s="59" t="s">
        <v>177</v>
      </c>
      <c r="AB230" s="42" t="str">
        <f t="shared" si="95"/>
        <v>击杀精英或首领后全队回复&lt;color=#54b76b&gt;5%&lt;/color&gt;血量</v>
      </c>
      <c r="AC230" s="57" t="str">
        <f t="shared" si="102"/>
        <v>5503051</v>
      </c>
      <c r="AD230" s="59" t="str">
        <f t="shared" si="103"/>
        <v>[5]</v>
      </c>
      <c r="AE230" s="60">
        <v>100</v>
      </c>
      <c r="AF230" s="60"/>
      <c r="AG230" s="60">
        <v>1</v>
      </c>
      <c r="AH230" s="35">
        <v>1</v>
      </c>
      <c r="AI230" s="62">
        <v>5503051</v>
      </c>
      <c r="AJ230" s="63" t="s">
        <v>370</v>
      </c>
      <c r="AK230" s="60">
        <v>5</v>
      </c>
      <c r="AL230" s="36"/>
    </row>
    <row r="231" s="27" customFormat="1" hidden="1" customHeight="1" spans="1:38">
      <c r="A231" s="57">
        <v>5503052</v>
      </c>
      <c r="B231" s="58" t="s">
        <v>370</v>
      </c>
      <c r="C231" s="57" t="str">
        <f t="shared" si="99"/>
        <v>5503051</v>
      </c>
      <c r="D231" s="59">
        <f t="shared" si="100"/>
        <v>2</v>
      </c>
      <c r="E231" s="59"/>
      <c r="F231" s="60" t="s">
        <v>371</v>
      </c>
      <c r="G231" s="36" t="str">
        <f t="shared" si="96"/>
        <v/>
      </c>
      <c r="H231" s="36" t="str">
        <f>IFERROR(IF(--MID($F231,2*COUNTIF($G231:G231,"&gt;"&amp;0)+2,1)=H$1,H$1,""),"")</f>
        <v/>
      </c>
      <c r="I231" s="36">
        <f>IFERROR(IF(--MID($F231,2*COUNTIF($G231:H231,"&gt;"&amp;0)+2,1)=I$1,I$1,""),"")</f>
        <v>3</v>
      </c>
      <c r="J231" s="36">
        <f>IFERROR(IF(--MID($F231,2*COUNTIF($G231:I231,"&gt;"&amp;0)+2,1)=J$1,J$1,""),"")</f>
        <v>4</v>
      </c>
      <c r="K231" s="36" t="str">
        <f>IFERROR(IF(--MID($F231,2*COUNTIF($G231:J231,"&gt;"&amp;0)+2,1)=K$1,K$1,""),"")</f>
        <v/>
      </c>
      <c r="L231" s="36" t="str">
        <f>IFERROR(IF(--MID($F231,2*COUNTIF($G231:K231,"&gt;"&amp;0)+2,1)=L$1,L$1,""),"")</f>
        <v/>
      </c>
      <c r="M231" s="36" t="e" cm="1">
        <f t="array" ref="M231">IF(A231="","",_xlfn.XLOOKUP(D231&amp;"_"&amp;AE231,符文权重!A:A&amp;"_"&amp;符文权重!C:C,符文权重!D:D))</f>
        <v>#N/A</v>
      </c>
      <c r="N231" s="36"/>
      <c r="O231" s="36"/>
      <c r="P231" s="36"/>
      <c r="Q231" s="36"/>
      <c r="R231" s="36"/>
      <c r="S231" s="60" t="s">
        <v>256</v>
      </c>
      <c r="T231" s="60"/>
      <c r="U231" s="60" t="e">
        <f>IF(C231="","",SUBSTITUTE(SUBSTITUTE("[{global_atk,"&amp;#REF!*D231&amp;"}]",21,20),9,8))</f>
        <v>#REF!</v>
      </c>
      <c r="V231" s="61" t="str">
        <f t="shared" si="112"/>
        <v>[5503052]</v>
      </c>
      <c r="W231" s="67"/>
      <c r="X231" s="28"/>
      <c r="Y231" s="42">
        <v>33</v>
      </c>
      <c r="Z231" s="28"/>
      <c r="AA231" s="59" t="s">
        <v>181</v>
      </c>
      <c r="AB231" s="42" t="str">
        <f t="shared" si="95"/>
        <v>击杀精英或首领后全队回复&lt;color=#54b76b&gt;8%&lt;/color&gt;血量</v>
      </c>
      <c r="AC231" s="57" t="str">
        <f t="shared" si="102"/>
        <v>5503051</v>
      </c>
      <c r="AD231" s="59" t="str">
        <f t="shared" si="103"/>
        <v>[8]</v>
      </c>
      <c r="AE231" s="60">
        <v>100</v>
      </c>
      <c r="AF231" s="60"/>
      <c r="AG231" s="60">
        <v>1</v>
      </c>
      <c r="AH231" s="35">
        <v>1</v>
      </c>
      <c r="AI231" s="57">
        <f t="shared" ref="AI231:AI236" si="113">AI230+1</f>
        <v>5503052</v>
      </c>
      <c r="AJ231" s="64" t="str">
        <f t="shared" ref="AJ231:AJ236" si="114">AJ230</f>
        <v>击杀精英或首领后全队回复&lt;color=#54b76b&gt;%s%&lt;/color&gt;血量</v>
      </c>
      <c r="AK231" s="60">
        <v>8</v>
      </c>
      <c r="AL231" s="36"/>
    </row>
    <row r="232" s="25" customFormat="1" hidden="1" customHeight="1" spans="1:38">
      <c r="A232" s="48">
        <v>5503053</v>
      </c>
      <c r="B232" s="34" t="s">
        <v>370</v>
      </c>
      <c r="C232" s="48" t="str">
        <f t="shared" si="99"/>
        <v>5503051</v>
      </c>
      <c r="D232" s="42">
        <f t="shared" si="100"/>
        <v>3</v>
      </c>
      <c r="E232" s="42"/>
      <c r="F232" s="36" t="s">
        <v>371</v>
      </c>
      <c r="G232" s="36" t="str">
        <f t="shared" si="96"/>
        <v/>
      </c>
      <c r="H232" s="36" t="str">
        <f>IFERROR(IF(--MID($F232,2*COUNTIF($G232:G232,"&gt;"&amp;0)+2,1)=H$1,H$1,""),"")</f>
        <v/>
      </c>
      <c r="I232" s="36">
        <f>IFERROR(IF(--MID($F232,2*COUNTIF($G232:H232,"&gt;"&amp;0)+2,1)=I$1,I$1,""),"")</f>
        <v>3</v>
      </c>
      <c r="J232" s="36">
        <f>IFERROR(IF(--MID($F232,2*COUNTIF($G232:I232,"&gt;"&amp;0)+2,1)=J$1,J$1,""),"")</f>
        <v>4</v>
      </c>
      <c r="K232" s="36" t="str">
        <f>IFERROR(IF(--MID($F232,2*COUNTIF($G232:J232,"&gt;"&amp;0)+2,1)=K$1,K$1,""),"")</f>
        <v/>
      </c>
      <c r="L232" s="36" t="str">
        <f>IFERROR(IF(--MID($F232,2*COUNTIF($G232:K232,"&gt;"&amp;0)+2,1)=L$1,L$1,""),"")</f>
        <v/>
      </c>
      <c r="M232" s="51" t="str" cm="1">
        <f t="array" ref="M232">IF($A232="","",IF(G232="","",_xlfn.XLOOKUP($D232&amp;"_"&amp;$AE232,符文权重!$A:$A&amp;"_"&amp;符文权重!$C:$C,符文权重!$D:$D)*$Y232/SUMIFS($Y:$Y,G:G,G232,$D:$D,$D232,$AE:$AE,$AE232)/SUMIF(符文权重!$A:$A,$D232,符文权重!$D:$D)))</f>
        <v/>
      </c>
      <c r="N232" s="51" t="str" cm="1">
        <f t="array" ref="N232">IF($A232="","",IF(H232="","",_xlfn.XLOOKUP($D232&amp;"_"&amp;$AE232,符文权重!$A:$A&amp;"_"&amp;符文权重!$C:$C,符文权重!$D:$D)*$Y232/SUMIFS($Y:$Y,H:H,H232,$D:$D,$D232,$AE:$AE,$AE232)/SUMIF(符文权重!$A:$A,$D232,符文权重!$D:$D)))</f>
        <v/>
      </c>
      <c r="O232" s="51" cm="1">
        <f t="array" ref="O232">IF($A232="","",IF(I232="","",_xlfn.XLOOKUP($D232&amp;"_"&amp;$AE232,符文权重!$A:$A&amp;"_"&amp;符文权重!$C:$C,符文权重!$D:$D)*$Y232/SUMIFS($Y:$Y,I:I,I232,$D:$D,$D232,$AE:$AE,$AE232)/SUMIF(符文权重!$A:$A,$D232,符文权重!$D:$D)))</f>
        <v>0.00851002865329513</v>
      </c>
      <c r="P232" s="51" cm="1">
        <f t="array" ref="P232">IF($A232="","",IF(J232="","",_xlfn.XLOOKUP($D232&amp;"_"&amp;$AE232,符文权重!$A:$A&amp;"_"&amp;符文权重!$C:$C,符文权重!$D:$D)*$Y232/SUMIFS($Y:$Y,J:J,J232,$D:$D,$D232,$AE:$AE,$AE232)/SUMIF(符文权重!$A:$A,$D232,符文权重!$D:$D)))</f>
        <v>0.00851002865329513</v>
      </c>
      <c r="Q232" s="51" t="str" cm="1">
        <f t="array" ref="Q232">IF($A232="","",IF(K232="","",_xlfn.XLOOKUP($D232&amp;"_"&amp;$AE232,符文权重!$A:$A&amp;"_"&amp;符文权重!$C:$C,符文权重!$D:$D)*$Y232/SUMIFS($Y:$Y,K:K,K232,$D:$D,$D232,$AE:$AE,$AE232)/SUMIF(符文权重!$A:$A,$D232,符文权重!$D:$D)))</f>
        <v/>
      </c>
      <c r="R232" s="51" t="str" cm="1">
        <f t="array" ref="R232">IF($A232="","",IF(L232="","",_xlfn.XLOOKUP($D232&amp;"_"&amp;$AE232,符文权重!$A:$A&amp;"_"&amp;符文权重!$C:$C,符文权重!$D:$D)*$Y232/SUMIFS($Y:$Y,L:L,L232,$D:$D,$D232,$AE:$AE,$AE232)/SUMIF(符文权重!$A:$A,$D232,符文权重!$D:$D)))</f>
        <v/>
      </c>
      <c r="S232" s="36" t="s">
        <v>256</v>
      </c>
      <c r="T232" s="36"/>
      <c r="U232" s="36" t="e">
        <f>IF(C232="","",SUBSTITUTE(SUBSTITUTE("[{global_atk,"&amp;#REF!*D232&amp;"}]",21,20),9,8))</f>
        <v>#REF!</v>
      </c>
      <c r="V232" s="52" t="str">
        <f t="shared" si="112"/>
        <v>[5503053]</v>
      </c>
      <c r="W232" s="41"/>
      <c r="X232" s="35"/>
      <c r="Y232" s="42">
        <v>33</v>
      </c>
      <c r="Z232" s="35"/>
      <c r="AA232" s="42" t="s">
        <v>183</v>
      </c>
      <c r="AB232" s="42" t="str">
        <f t="shared" si="95"/>
        <v>击杀精英或首领后全队回复&lt;color=#54b76b&gt;10%&lt;/color&gt;血量</v>
      </c>
      <c r="AC232" s="48" t="str">
        <f t="shared" si="102"/>
        <v>5503051</v>
      </c>
      <c r="AD232" s="42" t="str">
        <f t="shared" si="103"/>
        <v>[10]</v>
      </c>
      <c r="AE232" s="36">
        <v>3</v>
      </c>
      <c r="AF232" s="36"/>
      <c r="AG232" s="36">
        <v>0</v>
      </c>
      <c r="AH232" s="35">
        <v>1</v>
      </c>
      <c r="AI232" s="48">
        <f t="shared" si="113"/>
        <v>5503053</v>
      </c>
      <c r="AJ232" s="53" t="str">
        <f t="shared" si="114"/>
        <v>击杀精英或首领后全队回复&lt;color=#54b76b&gt;%s%&lt;/color&gt;血量</v>
      </c>
      <c r="AK232" s="36">
        <v>10</v>
      </c>
      <c r="AL232" s="36">
        <v>3</v>
      </c>
    </row>
    <row r="233" s="25" customFormat="1" hidden="1" customHeight="1" spans="1:38">
      <c r="A233" s="48">
        <v>5503054</v>
      </c>
      <c r="B233" s="34" t="s">
        <v>370</v>
      </c>
      <c r="C233" s="48" t="str">
        <f t="shared" si="99"/>
        <v>5503051</v>
      </c>
      <c r="D233" s="42">
        <f t="shared" si="100"/>
        <v>4</v>
      </c>
      <c r="E233" s="42"/>
      <c r="F233" s="36" t="s">
        <v>371</v>
      </c>
      <c r="G233" s="36" t="str">
        <f t="shared" si="96"/>
        <v/>
      </c>
      <c r="H233" s="36" t="str">
        <f>IFERROR(IF(--MID($F233,2*COUNTIF($G233:G233,"&gt;"&amp;0)+2,1)=H$1,H$1,""),"")</f>
        <v/>
      </c>
      <c r="I233" s="36">
        <f>IFERROR(IF(--MID($F233,2*COUNTIF($G233:H233,"&gt;"&amp;0)+2,1)=I$1,I$1,""),"")</f>
        <v>3</v>
      </c>
      <c r="J233" s="36">
        <f>IFERROR(IF(--MID($F233,2*COUNTIF($G233:I233,"&gt;"&amp;0)+2,1)=J$1,J$1,""),"")</f>
        <v>4</v>
      </c>
      <c r="K233" s="36" t="str">
        <f>IFERROR(IF(--MID($F233,2*COUNTIF($G233:J233,"&gt;"&amp;0)+2,1)=K$1,K$1,""),"")</f>
        <v/>
      </c>
      <c r="L233" s="36" t="str">
        <f>IFERROR(IF(--MID($F233,2*COUNTIF($G233:K233,"&gt;"&amp;0)+2,1)=L$1,L$1,""),"")</f>
        <v/>
      </c>
      <c r="M233" s="51" t="str" cm="1">
        <f t="array" ref="M233">IF($A233="","",IF(G233="","",_xlfn.XLOOKUP($D233&amp;"_"&amp;$AE233,符文权重!$A:$A&amp;"_"&amp;符文权重!$C:$C,符文权重!$D:$D)*$Y233/SUMIFS($Y:$Y,G:G,G233,$D:$D,$D233,$AE:$AE,$AE233)/SUMIF(符文权重!$A:$A,$D233,符文权重!$D:$D)))</f>
        <v/>
      </c>
      <c r="N233" s="51" t="str" cm="1">
        <f t="array" ref="N233">IF($A233="","",IF(H233="","",_xlfn.XLOOKUP($D233&amp;"_"&amp;$AE233,符文权重!$A:$A&amp;"_"&amp;符文权重!$C:$C,符文权重!$D:$D)*$Y233/SUMIFS($Y:$Y,H:H,H233,$D:$D,$D233,$AE:$AE,$AE233)/SUMIF(符文权重!$A:$A,$D233,符文权重!$D:$D)))</f>
        <v/>
      </c>
      <c r="O233" s="51" cm="1">
        <f t="array" ref="O233">IF($A233="","",IF(I233="","",_xlfn.XLOOKUP($D233&amp;"_"&amp;$AE233,符文权重!$A:$A&amp;"_"&amp;符文权重!$C:$C,符文权重!$D:$D)*$Y233/SUMIFS($Y:$Y,I:I,I233,$D:$D,$D233,$AE:$AE,$AE233)/SUMIF(符文权重!$A:$A,$D233,符文权重!$D:$D)))</f>
        <v>0.00980865923394659</v>
      </c>
      <c r="P233" s="51" cm="1">
        <f t="array" ref="P233">IF($A233="","",IF(J233="","",_xlfn.XLOOKUP($D233&amp;"_"&amp;$AE233,符文权重!$A:$A&amp;"_"&amp;符文权重!$C:$C,符文权重!$D:$D)*$Y233/SUMIFS($Y:$Y,J:J,J233,$D:$D,$D233,$AE:$AE,$AE233)/SUMIF(符文权重!$A:$A,$D233,符文权重!$D:$D)))</f>
        <v>0.00948170392614837</v>
      </c>
      <c r="Q233" s="51" t="str" cm="1">
        <f t="array" ref="Q233">IF($A233="","",IF(K233="","",_xlfn.XLOOKUP($D233&amp;"_"&amp;$AE233,符文权重!$A:$A&amp;"_"&amp;符文权重!$C:$C,符文权重!$D:$D)*$Y233/SUMIFS($Y:$Y,K:K,K233,$D:$D,$D233,$AE:$AE,$AE233)/SUMIF(符文权重!$A:$A,$D233,符文权重!$D:$D)))</f>
        <v/>
      </c>
      <c r="R233" s="51" t="str" cm="1">
        <f t="array" ref="R233">IF($A233="","",IF(L233="","",_xlfn.XLOOKUP($D233&amp;"_"&amp;$AE233,符文权重!$A:$A&amp;"_"&amp;符文权重!$C:$C,符文权重!$D:$D)*$Y233/SUMIFS($Y:$Y,L:L,L233,$D:$D,$D233,$AE:$AE,$AE233)/SUMIF(符文权重!$A:$A,$D233,符文权重!$D:$D)))</f>
        <v/>
      </c>
      <c r="S233" s="36" t="s">
        <v>256</v>
      </c>
      <c r="T233" s="36"/>
      <c r="U233" s="36" t="e">
        <f>IF(C233="","",SUBSTITUTE(SUBSTITUTE("[{global_atk,"&amp;#REF!*D233&amp;"}]",21,20),9,8))</f>
        <v>#REF!</v>
      </c>
      <c r="V233" s="52" t="str">
        <f t="shared" si="112"/>
        <v>[5503054]</v>
      </c>
      <c r="W233" s="41"/>
      <c r="X233" s="35"/>
      <c r="Y233" s="42">
        <v>11</v>
      </c>
      <c r="Z233" s="35"/>
      <c r="AA233" s="42" t="s">
        <v>185</v>
      </c>
      <c r="AB233" s="42" t="str">
        <f t="shared" si="95"/>
        <v>击杀精英或首领后全队回复&lt;color=#54b76b&gt;16%&lt;/color&gt;血量</v>
      </c>
      <c r="AC233" s="48" t="str">
        <f t="shared" si="102"/>
        <v>5503051</v>
      </c>
      <c r="AD233" s="42" t="str">
        <f t="shared" si="103"/>
        <v>[16]</v>
      </c>
      <c r="AE233" s="36">
        <v>3</v>
      </c>
      <c r="AF233" s="36"/>
      <c r="AG233" s="36">
        <v>0</v>
      </c>
      <c r="AH233" s="35">
        <v>1</v>
      </c>
      <c r="AI233" s="48">
        <f t="shared" si="113"/>
        <v>5503054</v>
      </c>
      <c r="AJ233" s="53" t="str">
        <f t="shared" si="114"/>
        <v>击杀精英或首领后全队回复&lt;color=#54b76b&gt;%s%&lt;/color&gt;血量</v>
      </c>
      <c r="AK233" s="36">
        <v>16</v>
      </c>
      <c r="AL233" s="36">
        <v>3</v>
      </c>
    </row>
    <row r="234" s="25" customFormat="1" hidden="1" customHeight="1" spans="1:38">
      <c r="A234" s="48">
        <v>5503055</v>
      </c>
      <c r="B234" s="34" t="s">
        <v>370</v>
      </c>
      <c r="C234" s="48" t="str">
        <f t="shared" si="99"/>
        <v>5503051</v>
      </c>
      <c r="D234" s="42">
        <f t="shared" si="100"/>
        <v>5</v>
      </c>
      <c r="E234" s="42"/>
      <c r="F234" s="36" t="s">
        <v>371</v>
      </c>
      <c r="G234" s="36" t="str">
        <f t="shared" si="96"/>
        <v/>
      </c>
      <c r="H234" s="36" t="str">
        <f>IFERROR(IF(--MID($F234,2*COUNTIF($G234:G234,"&gt;"&amp;0)+2,1)=H$1,H$1,""),"")</f>
        <v/>
      </c>
      <c r="I234" s="36">
        <f>IFERROR(IF(--MID($F234,2*COUNTIF($G234:H234,"&gt;"&amp;0)+2,1)=I$1,I$1,""),"")</f>
        <v>3</v>
      </c>
      <c r="J234" s="36">
        <f>IFERROR(IF(--MID($F234,2*COUNTIF($G234:I234,"&gt;"&amp;0)+2,1)=J$1,J$1,""),"")</f>
        <v>4</v>
      </c>
      <c r="K234" s="36" t="str">
        <f>IFERROR(IF(--MID($F234,2*COUNTIF($G234:J234,"&gt;"&amp;0)+2,1)=K$1,K$1,""),"")</f>
        <v/>
      </c>
      <c r="L234" s="36" t="str">
        <f>IFERROR(IF(--MID($F234,2*COUNTIF($G234:K234,"&gt;"&amp;0)+2,1)=L$1,L$1,""),"")</f>
        <v/>
      </c>
      <c r="M234" s="51" t="str" cm="1">
        <f t="array" ref="M234">IF($A234="","",IF(G234="","",_xlfn.XLOOKUP($D234&amp;"_"&amp;$AE234,符文权重!$A:$A&amp;"_"&amp;符文权重!$C:$C,符文权重!$D:$D)*$Y234/SUMIFS($Y:$Y,G:G,G234,$D:$D,$D234,$AE:$AE,$AE234)/SUMIF(符文权重!$A:$A,$D234,符文权重!$D:$D)))</f>
        <v/>
      </c>
      <c r="N234" s="51" t="str" cm="1">
        <f t="array" ref="N234">IF($A234="","",IF(H234="","",_xlfn.XLOOKUP($D234&amp;"_"&amp;$AE234,符文权重!$A:$A&amp;"_"&amp;符文权重!$C:$C,符文权重!$D:$D)*$Y234/SUMIFS($Y:$Y,H:H,H234,$D:$D,$D234,$AE:$AE,$AE234)/SUMIF(符文权重!$A:$A,$D234,符文权重!$D:$D)))</f>
        <v/>
      </c>
      <c r="O234" s="51" cm="1">
        <f t="array" ref="O234">IF($A234="","",IF(I234="","",_xlfn.XLOOKUP($D234&amp;"_"&amp;$AE234,符文权重!$A:$A&amp;"_"&amp;符文权重!$C:$C,符文权重!$D:$D)*$Y234/SUMIFS($Y:$Y,I:I,I234,$D:$D,$D234,$AE:$AE,$AE234)/SUMIF(符文权重!$A:$A,$D234,符文权重!$D:$D)))</f>
        <v>0.00721428571428571</v>
      </c>
      <c r="P234" s="51" cm="1">
        <f t="array" ref="P234">IF($A234="","",IF(J234="","",_xlfn.XLOOKUP($D234&amp;"_"&amp;$AE234,符文权重!$A:$A&amp;"_"&amp;符文权重!$C:$C,符文权重!$D:$D)*$Y234/SUMIFS($Y:$Y,J:J,J234,$D:$D,$D234,$AE:$AE,$AE234)/SUMIF(符文权重!$A:$A,$D234,符文权重!$D:$D)))</f>
        <v>0.0063125</v>
      </c>
      <c r="Q234" s="51" t="str" cm="1">
        <f t="array" ref="Q234">IF($A234="","",IF(K234="","",_xlfn.XLOOKUP($D234&amp;"_"&amp;$AE234,符文权重!$A:$A&amp;"_"&amp;符文权重!$C:$C,符文权重!$D:$D)*$Y234/SUMIFS($Y:$Y,K:K,K234,$D:$D,$D234,$AE:$AE,$AE234)/SUMIF(符文权重!$A:$A,$D234,符文权重!$D:$D)))</f>
        <v/>
      </c>
      <c r="R234" s="51" t="str" cm="1">
        <f t="array" ref="R234">IF($A234="","",IF(L234="","",_xlfn.XLOOKUP($D234&amp;"_"&amp;$AE234,符文权重!$A:$A&amp;"_"&amp;符文权重!$C:$C,符文权重!$D:$D)*$Y234/SUMIFS($Y:$Y,L:L,L234,$D:$D,$D234,$AE:$AE,$AE234)/SUMIF(符文权重!$A:$A,$D234,符文权重!$D:$D)))</f>
        <v/>
      </c>
      <c r="S234" s="36" t="s">
        <v>256</v>
      </c>
      <c r="T234" s="36"/>
      <c r="U234" s="36" t="e">
        <f>IF(C234="","",SUBSTITUTE(SUBSTITUTE("[{global_atk,"&amp;#REF!*D234&amp;"}]",21,20),9,8))</f>
        <v>#REF!</v>
      </c>
      <c r="V234" s="52" t="str">
        <f t="shared" si="112"/>
        <v>[5503055]</v>
      </c>
      <c r="W234" s="41"/>
      <c r="X234" s="35"/>
      <c r="Y234" s="42">
        <v>100</v>
      </c>
      <c r="Z234" s="35"/>
      <c r="AA234" s="42" t="s">
        <v>187</v>
      </c>
      <c r="AB234" s="42" t="str">
        <f t="shared" si="95"/>
        <v>击杀精英或首领后全队回复&lt;color=#54b76b&gt;20%&lt;/color&gt;血量</v>
      </c>
      <c r="AC234" s="48" t="str">
        <f t="shared" si="102"/>
        <v>5503051</v>
      </c>
      <c r="AD234" s="42" t="str">
        <f t="shared" si="103"/>
        <v>[20]</v>
      </c>
      <c r="AE234" s="36">
        <v>4</v>
      </c>
      <c r="AF234" s="36"/>
      <c r="AG234" s="36">
        <v>0</v>
      </c>
      <c r="AH234" s="35">
        <v>1</v>
      </c>
      <c r="AI234" s="48">
        <f t="shared" si="113"/>
        <v>5503055</v>
      </c>
      <c r="AJ234" s="53" t="str">
        <f t="shared" si="114"/>
        <v>击杀精英或首领后全队回复&lt;color=#54b76b&gt;%s%&lt;/color&gt;血量</v>
      </c>
      <c r="AK234" s="36">
        <v>20</v>
      </c>
      <c r="AL234" s="36">
        <v>3</v>
      </c>
    </row>
    <row r="235" s="25" customFormat="1" hidden="1" customHeight="1" spans="1:38">
      <c r="A235" s="48">
        <v>5503056</v>
      </c>
      <c r="B235" s="34" t="s">
        <v>370</v>
      </c>
      <c r="C235" s="48" t="str">
        <f t="shared" si="99"/>
        <v>5503051</v>
      </c>
      <c r="D235" s="42">
        <f t="shared" si="100"/>
        <v>6</v>
      </c>
      <c r="E235" s="42"/>
      <c r="F235" s="36" t="s">
        <v>371</v>
      </c>
      <c r="G235" s="36" t="str">
        <f t="shared" si="96"/>
        <v/>
      </c>
      <c r="H235" s="36" t="str">
        <f>IFERROR(IF(--MID($F235,2*COUNTIF($G235:G235,"&gt;"&amp;0)+2,1)=H$1,H$1,""),"")</f>
        <v/>
      </c>
      <c r="I235" s="36">
        <f>IFERROR(IF(--MID($F235,2*COUNTIF($G235:H235,"&gt;"&amp;0)+2,1)=I$1,I$1,""),"")</f>
        <v>3</v>
      </c>
      <c r="J235" s="36">
        <f>IFERROR(IF(--MID($F235,2*COUNTIF($G235:I235,"&gt;"&amp;0)+2,1)=J$1,J$1,""),"")</f>
        <v>4</v>
      </c>
      <c r="K235" s="36" t="str">
        <f>IFERROR(IF(--MID($F235,2*COUNTIF($G235:J235,"&gt;"&amp;0)+2,1)=K$1,K$1,""),"")</f>
        <v/>
      </c>
      <c r="L235" s="36" t="str">
        <f>IFERROR(IF(--MID($F235,2*COUNTIF($G235:K235,"&gt;"&amp;0)+2,1)=L$1,L$1,""),"")</f>
        <v/>
      </c>
      <c r="M235" s="51" t="str" cm="1">
        <f t="array" ref="M235">IF($A235="","",IF(G235="","",_xlfn.XLOOKUP($D235&amp;"_"&amp;$AE235,符文权重!$A:$A&amp;"_"&amp;符文权重!$C:$C,符文权重!$D:$D)*$Y235/SUMIFS($Y:$Y,G:G,G235,$D:$D,$D235,$AE:$AE,$AE235)/SUMIF(符文权重!$A:$A,$D235,符文权重!$D:$D)))</f>
        <v/>
      </c>
      <c r="N235" s="51" t="str" cm="1">
        <f t="array" ref="N235">IF($A235="","",IF(H235="","",_xlfn.XLOOKUP($D235&amp;"_"&amp;$AE235,符文权重!$A:$A&amp;"_"&amp;符文权重!$C:$C,符文权重!$D:$D)*$Y235/SUMIFS($Y:$Y,H:H,H235,$D:$D,$D235,$AE:$AE,$AE235)/SUMIF(符文权重!$A:$A,$D235,符文权重!$D:$D)))</f>
        <v/>
      </c>
      <c r="O235" s="51" cm="1">
        <f t="array" ref="O235">IF($A235="","",IF(I235="","",_xlfn.XLOOKUP($D235&amp;"_"&amp;$AE235,符文权重!$A:$A&amp;"_"&amp;符文权重!$C:$C,符文权重!$D:$D)*$Y235/SUMIFS($Y:$Y,I:I,I235,$D:$D,$D235,$AE:$AE,$AE235)/SUMIF(符文权重!$A:$A,$D235,符文权重!$D:$D)))</f>
        <v>0.00721428571428571</v>
      </c>
      <c r="P235" s="51" cm="1">
        <f t="array" ref="P235">IF($A235="","",IF(J235="","",_xlfn.XLOOKUP($D235&amp;"_"&amp;$AE235,符文权重!$A:$A&amp;"_"&amp;符文权重!$C:$C,符文权重!$D:$D)*$Y235/SUMIFS($Y:$Y,J:J,J235,$D:$D,$D235,$AE:$AE,$AE235)/SUMIF(符文权重!$A:$A,$D235,符文权重!$D:$D)))</f>
        <v>0.0063125</v>
      </c>
      <c r="Q235" s="51" t="str" cm="1">
        <f t="array" ref="Q235">IF($A235="","",IF(K235="","",_xlfn.XLOOKUP($D235&amp;"_"&amp;$AE235,符文权重!$A:$A&amp;"_"&amp;符文权重!$C:$C,符文权重!$D:$D)*$Y235/SUMIFS($Y:$Y,K:K,K235,$D:$D,$D235,$AE:$AE,$AE235)/SUMIF(符文权重!$A:$A,$D235,符文权重!$D:$D)))</f>
        <v/>
      </c>
      <c r="R235" s="51" t="str" cm="1">
        <f t="array" ref="R235">IF($A235="","",IF(L235="","",_xlfn.XLOOKUP($D235&amp;"_"&amp;$AE235,符文权重!$A:$A&amp;"_"&amp;符文权重!$C:$C,符文权重!$D:$D)*$Y235/SUMIFS($Y:$Y,L:L,L235,$D:$D,$D235,$AE:$AE,$AE235)/SUMIF(符文权重!$A:$A,$D235,符文权重!$D:$D)))</f>
        <v/>
      </c>
      <c r="S235" s="36" t="s">
        <v>256</v>
      </c>
      <c r="T235" s="36"/>
      <c r="U235" s="36" t="e">
        <f>IF(C235="","",SUBSTITUTE(SUBSTITUTE("[{global_atk,"&amp;#REF!*D235&amp;"}]",21,20),9,8))</f>
        <v>#REF!</v>
      </c>
      <c r="V235" s="52" t="str">
        <f t="shared" si="112"/>
        <v>[5503056]</v>
      </c>
      <c r="W235" s="41"/>
      <c r="X235" s="35"/>
      <c r="Y235" s="42">
        <v>100</v>
      </c>
      <c r="Z235" s="35"/>
      <c r="AA235" s="42" t="s">
        <v>189</v>
      </c>
      <c r="AB235" s="42" t="str">
        <f t="shared" si="95"/>
        <v>击杀精英或首领后全队回复&lt;color=#54b76b&gt;25%&lt;/color&gt;血量</v>
      </c>
      <c r="AC235" s="48" t="str">
        <f t="shared" si="102"/>
        <v>5503051</v>
      </c>
      <c r="AD235" s="42" t="str">
        <f t="shared" si="103"/>
        <v>[25]</v>
      </c>
      <c r="AE235" s="36">
        <v>4</v>
      </c>
      <c r="AF235" s="36"/>
      <c r="AG235" s="36">
        <v>0</v>
      </c>
      <c r="AH235" s="35">
        <v>1</v>
      </c>
      <c r="AI235" s="48">
        <f t="shared" si="113"/>
        <v>5503056</v>
      </c>
      <c r="AJ235" s="53" t="str">
        <f t="shared" si="114"/>
        <v>击杀精英或首领后全队回复&lt;color=#54b76b&gt;%s%&lt;/color&gt;血量</v>
      </c>
      <c r="AK235" s="36">
        <v>25</v>
      </c>
      <c r="AL235" s="36">
        <v>3</v>
      </c>
    </row>
    <row r="236" s="25" customFormat="1" hidden="1" customHeight="1" spans="1:38">
      <c r="A236" s="48">
        <v>5503057</v>
      </c>
      <c r="B236" s="34" t="s">
        <v>370</v>
      </c>
      <c r="C236" s="48" t="str">
        <f t="shared" si="99"/>
        <v>5503051</v>
      </c>
      <c r="D236" s="42">
        <f t="shared" si="100"/>
        <v>7</v>
      </c>
      <c r="E236" s="42"/>
      <c r="F236" s="36" t="s">
        <v>371</v>
      </c>
      <c r="G236" s="36" t="str">
        <f t="shared" si="96"/>
        <v/>
      </c>
      <c r="H236" s="36" t="str">
        <f>IFERROR(IF(--MID($F236,2*COUNTIF($G236:G236,"&gt;"&amp;0)+2,1)=H$1,H$1,""),"")</f>
        <v/>
      </c>
      <c r="I236" s="36">
        <f>IFERROR(IF(--MID($F236,2*COUNTIF($G236:H236,"&gt;"&amp;0)+2,1)=I$1,I$1,""),"")</f>
        <v>3</v>
      </c>
      <c r="J236" s="36">
        <f>IFERROR(IF(--MID($F236,2*COUNTIF($G236:I236,"&gt;"&amp;0)+2,1)=J$1,J$1,""),"")</f>
        <v>4</v>
      </c>
      <c r="K236" s="36" t="str">
        <f>IFERROR(IF(--MID($F236,2*COUNTIF($G236:J236,"&gt;"&amp;0)+2,1)=K$1,K$1,""),"")</f>
        <v/>
      </c>
      <c r="L236" s="36" t="str">
        <f>IFERROR(IF(--MID($F236,2*COUNTIF($G236:K236,"&gt;"&amp;0)+2,1)=L$1,L$1,""),"")</f>
        <v/>
      </c>
      <c r="M236" s="51" t="str" cm="1">
        <f t="array" ref="M236">IF($A236="","",IF(G236="","",_xlfn.XLOOKUP($D236&amp;"_"&amp;$AE236,符文权重!$A:$A&amp;"_"&amp;符文权重!$C:$C,符文权重!$D:$D)*$Y236/SUMIFS($Y:$Y,G:G,G236,$D:$D,$D236,$AE:$AE,$AE236)/SUMIF(符文权重!$A:$A,$D236,符文权重!$D:$D)))</f>
        <v/>
      </c>
      <c r="N236" s="51" t="str" cm="1">
        <f t="array" ref="N236">IF($A236="","",IF(H236="","",_xlfn.XLOOKUP($D236&amp;"_"&amp;$AE236,符文权重!$A:$A&amp;"_"&amp;符文权重!$C:$C,符文权重!$D:$D)*$Y236/SUMIFS($Y:$Y,H:H,H236,$D:$D,$D236,$AE:$AE,$AE236)/SUMIF(符文权重!$A:$A,$D236,符文权重!$D:$D)))</f>
        <v/>
      </c>
      <c r="O236" s="51" cm="1">
        <f t="array" ref="O236">IF($A236="","",IF(I236="","",_xlfn.XLOOKUP($D236&amp;"_"&amp;$AE236,符文权重!$A:$A&amp;"_"&amp;符文权重!$C:$C,符文权重!$D:$D)*$Y236/SUMIFS($Y:$Y,I:I,I236,$D:$D,$D236,$AE:$AE,$AE236)/SUMIF(符文权重!$A:$A,$D236,符文权重!$D:$D)))</f>
        <v>0.00721428571428571</v>
      </c>
      <c r="P236" s="51" cm="1">
        <f t="array" ref="P236">IF($A236="","",IF(J236="","",_xlfn.XLOOKUP($D236&amp;"_"&amp;$AE236,符文权重!$A:$A&amp;"_"&amp;符文权重!$C:$C,符文权重!$D:$D)*$Y236/SUMIFS($Y:$Y,J:J,J236,$D:$D,$D236,$AE:$AE,$AE236)/SUMIF(符文权重!$A:$A,$D236,符文权重!$D:$D)))</f>
        <v>0.0063125</v>
      </c>
      <c r="Q236" s="51" t="str" cm="1">
        <f t="array" ref="Q236">IF($A236="","",IF(K236="","",_xlfn.XLOOKUP($D236&amp;"_"&amp;$AE236,符文权重!$A:$A&amp;"_"&amp;符文权重!$C:$C,符文权重!$D:$D)*$Y236/SUMIFS($Y:$Y,K:K,K236,$D:$D,$D236,$AE:$AE,$AE236)/SUMIF(符文权重!$A:$A,$D236,符文权重!$D:$D)))</f>
        <v/>
      </c>
      <c r="R236" s="51" t="str" cm="1">
        <f t="array" ref="R236">IF($A236="","",IF(L236="","",_xlfn.XLOOKUP($D236&amp;"_"&amp;$AE236,符文权重!$A:$A&amp;"_"&amp;符文权重!$C:$C,符文权重!$D:$D)*$Y236/SUMIFS($Y:$Y,L:L,L236,$D:$D,$D236,$AE:$AE,$AE236)/SUMIF(符文权重!$A:$A,$D236,符文权重!$D:$D)))</f>
        <v/>
      </c>
      <c r="S236" s="36" t="s">
        <v>256</v>
      </c>
      <c r="T236" s="36"/>
      <c r="U236" s="36" t="e">
        <f>IF(C236="","",SUBSTITUTE(SUBSTITUTE("[{global_atk,"&amp;#REF!*D236&amp;"}]",21,20),9,8))</f>
        <v>#REF!</v>
      </c>
      <c r="V236" s="52" t="str">
        <f t="shared" si="112"/>
        <v>[5503057]</v>
      </c>
      <c r="W236" s="41"/>
      <c r="X236" s="35"/>
      <c r="Y236" s="42">
        <v>100</v>
      </c>
      <c r="Z236" s="35"/>
      <c r="AA236" s="42" t="s">
        <v>191</v>
      </c>
      <c r="AB236" s="42" t="str">
        <f t="shared" si="95"/>
        <v>击杀精英或首领后全队回复&lt;color=#54b76b&gt;30%&lt;/color&gt;血量</v>
      </c>
      <c r="AC236" s="48" t="str">
        <f t="shared" si="102"/>
        <v>5503051</v>
      </c>
      <c r="AD236" s="42" t="str">
        <f t="shared" si="103"/>
        <v>[30]</v>
      </c>
      <c r="AE236" s="36">
        <v>4</v>
      </c>
      <c r="AF236" s="36"/>
      <c r="AG236" s="36">
        <v>0</v>
      </c>
      <c r="AH236" s="35">
        <v>1</v>
      </c>
      <c r="AI236" s="48">
        <f t="shared" si="113"/>
        <v>5503057</v>
      </c>
      <c r="AJ236" s="53" t="str">
        <f t="shared" si="114"/>
        <v>击杀精英或首领后全队回复&lt;color=#54b76b&gt;%s%&lt;/color&gt;血量</v>
      </c>
      <c r="AK236" s="36">
        <v>30</v>
      </c>
      <c r="AL236" s="36">
        <v>3</v>
      </c>
    </row>
    <row r="237" s="25" customFormat="1" hidden="1" customHeight="1" spans="1:38">
      <c r="A237" s="48" t="s">
        <v>178</v>
      </c>
      <c r="B237" s="41"/>
      <c r="C237" s="48" t="str">
        <f t="shared" si="99"/>
        <v/>
      </c>
      <c r="D237" s="42" t="str">
        <f t="shared" si="100"/>
        <v/>
      </c>
      <c r="E237" s="42"/>
      <c r="F237" s="36"/>
      <c r="G237" s="36" t="str">
        <f t="shared" si="96"/>
        <v/>
      </c>
      <c r="H237" s="36" t="str">
        <f>IFERROR(IF(--MID($F237,2*COUNTIF($G237:G237,"&gt;"&amp;0)+2,1)=H$1,H$1,""),"")</f>
        <v/>
      </c>
      <c r="I237" s="36" t="str">
        <f>IFERROR(IF(--MID($F237,2*COUNTIF($G237:H237,"&gt;"&amp;0)+2,1)=I$1,I$1,""),"")</f>
        <v/>
      </c>
      <c r="J237" s="36" t="str">
        <f>IFERROR(IF(--MID($F237,2*COUNTIF($G237:I237,"&gt;"&amp;0)+2,1)=J$1,J$1,""),"")</f>
        <v/>
      </c>
      <c r="K237" s="36" t="str">
        <f>IFERROR(IF(--MID($F237,2*COUNTIF($G237:J237,"&gt;"&amp;0)+2,1)=K$1,K$1,""),"")</f>
        <v/>
      </c>
      <c r="L237" s="36" t="str">
        <f>IFERROR(IF(--MID($F237,2*COUNTIF($G237:K237,"&gt;"&amp;0)+2,1)=L$1,L$1,""),"")</f>
        <v/>
      </c>
      <c r="M237" s="51" t="str" cm="1">
        <f t="array" ref="M237">IF($A237="","",IF(G237="","",_xlfn.XLOOKUP($D237&amp;"_"&amp;$AE237,符文权重!$A:$A&amp;"_"&amp;符文权重!$C:$C,符文权重!$D:$D)*$Y237/SUMIFS($Y:$Y,G:G,G237,$D:$D,$D237,$AE:$AE,$AE237)/SUMIF(符文权重!$A:$A,$D237,符文权重!$D:$D)))</f>
        <v/>
      </c>
      <c r="N237" s="36" t="str" cm="1">
        <f t="array" ref="N237">IF($A237="","",IF(H237="","",_xlfn.XLOOKUP($D237&amp;"_"&amp;$AE237,符文权重!$A:$A&amp;"_"&amp;符文权重!$C:$C,符文权重!$D:$D)*$Y237/SUMIFS($Y:$Y,H:H,H237,$D:$D,$D$6,$AE:$AE,$AE$6)))</f>
        <v/>
      </c>
      <c r="O237" s="36" t="str" cm="1">
        <f t="array" ref="O237">IF($A237="","",IF(I237="","",_xlfn.XLOOKUP($D237&amp;"_"&amp;$AE237,符文权重!$A:$A&amp;"_"&amp;符文权重!$C:$C,符文权重!$D:$D)*$Y237/SUMIFS($Y:$Y,I:I,I237,$D:$D,$D$6,$AE:$AE,$AE$6)))</f>
        <v/>
      </c>
      <c r="P237" s="36" t="str" cm="1">
        <f t="array" ref="P237">IF($A237="","",IF(J237="","",_xlfn.XLOOKUP($D237&amp;"_"&amp;$AE237,符文权重!$A:$A&amp;"_"&amp;符文权重!$C:$C,符文权重!$D:$D)*$Y237/SUMIFS($Y:$Y,J:J,J237,$D:$D,$D$6,$AE:$AE,$AE$6)))</f>
        <v/>
      </c>
      <c r="Q237" s="36" t="str" cm="1">
        <f t="array" ref="Q237">IF($A237="","",IF(K237="","",_xlfn.XLOOKUP($D237&amp;"_"&amp;$AE237,符文权重!$A:$A&amp;"_"&amp;符文权重!$C:$C,符文权重!$D:$D)*$Y237/SUMIFS($Y:$Y,K:K,K237,$D:$D,$D$6,$AE:$AE,$AE$6)))</f>
        <v/>
      </c>
      <c r="R237" s="36" t="str" cm="1">
        <f t="array" ref="R237">IF($A237="","",IF(L237="","",_xlfn.XLOOKUP($D237&amp;"_"&amp;$AE237,符文权重!$A:$A&amp;"_"&amp;符文权重!$C:$C,符文权重!$D:$D)*$Y237/SUMIFS($Y:$Y,L:L,L237,$D:$D,$D$6,$AE:$AE,$AE$6)))</f>
        <v/>
      </c>
      <c r="S237" s="36"/>
      <c r="T237" s="36"/>
      <c r="U237" s="36"/>
      <c r="W237" s="41"/>
      <c r="X237" s="35"/>
      <c r="Y237" s="42"/>
      <c r="Z237" s="35"/>
      <c r="AA237" s="42" t="s">
        <v>178</v>
      </c>
      <c r="AB237" s="42" t="str">
        <f t="shared" si="95"/>
        <v/>
      </c>
      <c r="AC237" s="48" t="str">
        <f t="shared" si="102"/>
        <v/>
      </c>
      <c r="AD237" s="42" t="str">
        <f t="shared" si="103"/>
        <v/>
      </c>
      <c r="AE237" s="36"/>
      <c r="AF237" s="36"/>
      <c r="AG237" s="36"/>
      <c r="AH237" s="35" t="s">
        <v>178</v>
      </c>
      <c r="AI237" s="33"/>
      <c r="AJ237" s="56"/>
      <c r="AK237" s="36"/>
      <c r="AL237" s="36"/>
    </row>
    <row r="238" s="27" customFormat="1" hidden="1" customHeight="1" spans="1:38">
      <c r="A238" s="57">
        <v>5503061</v>
      </c>
      <c r="B238" s="58" t="s">
        <v>372</v>
      </c>
      <c r="C238" s="57" t="str">
        <f t="shared" si="99"/>
        <v>5503061</v>
      </c>
      <c r="D238" s="59">
        <f t="shared" si="100"/>
        <v>1</v>
      </c>
      <c r="E238" s="59"/>
      <c r="F238" s="60" t="s">
        <v>373</v>
      </c>
      <c r="G238" s="36">
        <f t="shared" si="96"/>
        <v>1</v>
      </c>
      <c r="H238" s="36" t="str">
        <f>IFERROR(IF(--MID($F238,2*COUNTIF($G238:G238,"&gt;"&amp;0)+2,1)=H$1,H$1,""),"")</f>
        <v/>
      </c>
      <c r="I238" s="36">
        <f>IFERROR(IF(--MID($F238,2*COUNTIF($G238:H238,"&gt;"&amp;0)+2,1)=I$1,I$1,""),"")</f>
        <v>3</v>
      </c>
      <c r="J238" s="36" t="str">
        <f>IFERROR(IF(--MID($F238,2*COUNTIF($G238:I238,"&gt;"&amp;0)+2,1)=J$1,J$1,""),"")</f>
        <v/>
      </c>
      <c r="K238" s="36" t="str">
        <f>IFERROR(IF(--MID($F238,2*COUNTIF($G238:J238,"&gt;"&amp;0)+2,1)=K$1,K$1,""),"")</f>
        <v/>
      </c>
      <c r="L238" s="36" t="str">
        <f>IFERROR(IF(--MID($F238,2*COUNTIF($G238:K238,"&gt;"&amp;0)+2,1)=L$1,L$1,""),"")</f>
        <v/>
      </c>
      <c r="M238" s="36" t="e" cm="1">
        <f t="array" ref="M238">IF(A238="","",_xlfn.XLOOKUP(D238&amp;"_"&amp;AE238,符文权重!A:A&amp;"_"&amp;符文权重!C:C,符文权重!D:D))</f>
        <v>#N/A</v>
      </c>
      <c r="N238" s="36"/>
      <c r="O238" s="36"/>
      <c r="P238" s="36"/>
      <c r="Q238" s="36"/>
      <c r="R238" s="36"/>
      <c r="S238" s="60" t="s">
        <v>256</v>
      </c>
      <c r="T238" s="60"/>
      <c r="U238" s="60" t="e">
        <f>IF(C238="","",SUBSTITUTE(SUBSTITUTE("[{global_atk,"&amp;#REF!*D238&amp;"}]",21,20),9,8))</f>
        <v>#REF!</v>
      </c>
      <c r="V238" s="61" t="str">
        <f t="shared" ref="V238:V244" si="115">"["&amp;A238&amp;"]"</f>
        <v>[5503061]</v>
      </c>
      <c r="W238" s="60"/>
      <c r="X238" s="28"/>
      <c r="Y238" s="42">
        <v>16</v>
      </c>
      <c r="Z238" s="28"/>
      <c r="AA238" s="59" t="s">
        <v>177</v>
      </c>
      <c r="AB238" s="42" t="str">
        <f t="shared" si="95"/>
        <v>队长每释放一次[咻咻的弹簧锤]，所有梦灵伤害&lt;color=#54b76b&gt;+0%&lt;/color&gt;，最多8次</v>
      </c>
      <c r="AC238" s="57" t="str">
        <f t="shared" si="102"/>
        <v>5503061</v>
      </c>
      <c r="AD238" s="59" t="str">
        <f t="shared" si="103"/>
        <v>[0]</v>
      </c>
      <c r="AE238" s="60">
        <v>100</v>
      </c>
      <c r="AF238" s="60"/>
      <c r="AG238" s="60">
        <v>1</v>
      </c>
      <c r="AH238" s="35">
        <v>1</v>
      </c>
      <c r="AI238" s="62">
        <v>5503061</v>
      </c>
      <c r="AJ238" s="63" t="s">
        <v>374</v>
      </c>
      <c r="AK238" s="60">
        <v>0</v>
      </c>
      <c r="AL238" s="36"/>
    </row>
    <row r="239" s="27" customFormat="1" hidden="1" customHeight="1" spans="1:38">
      <c r="A239" s="57">
        <v>5503062</v>
      </c>
      <c r="B239" s="58" t="s">
        <v>372</v>
      </c>
      <c r="C239" s="57" t="str">
        <f t="shared" si="99"/>
        <v>5503061</v>
      </c>
      <c r="D239" s="59">
        <f t="shared" si="100"/>
        <v>2</v>
      </c>
      <c r="E239" s="59"/>
      <c r="F239" s="60" t="s">
        <v>373</v>
      </c>
      <c r="G239" s="36">
        <f t="shared" si="96"/>
        <v>1</v>
      </c>
      <c r="H239" s="36" t="str">
        <f>IFERROR(IF(--MID($F239,2*COUNTIF($G239:G239,"&gt;"&amp;0)+2,1)=H$1,H$1,""),"")</f>
        <v/>
      </c>
      <c r="I239" s="36">
        <f>IFERROR(IF(--MID($F239,2*COUNTIF($G239:H239,"&gt;"&amp;0)+2,1)=I$1,I$1,""),"")</f>
        <v>3</v>
      </c>
      <c r="J239" s="36" t="str">
        <f>IFERROR(IF(--MID($F239,2*COUNTIF($G239:I239,"&gt;"&amp;0)+2,1)=J$1,J$1,""),"")</f>
        <v/>
      </c>
      <c r="K239" s="36" t="str">
        <f>IFERROR(IF(--MID($F239,2*COUNTIF($G239:J239,"&gt;"&amp;0)+2,1)=K$1,K$1,""),"")</f>
        <v/>
      </c>
      <c r="L239" s="36" t="str">
        <f>IFERROR(IF(--MID($F239,2*COUNTIF($G239:K239,"&gt;"&amp;0)+2,1)=L$1,L$1,""),"")</f>
        <v/>
      </c>
      <c r="M239" s="36" t="e" cm="1">
        <f t="array" ref="M239">IF(A239="","",_xlfn.XLOOKUP(D239&amp;"_"&amp;AE239,符文权重!A:A&amp;"_"&amp;符文权重!C:C,符文权重!D:D))</f>
        <v>#N/A</v>
      </c>
      <c r="N239" s="36"/>
      <c r="O239" s="36"/>
      <c r="P239" s="36"/>
      <c r="Q239" s="36"/>
      <c r="R239" s="36"/>
      <c r="S239" s="60" t="s">
        <v>256</v>
      </c>
      <c r="T239" s="60"/>
      <c r="U239" s="60" t="e">
        <f>IF(C239="","",SUBSTITUTE(SUBSTITUTE("[{global_atk,"&amp;#REF!*D239&amp;"}]",21,20),9,8))</f>
        <v>#REF!</v>
      </c>
      <c r="V239" s="61" t="str">
        <f t="shared" si="115"/>
        <v>[5503062]</v>
      </c>
      <c r="W239" s="60"/>
      <c r="X239" s="28"/>
      <c r="Y239" s="42">
        <v>16</v>
      </c>
      <c r="Z239" s="28"/>
      <c r="AA239" s="59" t="s">
        <v>181</v>
      </c>
      <c r="AB239" s="42" t="str">
        <f t="shared" si="95"/>
        <v>队长每释放一次[咻咻的弹簧锤]，所有梦灵伤害&lt;color=#54b76b&gt;+0%&lt;/color&gt;，最多8次</v>
      </c>
      <c r="AC239" s="57" t="str">
        <f t="shared" si="102"/>
        <v>5503061</v>
      </c>
      <c r="AD239" s="59" t="str">
        <f t="shared" si="103"/>
        <v>[0]</v>
      </c>
      <c r="AE239" s="60">
        <v>100</v>
      </c>
      <c r="AF239" s="60"/>
      <c r="AG239" s="60">
        <v>1</v>
      </c>
      <c r="AH239" s="35">
        <v>1</v>
      </c>
      <c r="AI239" s="57">
        <f t="shared" ref="AI239:AI244" si="116">AI238+1</f>
        <v>5503062</v>
      </c>
      <c r="AJ239" s="64" t="str">
        <f t="shared" ref="AJ239:AJ244" si="117">AJ238</f>
        <v>队长每释放一次[咻咻的弹簧锤]，所有梦灵伤害&lt;color=#54b76b&gt;+%s%&lt;/color&gt;，最多8次</v>
      </c>
      <c r="AK239" s="60">
        <v>0</v>
      </c>
      <c r="AL239" s="36"/>
    </row>
    <row r="240" s="25" customFormat="1" hidden="1" customHeight="1" spans="1:38">
      <c r="A240" s="48">
        <v>5503063</v>
      </c>
      <c r="B240" s="34" t="s">
        <v>372</v>
      </c>
      <c r="C240" s="48" t="str">
        <f t="shared" si="99"/>
        <v>5503061</v>
      </c>
      <c r="D240" s="42">
        <f t="shared" si="100"/>
        <v>3</v>
      </c>
      <c r="E240" s="42"/>
      <c r="F240" s="36" t="s">
        <v>373</v>
      </c>
      <c r="G240" s="36">
        <f t="shared" si="96"/>
        <v>1</v>
      </c>
      <c r="H240" s="36" t="str">
        <f>IFERROR(IF(--MID($F240,2*COUNTIF($G240:G240,"&gt;"&amp;0)+2,1)=H$1,H$1,""),"")</f>
        <v/>
      </c>
      <c r="I240" s="36">
        <f>IFERROR(IF(--MID($F240,2*COUNTIF($G240:H240,"&gt;"&amp;0)+2,1)=I$1,I$1,""),"")</f>
        <v>3</v>
      </c>
      <c r="J240" s="36" t="str">
        <f>IFERROR(IF(--MID($F240,2*COUNTIF($G240:I240,"&gt;"&amp;0)+2,1)=J$1,J$1,""),"")</f>
        <v/>
      </c>
      <c r="K240" s="36" t="str">
        <f>IFERROR(IF(--MID($F240,2*COUNTIF($G240:J240,"&gt;"&amp;0)+2,1)=K$1,K$1,""),"")</f>
        <v/>
      </c>
      <c r="L240" s="36" t="str">
        <f>IFERROR(IF(--MID($F240,2*COUNTIF($G240:K240,"&gt;"&amp;0)+2,1)=L$1,L$1,""),"")</f>
        <v/>
      </c>
      <c r="M240" s="51" cm="1">
        <f t="array" ref="M240">IF($A240="","",IF(G240="","",_xlfn.XLOOKUP($D240&amp;"_"&amp;$AE240,符文权重!$A:$A&amp;"_"&amp;符文权重!$C:$C,符文权重!$D:$D)*$Y240/SUMIFS($Y:$Y,G:G,G240,$D:$D,$D240,$AE:$AE,$AE240)/SUMIF(符文权重!$A:$A,$D240,符文权重!$D:$D)))</f>
        <v>0.00412607449856734</v>
      </c>
      <c r="N240" s="51" t="str" cm="1">
        <f t="array" ref="N240">IF($A240="","",IF(H240="","",_xlfn.XLOOKUP($D240&amp;"_"&amp;$AE240,符文权重!$A:$A&amp;"_"&amp;符文权重!$C:$C,符文权重!$D:$D)*$Y240/SUMIFS($Y:$Y,H:H,H240,$D:$D,$D240,$AE:$AE,$AE240)/SUMIF(符文权重!$A:$A,$D240,符文权重!$D:$D)))</f>
        <v/>
      </c>
      <c r="O240" s="51" cm="1">
        <f t="array" ref="O240">IF($A240="","",IF(I240="","",_xlfn.XLOOKUP($D240&amp;"_"&amp;$AE240,符文权重!$A:$A&amp;"_"&amp;符文权重!$C:$C,符文权重!$D:$D)*$Y240/SUMIFS($Y:$Y,I:I,I240,$D:$D,$D240,$AE:$AE,$AE240)/SUMIF(符文权重!$A:$A,$D240,符文权重!$D:$D)))</f>
        <v>0.00412607449856734</v>
      </c>
      <c r="P240" s="51" t="str" cm="1">
        <f t="array" ref="P240">IF($A240="","",IF(J240="","",_xlfn.XLOOKUP($D240&amp;"_"&amp;$AE240,符文权重!$A:$A&amp;"_"&amp;符文权重!$C:$C,符文权重!$D:$D)*$Y240/SUMIFS($Y:$Y,J:J,J240,$D:$D,$D240,$AE:$AE,$AE240)/SUMIF(符文权重!$A:$A,$D240,符文权重!$D:$D)))</f>
        <v/>
      </c>
      <c r="Q240" s="51" t="str" cm="1">
        <f t="array" ref="Q240">IF($A240="","",IF(K240="","",_xlfn.XLOOKUP($D240&amp;"_"&amp;$AE240,符文权重!$A:$A&amp;"_"&amp;符文权重!$C:$C,符文权重!$D:$D)*$Y240/SUMIFS($Y:$Y,K:K,K240,$D:$D,$D240,$AE:$AE,$AE240)/SUMIF(符文权重!$A:$A,$D240,符文权重!$D:$D)))</f>
        <v/>
      </c>
      <c r="R240" s="51" t="str" cm="1">
        <f t="array" ref="R240">IF($A240="","",IF(L240="","",_xlfn.XLOOKUP($D240&amp;"_"&amp;$AE240,符文权重!$A:$A&amp;"_"&amp;符文权重!$C:$C,符文权重!$D:$D)*$Y240/SUMIFS($Y:$Y,L:L,L240,$D:$D,$D240,$AE:$AE,$AE240)/SUMIF(符文权重!$A:$A,$D240,符文权重!$D:$D)))</f>
        <v/>
      </c>
      <c r="S240" s="36" t="s">
        <v>256</v>
      </c>
      <c r="T240" s="36"/>
      <c r="U240" s="36" t="e">
        <f>IF(C240="","",SUBSTITUTE(SUBSTITUTE("[{global_atk,"&amp;#REF!*D240&amp;"}]",21,20),9,8))</f>
        <v>#REF!</v>
      </c>
      <c r="V240" s="52" t="str">
        <f t="shared" si="115"/>
        <v>[5503063]</v>
      </c>
      <c r="W240" s="36"/>
      <c r="X240" s="35"/>
      <c r="Y240" s="42">
        <v>16</v>
      </c>
      <c r="Z240" s="35"/>
      <c r="AA240" s="42" t="s">
        <v>183</v>
      </c>
      <c r="AB240" s="42" t="str">
        <f t="shared" si="95"/>
        <v>队长每释放一次[咻咻的弹簧锤]，所有梦灵伤害&lt;color=#54b76b&gt;+1%&lt;/color&gt;，最多8次</v>
      </c>
      <c r="AC240" s="48" t="str">
        <f t="shared" si="102"/>
        <v>5503061</v>
      </c>
      <c r="AD240" s="42" t="str">
        <f t="shared" si="103"/>
        <v>[1]</v>
      </c>
      <c r="AE240" s="36">
        <v>3</v>
      </c>
      <c r="AF240" s="36"/>
      <c r="AG240" s="36">
        <v>0</v>
      </c>
      <c r="AH240" s="35">
        <v>1</v>
      </c>
      <c r="AI240" s="48">
        <f t="shared" si="116"/>
        <v>5503063</v>
      </c>
      <c r="AJ240" s="53" t="str">
        <f t="shared" si="117"/>
        <v>队长每释放一次[咻咻的弹簧锤]，所有梦灵伤害&lt;color=#54b76b&gt;+%s%&lt;/color&gt;，最多8次</v>
      </c>
      <c r="AK240" s="36">
        <v>1</v>
      </c>
      <c r="AL240" s="36">
        <v>3</v>
      </c>
    </row>
    <row r="241" s="25" customFormat="1" hidden="1" customHeight="1" spans="1:38">
      <c r="A241" s="48">
        <v>5503064</v>
      </c>
      <c r="B241" s="34" t="s">
        <v>372</v>
      </c>
      <c r="C241" s="48" t="str">
        <f t="shared" si="99"/>
        <v>5503061</v>
      </c>
      <c r="D241" s="42">
        <f t="shared" si="100"/>
        <v>4</v>
      </c>
      <c r="E241" s="42"/>
      <c r="F241" s="36" t="s">
        <v>373</v>
      </c>
      <c r="G241" s="36">
        <f t="shared" si="96"/>
        <v>1</v>
      </c>
      <c r="H241" s="36" t="str">
        <f>IFERROR(IF(--MID($F241,2*COUNTIF($G241:G241,"&gt;"&amp;0)+2,1)=H$1,H$1,""),"")</f>
        <v/>
      </c>
      <c r="I241" s="36">
        <f>IFERROR(IF(--MID($F241,2*COUNTIF($G241:H241,"&gt;"&amp;0)+2,1)=I$1,I$1,""),"")</f>
        <v>3</v>
      </c>
      <c r="J241" s="36" t="str">
        <f>IFERROR(IF(--MID($F241,2*COUNTIF($G241:I241,"&gt;"&amp;0)+2,1)=J$1,J$1,""),"")</f>
        <v/>
      </c>
      <c r="K241" s="36" t="str">
        <f>IFERROR(IF(--MID($F241,2*COUNTIF($G241:J241,"&gt;"&amp;0)+2,1)=K$1,K$1,""),"")</f>
        <v/>
      </c>
      <c r="L241" s="36" t="str">
        <f>IFERROR(IF(--MID($F241,2*COUNTIF($G241:K241,"&gt;"&amp;0)+2,1)=L$1,L$1,""),"")</f>
        <v/>
      </c>
      <c r="M241" s="51" cm="1">
        <f t="array" ref="M241">IF($A241="","",IF(G241="","",_xlfn.XLOOKUP($D241&amp;"_"&amp;$AE241,符文权重!$A:$A&amp;"_"&amp;符文权重!$C:$C,符文权重!$D:$D)*$Y241/SUMIFS($Y:$Y,G:G,G241,$D:$D,$D241,$AE:$AE,$AE241)/SUMIF(符文权重!$A:$A,$D241,符文权重!$D:$D)))</f>
        <v>0.00430986542097653</v>
      </c>
      <c r="N241" s="51" t="str" cm="1">
        <f t="array" ref="N241">IF($A241="","",IF(H241="","",_xlfn.XLOOKUP($D241&amp;"_"&amp;$AE241,符文权重!$A:$A&amp;"_"&amp;符文权重!$C:$C,符文权重!$D:$D)*$Y241/SUMIFS($Y:$Y,H:H,H241,$D:$D,$D241,$AE:$AE,$AE241)/SUMIF(符文权重!$A:$A,$D241,符文权重!$D:$D)))</f>
        <v/>
      </c>
      <c r="O241" s="51" cm="1">
        <f t="array" ref="O241">IF($A241="","",IF(I241="","",_xlfn.XLOOKUP($D241&amp;"_"&amp;$AE241,符文权重!$A:$A&amp;"_"&amp;符文权重!$C:$C,符文权重!$D:$D)*$Y241/SUMIFS($Y:$Y,I:I,I241,$D:$D,$D241,$AE:$AE,$AE241)/SUMIF(符文权重!$A:$A,$D241,符文权重!$D:$D)))</f>
        <v>0.00445848146997572</v>
      </c>
      <c r="P241" s="51" t="str" cm="1">
        <f t="array" ref="P241">IF($A241="","",IF(J241="","",_xlfn.XLOOKUP($D241&amp;"_"&amp;$AE241,符文权重!$A:$A&amp;"_"&amp;符文权重!$C:$C,符文权重!$D:$D)*$Y241/SUMIFS($Y:$Y,J:J,J241,$D:$D,$D241,$AE:$AE,$AE241)/SUMIF(符文权重!$A:$A,$D241,符文权重!$D:$D)))</f>
        <v/>
      </c>
      <c r="Q241" s="51" t="str" cm="1">
        <f t="array" ref="Q241">IF($A241="","",IF(K241="","",_xlfn.XLOOKUP($D241&amp;"_"&amp;$AE241,符文权重!$A:$A&amp;"_"&amp;符文权重!$C:$C,符文权重!$D:$D)*$Y241/SUMIFS($Y:$Y,K:K,K241,$D:$D,$D241,$AE:$AE,$AE241)/SUMIF(符文权重!$A:$A,$D241,符文权重!$D:$D)))</f>
        <v/>
      </c>
      <c r="R241" s="51" t="str" cm="1">
        <f t="array" ref="R241">IF($A241="","",IF(L241="","",_xlfn.XLOOKUP($D241&amp;"_"&amp;$AE241,符文权重!$A:$A&amp;"_"&amp;符文权重!$C:$C,符文权重!$D:$D)*$Y241/SUMIFS($Y:$Y,L:L,L241,$D:$D,$D241,$AE:$AE,$AE241)/SUMIF(符文权重!$A:$A,$D241,符文权重!$D:$D)))</f>
        <v/>
      </c>
      <c r="S241" s="36" t="s">
        <v>256</v>
      </c>
      <c r="T241" s="36"/>
      <c r="U241" s="36" t="e">
        <f>IF(C241="","",SUBSTITUTE(SUBSTITUTE("[{global_atk,"&amp;#REF!*D241&amp;"}]",21,20),9,8))</f>
        <v>#REF!</v>
      </c>
      <c r="V241" s="52" t="str">
        <f t="shared" si="115"/>
        <v>[5503064]</v>
      </c>
      <c r="W241" s="36"/>
      <c r="X241" s="35"/>
      <c r="Y241" s="42">
        <v>5</v>
      </c>
      <c r="Z241" s="35"/>
      <c r="AA241" s="42" t="s">
        <v>185</v>
      </c>
      <c r="AB241" s="42" t="str">
        <f t="shared" si="95"/>
        <v>队长每释放一次[咻咻的弹簧锤]，所有梦灵伤害&lt;color=#54b76b&gt;+2%&lt;/color&gt;，最多8次</v>
      </c>
      <c r="AC241" s="48" t="str">
        <f t="shared" si="102"/>
        <v>5503061</v>
      </c>
      <c r="AD241" s="42" t="str">
        <f t="shared" si="103"/>
        <v>[2]</v>
      </c>
      <c r="AE241" s="36">
        <v>3</v>
      </c>
      <c r="AF241" s="36"/>
      <c r="AG241" s="36">
        <v>0</v>
      </c>
      <c r="AH241" s="35">
        <v>1</v>
      </c>
      <c r="AI241" s="48">
        <f t="shared" si="116"/>
        <v>5503064</v>
      </c>
      <c r="AJ241" s="53" t="str">
        <f t="shared" si="117"/>
        <v>队长每释放一次[咻咻的弹簧锤]，所有梦灵伤害&lt;color=#54b76b&gt;+%s%&lt;/color&gt;，最多8次</v>
      </c>
      <c r="AK241" s="36">
        <v>2</v>
      </c>
      <c r="AL241" s="36">
        <v>3</v>
      </c>
    </row>
    <row r="242" s="25" customFormat="1" hidden="1" customHeight="1" spans="1:38">
      <c r="A242" s="48">
        <v>5503065</v>
      </c>
      <c r="B242" s="34" t="s">
        <v>372</v>
      </c>
      <c r="C242" s="48" t="str">
        <f t="shared" si="99"/>
        <v>5503061</v>
      </c>
      <c r="D242" s="42">
        <f t="shared" si="100"/>
        <v>5</v>
      </c>
      <c r="E242" s="42"/>
      <c r="F242" s="36" t="s">
        <v>373</v>
      </c>
      <c r="G242" s="36">
        <f t="shared" si="96"/>
        <v>1</v>
      </c>
      <c r="H242" s="36" t="str">
        <f>IFERROR(IF(--MID($F242,2*COUNTIF($G242:G242,"&gt;"&amp;0)+2,1)=H$1,H$1,""),"")</f>
        <v/>
      </c>
      <c r="I242" s="36">
        <f>IFERROR(IF(--MID($F242,2*COUNTIF($G242:H242,"&gt;"&amp;0)+2,1)=I$1,I$1,""),"")</f>
        <v>3</v>
      </c>
      <c r="J242" s="36" t="str">
        <f>IFERROR(IF(--MID($F242,2*COUNTIF($G242:I242,"&gt;"&amp;0)+2,1)=J$1,J$1,""),"")</f>
        <v/>
      </c>
      <c r="K242" s="36" t="str">
        <f>IFERROR(IF(--MID($F242,2*COUNTIF($G242:J242,"&gt;"&amp;0)+2,1)=K$1,K$1,""),"")</f>
        <v/>
      </c>
      <c r="L242" s="36" t="str">
        <f>IFERROR(IF(--MID($F242,2*COUNTIF($G242:K242,"&gt;"&amp;0)+2,1)=L$1,L$1,""),"")</f>
        <v/>
      </c>
      <c r="M242" s="51" cm="1">
        <f t="array" ref="M242">IF($A242="","",IF(G242="","",_xlfn.XLOOKUP($D242&amp;"_"&amp;$AE242,符文权重!$A:$A&amp;"_"&amp;符文权重!$C:$C,符文权重!$D:$D)*$Y242/SUMIFS($Y:$Y,G:G,G242,$D:$D,$D242,$AE:$AE,$AE242)/SUMIF(符文权重!$A:$A,$D242,符文权重!$D:$D)))</f>
        <v>0.00721428571428571</v>
      </c>
      <c r="N242" s="51" t="str" cm="1">
        <f t="array" ref="N242">IF($A242="","",IF(H242="","",_xlfn.XLOOKUP($D242&amp;"_"&amp;$AE242,符文权重!$A:$A&amp;"_"&amp;符文权重!$C:$C,符文权重!$D:$D)*$Y242/SUMIFS($Y:$Y,H:H,H242,$D:$D,$D242,$AE:$AE,$AE242)/SUMIF(符文权重!$A:$A,$D242,符文权重!$D:$D)))</f>
        <v/>
      </c>
      <c r="O242" s="51" cm="1">
        <f t="array" ref="O242">IF($A242="","",IF(I242="","",_xlfn.XLOOKUP($D242&amp;"_"&amp;$AE242,符文权重!$A:$A&amp;"_"&amp;符文权重!$C:$C,符文权重!$D:$D)*$Y242/SUMIFS($Y:$Y,I:I,I242,$D:$D,$D242,$AE:$AE,$AE242)/SUMIF(符文权重!$A:$A,$D242,符文权重!$D:$D)))</f>
        <v>0.00721428571428571</v>
      </c>
      <c r="P242" s="51" t="str" cm="1">
        <f t="array" ref="P242">IF($A242="","",IF(J242="","",_xlfn.XLOOKUP($D242&amp;"_"&amp;$AE242,符文权重!$A:$A&amp;"_"&amp;符文权重!$C:$C,符文权重!$D:$D)*$Y242/SUMIFS($Y:$Y,J:J,J242,$D:$D,$D242,$AE:$AE,$AE242)/SUMIF(符文权重!$A:$A,$D242,符文权重!$D:$D)))</f>
        <v/>
      </c>
      <c r="Q242" s="51" t="str" cm="1">
        <f t="array" ref="Q242">IF($A242="","",IF(K242="","",_xlfn.XLOOKUP($D242&amp;"_"&amp;$AE242,符文权重!$A:$A&amp;"_"&amp;符文权重!$C:$C,符文权重!$D:$D)*$Y242/SUMIFS($Y:$Y,K:K,K242,$D:$D,$D242,$AE:$AE,$AE242)/SUMIF(符文权重!$A:$A,$D242,符文权重!$D:$D)))</f>
        <v/>
      </c>
      <c r="R242" s="51" t="str" cm="1">
        <f t="array" ref="R242">IF($A242="","",IF(L242="","",_xlfn.XLOOKUP($D242&amp;"_"&amp;$AE242,符文权重!$A:$A&amp;"_"&amp;符文权重!$C:$C,符文权重!$D:$D)*$Y242/SUMIFS($Y:$Y,L:L,L242,$D:$D,$D242,$AE:$AE,$AE242)/SUMIF(符文权重!$A:$A,$D242,符文权重!$D:$D)))</f>
        <v/>
      </c>
      <c r="S242" s="36" t="s">
        <v>256</v>
      </c>
      <c r="T242" s="36"/>
      <c r="U242" s="36" t="e">
        <f>IF(C242="","",SUBSTITUTE(SUBSTITUTE("[{global_atk,"&amp;#REF!*D242&amp;"}]",21,20),9,8))</f>
        <v>#REF!</v>
      </c>
      <c r="V242" s="52" t="str">
        <f t="shared" si="115"/>
        <v>[5503065]</v>
      </c>
      <c r="W242" s="36"/>
      <c r="X242" s="35"/>
      <c r="Y242" s="42">
        <v>100</v>
      </c>
      <c r="Z242" s="35"/>
      <c r="AA242" s="42" t="s">
        <v>187</v>
      </c>
      <c r="AB242" s="42" t="str">
        <f t="shared" si="95"/>
        <v>队长每释放一次[咻咻的弹簧锤]，所有梦灵伤害&lt;color=#54b76b&gt;+3%&lt;/color&gt;，最多8次</v>
      </c>
      <c r="AC242" s="48" t="str">
        <f t="shared" si="102"/>
        <v>5503061</v>
      </c>
      <c r="AD242" s="42" t="str">
        <f t="shared" si="103"/>
        <v>[3]</v>
      </c>
      <c r="AE242" s="36">
        <v>4</v>
      </c>
      <c r="AF242" s="36"/>
      <c r="AG242" s="36">
        <v>0</v>
      </c>
      <c r="AH242" s="35">
        <v>1</v>
      </c>
      <c r="AI242" s="48">
        <f t="shared" si="116"/>
        <v>5503065</v>
      </c>
      <c r="AJ242" s="53" t="str">
        <f t="shared" si="117"/>
        <v>队长每释放一次[咻咻的弹簧锤]，所有梦灵伤害&lt;color=#54b76b&gt;+%s%&lt;/color&gt;，最多8次</v>
      </c>
      <c r="AK242" s="36">
        <v>3</v>
      </c>
      <c r="AL242" s="36">
        <v>3</v>
      </c>
    </row>
    <row r="243" s="25" customFormat="1" hidden="1" customHeight="1" spans="1:38">
      <c r="A243" s="48">
        <v>5503066</v>
      </c>
      <c r="B243" s="34" t="s">
        <v>372</v>
      </c>
      <c r="C243" s="48" t="str">
        <f t="shared" si="99"/>
        <v>5503061</v>
      </c>
      <c r="D243" s="42">
        <f t="shared" si="100"/>
        <v>6</v>
      </c>
      <c r="E243" s="42"/>
      <c r="F243" s="36" t="s">
        <v>373</v>
      </c>
      <c r="G243" s="36">
        <f t="shared" si="96"/>
        <v>1</v>
      </c>
      <c r="H243" s="36" t="str">
        <f>IFERROR(IF(--MID($F243,2*COUNTIF($G243:G243,"&gt;"&amp;0)+2,1)=H$1,H$1,""),"")</f>
        <v/>
      </c>
      <c r="I243" s="36">
        <f>IFERROR(IF(--MID($F243,2*COUNTIF($G243:H243,"&gt;"&amp;0)+2,1)=I$1,I$1,""),"")</f>
        <v>3</v>
      </c>
      <c r="J243" s="36" t="str">
        <f>IFERROR(IF(--MID($F243,2*COUNTIF($G243:I243,"&gt;"&amp;0)+2,1)=J$1,J$1,""),"")</f>
        <v/>
      </c>
      <c r="K243" s="36" t="str">
        <f>IFERROR(IF(--MID($F243,2*COUNTIF($G243:J243,"&gt;"&amp;0)+2,1)=K$1,K$1,""),"")</f>
        <v/>
      </c>
      <c r="L243" s="36" t="str">
        <f>IFERROR(IF(--MID($F243,2*COUNTIF($G243:K243,"&gt;"&amp;0)+2,1)=L$1,L$1,""),"")</f>
        <v/>
      </c>
      <c r="M243" s="51" cm="1">
        <f t="array" ref="M243">IF($A243="","",IF(G243="","",_xlfn.XLOOKUP($D243&amp;"_"&amp;$AE243,符文权重!$A:$A&amp;"_"&amp;符文权重!$C:$C,符文权重!$D:$D)*$Y243/SUMIFS($Y:$Y,G:G,G243,$D:$D,$D243,$AE:$AE,$AE243)/SUMIF(符文权重!$A:$A,$D243,符文权重!$D:$D)))</f>
        <v>0.00721428571428571</v>
      </c>
      <c r="N243" s="51" t="str" cm="1">
        <f t="array" ref="N243">IF($A243="","",IF(H243="","",_xlfn.XLOOKUP($D243&amp;"_"&amp;$AE243,符文权重!$A:$A&amp;"_"&amp;符文权重!$C:$C,符文权重!$D:$D)*$Y243/SUMIFS($Y:$Y,H:H,H243,$D:$D,$D243,$AE:$AE,$AE243)/SUMIF(符文权重!$A:$A,$D243,符文权重!$D:$D)))</f>
        <v/>
      </c>
      <c r="O243" s="51" cm="1">
        <f t="array" ref="O243">IF($A243="","",IF(I243="","",_xlfn.XLOOKUP($D243&amp;"_"&amp;$AE243,符文权重!$A:$A&amp;"_"&amp;符文权重!$C:$C,符文权重!$D:$D)*$Y243/SUMIFS($Y:$Y,I:I,I243,$D:$D,$D243,$AE:$AE,$AE243)/SUMIF(符文权重!$A:$A,$D243,符文权重!$D:$D)))</f>
        <v>0.00721428571428571</v>
      </c>
      <c r="P243" s="51" t="str" cm="1">
        <f t="array" ref="P243">IF($A243="","",IF(J243="","",_xlfn.XLOOKUP($D243&amp;"_"&amp;$AE243,符文权重!$A:$A&amp;"_"&amp;符文权重!$C:$C,符文权重!$D:$D)*$Y243/SUMIFS($Y:$Y,J:J,J243,$D:$D,$D243,$AE:$AE,$AE243)/SUMIF(符文权重!$A:$A,$D243,符文权重!$D:$D)))</f>
        <v/>
      </c>
      <c r="Q243" s="51" t="str" cm="1">
        <f t="array" ref="Q243">IF($A243="","",IF(K243="","",_xlfn.XLOOKUP($D243&amp;"_"&amp;$AE243,符文权重!$A:$A&amp;"_"&amp;符文权重!$C:$C,符文权重!$D:$D)*$Y243/SUMIFS($Y:$Y,K:K,K243,$D:$D,$D243,$AE:$AE,$AE243)/SUMIF(符文权重!$A:$A,$D243,符文权重!$D:$D)))</f>
        <v/>
      </c>
      <c r="R243" s="51" t="str" cm="1">
        <f t="array" ref="R243">IF($A243="","",IF(L243="","",_xlfn.XLOOKUP($D243&amp;"_"&amp;$AE243,符文权重!$A:$A&amp;"_"&amp;符文权重!$C:$C,符文权重!$D:$D)*$Y243/SUMIFS($Y:$Y,L:L,L243,$D:$D,$D243,$AE:$AE,$AE243)/SUMIF(符文权重!$A:$A,$D243,符文权重!$D:$D)))</f>
        <v/>
      </c>
      <c r="S243" s="36" t="s">
        <v>256</v>
      </c>
      <c r="T243" s="36"/>
      <c r="U243" s="36" t="e">
        <f>IF(C243="","",SUBSTITUTE(SUBSTITUTE("[{global_atk,"&amp;#REF!*D243&amp;"}]",21,20),9,8))</f>
        <v>#REF!</v>
      </c>
      <c r="V243" s="52" t="str">
        <f t="shared" si="115"/>
        <v>[5503066]</v>
      </c>
      <c r="W243" s="36"/>
      <c r="X243" s="35"/>
      <c r="Y243" s="42">
        <v>100</v>
      </c>
      <c r="Z243" s="35"/>
      <c r="AA243" s="42" t="s">
        <v>189</v>
      </c>
      <c r="AB243" s="42" t="str">
        <f t="shared" si="95"/>
        <v>队长每释放一次[咻咻的弹簧锤]，所有梦灵伤害&lt;color=#54b76b&gt;+4%&lt;/color&gt;，最多8次</v>
      </c>
      <c r="AC243" s="48" t="str">
        <f t="shared" si="102"/>
        <v>5503061</v>
      </c>
      <c r="AD243" s="42" t="str">
        <f t="shared" si="103"/>
        <v>[4]</v>
      </c>
      <c r="AE243" s="36">
        <v>4</v>
      </c>
      <c r="AF243" s="36"/>
      <c r="AG243" s="36">
        <v>0</v>
      </c>
      <c r="AH243" s="35">
        <v>1</v>
      </c>
      <c r="AI243" s="48">
        <f t="shared" si="116"/>
        <v>5503066</v>
      </c>
      <c r="AJ243" s="53" t="str">
        <f t="shared" si="117"/>
        <v>队长每释放一次[咻咻的弹簧锤]，所有梦灵伤害&lt;color=#54b76b&gt;+%s%&lt;/color&gt;，最多8次</v>
      </c>
      <c r="AK243" s="36">
        <v>4</v>
      </c>
      <c r="AL243" s="36">
        <v>3</v>
      </c>
    </row>
    <row r="244" s="25" customFormat="1" hidden="1" customHeight="1" spans="1:38">
      <c r="A244" s="48">
        <v>5503067</v>
      </c>
      <c r="B244" s="34" t="s">
        <v>372</v>
      </c>
      <c r="C244" s="48" t="str">
        <f t="shared" si="99"/>
        <v>5503061</v>
      </c>
      <c r="D244" s="42">
        <f t="shared" si="100"/>
        <v>7</v>
      </c>
      <c r="E244" s="42"/>
      <c r="F244" s="36" t="s">
        <v>373</v>
      </c>
      <c r="G244" s="36">
        <f t="shared" si="96"/>
        <v>1</v>
      </c>
      <c r="H244" s="36" t="str">
        <f>IFERROR(IF(--MID($F244,2*COUNTIF($G244:G244,"&gt;"&amp;0)+2,1)=H$1,H$1,""),"")</f>
        <v/>
      </c>
      <c r="I244" s="36">
        <f>IFERROR(IF(--MID($F244,2*COUNTIF($G244:H244,"&gt;"&amp;0)+2,1)=I$1,I$1,""),"")</f>
        <v>3</v>
      </c>
      <c r="J244" s="36" t="str">
        <f>IFERROR(IF(--MID($F244,2*COUNTIF($G244:I244,"&gt;"&amp;0)+2,1)=J$1,J$1,""),"")</f>
        <v/>
      </c>
      <c r="K244" s="36" t="str">
        <f>IFERROR(IF(--MID($F244,2*COUNTIF($G244:J244,"&gt;"&amp;0)+2,1)=K$1,K$1,""),"")</f>
        <v/>
      </c>
      <c r="L244" s="36" t="str">
        <f>IFERROR(IF(--MID($F244,2*COUNTIF($G244:K244,"&gt;"&amp;0)+2,1)=L$1,L$1,""),"")</f>
        <v/>
      </c>
      <c r="M244" s="51" cm="1">
        <f t="array" ref="M244">IF($A244="","",IF(G244="","",_xlfn.XLOOKUP($D244&amp;"_"&amp;$AE244,符文权重!$A:$A&amp;"_"&amp;符文权重!$C:$C,符文权重!$D:$D)*$Y244/SUMIFS($Y:$Y,G:G,G244,$D:$D,$D244,$AE:$AE,$AE244)/SUMIF(符文权重!$A:$A,$D244,符文权重!$D:$D)))</f>
        <v>0.00721428571428571</v>
      </c>
      <c r="N244" s="51" t="str" cm="1">
        <f t="array" ref="N244">IF($A244="","",IF(H244="","",_xlfn.XLOOKUP($D244&amp;"_"&amp;$AE244,符文权重!$A:$A&amp;"_"&amp;符文权重!$C:$C,符文权重!$D:$D)*$Y244/SUMIFS($Y:$Y,H:H,H244,$D:$D,$D244,$AE:$AE,$AE244)/SUMIF(符文权重!$A:$A,$D244,符文权重!$D:$D)))</f>
        <v/>
      </c>
      <c r="O244" s="51" cm="1">
        <f t="array" ref="O244">IF($A244="","",IF(I244="","",_xlfn.XLOOKUP($D244&amp;"_"&amp;$AE244,符文权重!$A:$A&amp;"_"&amp;符文权重!$C:$C,符文权重!$D:$D)*$Y244/SUMIFS($Y:$Y,I:I,I244,$D:$D,$D244,$AE:$AE,$AE244)/SUMIF(符文权重!$A:$A,$D244,符文权重!$D:$D)))</f>
        <v>0.00721428571428571</v>
      </c>
      <c r="P244" s="51" t="str" cm="1">
        <f t="array" ref="P244">IF($A244="","",IF(J244="","",_xlfn.XLOOKUP($D244&amp;"_"&amp;$AE244,符文权重!$A:$A&amp;"_"&amp;符文权重!$C:$C,符文权重!$D:$D)*$Y244/SUMIFS($Y:$Y,J:J,J244,$D:$D,$D244,$AE:$AE,$AE244)/SUMIF(符文权重!$A:$A,$D244,符文权重!$D:$D)))</f>
        <v/>
      </c>
      <c r="Q244" s="51" t="str" cm="1">
        <f t="array" ref="Q244">IF($A244="","",IF(K244="","",_xlfn.XLOOKUP($D244&amp;"_"&amp;$AE244,符文权重!$A:$A&amp;"_"&amp;符文权重!$C:$C,符文权重!$D:$D)*$Y244/SUMIFS($Y:$Y,K:K,K244,$D:$D,$D244,$AE:$AE,$AE244)/SUMIF(符文权重!$A:$A,$D244,符文权重!$D:$D)))</f>
        <v/>
      </c>
      <c r="R244" s="51" t="str" cm="1">
        <f t="array" ref="R244">IF($A244="","",IF(L244="","",_xlfn.XLOOKUP($D244&amp;"_"&amp;$AE244,符文权重!$A:$A&amp;"_"&amp;符文权重!$C:$C,符文权重!$D:$D)*$Y244/SUMIFS($Y:$Y,L:L,L244,$D:$D,$D244,$AE:$AE,$AE244)/SUMIF(符文权重!$A:$A,$D244,符文权重!$D:$D)))</f>
        <v/>
      </c>
      <c r="S244" s="36" t="s">
        <v>256</v>
      </c>
      <c r="T244" s="36"/>
      <c r="U244" s="36" t="e">
        <f>IF(C244="","",SUBSTITUTE(SUBSTITUTE("[{global_atk,"&amp;#REF!*D244&amp;"}]",21,20),9,8))</f>
        <v>#REF!</v>
      </c>
      <c r="V244" s="52" t="str">
        <f t="shared" si="115"/>
        <v>[5503067]</v>
      </c>
      <c r="W244" s="36"/>
      <c r="X244" s="35"/>
      <c r="Y244" s="42">
        <v>100</v>
      </c>
      <c r="Z244" s="35"/>
      <c r="AA244" s="42" t="s">
        <v>191</v>
      </c>
      <c r="AB244" s="42" t="str">
        <f t="shared" si="95"/>
        <v>队长每释放一次[咻咻的弹簧锤]，所有梦灵伤害&lt;color=#54b76b&gt;+5%&lt;/color&gt;，最多8次</v>
      </c>
      <c r="AC244" s="48" t="str">
        <f t="shared" si="102"/>
        <v>5503061</v>
      </c>
      <c r="AD244" s="42" t="str">
        <f t="shared" si="103"/>
        <v>[5]</v>
      </c>
      <c r="AE244" s="36">
        <v>4</v>
      </c>
      <c r="AF244" s="36"/>
      <c r="AG244" s="36">
        <v>0</v>
      </c>
      <c r="AH244" s="35">
        <v>1</v>
      </c>
      <c r="AI244" s="48">
        <f t="shared" si="116"/>
        <v>5503067</v>
      </c>
      <c r="AJ244" s="53" t="str">
        <f t="shared" si="117"/>
        <v>队长每释放一次[咻咻的弹簧锤]，所有梦灵伤害&lt;color=#54b76b&gt;+%s%&lt;/color&gt;，最多8次</v>
      </c>
      <c r="AK244" s="36">
        <v>5</v>
      </c>
      <c r="AL244" s="36">
        <v>3</v>
      </c>
    </row>
    <row r="245" s="25" customFormat="1" hidden="1" customHeight="1" spans="1:38">
      <c r="A245" s="48" t="s">
        <v>178</v>
      </c>
      <c r="B245" s="41"/>
      <c r="C245" s="48" t="str">
        <f t="shared" si="99"/>
        <v/>
      </c>
      <c r="D245" s="42" t="str">
        <f t="shared" si="100"/>
        <v/>
      </c>
      <c r="E245" s="42"/>
      <c r="F245" s="36"/>
      <c r="G245" s="36" t="str">
        <f t="shared" si="96"/>
        <v/>
      </c>
      <c r="H245" s="36" t="str">
        <f>IFERROR(IF(--MID($F245,2*COUNTIF($G245:G245,"&gt;"&amp;0)+2,1)=H$1,H$1,""),"")</f>
        <v/>
      </c>
      <c r="I245" s="36" t="str">
        <f>IFERROR(IF(--MID($F245,2*COUNTIF($G245:H245,"&gt;"&amp;0)+2,1)=I$1,I$1,""),"")</f>
        <v/>
      </c>
      <c r="J245" s="36" t="str">
        <f>IFERROR(IF(--MID($F245,2*COUNTIF($G245:I245,"&gt;"&amp;0)+2,1)=J$1,J$1,""),"")</f>
        <v/>
      </c>
      <c r="K245" s="36" t="str">
        <f>IFERROR(IF(--MID($F245,2*COUNTIF($G245:J245,"&gt;"&amp;0)+2,1)=K$1,K$1,""),"")</f>
        <v/>
      </c>
      <c r="L245" s="36" t="str">
        <f>IFERROR(IF(--MID($F245,2*COUNTIF($G245:K245,"&gt;"&amp;0)+2,1)=L$1,L$1,""),"")</f>
        <v/>
      </c>
      <c r="M245" s="51" t="str" cm="1">
        <f t="array" ref="M245">IF($A245="","",IF(G245="","",_xlfn.XLOOKUP($D245&amp;"_"&amp;$AE245,符文权重!$A:$A&amp;"_"&amp;符文权重!$C:$C,符文权重!$D:$D)*$Y245/SUMIFS($Y:$Y,G:G,G245,$D:$D,$D245,$AE:$AE,$AE245)/SUMIF(符文权重!$A:$A,$D245,符文权重!$D:$D)))</f>
        <v/>
      </c>
      <c r="N245" s="36" t="str" cm="1">
        <f t="array" ref="N245">IF($A245="","",IF(H245="","",_xlfn.XLOOKUP($D245&amp;"_"&amp;$AE245,符文权重!$A:$A&amp;"_"&amp;符文权重!$C:$C,符文权重!$D:$D)*$Y245/SUMIFS($Y:$Y,H:H,H245,$D:$D,$D$6,$AE:$AE,$AE$6)))</f>
        <v/>
      </c>
      <c r="O245" s="36" t="str" cm="1">
        <f t="array" ref="O245">IF($A245="","",IF(I245="","",_xlfn.XLOOKUP($D245&amp;"_"&amp;$AE245,符文权重!$A:$A&amp;"_"&amp;符文权重!$C:$C,符文权重!$D:$D)*$Y245/SUMIFS($Y:$Y,I:I,I245,$D:$D,$D$6,$AE:$AE,$AE$6)))</f>
        <v/>
      </c>
      <c r="P245" s="36" t="str" cm="1">
        <f t="array" ref="P245">IF($A245="","",IF(J245="","",_xlfn.XLOOKUP($D245&amp;"_"&amp;$AE245,符文权重!$A:$A&amp;"_"&amp;符文权重!$C:$C,符文权重!$D:$D)*$Y245/SUMIFS($Y:$Y,J:J,J245,$D:$D,$D$6,$AE:$AE,$AE$6)))</f>
        <v/>
      </c>
      <c r="Q245" s="36" t="str" cm="1">
        <f t="array" ref="Q245">IF($A245="","",IF(K245="","",_xlfn.XLOOKUP($D245&amp;"_"&amp;$AE245,符文权重!$A:$A&amp;"_"&amp;符文权重!$C:$C,符文权重!$D:$D)*$Y245/SUMIFS($Y:$Y,K:K,K245,$D:$D,$D$6,$AE:$AE,$AE$6)))</f>
        <v/>
      </c>
      <c r="R245" s="36" t="str" cm="1">
        <f t="array" ref="R245">IF($A245="","",IF(L245="","",_xlfn.XLOOKUP($D245&amp;"_"&amp;$AE245,符文权重!$A:$A&amp;"_"&amp;符文权重!$C:$C,符文权重!$D:$D)*$Y245/SUMIFS($Y:$Y,L:L,L245,$D:$D,$D$6,$AE:$AE,$AE$6)))</f>
        <v/>
      </c>
      <c r="S245" s="36"/>
      <c r="T245" s="36"/>
      <c r="U245" s="36"/>
      <c r="W245" s="41"/>
      <c r="X245" s="35"/>
      <c r="Y245" s="42"/>
      <c r="Z245" s="35"/>
      <c r="AA245" s="42" t="s">
        <v>178</v>
      </c>
      <c r="AB245" s="42" t="str">
        <f t="shared" si="95"/>
        <v/>
      </c>
      <c r="AC245" s="48" t="str">
        <f t="shared" si="102"/>
        <v/>
      </c>
      <c r="AD245" s="42" t="str">
        <f t="shared" si="103"/>
        <v/>
      </c>
      <c r="AE245" s="36"/>
      <c r="AF245" s="36"/>
      <c r="AG245" s="36"/>
      <c r="AH245" s="35" t="s">
        <v>178</v>
      </c>
      <c r="AI245" s="33"/>
      <c r="AJ245" s="56"/>
      <c r="AK245" s="36"/>
      <c r="AL245" s="36"/>
    </row>
    <row r="246" s="27" customFormat="1" hidden="1" customHeight="1" spans="1:38">
      <c r="A246" s="57">
        <v>5503071</v>
      </c>
      <c r="B246" s="58" t="s">
        <v>375</v>
      </c>
      <c r="C246" s="57" t="str">
        <f t="shared" si="99"/>
        <v>5503071</v>
      </c>
      <c r="D246" s="59">
        <f t="shared" si="100"/>
        <v>1</v>
      </c>
      <c r="E246" s="59"/>
      <c r="F246" s="60" t="s">
        <v>376</v>
      </c>
      <c r="G246" s="36" t="str">
        <f t="shared" si="96"/>
        <v/>
      </c>
      <c r="H246" s="36">
        <f>IFERROR(IF(--MID($F246,2*COUNTIF($G246:G246,"&gt;"&amp;0)+2,1)=H$1,H$1,""),"")</f>
        <v>2</v>
      </c>
      <c r="I246" s="36" t="str">
        <f>IFERROR(IF(--MID($F246,2*COUNTIF($G246:H246,"&gt;"&amp;0)+2,1)=I$1,I$1,""),"")</f>
        <v/>
      </c>
      <c r="J246" s="36">
        <f>IFERROR(IF(--MID($F246,2*COUNTIF($G246:I246,"&gt;"&amp;0)+2,1)=J$1,J$1,""),"")</f>
        <v>4</v>
      </c>
      <c r="K246" s="36" t="str">
        <f>IFERROR(IF(--MID($F246,2*COUNTIF($G246:J246,"&gt;"&amp;0)+2,1)=K$1,K$1,""),"")</f>
        <v/>
      </c>
      <c r="L246" s="36" t="str">
        <f>IFERROR(IF(--MID($F246,2*COUNTIF($G246:K246,"&gt;"&amp;0)+2,1)=L$1,L$1,""),"")</f>
        <v/>
      </c>
      <c r="M246" s="36" t="e" cm="1">
        <f t="array" ref="M246">IF(A246="","",_xlfn.XLOOKUP(D246&amp;"_"&amp;AE246,符文权重!A:A&amp;"_"&amp;符文权重!C:C,符文权重!D:D))</f>
        <v>#N/A</v>
      </c>
      <c r="N246" s="36"/>
      <c r="O246" s="36"/>
      <c r="P246" s="36"/>
      <c r="Q246" s="36"/>
      <c r="R246" s="36"/>
      <c r="S246" s="60" t="s">
        <v>256</v>
      </c>
      <c r="T246" s="60"/>
      <c r="U246" s="60" t="e">
        <f>IF(C246="","",SUBSTITUTE(SUBSTITUTE("[{global_atk,"&amp;#REF!*D246&amp;"}]",21,20),9,8))</f>
        <v>#REF!</v>
      </c>
      <c r="V246" s="61" t="str">
        <f t="shared" ref="V246:V252" si="118">"["&amp;A246&amp;"]"</f>
        <v>[5503071]</v>
      </c>
      <c r="W246" s="60"/>
      <c r="X246" s="28"/>
      <c r="Y246" s="42">
        <v>16</v>
      </c>
      <c r="Z246" s="28"/>
      <c r="AA246" s="59" t="s">
        <v>177</v>
      </c>
      <c r="AB246" s="42" t="str">
        <f t="shared" si="95"/>
        <v>队长每触发一次暴击，所有梦灵伤害&lt;color=#54b76b&gt;+0%&lt;/color&gt;，最多8次</v>
      </c>
      <c r="AC246" s="57" t="str">
        <f t="shared" si="102"/>
        <v>5503071</v>
      </c>
      <c r="AD246" s="59" t="str">
        <f t="shared" si="103"/>
        <v>[0]</v>
      </c>
      <c r="AE246" s="60">
        <v>100</v>
      </c>
      <c r="AF246" s="60"/>
      <c r="AG246" s="60">
        <v>1</v>
      </c>
      <c r="AH246" s="35">
        <v>1</v>
      </c>
      <c r="AI246" s="62">
        <v>5503071</v>
      </c>
      <c r="AJ246" s="63" t="s">
        <v>377</v>
      </c>
      <c r="AK246" s="60">
        <v>0</v>
      </c>
      <c r="AL246" s="36"/>
    </row>
    <row r="247" s="27" customFormat="1" hidden="1" customHeight="1" spans="1:38">
      <c r="A247" s="57">
        <v>5503072</v>
      </c>
      <c r="B247" s="58" t="s">
        <v>375</v>
      </c>
      <c r="C247" s="57" t="str">
        <f t="shared" si="99"/>
        <v>5503071</v>
      </c>
      <c r="D247" s="59">
        <f t="shared" si="100"/>
        <v>2</v>
      </c>
      <c r="E247" s="59"/>
      <c r="F247" s="60" t="s">
        <v>376</v>
      </c>
      <c r="G247" s="36" t="str">
        <f t="shared" si="96"/>
        <v/>
      </c>
      <c r="H247" s="36">
        <f>IFERROR(IF(--MID($F247,2*COUNTIF($G247:G247,"&gt;"&amp;0)+2,1)=H$1,H$1,""),"")</f>
        <v>2</v>
      </c>
      <c r="I247" s="36" t="str">
        <f>IFERROR(IF(--MID($F247,2*COUNTIF($G247:H247,"&gt;"&amp;0)+2,1)=I$1,I$1,""),"")</f>
        <v/>
      </c>
      <c r="J247" s="36">
        <f>IFERROR(IF(--MID($F247,2*COUNTIF($G247:I247,"&gt;"&amp;0)+2,1)=J$1,J$1,""),"")</f>
        <v>4</v>
      </c>
      <c r="K247" s="36" t="str">
        <f>IFERROR(IF(--MID($F247,2*COUNTIF($G247:J247,"&gt;"&amp;0)+2,1)=K$1,K$1,""),"")</f>
        <v/>
      </c>
      <c r="L247" s="36" t="str">
        <f>IFERROR(IF(--MID($F247,2*COUNTIF($G247:K247,"&gt;"&amp;0)+2,1)=L$1,L$1,""),"")</f>
        <v/>
      </c>
      <c r="M247" s="36" t="e" cm="1">
        <f t="array" ref="M247">IF(A247="","",_xlfn.XLOOKUP(D247&amp;"_"&amp;AE247,符文权重!A:A&amp;"_"&amp;符文权重!C:C,符文权重!D:D))</f>
        <v>#N/A</v>
      </c>
      <c r="N247" s="36"/>
      <c r="O247" s="36"/>
      <c r="P247" s="36"/>
      <c r="Q247" s="36"/>
      <c r="R247" s="36"/>
      <c r="S247" s="60" t="s">
        <v>256</v>
      </c>
      <c r="T247" s="60"/>
      <c r="U247" s="60" t="e">
        <f>IF(C247="","",SUBSTITUTE(SUBSTITUTE("[{global_atk,"&amp;#REF!*D247&amp;"}]",21,20),9,8))</f>
        <v>#REF!</v>
      </c>
      <c r="V247" s="61" t="str">
        <f t="shared" si="118"/>
        <v>[5503072]</v>
      </c>
      <c r="W247" s="60"/>
      <c r="X247" s="28"/>
      <c r="Y247" s="42">
        <v>16</v>
      </c>
      <c r="Z247" s="28"/>
      <c r="AA247" s="59" t="s">
        <v>181</v>
      </c>
      <c r="AB247" s="42" t="str">
        <f t="shared" si="95"/>
        <v>队长每触发一次暴击，所有梦灵伤害&lt;color=#54b76b&gt;+0%&lt;/color&gt;，最多8次</v>
      </c>
      <c r="AC247" s="57" t="str">
        <f t="shared" si="102"/>
        <v>5503071</v>
      </c>
      <c r="AD247" s="59" t="str">
        <f t="shared" si="103"/>
        <v>[0]</v>
      </c>
      <c r="AE247" s="60">
        <v>100</v>
      </c>
      <c r="AF247" s="60"/>
      <c r="AG247" s="60">
        <v>1</v>
      </c>
      <c r="AH247" s="35">
        <v>1</v>
      </c>
      <c r="AI247" s="57">
        <f t="shared" ref="AI247:AI252" si="119">AI246+1</f>
        <v>5503072</v>
      </c>
      <c r="AJ247" s="64" t="str">
        <f t="shared" ref="AJ247:AJ252" si="120">AJ246</f>
        <v>队长每触发一次暴击，所有梦灵伤害&lt;color=#54b76b&gt;+%s%&lt;/color&gt;，最多8次</v>
      </c>
      <c r="AK247" s="60">
        <v>0</v>
      </c>
      <c r="AL247" s="36"/>
    </row>
    <row r="248" s="25" customFormat="1" hidden="1" customHeight="1" spans="1:38">
      <c r="A248" s="48">
        <v>5503073</v>
      </c>
      <c r="B248" s="34" t="s">
        <v>375</v>
      </c>
      <c r="C248" s="48" t="str">
        <f t="shared" si="99"/>
        <v>5503071</v>
      </c>
      <c r="D248" s="42">
        <f t="shared" si="100"/>
        <v>3</v>
      </c>
      <c r="E248" s="42"/>
      <c r="F248" s="36" t="s">
        <v>376</v>
      </c>
      <c r="G248" s="36" t="str">
        <f t="shared" si="96"/>
        <v/>
      </c>
      <c r="H248" s="36">
        <f>IFERROR(IF(--MID($F248,2*COUNTIF($G248:G248,"&gt;"&amp;0)+2,1)=H$1,H$1,""),"")</f>
        <v>2</v>
      </c>
      <c r="I248" s="36" t="str">
        <f>IFERROR(IF(--MID($F248,2*COUNTIF($G248:H248,"&gt;"&amp;0)+2,1)=I$1,I$1,""),"")</f>
        <v/>
      </c>
      <c r="J248" s="36">
        <f>IFERROR(IF(--MID($F248,2*COUNTIF($G248:I248,"&gt;"&amp;0)+2,1)=J$1,J$1,""),"")</f>
        <v>4</v>
      </c>
      <c r="K248" s="36" t="str">
        <f>IFERROR(IF(--MID($F248,2*COUNTIF($G248:J248,"&gt;"&amp;0)+2,1)=K$1,K$1,""),"")</f>
        <v/>
      </c>
      <c r="L248" s="36" t="str">
        <f>IFERROR(IF(--MID($F248,2*COUNTIF($G248:K248,"&gt;"&amp;0)+2,1)=L$1,L$1,""),"")</f>
        <v/>
      </c>
      <c r="M248" s="51" t="str" cm="1">
        <f t="array" ref="M248">IF($A248="","",IF(G248="","",_xlfn.XLOOKUP($D248&amp;"_"&amp;$AE248,符文权重!$A:$A&amp;"_"&amp;符文权重!$C:$C,符文权重!$D:$D)*$Y248/SUMIFS($Y:$Y,G:G,G248,$D:$D,$D248,$AE:$AE,$AE248)/SUMIF(符文权重!$A:$A,$D248,符文权重!$D:$D)))</f>
        <v/>
      </c>
      <c r="N248" s="51" cm="1">
        <f t="array" ref="N248">IF($A248="","",IF(H248="","",_xlfn.XLOOKUP($D248&amp;"_"&amp;$AE248,符文权重!$A:$A&amp;"_"&amp;符文权重!$C:$C,符文权重!$D:$D)*$Y248/SUMIFS($Y:$Y,H:H,H248,$D:$D,$D248,$AE:$AE,$AE248)/SUMIF(符文权重!$A:$A,$D248,符文权重!$D:$D)))</f>
        <v>0.00412607449856734</v>
      </c>
      <c r="O248" s="51" t="str" cm="1">
        <f t="array" ref="O248">IF($A248="","",IF(I248="","",_xlfn.XLOOKUP($D248&amp;"_"&amp;$AE248,符文权重!$A:$A&amp;"_"&amp;符文权重!$C:$C,符文权重!$D:$D)*$Y248/SUMIFS($Y:$Y,I:I,I248,$D:$D,$D248,$AE:$AE,$AE248)/SUMIF(符文权重!$A:$A,$D248,符文权重!$D:$D)))</f>
        <v/>
      </c>
      <c r="P248" s="51" cm="1">
        <f t="array" ref="P248">IF($A248="","",IF(J248="","",_xlfn.XLOOKUP($D248&amp;"_"&amp;$AE248,符文权重!$A:$A&amp;"_"&amp;符文权重!$C:$C,符文权重!$D:$D)*$Y248/SUMIFS($Y:$Y,J:J,J248,$D:$D,$D248,$AE:$AE,$AE248)/SUMIF(符文权重!$A:$A,$D248,符文权重!$D:$D)))</f>
        <v>0.00412607449856734</v>
      </c>
      <c r="Q248" s="51" t="str" cm="1">
        <f t="array" ref="Q248">IF($A248="","",IF(K248="","",_xlfn.XLOOKUP($D248&amp;"_"&amp;$AE248,符文权重!$A:$A&amp;"_"&amp;符文权重!$C:$C,符文权重!$D:$D)*$Y248/SUMIFS($Y:$Y,K:K,K248,$D:$D,$D248,$AE:$AE,$AE248)/SUMIF(符文权重!$A:$A,$D248,符文权重!$D:$D)))</f>
        <v/>
      </c>
      <c r="R248" s="51" t="str" cm="1">
        <f t="array" ref="R248">IF($A248="","",IF(L248="","",_xlfn.XLOOKUP($D248&amp;"_"&amp;$AE248,符文权重!$A:$A&amp;"_"&amp;符文权重!$C:$C,符文权重!$D:$D)*$Y248/SUMIFS($Y:$Y,L:L,L248,$D:$D,$D248,$AE:$AE,$AE248)/SUMIF(符文权重!$A:$A,$D248,符文权重!$D:$D)))</f>
        <v/>
      </c>
      <c r="S248" s="36" t="s">
        <v>256</v>
      </c>
      <c r="T248" s="36"/>
      <c r="U248" s="36" t="e">
        <f>IF(C248="","",SUBSTITUTE(SUBSTITUTE("[{global_atk,"&amp;#REF!*D248&amp;"}]",21,20),9,8))</f>
        <v>#REF!</v>
      </c>
      <c r="V248" s="52" t="str">
        <f t="shared" si="118"/>
        <v>[5503073]</v>
      </c>
      <c r="W248" s="36"/>
      <c r="X248" s="35"/>
      <c r="Y248" s="42">
        <v>16</v>
      </c>
      <c r="Z248" s="35"/>
      <c r="AA248" s="42" t="s">
        <v>183</v>
      </c>
      <c r="AB248" s="42" t="str">
        <f t="shared" si="95"/>
        <v>队长每触发一次暴击，所有梦灵伤害&lt;color=#54b76b&gt;+1.5%&lt;/color&gt;，最多8次</v>
      </c>
      <c r="AC248" s="48" t="str">
        <f t="shared" si="102"/>
        <v>5503071</v>
      </c>
      <c r="AD248" s="42" t="str">
        <f t="shared" si="103"/>
        <v>[1.5]</v>
      </c>
      <c r="AE248" s="36">
        <v>3</v>
      </c>
      <c r="AF248" s="36"/>
      <c r="AG248" s="36">
        <v>0</v>
      </c>
      <c r="AH248" s="35">
        <v>1</v>
      </c>
      <c r="AI248" s="48">
        <f t="shared" si="119"/>
        <v>5503073</v>
      </c>
      <c r="AJ248" s="53" t="str">
        <f t="shared" si="120"/>
        <v>队长每触发一次暴击，所有梦灵伤害&lt;color=#54b76b&gt;+%s%&lt;/color&gt;，最多8次</v>
      </c>
      <c r="AK248" s="36">
        <v>1.5</v>
      </c>
      <c r="AL248" s="36">
        <v>3</v>
      </c>
    </row>
    <row r="249" s="25" customFormat="1" hidden="1" customHeight="1" spans="1:38">
      <c r="A249" s="48">
        <v>5503074</v>
      </c>
      <c r="B249" s="34" t="s">
        <v>375</v>
      </c>
      <c r="C249" s="48" t="str">
        <f t="shared" si="99"/>
        <v>5503071</v>
      </c>
      <c r="D249" s="42">
        <f t="shared" si="100"/>
        <v>4</v>
      </c>
      <c r="E249" s="42"/>
      <c r="F249" s="36" t="s">
        <v>376</v>
      </c>
      <c r="G249" s="36" t="str">
        <f t="shared" si="96"/>
        <v/>
      </c>
      <c r="H249" s="36">
        <f>IFERROR(IF(--MID($F249,2*COUNTIF($G249:G249,"&gt;"&amp;0)+2,1)=H$1,H$1,""),"")</f>
        <v>2</v>
      </c>
      <c r="I249" s="36" t="str">
        <f>IFERROR(IF(--MID($F249,2*COUNTIF($G249:H249,"&gt;"&amp;0)+2,1)=I$1,I$1,""),"")</f>
        <v/>
      </c>
      <c r="J249" s="36">
        <f>IFERROR(IF(--MID($F249,2*COUNTIF($G249:I249,"&gt;"&amp;0)+2,1)=J$1,J$1,""),"")</f>
        <v>4</v>
      </c>
      <c r="K249" s="36" t="str">
        <f>IFERROR(IF(--MID($F249,2*COUNTIF($G249:J249,"&gt;"&amp;0)+2,1)=K$1,K$1,""),"")</f>
        <v/>
      </c>
      <c r="L249" s="36" t="str">
        <f>IFERROR(IF(--MID($F249,2*COUNTIF($G249:K249,"&gt;"&amp;0)+2,1)=L$1,L$1,""),"")</f>
        <v/>
      </c>
      <c r="M249" s="51" t="str" cm="1">
        <f t="array" ref="M249">IF($A249="","",IF(G249="","",_xlfn.XLOOKUP($D249&amp;"_"&amp;$AE249,符文权重!$A:$A&amp;"_"&amp;符文权重!$C:$C,符文权重!$D:$D)*$Y249/SUMIFS($Y:$Y,G:G,G249,$D:$D,$D249,$AE:$AE,$AE249)/SUMIF(符文权重!$A:$A,$D249,符文权重!$D:$D)))</f>
        <v/>
      </c>
      <c r="N249" s="51" cm="1">
        <f t="array" ref="N249">IF($A249="","",IF(H249="","",_xlfn.XLOOKUP($D249&amp;"_"&amp;$AE249,符文权重!$A:$A&amp;"_"&amp;符文权重!$C:$C,符文权重!$D:$D)*$Y249/SUMIFS($Y:$Y,H:H,H249,$D:$D,$D249,$AE:$AE,$AE249)/SUMIF(符文权重!$A:$A,$D249,符文权重!$D:$D)))</f>
        <v>0.00430986542097653</v>
      </c>
      <c r="O249" s="51" t="str" cm="1">
        <f t="array" ref="O249">IF($A249="","",IF(I249="","",_xlfn.XLOOKUP($D249&amp;"_"&amp;$AE249,符文权重!$A:$A&amp;"_"&amp;符文权重!$C:$C,符文权重!$D:$D)*$Y249/SUMIFS($Y:$Y,I:I,I249,$D:$D,$D249,$AE:$AE,$AE249)/SUMIF(符文权重!$A:$A,$D249,符文权重!$D:$D)))</f>
        <v/>
      </c>
      <c r="P249" s="51" cm="1">
        <f t="array" ref="P249">IF($A249="","",IF(J249="","",_xlfn.XLOOKUP($D249&amp;"_"&amp;$AE249,符文权重!$A:$A&amp;"_"&amp;符文权重!$C:$C,符文权重!$D:$D)*$Y249/SUMIFS($Y:$Y,J:J,J249,$D:$D,$D249,$AE:$AE,$AE249)/SUMIF(符文权重!$A:$A,$D249,符文权重!$D:$D)))</f>
        <v>0.00430986542097653</v>
      </c>
      <c r="Q249" s="51" t="str" cm="1">
        <f t="array" ref="Q249">IF($A249="","",IF(K249="","",_xlfn.XLOOKUP($D249&amp;"_"&amp;$AE249,符文权重!$A:$A&amp;"_"&amp;符文权重!$C:$C,符文权重!$D:$D)*$Y249/SUMIFS($Y:$Y,K:K,K249,$D:$D,$D249,$AE:$AE,$AE249)/SUMIF(符文权重!$A:$A,$D249,符文权重!$D:$D)))</f>
        <v/>
      </c>
      <c r="R249" s="51" t="str" cm="1">
        <f t="array" ref="R249">IF($A249="","",IF(L249="","",_xlfn.XLOOKUP($D249&amp;"_"&amp;$AE249,符文权重!$A:$A&amp;"_"&amp;符文权重!$C:$C,符文权重!$D:$D)*$Y249/SUMIFS($Y:$Y,L:L,L249,$D:$D,$D249,$AE:$AE,$AE249)/SUMIF(符文权重!$A:$A,$D249,符文权重!$D:$D)))</f>
        <v/>
      </c>
      <c r="S249" s="36" t="s">
        <v>256</v>
      </c>
      <c r="T249" s="36"/>
      <c r="U249" s="36" t="e">
        <f>IF(C249="","",SUBSTITUTE(SUBSTITUTE("[{global_atk,"&amp;#REF!*D249&amp;"}]",21,20),9,8))</f>
        <v>#REF!</v>
      </c>
      <c r="V249" s="52" t="str">
        <f t="shared" si="118"/>
        <v>[5503074]</v>
      </c>
      <c r="W249" s="36"/>
      <c r="X249" s="35"/>
      <c r="Y249" s="42">
        <v>5</v>
      </c>
      <c r="Z249" s="35"/>
      <c r="AA249" s="42" t="s">
        <v>185</v>
      </c>
      <c r="AB249" s="42" t="str">
        <f t="shared" si="95"/>
        <v>队长每触发一次暴击，所有梦灵伤害&lt;color=#54b76b&gt;+2.5%&lt;/color&gt;，最多8次</v>
      </c>
      <c r="AC249" s="48" t="str">
        <f t="shared" si="102"/>
        <v>5503071</v>
      </c>
      <c r="AD249" s="42" t="str">
        <f t="shared" si="103"/>
        <v>[2.5]</v>
      </c>
      <c r="AE249" s="36">
        <v>3</v>
      </c>
      <c r="AF249" s="36"/>
      <c r="AG249" s="36">
        <v>0</v>
      </c>
      <c r="AH249" s="35">
        <v>1</v>
      </c>
      <c r="AI249" s="48">
        <f t="shared" si="119"/>
        <v>5503074</v>
      </c>
      <c r="AJ249" s="53" t="str">
        <f t="shared" si="120"/>
        <v>队长每触发一次暴击，所有梦灵伤害&lt;color=#54b76b&gt;+%s%&lt;/color&gt;，最多8次</v>
      </c>
      <c r="AK249" s="36">
        <v>2.5</v>
      </c>
      <c r="AL249" s="36">
        <v>3</v>
      </c>
    </row>
    <row r="250" s="25" customFormat="1" hidden="1" customHeight="1" spans="1:38">
      <c r="A250" s="48">
        <v>5503075</v>
      </c>
      <c r="B250" s="34" t="s">
        <v>375</v>
      </c>
      <c r="C250" s="48" t="str">
        <f t="shared" si="99"/>
        <v>5503071</v>
      </c>
      <c r="D250" s="42">
        <f t="shared" si="100"/>
        <v>5</v>
      </c>
      <c r="E250" s="42"/>
      <c r="F250" s="36" t="s">
        <v>376</v>
      </c>
      <c r="G250" s="36" t="str">
        <f t="shared" si="96"/>
        <v/>
      </c>
      <c r="H250" s="36">
        <f>IFERROR(IF(--MID($F250,2*COUNTIF($G250:G250,"&gt;"&amp;0)+2,1)=H$1,H$1,""),"")</f>
        <v>2</v>
      </c>
      <c r="I250" s="36" t="str">
        <f>IFERROR(IF(--MID($F250,2*COUNTIF($G250:H250,"&gt;"&amp;0)+2,1)=I$1,I$1,""),"")</f>
        <v/>
      </c>
      <c r="J250" s="36">
        <f>IFERROR(IF(--MID($F250,2*COUNTIF($G250:I250,"&gt;"&amp;0)+2,1)=J$1,J$1,""),"")</f>
        <v>4</v>
      </c>
      <c r="K250" s="36" t="str">
        <f>IFERROR(IF(--MID($F250,2*COUNTIF($G250:J250,"&gt;"&amp;0)+2,1)=K$1,K$1,""),"")</f>
        <v/>
      </c>
      <c r="L250" s="36" t="str">
        <f>IFERROR(IF(--MID($F250,2*COUNTIF($G250:K250,"&gt;"&amp;0)+2,1)=L$1,L$1,""),"")</f>
        <v/>
      </c>
      <c r="M250" s="51" t="str" cm="1">
        <f t="array" ref="M250">IF($A250="","",IF(G250="","",_xlfn.XLOOKUP($D250&amp;"_"&amp;$AE250,符文权重!$A:$A&amp;"_"&amp;符文权重!$C:$C,符文权重!$D:$D)*$Y250/SUMIFS($Y:$Y,G:G,G250,$D:$D,$D250,$AE:$AE,$AE250)/SUMIF(符文权重!$A:$A,$D250,符文权重!$D:$D)))</f>
        <v/>
      </c>
      <c r="N250" s="51" cm="1">
        <f t="array" ref="N250">IF($A250="","",IF(H250="","",_xlfn.XLOOKUP($D250&amp;"_"&amp;$AE250,符文权重!$A:$A&amp;"_"&amp;符文权重!$C:$C,符文权重!$D:$D)*$Y250/SUMIFS($Y:$Y,H:H,H250,$D:$D,$D250,$AE:$AE,$AE250)/SUMIF(符文权重!$A:$A,$D250,符文权重!$D:$D)))</f>
        <v>0.00841666666666667</v>
      </c>
      <c r="O250" s="51" t="str" cm="1">
        <f t="array" ref="O250">IF($A250="","",IF(I250="","",_xlfn.XLOOKUP($D250&amp;"_"&amp;$AE250,符文权重!$A:$A&amp;"_"&amp;符文权重!$C:$C,符文权重!$D:$D)*$Y250/SUMIFS($Y:$Y,I:I,I250,$D:$D,$D250,$AE:$AE,$AE250)/SUMIF(符文权重!$A:$A,$D250,符文权重!$D:$D)))</f>
        <v/>
      </c>
      <c r="P250" s="51" cm="1">
        <f t="array" ref="P250">IF($A250="","",IF(J250="","",_xlfn.XLOOKUP($D250&amp;"_"&amp;$AE250,符文权重!$A:$A&amp;"_"&amp;符文权重!$C:$C,符文权重!$D:$D)*$Y250/SUMIFS($Y:$Y,J:J,J250,$D:$D,$D250,$AE:$AE,$AE250)/SUMIF(符文权重!$A:$A,$D250,符文权重!$D:$D)))</f>
        <v>0.0063125</v>
      </c>
      <c r="Q250" s="51" t="str" cm="1">
        <f t="array" ref="Q250">IF($A250="","",IF(K250="","",_xlfn.XLOOKUP($D250&amp;"_"&amp;$AE250,符文权重!$A:$A&amp;"_"&amp;符文权重!$C:$C,符文权重!$D:$D)*$Y250/SUMIFS($Y:$Y,K:K,K250,$D:$D,$D250,$AE:$AE,$AE250)/SUMIF(符文权重!$A:$A,$D250,符文权重!$D:$D)))</f>
        <v/>
      </c>
      <c r="R250" s="51" t="str" cm="1">
        <f t="array" ref="R250">IF($A250="","",IF(L250="","",_xlfn.XLOOKUP($D250&amp;"_"&amp;$AE250,符文权重!$A:$A&amp;"_"&amp;符文权重!$C:$C,符文权重!$D:$D)*$Y250/SUMIFS($Y:$Y,L:L,L250,$D:$D,$D250,$AE:$AE,$AE250)/SUMIF(符文权重!$A:$A,$D250,符文权重!$D:$D)))</f>
        <v/>
      </c>
      <c r="S250" s="36" t="s">
        <v>256</v>
      </c>
      <c r="T250" s="36"/>
      <c r="U250" s="36" t="e">
        <f>IF(C250="","",SUBSTITUTE(SUBSTITUTE("[{global_atk,"&amp;#REF!*D250&amp;"}]",21,20),9,8))</f>
        <v>#REF!</v>
      </c>
      <c r="V250" s="52" t="str">
        <f t="shared" si="118"/>
        <v>[5503075]</v>
      </c>
      <c r="W250" s="36"/>
      <c r="X250" s="35"/>
      <c r="Y250" s="42">
        <v>100</v>
      </c>
      <c r="Z250" s="35"/>
      <c r="AA250" s="42" t="s">
        <v>187</v>
      </c>
      <c r="AB250" s="42" t="str">
        <f t="shared" si="95"/>
        <v>队长每触发一次暴击，所有梦灵伤害&lt;color=#54b76b&gt;+3.5%&lt;/color&gt;，最多8次</v>
      </c>
      <c r="AC250" s="48" t="str">
        <f t="shared" si="102"/>
        <v>5503071</v>
      </c>
      <c r="AD250" s="42" t="str">
        <f t="shared" si="103"/>
        <v>[3.5]</v>
      </c>
      <c r="AE250" s="36">
        <v>4</v>
      </c>
      <c r="AF250" s="36"/>
      <c r="AG250" s="36">
        <v>0</v>
      </c>
      <c r="AH250" s="35">
        <v>1</v>
      </c>
      <c r="AI250" s="48">
        <f t="shared" si="119"/>
        <v>5503075</v>
      </c>
      <c r="AJ250" s="53" t="str">
        <f t="shared" si="120"/>
        <v>队长每触发一次暴击，所有梦灵伤害&lt;color=#54b76b&gt;+%s%&lt;/color&gt;，最多8次</v>
      </c>
      <c r="AK250" s="36">
        <v>3.5</v>
      </c>
      <c r="AL250" s="36">
        <v>3</v>
      </c>
    </row>
    <row r="251" s="25" customFormat="1" hidden="1" customHeight="1" spans="1:38">
      <c r="A251" s="48">
        <v>5503076</v>
      </c>
      <c r="B251" s="34" t="s">
        <v>375</v>
      </c>
      <c r="C251" s="48" t="str">
        <f t="shared" si="99"/>
        <v>5503071</v>
      </c>
      <c r="D251" s="42">
        <f t="shared" si="100"/>
        <v>6</v>
      </c>
      <c r="E251" s="42"/>
      <c r="F251" s="36" t="s">
        <v>376</v>
      </c>
      <c r="G251" s="36" t="str">
        <f t="shared" si="96"/>
        <v/>
      </c>
      <c r="H251" s="36">
        <f>IFERROR(IF(--MID($F251,2*COUNTIF($G251:G251,"&gt;"&amp;0)+2,1)=H$1,H$1,""),"")</f>
        <v>2</v>
      </c>
      <c r="I251" s="36" t="str">
        <f>IFERROR(IF(--MID($F251,2*COUNTIF($G251:H251,"&gt;"&amp;0)+2,1)=I$1,I$1,""),"")</f>
        <v/>
      </c>
      <c r="J251" s="36">
        <f>IFERROR(IF(--MID($F251,2*COUNTIF($G251:I251,"&gt;"&amp;0)+2,1)=J$1,J$1,""),"")</f>
        <v>4</v>
      </c>
      <c r="K251" s="36" t="str">
        <f>IFERROR(IF(--MID($F251,2*COUNTIF($G251:J251,"&gt;"&amp;0)+2,1)=K$1,K$1,""),"")</f>
        <v/>
      </c>
      <c r="L251" s="36" t="str">
        <f>IFERROR(IF(--MID($F251,2*COUNTIF($G251:K251,"&gt;"&amp;0)+2,1)=L$1,L$1,""),"")</f>
        <v/>
      </c>
      <c r="M251" s="51" t="str" cm="1">
        <f t="array" ref="M251">IF($A251="","",IF(G251="","",_xlfn.XLOOKUP($D251&amp;"_"&amp;$AE251,符文权重!$A:$A&amp;"_"&amp;符文权重!$C:$C,符文权重!$D:$D)*$Y251/SUMIFS($Y:$Y,G:G,G251,$D:$D,$D251,$AE:$AE,$AE251)/SUMIF(符文权重!$A:$A,$D251,符文权重!$D:$D)))</f>
        <v/>
      </c>
      <c r="N251" s="51" cm="1">
        <f t="array" ref="N251">IF($A251="","",IF(H251="","",_xlfn.XLOOKUP($D251&amp;"_"&amp;$AE251,符文权重!$A:$A&amp;"_"&amp;符文权重!$C:$C,符文权重!$D:$D)*$Y251/SUMIFS($Y:$Y,H:H,H251,$D:$D,$D251,$AE:$AE,$AE251)/SUMIF(符文权重!$A:$A,$D251,符文权重!$D:$D)))</f>
        <v>0.00841666666666667</v>
      </c>
      <c r="O251" s="51" t="str" cm="1">
        <f t="array" ref="O251">IF($A251="","",IF(I251="","",_xlfn.XLOOKUP($D251&amp;"_"&amp;$AE251,符文权重!$A:$A&amp;"_"&amp;符文权重!$C:$C,符文权重!$D:$D)*$Y251/SUMIFS($Y:$Y,I:I,I251,$D:$D,$D251,$AE:$AE,$AE251)/SUMIF(符文权重!$A:$A,$D251,符文权重!$D:$D)))</f>
        <v/>
      </c>
      <c r="P251" s="51" cm="1">
        <f t="array" ref="P251">IF($A251="","",IF(J251="","",_xlfn.XLOOKUP($D251&amp;"_"&amp;$AE251,符文权重!$A:$A&amp;"_"&amp;符文权重!$C:$C,符文权重!$D:$D)*$Y251/SUMIFS($Y:$Y,J:J,J251,$D:$D,$D251,$AE:$AE,$AE251)/SUMIF(符文权重!$A:$A,$D251,符文权重!$D:$D)))</f>
        <v>0.0063125</v>
      </c>
      <c r="Q251" s="51" t="str" cm="1">
        <f t="array" ref="Q251">IF($A251="","",IF(K251="","",_xlfn.XLOOKUP($D251&amp;"_"&amp;$AE251,符文权重!$A:$A&amp;"_"&amp;符文权重!$C:$C,符文权重!$D:$D)*$Y251/SUMIFS($Y:$Y,K:K,K251,$D:$D,$D251,$AE:$AE,$AE251)/SUMIF(符文权重!$A:$A,$D251,符文权重!$D:$D)))</f>
        <v/>
      </c>
      <c r="R251" s="51" t="str" cm="1">
        <f t="array" ref="R251">IF($A251="","",IF(L251="","",_xlfn.XLOOKUP($D251&amp;"_"&amp;$AE251,符文权重!$A:$A&amp;"_"&amp;符文权重!$C:$C,符文权重!$D:$D)*$Y251/SUMIFS($Y:$Y,L:L,L251,$D:$D,$D251,$AE:$AE,$AE251)/SUMIF(符文权重!$A:$A,$D251,符文权重!$D:$D)))</f>
        <v/>
      </c>
      <c r="S251" s="36" t="s">
        <v>256</v>
      </c>
      <c r="T251" s="36"/>
      <c r="U251" s="36" t="e">
        <f>IF(C251="","",SUBSTITUTE(SUBSTITUTE("[{global_atk,"&amp;#REF!*D251&amp;"}]",21,20),9,8))</f>
        <v>#REF!</v>
      </c>
      <c r="V251" s="52" t="str">
        <f t="shared" si="118"/>
        <v>[5503076]</v>
      </c>
      <c r="W251" s="36"/>
      <c r="X251" s="35"/>
      <c r="Y251" s="42">
        <v>100</v>
      </c>
      <c r="Z251" s="35"/>
      <c r="AA251" s="42" t="s">
        <v>189</v>
      </c>
      <c r="AB251" s="42" t="str">
        <f t="shared" si="95"/>
        <v>队长每触发一次暴击，所有梦灵伤害&lt;color=#54b76b&gt;+4.5%&lt;/color&gt;，最多8次</v>
      </c>
      <c r="AC251" s="48" t="str">
        <f t="shared" si="102"/>
        <v>5503071</v>
      </c>
      <c r="AD251" s="42" t="str">
        <f t="shared" si="103"/>
        <v>[4.5]</v>
      </c>
      <c r="AE251" s="36">
        <v>4</v>
      </c>
      <c r="AF251" s="36"/>
      <c r="AG251" s="36">
        <v>0</v>
      </c>
      <c r="AH251" s="35">
        <v>1</v>
      </c>
      <c r="AI251" s="48">
        <f t="shared" si="119"/>
        <v>5503076</v>
      </c>
      <c r="AJ251" s="53" t="str">
        <f t="shared" si="120"/>
        <v>队长每触发一次暴击，所有梦灵伤害&lt;color=#54b76b&gt;+%s%&lt;/color&gt;，最多8次</v>
      </c>
      <c r="AK251" s="36">
        <v>4.5</v>
      </c>
      <c r="AL251" s="36">
        <v>3</v>
      </c>
    </row>
    <row r="252" s="25" customFormat="1" hidden="1" customHeight="1" spans="1:38">
      <c r="A252" s="48">
        <v>5503077</v>
      </c>
      <c r="B252" s="34" t="s">
        <v>375</v>
      </c>
      <c r="C252" s="48" t="str">
        <f t="shared" si="99"/>
        <v>5503071</v>
      </c>
      <c r="D252" s="42">
        <f t="shared" si="100"/>
        <v>7</v>
      </c>
      <c r="E252" s="42"/>
      <c r="F252" s="36" t="s">
        <v>376</v>
      </c>
      <c r="G252" s="36" t="str">
        <f t="shared" si="96"/>
        <v/>
      </c>
      <c r="H252" s="36">
        <f>IFERROR(IF(--MID($F252,2*COUNTIF($G252:G252,"&gt;"&amp;0)+2,1)=H$1,H$1,""),"")</f>
        <v>2</v>
      </c>
      <c r="I252" s="36" t="str">
        <f>IFERROR(IF(--MID($F252,2*COUNTIF($G252:H252,"&gt;"&amp;0)+2,1)=I$1,I$1,""),"")</f>
        <v/>
      </c>
      <c r="J252" s="36">
        <f>IFERROR(IF(--MID($F252,2*COUNTIF($G252:I252,"&gt;"&amp;0)+2,1)=J$1,J$1,""),"")</f>
        <v>4</v>
      </c>
      <c r="K252" s="36" t="str">
        <f>IFERROR(IF(--MID($F252,2*COUNTIF($G252:J252,"&gt;"&amp;0)+2,1)=K$1,K$1,""),"")</f>
        <v/>
      </c>
      <c r="L252" s="36" t="str">
        <f>IFERROR(IF(--MID($F252,2*COUNTIF($G252:K252,"&gt;"&amp;0)+2,1)=L$1,L$1,""),"")</f>
        <v/>
      </c>
      <c r="M252" s="51" t="str" cm="1">
        <f t="array" ref="M252">IF($A252="","",IF(G252="","",_xlfn.XLOOKUP($D252&amp;"_"&amp;$AE252,符文权重!$A:$A&amp;"_"&amp;符文权重!$C:$C,符文权重!$D:$D)*$Y252/SUMIFS($Y:$Y,G:G,G252,$D:$D,$D252,$AE:$AE,$AE252)/SUMIF(符文权重!$A:$A,$D252,符文权重!$D:$D)))</f>
        <v/>
      </c>
      <c r="N252" s="51" cm="1">
        <f t="array" ref="N252">IF($A252="","",IF(H252="","",_xlfn.XLOOKUP($D252&amp;"_"&amp;$AE252,符文权重!$A:$A&amp;"_"&amp;符文权重!$C:$C,符文权重!$D:$D)*$Y252/SUMIFS($Y:$Y,H:H,H252,$D:$D,$D252,$AE:$AE,$AE252)/SUMIF(符文权重!$A:$A,$D252,符文权重!$D:$D)))</f>
        <v>0.00841666666666667</v>
      </c>
      <c r="O252" s="51" t="str" cm="1">
        <f t="array" ref="O252">IF($A252="","",IF(I252="","",_xlfn.XLOOKUP($D252&amp;"_"&amp;$AE252,符文权重!$A:$A&amp;"_"&amp;符文权重!$C:$C,符文权重!$D:$D)*$Y252/SUMIFS($Y:$Y,I:I,I252,$D:$D,$D252,$AE:$AE,$AE252)/SUMIF(符文权重!$A:$A,$D252,符文权重!$D:$D)))</f>
        <v/>
      </c>
      <c r="P252" s="51" cm="1">
        <f t="array" ref="P252">IF($A252="","",IF(J252="","",_xlfn.XLOOKUP($D252&amp;"_"&amp;$AE252,符文权重!$A:$A&amp;"_"&amp;符文权重!$C:$C,符文权重!$D:$D)*$Y252/SUMIFS($Y:$Y,J:J,J252,$D:$D,$D252,$AE:$AE,$AE252)/SUMIF(符文权重!$A:$A,$D252,符文权重!$D:$D)))</f>
        <v>0.0063125</v>
      </c>
      <c r="Q252" s="51" t="str" cm="1">
        <f t="array" ref="Q252">IF($A252="","",IF(K252="","",_xlfn.XLOOKUP($D252&amp;"_"&amp;$AE252,符文权重!$A:$A&amp;"_"&amp;符文权重!$C:$C,符文权重!$D:$D)*$Y252/SUMIFS($Y:$Y,K:K,K252,$D:$D,$D252,$AE:$AE,$AE252)/SUMIF(符文权重!$A:$A,$D252,符文权重!$D:$D)))</f>
        <v/>
      </c>
      <c r="R252" s="51" t="str" cm="1">
        <f t="array" ref="R252">IF($A252="","",IF(L252="","",_xlfn.XLOOKUP($D252&amp;"_"&amp;$AE252,符文权重!$A:$A&amp;"_"&amp;符文权重!$C:$C,符文权重!$D:$D)*$Y252/SUMIFS($Y:$Y,L:L,L252,$D:$D,$D252,$AE:$AE,$AE252)/SUMIF(符文权重!$A:$A,$D252,符文权重!$D:$D)))</f>
        <v/>
      </c>
      <c r="S252" s="36" t="s">
        <v>256</v>
      </c>
      <c r="T252" s="36"/>
      <c r="U252" s="36" t="e">
        <f>IF(C252="","",SUBSTITUTE(SUBSTITUTE("[{global_atk,"&amp;#REF!*D252&amp;"}]",21,20),9,8))</f>
        <v>#REF!</v>
      </c>
      <c r="V252" s="52" t="str">
        <f t="shared" si="118"/>
        <v>[5503077]</v>
      </c>
      <c r="W252" s="36"/>
      <c r="X252" s="35"/>
      <c r="Y252" s="42">
        <v>100</v>
      </c>
      <c r="Z252" s="35"/>
      <c r="AA252" s="42" t="s">
        <v>191</v>
      </c>
      <c r="AB252" s="42" t="str">
        <f t="shared" si="95"/>
        <v>队长每触发一次暴击，所有梦灵伤害&lt;color=#54b76b&gt;+5.5%&lt;/color&gt;，最多8次</v>
      </c>
      <c r="AC252" s="48" t="str">
        <f t="shared" si="102"/>
        <v>5503071</v>
      </c>
      <c r="AD252" s="42" t="str">
        <f t="shared" si="103"/>
        <v>[5.5]</v>
      </c>
      <c r="AE252" s="36">
        <v>4</v>
      </c>
      <c r="AF252" s="36"/>
      <c r="AG252" s="36">
        <v>0</v>
      </c>
      <c r="AH252" s="35">
        <v>1</v>
      </c>
      <c r="AI252" s="48">
        <f t="shared" si="119"/>
        <v>5503077</v>
      </c>
      <c r="AJ252" s="53" t="str">
        <f t="shared" si="120"/>
        <v>队长每触发一次暴击，所有梦灵伤害&lt;color=#54b76b&gt;+%s%&lt;/color&gt;，最多8次</v>
      </c>
      <c r="AK252" s="36">
        <v>5.5</v>
      </c>
      <c r="AL252" s="36">
        <v>3</v>
      </c>
    </row>
    <row r="253" s="25" customFormat="1" hidden="1" customHeight="1" spans="1:38">
      <c r="A253" s="48" t="s">
        <v>178</v>
      </c>
      <c r="B253" s="41"/>
      <c r="C253" s="48" t="str">
        <f t="shared" si="99"/>
        <v/>
      </c>
      <c r="D253" s="42" t="str">
        <f t="shared" si="100"/>
        <v/>
      </c>
      <c r="E253" s="42"/>
      <c r="F253" s="36"/>
      <c r="G253" s="36" t="str">
        <f t="shared" si="96"/>
        <v/>
      </c>
      <c r="H253" s="36" t="str">
        <f>IFERROR(IF(--MID($F253,2*COUNTIF($G253:G253,"&gt;"&amp;0)+2,1)=H$1,H$1,""),"")</f>
        <v/>
      </c>
      <c r="I253" s="36" t="str">
        <f>IFERROR(IF(--MID($F253,2*COUNTIF($G253:H253,"&gt;"&amp;0)+2,1)=I$1,I$1,""),"")</f>
        <v/>
      </c>
      <c r="J253" s="36" t="str">
        <f>IFERROR(IF(--MID($F253,2*COUNTIF($G253:I253,"&gt;"&amp;0)+2,1)=J$1,J$1,""),"")</f>
        <v/>
      </c>
      <c r="K253" s="36" t="str">
        <f>IFERROR(IF(--MID($F253,2*COUNTIF($G253:J253,"&gt;"&amp;0)+2,1)=K$1,K$1,""),"")</f>
        <v/>
      </c>
      <c r="L253" s="36" t="str">
        <f>IFERROR(IF(--MID($F253,2*COUNTIF($G253:K253,"&gt;"&amp;0)+2,1)=L$1,L$1,""),"")</f>
        <v/>
      </c>
      <c r="M253" s="51" t="str" cm="1">
        <f t="array" ref="M253">IF($A253="","",IF(G253="","",_xlfn.XLOOKUP($D253&amp;"_"&amp;$AE253,符文权重!$A:$A&amp;"_"&amp;符文权重!$C:$C,符文权重!$D:$D)*$Y253/SUMIFS($Y:$Y,G:G,G253,$D:$D,$D253,$AE:$AE,$AE253)/SUMIF(符文权重!$A:$A,$D253,符文权重!$D:$D)))</f>
        <v/>
      </c>
      <c r="N253" s="36" t="str" cm="1">
        <f t="array" ref="N253">IF($A253="","",IF(H253="","",_xlfn.XLOOKUP($D253&amp;"_"&amp;$AE253,符文权重!$A:$A&amp;"_"&amp;符文权重!$C:$C,符文权重!$D:$D)*$Y253/SUMIFS($Y:$Y,H:H,H253,$D:$D,$D$6,$AE:$AE,$AE$6)))</f>
        <v/>
      </c>
      <c r="O253" s="36" t="str" cm="1">
        <f t="array" ref="O253">IF($A253="","",IF(I253="","",_xlfn.XLOOKUP($D253&amp;"_"&amp;$AE253,符文权重!$A:$A&amp;"_"&amp;符文权重!$C:$C,符文权重!$D:$D)*$Y253/SUMIFS($Y:$Y,I:I,I253,$D:$D,$D$6,$AE:$AE,$AE$6)))</f>
        <v/>
      </c>
      <c r="P253" s="36" t="str" cm="1">
        <f t="array" ref="P253">IF($A253="","",IF(J253="","",_xlfn.XLOOKUP($D253&amp;"_"&amp;$AE253,符文权重!$A:$A&amp;"_"&amp;符文权重!$C:$C,符文权重!$D:$D)*$Y253/SUMIFS($Y:$Y,J:J,J253,$D:$D,$D$6,$AE:$AE,$AE$6)))</f>
        <v/>
      </c>
      <c r="Q253" s="36" t="str" cm="1">
        <f t="array" ref="Q253">IF($A253="","",IF(K253="","",_xlfn.XLOOKUP($D253&amp;"_"&amp;$AE253,符文权重!$A:$A&amp;"_"&amp;符文权重!$C:$C,符文权重!$D:$D)*$Y253/SUMIFS($Y:$Y,K:K,K253,$D:$D,$D$6,$AE:$AE,$AE$6)))</f>
        <v/>
      </c>
      <c r="R253" s="36" t="str" cm="1">
        <f t="array" ref="R253">IF($A253="","",IF(L253="","",_xlfn.XLOOKUP($D253&amp;"_"&amp;$AE253,符文权重!$A:$A&amp;"_"&amp;符文权重!$C:$C,符文权重!$D:$D)*$Y253/SUMIFS($Y:$Y,L:L,L253,$D:$D,$D$6,$AE:$AE,$AE$6)))</f>
        <v/>
      </c>
      <c r="S253" s="36"/>
      <c r="T253" s="36"/>
      <c r="U253" s="36"/>
      <c r="W253" s="41"/>
      <c r="X253" s="35"/>
      <c r="Y253" s="42"/>
      <c r="Z253" s="35"/>
      <c r="AA253" s="42" t="s">
        <v>178</v>
      </c>
      <c r="AB253" s="42" t="str">
        <f t="shared" si="95"/>
        <v/>
      </c>
      <c r="AC253" s="48" t="str">
        <f t="shared" si="102"/>
        <v/>
      </c>
      <c r="AD253" s="42" t="str">
        <f t="shared" si="103"/>
        <v/>
      </c>
      <c r="AE253" s="36"/>
      <c r="AF253" s="36"/>
      <c r="AG253" s="36"/>
      <c r="AH253" s="35" t="s">
        <v>178</v>
      </c>
      <c r="AI253" s="33"/>
      <c r="AJ253" s="56"/>
      <c r="AK253" s="36"/>
      <c r="AL253" s="36"/>
    </row>
    <row r="254" s="28" customFormat="1" hidden="1" customHeight="1" spans="1:38">
      <c r="A254" s="57">
        <v>5503081</v>
      </c>
      <c r="B254" s="58" t="s">
        <v>378</v>
      </c>
      <c r="C254" s="57" t="str">
        <f t="shared" si="99"/>
        <v>5503081</v>
      </c>
      <c r="D254" s="59">
        <f t="shared" si="100"/>
        <v>1</v>
      </c>
      <c r="E254" s="59"/>
      <c r="F254" s="60" t="s">
        <v>211</v>
      </c>
      <c r="G254" s="36" t="str">
        <f t="shared" si="96"/>
        <v/>
      </c>
      <c r="H254" s="36">
        <f>IFERROR(IF(--MID($F254,2*COUNTIF($G254:G254,"&gt;"&amp;0)+2,1)=H$1,H$1,""),"")</f>
        <v>2</v>
      </c>
      <c r="I254" s="36" t="str">
        <f>IFERROR(IF(--MID($F254,2*COUNTIF($G254:H254,"&gt;"&amp;0)+2,1)=I$1,I$1,""),"")</f>
        <v/>
      </c>
      <c r="J254" s="36" t="str">
        <f>IFERROR(IF(--MID($F254,2*COUNTIF($G254:I254,"&gt;"&amp;0)+2,1)=J$1,J$1,""),"")</f>
        <v/>
      </c>
      <c r="K254" s="36" t="str">
        <f>IFERROR(IF(--MID($F254,2*COUNTIF($G254:J254,"&gt;"&amp;0)+2,1)=K$1,K$1,""),"")</f>
        <v/>
      </c>
      <c r="L254" s="36" t="str">
        <f>IFERROR(IF(--MID($F254,2*COUNTIF($G254:K254,"&gt;"&amp;0)+2,1)=L$1,L$1,""),"")</f>
        <v/>
      </c>
      <c r="M254" s="36" t="e" cm="1">
        <f t="array" ref="M254">IF(A254="","",_xlfn.XLOOKUP(D254&amp;"_"&amp;AE254,符文权重!A:A&amp;"_"&amp;符文权重!C:C,符文权重!D:D))</f>
        <v>#N/A</v>
      </c>
      <c r="N254" s="36"/>
      <c r="O254" s="36"/>
      <c r="P254" s="36"/>
      <c r="Q254" s="36"/>
      <c r="R254" s="36"/>
      <c r="S254" s="60" t="s">
        <v>344</v>
      </c>
      <c r="T254" s="60"/>
      <c r="U254" s="60" t="e">
        <f>IF(C254="","",SUBSTITUTE(SUBSTITUTE("[{global_atk,"&amp;#REF!*D254&amp;"}]",21,20),9,8))</f>
        <v>#REF!</v>
      </c>
      <c r="V254" s="61" t="str">
        <f t="shared" ref="V254:V260" si="121">"["&amp;A254&amp;"]"</f>
        <v>[5503081]</v>
      </c>
      <c r="W254" s="60"/>
      <c r="Y254" s="42">
        <v>100</v>
      </c>
      <c r="AA254" s="59" t="s">
        <v>177</v>
      </c>
      <c r="AB254" s="42" t="str">
        <f t="shared" si="95"/>
        <v>梦灵血量首次低于30%，获得最大生命&lt;color=#54b76b&gt;5%&lt;/color&gt;的护盾</v>
      </c>
      <c r="AC254" s="57" t="str">
        <f t="shared" si="102"/>
        <v>5503081</v>
      </c>
      <c r="AD254" s="59" t="str">
        <f t="shared" si="103"/>
        <v>[5]</v>
      </c>
      <c r="AE254" s="60">
        <v>100</v>
      </c>
      <c r="AF254" s="60"/>
      <c r="AG254" s="60">
        <v>1</v>
      </c>
      <c r="AH254" s="35" t="s">
        <v>178</v>
      </c>
      <c r="AI254" s="62">
        <v>5503081</v>
      </c>
      <c r="AJ254" s="63" t="s">
        <v>378</v>
      </c>
      <c r="AK254" s="60">
        <v>5</v>
      </c>
      <c r="AL254" s="36"/>
    </row>
    <row r="255" s="28" customFormat="1" hidden="1" customHeight="1" spans="1:38">
      <c r="A255" s="57">
        <v>5503082</v>
      </c>
      <c r="B255" s="58" t="s">
        <v>378</v>
      </c>
      <c r="C255" s="57" t="str">
        <f t="shared" si="99"/>
        <v>5503081</v>
      </c>
      <c r="D255" s="59">
        <f t="shared" si="100"/>
        <v>2</v>
      </c>
      <c r="E255" s="59"/>
      <c r="F255" s="60" t="s">
        <v>211</v>
      </c>
      <c r="G255" s="36" t="str">
        <f t="shared" si="96"/>
        <v/>
      </c>
      <c r="H255" s="36">
        <f>IFERROR(IF(--MID($F255,2*COUNTIF($G255:G255,"&gt;"&amp;0)+2,1)=H$1,H$1,""),"")</f>
        <v>2</v>
      </c>
      <c r="I255" s="36" t="str">
        <f>IFERROR(IF(--MID($F255,2*COUNTIF($G255:H255,"&gt;"&amp;0)+2,1)=I$1,I$1,""),"")</f>
        <v/>
      </c>
      <c r="J255" s="36" t="str">
        <f>IFERROR(IF(--MID($F255,2*COUNTIF($G255:I255,"&gt;"&amp;0)+2,1)=J$1,J$1,""),"")</f>
        <v/>
      </c>
      <c r="K255" s="36" t="str">
        <f>IFERROR(IF(--MID($F255,2*COUNTIF($G255:J255,"&gt;"&amp;0)+2,1)=K$1,K$1,""),"")</f>
        <v/>
      </c>
      <c r="L255" s="36" t="str">
        <f>IFERROR(IF(--MID($F255,2*COUNTIF($G255:K255,"&gt;"&amp;0)+2,1)=L$1,L$1,""),"")</f>
        <v/>
      </c>
      <c r="M255" s="36" t="e" cm="1">
        <f t="array" ref="M255">IF(A255="","",_xlfn.XLOOKUP(D255&amp;"_"&amp;AE255,符文权重!A:A&amp;"_"&amp;符文权重!C:C,符文权重!D:D))</f>
        <v>#N/A</v>
      </c>
      <c r="N255" s="36"/>
      <c r="O255" s="36"/>
      <c r="P255" s="36"/>
      <c r="Q255" s="36"/>
      <c r="R255" s="36"/>
      <c r="S255" s="60" t="s">
        <v>344</v>
      </c>
      <c r="T255" s="60"/>
      <c r="U255" s="60" t="e">
        <f>IF(C255="","",SUBSTITUTE(SUBSTITUTE("[{global_atk,"&amp;#REF!*D255&amp;"}]",21,20),9,8))</f>
        <v>#REF!</v>
      </c>
      <c r="V255" s="61" t="str">
        <f t="shared" si="121"/>
        <v>[5503082]</v>
      </c>
      <c r="W255" s="60"/>
      <c r="Y255" s="42">
        <v>100</v>
      </c>
      <c r="AA255" s="59" t="s">
        <v>181</v>
      </c>
      <c r="AB255" s="42" t="str">
        <f t="shared" si="95"/>
        <v>梦灵血量首次低于30%，获得最大生命&lt;color=#54b76b&gt;8%&lt;/color&gt;的护盾</v>
      </c>
      <c r="AC255" s="57" t="str">
        <f t="shared" si="102"/>
        <v>5503081</v>
      </c>
      <c r="AD255" s="59" t="str">
        <f t="shared" si="103"/>
        <v>[8]</v>
      </c>
      <c r="AE255" s="60">
        <v>100</v>
      </c>
      <c r="AF255" s="60"/>
      <c r="AG255" s="60">
        <v>1</v>
      </c>
      <c r="AH255" s="35" t="s">
        <v>178</v>
      </c>
      <c r="AI255" s="57">
        <f t="shared" ref="AI255:AI260" si="122">AI254+1</f>
        <v>5503082</v>
      </c>
      <c r="AJ255" s="64" t="str">
        <f t="shared" ref="AJ255:AJ260" si="123">AJ254</f>
        <v>梦灵血量首次低于30%，获得最大生命&lt;color=#54b76b&gt;%s%&lt;/color&gt;的护盾</v>
      </c>
      <c r="AK255" s="60">
        <v>8</v>
      </c>
      <c r="AL255" s="36"/>
    </row>
    <row r="256" hidden="1" customHeight="1" spans="1:38">
      <c r="A256" s="48">
        <v>5503083</v>
      </c>
      <c r="B256" s="34" t="s">
        <v>378</v>
      </c>
      <c r="C256" s="48" t="str">
        <f t="shared" si="99"/>
        <v>5503081</v>
      </c>
      <c r="D256" s="42">
        <f t="shared" si="100"/>
        <v>3</v>
      </c>
      <c r="E256" s="42"/>
      <c r="F256" s="36" t="s">
        <v>211</v>
      </c>
      <c r="G256" s="36" t="str">
        <f t="shared" si="96"/>
        <v/>
      </c>
      <c r="H256" s="36">
        <f>IFERROR(IF(--MID($F256,2*COUNTIF($G256:G256,"&gt;"&amp;0)+2,1)=H$1,H$1,""),"")</f>
        <v>2</v>
      </c>
      <c r="I256" s="36" t="str">
        <f>IFERROR(IF(--MID($F256,2*COUNTIF($G256:H256,"&gt;"&amp;0)+2,1)=I$1,I$1,""),"")</f>
        <v/>
      </c>
      <c r="J256" s="36" t="str">
        <f>IFERROR(IF(--MID($F256,2*COUNTIF($G256:I256,"&gt;"&amp;0)+2,1)=J$1,J$1,""),"")</f>
        <v/>
      </c>
      <c r="K256" s="36" t="str">
        <f>IFERROR(IF(--MID($F256,2*COUNTIF($G256:J256,"&gt;"&amp;0)+2,1)=K$1,K$1,""),"")</f>
        <v/>
      </c>
      <c r="L256" s="36" t="str">
        <f>IFERROR(IF(--MID($F256,2*COUNTIF($G256:K256,"&gt;"&amp;0)+2,1)=L$1,L$1,""),"")</f>
        <v/>
      </c>
      <c r="M256" s="36" t="e" cm="1">
        <f t="array" ref="M256">IF(A256="","",_xlfn.XLOOKUP(D256&amp;"_"&amp;AE256,符文权重!A:A&amp;"_"&amp;符文权重!C:C,符文权重!D:D))</f>
        <v>#N/A</v>
      </c>
      <c r="N256" s="36"/>
      <c r="O256" s="36"/>
      <c r="P256" s="36"/>
      <c r="Q256" s="36"/>
      <c r="R256" s="36"/>
      <c r="S256" s="36" t="s">
        <v>344</v>
      </c>
      <c r="T256" s="36"/>
      <c r="U256" s="36" t="e">
        <f>IF(C256="","",SUBSTITUTE(SUBSTITUTE("[{global_atk,"&amp;#REF!*D256&amp;"}]",21,20),9,8))</f>
        <v>#REF!</v>
      </c>
      <c r="V256" s="52" t="str">
        <f t="shared" si="121"/>
        <v>[5503083]</v>
      </c>
      <c r="Y256" s="42">
        <v>100</v>
      </c>
      <c r="AA256" s="42" t="s">
        <v>183</v>
      </c>
      <c r="AB256" s="42" t="str">
        <f t="shared" si="95"/>
        <v>梦灵血量首次低于30%，获得最大生命&lt;color=#54b76b&gt;10%&lt;/color&gt;的护盾</v>
      </c>
      <c r="AC256" s="48" t="str">
        <f t="shared" si="102"/>
        <v>5503081</v>
      </c>
      <c r="AD256" s="42" t="str">
        <f t="shared" si="103"/>
        <v>[10]</v>
      </c>
      <c r="AE256" s="36">
        <v>100</v>
      </c>
      <c r="AF256" s="36"/>
      <c r="AG256" s="36">
        <v>1</v>
      </c>
      <c r="AH256" s="35" t="s">
        <v>178</v>
      </c>
      <c r="AI256" s="48">
        <f t="shared" si="122"/>
        <v>5503083</v>
      </c>
      <c r="AJ256" s="53" t="str">
        <f t="shared" si="123"/>
        <v>梦灵血量首次低于30%，获得最大生命&lt;color=#54b76b&gt;%s%&lt;/color&gt;的护盾</v>
      </c>
      <c r="AK256" s="36">
        <v>10</v>
      </c>
      <c r="AL256" s="36"/>
    </row>
    <row r="257" hidden="1" customHeight="1" spans="1:38">
      <c r="A257" s="48">
        <v>5503084</v>
      </c>
      <c r="B257" s="34" t="s">
        <v>378</v>
      </c>
      <c r="C257" s="48" t="str">
        <f t="shared" si="99"/>
        <v>5503081</v>
      </c>
      <c r="D257" s="42">
        <f t="shared" si="100"/>
        <v>4</v>
      </c>
      <c r="E257" s="42"/>
      <c r="F257" s="36" t="s">
        <v>211</v>
      </c>
      <c r="G257" s="36" t="str">
        <f t="shared" si="96"/>
        <v/>
      </c>
      <c r="H257" s="36">
        <f>IFERROR(IF(--MID($F257,2*COUNTIF($G257:G257,"&gt;"&amp;0)+2,1)=H$1,H$1,""),"")</f>
        <v>2</v>
      </c>
      <c r="I257" s="36" t="str">
        <f>IFERROR(IF(--MID($F257,2*COUNTIF($G257:H257,"&gt;"&amp;0)+2,1)=I$1,I$1,""),"")</f>
        <v/>
      </c>
      <c r="J257" s="36" t="str">
        <f>IFERROR(IF(--MID($F257,2*COUNTIF($G257:I257,"&gt;"&amp;0)+2,1)=J$1,J$1,""),"")</f>
        <v/>
      </c>
      <c r="K257" s="36" t="str">
        <f>IFERROR(IF(--MID($F257,2*COUNTIF($G257:J257,"&gt;"&amp;0)+2,1)=K$1,K$1,""),"")</f>
        <v/>
      </c>
      <c r="L257" s="36" t="str">
        <f>IFERROR(IF(--MID($F257,2*COUNTIF($G257:K257,"&gt;"&amp;0)+2,1)=L$1,L$1,""),"")</f>
        <v/>
      </c>
      <c r="M257" s="36" t="e" cm="1">
        <f t="array" ref="M257">IF(A257="","",_xlfn.XLOOKUP(D257&amp;"_"&amp;AE257,符文权重!A:A&amp;"_"&amp;符文权重!C:C,符文权重!D:D))</f>
        <v>#N/A</v>
      </c>
      <c r="N257" s="36"/>
      <c r="O257" s="36"/>
      <c r="P257" s="36"/>
      <c r="Q257" s="36"/>
      <c r="R257" s="36"/>
      <c r="S257" s="36" t="s">
        <v>344</v>
      </c>
      <c r="T257" s="36"/>
      <c r="U257" s="36" t="e">
        <f>IF(C257="","",SUBSTITUTE(SUBSTITUTE("[{global_atk,"&amp;#REF!*D257&amp;"}]",21,20),9,8))</f>
        <v>#REF!</v>
      </c>
      <c r="V257" s="52" t="str">
        <f t="shared" si="121"/>
        <v>[5503084]</v>
      </c>
      <c r="Y257" s="42">
        <v>100</v>
      </c>
      <c r="AA257" s="42" t="s">
        <v>185</v>
      </c>
      <c r="AB257" s="42" t="str">
        <f t="shared" si="95"/>
        <v>梦灵血量首次低于30%，获得最大生命&lt;color=#54b76b&gt;15%&lt;/color&gt;的护盾</v>
      </c>
      <c r="AC257" s="48" t="str">
        <f t="shared" si="102"/>
        <v>5503081</v>
      </c>
      <c r="AD257" s="42" t="str">
        <f t="shared" si="103"/>
        <v>[15]</v>
      </c>
      <c r="AE257" s="36">
        <v>100</v>
      </c>
      <c r="AF257" s="36"/>
      <c r="AG257" s="36">
        <v>1</v>
      </c>
      <c r="AH257" s="35" t="s">
        <v>178</v>
      </c>
      <c r="AI257" s="48">
        <f t="shared" si="122"/>
        <v>5503084</v>
      </c>
      <c r="AJ257" s="53" t="str">
        <f t="shared" si="123"/>
        <v>梦灵血量首次低于30%，获得最大生命&lt;color=#54b76b&gt;%s%&lt;/color&gt;的护盾</v>
      </c>
      <c r="AK257" s="36">
        <v>15</v>
      </c>
      <c r="AL257" s="36"/>
    </row>
    <row r="258" hidden="1" customHeight="1" spans="1:38">
      <c r="A258" s="48">
        <v>5503085</v>
      </c>
      <c r="B258" s="34" t="s">
        <v>378</v>
      </c>
      <c r="C258" s="48" t="str">
        <f t="shared" si="99"/>
        <v>5503081</v>
      </c>
      <c r="D258" s="42">
        <f t="shared" si="100"/>
        <v>5</v>
      </c>
      <c r="E258" s="42"/>
      <c r="F258" s="36" t="s">
        <v>211</v>
      </c>
      <c r="G258" s="36" t="str">
        <f t="shared" si="96"/>
        <v/>
      </c>
      <c r="H258" s="36">
        <f>IFERROR(IF(--MID($F258,2*COUNTIF($G258:G258,"&gt;"&amp;0)+2,1)=H$1,H$1,""),"")</f>
        <v>2</v>
      </c>
      <c r="I258" s="36" t="str">
        <f>IFERROR(IF(--MID($F258,2*COUNTIF($G258:H258,"&gt;"&amp;0)+2,1)=I$1,I$1,""),"")</f>
        <v/>
      </c>
      <c r="J258" s="36" t="str">
        <f>IFERROR(IF(--MID($F258,2*COUNTIF($G258:I258,"&gt;"&amp;0)+2,1)=J$1,J$1,""),"")</f>
        <v/>
      </c>
      <c r="K258" s="36" t="str">
        <f>IFERROR(IF(--MID($F258,2*COUNTIF($G258:J258,"&gt;"&amp;0)+2,1)=K$1,K$1,""),"")</f>
        <v/>
      </c>
      <c r="L258" s="36" t="str">
        <f>IFERROR(IF(--MID($F258,2*COUNTIF($G258:K258,"&gt;"&amp;0)+2,1)=L$1,L$1,""),"")</f>
        <v/>
      </c>
      <c r="M258" s="36" t="e" cm="1">
        <f t="array" ref="M258">IF(A258="","",_xlfn.XLOOKUP(D258&amp;"_"&amp;AE258,符文权重!A:A&amp;"_"&amp;符文权重!C:C,符文权重!D:D))</f>
        <v>#N/A</v>
      </c>
      <c r="N258" s="36"/>
      <c r="O258" s="36"/>
      <c r="P258" s="36"/>
      <c r="Q258" s="36"/>
      <c r="R258" s="36"/>
      <c r="S258" s="36" t="s">
        <v>344</v>
      </c>
      <c r="T258" s="36"/>
      <c r="U258" s="36" t="e">
        <f>IF(C258="","",SUBSTITUTE(SUBSTITUTE("[{global_atk,"&amp;#REF!*D258&amp;"}]",21,20),9,8))</f>
        <v>#REF!</v>
      </c>
      <c r="V258" s="52" t="str">
        <f t="shared" si="121"/>
        <v>[5503085]</v>
      </c>
      <c r="Y258" s="42">
        <v>100</v>
      </c>
      <c r="AA258" s="42" t="s">
        <v>187</v>
      </c>
      <c r="AB258" s="42" t="str">
        <f t="shared" si="95"/>
        <v>梦灵血量首次低于30%，获得最大生命&lt;color=#54b76b&gt;20%&lt;/color&gt;的护盾</v>
      </c>
      <c r="AC258" s="48" t="str">
        <f t="shared" si="102"/>
        <v>5503081</v>
      </c>
      <c r="AD258" s="42" t="str">
        <f t="shared" si="103"/>
        <v>[20]</v>
      </c>
      <c r="AE258" s="36">
        <v>100</v>
      </c>
      <c r="AF258" s="36"/>
      <c r="AG258" s="36">
        <v>1</v>
      </c>
      <c r="AH258" s="35" t="s">
        <v>178</v>
      </c>
      <c r="AI258" s="48">
        <f t="shared" si="122"/>
        <v>5503085</v>
      </c>
      <c r="AJ258" s="53" t="str">
        <f t="shared" si="123"/>
        <v>梦灵血量首次低于30%，获得最大生命&lt;color=#54b76b&gt;%s%&lt;/color&gt;的护盾</v>
      </c>
      <c r="AK258" s="36">
        <v>20</v>
      </c>
      <c r="AL258" s="36"/>
    </row>
    <row r="259" hidden="1" customHeight="1" spans="1:38">
      <c r="A259" s="48">
        <v>5503086</v>
      </c>
      <c r="B259" s="34" t="s">
        <v>378</v>
      </c>
      <c r="C259" s="48" t="str">
        <f t="shared" si="99"/>
        <v>5503081</v>
      </c>
      <c r="D259" s="42">
        <f t="shared" si="100"/>
        <v>6</v>
      </c>
      <c r="E259" s="42"/>
      <c r="F259" s="36" t="s">
        <v>211</v>
      </c>
      <c r="G259" s="36" t="str">
        <f t="shared" si="96"/>
        <v/>
      </c>
      <c r="H259" s="36">
        <f>IFERROR(IF(--MID($F259,2*COUNTIF($G259:G259,"&gt;"&amp;0)+2,1)=H$1,H$1,""),"")</f>
        <v>2</v>
      </c>
      <c r="I259" s="36" t="str">
        <f>IFERROR(IF(--MID($F259,2*COUNTIF($G259:H259,"&gt;"&amp;0)+2,1)=I$1,I$1,""),"")</f>
        <v/>
      </c>
      <c r="J259" s="36" t="str">
        <f>IFERROR(IF(--MID($F259,2*COUNTIF($G259:I259,"&gt;"&amp;0)+2,1)=J$1,J$1,""),"")</f>
        <v/>
      </c>
      <c r="K259" s="36" t="str">
        <f>IFERROR(IF(--MID($F259,2*COUNTIF($G259:J259,"&gt;"&amp;0)+2,1)=K$1,K$1,""),"")</f>
        <v/>
      </c>
      <c r="L259" s="36" t="str">
        <f>IFERROR(IF(--MID($F259,2*COUNTIF($G259:K259,"&gt;"&amp;0)+2,1)=L$1,L$1,""),"")</f>
        <v/>
      </c>
      <c r="M259" s="36" t="e" cm="1">
        <f t="array" ref="M259">IF(A259="","",_xlfn.XLOOKUP(D259&amp;"_"&amp;AE259,符文权重!A:A&amp;"_"&amp;符文权重!C:C,符文权重!D:D))</f>
        <v>#N/A</v>
      </c>
      <c r="N259" s="36"/>
      <c r="O259" s="36"/>
      <c r="P259" s="36"/>
      <c r="Q259" s="36"/>
      <c r="R259" s="36"/>
      <c r="S259" s="36" t="s">
        <v>344</v>
      </c>
      <c r="T259" s="36"/>
      <c r="U259" s="36" t="e">
        <f>IF(C259="","",SUBSTITUTE(SUBSTITUTE("[{global_atk,"&amp;#REF!*D259&amp;"}]",21,20),9,8))</f>
        <v>#REF!</v>
      </c>
      <c r="V259" s="52" t="str">
        <f t="shared" si="121"/>
        <v>[5503086]</v>
      </c>
      <c r="Y259" s="42">
        <v>100</v>
      </c>
      <c r="AA259" s="42" t="s">
        <v>189</v>
      </c>
      <c r="AB259" s="42" t="str">
        <f t="shared" si="95"/>
        <v>梦灵血量首次低于30%，获得最大生命&lt;color=#54b76b&gt;30%&lt;/color&gt;的护盾</v>
      </c>
      <c r="AC259" s="48" t="str">
        <f t="shared" si="102"/>
        <v>5503081</v>
      </c>
      <c r="AD259" s="42" t="str">
        <f t="shared" si="103"/>
        <v>[30]</v>
      </c>
      <c r="AE259" s="36">
        <v>100</v>
      </c>
      <c r="AF259" s="36"/>
      <c r="AG259" s="36">
        <v>1</v>
      </c>
      <c r="AH259" s="35" t="s">
        <v>178</v>
      </c>
      <c r="AI259" s="48">
        <f t="shared" si="122"/>
        <v>5503086</v>
      </c>
      <c r="AJ259" s="53" t="str">
        <f t="shared" si="123"/>
        <v>梦灵血量首次低于30%，获得最大生命&lt;color=#54b76b&gt;%s%&lt;/color&gt;的护盾</v>
      </c>
      <c r="AK259" s="36">
        <v>30</v>
      </c>
      <c r="AL259" s="36"/>
    </row>
    <row r="260" hidden="1" customHeight="1" spans="1:38">
      <c r="A260" s="48">
        <v>5503087</v>
      </c>
      <c r="B260" s="34" t="s">
        <v>378</v>
      </c>
      <c r="C260" s="48" t="str">
        <f t="shared" si="99"/>
        <v>5503081</v>
      </c>
      <c r="D260" s="42">
        <f t="shared" si="100"/>
        <v>7</v>
      </c>
      <c r="E260" s="42"/>
      <c r="F260" s="36" t="s">
        <v>211</v>
      </c>
      <c r="G260" s="36" t="str">
        <f t="shared" si="96"/>
        <v/>
      </c>
      <c r="H260" s="36">
        <f>IFERROR(IF(--MID($F260,2*COUNTIF($G260:G260,"&gt;"&amp;0)+2,1)=H$1,H$1,""),"")</f>
        <v>2</v>
      </c>
      <c r="I260" s="36" t="str">
        <f>IFERROR(IF(--MID($F260,2*COUNTIF($G260:H260,"&gt;"&amp;0)+2,1)=I$1,I$1,""),"")</f>
        <v/>
      </c>
      <c r="J260" s="36" t="str">
        <f>IFERROR(IF(--MID($F260,2*COUNTIF($G260:I260,"&gt;"&amp;0)+2,1)=J$1,J$1,""),"")</f>
        <v/>
      </c>
      <c r="K260" s="36" t="str">
        <f>IFERROR(IF(--MID($F260,2*COUNTIF($G260:J260,"&gt;"&amp;0)+2,1)=K$1,K$1,""),"")</f>
        <v/>
      </c>
      <c r="L260" s="36" t="str">
        <f>IFERROR(IF(--MID($F260,2*COUNTIF($G260:K260,"&gt;"&amp;0)+2,1)=L$1,L$1,""),"")</f>
        <v/>
      </c>
      <c r="M260" s="36" t="e" cm="1">
        <f t="array" ref="M260">IF(A260="","",_xlfn.XLOOKUP(D260&amp;"_"&amp;AE260,符文权重!A:A&amp;"_"&amp;符文权重!C:C,符文权重!D:D))</f>
        <v>#N/A</v>
      </c>
      <c r="N260" s="36"/>
      <c r="O260" s="36"/>
      <c r="P260" s="36"/>
      <c r="Q260" s="36"/>
      <c r="R260" s="36"/>
      <c r="S260" s="36" t="s">
        <v>344</v>
      </c>
      <c r="T260" s="36"/>
      <c r="U260" s="36" t="e">
        <f>IF(C260="","",SUBSTITUTE(SUBSTITUTE("[{global_atk,"&amp;#REF!*D260&amp;"}]",21,20),9,8))</f>
        <v>#REF!</v>
      </c>
      <c r="V260" s="52" t="str">
        <f t="shared" si="121"/>
        <v>[5503087]</v>
      </c>
      <c r="Y260" s="42">
        <v>100</v>
      </c>
      <c r="AA260" s="42" t="s">
        <v>191</v>
      </c>
      <c r="AB260" s="42" t="str">
        <f t="shared" si="95"/>
        <v>梦灵血量首次低于30%，获得最大生命&lt;color=#54b76b&gt;40%&lt;/color&gt;的护盾</v>
      </c>
      <c r="AC260" s="48" t="str">
        <f t="shared" si="102"/>
        <v>5503081</v>
      </c>
      <c r="AD260" s="42" t="str">
        <f t="shared" si="103"/>
        <v>[40]</v>
      </c>
      <c r="AE260" s="36">
        <v>100</v>
      </c>
      <c r="AF260" s="36"/>
      <c r="AG260" s="36">
        <v>1</v>
      </c>
      <c r="AH260" s="35" t="s">
        <v>178</v>
      </c>
      <c r="AI260" s="48">
        <f t="shared" si="122"/>
        <v>5503087</v>
      </c>
      <c r="AJ260" s="53" t="str">
        <f t="shared" si="123"/>
        <v>梦灵血量首次低于30%，获得最大生命&lt;color=#54b76b&gt;%s%&lt;/color&gt;的护盾</v>
      </c>
      <c r="AK260" s="36">
        <v>40</v>
      </c>
      <c r="AL260" s="36"/>
    </row>
    <row r="261" s="25" customFormat="1" hidden="1" customHeight="1" spans="1:38">
      <c r="A261" s="48" t="s">
        <v>178</v>
      </c>
      <c r="B261" s="41"/>
      <c r="C261" s="48" t="str">
        <f t="shared" si="99"/>
        <v/>
      </c>
      <c r="D261" s="42" t="str">
        <f t="shared" si="100"/>
        <v/>
      </c>
      <c r="E261" s="42"/>
      <c r="F261" s="36"/>
      <c r="G261" s="36" t="str">
        <f t="shared" si="96"/>
        <v/>
      </c>
      <c r="H261" s="36" t="str">
        <f>IFERROR(IF(--MID($F261,2*COUNTIF($G261:G261,"&gt;"&amp;0)+2,1)=H$1,H$1,""),"")</f>
        <v/>
      </c>
      <c r="I261" s="36" t="str">
        <f>IFERROR(IF(--MID($F261,2*COUNTIF($G261:H261,"&gt;"&amp;0)+2,1)=I$1,I$1,""),"")</f>
        <v/>
      </c>
      <c r="J261" s="36" t="str">
        <f>IFERROR(IF(--MID($F261,2*COUNTIF($G261:I261,"&gt;"&amp;0)+2,1)=J$1,J$1,""),"")</f>
        <v/>
      </c>
      <c r="K261" s="36" t="str">
        <f>IFERROR(IF(--MID($F261,2*COUNTIF($G261:J261,"&gt;"&amp;0)+2,1)=K$1,K$1,""),"")</f>
        <v/>
      </c>
      <c r="L261" s="36" t="str">
        <f>IFERROR(IF(--MID($F261,2*COUNTIF($G261:K261,"&gt;"&amp;0)+2,1)=L$1,L$1,""),"")</f>
        <v/>
      </c>
      <c r="M261" s="51" t="str" cm="1">
        <f t="array" ref="M261">IF($A261="","",IF(G261="","",_xlfn.XLOOKUP($D261&amp;"_"&amp;$AE261,符文权重!$A:$A&amp;"_"&amp;符文权重!$C:$C,符文权重!$D:$D)*$Y261/SUMIFS($Y:$Y,G:G,G261,$D:$D,$D261,$AE:$AE,$AE261)/SUMIF(符文权重!$A:$A,$D261,符文权重!$D:$D)))</f>
        <v/>
      </c>
      <c r="N261" s="36" t="str" cm="1">
        <f t="array" ref="N261">IF($A261="","",IF(H261="","",_xlfn.XLOOKUP($D261&amp;"_"&amp;$AE261,符文权重!$A:$A&amp;"_"&amp;符文权重!$C:$C,符文权重!$D:$D)*$Y261/SUMIFS($Y:$Y,H:H,H261,$D:$D,$D$6,$AE:$AE,$AE$6)))</f>
        <v/>
      </c>
      <c r="O261" s="36" t="str" cm="1">
        <f t="array" ref="O261">IF($A261="","",IF(I261="","",_xlfn.XLOOKUP($D261&amp;"_"&amp;$AE261,符文权重!$A:$A&amp;"_"&amp;符文权重!$C:$C,符文权重!$D:$D)*$Y261/SUMIFS($Y:$Y,I:I,I261,$D:$D,$D$6,$AE:$AE,$AE$6)))</f>
        <v/>
      </c>
      <c r="P261" s="36" t="str" cm="1">
        <f t="array" ref="P261">IF($A261="","",IF(J261="","",_xlfn.XLOOKUP($D261&amp;"_"&amp;$AE261,符文权重!$A:$A&amp;"_"&amp;符文权重!$C:$C,符文权重!$D:$D)*$Y261/SUMIFS($Y:$Y,J:J,J261,$D:$D,$D$6,$AE:$AE,$AE$6)))</f>
        <v/>
      </c>
      <c r="Q261" s="36" t="str" cm="1">
        <f t="array" ref="Q261">IF($A261="","",IF(K261="","",_xlfn.XLOOKUP($D261&amp;"_"&amp;$AE261,符文权重!$A:$A&amp;"_"&amp;符文权重!$C:$C,符文权重!$D:$D)*$Y261/SUMIFS($Y:$Y,K:K,K261,$D:$D,$D$6,$AE:$AE,$AE$6)))</f>
        <v/>
      </c>
      <c r="R261" s="36" t="str" cm="1">
        <f t="array" ref="R261">IF($A261="","",IF(L261="","",_xlfn.XLOOKUP($D261&amp;"_"&amp;$AE261,符文权重!$A:$A&amp;"_"&amp;符文权重!$C:$C,符文权重!$D:$D)*$Y261/SUMIFS($Y:$Y,L:L,L261,$D:$D,$D$6,$AE:$AE,$AE$6)))</f>
        <v/>
      </c>
      <c r="S261" s="36"/>
      <c r="T261" s="36"/>
      <c r="U261" s="36"/>
      <c r="W261" s="41"/>
      <c r="X261" s="35"/>
      <c r="Y261" s="42"/>
      <c r="Z261" s="35"/>
      <c r="AA261" s="42" t="s">
        <v>178</v>
      </c>
      <c r="AB261" s="42" t="str">
        <f t="shared" si="95"/>
        <v/>
      </c>
      <c r="AC261" s="48" t="str">
        <f t="shared" si="102"/>
        <v/>
      </c>
      <c r="AD261" s="42" t="str">
        <f t="shared" si="103"/>
        <v/>
      </c>
      <c r="AE261" s="36"/>
      <c r="AF261" s="36"/>
      <c r="AG261" s="36"/>
      <c r="AH261" s="35" t="s">
        <v>178</v>
      </c>
      <c r="AI261" s="33"/>
      <c r="AJ261" s="56"/>
      <c r="AK261" s="36"/>
      <c r="AL261" s="36"/>
    </row>
    <row r="262" s="28" customFormat="1" hidden="1" customHeight="1" spans="1:38">
      <c r="A262" s="57">
        <v>5503091</v>
      </c>
      <c r="B262" s="58" t="s">
        <v>379</v>
      </c>
      <c r="C262" s="57" t="str">
        <f t="shared" si="99"/>
        <v>5503091</v>
      </c>
      <c r="D262" s="59">
        <f t="shared" si="100"/>
        <v>1</v>
      </c>
      <c r="E262" s="59"/>
      <c r="F262" s="60" t="s">
        <v>380</v>
      </c>
      <c r="G262" s="36" t="str">
        <f t="shared" si="96"/>
        <v/>
      </c>
      <c r="H262" s="36" t="str">
        <f>IFERROR(IF(--MID($F262,2*COUNTIF($G262:G262,"&gt;"&amp;0)+2,1)=H$1,H$1,""),"")</f>
        <v/>
      </c>
      <c r="I262" s="36" t="str">
        <f>IFERROR(IF(--MID($F262,2*COUNTIF($G262:H262,"&gt;"&amp;0)+2,1)=I$1,I$1,""),"")</f>
        <v/>
      </c>
      <c r="J262" s="36" t="str">
        <f>IFERROR(IF(--MID($F262,2*COUNTIF($G262:I262,"&gt;"&amp;0)+2,1)=J$1,J$1,""),"")</f>
        <v/>
      </c>
      <c r="K262" s="36">
        <f>IFERROR(IF(--MID($F262,2*COUNTIF($G262:J262,"&gt;"&amp;0)+2,1)=K$1,K$1,""),"")</f>
        <v>5</v>
      </c>
      <c r="L262" s="36">
        <f>IFERROR(IF(--MID($F262,2*COUNTIF($G262:K262,"&gt;"&amp;0)+2,1)=L$1,L$1,""),"")</f>
        <v>6</v>
      </c>
      <c r="M262" s="36" t="e" cm="1">
        <f t="array" ref="M262">IF(A262="","",_xlfn.XLOOKUP(D262&amp;"_"&amp;AE262,符文权重!A:A&amp;"_"&amp;符文权重!C:C,符文权重!D:D))</f>
        <v>#N/A</v>
      </c>
      <c r="N262" s="36"/>
      <c r="O262" s="36"/>
      <c r="P262" s="36"/>
      <c r="Q262" s="36"/>
      <c r="R262" s="36"/>
      <c r="S262" s="60" t="s">
        <v>344</v>
      </c>
      <c r="T262" s="60"/>
      <c r="U262" s="60" t="e">
        <f>IF(C262="","",SUBSTITUTE(SUBSTITUTE("[{global_atk,"&amp;#REF!*D262&amp;"}]",21,20),9,8))</f>
        <v>#REF!</v>
      </c>
      <c r="V262" s="61" t="str">
        <f t="shared" ref="V262:V268" si="124">"["&amp;A262&amp;"]"</f>
        <v>[5503091]</v>
      </c>
      <c r="W262" s="60"/>
      <c r="Y262" s="42">
        <v>16</v>
      </c>
      <c r="AA262" s="59" t="s">
        <v>177</v>
      </c>
      <c r="AB262" s="42" t="str">
        <f t="shared" ref="AB262:AB325" si="125">SUBSTITUTE(AJ262,"%s",AK262)</f>
        <v>梦灵获得祝福时，全体梦灵恢复&lt;color=#54b76b&gt;1%&lt;/color&gt;生命值</v>
      </c>
      <c r="AC262" s="57" t="str">
        <f t="shared" si="102"/>
        <v>5503091</v>
      </c>
      <c r="AD262" s="59" t="str">
        <f t="shared" si="103"/>
        <v>[1]</v>
      </c>
      <c r="AE262" s="60">
        <v>100</v>
      </c>
      <c r="AF262" s="60"/>
      <c r="AG262" s="60">
        <v>1</v>
      </c>
      <c r="AH262" s="35">
        <v>1</v>
      </c>
      <c r="AI262" s="62">
        <v>5503091</v>
      </c>
      <c r="AJ262" s="63" t="s">
        <v>381</v>
      </c>
      <c r="AK262" s="60">
        <v>1</v>
      </c>
      <c r="AL262" s="36"/>
    </row>
    <row r="263" s="28" customFormat="1" hidden="1" customHeight="1" spans="1:38">
      <c r="A263" s="57">
        <v>5503092</v>
      </c>
      <c r="B263" s="58" t="s">
        <v>379</v>
      </c>
      <c r="C263" s="57" t="str">
        <f t="shared" si="99"/>
        <v>5503091</v>
      </c>
      <c r="D263" s="59">
        <f t="shared" si="100"/>
        <v>2</v>
      </c>
      <c r="E263" s="59"/>
      <c r="F263" s="60" t="s">
        <v>380</v>
      </c>
      <c r="G263" s="36" t="str">
        <f t="shared" ref="G263:G326" si="126">IF(LEFT(F263,2)="[1",1,"")</f>
        <v/>
      </c>
      <c r="H263" s="36" t="str">
        <f>IFERROR(IF(--MID($F263,2*COUNTIF($G263:G263,"&gt;"&amp;0)+2,1)=H$1,H$1,""),"")</f>
        <v/>
      </c>
      <c r="I263" s="36" t="str">
        <f>IFERROR(IF(--MID($F263,2*COUNTIF($G263:H263,"&gt;"&amp;0)+2,1)=I$1,I$1,""),"")</f>
        <v/>
      </c>
      <c r="J263" s="36" t="str">
        <f>IFERROR(IF(--MID($F263,2*COUNTIF($G263:I263,"&gt;"&amp;0)+2,1)=J$1,J$1,""),"")</f>
        <v/>
      </c>
      <c r="K263" s="36">
        <f>IFERROR(IF(--MID($F263,2*COUNTIF($G263:J263,"&gt;"&amp;0)+2,1)=K$1,K$1,""),"")</f>
        <v>5</v>
      </c>
      <c r="L263" s="36">
        <f>IFERROR(IF(--MID($F263,2*COUNTIF($G263:K263,"&gt;"&amp;0)+2,1)=L$1,L$1,""),"")</f>
        <v>6</v>
      </c>
      <c r="M263" s="36" t="e" cm="1">
        <f t="array" ref="M263">IF(A263="","",_xlfn.XLOOKUP(D263&amp;"_"&amp;AE263,符文权重!A:A&amp;"_"&amp;符文权重!C:C,符文权重!D:D))</f>
        <v>#N/A</v>
      </c>
      <c r="N263" s="36"/>
      <c r="O263" s="36"/>
      <c r="P263" s="36"/>
      <c r="Q263" s="36"/>
      <c r="R263" s="36"/>
      <c r="S263" s="60" t="s">
        <v>344</v>
      </c>
      <c r="T263" s="60"/>
      <c r="U263" s="60" t="e">
        <f>IF(C263="","",SUBSTITUTE(SUBSTITUTE("[{global_atk,"&amp;#REF!*D263&amp;"}]",21,20),9,8))</f>
        <v>#REF!</v>
      </c>
      <c r="V263" s="61" t="str">
        <f t="shared" si="124"/>
        <v>[5503092]</v>
      </c>
      <c r="W263" s="60"/>
      <c r="Y263" s="42">
        <v>16</v>
      </c>
      <c r="AA263" s="59" t="s">
        <v>181</v>
      </c>
      <c r="AB263" s="42" t="str">
        <f t="shared" si="125"/>
        <v>梦灵获得祝福时，全体梦灵恢复&lt;color=#54b76b&gt;2%&lt;/color&gt;生命值</v>
      </c>
      <c r="AC263" s="57" t="str">
        <f t="shared" si="102"/>
        <v>5503091</v>
      </c>
      <c r="AD263" s="59" t="str">
        <f t="shared" si="103"/>
        <v>[2]</v>
      </c>
      <c r="AE263" s="60">
        <v>100</v>
      </c>
      <c r="AF263" s="60"/>
      <c r="AG263" s="60">
        <v>1</v>
      </c>
      <c r="AH263" s="35">
        <v>1</v>
      </c>
      <c r="AI263" s="57">
        <f t="shared" ref="AI263:AI268" si="127">AI262+1</f>
        <v>5503092</v>
      </c>
      <c r="AJ263" s="64" t="str">
        <f t="shared" ref="AJ263:AJ268" si="128">AJ262</f>
        <v>梦灵获得祝福时，全体梦灵恢复&lt;color=#54b76b&gt;%s%&lt;/color&gt;生命值</v>
      </c>
      <c r="AK263" s="60">
        <v>2</v>
      </c>
      <c r="AL263" s="36"/>
    </row>
    <row r="264" hidden="1" customHeight="1" spans="1:38">
      <c r="A264" s="48">
        <v>5503093</v>
      </c>
      <c r="B264" s="34" t="s">
        <v>379</v>
      </c>
      <c r="C264" s="48" t="str">
        <f t="shared" si="99"/>
        <v>5503091</v>
      </c>
      <c r="D264" s="42">
        <f t="shared" si="100"/>
        <v>3</v>
      </c>
      <c r="E264" s="42"/>
      <c r="F264" s="36" t="s">
        <v>380</v>
      </c>
      <c r="G264" s="36" t="str">
        <f t="shared" si="126"/>
        <v/>
      </c>
      <c r="H264" s="36" t="str">
        <f>IFERROR(IF(--MID($F264,2*COUNTIF($G264:G264,"&gt;"&amp;0)+2,1)=H$1,H$1,""),"")</f>
        <v/>
      </c>
      <c r="I264" s="36" t="str">
        <f>IFERROR(IF(--MID($F264,2*COUNTIF($G264:H264,"&gt;"&amp;0)+2,1)=I$1,I$1,""),"")</f>
        <v/>
      </c>
      <c r="J264" s="36" t="str">
        <f>IFERROR(IF(--MID($F264,2*COUNTIF($G264:I264,"&gt;"&amp;0)+2,1)=J$1,J$1,""),"")</f>
        <v/>
      </c>
      <c r="K264" s="36">
        <f>IFERROR(IF(--MID($F264,2*COUNTIF($G264:J264,"&gt;"&amp;0)+2,1)=K$1,K$1,""),"")</f>
        <v>5</v>
      </c>
      <c r="L264" s="36">
        <f>IFERROR(IF(--MID($F264,2*COUNTIF($G264:K264,"&gt;"&amp;0)+2,1)=L$1,L$1,""),"")</f>
        <v>6</v>
      </c>
      <c r="M264" s="51" t="str" cm="1">
        <f t="array" ref="M264">IF($A264="","",IF(G264="","",_xlfn.XLOOKUP($D264&amp;"_"&amp;$AE264,符文权重!$A:$A&amp;"_"&amp;符文权重!$C:$C,符文权重!$D:$D)*$Y264/SUMIFS($Y:$Y,G:G,G264,$D:$D,$D264,$AE:$AE,$AE264)/SUMIF(符文权重!$A:$A,$D264,符文权重!$D:$D)))</f>
        <v/>
      </c>
      <c r="N264" s="51" t="str" cm="1">
        <f t="array" ref="N264">IF($A264="","",IF(H264="","",_xlfn.XLOOKUP($D264&amp;"_"&amp;$AE264,符文权重!$A:$A&amp;"_"&amp;符文权重!$C:$C,符文权重!$D:$D)*$Y264/SUMIFS($Y:$Y,H:H,H264,$D:$D,$D264,$AE:$AE,$AE264)/SUMIF(符文权重!$A:$A,$D264,符文权重!$D:$D)))</f>
        <v/>
      </c>
      <c r="O264" s="51" t="str" cm="1">
        <f t="array" ref="O264">IF($A264="","",IF(I264="","",_xlfn.XLOOKUP($D264&amp;"_"&amp;$AE264,符文权重!$A:$A&amp;"_"&amp;符文权重!$C:$C,符文权重!$D:$D)*$Y264/SUMIFS($Y:$Y,I:I,I264,$D:$D,$D264,$AE:$AE,$AE264)/SUMIF(符文权重!$A:$A,$D264,符文权重!$D:$D)))</f>
        <v/>
      </c>
      <c r="P264" s="51" t="str" cm="1">
        <f t="array" ref="P264">IF($A264="","",IF(J264="","",_xlfn.XLOOKUP($D264&amp;"_"&amp;$AE264,符文权重!$A:$A&amp;"_"&amp;符文权重!$C:$C,符文权重!$D:$D)*$Y264/SUMIFS($Y:$Y,J:J,J264,$D:$D,$D264,$AE:$AE,$AE264)/SUMIF(符文权重!$A:$A,$D264,符文权重!$D:$D)))</f>
        <v/>
      </c>
      <c r="Q264" s="51" cm="1">
        <f t="array" ref="Q264">IF($A264="","",IF(K264="","",_xlfn.XLOOKUP($D264&amp;"_"&amp;$AE264,符文权重!$A:$A&amp;"_"&amp;符文权重!$C:$C,符文权重!$D:$D)*$Y264/SUMIFS($Y:$Y,K:K,K264,$D:$D,$D264,$AE:$AE,$AE264)/SUMIF(符文权重!$A:$A,$D264,符文权重!$D:$D)))</f>
        <v>0.00412607449856734</v>
      </c>
      <c r="R264" s="51" cm="1">
        <f t="array" ref="R264">IF($A264="","",IF(L264="","",_xlfn.XLOOKUP($D264&amp;"_"&amp;$AE264,符文权重!$A:$A&amp;"_"&amp;符文权重!$C:$C,符文权重!$D:$D)*$Y264/SUMIFS($Y:$Y,L:L,L264,$D:$D,$D264,$AE:$AE,$AE264)/SUMIF(符文权重!$A:$A,$D264,符文权重!$D:$D)))</f>
        <v>0.00412607449856734</v>
      </c>
      <c r="S264" s="36" t="s">
        <v>256</v>
      </c>
      <c r="T264" s="36"/>
      <c r="U264" s="36" t="e">
        <f>IF(C264="","",SUBSTITUTE(SUBSTITUTE("[{global_atk,"&amp;#REF!*D264&amp;"}]",21,20),9,8))</f>
        <v>#REF!</v>
      </c>
      <c r="V264" s="52" t="str">
        <f t="shared" si="124"/>
        <v>[5503093]</v>
      </c>
      <c r="Y264" s="42">
        <v>16</v>
      </c>
      <c r="AA264" s="42" t="s">
        <v>183</v>
      </c>
      <c r="AB264" s="42" t="str">
        <f t="shared" si="125"/>
        <v>梦灵获得祝福时，全体梦灵恢复&lt;color=#54b76b&gt;3%&lt;/color&gt;生命值</v>
      </c>
      <c r="AC264" s="48" t="str">
        <f t="shared" si="102"/>
        <v>5503091</v>
      </c>
      <c r="AD264" s="42" t="str">
        <f t="shared" si="103"/>
        <v>[3]</v>
      </c>
      <c r="AE264" s="36">
        <v>3</v>
      </c>
      <c r="AF264" s="36"/>
      <c r="AG264" s="36">
        <v>0</v>
      </c>
      <c r="AH264" s="35">
        <v>1</v>
      </c>
      <c r="AI264" s="48">
        <f t="shared" si="127"/>
        <v>5503093</v>
      </c>
      <c r="AJ264" s="53" t="str">
        <f t="shared" si="128"/>
        <v>梦灵获得祝福时，全体梦灵恢复&lt;color=#54b76b&gt;%s%&lt;/color&gt;生命值</v>
      </c>
      <c r="AK264" s="36">
        <v>3</v>
      </c>
      <c r="AL264" s="36">
        <v>3</v>
      </c>
    </row>
    <row r="265" hidden="1" customHeight="1" spans="1:38">
      <c r="A265" s="48">
        <v>5503094</v>
      </c>
      <c r="B265" s="34" t="s">
        <v>379</v>
      </c>
      <c r="C265" s="48" t="str">
        <f t="shared" si="99"/>
        <v>5503091</v>
      </c>
      <c r="D265" s="42">
        <f t="shared" si="100"/>
        <v>4</v>
      </c>
      <c r="E265" s="42"/>
      <c r="F265" s="36" t="s">
        <v>380</v>
      </c>
      <c r="G265" s="36" t="str">
        <f t="shared" si="126"/>
        <v/>
      </c>
      <c r="H265" s="36" t="str">
        <f>IFERROR(IF(--MID($F265,2*COUNTIF($G265:G265,"&gt;"&amp;0)+2,1)=H$1,H$1,""),"")</f>
        <v/>
      </c>
      <c r="I265" s="36" t="str">
        <f>IFERROR(IF(--MID($F265,2*COUNTIF($G265:H265,"&gt;"&amp;0)+2,1)=I$1,I$1,""),"")</f>
        <v/>
      </c>
      <c r="J265" s="36" t="str">
        <f>IFERROR(IF(--MID($F265,2*COUNTIF($G265:I265,"&gt;"&amp;0)+2,1)=J$1,J$1,""),"")</f>
        <v/>
      </c>
      <c r="K265" s="36">
        <f>IFERROR(IF(--MID($F265,2*COUNTIF($G265:J265,"&gt;"&amp;0)+2,1)=K$1,K$1,""),"")</f>
        <v>5</v>
      </c>
      <c r="L265" s="36">
        <f>IFERROR(IF(--MID($F265,2*COUNTIF($G265:K265,"&gt;"&amp;0)+2,1)=L$1,L$1,""),"")</f>
        <v>6</v>
      </c>
      <c r="M265" s="51" t="str" cm="1">
        <f t="array" ref="M265">IF($A265="","",IF(G265="","",_xlfn.XLOOKUP($D265&amp;"_"&amp;$AE265,符文权重!$A:$A&amp;"_"&amp;符文权重!$C:$C,符文权重!$D:$D)*$Y265/SUMIFS($Y:$Y,G:G,G265,$D:$D,$D265,$AE:$AE,$AE265)/SUMIF(符文权重!$A:$A,$D265,符文权重!$D:$D)))</f>
        <v/>
      </c>
      <c r="N265" s="51" t="str" cm="1">
        <f t="array" ref="N265">IF($A265="","",IF(H265="","",_xlfn.XLOOKUP($D265&amp;"_"&amp;$AE265,符文权重!$A:$A&amp;"_"&amp;符文权重!$C:$C,符文权重!$D:$D)*$Y265/SUMIFS($Y:$Y,H:H,H265,$D:$D,$D265,$AE:$AE,$AE265)/SUMIF(符文权重!$A:$A,$D265,符文权重!$D:$D)))</f>
        <v/>
      </c>
      <c r="O265" s="51" t="str" cm="1">
        <f t="array" ref="O265">IF($A265="","",IF(I265="","",_xlfn.XLOOKUP($D265&amp;"_"&amp;$AE265,符文权重!$A:$A&amp;"_"&amp;符文权重!$C:$C,符文权重!$D:$D)*$Y265/SUMIFS($Y:$Y,I:I,I265,$D:$D,$D265,$AE:$AE,$AE265)/SUMIF(符文权重!$A:$A,$D265,符文权重!$D:$D)))</f>
        <v/>
      </c>
      <c r="P265" s="51" t="str" cm="1">
        <f t="array" ref="P265">IF($A265="","",IF(J265="","",_xlfn.XLOOKUP($D265&amp;"_"&amp;$AE265,符文权重!$A:$A&amp;"_"&amp;符文权重!$C:$C,符文权重!$D:$D)*$Y265/SUMIFS($Y:$Y,J:J,J265,$D:$D,$D265,$AE:$AE,$AE265)/SUMIF(符文权重!$A:$A,$D265,符文权重!$D:$D)))</f>
        <v/>
      </c>
      <c r="Q265" s="51" cm="1">
        <f t="array" ref="Q265">IF($A265="","",IF(K265="","",_xlfn.XLOOKUP($D265&amp;"_"&amp;$AE265,符文权重!$A:$A&amp;"_"&amp;符文权重!$C:$C,符文权重!$D:$D)*$Y265/SUMIFS($Y:$Y,K:K,K265,$D:$D,$D265,$AE:$AE,$AE265)/SUMIF(符文权重!$A:$A,$D265,符文权重!$D:$D)))</f>
        <v>0.00440781690781691</v>
      </c>
      <c r="R265" s="51" cm="1">
        <f t="array" ref="R265">IF($A265="","",IF(L265="","",_xlfn.XLOOKUP($D265&amp;"_"&amp;$AE265,符文权重!$A:$A&amp;"_"&amp;符文权重!$C:$C,符文权重!$D:$D)*$Y265/SUMIFS($Y:$Y,L:L,L265,$D:$D,$D265,$AE:$AE,$AE265)/SUMIF(符文权重!$A:$A,$D265,符文权重!$D:$D)))</f>
        <v>0.00426250426250426</v>
      </c>
      <c r="S265" s="36" t="s">
        <v>256</v>
      </c>
      <c r="T265" s="36"/>
      <c r="U265" s="36" t="e">
        <f>IF(C265="","",SUBSTITUTE(SUBSTITUTE("[{global_atk,"&amp;#REF!*D265&amp;"}]",21,20),9,8))</f>
        <v>#REF!</v>
      </c>
      <c r="V265" s="52" t="str">
        <f t="shared" si="124"/>
        <v>[5503094]</v>
      </c>
      <c r="Y265" s="42">
        <v>5</v>
      </c>
      <c r="AA265" s="42" t="s">
        <v>185</v>
      </c>
      <c r="AB265" s="42" t="str">
        <f t="shared" si="125"/>
        <v>梦灵获得祝福时，全体梦灵恢复&lt;color=#54b76b&gt;3.5%&lt;/color&gt;生命值</v>
      </c>
      <c r="AC265" s="48" t="str">
        <f t="shared" si="102"/>
        <v>5503091</v>
      </c>
      <c r="AD265" s="42" t="str">
        <f t="shared" si="103"/>
        <v>[3.5]</v>
      </c>
      <c r="AE265" s="36">
        <v>3</v>
      </c>
      <c r="AF265" s="36"/>
      <c r="AG265" s="36">
        <v>0</v>
      </c>
      <c r="AH265" s="35">
        <v>1</v>
      </c>
      <c r="AI265" s="48">
        <f t="shared" si="127"/>
        <v>5503094</v>
      </c>
      <c r="AJ265" s="53" t="str">
        <f t="shared" si="128"/>
        <v>梦灵获得祝福时，全体梦灵恢复&lt;color=#54b76b&gt;%s%&lt;/color&gt;生命值</v>
      </c>
      <c r="AK265" s="36">
        <v>3.5</v>
      </c>
      <c r="AL265" s="36">
        <v>3</v>
      </c>
    </row>
    <row r="266" hidden="1" customHeight="1" spans="1:38">
      <c r="A266" s="48">
        <v>5503095</v>
      </c>
      <c r="B266" s="34" t="s">
        <v>379</v>
      </c>
      <c r="C266" s="48" t="str">
        <f t="shared" si="99"/>
        <v>5503091</v>
      </c>
      <c r="D266" s="42">
        <f t="shared" si="100"/>
        <v>5</v>
      </c>
      <c r="E266" s="42"/>
      <c r="F266" s="36" t="s">
        <v>380</v>
      </c>
      <c r="G266" s="36" t="str">
        <f t="shared" si="126"/>
        <v/>
      </c>
      <c r="H266" s="36" t="str">
        <f>IFERROR(IF(--MID($F266,2*COUNTIF($G266:G266,"&gt;"&amp;0)+2,1)=H$1,H$1,""),"")</f>
        <v/>
      </c>
      <c r="I266" s="36" t="str">
        <f>IFERROR(IF(--MID($F266,2*COUNTIF($G266:H266,"&gt;"&amp;0)+2,1)=I$1,I$1,""),"")</f>
        <v/>
      </c>
      <c r="J266" s="36" t="str">
        <f>IFERROR(IF(--MID($F266,2*COUNTIF($G266:I266,"&gt;"&amp;0)+2,1)=J$1,J$1,""),"")</f>
        <v/>
      </c>
      <c r="K266" s="36">
        <f>IFERROR(IF(--MID($F266,2*COUNTIF($G266:J266,"&gt;"&amp;0)+2,1)=K$1,K$1,""),"")</f>
        <v>5</v>
      </c>
      <c r="L266" s="36">
        <f>IFERROR(IF(--MID($F266,2*COUNTIF($G266:K266,"&gt;"&amp;0)+2,1)=L$1,L$1,""),"")</f>
        <v>6</v>
      </c>
      <c r="M266" s="51" t="str" cm="1">
        <f t="array" ref="M266">IF($A266="","",IF(G266="","",_xlfn.XLOOKUP($D266&amp;"_"&amp;$AE266,符文权重!$A:$A&amp;"_"&amp;符文权重!$C:$C,符文权重!$D:$D)*$Y266/SUMIFS($Y:$Y,G:G,G266,$D:$D,$D266,$AE:$AE,$AE266)/SUMIF(符文权重!$A:$A,$D266,符文权重!$D:$D)))</f>
        <v/>
      </c>
      <c r="N266" s="51" t="str" cm="1">
        <f t="array" ref="N266">IF($A266="","",IF(H266="","",_xlfn.XLOOKUP($D266&amp;"_"&amp;$AE266,符文权重!$A:$A&amp;"_"&amp;符文权重!$C:$C,符文权重!$D:$D)*$Y266/SUMIFS($Y:$Y,H:H,H266,$D:$D,$D266,$AE:$AE,$AE266)/SUMIF(符文权重!$A:$A,$D266,符文权重!$D:$D)))</f>
        <v/>
      </c>
      <c r="O266" s="51" t="str" cm="1">
        <f t="array" ref="O266">IF($A266="","",IF(I266="","",_xlfn.XLOOKUP($D266&amp;"_"&amp;$AE266,符文权重!$A:$A&amp;"_"&amp;符文权重!$C:$C,符文权重!$D:$D)*$Y266/SUMIFS($Y:$Y,I:I,I266,$D:$D,$D266,$AE:$AE,$AE266)/SUMIF(符文权重!$A:$A,$D266,符文权重!$D:$D)))</f>
        <v/>
      </c>
      <c r="P266" s="51" t="str" cm="1">
        <f t="array" ref="P266">IF($A266="","",IF(J266="","",_xlfn.XLOOKUP($D266&amp;"_"&amp;$AE266,符文权重!$A:$A&amp;"_"&amp;符文权重!$C:$C,符文权重!$D:$D)*$Y266/SUMIFS($Y:$Y,J:J,J266,$D:$D,$D266,$AE:$AE,$AE266)/SUMIF(符文权重!$A:$A,$D266,符文权重!$D:$D)))</f>
        <v/>
      </c>
      <c r="Q266" s="51" cm="1">
        <f t="array" ref="Q266">IF($A266="","",IF(K266="","",_xlfn.XLOOKUP($D266&amp;"_"&amp;$AE266,符文权重!$A:$A&amp;"_"&amp;符文权重!$C:$C,符文权重!$D:$D)*$Y266/SUMIFS($Y:$Y,K:K,K266,$D:$D,$D266,$AE:$AE,$AE266)/SUMIF(符文权重!$A:$A,$D266,符文权重!$D:$D)))</f>
        <v>0.00721428571428571</v>
      </c>
      <c r="R266" s="51" cm="1">
        <f t="array" ref="R266">IF($A266="","",IF(L266="","",_xlfn.XLOOKUP($D266&amp;"_"&amp;$AE266,符文权重!$A:$A&amp;"_"&amp;符文权重!$C:$C,符文权重!$D:$D)*$Y266/SUMIFS($Y:$Y,L:L,L266,$D:$D,$D266,$AE:$AE,$AE266)/SUMIF(符文权重!$A:$A,$D266,符文权重!$D:$D)))</f>
        <v>0.0063125</v>
      </c>
      <c r="S266" s="36" t="s">
        <v>256</v>
      </c>
      <c r="T266" s="36"/>
      <c r="U266" s="36" t="e">
        <f>IF(C266="","",SUBSTITUTE(SUBSTITUTE("[{global_atk,"&amp;#REF!*D266&amp;"}]",21,20),9,8))</f>
        <v>#REF!</v>
      </c>
      <c r="V266" s="52" t="str">
        <f t="shared" si="124"/>
        <v>[5503095]</v>
      </c>
      <c r="Y266" s="42">
        <v>100</v>
      </c>
      <c r="AA266" s="42" t="s">
        <v>187</v>
      </c>
      <c r="AB266" s="42" t="str">
        <f t="shared" si="125"/>
        <v>梦灵获得祝福时，全体梦灵恢复&lt;color=#54b76b&gt;4%&lt;/color&gt;生命值</v>
      </c>
      <c r="AC266" s="48" t="str">
        <f t="shared" si="102"/>
        <v>5503091</v>
      </c>
      <c r="AD266" s="42" t="str">
        <f t="shared" si="103"/>
        <v>[4]</v>
      </c>
      <c r="AE266" s="36">
        <v>4</v>
      </c>
      <c r="AF266" s="36"/>
      <c r="AG266" s="36">
        <v>0</v>
      </c>
      <c r="AH266" s="35">
        <v>1</v>
      </c>
      <c r="AI266" s="48">
        <f t="shared" si="127"/>
        <v>5503095</v>
      </c>
      <c r="AJ266" s="53" t="str">
        <f t="shared" si="128"/>
        <v>梦灵获得祝福时，全体梦灵恢复&lt;color=#54b76b&gt;%s%&lt;/color&gt;生命值</v>
      </c>
      <c r="AK266" s="36">
        <v>4</v>
      </c>
      <c r="AL266" s="36">
        <v>3</v>
      </c>
    </row>
    <row r="267" hidden="1" customHeight="1" spans="1:38">
      <c r="A267" s="48">
        <v>5503096</v>
      </c>
      <c r="B267" s="34" t="s">
        <v>379</v>
      </c>
      <c r="C267" s="48" t="str">
        <f t="shared" si="99"/>
        <v>5503091</v>
      </c>
      <c r="D267" s="42">
        <f t="shared" si="100"/>
        <v>6</v>
      </c>
      <c r="E267" s="42"/>
      <c r="F267" s="36" t="s">
        <v>380</v>
      </c>
      <c r="G267" s="36" t="str">
        <f t="shared" si="126"/>
        <v/>
      </c>
      <c r="H267" s="36" t="str">
        <f>IFERROR(IF(--MID($F267,2*COUNTIF($G267:G267,"&gt;"&amp;0)+2,1)=H$1,H$1,""),"")</f>
        <v/>
      </c>
      <c r="I267" s="36" t="str">
        <f>IFERROR(IF(--MID($F267,2*COUNTIF($G267:H267,"&gt;"&amp;0)+2,1)=I$1,I$1,""),"")</f>
        <v/>
      </c>
      <c r="J267" s="36" t="str">
        <f>IFERROR(IF(--MID($F267,2*COUNTIF($G267:I267,"&gt;"&amp;0)+2,1)=J$1,J$1,""),"")</f>
        <v/>
      </c>
      <c r="K267" s="36">
        <f>IFERROR(IF(--MID($F267,2*COUNTIF($G267:J267,"&gt;"&amp;0)+2,1)=K$1,K$1,""),"")</f>
        <v>5</v>
      </c>
      <c r="L267" s="36">
        <f>IFERROR(IF(--MID($F267,2*COUNTIF($G267:K267,"&gt;"&amp;0)+2,1)=L$1,L$1,""),"")</f>
        <v>6</v>
      </c>
      <c r="M267" s="51" t="str" cm="1">
        <f t="array" ref="M267">IF($A267="","",IF(G267="","",_xlfn.XLOOKUP($D267&amp;"_"&amp;$AE267,符文权重!$A:$A&amp;"_"&amp;符文权重!$C:$C,符文权重!$D:$D)*$Y267/SUMIFS($Y:$Y,G:G,G267,$D:$D,$D267,$AE:$AE,$AE267)/SUMIF(符文权重!$A:$A,$D267,符文权重!$D:$D)))</f>
        <v/>
      </c>
      <c r="N267" s="51" t="str" cm="1">
        <f t="array" ref="N267">IF($A267="","",IF(H267="","",_xlfn.XLOOKUP($D267&amp;"_"&amp;$AE267,符文权重!$A:$A&amp;"_"&amp;符文权重!$C:$C,符文权重!$D:$D)*$Y267/SUMIFS($Y:$Y,H:H,H267,$D:$D,$D267,$AE:$AE,$AE267)/SUMIF(符文权重!$A:$A,$D267,符文权重!$D:$D)))</f>
        <v/>
      </c>
      <c r="O267" s="51" t="str" cm="1">
        <f t="array" ref="O267">IF($A267="","",IF(I267="","",_xlfn.XLOOKUP($D267&amp;"_"&amp;$AE267,符文权重!$A:$A&amp;"_"&amp;符文权重!$C:$C,符文权重!$D:$D)*$Y267/SUMIFS($Y:$Y,I:I,I267,$D:$D,$D267,$AE:$AE,$AE267)/SUMIF(符文权重!$A:$A,$D267,符文权重!$D:$D)))</f>
        <v/>
      </c>
      <c r="P267" s="51" t="str" cm="1">
        <f t="array" ref="P267">IF($A267="","",IF(J267="","",_xlfn.XLOOKUP($D267&amp;"_"&amp;$AE267,符文权重!$A:$A&amp;"_"&amp;符文权重!$C:$C,符文权重!$D:$D)*$Y267/SUMIFS($Y:$Y,J:J,J267,$D:$D,$D267,$AE:$AE,$AE267)/SUMIF(符文权重!$A:$A,$D267,符文权重!$D:$D)))</f>
        <v/>
      </c>
      <c r="Q267" s="51" cm="1">
        <f t="array" ref="Q267">IF($A267="","",IF(K267="","",_xlfn.XLOOKUP($D267&amp;"_"&amp;$AE267,符文权重!$A:$A&amp;"_"&amp;符文权重!$C:$C,符文权重!$D:$D)*$Y267/SUMIFS($Y:$Y,K:K,K267,$D:$D,$D267,$AE:$AE,$AE267)/SUMIF(符文权重!$A:$A,$D267,符文权重!$D:$D)))</f>
        <v>0.00721428571428571</v>
      </c>
      <c r="R267" s="51" cm="1">
        <f t="array" ref="R267">IF($A267="","",IF(L267="","",_xlfn.XLOOKUP($D267&amp;"_"&amp;$AE267,符文权重!$A:$A&amp;"_"&amp;符文权重!$C:$C,符文权重!$D:$D)*$Y267/SUMIFS($Y:$Y,L:L,L267,$D:$D,$D267,$AE:$AE,$AE267)/SUMIF(符文权重!$A:$A,$D267,符文权重!$D:$D)))</f>
        <v>0.0063125</v>
      </c>
      <c r="S267" s="36" t="s">
        <v>256</v>
      </c>
      <c r="T267" s="36"/>
      <c r="U267" s="36" t="e">
        <f>IF(C267="","",SUBSTITUTE(SUBSTITUTE("[{global_atk,"&amp;#REF!*D267&amp;"}]",21,20),9,8))</f>
        <v>#REF!</v>
      </c>
      <c r="V267" s="52" t="str">
        <f t="shared" si="124"/>
        <v>[5503096]</v>
      </c>
      <c r="Y267" s="42">
        <v>100</v>
      </c>
      <c r="AA267" s="42" t="s">
        <v>189</v>
      </c>
      <c r="AB267" s="42" t="str">
        <f t="shared" si="125"/>
        <v>梦灵获得祝福时，全体梦灵恢复&lt;color=#54b76b&gt;4.5%&lt;/color&gt;生命值</v>
      </c>
      <c r="AC267" s="48" t="str">
        <f t="shared" si="102"/>
        <v>5503091</v>
      </c>
      <c r="AD267" s="42" t="str">
        <f t="shared" si="103"/>
        <v>[4.5]</v>
      </c>
      <c r="AE267" s="36">
        <v>4</v>
      </c>
      <c r="AF267" s="36"/>
      <c r="AG267" s="36">
        <v>0</v>
      </c>
      <c r="AH267" s="35">
        <v>1</v>
      </c>
      <c r="AI267" s="48">
        <f t="shared" si="127"/>
        <v>5503096</v>
      </c>
      <c r="AJ267" s="53" t="str">
        <f t="shared" si="128"/>
        <v>梦灵获得祝福时，全体梦灵恢复&lt;color=#54b76b&gt;%s%&lt;/color&gt;生命值</v>
      </c>
      <c r="AK267" s="36">
        <v>4.5</v>
      </c>
      <c r="AL267" s="36">
        <v>3</v>
      </c>
    </row>
    <row r="268" hidden="1" customHeight="1" spans="1:38">
      <c r="A268" s="48">
        <v>5503097</v>
      </c>
      <c r="B268" s="34" t="s">
        <v>379</v>
      </c>
      <c r="C268" s="48" t="str">
        <f t="shared" si="99"/>
        <v>5503091</v>
      </c>
      <c r="D268" s="42">
        <f t="shared" si="100"/>
        <v>7</v>
      </c>
      <c r="E268" s="42"/>
      <c r="F268" s="36" t="s">
        <v>380</v>
      </c>
      <c r="G268" s="36" t="str">
        <f t="shared" si="126"/>
        <v/>
      </c>
      <c r="H268" s="36" t="str">
        <f>IFERROR(IF(--MID($F268,2*COUNTIF($G268:G268,"&gt;"&amp;0)+2,1)=H$1,H$1,""),"")</f>
        <v/>
      </c>
      <c r="I268" s="36" t="str">
        <f>IFERROR(IF(--MID($F268,2*COUNTIF($G268:H268,"&gt;"&amp;0)+2,1)=I$1,I$1,""),"")</f>
        <v/>
      </c>
      <c r="J268" s="36" t="str">
        <f>IFERROR(IF(--MID($F268,2*COUNTIF($G268:I268,"&gt;"&amp;0)+2,1)=J$1,J$1,""),"")</f>
        <v/>
      </c>
      <c r="K268" s="36">
        <f>IFERROR(IF(--MID($F268,2*COUNTIF($G268:J268,"&gt;"&amp;0)+2,1)=K$1,K$1,""),"")</f>
        <v>5</v>
      </c>
      <c r="L268" s="36">
        <f>IFERROR(IF(--MID($F268,2*COUNTIF($G268:K268,"&gt;"&amp;0)+2,1)=L$1,L$1,""),"")</f>
        <v>6</v>
      </c>
      <c r="M268" s="51" t="str" cm="1">
        <f t="array" ref="M268">IF($A268="","",IF(G268="","",_xlfn.XLOOKUP($D268&amp;"_"&amp;$AE268,符文权重!$A:$A&amp;"_"&amp;符文权重!$C:$C,符文权重!$D:$D)*$Y268/SUMIFS($Y:$Y,G:G,G268,$D:$D,$D268,$AE:$AE,$AE268)/SUMIF(符文权重!$A:$A,$D268,符文权重!$D:$D)))</f>
        <v/>
      </c>
      <c r="N268" s="51" t="str" cm="1">
        <f t="array" ref="N268">IF($A268="","",IF(H268="","",_xlfn.XLOOKUP($D268&amp;"_"&amp;$AE268,符文权重!$A:$A&amp;"_"&amp;符文权重!$C:$C,符文权重!$D:$D)*$Y268/SUMIFS($Y:$Y,H:H,H268,$D:$D,$D268,$AE:$AE,$AE268)/SUMIF(符文权重!$A:$A,$D268,符文权重!$D:$D)))</f>
        <v/>
      </c>
      <c r="O268" s="51" t="str" cm="1">
        <f t="array" ref="O268">IF($A268="","",IF(I268="","",_xlfn.XLOOKUP($D268&amp;"_"&amp;$AE268,符文权重!$A:$A&amp;"_"&amp;符文权重!$C:$C,符文权重!$D:$D)*$Y268/SUMIFS($Y:$Y,I:I,I268,$D:$D,$D268,$AE:$AE,$AE268)/SUMIF(符文权重!$A:$A,$D268,符文权重!$D:$D)))</f>
        <v/>
      </c>
      <c r="P268" s="51" t="str" cm="1">
        <f t="array" ref="P268">IF($A268="","",IF(J268="","",_xlfn.XLOOKUP($D268&amp;"_"&amp;$AE268,符文权重!$A:$A&amp;"_"&amp;符文权重!$C:$C,符文权重!$D:$D)*$Y268/SUMIFS($Y:$Y,J:J,J268,$D:$D,$D268,$AE:$AE,$AE268)/SUMIF(符文权重!$A:$A,$D268,符文权重!$D:$D)))</f>
        <v/>
      </c>
      <c r="Q268" s="51" cm="1">
        <f t="array" ref="Q268">IF($A268="","",IF(K268="","",_xlfn.XLOOKUP($D268&amp;"_"&amp;$AE268,符文权重!$A:$A&amp;"_"&amp;符文权重!$C:$C,符文权重!$D:$D)*$Y268/SUMIFS($Y:$Y,K:K,K268,$D:$D,$D268,$AE:$AE,$AE268)/SUMIF(符文权重!$A:$A,$D268,符文权重!$D:$D)))</f>
        <v>0.00721428571428571</v>
      </c>
      <c r="R268" s="51" cm="1">
        <f t="array" ref="R268">IF($A268="","",IF(L268="","",_xlfn.XLOOKUP($D268&amp;"_"&amp;$AE268,符文权重!$A:$A&amp;"_"&amp;符文权重!$C:$C,符文权重!$D:$D)*$Y268/SUMIFS($Y:$Y,L:L,L268,$D:$D,$D268,$AE:$AE,$AE268)/SUMIF(符文权重!$A:$A,$D268,符文权重!$D:$D)))</f>
        <v>0.0063125</v>
      </c>
      <c r="S268" s="36" t="s">
        <v>256</v>
      </c>
      <c r="T268" s="36"/>
      <c r="U268" s="36" t="e">
        <f>IF(C268="","",SUBSTITUTE(SUBSTITUTE("[{global_atk,"&amp;#REF!*D268&amp;"}]",21,20),9,8))</f>
        <v>#REF!</v>
      </c>
      <c r="V268" s="52" t="str">
        <f t="shared" si="124"/>
        <v>[5503097]</v>
      </c>
      <c r="Y268" s="42">
        <v>100</v>
      </c>
      <c r="AA268" s="42" t="s">
        <v>191</v>
      </c>
      <c r="AB268" s="42" t="str">
        <f t="shared" si="125"/>
        <v>梦灵获得祝福时，全体梦灵恢复&lt;color=#54b76b&gt;5%&lt;/color&gt;生命值</v>
      </c>
      <c r="AC268" s="48" t="str">
        <f t="shared" si="102"/>
        <v>5503091</v>
      </c>
      <c r="AD268" s="42" t="str">
        <f t="shared" si="103"/>
        <v>[5]</v>
      </c>
      <c r="AE268" s="36">
        <v>4</v>
      </c>
      <c r="AF268" s="36"/>
      <c r="AG268" s="36">
        <v>0</v>
      </c>
      <c r="AH268" s="35">
        <v>1</v>
      </c>
      <c r="AI268" s="48">
        <f t="shared" si="127"/>
        <v>5503097</v>
      </c>
      <c r="AJ268" s="53" t="str">
        <f t="shared" si="128"/>
        <v>梦灵获得祝福时，全体梦灵恢复&lt;color=#54b76b&gt;%s%&lt;/color&gt;生命值</v>
      </c>
      <c r="AK268" s="36">
        <v>5</v>
      </c>
      <c r="AL268" s="36">
        <v>3</v>
      </c>
    </row>
    <row r="269" s="25" customFormat="1" hidden="1" customHeight="1" spans="1:38">
      <c r="A269" s="48"/>
      <c r="B269" s="49"/>
      <c r="C269" s="48"/>
      <c r="D269" s="42"/>
      <c r="E269" s="42"/>
      <c r="F269" s="36"/>
      <c r="G269" s="36" t="str">
        <f t="shared" si="126"/>
        <v/>
      </c>
      <c r="H269" s="36" t="str">
        <f>IFERROR(IF(--MID($F269,2*COUNTIF($G269:G269,"&gt;"&amp;0)+2,1)=H$1,H$1,""),"")</f>
        <v/>
      </c>
      <c r="I269" s="36" t="str">
        <f>IFERROR(IF(--MID($F269,2*COUNTIF($G269:H269,"&gt;"&amp;0)+2,1)=I$1,I$1,""),"")</f>
        <v/>
      </c>
      <c r="J269" s="36" t="str">
        <f>IFERROR(IF(--MID($F269,2*COUNTIF($G269:I269,"&gt;"&amp;0)+2,1)=J$1,J$1,""),"")</f>
        <v/>
      </c>
      <c r="K269" s="36" t="str">
        <f>IFERROR(IF(--MID($F269,2*COUNTIF($G269:J269,"&gt;"&amp;0)+2,1)=K$1,K$1,""),"")</f>
        <v/>
      </c>
      <c r="L269" s="36" t="str">
        <f>IFERROR(IF(--MID($F269,2*COUNTIF($G269:K269,"&gt;"&amp;0)+2,1)=L$1,L$1,""),"")</f>
        <v/>
      </c>
      <c r="M269" s="51" t="str" cm="1">
        <f t="array" ref="M269">IF($A269="","",IF(G269="","",_xlfn.XLOOKUP($D269&amp;"_"&amp;$AE269,符文权重!$A:$A&amp;"_"&amp;符文权重!$C:$C,符文权重!$D:$D)*$Y269/SUMIFS($Y:$Y,G:G,G269,$D:$D,$D269,$AE:$AE,$AE269)/SUMIF(符文权重!$A:$A,$D269,符文权重!$D:$D)))</f>
        <v/>
      </c>
      <c r="N269" s="36" t="str" cm="1">
        <f t="array" ref="N269">IF($A269="","",IF(H269="","",_xlfn.XLOOKUP($D269&amp;"_"&amp;$AE269,符文权重!$A:$A&amp;"_"&amp;符文权重!$C:$C,符文权重!$D:$D)*$Y269/SUMIFS($Y:$Y,H:H,H269,$D:$D,$D$6,$AE:$AE,$AE$6)))</f>
        <v/>
      </c>
      <c r="O269" s="36" t="str" cm="1">
        <f t="array" ref="O269">IF($A269="","",IF(I269="","",_xlfn.XLOOKUP($D269&amp;"_"&amp;$AE269,符文权重!$A:$A&amp;"_"&amp;符文权重!$C:$C,符文权重!$D:$D)*$Y269/SUMIFS($Y:$Y,I:I,I269,$D:$D,$D$6,$AE:$AE,$AE$6)))</f>
        <v/>
      </c>
      <c r="P269" s="36" t="str" cm="1">
        <f t="array" ref="P269">IF($A269="","",IF(J269="","",_xlfn.XLOOKUP($D269&amp;"_"&amp;$AE269,符文权重!$A:$A&amp;"_"&amp;符文权重!$C:$C,符文权重!$D:$D)*$Y269/SUMIFS($Y:$Y,J:J,J269,$D:$D,$D$6,$AE:$AE,$AE$6)))</f>
        <v/>
      </c>
      <c r="Q269" s="36" t="str" cm="1">
        <f t="array" ref="Q269">IF($A269="","",IF(K269="","",_xlfn.XLOOKUP($D269&amp;"_"&amp;$AE269,符文权重!$A:$A&amp;"_"&amp;符文权重!$C:$C,符文权重!$D:$D)*$Y269/SUMIFS($Y:$Y,K:K,K269,$D:$D,$D$6,$AE:$AE,$AE$6)))</f>
        <v/>
      </c>
      <c r="R269" s="36" t="str" cm="1">
        <f t="array" ref="R269">IF($A269="","",IF(L269="","",_xlfn.XLOOKUP($D269&amp;"_"&amp;$AE269,符文权重!$A:$A&amp;"_"&amp;符文权重!$C:$C,符文权重!$D:$D)*$Y269/SUMIFS($Y:$Y,L:L,L269,$D:$D,$D$6,$AE:$AE,$AE$6)))</f>
        <v/>
      </c>
      <c r="S269" s="36"/>
      <c r="T269" s="36"/>
      <c r="U269" s="36"/>
      <c r="W269" s="41"/>
      <c r="X269" s="35"/>
      <c r="Y269" s="42"/>
      <c r="Z269" s="35"/>
      <c r="AA269" s="42"/>
      <c r="AB269" s="42" t="str">
        <f t="shared" si="125"/>
        <v/>
      </c>
      <c r="AC269" s="48"/>
      <c r="AD269" s="42"/>
      <c r="AE269" s="36"/>
      <c r="AF269" s="36"/>
      <c r="AG269" s="36"/>
      <c r="AH269" s="35" t="s">
        <v>178</v>
      </c>
      <c r="AI269" s="33"/>
      <c r="AJ269" s="56"/>
      <c r="AK269" s="36"/>
      <c r="AL269" s="36"/>
    </row>
    <row r="270" s="25" customFormat="1" hidden="1" customHeight="1" spans="1:38">
      <c r="A270" s="57">
        <v>5503101</v>
      </c>
      <c r="B270" s="58" t="s">
        <v>382</v>
      </c>
      <c r="C270" s="57" t="str">
        <f t="shared" ref="C270:C284" si="129">IF(ISBLANK(AI270),"",LEFT(AI270,6)&amp;1)</f>
        <v>5503101</v>
      </c>
      <c r="D270" s="59">
        <f t="shared" ref="D270:D284" si="130">IF(ISBLANK(AI270),"",VALUE(RIGHT(A270,1)))</f>
        <v>1</v>
      </c>
      <c r="E270" s="59"/>
      <c r="F270" s="60" t="s">
        <v>174</v>
      </c>
      <c r="G270" s="36">
        <f t="shared" si="126"/>
        <v>1</v>
      </c>
      <c r="H270" s="36">
        <f>IFERROR(IF(--MID($F270,2*COUNTIF($G270:G270,"&gt;"&amp;0)+2,1)=H$1,H$1,""),"")</f>
        <v>2</v>
      </c>
      <c r="I270" s="36">
        <f>IFERROR(IF(--MID($F270,2*COUNTIF($G270:H270,"&gt;"&amp;0)+2,1)=I$1,I$1,""),"")</f>
        <v>3</v>
      </c>
      <c r="J270" s="36">
        <f>IFERROR(IF(--MID($F270,2*COUNTIF($G270:I270,"&gt;"&amp;0)+2,1)=J$1,J$1,""),"")</f>
        <v>4</v>
      </c>
      <c r="K270" s="36">
        <f>IFERROR(IF(--MID($F270,2*COUNTIF($G270:J270,"&gt;"&amp;0)+2,1)=K$1,K$1,""),"")</f>
        <v>5</v>
      </c>
      <c r="L270" s="36">
        <f>IFERROR(IF(--MID($F270,2*COUNTIF($G270:K270,"&gt;"&amp;0)+2,1)=L$1,L$1,""),"")</f>
        <v>6</v>
      </c>
      <c r="M270" s="36" t="e" cm="1">
        <f t="array" ref="M270">IF(A270="","",_xlfn.XLOOKUP(D270&amp;"_"&amp;AE270,符文权重!A:A&amp;"_"&amp;符文权重!C:C,符文权重!D:D))</f>
        <v>#N/A</v>
      </c>
      <c r="N270" s="36"/>
      <c r="O270" s="36"/>
      <c r="P270" s="36"/>
      <c r="Q270" s="36"/>
      <c r="R270" s="36"/>
      <c r="S270" s="60" t="s">
        <v>344</v>
      </c>
      <c r="T270" s="60"/>
      <c r="U270" s="60" t="e">
        <f>IF(C270="","",SUBSTITUTE(SUBSTITUTE("[{global_atk,"&amp;#REF!*D270&amp;"}]",21,20),9,8))</f>
        <v>#REF!</v>
      </c>
      <c r="V270" s="61" t="str">
        <f t="shared" ref="V270:V276" si="131">"["&amp;A270&amp;"]"</f>
        <v>[5503101]</v>
      </c>
      <c r="W270" s="60"/>
      <c r="X270" s="28"/>
      <c r="Y270" s="42">
        <v>100</v>
      </c>
      <c r="Z270" s="28"/>
      <c r="AA270" s="59" t="s">
        <v>177</v>
      </c>
      <c r="AB270" s="42" t="str">
        <f t="shared" si="125"/>
        <v>梦灵血量低于&lt;color=#54b76b&gt;65%&lt;/color&gt;，伤害&lt;color=#54b76b&gt;+10%&lt;/color&gt;</v>
      </c>
      <c r="AC270" s="57" t="str">
        <f t="shared" ref="AC270:AC284" si="132">IF(ISBLANK(AI270),"",C270)</f>
        <v>5503101</v>
      </c>
      <c r="AD270" s="59" t="str">
        <f t="shared" ref="AD270:AD284" si="133">IF(ISBLANK(AK270),"","["&amp;AK270&amp;"]")</f>
        <v>[10]</v>
      </c>
      <c r="AE270" s="60">
        <v>100</v>
      </c>
      <c r="AF270" s="60"/>
      <c r="AG270" s="60">
        <v>1</v>
      </c>
      <c r="AH270" s="35" t="s">
        <v>178</v>
      </c>
      <c r="AI270" s="62">
        <v>5503101</v>
      </c>
      <c r="AJ270" s="63" t="s">
        <v>383</v>
      </c>
      <c r="AK270" s="35">
        <v>10</v>
      </c>
      <c r="AL270" s="36">
        <v>3</v>
      </c>
    </row>
    <row r="271" s="25" customFormat="1" hidden="1" customHeight="1" spans="1:38">
      <c r="A271" s="57">
        <v>5503102</v>
      </c>
      <c r="B271" s="58" t="s">
        <v>384</v>
      </c>
      <c r="C271" s="57" t="str">
        <f t="shared" si="129"/>
        <v>5503101</v>
      </c>
      <c r="D271" s="59">
        <f t="shared" si="130"/>
        <v>2</v>
      </c>
      <c r="E271" s="59"/>
      <c r="F271" s="60" t="s">
        <v>174</v>
      </c>
      <c r="G271" s="36">
        <f t="shared" si="126"/>
        <v>1</v>
      </c>
      <c r="H271" s="36">
        <f>IFERROR(IF(--MID($F271,2*COUNTIF($G271:G271,"&gt;"&amp;0)+2,1)=H$1,H$1,""),"")</f>
        <v>2</v>
      </c>
      <c r="I271" s="36">
        <f>IFERROR(IF(--MID($F271,2*COUNTIF($G271:H271,"&gt;"&amp;0)+2,1)=I$1,I$1,""),"")</f>
        <v>3</v>
      </c>
      <c r="J271" s="36">
        <f>IFERROR(IF(--MID($F271,2*COUNTIF($G271:I271,"&gt;"&amp;0)+2,1)=J$1,J$1,""),"")</f>
        <v>4</v>
      </c>
      <c r="K271" s="36">
        <f>IFERROR(IF(--MID($F271,2*COUNTIF($G271:J271,"&gt;"&amp;0)+2,1)=K$1,K$1,""),"")</f>
        <v>5</v>
      </c>
      <c r="L271" s="36">
        <f>IFERROR(IF(--MID($F271,2*COUNTIF($G271:K271,"&gt;"&amp;0)+2,1)=L$1,L$1,""),"")</f>
        <v>6</v>
      </c>
      <c r="M271" s="36" t="e" cm="1">
        <f t="array" ref="M271">IF(A271="","",_xlfn.XLOOKUP(D271&amp;"_"&amp;AE271,符文权重!A:A&amp;"_"&amp;符文权重!C:C,符文权重!D:D))</f>
        <v>#N/A</v>
      </c>
      <c r="N271" s="36"/>
      <c r="O271" s="36"/>
      <c r="P271" s="36"/>
      <c r="Q271" s="36"/>
      <c r="R271" s="36"/>
      <c r="S271" s="60" t="s">
        <v>344</v>
      </c>
      <c r="T271" s="60"/>
      <c r="U271" s="60" t="e">
        <f>IF(C271="","",SUBSTITUTE(SUBSTITUTE("[{global_atk,"&amp;#REF!*D271&amp;"}]",21,20),9,8))</f>
        <v>#REF!</v>
      </c>
      <c r="V271" s="61" t="str">
        <f t="shared" si="131"/>
        <v>[5503102]</v>
      </c>
      <c r="W271" s="60"/>
      <c r="X271" s="28"/>
      <c r="Y271" s="42">
        <v>100</v>
      </c>
      <c r="Z271" s="28"/>
      <c r="AA271" s="59" t="s">
        <v>181</v>
      </c>
      <c r="AB271" s="42" t="str">
        <f t="shared" si="125"/>
        <v>梦灵血量低于&lt;color=#54b76b&gt;65%&lt;/color&gt;，伤害&lt;color=#54b76b&gt;+15%&lt;/color&gt;</v>
      </c>
      <c r="AC271" s="57" t="str">
        <f t="shared" si="132"/>
        <v>5503101</v>
      </c>
      <c r="AD271" s="59" t="str">
        <f t="shared" si="133"/>
        <v>[15]</v>
      </c>
      <c r="AE271" s="60">
        <v>100</v>
      </c>
      <c r="AF271" s="60"/>
      <c r="AG271" s="60">
        <v>1</v>
      </c>
      <c r="AH271" s="35" t="s">
        <v>178</v>
      </c>
      <c r="AI271" s="57">
        <f t="shared" ref="AI271:AI276" si="134">AI270+1</f>
        <v>5503102</v>
      </c>
      <c r="AJ271" s="64" t="str">
        <f t="shared" ref="AJ271:AJ276" si="135">AJ270</f>
        <v>梦灵血量低于&lt;color=#54b76b&gt;65%&lt;/color&gt;，伤害&lt;color=#54b76b&gt;+%s%&lt;/color&gt;</v>
      </c>
      <c r="AK271" s="35">
        <v>15</v>
      </c>
      <c r="AL271" s="36">
        <v>3</v>
      </c>
    </row>
    <row r="272" s="25" customFormat="1" hidden="1" customHeight="1" spans="1:38">
      <c r="A272" s="48">
        <v>5503103</v>
      </c>
      <c r="B272" s="34" t="s">
        <v>385</v>
      </c>
      <c r="C272" s="48" t="str">
        <f t="shared" si="129"/>
        <v>5503101</v>
      </c>
      <c r="D272" s="42">
        <f t="shared" si="130"/>
        <v>3</v>
      </c>
      <c r="E272" s="42"/>
      <c r="F272" s="36" t="s">
        <v>174</v>
      </c>
      <c r="G272" s="36">
        <f t="shared" si="126"/>
        <v>1</v>
      </c>
      <c r="H272" s="36">
        <f>IFERROR(IF(--MID($F272,2*COUNTIF($G272:G272,"&gt;"&amp;0)+2,1)=H$1,H$1,""),"")</f>
        <v>2</v>
      </c>
      <c r="I272" s="36">
        <f>IFERROR(IF(--MID($F272,2*COUNTIF($G272:H272,"&gt;"&amp;0)+2,1)=I$1,I$1,""),"")</f>
        <v>3</v>
      </c>
      <c r="J272" s="36">
        <f>IFERROR(IF(--MID($F272,2*COUNTIF($G272:I272,"&gt;"&amp;0)+2,1)=J$1,J$1,""),"")</f>
        <v>4</v>
      </c>
      <c r="K272" s="36">
        <f>IFERROR(IF(--MID($F272,2*COUNTIF($G272:J272,"&gt;"&amp;0)+2,1)=K$1,K$1,""),"")</f>
        <v>5</v>
      </c>
      <c r="L272" s="36">
        <f>IFERROR(IF(--MID($F272,2*COUNTIF($G272:K272,"&gt;"&amp;0)+2,1)=L$1,L$1,""),"")</f>
        <v>6</v>
      </c>
      <c r="M272" s="51" cm="1">
        <f t="array" ref="M272">IF($A272="","",IF(G272="","",_xlfn.XLOOKUP($D272&amp;"_"&amp;$AE272,符文权重!$A:$A&amp;"_"&amp;符文权重!$C:$C,符文权重!$D:$D)*$Y272/SUMIFS($Y:$Y,G:G,G272,$D:$D,$D272,$AE:$AE,$AE272)/SUMIF(符文权重!$A:$A,$D272,符文权重!$D:$D)))</f>
        <v>0.0257879656160458</v>
      </c>
      <c r="N272" s="51" cm="1">
        <f t="array" ref="N272">IF($A272="","",IF(H272="","",_xlfn.XLOOKUP($D272&amp;"_"&amp;$AE272,符文权重!$A:$A&amp;"_"&amp;符文权重!$C:$C,符文权重!$D:$D)*$Y272/SUMIFS($Y:$Y,H:H,H272,$D:$D,$D272,$AE:$AE,$AE272)/SUMIF(符文权重!$A:$A,$D272,符文权重!$D:$D)))</f>
        <v>0.0257879656160458</v>
      </c>
      <c r="O272" s="51" cm="1">
        <f t="array" ref="O272">IF($A272="","",IF(I272="","",_xlfn.XLOOKUP($D272&amp;"_"&amp;$AE272,符文权重!$A:$A&amp;"_"&amp;符文权重!$C:$C,符文权重!$D:$D)*$Y272/SUMIFS($Y:$Y,I:I,I272,$D:$D,$D272,$AE:$AE,$AE272)/SUMIF(符文权重!$A:$A,$D272,符文权重!$D:$D)))</f>
        <v>0.0257879656160458</v>
      </c>
      <c r="P272" s="51" cm="1">
        <f t="array" ref="P272">IF($A272="","",IF(J272="","",_xlfn.XLOOKUP($D272&amp;"_"&amp;$AE272,符文权重!$A:$A&amp;"_"&amp;符文权重!$C:$C,符文权重!$D:$D)*$Y272/SUMIFS($Y:$Y,J:J,J272,$D:$D,$D272,$AE:$AE,$AE272)/SUMIF(符文权重!$A:$A,$D272,符文权重!$D:$D)))</f>
        <v>0.0257879656160458</v>
      </c>
      <c r="Q272" s="51" cm="1">
        <f t="array" ref="Q272">IF($A272="","",IF(K272="","",_xlfn.XLOOKUP($D272&amp;"_"&amp;$AE272,符文权重!$A:$A&amp;"_"&amp;符文权重!$C:$C,符文权重!$D:$D)*$Y272/SUMIFS($Y:$Y,K:K,K272,$D:$D,$D272,$AE:$AE,$AE272)/SUMIF(符文权重!$A:$A,$D272,符文权重!$D:$D)))</f>
        <v>0.0257879656160458</v>
      </c>
      <c r="R272" s="51" cm="1">
        <f t="array" ref="R272">IF($A272="","",IF(L272="","",_xlfn.XLOOKUP($D272&amp;"_"&amp;$AE272,符文权重!$A:$A&amp;"_"&amp;符文权重!$C:$C,符文权重!$D:$D)*$Y272/SUMIFS($Y:$Y,L:L,L272,$D:$D,$D272,$AE:$AE,$AE272)/SUMIF(符文权重!$A:$A,$D272,符文权重!$D:$D)))</f>
        <v>0.0257879656160458</v>
      </c>
      <c r="S272" s="36" t="s">
        <v>344</v>
      </c>
      <c r="T272" s="36"/>
      <c r="U272" s="36" t="e">
        <f>IF(C272="","",SUBSTITUTE(SUBSTITUTE("[{global_atk,"&amp;#REF!*D272&amp;"}]",21,20),9,8))</f>
        <v>#REF!</v>
      </c>
      <c r="V272" s="52" t="str">
        <f t="shared" si="131"/>
        <v>[5503103]</v>
      </c>
      <c r="W272" s="36"/>
      <c r="X272" s="35"/>
      <c r="Y272" s="42">
        <v>100</v>
      </c>
      <c r="Z272" s="35"/>
      <c r="AA272" s="42" t="s">
        <v>183</v>
      </c>
      <c r="AB272" s="42" t="str">
        <f t="shared" si="125"/>
        <v>梦灵血量低于&lt;color=#54b76b&gt;65%&lt;/color&gt;，伤害&lt;color=#54b76b&gt;+20%&lt;/color&gt;</v>
      </c>
      <c r="AC272" s="48" t="str">
        <f t="shared" si="132"/>
        <v>5503101</v>
      </c>
      <c r="AD272" s="42" t="str">
        <f t="shared" si="133"/>
        <v>[20]</v>
      </c>
      <c r="AE272" s="36">
        <v>3</v>
      </c>
      <c r="AF272" s="36"/>
      <c r="AG272" s="36">
        <v>0</v>
      </c>
      <c r="AH272" s="35" t="s">
        <v>178</v>
      </c>
      <c r="AI272" s="48">
        <f t="shared" si="134"/>
        <v>5503103</v>
      </c>
      <c r="AJ272" s="53" t="str">
        <f t="shared" si="135"/>
        <v>梦灵血量低于&lt;color=#54b76b&gt;65%&lt;/color&gt;，伤害&lt;color=#54b76b&gt;+%s%&lt;/color&gt;</v>
      </c>
      <c r="AK272" s="35">
        <v>20</v>
      </c>
      <c r="AL272" s="36">
        <v>3</v>
      </c>
    </row>
    <row r="273" s="25" customFormat="1" hidden="1" customHeight="1" spans="1:38">
      <c r="A273" s="48">
        <v>5503104</v>
      </c>
      <c r="B273" s="34" t="s">
        <v>386</v>
      </c>
      <c r="C273" s="48" t="str">
        <f t="shared" si="129"/>
        <v>5503101</v>
      </c>
      <c r="D273" s="42">
        <f t="shared" si="130"/>
        <v>4</v>
      </c>
      <c r="E273" s="42"/>
      <c r="F273" s="36" t="s">
        <v>174</v>
      </c>
      <c r="G273" s="36">
        <f t="shared" si="126"/>
        <v>1</v>
      </c>
      <c r="H273" s="36">
        <f>IFERROR(IF(--MID($F273,2*COUNTIF($G273:G273,"&gt;"&amp;0)+2,1)=H$1,H$1,""),"")</f>
        <v>2</v>
      </c>
      <c r="I273" s="36">
        <f>IFERROR(IF(--MID($F273,2*COUNTIF($G273:H273,"&gt;"&amp;0)+2,1)=I$1,I$1,""),"")</f>
        <v>3</v>
      </c>
      <c r="J273" s="36">
        <f>IFERROR(IF(--MID($F273,2*COUNTIF($G273:I273,"&gt;"&amp;0)+2,1)=J$1,J$1,""),"")</f>
        <v>4</v>
      </c>
      <c r="K273" s="36">
        <f>IFERROR(IF(--MID($F273,2*COUNTIF($G273:J273,"&gt;"&amp;0)+2,1)=K$1,K$1,""),"")</f>
        <v>5</v>
      </c>
      <c r="L273" s="36">
        <f>IFERROR(IF(--MID($F273,2*COUNTIF($G273:K273,"&gt;"&amp;0)+2,1)=L$1,L$1,""),"")</f>
        <v>6</v>
      </c>
      <c r="M273" s="51" cm="1">
        <f t="array" ref="M273">IF($A273="","",IF(G273="","",_xlfn.XLOOKUP($D273&amp;"_"&amp;$AE273,符文权重!$A:$A&amp;"_"&amp;符文权重!$C:$C,符文权重!$D:$D)*$Y273/SUMIFS($Y:$Y,G:G,G273,$D:$D,$D273,$AE:$AE,$AE273)/SUMIF(符文权重!$A:$A,$D273,符文权重!$D:$D)))</f>
        <v>0.0861973084195306</v>
      </c>
      <c r="N273" s="51" cm="1">
        <f t="array" ref="N273">IF($A273="","",IF(H273="","",_xlfn.XLOOKUP($D273&amp;"_"&amp;$AE273,符文权重!$A:$A&amp;"_"&amp;符文权重!$C:$C,符文权重!$D:$D)*$Y273/SUMIFS($Y:$Y,H:H,H273,$D:$D,$D273,$AE:$AE,$AE273)/SUMIF(符文权重!$A:$A,$D273,符文权重!$D:$D)))</f>
        <v>0.0861973084195306</v>
      </c>
      <c r="O273" s="51" cm="1">
        <f t="array" ref="O273">IF($A273="","",IF(I273="","",_xlfn.XLOOKUP($D273&amp;"_"&amp;$AE273,符文权重!$A:$A&amp;"_"&amp;符文权重!$C:$C,符文权重!$D:$D)*$Y273/SUMIFS($Y:$Y,I:I,I273,$D:$D,$D273,$AE:$AE,$AE273)/SUMIF(符文权重!$A:$A,$D273,符文权重!$D:$D)))</f>
        <v>0.0891696293995144</v>
      </c>
      <c r="P273" s="51" cm="1">
        <f t="array" ref="P273">IF($A273="","",IF(J273="","",_xlfn.XLOOKUP($D273&amp;"_"&amp;$AE273,符文权重!$A:$A&amp;"_"&amp;符文权重!$C:$C,符文权重!$D:$D)*$Y273/SUMIFS($Y:$Y,J:J,J273,$D:$D,$D273,$AE:$AE,$AE273)/SUMIF(符文权重!$A:$A,$D273,符文权重!$D:$D)))</f>
        <v>0.0861973084195306</v>
      </c>
      <c r="Q273" s="51" cm="1">
        <f t="array" ref="Q273">IF($A273="","",IF(K273="","",_xlfn.XLOOKUP($D273&amp;"_"&amp;$AE273,符文权重!$A:$A&amp;"_"&amp;符文权重!$C:$C,符文权重!$D:$D)*$Y273/SUMIFS($Y:$Y,K:K,K273,$D:$D,$D273,$AE:$AE,$AE273)/SUMIF(符文权重!$A:$A,$D273,符文权重!$D:$D)))</f>
        <v>0.0881563381563382</v>
      </c>
      <c r="R273" s="51" cm="1">
        <f t="array" ref="R273">IF($A273="","",IF(L273="","",_xlfn.XLOOKUP($D273&amp;"_"&amp;$AE273,符文权重!$A:$A&amp;"_"&amp;符文权重!$C:$C,符文权重!$D:$D)*$Y273/SUMIFS($Y:$Y,L:L,L273,$D:$D,$D273,$AE:$AE,$AE273)/SUMIF(符文权重!$A:$A,$D273,符文权重!$D:$D)))</f>
        <v>0.0852500852500852</v>
      </c>
      <c r="S273" s="36" t="s">
        <v>344</v>
      </c>
      <c r="T273" s="36"/>
      <c r="U273" s="36" t="e">
        <f>IF(C273="","",SUBSTITUTE(SUBSTITUTE("[{global_atk,"&amp;#REF!*D273&amp;"}]",21,20),9,8))</f>
        <v>#REF!</v>
      </c>
      <c r="V273" s="52" t="str">
        <f t="shared" si="131"/>
        <v>[5503104]</v>
      </c>
      <c r="W273" s="36"/>
      <c r="X273" s="35"/>
      <c r="Y273" s="42">
        <v>100</v>
      </c>
      <c r="Z273" s="35"/>
      <c r="AA273" s="42" t="s">
        <v>185</v>
      </c>
      <c r="AB273" s="42" t="str">
        <f t="shared" si="125"/>
        <v>梦灵血量低于&lt;color=#54b76b&gt;65%&lt;/color&gt;，伤害&lt;color=#54b76b&gt;+30%&lt;/color&gt;</v>
      </c>
      <c r="AC273" s="48" t="str">
        <f t="shared" si="132"/>
        <v>5503101</v>
      </c>
      <c r="AD273" s="42" t="str">
        <f t="shared" si="133"/>
        <v>[30]</v>
      </c>
      <c r="AE273" s="36">
        <v>3</v>
      </c>
      <c r="AF273" s="36"/>
      <c r="AG273" s="36">
        <v>0</v>
      </c>
      <c r="AH273" s="35" t="s">
        <v>178</v>
      </c>
      <c r="AI273" s="48">
        <f t="shared" si="134"/>
        <v>5503104</v>
      </c>
      <c r="AJ273" s="53" t="str">
        <f t="shared" si="135"/>
        <v>梦灵血量低于&lt;color=#54b76b&gt;65%&lt;/color&gt;，伤害&lt;color=#54b76b&gt;+%s%&lt;/color&gt;</v>
      </c>
      <c r="AK273" s="35">
        <v>30</v>
      </c>
      <c r="AL273" s="36">
        <v>3</v>
      </c>
    </row>
    <row r="274" s="25" customFormat="1" hidden="1" customHeight="1" spans="1:38">
      <c r="A274" s="48">
        <v>5503105</v>
      </c>
      <c r="B274" s="34" t="s">
        <v>387</v>
      </c>
      <c r="C274" s="48" t="str">
        <f t="shared" si="129"/>
        <v>5503101</v>
      </c>
      <c r="D274" s="42">
        <f t="shared" si="130"/>
        <v>5</v>
      </c>
      <c r="E274" s="42"/>
      <c r="F274" s="36" t="s">
        <v>174</v>
      </c>
      <c r="G274" s="36">
        <f t="shared" si="126"/>
        <v>1</v>
      </c>
      <c r="H274" s="36">
        <f>IFERROR(IF(--MID($F274,2*COUNTIF($G274:G274,"&gt;"&amp;0)+2,1)=H$1,H$1,""),"")</f>
        <v>2</v>
      </c>
      <c r="I274" s="36">
        <f>IFERROR(IF(--MID($F274,2*COUNTIF($G274:H274,"&gt;"&amp;0)+2,1)=I$1,I$1,""),"")</f>
        <v>3</v>
      </c>
      <c r="J274" s="36">
        <f>IFERROR(IF(--MID($F274,2*COUNTIF($G274:I274,"&gt;"&amp;0)+2,1)=J$1,J$1,""),"")</f>
        <v>4</v>
      </c>
      <c r="K274" s="36">
        <f>IFERROR(IF(--MID($F274,2*COUNTIF($G274:J274,"&gt;"&amp;0)+2,1)=K$1,K$1,""),"")</f>
        <v>5</v>
      </c>
      <c r="L274" s="36">
        <f>IFERROR(IF(--MID($F274,2*COUNTIF($G274:K274,"&gt;"&amp;0)+2,1)=L$1,L$1,""),"")</f>
        <v>6</v>
      </c>
      <c r="M274" s="51" cm="1">
        <f t="array" ref="M274">IF($A274="","",IF(G274="","",_xlfn.XLOOKUP($D274&amp;"_"&amp;$AE274,符文权重!$A:$A&amp;"_"&amp;符文权重!$C:$C,符文权重!$D:$D)*$Y274/SUMIFS($Y:$Y,G:G,G274,$D:$D,$D274,$AE:$AE,$AE274)/SUMIF(符文权重!$A:$A,$D274,符文权重!$D:$D)))</f>
        <v>0.101666666666667</v>
      </c>
      <c r="N274" s="51" cm="1">
        <f t="array" ref="N274">IF($A274="","",IF(H274="","",_xlfn.XLOOKUP($D274&amp;"_"&amp;$AE274,符文权重!$A:$A&amp;"_"&amp;符文权重!$C:$C,符文权重!$D:$D)*$Y274/SUMIFS($Y:$Y,H:H,H274,$D:$D,$D274,$AE:$AE,$AE274)/SUMIF(符文权重!$A:$A,$D274,符文权重!$D:$D)))</f>
        <v>0.098705501618123</v>
      </c>
      <c r="O274" s="51" cm="1">
        <f t="array" ref="O274">IF($A274="","",IF(I274="","",_xlfn.XLOOKUP($D274&amp;"_"&amp;$AE274,符文权重!$A:$A&amp;"_"&amp;符文权重!$C:$C,符文权重!$D:$D)*$Y274/SUMIFS($Y:$Y,I:I,I274,$D:$D,$D274,$AE:$AE,$AE274)/SUMIF(符文权重!$A:$A,$D274,符文权重!$D:$D)))</f>
        <v>0.101666666666667</v>
      </c>
      <c r="P274" s="51" cm="1">
        <f t="array" ref="P274">IF($A274="","",IF(J274="","",_xlfn.XLOOKUP($D274&amp;"_"&amp;$AE274,符文权重!$A:$A&amp;"_"&amp;符文权重!$C:$C,符文权重!$D:$D)*$Y274/SUMIFS($Y:$Y,J:J,J274,$D:$D,$D274,$AE:$AE,$AE274)/SUMIF(符文权重!$A:$A,$D274,符文权重!$D:$D)))</f>
        <v>0.101666666666667</v>
      </c>
      <c r="Q274" s="51" cm="1">
        <f t="array" ref="Q274">IF($A274="","",IF(K274="","",_xlfn.XLOOKUP($D274&amp;"_"&amp;$AE274,符文权重!$A:$A&amp;"_"&amp;符文权重!$C:$C,符文权重!$D:$D)*$Y274/SUMIFS($Y:$Y,K:K,K274,$D:$D,$D274,$AE:$AE,$AE274)/SUMIF(符文权重!$A:$A,$D274,符文权重!$D:$D)))</f>
        <v>0.098705501618123</v>
      </c>
      <c r="R274" s="51" cm="1">
        <f t="array" ref="R274">IF($A274="","",IF(L274="","",_xlfn.XLOOKUP($D274&amp;"_"&amp;$AE274,符文权重!$A:$A&amp;"_"&amp;符文权重!$C:$C,符文权重!$D:$D)*$Y274/SUMIFS($Y:$Y,L:L,L274,$D:$D,$D274,$AE:$AE,$AE274)/SUMIF(符文权重!$A:$A,$D274,符文权重!$D:$D)))</f>
        <v>0.101666666666667</v>
      </c>
      <c r="S274" s="36" t="s">
        <v>344</v>
      </c>
      <c r="T274" s="36"/>
      <c r="U274" s="36" t="e">
        <f>IF(C274="","",SUBSTITUTE(SUBSTITUTE("[{global_atk,"&amp;#REF!*D274&amp;"}]",21,20),9,8))</f>
        <v>#REF!</v>
      </c>
      <c r="V274" s="52" t="str">
        <f t="shared" si="131"/>
        <v>[5503105]</v>
      </c>
      <c r="W274" s="36"/>
      <c r="X274" s="35"/>
      <c r="Y274" s="42">
        <v>100</v>
      </c>
      <c r="Z274" s="35"/>
      <c r="AA274" s="42" t="s">
        <v>187</v>
      </c>
      <c r="AB274" s="42" t="str">
        <f t="shared" si="125"/>
        <v>梦灵血量低于&lt;color=#54b76b&gt;65%&lt;/color&gt;，伤害&lt;color=#54b76b&gt;+40%&lt;/color&gt;</v>
      </c>
      <c r="AC274" s="48" t="str">
        <f t="shared" si="132"/>
        <v>5503101</v>
      </c>
      <c r="AD274" s="42" t="str">
        <f t="shared" si="133"/>
        <v>[40]</v>
      </c>
      <c r="AE274" s="36">
        <v>3</v>
      </c>
      <c r="AF274" s="36"/>
      <c r="AG274" s="36">
        <v>0</v>
      </c>
      <c r="AH274" s="35" t="s">
        <v>178</v>
      </c>
      <c r="AI274" s="48">
        <f t="shared" si="134"/>
        <v>5503105</v>
      </c>
      <c r="AJ274" s="53" t="str">
        <f t="shared" si="135"/>
        <v>梦灵血量低于&lt;color=#54b76b&gt;65%&lt;/color&gt;，伤害&lt;color=#54b76b&gt;+%s%&lt;/color&gt;</v>
      </c>
      <c r="AK274" s="35">
        <v>40</v>
      </c>
      <c r="AL274" s="36">
        <v>3</v>
      </c>
    </row>
    <row r="275" s="25" customFormat="1" hidden="1" customHeight="1" spans="1:38">
      <c r="A275" s="48">
        <v>5503106</v>
      </c>
      <c r="B275" s="34" t="s">
        <v>388</v>
      </c>
      <c r="C275" s="48" t="str">
        <f t="shared" si="129"/>
        <v>5503101</v>
      </c>
      <c r="D275" s="42">
        <f t="shared" si="130"/>
        <v>6</v>
      </c>
      <c r="E275" s="42"/>
      <c r="F275" s="36" t="s">
        <v>174</v>
      </c>
      <c r="G275" s="36">
        <f t="shared" si="126"/>
        <v>1</v>
      </c>
      <c r="H275" s="36">
        <f>IFERROR(IF(--MID($F275,2*COUNTIF($G275:G275,"&gt;"&amp;0)+2,1)=H$1,H$1,""),"")</f>
        <v>2</v>
      </c>
      <c r="I275" s="36">
        <f>IFERROR(IF(--MID($F275,2*COUNTIF($G275:H275,"&gt;"&amp;0)+2,1)=I$1,I$1,""),"")</f>
        <v>3</v>
      </c>
      <c r="J275" s="36">
        <f>IFERROR(IF(--MID($F275,2*COUNTIF($G275:I275,"&gt;"&amp;0)+2,1)=J$1,J$1,""),"")</f>
        <v>4</v>
      </c>
      <c r="K275" s="36">
        <f>IFERROR(IF(--MID($F275,2*COUNTIF($G275:J275,"&gt;"&amp;0)+2,1)=K$1,K$1,""),"")</f>
        <v>5</v>
      </c>
      <c r="L275" s="36">
        <f>IFERROR(IF(--MID($F275,2*COUNTIF($G275:K275,"&gt;"&amp;0)+2,1)=L$1,L$1,""),"")</f>
        <v>6</v>
      </c>
      <c r="M275" s="51" cm="1">
        <f t="array" ref="M275">IF($A275="","",IF(G275="","",_xlfn.XLOOKUP($D275&amp;"_"&amp;$AE275,符文权重!$A:$A&amp;"_"&amp;符文权重!$C:$C,符文权重!$D:$D)*$Y275/SUMIFS($Y:$Y,G:G,G275,$D:$D,$D275,$AE:$AE,$AE275)/SUMIF(符文权重!$A:$A,$D275,符文权重!$D:$D)))</f>
        <v>0.101666666666667</v>
      </c>
      <c r="N275" s="51" cm="1">
        <f t="array" ref="N275">IF($A275="","",IF(H275="","",_xlfn.XLOOKUP($D275&amp;"_"&amp;$AE275,符文权重!$A:$A&amp;"_"&amp;符文权重!$C:$C,符文权重!$D:$D)*$Y275/SUMIFS($Y:$Y,H:H,H275,$D:$D,$D275,$AE:$AE,$AE275)/SUMIF(符文权重!$A:$A,$D275,符文权重!$D:$D)))</f>
        <v>0.098705501618123</v>
      </c>
      <c r="O275" s="51" cm="1">
        <f t="array" ref="O275">IF($A275="","",IF(I275="","",_xlfn.XLOOKUP($D275&amp;"_"&amp;$AE275,符文权重!$A:$A&amp;"_"&amp;符文权重!$C:$C,符文权重!$D:$D)*$Y275/SUMIFS($Y:$Y,I:I,I275,$D:$D,$D275,$AE:$AE,$AE275)/SUMIF(符文权重!$A:$A,$D275,符文权重!$D:$D)))</f>
        <v>0.101666666666667</v>
      </c>
      <c r="P275" s="51" cm="1">
        <f t="array" ref="P275">IF($A275="","",IF(J275="","",_xlfn.XLOOKUP($D275&amp;"_"&amp;$AE275,符文权重!$A:$A&amp;"_"&amp;符文权重!$C:$C,符文权重!$D:$D)*$Y275/SUMIFS($Y:$Y,J:J,J275,$D:$D,$D275,$AE:$AE,$AE275)/SUMIF(符文权重!$A:$A,$D275,符文权重!$D:$D)))</f>
        <v>0.101666666666667</v>
      </c>
      <c r="Q275" s="51" cm="1">
        <f t="array" ref="Q275">IF($A275="","",IF(K275="","",_xlfn.XLOOKUP($D275&amp;"_"&amp;$AE275,符文权重!$A:$A&amp;"_"&amp;符文权重!$C:$C,符文权重!$D:$D)*$Y275/SUMIFS($Y:$Y,K:K,K275,$D:$D,$D275,$AE:$AE,$AE275)/SUMIF(符文权重!$A:$A,$D275,符文权重!$D:$D)))</f>
        <v>0.098705501618123</v>
      </c>
      <c r="R275" s="51" cm="1">
        <f t="array" ref="R275">IF($A275="","",IF(L275="","",_xlfn.XLOOKUP($D275&amp;"_"&amp;$AE275,符文权重!$A:$A&amp;"_"&amp;符文权重!$C:$C,符文权重!$D:$D)*$Y275/SUMIFS($Y:$Y,L:L,L275,$D:$D,$D275,$AE:$AE,$AE275)/SUMIF(符文权重!$A:$A,$D275,符文权重!$D:$D)))</f>
        <v>0.101666666666667</v>
      </c>
      <c r="S275" s="36" t="s">
        <v>344</v>
      </c>
      <c r="T275" s="36"/>
      <c r="U275" s="36" t="e">
        <f>IF(C275="","",SUBSTITUTE(SUBSTITUTE("[{global_atk,"&amp;#REF!*D275&amp;"}]",21,20),9,8))</f>
        <v>#REF!</v>
      </c>
      <c r="V275" s="52" t="str">
        <f t="shared" si="131"/>
        <v>[5503106]</v>
      </c>
      <c r="W275" s="36"/>
      <c r="X275" s="35"/>
      <c r="Y275" s="42">
        <v>100</v>
      </c>
      <c r="Z275" s="35"/>
      <c r="AA275" s="42" t="s">
        <v>189</v>
      </c>
      <c r="AB275" s="42" t="str">
        <f t="shared" si="125"/>
        <v>梦灵血量低于&lt;color=#54b76b&gt;65%&lt;/color&gt;，伤害&lt;color=#54b76b&gt;+50%&lt;/color&gt;</v>
      </c>
      <c r="AC275" s="48" t="str">
        <f t="shared" si="132"/>
        <v>5503101</v>
      </c>
      <c r="AD275" s="42" t="str">
        <f t="shared" si="133"/>
        <v>[50]</v>
      </c>
      <c r="AE275" s="36">
        <v>3</v>
      </c>
      <c r="AF275" s="36"/>
      <c r="AG275" s="36">
        <v>0</v>
      </c>
      <c r="AH275" s="35" t="s">
        <v>178</v>
      </c>
      <c r="AI275" s="48">
        <f t="shared" si="134"/>
        <v>5503106</v>
      </c>
      <c r="AJ275" s="53" t="str">
        <f t="shared" si="135"/>
        <v>梦灵血量低于&lt;color=#54b76b&gt;65%&lt;/color&gt;，伤害&lt;color=#54b76b&gt;+%s%&lt;/color&gt;</v>
      </c>
      <c r="AK275" s="35">
        <v>50</v>
      </c>
      <c r="AL275" s="36">
        <v>3</v>
      </c>
    </row>
    <row r="276" s="25" customFormat="1" hidden="1" customHeight="1" spans="1:38">
      <c r="A276" s="48">
        <v>5503107</v>
      </c>
      <c r="B276" s="34" t="s">
        <v>389</v>
      </c>
      <c r="C276" s="48" t="str">
        <f t="shared" si="129"/>
        <v>5503101</v>
      </c>
      <c r="D276" s="42">
        <f t="shared" si="130"/>
        <v>7</v>
      </c>
      <c r="E276" s="42"/>
      <c r="F276" s="36" t="s">
        <v>174</v>
      </c>
      <c r="G276" s="36">
        <f t="shared" si="126"/>
        <v>1</v>
      </c>
      <c r="H276" s="36">
        <f>IFERROR(IF(--MID($F276,2*COUNTIF($G276:G276,"&gt;"&amp;0)+2,1)=H$1,H$1,""),"")</f>
        <v>2</v>
      </c>
      <c r="I276" s="36">
        <f>IFERROR(IF(--MID($F276,2*COUNTIF($G276:H276,"&gt;"&amp;0)+2,1)=I$1,I$1,""),"")</f>
        <v>3</v>
      </c>
      <c r="J276" s="36">
        <f>IFERROR(IF(--MID($F276,2*COUNTIF($G276:I276,"&gt;"&amp;0)+2,1)=J$1,J$1,""),"")</f>
        <v>4</v>
      </c>
      <c r="K276" s="36">
        <f>IFERROR(IF(--MID($F276,2*COUNTIF($G276:J276,"&gt;"&amp;0)+2,1)=K$1,K$1,""),"")</f>
        <v>5</v>
      </c>
      <c r="L276" s="36">
        <f>IFERROR(IF(--MID($F276,2*COUNTIF($G276:K276,"&gt;"&amp;0)+2,1)=L$1,L$1,""),"")</f>
        <v>6</v>
      </c>
      <c r="M276" s="51" cm="1">
        <f t="array" ref="M276">IF($A276="","",IF(G276="","",_xlfn.XLOOKUP($D276&amp;"_"&amp;$AE276,符文权重!$A:$A&amp;"_"&amp;符文权重!$C:$C,符文权重!$D:$D)*$Y276/SUMIFS($Y:$Y,G:G,G276,$D:$D,$D276,$AE:$AE,$AE276)/SUMIF(符文权重!$A:$A,$D276,符文权重!$D:$D)))</f>
        <v>0.101666666666667</v>
      </c>
      <c r="N276" s="51" cm="1">
        <f t="array" ref="N276">IF($A276="","",IF(H276="","",_xlfn.XLOOKUP($D276&amp;"_"&amp;$AE276,符文权重!$A:$A&amp;"_"&amp;符文权重!$C:$C,符文权重!$D:$D)*$Y276/SUMIFS($Y:$Y,H:H,H276,$D:$D,$D276,$AE:$AE,$AE276)/SUMIF(符文权重!$A:$A,$D276,符文权重!$D:$D)))</f>
        <v>0.098705501618123</v>
      </c>
      <c r="O276" s="51" cm="1">
        <f t="array" ref="O276">IF($A276="","",IF(I276="","",_xlfn.XLOOKUP($D276&amp;"_"&amp;$AE276,符文权重!$A:$A&amp;"_"&amp;符文权重!$C:$C,符文权重!$D:$D)*$Y276/SUMIFS($Y:$Y,I:I,I276,$D:$D,$D276,$AE:$AE,$AE276)/SUMIF(符文权重!$A:$A,$D276,符文权重!$D:$D)))</f>
        <v>0.101666666666667</v>
      </c>
      <c r="P276" s="51" cm="1">
        <f t="array" ref="P276">IF($A276="","",IF(J276="","",_xlfn.XLOOKUP($D276&amp;"_"&amp;$AE276,符文权重!$A:$A&amp;"_"&amp;符文权重!$C:$C,符文权重!$D:$D)*$Y276/SUMIFS($Y:$Y,J:J,J276,$D:$D,$D276,$AE:$AE,$AE276)/SUMIF(符文权重!$A:$A,$D276,符文权重!$D:$D)))</f>
        <v>0.101666666666667</v>
      </c>
      <c r="Q276" s="51" cm="1">
        <f t="array" ref="Q276">IF($A276="","",IF(K276="","",_xlfn.XLOOKUP($D276&amp;"_"&amp;$AE276,符文权重!$A:$A&amp;"_"&amp;符文权重!$C:$C,符文权重!$D:$D)*$Y276/SUMIFS($Y:$Y,K:K,K276,$D:$D,$D276,$AE:$AE,$AE276)/SUMIF(符文权重!$A:$A,$D276,符文权重!$D:$D)))</f>
        <v>0.098705501618123</v>
      </c>
      <c r="R276" s="51" cm="1">
        <f t="array" ref="R276">IF($A276="","",IF(L276="","",_xlfn.XLOOKUP($D276&amp;"_"&amp;$AE276,符文权重!$A:$A&amp;"_"&amp;符文权重!$C:$C,符文权重!$D:$D)*$Y276/SUMIFS($Y:$Y,L:L,L276,$D:$D,$D276,$AE:$AE,$AE276)/SUMIF(符文权重!$A:$A,$D276,符文权重!$D:$D)))</f>
        <v>0.101666666666667</v>
      </c>
      <c r="S276" s="36" t="s">
        <v>344</v>
      </c>
      <c r="T276" s="36"/>
      <c r="U276" s="36" t="e">
        <f>IF(C276="","",SUBSTITUTE(SUBSTITUTE("[{global_atk,"&amp;#REF!*D276&amp;"}]",21,20),9,8))</f>
        <v>#REF!</v>
      </c>
      <c r="V276" s="52" t="str">
        <f t="shared" si="131"/>
        <v>[5503107]</v>
      </c>
      <c r="W276" s="36"/>
      <c r="X276" s="35"/>
      <c r="Y276" s="42">
        <v>100</v>
      </c>
      <c r="Z276" s="35"/>
      <c r="AA276" s="42" t="s">
        <v>191</v>
      </c>
      <c r="AB276" s="42" t="str">
        <f t="shared" si="125"/>
        <v>梦灵血量低于&lt;color=#54b76b&gt;65%&lt;/color&gt;，伤害&lt;color=#54b76b&gt;+60%&lt;/color&gt;</v>
      </c>
      <c r="AC276" s="48" t="str">
        <f t="shared" si="132"/>
        <v>5503101</v>
      </c>
      <c r="AD276" s="42" t="str">
        <f t="shared" si="133"/>
        <v>[60]</v>
      </c>
      <c r="AE276" s="36">
        <v>3</v>
      </c>
      <c r="AF276" s="36"/>
      <c r="AG276" s="36">
        <v>0</v>
      </c>
      <c r="AH276" s="35" t="s">
        <v>178</v>
      </c>
      <c r="AI276" s="48">
        <f t="shared" si="134"/>
        <v>5503107</v>
      </c>
      <c r="AJ276" s="53" t="str">
        <f t="shared" si="135"/>
        <v>梦灵血量低于&lt;color=#54b76b&gt;65%&lt;/color&gt;，伤害&lt;color=#54b76b&gt;+%s%&lt;/color&gt;</v>
      </c>
      <c r="AK276" s="36">
        <v>60</v>
      </c>
      <c r="AL276" s="36">
        <v>3</v>
      </c>
    </row>
    <row r="277" s="25" customFormat="1" hidden="1" customHeight="1" spans="1:38">
      <c r="A277" s="48" t="s">
        <v>178</v>
      </c>
      <c r="B277" s="49" t="s">
        <v>390</v>
      </c>
      <c r="C277" s="48" t="str">
        <f t="shared" si="129"/>
        <v/>
      </c>
      <c r="D277" s="42" t="str">
        <f t="shared" si="130"/>
        <v/>
      </c>
      <c r="E277" s="42"/>
      <c r="F277" s="36"/>
      <c r="G277" s="36" t="str">
        <f t="shared" si="126"/>
        <v/>
      </c>
      <c r="H277" s="36" t="str">
        <f>IFERROR(IF(--MID($F277,2*COUNTIF($G277:G277,"&gt;"&amp;0)+2,1)=H$1,H$1,""),"")</f>
        <v/>
      </c>
      <c r="I277" s="36" t="str">
        <f>IFERROR(IF(--MID($F277,2*COUNTIF($G277:H277,"&gt;"&amp;0)+2,1)=I$1,I$1,""),"")</f>
        <v/>
      </c>
      <c r="J277" s="36" t="str">
        <f>IFERROR(IF(--MID($F277,2*COUNTIF($G277:I277,"&gt;"&amp;0)+2,1)=J$1,J$1,""),"")</f>
        <v/>
      </c>
      <c r="K277" s="36" t="str">
        <f>IFERROR(IF(--MID($F277,2*COUNTIF($G277:J277,"&gt;"&amp;0)+2,1)=K$1,K$1,""),"")</f>
        <v/>
      </c>
      <c r="L277" s="36" t="str">
        <f>IFERROR(IF(--MID($F277,2*COUNTIF($G277:K277,"&gt;"&amp;0)+2,1)=L$1,L$1,""),"")</f>
        <v/>
      </c>
      <c r="M277" s="51" t="str" cm="1">
        <f t="array" ref="M277">IF($A277="","",IF(G277="","",_xlfn.XLOOKUP($D277&amp;"_"&amp;$AE277,符文权重!$A:$A&amp;"_"&amp;符文权重!$C:$C,符文权重!$D:$D)*$Y277/SUMIFS($Y:$Y,G:G,G277,$D:$D,$D277,$AE:$AE,$AE277)/SUMIF(符文权重!$A:$A,$D277,符文权重!$D:$D)))</f>
        <v/>
      </c>
      <c r="N277" s="36" t="str" cm="1">
        <f t="array" ref="N277">IF($A277="","",IF(H277="","",_xlfn.XLOOKUP($D277&amp;"_"&amp;$AE277,符文权重!$A:$A&amp;"_"&amp;符文权重!$C:$C,符文权重!$D:$D)*$Y277/SUMIFS($Y:$Y,H:H,H277,$D:$D,$D$6,$AE:$AE,$AE$6)))</f>
        <v/>
      </c>
      <c r="O277" s="36" t="str" cm="1">
        <f t="array" ref="O277">IF($A277="","",IF(I277="","",_xlfn.XLOOKUP($D277&amp;"_"&amp;$AE277,符文权重!$A:$A&amp;"_"&amp;符文权重!$C:$C,符文权重!$D:$D)*$Y277/SUMIFS($Y:$Y,I:I,I277,$D:$D,$D$6,$AE:$AE,$AE$6)))</f>
        <v/>
      </c>
      <c r="P277" s="36" t="str" cm="1">
        <f t="array" ref="P277">IF($A277="","",IF(J277="","",_xlfn.XLOOKUP($D277&amp;"_"&amp;$AE277,符文权重!$A:$A&amp;"_"&amp;符文权重!$C:$C,符文权重!$D:$D)*$Y277/SUMIFS($Y:$Y,J:J,J277,$D:$D,$D$6,$AE:$AE,$AE$6)))</f>
        <v/>
      </c>
      <c r="Q277" s="36" t="str" cm="1">
        <f t="array" ref="Q277">IF($A277="","",IF(K277="","",_xlfn.XLOOKUP($D277&amp;"_"&amp;$AE277,符文权重!$A:$A&amp;"_"&amp;符文权重!$C:$C,符文权重!$D:$D)*$Y277/SUMIFS($Y:$Y,K:K,K277,$D:$D,$D$6,$AE:$AE,$AE$6)))</f>
        <v/>
      </c>
      <c r="R277" s="36" t="str" cm="1">
        <f t="array" ref="R277">IF($A277="","",IF(L277="","",_xlfn.XLOOKUP($D277&amp;"_"&amp;$AE277,符文权重!$A:$A&amp;"_"&amp;符文权重!$C:$C,符文权重!$D:$D)*$Y277/SUMIFS($Y:$Y,L:L,L277,$D:$D,$D$6,$AE:$AE,$AE$6)))</f>
        <v/>
      </c>
      <c r="S277" s="36"/>
      <c r="T277" s="36"/>
      <c r="U277" s="36"/>
      <c r="W277" s="41"/>
      <c r="X277" s="35"/>
      <c r="Y277" s="42"/>
      <c r="Z277" s="35"/>
      <c r="AA277" s="42" t="s">
        <v>178</v>
      </c>
      <c r="AB277" s="42" t="str">
        <f t="shared" si="125"/>
        <v/>
      </c>
      <c r="AC277" s="48" t="str">
        <f t="shared" si="132"/>
        <v/>
      </c>
      <c r="AD277" s="42" t="str">
        <f t="shared" si="133"/>
        <v/>
      </c>
      <c r="AE277" s="36"/>
      <c r="AF277" s="36"/>
      <c r="AG277" s="36"/>
      <c r="AH277" s="35" t="s">
        <v>178</v>
      </c>
      <c r="AI277" s="33"/>
      <c r="AJ277" s="56"/>
      <c r="AK277" s="36"/>
      <c r="AL277" s="36"/>
    </row>
    <row r="278" s="27" customFormat="1" hidden="1" customHeight="1" spans="1:38">
      <c r="A278" s="57">
        <v>5504011</v>
      </c>
      <c r="B278" s="58" t="s">
        <v>391</v>
      </c>
      <c r="C278" s="57" t="str">
        <f t="shared" si="129"/>
        <v>5504011</v>
      </c>
      <c r="D278" s="59">
        <f t="shared" si="130"/>
        <v>1</v>
      </c>
      <c r="E278" s="59"/>
      <c r="F278" s="60" t="s">
        <v>174</v>
      </c>
      <c r="G278" s="36">
        <f t="shared" si="126"/>
        <v>1</v>
      </c>
      <c r="H278" s="36">
        <f>IFERROR(IF(--MID($F278,2*COUNTIF($G278:G278,"&gt;"&amp;0)+2,1)=H$1,H$1,""),"")</f>
        <v>2</v>
      </c>
      <c r="I278" s="36">
        <f>IFERROR(IF(--MID($F278,2*COUNTIF($G278:H278,"&gt;"&amp;0)+2,1)=I$1,I$1,""),"")</f>
        <v>3</v>
      </c>
      <c r="J278" s="36">
        <f>IFERROR(IF(--MID($F278,2*COUNTIF($G278:I278,"&gt;"&amp;0)+2,1)=J$1,J$1,""),"")</f>
        <v>4</v>
      </c>
      <c r="K278" s="36">
        <f>IFERROR(IF(--MID($F278,2*COUNTIF($G278:J278,"&gt;"&amp;0)+2,1)=K$1,K$1,""),"")</f>
        <v>5</v>
      </c>
      <c r="L278" s="36">
        <f>IFERROR(IF(--MID($F278,2*COUNTIF($G278:K278,"&gt;"&amp;0)+2,1)=L$1,L$1,""),"")</f>
        <v>6</v>
      </c>
      <c r="M278" s="36" t="e" cm="1">
        <f t="array" ref="M278">IF(A278="","",_xlfn.XLOOKUP(D278&amp;"_"&amp;AE278,符文权重!A:A&amp;"_"&amp;符文权重!C:C,符文权重!D:D))</f>
        <v>#N/A</v>
      </c>
      <c r="N278" s="36"/>
      <c r="O278" s="36"/>
      <c r="P278" s="36"/>
      <c r="Q278" s="36"/>
      <c r="R278" s="36"/>
      <c r="S278" s="60" t="s">
        <v>344</v>
      </c>
      <c r="T278" s="60"/>
      <c r="U278" s="60" t="e">
        <f>IF(C278="","",SUBSTITUTE(SUBSTITUTE("[{global_atk,"&amp;#REF!*D278&amp;"}]",21,20),9,8))</f>
        <v>#REF!</v>
      </c>
      <c r="V278" s="61" t="str">
        <f t="shared" ref="V278:V284" si="136">"["&amp;A278&amp;"]"</f>
        <v>[5504011]</v>
      </c>
      <c r="W278" s="60"/>
      <c r="X278" s="28"/>
      <c r="Y278" s="42">
        <v>100</v>
      </c>
      <c r="Z278" s="28"/>
      <c r="AA278" s="59" t="s">
        <v>177</v>
      </c>
      <c r="AB278" s="42" t="str">
        <f t="shared" si="125"/>
        <v>梦灵满血时，伤害&lt;color=#54b76b&gt;+10%&lt;/color&gt;</v>
      </c>
      <c r="AC278" s="57" t="str">
        <f t="shared" si="132"/>
        <v>5504011</v>
      </c>
      <c r="AD278" s="59" t="str">
        <f t="shared" si="133"/>
        <v>[10]</v>
      </c>
      <c r="AE278" s="60">
        <v>100</v>
      </c>
      <c r="AF278" s="60"/>
      <c r="AG278" s="60">
        <v>1</v>
      </c>
      <c r="AH278" s="35" t="s">
        <v>178</v>
      </c>
      <c r="AI278" s="62">
        <v>5504011</v>
      </c>
      <c r="AJ278" s="63" t="s">
        <v>391</v>
      </c>
      <c r="AK278" s="60">
        <v>10</v>
      </c>
      <c r="AL278" s="36"/>
    </row>
    <row r="279" s="27" customFormat="1" hidden="1" customHeight="1" spans="1:38">
      <c r="A279" s="57">
        <v>5504012</v>
      </c>
      <c r="B279" s="58" t="s">
        <v>391</v>
      </c>
      <c r="C279" s="57" t="str">
        <f t="shared" si="129"/>
        <v>5504011</v>
      </c>
      <c r="D279" s="59">
        <f t="shared" si="130"/>
        <v>2</v>
      </c>
      <c r="E279" s="59"/>
      <c r="F279" s="60" t="s">
        <v>174</v>
      </c>
      <c r="G279" s="36">
        <f t="shared" si="126"/>
        <v>1</v>
      </c>
      <c r="H279" s="36">
        <f>IFERROR(IF(--MID($F279,2*COUNTIF($G279:G279,"&gt;"&amp;0)+2,1)=H$1,H$1,""),"")</f>
        <v>2</v>
      </c>
      <c r="I279" s="36">
        <f>IFERROR(IF(--MID($F279,2*COUNTIF($G279:H279,"&gt;"&amp;0)+2,1)=I$1,I$1,""),"")</f>
        <v>3</v>
      </c>
      <c r="J279" s="36">
        <f>IFERROR(IF(--MID($F279,2*COUNTIF($G279:I279,"&gt;"&amp;0)+2,1)=J$1,J$1,""),"")</f>
        <v>4</v>
      </c>
      <c r="K279" s="36">
        <f>IFERROR(IF(--MID($F279,2*COUNTIF($G279:J279,"&gt;"&amp;0)+2,1)=K$1,K$1,""),"")</f>
        <v>5</v>
      </c>
      <c r="L279" s="36">
        <f>IFERROR(IF(--MID($F279,2*COUNTIF($G279:K279,"&gt;"&amp;0)+2,1)=L$1,L$1,""),"")</f>
        <v>6</v>
      </c>
      <c r="M279" s="36" t="e" cm="1">
        <f t="array" ref="M279">IF(A279="","",_xlfn.XLOOKUP(D279&amp;"_"&amp;AE279,符文权重!A:A&amp;"_"&amp;符文权重!C:C,符文权重!D:D))</f>
        <v>#N/A</v>
      </c>
      <c r="N279" s="36"/>
      <c r="O279" s="36"/>
      <c r="P279" s="36"/>
      <c r="Q279" s="36"/>
      <c r="R279" s="36"/>
      <c r="S279" s="60" t="s">
        <v>344</v>
      </c>
      <c r="T279" s="60"/>
      <c r="U279" s="60" t="e">
        <f>IF(C279="","",SUBSTITUTE(SUBSTITUTE("[{global_atk,"&amp;#REF!*D279&amp;"}]",21,20),9,8))</f>
        <v>#REF!</v>
      </c>
      <c r="V279" s="61" t="str">
        <f t="shared" si="136"/>
        <v>[5504012]</v>
      </c>
      <c r="W279" s="60"/>
      <c r="X279" s="28"/>
      <c r="Y279" s="42">
        <v>100</v>
      </c>
      <c r="Z279" s="28"/>
      <c r="AA279" s="59" t="s">
        <v>181</v>
      </c>
      <c r="AB279" s="42" t="str">
        <f t="shared" si="125"/>
        <v>梦灵满血时，伤害&lt;color=#54b76b&gt;+15%&lt;/color&gt;</v>
      </c>
      <c r="AC279" s="57" t="str">
        <f t="shared" si="132"/>
        <v>5504011</v>
      </c>
      <c r="AD279" s="59" t="str">
        <f t="shared" si="133"/>
        <v>[15]</v>
      </c>
      <c r="AE279" s="60">
        <v>100</v>
      </c>
      <c r="AF279" s="60"/>
      <c r="AG279" s="60">
        <v>1</v>
      </c>
      <c r="AH279" s="35" t="s">
        <v>178</v>
      </c>
      <c r="AI279" s="57">
        <f t="shared" ref="AI279:AI284" si="137">AI278+1</f>
        <v>5504012</v>
      </c>
      <c r="AJ279" s="64" t="str">
        <f t="shared" ref="AJ279:AJ284" si="138">AJ278</f>
        <v>梦灵满血时，伤害&lt;color=#54b76b&gt;+%s%&lt;/color&gt;</v>
      </c>
      <c r="AK279" s="60">
        <v>15</v>
      </c>
      <c r="AL279" s="36"/>
    </row>
    <row r="280" s="25" customFormat="1" hidden="1" customHeight="1" spans="1:38">
      <c r="A280" s="48">
        <v>5504013</v>
      </c>
      <c r="B280" s="34" t="s">
        <v>391</v>
      </c>
      <c r="C280" s="48" t="str">
        <f t="shared" si="129"/>
        <v>5504011</v>
      </c>
      <c r="D280" s="42">
        <f t="shared" si="130"/>
        <v>3</v>
      </c>
      <c r="E280" s="42"/>
      <c r="F280" s="36" t="s">
        <v>174</v>
      </c>
      <c r="G280" s="36">
        <f t="shared" si="126"/>
        <v>1</v>
      </c>
      <c r="H280" s="36">
        <f>IFERROR(IF(--MID($F280,2*COUNTIF($G280:G280,"&gt;"&amp;0)+2,1)=H$1,H$1,""),"")</f>
        <v>2</v>
      </c>
      <c r="I280" s="36">
        <f>IFERROR(IF(--MID($F280,2*COUNTIF($G280:H280,"&gt;"&amp;0)+2,1)=I$1,I$1,""),"")</f>
        <v>3</v>
      </c>
      <c r="J280" s="36">
        <f>IFERROR(IF(--MID($F280,2*COUNTIF($G280:I280,"&gt;"&amp;0)+2,1)=J$1,J$1,""),"")</f>
        <v>4</v>
      </c>
      <c r="K280" s="36">
        <f>IFERROR(IF(--MID($F280,2*COUNTIF($G280:J280,"&gt;"&amp;0)+2,1)=K$1,K$1,""),"")</f>
        <v>5</v>
      </c>
      <c r="L280" s="36">
        <f>IFERROR(IF(--MID($F280,2*COUNTIF($G280:K280,"&gt;"&amp;0)+2,1)=L$1,L$1,""),"")</f>
        <v>6</v>
      </c>
      <c r="M280" s="36" t="e" cm="1">
        <f t="array" ref="M280">IF(A280="","",_xlfn.XLOOKUP(D280&amp;"_"&amp;AE280,符文权重!A:A&amp;"_"&amp;符文权重!C:C,符文权重!D:D))</f>
        <v>#N/A</v>
      </c>
      <c r="N280" s="36"/>
      <c r="O280" s="36"/>
      <c r="P280" s="36"/>
      <c r="Q280" s="36"/>
      <c r="R280" s="36"/>
      <c r="S280" s="36" t="s">
        <v>344</v>
      </c>
      <c r="T280" s="36"/>
      <c r="U280" s="36" t="e">
        <f>IF(C280="","",SUBSTITUTE(SUBSTITUTE("[{global_atk,"&amp;#REF!*D280&amp;"}]",21,20),9,8))</f>
        <v>#REF!</v>
      </c>
      <c r="V280" s="52" t="str">
        <f t="shared" si="136"/>
        <v>[5504013]</v>
      </c>
      <c r="W280" s="36"/>
      <c r="X280" s="35"/>
      <c r="Y280" s="42">
        <v>100</v>
      </c>
      <c r="Z280" s="35"/>
      <c r="AA280" s="42" t="s">
        <v>183</v>
      </c>
      <c r="AB280" s="42" t="str">
        <f t="shared" si="125"/>
        <v>梦灵满血时，伤害&lt;color=#54b76b&gt;+20%&lt;/color&gt;</v>
      </c>
      <c r="AC280" s="48" t="str">
        <f t="shared" si="132"/>
        <v>5504011</v>
      </c>
      <c r="AD280" s="42" t="str">
        <f t="shared" si="133"/>
        <v>[20]</v>
      </c>
      <c r="AE280" s="36">
        <v>100</v>
      </c>
      <c r="AF280" s="36"/>
      <c r="AG280" s="36">
        <v>1</v>
      </c>
      <c r="AH280" s="35" t="s">
        <v>178</v>
      </c>
      <c r="AI280" s="48">
        <f t="shared" si="137"/>
        <v>5504013</v>
      </c>
      <c r="AJ280" s="53" t="str">
        <f t="shared" si="138"/>
        <v>梦灵满血时，伤害&lt;color=#54b76b&gt;+%s%&lt;/color&gt;</v>
      </c>
      <c r="AK280" s="36">
        <v>20</v>
      </c>
      <c r="AL280" s="36"/>
    </row>
    <row r="281" s="25" customFormat="1" hidden="1" customHeight="1" spans="1:38">
      <c r="A281" s="48">
        <v>5504014</v>
      </c>
      <c r="B281" s="34" t="s">
        <v>391</v>
      </c>
      <c r="C281" s="48" t="str">
        <f t="shared" si="129"/>
        <v>5504011</v>
      </c>
      <c r="D281" s="42">
        <f t="shared" si="130"/>
        <v>4</v>
      </c>
      <c r="E281" s="42"/>
      <c r="F281" s="36" t="s">
        <v>174</v>
      </c>
      <c r="G281" s="36">
        <f t="shared" si="126"/>
        <v>1</v>
      </c>
      <c r="H281" s="36">
        <f>IFERROR(IF(--MID($F281,2*COUNTIF($G281:G281,"&gt;"&amp;0)+2,1)=H$1,H$1,""),"")</f>
        <v>2</v>
      </c>
      <c r="I281" s="36">
        <f>IFERROR(IF(--MID($F281,2*COUNTIF($G281:H281,"&gt;"&amp;0)+2,1)=I$1,I$1,""),"")</f>
        <v>3</v>
      </c>
      <c r="J281" s="36">
        <f>IFERROR(IF(--MID($F281,2*COUNTIF($G281:I281,"&gt;"&amp;0)+2,1)=J$1,J$1,""),"")</f>
        <v>4</v>
      </c>
      <c r="K281" s="36">
        <f>IFERROR(IF(--MID($F281,2*COUNTIF($G281:J281,"&gt;"&amp;0)+2,1)=K$1,K$1,""),"")</f>
        <v>5</v>
      </c>
      <c r="L281" s="36">
        <f>IFERROR(IF(--MID($F281,2*COUNTIF($G281:K281,"&gt;"&amp;0)+2,1)=L$1,L$1,""),"")</f>
        <v>6</v>
      </c>
      <c r="M281" s="36" t="e" cm="1">
        <f t="array" ref="M281">IF(A281="","",_xlfn.XLOOKUP(D281&amp;"_"&amp;AE281,符文权重!A:A&amp;"_"&amp;符文权重!C:C,符文权重!D:D))</f>
        <v>#N/A</v>
      </c>
      <c r="N281" s="36"/>
      <c r="O281" s="36"/>
      <c r="P281" s="36"/>
      <c r="Q281" s="36"/>
      <c r="R281" s="36"/>
      <c r="S281" s="36" t="s">
        <v>344</v>
      </c>
      <c r="T281" s="36"/>
      <c r="U281" s="36" t="e">
        <f>IF(C281="","",SUBSTITUTE(SUBSTITUTE("[{global_atk,"&amp;#REF!*D281&amp;"}]",21,20),9,8))</f>
        <v>#REF!</v>
      </c>
      <c r="V281" s="52" t="str">
        <f t="shared" si="136"/>
        <v>[5504014]</v>
      </c>
      <c r="W281" s="36"/>
      <c r="X281" s="35"/>
      <c r="Y281" s="42">
        <v>100</v>
      </c>
      <c r="Z281" s="35"/>
      <c r="AA281" s="42" t="s">
        <v>185</v>
      </c>
      <c r="AB281" s="42" t="str">
        <f t="shared" si="125"/>
        <v>梦灵满血时，伤害&lt;color=#54b76b&gt;+25%&lt;/color&gt;</v>
      </c>
      <c r="AC281" s="48" t="str">
        <f t="shared" si="132"/>
        <v>5504011</v>
      </c>
      <c r="AD281" s="42" t="str">
        <f t="shared" si="133"/>
        <v>[25]</v>
      </c>
      <c r="AE281" s="36">
        <v>100</v>
      </c>
      <c r="AF281" s="36"/>
      <c r="AG281" s="36">
        <v>1</v>
      </c>
      <c r="AH281" s="35" t="s">
        <v>178</v>
      </c>
      <c r="AI281" s="48">
        <f t="shared" si="137"/>
        <v>5504014</v>
      </c>
      <c r="AJ281" s="53" t="str">
        <f t="shared" si="138"/>
        <v>梦灵满血时，伤害&lt;color=#54b76b&gt;+%s%&lt;/color&gt;</v>
      </c>
      <c r="AK281" s="36">
        <v>25</v>
      </c>
      <c r="AL281" s="36"/>
    </row>
    <row r="282" s="25" customFormat="1" hidden="1" customHeight="1" spans="1:38">
      <c r="A282" s="48">
        <v>5504015</v>
      </c>
      <c r="B282" s="34" t="s">
        <v>391</v>
      </c>
      <c r="C282" s="48" t="str">
        <f t="shared" si="129"/>
        <v>5504011</v>
      </c>
      <c r="D282" s="42">
        <f t="shared" si="130"/>
        <v>5</v>
      </c>
      <c r="E282" s="42"/>
      <c r="F282" s="36" t="s">
        <v>174</v>
      </c>
      <c r="G282" s="36">
        <f t="shared" si="126"/>
        <v>1</v>
      </c>
      <c r="H282" s="36">
        <f>IFERROR(IF(--MID($F282,2*COUNTIF($G282:G282,"&gt;"&amp;0)+2,1)=H$1,H$1,""),"")</f>
        <v>2</v>
      </c>
      <c r="I282" s="36">
        <f>IFERROR(IF(--MID($F282,2*COUNTIF($G282:H282,"&gt;"&amp;0)+2,1)=I$1,I$1,""),"")</f>
        <v>3</v>
      </c>
      <c r="J282" s="36">
        <f>IFERROR(IF(--MID($F282,2*COUNTIF($G282:I282,"&gt;"&amp;0)+2,1)=J$1,J$1,""),"")</f>
        <v>4</v>
      </c>
      <c r="K282" s="36">
        <f>IFERROR(IF(--MID($F282,2*COUNTIF($G282:J282,"&gt;"&amp;0)+2,1)=K$1,K$1,""),"")</f>
        <v>5</v>
      </c>
      <c r="L282" s="36">
        <f>IFERROR(IF(--MID($F282,2*COUNTIF($G282:K282,"&gt;"&amp;0)+2,1)=L$1,L$1,""),"")</f>
        <v>6</v>
      </c>
      <c r="M282" s="36" t="e" cm="1">
        <f t="array" ref="M282">IF(A282="","",_xlfn.XLOOKUP(D282&amp;"_"&amp;AE282,符文权重!A:A&amp;"_"&amp;符文权重!C:C,符文权重!D:D))</f>
        <v>#N/A</v>
      </c>
      <c r="N282" s="36"/>
      <c r="O282" s="36"/>
      <c r="P282" s="36"/>
      <c r="Q282" s="36"/>
      <c r="R282" s="36"/>
      <c r="S282" s="36" t="s">
        <v>344</v>
      </c>
      <c r="T282" s="36"/>
      <c r="U282" s="36" t="e">
        <f>IF(C282="","",SUBSTITUTE(SUBSTITUTE("[{global_atk,"&amp;#REF!*D282&amp;"}]",21,20),9,8))</f>
        <v>#REF!</v>
      </c>
      <c r="V282" s="52" t="str">
        <f t="shared" si="136"/>
        <v>[5504015]</v>
      </c>
      <c r="W282" s="36"/>
      <c r="X282" s="35"/>
      <c r="Y282" s="42">
        <v>100</v>
      </c>
      <c r="Z282" s="35"/>
      <c r="AA282" s="42" t="s">
        <v>187</v>
      </c>
      <c r="AB282" s="42" t="str">
        <f t="shared" si="125"/>
        <v>梦灵满血时，伤害&lt;color=#54b76b&gt;+30%&lt;/color&gt;</v>
      </c>
      <c r="AC282" s="48" t="str">
        <f t="shared" si="132"/>
        <v>5504011</v>
      </c>
      <c r="AD282" s="42" t="str">
        <f t="shared" si="133"/>
        <v>[30]</v>
      </c>
      <c r="AE282" s="36">
        <v>100</v>
      </c>
      <c r="AF282" s="36"/>
      <c r="AG282" s="36">
        <v>1</v>
      </c>
      <c r="AH282" s="35" t="s">
        <v>178</v>
      </c>
      <c r="AI282" s="48">
        <f t="shared" si="137"/>
        <v>5504015</v>
      </c>
      <c r="AJ282" s="53" t="str">
        <f t="shared" si="138"/>
        <v>梦灵满血时，伤害&lt;color=#54b76b&gt;+%s%&lt;/color&gt;</v>
      </c>
      <c r="AK282" s="36">
        <v>30</v>
      </c>
      <c r="AL282" s="36"/>
    </row>
    <row r="283" s="25" customFormat="1" hidden="1" customHeight="1" spans="1:38">
      <c r="A283" s="48">
        <v>5504016</v>
      </c>
      <c r="B283" s="34" t="s">
        <v>391</v>
      </c>
      <c r="C283" s="48" t="str">
        <f t="shared" si="129"/>
        <v>5504011</v>
      </c>
      <c r="D283" s="42">
        <f t="shared" si="130"/>
        <v>6</v>
      </c>
      <c r="E283" s="42"/>
      <c r="F283" s="36" t="s">
        <v>174</v>
      </c>
      <c r="G283" s="36">
        <f t="shared" si="126"/>
        <v>1</v>
      </c>
      <c r="H283" s="36">
        <f>IFERROR(IF(--MID($F283,2*COUNTIF($G283:G283,"&gt;"&amp;0)+2,1)=H$1,H$1,""),"")</f>
        <v>2</v>
      </c>
      <c r="I283" s="36">
        <f>IFERROR(IF(--MID($F283,2*COUNTIF($G283:H283,"&gt;"&amp;0)+2,1)=I$1,I$1,""),"")</f>
        <v>3</v>
      </c>
      <c r="J283" s="36">
        <f>IFERROR(IF(--MID($F283,2*COUNTIF($G283:I283,"&gt;"&amp;0)+2,1)=J$1,J$1,""),"")</f>
        <v>4</v>
      </c>
      <c r="K283" s="36">
        <f>IFERROR(IF(--MID($F283,2*COUNTIF($G283:J283,"&gt;"&amp;0)+2,1)=K$1,K$1,""),"")</f>
        <v>5</v>
      </c>
      <c r="L283" s="36">
        <f>IFERROR(IF(--MID($F283,2*COUNTIF($G283:K283,"&gt;"&amp;0)+2,1)=L$1,L$1,""),"")</f>
        <v>6</v>
      </c>
      <c r="M283" s="36" t="e" cm="1">
        <f t="array" ref="M283">IF(A283="","",_xlfn.XLOOKUP(D283&amp;"_"&amp;AE283,符文权重!A:A&amp;"_"&amp;符文权重!C:C,符文权重!D:D))</f>
        <v>#N/A</v>
      </c>
      <c r="N283" s="36"/>
      <c r="O283" s="36"/>
      <c r="P283" s="36"/>
      <c r="Q283" s="36"/>
      <c r="R283" s="36"/>
      <c r="S283" s="36" t="s">
        <v>344</v>
      </c>
      <c r="T283" s="36"/>
      <c r="U283" s="36" t="e">
        <f>IF(C283="","",SUBSTITUTE(SUBSTITUTE("[{global_atk,"&amp;#REF!*D283&amp;"}]",21,20),9,8))</f>
        <v>#REF!</v>
      </c>
      <c r="V283" s="52" t="str">
        <f t="shared" si="136"/>
        <v>[5504016]</v>
      </c>
      <c r="W283" s="36"/>
      <c r="X283" s="35"/>
      <c r="Y283" s="42">
        <v>100</v>
      </c>
      <c r="Z283" s="35"/>
      <c r="AA283" s="42" t="s">
        <v>189</v>
      </c>
      <c r="AB283" s="42" t="str">
        <f t="shared" si="125"/>
        <v>梦灵满血时，伤害&lt;color=#54b76b&gt;+35%&lt;/color&gt;</v>
      </c>
      <c r="AC283" s="48" t="str">
        <f t="shared" si="132"/>
        <v>5504011</v>
      </c>
      <c r="AD283" s="42" t="str">
        <f t="shared" si="133"/>
        <v>[35]</v>
      </c>
      <c r="AE283" s="36">
        <v>100</v>
      </c>
      <c r="AF283" s="36"/>
      <c r="AG283" s="36">
        <v>1</v>
      </c>
      <c r="AH283" s="35" t="s">
        <v>178</v>
      </c>
      <c r="AI283" s="48">
        <f t="shared" si="137"/>
        <v>5504016</v>
      </c>
      <c r="AJ283" s="53" t="str">
        <f t="shared" si="138"/>
        <v>梦灵满血时，伤害&lt;color=#54b76b&gt;+%s%&lt;/color&gt;</v>
      </c>
      <c r="AK283" s="36">
        <v>35</v>
      </c>
      <c r="AL283" s="36"/>
    </row>
    <row r="284" s="25" customFormat="1" hidden="1" customHeight="1" spans="1:38">
      <c r="A284" s="48">
        <v>5504017</v>
      </c>
      <c r="B284" s="34" t="s">
        <v>391</v>
      </c>
      <c r="C284" s="48" t="str">
        <f t="shared" si="129"/>
        <v>5504011</v>
      </c>
      <c r="D284" s="42">
        <f t="shared" si="130"/>
        <v>7</v>
      </c>
      <c r="E284" s="42"/>
      <c r="F284" s="36" t="s">
        <v>174</v>
      </c>
      <c r="G284" s="36">
        <f t="shared" si="126"/>
        <v>1</v>
      </c>
      <c r="H284" s="36">
        <f>IFERROR(IF(--MID($F284,2*COUNTIF($G284:G284,"&gt;"&amp;0)+2,1)=H$1,H$1,""),"")</f>
        <v>2</v>
      </c>
      <c r="I284" s="36">
        <f>IFERROR(IF(--MID($F284,2*COUNTIF($G284:H284,"&gt;"&amp;0)+2,1)=I$1,I$1,""),"")</f>
        <v>3</v>
      </c>
      <c r="J284" s="36">
        <f>IFERROR(IF(--MID($F284,2*COUNTIF($G284:I284,"&gt;"&amp;0)+2,1)=J$1,J$1,""),"")</f>
        <v>4</v>
      </c>
      <c r="K284" s="36">
        <f>IFERROR(IF(--MID($F284,2*COUNTIF($G284:J284,"&gt;"&amp;0)+2,1)=K$1,K$1,""),"")</f>
        <v>5</v>
      </c>
      <c r="L284" s="36">
        <f>IFERROR(IF(--MID($F284,2*COUNTIF($G284:K284,"&gt;"&amp;0)+2,1)=L$1,L$1,""),"")</f>
        <v>6</v>
      </c>
      <c r="M284" s="36" t="e" cm="1">
        <f t="array" ref="M284">IF(A284="","",_xlfn.XLOOKUP(D284&amp;"_"&amp;AE284,符文权重!A:A&amp;"_"&amp;符文权重!C:C,符文权重!D:D))</f>
        <v>#N/A</v>
      </c>
      <c r="N284" s="36"/>
      <c r="O284" s="36"/>
      <c r="P284" s="36"/>
      <c r="Q284" s="36"/>
      <c r="R284" s="36"/>
      <c r="S284" s="36" t="s">
        <v>344</v>
      </c>
      <c r="T284" s="36"/>
      <c r="U284" s="36" t="e">
        <f>IF(C284="","",SUBSTITUTE(SUBSTITUTE("[{global_atk,"&amp;#REF!*D284&amp;"}]",21,20),9,8))</f>
        <v>#REF!</v>
      </c>
      <c r="V284" s="52" t="str">
        <f t="shared" si="136"/>
        <v>[5504017]</v>
      </c>
      <c r="W284" s="68"/>
      <c r="X284" s="35"/>
      <c r="Y284" s="42">
        <v>100</v>
      </c>
      <c r="Z284" s="35"/>
      <c r="AA284" s="42" t="s">
        <v>191</v>
      </c>
      <c r="AB284" s="42" t="str">
        <f t="shared" si="125"/>
        <v>梦灵满血时，伤害&lt;color=#54b76b&gt;+40%&lt;/color&gt;</v>
      </c>
      <c r="AC284" s="48" t="str">
        <f t="shared" si="132"/>
        <v>5504011</v>
      </c>
      <c r="AD284" s="42" t="str">
        <f t="shared" si="133"/>
        <v>[40]</v>
      </c>
      <c r="AE284" s="36">
        <v>100</v>
      </c>
      <c r="AF284" s="36"/>
      <c r="AG284" s="36">
        <v>1</v>
      </c>
      <c r="AH284" s="35" t="s">
        <v>178</v>
      </c>
      <c r="AI284" s="48">
        <f t="shared" si="137"/>
        <v>5504017</v>
      </c>
      <c r="AJ284" s="53" t="str">
        <f t="shared" si="138"/>
        <v>梦灵满血时，伤害&lt;color=#54b76b&gt;+%s%&lt;/color&gt;</v>
      </c>
      <c r="AK284" s="36">
        <v>40</v>
      </c>
      <c r="AL284" s="36"/>
    </row>
    <row r="285" s="25" customFormat="1" hidden="1" customHeight="1" spans="1:38">
      <c r="A285" s="48"/>
      <c r="B285" s="34"/>
      <c r="C285" s="48"/>
      <c r="D285" s="42"/>
      <c r="E285" s="42"/>
      <c r="F285" s="36"/>
      <c r="G285" s="36" t="str">
        <f t="shared" si="126"/>
        <v/>
      </c>
      <c r="H285" s="36" t="str">
        <f>IFERROR(IF(--MID($F285,2*COUNTIF($G285:G285,"&gt;"&amp;0)+2,1)=H$1,H$1,""),"")</f>
        <v/>
      </c>
      <c r="I285" s="36" t="str">
        <f>IFERROR(IF(--MID($F285,2*COUNTIF($G285:H285,"&gt;"&amp;0)+2,1)=I$1,I$1,""),"")</f>
        <v/>
      </c>
      <c r="J285" s="36" t="str">
        <f>IFERROR(IF(--MID($F285,2*COUNTIF($G285:I285,"&gt;"&amp;0)+2,1)=J$1,J$1,""),"")</f>
        <v/>
      </c>
      <c r="K285" s="36" t="str">
        <f>IFERROR(IF(--MID($F285,2*COUNTIF($G285:J285,"&gt;"&amp;0)+2,1)=K$1,K$1,""),"")</f>
        <v/>
      </c>
      <c r="L285" s="36" t="str">
        <f>IFERROR(IF(--MID($F285,2*COUNTIF($G285:K285,"&gt;"&amp;0)+2,1)=L$1,L$1,""),"")</f>
        <v/>
      </c>
      <c r="M285" s="51" t="str" cm="1">
        <f t="array" ref="M285">IF($A285="","",IF(G285="","",_xlfn.XLOOKUP($D285&amp;"_"&amp;$AE285,符文权重!$A:$A&amp;"_"&amp;符文权重!$C:$C,符文权重!$D:$D)*$Y285/SUMIFS($Y:$Y,G:G,G285,$D:$D,$D285,$AE:$AE,$AE285)/SUMIF(符文权重!$A:$A,$D285,符文权重!$D:$D)))</f>
        <v/>
      </c>
      <c r="N285" s="36" t="str" cm="1">
        <f t="array" ref="N285">IF($A285="","",IF(H285="","",_xlfn.XLOOKUP($D285&amp;"_"&amp;$AE285,符文权重!$A:$A&amp;"_"&amp;符文权重!$C:$C,符文权重!$D:$D)*$Y285/SUMIFS($Y:$Y,H:H,H285,$D:$D,$D$6,$AE:$AE,$AE$6)))</f>
        <v/>
      </c>
      <c r="O285" s="36" t="str" cm="1">
        <f t="array" ref="O285">IF($A285="","",IF(I285="","",_xlfn.XLOOKUP($D285&amp;"_"&amp;$AE285,符文权重!$A:$A&amp;"_"&amp;符文权重!$C:$C,符文权重!$D:$D)*$Y285/SUMIFS($Y:$Y,I:I,I285,$D:$D,$D$6,$AE:$AE,$AE$6)))</f>
        <v/>
      </c>
      <c r="P285" s="36" t="str" cm="1">
        <f t="array" ref="P285">IF($A285="","",IF(J285="","",_xlfn.XLOOKUP($D285&amp;"_"&amp;$AE285,符文权重!$A:$A&amp;"_"&amp;符文权重!$C:$C,符文权重!$D:$D)*$Y285/SUMIFS($Y:$Y,J:J,J285,$D:$D,$D$6,$AE:$AE,$AE$6)))</f>
        <v/>
      </c>
      <c r="Q285" s="36" t="str" cm="1">
        <f t="array" ref="Q285">IF($A285="","",IF(K285="","",_xlfn.XLOOKUP($D285&amp;"_"&amp;$AE285,符文权重!$A:$A&amp;"_"&amp;符文权重!$C:$C,符文权重!$D:$D)*$Y285/SUMIFS($Y:$Y,K:K,K285,$D:$D,$D$6,$AE:$AE,$AE$6)))</f>
        <v/>
      </c>
      <c r="R285" s="36" t="str" cm="1">
        <f t="array" ref="R285">IF($A285="","",IF(L285="","",_xlfn.XLOOKUP($D285&amp;"_"&amp;$AE285,符文权重!$A:$A&amp;"_"&amp;符文权重!$C:$C,符文权重!$D:$D)*$Y285/SUMIFS($Y:$Y,L:L,L285,$D:$D,$D$6,$AE:$AE,$AE$6)))</f>
        <v/>
      </c>
      <c r="S285" s="36"/>
      <c r="T285" s="36"/>
      <c r="U285" s="36"/>
      <c r="V285" s="52"/>
      <c r="W285" s="68"/>
      <c r="X285" s="35"/>
      <c r="Y285" s="42"/>
      <c r="Z285" s="35"/>
      <c r="AA285" s="42"/>
      <c r="AB285" s="42" t="str">
        <f t="shared" si="125"/>
        <v/>
      </c>
      <c r="AC285" s="48"/>
      <c r="AD285" s="42"/>
      <c r="AE285" s="36"/>
      <c r="AF285" s="36"/>
      <c r="AG285" s="36"/>
      <c r="AH285" s="35" t="s">
        <v>178</v>
      </c>
      <c r="AI285" s="48"/>
      <c r="AJ285" s="53"/>
      <c r="AK285" s="36"/>
      <c r="AL285" s="36"/>
    </row>
    <row r="286" s="27" customFormat="1" hidden="1" customHeight="1" spans="1:38">
      <c r="A286" s="57">
        <v>5504021</v>
      </c>
      <c r="B286" s="58" t="s">
        <v>392</v>
      </c>
      <c r="C286" s="57" t="str">
        <f t="shared" ref="C286:C292" si="139">IF(ISBLANK(AI286),"",LEFT(AI286,6)&amp;1)</f>
        <v>5504021</v>
      </c>
      <c r="D286" s="59">
        <f t="shared" ref="D286:D292" si="140">IF(ISBLANK(AI286),"",VALUE(RIGHT(A286,1)))</f>
        <v>1</v>
      </c>
      <c r="E286" s="59"/>
      <c r="F286" s="60" t="s">
        <v>174</v>
      </c>
      <c r="G286" s="36">
        <f t="shared" si="126"/>
        <v>1</v>
      </c>
      <c r="H286" s="36">
        <f>IFERROR(IF(--MID($F286,2*COUNTIF($G286:G286,"&gt;"&amp;0)+2,1)=H$1,H$1,""),"")</f>
        <v>2</v>
      </c>
      <c r="I286" s="36">
        <f>IFERROR(IF(--MID($F286,2*COUNTIF($G286:H286,"&gt;"&amp;0)+2,1)=I$1,I$1,""),"")</f>
        <v>3</v>
      </c>
      <c r="J286" s="36">
        <f>IFERROR(IF(--MID($F286,2*COUNTIF($G286:I286,"&gt;"&amp;0)+2,1)=J$1,J$1,""),"")</f>
        <v>4</v>
      </c>
      <c r="K286" s="36">
        <f>IFERROR(IF(--MID($F286,2*COUNTIF($G286:J286,"&gt;"&amp;0)+2,1)=K$1,K$1,""),"")</f>
        <v>5</v>
      </c>
      <c r="L286" s="36">
        <f>IFERROR(IF(--MID($F286,2*COUNTIF($G286:K286,"&gt;"&amp;0)+2,1)=L$1,L$1,""),"")</f>
        <v>6</v>
      </c>
      <c r="M286" s="36" t="e" cm="1">
        <f t="array" ref="M286">IF(A286="","",_xlfn.XLOOKUP(D286&amp;"_"&amp;AE286,符文权重!A:A&amp;"_"&amp;符文权重!C:C,符文权重!D:D))</f>
        <v>#N/A</v>
      </c>
      <c r="N286" s="36"/>
      <c r="O286" s="36"/>
      <c r="P286" s="36"/>
      <c r="Q286" s="36"/>
      <c r="R286" s="36"/>
      <c r="S286" s="60" t="s">
        <v>256</v>
      </c>
      <c r="T286" s="60"/>
      <c r="U286" s="60" t="e">
        <f>IF(C286="","",SUBSTITUTE(SUBSTITUTE("[{global_atk,"&amp;#REF!*D286&amp;"}]",21,20),9,8))</f>
        <v>#REF!</v>
      </c>
      <c r="V286" s="61" t="str">
        <f t="shared" ref="V286:V292" si="141">"["&amp;A286&amp;"]"</f>
        <v>[5504021]</v>
      </c>
      <c r="W286" s="60"/>
      <c r="X286" s="28"/>
      <c r="Y286" s="42">
        <v>100</v>
      </c>
      <c r="Z286" s="28"/>
      <c r="AA286" s="59" t="s">
        <v>177</v>
      </c>
      <c r="AB286" s="42" t="str">
        <f t="shared" si="125"/>
        <v>队长暴击率&lt;color=#54b76b&gt;+0%&lt;/color&gt;</v>
      </c>
      <c r="AC286" s="57" t="str">
        <f t="shared" ref="AC286:AC292" si="142">IF(ISBLANK(AI286),"",C286)</f>
        <v>5504021</v>
      </c>
      <c r="AD286" s="59" t="str">
        <f t="shared" ref="AD286:AD292" si="143">IF(ISBLANK(AK286),"","["&amp;AK286&amp;"]")</f>
        <v>[0]</v>
      </c>
      <c r="AE286" s="60">
        <v>100</v>
      </c>
      <c r="AF286" s="60"/>
      <c r="AG286" s="60">
        <v>1</v>
      </c>
      <c r="AH286" s="35" t="s">
        <v>178</v>
      </c>
      <c r="AI286" s="62">
        <v>5504021</v>
      </c>
      <c r="AJ286" s="63" t="s">
        <v>393</v>
      </c>
      <c r="AK286" s="60">
        <v>0</v>
      </c>
      <c r="AL286" s="36"/>
    </row>
    <row r="287" s="27" customFormat="1" hidden="1" customHeight="1" spans="1:38">
      <c r="A287" s="57">
        <v>5504022</v>
      </c>
      <c r="B287" s="58" t="s">
        <v>392</v>
      </c>
      <c r="C287" s="57" t="str">
        <f t="shared" si="139"/>
        <v>5504021</v>
      </c>
      <c r="D287" s="59">
        <f t="shared" si="140"/>
        <v>2</v>
      </c>
      <c r="E287" s="59"/>
      <c r="F287" s="60" t="s">
        <v>174</v>
      </c>
      <c r="G287" s="36">
        <f t="shared" si="126"/>
        <v>1</v>
      </c>
      <c r="H287" s="36">
        <f>IFERROR(IF(--MID($F287,2*COUNTIF($G287:G287,"&gt;"&amp;0)+2,1)=H$1,H$1,""),"")</f>
        <v>2</v>
      </c>
      <c r="I287" s="36">
        <f>IFERROR(IF(--MID($F287,2*COUNTIF($G287:H287,"&gt;"&amp;0)+2,1)=I$1,I$1,""),"")</f>
        <v>3</v>
      </c>
      <c r="J287" s="36">
        <f>IFERROR(IF(--MID($F287,2*COUNTIF($G287:I287,"&gt;"&amp;0)+2,1)=J$1,J$1,""),"")</f>
        <v>4</v>
      </c>
      <c r="K287" s="36">
        <f>IFERROR(IF(--MID($F287,2*COUNTIF($G287:J287,"&gt;"&amp;0)+2,1)=K$1,K$1,""),"")</f>
        <v>5</v>
      </c>
      <c r="L287" s="36">
        <f>IFERROR(IF(--MID($F287,2*COUNTIF($G287:K287,"&gt;"&amp;0)+2,1)=L$1,L$1,""),"")</f>
        <v>6</v>
      </c>
      <c r="M287" s="36" t="e" cm="1">
        <f t="array" ref="M287">IF(A287="","",_xlfn.XLOOKUP(D287&amp;"_"&amp;AE287,符文权重!A:A&amp;"_"&amp;符文权重!C:C,符文权重!D:D))</f>
        <v>#N/A</v>
      </c>
      <c r="N287" s="36"/>
      <c r="O287" s="36"/>
      <c r="P287" s="36"/>
      <c r="Q287" s="36"/>
      <c r="R287" s="36"/>
      <c r="S287" s="60" t="s">
        <v>256</v>
      </c>
      <c r="T287" s="60"/>
      <c r="U287" s="60" t="e">
        <f>IF(C287="","",SUBSTITUTE(SUBSTITUTE("[{global_atk,"&amp;#REF!*D287&amp;"}]",21,20),9,8))</f>
        <v>#REF!</v>
      </c>
      <c r="V287" s="61" t="str">
        <f t="shared" si="141"/>
        <v>[5504022]</v>
      </c>
      <c r="W287" s="60"/>
      <c r="X287" s="28"/>
      <c r="Y287" s="42">
        <v>100</v>
      </c>
      <c r="Z287" s="28"/>
      <c r="AA287" s="59" t="s">
        <v>181</v>
      </c>
      <c r="AB287" s="42" t="str">
        <f t="shared" si="125"/>
        <v>队长暴击率&lt;color=#54b76b&gt;+0%&lt;/color&gt;</v>
      </c>
      <c r="AC287" s="57" t="str">
        <f t="shared" si="142"/>
        <v>5504021</v>
      </c>
      <c r="AD287" s="59" t="str">
        <f t="shared" si="143"/>
        <v>[0]</v>
      </c>
      <c r="AE287" s="60">
        <v>100</v>
      </c>
      <c r="AF287" s="60"/>
      <c r="AG287" s="60">
        <v>1</v>
      </c>
      <c r="AH287" s="35" t="s">
        <v>178</v>
      </c>
      <c r="AI287" s="57">
        <f t="shared" ref="AI287:AI292" si="144">AI286+1</f>
        <v>5504022</v>
      </c>
      <c r="AJ287" s="64" t="str">
        <f t="shared" ref="AJ287:AJ292" si="145">AJ286</f>
        <v>队长暴击率&lt;color=#54b76b&gt;+%s%&lt;/color&gt;</v>
      </c>
      <c r="AK287" s="60">
        <v>0</v>
      </c>
      <c r="AL287" s="36"/>
    </row>
    <row r="288" s="25" customFormat="1" hidden="1" customHeight="1" spans="1:38">
      <c r="A288" s="48">
        <v>5504023</v>
      </c>
      <c r="B288" s="34" t="s">
        <v>392</v>
      </c>
      <c r="C288" s="48" t="str">
        <f t="shared" si="139"/>
        <v>5504021</v>
      </c>
      <c r="D288" s="42">
        <f t="shared" si="140"/>
        <v>3</v>
      </c>
      <c r="E288" s="42"/>
      <c r="F288" s="36" t="s">
        <v>174</v>
      </c>
      <c r="G288" s="36">
        <f t="shared" si="126"/>
        <v>1</v>
      </c>
      <c r="H288" s="36">
        <f>IFERROR(IF(--MID($F288,2*COUNTIF($G288:G288,"&gt;"&amp;0)+2,1)=H$1,H$1,""),"")</f>
        <v>2</v>
      </c>
      <c r="I288" s="36">
        <f>IFERROR(IF(--MID($F288,2*COUNTIF($G288:H288,"&gt;"&amp;0)+2,1)=I$1,I$1,""),"")</f>
        <v>3</v>
      </c>
      <c r="J288" s="36">
        <f>IFERROR(IF(--MID($F288,2*COUNTIF($G288:I288,"&gt;"&amp;0)+2,1)=J$1,J$1,""),"")</f>
        <v>4</v>
      </c>
      <c r="K288" s="36">
        <f>IFERROR(IF(--MID($F288,2*COUNTIF($G288:J288,"&gt;"&amp;0)+2,1)=K$1,K$1,""),"")</f>
        <v>5</v>
      </c>
      <c r="L288" s="36">
        <f>IFERROR(IF(--MID($F288,2*COUNTIF($G288:K288,"&gt;"&amp;0)+2,1)=L$1,L$1,""),"")</f>
        <v>6</v>
      </c>
      <c r="M288" s="51" cm="1">
        <f t="array" ref="M288">IF($A288="","",IF(G288="","",_xlfn.XLOOKUP($D288&amp;"_"&amp;$AE288,符文权重!$A:$A&amp;"_"&amp;符文权重!$C:$C,符文权重!$D:$D)*$Y288/SUMIFS($Y:$Y,G:G,G288,$D:$D,$D288,$AE:$AE,$AE288)/SUMIF(符文权重!$A:$A,$D288,符文权重!$D:$D)))</f>
        <v>0.0100095785440613</v>
      </c>
      <c r="N288" s="51" cm="1">
        <f t="array" ref="N288">IF($A288="","",IF(H288="","",_xlfn.XLOOKUP($D288&amp;"_"&amp;$AE288,符文权重!$A:$A&amp;"_"&amp;符文权重!$C:$C,符文权重!$D:$D)*$Y288/SUMIFS($Y:$Y,H:H,H288,$D:$D,$D288,$AE:$AE,$AE288)/SUMIF(符文权重!$A:$A,$D288,符文权重!$D:$D)))</f>
        <v>0.0123815165876777</v>
      </c>
      <c r="O288" s="51" cm="1">
        <f t="array" ref="O288">IF($A288="","",IF(I288="","",_xlfn.XLOOKUP($D288&amp;"_"&amp;$AE288,符文权重!$A:$A&amp;"_"&amp;符文权重!$C:$C,符文权重!$D:$D)*$Y288/SUMIFS($Y:$Y,I:I,I288,$D:$D,$D288,$AE:$AE,$AE288)/SUMIF(符文权重!$A:$A,$D288,符文权重!$D:$D)))</f>
        <v>0.0101259689922481</v>
      </c>
      <c r="P288" s="51" cm="1">
        <f t="array" ref="P288">IF($A288="","",IF(J288="","",_xlfn.XLOOKUP($D288&amp;"_"&amp;$AE288,符文权重!$A:$A&amp;"_"&amp;符文权重!$C:$C,符文权重!$D:$D)*$Y288/SUMIFS($Y:$Y,J:J,J288,$D:$D,$D288,$AE:$AE,$AE288)/SUMIF(符文权重!$A:$A,$D288,符文权重!$D:$D)))</f>
        <v>0.0100095785440613</v>
      </c>
      <c r="Q288" s="51" cm="1">
        <f t="array" ref="Q288">IF($A288="","",IF(K288="","",_xlfn.XLOOKUP($D288&amp;"_"&amp;$AE288,符文权重!$A:$A&amp;"_"&amp;符文权重!$C:$C,符文权重!$D:$D)*$Y288/SUMIFS($Y:$Y,K:K,K288,$D:$D,$D288,$AE:$AE,$AE288)/SUMIF(符文权重!$A:$A,$D288,符文权重!$D:$D)))</f>
        <v>0.0125600961538462</v>
      </c>
      <c r="R288" s="51" cm="1">
        <f t="array" ref="R288">IF($A288="","",IF(L288="","",_xlfn.XLOOKUP($D288&amp;"_"&amp;$AE288,符文权重!$A:$A&amp;"_"&amp;符文权重!$C:$C,符文权重!$D:$D)*$Y288/SUMIFS($Y:$Y,L:L,L288,$D:$D,$D288,$AE:$AE,$AE288)/SUMIF(符文权重!$A:$A,$D288,符文权重!$D:$D)))</f>
        <v>0.0100095785440613</v>
      </c>
      <c r="S288" s="36" t="s">
        <v>256</v>
      </c>
      <c r="T288" s="36"/>
      <c r="U288" s="36" t="e">
        <f>IF(C288="","",SUBSTITUTE(SUBSTITUTE("[{global_atk,"&amp;#REF!*D288&amp;"}]",21,20),9,8))</f>
        <v>#REF!</v>
      </c>
      <c r="V288" s="52" t="str">
        <f t="shared" si="141"/>
        <v>[5504023]</v>
      </c>
      <c r="W288" s="36" t="s">
        <v>394</v>
      </c>
      <c r="X288" s="35"/>
      <c r="Y288" s="42">
        <v>11</v>
      </c>
      <c r="Z288" s="35"/>
      <c r="AA288" s="42" t="s">
        <v>183</v>
      </c>
      <c r="AB288" s="42" t="str">
        <f t="shared" si="125"/>
        <v>队长暴击率&lt;color=#54b76b&gt;+3%&lt;/color&gt;</v>
      </c>
      <c r="AC288" s="48" t="str">
        <f t="shared" si="142"/>
        <v>5504021</v>
      </c>
      <c r="AD288" s="42" t="str">
        <f t="shared" si="143"/>
        <v>[3]</v>
      </c>
      <c r="AE288" s="36">
        <v>2</v>
      </c>
      <c r="AF288" s="36"/>
      <c r="AG288" s="36">
        <v>0</v>
      </c>
      <c r="AH288" s="35" t="s">
        <v>178</v>
      </c>
      <c r="AI288" s="48">
        <f t="shared" si="144"/>
        <v>5504023</v>
      </c>
      <c r="AJ288" s="53" t="str">
        <f t="shared" si="145"/>
        <v>队长暴击率&lt;color=#54b76b&gt;+%s%&lt;/color&gt;</v>
      </c>
      <c r="AK288" s="36">
        <v>3</v>
      </c>
      <c r="AL288" s="36">
        <v>3</v>
      </c>
    </row>
    <row r="289" s="25" customFormat="1" hidden="1" customHeight="1" spans="1:38">
      <c r="A289" s="48">
        <v>5504024</v>
      </c>
      <c r="B289" s="34" t="s">
        <v>392</v>
      </c>
      <c r="C289" s="48" t="str">
        <f t="shared" si="139"/>
        <v>5504021</v>
      </c>
      <c r="D289" s="42">
        <f t="shared" si="140"/>
        <v>4</v>
      </c>
      <c r="E289" s="42"/>
      <c r="F289" s="36" t="s">
        <v>174</v>
      </c>
      <c r="G289" s="36">
        <f t="shared" si="126"/>
        <v>1</v>
      </c>
      <c r="H289" s="36">
        <f>IFERROR(IF(--MID($F289,2*COUNTIF($G289:G289,"&gt;"&amp;0)+2,1)=H$1,H$1,""),"")</f>
        <v>2</v>
      </c>
      <c r="I289" s="36">
        <f>IFERROR(IF(--MID($F289,2*COUNTIF($G289:H289,"&gt;"&amp;0)+2,1)=I$1,I$1,""),"")</f>
        <v>3</v>
      </c>
      <c r="J289" s="36">
        <f>IFERROR(IF(--MID($F289,2*COUNTIF($G289:I289,"&gt;"&amp;0)+2,1)=J$1,J$1,""),"")</f>
        <v>4</v>
      </c>
      <c r="K289" s="36">
        <f>IFERROR(IF(--MID($F289,2*COUNTIF($G289:J289,"&gt;"&amp;0)+2,1)=K$1,K$1,""),"")</f>
        <v>5</v>
      </c>
      <c r="L289" s="36">
        <f>IFERROR(IF(--MID($F289,2*COUNTIF($G289:K289,"&gt;"&amp;0)+2,1)=L$1,L$1,""),"")</f>
        <v>6</v>
      </c>
      <c r="M289" s="51" cm="1">
        <f t="array" ref="M289">IF($A289="","",IF(G289="","",_xlfn.XLOOKUP($D289&amp;"_"&amp;$AE289,符文权重!$A:$A&amp;"_"&amp;符文权重!$C:$C,符文权重!$D:$D)*$Y289/SUMIFS($Y:$Y,G:G,G289,$D:$D,$D289,$AE:$AE,$AE289)/SUMIF(符文权重!$A:$A,$D289,符文权重!$D:$D)))</f>
        <v>0.0137915693471249</v>
      </c>
      <c r="N289" s="51" cm="1">
        <f t="array" ref="N289">IF($A289="","",IF(H289="","",_xlfn.XLOOKUP($D289&amp;"_"&amp;$AE289,符文权重!$A:$A&amp;"_"&amp;符文权重!$C:$C,符文权重!$D:$D)*$Y289/SUMIFS($Y:$Y,H:H,H289,$D:$D,$D289,$AE:$AE,$AE289)/SUMIF(符文权重!$A:$A,$D289,符文权重!$D:$D)))</f>
        <v>0.0137915693471249</v>
      </c>
      <c r="O289" s="51" cm="1">
        <f t="array" ref="O289">IF($A289="","",IF(I289="","",_xlfn.XLOOKUP($D289&amp;"_"&amp;$AE289,符文权重!$A:$A&amp;"_"&amp;符文权重!$C:$C,符文权重!$D:$D)*$Y289/SUMIFS($Y:$Y,I:I,I289,$D:$D,$D289,$AE:$AE,$AE289)/SUMIF(符文权重!$A:$A,$D289,符文权重!$D:$D)))</f>
        <v>0.0142671407039223</v>
      </c>
      <c r="P289" s="51" cm="1">
        <f t="array" ref="P289">IF($A289="","",IF(J289="","",_xlfn.XLOOKUP($D289&amp;"_"&amp;$AE289,符文权重!$A:$A&amp;"_"&amp;符文权重!$C:$C,符文权重!$D:$D)*$Y289/SUMIFS($Y:$Y,J:J,J289,$D:$D,$D289,$AE:$AE,$AE289)/SUMIF(符文权重!$A:$A,$D289,符文权重!$D:$D)))</f>
        <v>0.0137915693471249</v>
      </c>
      <c r="Q289" s="51" cm="1">
        <f t="array" ref="Q289">IF($A289="","",IF(K289="","",_xlfn.XLOOKUP($D289&amp;"_"&amp;$AE289,符文权重!$A:$A&amp;"_"&amp;符文权重!$C:$C,符文权重!$D:$D)*$Y289/SUMIFS($Y:$Y,K:K,K289,$D:$D,$D289,$AE:$AE,$AE289)/SUMIF(符文权重!$A:$A,$D289,符文权重!$D:$D)))</f>
        <v>0.0141050141050141</v>
      </c>
      <c r="R289" s="51" cm="1">
        <f t="array" ref="R289">IF($A289="","",IF(L289="","",_xlfn.XLOOKUP($D289&amp;"_"&amp;$AE289,符文权重!$A:$A&amp;"_"&amp;符文权重!$C:$C,符文权重!$D:$D)*$Y289/SUMIFS($Y:$Y,L:L,L289,$D:$D,$D289,$AE:$AE,$AE289)/SUMIF(符文权重!$A:$A,$D289,符文权重!$D:$D)))</f>
        <v>0.0136400136400136</v>
      </c>
      <c r="S289" s="36" t="s">
        <v>256</v>
      </c>
      <c r="T289" s="36"/>
      <c r="U289" s="36" t="e">
        <f>IF(C289="","",SUBSTITUTE(SUBSTITUTE("[{global_atk,"&amp;#REF!*D289&amp;"}]",21,20),9,8))</f>
        <v>#REF!</v>
      </c>
      <c r="V289" s="52" t="str">
        <f t="shared" si="141"/>
        <v>[5504024]</v>
      </c>
      <c r="W289" s="36" t="s">
        <v>395</v>
      </c>
      <c r="X289" s="35"/>
      <c r="Y289" s="42">
        <v>16</v>
      </c>
      <c r="Z289" s="35"/>
      <c r="AA289" s="42" t="s">
        <v>185</v>
      </c>
      <c r="AB289" s="42" t="str">
        <f t="shared" si="125"/>
        <v>队长暴击率&lt;color=#54b76b&gt;+4%&lt;/color&gt;</v>
      </c>
      <c r="AC289" s="48" t="str">
        <f t="shared" si="142"/>
        <v>5504021</v>
      </c>
      <c r="AD289" s="42" t="str">
        <f t="shared" si="143"/>
        <v>[4]</v>
      </c>
      <c r="AE289" s="36">
        <v>3</v>
      </c>
      <c r="AF289" s="36"/>
      <c r="AG289" s="36">
        <v>0</v>
      </c>
      <c r="AH289" s="35" t="s">
        <v>178</v>
      </c>
      <c r="AI289" s="48">
        <f t="shared" si="144"/>
        <v>5504024</v>
      </c>
      <c r="AJ289" s="53" t="str">
        <f t="shared" si="145"/>
        <v>队长暴击率&lt;color=#54b76b&gt;+%s%&lt;/color&gt;</v>
      </c>
      <c r="AK289" s="36">
        <v>4</v>
      </c>
      <c r="AL289" s="36">
        <v>3</v>
      </c>
    </row>
    <row r="290" s="25" customFormat="1" hidden="1" customHeight="1" spans="1:38">
      <c r="A290" s="48">
        <v>5504025</v>
      </c>
      <c r="B290" s="34" t="s">
        <v>392</v>
      </c>
      <c r="C290" s="48" t="str">
        <f t="shared" si="139"/>
        <v>5504021</v>
      </c>
      <c r="D290" s="42">
        <f t="shared" si="140"/>
        <v>5</v>
      </c>
      <c r="E290" s="42"/>
      <c r="F290" s="36" t="s">
        <v>174</v>
      </c>
      <c r="G290" s="36">
        <f t="shared" si="126"/>
        <v>1</v>
      </c>
      <c r="H290" s="36">
        <f>IFERROR(IF(--MID($F290,2*COUNTIF($G290:G290,"&gt;"&amp;0)+2,1)=H$1,H$1,""),"")</f>
        <v>2</v>
      </c>
      <c r="I290" s="36">
        <f>IFERROR(IF(--MID($F290,2*COUNTIF($G290:H290,"&gt;"&amp;0)+2,1)=I$1,I$1,""),"")</f>
        <v>3</v>
      </c>
      <c r="J290" s="36">
        <f>IFERROR(IF(--MID($F290,2*COUNTIF($G290:I290,"&gt;"&amp;0)+2,1)=J$1,J$1,""),"")</f>
        <v>4</v>
      </c>
      <c r="K290" s="36">
        <f>IFERROR(IF(--MID($F290,2*COUNTIF($G290:J290,"&gt;"&amp;0)+2,1)=K$1,K$1,""),"")</f>
        <v>5</v>
      </c>
      <c r="L290" s="36">
        <f>IFERROR(IF(--MID($F290,2*COUNTIF($G290:K290,"&gt;"&amp;0)+2,1)=L$1,L$1,""),"")</f>
        <v>6</v>
      </c>
      <c r="M290" s="51" cm="1">
        <f t="array" ref="M290">IF($A290="","",IF(G290="","",_xlfn.XLOOKUP($D290&amp;"_"&amp;$AE290,符文权重!$A:$A&amp;"_"&amp;符文权重!$C:$C,符文权重!$D:$D)*$Y290/SUMIFS($Y:$Y,G:G,G290,$D:$D,$D290,$AE:$AE,$AE290)/SUMIF(符文权重!$A:$A,$D290,符文权重!$D:$D)))</f>
        <v>0.00721428571428571</v>
      </c>
      <c r="N290" s="51" cm="1">
        <f t="array" ref="N290">IF($A290="","",IF(H290="","",_xlfn.XLOOKUP($D290&amp;"_"&amp;$AE290,符文权重!$A:$A&amp;"_"&amp;符文权重!$C:$C,符文权重!$D:$D)*$Y290/SUMIFS($Y:$Y,H:H,H290,$D:$D,$D290,$AE:$AE,$AE290)/SUMIF(符文权重!$A:$A,$D290,符文权重!$D:$D)))</f>
        <v>0.00841666666666667</v>
      </c>
      <c r="O290" s="51" cm="1">
        <f t="array" ref="O290">IF($A290="","",IF(I290="","",_xlfn.XLOOKUP($D290&amp;"_"&amp;$AE290,符文权重!$A:$A&amp;"_"&amp;符文权重!$C:$C,符文权重!$D:$D)*$Y290/SUMIFS($Y:$Y,I:I,I290,$D:$D,$D290,$AE:$AE,$AE290)/SUMIF(符文权重!$A:$A,$D290,符文权重!$D:$D)))</f>
        <v>0.00721428571428571</v>
      </c>
      <c r="P290" s="51" cm="1">
        <f t="array" ref="P290">IF($A290="","",IF(J290="","",_xlfn.XLOOKUP($D290&amp;"_"&amp;$AE290,符文权重!$A:$A&amp;"_"&amp;符文权重!$C:$C,符文权重!$D:$D)*$Y290/SUMIFS($Y:$Y,J:J,J290,$D:$D,$D290,$AE:$AE,$AE290)/SUMIF(符文权重!$A:$A,$D290,符文权重!$D:$D)))</f>
        <v>0.0063125</v>
      </c>
      <c r="Q290" s="51" cm="1">
        <f t="array" ref="Q290">IF($A290="","",IF(K290="","",_xlfn.XLOOKUP($D290&amp;"_"&amp;$AE290,符文权重!$A:$A&amp;"_"&amp;符文权重!$C:$C,符文权重!$D:$D)*$Y290/SUMIFS($Y:$Y,K:K,K290,$D:$D,$D290,$AE:$AE,$AE290)/SUMIF(符文权重!$A:$A,$D290,符文权重!$D:$D)))</f>
        <v>0.00721428571428571</v>
      </c>
      <c r="R290" s="51" cm="1">
        <f t="array" ref="R290">IF($A290="","",IF(L290="","",_xlfn.XLOOKUP($D290&amp;"_"&amp;$AE290,符文权重!$A:$A&amp;"_"&amp;符文权重!$C:$C,符文权重!$D:$D)*$Y290/SUMIFS($Y:$Y,L:L,L290,$D:$D,$D290,$AE:$AE,$AE290)/SUMIF(符文权重!$A:$A,$D290,符文权重!$D:$D)))</f>
        <v>0.0063125</v>
      </c>
      <c r="S290" s="36" t="s">
        <v>256</v>
      </c>
      <c r="T290" s="36"/>
      <c r="U290" s="36" t="e">
        <f>IF(C290="","",SUBSTITUTE(SUBSTITUTE("[{global_atk,"&amp;#REF!*D290&amp;"}]",21,20),9,8))</f>
        <v>#REF!</v>
      </c>
      <c r="V290" s="52" t="str">
        <f t="shared" si="141"/>
        <v>[5504025]</v>
      </c>
      <c r="W290" s="36" t="s">
        <v>396</v>
      </c>
      <c r="X290" s="35"/>
      <c r="Y290" s="42">
        <v>100</v>
      </c>
      <c r="Z290" s="35"/>
      <c r="AA290" s="42" t="s">
        <v>187</v>
      </c>
      <c r="AB290" s="42" t="str">
        <f t="shared" si="125"/>
        <v>队长暴击率&lt;color=#54b76b&gt;+5%&lt;/color&gt;</v>
      </c>
      <c r="AC290" s="48" t="str">
        <f t="shared" si="142"/>
        <v>5504021</v>
      </c>
      <c r="AD290" s="42" t="str">
        <f t="shared" si="143"/>
        <v>[5]</v>
      </c>
      <c r="AE290" s="36">
        <v>4</v>
      </c>
      <c r="AF290" s="36"/>
      <c r="AG290" s="36">
        <v>0</v>
      </c>
      <c r="AH290" s="35" t="s">
        <v>178</v>
      </c>
      <c r="AI290" s="48">
        <f t="shared" si="144"/>
        <v>5504025</v>
      </c>
      <c r="AJ290" s="53" t="str">
        <f t="shared" si="145"/>
        <v>队长暴击率&lt;color=#54b76b&gt;+%s%&lt;/color&gt;</v>
      </c>
      <c r="AK290" s="36">
        <v>5</v>
      </c>
      <c r="AL290" s="36">
        <v>3</v>
      </c>
    </row>
    <row r="291" s="25" customFormat="1" hidden="1" customHeight="1" spans="1:38">
      <c r="A291" s="48">
        <v>5504026</v>
      </c>
      <c r="B291" s="34" t="s">
        <v>392</v>
      </c>
      <c r="C291" s="48" t="str">
        <f t="shared" si="139"/>
        <v>5504021</v>
      </c>
      <c r="D291" s="42">
        <f t="shared" si="140"/>
        <v>6</v>
      </c>
      <c r="E291" s="42"/>
      <c r="F291" s="36" t="s">
        <v>174</v>
      </c>
      <c r="G291" s="36">
        <f t="shared" si="126"/>
        <v>1</v>
      </c>
      <c r="H291" s="36">
        <f>IFERROR(IF(--MID($F291,2*COUNTIF($G291:G291,"&gt;"&amp;0)+2,1)=H$1,H$1,""),"")</f>
        <v>2</v>
      </c>
      <c r="I291" s="36">
        <f>IFERROR(IF(--MID($F291,2*COUNTIF($G291:H291,"&gt;"&amp;0)+2,1)=I$1,I$1,""),"")</f>
        <v>3</v>
      </c>
      <c r="J291" s="36">
        <f>IFERROR(IF(--MID($F291,2*COUNTIF($G291:I291,"&gt;"&amp;0)+2,1)=J$1,J$1,""),"")</f>
        <v>4</v>
      </c>
      <c r="K291" s="36">
        <f>IFERROR(IF(--MID($F291,2*COUNTIF($G291:J291,"&gt;"&amp;0)+2,1)=K$1,K$1,""),"")</f>
        <v>5</v>
      </c>
      <c r="L291" s="36">
        <f>IFERROR(IF(--MID($F291,2*COUNTIF($G291:K291,"&gt;"&amp;0)+2,1)=L$1,L$1,""),"")</f>
        <v>6</v>
      </c>
      <c r="M291" s="51" cm="1">
        <f t="array" ref="M291">IF($A291="","",IF(G291="","",_xlfn.XLOOKUP($D291&amp;"_"&amp;$AE291,符文权重!$A:$A&amp;"_"&amp;符文权重!$C:$C,符文权重!$D:$D)*$Y291/SUMIFS($Y:$Y,G:G,G291,$D:$D,$D291,$AE:$AE,$AE291)/SUMIF(符文权重!$A:$A,$D291,符文权重!$D:$D)))</f>
        <v>0.00721428571428571</v>
      </c>
      <c r="N291" s="51" cm="1">
        <f t="array" ref="N291">IF($A291="","",IF(H291="","",_xlfn.XLOOKUP($D291&amp;"_"&amp;$AE291,符文权重!$A:$A&amp;"_"&amp;符文权重!$C:$C,符文权重!$D:$D)*$Y291/SUMIFS($Y:$Y,H:H,H291,$D:$D,$D291,$AE:$AE,$AE291)/SUMIF(符文权重!$A:$A,$D291,符文权重!$D:$D)))</f>
        <v>0.00841666666666667</v>
      </c>
      <c r="O291" s="51" cm="1">
        <f t="array" ref="O291">IF($A291="","",IF(I291="","",_xlfn.XLOOKUP($D291&amp;"_"&amp;$AE291,符文权重!$A:$A&amp;"_"&amp;符文权重!$C:$C,符文权重!$D:$D)*$Y291/SUMIFS($Y:$Y,I:I,I291,$D:$D,$D291,$AE:$AE,$AE291)/SUMIF(符文权重!$A:$A,$D291,符文权重!$D:$D)))</f>
        <v>0.00721428571428571</v>
      </c>
      <c r="P291" s="51" cm="1">
        <f t="array" ref="P291">IF($A291="","",IF(J291="","",_xlfn.XLOOKUP($D291&amp;"_"&amp;$AE291,符文权重!$A:$A&amp;"_"&amp;符文权重!$C:$C,符文权重!$D:$D)*$Y291/SUMIFS($Y:$Y,J:J,J291,$D:$D,$D291,$AE:$AE,$AE291)/SUMIF(符文权重!$A:$A,$D291,符文权重!$D:$D)))</f>
        <v>0.0063125</v>
      </c>
      <c r="Q291" s="51" cm="1">
        <f t="array" ref="Q291">IF($A291="","",IF(K291="","",_xlfn.XLOOKUP($D291&amp;"_"&amp;$AE291,符文权重!$A:$A&amp;"_"&amp;符文权重!$C:$C,符文权重!$D:$D)*$Y291/SUMIFS($Y:$Y,K:K,K291,$D:$D,$D291,$AE:$AE,$AE291)/SUMIF(符文权重!$A:$A,$D291,符文权重!$D:$D)))</f>
        <v>0.00721428571428571</v>
      </c>
      <c r="R291" s="51" cm="1">
        <f t="array" ref="R291">IF($A291="","",IF(L291="","",_xlfn.XLOOKUP($D291&amp;"_"&amp;$AE291,符文权重!$A:$A&amp;"_"&amp;符文权重!$C:$C,符文权重!$D:$D)*$Y291/SUMIFS($Y:$Y,L:L,L291,$D:$D,$D291,$AE:$AE,$AE291)/SUMIF(符文权重!$A:$A,$D291,符文权重!$D:$D)))</f>
        <v>0.0063125</v>
      </c>
      <c r="S291" s="36" t="s">
        <v>256</v>
      </c>
      <c r="T291" s="36"/>
      <c r="U291" s="36" t="e">
        <f>IF(C291="","",SUBSTITUTE(SUBSTITUTE("[{global_atk,"&amp;#REF!*D291&amp;"}]",21,20),9,8))</f>
        <v>#REF!</v>
      </c>
      <c r="V291" s="52" t="str">
        <f t="shared" si="141"/>
        <v>[5504026]</v>
      </c>
      <c r="W291" s="36" t="s">
        <v>397</v>
      </c>
      <c r="X291" s="35"/>
      <c r="Y291" s="42">
        <v>100</v>
      </c>
      <c r="Z291" s="35"/>
      <c r="AA291" s="42" t="s">
        <v>189</v>
      </c>
      <c r="AB291" s="42" t="str">
        <f t="shared" si="125"/>
        <v>队长暴击率&lt;color=#54b76b&gt;+6%&lt;/color&gt;</v>
      </c>
      <c r="AC291" s="48" t="str">
        <f t="shared" si="142"/>
        <v>5504021</v>
      </c>
      <c r="AD291" s="42" t="str">
        <f t="shared" si="143"/>
        <v>[6]</v>
      </c>
      <c r="AE291" s="36">
        <v>4</v>
      </c>
      <c r="AF291" s="36"/>
      <c r="AG291" s="36">
        <v>0</v>
      </c>
      <c r="AH291" s="35" t="s">
        <v>178</v>
      </c>
      <c r="AI291" s="48">
        <f t="shared" si="144"/>
        <v>5504026</v>
      </c>
      <c r="AJ291" s="53" t="str">
        <f t="shared" si="145"/>
        <v>队长暴击率&lt;color=#54b76b&gt;+%s%&lt;/color&gt;</v>
      </c>
      <c r="AK291" s="36">
        <v>6</v>
      </c>
      <c r="AL291" s="36">
        <v>3</v>
      </c>
    </row>
    <row r="292" s="25" customFormat="1" hidden="1" customHeight="1" spans="1:38">
      <c r="A292" s="48">
        <v>5504027</v>
      </c>
      <c r="B292" s="34" t="s">
        <v>392</v>
      </c>
      <c r="C292" s="48" t="str">
        <f t="shared" si="139"/>
        <v>5504021</v>
      </c>
      <c r="D292" s="42">
        <f t="shared" si="140"/>
        <v>7</v>
      </c>
      <c r="E292" s="42"/>
      <c r="F292" s="36" t="s">
        <v>174</v>
      </c>
      <c r="G292" s="36">
        <f t="shared" si="126"/>
        <v>1</v>
      </c>
      <c r="H292" s="36">
        <f>IFERROR(IF(--MID($F292,2*COUNTIF($G292:G292,"&gt;"&amp;0)+2,1)=H$1,H$1,""),"")</f>
        <v>2</v>
      </c>
      <c r="I292" s="36">
        <f>IFERROR(IF(--MID($F292,2*COUNTIF($G292:H292,"&gt;"&amp;0)+2,1)=I$1,I$1,""),"")</f>
        <v>3</v>
      </c>
      <c r="J292" s="36">
        <f>IFERROR(IF(--MID($F292,2*COUNTIF($G292:I292,"&gt;"&amp;0)+2,1)=J$1,J$1,""),"")</f>
        <v>4</v>
      </c>
      <c r="K292" s="36">
        <f>IFERROR(IF(--MID($F292,2*COUNTIF($G292:J292,"&gt;"&amp;0)+2,1)=K$1,K$1,""),"")</f>
        <v>5</v>
      </c>
      <c r="L292" s="36">
        <f>IFERROR(IF(--MID($F292,2*COUNTIF($G292:K292,"&gt;"&amp;0)+2,1)=L$1,L$1,""),"")</f>
        <v>6</v>
      </c>
      <c r="M292" s="51" cm="1">
        <f t="array" ref="M292">IF($A292="","",IF(G292="","",_xlfn.XLOOKUP($D292&amp;"_"&amp;$AE292,符文权重!$A:$A&amp;"_"&amp;符文权重!$C:$C,符文权重!$D:$D)*$Y292/SUMIFS($Y:$Y,G:G,G292,$D:$D,$D292,$AE:$AE,$AE292)/SUMIF(符文权重!$A:$A,$D292,符文权重!$D:$D)))</f>
        <v>0.00721428571428571</v>
      </c>
      <c r="N292" s="51" cm="1">
        <f t="array" ref="N292">IF($A292="","",IF(H292="","",_xlfn.XLOOKUP($D292&amp;"_"&amp;$AE292,符文权重!$A:$A&amp;"_"&amp;符文权重!$C:$C,符文权重!$D:$D)*$Y292/SUMIFS($Y:$Y,H:H,H292,$D:$D,$D292,$AE:$AE,$AE292)/SUMIF(符文权重!$A:$A,$D292,符文权重!$D:$D)))</f>
        <v>0.00841666666666667</v>
      </c>
      <c r="O292" s="51" cm="1">
        <f t="array" ref="O292">IF($A292="","",IF(I292="","",_xlfn.XLOOKUP($D292&amp;"_"&amp;$AE292,符文权重!$A:$A&amp;"_"&amp;符文权重!$C:$C,符文权重!$D:$D)*$Y292/SUMIFS($Y:$Y,I:I,I292,$D:$D,$D292,$AE:$AE,$AE292)/SUMIF(符文权重!$A:$A,$D292,符文权重!$D:$D)))</f>
        <v>0.00721428571428571</v>
      </c>
      <c r="P292" s="51" cm="1">
        <f t="array" ref="P292">IF($A292="","",IF(J292="","",_xlfn.XLOOKUP($D292&amp;"_"&amp;$AE292,符文权重!$A:$A&amp;"_"&amp;符文权重!$C:$C,符文权重!$D:$D)*$Y292/SUMIFS($Y:$Y,J:J,J292,$D:$D,$D292,$AE:$AE,$AE292)/SUMIF(符文权重!$A:$A,$D292,符文权重!$D:$D)))</f>
        <v>0.0063125</v>
      </c>
      <c r="Q292" s="51" cm="1">
        <f t="array" ref="Q292">IF($A292="","",IF(K292="","",_xlfn.XLOOKUP($D292&amp;"_"&amp;$AE292,符文权重!$A:$A&amp;"_"&amp;符文权重!$C:$C,符文权重!$D:$D)*$Y292/SUMIFS($Y:$Y,K:K,K292,$D:$D,$D292,$AE:$AE,$AE292)/SUMIF(符文权重!$A:$A,$D292,符文权重!$D:$D)))</f>
        <v>0.00721428571428571</v>
      </c>
      <c r="R292" s="51" cm="1">
        <f t="array" ref="R292">IF($A292="","",IF(L292="","",_xlfn.XLOOKUP($D292&amp;"_"&amp;$AE292,符文权重!$A:$A&amp;"_"&amp;符文权重!$C:$C,符文权重!$D:$D)*$Y292/SUMIFS($Y:$Y,L:L,L292,$D:$D,$D292,$AE:$AE,$AE292)/SUMIF(符文权重!$A:$A,$D292,符文权重!$D:$D)))</f>
        <v>0.0063125</v>
      </c>
      <c r="S292" s="36" t="s">
        <v>256</v>
      </c>
      <c r="T292" s="36"/>
      <c r="U292" s="36" t="e">
        <f>IF(C292="","",SUBSTITUTE(SUBSTITUTE("[{global_atk,"&amp;#REF!*D292&amp;"}]",21,20),9,8))</f>
        <v>#REF!</v>
      </c>
      <c r="V292" s="52" t="str">
        <f t="shared" si="141"/>
        <v>[5504027]</v>
      </c>
      <c r="W292" s="68" t="s">
        <v>398</v>
      </c>
      <c r="X292" s="35"/>
      <c r="Y292" s="42">
        <v>100</v>
      </c>
      <c r="Z292" s="35"/>
      <c r="AA292" s="42" t="s">
        <v>191</v>
      </c>
      <c r="AB292" s="42" t="str">
        <f t="shared" si="125"/>
        <v>队长暴击率&lt;color=#54b76b&gt;+7%&lt;/color&gt;</v>
      </c>
      <c r="AC292" s="48" t="str">
        <f t="shared" si="142"/>
        <v>5504021</v>
      </c>
      <c r="AD292" s="42" t="str">
        <f t="shared" si="143"/>
        <v>[7]</v>
      </c>
      <c r="AE292" s="36">
        <v>4</v>
      </c>
      <c r="AF292" s="36"/>
      <c r="AG292" s="36">
        <v>0</v>
      </c>
      <c r="AH292" s="35" t="s">
        <v>178</v>
      </c>
      <c r="AI292" s="48">
        <f t="shared" si="144"/>
        <v>5504027</v>
      </c>
      <c r="AJ292" s="53" t="str">
        <f t="shared" si="145"/>
        <v>队长暴击率&lt;color=#54b76b&gt;+%s%&lt;/color&gt;</v>
      </c>
      <c r="AK292" s="36">
        <v>7</v>
      </c>
      <c r="AL292" s="36">
        <v>3</v>
      </c>
    </row>
    <row r="293" s="25" customFormat="1" hidden="1" customHeight="1" spans="1:38">
      <c r="A293" s="48"/>
      <c r="B293" s="34"/>
      <c r="C293" s="48"/>
      <c r="D293" s="42"/>
      <c r="E293" s="42"/>
      <c r="F293" s="36"/>
      <c r="G293" s="36" t="str">
        <f t="shared" si="126"/>
        <v/>
      </c>
      <c r="H293" s="36" t="str">
        <f>IFERROR(IF(--MID($F293,2*COUNTIF($G293:G293,"&gt;"&amp;0)+2,1)=H$1,H$1,""),"")</f>
        <v/>
      </c>
      <c r="I293" s="36" t="str">
        <f>IFERROR(IF(--MID($F293,2*COUNTIF($G293:H293,"&gt;"&amp;0)+2,1)=I$1,I$1,""),"")</f>
        <v/>
      </c>
      <c r="J293" s="36" t="str">
        <f>IFERROR(IF(--MID($F293,2*COUNTIF($G293:I293,"&gt;"&amp;0)+2,1)=J$1,J$1,""),"")</f>
        <v/>
      </c>
      <c r="K293" s="36" t="str">
        <f>IFERROR(IF(--MID($F293,2*COUNTIF($G293:J293,"&gt;"&amp;0)+2,1)=K$1,K$1,""),"")</f>
        <v/>
      </c>
      <c r="L293" s="36" t="str">
        <f>IFERROR(IF(--MID($F293,2*COUNTIF($G293:K293,"&gt;"&amp;0)+2,1)=L$1,L$1,""),"")</f>
        <v/>
      </c>
      <c r="M293" s="51" t="str" cm="1">
        <f t="array" ref="M293">IF($A293="","",IF(G293="","",_xlfn.XLOOKUP($D293&amp;"_"&amp;$AE293,符文权重!$A:$A&amp;"_"&amp;符文权重!$C:$C,符文权重!$D:$D)*$Y293/SUMIFS($Y:$Y,G:G,G293,$D:$D,$D293,$AE:$AE,$AE293)/SUMIF(符文权重!$A:$A,$D293,符文权重!$D:$D)))</f>
        <v/>
      </c>
      <c r="N293" s="36" t="str" cm="1">
        <f t="array" ref="N293">IF($A293="","",IF(H293="","",_xlfn.XLOOKUP($D293&amp;"_"&amp;$AE293,符文权重!$A:$A&amp;"_"&amp;符文权重!$C:$C,符文权重!$D:$D)*$Y293/SUMIFS($Y:$Y,H:H,H293,$D:$D,$D$6,$AE:$AE,$AE$6)))</f>
        <v/>
      </c>
      <c r="O293" s="36" t="str" cm="1">
        <f t="array" ref="O293">IF($A293="","",IF(I293="","",_xlfn.XLOOKUP($D293&amp;"_"&amp;$AE293,符文权重!$A:$A&amp;"_"&amp;符文权重!$C:$C,符文权重!$D:$D)*$Y293/SUMIFS($Y:$Y,I:I,I293,$D:$D,$D$6,$AE:$AE,$AE$6)))</f>
        <v/>
      </c>
      <c r="P293" s="36" t="str" cm="1">
        <f t="array" ref="P293">IF($A293="","",IF(J293="","",_xlfn.XLOOKUP($D293&amp;"_"&amp;$AE293,符文权重!$A:$A&amp;"_"&amp;符文权重!$C:$C,符文权重!$D:$D)*$Y293/SUMIFS($Y:$Y,J:J,J293,$D:$D,$D$6,$AE:$AE,$AE$6)))</f>
        <v/>
      </c>
      <c r="Q293" s="36" t="str" cm="1">
        <f t="array" ref="Q293">IF($A293="","",IF(K293="","",_xlfn.XLOOKUP($D293&amp;"_"&amp;$AE293,符文权重!$A:$A&amp;"_"&amp;符文权重!$C:$C,符文权重!$D:$D)*$Y293/SUMIFS($Y:$Y,K:K,K293,$D:$D,$D$6,$AE:$AE,$AE$6)))</f>
        <v/>
      </c>
      <c r="R293" s="36" t="str" cm="1">
        <f t="array" ref="R293">IF($A293="","",IF(L293="","",_xlfn.XLOOKUP($D293&amp;"_"&amp;$AE293,符文权重!$A:$A&amp;"_"&amp;符文权重!$C:$C,符文权重!$D:$D)*$Y293/SUMIFS($Y:$Y,L:L,L293,$D:$D,$D$6,$AE:$AE,$AE$6)))</f>
        <v/>
      </c>
      <c r="S293" s="36"/>
      <c r="T293" s="36"/>
      <c r="U293" s="36"/>
      <c r="V293" s="52"/>
      <c r="W293" s="68"/>
      <c r="X293" s="35"/>
      <c r="Y293" s="42"/>
      <c r="Z293" s="35"/>
      <c r="AA293" s="42"/>
      <c r="AB293" s="42" t="str">
        <f t="shared" si="125"/>
        <v/>
      </c>
      <c r="AC293" s="48"/>
      <c r="AD293" s="42"/>
      <c r="AE293" s="36"/>
      <c r="AF293" s="36"/>
      <c r="AG293" s="36"/>
      <c r="AH293" s="35" t="s">
        <v>178</v>
      </c>
      <c r="AI293" s="48"/>
      <c r="AJ293" s="53"/>
      <c r="AK293" s="36"/>
      <c r="AL293" s="36"/>
    </row>
    <row r="294" s="27" customFormat="1" hidden="1" customHeight="1" spans="1:38">
      <c r="A294" s="57">
        <v>5504031</v>
      </c>
      <c r="B294" s="58" t="s">
        <v>399</v>
      </c>
      <c r="C294" s="57" t="str">
        <f t="shared" ref="C294:C300" si="146">IF(ISBLANK(AI294),"",LEFT(AI294,6)&amp;1)</f>
        <v>5504031</v>
      </c>
      <c r="D294" s="59">
        <f t="shared" ref="D294:D300" si="147">IF(ISBLANK(AI294),"",VALUE(RIGHT(A294,1)))</f>
        <v>1</v>
      </c>
      <c r="E294" s="59"/>
      <c r="F294" s="60" t="s">
        <v>211</v>
      </c>
      <c r="G294" s="36" t="str">
        <f t="shared" si="126"/>
        <v/>
      </c>
      <c r="H294" s="36">
        <f>IFERROR(IF(--MID($F294,2*COUNTIF($G294:G294,"&gt;"&amp;0)+2,1)=H$1,H$1,""),"")</f>
        <v>2</v>
      </c>
      <c r="I294" s="36" t="str">
        <f>IFERROR(IF(--MID($F294,2*COUNTIF($G294:H294,"&gt;"&amp;0)+2,1)=I$1,I$1,""),"")</f>
        <v/>
      </c>
      <c r="J294" s="36" t="str">
        <f>IFERROR(IF(--MID($F294,2*COUNTIF($G294:I294,"&gt;"&amp;0)+2,1)=J$1,J$1,""),"")</f>
        <v/>
      </c>
      <c r="K294" s="36" t="str">
        <f>IFERROR(IF(--MID($F294,2*COUNTIF($G294:J294,"&gt;"&amp;0)+2,1)=K$1,K$1,""),"")</f>
        <v/>
      </c>
      <c r="L294" s="36" t="str">
        <f>IFERROR(IF(--MID($F294,2*COUNTIF($G294:K294,"&gt;"&amp;0)+2,1)=L$1,L$1,""),"")</f>
        <v/>
      </c>
      <c r="M294" s="36" t="e" cm="1">
        <f t="array" ref="M294">IF(A294="","",_xlfn.XLOOKUP(D294&amp;"_"&amp;AE294,符文权重!A:A&amp;"_"&amp;符文权重!C:C,符文权重!D:D))</f>
        <v>#N/A</v>
      </c>
      <c r="N294" s="36"/>
      <c r="O294" s="36"/>
      <c r="P294" s="36"/>
      <c r="Q294" s="36"/>
      <c r="R294" s="36"/>
      <c r="S294" s="60" t="s">
        <v>344</v>
      </c>
      <c r="T294" s="60"/>
      <c r="U294" s="60" t="e">
        <f>IF(C294="","",SUBSTITUTE(SUBSTITUTE("[{global_atk,"&amp;#REF!*D294&amp;"}]",21,20),9,8))</f>
        <v>#REF!</v>
      </c>
      <c r="V294" s="61" t="str">
        <f t="shared" ref="V294:V300" si="148">"["&amp;A294&amp;"]"</f>
        <v>[5504031]</v>
      </c>
      <c r="W294" s="60"/>
      <c r="X294" s="28"/>
      <c r="Y294" s="42">
        <v>100</v>
      </c>
      <c r="Z294" s="28"/>
      <c r="AA294" s="59" t="s">
        <v>177</v>
      </c>
      <c r="AB294" s="42" t="str">
        <f t="shared" si="125"/>
        <v>每次穿透时，伤害&lt;color=#54b76b&gt;+10%&lt;/color&gt;</v>
      </c>
      <c r="AC294" s="57" t="str">
        <f t="shared" ref="AC294:AC300" si="149">IF(ISBLANK(AI294),"",C294)</f>
        <v>5504031</v>
      </c>
      <c r="AD294" s="59" t="str">
        <f t="shared" ref="AD294:AD300" si="150">IF(ISBLANK(AK294),"","["&amp;AK294&amp;"]")</f>
        <v>[10]</v>
      </c>
      <c r="AE294" s="60">
        <v>100</v>
      </c>
      <c r="AF294" s="60"/>
      <c r="AG294" s="60">
        <v>1</v>
      </c>
      <c r="AH294" s="35" t="s">
        <v>178</v>
      </c>
      <c r="AI294" s="62">
        <v>5504031</v>
      </c>
      <c r="AJ294" s="63" t="s">
        <v>400</v>
      </c>
      <c r="AK294" s="60">
        <v>10</v>
      </c>
      <c r="AL294" s="36"/>
    </row>
    <row r="295" s="27" customFormat="1" hidden="1" customHeight="1" spans="1:38">
      <c r="A295" s="57">
        <v>5504032</v>
      </c>
      <c r="B295" s="58" t="s">
        <v>399</v>
      </c>
      <c r="C295" s="57" t="str">
        <f t="shared" si="146"/>
        <v>5504031</v>
      </c>
      <c r="D295" s="59">
        <f t="shared" si="147"/>
        <v>2</v>
      </c>
      <c r="E295" s="59"/>
      <c r="F295" s="60" t="s">
        <v>211</v>
      </c>
      <c r="G295" s="36" t="str">
        <f t="shared" si="126"/>
        <v/>
      </c>
      <c r="H295" s="36">
        <f>IFERROR(IF(--MID($F295,2*COUNTIF($G295:G295,"&gt;"&amp;0)+2,1)=H$1,H$1,""),"")</f>
        <v>2</v>
      </c>
      <c r="I295" s="36" t="str">
        <f>IFERROR(IF(--MID($F295,2*COUNTIF($G295:H295,"&gt;"&amp;0)+2,1)=I$1,I$1,""),"")</f>
        <v/>
      </c>
      <c r="J295" s="36" t="str">
        <f>IFERROR(IF(--MID($F295,2*COUNTIF($G295:I295,"&gt;"&amp;0)+2,1)=J$1,J$1,""),"")</f>
        <v/>
      </c>
      <c r="K295" s="36" t="str">
        <f>IFERROR(IF(--MID($F295,2*COUNTIF($G295:J295,"&gt;"&amp;0)+2,1)=K$1,K$1,""),"")</f>
        <v/>
      </c>
      <c r="L295" s="36" t="str">
        <f>IFERROR(IF(--MID($F295,2*COUNTIF($G295:K295,"&gt;"&amp;0)+2,1)=L$1,L$1,""),"")</f>
        <v/>
      </c>
      <c r="M295" s="36" t="e" cm="1">
        <f t="array" ref="M295">IF(A295="","",_xlfn.XLOOKUP(D295&amp;"_"&amp;AE295,符文权重!A:A&amp;"_"&amp;符文权重!C:C,符文权重!D:D))</f>
        <v>#N/A</v>
      </c>
      <c r="N295" s="36"/>
      <c r="O295" s="36"/>
      <c r="P295" s="36"/>
      <c r="Q295" s="36"/>
      <c r="R295" s="36"/>
      <c r="S295" s="60" t="s">
        <v>344</v>
      </c>
      <c r="T295" s="60"/>
      <c r="U295" s="60" t="e">
        <f>IF(C295="","",SUBSTITUTE(SUBSTITUTE("[{global_atk,"&amp;#REF!*D295&amp;"}]",21,20),9,8))</f>
        <v>#REF!</v>
      </c>
      <c r="V295" s="61" t="str">
        <f t="shared" si="148"/>
        <v>[5504032]</v>
      </c>
      <c r="W295" s="60"/>
      <c r="X295" s="28"/>
      <c r="Y295" s="42">
        <v>100</v>
      </c>
      <c r="Z295" s="28"/>
      <c r="AA295" s="59" t="s">
        <v>181</v>
      </c>
      <c r="AB295" s="42" t="str">
        <f t="shared" si="125"/>
        <v>每次穿透时，伤害&lt;color=#54b76b&gt;+15%&lt;/color&gt;</v>
      </c>
      <c r="AC295" s="57" t="str">
        <f t="shared" si="149"/>
        <v>5504031</v>
      </c>
      <c r="AD295" s="59" t="str">
        <f t="shared" si="150"/>
        <v>[15]</v>
      </c>
      <c r="AE295" s="60">
        <v>100</v>
      </c>
      <c r="AF295" s="60"/>
      <c r="AG295" s="60">
        <v>1</v>
      </c>
      <c r="AH295" s="35" t="s">
        <v>178</v>
      </c>
      <c r="AI295" s="57">
        <f t="shared" ref="AI295:AI300" si="151">AI294+1</f>
        <v>5504032</v>
      </c>
      <c r="AJ295" s="64" t="str">
        <f t="shared" ref="AJ295:AJ300" si="152">AJ294</f>
        <v>每次穿透时，伤害&lt;color=#54b76b&gt;+%s%&lt;/color&gt;</v>
      </c>
      <c r="AK295" s="60">
        <v>15</v>
      </c>
      <c r="AL295" s="36"/>
    </row>
    <row r="296" s="25" customFormat="1" hidden="1" customHeight="1" spans="1:38">
      <c r="A296" s="48">
        <v>5504033</v>
      </c>
      <c r="B296" s="34" t="s">
        <v>399</v>
      </c>
      <c r="C296" s="48" t="str">
        <f t="shared" si="146"/>
        <v>5504031</v>
      </c>
      <c r="D296" s="42">
        <f t="shared" si="147"/>
        <v>3</v>
      </c>
      <c r="E296" s="42"/>
      <c r="F296" s="36" t="s">
        <v>211</v>
      </c>
      <c r="G296" s="36" t="str">
        <f t="shared" si="126"/>
        <v/>
      </c>
      <c r="H296" s="36">
        <f>IFERROR(IF(--MID($F296,2*COUNTIF($G296:G296,"&gt;"&amp;0)+2,1)=H$1,H$1,""),"")</f>
        <v>2</v>
      </c>
      <c r="I296" s="36" t="str">
        <f>IFERROR(IF(--MID($F296,2*COUNTIF($G296:H296,"&gt;"&amp;0)+2,1)=I$1,I$1,""),"")</f>
        <v/>
      </c>
      <c r="J296" s="36" t="str">
        <f>IFERROR(IF(--MID($F296,2*COUNTIF($G296:I296,"&gt;"&amp;0)+2,1)=J$1,J$1,""),"")</f>
        <v/>
      </c>
      <c r="K296" s="36" t="str">
        <f>IFERROR(IF(--MID($F296,2*COUNTIF($G296:J296,"&gt;"&amp;0)+2,1)=K$1,K$1,""),"")</f>
        <v/>
      </c>
      <c r="L296" s="36" t="str">
        <f>IFERROR(IF(--MID($F296,2*COUNTIF($G296:K296,"&gt;"&amp;0)+2,1)=L$1,L$1,""),"")</f>
        <v/>
      </c>
      <c r="M296" s="36" t="e" cm="1">
        <f t="array" ref="M296">IF(A296="","",_xlfn.XLOOKUP(D296&amp;"_"&amp;AE296,符文权重!A:A&amp;"_"&amp;符文权重!C:C,符文权重!D:D))</f>
        <v>#N/A</v>
      </c>
      <c r="N296" s="36"/>
      <c r="O296" s="36"/>
      <c r="P296" s="36"/>
      <c r="Q296" s="36"/>
      <c r="R296" s="36"/>
      <c r="S296" s="36" t="s">
        <v>175</v>
      </c>
      <c r="T296" s="36"/>
      <c r="U296" s="36" t="e">
        <f>IF(C296="","",SUBSTITUTE(SUBSTITUTE("[{global_atk,"&amp;#REF!*D296&amp;"}]",21,20),9,8))</f>
        <v>#REF!</v>
      </c>
      <c r="V296" s="52" t="str">
        <f t="shared" si="148"/>
        <v>[5504033]</v>
      </c>
      <c r="W296" s="36"/>
      <c r="X296" s="35"/>
      <c r="Y296" s="42">
        <v>100</v>
      </c>
      <c r="Z296" s="35"/>
      <c r="AA296" s="42" t="s">
        <v>183</v>
      </c>
      <c r="AB296" s="42" t="str">
        <f t="shared" si="125"/>
        <v>每次穿透时，伤害&lt;color=#54b76b&gt;+20%&lt;/color&gt;</v>
      </c>
      <c r="AC296" s="48" t="str">
        <f t="shared" si="149"/>
        <v>5504031</v>
      </c>
      <c r="AD296" s="42" t="str">
        <f t="shared" si="150"/>
        <v>[20]</v>
      </c>
      <c r="AE296" s="36">
        <v>100</v>
      </c>
      <c r="AF296" s="36"/>
      <c r="AG296" s="36">
        <v>1</v>
      </c>
      <c r="AH296" s="35" t="s">
        <v>178</v>
      </c>
      <c r="AI296" s="48">
        <f t="shared" si="151"/>
        <v>5504033</v>
      </c>
      <c r="AJ296" s="53" t="str">
        <f t="shared" si="152"/>
        <v>每次穿透时，伤害&lt;color=#54b76b&gt;+%s%&lt;/color&gt;</v>
      </c>
      <c r="AK296" s="36">
        <v>20</v>
      </c>
      <c r="AL296" s="69"/>
    </row>
    <row r="297" s="25" customFormat="1" hidden="1" customHeight="1" spans="1:38">
      <c r="A297" s="48">
        <v>5504034</v>
      </c>
      <c r="B297" s="34" t="s">
        <v>399</v>
      </c>
      <c r="C297" s="48" t="str">
        <f t="shared" si="146"/>
        <v>5504031</v>
      </c>
      <c r="D297" s="42">
        <f t="shared" si="147"/>
        <v>4</v>
      </c>
      <c r="E297" s="42"/>
      <c r="F297" s="36" t="s">
        <v>211</v>
      </c>
      <c r="G297" s="36" t="str">
        <f t="shared" si="126"/>
        <v/>
      </c>
      <c r="H297" s="36">
        <f>IFERROR(IF(--MID($F297,2*COUNTIF($G297:G297,"&gt;"&amp;0)+2,1)=H$1,H$1,""),"")</f>
        <v>2</v>
      </c>
      <c r="I297" s="36" t="str">
        <f>IFERROR(IF(--MID($F297,2*COUNTIF($G297:H297,"&gt;"&amp;0)+2,1)=I$1,I$1,""),"")</f>
        <v/>
      </c>
      <c r="J297" s="36" t="str">
        <f>IFERROR(IF(--MID($F297,2*COUNTIF($G297:I297,"&gt;"&amp;0)+2,1)=J$1,J$1,""),"")</f>
        <v/>
      </c>
      <c r="K297" s="36" t="str">
        <f>IFERROR(IF(--MID($F297,2*COUNTIF($G297:J297,"&gt;"&amp;0)+2,1)=K$1,K$1,""),"")</f>
        <v/>
      </c>
      <c r="L297" s="36" t="str">
        <f>IFERROR(IF(--MID($F297,2*COUNTIF($G297:K297,"&gt;"&amp;0)+2,1)=L$1,L$1,""),"")</f>
        <v/>
      </c>
      <c r="M297" s="36" t="e" cm="1">
        <f t="array" ref="M297">IF(A297="","",_xlfn.XLOOKUP(D297&amp;"_"&amp;AE297,符文权重!A:A&amp;"_"&amp;符文权重!C:C,符文权重!D:D))</f>
        <v>#N/A</v>
      </c>
      <c r="N297" s="36"/>
      <c r="O297" s="36"/>
      <c r="P297" s="36"/>
      <c r="Q297" s="36"/>
      <c r="R297" s="36"/>
      <c r="S297" s="36" t="s">
        <v>175</v>
      </c>
      <c r="T297" s="36"/>
      <c r="U297" s="36" t="e">
        <f>IF(C297="","",SUBSTITUTE(SUBSTITUTE("[{global_atk,"&amp;#REF!*D297&amp;"}]",21,20),9,8))</f>
        <v>#REF!</v>
      </c>
      <c r="V297" s="52" t="str">
        <f t="shared" si="148"/>
        <v>[5504034]</v>
      </c>
      <c r="W297" s="36"/>
      <c r="X297" s="35"/>
      <c r="Y297" s="42">
        <v>100</v>
      </c>
      <c r="Z297" s="35"/>
      <c r="AA297" s="42" t="s">
        <v>185</v>
      </c>
      <c r="AB297" s="42" t="str">
        <f t="shared" si="125"/>
        <v>每次穿透时，伤害&lt;color=#54b76b&gt;+25%&lt;/color&gt;</v>
      </c>
      <c r="AC297" s="48" t="str">
        <f t="shared" si="149"/>
        <v>5504031</v>
      </c>
      <c r="AD297" s="42" t="str">
        <f t="shared" si="150"/>
        <v>[25]</v>
      </c>
      <c r="AE297" s="36">
        <v>100</v>
      </c>
      <c r="AF297" s="36"/>
      <c r="AG297" s="36">
        <v>1</v>
      </c>
      <c r="AH297" s="35" t="s">
        <v>178</v>
      </c>
      <c r="AI297" s="48">
        <f t="shared" si="151"/>
        <v>5504034</v>
      </c>
      <c r="AJ297" s="53" t="str">
        <f t="shared" si="152"/>
        <v>每次穿透时，伤害&lt;color=#54b76b&gt;+%s%&lt;/color&gt;</v>
      </c>
      <c r="AK297" s="36">
        <v>25</v>
      </c>
      <c r="AL297" s="36"/>
    </row>
    <row r="298" s="25" customFormat="1" hidden="1" customHeight="1" spans="1:38">
      <c r="A298" s="48">
        <v>5504035</v>
      </c>
      <c r="B298" s="34" t="s">
        <v>399</v>
      </c>
      <c r="C298" s="48" t="str">
        <f t="shared" si="146"/>
        <v>5504031</v>
      </c>
      <c r="D298" s="42">
        <f t="shared" si="147"/>
        <v>5</v>
      </c>
      <c r="E298" s="42"/>
      <c r="F298" s="36" t="s">
        <v>211</v>
      </c>
      <c r="G298" s="36" t="str">
        <f t="shared" si="126"/>
        <v/>
      </c>
      <c r="H298" s="36">
        <f>IFERROR(IF(--MID($F298,2*COUNTIF($G298:G298,"&gt;"&amp;0)+2,1)=H$1,H$1,""),"")</f>
        <v>2</v>
      </c>
      <c r="I298" s="36" t="str">
        <f>IFERROR(IF(--MID($F298,2*COUNTIF($G298:H298,"&gt;"&amp;0)+2,1)=I$1,I$1,""),"")</f>
        <v/>
      </c>
      <c r="J298" s="36" t="str">
        <f>IFERROR(IF(--MID($F298,2*COUNTIF($G298:I298,"&gt;"&amp;0)+2,1)=J$1,J$1,""),"")</f>
        <v/>
      </c>
      <c r="K298" s="36" t="str">
        <f>IFERROR(IF(--MID($F298,2*COUNTIF($G298:J298,"&gt;"&amp;0)+2,1)=K$1,K$1,""),"")</f>
        <v/>
      </c>
      <c r="L298" s="36" t="str">
        <f>IFERROR(IF(--MID($F298,2*COUNTIF($G298:K298,"&gt;"&amp;0)+2,1)=L$1,L$1,""),"")</f>
        <v/>
      </c>
      <c r="M298" s="36" t="e" cm="1">
        <f t="array" ref="M298">IF(A298="","",_xlfn.XLOOKUP(D298&amp;"_"&amp;AE298,符文权重!A:A&amp;"_"&amp;符文权重!C:C,符文权重!D:D))</f>
        <v>#N/A</v>
      </c>
      <c r="N298" s="36"/>
      <c r="O298" s="36"/>
      <c r="P298" s="36"/>
      <c r="Q298" s="36"/>
      <c r="R298" s="36"/>
      <c r="S298" s="36" t="s">
        <v>175</v>
      </c>
      <c r="T298" s="36"/>
      <c r="U298" s="36" t="e">
        <f>IF(C298="","",SUBSTITUTE(SUBSTITUTE("[{global_atk,"&amp;#REF!*D298&amp;"}]",21,20),9,8))</f>
        <v>#REF!</v>
      </c>
      <c r="V298" s="52" t="str">
        <f t="shared" si="148"/>
        <v>[5504035]</v>
      </c>
      <c r="W298" s="36"/>
      <c r="X298" s="35"/>
      <c r="Y298" s="42">
        <v>100</v>
      </c>
      <c r="Z298" s="35"/>
      <c r="AA298" s="42" t="s">
        <v>187</v>
      </c>
      <c r="AB298" s="42" t="str">
        <f t="shared" si="125"/>
        <v>每次穿透时，伤害&lt;color=#54b76b&gt;+30%&lt;/color&gt;</v>
      </c>
      <c r="AC298" s="48" t="str">
        <f t="shared" si="149"/>
        <v>5504031</v>
      </c>
      <c r="AD298" s="42" t="str">
        <f t="shared" si="150"/>
        <v>[30]</v>
      </c>
      <c r="AE298" s="36">
        <v>100</v>
      </c>
      <c r="AF298" s="36"/>
      <c r="AG298" s="36">
        <v>1</v>
      </c>
      <c r="AH298" s="35" t="s">
        <v>178</v>
      </c>
      <c r="AI298" s="48">
        <f t="shared" si="151"/>
        <v>5504035</v>
      </c>
      <c r="AJ298" s="53" t="str">
        <f t="shared" si="152"/>
        <v>每次穿透时，伤害&lt;color=#54b76b&gt;+%s%&lt;/color&gt;</v>
      </c>
      <c r="AK298" s="36">
        <v>30</v>
      </c>
      <c r="AL298" s="36"/>
    </row>
    <row r="299" s="25" customFormat="1" hidden="1" customHeight="1" spans="1:38">
      <c r="A299" s="48">
        <v>5504036</v>
      </c>
      <c r="B299" s="34" t="s">
        <v>399</v>
      </c>
      <c r="C299" s="48" t="str">
        <f t="shared" si="146"/>
        <v>5504031</v>
      </c>
      <c r="D299" s="42">
        <f t="shared" si="147"/>
        <v>6</v>
      </c>
      <c r="E299" s="42"/>
      <c r="F299" s="36" t="s">
        <v>211</v>
      </c>
      <c r="G299" s="36" t="str">
        <f t="shared" si="126"/>
        <v/>
      </c>
      <c r="H299" s="36">
        <f>IFERROR(IF(--MID($F299,2*COUNTIF($G299:G299,"&gt;"&amp;0)+2,1)=H$1,H$1,""),"")</f>
        <v>2</v>
      </c>
      <c r="I299" s="36" t="str">
        <f>IFERROR(IF(--MID($F299,2*COUNTIF($G299:H299,"&gt;"&amp;0)+2,1)=I$1,I$1,""),"")</f>
        <v/>
      </c>
      <c r="J299" s="36" t="str">
        <f>IFERROR(IF(--MID($F299,2*COUNTIF($G299:I299,"&gt;"&amp;0)+2,1)=J$1,J$1,""),"")</f>
        <v/>
      </c>
      <c r="K299" s="36" t="str">
        <f>IFERROR(IF(--MID($F299,2*COUNTIF($G299:J299,"&gt;"&amp;0)+2,1)=K$1,K$1,""),"")</f>
        <v/>
      </c>
      <c r="L299" s="36" t="str">
        <f>IFERROR(IF(--MID($F299,2*COUNTIF($G299:K299,"&gt;"&amp;0)+2,1)=L$1,L$1,""),"")</f>
        <v/>
      </c>
      <c r="M299" s="36" t="e" cm="1">
        <f t="array" ref="M299">IF(A299="","",_xlfn.XLOOKUP(D299&amp;"_"&amp;AE299,符文权重!A:A&amp;"_"&amp;符文权重!C:C,符文权重!D:D))</f>
        <v>#N/A</v>
      </c>
      <c r="N299" s="36"/>
      <c r="O299" s="36"/>
      <c r="P299" s="36"/>
      <c r="Q299" s="36"/>
      <c r="R299" s="36"/>
      <c r="S299" s="36" t="s">
        <v>175</v>
      </c>
      <c r="T299" s="36"/>
      <c r="U299" s="36" t="e">
        <f>IF(C299="","",SUBSTITUTE(SUBSTITUTE("[{global_atk,"&amp;#REF!*D299&amp;"}]",21,20),9,8))</f>
        <v>#REF!</v>
      </c>
      <c r="V299" s="52" t="str">
        <f t="shared" si="148"/>
        <v>[5504036]</v>
      </c>
      <c r="W299" s="36"/>
      <c r="X299" s="35"/>
      <c r="Y299" s="42">
        <v>100</v>
      </c>
      <c r="Z299" s="35"/>
      <c r="AA299" s="42" t="s">
        <v>189</v>
      </c>
      <c r="AB299" s="42" t="str">
        <f t="shared" si="125"/>
        <v>每次穿透时，伤害&lt;color=#54b76b&gt;+35%&lt;/color&gt;</v>
      </c>
      <c r="AC299" s="48" t="str">
        <f t="shared" si="149"/>
        <v>5504031</v>
      </c>
      <c r="AD299" s="42" t="str">
        <f t="shared" si="150"/>
        <v>[35]</v>
      </c>
      <c r="AE299" s="36">
        <v>100</v>
      </c>
      <c r="AF299" s="36"/>
      <c r="AG299" s="36">
        <v>1</v>
      </c>
      <c r="AH299" s="35" t="s">
        <v>178</v>
      </c>
      <c r="AI299" s="48">
        <f t="shared" si="151"/>
        <v>5504036</v>
      </c>
      <c r="AJ299" s="53" t="str">
        <f t="shared" si="152"/>
        <v>每次穿透时，伤害&lt;color=#54b76b&gt;+%s%&lt;/color&gt;</v>
      </c>
      <c r="AK299" s="36">
        <v>35</v>
      </c>
      <c r="AL299" s="36"/>
    </row>
    <row r="300" s="25" customFormat="1" hidden="1" customHeight="1" spans="1:38">
      <c r="A300" s="48">
        <v>5504037</v>
      </c>
      <c r="B300" s="34" t="s">
        <v>399</v>
      </c>
      <c r="C300" s="48" t="str">
        <f t="shared" si="146"/>
        <v>5504031</v>
      </c>
      <c r="D300" s="42">
        <f t="shared" si="147"/>
        <v>7</v>
      </c>
      <c r="E300" s="42"/>
      <c r="F300" s="36" t="s">
        <v>211</v>
      </c>
      <c r="G300" s="36" t="str">
        <f t="shared" si="126"/>
        <v/>
      </c>
      <c r="H300" s="36">
        <f>IFERROR(IF(--MID($F300,2*COUNTIF($G300:G300,"&gt;"&amp;0)+2,1)=H$1,H$1,""),"")</f>
        <v>2</v>
      </c>
      <c r="I300" s="36" t="str">
        <f>IFERROR(IF(--MID($F300,2*COUNTIF($G300:H300,"&gt;"&amp;0)+2,1)=I$1,I$1,""),"")</f>
        <v/>
      </c>
      <c r="J300" s="36" t="str">
        <f>IFERROR(IF(--MID($F300,2*COUNTIF($G300:I300,"&gt;"&amp;0)+2,1)=J$1,J$1,""),"")</f>
        <v/>
      </c>
      <c r="K300" s="36" t="str">
        <f>IFERROR(IF(--MID($F300,2*COUNTIF($G300:J300,"&gt;"&amp;0)+2,1)=K$1,K$1,""),"")</f>
        <v/>
      </c>
      <c r="L300" s="36" t="str">
        <f>IFERROR(IF(--MID($F300,2*COUNTIF($G300:K300,"&gt;"&amp;0)+2,1)=L$1,L$1,""),"")</f>
        <v/>
      </c>
      <c r="M300" s="36" t="e" cm="1">
        <f t="array" ref="M300">IF(A300="","",_xlfn.XLOOKUP(D300&amp;"_"&amp;AE300,符文权重!A:A&amp;"_"&amp;符文权重!C:C,符文权重!D:D))</f>
        <v>#N/A</v>
      </c>
      <c r="N300" s="36"/>
      <c r="O300" s="36"/>
      <c r="P300" s="36"/>
      <c r="Q300" s="36"/>
      <c r="R300" s="36"/>
      <c r="S300" s="36" t="s">
        <v>175</v>
      </c>
      <c r="T300" s="36"/>
      <c r="U300" s="36" t="e">
        <f>IF(C300="","",SUBSTITUTE(SUBSTITUTE("[{global_atk,"&amp;#REF!*D300&amp;"}]",21,20),9,8))</f>
        <v>#REF!</v>
      </c>
      <c r="V300" s="52" t="str">
        <f t="shared" si="148"/>
        <v>[5504037]</v>
      </c>
      <c r="W300" s="68"/>
      <c r="X300" s="35"/>
      <c r="Y300" s="42">
        <v>100</v>
      </c>
      <c r="Z300" s="35"/>
      <c r="AA300" s="42" t="s">
        <v>191</v>
      </c>
      <c r="AB300" s="42" t="str">
        <f t="shared" si="125"/>
        <v>每次穿透时，伤害&lt;color=#54b76b&gt;+40%&lt;/color&gt;</v>
      </c>
      <c r="AC300" s="48" t="str">
        <f t="shared" si="149"/>
        <v>5504031</v>
      </c>
      <c r="AD300" s="42" t="str">
        <f t="shared" si="150"/>
        <v>[40]</v>
      </c>
      <c r="AE300" s="36">
        <v>100</v>
      </c>
      <c r="AF300" s="36"/>
      <c r="AG300" s="36">
        <v>1</v>
      </c>
      <c r="AH300" s="35" t="s">
        <v>178</v>
      </c>
      <c r="AI300" s="48">
        <f t="shared" si="151"/>
        <v>5504037</v>
      </c>
      <c r="AJ300" s="53" t="str">
        <f t="shared" si="152"/>
        <v>每次穿透时，伤害&lt;color=#54b76b&gt;+%s%&lt;/color&gt;</v>
      </c>
      <c r="AK300" s="36">
        <v>40</v>
      </c>
      <c r="AL300" s="36"/>
    </row>
    <row r="301" s="25" customFormat="1" hidden="1" customHeight="1" spans="1:38">
      <c r="A301" s="48"/>
      <c r="B301" s="34"/>
      <c r="C301" s="48"/>
      <c r="D301" s="42"/>
      <c r="E301" s="42"/>
      <c r="F301" s="36"/>
      <c r="G301" s="36" t="str">
        <f t="shared" si="126"/>
        <v/>
      </c>
      <c r="H301" s="36" t="str">
        <f>IFERROR(IF(--MID($F301,2*COUNTIF($G301:G301,"&gt;"&amp;0)+2,1)=H$1,H$1,""),"")</f>
        <v/>
      </c>
      <c r="I301" s="36" t="str">
        <f>IFERROR(IF(--MID($F301,2*COUNTIF($G301:H301,"&gt;"&amp;0)+2,1)=I$1,I$1,""),"")</f>
        <v/>
      </c>
      <c r="J301" s="36" t="str">
        <f>IFERROR(IF(--MID($F301,2*COUNTIF($G301:I301,"&gt;"&amp;0)+2,1)=J$1,J$1,""),"")</f>
        <v/>
      </c>
      <c r="K301" s="36" t="str">
        <f>IFERROR(IF(--MID($F301,2*COUNTIF($G301:J301,"&gt;"&amp;0)+2,1)=K$1,K$1,""),"")</f>
        <v/>
      </c>
      <c r="L301" s="36" t="str">
        <f>IFERROR(IF(--MID($F301,2*COUNTIF($G301:K301,"&gt;"&amp;0)+2,1)=L$1,L$1,""),"")</f>
        <v/>
      </c>
      <c r="M301" s="51" t="str" cm="1">
        <f t="array" ref="M301">IF($A301="","",IF(G301="","",_xlfn.XLOOKUP($D301&amp;"_"&amp;$AE301,符文权重!$A:$A&amp;"_"&amp;符文权重!$C:$C,符文权重!$D:$D)*$Y301/SUMIFS($Y:$Y,G:G,G301,$D:$D,$D301,$AE:$AE,$AE301)/SUMIF(符文权重!$A:$A,$D301,符文权重!$D:$D)))</f>
        <v/>
      </c>
      <c r="N301" s="36" t="str" cm="1">
        <f t="array" ref="N301">IF($A301="","",IF(H301="","",_xlfn.XLOOKUP($D301&amp;"_"&amp;$AE301,符文权重!$A:$A&amp;"_"&amp;符文权重!$C:$C,符文权重!$D:$D)*$Y301/SUMIFS($Y:$Y,H:H,H301,$D:$D,$D$6,$AE:$AE,$AE$6)))</f>
        <v/>
      </c>
      <c r="O301" s="36" t="str" cm="1">
        <f t="array" ref="O301">IF($A301="","",IF(I301="","",_xlfn.XLOOKUP($D301&amp;"_"&amp;$AE301,符文权重!$A:$A&amp;"_"&amp;符文权重!$C:$C,符文权重!$D:$D)*$Y301/SUMIFS($Y:$Y,I:I,I301,$D:$D,$D$6,$AE:$AE,$AE$6)))</f>
        <v/>
      </c>
      <c r="P301" s="36" t="str" cm="1">
        <f t="array" ref="P301">IF($A301="","",IF(J301="","",_xlfn.XLOOKUP($D301&amp;"_"&amp;$AE301,符文权重!$A:$A&amp;"_"&amp;符文权重!$C:$C,符文权重!$D:$D)*$Y301/SUMIFS($Y:$Y,J:J,J301,$D:$D,$D$6,$AE:$AE,$AE$6)))</f>
        <v/>
      </c>
      <c r="Q301" s="36" t="str" cm="1">
        <f t="array" ref="Q301">IF($A301="","",IF(K301="","",_xlfn.XLOOKUP($D301&amp;"_"&amp;$AE301,符文权重!$A:$A&amp;"_"&amp;符文权重!$C:$C,符文权重!$D:$D)*$Y301/SUMIFS($Y:$Y,K:K,K301,$D:$D,$D$6,$AE:$AE,$AE$6)))</f>
        <v/>
      </c>
      <c r="R301" s="36" t="str" cm="1">
        <f t="array" ref="R301">IF($A301="","",IF(L301="","",_xlfn.XLOOKUP($D301&amp;"_"&amp;$AE301,符文权重!$A:$A&amp;"_"&amp;符文权重!$C:$C,符文权重!$D:$D)*$Y301/SUMIFS($Y:$Y,L:L,L301,$D:$D,$D$6,$AE:$AE,$AE$6)))</f>
        <v/>
      </c>
      <c r="S301" s="36"/>
      <c r="T301" s="36"/>
      <c r="U301" s="36"/>
      <c r="V301" s="52"/>
      <c r="W301" s="68"/>
      <c r="X301" s="35"/>
      <c r="Y301" s="42"/>
      <c r="Z301" s="35"/>
      <c r="AA301" s="42"/>
      <c r="AB301" s="42" t="str">
        <f t="shared" si="125"/>
        <v/>
      </c>
      <c r="AC301" s="48"/>
      <c r="AD301" s="42"/>
      <c r="AE301" s="36"/>
      <c r="AF301" s="36"/>
      <c r="AG301" s="36"/>
      <c r="AH301" s="35" t="s">
        <v>178</v>
      </c>
      <c r="AI301" s="48"/>
      <c r="AJ301" s="53"/>
      <c r="AK301" s="36"/>
      <c r="AL301" s="36"/>
    </row>
    <row r="302" s="27" customFormat="1" hidden="1" customHeight="1" spans="1:38">
      <c r="A302" s="57">
        <v>5504041</v>
      </c>
      <c r="B302" s="58" t="s">
        <v>401</v>
      </c>
      <c r="C302" s="57" t="str">
        <f t="shared" ref="C302:C308" si="153">IF(ISBLANK(AI302),"",LEFT(AI302,6)&amp;1)</f>
        <v>5504041</v>
      </c>
      <c r="D302" s="59">
        <f t="shared" ref="D302:D308" si="154">IF(ISBLANK(AI302),"",VALUE(RIGHT(A302,1)))</f>
        <v>1</v>
      </c>
      <c r="E302" s="59"/>
      <c r="F302" s="60" t="s">
        <v>193</v>
      </c>
      <c r="G302" s="36" t="str">
        <f t="shared" si="126"/>
        <v/>
      </c>
      <c r="H302" s="36" t="str">
        <f>IFERROR(IF(--MID($F302,2*COUNTIF($G302:G302,"&gt;"&amp;0)+2,1)=H$1,H$1,""),"")</f>
        <v/>
      </c>
      <c r="I302" s="36">
        <f>IFERROR(IF(--MID($F302,2*COUNTIF($G302:H302,"&gt;"&amp;0)+2,1)=I$1,I$1,""),"")</f>
        <v>3</v>
      </c>
      <c r="J302" s="36" t="str">
        <f>IFERROR(IF(--MID($F302,2*COUNTIF($G302:I302,"&gt;"&amp;0)+2,1)=J$1,J$1,""),"")</f>
        <v/>
      </c>
      <c r="K302" s="36" t="str">
        <f>IFERROR(IF(--MID($F302,2*COUNTIF($G302:J302,"&gt;"&amp;0)+2,1)=K$1,K$1,""),"")</f>
        <v/>
      </c>
      <c r="L302" s="36" t="str">
        <f>IFERROR(IF(--MID($F302,2*COUNTIF($G302:K302,"&gt;"&amp;0)+2,1)=L$1,L$1,""),"")</f>
        <v/>
      </c>
      <c r="M302" s="36" t="e" cm="1">
        <f t="array" ref="M302">IF(A302="","",_xlfn.XLOOKUP(D302&amp;"_"&amp;AE302,符文权重!A:A&amp;"_"&amp;符文权重!C:C,符文权重!D:D))</f>
        <v>#N/A</v>
      </c>
      <c r="N302" s="36"/>
      <c r="O302" s="36"/>
      <c r="P302" s="36"/>
      <c r="Q302" s="36"/>
      <c r="R302" s="36"/>
      <c r="S302" s="60" t="s">
        <v>344</v>
      </c>
      <c r="T302" s="60"/>
      <c r="U302" s="60" t="e">
        <f>IF(C302="","",SUBSTITUTE(SUBSTITUTE("[{global_atk,"&amp;#REF!*D302&amp;"}]",21,20),9,8))</f>
        <v>#REF!</v>
      </c>
      <c r="V302" s="61" t="str">
        <f t="shared" ref="V302:V308" si="155">"["&amp;A302&amp;"]"</f>
        <v>[5504041]</v>
      </c>
      <c r="W302" s="60"/>
      <c r="X302" s="28"/>
      <c r="Y302" s="42">
        <v>100</v>
      </c>
      <c r="Z302" s="28"/>
      <c r="AA302" s="59" t="s">
        <v>177</v>
      </c>
      <c r="AB302" s="42" t="str">
        <f t="shared" si="125"/>
        <v>每次弹射时，伤害&lt;color=#54b76b&gt;+10%&lt;/color&gt;</v>
      </c>
      <c r="AC302" s="57" t="str">
        <f t="shared" ref="AC302:AC308" si="156">IF(ISBLANK(AI302),"",C302)</f>
        <v>5504041</v>
      </c>
      <c r="AD302" s="59" t="str">
        <f t="shared" ref="AD302:AD308" si="157">IF(ISBLANK(AK302),"","["&amp;AK302&amp;"]")</f>
        <v>[10]</v>
      </c>
      <c r="AE302" s="60">
        <v>100</v>
      </c>
      <c r="AF302" s="60"/>
      <c r="AG302" s="60">
        <v>1</v>
      </c>
      <c r="AH302" s="35" t="s">
        <v>178</v>
      </c>
      <c r="AI302" s="62">
        <v>5504041</v>
      </c>
      <c r="AJ302" s="63" t="s">
        <v>402</v>
      </c>
      <c r="AK302" s="60">
        <v>10</v>
      </c>
      <c r="AL302" s="36"/>
    </row>
    <row r="303" s="27" customFormat="1" hidden="1" customHeight="1" spans="1:38">
      <c r="A303" s="57">
        <v>5504042</v>
      </c>
      <c r="B303" s="58" t="s">
        <v>401</v>
      </c>
      <c r="C303" s="57" t="str">
        <f t="shared" si="153"/>
        <v>5504041</v>
      </c>
      <c r="D303" s="59">
        <f t="shared" si="154"/>
        <v>2</v>
      </c>
      <c r="E303" s="59"/>
      <c r="F303" s="60" t="s">
        <v>193</v>
      </c>
      <c r="G303" s="36" t="str">
        <f t="shared" si="126"/>
        <v/>
      </c>
      <c r="H303" s="36" t="str">
        <f>IFERROR(IF(--MID($F303,2*COUNTIF($G303:G303,"&gt;"&amp;0)+2,1)=H$1,H$1,""),"")</f>
        <v/>
      </c>
      <c r="I303" s="36">
        <f>IFERROR(IF(--MID($F303,2*COUNTIF($G303:H303,"&gt;"&amp;0)+2,1)=I$1,I$1,""),"")</f>
        <v>3</v>
      </c>
      <c r="J303" s="36" t="str">
        <f>IFERROR(IF(--MID($F303,2*COUNTIF($G303:I303,"&gt;"&amp;0)+2,1)=J$1,J$1,""),"")</f>
        <v/>
      </c>
      <c r="K303" s="36" t="str">
        <f>IFERROR(IF(--MID($F303,2*COUNTIF($G303:J303,"&gt;"&amp;0)+2,1)=K$1,K$1,""),"")</f>
        <v/>
      </c>
      <c r="L303" s="36" t="str">
        <f>IFERROR(IF(--MID($F303,2*COUNTIF($G303:K303,"&gt;"&amp;0)+2,1)=L$1,L$1,""),"")</f>
        <v/>
      </c>
      <c r="M303" s="36" t="e" cm="1">
        <f t="array" ref="M303">IF(A303="","",_xlfn.XLOOKUP(D303&amp;"_"&amp;AE303,符文权重!A:A&amp;"_"&amp;符文权重!C:C,符文权重!D:D))</f>
        <v>#N/A</v>
      </c>
      <c r="N303" s="36"/>
      <c r="O303" s="36"/>
      <c r="P303" s="36"/>
      <c r="Q303" s="36"/>
      <c r="R303" s="36"/>
      <c r="S303" s="60" t="s">
        <v>344</v>
      </c>
      <c r="T303" s="60"/>
      <c r="U303" s="60" t="e">
        <f>IF(C303="","",SUBSTITUTE(SUBSTITUTE("[{global_atk,"&amp;#REF!*D303&amp;"}]",21,20),9,8))</f>
        <v>#REF!</v>
      </c>
      <c r="V303" s="61" t="str">
        <f t="shared" si="155"/>
        <v>[5504042]</v>
      </c>
      <c r="W303" s="60"/>
      <c r="X303" s="28"/>
      <c r="Y303" s="42">
        <v>100</v>
      </c>
      <c r="Z303" s="28"/>
      <c r="AA303" s="59" t="s">
        <v>181</v>
      </c>
      <c r="AB303" s="42" t="str">
        <f t="shared" si="125"/>
        <v>每次弹射时，伤害&lt;color=#54b76b&gt;+15%&lt;/color&gt;</v>
      </c>
      <c r="AC303" s="57" t="str">
        <f t="shared" si="156"/>
        <v>5504041</v>
      </c>
      <c r="AD303" s="59" t="str">
        <f t="shared" si="157"/>
        <v>[15]</v>
      </c>
      <c r="AE303" s="60">
        <v>100</v>
      </c>
      <c r="AF303" s="60"/>
      <c r="AG303" s="60">
        <v>1</v>
      </c>
      <c r="AH303" s="35" t="s">
        <v>178</v>
      </c>
      <c r="AI303" s="57">
        <f t="shared" ref="AI303:AI308" si="158">AI302+1</f>
        <v>5504042</v>
      </c>
      <c r="AJ303" s="64" t="str">
        <f t="shared" ref="AJ303:AJ308" si="159">AJ302</f>
        <v>每次弹射时，伤害&lt;color=#54b76b&gt;+%s%&lt;/color&gt;</v>
      </c>
      <c r="AK303" s="60">
        <v>15</v>
      </c>
      <c r="AL303" s="36"/>
    </row>
    <row r="304" s="25" customFormat="1" hidden="1" customHeight="1" spans="1:38">
      <c r="A304" s="48">
        <v>5504043</v>
      </c>
      <c r="B304" s="34" t="s">
        <v>401</v>
      </c>
      <c r="C304" s="48" t="str">
        <f t="shared" si="153"/>
        <v>5504041</v>
      </c>
      <c r="D304" s="42">
        <f t="shared" si="154"/>
        <v>3</v>
      </c>
      <c r="E304" s="42"/>
      <c r="F304" s="36" t="s">
        <v>193</v>
      </c>
      <c r="G304" s="36" t="str">
        <f t="shared" si="126"/>
        <v/>
      </c>
      <c r="H304" s="36" t="str">
        <f>IFERROR(IF(--MID($F304,2*COUNTIF($G304:G304,"&gt;"&amp;0)+2,1)=H$1,H$1,""),"")</f>
        <v/>
      </c>
      <c r="I304" s="36">
        <f>IFERROR(IF(--MID($F304,2*COUNTIF($G304:H304,"&gt;"&amp;0)+2,1)=I$1,I$1,""),"")</f>
        <v>3</v>
      </c>
      <c r="J304" s="36" t="str">
        <f>IFERROR(IF(--MID($F304,2*COUNTIF($G304:I304,"&gt;"&amp;0)+2,1)=J$1,J$1,""),"")</f>
        <v/>
      </c>
      <c r="K304" s="36" t="str">
        <f>IFERROR(IF(--MID($F304,2*COUNTIF($G304:J304,"&gt;"&amp;0)+2,1)=K$1,K$1,""),"")</f>
        <v/>
      </c>
      <c r="L304" s="36" t="str">
        <f>IFERROR(IF(--MID($F304,2*COUNTIF($G304:K304,"&gt;"&amp;0)+2,1)=L$1,L$1,""),"")</f>
        <v/>
      </c>
      <c r="M304" s="36" t="e" cm="1">
        <f t="array" ref="M304">IF(A304="","",_xlfn.XLOOKUP(D304&amp;"_"&amp;AE304,符文权重!A:A&amp;"_"&amp;符文权重!C:C,符文权重!D:D))</f>
        <v>#N/A</v>
      </c>
      <c r="N304" s="36"/>
      <c r="O304" s="36"/>
      <c r="P304" s="36"/>
      <c r="Q304" s="36"/>
      <c r="R304" s="36"/>
      <c r="S304" s="36" t="s">
        <v>344</v>
      </c>
      <c r="T304" s="36"/>
      <c r="U304" s="36" t="e">
        <f>IF(C304="","",SUBSTITUTE(SUBSTITUTE("[{global_atk,"&amp;#REF!*D304&amp;"}]",21,20),9,8))</f>
        <v>#REF!</v>
      </c>
      <c r="V304" s="52" t="str">
        <f t="shared" si="155"/>
        <v>[5504043]</v>
      </c>
      <c r="W304" s="36"/>
      <c r="X304" s="35"/>
      <c r="Y304" s="42">
        <v>100</v>
      </c>
      <c r="Z304" s="35"/>
      <c r="AA304" s="42" t="s">
        <v>183</v>
      </c>
      <c r="AB304" s="42" t="str">
        <f t="shared" si="125"/>
        <v>每次弹射时，伤害&lt;color=#54b76b&gt;+20%&lt;/color&gt;</v>
      </c>
      <c r="AC304" s="48" t="str">
        <f t="shared" si="156"/>
        <v>5504041</v>
      </c>
      <c r="AD304" s="42" t="str">
        <f t="shared" si="157"/>
        <v>[20]</v>
      </c>
      <c r="AE304" s="36">
        <v>100</v>
      </c>
      <c r="AF304" s="36"/>
      <c r="AG304" s="36">
        <v>1</v>
      </c>
      <c r="AH304" s="35" t="s">
        <v>178</v>
      </c>
      <c r="AI304" s="48">
        <f t="shared" si="158"/>
        <v>5504043</v>
      </c>
      <c r="AJ304" s="53" t="str">
        <f t="shared" si="159"/>
        <v>每次弹射时，伤害&lt;color=#54b76b&gt;+%s%&lt;/color&gt;</v>
      </c>
      <c r="AK304" s="36">
        <v>20</v>
      </c>
      <c r="AL304" s="36"/>
    </row>
    <row r="305" s="25" customFormat="1" hidden="1" customHeight="1" spans="1:38">
      <c r="A305" s="48">
        <v>5504044</v>
      </c>
      <c r="B305" s="34" t="s">
        <v>401</v>
      </c>
      <c r="C305" s="48" t="str">
        <f t="shared" si="153"/>
        <v>5504041</v>
      </c>
      <c r="D305" s="42">
        <f t="shared" si="154"/>
        <v>4</v>
      </c>
      <c r="E305" s="42"/>
      <c r="F305" s="36" t="s">
        <v>193</v>
      </c>
      <c r="G305" s="36" t="str">
        <f t="shared" si="126"/>
        <v/>
      </c>
      <c r="H305" s="36" t="str">
        <f>IFERROR(IF(--MID($F305,2*COUNTIF($G305:G305,"&gt;"&amp;0)+2,1)=H$1,H$1,""),"")</f>
        <v/>
      </c>
      <c r="I305" s="36">
        <f>IFERROR(IF(--MID($F305,2*COUNTIF($G305:H305,"&gt;"&amp;0)+2,1)=I$1,I$1,""),"")</f>
        <v>3</v>
      </c>
      <c r="J305" s="36" t="str">
        <f>IFERROR(IF(--MID($F305,2*COUNTIF($G305:I305,"&gt;"&amp;0)+2,1)=J$1,J$1,""),"")</f>
        <v/>
      </c>
      <c r="K305" s="36" t="str">
        <f>IFERROR(IF(--MID($F305,2*COUNTIF($G305:J305,"&gt;"&amp;0)+2,1)=K$1,K$1,""),"")</f>
        <v/>
      </c>
      <c r="L305" s="36" t="str">
        <f>IFERROR(IF(--MID($F305,2*COUNTIF($G305:K305,"&gt;"&amp;0)+2,1)=L$1,L$1,""),"")</f>
        <v/>
      </c>
      <c r="M305" s="36" t="e" cm="1">
        <f t="array" ref="M305">IF(A305="","",_xlfn.XLOOKUP(D305&amp;"_"&amp;AE305,符文权重!A:A&amp;"_"&amp;符文权重!C:C,符文权重!D:D))</f>
        <v>#N/A</v>
      </c>
      <c r="N305" s="36"/>
      <c r="O305" s="36"/>
      <c r="P305" s="36"/>
      <c r="Q305" s="36"/>
      <c r="R305" s="36"/>
      <c r="S305" s="36" t="s">
        <v>344</v>
      </c>
      <c r="T305" s="36"/>
      <c r="U305" s="36" t="e">
        <f>IF(C305="","",SUBSTITUTE(SUBSTITUTE("[{global_atk,"&amp;#REF!*D305&amp;"}]",21,20),9,8))</f>
        <v>#REF!</v>
      </c>
      <c r="V305" s="52" t="str">
        <f t="shared" si="155"/>
        <v>[5504044]</v>
      </c>
      <c r="W305" s="36"/>
      <c r="X305" s="35"/>
      <c r="Y305" s="42">
        <v>100</v>
      </c>
      <c r="Z305" s="35"/>
      <c r="AA305" s="42" t="s">
        <v>185</v>
      </c>
      <c r="AB305" s="42" t="str">
        <f t="shared" si="125"/>
        <v>每次弹射时，伤害&lt;color=#54b76b&gt;+25%&lt;/color&gt;</v>
      </c>
      <c r="AC305" s="48" t="str">
        <f t="shared" si="156"/>
        <v>5504041</v>
      </c>
      <c r="AD305" s="42" t="str">
        <f t="shared" si="157"/>
        <v>[25]</v>
      </c>
      <c r="AE305" s="36">
        <v>100</v>
      </c>
      <c r="AF305" s="36"/>
      <c r="AG305" s="36">
        <v>1</v>
      </c>
      <c r="AH305" s="35" t="s">
        <v>178</v>
      </c>
      <c r="AI305" s="48">
        <f t="shared" si="158"/>
        <v>5504044</v>
      </c>
      <c r="AJ305" s="53" t="str">
        <f t="shared" si="159"/>
        <v>每次弹射时，伤害&lt;color=#54b76b&gt;+%s%&lt;/color&gt;</v>
      </c>
      <c r="AK305" s="36">
        <v>25</v>
      </c>
      <c r="AL305" s="36"/>
    </row>
    <row r="306" s="25" customFormat="1" hidden="1" customHeight="1" spans="1:38">
      <c r="A306" s="48">
        <v>5504045</v>
      </c>
      <c r="B306" s="34" t="s">
        <v>401</v>
      </c>
      <c r="C306" s="48" t="str">
        <f t="shared" si="153"/>
        <v>5504041</v>
      </c>
      <c r="D306" s="42">
        <f t="shared" si="154"/>
        <v>5</v>
      </c>
      <c r="E306" s="42"/>
      <c r="F306" s="36" t="s">
        <v>193</v>
      </c>
      <c r="G306" s="36" t="str">
        <f t="shared" si="126"/>
        <v/>
      </c>
      <c r="H306" s="36" t="str">
        <f>IFERROR(IF(--MID($F306,2*COUNTIF($G306:G306,"&gt;"&amp;0)+2,1)=H$1,H$1,""),"")</f>
        <v/>
      </c>
      <c r="I306" s="36">
        <f>IFERROR(IF(--MID($F306,2*COUNTIF($G306:H306,"&gt;"&amp;0)+2,1)=I$1,I$1,""),"")</f>
        <v>3</v>
      </c>
      <c r="J306" s="36" t="str">
        <f>IFERROR(IF(--MID($F306,2*COUNTIF($G306:I306,"&gt;"&amp;0)+2,1)=J$1,J$1,""),"")</f>
        <v/>
      </c>
      <c r="K306" s="36" t="str">
        <f>IFERROR(IF(--MID($F306,2*COUNTIF($G306:J306,"&gt;"&amp;0)+2,1)=K$1,K$1,""),"")</f>
        <v/>
      </c>
      <c r="L306" s="36" t="str">
        <f>IFERROR(IF(--MID($F306,2*COUNTIF($G306:K306,"&gt;"&amp;0)+2,1)=L$1,L$1,""),"")</f>
        <v/>
      </c>
      <c r="M306" s="36" t="e" cm="1">
        <f t="array" ref="M306">IF(A306="","",_xlfn.XLOOKUP(D306&amp;"_"&amp;AE306,符文权重!A:A&amp;"_"&amp;符文权重!C:C,符文权重!D:D))</f>
        <v>#N/A</v>
      </c>
      <c r="N306" s="36"/>
      <c r="O306" s="36"/>
      <c r="P306" s="36"/>
      <c r="Q306" s="36"/>
      <c r="R306" s="36"/>
      <c r="S306" s="36" t="s">
        <v>344</v>
      </c>
      <c r="T306" s="36"/>
      <c r="U306" s="36" t="e">
        <f>IF(C306="","",SUBSTITUTE(SUBSTITUTE("[{global_atk,"&amp;#REF!*D306&amp;"}]",21,20),9,8))</f>
        <v>#REF!</v>
      </c>
      <c r="V306" s="52" t="str">
        <f t="shared" si="155"/>
        <v>[5504045]</v>
      </c>
      <c r="W306" s="36"/>
      <c r="X306" s="35"/>
      <c r="Y306" s="42">
        <v>100</v>
      </c>
      <c r="Z306" s="35"/>
      <c r="AA306" s="42" t="s">
        <v>187</v>
      </c>
      <c r="AB306" s="42" t="str">
        <f t="shared" si="125"/>
        <v>每次弹射时，伤害&lt;color=#54b76b&gt;+30%&lt;/color&gt;</v>
      </c>
      <c r="AC306" s="48" t="str">
        <f t="shared" si="156"/>
        <v>5504041</v>
      </c>
      <c r="AD306" s="42" t="str">
        <f t="shared" si="157"/>
        <v>[30]</v>
      </c>
      <c r="AE306" s="36">
        <v>100</v>
      </c>
      <c r="AF306" s="36"/>
      <c r="AG306" s="36">
        <v>1</v>
      </c>
      <c r="AH306" s="35" t="s">
        <v>178</v>
      </c>
      <c r="AI306" s="48">
        <f t="shared" si="158"/>
        <v>5504045</v>
      </c>
      <c r="AJ306" s="53" t="str">
        <f t="shared" si="159"/>
        <v>每次弹射时，伤害&lt;color=#54b76b&gt;+%s%&lt;/color&gt;</v>
      </c>
      <c r="AK306" s="36">
        <v>30</v>
      </c>
      <c r="AL306" s="36"/>
    </row>
    <row r="307" s="25" customFormat="1" hidden="1" customHeight="1" spans="1:38">
      <c r="A307" s="48">
        <v>5504046</v>
      </c>
      <c r="B307" s="34" t="s">
        <v>401</v>
      </c>
      <c r="C307" s="48" t="str">
        <f t="shared" si="153"/>
        <v>5504041</v>
      </c>
      <c r="D307" s="42">
        <f t="shared" si="154"/>
        <v>6</v>
      </c>
      <c r="E307" s="42"/>
      <c r="F307" s="36" t="s">
        <v>193</v>
      </c>
      <c r="G307" s="36" t="str">
        <f t="shared" si="126"/>
        <v/>
      </c>
      <c r="H307" s="36" t="str">
        <f>IFERROR(IF(--MID($F307,2*COUNTIF($G307:G307,"&gt;"&amp;0)+2,1)=H$1,H$1,""),"")</f>
        <v/>
      </c>
      <c r="I307" s="36">
        <f>IFERROR(IF(--MID($F307,2*COUNTIF($G307:H307,"&gt;"&amp;0)+2,1)=I$1,I$1,""),"")</f>
        <v>3</v>
      </c>
      <c r="J307" s="36" t="str">
        <f>IFERROR(IF(--MID($F307,2*COUNTIF($G307:I307,"&gt;"&amp;0)+2,1)=J$1,J$1,""),"")</f>
        <v/>
      </c>
      <c r="K307" s="36" t="str">
        <f>IFERROR(IF(--MID($F307,2*COUNTIF($G307:J307,"&gt;"&amp;0)+2,1)=K$1,K$1,""),"")</f>
        <v/>
      </c>
      <c r="L307" s="36" t="str">
        <f>IFERROR(IF(--MID($F307,2*COUNTIF($G307:K307,"&gt;"&amp;0)+2,1)=L$1,L$1,""),"")</f>
        <v/>
      </c>
      <c r="M307" s="36" t="e" cm="1">
        <f t="array" ref="M307">IF(A307="","",_xlfn.XLOOKUP(D307&amp;"_"&amp;AE307,符文权重!A:A&amp;"_"&amp;符文权重!C:C,符文权重!D:D))</f>
        <v>#N/A</v>
      </c>
      <c r="N307" s="36"/>
      <c r="O307" s="36"/>
      <c r="P307" s="36"/>
      <c r="Q307" s="36"/>
      <c r="R307" s="36"/>
      <c r="S307" s="36" t="s">
        <v>344</v>
      </c>
      <c r="T307" s="36"/>
      <c r="U307" s="36" t="e">
        <f>IF(C307="","",SUBSTITUTE(SUBSTITUTE("[{global_atk,"&amp;#REF!*D307&amp;"}]",21,20),9,8))</f>
        <v>#REF!</v>
      </c>
      <c r="V307" s="52" t="str">
        <f t="shared" si="155"/>
        <v>[5504046]</v>
      </c>
      <c r="W307" s="36"/>
      <c r="X307" s="35"/>
      <c r="Y307" s="42">
        <v>100</v>
      </c>
      <c r="Z307" s="35"/>
      <c r="AA307" s="42" t="s">
        <v>189</v>
      </c>
      <c r="AB307" s="42" t="str">
        <f t="shared" si="125"/>
        <v>每次弹射时，伤害&lt;color=#54b76b&gt;+35%&lt;/color&gt;</v>
      </c>
      <c r="AC307" s="48" t="str">
        <f t="shared" si="156"/>
        <v>5504041</v>
      </c>
      <c r="AD307" s="42" t="str">
        <f t="shared" si="157"/>
        <v>[35]</v>
      </c>
      <c r="AE307" s="36">
        <v>100</v>
      </c>
      <c r="AF307" s="36"/>
      <c r="AG307" s="36">
        <v>1</v>
      </c>
      <c r="AH307" s="35" t="s">
        <v>178</v>
      </c>
      <c r="AI307" s="48">
        <f t="shared" si="158"/>
        <v>5504046</v>
      </c>
      <c r="AJ307" s="53" t="str">
        <f t="shared" si="159"/>
        <v>每次弹射时，伤害&lt;color=#54b76b&gt;+%s%&lt;/color&gt;</v>
      </c>
      <c r="AK307" s="36">
        <v>35</v>
      </c>
      <c r="AL307" s="36"/>
    </row>
    <row r="308" s="25" customFormat="1" hidden="1" customHeight="1" spans="1:38">
      <c r="A308" s="48">
        <v>5504047</v>
      </c>
      <c r="B308" s="34" t="s">
        <v>401</v>
      </c>
      <c r="C308" s="48" t="str">
        <f t="shared" si="153"/>
        <v>5504041</v>
      </c>
      <c r="D308" s="42">
        <f t="shared" si="154"/>
        <v>7</v>
      </c>
      <c r="E308" s="42"/>
      <c r="F308" s="36" t="s">
        <v>193</v>
      </c>
      <c r="G308" s="36" t="str">
        <f t="shared" si="126"/>
        <v/>
      </c>
      <c r="H308" s="36" t="str">
        <f>IFERROR(IF(--MID($F308,2*COUNTIF($G308:G308,"&gt;"&amp;0)+2,1)=H$1,H$1,""),"")</f>
        <v/>
      </c>
      <c r="I308" s="36">
        <f>IFERROR(IF(--MID($F308,2*COUNTIF($G308:H308,"&gt;"&amp;0)+2,1)=I$1,I$1,""),"")</f>
        <v>3</v>
      </c>
      <c r="J308" s="36" t="str">
        <f>IFERROR(IF(--MID($F308,2*COUNTIF($G308:I308,"&gt;"&amp;0)+2,1)=J$1,J$1,""),"")</f>
        <v/>
      </c>
      <c r="K308" s="36" t="str">
        <f>IFERROR(IF(--MID($F308,2*COUNTIF($G308:J308,"&gt;"&amp;0)+2,1)=K$1,K$1,""),"")</f>
        <v/>
      </c>
      <c r="L308" s="36" t="str">
        <f>IFERROR(IF(--MID($F308,2*COUNTIF($G308:K308,"&gt;"&amp;0)+2,1)=L$1,L$1,""),"")</f>
        <v/>
      </c>
      <c r="M308" s="36" t="e" cm="1">
        <f t="array" ref="M308">IF(A308="","",_xlfn.XLOOKUP(D308&amp;"_"&amp;AE308,符文权重!A:A&amp;"_"&amp;符文权重!C:C,符文权重!D:D))</f>
        <v>#N/A</v>
      </c>
      <c r="N308" s="36"/>
      <c r="O308" s="36"/>
      <c r="P308" s="36"/>
      <c r="Q308" s="36"/>
      <c r="R308" s="36"/>
      <c r="S308" s="36" t="s">
        <v>344</v>
      </c>
      <c r="T308" s="36"/>
      <c r="U308" s="36" t="e">
        <f>IF(C308="","",SUBSTITUTE(SUBSTITUTE("[{global_atk,"&amp;#REF!*D308&amp;"}]",21,20),9,8))</f>
        <v>#REF!</v>
      </c>
      <c r="V308" s="52" t="str">
        <f t="shared" si="155"/>
        <v>[5504047]</v>
      </c>
      <c r="W308" s="68"/>
      <c r="X308" s="35"/>
      <c r="Y308" s="42">
        <v>100</v>
      </c>
      <c r="Z308" s="35"/>
      <c r="AA308" s="42" t="s">
        <v>191</v>
      </c>
      <c r="AB308" s="42" t="str">
        <f t="shared" si="125"/>
        <v>每次弹射时，伤害&lt;color=#54b76b&gt;+40%&lt;/color&gt;</v>
      </c>
      <c r="AC308" s="48" t="str">
        <f t="shared" si="156"/>
        <v>5504041</v>
      </c>
      <c r="AD308" s="42" t="str">
        <f t="shared" si="157"/>
        <v>[40]</v>
      </c>
      <c r="AE308" s="36">
        <v>100</v>
      </c>
      <c r="AF308" s="36"/>
      <c r="AG308" s="36">
        <v>1</v>
      </c>
      <c r="AH308" s="35" t="s">
        <v>178</v>
      </c>
      <c r="AI308" s="48">
        <f t="shared" si="158"/>
        <v>5504047</v>
      </c>
      <c r="AJ308" s="53" t="str">
        <f t="shared" si="159"/>
        <v>每次弹射时，伤害&lt;color=#54b76b&gt;+%s%&lt;/color&gt;</v>
      </c>
      <c r="AK308" s="36">
        <v>40</v>
      </c>
      <c r="AL308" s="36"/>
    </row>
    <row r="309" s="25" customFormat="1" hidden="1" customHeight="1" spans="1:38">
      <c r="A309" s="48"/>
      <c r="B309" s="34"/>
      <c r="C309" s="48"/>
      <c r="D309" s="42"/>
      <c r="E309" s="42"/>
      <c r="F309" s="36"/>
      <c r="G309" s="36" t="str">
        <f t="shared" si="126"/>
        <v/>
      </c>
      <c r="H309" s="36" t="str">
        <f>IFERROR(IF(--MID($F309,2*COUNTIF($G309:G309,"&gt;"&amp;0)+2,1)=H$1,H$1,""),"")</f>
        <v/>
      </c>
      <c r="I309" s="36" t="str">
        <f>IFERROR(IF(--MID($F309,2*COUNTIF($G309:H309,"&gt;"&amp;0)+2,1)=I$1,I$1,""),"")</f>
        <v/>
      </c>
      <c r="J309" s="36" t="str">
        <f>IFERROR(IF(--MID($F309,2*COUNTIF($G309:I309,"&gt;"&amp;0)+2,1)=J$1,J$1,""),"")</f>
        <v/>
      </c>
      <c r="K309" s="36" t="str">
        <f>IFERROR(IF(--MID($F309,2*COUNTIF($G309:J309,"&gt;"&amp;0)+2,1)=K$1,K$1,""),"")</f>
        <v/>
      </c>
      <c r="L309" s="36" t="str">
        <f>IFERROR(IF(--MID($F309,2*COUNTIF($G309:K309,"&gt;"&amp;0)+2,1)=L$1,L$1,""),"")</f>
        <v/>
      </c>
      <c r="M309" s="51" t="str" cm="1">
        <f t="array" ref="M309">IF($A309="","",IF(G309="","",_xlfn.XLOOKUP($D309&amp;"_"&amp;$AE309,符文权重!$A:$A&amp;"_"&amp;符文权重!$C:$C,符文权重!$D:$D)*$Y309/SUMIFS($Y:$Y,G:G,G309,$D:$D,$D309,$AE:$AE,$AE309)/SUMIF(符文权重!$A:$A,$D309,符文权重!$D:$D)))</f>
        <v/>
      </c>
      <c r="N309" s="36" t="str" cm="1">
        <f t="array" ref="N309">IF($A309="","",IF(H309="","",_xlfn.XLOOKUP($D309&amp;"_"&amp;$AE309,符文权重!$A:$A&amp;"_"&amp;符文权重!$C:$C,符文权重!$D:$D)*$Y309/SUMIFS($Y:$Y,H:H,H309,$D:$D,$D$6,$AE:$AE,$AE$6)))</f>
        <v/>
      </c>
      <c r="O309" s="36" t="str" cm="1">
        <f t="array" ref="O309">IF($A309="","",IF(I309="","",_xlfn.XLOOKUP($D309&amp;"_"&amp;$AE309,符文权重!$A:$A&amp;"_"&amp;符文权重!$C:$C,符文权重!$D:$D)*$Y309/SUMIFS($Y:$Y,I:I,I309,$D:$D,$D$6,$AE:$AE,$AE$6)))</f>
        <v/>
      </c>
      <c r="P309" s="36" t="str" cm="1">
        <f t="array" ref="P309">IF($A309="","",IF(J309="","",_xlfn.XLOOKUP($D309&amp;"_"&amp;$AE309,符文权重!$A:$A&amp;"_"&amp;符文权重!$C:$C,符文权重!$D:$D)*$Y309/SUMIFS($Y:$Y,J:J,J309,$D:$D,$D$6,$AE:$AE,$AE$6)))</f>
        <v/>
      </c>
      <c r="Q309" s="36" t="str" cm="1">
        <f t="array" ref="Q309">IF($A309="","",IF(K309="","",_xlfn.XLOOKUP($D309&amp;"_"&amp;$AE309,符文权重!$A:$A&amp;"_"&amp;符文权重!$C:$C,符文权重!$D:$D)*$Y309/SUMIFS($Y:$Y,K:K,K309,$D:$D,$D$6,$AE:$AE,$AE$6)))</f>
        <v/>
      </c>
      <c r="R309" s="36" t="str" cm="1">
        <f t="array" ref="R309">IF($A309="","",IF(L309="","",_xlfn.XLOOKUP($D309&amp;"_"&amp;$AE309,符文权重!$A:$A&amp;"_"&amp;符文权重!$C:$C,符文权重!$D:$D)*$Y309/SUMIFS($Y:$Y,L:L,L309,$D:$D,$D$6,$AE:$AE,$AE$6)))</f>
        <v/>
      </c>
      <c r="S309" s="36"/>
      <c r="T309" s="36"/>
      <c r="U309" s="36"/>
      <c r="V309" s="52"/>
      <c r="W309" s="68"/>
      <c r="X309" s="35"/>
      <c r="Y309" s="42"/>
      <c r="Z309" s="35"/>
      <c r="AA309" s="42"/>
      <c r="AB309" s="42" t="str">
        <f t="shared" si="125"/>
        <v/>
      </c>
      <c r="AC309" s="48"/>
      <c r="AD309" s="42"/>
      <c r="AE309" s="36"/>
      <c r="AF309" s="36"/>
      <c r="AG309" s="36"/>
      <c r="AH309" s="35" t="s">
        <v>178</v>
      </c>
      <c r="AI309" s="48"/>
      <c r="AJ309" s="53"/>
      <c r="AK309" s="36"/>
      <c r="AL309" s="36"/>
    </row>
    <row r="310" s="27" customFormat="1" hidden="1" customHeight="1" spans="1:38">
      <c r="A310" s="57">
        <v>5504051</v>
      </c>
      <c r="B310" s="58" t="s">
        <v>403</v>
      </c>
      <c r="C310" s="57" t="str">
        <f t="shared" ref="C310:C316" si="160">IF(ISBLANK(AI310),"",LEFT(AI310,6)&amp;1)</f>
        <v>5504051</v>
      </c>
      <c r="D310" s="59">
        <f t="shared" ref="D310:D316" si="161">IF(ISBLANK(AI310),"",VALUE(RIGHT(A310,1)))</f>
        <v>1</v>
      </c>
      <c r="E310" s="59"/>
      <c r="F310" s="60" t="s">
        <v>404</v>
      </c>
      <c r="G310" s="36" t="str">
        <f t="shared" si="126"/>
        <v/>
      </c>
      <c r="H310" s="36" t="str">
        <f>IFERROR(IF(--MID($F310,2*COUNTIF($G310:G310,"&gt;"&amp;0)+2,1)=H$1,H$1,""),"")</f>
        <v/>
      </c>
      <c r="I310" s="36" t="str">
        <f>IFERROR(IF(--MID($F310,2*COUNTIF($G310:H310,"&gt;"&amp;0)+2,1)=I$1,I$1,""),"")</f>
        <v/>
      </c>
      <c r="J310" s="36">
        <f>IFERROR(IF(--MID($F310,2*COUNTIF($G310:I310,"&gt;"&amp;0)+2,1)=J$1,J$1,""),"")</f>
        <v>4</v>
      </c>
      <c r="K310" s="36" t="str">
        <f>IFERROR(IF(--MID($F310,2*COUNTIF($G310:J310,"&gt;"&amp;0)+2,1)=K$1,K$1,""),"")</f>
        <v/>
      </c>
      <c r="L310" s="36" t="str">
        <f>IFERROR(IF(--MID($F310,2*COUNTIF($G310:K310,"&gt;"&amp;0)+2,1)=L$1,L$1,""),"")</f>
        <v/>
      </c>
      <c r="M310" s="36" t="e" cm="1">
        <f t="array" ref="M310">IF(A310="","",_xlfn.XLOOKUP(D310&amp;"_"&amp;AE310,符文权重!A:A&amp;"_"&amp;符文权重!C:C,符文权重!D:D))</f>
        <v>#N/A</v>
      </c>
      <c r="N310" s="36"/>
      <c r="O310" s="36"/>
      <c r="P310" s="36"/>
      <c r="Q310" s="36"/>
      <c r="R310" s="36"/>
      <c r="S310" s="60" t="s">
        <v>344</v>
      </c>
      <c r="T310" s="60"/>
      <c r="U310" s="60" t="e">
        <f>IF(C310="","",SUBSTITUTE(SUBSTITUTE("[{global_atk,"&amp;#REF!*D310&amp;"}]",21,20),9,8))</f>
        <v>#REF!</v>
      </c>
      <c r="V310" s="61" t="str">
        <f t="shared" ref="V310:V316" si="162">"["&amp;A310&amp;"]"</f>
        <v>[5504051]</v>
      </c>
      <c r="W310" s="60"/>
      <c r="X310" s="28"/>
      <c r="Y310" s="42">
        <v>100</v>
      </c>
      <c r="Z310" s="28"/>
      <c r="AA310" s="59" t="s">
        <v>177</v>
      </c>
      <c r="AB310" s="42" t="str">
        <f t="shared" si="125"/>
        <v>梦灵技能范围大小&lt;color=#54b76b&gt;+10%&lt;/color&gt;</v>
      </c>
      <c r="AC310" s="57" t="str">
        <f t="shared" ref="AC310:AC316" si="163">IF(ISBLANK(AI310),"",C310)</f>
        <v>5504051</v>
      </c>
      <c r="AD310" s="59" t="str">
        <f t="shared" ref="AD310:AD316" si="164">IF(ISBLANK(AK310),"","["&amp;AK310&amp;"]")</f>
        <v>[10]</v>
      </c>
      <c r="AE310" s="60">
        <v>100</v>
      </c>
      <c r="AF310" s="60"/>
      <c r="AG310" s="60">
        <v>1</v>
      </c>
      <c r="AH310" s="35" t="s">
        <v>178</v>
      </c>
      <c r="AI310" s="62">
        <v>5504051</v>
      </c>
      <c r="AJ310" s="63" t="s">
        <v>405</v>
      </c>
      <c r="AK310" s="60">
        <v>10</v>
      </c>
      <c r="AL310" s="36"/>
    </row>
    <row r="311" s="27" customFormat="1" hidden="1" customHeight="1" spans="1:38">
      <c r="A311" s="57">
        <v>5504052</v>
      </c>
      <c r="B311" s="58" t="s">
        <v>403</v>
      </c>
      <c r="C311" s="57" t="str">
        <f t="shared" si="160"/>
        <v>5504051</v>
      </c>
      <c r="D311" s="59">
        <f t="shared" si="161"/>
        <v>2</v>
      </c>
      <c r="E311" s="59"/>
      <c r="F311" s="60" t="s">
        <v>404</v>
      </c>
      <c r="G311" s="36" t="str">
        <f t="shared" si="126"/>
        <v/>
      </c>
      <c r="H311" s="36" t="str">
        <f>IFERROR(IF(--MID($F311,2*COUNTIF($G311:G311,"&gt;"&amp;0)+2,1)=H$1,H$1,""),"")</f>
        <v/>
      </c>
      <c r="I311" s="36" t="str">
        <f>IFERROR(IF(--MID($F311,2*COUNTIF($G311:H311,"&gt;"&amp;0)+2,1)=I$1,I$1,""),"")</f>
        <v/>
      </c>
      <c r="J311" s="36">
        <f>IFERROR(IF(--MID($F311,2*COUNTIF($G311:I311,"&gt;"&amp;0)+2,1)=J$1,J$1,""),"")</f>
        <v>4</v>
      </c>
      <c r="K311" s="36" t="str">
        <f>IFERROR(IF(--MID($F311,2*COUNTIF($G311:J311,"&gt;"&amp;0)+2,1)=K$1,K$1,""),"")</f>
        <v/>
      </c>
      <c r="L311" s="36" t="str">
        <f>IFERROR(IF(--MID($F311,2*COUNTIF($G311:K311,"&gt;"&amp;0)+2,1)=L$1,L$1,""),"")</f>
        <v/>
      </c>
      <c r="M311" s="36" t="e" cm="1">
        <f t="array" ref="M311">IF(A311="","",_xlfn.XLOOKUP(D311&amp;"_"&amp;AE311,符文权重!A:A&amp;"_"&amp;符文权重!C:C,符文权重!D:D))</f>
        <v>#N/A</v>
      </c>
      <c r="N311" s="36"/>
      <c r="O311" s="36"/>
      <c r="P311" s="36"/>
      <c r="Q311" s="36"/>
      <c r="R311" s="36"/>
      <c r="S311" s="60" t="s">
        <v>344</v>
      </c>
      <c r="T311" s="60"/>
      <c r="U311" s="60" t="e">
        <f>IF(C311="","",SUBSTITUTE(SUBSTITUTE("[{global_atk,"&amp;#REF!*D311&amp;"}]",21,20),9,8))</f>
        <v>#REF!</v>
      </c>
      <c r="V311" s="61" t="str">
        <f t="shared" si="162"/>
        <v>[5504052]</v>
      </c>
      <c r="W311" s="60"/>
      <c r="X311" s="28"/>
      <c r="Y311" s="42">
        <v>100</v>
      </c>
      <c r="Z311" s="28"/>
      <c r="AA311" s="59" t="s">
        <v>181</v>
      </c>
      <c r="AB311" s="42" t="str">
        <f t="shared" si="125"/>
        <v>梦灵技能范围大小&lt;color=#54b76b&gt;+15%&lt;/color&gt;</v>
      </c>
      <c r="AC311" s="57" t="str">
        <f t="shared" si="163"/>
        <v>5504051</v>
      </c>
      <c r="AD311" s="59" t="str">
        <f t="shared" si="164"/>
        <v>[15]</v>
      </c>
      <c r="AE311" s="60">
        <v>100</v>
      </c>
      <c r="AF311" s="60"/>
      <c r="AG311" s="60">
        <v>1</v>
      </c>
      <c r="AH311" s="35" t="s">
        <v>178</v>
      </c>
      <c r="AI311" s="57">
        <f t="shared" ref="AI311:AI316" si="165">AI310+1</f>
        <v>5504052</v>
      </c>
      <c r="AJ311" s="64" t="str">
        <f t="shared" ref="AJ311:AJ316" si="166">AJ310</f>
        <v>梦灵技能范围大小&lt;color=#54b76b&gt;+%s%&lt;/color&gt;</v>
      </c>
      <c r="AK311" s="60">
        <v>15</v>
      </c>
      <c r="AL311" s="36"/>
    </row>
    <row r="312" s="25" customFormat="1" hidden="1" customHeight="1" spans="1:38">
      <c r="A312" s="48">
        <v>5504053</v>
      </c>
      <c r="B312" s="34" t="s">
        <v>403</v>
      </c>
      <c r="C312" s="48" t="str">
        <f t="shared" si="160"/>
        <v>5504051</v>
      </c>
      <c r="D312" s="42">
        <f t="shared" si="161"/>
        <v>3</v>
      </c>
      <c r="E312" s="42"/>
      <c r="F312" s="36" t="s">
        <v>404</v>
      </c>
      <c r="G312" s="36" t="str">
        <f t="shared" si="126"/>
        <v/>
      </c>
      <c r="H312" s="36" t="str">
        <f>IFERROR(IF(--MID($F312,2*COUNTIF($G312:G312,"&gt;"&amp;0)+2,1)=H$1,H$1,""),"")</f>
        <v/>
      </c>
      <c r="I312" s="36" t="str">
        <f>IFERROR(IF(--MID($F312,2*COUNTIF($G312:H312,"&gt;"&amp;0)+2,1)=I$1,I$1,""),"")</f>
        <v/>
      </c>
      <c r="J312" s="36">
        <f>IFERROR(IF(--MID($F312,2*COUNTIF($G312:I312,"&gt;"&amp;0)+2,1)=J$1,J$1,""),"")</f>
        <v>4</v>
      </c>
      <c r="K312" s="36" t="str">
        <f>IFERROR(IF(--MID($F312,2*COUNTIF($G312:J312,"&gt;"&amp;0)+2,1)=K$1,K$1,""),"")</f>
        <v/>
      </c>
      <c r="L312" s="36" t="str">
        <f>IFERROR(IF(--MID($F312,2*COUNTIF($G312:K312,"&gt;"&amp;0)+2,1)=L$1,L$1,""),"")</f>
        <v/>
      </c>
      <c r="M312" s="36" t="e" cm="1">
        <f t="array" ref="M312">IF(A312="","",_xlfn.XLOOKUP(D312&amp;"_"&amp;AE312,符文权重!A:A&amp;"_"&amp;符文权重!C:C,符文权重!D:D))</f>
        <v>#N/A</v>
      </c>
      <c r="N312" s="36"/>
      <c r="O312" s="36"/>
      <c r="P312" s="36"/>
      <c r="Q312" s="36"/>
      <c r="R312" s="36"/>
      <c r="S312" s="36" t="s">
        <v>344</v>
      </c>
      <c r="T312" s="36"/>
      <c r="U312" s="36" t="e">
        <f>IF(C312="","",SUBSTITUTE(SUBSTITUTE("[{global_atk,"&amp;#REF!*D312&amp;"}]",21,20),9,8))</f>
        <v>#REF!</v>
      </c>
      <c r="V312" s="52" t="str">
        <f t="shared" si="162"/>
        <v>[5504053]</v>
      </c>
      <c r="W312" s="36"/>
      <c r="X312" s="35"/>
      <c r="Y312" s="42">
        <v>100</v>
      </c>
      <c r="Z312" s="35"/>
      <c r="AA312" s="42" t="s">
        <v>183</v>
      </c>
      <c r="AB312" s="42" t="str">
        <f t="shared" si="125"/>
        <v>梦灵技能范围大小&lt;color=#54b76b&gt;+20%&lt;/color&gt;</v>
      </c>
      <c r="AC312" s="48" t="str">
        <f t="shared" si="163"/>
        <v>5504051</v>
      </c>
      <c r="AD312" s="42" t="str">
        <f t="shared" si="164"/>
        <v>[20]</v>
      </c>
      <c r="AE312" s="36">
        <v>100</v>
      </c>
      <c r="AF312" s="36"/>
      <c r="AG312" s="36">
        <v>1</v>
      </c>
      <c r="AH312" s="35" t="s">
        <v>178</v>
      </c>
      <c r="AI312" s="48">
        <f t="shared" si="165"/>
        <v>5504053</v>
      </c>
      <c r="AJ312" s="53" t="str">
        <f t="shared" si="166"/>
        <v>梦灵技能范围大小&lt;color=#54b76b&gt;+%s%&lt;/color&gt;</v>
      </c>
      <c r="AK312" s="36">
        <v>20</v>
      </c>
      <c r="AL312" s="36"/>
    </row>
    <row r="313" s="25" customFormat="1" hidden="1" customHeight="1" spans="1:38">
      <c r="A313" s="48">
        <v>5504054</v>
      </c>
      <c r="B313" s="34" t="s">
        <v>403</v>
      </c>
      <c r="C313" s="48" t="str">
        <f t="shared" si="160"/>
        <v>5504051</v>
      </c>
      <c r="D313" s="42">
        <f t="shared" si="161"/>
        <v>4</v>
      </c>
      <c r="E313" s="42"/>
      <c r="F313" s="36" t="s">
        <v>404</v>
      </c>
      <c r="G313" s="36" t="str">
        <f t="shared" si="126"/>
        <v/>
      </c>
      <c r="H313" s="36" t="str">
        <f>IFERROR(IF(--MID($F313,2*COUNTIF($G313:G313,"&gt;"&amp;0)+2,1)=H$1,H$1,""),"")</f>
        <v/>
      </c>
      <c r="I313" s="36" t="str">
        <f>IFERROR(IF(--MID($F313,2*COUNTIF($G313:H313,"&gt;"&amp;0)+2,1)=I$1,I$1,""),"")</f>
        <v/>
      </c>
      <c r="J313" s="36">
        <f>IFERROR(IF(--MID($F313,2*COUNTIF($G313:I313,"&gt;"&amp;0)+2,1)=J$1,J$1,""),"")</f>
        <v>4</v>
      </c>
      <c r="K313" s="36" t="str">
        <f>IFERROR(IF(--MID($F313,2*COUNTIF($G313:J313,"&gt;"&amp;0)+2,1)=K$1,K$1,""),"")</f>
        <v/>
      </c>
      <c r="L313" s="36" t="str">
        <f>IFERROR(IF(--MID($F313,2*COUNTIF($G313:K313,"&gt;"&amp;0)+2,1)=L$1,L$1,""),"")</f>
        <v/>
      </c>
      <c r="M313" s="36" t="e" cm="1">
        <f t="array" ref="M313">IF(A313="","",_xlfn.XLOOKUP(D313&amp;"_"&amp;AE313,符文权重!A:A&amp;"_"&amp;符文权重!C:C,符文权重!D:D))</f>
        <v>#N/A</v>
      </c>
      <c r="N313" s="36"/>
      <c r="O313" s="36"/>
      <c r="P313" s="36"/>
      <c r="Q313" s="36"/>
      <c r="R313" s="36"/>
      <c r="S313" s="36" t="s">
        <v>344</v>
      </c>
      <c r="T313" s="36"/>
      <c r="U313" s="36" t="e">
        <f>IF(C313="","",SUBSTITUTE(SUBSTITUTE("[{global_atk,"&amp;#REF!*D313&amp;"}]",21,20),9,8))</f>
        <v>#REF!</v>
      </c>
      <c r="V313" s="52" t="str">
        <f t="shared" si="162"/>
        <v>[5504054]</v>
      </c>
      <c r="W313" s="36"/>
      <c r="X313" s="35"/>
      <c r="Y313" s="42">
        <v>100</v>
      </c>
      <c r="Z313" s="35"/>
      <c r="AA313" s="42" t="s">
        <v>185</v>
      </c>
      <c r="AB313" s="42" t="str">
        <f t="shared" si="125"/>
        <v>梦灵技能范围大小&lt;color=#54b76b&gt;+25%&lt;/color&gt;</v>
      </c>
      <c r="AC313" s="48" t="str">
        <f t="shared" si="163"/>
        <v>5504051</v>
      </c>
      <c r="AD313" s="42" t="str">
        <f t="shared" si="164"/>
        <v>[25]</v>
      </c>
      <c r="AE313" s="36">
        <v>100</v>
      </c>
      <c r="AF313" s="36"/>
      <c r="AG313" s="36">
        <v>1</v>
      </c>
      <c r="AH313" s="35" t="s">
        <v>178</v>
      </c>
      <c r="AI313" s="48">
        <f t="shared" si="165"/>
        <v>5504054</v>
      </c>
      <c r="AJ313" s="53" t="str">
        <f t="shared" si="166"/>
        <v>梦灵技能范围大小&lt;color=#54b76b&gt;+%s%&lt;/color&gt;</v>
      </c>
      <c r="AK313" s="36">
        <v>25</v>
      </c>
      <c r="AL313" s="36"/>
    </row>
    <row r="314" s="25" customFormat="1" hidden="1" customHeight="1" spans="1:38">
      <c r="A314" s="48">
        <v>5504055</v>
      </c>
      <c r="B314" s="34" t="s">
        <v>403</v>
      </c>
      <c r="C314" s="48" t="str">
        <f t="shared" si="160"/>
        <v>5504051</v>
      </c>
      <c r="D314" s="42">
        <f t="shared" si="161"/>
        <v>5</v>
      </c>
      <c r="E314" s="42"/>
      <c r="F314" s="36" t="s">
        <v>404</v>
      </c>
      <c r="G314" s="36" t="str">
        <f t="shared" si="126"/>
        <v/>
      </c>
      <c r="H314" s="36" t="str">
        <f>IFERROR(IF(--MID($F314,2*COUNTIF($G314:G314,"&gt;"&amp;0)+2,1)=H$1,H$1,""),"")</f>
        <v/>
      </c>
      <c r="I314" s="36" t="str">
        <f>IFERROR(IF(--MID($F314,2*COUNTIF($G314:H314,"&gt;"&amp;0)+2,1)=I$1,I$1,""),"")</f>
        <v/>
      </c>
      <c r="J314" s="36">
        <f>IFERROR(IF(--MID($F314,2*COUNTIF($G314:I314,"&gt;"&amp;0)+2,1)=J$1,J$1,""),"")</f>
        <v>4</v>
      </c>
      <c r="K314" s="36" t="str">
        <f>IFERROR(IF(--MID($F314,2*COUNTIF($G314:J314,"&gt;"&amp;0)+2,1)=K$1,K$1,""),"")</f>
        <v/>
      </c>
      <c r="L314" s="36" t="str">
        <f>IFERROR(IF(--MID($F314,2*COUNTIF($G314:K314,"&gt;"&amp;0)+2,1)=L$1,L$1,""),"")</f>
        <v/>
      </c>
      <c r="M314" s="36" t="e" cm="1">
        <f t="array" ref="M314">IF(A314="","",_xlfn.XLOOKUP(D314&amp;"_"&amp;AE314,符文权重!A:A&amp;"_"&amp;符文权重!C:C,符文权重!D:D))</f>
        <v>#N/A</v>
      </c>
      <c r="N314" s="36"/>
      <c r="O314" s="36"/>
      <c r="P314" s="36"/>
      <c r="Q314" s="36"/>
      <c r="R314" s="36"/>
      <c r="S314" s="36" t="s">
        <v>344</v>
      </c>
      <c r="T314" s="36"/>
      <c r="U314" s="36" t="e">
        <f>IF(C314="","",SUBSTITUTE(SUBSTITUTE("[{global_atk,"&amp;#REF!*D314&amp;"}]",21,20),9,8))</f>
        <v>#REF!</v>
      </c>
      <c r="V314" s="52" t="str">
        <f t="shared" si="162"/>
        <v>[5504055]</v>
      </c>
      <c r="W314" s="36"/>
      <c r="X314" s="35"/>
      <c r="Y314" s="42">
        <v>100</v>
      </c>
      <c r="Z314" s="35"/>
      <c r="AA314" s="42" t="s">
        <v>187</v>
      </c>
      <c r="AB314" s="42" t="str">
        <f t="shared" si="125"/>
        <v>梦灵技能范围大小&lt;color=#54b76b&gt;+30%&lt;/color&gt;</v>
      </c>
      <c r="AC314" s="48" t="str">
        <f t="shared" si="163"/>
        <v>5504051</v>
      </c>
      <c r="AD314" s="42" t="str">
        <f t="shared" si="164"/>
        <v>[30]</v>
      </c>
      <c r="AE314" s="36">
        <v>100</v>
      </c>
      <c r="AF314" s="36"/>
      <c r="AG314" s="36">
        <v>1</v>
      </c>
      <c r="AH314" s="35" t="s">
        <v>178</v>
      </c>
      <c r="AI314" s="48">
        <f t="shared" si="165"/>
        <v>5504055</v>
      </c>
      <c r="AJ314" s="53" t="str">
        <f t="shared" si="166"/>
        <v>梦灵技能范围大小&lt;color=#54b76b&gt;+%s%&lt;/color&gt;</v>
      </c>
      <c r="AK314" s="36">
        <v>30</v>
      </c>
      <c r="AL314" s="36"/>
    </row>
    <row r="315" s="25" customFormat="1" hidden="1" customHeight="1" spans="1:38">
      <c r="A315" s="48">
        <v>5504056</v>
      </c>
      <c r="B315" s="34" t="s">
        <v>403</v>
      </c>
      <c r="C315" s="48" t="str">
        <f t="shared" si="160"/>
        <v>5504051</v>
      </c>
      <c r="D315" s="42">
        <f t="shared" si="161"/>
        <v>6</v>
      </c>
      <c r="E315" s="42"/>
      <c r="F315" s="36" t="s">
        <v>404</v>
      </c>
      <c r="G315" s="36" t="str">
        <f t="shared" si="126"/>
        <v/>
      </c>
      <c r="H315" s="36" t="str">
        <f>IFERROR(IF(--MID($F315,2*COUNTIF($G315:G315,"&gt;"&amp;0)+2,1)=H$1,H$1,""),"")</f>
        <v/>
      </c>
      <c r="I315" s="36" t="str">
        <f>IFERROR(IF(--MID($F315,2*COUNTIF($G315:H315,"&gt;"&amp;0)+2,1)=I$1,I$1,""),"")</f>
        <v/>
      </c>
      <c r="J315" s="36">
        <f>IFERROR(IF(--MID($F315,2*COUNTIF($G315:I315,"&gt;"&amp;0)+2,1)=J$1,J$1,""),"")</f>
        <v>4</v>
      </c>
      <c r="K315" s="36" t="str">
        <f>IFERROR(IF(--MID($F315,2*COUNTIF($G315:J315,"&gt;"&amp;0)+2,1)=K$1,K$1,""),"")</f>
        <v/>
      </c>
      <c r="L315" s="36" t="str">
        <f>IFERROR(IF(--MID($F315,2*COUNTIF($G315:K315,"&gt;"&amp;0)+2,1)=L$1,L$1,""),"")</f>
        <v/>
      </c>
      <c r="M315" s="36" t="e" cm="1">
        <f t="array" ref="M315">IF(A315="","",_xlfn.XLOOKUP(D315&amp;"_"&amp;AE315,符文权重!A:A&amp;"_"&amp;符文权重!C:C,符文权重!D:D))</f>
        <v>#N/A</v>
      </c>
      <c r="N315" s="36"/>
      <c r="O315" s="36"/>
      <c r="P315" s="36"/>
      <c r="Q315" s="36"/>
      <c r="R315" s="36"/>
      <c r="S315" s="36" t="s">
        <v>344</v>
      </c>
      <c r="T315" s="36"/>
      <c r="U315" s="36" t="e">
        <f>IF(C315="","",SUBSTITUTE(SUBSTITUTE("[{global_atk,"&amp;#REF!*D315&amp;"}]",21,20),9,8))</f>
        <v>#REF!</v>
      </c>
      <c r="V315" s="52" t="str">
        <f t="shared" si="162"/>
        <v>[5504056]</v>
      </c>
      <c r="W315" s="36"/>
      <c r="X315" s="35"/>
      <c r="Y315" s="42">
        <v>100</v>
      </c>
      <c r="Z315" s="35"/>
      <c r="AA315" s="42" t="s">
        <v>189</v>
      </c>
      <c r="AB315" s="42" t="str">
        <f t="shared" si="125"/>
        <v>梦灵技能范围大小&lt;color=#54b76b&gt;+35%&lt;/color&gt;</v>
      </c>
      <c r="AC315" s="48" t="str">
        <f t="shared" si="163"/>
        <v>5504051</v>
      </c>
      <c r="AD315" s="42" t="str">
        <f t="shared" si="164"/>
        <v>[35]</v>
      </c>
      <c r="AE315" s="36">
        <v>100</v>
      </c>
      <c r="AF315" s="36"/>
      <c r="AG315" s="36">
        <v>1</v>
      </c>
      <c r="AH315" s="35" t="s">
        <v>178</v>
      </c>
      <c r="AI315" s="48">
        <f t="shared" si="165"/>
        <v>5504056</v>
      </c>
      <c r="AJ315" s="53" t="str">
        <f t="shared" si="166"/>
        <v>梦灵技能范围大小&lt;color=#54b76b&gt;+%s%&lt;/color&gt;</v>
      </c>
      <c r="AK315" s="36">
        <v>35</v>
      </c>
      <c r="AL315" s="36"/>
    </row>
    <row r="316" s="25" customFormat="1" hidden="1" customHeight="1" spans="1:38">
      <c r="A316" s="48">
        <v>5504057</v>
      </c>
      <c r="B316" s="34" t="s">
        <v>403</v>
      </c>
      <c r="C316" s="48" t="str">
        <f t="shared" si="160"/>
        <v>5504051</v>
      </c>
      <c r="D316" s="42">
        <f t="shared" si="161"/>
        <v>7</v>
      </c>
      <c r="E316" s="42"/>
      <c r="F316" s="36" t="s">
        <v>404</v>
      </c>
      <c r="G316" s="36" t="str">
        <f t="shared" si="126"/>
        <v/>
      </c>
      <c r="H316" s="36" t="str">
        <f>IFERROR(IF(--MID($F316,2*COUNTIF($G316:G316,"&gt;"&amp;0)+2,1)=H$1,H$1,""),"")</f>
        <v/>
      </c>
      <c r="I316" s="36" t="str">
        <f>IFERROR(IF(--MID($F316,2*COUNTIF($G316:H316,"&gt;"&amp;0)+2,1)=I$1,I$1,""),"")</f>
        <v/>
      </c>
      <c r="J316" s="36">
        <f>IFERROR(IF(--MID($F316,2*COUNTIF($G316:I316,"&gt;"&amp;0)+2,1)=J$1,J$1,""),"")</f>
        <v>4</v>
      </c>
      <c r="K316" s="36" t="str">
        <f>IFERROR(IF(--MID($F316,2*COUNTIF($G316:J316,"&gt;"&amp;0)+2,1)=K$1,K$1,""),"")</f>
        <v/>
      </c>
      <c r="L316" s="36" t="str">
        <f>IFERROR(IF(--MID($F316,2*COUNTIF($G316:K316,"&gt;"&amp;0)+2,1)=L$1,L$1,""),"")</f>
        <v/>
      </c>
      <c r="M316" s="36" t="e" cm="1">
        <f t="array" ref="M316">IF(A316="","",_xlfn.XLOOKUP(D316&amp;"_"&amp;AE316,符文权重!A:A&amp;"_"&amp;符文权重!C:C,符文权重!D:D))</f>
        <v>#N/A</v>
      </c>
      <c r="N316" s="36"/>
      <c r="O316" s="36"/>
      <c r="P316" s="36"/>
      <c r="Q316" s="36"/>
      <c r="R316" s="36"/>
      <c r="S316" s="36" t="s">
        <v>344</v>
      </c>
      <c r="T316" s="36"/>
      <c r="U316" s="36" t="e">
        <f>IF(C316="","",SUBSTITUTE(SUBSTITUTE("[{global_atk,"&amp;#REF!*D316&amp;"}]",21,20),9,8))</f>
        <v>#REF!</v>
      </c>
      <c r="V316" s="52" t="str">
        <f t="shared" si="162"/>
        <v>[5504057]</v>
      </c>
      <c r="W316" s="68"/>
      <c r="X316" s="35"/>
      <c r="Y316" s="42">
        <v>100</v>
      </c>
      <c r="Z316" s="35"/>
      <c r="AA316" s="42" t="s">
        <v>191</v>
      </c>
      <c r="AB316" s="42" t="str">
        <f t="shared" si="125"/>
        <v>梦灵技能范围大小&lt;color=#54b76b&gt;+40%&lt;/color&gt;</v>
      </c>
      <c r="AC316" s="48" t="str">
        <f t="shared" si="163"/>
        <v>5504051</v>
      </c>
      <c r="AD316" s="42" t="str">
        <f t="shared" si="164"/>
        <v>[40]</v>
      </c>
      <c r="AE316" s="36">
        <v>100</v>
      </c>
      <c r="AF316" s="36"/>
      <c r="AG316" s="36">
        <v>1</v>
      </c>
      <c r="AH316" s="35" t="s">
        <v>178</v>
      </c>
      <c r="AI316" s="48">
        <f t="shared" si="165"/>
        <v>5504057</v>
      </c>
      <c r="AJ316" s="53" t="str">
        <f t="shared" si="166"/>
        <v>梦灵技能范围大小&lt;color=#54b76b&gt;+%s%&lt;/color&gt;</v>
      </c>
      <c r="AK316" s="36">
        <v>40</v>
      </c>
      <c r="AL316" s="36"/>
    </row>
    <row r="317" s="25" customFormat="1" hidden="1" customHeight="1" spans="1:38">
      <c r="A317" s="48"/>
      <c r="B317" s="34"/>
      <c r="C317" s="48"/>
      <c r="D317" s="42"/>
      <c r="E317" s="42"/>
      <c r="F317" s="36"/>
      <c r="G317" s="36" t="str">
        <f t="shared" si="126"/>
        <v/>
      </c>
      <c r="H317" s="36" t="str">
        <f>IFERROR(IF(--MID($F317,2*COUNTIF($G317:G317,"&gt;"&amp;0)+2,1)=H$1,H$1,""),"")</f>
        <v/>
      </c>
      <c r="I317" s="36" t="str">
        <f>IFERROR(IF(--MID($F317,2*COUNTIF($G317:H317,"&gt;"&amp;0)+2,1)=I$1,I$1,""),"")</f>
        <v/>
      </c>
      <c r="J317" s="36" t="str">
        <f>IFERROR(IF(--MID($F317,2*COUNTIF($G317:I317,"&gt;"&amp;0)+2,1)=J$1,J$1,""),"")</f>
        <v/>
      </c>
      <c r="K317" s="36" t="str">
        <f>IFERROR(IF(--MID($F317,2*COUNTIF($G317:J317,"&gt;"&amp;0)+2,1)=K$1,K$1,""),"")</f>
        <v/>
      </c>
      <c r="L317" s="36" t="str">
        <f>IFERROR(IF(--MID($F317,2*COUNTIF($G317:K317,"&gt;"&amp;0)+2,1)=L$1,L$1,""),"")</f>
        <v/>
      </c>
      <c r="M317" s="51" t="str" cm="1">
        <f t="array" ref="M317">IF($A317="","",IF(G317="","",_xlfn.XLOOKUP($D317&amp;"_"&amp;$AE317,符文权重!$A:$A&amp;"_"&amp;符文权重!$C:$C,符文权重!$D:$D)*$Y317/SUMIFS($Y:$Y,G:G,G317,$D:$D,$D317,$AE:$AE,$AE317)/SUMIF(符文权重!$A:$A,$D317,符文权重!$D:$D)))</f>
        <v/>
      </c>
      <c r="N317" s="36" t="str" cm="1">
        <f t="array" ref="N317">IF($A317="","",IF(H317="","",_xlfn.XLOOKUP($D317&amp;"_"&amp;$AE317,符文权重!$A:$A&amp;"_"&amp;符文权重!$C:$C,符文权重!$D:$D)*$Y317/SUMIFS($Y:$Y,H:H,H317,$D:$D,$D$6,$AE:$AE,$AE$6)))</f>
        <v/>
      </c>
      <c r="O317" s="36" t="str" cm="1">
        <f t="array" ref="O317">IF($A317="","",IF(I317="","",_xlfn.XLOOKUP($D317&amp;"_"&amp;$AE317,符文权重!$A:$A&amp;"_"&amp;符文权重!$C:$C,符文权重!$D:$D)*$Y317/SUMIFS($Y:$Y,I:I,I317,$D:$D,$D$6,$AE:$AE,$AE$6)))</f>
        <v/>
      </c>
      <c r="P317" s="36" t="str" cm="1">
        <f t="array" ref="P317">IF($A317="","",IF(J317="","",_xlfn.XLOOKUP($D317&amp;"_"&amp;$AE317,符文权重!$A:$A&amp;"_"&amp;符文权重!$C:$C,符文权重!$D:$D)*$Y317/SUMIFS($Y:$Y,J:J,J317,$D:$D,$D$6,$AE:$AE,$AE$6)))</f>
        <v/>
      </c>
      <c r="Q317" s="36" t="str" cm="1">
        <f t="array" ref="Q317">IF($A317="","",IF(K317="","",_xlfn.XLOOKUP($D317&amp;"_"&amp;$AE317,符文权重!$A:$A&amp;"_"&amp;符文权重!$C:$C,符文权重!$D:$D)*$Y317/SUMIFS($Y:$Y,K:K,K317,$D:$D,$D$6,$AE:$AE,$AE$6)))</f>
        <v/>
      </c>
      <c r="R317" s="36" t="str" cm="1">
        <f t="array" ref="R317">IF($A317="","",IF(L317="","",_xlfn.XLOOKUP($D317&amp;"_"&amp;$AE317,符文权重!$A:$A&amp;"_"&amp;符文权重!$C:$C,符文权重!$D:$D)*$Y317/SUMIFS($Y:$Y,L:L,L317,$D:$D,$D$6,$AE:$AE,$AE$6)))</f>
        <v/>
      </c>
      <c r="S317" s="36"/>
      <c r="T317" s="36"/>
      <c r="U317" s="36"/>
      <c r="V317" s="52"/>
      <c r="W317" s="68"/>
      <c r="X317" s="35"/>
      <c r="Y317" s="42"/>
      <c r="Z317" s="35"/>
      <c r="AA317" s="42"/>
      <c r="AB317" s="42" t="str">
        <f t="shared" si="125"/>
        <v/>
      </c>
      <c r="AC317" s="48"/>
      <c r="AD317" s="42"/>
      <c r="AE317" s="36"/>
      <c r="AF317" s="36"/>
      <c r="AG317" s="36"/>
      <c r="AH317" s="35" t="s">
        <v>178</v>
      </c>
      <c r="AI317" s="48"/>
      <c r="AJ317" s="53"/>
      <c r="AK317" s="36"/>
      <c r="AL317" s="36"/>
    </row>
    <row r="318" s="27" customFormat="1" hidden="1" customHeight="1" spans="1:38">
      <c r="A318" s="57">
        <v>5504061</v>
      </c>
      <c r="B318" s="58" t="s">
        <v>406</v>
      </c>
      <c r="C318" s="57" t="str">
        <f t="shared" ref="C318:C324" si="167">IF(ISBLANK(AI318),"",LEFT(AI318,6)&amp;1)</f>
        <v>5504061</v>
      </c>
      <c r="D318" s="59">
        <f t="shared" ref="D318:D324" si="168">IF(ISBLANK(AI318),"",VALUE(RIGHT(A318,1)))</f>
        <v>1</v>
      </c>
      <c r="E318" s="59"/>
      <c r="F318" s="60" t="s">
        <v>352</v>
      </c>
      <c r="G318" s="36">
        <f t="shared" si="126"/>
        <v>1</v>
      </c>
      <c r="H318" s="36" t="str">
        <f>IFERROR(IF(--MID($F318,2*COUNTIF($G318:G318,"&gt;"&amp;0)+2,1)=H$1,H$1,""),"")</f>
        <v/>
      </c>
      <c r="I318" s="36" t="str">
        <f>IFERROR(IF(--MID($F318,2*COUNTIF($G318:H318,"&gt;"&amp;0)+2,1)=I$1,I$1,""),"")</f>
        <v/>
      </c>
      <c r="J318" s="36" t="str">
        <f>IFERROR(IF(--MID($F318,2*COUNTIF($G318:I318,"&gt;"&amp;0)+2,1)=J$1,J$1,""),"")</f>
        <v/>
      </c>
      <c r="K318" s="36" t="str">
        <f>IFERROR(IF(--MID($F318,2*COUNTIF($G318:J318,"&gt;"&amp;0)+2,1)=K$1,K$1,""),"")</f>
        <v/>
      </c>
      <c r="L318" s="36">
        <f>IFERROR(IF(--MID($F318,2*COUNTIF($G318:K318,"&gt;"&amp;0)+2,1)=L$1,L$1,""),"")</f>
        <v>6</v>
      </c>
      <c r="M318" s="36" t="e" cm="1">
        <f t="array" ref="M318">IF(A318="","",_xlfn.XLOOKUP(D318&amp;"_"&amp;AE318,符文权重!A:A&amp;"_"&amp;符文权重!C:C,符文权重!D:D))</f>
        <v>#N/A</v>
      </c>
      <c r="N318" s="36"/>
      <c r="O318" s="36"/>
      <c r="P318" s="36"/>
      <c r="Q318" s="36"/>
      <c r="R318" s="36"/>
      <c r="S318" s="60" t="s">
        <v>344</v>
      </c>
      <c r="T318" s="60"/>
      <c r="U318" s="60" t="e">
        <f>IF(C318="","",SUBSTITUTE(SUBSTITUTE("[{global_atk,"&amp;#REF!*D318&amp;"}]",21,20),9,8))</f>
        <v>#REF!</v>
      </c>
      <c r="V318" s="61" t="str">
        <f t="shared" ref="V318:V324" si="169">"["&amp;A318&amp;"]"</f>
        <v>[5504061]</v>
      </c>
      <c r="W318" s="60"/>
      <c r="X318" s="28"/>
      <c r="Y318" s="42">
        <v>100</v>
      </c>
      <c r="Z318" s="28"/>
      <c r="AA318" s="59" t="s">
        <v>177</v>
      </c>
      <c r="AB318" s="42" t="str">
        <f t="shared" si="125"/>
        <v>梦灵对近距离敌人的伤害&lt;color=#54b76b&gt;+5%&lt;/color&gt;</v>
      </c>
      <c r="AC318" s="57" t="str">
        <f t="shared" ref="AC318:AC324" si="170">IF(ISBLANK(AI318),"",C318)</f>
        <v>5504061</v>
      </c>
      <c r="AD318" s="59" t="str">
        <f t="shared" ref="AD318:AD324" si="171">IF(ISBLANK(AK318),"","["&amp;AK318&amp;"]")</f>
        <v>[5]</v>
      </c>
      <c r="AE318" s="60">
        <v>100</v>
      </c>
      <c r="AF318" s="60"/>
      <c r="AG318" s="60">
        <v>1</v>
      </c>
      <c r="AH318" s="35" t="s">
        <v>178</v>
      </c>
      <c r="AI318" s="62">
        <v>5504061</v>
      </c>
      <c r="AJ318" s="63" t="s">
        <v>407</v>
      </c>
      <c r="AK318" s="60">
        <v>5</v>
      </c>
      <c r="AL318" s="36"/>
    </row>
    <row r="319" s="27" customFormat="1" hidden="1" customHeight="1" spans="1:38">
      <c r="A319" s="57">
        <v>5504062</v>
      </c>
      <c r="B319" s="58" t="s">
        <v>406</v>
      </c>
      <c r="C319" s="57" t="str">
        <f t="shared" si="167"/>
        <v>5504061</v>
      </c>
      <c r="D319" s="59">
        <f t="shared" si="168"/>
        <v>2</v>
      </c>
      <c r="E319" s="59"/>
      <c r="F319" s="60" t="s">
        <v>352</v>
      </c>
      <c r="G319" s="36">
        <f t="shared" si="126"/>
        <v>1</v>
      </c>
      <c r="H319" s="36" t="str">
        <f>IFERROR(IF(--MID($F319,2*COUNTIF($G319:G319,"&gt;"&amp;0)+2,1)=H$1,H$1,""),"")</f>
        <v/>
      </c>
      <c r="I319" s="36" t="str">
        <f>IFERROR(IF(--MID($F319,2*COUNTIF($G319:H319,"&gt;"&amp;0)+2,1)=I$1,I$1,""),"")</f>
        <v/>
      </c>
      <c r="J319" s="36" t="str">
        <f>IFERROR(IF(--MID($F319,2*COUNTIF($G319:I319,"&gt;"&amp;0)+2,1)=J$1,J$1,""),"")</f>
        <v/>
      </c>
      <c r="K319" s="36" t="str">
        <f>IFERROR(IF(--MID($F319,2*COUNTIF($G319:J319,"&gt;"&amp;0)+2,1)=K$1,K$1,""),"")</f>
        <v/>
      </c>
      <c r="L319" s="36">
        <f>IFERROR(IF(--MID($F319,2*COUNTIF($G319:K319,"&gt;"&amp;0)+2,1)=L$1,L$1,""),"")</f>
        <v>6</v>
      </c>
      <c r="M319" s="36" t="e" cm="1">
        <f t="array" ref="M319">IF(A319="","",_xlfn.XLOOKUP(D319&amp;"_"&amp;AE319,符文权重!A:A&amp;"_"&amp;符文权重!C:C,符文权重!D:D))</f>
        <v>#N/A</v>
      </c>
      <c r="N319" s="36"/>
      <c r="O319" s="36"/>
      <c r="P319" s="36"/>
      <c r="Q319" s="36"/>
      <c r="R319" s="36"/>
      <c r="S319" s="60" t="s">
        <v>344</v>
      </c>
      <c r="T319" s="60"/>
      <c r="U319" s="60" t="e">
        <f>IF(C319="","",SUBSTITUTE(SUBSTITUTE("[{global_atk,"&amp;#REF!*D319&amp;"}]",21,20),9,8))</f>
        <v>#REF!</v>
      </c>
      <c r="V319" s="61" t="str">
        <f t="shared" si="169"/>
        <v>[5504062]</v>
      </c>
      <c r="W319" s="60"/>
      <c r="X319" s="28"/>
      <c r="Y319" s="42">
        <v>100</v>
      </c>
      <c r="Z319" s="28"/>
      <c r="AA319" s="59" t="s">
        <v>181</v>
      </c>
      <c r="AB319" s="42" t="str">
        <f t="shared" si="125"/>
        <v>梦灵对近距离敌人的伤害&lt;color=#54b76b&gt;+10%&lt;/color&gt;</v>
      </c>
      <c r="AC319" s="57" t="str">
        <f t="shared" si="170"/>
        <v>5504061</v>
      </c>
      <c r="AD319" s="59" t="str">
        <f t="shared" si="171"/>
        <v>[10]</v>
      </c>
      <c r="AE319" s="60">
        <v>100</v>
      </c>
      <c r="AF319" s="60"/>
      <c r="AG319" s="60">
        <v>1</v>
      </c>
      <c r="AH319" s="35" t="s">
        <v>178</v>
      </c>
      <c r="AI319" s="57">
        <f t="shared" ref="AI319:AI324" si="172">AI318+1</f>
        <v>5504062</v>
      </c>
      <c r="AJ319" s="64" t="str">
        <f t="shared" ref="AJ319:AJ324" si="173">AJ318</f>
        <v>梦灵对近距离敌人的伤害&lt;color=#54b76b&gt;+%s%&lt;/color&gt;</v>
      </c>
      <c r="AK319" s="60">
        <v>10</v>
      </c>
      <c r="AL319" s="36"/>
    </row>
    <row r="320" s="25" customFormat="1" hidden="1" customHeight="1" spans="1:38">
      <c r="A320" s="48">
        <v>5504063</v>
      </c>
      <c r="B320" s="34" t="s">
        <v>406</v>
      </c>
      <c r="C320" s="48" t="str">
        <f t="shared" si="167"/>
        <v>5504061</v>
      </c>
      <c r="D320" s="42">
        <f t="shared" si="168"/>
        <v>3</v>
      </c>
      <c r="E320" s="42"/>
      <c r="F320" s="36" t="s">
        <v>352</v>
      </c>
      <c r="G320" s="36">
        <f t="shared" si="126"/>
        <v>1</v>
      </c>
      <c r="H320" s="36" t="str">
        <f>IFERROR(IF(--MID($F320,2*COUNTIF($G320:G320,"&gt;"&amp;0)+2,1)=H$1,H$1,""),"")</f>
        <v/>
      </c>
      <c r="I320" s="36" t="str">
        <f>IFERROR(IF(--MID($F320,2*COUNTIF($G320:H320,"&gt;"&amp;0)+2,1)=I$1,I$1,""),"")</f>
        <v/>
      </c>
      <c r="J320" s="36" t="str">
        <f>IFERROR(IF(--MID($F320,2*COUNTIF($G320:I320,"&gt;"&amp;0)+2,1)=J$1,J$1,""),"")</f>
        <v/>
      </c>
      <c r="K320" s="36" t="str">
        <f>IFERROR(IF(--MID($F320,2*COUNTIF($G320:J320,"&gt;"&amp;0)+2,1)=K$1,K$1,""),"")</f>
        <v/>
      </c>
      <c r="L320" s="36">
        <f>IFERROR(IF(--MID($F320,2*COUNTIF($G320:K320,"&gt;"&amp;0)+2,1)=L$1,L$1,""),"")</f>
        <v>6</v>
      </c>
      <c r="M320" s="51" cm="1">
        <f t="array" ref="M320">IF($A320="","",IF(G320="","",_xlfn.XLOOKUP($D320&amp;"_"&amp;$AE320,符文权重!$A:$A&amp;"_"&amp;符文权重!$C:$C,符文权重!$D:$D)*$Y320/SUMIFS($Y:$Y,G:G,G320,$D:$D,$D320,$AE:$AE,$AE320)/SUMIF(符文权重!$A:$A,$D320,符文权重!$D:$D)))</f>
        <v>0.0100095785440613</v>
      </c>
      <c r="N320" s="51" t="str" cm="1">
        <f t="array" ref="N320">IF($A320="","",IF(H320="","",_xlfn.XLOOKUP($D320&amp;"_"&amp;$AE320,符文权重!$A:$A&amp;"_"&amp;符文权重!$C:$C,符文权重!$D:$D)*$Y320/SUMIFS($Y:$Y,H:H,H320,$D:$D,$D320,$AE:$AE,$AE320)/SUMIF(符文权重!$A:$A,$D320,符文权重!$D:$D)))</f>
        <v/>
      </c>
      <c r="O320" s="51" t="str" cm="1">
        <f t="array" ref="O320">IF($A320="","",IF(I320="","",_xlfn.XLOOKUP($D320&amp;"_"&amp;$AE320,符文权重!$A:$A&amp;"_"&amp;符文权重!$C:$C,符文权重!$D:$D)*$Y320/SUMIFS($Y:$Y,I:I,I320,$D:$D,$D320,$AE:$AE,$AE320)/SUMIF(符文权重!$A:$A,$D320,符文权重!$D:$D)))</f>
        <v/>
      </c>
      <c r="P320" s="51" t="str" cm="1">
        <f t="array" ref="P320">IF($A320="","",IF(J320="","",_xlfn.XLOOKUP($D320&amp;"_"&amp;$AE320,符文权重!$A:$A&amp;"_"&amp;符文权重!$C:$C,符文权重!$D:$D)*$Y320/SUMIFS($Y:$Y,J:J,J320,$D:$D,$D320,$AE:$AE,$AE320)/SUMIF(符文权重!$A:$A,$D320,符文权重!$D:$D)))</f>
        <v/>
      </c>
      <c r="Q320" s="51" t="str" cm="1">
        <f t="array" ref="Q320">IF($A320="","",IF(K320="","",_xlfn.XLOOKUP($D320&amp;"_"&amp;$AE320,符文权重!$A:$A&amp;"_"&amp;符文权重!$C:$C,符文权重!$D:$D)*$Y320/SUMIFS($Y:$Y,K:K,K320,$D:$D,$D320,$AE:$AE,$AE320)/SUMIF(符文权重!$A:$A,$D320,符文权重!$D:$D)))</f>
        <v/>
      </c>
      <c r="R320" s="51" cm="1">
        <f t="array" ref="R320">IF($A320="","",IF(L320="","",_xlfn.XLOOKUP($D320&amp;"_"&amp;$AE320,符文权重!$A:$A&amp;"_"&amp;符文权重!$C:$C,符文权重!$D:$D)*$Y320/SUMIFS($Y:$Y,L:L,L320,$D:$D,$D320,$AE:$AE,$AE320)/SUMIF(符文权重!$A:$A,$D320,符文权重!$D:$D)))</f>
        <v>0.0100095785440613</v>
      </c>
      <c r="S320" s="36" t="s">
        <v>344</v>
      </c>
      <c r="T320" s="36"/>
      <c r="U320" s="36" t="e">
        <f>IF(C320="","",SUBSTITUTE(SUBSTITUTE("[{global_atk,"&amp;#REF!*D320&amp;"}]",21,20),9,8))</f>
        <v>#REF!</v>
      </c>
      <c r="V320" s="52" t="str">
        <f t="shared" si="169"/>
        <v>[5504063]</v>
      </c>
      <c r="W320" s="36"/>
      <c r="X320" s="35"/>
      <c r="Y320" s="42">
        <v>11</v>
      </c>
      <c r="Z320" s="35"/>
      <c r="AA320" s="42" t="s">
        <v>183</v>
      </c>
      <c r="AB320" s="42" t="str">
        <f t="shared" si="125"/>
        <v>梦灵对近距离敌人的伤害&lt;color=#54b76b&gt;+15%&lt;/color&gt;</v>
      </c>
      <c r="AC320" s="48" t="str">
        <f t="shared" si="170"/>
        <v>5504061</v>
      </c>
      <c r="AD320" s="42" t="str">
        <f t="shared" si="171"/>
        <v>[15]</v>
      </c>
      <c r="AE320" s="36">
        <v>2</v>
      </c>
      <c r="AF320" s="36"/>
      <c r="AG320" s="36">
        <v>0</v>
      </c>
      <c r="AH320" s="35" t="s">
        <v>178</v>
      </c>
      <c r="AI320" s="48">
        <f t="shared" si="172"/>
        <v>5504063</v>
      </c>
      <c r="AJ320" s="53" t="str">
        <f t="shared" si="173"/>
        <v>梦灵对近距离敌人的伤害&lt;color=#54b76b&gt;+%s%&lt;/color&gt;</v>
      </c>
      <c r="AK320" s="36">
        <v>15</v>
      </c>
      <c r="AL320" s="36">
        <v>3</v>
      </c>
    </row>
    <row r="321" s="25" customFormat="1" hidden="1" customHeight="1" spans="1:38">
      <c r="A321" s="48">
        <v>5504064</v>
      </c>
      <c r="B321" s="34" t="s">
        <v>406</v>
      </c>
      <c r="C321" s="48" t="str">
        <f t="shared" si="167"/>
        <v>5504061</v>
      </c>
      <c r="D321" s="42">
        <f t="shared" si="168"/>
        <v>4</v>
      </c>
      <c r="E321" s="42"/>
      <c r="F321" s="36" t="s">
        <v>352</v>
      </c>
      <c r="G321" s="36">
        <f t="shared" si="126"/>
        <v>1</v>
      </c>
      <c r="H321" s="36" t="str">
        <f>IFERROR(IF(--MID($F321,2*COUNTIF($G321:G321,"&gt;"&amp;0)+2,1)=H$1,H$1,""),"")</f>
        <v/>
      </c>
      <c r="I321" s="36" t="str">
        <f>IFERROR(IF(--MID($F321,2*COUNTIF($G321:H321,"&gt;"&amp;0)+2,1)=I$1,I$1,""),"")</f>
        <v/>
      </c>
      <c r="J321" s="36" t="str">
        <f>IFERROR(IF(--MID($F321,2*COUNTIF($G321:I321,"&gt;"&amp;0)+2,1)=J$1,J$1,""),"")</f>
        <v/>
      </c>
      <c r="K321" s="36" t="str">
        <f>IFERROR(IF(--MID($F321,2*COUNTIF($G321:J321,"&gt;"&amp;0)+2,1)=K$1,K$1,""),"")</f>
        <v/>
      </c>
      <c r="L321" s="36">
        <f>IFERROR(IF(--MID($F321,2*COUNTIF($G321:K321,"&gt;"&amp;0)+2,1)=L$1,L$1,""),"")</f>
        <v>6</v>
      </c>
      <c r="M321" s="51" cm="1">
        <f t="array" ref="M321">IF($A321="","",IF(G321="","",_xlfn.XLOOKUP($D321&amp;"_"&amp;$AE321,符文权重!$A:$A&amp;"_"&amp;符文权重!$C:$C,符文权重!$D:$D)*$Y321/SUMIFS($Y:$Y,G:G,G321,$D:$D,$D321,$AE:$AE,$AE321)/SUMIF(符文权重!$A:$A,$D321,符文权重!$D:$D)))</f>
        <v>0.0137915693471249</v>
      </c>
      <c r="N321" s="51" t="str" cm="1">
        <f t="array" ref="N321">IF($A321="","",IF(H321="","",_xlfn.XLOOKUP($D321&amp;"_"&amp;$AE321,符文权重!$A:$A&amp;"_"&amp;符文权重!$C:$C,符文权重!$D:$D)*$Y321/SUMIFS($Y:$Y,H:H,H321,$D:$D,$D321,$AE:$AE,$AE321)/SUMIF(符文权重!$A:$A,$D321,符文权重!$D:$D)))</f>
        <v/>
      </c>
      <c r="O321" s="51" t="str" cm="1">
        <f t="array" ref="O321">IF($A321="","",IF(I321="","",_xlfn.XLOOKUP($D321&amp;"_"&amp;$AE321,符文权重!$A:$A&amp;"_"&amp;符文权重!$C:$C,符文权重!$D:$D)*$Y321/SUMIFS($Y:$Y,I:I,I321,$D:$D,$D321,$AE:$AE,$AE321)/SUMIF(符文权重!$A:$A,$D321,符文权重!$D:$D)))</f>
        <v/>
      </c>
      <c r="P321" s="51" t="str" cm="1">
        <f t="array" ref="P321">IF($A321="","",IF(J321="","",_xlfn.XLOOKUP($D321&amp;"_"&amp;$AE321,符文权重!$A:$A&amp;"_"&amp;符文权重!$C:$C,符文权重!$D:$D)*$Y321/SUMIFS($Y:$Y,J:J,J321,$D:$D,$D321,$AE:$AE,$AE321)/SUMIF(符文权重!$A:$A,$D321,符文权重!$D:$D)))</f>
        <v/>
      </c>
      <c r="Q321" s="51" t="str" cm="1">
        <f t="array" ref="Q321">IF($A321="","",IF(K321="","",_xlfn.XLOOKUP($D321&amp;"_"&amp;$AE321,符文权重!$A:$A&amp;"_"&amp;符文权重!$C:$C,符文权重!$D:$D)*$Y321/SUMIFS($Y:$Y,K:K,K321,$D:$D,$D321,$AE:$AE,$AE321)/SUMIF(符文权重!$A:$A,$D321,符文权重!$D:$D)))</f>
        <v/>
      </c>
      <c r="R321" s="51" cm="1">
        <f t="array" ref="R321">IF($A321="","",IF(L321="","",_xlfn.XLOOKUP($D321&amp;"_"&amp;$AE321,符文权重!$A:$A&amp;"_"&amp;符文权重!$C:$C,符文权重!$D:$D)*$Y321/SUMIFS($Y:$Y,L:L,L321,$D:$D,$D321,$AE:$AE,$AE321)/SUMIF(符文权重!$A:$A,$D321,符文权重!$D:$D)))</f>
        <v>0.0136400136400136</v>
      </c>
      <c r="S321" s="36" t="s">
        <v>344</v>
      </c>
      <c r="T321" s="36"/>
      <c r="U321" s="36" t="e">
        <f>IF(C321="","",SUBSTITUTE(SUBSTITUTE("[{global_atk,"&amp;#REF!*D321&amp;"}]",21,20),9,8))</f>
        <v>#REF!</v>
      </c>
      <c r="V321" s="52" t="str">
        <f t="shared" si="169"/>
        <v>[5504064]</v>
      </c>
      <c r="W321" s="36"/>
      <c r="X321" s="35"/>
      <c r="Y321" s="42">
        <v>16</v>
      </c>
      <c r="Z321" s="35"/>
      <c r="AA321" s="42" t="s">
        <v>185</v>
      </c>
      <c r="AB321" s="42" t="str">
        <f t="shared" si="125"/>
        <v>梦灵对近距离敌人的伤害&lt;color=#54b76b&gt;+20%&lt;/color&gt;</v>
      </c>
      <c r="AC321" s="48" t="str">
        <f t="shared" si="170"/>
        <v>5504061</v>
      </c>
      <c r="AD321" s="42" t="str">
        <f t="shared" si="171"/>
        <v>[20]</v>
      </c>
      <c r="AE321" s="36">
        <v>3</v>
      </c>
      <c r="AF321" s="36"/>
      <c r="AG321" s="36">
        <v>0</v>
      </c>
      <c r="AH321" s="35" t="s">
        <v>178</v>
      </c>
      <c r="AI321" s="48">
        <f t="shared" si="172"/>
        <v>5504064</v>
      </c>
      <c r="AJ321" s="53" t="str">
        <f t="shared" si="173"/>
        <v>梦灵对近距离敌人的伤害&lt;color=#54b76b&gt;+%s%&lt;/color&gt;</v>
      </c>
      <c r="AK321" s="36">
        <v>20</v>
      </c>
      <c r="AL321" s="36">
        <v>3</v>
      </c>
    </row>
    <row r="322" s="25" customFormat="1" hidden="1" customHeight="1" spans="1:38">
      <c r="A322" s="48">
        <v>5504065</v>
      </c>
      <c r="B322" s="34" t="s">
        <v>406</v>
      </c>
      <c r="C322" s="48" t="str">
        <f t="shared" si="167"/>
        <v>5504061</v>
      </c>
      <c r="D322" s="42">
        <f t="shared" si="168"/>
        <v>5</v>
      </c>
      <c r="E322" s="42"/>
      <c r="F322" s="36" t="s">
        <v>352</v>
      </c>
      <c r="G322" s="36">
        <f t="shared" si="126"/>
        <v>1</v>
      </c>
      <c r="H322" s="36" t="str">
        <f>IFERROR(IF(--MID($F322,2*COUNTIF($G322:G322,"&gt;"&amp;0)+2,1)=H$1,H$1,""),"")</f>
        <v/>
      </c>
      <c r="I322" s="36" t="str">
        <f>IFERROR(IF(--MID($F322,2*COUNTIF($G322:H322,"&gt;"&amp;0)+2,1)=I$1,I$1,""),"")</f>
        <v/>
      </c>
      <c r="J322" s="36" t="str">
        <f>IFERROR(IF(--MID($F322,2*COUNTIF($G322:I322,"&gt;"&amp;0)+2,1)=J$1,J$1,""),"")</f>
        <v/>
      </c>
      <c r="K322" s="36" t="str">
        <f>IFERROR(IF(--MID($F322,2*COUNTIF($G322:J322,"&gt;"&amp;0)+2,1)=K$1,K$1,""),"")</f>
        <v/>
      </c>
      <c r="L322" s="36">
        <f>IFERROR(IF(--MID($F322,2*COUNTIF($G322:K322,"&gt;"&amp;0)+2,1)=L$1,L$1,""),"")</f>
        <v>6</v>
      </c>
      <c r="M322" s="51" cm="1">
        <f t="array" ref="M322">IF($A322="","",IF(G322="","",_xlfn.XLOOKUP($D322&amp;"_"&amp;$AE322,符文权重!$A:$A&amp;"_"&amp;符文权重!$C:$C,符文权重!$D:$D)*$Y322/SUMIFS($Y:$Y,G:G,G322,$D:$D,$D322,$AE:$AE,$AE322)/SUMIF(符文权重!$A:$A,$D322,符文权重!$D:$D)))</f>
        <v>0.00721428571428571</v>
      </c>
      <c r="N322" s="51" t="str" cm="1">
        <f t="array" ref="N322">IF($A322="","",IF(H322="","",_xlfn.XLOOKUP($D322&amp;"_"&amp;$AE322,符文权重!$A:$A&amp;"_"&amp;符文权重!$C:$C,符文权重!$D:$D)*$Y322/SUMIFS($Y:$Y,H:H,H322,$D:$D,$D322,$AE:$AE,$AE322)/SUMIF(符文权重!$A:$A,$D322,符文权重!$D:$D)))</f>
        <v/>
      </c>
      <c r="O322" s="51" t="str" cm="1">
        <f t="array" ref="O322">IF($A322="","",IF(I322="","",_xlfn.XLOOKUP($D322&amp;"_"&amp;$AE322,符文权重!$A:$A&amp;"_"&amp;符文权重!$C:$C,符文权重!$D:$D)*$Y322/SUMIFS($Y:$Y,I:I,I322,$D:$D,$D322,$AE:$AE,$AE322)/SUMIF(符文权重!$A:$A,$D322,符文权重!$D:$D)))</f>
        <v/>
      </c>
      <c r="P322" s="51" t="str" cm="1">
        <f t="array" ref="P322">IF($A322="","",IF(J322="","",_xlfn.XLOOKUP($D322&amp;"_"&amp;$AE322,符文权重!$A:$A&amp;"_"&amp;符文权重!$C:$C,符文权重!$D:$D)*$Y322/SUMIFS($Y:$Y,J:J,J322,$D:$D,$D322,$AE:$AE,$AE322)/SUMIF(符文权重!$A:$A,$D322,符文权重!$D:$D)))</f>
        <v/>
      </c>
      <c r="Q322" s="51" t="str" cm="1">
        <f t="array" ref="Q322">IF($A322="","",IF(K322="","",_xlfn.XLOOKUP($D322&amp;"_"&amp;$AE322,符文权重!$A:$A&amp;"_"&amp;符文权重!$C:$C,符文权重!$D:$D)*$Y322/SUMIFS($Y:$Y,K:K,K322,$D:$D,$D322,$AE:$AE,$AE322)/SUMIF(符文权重!$A:$A,$D322,符文权重!$D:$D)))</f>
        <v/>
      </c>
      <c r="R322" s="51" cm="1">
        <f t="array" ref="R322">IF($A322="","",IF(L322="","",_xlfn.XLOOKUP($D322&amp;"_"&amp;$AE322,符文权重!$A:$A&amp;"_"&amp;符文权重!$C:$C,符文权重!$D:$D)*$Y322/SUMIFS($Y:$Y,L:L,L322,$D:$D,$D322,$AE:$AE,$AE322)/SUMIF(符文权重!$A:$A,$D322,符文权重!$D:$D)))</f>
        <v>0.0063125</v>
      </c>
      <c r="S322" s="36" t="s">
        <v>344</v>
      </c>
      <c r="T322" s="36"/>
      <c r="U322" s="36" t="e">
        <f>IF(C322="","",SUBSTITUTE(SUBSTITUTE("[{global_atk,"&amp;#REF!*D322&amp;"}]",21,20),9,8))</f>
        <v>#REF!</v>
      </c>
      <c r="V322" s="52" t="str">
        <f t="shared" si="169"/>
        <v>[5504065]</v>
      </c>
      <c r="W322" s="36"/>
      <c r="X322" s="35"/>
      <c r="Y322" s="42">
        <v>100</v>
      </c>
      <c r="Z322" s="35"/>
      <c r="AA322" s="42" t="s">
        <v>187</v>
      </c>
      <c r="AB322" s="42" t="str">
        <f t="shared" si="125"/>
        <v>梦灵对近距离敌人的伤害&lt;color=#54b76b&gt;+25%&lt;/color&gt;</v>
      </c>
      <c r="AC322" s="48" t="str">
        <f t="shared" si="170"/>
        <v>5504061</v>
      </c>
      <c r="AD322" s="42" t="str">
        <f t="shared" si="171"/>
        <v>[25]</v>
      </c>
      <c r="AE322" s="36">
        <v>4</v>
      </c>
      <c r="AF322" s="36"/>
      <c r="AG322" s="36">
        <v>0</v>
      </c>
      <c r="AH322" s="35" t="s">
        <v>178</v>
      </c>
      <c r="AI322" s="48">
        <f t="shared" si="172"/>
        <v>5504065</v>
      </c>
      <c r="AJ322" s="53" t="str">
        <f t="shared" si="173"/>
        <v>梦灵对近距离敌人的伤害&lt;color=#54b76b&gt;+%s%&lt;/color&gt;</v>
      </c>
      <c r="AK322" s="36">
        <v>25</v>
      </c>
      <c r="AL322" s="36">
        <v>3</v>
      </c>
    </row>
    <row r="323" s="25" customFormat="1" hidden="1" customHeight="1" spans="1:38">
      <c r="A323" s="48">
        <v>5504066</v>
      </c>
      <c r="B323" s="34" t="s">
        <v>406</v>
      </c>
      <c r="C323" s="48" t="str">
        <f t="shared" si="167"/>
        <v>5504061</v>
      </c>
      <c r="D323" s="42">
        <f t="shared" si="168"/>
        <v>6</v>
      </c>
      <c r="E323" s="42"/>
      <c r="F323" s="36" t="s">
        <v>352</v>
      </c>
      <c r="G323" s="36">
        <f t="shared" si="126"/>
        <v>1</v>
      </c>
      <c r="H323" s="36" t="str">
        <f>IFERROR(IF(--MID($F323,2*COUNTIF($G323:G323,"&gt;"&amp;0)+2,1)=H$1,H$1,""),"")</f>
        <v/>
      </c>
      <c r="I323" s="36" t="str">
        <f>IFERROR(IF(--MID($F323,2*COUNTIF($G323:H323,"&gt;"&amp;0)+2,1)=I$1,I$1,""),"")</f>
        <v/>
      </c>
      <c r="J323" s="36" t="str">
        <f>IFERROR(IF(--MID($F323,2*COUNTIF($G323:I323,"&gt;"&amp;0)+2,1)=J$1,J$1,""),"")</f>
        <v/>
      </c>
      <c r="K323" s="36" t="str">
        <f>IFERROR(IF(--MID($F323,2*COUNTIF($G323:J323,"&gt;"&amp;0)+2,1)=K$1,K$1,""),"")</f>
        <v/>
      </c>
      <c r="L323" s="36">
        <f>IFERROR(IF(--MID($F323,2*COUNTIF($G323:K323,"&gt;"&amp;0)+2,1)=L$1,L$1,""),"")</f>
        <v>6</v>
      </c>
      <c r="M323" s="51" cm="1">
        <f t="array" ref="M323">IF($A323="","",IF(G323="","",_xlfn.XLOOKUP($D323&amp;"_"&amp;$AE323,符文权重!$A:$A&amp;"_"&amp;符文权重!$C:$C,符文权重!$D:$D)*$Y323/SUMIFS($Y:$Y,G:G,G323,$D:$D,$D323,$AE:$AE,$AE323)/SUMIF(符文权重!$A:$A,$D323,符文权重!$D:$D)))</f>
        <v>0.00721428571428571</v>
      </c>
      <c r="N323" s="51" t="str" cm="1">
        <f t="array" ref="N323">IF($A323="","",IF(H323="","",_xlfn.XLOOKUP($D323&amp;"_"&amp;$AE323,符文权重!$A:$A&amp;"_"&amp;符文权重!$C:$C,符文权重!$D:$D)*$Y323/SUMIFS($Y:$Y,H:H,H323,$D:$D,$D323,$AE:$AE,$AE323)/SUMIF(符文权重!$A:$A,$D323,符文权重!$D:$D)))</f>
        <v/>
      </c>
      <c r="O323" s="51" t="str" cm="1">
        <f t="array" ref="O323">IF($A323="","",IF(I323="","",_xlfn.XLOOKUP($D323&amp;"_"&amp;$AE323,符文权重!$A:$A&amp;"_"&amp;符文权重!$C:$C,符文权重!$D:$D)*$Y323/SUMIFS($Y:$Y,I:I,I323,$D:$D,$D323,$AE:$AE,$AE323)/SUMIF(符文权重!$A:$A,$D323,符文权重!$D:$D)))</f>
        <v/>
      </c>
      <c r="P323" s="51" t="str" cm="1">
        <f t="array" ref="P323">IF($A323="","",IF(J323="","",_xlfn.XLOOKUP($D323&amp;"_"&amp;$AE323,符文权重!$A:$A&amp;"_"&amp;符文权重!$C:$C,符文权重!$D:$D)*$Y323/SUMIFS($Y:$Y,J:J,J323,$D:$D,$D323,$AE:$AE,$AE323)/SUMIF(符文权重!$A:$A,$D323,符文权重!$D:$D)))</f>
        <v/>
      </c>
      <c r="Q323" s="51" t="str" cm="1">
        <f t="array" ref="Q323">IF($A323="","",IF(K323="","",_xlfn.XLOOKUP($D323&amp;"_"&amp;$AE323,符文权重!$A:$A&amp;"_"&amp;符文权重!$C:$C,符文权重!$D:$D)*$Y323/SUMIFS($Y:$Y,K:K,K323,$D:$D,$D323,$AE:$AE,$AE323)/SUMIF(符文权重!$A:$A,$D323,符文权重!$D:$D)))</f>
        <v/>
      </c>
      <c r="R323" s="51" cm="1">
        <f t="array" ref="R323">IF($A323="","",IF(L323="","",_xlfn.XLOOKUP($D323&amp;"_"&amp;$AE323,符文权重!$A:$A&amp;"_"&amp;符文权重!$C:$C,符文权重!$D:$D)*$Y323/SUMIFS($Y:$Y,L:L,L323,$D:$D,$D323,$AE:$AE,$AE323)/SUMIF(符文权重!$A:$A,$D323,符文权重!$D:$D)))</f>
        <v>0.0063125</v>
      </c>
      <c r="S323" s="36" t="s">
        <v>344</v>
      </c>
      <c r="T323" s="36"/>
      <c r="U323" s="36" t="e">
        <f>IF(C323="","",SUBSTITUTE(SUBSTITUTE("[{global_atk,"&amp;#REF!*D323&amp;"}]",21,20),9,8))</f>
        <v>#REF!</v>
      </c>
      <c r="V323" s="52" t="str">
        <f t="shared" si="169"/>
        <v>[5504066]</v>
      </c>
      <c r="W323" s="36"/>
      <c r="X323" s="35"/>
      <c r="Y323" s="42">
        <v>100</v>
      </c>
      <c r="Z323" s="35"/>
      <c r="AA323" s="42" t="s">
        <v>189</v>
      </c>
      <c r="AB323" s="42" t="str">
        <f t="shared" si="125"/>
        <v>梦灵对近距离敌人的伤害&lt;color=#54b76b&gt;+30%&lt;/color&gt;</v>
      </c>
      <c r="AC323" s="48" t="str">
        <f t="shared" si="170"/>
        <v>5504061</v>
      </c>
      <c r="AD323" s="42" t="str">
        <f t="shared" si="171"/>
        <v>[30]</v>
      </c>
      <c r="AE323" s="36">
        <v>4</v>
      </c>
      <c r="AF323" s="36"/>
      <c r="AG323" s="36">
        <v>0</v>
      </c>
      <c r="AH323" s="35" t="s">
        <v>178</v>
      </c>
      <c r="AI323" s="48">
        <f t="shared" si="172"/>
        <v>5504066</v>
      </c>
      <c r="AJ323" s="53" t="str">
        <f t="shared" si="173"/>
        <v>梦灵对近距离敌人的伤害&lt;color=#54b76b&gt;+%s%&lt;/color&gt;</v>
      </c>
      <c r="AK323" s="36">
        <v>30</v>
      </c>
      <c r="AL323" s="36">
        <v>3</v>
      </c>
    </row>
    <row r="324" s="25" customFormat="1" hidden="1" customHeight="1" spans="1:38">
      <c r="A324" s="48">
        <v>5504067</v>
      </c>
      <c r="B324" s="34" t="s">
        <v>406</v>
      </c>
      <c r="C324" s="48" t="str">
        <f t="shared" si="167"/>
        <v>5504061</v>
      </c>
      <c r="D324" s="42">
        <f t="shared" si="168"/>
        <v>7</v>
      </c>
      <c r="E324" s="42"/>
      <c r="F324" s="36" t="s">
        <v>352</v>
      </c>
      <c r="G324" s="36">
        <f t="shared" si="126"/>
        <v>1</v>
      </c>
      <c r="H324" s="36" t="str">
        <f>IFERROR(IF(--MID($F324,2*COUNTIF($G324:G324,"&gt;"&amp;0)+2,1)=H$1,H$1,""),"")</f>
        <v/>
      </c>
      <c r="I324" s="36" t="str">
        <f>IFERROR(IF(--MID($F324,2*COUNTIF($G324:H324,"&gt;"&amp;0)+2,1)=I$1,I$1,""),"")</f>
        <v/>
      </c>
      <c r="J324" s="36" t="str">
        <f>IFERROR(IF(--MID($F324,2*COUNTIF($G324:I324,"&gt;"&amp;0)+2,1)=J$1,J$1,""),"")</f>
        <v/>
      </c>
      <c r="K324" s="36" t="str">
        <f>IFERROR(IF(--MID($F324,2*COUNTIF($G324:J324,"&gt;"&amp;0)+2,1)=K$1,K$1,""),"")</f>
        <v/>
      </c>
      <c r="L324" s="36">
        <f>IFERROR(IF(--MID($F324,2*COUNTIF($G324:K324,"&gt;"&amp;0)+2,1)=L$1,L$1,""),"")</f>
        <v>6</v>
      </c>
      <c r="M324" s="51" cm="1">
        <f t="array" ref="M324">IF($A324="","",IF(G324="","",_xlfn.XLOOKUP($D324&amp;"_"&amp;$AE324,符文权重!$A:$A&amp;"_"&amp;符文权重!$C:$C,符文权重!$D:$D)*$Y324/SUMIFS($Y:$Y,G:G,G324,$D:$D,$D324,$AE:$AE,$AE324)/SUMIF(符文权重!$A:$A,$D324,符文权重!$D:$D)))</f>
        <v>0.00721428571428571</v>
      </c>
      <c r="N324" s="51" t="str" cm="1">
        <f t="array" ref="N324">IF($A324="","",IF(H324="","",_xlfn.XLOOKUP($D324&amp;"_"&amp;$AE324,符文权重!$A:$A&amp;"_"&amp;符文权重!$C:$C,符文权重!$D:$D)*$Y324/SUMIFS($Y:$Y,H:H,H324,$D:$D,$D324,$AE:$AE,$AE324)/SUMIF(符文权重!$A:$A,$D324,符文权重!$D:$D)))</f>
        <v/>
      </c>
      <c r="O324" s="51" t="str" cm="1">
        <f t="array" ref="O324">IF($A324="","",IF(I324="","",_xlfn.XLOOKUP($D324&amp;"_"&amp;$AE324,符文权重!$A:$A&amp;"_"&amp;符文权重!$C:$C,符文权重!$D:$D)*$Y324/SUMIFS($Y:$Y,I:I,I324,$D:$D,$D324,$AE:$AE,$AE324)/SUMIF(符文权重!$A:$A,$D324,符文权重!$D:$D)))</f>
        <v/>
      </c>
      <c r="P324" s="51" t="str" cm="1">
        <f t="array" ref="P324">IF($A324="","",IF(J324="","",_xlfn.XLOOKUP($D324&amp;"_"&amp;$AE324,符文权重!$A:$A&amp;"_"&amp;符文权重!$C:$C,符文权重!$D:$D)*$Y324/SUMIFS($Y:$Y,J:J,J324,$D:$D,$D324,$AE:$AE,$AE324)/SUMIF(符文权重!$A:$A,$D324,符文权重!$D:$D)))</f>
        <v/>
      </c>
      <c r="Q324" s="51" t="str" cm="1">
        <f t="array" ref="Q324">IF($A324="","",IF(K324="","",_xlfn.XLOOKUP($D324&amp;"_"&amp;$AE324,符文权重!$A:$A&amp;"_"&amp;符文权重!$C:$C,符文权重!$D:$D)*$Y324/SUMIFS($Y:$Y,K:K,K324,$D:$D,$D324,$AE:$AE,$AE324)/SUMIF(符文权重!$A:$A,$D324,符文权重!$D:$D)))</f>
        <v/>
      </c>
      <c r="R324" s="51" cm="1">
        <f t="array" ref="R324">IF($A324="","",IF(L324="","",_xlfn.XLOOKUP($D324&amp;"_"&amp;$AE324,符文权重!$A:$A&amp;"_"&amp;符文权重!$C:$C,符文权重!$D:$D)*$Y324/SUMIFS($Y:$Y,L:L,L324,$D:$D,$D324,$AE:$AE,$AE324)/SUMIF(符文权重!$A:$A,$D324,符文权重!$D:$D)))</f>
        <v>0.0063125</v>
      </c>
      <c r="S324" s="36" t="s">
        <v>344</v>
      </c>
      <c r="T324" s="36"/>
      <c r="U324" s="36" t="e">
        <f>IF(C324="","",SUBSTITUTE(SUBSTITUTE("[{global_atk,"&amp;#REF!*D324&amp;"}]",21,20),9,8))</f>
        <v>#REF!</v>
      </c>
      <c r="V324" s="52" t="str">
        <f t="shared" si="169"/>
        <v>[5504067]</v>
      </c>
      <c r="W324" s="68"/>
      <c r="X324" s="35"/>
      <c r="Y324" s="35">
        <v>100</v>
      </c>
      <c r="Z324" s="35"/>
      <c r="AA324" s="42" t="s">
        <v>191</v>
      </c>
      <c r="AB324" s="42" t="str">
        <f t="shared" si="125"/>
        <v>梦灵对近距离敌人的伤害&lt;color=#54b76b&gt;+35%&lt;/color&gt;</v>
      </c>
      <c r="AC324" s="48" t="str">
        <f t="shared" si="170"/>
        <v>5504061</v>
      </c>
      <c r="AD324" s="42" t="str">
        <f t="shared" si="171"/>
        <v>[35]</v>
      </c>
      <c r="AE324" s="36">
        <v>4</v>
      </c>
      <c r="AF324" s="36"/>
      <c r="AG324" s="36">
        <v>0</v>
      </c>
      <c r="AH324" s="35" t="s">
        <v>178</v>
      </c>
      <c r="AI324" s="48">
        <f t="shared" si="172"/>
        <v>5504067</v>
      </c>
      <c r="AJ324" s="53" t="str">
        <f t="shared" si="173"/>
        <v>梦灵对近距离敌人的伤害&lt;color=#54b76b&gt;+%s%&lt;/color&gt;</v>
      </c>
      <c r="AK324" s="36">
        <v>35</v>
      </c>
      <c r="AL324" s="35">
        <v>3</v>
      </c>
    </row>
    <row r="325" s="25" customFormat="1" hidden="1" customHeight="1" spans="1:38">
      <c r="A325" s="48"/>
      <c r="B325" s="34"/>
      <c r="C325" s="48"/>
      <c r="D325" s="42"/>
      <c r="E325" s="42"/>
      <c r="F325" s="36"/>
      <c r="G325" s="36" t="str">
        <f t="shared" si="126"/>
        <v/>
      </c>
      <c r="H325" s="36" t="str">
        <f>IFERROR(IF(--MID($F325,2*COUNTIF($G325:G325,"&gt;"&amp;0)+2,1)=H$1,H$1,""),"")</f>
        <v/>
      </c>
      <c r="I325" s="36" t="str">
        <f>IFERROR(IF(--MID($F325,2*COUNTIF($G325:H325,"&gt;"&amp;0)+2,1)=I$1,I$1,""),"")</f>
        <v/>
      </c>
      <c r="J325" s="36" t="str">
        <f>IFERROR(IF(--MID($F325,2*COUNTIF($G325:I325,"&gt;"&amp;0)+2,1)=J$1,J$1,""),"")</f>
        <v/>
      </c>
      <c r="K325" s="36" t="str">
        <f>IFERROR(IF(--MID($F325,2*COUNTIF($G325:J325,"&gt;"&amp;0)+2,1)=K$1,K$1,""),"")</f>
        <v/>
      </c>
      <c r="L325" s="36" t="str">
        <f>IFERROR(IF(--MID($F325,2*COUNTIF($G325:K325,"&gt;"&amp;0)+2,1)=L$1,L$1,""),"")</f>
        <v/>
      </c>
      <c r="M325" s="51" t="str" cm="1">
        <f t="array" ref="M325">IF($A325="","",IF(G325="","",_xlfn.XLOOKUP($D325&amp;"_"&amp;$AE325,符文权重!$A:$A&amp;"_"&amp;符文权重!$C:$C,符文权重!$D:$D)*$Y325/SUMIFS($Y:$Y,G:G,G325,$D:$D,$D325,$AE:$AE,$AE325)/SUMIF(符文权重!$A:$A,$D325,符文权重!$D:$D)))</f>
        <v/>
      </c>
      <c r="N325" s="36" t="str" cm="1">
        <f t="array" ref="N325">IF($A325="","",IF(H325="","",_xlfn.XLOOKUP($D325&amp;"_"&amp;$AE325,符文权重!$A:$A&amp;"_"&amp;符文权重!$C:$C,符文权重!$D:$D)*$Y325/SUMIFS($Y:$Y,H:H,H325,$D:$D,$D$6,$AE:$AE,$AE$6)))</f>
        <v/>
      </c>
      <c r="O325" s="36" t="str" cm="1">
        <f t="array" ref="O325">IF($A325="","",IF(I325="","",_xlfn.XLOOKUP($D325&amp;"_"&amp;$AE325,符文权重!$A:$A&amp;"_"&amp;符文权重!$C:$C,符文权重!$D:$D)*$Y325/SUMIFS($Y:$Y,I:I,I325,$D:$D,$D$6,$AE:$AE,$AE$6)))</f>
        <v/>
      </c>
      <c r="P325" s="36" t="str" cm="1">
        <f t="array" ref="P325">IF($A325="","",IF(J325="","",_xlfn.XLOOKUP($D325&amp;"_"&amp;$AE325,符文权重!$A:$A&amp;"_"&amp;符文权重!$C:$C,符文权重!$D:$D)*$Y325/SUMIFS($Y:$Y,J:J,J325,$D:$D,$D$6,$AE:$AE,$AE$6)))</f>
        <v/>
      </c>
      <c r="Q325" s="36" t="str" cm="1">
        <f t="array" ref="Q325">IF($A325="","",IF(K325="","",_xlfn.XLOOKUP($D325&amp;"_"&amp;$AE325,符文权重!$A:$A&amp;"_"&amp;符文权重!$C:$C,符文权重!$D:$D)*$Y325/SUMIFS($Y:$Y,K:K,K325,$D:$D,$D$6,$AE:$AE,$AE$6)))</f>
        <v/>
      </c>
      <c r="R325" s="36" t="str" cm="1">
        <f t="array" ref="R325">IF($A325="","",IF(L325="","",_xlfn.XLOOKUP($D325&amp;"_"&amp;$AE325,符文权重!$A:$A&amp;"_"&amp;符文权重!$C:$C,符文权重!$D:$D)*$Y325/SUMIFS($Y:$Y,L:L,L325,$D:$D,$D$6,$AE:$AE,$AE$6)))</f>
        <v/>
      </c>
      <c r="S325" s="36"/>
      <c r="T325" s="36"/>
      <c r="U325" s="36"/>
      <c r="V325" s="52"/>
      <c r="W325" s="68"/>
      <c r="X325" s="35"/>
      <c r="Y325" s="35"/>
      <c r="Z325" s="35"/>
      <c r="AA325" s="42"/>
      <c r="AB325" s="42" t="str">
        <f t="shared" si="125"/>
        <v/>
      </c>
      <c r="AC325" s="48"/>
      <c r="AD325" s="42"/>
      <c r="AE325" s="36"/>
      <c r="AF325" s="36"/>
      <c r="AG325" s="36"/>
      <c r="AH325" s="35" t="s">
        <v>178</v>
      </c>
      <c r="AI325" s="48"/>
      <c r="AJ325" s="53"/>
      <c r="AK325" s="36"/>
      <c r="AL325" s="35"/>
    </row>
    <row r="326" s="27" customFormat="1" hidden="1" customHeight="1" spans="1:38">
      <c r="A326" s="57">
        <v>5504071</v>
      </c>
      <c r="B326" s="58" t="s">
        <v>408</v>
      </c>
      <c r="C326" s="57" t="str">
        <f t="shared" ref="C326:C333" si="174">IF(ISBLANK(AI326),"",LEFT(AI326,6)&amp;1)</f>
        <v>5504071</v>
      </c>
      <c r="D326" s="59">
        <f t="shared" ref="D326:D333" si="175">IF(ISBLANK(AI326),"",VALUE(RIGHT(A326,1)))</f>
        <v>1</v>
      </c>
      <c r="E326" s="59"/>
      <c r="F326" s="60" t="s">
        <v>376</v>
      </c>
      <c r="G326" s="36" t="str">
        <f t="shared" si="126"/>
        <v/>
      </c>
      <c r="H326" s="36">
        <f>IFERROR(IF(--MID($F326,2*COUNTIF($G326:G326,"&gt;"&amp;0)+2,1)=H$1,H$1,""),"")</f>
        <v>2</v>
      </c>
      <c r="I326" s="36" t="str">
        <f>IFERROR(IF(--MID($F326,2*COUNTIF($G326:H326,"&gt;"&amp;0)+2,1)=I$1,I$1,""),"")</f>
        <v/>
      </c>
      <c r="J326" s="36">
        <f>IFERROR(IF(--MID($F326,2*COUNTIF($G326:I326,"&gt;"&amp;0)+2,1)=J$1,J$1,""),"")</f>
        <v>4</v>
      </c>
      <c r="K326" s="36" t="str">
        <f>IFERROR(IF(--MID($F326,2*COUNTIF($G326:J326,"&gt;"&amp;0)+2,1)=K$1,K$1,""),"")</f>
        <v/>
      </c>
      <c r="L326" s="36" t="str">
        <f>IFERROR(IF(--MID($F326,2*COUNTIF($G326:K326,"&gt;"&amp;0)+2,1)=L$1,L$1,""),"")</f>
        <v/>
      </c>
      <c r="M326" s="36" t="e" cm="1">
        <f t="array" ref="M326">IF(A326="","",_xlfn.XLOOKUP(D326&amp;"_"&amp;AE326,符文权重!A:A&amp;"_"&amp;符文权重!C:C,符文权重!D:D))</f>
        <v>#N/A</v>
      </c>
      <c r="N326" s="36"/>
      <c r="O326" s="36"/>
      <c r="P326" s="36"/>
      <c r="Q326" s="36"/>
      <c r="R326" s="36"/>
      <c r="S326" s="60" t="s">
        <v>344</v>
      </c>
      <c r="T326" s="60"/>
      <c r="U326" s="60" t="e">
        <f>IF(C326="","",SUBSTITUTE(SUBSTITUTE("[{global_atk,"&amp;#REF!*D326&amp;"}]",21,20),9,8))</f>
        <v>#REF!</v>
      </c>
      <c r="V326" s="61" t="str">
        <f t="shared" ref="V326:V332" si="176">"["&amp;A326&amp;"]"</f>
        <v>[5504071]</v>
      </c>
      <c r="W326" s="60"/>
      <c r="X326" s="28"/>
      <c r="Y326" s="35">
        <v>100</v>
      </c>
      <c r="Z326" s="28"/>
      <c r="AA326" s="59" t="s">
        <v>177</v>
      </c>
      <c r="AB326" s="42" t="str">
        <f t="shared" ref="AB326:AB341" si="177">SUBSTITUTE(AJ326,"%s",AK326)</f>
        <v>梦灵对半场外敌人的伤害&lt;color=#54b76b&gt;+5%&lt;/color&gt;</v>
      </c>
      <c r="AC326" s="57" t="str">
        <f t="shared" ref="AC326:AC333" si="178">IF(ISBLANK(AI326),"",C326)</f>
        <v>5504071</v>
      </c>
      <c r="AD326" s="59" t="str">
        <f t="shared" ref="AD326:AD333" si="179">IF(ISBLANK(AK326),"","["&amp;AK326&amp;"]")</f>
        <v>[5]</v>
      </c>
      <c r="AE326" s="60">
        <v>100</v>
      </c>
      <c r="AF326" s="60"/>
      <c r="AG326" s="60">
        <v>1</v>
      </c>
      <c r="AH326" s="35" t="s">
        <v>178</v>
      </c>
      <c r="AI326" s="62">
        <v>5504071</v>
      </c>
      <c r="AJ326" s="63" t="s">
        <v>409</v>
      </c>
      <c r="AK326" s="60">
        <v>5</v>
      </c>
      <c r="AL326" s="35"/>
    </row>
    <row r="327" s="27" customFormat="1" hidden="1" customHeight="1" spans="1:38">
      <c r="A327" s="57">
        <v>5504072</v>
      </c>
      <c r="B327" s="58" t="s">
        <v>408</v>
      </c>
      <c r="C327" s="57" t="str">
        <f t="shared" si="174"/>
        <v>5504071</v>
      </c>
      <c r="D327" s="59">
        <f t="shared" si="175"/>
        <v>2</v>
      </c>
      <c r="E327" s="59"/>
      <c r="F327" s="60" t="s">
        <v>376</v>
      </c>
      <c r="G327" s="36" t="str">
        <f t="shared" ref="G327:G390" si="180">IF(LEFT(F327,2)="[1",1,"")</f>
        <v/>
      </c>
      <c r="H327" s="36">
        <f>IFERROR(IF(--MID($F327,2*COUNTIF($G327:G327,"&gt;"&amp;0)+2,1)=H$1,H$1,""),"")</f>
        <v>2</v>
      </c>
      <c r="I327" s="36" t="str">
        <f>IFERROR(IF(--MID($F327,2*COUNTIF($G327:H327,"&gt;"&amp;0)+2,1)=I$1,I$1,""),"")</f>
        <v/>
      </c>
      <c r="J327" s="36">
        <f>IFERROR(IF(--MID($F327,2*COUNTIF($G327:I327,"&gt;"&amp;0)+2,1)=J$1,J$1,""),"")</f>
        <v>4</v>
      </c>
      <c r="K327" s="36" t="str">
        <f>IFERROR(IF(--MID($F327,2*COUNTIF($G327:J327,"&gt;"&amp;0)+2,1)=K$1,K$1,""),"")</f>
        <v/>
      </c>
      <c r="L327" s="36" t="str">
        <f>IFERROR(IF(--MID($F327,2*COUNTIF($G327:K327,"&gt;"&amp;0)+2,1)=L$1,L$1,""),"")</f>
        <v/>
      </c>
      <c r="M327" s="36" t="e" cm="1">
        <f t="array" ref="M327">IF(A327="","",_xlfn.XLOOKUP(D327&amp;"_"&amp;AE327,符文权重!A:A&amp;"_"&amp;符文权重!C:C,符文权重!D:D))</f>
        <v>#N/A</v>
      </c>
      <c r="N327" s="36"/>
      <c r="O327" s="36"/>
      <c r="P327" s="36"/>
      <c r="Q327" s="36"/>
      <c r="R327" s="36"/>
      <c r="S327" s="60" t="s">
        <v>344</v>
      </c>
      <c r="T327" s="60"/>
      <c r="U327" s="60" t="e">
        <f>IF(C327="","",SUBSTITUTE(SUBSTITUTE("[{global_atk,"&amp;#REF!*D327&amp;"}]",21,20),9,8))</f>
        <v>#REF!</v>
      </c>
      <c r="V327" s="61" t="str">
        <f t="shared" si="176"/>
        <v>[5504072]</v>
      </c>
      <c r="W327" s="60"/>
      <c r="X327" s="28"/>
      <c r="Y327" s="35">
        <v>100</v>
      </c>
      <c r="Z327" s="28"/>
      <c r="AA327" s="59" t="s">
        <v>181</v>
      </c>
      <c r="AB327" s="42" t="str">
        <f t="shared" si="177"/>
        <v>梦灵对半场外敌人的伤害&lt;color=#54b76b&gt;+10%&lt;/color&gt;</v>
      </c>
      <c r="AC327" s="57" t="str">
        <f t="shared" si="178"/>
        <v>5504071</v>
      </c>
      <c r="AD327" s="59" t="str">
        <f t="shared" si="179"/>
        <v>[10]</v>
      </c>
      <c r="AE327" s="60">
        <v>100</v>
      </c>
      <c r="AF327" s="60"/>
      <c r="AG327" s="60">
        <v>1</v>
      </c>
      <c r="AH327" s="35" t="s">
        <v>178</v>
      </c>
      <c r="AI327" s="57">
        <f t="shared" ref="AI327:AI332" si="181">AI326+1</f>
        <v>5504072</v>
      </c>
      <c r="AJ327" s="64" t="str">
        <f t="shared" ref="AJ327:AJ332" si="182">AJ326</f>
        <v>梦灵对半场外敌人的伤害&lt;color=#54b76b&gt;+%s%&lt;/color&gt;</v>
      </c>
      <c r="AK327" s="60">
        <v>10</v>
      </c>
      <c r="AL327" s="35"/>
    </row>
    <row r="328" s="25" customFormat="1" hidden="1" customHeight="1" spans="1:38">
      <c r="A328" s="48">
        <v>5504073</v>
      </c>
      <c r="B328" s="34" t="s">
        <v>408</v>
      </c>
      <c r="C328" s="48" t="str">
        <f t="shared" si="174"/>
        <v>5504071</v>
      </c>
      <c r="D328" s="42">
        <f t="shared" si="175"/>
        <v>3</v>
      </c>
      <c r="E328" s="42"/>
      <c r="F328" s="36" t="s">
        <v>376</v>
      </c>
      <c r="G328" s="36" t="str">
        <f t="shared" si="180"/>
        <v/>
      </c>
      <c r="H328" s="36">
        <f>IFERROR(IF(--MID($F328,2*COUNTIF($G328:G328,"&gt;"&amp;0)+2,1)=H$1,H$1,""),"")</f>
        <v>2</v>
      </c>
      <c r="I328" s="36" t="str">
        <f>IFERROR(IF(--MID($F328,2*COUNTIF($G328:H328,"&gt;"&amp;0)+2,1)=I$1,I$1,""),"")</f>
        <v/>
      </c>
      <c r="J328" s="36">
        <f>IFERROR(IF(--MID($F328,2*COUNTIF($G328:I328,"&gt;"&amp;0)+2,1)=J$1,J$1,""),"")</f>
        <v>4</v>
      </c>
      <c r="K328" s="36" t="str">
        <f>IFERROR(IF(--MID($F328,2*COUNTIF($G328:J328,"&gt;"&amp;0)+2,1)=K$1,K$1,""),"")</f>
        <v/>
      </c>
      <c r="L328" s="36" t="str">
        <f>IFERROR(IF(--MID($F328,2*COUNTIF($G328:K328,"&gt;"&amp;0)+2,1)=L$1,L$1,""),"")</f>
        <v/>
      </c>
      <c r="M328" s="51" t="str" cm="1">
        <f t="array" ref="M328">IF($A328="","",IF(G328="","",_xlfn.XLOOKUP($D328&amp;"_"&amp;$AE328,符文权重!$A:$A&amp;"_"&amp;符文权重!$C:$C,符文权重!$D:$D)*$Y328/SUMIFS($Y:$Y,G:G,G328,$D:$D,$D328,$AE:$AE,$AE328)/SUMIF(符文权重!$A:$A,$D328,符文权重!$D:$D)))</f>
        <v/>
      </c>
      <c r="N328" s="51" cm="1">
        <f t="array" ref="N328">IF($A328="","",IF(H328="","",_xlfn.XLOOKUP($D328&amp;"_"&amp;$AE328,符文权重!$A:$A&amp;"_"&amp;符文权重!$C:$C,符文权重!$D:$D)*$Y328/SUMIFS($Y:$Y,H:H,H328,$D:$D,$D328,$AE:$AE,$AE328)/SUMIF(符文权重!$A:$A,$D328,符文权重!$D:$D)))</f>
        <v>0.0123815165876777</v>
      </c>
      <c r="O328" s="51" t="str" cm="1">
        <f t="array" ref="O328">IF($A328="","",IF(I328="","",_xlfn.XLOOKUP($D328&amp;"_"&amp;$AE328,符文权重!$A:$A&amp;"_"&amp;符文权重!$C:$C,符文权重!$D:$D)*$Y328/SUMIFS($Y:$Y,I:I,I328,$D:$D,$D328,$AE:$AE,$AE328)/SUMIF(符文权重!$A:$A,$D328,符文权重!$D:$D)))</f>
        <v/>
      </c>
      <c r="P328" s="51" cm="1">
        <f t="array" ref="P328">IF($A328="","",IF(J328="","",_xlfn.XLOOKUP($D328&amp;"_"&amp;$AE328,符文权重!$A:$A&amp;"_"&amp;符文权重!$C:$C,符文权重!$D:$D)*$Y328/SUMIFS($Y:$Y,J:J,J328,$D:$D,$D328,$AE:$AE,$AE328)/SUMIF(符文权重!$A:$A,$D328,符文权重!$D:$D)))</f>
        <v>0.0100095785440613</v>
      </c>
      <c r="Q328" s="51" t="str" cm="1">
        <f t="array" ref="Q328">IF($A328="","",IF(K328="","",_xlfn.XLOOKUP($D328&amp;"_"&amp;$AE328,符文权重!$A:$A&amp;"_"&amp;符文权重!$C:$C,符文权重!$D:$D)*$Y328/SUMIFS($Y:$Y,K:K,K328,$D:$D,$D328,$AE:$AE,$AE328)/SUMIF(符文权重!$A:$A,$D328,符文权重!$D:$D)))</f>
        <v/>
      </c>
      <c r="R328" s="51" t="str" cm="1">
        <f t="array" ref="R328">IF($A328="","",IF(L328="","",_xlfn.XLOOKUP($D328&amp;"_"&amp;$AE328,符文权重!$A:$A&amp;"_"&amp;符文权重!$C:$C,符文权重!$D:$D)*$Y328/SUMIFS($Y:$Y,L:L,L328,$D:$D,$D328,$AE:$AE,$AE328)/SUMIF(符文权重!$A:$A,$D328,符文权重!$D:$D)))</f>
        <v/>
      </c>
      <c r="S328" s="36" t="s">
        <v>344</v>
      </c>
      <c r="T328" s="36"/>
      <c r="U328" s="36" t="e">
        <f>IF(C328="","",SUBSTITUTE(SUBSTITUTE("[{global_atk,"&amp;#REF!*D328&amp;"}]",21,20),9,8))</f>
        <v>#REF!</v>
      </c>
      <c r="V328" s="52" t="str">
        <f t="shared" si="176"/>
        <v>[5504073]</v>
      </c>
      <c r="W328" s="36"/>
      <c r="X328" s="35"/>
      <c r="Y328" s="35">
        <v>11</v>
      </c>
      <c r="Z328" s="35"/>
      <c r="AA328" s="42" t="s">
        <v>183</v>
      </c>
      <c r="AB328" s="42" t="str">
        <f t="shared" si="177"/>
        <v>梦灵对半场外敌人的伤害&lt;color=#54b76b&gt;+15%&lt;/color&gt;</v>
      </c>
      <c r="AC328" s="48" t="str">
        <f t="shared" si="178"/>
        <v>5504071</v>
      </c>
      <c r="AD328" s="42" t="str">
        <f t="shared" si="179"/>
        <v>[15]</v>
      </c>
      <c r="AE328" s="36">
        <v>2</v>
      </c>
      <c r="AF328" s="36"/>
      <c r="AG328" s="36">
        <v>0</v>
      </c>
      <c r="AH328" s="35" t="s">
        <v>178</v>
      </c>
      <c r="AI328" s="48">
        <f t="shared" si="181"/>
        <v>5504073</v>
      </c>
      <c r="AJ328" s="53" t="str">
        <f t="shared" si="182"/>
        <v>梦灵对半场外敌人的伤害&lt;color=#54b76b&gt;+%s%&lt;/color&gt;</v>
      </c>
      <c r="AK328" s="36">
        <v>15</v>
      </c>
      <c r="AL328" s="35">
        <v>3</v>
      </c>
    </row>
    <row r="329" s="25" customFormat="1" hidden="1" customHeight="1" spans="1:38">
      <c r="A329" s="48">
        <v>5504074</v>
      </c>
      <c r="B329" s="34" t="s">
        <v>408</v>
      </c>
      <c r="C329" s="48" t="str">
        <f t="shared" si="174"/>
        <v>5504071</v>
      </c>
      <c r="D329" s="42">
        <f t="shared" si="175"/>
        <v>4</v>
      </c>
      <c r="E329" s="42"/>
      <c r="F329" s="36" t="s">
        <v>376</v>
      </c>
      <c r="G329" s="36" t="str">
        <f t="shared" si="180"/>
        <v/>
      </c>
      <c r="H329" s="36">
        <f>IFERROR(IF(--MID($F329,2*COUNTIF($G329:G329,"&gt;"&amp;0)+2,1)=H$1,H$1,""),"")</f>
        <v>2</v>
      </c>
      <c r="I329" s="36" t="str">
        <f>IFERROR(IF(--MID($F329,2*COUNTIF($G329:H329,"&gt;"&amp;0)+2,1)=I$1,I$1,""),"")</f>
        <v/>
      </c>
      <c r="J329" s="36">
        <f>IFERROR(IF(--MID($F329,2*COUNTIF($G329:I329,"&gt;"&amp;0)+2,1)=J$1,J$1,""),"")</f>
        <v>4</v>
      </c>
      <c r="K329" s="36" t="str">
        <f>IFERROR(IF(--MID($F329,2*COUNTIF($G329:J329,"&gt;"&amp;0)+2,1)=K$1,K$1,""),"")</f>
        <v/>
      </c>
      <c r="L329" s="36" t="str">
        <f>IFERROR(IF(--MID($F329,2*COUNTIF($G329:K329,"&gt;"&amp;0)+2,1)=L$1,L$1,""),"")</f>
        <v/>
      </c>
      <c r="M329" s="51" t="str" cm="1">
        <f t="array" ref="M329">IF($A329="","",IF(G329="","",_xlfn.XLOOKUP($D329&amp;"_"&amp;$AE329,符文权重!$A:$A&amp;"_"&amp;符文权重!$C:$C,符文权重!$D:$D)*$Y329/SUMIFS($Y:$Y,G:G,G329,$D:$D,$D329,$AE:$AE,$AE329)/SUMIF(符文权重!$A:$A,$D329,符文权重!$D:$D)))</f>
        <v/>
      </c>
      <c r="N329" s="51" cm="1">
        <f t="array" ref="N329">IF($A329="","",IF(H329="","",_xlfn.XLOOKUP($D329&amp;"_"&amp;$AE329,符文权重!$A:$A&amp;"_"&amp;符文权重!$C:$C,符文权重!$D:$D)*$Y329/SUMIFS($Y:$Y,H:H,H329,$D:$D,$D329,$AE:$AE,$AE329)/SUMIF(符文权重!$A:$A,$D329,符文权重!$D:$D)))</f>
        <v>0.0137915693471249</v>
      </c>
      <c r="O329" s="51" t="str" cm="1">
        <f t="array" ref="O329">IF($A329="","",IF(I329="","",_xlfn.XLOOKUP($D329&amp;"_"&amp;$AE329,符文权重!$A:$A&amp;"_"&amp;符文权重!$C:$C,符文权重!$D:$D)*$Y329/SUMIFS($Y:$Y,I:I,I329,$D:$D,$D329,$AE:$AE,$AE329)/SUMIF(符文权重!$A:$A,$D329,符文权重!$D:$D)))</f>
        <v/>
      </c>
      <c r="P329" s="51" cm="1">
        <f t="array" ref="P329">IF($A329="","",IF(J329="","",_xlfn.XLOOKUP($D329&amp;"_"&amp;$AE329,符文权重!$A:$A&amp;"_"&amp;符文权重!$C:$C,符文权重!$D:$D)*$Y329/SUMIFS($Y:$Y,J:J,J329,$D:$D,$D329,$AE:$AE,$AE329)/SUMIF(符文权重!$A:$A,$D329,符文权重!$D:$D)))</f>
        <v>0.0137915693471249</v>
      </c>
      <c r="Q329" s="51" t="str" cm="1">
        <f t="array" ref="Q329">IF($A329="","",IF(K329="","",_xlfn.XLOOKUP($D329&amp;"_"&amp;$AE329,符文权重!$A:$A&amp;"_"&amp;符文权重!$C:$C,符文权重!$D:$D)*$Y329/SUMIFS($Y:$Y,K:K,K329,$D:$D,$D329,$AE:$AE,$AE329)/SUMIF(符文权重!$A:$A,$D329,符文权重!$D:$D)))</f>
        <v/>
      </c>
      <c r="R329" s="51" t="str" cm="1">
        <f t="array" ref="R329">IF($A329="","",IF(L329="","",_xlfn.XLOOKUP($D329&amp;"_"&amp;$AE329,符文权重!$A:$A&amp;"_"&amp;符文权重!$C:$C,符文权重!$D:$D)*$Y329/SUMIFS($Y:$Y,L:L,L329,$D:$D,$D329,$AE:$AE,$AE329)/SUMIF(符文权重!$A:$A,$D329,符文权重!$D:$D)))</f>
        <v/>
      </c>
      <c r="S329" s="36" t="s">
        <v>344</v>
      </c>
      <c r="T329" s="36"/>
      <c r="U329" s="36" t="e">
        <f>IF(C329="","",SUBSTITUTE(SUBSTITUTE("[{global_atk,"&amp;#REF!*D329&amp;"}]",21,20),9,8))</f>
        <v>#REF!</v>
      </c>
      <c r="V329" s="52" t="str">
        <f t="shared" si="176"/>
        <v>[5504074]</v>
      </c>
      <c r="W329" s="36"/>
      <c r="X329" s="35"/>
      <c r="Y329" s="35">
        <v>16</v>
      </c>
      <c r="Z329" s="35"/>
      <c r="AA329" s="42" t="s">
        <v>185</v>
      </c>
      <c r="AB329" s="42" t="str">
        <f t="shared" si="177"/>
        <v>梦灵对半场外敌人的伤害&lt;color=#54b76b&gt;+20%&lt;/color&gt;</v>
      </c>
      <c r="AC329" s="48" t="str">
        <f t="shared" si="178"/>
        <v>5504071</v>
      </c>
      <c r="AD329" s="42" t="str">
        <f t="shared" si="179"/>
        <v>[20]</v>
      </c>
      <c r="AE329" s="36">
        <v>3</v>
      </c>
      <c r="AF329" s="36"/>
      <c r="AG329" s="36">
        <v>0</v>
      </c>
      <c r="AH329" s="35" t="s">
        <v>178</v>
      </c>
      <c r="AI329" s="48">
        <f t="shared" si="181"/>
        <v>5504074</v>
      </c>
      <c r="AJ329" s="53" t="str">
        <f t="shared" si="182"/>
        <v>梦灵对半场外敌人的伤害&lt;color=#54b76b&gt;+%s%&lt;/color&gt;</v>
      </c>
      <c r="AK329" s="36">
        <v>20</v>
      </c>
      <c r="AL329" s="35">
        <v>3</v>
      </c>
    </row>
    <row r="330" s="25" customFormat="1" hidden="1" customHeight="1" spans="1:38">
      <c r="A330" s="48">
        <v>5504075</v>
      </c>
      <c r="B330" s="34" t="s">
        <v>408</v>
      </c>
      <c r="C330" s="48" t="str">
        <f t="shared" si="174"/>
        <v>5504071</v>
      </c>
      <c r="D330" s="42">
        <f t="shared" si="175"/>
        <v>5</v>
      </c>
      <c r="E330" s="42"/>
      <c r="F330" s="36" t="s">
        <v>376</v>
      </c>
      <c r="G330" s="36" t="str">
        <f t="shared" si="180"/>
        <v/>
      </c>
      <c r="H330" s="36">
        <f>IFERROR(IF(--MID($F330,2*COUNTIF($G330:G330,"&gt;"&amp;0)+2,1)=H$1,H$1,""),"")</f>
        <v>2</v>
      </c>
      <c r="I330" s="36" t="str">
        <f>IFERROR(IF(--MID($F330,2*COUNTIF($G330:H330,"&gt;"&amp;0)+2,1)=I$1,I$1,""),"")</f>
        <v/>
      </c>
      <c r="J330" s="36">
        <f>IFERROR(IF(--MID($F330,2*COUNTIF($G330:I330,"&gt;"&amp;0)+2,1)=J$1,J$1,""),"")</f>
        <v>4</v>
      </c>
      <c r="K330" s="36" t="str">
        <f>IFERROR(IF(--MID($F330,2*COUNTIF($G330:J330,"&gt;"&amp;0)+2,1)=K$1,K$1,""),"")</f>
        <v/>
      </c>
      <c r="L330" s="36" t="str">
        <f>IFERROR(IF(--MID($F330,2*COUNTIF($G330:K330,"&gt;"&amp;0)+2,1)=L$1,L$1,""),"")</f>
        <v/>
      </c>
      <c r="M330" s="51" t="str" cm="1">
        <f t="array" ref="M330">IF($A330="","",IF(G330="","",_xlfn.XLOOKUP($D330&amp;"_"&amp;$AE330,符文权重!$A:$A&amp;"_"&amp;符文权重!$C:$C,符文权重!$D:$D)*$Y330/SUMIFS($Y:$Y,G:G,G330,$D:$D,$D330,$AE:$AE,$AE330)/SUMIF(符文权重!$A:$A,$D330,符文权重!$D:$D)))</f>
        <v/>
      </c>
      <c r="N330" s="51" cm="1">
        <f t="array" ref="N330">IF($A330="","",IF(H330="","",_xlfn.XLOOKUP($D330&amp;"_"&amp;$AE330,符文权重!$A:$A&amp;"_"&amp;符文权重!$C:$C,符文权重!$D:$D)*$Y330/SUMIFS($Y:$Y,H:H,H330,$D:$D,$D330,$AE:$AE,$AE330)/SUMIF(符文权重!$A:$A,$D330,符文权重!$D:$D)))</f>
        <v>0.00841666666666667</v>
      </c>
      <c r="O330" s="51" t="str" cm="1">
        <f t="array" ref="O330">IF($A330="","",IF(I330="","",_xlfn.XLOOKUP($D330&amp;"_"&amp;$AE330,符文权重!$A:$A&amp;"_"&amp;符文权重!$C:$C,符文权重!$D:$D)*$Y330/SUMIFS($Y:$Y,I:I,I330,$D:$D,$D330,$AE:$AE,$AE330)/SUMIF(符文权重!$A:$A,$D330,符文权重!$D:$D)))</f>
        <v/>
      </c>
      <c r="P330" s="51" cm="1">
        <f t="array" ref="P330">IF($A330="","",IF(J330="","",_xlfn.XLOOKUP($D330&amp;"_"&amp;$AE330,符文权重!$A:$A&amp;"_"&amp;符文权重!$C:$C,符文权重!$D:$D)*$Y330/SUMIFS($Y:$Y,J:J,J330,$D:$D,$D330,$AE:$AE,$AE330)/SUMIF(符文权重!$A:$A,$D330,符文权重!$D:$D)))</f>
        <v>0.0063125</v>
      </c>
      <c r="Q330" s="51" t="str" cm="1">
        <f t="array" ref="Q330">IF($A330="","",IF(K330="","",_xlfn.XLOOKUP($D330&amp;"_"&amp;$AE330,符文权重!$A:$A&amp;"_"&amp;符文权重!$C:$C,符文权重!$D:$D)*$Y330/SUMIFS($Y:$Y,K:K,K330,$D:$D,$D330,$AE:$AE,$AE330)/SUMIF(符文权重!$A:$A,$D330,符文权重!$D:$D)))</f>
        <v/>
      </c>
      <c r="R330" s="51" t="str" cm="1">
        <f t="array" ref="R330">IF($A330="","",IF(L330="","",_xlfn.XLOOKUP($D330&amp;"_"&amp;$AE330,符文权重!$A:$A&amp;"_"&amp;符文权重!$C:$C,符文权重!$D:$D)*$Y330/SUMIFS($Y:$Y,L:L,L330,$D:$D,$D330,$AE:$AE,$AE330)/SUMIF(符文权重!$A:$A,$D330,符文权重!$D:$D)))</f>
        <v/>
      </c>
      <c r="S330" s="36" t="s">
        <v>344</v>
      </c>
      <c r="T330" s="36"/>
      <c r="U330" s="36" t="e">
        <f>IF(C330="","",SUBSTITUTE(SUBSTITUTE("[{global_atk,"&amp;#REF!*D330&amp;"}]",21,20),9,8))</f>
        <v>#REF!</v>
      </c>
      <c r="V330" s="52" t="str">
        <f t="shared" si="176"/>
        <v>[5504075]</v>
      </c>
      <c r="W330" s="36"/>
      <c r="X330" s="35"/>
      <c r="Y330" s="35">
        <v>100</v>
      </c>
      <c r="Z330" s="35"/>
      <c r="AA330" s="42" t="s">
        <v>187</v>
      </c>
      <c r="AB330" s="42" t="str">
        <f t="shared" si="177"/>
        <v>梦灵对半场外敌人的伤害&lt;color=#54b76b&gt;+25%&lt;/color&gt;</v>
      </c>
      <c r="AC330" s="48" t="str">
        <f t="shared" si="178"/>
        <v>5504071</v>
      </c>
      <c r="AD330" s="42" t="str">
        <f t="shared" si="179"/>
        <v>[25]</v>
      </c>
      <c r="AE330" s="36">
        <v>4</v>
      </c>
      <c r="AF330" s="36"/>
      <c r="AG330" s="36">
        <v>0</v>
      </c>
      <c r="AH330" s="35" t="s">
        <v>178</v>
      </c>
      <c r="AI330" s="48">
        <f t="shared" si="181"/>
        <v>5504075</v>
      </c>
      <c r="AJ330" s="53" t="str">
        <f t="shared" si="182"/>
        <v>梦灵对半场外敌人的伤害&lt;color=#54b76b&gt;+%s%&lt;/color&gt;</v>
      </c>
      <c r="AK330" s="36">
        <v>25</v>
      </c>
      <c r="AL330" s="35">
        <v>3</v>
      </c>
    </row>
    <row r="331" s="25" customFormat="1" hidden="1" customHeight="1" spans="1:38">
      <c r="A331" s="48">
        <v>5504076</v>
      </c>
      <c r="B331" s="34" t="s">
        <v>408</v>
      </c>
      <c r="C331" s="48" t="str">
        <f t="shared" si="174"/>
        <v>5504071</v>
      </c>
      <c r="D331" s="42">
        <f t="shared" si="175"/>
        <v>6</v>
      </c>
      <c r="E331" s="42"/>
      <c r="F331" s="36" t="s">
        <v>376</v>
      </c>
      <c r="G331" s="36" t="str">
        <f t="shared" si="180"/>
        <v/>
      </c>
      <c r="H331" s="36">
        <f>IFERROR(IF(--MID($F331,2*COUNTIF($G331:G331,"&gt;"&amp;0)+2,1)=H$1,H$1,""),"")</f>
        <v>2</v>
      </c>
      <c r="I331" s="36" t="str">
        <f>IFERROR(IF(--MID($F331,2*COUNTIF($G331:H331,"&gt;"&amp;0)+2,1)=I$1,I$1,""),"")</f>
        <v/>
      </c>
      <c r="J331" s="36">
        <f>IFERROR(IF(--MID($F331,2*COUNTIF($G331:I331,"&gt;"&amp;0)+2,1)=J$1,J$1,""),"")</f>
        <v>4</v>
      </c>
      <c r="K331" s="36" t="str">
        <f>IFERROR(IF(--MID($F331,2*COUNTIF($G331:J331,"&gt;"&amp;0)+2,1)=K$1,K$1,""),"")</f>
        <v/>
      </c>
      <c r="L331" s="36" t="str">
        <f>IFERROR(IF(--MID($F331,2*COUNTIF($G331:K331,"&gt;"&amp;0)+2,1)=L$1,L$1,""),"")</f>
        <v/>
      </c>
      <c r="M331" s="51" t="str" cm="1">
        <f t="array" ref="M331">IF($A331="","",IF(G331="","",_xlfn.XLOOKUP($D331&amp;"_"&amp;$AE331,符文权重!$A:$A&amp;"_"&amp;符文权重!$C:$C,符文权重!$D:$D)*$Y331/SUMIFS($Y:$Y,G:G,G331,$D:$D,$D331,$AE:$AE,$AE331)/SUMIF(符文权重!$A:$A,$D331,符文权重!$D:$D)))</f>
        <v/>
      </c>
      <c r="N331" s="51" cm="1">
        <f t="array" ref="N331">IF($A331="","",IF(H331="","",_xlfn.XLOOKUP($D331&amp;"_"&amp;$AE331,符文权重!$A:$A&amp;"_"&amp;符文权重!$C:$C,符文权重!$D:$D)*$Y331/SUMIFS($Y:$Y,H:H,H331,$D:$D,$D331,$AE:$AE,$AE331)/SUMIF(符文权重!$A:$A,$D331,符文权重!$D:$D)))</f>
        <v>0.00841666666666667</v>
      </c>
      <c r="O331" s="51" t="str" cm="1">
        <f t="array" ref="O331">IF($A331="","",IF(I331="","",_xlfn.XLOOKUP($D331&amp;"_"&amp;$AE331,符文权重!$A:$A&amp;"_"&amp;符文权重!$C:$C,符文权重!$D:$D)*$Y331/SUMIFS($Y:$Y,I:I,I331,$D:$D,$D331,$AE:$AE,$AE331)/SUMIF(符文权重!$A:$A,$D331,符文权重!$D:$D)))</f>
        <v/>
      </c>
      <c r="P331" s="51" cm="1">
        <f t="array" ref="P331">IF($A331="","",IF(J331="","",_xlfn.XLOOKUP($D331&amp;"_"&amp;$AE331,符文权重!$A:$A&amp;"_"&amp;符文权重!$C:$C,符文权重!$D:$D)*$Y331/SUMIFS($Y:$Y,J:J,J331,$D:$D,$D331,$AE:$AE,$AE331)/SUMIF(符文权重!$A:$A,$D331,符文权重!$D:$D)))</f>
        <v>0.0063125</v>
      </c>
      <c r="Q331" s="51" t="str" cm="1">
        <f t="array" ref="Q331">IF($A331="","",IF(K331="","",_xlfn.XLOOKUP($D331&amp;"_"&amp;$AE331,符文权重!$A:$A&amp;"_"&amp;符文权重!$C:$C,符文权重!$D:$D)*$Y331/SUMIFS($Y:$Y,K:K,K331,$D:$D,$D331,$AE:$AE,$AE331)/SUMIF(符文权重!$A:$A,$D331,符文权重!$D:$D)))</f>
        <v/>
      </c>
      <c r="R331" s="51" t="str" cm="1">
        <f t="array" ref="R331">IF($A331="","",IF(L331="","",_xlfn.XLOOKUP($D331&amp;"_"&amp;$AE331,符文权重!$A:$A&amp;"_"&amp;符文权重!$C:$C,符文权重!$D:$D)*$Y331/SUMIFS($Y:$Y,L:L,L331,$D:$D,$D331,$AE:$AE,$AE331)/SUMIF(符文权重!$A:$A,$D331,符文权重!$D:$D)))</f>
        <v/>
      </c>
      <c r="S331" s="36" t="s">
        <v>344</v>
      </c>
      <c r="T331" s="36"/>
      <c r="U331" s="36" t="e">
        <f>IF(C331="","",SUBSTITUTE(SUBSTITUTE("[{global_atk,"&amp;#REF!*D331&amp;"}]",21,20),9,8))</f>
        <v>#REF!</v>
      </c>
      <c r="V331" s="52" t="str">
        <f t="shared" si="176"/>
        <v>[5504076]</v>
      </c>
      <c r="W331" s="36"/>
      <c r="X331" s="35"/>
      <c r="Y331" s="35">
        <v>100</v>
      </c>
      <c r="Z331" s="35"/>
      <c r="AA331" s="42" t="s">
        <v>189</v>
      </c>
      <c r="AB331" s="42" t="str">
        <f t="shared" si="177"/>
        <v>梦灵对半场外敌人的伤害&lt;color=#54b76b&gt;+30%&lt;/color&gt;</v>
      </c>
      <c r="AC331" s="48" t="str">
        <f t="shared" si="178"/>
        <v>5504071</v>
      </c>
      <c r="AD331" s="42" t="str">
        <f t="shared" si="179"/>
        <v>[30]</v>
      </c>
      <c r="AE331" s="36">
        <v>4</v>
      </c>
      <c r="AF331" s="36"/>
      <c r="AG331" s="36">
        <v>0</v>
      </c>
      <c r="AH331" s="35" t="s">
        <v>178</v>
      </c>
      <c r="AI331" s="48">
        <f t="shared" si="181"/>
        <v>5504076</v>
      </c>
      <c r="AJ331" s="53" t="str">
        <f t="shared" si="182"/>
        <v>梦灵对半场外敌人的伤害&lt;color=#54b76b&gt;+%s%&lt;/color&gt;</v>
      </c>
      <c r="AK331" s="36">
        <v>30</v>
      </c>
      <c r="AL331" s="35">
        <v>3</v>
      </c>
    </row>
    <row r="332" s="25" customFormat="1" hidden="1" customHeight="1" spans="1:38">
      <c r="A332" s="48">
        <v>5504077</v>
      </c>
      <c r="B332" s="34" t="s">
        <v>408</v>
      </c>
      <c r="C332" s="48" t="str">
        <f t="shared" si="174"/>
        <v>5504071</v>
      </c>
      <c r="D332" s="42">
        <f t="shared" si="175"/>
        <v>7</v>
      </c>
      <c r="E332" s="42"/>
      <c r="F332" s="36" t="s">
        <v>376</v>
      </c>
      <c r="G332" s="36" t="str">
        <f t="shared" si="180"/>
        <v/>
      </c>
      <c r="H332" s="36">
        <f>IFERROR(IF(--MID($F332,2*COUNTIF($G332:G332,"&gt;"&amp;0)+2,1)=H$1,H$1,""),"")</f>
        <v>2</v>
      </c>
      <c r="I332" s="36" t="str">
        <f>IFERROR(IF(--MID($F332,2*COUNTIF($G332:H332,"&gt;"&amp;0)+2,1)=I$1,I$1,""),"")</f>
        <v/>
      </c>
      <c r="J332" s="36">
        <f>IFERROR(IF(--MID($F332,2*COUNTIF($G332:I332,"&gt;"&amp;0)+2,1)=J$1,J$1,""),"")</f>
        <v>4</v>
      </c>
      <c r="K332" s="36" t="str">
        <f>IFERROR(IF(--MID($F332,2*COUNTIF($G332:J332,"&gt;"&amp;0)+2,1)=K$1,K$1,""),"")</f>
        <v/>
      </c>
      <c r="L332" s="36" t="str">
        <f>IFERROR(IF(--MID($F332,2*COUNTIF($G332:K332,"&gt;"&amp;0)+2,1)=L$1,L$1,""),"")</f>
        <v/>
      </c>
      <c r="M332" s="51" t="str" cm="1">
        <f t="array" ref="M332">IF($A332="","",IF(G332="","",_xlfn.XLOOKUP($D332&amp;"_"&amp;$AE332,符文权重!$A:$A&amp;"_"&amp;符文权重!$C:$C,符文权重!$D:$D)*$Y332/SUMIFS($Y:$Y,G:G,G332,$D:$D,$D332,$AE:$AE,$AE332)/SUMIF(符文权重!$A:$A,$D332,符文权重!$D:$D)))</f>
        <v/>
      </c>
      <c r="N332" s="51" cm="1">
        <f t="array" ref="N332">IF($A332="","",IF(H332="","",_xlfn.XLOOKUP($D332&amp;"_"&amp;$AE332,符文权重!$A:$A&amp;"_"&amp;符文权重!$C:$C,符文权重!$D:$D)*$Y332/SUMIFS($Y:$Y,H:H,H332,$D:$D,$D332,$AE:$AE,$AE332)/SUMIF(符文权重!$A:$A,$D332,符文权重!$D:$D)))</f>
        <v>0.00841666666666667</v>
      </c>
      <c r="O332" s="51" t="str" cm="1">
        <f t="array" ref="O332">IF($A332="","",IF(I332="","",_xlfn.XLOOKUP($D332&amp;"_"&amp;$AE332,符文权重!$A:$A&amp;"_"&amp;符文权重!$C:$C,符文权重!$D:$D)*$Y332/SUMIFS($Y:$Y,I:I,I332,$D:$D,$D332,$AE:$AE,$AE332)/SUMIF(符文权重!$A:$A,$D332,符文权重!$D:$D)))</f>
        <v/>
      </c>
      <c r="P332" s="51" cm="1">
        <f t="array" ref="P332">IF($A332="","",IF(J332="","",_xlfn.XLOOKUP($D332&amp;"_"&amp;$AE332,符文权重!$A:$A&amp;"_"&amp;符文权重!$C:$C,符文权重!$D:$D)*$Y332/SUMIFS($Y:$Y,J:J,J332,$D:$D,$D332,$AE:$AE,$AE332)/SUMIF(符文权重!$A:$A,$D332,符文权重!$D:$D)))</f>
        <v>0.0063125</v>
      </c>
      <c r="Q332" s="51" t="str" cm="1">
        <f t="array" ref="Q332">IF($A332="","",IF(K332="","",_xlfn.XLOOKUP($D332&amp;"_"&amp;$AE332,符文权重!$A:$A&amp;"_"&amp;符文权重!$C:$C,符文权重!$D:$D)*$Y332/SUMIFS($Y:$Y,K:K,K332,$D:$D,$D332,$AE:$AE,$AE332)/SUMIF(符文权重!$A:$A,$D332,符文权重!$D:$D)))</f>
        <v/>
      </c>
      <c r="R332" s="51" t="str" cm="1">
        <f t="array" ref="R332">IF($A332="","",IF(L332="","",_xlfn.XLOOKUP($D332&amp;"_"&amp;$AE332,符文权重!$A:$A&amp;"_"&amp;符文权重!$C:$C,符文权重!$D:$D)*$Y332/SUMIFS($Y:$Y,L:L,L332,$D:$D,$D332,$AE:$AE,$AE332)/SUMIF(符文权重!$A:$A,$D332,符文权重!$D:$D)))</f>
        <v/>
      </c>
      <c r="S332" s="36" t="s">
        <v>344</v>
      </c>
      <c r="T332" s="36"/>
      <c r="U332" s="36" t="e">
        <f>IF(C332="","",SUBSTITUTE(SUBSTITUTE("[{global_atk,"&amp;#REF!*D332&amp;"}]",21,20),9,8))</f>
        <v>#REF!</v>
      </c>
      <c r="V332" s="52" t="str">
        <f t="shared" si="176"/>
        <v>[5504077]</v>
      </c>
      <c r="W332" s="68"/>
      <c r="X332" s="35"/>
      <c r="Y332" s="35">
        <v>100</v>
      </c>
      <c r="Z332" s="35"/>
      <c r="AA332" s="42" t="s">
        <v>191</v>
      </c>
      <c r="AB332" s="42" t="str">
        <f t="shared" si="177"/>
        <v>梦灵对半场外敌人的伤害&lt;color=#54b76b&gt;+35%&lt;/color&gt;</v>
      </c>
      <c r="AC332" s="48" t="str">
        <f t="shared" si="178"/>
        <v>5504071</v>
      </c>
      <c r="AD332" s="42" t="str">
        <f t="shared" si="179"/>
        <v>[35]</v>
      </c>
      <c r="AE332" s="36">
        <v>4</v>
      </c>
      <c r="AF332" s="36"/>
      <c r="AG332" s="36">
        <v>0</v>
      </c>
      <c r="AH332" s="35" t="s">
        <v>178</v>
      </c>
      <c r="AI332" s="48">
        <f t="shared" si="181"/>
        <v>5504077</v>
      </c>
      <c r="AJ332" s="53" t="str">
        <f t="shared" si="182"/>
        <v>梦灵对半场外敌人的伤害&lt;color=#54b76b&gt;+%s%&lt;/color&gt;</v>
      </c>
      <c r="AK332" s="36">
        <v>35</v>
      </c>
      <c r="AL332" s="35">
        <v>3</v>
      </c>
    </row>
    <row r="333" s="25" customFormat="1" hidden="1" customHeight="1" spans="1:38">
      <c r="A333" s="48" t="s">
        <v>178</v>
      </c>
      <c r="B333" s="49" t="s">
        <v>410</v>
      </c>
      <c r="C333" s="48" t="str">
        <f t="shared" si="174"/>
        <v/>
      </c>
      <c r="D333" s="42" t="str">
        <f t="shared" si="175"/>
        <v/>
      </c>
      <c r="E333" s="42"/>
      <c r="F333" s="36"/>
      <c r="G333" s="36" t="str">
        <f t="shared" si="180"/>
        <v/>
      </c>
      <c r="H333" s="36" t="str">
        <f>IFERROR(IF(--MID($F333,2*COUNTIF($G333:G333,"&gt;"&amp;0)+2,1)=H$1,H$1,""),"")</f>
        <v/>
      </c>
      <c r="I333" s="36" t="str">
        <f>IFERROR(IF(--MID($F333,2*COUNTIF($G333:H333,"&gt;"&amp;0)+2,1)=I$1,I$1,""),"")</f>
        <v/>
      </c>
      <c r="J333" s="36" t="str">
        <f>IFERROR(IF(--MID($F333,2*COUNTIF($G333:I333,"&gt;"&amp;0)+2,1)=J$1,J$1,""),"")</f>
        <v/>
      </c>
      <c r="K333" s="36" t="str">
        <f>IFERROR(IF(--MID($F333,2*COUNTIF($G333:J333,"&gt;"&amp;0)+2,1)=K$1,K$1,""),"")</f>
        <v/>
      </c>
      <c r="L333" s="36" t="str">
        <f>IFERROR(IF(--MID($F333,2*COUNTIF($G333:K333,"&gt;"&amp;0)+2,1)=L$1,L$1,""),"")</f>
        <v/>
      </c>
      <c r="M333" s="51" t="str" cm="1">
        <f t="array" ref="M333">IF($A333="","",IF(G333="","",_xlfn.XLOOKUP($D333&amp;"_"&amp;$AE333,符文权重!$A:$A&amp;"_"&amp;符文权重!$C:$C,符文权重!$D:$D)*$Y333/SUMIFS($Y:$Y,G:G,G333,$D:$D,$D333,$AE:$AE,$AE333)/SUMIF(符文权重!$A:$A,$D333,符文权重!$D:$D)))</f>
        <v/>
      </c>
      <c r="N333" s="36" t="str" cm="1">
        <f t="array" ref="N333">IF($A333="","",IF(H333="","",_xlfn.XLOOKUP($D333&amp;"_"&amp;$AE333,符文权重!$A:$A&amp;"_"&amp;符文权重!$C:$C,符文权重!$D:$D)*$Y333/SUMIFS($Y:$Y,H:H,H333,$D:$D,$D$6,$AE:$AE,$AE$6)))</f>
        <v/>
      </c>
      <c r="O333" s="36" t="str" cm="1">
        <f t="array" ref="O333">IF($A333="","",IF(I333="","",_xlfn.XLOOKUP($D333&amp;"_"&amp;$AE333,符文权重!$A:$A&amp;"_"&amp;符文权重!$C:$C,符文权重!$D:$D)*$Y333/SUMIFS($Y:$Y,I:I,I333,$D:$D,$D$6,$AE:$AE,$AE$6)))</f>
        <v/>
      </c>
      <c r="P333" s="36" t="str" cm="1">
        <f t="array" ref="P333">IF($A333="","",IF(J333="","",_xlfn.XLOOKUP($D333&amp;"_"&amp;$AE333,符文权重!$A:$A&amp;"_"&amp;符文权重!$C:$C,符文权重!$D:$D)*$Y333/SUMIFS($Y:$Y,J:J,J333,$D:$D,$D$6,$AE:$AE,$AE$6)))</f>
        <v/>
      </c>
      <c r="Q333" s="36" t="str" cm="1">
        <f t="array" ref="Q333">IF($A333="","",IF(K333="","",_xlfn.XLOOKUP($D333&amp;"_"&amp;$AE333,符文权重!$A:$A&amp;"_"&amp;符文权重!$C:$C,符文权重!$D:$D)*$Y333/SUMIFS($Y:$Y,K:K,K333,$D:$D,$D$6,$AE:$AE,$AE$6)))</f>
        <v/>
      </c>
      <c r="R333" s="36" t="str" cm="1">
        <f t="array" ref="R333">IF($A333="","",IF(L333="","",_xlfn.XLOOKUP($D333&amp;"_"&amp;$AE333,符文权重!$A:$A&amp;"_"&amp;符文权重!$C:$C,符文权重!$D:$D)*$Y333/SUMIFS($Y:$Y,L:L,L333,$D:$D,$D$6,$AE:$AE,$AE$6)))</f>
        <v/>
      </c>
      <c r="S333" s="36"/>
      <c r="T333" s="36"/>
      <c r="U333" s="36"/>
      <c r="W333" s="41"/>
      <c r="X333" s="35"/>
      <c r="Y333" s="35"/>
      <c r="Z333" s="35"/>
      <c r="AA333" s="42" t="s">
        <v>178</v>
      </c>
      <c r="AB333" s="42" t="str">
        <f t="shared" si="177"/>
        <v/>
      </c>
      <c r="AC333" s="48" t="str">
        <f t="shared" si="178"/>
        <v/>
      </c>
      <c r="AD333" s="42" t="str">
        <f t="shared" si="179"/>
        <v/>
      </c>
      <c r="AE333" s="36"/>
      <c r="AF333" s="36"/>
      <c r="AG333" s="36"/>
      <c r="AH333" s="35" t="s">
        <v>178</v>
      </c>
      <c r="AI333" s="33"/>
      <c r="AJ333" s="56"/>
      <c r="AK333" s="36"/>
      <c r="AL333" s="35"/>
    </row>
    <row r="334" s="28" customFormat="1" hidden="1" customHeight="1" spans="1:38">
      <c r="A334" s="57">
        <v>5505011</v>
      </c>
      <c r="B334" s="60" t="s">
        <v>411</v>
      </c>
      <c r="C334" s="57" t="s">
        <v>412</v>
      </c>
      <c r="D334" s="59">
        <v>1</v>
      </c>
      <c r="E334" s="59"/>
      <c r="F334" s="60" t="s">
        <v>202</v>
      </c>
      <c r="G334" s="36">
        <f t="shared" si="180"/>
        <v>1</v>
      </c>
      <c r="H334" s="36" t="str">
        <f>IFERROR(IF(--MID($F334,2*COUNTIF($G334:G334,"&gt;"&amp;0)+2,1)=H$1,H$1,""),"")</f>
        <v/>
      </c>
      <c r="I334" s="36" t="str">
        <f>IFERROR(IF(--MID($F334,2*COUNTIF($G334:H334,"&gt;"&amp;0)+2,1)=I$1,I$1,""),"")</f>
        <v/>
      </c>
      <c r="J334" s="36" t="str">
        <f>IFERROR(IF(--MID($F334,2*COUNTIF($G334:I334,"&gt;"&amp;0)+2,1)=J$1,J$1,""),"")</f>
        <v/>
      </c>
      <c r="K334" s="36" t="str">
        <f>IFERROR(IF(--MID($F334,2*COUNTIF($G334:J334,"&gt;"&amp;0)+2,1)=K$1,K$1,""),"")</f>
        <v/>
      </c>
      <c r="L334" s="36" t="str">
        <f>IFERROR(IF(--MID($F334,2*COUNTIF($G334:K334,"&gt;"&amp;0)+2,1)=L$1,L$1,""),"")</f>
        <v/>
      </c>
      <c r="M334" s="36" t="e" cm="1">
        <f t="array" ref="M334">IF(A334="","",_xlfn.XLOOKUP(D334&amp;"_"&amp;AE334,符文权重!A:A&amp;"_"&amp;符文权重!C:C,符文权重!D:D))</f>
        <v>#N/A</v>
      </c>
      <c r="N334" s="36"/>
      <c r="O334" s="36"/>
      <c r="P334" s="36"/>
      <c r="Q334" s="36"/>
      <c r="R334" s="36"/>
      <c r="S334" s="60" t="s">
        <v>175</v>
      </c>
      <c r="T334" s="60"/>
      <c r="U334" s="60" t="s">
        <v>413</v>
      </c>
      <c r="V334" s="61" t="s">
        <v>414</v>
      </c>
      <c r="W334" s="60"/>
      <c r="Y334" s="35">
        <v>100</v>
      </c>
      <c r="AA334" s="59" t="s">
        <v>177</v>
      </c>
      <c r="AB334" s="42" t="str">
        <f t="shared" si="177"/>
        <v>梦灵每升阶一次后，所有伤害&lt;color=#54b76b&gt;+4%&lt;/color&gt;</v>
      </c>
      <c r="AC334" s="57" t="s">
        <v>412</v>
      </c>
      <c r="AD334" s="59" t="s">
        <v>404</v>
      </c>
      <c r="AE334" s="60">
        <v>100</v>
      </c>
      <c r="AF334" s="60"/>
      <c r="AG334" s="60">
        <v>1</v>
      </c>
      <c r="AH334" s="35">
        <v>1</v>
      </c>
      <c r="AI334" s="62">
        <v>5505011</v>
      </c>
      <c r="AJ334" s="70" t="s">
        <v>411</v>
      </c>
      <c r="AK334" s="60">
        <v>4</v>
      </c>
      <c r="AL334" s="35"/>
    </row>
    <row r="335" s="28" customFormat="1" hidden="1" customHeight="1" spans="1:38">
      <c r="A335" s="57">
        <v>5505012</v>
      </c>
      <c r="B335" s="60" t="s">
        <v>411</v>
      </c>
      <c r="C335" s="57" t="s">
        <v>412</v>
      </c>
      <c r="D335" s="59">
        <v>2</v>
      </c>
      <c r="E335" s="59"/>
      <c r="F335" s="60" t="s">
        <v>202</v>
      </c>
      <c r="G335" s="36">
        <f t="shared" si="180"/>
        <v>1</v>
      </c>
      <c r="H335" s="36" t="str">
        <f>IFERROR(IF(--MID($F335,2*COUNTIF($G335:G335,"&gt;"&amp;0)+2,1)=H$1,H$1,""),"")</f>
        <v/>
      </c>
      <c r="I335" s="36" t="str">
        <f>IFERROR(IF(--MID($F335,2*COUNTIF($G335:H335,"&gt;"&amp;0)+2,1)=I$1,I$1,""),"")</f>
        <v/>
      </c>
      <c r="J335" s="36" t="str">
        <f>IFERROR(IF(--MID($F335,2*COUNTIF($G335:I335,"&gt;"&amp;0)+2,1)=J$1,J$1,""),"")</f>
        <v/>
      </c>
      <c r="K335" s="36" t="str">
        <f>IFERROR(IF(--MID($F335,2*COUNTIF($G335:J335,"&gt;"&amp;0)+2,1)=K$1,K$1,""),"")</f>
        <v/>
      </c>
      <c r="L335" s="36" t="str">
        <f>IFERROR(IF(--MID($F335,2*COUNTIF($G335:K335,"&gt;"&amp;0)+2,1)=L$1,L$1,""),"")</f>
        <v/>
      </c>
      <c r="M335" s="36" t="e" cm="1">
        <f t="array" ref="M335">IF(A335="","",_xlfn.XLOOKUP(D335&amp;"_"&amp;AE335,符文权重!A:A&amp;"_"&amp;符文权重!C:C,符文权重!D:D))</f>
        <v>#N/A</v>
      </c>
      <c r="N335" s="36"/>
      <c r="O335" s="36"/>
      <c r="P335" s="36"/>
      <c r="Q335" s="36"/>
      <c r="R335" s="36"/>
      <c r="S335" s="60" t="s">
        <v>175</v>
      </c>
      <c r="T335" s="60"/>
      <c r="U335" s="60" t="s">
        <v>415</v>
      </c>
      <c r="V335" s="61" t="s">
        <v>416</v>
      </c>
      <c r="W335" s="60"/>
      <c r="Y335" s="35">
        <v>100</v>
      </c>
      <c r="AA335" s="59" t="s">
        <v>181</v>
      </c>
      <c r="AB335" s="42" t="str">
        <f t="shared" si="177"/>
        <v>梦灵每升阶一次后，所有伤害&lt;color=#54b76b&gt;+6%&lt;/color&gt;</v>
      </c>
      <c r="AC335" s="57" t="s">
        <v>412</v>
      </c>
      <c r="AD335" s="59" t="s">
        <v>220</v>
      </c>
      <c r="AE335" s="60">
        <v>100</v>
      </c>
      <c r="AF335" s="60"/>
      <c r="AG335" s="60">
        <v>1</v>
      </c>
      <c r="AH335" s="35">
        <v>1</v>
      </c>
      <c r="AI335" s="57">
        <v>5505012</v>
      </c>
      <c r="AJ335" s="70" t="s">
        <v>411</v>
      </c>
      <c r="AK335" s="60">
        <v>6</v>
      </c>
      <c r="AL335" s="35"/>
    </row>
    <row r="336" s="28" customFormat="1" hidden="1" customHeight="1" spans="1:38">
      <c r="A336" s="57">
        <v>5505013</v>
      </c>
      <c r="B336" s="60" t="s">
        <v>411</v>
      </c>
      <c r="C336" s="57" t="s">
        <v>412</v>
      </c>
      <c r="D336" s="59">
        <v>3</v>
      </c>
      <c r="E336" s="59"/>
      <c r="F336" s="60" t="s">
        <v>202</v>
      </c>
      <c r="G336" s="36">
        <f t="shared" si="180"/>
        <v>1</v>
      </c>
      <c r="H336" s="36" t="str">
        <f>IFERROR(IF(--MID($F336,2*COUNTIF($G336:G336,"&gt;"&amp;0)+2,1)=H$1,H$1,""),"")</f>
        <v/>
      </c>
      <c r="I336" s="36" t="str">
        <f>IFERROR(IF(--MID($F336,2*COUNTIF($G336:H336,"&gt;"&amp;0)+2,1)=I$1,I$1,""),"")</f>
        <v/>
      </c>
      <c r="J336" s="36" t="str">
        <f>IFERROR(IF(--MID($F336,2*COUNTIF($G336:I336,"&gt;"&amp;0)+2,1)=J$1,J$1,""),"")</f>
        <v/>
      </c>
      <c r="K336" s="36" t="str">
        <f>IFERROR(IF(--MID($F336,2*COUNTIF($G336:J336,"&gt;"&amp;0)+2,1)=K$1,K$1,""),"")</f>
        <v/>
      </c>
      <c r="L336" s="36" t="str">
        <f>IFERROR(IF(--MID($F336,2*COUNTIF($G336:K336,"&gt;"&amp;0)+2,1)=L$1,L$1,""),"")</f>
        <v/>
      </c>
      <c r="M336" s="36" t="e" cm="1">
        <f t="array" ref="M336">IF(A336="","",_xlfn.XLOOKUP(D336&amp;"_"&amp;AE336,符文权重!A:A&amp;"_"&amp;符文权重!C:C,符文权重!D:D))</f>
        <v>#N/A</v>
      </c>
      <c r="N336" s="36"/>
      <c r="O336" s="36"/>
      <c r="P336" s="36"/>
      <c r="Q336" s="36"/>
      <c r="R336" s="36"/>
      <c r="S336" s="60" t="s">
        <v>175</v>
      </c>
      <c r="T336" s="60"/>
      <c r="U336" s="60" t="s">
        <v>417</v>
      </c>
      <c r="V336" s="61" t="s">
        <v>418</v>
      </c>
      <c r="W336" s="60"/>
      <c r="Y336" s="35">
        <v>100</v>
      </c>
      <c r="AA336" s="59" t="s">
        <v>183</v>
      </c>
      <c r="AB336" s="42" t="str">
        <f t="shared" si="177"/>
        <v>梦灵每升阶一次后，所有伤害&lt;color=#54b76b&gt;+8%&lt;/color&gt;</v>
      </c>
      <c r="AC336" s="57" t="s">
        <v>412</v>
      </c>
      <c r="AD336" s="59" t="s">
        <v>419</v>
      </c>
      <c r="AE336" s="60">
        <v>100</v>
      </c>
      <c r="AF336" s="60"/>
      <c r="AG336" s="60">
        <v>1</v>
      </c>
      <c r="AH336" s="35">
        <v>1</v>
      </c>
      <c r="AI336" s="57">
        <v>5505013</v>
      </c>
      <c r="AJ336" s="70" t="s">
        <v>411</v>
      </c>
      <c r="AK336" s="60">
        <v>8</v>
      </c>
      <c r="AL336" s="35"/>
    </row>
    <row r="337" hidden="1" customHeight="1" spans="1:38">
      <c r="A337" s="48">
        <v>5505014</v>
      </c>
      <c r="B337" s="36" t="s">
        <v>411</v>
      </c>
      <c r="C337" s="48" t="s">
        <v>412</v>
      </c>
      <c r="D337" s="42">
        <v>4</v>
      </c>
      <c r="E337" s="42"/>
      <c r="F337" s="36" t="s">
        <v>202</v>
      </c>
      <c r="G337" s="36">
        <f t="shared" si="180"/>
        <v>1</v>
      </c>
      <c r="H337" s="36" t="str">
        <f>IFERROR(IF(--MID($F337,2*COUNTIF($G337:G337,"&gt;"&amp;0)+2,1)=H$1,H$1,""),"")</f>
        <v/>
      </c>
      <c r="I337" s="36" t="str">
        <f>IFERROR(IF(--MID($F337,2*COUNTIF($G337:H337,"&gt;"&amp;0)+2,1)=I$1,I$1,""),"")</f>
        <v/>
      </c>
      <c r="J337" s="36" t="str">
        <f>IFERROR(IF(--MID($F337,2*COUNTIF($G337:I337,"&gt;"&amp;0)+2,1)=J$1,J$1,""),"")</f>
        <v/>
      </c>
      <c r="K337" s="36" t="str">
        <f>IFERROR(IF(--MID($F337,2*COUNTIF($G337:J337,"&gt;"&amp;0)+2,1)=K$1,K$1,""),"")</f>
        <v/>
      </c>
      <c r="L337" s="36" t="str">
        <f>IFERROR(IF(--MID($F337,2*COUNTIF($G337:K337,"&gt;"&amp;0)+2,1)=L$1,L$1,""),"")</f>
        <v/>
      </c>
      <c r="M337" s="51" cm="1">
        <f t="array" ref="M337">IF($A337="","",IF(G337="","",_xlfn.XLOOKUP($D337&amp;"_"&amp;$AE337,符文权重!$A:$A&amp;"_"&amp;符文权重!$C:$C,符文权重!$D:$D)*$Y337/SUMIFS($Y:$Y,G:G,G337,$D:$D,$D337,$AE:$AE,$AE337)/SUMIF(符文权重!$A:$A,$D337,符文权重!$D:$D)))</f>
        <v>0.00421254587921255</v>
      </c>
      <c r="N337" s="51" t="str" cm="1">
        <f t="array" ref="N337">IF($A337="","",IF(H337="","",_xlfn.XLOOKUP($D337&amp;"_"&amp;$AE337,符文权重!$A:$A&amp;"_"&amp;符文权重!$C:$C,符文权重!$D:$D)*$Y337/SUMIFS($Y:$Y,H:H,H337,$D:$D,$D337,$AE:$AE,$AE337)/SUMIF(符文权重!$A:$A,$D337,符文权重!$D:$D)))</f>
        <v/>
      </c>
      <c r="O337" s="51" t="str" cm="1">
        <f t="array" ref="O337">IF($A337="","",IF(I337="","",_xlfn.XLOOKUP($D337&amp;"_"&amp;$AE337,符文权重!$A:$A&amp;"_"&amp;符文权重!$C:$C,符文权重!$D:$D)*$Y337/SUMIFS($Y:$Y,I:I,I337,$D:$D,$D337,$AE:$AE,$AE337)/SUMIF(符文权重!$A:$A,$D337,符文权重!$D:$D)))</f>
        <v/>
      </c>
      <c r="P337" s="51" t="str" cm="1">
        <f t="array" ref="P337">IF($A337="","",IF(J337="","",_xlfn.XLOOKUP($D337&amp;"_"&amp;$AE337,符文权重!$A:$A&amp;"_"&amp;符文权重!$C:$C,符文权重!$D:$D)*$Y337/SUMIFS($Y:$Y,J:J,J337,$D:$D,$D337,$AE:$AE,$AE337)/SUMIF(符文权重!$A:$A,$D337,符文权重!$D:$D)))</f>
        <v/>
      </c>
      <c r="Q337" s="51" t="str" cm="1">
        <f t="array" ref="Q337">IF($A337="","",IF(K337="","",_xlfn.XLOOKUP($D337&amp;"_"&amp;$AE337,符文权重!$A:$A&amp;"_"&amp;符文权重!$C:$C,符文权重!$D:$D)*$Y337/SUMIFS($Y:$Y,K:K,K337,$D:$D,$D337,$AE:$AE,$AE337)/SUMIF(符文权重!$A:$A,$D337,符文权重!$D:$D)))</f>
        <v/>
      </c>
      <c r="R337" s="51" t="str" cm="1">
        <f t="array" ref="R337">IF($A337="","",IF(L337="","",_xlfn.XLOOKUP($D337&amp;"_"&amp;$AE337,符文权重!$A:$A&amp;"_"&amp;符文权重!$C:$C,符文权重!$D:$D)*$Y337/SUMIFS($Y:$Y,L:L,L337,$D:$D,$D337,$AE:$AE,$AE337)/SUMIF(符文权重!$A:$A,$D337,符文权重!$D:$D)))</f>
        <v/>
      </c>
      <c r="S337" s="36" t="s">
        <v>175</v>
      </c>
      <c r="T337" s="36"/>
      <c r="U337" s="36" t="s">
        <v>420</v>
      </c>
      <c r="V337" s="52" t="s">
        <v>421</v>
      </c>
      <c r="Y337" s="35">
        <v>20</v>
      </c>
      <c r="AA337" s="42" t="s">
        <v>185</v>
      </c>
      <c r="AB337" s="42" t="str">
        <f t="shared" si="177"/>
        <v>梦灵每升阶一次后，所有伤害&lt;color=#54b76b&gt;+10%&lt;/color&gt;</v>
      </c>
      <c r="AC337" s="48" t="s">
        <v>412</v>
      </c>
      <c r="AD337" s="42" t="s">
        <v>422</v>
      </c>
      <c r="AE337" s="36">
        <v>4</v>
      </c>
      <c r="AF337" s="36"/>
      <c r="AG337" s="36">
        <v>0</v>
      </c>
      <c r="AH337" s="35">
        <v>1</v>
      </c>
      <c r="AI337" s="48">
        <v>5505014</v>
      </c>
      <c r="AJ337" s="71" t="s">
        <v>411</v>
      </c>
      <c r="AK337" s="36">
        <v>10</v>
      </c>
      <c r="AL337" s="35">
        <v>6</v>
      </c>
    </row>
    <row r="338" customHeight="1" spans="1:38">
      <c r="A338" s="48">
        <v>5505015</v>
      </c>
      <c r="B338" s="36" t="s">
        <v>411</v>
      </c>
      <c r="C338" s="48" t="s">
        <v>412</v>
      </c>
      <c r="D338" s="42">
        <v>5</v>
      </c>
      <c r="E338" s="42"/>
      <c r="F338" s="36" t="s">
        <v>202</v>
      </c>
      <c r="G338" s="36">
        <f t="shared" si="180"/>
        <v>1</v>
      </c>
      <c r="H338" s="36" t="str">
        <f>IFERROR(IF(--MID($F338,2*COUNTIF($G338:G338,"&gt;"&amp;0)+2,1)=H$1,H$1,""),"")</f>
        <v/>
      </c>
      <c r="I338" s="36" t="str">
        <f>IFERROR(IF(--MID($F338,2*COUNTIF($G338:H338,"&gt;"&amp;0)+2,1)=I$1,I$1,""),"")</f>
        <v/>
      </c>
      <c r="J338" s="36" t="str">
        <f>IFERROR(IF(--MID($F338,2*COUNTIF($G338:I338,"&gt;"&amp;0)+2,1)=J$1,J$1,""),"")</f>
        <v/>
      </c>
      <c r="K338" s="36" t="str">
        <f>IFERROR(IF(--MID($F338,2*COUNTIF($G338:J338,"&gt;"&amp;0)+2,1)=K$1,K$1,""),"")</f>
        <v/>
      </c>
      <c r="L338" s="36" t="str">
        <f>IFERROR(IF(--MID($F338,2*COUNTIF($G338:K338,"&gt;"&amp;0)+2,1)=L$1,L$1,""),"")</f>
        <v/>
      </c>
      <c r="M338" s="51" cm="1">
        <f t="array" ref="M338">IF($A338="","",IF(G338="","",_xlfn.XLOOKUP($D338&amp;"_"&amp;$AE338,符文权重!$A:$A&amp;"_"&amp;符文权重!$C:$C,符文权重!$D:$D)*$Y338/SUMIFS($Y:$Y,G:G,G338,$D:$D,$D338,$AE:$AE,$AE338)/SUMIF(符文权重!$A:$A,$D338,符文权重!$D:$D)))</f>
        <v>0.00300429184549356</v>
      </c>
      <c r="N338" s="51" t="str" cm="1">
        <f t="array" ref="N338">IF($A338="","",IF(H338="","",_xlfn.XLOOKUP($D338&amp;"_"&amp;$AE338,符文权重!$A:$A&amp;"_"&amp;符文权重!$C:$C,符文权重!$D:$D)*$Y338/SUMIFS($Y:$Y,H:H,H338,$D:$D,$D338,$AE:$AE,$AE338)/SUMIF(符文权重!$A:$A,$D338,符文权重!$D:$D)))</f>
        <v/>
      </c>
      <c r="O338" s="51" t="str" cm="1">
        <f t="array" ref="O338">IF($A338="","",IF(I338="","",_xlfn.XLOOKUP($D338&amp;"_"&amp;$AE338,符文权重!$A:$A&amp;"_"&amp;符文权重!$C:$C,符文权重!$D:$D)*$Y338/SUMIFS($Y:$Y,I:I,I338,$D:$D,$D338,$AE:$AE,$AE338)/SUMIF(符文权重!$A:$A,$D338,符文权重!$D:$D)))</f>
        <v/>
      </c>
      <c r="P338" s="51" t="str" cm="1">
        <f t="array" ref="P338">IF($A338="","",IF(J338="","",_xlfn.XLOOKUP($D338&amp;"_"&amp;$AE338,符文权重!$A:$A&amp;"_"&amp;符文权重!$C:$C,符文权重!$D:$D)*$Y338/SUMIFS($Y:$Y,J:J,J338,$D:$D,$D338,$AE:$AE,$AE338)/SUMIF(符文权重!$A:$A,$D338,符文权重!$D:$D)))</f>
        <v/>
      </c>
      <c r="Q338" s="51" t="str" cm="1">
        <f t="array" ref="Q338">IF($A338="","",IF(K338="","",_xlfn.XLOOKUP($D338&amp;"_"&amp;$AE338,符文权重!$A:$A&amp;"_"&amp;符文权重!$C:$C,符文权重!$D:$D)*$Y338/SUMIFS($Y:$Y,K:K,K338,$D:$D,$D338,$AE:$AE,$AE338)/SUMIF(符文权重!$A:$A,$D338,符文权重!$D:$D)))</f>
        <v/>
      </c>
      <c r="R338" s="51" t="str" cm="1">
        <f t="array" ref="R338">IF($A338="","",IF(L338="","",_xlfn.XLOOKUP($D338&amp;"_"&amp;$AE338,符文权重!$A:$A&amp;"_"&amp;符文权重!$C:$C,符文权重!$D:$D)*$Y338/SUMIFS($Y:$Y,L:L,L338,$D:$D,$D338,$AE:$AE,$AE338)/SUMIF(符文权重!$A:$A,$D338,符文权重!$D:$D)))</f>
        <v/>
      </c>
      <c r="S338" s="36" t="s">
        <v>175</v>
      </c>
      <c r="T338" s="36"/>
      <c r="U338" s="36" t="s">
        <v>423</v>
      </c>
      <c r="V338" s="52" t="s">
        <v>424</v>
      </c>
      <c r="Y338" s="35">
        <v>100</v>
      </c>
      <c r="AA338" s="42" t="s">
        <v>187</v>
      </c>
      <c r="AB338" s="42" t="str">
        <f t="shared" si="177"/>
        <v>梦灵每升阶一次后，所有伤害&lt;color=#54b76b&gt;+15%&lt;/color&gt;</v>
      </c>
      <c r="AC338" s="48" t="s">
        <v>412</v>
      </c>
      <c r="AD338" s="42" t="s">
        <v>425</v>
      </c>
      <c r="AE338" s="36">
        <v>6</v>
      </c>
      <c r="AF338" s="36"/>
      <c r="AG338" s="36">
        <v>0</v>
      </c>
      <c r="AH338" s="35">
        <v>1</v>
      </c>
      <c r="AI338" s="48">
        <v>5505015</v>
      </c>
      <c r="AJ338" s="71" t="s">
        <v>411</v>
      </c>
      <c r="AK338" s="36">
        <v>15</v>
      </c>
      <c r="AL338" s="35">
        <v>6</v>
      </c>
    </row>
    <row r="339" customHeight="1" spans="1:38">
      <c r="A339" s="48">
        <v>5505016</v>
      </c>
      <c r="B339" s="36" t="s">
        <v>411</v>
      </c>
      <c r="C339" s="48" t="s">
        <v>412</v>
      </c>
      <c r="D339" s="42">
        <v>6</v>
      </c>
      <c r="E339" s="42"/>
      <c r="F339" s="36" t="s">
        <v>202</v>
      </c>
      <c r="G339" s="36">
        <f t="shared" si="180"/>
        <v>1</v>
      </c>
      <c r="H339" s="36" t="str">
        <f>IFERROR(IF(--MID($F339,2*COUNTIF($G339:G339,"&gt;"&amp;0)+2,1)=H$1,H$1,""),"")</f>
        <v/>
      </c>
      <c r="I339" s="36" t="str">
        <f>IFERROR(IF(--MID($F339,2*COUNTIF($G339:H339,"&gt;"&amp;0)+2,1)=I$1,I$1,""),"")</f>
        <v/>
      </c>
      <c r="J339" s="36" t="str">
        <f>IFERROR(IF(--MID($F339,2*COUNTIF($G339:I339,"&gt;"&amp;0)+2,1)=J$1,J$1,""),"")</f>
        <v/>
      </c>
      <c r="K339" s="36" t="str">
        <f>IFERROR(IF(--MID($F339,2*COUNTIF($G339:J339,"&gt;"&amp;0)+2,1)=K$1,K$1,""),"")</f>
        <v/>
      </c>
      <c r="L339" s="36" t="str">
        <f>IFERROR(IF(--MID($F339,2*COUNTIF($G339:K339,"&gt;"&amp;0)+2,1)=L$1,L$1,""),"")</f>
        <v/>
      </c>
      <c r="M339" s="51" cm="1">
        <f t="array" ref="M339">IF($A339="","",IF(G339="","",_xlfn.XLOOKUP($D339&amp;"_"&amp;$AE339,符文权重!$A:$A&amp;"_"&amp;符文权重!$C:$C,符文权重!$D:$D)*$Y339/SUMIFS($Y:$Y,G:G,G339,$D:$D,$D339,$AE:$AE,$AE339)/SUMIF(符文权重!$A:$A,$D339,符文权重!$D:$D)))</f>
        <v>0.00300429184549356</v>
      </c>
      <c r="N339" s="51" t="str" cm="1">
        <f t="array" ref="N339">IF($A339="","",IF(H339="","",_xlfn.XLOOKUP($D339&amp;"_"&amp;$AE339,符文权重!$A:$A&amp;"_"&amp;符文权重!$C:$C,符文权重!$D:$D)*$Y339/SUMIFS($Y:$Y,H:H,H339,$D:$D,$D339,$AE:$AE,$AE339)/SUMIF(符文权重!$A:$A,$D339,符文权重!$D:$D)))</f>
        <v/>
      </c>
      <c r="O339" s="51" t="str" cm="1">
        <f t="array" ref="O339">IF($A339="","",IF(I339="","",_xlfn.XLOOKUP($D339&amp;"_"&amp;$AE339,符文权重!$A:$A&amp;"_"&amp;符文权重!$C:$C,符文权重!$D:$D)*$Y339/SUMIFS($Y:$Y,I:I,I339,$D:$D,$D339,$AE:$AE,$AE339)/SUMIF(符文权重!$A:$A,$D339,符文权重!$D:$D)))</f>
        <v/>
      </c>
      <c r="P339" s="51" t="str" cm="1">
        <f t="array" ref="P339">IF($A339="","",IF(J339="","",_xlfn.XLOOKUP($D339&amp;"_"&amp;$AE339,符文权重!$A:$A&amp;"_"&amp;符文权重!$C:$C,符文权重!$D:$D)*$Y339/SUMIFS($Y:$Y,J:J,J339,$D:$D,$D339,$AE:$AE,$AE339)/SUMIF(符文权重!$A:$A,$D339,符文权重!$D:$D)))</f>
        <v/>
      </c>
      <c r="Q339" s="51" t="str" cm="1">
        <f t="array" ref="Q339">IF($A339="","",IF(K339="","",_xlfn.XLOOKUP($D339&amp;"_"&amp;$AE339,符文权重!$A:$A&amp;"_"&amp;符文权重!$C:$C,符文权重!$D:$D)*$Y339/SUMIFS($Y:$Y,K:K,K339,$D:$D,$D339,$AE:$AE,$AE339)/SUMIF(符文权重!$A:$A,$D339,符文权重!$D:$D)))</f>
        <v/>
      </c>
      <c r="R339" s="51" t="str" cm="1">
        <f t="array" ref="R339">IF($A339="","",IF(L339="","",_xlfn.XLOOKUP($D339&amp;"_"&amp;$AE339,符文权重!$A:$A&amp;"_"&amp;符文权重!$C:$C,符文权重!$D:$D)*$Y339/SUMIFS($Y:$Y,L:L,L339,$D:$D,$D339,$AE:$AE,$AE339)/SUMIF(符文权重!$A:$A,$D339,符文权重!$D:$D)))</f>
        <v/>
      </c>
      <c r="S339" s="36" t="s">
        <v>175</v>
      </c>
      <c r="T339" s="36"/>
      <c r="U339" s="36" t="s">
        <v>426</v>
      </c>
      <c r="V339" s="52" t="s">
        <v>427</v>
      </c>
      <c r="Y339" s="35">
        <v>100</v>
      </c>
      <c r="AA339" s="42" t="s">
        <v>189</v>
      </c>
      <c r="AB339" s="42" t="str">
        <f t="shared" si="177"/>
        <v>梦灵每升阶一次后，所有伤害&lt;color=#54b76b&gt;+20%&lt;/color&gt;</v>
      </c>
      <c r="AC339" s="48" t="s">
        <v>412</v>
      </c>
      <c r="AD339" s="42" t="s">
        <v>428</v>
      </c>
      <c r="AE339" s="36">
        <v>6</v>
      </c>
      <c r="AF339" s="36"/>
      <c r="AG339" s="36">
        <v>0</v>
      </c>
      <c r="AH339" s="35">
        <v>1</v>
      </c>
      <c r="AI339" s="48">
        <v>5505016</v>
      </c>
      <c r="AJ339" s="71" t="s">
        <v>411</v>
      </c>
      <c r="AK339" s="36">
        <v>20</v>
      </c>
      <c r="AL339" s="35">
        <v>6</v>
      </c>
    </row>
    <row r="340" customHeight="1" spans="1:38">
      <c r="A340" s="48">
        <v>5505017</v>
      </c>
      <c r="B340" s="36" t="s">
        <v>411</v>
      </c>
      <c r="C340" s="48" t="s">
        <v>412</v>
      </c>
      <c r="D340" s="42">
        <v>7</v>
      </c>
      <c r="E340" s="42"/>
      <c r="F340" s="36" t="s">
        <v>202</v>
      </c>
      <c r="G340" s="36">
        <f t="shared" si="180"/>
        <v>1</v>
      </c>
      <c r="H340" s="36" t="str">
        <f>IFERROR(IF(--MID($F340,2*COUNTIF($G340:G340,"&gt;"&amp;0)+2,1)=H$1,H$1,""),"")</f>
        <v/>
      </c>
      <c r="I340" s="36" t="str">
        <f>IFERROR(IF(--MID($F340,2*COUNTIF($G340:H340,"&gt;"&amp;0)+2,1)=I$1,I$1,""),"")</f>
        <v/>
      </c>
      <c r="J340" s="36" t="str">
        <f>IFERROR(IF(--MID($F340,2*COUNTIF($G340:I340,"&gt;"&amp;0)+2,1)=J$1,J$1,""),"")</f>
        <v/>
      </c>
      <c r="K340" s="36" t="str">
        <f>IFERROR(IF(--MID($F340,2*COUNTIF($G340:J340,"&gt;"&amp;0)+2,1)=K$1,K$1,""),"")</f>
        <v/>
      </c>
      <c r="L340" s="36" t="str">
        <f>IFERROR(IF(--MID($F340,2*COUNTIF($G340:K340,"&gt;"&amp;0)+2,1)=L$1,L$1,""),"")</f>
        <v/>
      </c>
      <c r="M340" s="51" cm="1">
        <f t="array" ref="M340">IF($A340="","",IF(G340="","",_xlfn.XLOOKUP($D340&amp;"_"&amp;$AE340,符文权重!$A:$A&amp;"_"&amp;符文权重!$C:$C,符文权重!$D:$D)*$Y340/SUMIFS($Y:$Y,G:G,G340,$D:$D,$D340,$AE:$AE,$AE340)/SUMIF(符文权重!$A:$A,$D340,符文权重!$D:$D)))</f>
        <v>0.00300429184549356</v>
      </c>
      <c r="N340" s="51" t="str" cm="1">
        <f t="array" ref="N340">IF($A340="","",IF(H340="","",_xlfn.XLOOKUP($D340&amp;"_"&amp;$AE340,符文权重!$A:$A&amp;"_"&amp;符文权重!$C:$C,符文权重!$D:$D)*$Y340/SUMIFS($Y:$Y,H:H,H340,$D:$D,$D340,$AE:$AE,$AE340)/SUMIF(符文权重!$A:$A,$D340,符文权重!$D:$D)))</f>
        <v/>
      </c>
      <c r="O340" s="51" t="str" cm="1">
        <f t="array" ref="O340">IF($A340="","",IF(I340="","",_xlfn.XLOOKUP($D340&amp;"_"&amp;$AE340,符文权重!$A:$A&amp;"_"&amp;符文权重!$C:$C,符文权重!$D:$D)*$Y340/SUMIFS($Y:$Y,I:I,I340,$D:$D,$D340,$AE:$AE,$AE340)/SUMIF(符文权重!$A:$A,$D340,符文权重!$D:$D)))</f>
        <v/>
      </c>
      <c r="P340" s="51" t="str" cm="1">
        <f t="array" ref="P340">IF($A340="","",IF(J340="","",_xlfn.XLOOKUP($D340&amp;"_"&amp;$AE340,符文权重!$A:$A&amp;"_"&amp;符文权重!$C:$C,符文权重!$D:$D)*$Y340/SUMIFS($Y:$Y,J:J,J340,$D:$D,$D340,$AE:$AE,$AE340)/SUMIF(符文权重!$A:$A,$D340,符文权重!$D:$D)))</f>
        <v/>
      </c>
      <c r="Q340" s="51" t="str" cm="1">
        <f t="array" ref="Q340">IF($A340="","",IF(K340="","",_xlfn.XLOOKUP($D340&amp;"_"&amp;$AE340,符文权重!$A:$A&amp;"_"&amp;符文权重!$C:$C,符文权重!$D:$D)*$Y340/SUMIFS($Y:$Y,K:K,K340,$D:$D,$D340,$AE:$AE,$AE340)/SUMIF(符文权重!$A:$A,$D340,符文权重!$D:$D)))</f>
        <v/>
      </c>
      <c r="R340" s="51" t="str" cm="1">
        <f t="array" ref="R340">IF($A340="","",IF(L340="","",_xlfn.XLOOKUP($D340&amp;"_"&amp;$AE340,符文权重!$A:$A&amp;"_"&amp;符文权重!$C:$C,符文权重!$D:$D)*$Y340/SUMIFS($Y:$Y,L:L,L340,$D:$D,$D340,$AE:$AE,$AE340)/SUMIF(符文权重!$A:$A,$D340,符文权重!$D:$D)))</f>
        <v/>
      </c>
      <c r="S340" s="36" t="s">
        <v>175</v>
      </c>
      <c r="T340" s="36"/>
      <c r="U340" s="36" t="s">
        <v>429</v>
      </c>
      <c r="V340" s="52" t="s">
        <v>430</v>
      </c>
      <c r="Y340" s="35">
        <v>100</v>
      </c>
      <c r="AA340" s="42" t="s">
        <v>191</v>
      </c>
      <c r="AB340" s="42" t="str">
        <f t="shared" si="177"/>
        <v>梦灵每升阶一次后，所有伤害&lt;color=#54b76b&gt;+25%&lt;/color&gt;</v>
      </c>
      <c r="AC340" s="48" t="s">
        <v>412</v>
      </c>
      <c r="AD340" s="42" t="s">
        <v>431</v>
      </c>
      <c r="AE340" s="36">
        <v>6</v>
      </c>
      <c r="AF340" s="36"/>
      <c r="AG340" s="36">
        <v>0</v>
      </c>
      <c r="AH340" s="35">
        <v>1</v>
      </c>
      <c r="AI340" s="48">
        <v>5505017</v>
      </c>
      <c r="AJ340" s="71" t="s">
        <v>411</v>
      </c>
      <c r="AK340" s="36">
        <v>25</v>
      </c>
      <c r="AL340" s="35">
        <v>6</v>
      </c>
    </row>
    <row r="341" s="25" customFormat="1" hidden="1" customHeight="1" spans="1:38">
      <c r="A341" s="48" t="s">
        <v>178</v>
      </c>
      <c r="B341" s="72" t="s">
        <v>432</v>
      </c>
      <c r="C341" s="48" t="s">
        <v>178</v>
      </c>
      <c r="D341" s="42" t="s">
        <v>178</v>
      </c>
      <c r="E341" s="42"/>
      <c r="F341" s="36"/>
      <c r="G341" s="36" t="str">
        <f t="shared" si="180"/>
        <v/>
      </c>
      <c r="H341" s="36" t="str">
        <f>IFERROR(IF(--MID($F341,2*COUNTIF($G341:G341,"&gt;"&amp;0)+2,1)=H$1,H$1,""),"")</f>
        <v/>
      </c>
      <c r="I341" s="36" t="str">
        <f>IFERROR(IF(--MID($F341,2*COUNTIF($G341:H341,"&gt;"&amp;0)+2,1)=I$1,I$1,""),"")</f>
        <v/>
      </c>
      <c r="J341" s="36" t="str">
        <f>IFERROR(IF(--MID($F341,2*COUNTIF($G341:I341,"&gt;"&amp;0)+2,1)=J$1,J$1,""),"")</f>
        <v/>
      </c>
      <c r="K341" s="36" t="str">
        <f>IFERROR(IF(--MID($F341,2*COUNTIF($G341:J341,"&gt;"&amp;0)+2,1)=K$1,K$1,""),"")</f>
        <v/>
      </c>
      <c r="L341" s="36" t="str">
        <f>IFERROR(IF(--MID($F341,2*COUNTIF($G341:K341,"&gt;"&amp;0)+2,1)=L$1,L$1,""),"")</f>
        <v/>
      </c>
      <c r="M341" s="51" t="str" cm="1">
        <f t="array" ref="M341">IF($A341="","",IF(G341="","",_xlfn.XLOOKUP($D341&amp;"_"&amp;$AE341,符文权重!$A:$A&amp;"_"&amp;符文权重!$C:$C,符文权重!$D:$D)*$Y341/SUMIFS($Y:$Y,G:G,G341,$D:$D,$D341,$AE:$AE,$AE341)/SUMIF(符文权重!$A:$A,$D341,符文权重!$D:$D)))</f>
        <v/>
      </c>
      <c r="N341" s="36" t="str" cm="1">
        <f t="array" ref="N341">IF($A341="","",IF(H341="","",_xlfn.XLOOKUP($D341&amp;"_"&amp;$AE341,符文权重!$A:$A&amp;"_"&amp;符文权重!$C:$C,符文权重!$D:$D)*$Y341/SUMIFS($Y:$Y,H:H,H341,$D:$D,$D$6,$AE:$AE,$AE$6)))</f>
        <v/>
      </c>
      <c r="O341" s="36" t="str" cm="1">
        <f t="array" ref="O341">IF($A341="","",IF(I341="","",_xlfn.XLOOKUP($D341&amp;"_"&amp;$AE341,符文权重!$A:$A&amp;"_"&amp;符文权重!$C:$C,符文权重!$D:$D)*$Y341/SUMIFS($Y:$Y,I:I,I341,$D:$D,$D$6,$AE:$AE,$AE$6)))</f>
        <v/>
      </c>
      <c r="P341" s="36" t="str" cm="1">
        <f t="array" ref="P341">IF($A341="","",IF(J341="","",_xlfn.XLOOKUP($D341&amp;"_"&amp;$AE341,符文权重!$A:$A&amp;"_"&amp;符文权重!$C:$C,符文权重!$D:$D)*$Y341/SUMIFS($Y:$Y,J:J,J341,$D:$D,$D$6,$AE:$AE,$AE$6)))</f>
        <v/>
      </c>
      <c r="Q341" s="36" t="str" cm="1">
        <f t="array" ref="Q341">IF($A341="","",IF(K341="","",_xlfn.XLOOKUP($D341&amp;"_"&amp;$AE341,符文权重!$A:$A&amp;"_"&amp;符文权重!$C:$C,符文权重!$D:$D)*$Y341/SUMIFS($Y:$Y,K:K,K341,$D:$D,$D$6,$AE:$AE,$AE$6)))</f>
        <v/>
      </c>
      <c r="R341" s="36" t="str" cm="1">
        <f t="array" ref="R341">IF($A341="","",IF(L341="","",_xlfn.XLOOKUP($D341&amp;"_"&amp;$AE341,符文权重!$A:$A&amp;"_"&amp;符文权重!$C:$C,符文权重!$D:$D)*$Y341/SUMIFS($Y:$Y,L:L,L341,$D:$D,$D$6,$AE:$AE,$AE$6)))</f>
        <v/>
      </c>
      <c r="S341" s="36"/>
      <c r="T341" s="36"/>
      <c r="U341" s="36"/>
      <c r="W341" s="41"/>
      <c r="X341" s="35"/>
      <c r="Y341" s="35"/>
      <c r="Z341" s="35"/>
      <c r="AA341" s="42" t="s">
        <v>178</v>
      </c>
      <c r="AB341" s="42" t="str">
        <f t="shared" si="177"/>
        <v/>
      </c>
      <c r="AC341" s="48" t="s">
        <v>178</v>
      </c>
      <c r="AD341" s="42" t="s">
        <v>178</v>
      </c>
      <c r="AE341" s="36"/>
      <c r="AF341" s="36"/>
      <c r="AG341" s="36"/>
      <c r="AH341" s="35" t="s">
        <v>178</v>
      </c>
      <c r="AI341" s="33"/>
      <c r="AJ341" s="65"/>
      <c r="AK341" s="36"/>
      <c r="AL341" s="35"/>
    </row>
    <row r="342" s="27" customFormat="1" hidden="1" customHeight="1" spans="1:38">
      <c r="A342" s="57">
        <v>5505021</v>
      </c>
      <c r="B342" s="60" t="s">
        <v>433</v>
      </c>
      <c r="C342" s="57" t="s">
        <v>434</v>
      </c>
      <c r="D342" s="59">
        <v>1</v>
      </c>
      <c r="E342" s="59"/>
      <c r="F342" s="60" t="s">
        <v>202</v>
      </c>
      <c r="G342" s="36">
        <f t="shared" si="180"/>
        <v>1</v>
      </c>
      <c r="H342" s="36" t="str">
        <f>IFERROR(IF(--MID($F342,2*COUNTIF($G342:G342,"&gt;"&amp;0)+2,1)=H$1,H$1,""),"")</f>
        <v/>
      </c>
      <c r="I342" s="36" t="str">
        <f>IFERROR(IF(--MID($F342,2*COUNTIF($G342:H342,"&gt;"&amp;0)+2,1)=I$1,I$1,""),"")</f>
        <v/>
      </c>
      <c r="J342" s="36" t="str">
        <f>IFERROR(IF(--MID($F342,2*COUNTIF($G342:I342,"&gt;"&amp;0)+2,1)=J$1,J$1,""),"")</f>
        <v/>
      </c>
      <c r="K342" s="36" t="str">
        <f>IFERROR(IF(--MID($F342,2*COUNTIF($G342:J342,"&gt;"&amp;0)+2,1)=K$1,K$1,""),"")</f>
        <v/>
      </c>
      <c r="L342" s="36" t="str">
        <f>IFERROR(IF(--MID($F342,2*COUNTIF($G342:K342,"&gt;"&amp;0)+2,1)=L$1,L$1,""),"")</f>
        <v/>
      </c>
      <c r="M342" s="36" t="e" cm="1">
        <f t="array" ref="M342">IF(A342="","",_xlfn.XLOOKUP(D342&amp;"_"&amp;AE342,符文权重!A:A&amp;"_"&amp;符文权重!C:C,符文权重!D:D))</f>
        <v>#N/A</v>
      </c>
      <c r="N342" s="36"/>
      <c r="O342" s="36"/>
      <c r="P342" s="36"/>
      <c r="Q342" s="36"/>
      <c r="R342" s="36"/>
      <c r="S342" s="60" t="s">
        <v>192</v>
      </c>
      <c r="T342" s="60" t="s">
        <v>202</v>
      </c>
      <c r="U342" s="60" t="s">
        <v>413</v>
      </c>
      <c r="V342" s="61" t="s">
        <v>435</v>
      </c>
      <c r="W342" s="67"/>
      <c r="X342" s="28"/>
      <c r="Y342" s="35"/>
      <c r="Z342" s="28"/>
      <c r="AA342" s="59" t="s">
        <v>177</v>
      </c>
      <c r="AB342" s="34" t="s">
        <v>433</v>
      </c>
      <c r="AC342" s="57" t="s">
        <v>434</v>
      </c>
      <c r="AD342" s="59" t="s">
        <v>436</v>
      </c>
      <c r="AE342" s="60">
        <v>100</v>
      </c>
      <c r="AF342" s="60"/>
      <c r="AG342" s="60">
        <v>1</v>
      </c>
      <c r="AH342" s="35">
        <v>1</v>
      </c>
      <c r="AI342" s="62">
        <v>5505021</v>
      </c>
      <c r="AJ342" s="70" t="s">
        <v>437</v>
      </c>
      <c r="AK342" s="60">
        <v>0</v>
      </c>
      <c r="AL342" s="35"/>
    </row>
    <row r="343" s="28" customFormat="1" hidden="1" customHeight="1" spans="1:38">
      <c r="A343" s="57">
        <v>5505022</v>
      </c>
      <c r="B343" s="58" t="s">
        <v>433</v>
      </c>
      <c r="C343" s="57" t="s">
        <v>434</v>
      </c>
      <c r="D343" s="59">
        <v>2</v>
      </c>
      <c r="E343" s="59"/>
      <c r="F343" s="60" t="s">
        <v>202</v>
      </c>
      <c r="G343" s="36">
        <f t="shared" si="180"/>
        <v>1</v>
      </c>
      <c r="H343" s="36" t="str">
        <f>IFERROR(IF(--MID($F343,2*COUNTIF($G343:G343,"&gt;"&amp;0)+2,1)=H$1,H$1,""),"")</f>
        <v/>
      </c>
      <c r="I343" s="36" t="str">
        <f>IFERROR(IF(--MID($F343,2*COUNTIF($G343:H343,"&gt;"&amp;0)+2,1)=I$1,I$1,""),"")</f>
        <v/>
      </c>
      <c r="J343" s="36" t="str">
        <f>IFERROR(IF(--MID($F343,2*COUNTIF($G343:I343,"&gt;"&amp;0)+2,1)=J$1,J$1,""),"")</f>
        <v/>
      </c>
      <c r="K343" s="36" t="str">
        <f>IFERROR(IF(--MID($F343,2*COUNTIF($G343:J343,"&gt;"&amp;0)+2,1)=K$1,K$1,""),"")</f>
        <v/>
      </c>
      <c r="L343" s="36" t="str">
        <f>IFERROR(IF(--MID($F343,2*COUNTIF($G343:K343,"&gt;"&amp;0)+2,1)=L$1,L$1,""),"")</f>
        <v/>
      </c>
      <c r="M343" s="36" t="e" cm="1">
        <f t="array" ref="M343">IF(A343="","",_xlfn.XLOOKUP(D343&amp;"_"&amp;AE343,符文权重!A:A&amp;"_"&amp;符文权重!C:C,符文权重!D:D))</f>
        <v>#N/A</v>
      </c>
      <c r="N343" s="36"/>
      <c r="O343" s="36"/>
      <c r="P343" s="36"/>
      <c r="Q343" s="36"/>
      <c r="R343" s="36"/>
      <c r="S343" s="60" t="s">
        <v>192</v>
      </c>
      <c r="T343" s="60" t="s">
        <v>202</v>
      </c>
      <c r="U343" s="60" t="s">
        <v>415</v>
      </c>
      <c r="V343" s="61" t="s">
        <v>438</v>
      </c>
      <c r="W343" s="60"/>
      <c r="Y343" s="35">
        <v>100</v>
      </c>
      <c r="AA343" s="59" t="s">
        <v>181</v>
      </c>
      <c r="AB343" s="34" t="s">
        <v>433</v>
      </c>
      <c r="AC343" s="57" t="s">
        <v>434</v>
      </c>
      <c r="AD343" s="59" t="s">
        <v>436</v>
      </c>
      <c r="AE343" s="60">
        <v>100</v>
      </c>
      <c r="AF343" s="60"/>
      <c r="AG343" s="60">
        <v>1</v>
      </c>
      <c r="AH343" s="35">
        <v>1</v>
      </c>
      <c r="AI343" s="57">
        <v>5505022</v>
      </c>
      <c r="AJ343" s="64" t="s">
        <v>437</v>
      </c>
      <c r="AK343" s="60">
        <v>0</v>
      </c>
      <c r="AL343" s="35"/>
    </row>
    <row r="344" s="28" customFormat="1" hidden="1" customHeight="1" spans="1:38">
      <c r="A344" s="57">
        <v>5505023</v>
      </c>
      <c r="B344" s="58" t="s">
        <v>433</v>
      </c>
      <c r="C344" s="57" t="s">
        <v>434</v>
      </c>
      <c r="D344" s="59">
        <v>3</v>
      </c>
      <c r="E344" s="59"/>
      <c r="F344" s="60" t="s">
        <v>202</v>
      </c>
      <c r="G344" s="36">
        <f t="shared" si="180"/>
        <v>1</v>
      </c>
      <c r="H344" s="36" t="str">
        <f>IFERROR(IF(--MID($F344,2*COUNTIF($G344:G344,"&gt;"&amp;0)+2,1)=H$1,H$1,""),"")</f>
        <v/>
      </c>
      <c r="I344" s="36" t="str">
        <f>IFERROR(IF(--MID($F344,2*COUNTIF($G344:H344,"&gt;"&amp;0)+2,1)=I$1,I$1,""),"")</f>
        <v/>
      </c>
      <c r="J344" s="36" t="str">
        <f>IFERROR(IF(--MID($F344,2*COUNTIF($G344:I344,"&gt;"&amp;0)+2,1)=J$1,J$1,""),"")</f>
        <v/>
      </c>
      <c r="K344" s="36" t="str">
        <f>IFERROR(IF(--MID($F344,2*COUNTIF($G344:J344,"&gt;"&amp;0)+2,1)=K$1,K$1,""),"")</f>
        <v/>
      </c>
      <c r="L344" s="36" t="str">
        <f>IFERROR(IF(--MID($F344,2*COUNTIF($G344:K344,"&gt;"&amp;0)+2,1)=L$1,L$1,""),"")</f>
        <v/>
      </c>
      <c r="M344" s="36" t="e" cm="1">
        <f t="array" ref="M344">IF(A344="","",_xlfn.XLOOKUP(D344&amp;"_"&amp;AE344,符文权重!A:A&amp;"_"&amp;符文权重!C:C,符文权重!D:D))</f>
        <v>#N/A</v>
      </c>
      <c r="N344" s="36"/>
      <c r="O344" s="36"/>
      <c r="P344" s="36"/>
      <c r="Q344" s="36"/>
      <c r="R344" s="36"/>
      <c r="S344" s="60" t="s">
        <v>192</v>
      </c>
      <c r="T344" s="60" t="s">
        <v>202</v>
      </c>
      <c r="U344" s="60" t="s">
        <v>417</v>
      </c>
      <c r="V344" s="61" t="s">
        <v>439</v>
      </c>
      <c r="W344" s="60"/>
      <c r="Y344" s="35">
        <v>100</v>
      </c>
      <c r="AA344" s="59" t="s">
        <v>183</v>
      </c>
      <c r="AB344" s="34" t="s">
        <v>433</v>
      </c>
      <c r="AC344" s="57" t="s">
        <v>434</v>
      </c>
      <c r="AD344" s="59" t="s">
        <v>436</v>
      </c>
      <c r="AE344" s="60">
        <v>100</v>
      </c>
      <c r="AF344" s="60"/>
      <c r="AG344" s="60">
        <v>1</v>
      </c>
      <c r="AH344" s="35">
        <v>1</v>
      </c>
      <c r="AI344" s="57">
        <v>5505023</v>
      </c>
      <c r="AJ344" s="64" t="s">
        <v>437</v>
      </c>
      <c r="AK344" s="60">
        <v>0</v>
      </c>
      <c r="AL344" s="35"/>
    </row>
    <row r="345" hidden="1" customHeight="1" spans="1:38">
      <c r="A345" s="48">
        <v>5505024</v>
      </c>
      <c r="B345" s="34" t="s">
        <v>433</v>
      </c>
      <c r="C345" s="48" t="s">
        <v>434</v>
      </c>
      <c r="D345" s="42">
        <v>4</v>
      </c>
      <c r="E345" s="42"/>
      <c r="F345" s="36" t="s">
        <v>202</v>
      </c>
      <c r="G345" s="36">
        <f t="shared" si="180"/>
        <v>1</v>
      </c>
      <c r="H345" s="36" t="str">
        <f>IFERROR(IF(--MID($F345,2*COUNTIF($G345:G345,"&gt;"&amp;0)+2,1)=H$1,H$1,""),"")</f>
        <v/>
      </c>
      <c r="I345" s="36" t="str">
        <f>IFERROR(IF(--MID($F345,2*COUNTIF($G345:H345,"&gt;"&amp;0)+2,1)=I$1,I$1,""),"")</f>
        <v/>
      </c>
      <c r="J345" s="36" t="str">
        <f>IFERROR(IF(--MID($F345,2*COUNTIF($G345:I345,"&gt;"&amp;0)+2,1)=J$1,J$1,""),"")</f>
        <v/>
      </c>
      <c r="K345" s="36" t="str">
        <f>IFERROR(IF(--MID($F345,2*COUNTIF($G345:J345,"&gt;"&amp;0)+2,1)=K$1,K$1,""),"")</f>
        <v/>
      </c>
      <c r="L345" s="36" t="str">
        <f>IFERROR(IF(--MID($F345,2*COUNTIF($G345:K345,"&gt;"&amp;0)+2,1)=L$1,L$1,""),"")</f>
        <v/>
      </c>
      <c r="M345" s="51" cm="1">
        <f t="array" ref="M345">IF($A345="","",IF(G345="","",_xlfn.XLOOKUP($D345&amp;"_"&amp;$AE345,符文权重!$A:$A&amp;"_"&amp;符文权重!$C:$C,符文权重!$D:$D)*$Y345/SUMIFS($Y:$Y,G:G,G345,$D:$D,$D345,$AE:$AE,$AE345)/SUMIF(符文权重!$A:$A,$D345,符文权重!$D:$D)))</f>
        <v>0.00344789233678123</v>
      </c>
      <c r="N345" s="51" t="str" cm="1">
        <f t="array" ref="N345">IF($A345="","",IF(H345="","",_xlfn.XLOOKUP($D345&amp;"_"&amp;$AE345,符文权重!$A:$A&amp;"_"&amp;符文权重!$C:$C,符文权重!$D:$D)*$Y345/SUMIFS($Y:$Y,H:H,H345,$D:$D,$D345,$AE:$AE,$AE345)/SUMIF(符文权重!$A:$A,$D345,符文权重!$D:$D)))</f>
        <v/>
      </c>
      <c r="O345" s="51" t="str" cm="1">
        <f t="array" ref="O345">IF($A345="","",IF(I345="","",_xlfn.XLOOKUP($D345&amp;"_"&amp;$AE345,符文权重!$A:$A&amp;"_"&amp;符文权重!$C:$C,符文权重!$D:$D)*$Y345/SUMIFS($Y:$Y,I:I,I345,$D:$D,$D345,$AE:$AE,$AE345)/SUMIF(符文权重!$A:$A,$D345,符文权重!$D:$D)))</f>
        <v/>
      </c>
      <c r="P345" s="51" t="str" cm="1">
        <f t="array" ref="P345">IF($A345="","",IF(J345="","",_xlfn.XLOOKUP($D345&amp;"_"&amp;$AE345,符文权重!$A:$A&amp;"_"&amp;符文权重!$C:$C,符文权重!$D:$D)*$Y345/SUMIFS($Y:$Y,J:J,J345,$D:$D,$D345,$AE:$AE,$AE345)/SUMIF(符文权重!$A:$A,$D345,符文权重!$D:$D)))</f>
        <v/>
      </c>
      <c r="Q345" s="51" t="str" cm="1">
        <f t="array" ref="Q345">IF($A345="","",IF(K345="","",_xlfn.XLOOKUP($D345&amp;"_"&amp;$AE345,符文权重!$A:$A&amp;"_"&amp;符文权重!$C:$C,符文权重!$D:$D)*$Y345/SUMIFS($Y:$Y,K:K,K345,$D:$D,$D345,$AE:$AE,$AE345)/SUMIF(符文权重!$A:$A,$D345,符文权重!$D:$D)))</f>
        <v/>
      </c>
      <c r="R345" s="51" t="str" cm="1">
        <f t="array" ref="R345">IF($A345="","",IF(L345="","",_xlfn.XLOOKUP($D345&amp;"_"&amp;$AE345,符文权重!$A:$A&amp;"_"&amp;符文权重!$C:$C,符文权重!$D:$D)*$Y345/SUMIFS($Y:$Y,L:L,L345,$D:$D,$D345,$AE:$AE,$AE345)/SUMIF(符文权重!$A:$A,$D345,符文权重!$D:$D)))</f>
        <v/>
      </c>
      <c r="S345" s="36" t="s">
        <v>192</v>
      </c>
      <c r="T345" s="36" t="s">
        <v>202</v>
      </c>
      <c r="U345" s="36" t="s">
        <v>420</v>
      </c>
      <c r="V345" s="52" t="s">
        <v>440</v>
      </c>
      <c r="Y345" s="35">
        <v>4</v>
      </c>
      <c r="AA345" s="42" t="s">
        <v>185</v>
      </c>
      <c r="AB345" s="34" t="s">
        <v>433</v>
      </c>
      <c r="AC345" s="48">
        <v>55050211</v>
      </c>
      <c r="AD345" s="42" t="s">
        <v>436</v>
      </c>
      <c r="AE345" s="36">
        <v>3</v>
      </c>
      <c r="AF345" s="36"/>
      <c r="AG345" s="36">
        <v>0</v>
      </c>
      <c r="AH345" s="35">
        <v>1</v>
      </c>
      <c r="AI345" s="48">
        <v>5505024</v>
      </c>
      <c r="AJ345" s="53" t="s">
        <v>437</v>
      </c>
      <c r="AK345" s="36">
        <v>0</v>
      </c>
      <c r="AL345" s="35">
        <v>5</v>
      </c>
    </row>
    <row r="346" hidden="1" customHeight="1" spans="1:38">
      <c r="A346" s="48">
        <v>5505025</v>
      </c>
      <c r="B346" s="34" t="s">
        <v>441</v>
      </c>
      <c r="C346" s="48" t="s">
        <v>434</v>
      </c>
      <c r="D346" s="42">
        <v>5</v>
      </c>
      <c r="E346" s="42"/>
      <c r="F346" s="36" t="s">
        <v>202</v>
      </c>
      <c r="G346" s="36">
        <f t="shared" si="180"/>
        <v>1</v>
      </c>
      <c r="H346" s="36" t="str">
        <f>IFERROR(IF(--MID($F346,2*COUNTIF($G346:G346,"&gt;"&amp;0)+2,1)=H$1,H$1,""),"")</f>
        <v/>
      </c>
      <c r="I346" s="36" t="str">
        <f>IFERROR(IF(--MID($F346,2*COUNTIF($G346:H346,"&gt;"&amp;0)+2,1)=I$1,I$1,""),"")</f>
        <v/>
      </c>
      <c r="J346" s="36" t="str">
        <f>IFERROR(IF(--MID($F346,2*COUNTIF($G346:I346,"&gt;"&amp;0)+2,1)=J$1,J$1,""),"")</f>
        <v/>
      </c>
      <c r="K346" s="36" t="str">
        <f>IFERROR(IF(--MID($F346,2*COUNTIF($G346:J346,"&gt;"&amp;0)+2,1)=K$1,K$1,""),"")</f>
        <v/>
      </c>
      <c r="L346" s="36" t="str">
        <f>IFERROR(IF(--MID($F346,2*COUNTIF($G346:K346,"&gt;"&amp;0)+2,1)=L$1,L$1,""),"")</f>
        <v/>
      </c>
      <c r="M346" s="51" cm="1">
        <f t="array" ref="M346">IF($A346="","",IF(G346="","",_xlfn.XLOOKUP($D346&amp;"_"&amp;$AE346,符文权重!$A:$A&amp;"_"&amp;符文权重!$C:$C,符文权重!$D:$D)*$Y346/SUMIFS($Y:$Y,G:G,G346,$D:$D,$D346,$AE:$AE,$AE346)/SUMIF(符文权重!$A:$A,$D346,符文权重!$D:$D)))</f>
        <v>0.005</v>
      </c>
      <c r="N346" s="51" t="str" cm="1">
        <f t="array" ref="N346">IF($A346="","",IF(H346="","",_xlfn.XLOOKUP($D346&amp;"_"&amp;$AE346,符文权重!$A:$A&amp;"_"&amp;符文权重!$C:$C,符文权重!$D:$D)*$Y346/SUMIFS($Y:$Y,H:H,H346,$D:$D,$D346,$AE:$AE,$AE346)/SUMIF(符文权重!$A:$A,$D346,符文权重!$D:$D)))</f>
        <v/>
      </c>
      <c r="O346" s="51" t="str" cm="1">
        <f t="array" ref="O346">IF($A346="","",IF(I346="","",_xlfn.XLOOKUP($D346&amp;"_"&amp;$AE346,符文权重!$A:$A&amp;"_"&amp;符文权重!$C:$C,符文权重!$D:$D)*$Y346/SUMIFS($Y:$Y,I:I,I346,$D:$D,$D346,$AE:$AE,$AE346)/SUMIF(符文权重!$A:$A,$D346,符文权重!$D:$D)))</f>
        <v/>
      </c>
      <c r="P346" s="51" t="str" cm="1">
        <f t="array" ref="P346">IF($A346="","",IF(J346="","",_xlfn.XLOOKUP($D346&amp;"_"&amp;$AE346,符文权重!$A:$A&amp;"_"&amp;符文权重!$C:$C,符文权重!$D:$D)*$Y346/SUMIFS($Y:$Y,J:J,J346,$D:$D,$D346,$AE:$AE,$AE346)/SUMIF(符文权重!$A:$A,$D346,符文权重!$D:$D)))</f>
        <v/>
      </c>
      <c r="Q346" s="51" t="str" cm="1">
        <f t="array" ref="Q346">IF($A346="","",IF(K346="","",_xlfn.XLOOKUP($D346&amp;"_"&amp;$AE346,符文权重!$A:$A&amp;"_"&amp;符文权重!$C:$C,符文权重!$D:$D)*$Y346/SUMIFS($Y:$Y,K:K,K346,$D:$D,$D346,$AE:$AE,$AE346)/SUMIF(符文权重!$A:$A,$D346,符文权重!$D:$D)))</f>
        <v/>
      </c>
      <c r="R346" s="51" t="str" cm="1">
        <f t="array" ref="R346">IF($A346="","",IF(L346="","",_xlfn.XLOOKUP($D346&amp;"_"&amp;$AE346,符文权重!$A:$A&amp;"_"&amp;符文权重!$C:$C,符文权重!$D:$D)*$Y346/SUMIFS($Y:$Y,L:L,L346,$D:$D,$D346,$AE:$AE,$AE346)/SUMIF(符文权重!$A:$A,$D346,符文权重!$D:$D)))</f>
        <v/>
      </c>
      <c r="S346" s="36" t="s">
        <v>192</v>
      </c>
      <c r="T346" s="36" t="s">
        <v>202</v>
      </c>
      <c r="U346" s="36" t="s">
        <v>423</v>
      </c>
      <c r="V346" s="52" t="s">
        <v>442</v>
      </c>
      <c r="W346" s="36" t="s">
        <v>443</v>
      </c>
      <c r="Y346" s="35">
        <v>100</v>
      </c>
      <c r="AA346" s="42" t="s">
        <v>187</v>
      </c>
      <c r="AB346" s="42" t="str">
        <f t="shared" ref="AB346:AB409" si="183">SUBSTITUTE(AJ346,"%s",AK346)</f>
        <v>战士攻击范围&lt;color=#54b76b&gt;+1&lt;/color&gt;格,伤害&lt;color=#54b76b&gt;+15%&lt;/color&gt;</v>
      </c>
      <c r="AC346" s="48" t="s">
        <v>434</v>
      </c>
      <c r="AD346" s="42" t="s">
        <v>425</v>
      </c>
      <c r="AE346" s="36">
        <v>5</v>
      </c>
      <c r="AF346" s="36"/>
      <c r="AG346" s="36">
        <v>0</v>
      </c>
      <c r="AH346" s="35">
        <v>1</v>
      </c>
      <c r="AI346" s="48">
        <v>5505025</v>
      </c>
      <c r="AJ346" s="53" t="s">
        <v>437</v>
      </c>
      <c r="AK346" s="36">
        <v>15</v>
      </c>
      <c r="AL346" s="35">
        <v>5</v>
      </c>
    </row>
    <row r="347" hidden="1" customHeight="1" spans="1:38">
      <c r="A347" s="48">
        <v>5505026</v>
      </c>
      <c r="B347" s="34" t="s">
        <v>444</v>
      </c>
      <c r="C347" s="48" t="s">
        <v>434</v>
      </c>
      <c r="D347" s="42">
        <v>6</v>
      </c>
      <c r="E347" s="42"/>
      <c r="F347" s="36" t="s">
        <v>202</v>
      </c>
      <c r="G347" s="36">
        <f t="shared" si="180"/>
        <v>1</v>
      </c>
      <c r="H347" s="36" t="str">
        <f>IFERROR(IF(--MID($F347,2*COUNTIF($G347:G347,"&gt;"&amp;0)+2,1)=H$1,H$1,""),"")</f>
        <v/>
      </c>
      <c r="I347" s="36" t="str">
        <f>IFERROR(IF(--MID($F347,2*COUNTIF($G347:H347,"&gt;"&amp;0)+2,1)=I$1,I$1,""),"")</f>
        <v/>
      </c>
      <c r="J347" s="36" t="str">
        <f>IFERROR(IF(--MID($F347,2*COUNTIF($G347:I347,"&gt;"&amp;0)+2,1)=J$1,J$1,""),"")</f>
        <v/>
      </c>
      <c r="K347" s="36" t="str">
        <f>IFERROR(IF(--MID($F347,2*COUNTIF($G347:J347,"&gt;"&amp;0)+2,1)=K$1,K$1,""),"")</f>
        <v/>
      </c>
      <c r="L347" s="36" t="str">
        <f>IFERROR(IF(--MID($F347,2*COUNTIF($G347:K347,"&gt;"&amp;0)+2,1)=L$1,L$1,""),"")</f>
        <v/>
      </c>
      <c r="M347" s="51" cm="1">
        <f t="array" ref="M347">IF($A347="","",IF(G347="","",_xlfn.XLOOKUP($D347&amp;"_"&amp;$AE347,符文权重!$A:$A&amp;"_"&amp;符文权重!$C:$C,符文权重!$D:$D)*$Y347/SUMIFS($Y:$Y,G:G,G347,$D:$D,$D347,$AE:$AE,$AE347)/SUMIF(符文权重!$A:$A,$D347,符文权重!$D:$D)))</f>
        <v>0.005</v>
      </c>
      <c r="N347" s="51" t="str" cm="1">
        <f t="array" ref="N347">IF($A347="","",IF(H347="","",_xlfn.XLOOKUP($D347&amp;"_"&amp;$AE347,符文权重!$A:$A&amp;"_"&amp;符文权重!$C:$C,符文权重!$D:$D)*$Y347/SUMIFS($Y:$Y,H:H,H347,$D:$D,$D347,$AE:$AE,$AE347)/SUMIF(符文权重!$A:$A,$D347,符文权重!$D:$D)))</f>
        <v/>
      </c>
      <c r="O347" s="51" t="str" cm="1">
        <f t="array" ref="O347">IF($A347="","",IF(I347="","",_xlfn.XLOOKUP($D347&amp;"_"&amp;$AE347,符文权重!$A:$A&amp;"_"&amp;符文权重!$C:$C,符文权重!$D:$D)*$Y347/SUMIFS($Y:$Y,I:I,I347,$D:$D,$D347,$AE:$AE,$AE347)/SUMIF(符文权重!$A:$A,$D347,符文权重!$D:$D)))</f>
        <v/>
      </c>
      <c r="P347" s="51" t="str" cm="1">
        <f t="array" ref="P347">IF($A347="","",IF(J347="","",_xlfn.XLOOKUP($D347&amp;"_"&amp;$AE347,符文权重!$A:$A&amp;"_"&amp;符文权重!$C:$C,符文权重!$D:$D)*$Y347/SUMIFS($Y:$Y,J:J,J347,$D:$D,$D347,$AE:$AE,$AE347)/SUMIF(符文权重!$A:$A,$D347,符文权重!$D:$D)))</f>
        <v/>
      </c>
      <c r="Q347" s="51" t="str" cm="1">
        <f t="array" ref="Q347">IF($A347="","",IF(K347="","",_xlfn.XLOOKUP($D347&amp;"_"&amp;$AE347,符文权重!$A:$A&amp;"_"&amp;符文权重!$C:$C,符文权重!$D:$D)*$Y347/SUMIFS($Y:$Y,K:K,K347,$D:$D,$D347,$AE:$AE,$AE347)/SUMIF(符文权重!$A:$A,$D347,符文权重!$D:$D)))</f>
        <v/>
      </c>
      <c r="R347" s="51" t="str" cm="1">
        <f t="array" ref="R347">IF($A347="","",IF(L347="","",_xlfn.XLOOKUP($D347&amp;"_"&amp;$AE347,符文权重!$A:$A&amp;"_"&amp;符文权重!$C:$C,符文权重!$D:$D)*$Y347/SUMIFS($Y:$Y,L:L,L347,$D:$D,$D347,$AE:$AE,$AE347)/SUMIF(符文权重!$A:$A,$D347,符文权重!$D:$D)))</f>
        <v/>
      </c>
      <c r="S347" s="36" t="s">
        <v>192</v>
      </c>
      <c r="T347" s="36" t="s">
        <v>202</v>
      </c>
      <c r="U347" s="36" t="s">
        <v>426</v>
      </c>
      <c r="V347" s="52" t="s">
        <v>445</v>
      </c>
      <c r="W347" s="36" t="s">
        <v>446</v>
      </c>
      <c r="Y347" s="35">
        <v>100</v>
      </c>
      <c r="AA347" s="42" t="s">
        <v>189</v>
      </c>
      <c r="AB347" s="42" t="str">
        <f t="shared" si="183"/>
        <v>战士攻击范围&lt;color=#54b76b&gt;+1&lt;/color&gt;格,伤害&lt;color=#54b76b&gt;+35%&lt;/color&gt;</v>
      </c>
      <c r="AC347" s="48" t="s">
        <v>434</v>
      </c>
      <c r="AD347" s="42" t="s">
        <v>447</v>
      </c>
      <c r="AE347" s="36">
        <v>5</v>
      </c>
      <c r="AF347" s="36"/>
      <c r="AG347" s="36">
        <v>0</v>
      </c>
      <c r="AH347" s="35">
        <v>1</v>
      </c>
      <c r="AI347" s="48">
        <v>5505026</v>
      </c>
      <c r="AJ347" s="53" t="s">
        <v>437</v>
      </c>
      <c r="AK347" s="36">
        <v>35</v>
      </c>
      <c r="AL347" s="35">
        <v>5</v>
      </c>
    </row>
    <row r="348" hidden="1" customHeight="1" spans="1:38">
      <c r="A348" s="48">
        <v>5505027</v>
      </c>
      <c r="B348" s="34" t="s">
        <v>448</v>
      </c>
      <c r="C348" s="48" t="s">
        <v>434</v>
      </c>
      <c r="D348" s="42">
        <v>7</v>
      </c>
      <c r="E348" s="42"/>
      <c r="F348" s="36" t="s">
        <v>202</v>
      </c>
      <c r="G348" s="36">
        <f t="shared" si="180"/>
        <v>1</v>
      </c>
      <c r="H348" s="36" t="str">
        <f>IFERROR(IF(--MID($F348,2*COUNTIF($G348:G348,"&gt;"&amp;0)+2,1)=H$1,H$1,""),"")</f>
        <v/>
      </c>
      <c r="I348" s="36" t="str">
        <f>IFERROR(IF(--MID($F348,2*COUNTIF($G348:H348,"&gt;"&amp;0)+2,1)=I$1,I$1,""),"")</f>
        <v/>
      </c>
      <c r="J348" s="36" t="str">
        <f>IFERROR(IF(--MID($F348,2*COUNTIF($G348:I348,"&gt;"&amp;0)+2,1)=J$1,J$1,""),"")</f>
        <v/>
      </c>
      <c r="K348" s="36" t="str">
        <f>IFERROR(IF(--MID($F348,2*COUNTIF($G348:J348,"&gt;"&amp;0)+2,1)=K$1,K$1,""),"")</f>
        <v/>
      </c>
      <c r="L348" s="36" t="str">
        <f>IFERROR(IF(--MID($F348,2*COUNTIF($G348:K348,"&gt;"&amp;0)+2,1)=L$1,L$1,""),"")</f>
        <v/>
      </c>
      <c r="M348" s="51" cm="1">
        <f t="array" ref="M348">IF($A348="","",IF(G348="","",_xlfn.XLOOKUP($D348&amp;"_"&amp;$AE348,符文权重!$A:$A&amp;"_"&amp;符文权重!$C:$C,符文权重!$D:$D)*$Y348/SUMIFS($Y:$Y,G:G,G348,$D:$D,$D348,$AE:$AE,$AE348)/SUMIF(符文权重!$A:$A,$D348,符文权重!$D:$D)))</f>
        <v>0.005</v>
      </c>
      <c r="N348" s="51" t="str" cm="1">
        <f t="array" ref="N348">IF($A348="","",IF(H348="","",_xlfn.XLOOKUP($D348&amp;"_"&amp;$AE348,符文权重!$A:$A&amp;"_"&amp;符文权重!$C:$C,符文权重!$D:$D)*$Y348/SUMIFS($Y:$Y,H:H,H348,$D:$D,$D348,$AE:$AE,$AE348)/SUMIF(符文权重!$A:$A,$D348,符文权重!$D:$D)))</f>
        <v/>
      </c>
      <c r="O348" s="51" t="str" cm="1">
        <f t="array" ref="O348">IF($A348="","",IF(I348="","",_xlfn.XLOOKUP($D348&amp;"_"&amp;$AE348,符文权重!$A:$A&amp;"_"&amp;符文权重!$C:$C,符文权重!$D:$D)*$Y348/SUMIFS($Y:$Y,I:I,I348,$D:$D,$D348,$AE:$AE,$AE348)/SUMIF(符文权重!$A:$A,$D348,符文权重!$D:$D)))</f>
        <v/>
      </c>
      <c r="P348" s="51" t="str" cm="1">
        <f t="array" ref="P348">IF($A348="","",IF(J348="","",_xlfn.XLOOKUP($D348&amp;"_"&amp;$AE348,符文权重!$A:$A&amp;"_"&amp;符文权重!$C:$C,符文权重!$D:$D)*$Y348/SUMIFS($Y:$Y,J:J,J348,$D:$D,$D348,$AE:$AE,$AE348)/SUMIF(符文权重!$A:$A,$D348,符文权重!$D:$D)))</f>
        <v/>
      </c>
      <c r="Q348" s="51" t="str" cm="1">
        <f t="array" ref="Q348">IF($A348="","",IF(K348="","",_xlfn.XLOOKUP($D348&amp;"_"&amp;$AE348,符文权重!$A:$A&amp;"_"&amp;符文权重!$C:$C,符文权重!$D:$D)*$Y348/SUMIFS($Y:$Y,K:K,K348,$D:$D,$D348,$AE:$AE,$AE348)/SUMIF(符文权重!$A:$A,$D348,符文权重!$D:$D)))</f>
        <v/>
      </c>
      <c r="R348" s="51" t="str" cm="1">
        <f t="array" ref="R348">IF($A348="","",IF(L348="","",_xlfn.XLOOKUP($D348&amp;"_"&amp;$AE348,符文权重!$A:$A&amp;"_"&amp;符文权重!$C:$C,符文权重!$D:$D)*$Y348/SUMIFS($Y:$Y,L:L,L348,$D:$D,$D348,$AE:$AE,$AE348)/SUMIF(符文权重!$A:$A,$D348,符文权重!$D:$D)))</f>
        <v/>
      </c>
      <c r="S348" s="36" t="s">
        <v>192</v>
      </c>
      <c r="T348" s="36" t="s">
        <v>202</v>
      </c>
      <c r="U348" s="36" t="s">
        <v>429</v>
      </c>
      <c r="V348" s="52" t="s">
        <v>449</v>
      </c>
      <c r="W348" s="36" t="s">
        <v>450</v>
      </c>
      <c r="Y348" s="35">
        <v>100</v>
      </c>
      <c r="AA348" s="42" t="s">
        <v>191</v>
      </c>
      <c r="AB348" s="42" t="str">
        <f t="shared" si="183"/>
        <v>战士攻击范围&lt;color=#54b76b&gt;+1&lt;/color&gt;格,伤害&lt;color=#54b76b&gt;+55%&lt;/color&gt;</v>
      </c>
      <c r="AC348" s="48" t="s">
        <v>434</v>
      </c>
      <c r="AD348" s="42" t="s">
        <v>451</v>
      </c>
      <c r="AE348" s="36">
        <v>5</v>
      </c>
      <c r="AF348" s="36"/>
      <c r="AG348" s="36">
        <v>0</v>
      </c>
      <c r="AH348" s="35">
        <v>1</v>
      </c>
      <c r="AI348" s="48">
        <v>5505027</v>
      </c>
      <c r="AJ348" s="53" t="s">
        <v>437</v>
      </c>
      <c r="AK348" s="36">
        <v>55</v>
      </c>
      <c r="AL348" s="35">
        <v>5</v>
      </c>
    </row>
    <row r="349" s="25" customFormat="1" hidden="1" customHeight="1" spans="1:38">
      <c r="A349" s="48" t="s">
        <v>178</v>
      </c>
      <c r="B349" s="41" t="s">
        <v>178</v>
      </c>
      <c r="C349" s="48" t="s">
        <v>178</v>
      </c>
      <c r="D349" s="42" t="s">
        <v>178</v>
      </c>
      <c r="E349" s="42"/>
      <c r="F349" s="36"/>
      <c r="G349" s="36" t="str">
        <f t="shared" si="180"/>
        <v/>
      </c>
      <c r="H349" s="36" t="str">
        <f>IFERROR(IF(--MID($F349,2*COUNTIF($G349:G349,"&gt;"&amp;0)+2,1)=H$1,H$1,""),"")</f>
        <v/>
      </c>
      <c r="I349" s="36" t="str">
        <f>IFERROR(IF(--MID($F349,2*COUNTIF($G349:H349,"&gt;"&amp;0)+2,1)=I$1,I$1,""),"")</f>
        <v/>
      </c>
      <c r="J349" s="36" t="str">
        <f>IFERROR(IF(--MID($F349,2*COUNTIF($G349:I349,"&gt;"&amp;0)+2,1)=J$1,J$1,""),"")</f>
        <v/>
      </c>
      <c r="K349" s="36" t="str">
        <f>IFERROR(IF(--MID($F349,2*COUNTIF($G349:J349,"&gt;"&amp;0)+2,1)=K$1,K$1,""),"")</f>
        <v/>
      </c>
      <c r="L349" s="36" t="str">
        <f>IFERROR(IF(--MID($F349,2*COUNTIF($G349:K349,"&gt;"&amp;0)+2,1)=L$1,L$1,""),"")</f>
        <v/>
      </c>
      <c r="M349" s="51" t="str" cm="1">
        <f t="array" ref="M349">IF($A349="","",IF(G349="","",_xlfn.XLOOKUP($D349&amp;"_"&amp;$AE349,符文权重!$A:$A&amp;"_"&amp;符文权重!$C:$C,符文权重!$D:$D)*$Y349/SUMIFS($Y:$Y,G:G,G349,$D:$D,$D349,$AE:$AE,$AE349)/SUMIF(符文权重!$A:$A,$D349,符文权重!$D:$D)))</f>
        <v/>
      </c>
      <c r="N349" s="36" t="str" cm="1">
        <f t="array" ref="N349">IF($A349="","",IF(H349="","",_xlfn.XLOOKUP($D349&amp;"_"&amp;$AE349,符文权重!$A:$A&amp;"_"&amp;符文权重!$C:$C,符文权重!$D:$D)*$Y349/SUMIFS($Y:$Y,H:H,H349,$D:$D,$D$6,$AE:$AE,$AE$6)))</f>
        <v/>
      </c>
      <c r="O349" s="36" t="str" cm="1">
        <f t="array" ref="O349">IF($A349="","",IF(I349="","",_xlfn.XLOOKUP($D349&amp;"_"&amp;$AE349,符文权重!$A:$A&amp;"_"&amp;符文权重!$C:$C,符文权重!$D:$D)*$Y349/SUMIFS($Y:$Y,I:I,I349,$D:$D,$D$6,$AE:$AE,$AE$6)))</f>
        <v/>
      </c>
      <c r="P349" s="36" t="str" cm="1">
        <f t="array" ref="P349">IF($A349="","",IF(J349="","",_xlfn.XLOOKUP($D349&amp;"_"&amp;$AE349,符文权重!$A:$A&amp;"_"&amp;符文权重!$C:$C,符文权重!$D:$D)*$Y349/SUMIFS($Y:$Y,J:J,J349,$D:$D,$D$6,$AE:$AE,$AE$6)))</f>
        <v/>
      </c>
      <c r="Q349" s="36" t="str" cm="1">
        <f t="array" ref="Q349">IF($A349="","",IF(K349="","",_xlfn.XLOOKUP($D349&amp;"_"&amp;$AE349,符文权重!$A:$A&amp;"_"&amp;符文权重!$C:$C,符文权重!$D:$D)*$Y349/SUMIFS($Y:$Y,K:K,K349,$D:$D,$D$6,$AE:$AE,$AE$6)))</f>
        <v/>
      </c>
      <c r="R349" s="36" t="str" cm="1">
        <f t="array" ref="R349">IF($A349="","",IF(L349="","",_xlfn.XLOOKUP($D349&amp;"_"&amp;$AE349,符文权重!$A:$A&amp;"_"&amp;符文权重!$C:$C,符文权重!$D:$D)*$Y349/SUMIFS($Y:$Y,L:L,L349,$D:$D,$D$6,$AE:$AE,$AE$6)))</f>
        <v/>
      </c>
      <c r="S349" s="36"/>
      <c r="T349" s="36"/>
      <c r="U349" s="36"/>
      <c r="W349" s="41"/>
      <c r="X349" s="35"/>
      <c r="Y349" s="35"/>
      <c r="Z349" s="35"/>
      <c r="AA349" s="42" t="s">
        <v>178</v>
      </c>
      <c r="AB349" s="42" t="str">
        <f t="shared" si="183"/>
        <v/>
      </c>
      <c r="AC349" s="48" t="s">
        <v>178</v>
      </c>
      <c r="AD349" s="42" t="s">
        <v>178</v>
      </c>
      <c r="AE349" s="36"/>
      <c r="AF349" s="36"/>
      <c r="AG349" s="36"/>
      <c r="AH349" s="35" t="s">
        <v>178</v>
      </c>
      <c r="AI349" s="33"/>
      <c r="AJ349" s="56"/>
      <c r="AK349" s="36"/>
      <c r="AL349" s="35"/>
    </row>
    <row r="350" s="27" customFormat="1" hidden="1" customHeight="1" spans="1:38">
      <c r="A350" s="57">
        <v>5505031</v>
      </c>
      <c r="B350" s="28" t="s">
        <v>452</v>
      </c>
      <c r="C350" s="57" t="s">
        <v>453</v>
      </c>
      <c r="D350" s="59">
        <v>1</v>
      </c>
      <c r="E350" s="59"/>
      <c r="F350" s="60" t="s">
        <v>211</v>
      </c>
      <c r="G350" s="36" t="str">
        <f t="shared" si="180"/>
        <v/>
      </c>
      <c r="H350" s="36">
        <f>IFERROR(IF(--MID($F350,2*COUNTIF($G350:G350,"&gt;"&amp;0)+2,1)=H$1,H$1,""),"")</f>
        <v>2</v>
      </c>
      <c r="I350" s="36" t="str">
        <f>IFERROR(IF(--MID($F350,2*COUNTIF($G350:H350,"&gt;"&amp;0)+2,1)=I$1,I$1,""),"")</f>
        <v/>
      </c>
      <c r="J350" s="36" t="str">
        <f>IFERROR(IF(--MID($F350,2*COUNTIF($G350:I350,"&gt;"&amp;0)+2,1)=J$1,J$1,""),"")</f>
        <v/>
      </c>
      <c r="K350" s="36" t="str">
        <f>IFERROR(IF(--MID($F350,2*COUNTIF($G350:J350,"&gt;"&amp;0)+2,1)=K$1,K$1,""),"")</f>
        <v/>
      </c>
      <c r="L350" s="36" t="str">
        <f>IFERROR(IF(--MID($F350,2*COUNTIF($G350:K350,"&gt;"&amp;0)+2,1)=L$1,L$1,""),"")</f>
        <v/>
      </c>
      <c r="M350" s="36" t="e" cm="1">
        <f t="array" ref="M350">IF(A350="","",_xlfn.XLOOKUP(D350&amp;"_"&amp;AE350,符文权重!A:A&amp;"_"&amp;符文权重!C:C,符文权重!D:D))</f>
        <v>#N/A</v>
      </c>
      <c r="N350" s="36"/>
      <c r="O350" s="36"/>
      <c r="P350" s="36"/>
      <c r="Q350" s="36"/>
      <c r="R350" s="36"/>
      <c r="S350" s="60" t="s">
        <v>192</v>
      </c>
      <c r="T350" s="60" t="s">
        <v>202</v>
      </c>
      <c r="U350" s="60" t="s">
        <v>413</v>
      </c>
      <c r="V350" s="61" t="s">
        <v>454</v>
      </c>
      <c r="W350" s="67"/>
      <c r="X350" s="28"/>
      <c r="Y350" s="35">
        <v>100</v>
      </c>
      <c r="Z350" s="28"/>
      <c r="AA350" s="59" t="s">
        <v>177</v>
      </c>
      <c r="AB350" s="42" t="str">
        <f t="shared" si="183"/>
        <v>战士充能后，首次伤害&lt;color=#54b76b&gt;+0%&lt;/color&gt;
</v>
      </c>
      <c r="AC350" s="57" t="s">
        <v>453</v>
      </c>
      <c r="AD350" s="59" t="s">
        <v>436</v>
      </c>
      <c r="AE350" s="60">
        <v>100</v>
      </c>
      <c r="AF350" s="60"/>
      <c r="AG350" s="60">
        <v>1</v>
      </c>
      <c r="AH350" s="35">
        <v>1</v>
      </c>
      <c r="AI350" s="62">
        <v>5505031</v>
      </c>
      <c r="AJ350" s="73" t="s">
        <v>452</v>
      </c>
      <c r="AK350" s="60">
        <v>0</v>
      </c>
      <c r="AL350" s="35"/>
    </row>
    <row r="351" s="28" customFormat="1" hidden="1" customHeight="1" spans="1:38">
      <c r="A351" s="57">
        <v>5505032</v>
      </c>
      <c r="B351" s="28" t="s">
        <v>452</v>
      </c>
      <c r="C351" s="57" t="s">
        <v>453</v>
      </c>
      <c r="D351" s="59">
        <v>2</v>
      </c>
      <c r="E351" s="59"/>
      <c r="F351" s="60" t="s">
        <v>211</v>
      </c>
      <c r="G351" s="36" t="str">
        <f t="shared" si="180"/>
        <v/>
      </c>
      <c r="H351" s="36">
        <f>IFERROR(IF(--MID($F351,2*COUNTIF($G351:G351,"&gt;"&amp;0)+2,1)=H$1,H$1,""),"")</f>
        <v>2</v>
      </c>
      <c r="I351" s="36" t="str">
        <f>IFERROR(IF(--MID($F351,2*COUNTIF($G351:H351,"&gt;"&amp;0)+2,1)=I$1,I$1,""),"")</f>
        <v/>
      </c>
      <c r="J351" s="36" t="str">
        <f>IFERROR(IF(--MID($F351,2*COUNTIF($G351:I351,"&gt;"&amp;0)+2,1)=J$1,J$1,""),"")</f>
        <v/>
      </c>
      <c r="K351" s="36" t="str">
        <f>IFERROR(IF(--MID($F351,2*COUNTIF($G351:J351,"&gt;"&amp;0)+2,1)=K$1,K$1,""),"")</f>
        <v/>
      </c>
      <c r="L351" s="36" t="str">
        <f>IFERROR(IF(--MID($F351,2*COUNTIF($G351:K351,"&gt;"&amp;0)+2,1)=L$1,L$1,""),"")</f>
        <v/>
      </c>
      <c r="M351" s="36" t="e" cm="1">
        <f t="array" ref="M351">IF(A351="","",_xlfn.XLOOKUP(D351&amp;"_"&amp;AE351,符文权重!A:A&amp;"_"&amp;符文权重!C:C,符文权重!D:D))</f>
        <v>#N/A</v>
      </c>
      <c r="N351" s="36"/>
      <c r="O351" s="36"/>
      <c r="P351" s="36"/>
      <c r="Q351" s="36"/>
      <c r="R351" s="36"/>
      <c r="S351" s="60" t="s">
        <v>192</v>
      </c>
      <c r="T351" s="60" t="s">
        <v>202</v>
      </c>
      <c r="U351" s="60" t="s">
        <v>415</v>
      </c>
      <c r="V351" s="61" t="s">
        <v>455</v>
      </c>
      <c r="W351" s="60"/>
      <c r="Y351" s="35">
        <v>100</v>
      </c>
      <c r="AA351" s="59" t="s">
        <v>181</v>
      </c>
      <c r="AB351" s="42" t="str">
        <f t="shared" si="183"/>
        <v>战士充能后，首次伤害&lt;color=#54b76b&gt;+0%&lt;/color&gt;
</v>
      </c>
      <c r="AC351" s="57" t="s">
        <v>453</v>
      </c>
      <c r="AD351" s="59" t="s">
        <v>436</v>
      </c>
      <c r="AE351" s="60">
        <v>100</v>
      </c>
      <c r="AF351" s="60"/>
      <c r="AG351" s="60">
        <v>1</v>
      </c>
      <c r="AH351" s="35">
        <v>1</v>
      </c>
      <c r="AI351" s="57">
        <v>5505032</v>
      </c>
      <c r="AJ351" s="64" t="s">
        <v>452</v>
      </c>
      <c r="AK351" s="60">
        <v>0</v>
      </c>
      <c r="AL351" s="35"/>
    </row>
    <row r="352" s="28" customFormat="1" hidden="1" customHeight="1" spans="1:38">
      <c r="A352" s="57">
        <v>5505033</v>
      </c>
      <c r="B352" s="28" t="s">
        <v>452</v>
      </c>
      <c r="C352" s="57" t="s">
        <v>453</v>
      </c>
      <c r="D352" s="59">
        <v>3</v>
      </c>
      <c r="E352" s="59"/>
      <c r="F352" s="60" t="s">
        <v>211</v>
      </c>
      <c r="G352" s="36" t="str">
        <f t="shared" si="180"/>
        <v/>
      </c>
      <c r="H352" s="36">
        <f>IFERROR(IF(--MID($F352,2*COUNTIF($G352:G352,"&gt;"&amp;0)+2,1)=H$1,H$1,""),"")</f>
        <v>2</v>
      </c>
      <c r="I352" s="36" t="str">
        <f>IFERROR(IF(--MID($F352,2*COUNTIF($G352:H352,"&gt;"&amp;0)+2,1)=I$1,I$1,""),"")</f>
        <v/>
      </c>
      <c r="J352" s="36" t="str">
        <f>IFERROR(IF(--MID($F352,2*COUNTIF($G352:I352,"&gt;"&amp;0)+2,1)=J$1,J$1,""),"")</f>
        <v/>
      </c>
      <c r="K352" s="36" t="str">
        <f>IFERROR(IF(--MID($F352,2*COUNTIF($G352:J352,"&gt;"&amp;0)+2,1)=K$1,K$1,""),"")</f>
        <v/>
      </c>
      <c r="L352" s="36" t="str">
        <f>IFERROR(IF(--MID($F352,2*COUNTIF($G352:K352,"&gt;"&amp;0)+2,1)=L$1,L$1,""),"")</f>
        <v/>
      </c>
      <c r="M352" s="36" t="e" cm="1">
        <f t="array" ref="M352">IF(A352="","",_xlfn.XLOOKUP(D352&amp;"_"&amp;AE352,符文权重!A:A&amp;"_"&amp;符文权重!C:C,符文权重!D:D))</f>
        <v>#N/A</v>
      </c>
      <c r="N352" s="36"/>
      <c r="O352" s="36"/>
      <c r="P352" s="36"/>
      <c r="Q352" s="36"/>
      <c r="R352" s="36"/>
      <c r="S352" s="60" t="s">
        <v>192</v>
      </c>
      <c r="T352" s="60" t="s">
        <v>202</v>
      </c>
      <c r="U352" s="60" t="s">
        <v>417</v>
      </c>
      <c r="V352" s="61" t="s">
        <v>456</v>
      </c>
      <c r="W352" s="60"/>
      <c r="Y352" s="35">
        <v>100</v>
      </c>
      <c r="AA352" s="59" t="s">
        <v>183</v>
      </c>
      <c r="AB352" s="42" t="str">
        <f t="shared" si="183"/>
        <v>战士充能后，首次伤害&lt;color=#54b76b&gt;+0%&lt;/color&gt;
</v>
      </c>
      <c r="AC352" s="57" t="s">
        <v>453</v>
      </c>
      <c r="AD352" s="59" t="s">
        <v>436</v>
      </c>
      <c r="AE352" s="60">
        <v>100</v>
      </c>
      <c r="AF352" s="60"/>
      <c r="AG352" s="60">
        <v>1</v>
      </c>
      <c r="AH352" s="35">
        <v>1</v>
      </c>
      <c r="AI352" s="57">
        <v>5505033</v>
      </c>
      <c r="AJ352" s="64" t="s">
        <v>452</v>
      </c>
      <c r="AK352" s="60">
        <v>0</v>
      </c>
      <c r="AL352" s="35"/>
    </row>
    <row r="353" hidden="1" customHeight="1" spans="1:38">
      <c r="A353" s="48">
        <v>5505034</v>
      </c>
      <c r="B353" s="35" t="s">
        <v>452</v>
      </c>
      <c r="C353" s="48" t="s">
        <v>453</v>
      </c>
      <c r="D353" s="42">
        <v>4</v>
      </c>
      <c r="E353" s="42"/>
      <c r="F353" s="36" t="s">
        <v>211</v>
      </c>
      <c r="G353" s="36" t="str">
        <f t="shared" si="180"/>
        <v/>
      </c>
      <c r="H353" s="36">
        <f>IFERROR(IF(--MID($F353,2*COUNTIF($G353:G353,"&gt;"&amp;0)+2,1)=H$1,H$1,""),"")</f>
        <v>2</v>
      </c>
      <c r="I353" s="36" t="str">
        <f>IFERROR(IF(--MID($F353,2*COUNTIF($G353:H353,"&gt;"&amp;0)+2,1)=I$1,I$1,""),"")</f>
        <v/>
      </c>
      <c r="J353" s="36" t="str">
        <f>IFERROR(IF(--MID($F353,2*COUNTIF($G353:I353,"&gt;"&amp;0)+2,1)=J$1,J$1,""),"")</f>
        <v/>
      </c>
      <c r="K353" s="36" t="str">
        <f>IFERROR(IF(--MID($F353,2*COUNTIF($G353:J353,"&gt;"&amp;0)+2,1)=K$1,K$1,""),"")</f>
        <v/>
      </c>
      <c r="L353" s="36" t="str">
        <f>IFERROR(IF(--MID($F353,2*COUNTIF($G353:K353,"&gt;"&amp;0)+2,1)=L$1,L$1,""),"")</f>
        <v/>
      </c>
      <c r="M353" s="51" t="str" cm="1">
        <f t="array" ref="M353">IF($A353="","",IF(G353="","",_xlfn.XLOOKUP($D353&amp;"_"&amp;$AE353,符文权重!$A:$A&amp;"_"&amp;符文权重!$C:$C,符文权重!$D:$D)*$Y353/SUMIFS($Y:$Y,G:G,G353,$D:$D,$D353,$AE:$AE,$AE353)/SUMIF(符文权重!$A:$A,$D353,符文权重!$D:$D)))</f>
        <v/>
      </c>
      <c r="N353" s="51" cm="1">
        <f t="array" ref="N353">IF($A353="","",IF(H353="","",_xlfn.XLOOKUP($D353&amp;"_"&amp;$AE353,符文权重!$A:$A&amp;"_"&amp;符文权重!$C:$C,符文权重!$D:$D)*$Y353/SUMIFS($Y:$Y,H:H,H353,$D:$D,$D353,$AE:$AE,$AE353)/SUMIF(符文权重!$A:$A,$D353,符文权重!$D:$D)))</f>
        <v>0.00344789233678123</v>
      </c>
      <c r="O353" s="51" t="str" cm="1">
        <f t="array" ref="O353">IF($A353="","",IF(I353="","",_xlfn.XLOOKUP($D353&amp;"_"&amp;$AE353,符文权重!$A:$A&amp;"_"&amp;符文权重!$C:$C,符文权重!$D:$D)*$Y353/SUMIFS($Y:$Y,I:I,I353,$D:$D,$D353,$AE:$AE,$AE353)/SUMIF(符文权重!$A:$A,$D353,符文权重!$D:$D)))</f>
        <v/>
      </c>
      <c r="P353" s="51" t="str" cm="1">
        <f t="array" ref="P353">IF($A353="","",IF(J353="","",_xlfn.XLOOKUP($D353&amp;"_"&amp;$AE353,符文权重!$A:$A&amp;"_"&amp;符文权重!$C:$C,符文权重!$D:$D)*$Y353/SUMIFS($Y:$Y,J:J,J353,$D:$D,$D353,$AE:$AE,$AE353)/SUMIF(符文权重!$A:$A,$D353,符文权重!$D:$D)))</f>
        <v/>
      </c>
      <c r="Q353" s="51" t="str" cm="1">
        <f t="array" ref="Q353">IF($A353="","",IF(K353="","",_xlfn.XLOOKUP($D353&amp;"_"&amp;$AE353,符文权重!$A:$A&amp;"_"&amp;符文权重!$C:$C,符文权重!$D:$D)*$Y353/SUMIFS($Y:$Y,K:K,K353,$D:$D,$D353,$AE:$AE,$AE353)/SUMIF(符文权重!$A:$A,$D353,符文权重!$D:$D)))</f>
        <v/>
      </c>
      <c r="R353" s="51" t="str" cm="1">
        <f t="array" ref="R353">IF($A353="","",IF(L353="","",_xlfn.XLOOKUP($D353&amp;"_"&amp;$AE353,符文权重!$A:$A&amp;"_"&amp;符文权重!$C:$C,符文权重!$D:$D)*$Y353/SUMIFS($Y:$Y,L:L,L353,$D:$D,$D353,$AE:$AE,$AE353)/SUMIF(符文权重!$A:$A,$D353,符文权重!$D:$D)))</f>
        <v/>
      </c>
      <c r="S353" s="36" t="s">
        <v>192</v>
      </c>
      <c r="T353" s="36" t="s">
        <v>202</v>
      </c>
      <c r="U353" s="36" t="s">
        <v>420</v>
      </c>
      <c r="V353" s="52" t="s">
        <v>457</v>
      </c>
      <c r="Y353" s="35">
        <v>4</v>
      </c>
      <c r="AA353" s="42" t="s">
        <v>185</v>
      </c>
      <c r="AB353" s="42" t="str">
        <f t="shared" si="183"/>
        <v>战士充能后，首次伤害&lt;color=#54b76b&gt;+80%&lt;/color&gt;
</v>
      </c>
      <c r="AC353" s="48" t="s">
        <v>453</v>
      </c>
      <c r="AD353" s="42" t="s">
        <v>458</v>
      </c>
      <c r="AE353" s="36">
        <v>3</v>
      </c>
      <c r="AF353" s="36"/>
      <c r="AG353" s="36">
        <v>0</v>
      </c>
      <c r="AH353" s="35">
        <v>1</v>
      </c>
      <c r="AI353" s="48">
        <v>5505034</v>
      </c>
      <c r="AJ353" s="53" t="s">
        <v>452</v>
      </c>
      <c r="AK353" s="36">
        <v>80</v>
      </c>
      <c r="AL353" s="35">
        <v>5</v>
      </c>
    </row>
    <row r="354" hidden="1" customHeight="1" spans="1:38">
      <c r="A354" s="48">
        <v>5505035</v>
      </c>
      <c r="B354" s="35" t="s">
        <v>452</v>
      </c>
      <c r="C354" s="48" t="s">
        <v>453</v>
      </c>
      <c r="D354" s="42">
        <v>5</v>
      </c>
      <c r="E354" s="42"/>
      <c r="F354" s="36" t="s">
        <v>211</v>
      </c>
      <c r="G354" s="36" t="str">
        <f t="shared" si="180"/>
        <v/>
      </c>
      <c r="H354" s="36">
        <f>IFERROR(IF(--MID($F354,2*COUNTIF($G354:G354,"&gt;"&amp;0)+2,1)=H$1,H$1,""),"")</f>
        <v>2</v>
      </c>
      <c r="I354" s="36" t="str">
        <f>IFERROR(IF(--MID($F354,2*COUNTIF($G354:H354,"&gt;"&amp;0)+2,1)=I$1,I$1,""),"")</f>
        <v/>
      </c>
      <c r="J354" s="36" t="str">
        <f>IFERROR(IF(--MID($F354,2*COUNTIF($G354:I354,"&gt;"&amp;0)+2,1)=J$1,J$1,""),"")</f>
        <v/>
      </c>
      <c r="K354" s="36" t="str">
        <f>IFERROR(IF(--MID($F354,2*COUNTIF($G354:J354,"&gt;"&amp;0)+2,1)=K$1,K$1,""),"")</f>
        <v/>
      </c>
      <c r="L354" s="36" t="str">
        <f>IFERROR(IF(--MID($F354,2*COUNTIF($G354:K354,"&gt;"&amp;0)+2,1)=L$1,L$1,""),"")</f>
        <v/>
      </c>
      <c r="M354" s="51" t="str" cm="1">
        <f t="array" ref="M354">IF($A354="","",IF(G354="","",_xlfn.XLOOKUP($D354&amp;"_"&amp;$AE354,符文权重!$A:$A&amp;"_"&amp;符文权重!$C:$C,符文权重!$D:$D)*$Y354/SUMIFS($Y:$Y,G:G,G354,$D:$D,$D354,$AE:$AE,$AE354)/SUMIF(符文权重!$A:$A,$D354,符文权重!$D:$D)))</f>
        <v/>
      </c>
      <c r="N354" s="51" cm="1">
        <f t="array" ref="N354">IF($A354="","",IF(H354="","",_xlfn.XLOOKUP($D354&amp;"_"&amp;$AE354,符文权重!$A:$A&amp;"_"&amp;符文权重!$C:$C,符文权重!$D:$D)*$Y354/SUMIFS($Y:$Y,H:H,H354,$D:$D,$D354,$AE:$AE,$AE354)/SUMIF(符文权重!$A:$A,$D354,符文权重!$D:$D)))</f>
        <v>0.00375</v>
      </c>
      <c r="O354" s="51" t="str" cm="1">
        <f t="array" ref="O354">IF($A354="","",IF(I354="","",_xlfn.XLOOKUP($D354&amp;"_"&amp;$AE354,符文权重!$A:$A&amp;"_"&amp;符文权重!$C:$C,符文权重!$D:$D)*$Y354/SUMIFS($Y:$Y,I:I,I354,$D:$D,$D354,$AE:$AE,$AE354)/SUMIF(符文权重!$A:$A,$D354,符文权重!$D:$D)))</f>
        <v/>
      </c>
      <c r="P354" s="51" t="str" cm="1">
        <f t="array" ref="P354">IF($A354="","",IF(J354="","",_xlfn.XLOOKUP($D354&amp;"_"&amp;$AE354,符文权重!$A:$A&amp;"_"&amp;符文权重!$C:$C,符文权重!$D:$D)*$Y354/SUMIFS($Y:$Y,J:J,J354,$D:$D,$D354,$AE:$AE,$AE354)/SUMIF(符文权重!$A:$A,$D354,符文权重!$D:$D)))</f>
        <v/>
      </c>
      <c r="Q354" s="51" t="str" cm="1">
        <f t="array" ref="Q354">IF($A354="","",IF(K354="","",_xlfn.XLOOKUP($D354&amp;"_"&amp;$AE354,符文权重!$A:$A&amp;"_"&amp;符文权重!$C:$C,符文权重!$D:$D)*$Y354/SUMIFS($Y:$Y,K:K,K354,$D:$D,$D354,$AE:$AE,$AE354)/SUMIF(符文权重!$A:$A,$D354,符文权重!$D:$D)))</f>
        <v/>
      </c>
      <c r="R354" s="51" t="str" cm="1">
        <f t="array" ref="R354">IF($A354="","",IF(L354="","",_xlfn.XLOOKUP($D354&amp;"_"&amp;$AE354,符文权重!$A:$A&amp;"_"&amp;符文权重!$C:$C,符文权重!$D:$D)*$Y354/SUMIFS($Y:$Y,L:L,L354,$D:$D,$D354,$AE:$AE,$AE354)/SUMIF(符文权重!$A:$A,$D354,符文权重!$D:$D)))</f>
        <v/>
      </c>
      <c r="S354" s="36" t="s">
        <v>192</v>
      </c>
      <c r="T354" s="36" t="s">
        <v>202</v>
      </c>
      <c r="U354" s="36" t="s">
        <v>423</v>
      </c>
      <c r="V354" s="52" t="s">
        <v>459</v>
      </c>
      <c r="Y354" s="35">
        <v>100</v>
      </c>
      <c r="AA354" s="42" t="s">
        <v>187</v>
      </c>
      <c r="AB354" s="42" t="str">
        <f t="shared" si="183"/>
        <v>战士充能后，首次伤害&lt;color=#54b76b&gt;+140%&lt;/color&gt;
</v>
      </c>
      <c r="AC354" s="48" t="s">
        <v>453</v>
      </c>
      <c r="AD354" s="42" t="s">
        <v>460</v>
      </c>
      <c r="AE354" s="36">
        <v>5</v>
      </c>
      <c r="AF354" s="36"/>
      <c r="AG354" s="36">
        <v>0</v>
      </c>
      <c r="AH354" s="35">
        <v>1</v>
      </c>
      <c r="AI354" s="48">
        <v>5505035</v>
      </c>
      <c r="AJ354" s="53" t="s">
        <v>452</v>
      </c>
      <c r="AK354" s="36">
        <v>140</v>
      </c>
      <c r="AL354" s="35">
        <v>5</v>
      </c>
    </row>
    <row r="355" hidden="1" customHeight="1" spans="1:38">
      <c r="A355" s="48">
        <v>5505036</v>
      </c>
      <c r="B355" s="35" t="s">
        <v>452</v>
      </c>
      <c r="C355" s="48" t="s">
        <v>453</v>
      </c>
      <c r="D355" s="42">
        <v>6</v>
      </c>
      <c r="E355" s="42"/>
      <c r="F355" s="36" t="s">
        <v>211</v>
      </c>
      <c r="G355" s="36" t="str">
        <f t="shared" si="180"/>
        <v/>
      </c>
      <c r="H355" s="36">
        <f>IFERROR(IF(--MID($F355,2*COUNTIF($G355:G355,"&gt;"&amp;0)+2,1)=H$1,H$1,""),"")</f>
        <v>2</v>
      </c>
      <c r="I355" s="36" t="str">
        <f>IFERROR(IF(--MID($F355,2*COUNTIF($G355:H355,"&gt;"&amp;0)+2,1)=I$1,I$1,""),"")</f>
        <v/>
      </c>
      <c r="J355" s="36" t="str">
        <f>IFERROR(IF(--MID($F355,2*COUNTIF($G355:I355,"&gt;"&amp;0)+2,1)=J$1,J$1,""),"")</f>
        <v/>
      </c>
      <c r="K355" s="36" t="str">
        <f>IFERROR(IF(--MID($F355,2*COUNTIF($G355:J355,"&gt;"&amp;0)+2,1)=K$1,K$1,""),"")</f>
        <v/>
      </c>
      <c r="L355" s="36" t="str">
        <f>IFERROR(IF(--MID($F355,2*COUNTIF($G355:K355,"&gt;"&amp;0)+2,1)=L$1,L$1,""),"")</f>
        <v/>
      </c>
      <c r="M355" s="51" t="str" cm="1">
        <f t="array" ref="M355">IF($A355="","",IF(G355="","",_xlfn.XLOOKUP($D355&amp;"_"&amp;$AE355,符文权重!$A:$A&amp;"_"&amp;符文权重!$C:$C,符文权重!$D:$D)*$Y355/SUMIFS($Y:$Y,G:G,G355,$D:$D,$D355,$AE:$AE,$AE355)/SUMIF(符文权重!$A:$A,$D355,符文权重!$D:$D)))</f>
        <v/>
      </c>
      <c r="N355" s="51" cm="1">
        <f t="array" ref="N355">IF($A355="","",IF(H355="","",_xlfn.XLOOKUP($D355&amp;"_"&amp;$AE355,符文权重!$A:$A&amp;"_"&amp;符文权重!$C:$C,符文权重!$D:$D)*$Y355/SUMIFS($Y:$Y,H:H,H355,$D:$D,$D355,$AE:$AE,$AE355)/SUMIF(符文权重!$A:$A,$D355,符文权重!$D:$D)))</f>
        <v>0.00375</v>
      </c>
      <c r="O355" s="51" t="str" cm="1">
        <f t="array" ref="O355">IF($A355="","",IF(I355="","",_xlfn.XLOOKUP($D355&amp;"_"&amp;$AE355,符文权重!$A:$A&amp;"_"&amp;符文权重!$C:$C,符文权重!$D:$D)*$Y355/SUMIFS($Y:$Y,I:I,I355,$D:$D,$D355,$AE:$AE,$AE355)/SUMIF(符文权重!$A:$A,$D355,符文权重!$D:$D)))</f>
        <v/>
      </c>
      <c r="P355" s="51" t="str" cm="1">
        <f t="array" ref="P355">IF($A355="","",IF(J355="","",_xlfn.XLOOKUP($D355&amp;"_"&amp;$AE355,符文权重!$A:$A&amp;"_"&amp;符文权重!$C:$C,符文权重!$D:$D)*$Y355/SUMIFS($Y:$Y,J:J,J355,$D:$D,$D355,$AE:$AE,$AE355)/SUMIF(符文权重!$A:$A,$D355,符文权重!$D:$D)))</f>
        <v/>
      </c>
      <c r="Q355" s="51" t="str" cm="1">
        <f t="array" ref="Q355">IF($A355="","",IF(K355="","",_xlfn.XLOOKUP($D355&amp;"_"&amp;$AE355,符文权重!$A:$A&amp;"_"&amp;符文权重!$C:$C,符文权重!$D:$D)*$Y355/SUMIFS($Y:$Y,K:K,K355,$D:$D,$D355,$AE:$AE,$AE355)/SUMIF(符文权重!$A:$A,$D355,符文权重!$D:$D)))</f>
        <v/>
      </c>
      <c r="R355" s="51" t="str" cm="1">
        <f t="array" ref="R355">IF($A355="","",IF(L355="","",_xlfn.XLOOKUP($D355&amp;"_"&amp;$AE355,符文权重!$A:$A&amp;"_"&amp;符文权重!$C:$C,符文权重!$D:$D)*$Y355/SUMIFS($Y:$Y,L:L,L355,$D:$D,$D355,$AE:$AE,$AE355)/SUMIF(符文权重!$A:$A,$D355,符文权重!$D:$D)))</f>
        <v/>
      </c>
      <c r="S355" s="36" t="s">
        <v>192</v>
      </c>
      <c r="T355" s="36" t="s">
        <v>202</v>
      </c>
      <c r="U355" s="36" t="s">
        <v>426</v>
      </c>
      <c r="V355" s="52" t="s">
        <v>461</v>
      </c>
      <c r="Y355" s="35">
        <v>100</v>
      </c>
      <c r="AA355" s="42" t="s">
        <v>189</v>
      </c>
      <c r="AB355" s="42" t="str">
        <f t="shared" si="183"/>
        <v>战士充能后，首次伤害&lt;color=#54b76b&gt;+200%&lt;/color&gt;
</v>
      </c>
      <c r="AC355" s="48" t="s">
        <v>453</v>
      </c>
      <c r="AD355" s="42" t="s">
        <v>462</v>
      </c>
      <c r="AE355" s="36">
        <v>5</v>
      </c>
      <c r="AF355" s="36"/>
      <c r="AG355" s="36">
        <v>0</v>
      </c>
      <c r="AH355" s="35">
        <v>1</v>
      </c>
      <c r="AI355" s="48">
        <v>5505036</v>
      </c>
      <c r="AJ355" s="53" t="s">
        <v>452</v>
      </c>
      <c r="AK355" s="36">
        <v>200</v>
      </c>
      <c r="AL355" s="35">
        <v>5</v>
      </c>
    </row>
    <row r="356" hidden="1" customHeight="1" spans="1:38">
      <c r="A356" s="48">
        <v>5505037</v>
      </c>
      <c r="B356" s="35" t="s">
        <v>452</v>
      </c>
      <c r="C356" s="48" t="s">
        <v>453</v>
      </c>
      <c r="D356" s="42">
        <v>7</v>
      </c>
      <c r="E356" s="42"/>
      <c r="F356" s="36" t="s">
        <v>211</v>
      </c>
      <c r="G356" s="36" t="str">
        <f t="shared" si="180"/>
        <v/>
      </c>
      <c r="H356" s="36">
        <f>IFERROR(IF(--MID($F356,2*COUNTIF($G356:G356,"&gt;"&amp;0)+2,1)=H$1,H$1,""),"")</f>
        <v>2</v>
      </c>
      <c r="I356" s="36" t="str">
        <f>IFERROR(IF(--MID($F356,2*COUNTIF($G356:H356,"&gt;"&amp;0)+2,1)=I$1,I$1,""),"")</f>
        <v/>
      </c>
      <c r="J356" s="36" t="str">
        <f>IFERROR(IF(--MID($F356,2*COUNTIF($G356:I356,"&gt;"&amp;0)+2,1)=J$1,J$1,""),"")</f>
        <v/>
      </c>
      <c r="K356" s="36" t="str">
        <f>IFERROR(IF(--MID($F356,2*COUNTIF($G356:J356,"&gt;"&amp;0)+2,1)=K$1,K$1,""),"")</f>
        <v/>
      </c>
      <c r="L356" s="36" t="str">
        <f>IFERROR(IF(--MID($F356,2*COUNTIF($G356:K356,"&gt;"&amp;0)+2,1)=L$1,L$1,""),"")</f>
        <v/>
      </c>
      <c r="M356" s="51" t="str" cm="1">
        <f t="array" ref="M356">IF($A356="","",IF(G356="","",_xlfn.XLOOKUP($D356&amp;"_"&amp;$AE356,符文权重!$A:$A&amp;"_"&amp;符文权重!$C:$C,符文权重!$D:$D)*$Y356/SUMIFS($Y:$Y,G:G,G356,$D:$D,$D356,$AE:$AE,$AE356)/SUMIF(符文权重!$A:$A,$D356,符文权重!$D:$D)))</f>
        <v/>
      </c>
      <c r="N356" s="51" cm="1">
        <f t="array" ref="N356">IF($A356="","",IF(H356="","",_xlfn.XLOOKUP($D356&amp;"_"&amp;$AE356,符文权重!$A:$A&amp;"_"&amp;符文权重!$C:$C,符文权重!$D:$D)*$Y356/SUMIFS($Y:$Y,H:H,H356,$D:$D,$D356,$AE:$AE,$AE356)/SUMIF(符文权重!$A:$A,$D356,符文权重!$D:$D)))</f>
        <v>0.00375</v>
      </c>
      <c r="O356" s="51" t="str" cm="1">
        <f t="array" ref="O356">IF($A356="","",IF(I356="","",_xlfn.XLOOKUP($D356&amp;"_"&amp;$AE356,符文权重!$A:$A&amp;"_"&amp;符文权重!$C:$C,符文权重!$D:$D)*$Y356/SUMIFS($Y:$Y,I:I,I356,$D:$D,$D356,$AE:$AE,$AE356)/SUMIF(符文权重!$A:$A,$D356,符文权重!$D:$D)))</f>
        <v/>
      </c>
      <c r="P356" s="51" t="str" cm="1">
        <f t="array" ref="P356">IF($A356="","",IF(J356="","",_xlfn.XLOOKUP($D356&amp;"_"&amp;$AE356,符文权重!$A:$A&amp;"_"&amp;符文权重!$C:$C,符文权重!$D:$D)*$Y356/SUMIFS($Y:$Y,J:J,J356,$D:$D,$D356,$AE:$AE,$AE356)/SUMIF(符文权重!$A:$A,$D356,符文权重!$D:$D)))</f>
        <v/>
      </c>
      <c r="Q356" s="51" t="str" cm="1">
        <f t="array" ref="Q356">IF($A356="","",IF(K356="","",_xlfn.XLOOKUP($D356&amp;"_"&amp;$AE356,符文权重!$A:$A&amp;"_"&amp;符文权重!$C:$C,符文权重!$D:$D)*$Y356/SUMIFS($Y:$Y,K:K,K356,$D:$D,$D356,$AE:$AE,$AE356)/SUMIF(符文权重!$A:$A,$D356,符文权重!$D:$D)))</f>
        <v/>
      </c>
      <c r="R356" s="51" t="str" cm="1">
        <f t="array" ref="R356">IF($A356="","",IF(L356="","",_xlfn.XLOOKUP($D356&amp;"_"&amp;$AE356,符文权重!$A:$A&amp;"_"&amp;符文权重!$C:$C,符文权重!$D:$D)*$Y356/SUMIFS($Y:$Y,L:L,L356,$D:$D,$D356,$AE:$AE,$AE356)/SUMIF(符文权重!$A:$A,$D356,符文权重!$D:$D)))</f>
        <v/>
      </c>
      <c r="S356" s="36" t="s">
        <v>192</v>
      </c>
      <c r="T356" s="36" t="s">
        <v>202</v>
      </c>
      <c r="U356" s="36" t="s">
        <v>429</v>
      </c>
      <c r="V356" s="52" t="s">
        <v>463</v>
      </c>
      <c r="Y356" s="35">
        <v>100</v>
      </c>
      <c r="AA356" s="42" t="s">
        <v>191</v>
      </c>
      <c r="AB356" s="42" t="str">
        <f t="shared" si="183"/>
        <v>战士充能后，首次伤害&lt;color=#54b76b&gt;+260%&lt;/color&gt;
</v>
      </c>
      <c r="AC356" s="48" t="s">
        <v>453</v>
      </c>
      <c r="AD356" s="42" t="s">
        <v>464</v>
      </c>
      <c r="AE356" s="36">
        <v>5</v>
      </c>
      <c r="AF356" s="36"/>
      <c r="AG356" s="36">
        <v>0</v>
      </c>
      <c r="AH356" s="35">
        <v>1</v>
      </c>
      <c r="AI356" s="48">
        <v>5505037</v>
      </c>
      <c r="AJ356" s="53" t="s">
        <v>452</v>
      </c>
      <c r="AK356" s="36">
        <v>260</v>
      </c>
      <c r="AL356" s="35">
        <v>5</v>
      </c>
    </row>
    <row r="357" s="25" customFormat="1" hidden="1" customHeight="1" spans="1:38">
      <c r="A357" s="48" t="s">
        <v>178</v>
      </c>
      <c r="B357" s="35"/>
      <c r="C357" s="48" t="s">
        <v>178</v>
      </c>
      <c r="D357" s="42" t="s">
        <v>178</v>
      </c>
      <c r="E357" s="42"/>
      <c r="F357" s="36"/>
      <c r="G357" s="36" t="str">
        <f t="shared" si="180"/>
        <v/>
      </c>
      <c r="H357" s="36" t="str">
        <f>IFERROR(IF(--MID($F357,2*COUNTIF($G357:G357,"&gt;"&amp;0)+2,1)=H$1,H$1,""),"")</f>
        <v/>
      </c>
      <c r="I357" s="36" t="str">
        <f>IFERROR(IF(--MID($F357,2*COUNTIF($G357:H357,"&gt;"&amp;0)+2,1)=I$1,I$1,""),"")</f>
        <v/>
      </c>
      <c r="J357" s="36" t="str">
        <f>IFERROR(IF(--MID($F357,2*COUNTIF($G357:I357,"&gt;"&amp;0)+2,1)=J$1,J$1,""),"")</f>
        <v/>
      </c>
      <c r="K357" s="36" t="str">
        <f>IFERROR(IF(--MID($F357,2*COUNTIF($G357:J357,"&gt;"&amp;0)+2,1)=K$1,K$1,""),"")</f>
        <v/>
      </c>
      <c r="L357" s="36" t="str">
        <f>IFERROR(IF(--MID($F357,2*COUNTIF($G357:K357,"&gt;"&amp;0)+2,1)=L$1,L$1,""),"")</f>
        <v/>
      </c>
      <c r="M357" s="51" t="str" cm="1">
        <f t="array" ref="M357">IF($A357="","",IF(G357="","",_xlfn.XLOOKUP($D357&amp;"_"&amp;$AE357,符文权重!$A:$A&amp;"_"&amp;符文权重!$C:$C,符文权重!$D:$D)*$Y357/SUMIFS($Y:$Y,G:G,G357,$D:$D,$D357,$AE:$AE,$AE357)/SUMIF(符文权重!$A:$A,$D357,符文权重!$D:$D)))</f>
        <v/>
      </c>
      <c r="N357" s="36" t="str" cm="1">
        <f t="array" ref="N357">IF($A357="","",IF(H357="","",_xlfn.XLOOKUP($D357&amp;"_"&amp;$AE357,符文权重!$A:$A&amp;"_"&amp;符文权重!$C:$C,符文权重!$D:$D)*$Y357/SUMIFS($Y:$Y,H:H,H357,$D:$D,$D$6,$AE:$AE,$AE$6)))</f>
        <v/>
      </c>
      <c r="O357" s="36" t="str" cm="1">
        <f t="array" ref="O357">IF($A357="","",IF(I357="","",_xlfn.XLOOKUP($D357&amp;"_"&amp;$AE357,符文权重!$A:$A&amp;"_"&amp;符文权重!$C:$C,符文权重!$D:$D)*$Y357/SUMIFS($Y:$Y,I:I,I357,$D:$D,$D$6,$AE:$AE,$AE$6)))</f>
        <v/>
      </c>
      <c r="P357" s="36" t="str" cm="1">
        <f t="array" ref="P357">IF($A357="","",IF(J357="","",_xlfn.XLOOKUP($D357&amp;"_"&amp;$AE357,符文权重!$A:$A&amp;"_"&amp;符文权重!$C:$C,符文权重!$D:$D)*$Y357/SUMIFS($Y:$Y,J:J,J357,$D:$D,$D$6,$AE:$AE,$AE$6)))</f>
        <v/>
      </c>
      <c r="Q357" s="36" t="str" cm="1">
        <f t="array" ref="Q357">IF($A357="","",IF(K357="","",_xlfn.XLOOKUP($D357&amp;"_"&amp;$AE357,符文权重!$A:$A&amp;"_"&amp;符文权重!$C:$C,符文权重!$D:$D)*$Y357/SUMIFS($Y:$Y,K:K,K357,$D:$D,$D$6,$AE:$AE,$AE$6)))</f>
        <v/>
      </c>
      <c r="R357" s="36" t="str" cm="1">
        <f t="array" ref="R357">IF($A357="","",IF(L357="","",_xlfn.XLOOKUP($D357&amp;"_"&amp;$AE357,符文权重!$A:$A&amp;"_"&amp;符文权重!$C:$C,符文权重!$D:$D)*$Y357/SUMIFS($Y:$Y,L:L,L357,$D:$D,$D$6,$AE:$AE,$AE$6)))</f>
        <v/>
      </c>
      <c r="S357" s="36"/>
      <c r="T357" s="36"/>
      <c r="U357" s="36"/>
      <c r="W357" s="41"/>
      <c r="X357" s="35"/>
      <c r="Y357" s="35"/>
      <c r="Z357" s="35"/>
      <c r="AA357" s="42" t="s">
        <v>178</v>
      </c>
      <c r="AB357" s="42" t="str">
        <f t="shared" si="183"/>
        <v/>
      </c>
      <c r="AC357" s="48" t="s">
        <v>178</v>
      </c>
      <c r="AD357" s="42" t="s">
        <v>178</v>
      </c>
      <c r="AE357" s="36"/>
      <c r="AF357" s="36"/>
      <c r="AG357" s="36"/>
      <c r="AH357" s="35" t="s">
        <v>178</v>
      </c>
      <c r="AI357" s="33"/>
      <c r="AJ357" s="74"/>
      <c r="AK357" s="36"/>
      <c r="AL357" s="35"/>
    </row>
    <row r="358" s="27" customFormat="1" hidden="1" customHeight="1" spans="1:38">
      <c r="A358" s="57">
        <v>5505041</v>
      </c>
      <c r="B358" s="28" t="s">
        <v>465</v>
      </c>
      <c r="C358" s="57" t="s">
        <v>466</v>
      </c>
      <c r="D358" s="59">
        <v>1</v>
      </c>
      <c r="E358" s="59"/>
      <c r="F358" s="60" t="s">
        <v>193</v>
      </c>
      <c r="G358" s="36" t="str">
        <f t="shared" si="180"/>
        <v/>
      </c>
      <c r="H358" s="36" t="str">
        <f>IFERROR(IF(--MID($F358,2*COUNTIF($G358:G358,"&gt;"&amp;0)+2,1)=H$1,H$1,""),"")</f>
        <v/>
      </c>
      <c r="I358" s="36">
        <f>IFERROR(IF(--MID($F358,2*COUNTIF($G358:H358,"&gt;"&amp;0)+2,1)=I$1,I$1,""),"")</f>
        <v>3</v>
      </c>
      <c r="J358" s="36" t="str">
        <f>IFERROR(IF(--MID($F358,2*COUNTIF($G358:I358,"&gt;"&amp;0)+2,1)=J$1,J$1,""),"")</f>
        <v/>
      </c>
      <c r="K358" s="36" t="str">
        <f>IFERROR(IF(--MID($F358,2*COUNTIF($G358:J358,"&gt;"&amp;0)+2,1)=K$1,K$1,""),"")</f>
        <v/>
      </c>
      <c r="L358" s="36" t="str">
        <f>IFERROR(IF(--MID($F358,2*COUNTIF($G358:K358,"&gt;"&amp;0)+2,1)=L$1,L$1,""),"")</f>
        <v/>
      </c>
      <c r="M358" s="36" t="e" cm="1">
        <f t="array" ref="M358">IF(A358="","",_xlfn.XLOOKUP(D358&amp;"_"&amp;AE358,符文权重!A:A&amp;"_"&amp;符文权重!C:C,符文权重!D:D))</f>
        <v>#N/A</v>
      </c>
      <c r="N358" s="36"/>
      <c r="O358" s="36"/>
      <c r="P358" s="36"/>
      <c r="Q358" s="36"/>
      <c r="R358" s="36"/>
      <c r="S358" s="60" t="s">
        <v>192</v>
      </c>
      <c r="T358" s="60" t="s">
        <v>202</v>
      </c>
      <c r="U358" s="60" t="s">
        <v>413</v>
      </c>
      <c r="V358" s="61" t="s">
        <v>467</v>
      </c>
      <c r="W358" s="67"/>
      <c r="X358" s="28"/>
      <c r="Y358" s="35">
        <v>100</v>
      </c>
      <c r="Z358" s="28"/>
      <c r="AA358" s="59" t="s">
        <v>177</v>
      </c>
      <c r="AB358" s="42" t="str">
        <f t="shared" si="183"/>
        <v>战士能量耗尽后&lt;color=#54b76b&gt;0%&lt;/color&gt;概率立刻快速充能</v>
      </c>
      <c r="AC358" s="57" t="s">
        <v>466</v>
      </c>
      <c r="AD358" s="59" t="s">
        <v>436</v>
      </c>
      <c r="AE358" s="60">
        <v>100</v>
      </c>
      <c r="AF358" s="60"/>
      <c r="AG358" s="60">
        <v>1</v>
      </c>
      <c r="AH358" s="35">
        <v>1</v>
      </c>
      <c r="AI358" s="62">
        <v>5505041</v>
      </c>
      <c r="AJ358" s="73" t="s">
        <v>465</v>
      </c>
      <c r="AK358" s="60">
        <v>0</v>
      </c>
      <c r="AL358" s="35"/>
    </row>
    <row r="359" s="28" customFormat="1" hidden="1" customHeight="1" spans="1:38">
      <c r="A359" s="57">
        <v>5505042</v>
      </c>
      <c r="B359" s="28" t="s">
        <v>465</v>
      </c>
      <c r="C359" s="57" t="s">
        <v>466</v>
      </c>
      <c r="D359" s="59">
        <v>2</v>
      </c>
      <c r="E359" s="59"/>
      <c r="F359" s="60" t="s">
        <v>193</v>
      </c>
      <c r="G359" s="36" t="str">
        <f t="shared" si="180"/>
        <v/>
      </c>
      <c r="H359" s="36" t="str">
        <f>IFERROR(IF(--MID($F359,2*COUNTIF($G359:G359,"&gt;"&amp;0)+2,1)=H$1,H$1,""),"")</f>
        <v/>
      </c>
      <c r="I359" s="36">
        <f>IFERROR(IF(--MID($F359,2*COUNTIF($G359:H359,"&gt;"&amp;0)+2,1)=I$1,I$1,""),"")</f>
        <v>3</v>
      </c>
      <c r="J359" s="36" t="str">
        <f>IFERROR(IF(--MID($F359,2*COUNTIF($G359:I359,"&gt;"&amp;0)+2,1)=J$1,J$1,""),"")</f>
        <v/>
      </c>
      <c r="K359" s="36" t="str">
        <f>IFERROR(IF(--MID($F359,2*COUNTIF($G359:J359,"&gt;"&amp;0)+2,1)=K$1,K$1,""),"")</f>
        <v/>
      </c>
      <c r="L359" s="36" t="str">
        <f>IFERROR(IF(--MID($F359,2*COUNTIF($G359:K359,"&gt;"&amp;0)+2,1)=L$1,L$1,""),"")</f>
        <v/>
      </c>
      <c r="M359" s="36" t="e" cm="1">
        <f t="array" ref="M359">IF(A359="","",_xlfn.XLOOKUP(D359&amp;"_"&amp;AE359,符文权重!A:A&amp;"_"&amp;符文权重!C:C,符文权重!D:D))</f>
        <v>#N/A</v>
      </c>
      <c r="N359" s="36"/>
      <c r="O359" s="36"/>
      <c r="P359" s="36"/>
      <c r="Q359" s="36"/>
      <c r="R359" s="36"/>
      <c r="S359" s="60" t="s">
        <v>192</v>
      </c>
      <c r="T359" s="60" t="s">
        <v>202</v>
      </c>
      <c r="U359" s="60" t="s">
        <v>415</v>
      </c>
      <c r="V359" s="61" t="s">
        <v>468</v>
      </c>
      <c r="W359" s="60"/>
      <c r="Y359" s="35">
        <v>100</v>
      </c>
      <c r="AA359" s="59" t="s">
        <v>181</v>
      </c>
      <c r="AB359" s="42" t="str">
        <f t="shared" si="183"/>
        <v>战士能量耗尽后&lt;color=#54b76b&gt;0%&lt;/color&gt;概率立刻快速充能</v>
      </c>
      <c r="AC359" s="57" t="s">
        <v>466</v>
      </c>
      <c r="AD359" s="59" t="s">
        <v>436</v>
      </c>
      <c r="AE359" s="60">
        <v>100</v>
      </c>
      <c r="AF359" s="60"/>
      <c r="AG359" s="60">
        <v>1</v>
      </c>
      <c r="AH359" s="35">
        <v>1</v>
      </c>
      <c r="AI359" s="57">
        <v>5505042</v>
      </c>
      <c r="AJ359" s="64" t="s">
        <v>465</v>
      </c>
      <c r="AK359" s="60">
        <v>0</v>
      </c>
      <c r="AL359" s="35"/>
    </row>
    <row r="360" s="28" customFormat="1" hidden="1" customHeight="1" spans="1:38">
      <c r="A360" s="57">
        <v>5505043</v>
      </c>
      <c r="B360" s="28" t="s">
        <v>465</v>
      </c>
      <c r="C360" s="57" t="s">
        <v>466</v>
      </c>
      <c r="D360" s="59">
        <v>3</v>
      </c>
      <c r="E360" s="59"/>
      <c r="F360" s="60" t="s">
        <v>193</v>
      </c>
      <c r="G360" s="36" t="str">
        <f t="shared" si="180"/>
        <v/>
      </c>
      <c r="H360" s="36" t="str">
        <f>IFERROR(IF(--MID($F360,2*COUNTIF($G360:G360,"&gt;"&amp;0)+2,1)=H$1,H$1,""),"")</f>
        <v/>
      </c>
      <c r="I360" s="36">
        <f>IFERROR(IF(--MID($F360,2*COUNTIF($G360:H360,"&gt;"&amp;0)+2,1)=I$1,I$1,""),"")</f>
        <v>3</v>
      </c>
      <c r="J360" s="36" t="str">
        <f>IFERROR(IF(--MID($F360,2*COUNTIF($G360:I360,"&gt;"&amp;0)+2,1)=J$1,J$1,""),"")</f>
        <v/>
      </c>
      <c r="K360" s="36" t="str">
        <f>IFERROR(IF(--MID($F360,2*COUNTIF($G360:J360,"&gt;"&amp;0)+2,1)=K$1,K$1,""),"")</f>
        <v/>
      </c>
      <c r="L360" s="36" t="str">
        <f>IFERROR(IF(--MID($F360,2*COUNTIF($G360:K360,"&gt;"&amp;0)+2,1)=L$1,L$1,""),"")</f>
        <v/>
      </c>
      <c r="M360" s="36" t="e" cm="1">
        <f t="array" ref="M360">IF(A360="","",_xlfn.XLOOKUP(D360&amp;"_"&amp;AE360,符文权重!A:A&amp;"_"&amp;符文权重!C:C,符文权重!D:D))</f>
        <v>#N/A</v>
      </c>
      <c r="N360" s="36"/>
      <c r="O360" s="36"/>
      <c r="P360" s="36"/>
      <c r="Q360" s="36"/>
      <c r="R360" s="36"/>
      <c r="S360" s="60" t="s">
        <v>192</v>
      </c>
      <c r="T360" s="60" t="s">
        <v>202</v>
      </c>
      <c r="U360" s="60" t="s">
        <v>417</v>
      </c>
      <c r="V360" s="61" t="s">
        <v>469</v>
      </c>
      <c r="W360" s="60"/>
      <c r="Y360" s="35">
        <v>100</v>
      </c>
      <c r="AA360" s="59" t="s">
        <v>183</v>
      </c>
      <c r="AB360" s="42" t="str">
        <f t="shared" si="183"/>
        <v>战士能量耗尽后&lt;color=#54b76b&gt;0%&lt;/color&gt;概率立刻快速充能</v>
      </c>
      <c r="AC360" s="57" t="s">
        <v>466</v>
      </c>
      <c r="AD360" s="59" t="s">
        <v>436</v>
      </c>
      <c r="AE360" s="60">
        <v>100</v>
      </c>
      <c r="AF360" s="60"/>
      <c r="AG360" s="60">
        <v>1</v>
      </c>
      <c r="AH360" s="35">
        <v>1</v>
      </c>
      <c r="AI360" s="57">
        <v>5505043</v>
      </c>
      <c r="AJ360" s="64" t="s">
        <v>465</v>
      </c>
      <c r="AK360" s="60">
        <v>0</v>
      </c>
      <c r="AL360" s="35"/>
    </row>
    <row r="361" hidden="1" customHeight="1" spans="1:38">
      <c r="A361" s="48">
        <v>5505044</v>
      </c>
      <c r="B361" s="35" t="s">
        <v>465</v>
      </c>
      <c r="C361" s="48" t="s">
        <v>466</v>
      </c>
      <c r="D361" s="42">
        <v>4</v>
      </c>
      <c r="E361" s="42"/>
      <c r="F361" s="36" t="s">
        <v>193</v>
      </c>
      <c r="G361" s="36" t="str">
        <f t="shared" si="180"/>
        <v/>
      </c>
      <c r="H361" s="36" t="str">
        <f>IFERROR(IF(--MID($F361,2*COUNTIF($G361:G361,"&gt;"&amp;0)+2,1)=H$1,H$1,""),"")</f>
        <v/>
      </c>
      <c r="I361" s="36">
        <f>IFERROR(IF(--MID($F361,2*COUNTIF($G361:H361,"&gt;"&amp;0)+2,1)=I$1,I$1,""),"")</f>
        <v>3</v>
      </c>
      <c r="J361" s="36" t="str">
        <f>IFERROR(IF(--MID($F361,2*COUNTIF($G361:I361,"&gt;"&amp;0)+2,1)=J$1,J$1,""),"")</f>
        <v/>
      </c>
      <c r="K361" s="36" t="str">
        <f>IFERROR(IF(--MID($F361,2*COUNTIF($G361:J361,"&gt;"&amp;0)+2,1)=K$1,K$1,""),"")</f>
        <v/>
      </c>
      <c r="L361" s="36" t="str">
        <f>IFERROR(IF(--MID($F361,2*COUNTIF($G361:K361,"&gt;"&amp;0)+2,1)=L$1,L$1,""),"")</f>
        <v/>
      </c>
      <c r="M361" s="51" t="str" cm="1">
        <f t="array" ref="M361">IF($A361="","",IF(G361="","",_xlfn.XLOOKUP($D361&amp;"_"&amp;$AE361,符文权重!$A:$A&amp;"_"&amp;符文权重!$C:$C,符文权重!$D:$D)*$Y361/SUMIFS($Y:$Y,G:G,G361,$D:$D,$D361,$AE:$AE,$AE361)/SUMIF(符文权重!$A:$A,$D361,符文权重!$D:$D)))</f>
        <v/>
      </c>
      <c r="N361" s="51" t="str" cm="1">
        <f t="array" ref="N361">IF($A361="","",IF(H361="","",_xlfn.XLOOKUP($D361&amp;"_"&amp;$AE361,符文权重!$A:$A&amp;"_"&amp;符文权重!$C:$C,符文权重!$D:$D)*$Y361/SUMIFS($Y:$Y,H:H,H361,$D:$D,$D361,$AE:$AE,$AE361)/SUMIF(符文权重!$A:$A,$D361,符文权重!$D:$D)))</f>
        <v/>
      </c>
      <c r="O361" s="51" cm="1">
        <f t="array" ref="O361">IF($A361="","",IF(I361="","",_xlfn.XLOOKUP($D361&amp;"_"&amp;$AE361,符文权重!$A:$A&amp;"_"&amp;符文权重!$C:$C,符文权重!$D:$D)*$Y361/SUMIFS($Y:$Y,I:I,I361,$D:$D,$D361,$AE:$AE,$AE361)/SUMIF(符文权重!$A:$A,$D361,符文权重!$D:$D)))</f>
        <v>0.00356678517598058</v>
      </c>
      <c r="P361" s="51" t="str" cm="1">
        <f t="array" ref="P361">IF($A361="","",IF(J361="","",_xlfn.XLOOKUP($D361&amp;"_"&amp;$AE361,符文权重!$A:$A&amp;"_"&amp;符文权重!$C:$C,符文权重!$D:$D)*$Y361/SUMIFS($Y:$Y,J:J,J361,$D:$D,$D361,$AE:$AE,$AE361)/SUMIF(符文权重!$A:$A,$D361,符文权重!$D:$D)))</f>
        <v/>
      </c>
      <c r="Q361" s="51" t="str" cm="1">
        <f t="array" ref="Q361">IF($A361="","",IF(K361="","",_xlfn.XLOOKUP($D361&amp;"_"&amp;$AE361,符文权重!$A:$A&amp;"_"&amp;符文权重!$C:$C,符文权重!$D:$D)*$Y361/SUMIFS($Y:$Y,K:K,K361,$D:$D,$D361,$AE:$AE,$AE361)/SUMIF(符文权重!$A:$A,$D361,符文权重!$D:$D)))</f>
        <v/>
      </c>
      <c r="R361" s="51" t="str" cm="1">
        <f t="array" ref="R361">IF($A361="","",IF(L361="","",_xlfn.XLOOKUP($D361&amp;"_"&amp;$AE361,符文权重!$A:$A&amp;"_"&amp;符文权重!$C:$C,符文权重!$D:$D)*$Y361/SUMIFS($Y:$Y,L:L,L361,$D:$D,$D361,$AE:$AE,$AE361)/SUMIF(符文权重!$A:$A,$D361,符文权重!$D:$D)))</f>
        <v/>
      </c>
      <c r="S361" s="36" t="s">
        <v>192</v>
      </c>
      <c r="T361" s="36" t="s">
        <v>202</v>
      </c>
      <c r="U361" s="36" t="s">
        <v>420</v>
      </c>
      <c r="V361" s="52" t="s">
        <v>470</v>
      </c>
      <c r="Y361" s="35">
        <v>4</v>
      </c>
      <c r="AA361" s="42" t="s">
        <v>185</v>
      </c>
      <c r="AB361" s="42" t="str">
        <f t="shared" si="183"/>
        <v>战士能量耗尽后&lt;color=#54b76b&gt;20%&lt;/color&gt;概率立刻快速充能</v>
      </c>
      <c r="AC361" s="48" t="s">
        <v>466</v>
      </c>
      <c r="AD361" s="42" t="s">
        <v>428</v>
      </c>
      <c r="AE361" s="36">
        <v>3</v>
      </c>
      <c r="AF361" s="36"/>
      <c r="AG361" s="36">
        <v>0</v>
      </c>
      <c r="AH361" s="35">
        <v>1</v>
      </c>
      <c r="AI361" s="48">
        <v>5505044</v>
      </c>
      <c r="AJ361" s="53" t="s">
        <v>465</v>
      </c>
      <c r="AK361" s="36">
        <v>20</v>
      </c>
      <c r="AL361" s="35">
        <v>5</v>
      </c>
    </row>
    <row r="362" hidden="1" customHeight="1" spans="1:38">
      <c r="A362" s="48">
        <v>5505045</v>
      </c>
      <c r="B362" s="35" t="s">
        <v>465</v>
      </c>
      <c r="C362" s="48" t="s">
        <v>466</v>
      </c>
      <c r="D362" s="42">
        <v>5</v>
      </c>
      <c r="E362" s="42"/>
      <c r="F362" s="36" t="s">
        <v>193</v>
      </c>
      <c r="G362" s="36" t="str">
        <f t="shared" si="180"/>
        <v/>
      </c>
      <c r="H362" s="36" t="str">
        <f>IFERROR(IF(--MID($F362,2*COUNTIF($G362:G362,"&gt;"&amp;0)+2,1)=H$1,H$1,""),"")</f>
        <v/>
      </c>
      <c r="I362" s="36">
        <f>IFERROR(IF(--MID($F362,2*COUNTIF($G362:H362,"&gt;"&amp;0)+2,1)=I$1,I$1,""),"")</f>
        <v>3</v>
      </c>
      <c r="J362" s="36" t="str">
        <f>IFERROR(IF(--MID($F362,2*COUNTIF($G362:I362,"&gt;"&amp;0)+2,1)=J$1,J$1,""),"")</f>
        <v/>
      </c>
      <c r="K362" s="36" t="str">
        <f>IFERROR(IF(--MID($F362,2*COUNTIF($G362:J362,"&gt;"&amp;0)+2,1)=K$1,K$1,""),"")</f>
        <v/>
      </c>
      <c r="L362" s="36" t="str">
        <f>IFERROR(IF(--MID($F362,2*COUNTIF($G362:K362,"&gt;"&amp;0)+2,1)=L$1,L$1,""),"")</f>
        <v/>
      </c>
      <c r="M362" s="51" t="str" cm="1">
        <f t="array" ref="M362">IF($A362="","",IF(G362="","",_xlfn.XLOOKUP($D362&amp;"_"&amp;$AE362,符文权重!$A:$A&amp;"_"&amp;符文权重!$C:$C,符文权重!$D:$D)*$Y362/SUMIFS($Y:$Y,G:G,G362,$D:$D,$D362,$AE:$AE,$AE362)/SUMIF(符文权重!$A:$A,$D362,符文权重!$D:$D)))</f>
        <v/>
      </c>
      <c r="N362" s="51" t="str" cm="1">
        <f t="array" ref="N362">IF($A362="","",IF(H362="","",_xlfn.XLOOKUP($D362&amp;"_"&amp;$AE362,符文权重!$A:$A&amp;"_"&amp;符文权重!$C:$C,符文权重!$D:$D)*$Y362/SUMIFS($Y:$Y,H:H,H362,$D:$D,$D362,$AE:$AE,$AE362)/SUMIF(符文权重!$A:$A,$D362,符文权重!$D:$D)))</f>
        <v/>
      </c>
      <c r="O362" s="51" cm="1">
        <f t="array" ref="O362">IF($A362="","",IF(I362="","",_xlfn.XLOOKUP($D362&amp;"_"&amp;$AE362,符文权重!$A:$A&amp;"_"&amp;符文权重!$C:$C,符文权重!$D:$D)*$Y362/SUMIFS($Y:$Y,I:I,I362,$D:$D,$D362,$AE:$AE,$AE362)/SUMIF(符文权重!$A:$A,$D362,符文权重!$D:$D)))</f>
        <v>0.0075</v>
      </c>
      <c r="P362" s="51" t="str" cm="1">
        <f t="array" ref="P362">IF($A362="","",IF(J362="","",_xlfn.XLOOKUP($D362&amp;"_"&amp;$AE362,符文权重!$A:$A&amp;"_"&amp;符文权重!$C:$C,符文权重!$D:$D)*$Y362/SUMIFS($Y:$Y,J:J,J362,$D:$D,$D362,$AE:$AE,$AE362)/SUMIF(符文权重!$A:$A,$D362,符文权重!$D:$D)))</f>
        <v/>
      </c>
      <c r="Q362" s="51" t="str" cm="1">
        <f t="array" ref="Q362">IF($A362="","",IF(K362="","",_xlfn.XLOOKUP($D362&amp;"_"&amp;$AE362,符文权重!$A:$A&amp;"_"&amp;符文权重!$C:$C,符文权重!$D:$D)*$Y362/SUMIFS($Y:$Y,K:K,K362,$D:$D,$D362,$AE:$AE,$AE362)/SUMIF(符文权重!$A:$A,$D362,符文权重!$D:$D)))</f>
        <v/>
      </c>
      <c r="R362" s="51" t="str" cm="1">
        <f t="array" ref="R362">IF($A362="","",IF(L362="","",_xlfn.XLOOKUP($D362&amp;"_"&amp;$AE362,符文权重!$A:$A&amp;"_"&amp;符文权重!$C:$C,符文权重!$D:$D)*$Y362/SUMIFS($Y:$Y,L:L,L362,$D:$D,$D362,$AE:$AE,$AE362)/SUMIF(符文权重!$A:$A,$D362,符文权重!$D:$D)))</f>
        <v/>
      </c>
      <c r="S362" s="36" t="s">
        <v>192</v>
      </c>
      <c r="T362" s="36" t="s">
        <v>202</v>
      </c>
      <c r="U362" s="36" t="s">
        <v>423</v>
      </c>
      <c r="V362" s="52" t="s">
        <v>471</v>
      </c>
      <c r="Y362" s="35">
        <v>100</v>
      </c>
      <c r="AA362" s="42" t="s">
        <v>187</v>
      </c>
      <c r="AB362" s="42" t="str">
        <f t="shared" si="183"/>
        <v>战士能量耗尽后&lt;color=#54b76b&gt;32%&lt;/color&gt;概率立刻快速充能</v>
      </c>
      <c r="AC362" s="48" t="s">
        <v>466</v>
      </c>
      <c r="AD362" s="42" t="s">
        <v>472</v>
      </c>
      <c r="AE362" s="36">
        <v>5</v>
      </c>
      <c r="AF362" s="36"/>
      <c r="AG362" s="36">
        <v>0</v>
      </c>
      <c r="AH362" s="35">
        <v>1</v>
      </c>
      <c r="AI362" s="48">
        <v>5505045</v>
      </c>
      <c r="AJ362" s="53" t="s">
        <v>465</v>
      </c>
      <c r="AK362" s="36">
        <v>32</v>
      </c>
      <c r="AL362" s="35">
        <v>5</v>
      </c>
    </row>
    <row r="363" hidden="1" customHeight="1" spans="1:38">
      <c r="A363" s="48">
        <v>5505046</v>
      </c>
      <c r="B363" s="35" t="s">
        <v>465</v>
      </c>
      <c r="C363" s="48" t="s">
        <v>466</v>
      </c>
      <c r="D363" s="42">
        <v>6</v>
      </c>
      <c r="E363" s="42"/>
      <c r="F363" s="36" t="s">
        <v>193</v>
      </c>
      <c r="G363" s="36" t="str">
        <f t="shared" si="180"/>
        <v/>
      </c>
      <c r="H363" s="36" t="str">
        <f>IFERROR(IF(--MID($F363,2*COUNTIF($G363:G363,"&gt;"&amp;0)+2,1)=H$1,H$1,""),"")</f>
        <v/>
      </c>
      <c r="I363" s="36">
        <f>IFERROR(IF(--MID($F363,2*COUNTIF($G363:H363,"&gt;"&amp;0)+2,1)=I$1,I$1,""),"")</f>
        <v>3</v>
      </c>
      <c r="J363" s="36" t="str">
        <f>IFERROR(IF(--MID($F363,2*COUNTIF($G363:I363,"&gt;"&amp;0)+2,1)=J$1,J$1,""),"")</f>
        <v/>
      </c>
      <c r="K363" s="36" t="str">
        <f>IFERROR(IF(--MID($F363,2*COUNTIF($G363:J363,"&gt;"&amp;0)+2,1)=K$1,K$1,""),"")</f>
        <v/>
      </c>
      <c r="L363" s="36" t="str">
        <f>IFERROR(IF(--MID($F363,2*COUNTIF($G363:K363,"&gt;"&amp;0)+2,1)=L$1,L$1,""),"")</f>
        <v/>
      </c>
      <c r="M363" s="51" t="str" cm="1">
        <f t="array" ref="M363">IF($A363="","",IF(G363="","",_xlfn.XLOOKUP($D363&amp;"_"&amp;$AE363,符文权重!$A:$A&amp;"_"&amp;符文权重!$C:$C,符文权重!$D:$D)*$Y363/SUMIFS($Y:$Y,G:G,G363,$D:$D,$D363,$AE:$AE,$AE363)/SUMIF(符文权重!$A:$A,$D363,符文权重!$D:$D)))</f>
        <v/>
      </c>
      <c r="N363" s="51" t="str" cm="1">
        <f t="array" ref="N363">IF($A363="","",IF(H363="","",_xlfn.XLOOKUP($D363&amp;"_"&amp;$AE363,符文权重!$A:$A&amp;"_"&amp;符文权重!$C:$C,符文权重!$D:$D)*$Y363/SUMIFS($Y:$Y,H:H,H363,$D:$D,$D363,$AE:$AE,$AE363)/SUMIF(符文权重!$A:$A,$D363,符文权重!$D:$D)))</f>
        <v/>
      </c>
      <c r="O363" s="51" cm="1">
        <f t="array" ref="O363">IF($A363="","",IF(I363="","",_xlfn.XLOOKUP($D363&amp;"_"&amp;$AE363,符文权重!$A:$A&amp;"_"&amp;符文权重!$C:$C,符文权重!$D:$D)*$Y363/SUMIFS($Y:$Y,I:I,I363,$D:$D,$D363,$AE:$AE,$AE363)/SUMIF(符文权重!$A:$A,$D363,符文权重!$D:$D)))</f>
        <v>0.0075</v>
      </c>
      <c r="P363" s="51" t="str" cm="1">
        <f t="array" ref="P363">IF($A363="","",IF(J363="","",_xlfn.XLOOKUP($D363&amp;"_"&amp;$AE363,符文权重!$A:$A&amp;"_"&amp;符文权重!$C:$C,符文权重!$D:$D)*$Y363/SUMIFS($Y:$Y,J:J,J363,$D:$D,$D363,$AE:$AE,$AE363)/SUMIF(符文权重!$A:$A,$D363,符文权重!$D:$D)))</f>
        <v/>
      </c>
      <c r="Q363" s="51" t="str" cm="1">
        <f t="array" ref="Q363">IF($A363="","",IF(K363="","",_xlfn.XLOOKUP($D363&amp;"_"&amp;$AE363,符文权重!$A:$A&amp;"_"&amp;符文权重!$C:$C,符文权重!$D:$D)*$Y363/SUMIFS($Y:$Y,K:K,K363,$D:$D,$D363,$AE:$AE,$AE363)/SUMIF(符文权重!$A:$A,$D363,符文权重!$D:$D)))</f>
        <v/>
      </c>
      <c r="R363" s="51" t="str" cm="1">
        <f t="array" ref="R363">IF($A363="","",IF(L363="","",_xlfn.XLOOKUP($D363&amp;"_"&amp;$AE363,符文权重!$A:$A&amp;"_"&amp;符文权重!$C:$C,符文权重!$D:$D)*$Y363/SUMIFS($Y:$Y,L:L,L363,$D:$D,$D363,$AE:$AE,$AE363)/SUMIF(符文权重!$A:$A,$D363,符文权重!$D:$D)))</f>
        <v/>
      </c>
      <c r="S363" s="36" t="s">
        <v>192</v>
      </c>
      <c r="T363" s="36" t="s">
        <v>202</v>
      </c>
      <c r="U363" s="36" t="s">
        <v>426</v>
      </c>
      <c r="V363" s="52" t="s">
        <v>473</v>
      </c>
      <c r="Y363" s="35">
        <v>100</v>
      </c>
      <c r="AA363" s="42" t="s">
        <v>189</v>
      </c>
      <c r="AB363" s="42" t="str">
        <f t="shared" si="183"/>
        <v>战士能量耗尽后&lt;color=#54b76b&gt;45%&lt;/color&gt;概率立刻快速充能</v>
      </c>
      <c r="AC363" s="48" t="s">
        <v>466</v>
      </c>
      <c r="AD363" s="42" t="s">
        <v>474</v>
      </c>
      <c r="AE363" s="36">
        <v>5</v>
      </c>
      <c r="AF363" s="36"/>
      <c r="AG363" s="36">
        <v>0</v>
      </c>
      <c r="AH363" s="35">
        <v>1</v>
      </c>
      <c r="AI363" s="48">
        <v>5505046</v>
      </c>
      <c r="AJ363" s="53" t="s">
        <v>465</v>
      </c>
      <c r="AK363" s="36">
        <v>45</v>
      </c>
      <c r="AL363" s="35">
        <v>5</v>
      </c>
    </row>
    <row r="364" hidden="1" customHeight="1" spans="1:38">
      <c r="A364" s="48">
        <v>5505047</v>
      </c>
      <c r="B364" s="35" t="s">
        <v>465</v>
      </c>
      <c r="C364" s="48" t="s">
        <v>466</v>
      </c>
      <c r="D364" s="42">
        <v>7</v>
      </c>
      <c r="E364" s="42"/>
      <c r="F364" s="36" t="s">
        <v>193</v>
      </c>
      <c r="G364" s="36" t="str">
        <f t="shared" si="180"/>
        <v/>
      </c>
      <c r="H364" s="36" t="str">
        <f>IFERROR(IF(--MID($F364,2*COUNTIF($G364:G364,"&gt;"&amp;0)+2,1)=H$1,H$1,""),"")</f>
        <v/>
      </c>
      <c r="I364" s="36">
        <f>IFERROR(IF(--MID($F364,2*COUNTIF($G364:H364,"&gt;"&amp;0)+2,1)=I$1,I$1,""),"")</f>
        <v>3</v>
      </c>
      <c r="J364" s="36" t="str">
        <f>IFERROR(IF(--MID($F364,2*COUNTIF($G364:I364,"&gt;"&amp;0)+2,1)=J$1,J$1,""),"")</f>
        <v/>
      </c>
      <c r="K364" s="36" t="str">
        <f>IFERROR(IF(--MID($F364,2*COUNTIF($G364:J364,"&gt;"&amp;0)+2,1)=K$1,K$1,""),"")</f>
        <v/>
      </c>
      <c r="L364" s="36" t="str">
        <f>IFERROR(IF(--MID($F364,2*COUNTIF($G364:K364,"&gt;"&amp;0)+2,1)=L$1,L$1,""),"")</f>
        <v/>
      </c>
      <c r="M364" s="51" t="str" cm="1">
        <f t="array" ref="M364">IF($A364="","",IF(G364="","",_xlfn.XLOOKUP($D364&amp;"_"&amp;$AE364,符文权重!$A:$A&amp;"_"&amp;符文权重!$C:$C,符文权重!$D:$D)*$Y364/SUMIFS($Y:$Y,G:G,G364,$D:$D,$D364,$AE:$AE,$AE364)/SUMIF(符文权重!$A:$A,$D364,符文权重!$D:$D)))</f>
        <v/>
      </c>
      <c r="N364" s="51" t="str" cm="1">
        <f t="array" ref="N364">IF($A364="","",IF(H364="","",_xlfn.XLOOKUP($D364&amp;"_"&amp;$AE364,符文权重!$A:$A&amp;"_"&amp;符文权重!$C:$C,符文权重!$D:$D)*$Y364/SUMIFS($Y:$Y,H:H,H364,$D:$D,$D364,$AE:$AE,$AE364)/SUMIF(符文权重!$A:$A,$D364,符文权重!$D:$D)))</f>
        <v/>
      </c>
      <c r="O364" s="51" cm="1">
        <f t="array" ref="O364">IF($A364="","",IF(I364="","",_xlfn.XLOOKUP($D364&amp;"_"&amp;$AE364,符文权重!$A:$A&amp;"_"&amp;符文权重!$C:$C,符文权重!$D:$D)*$Y364/SUMIFS($Y:$Y,I:I,I364,$D:$D,$D364,$AE:$AE,$AE364)/SUMIF(符文权重!$A:$A,$D364,符文权重!$D:$D)))</f>
        <v>0.0075</v>
      </c>
      <c r="P364" s="51" t="str" cm="1">
        <f t="array" ref="P364">IF($A364="","",IF(J364="","",_xlfn.XLOOKUP($D364&amp;"_"&amp;$AE364,符文权重!$A:$A&amp;"_"&amp;符文权重!$C:$C,符文权重!$D:$D)*$Y364/SUMIFS($Y:$Y,J:J,J364,$D:$D,$D364,$AE:$AE,$AE364)/SUMIF(符文权重!$A:$A,$D364,符文权重!$D:$D)))</f>
        <v/>
      </c>
      <c r="Q364" s="51" t="str" cm="1">
        <f t="array" ref="Q364">IF($A364="","",IF(K364="","",_xlfn.XLOOKUP($D364&amp;"_"&amp;$AE364,符文权重!$A:$A&amp;"_"&amp;符文权重!$C:$C,符文权重!$D:$D)*$Y364/SUMIFS($Y:$Y,K:K,K364,$D:$D,$D364,$AE:$AE,$AE364)/SUMIF(符文权重!$A:$A,$D364,符文权重!$D:$D)))</f>
        <v/>
      </c>
      <c r="R364" s="51" t="str" cm="1">
        <f t="array" ref="R364">IF($A364="","",IF(L364="","",_xlfn.XLOOKUP($D364&amp;"_"&amp;$AE364,符文权重!$A:$A&amp;"_"&amp;符文权重!$C:$C,符文权重!$D:$D)*$Y364/SUMIFS($Y:$Y,L:L,L364,$D:$D,$D364,$AE:$AE,$AE364)/SUMIF(符文权重!$A:$A,$D364,符文权重!$D:$D)))</f>
        <v/>
      </c>
      <c r="S364" s="36" t="s">
        <v>192</v>
      </c>
      <c r="T364" s="36" t="s">
        <v>202</v>
      </c>
      <c r="U364" s="36" t="s">
        <v>429</v>
      </c>
      <c r="V364" s="52" t="s">
        <v>475</v>
      </c>
      <c r="Y364" s="35">
        <v>100</v>
      </c>
      <c r="AA364" s="42" t="s">
        <v>191</v>
      </c>
      <c r="AB364" s="42" t="str">
        <f t="shared" si="183"/>
        <v>战士能量耗尽后&lt;color=#54b76b&gt;60%&lt;/color&gt;概率立刻快速充能</v>
      </c>
      <c r="AC364" s="48" t="s">
        <v>466</v>
      </c>
      <c r="AD364" s="42" t="s">
        <v>476</v>
      </c>
      <c r="AE364" s="36">
        <v>5</v>
      </c>
      <c r="AF364" s="36"/>
      <c r="AG364" s="36">
        <v>0</v>
      </c>
      <c r="AH364" s="35">
        <v>1</v>
      </c>
      <c r="AI364" s="48">
        <v>5505047</v>
      </c>
      <c r="AJ364" s="53" t="s">
        <v>465</v>
      </c>
      <c r="AK364" s="36">
        <v>60</v>
      </c>
      <c r="AL364" s="35">
        <v>5</v>
      </c>
    </row>
    <row r="365" s="25" customFormat="1" hidden="1" customHeight="1" spans="1:38">
      <c r="A365" s="48" t="s">
        <v>178</v>
      </c>
      <c r="B365" s="72" t="s">
        <v>477</v>
      </c>
      <c r="C365" s="48" t="s">
        <v>178</v>
      </c>
      <c r="D365" s="42" t="s">
        <v>178</v>
      </c>
      <c r="E365" s="42"/>
      <c r="F365" s="36"/>
      <c r="G365" s="36" t="str">
        <f t="shared" si="180"/>
        <v/>
      </c>
      <c r="H365" s="36" t="str">
        <f>IFERROR(IF(--MID($F365,2*COUNTIF($G365:G365,"&gt;"&amp;0)+2,1)=H$1,H$1,""),"")</f>
        <v/>
      </c>
      <c r="I365" s="36" t="str">
        <f>IFERROR(IF(--MID($F365,2*COUNTIF($G365:H365,"&gt;"&amp;0)+2,1)=I$1,I$1,""),"")</f>
        <v/>
      </c>
      <c r="J365" s="36" t="str">
        <f>IFERROR(IF(--MID($F365,2*COUNTIF($G365:I365,"&gt;"&amp;0)+2,1)=J$1,J$1,""),"")</f>
        <v/>
      </c>
      <c r="K365" s="36" t="str">
        <f>IFERROR(IF(--MID($F365,2*COUNTIF($G365:J365,"&gt;"&amp;0)+2,1)=K$1,K$1,""),"")</f>
        <v/>
      </c>
      <c r="L365" s="36" t="str">
        <f>IFERROR(IF(--MID($F365,2*COUNTIF($G365:K365,"&gt;"&amp;0)+2,1)=L$1,L$1,""),"")</f>
        <v/>
      </c>
      <c r="M365" s="51" t="str" cm="1">
        <f t="array" ref="M365">IF($A365="","",IF(G365="","",_xlfn.XLOOKUP($D365&amp;"_"&amp;$AE365,符文权重!$A:$A&amp;"_"&amp;符文权重!$C:$C,符文权重!$D:$D)*$Y365/SUMIFS($Y:$Y,G:G,G365,$D:$D,$D365,$AE:$AE,$AE365)/SUMIF(符文权重!$A:$A,$D365,符文权重!$D:$D)))</f>
        <v/>
      </c>
      <c r="N365" s="36" t="str" cm="1">
        <f t="array" ref="N365">IF($A365="","",IF(H365="","",_xlfn.XLOOKUP($D365&amp;"_"&amp;$AE365,符文权重!$A:$A&amp;"_"&amp;符文权重!$C:$C,符文权重!$D:$D)*$Y365/SUMIFS($Y:$Y,H:H,H365,$D:$D,$D$6,$AE:$AE,$AE$6)))</f>
        <v/>
      </c>
      <c r="O365" s="36" t="str" cm="1">
        <f t="array" ref="O365">IF($A365="","",IF(I365="","",_xlfn.XLOOKUP($D365&amp;"_"&amp;$AE365,符文权重!$A:$A&amp;"_"&amp;符文权重!$C:$C,符文权重!$D:$D)*$Y365/SUMIFS($Y:$Y,I:I,I365,$D:$D,$D$6,$AE:$AE,$AE$6)))</f>
        <v/>
      </c>
      <c r="P365" s="36" t="str" cm="1">
        <f t="array" ref="P365">IF($A365="","",IF(J365="","",_xlfn.XLOOKUP($D365&amp;"_"&amp;$AE365,符文权重!$A:$A&amp;"_"&amp;符文权重!$C:$C,符文权重!$D:$D)*$Y365/SUMIFS($Y:$Y,J:J,J365,$D:$D,$D$6,$AE:$AE,$AE$6)))</f>
        <v/>
      </c>
      <c r="Q365" s="36" t="str" cm="1">
        <f t="array" ref="Q365">IF($A365="","",IF(K365="","",_xlfn.XLOOKUP($D365&amp;"_"&amp;$AE365,符文权重!$A:$A&amp;"_"&amp;符文权重!$C:$C,符文权重!$D:$D)*$Y365/SUMIFS($Y:$Y,K:K,K365,$D:$D,$D$6,$AE:$AE,$AE$6)))</f>
        <v/>
      </c>
      <c r="R365" s="36" t="str" cm="1">
        <f t="array" ref="R365">IF($A365="","",IF(L365="","",_xlfn.XLOOKUP($D365&amp;"_"&amp;$AE365,符文权重!$A:$A&amp;"_"&amp;符文权重!$C:$C,符文权重!$D:$D)*$Y365/SUMIFS($Y:$Y,L:L,L365,$D:$D,$D$6,$AE:$AE,$AE$6)))</f>
        <v/>
      </c>
      <c r="S365" s="36"/>
      <c r="T365" s="36"/>
      <c r="U365" s="36"/>
      <c r="W365" s="41"/>
      <c r="X365" s="35"/>
      <c r="Y365" s="35"/>
      <c r="Z365" s="35"/>
      <c r="AA365" s="42" t="s">
        <v>178</v>
      </c>
      <c r="AB365" s="42" t="str">
        <f t="shared" si="183"/>
        <v/>
      </c>
      <c r="AC365" s="48" t="s">
        <v>178</v>
      </c>
      <c r="AD365" s="42" t="s">
        <v>178</v>
      </c>
      <c r="AE365" s="36"/>
      <c r="AF365" s="36"/>
      <c r="AG365" s="36"/>
      <c r="AH365" s="35" t="s">
        <v>178</v>
      </c>
      <c r="AI365" s="33"/>
      <c r="AJ365" s="74"/>
      <c r="AK365" s="36"/>
      <c r="AL365" s="35"/>
    </row>
    <row r="366" s="28" customFormat="1" hidden="1" customHeight="1" spans="1:38">
      <c r="A366" s="57">
        <v>5505051</v>
      </c>
      <c r="B366" s="58" t="s">
        <v>478</v>
      </c>
      <c r="C366" s="57" t="s">
        <v>479</v>
      </c>
      <c r="D366" s="59">
        <v>1</v>
      </c>
      <c r="E366" s="59"/>
      <c r="F366" s="60" t="s">
        <v>193</v>
      </c>
      <c r="G366" s="36" t="str">
        <f t="shared" si="180"/>
        <v/>
      </c>
      <c r="H366" s="36" t="str">
        <f>IFERROR(IF(--MID($F366,2*COUNTIF($G366:G366,"&gt;"&amp;0)+2,1)=H$1,H$1,""),"")</f>
        <v/>
      </c>
      <c r="I366" s="36">
        <f>IFERROR(IF(--MID($F366,2*COUNTIF($G366:H366,"&gt;"&amp;0)+2,1)=I$1,I$1,""),"")</f>
        <v>3</v>
      </c>
      <c r="J366" s="36" t="str">
        <f>IFERROR(IF(--MID($F366,2*COUNTIF($G366:I366,"&gt;"&amp;0)+2,1)=J$1,J$1,""),"")</f>
        <v/>
      </c>
      <c r="K366" s="36" t="str">
        <f>IFERROR(IF(--MID($F366,2*COUNTIF($G366:J366,"&gt;"&amp;0)+2,1)=K$1,K$1,""),"")</f>
        <v/>
      </c>
      <c r="L366" s="36" t="str">
        <f>IFERROR(IF(--MID($F366,2*COUNTIF($G366:K366,"&gt;"&amp;0)+2,1)=L$1,L$1,""),"")</f>
        <v/>
      </c>
      <c r="M366" s="36" t="e" cm="1">
        <f t="array" ref="M366">IF(A366="","",_xlfn.XLOOKUP(D366&amp;"_"&amp;AE366,符文权重!A:A&amp;"_"&amp;符文权重!C:C,符文权重!D:D))</f>
        <v>#N/A</v>
      </c>
      <c r="N366" s="36"/>
      <c r="O366" s="36"/>
      <c r="P366" s="36"/>
      <c r="Q366" s="36"/>
      <c r="R366" s="36"/>
      <c r="S366" s="60" t="s">
        <v>192</v>
      </c>
      <c r="T366" s="60" t="s">
        <v>193</v>
      </c>
      <c r="U366" s="60" t="s">
        <v>413</v>
      </c>
      <c r="V366" s="61" t="s">
        <v>480</v>
      </c>
      <c r="W366" s="60"/>
      <c r="Y366" s="35">
        <v>100</v>
      </c>
      <c r="AA366" s="59" t="s">
        <v>177</v>
      </c>
      <c r="AB366" s="42" t="str">
        <f t="shared" si="183"/>
        <v>射手的每次攻击提高&lt;color=#54b76b&gt;4%&lt;/color&gt;伤害，充能时重置</v>
      </c>
      <c r="AC366" s="57" t="s">
        <v>479</v>
      </c>
      <c r="AD366" s="59" t="s">
        <v>404</v>
      </c>
      <c r="AE366" s="60">
        <v>100</v>
      </c>
      <c r="AF366" s="60"/>
      <c r="AG366" s="60">
        <v>1</v>
      </c>
      <c r="AH366" s="35">
        <v>1</v>
      </c>
      <c r="AI366" s="62">
        <v>5505051</v>
      </c>
      <c r="AJ366" s="63" t="s">
        <v>478</v>
      </c>
      <c r="AK366" s="60">
        <v>4</v>
      </c>
      <c r="AL366" s="35"/>
    </row>
    <row r="367" s="28" customFormat="1" hidden="1" customHeight="1" spans="1:38">
      <c r="A367" s="57">
        <v>5505052</v>
      </c>
      <c r="B367" s="58" t="s">
        <v>478</v>
      </c>
      <c r="C367" s="57" t="s">
        <v>479</v>
      </c>
      <c r="D367" s="59">
        <v>2</v>
      </c>
      <c r="E367" s="59"/>
      <c r="F367" s="60" t="s">
        <v>193</v>
      </c>
      <c r="G367" s="36" t="str">
        <f t="shared" si="180"/>
        <v/>
      </c>
      <c r="H367" s="36" t="str">
        <f>IFERROR(IF(--MID($F367,2*COUNTIF($G367:G367,"&gt;"&amp;0)+2,1)=H$1,H$1,""),"")</f>
        <v/>
      </c>
      <c r="I367" s="36">
        <f>IFERROR(IF(--MID($F367,2*COUNTIF($G367:H367,"&gt;"&amp;0)+2,1)=I$1,I$1,""),"")</f>
        <v>3</v>
      </c>
      <c r="J367" s="36" t="str">
        <f>IFERROR(IF(--MID($F367,2*COUNTIF($G367:I367,"&gt;"&amp;0)+2,1)=J$1,J$1,""),"")</f>
        <v/>
      </c>
      <c r="K367" s="36" t="str">
        <f>IFERROR(IF(--MID($F367,2*COUNTIF($G367:J367,"&gt;"&amp;0)+2,1)=K$1,K$1,""),"")</f>
        <v/>
      </c>
      <c r="L367" s="36" t="str">
        <f>IFERROR(IF(--MID($F367,2*COUNTIF($G367:K367,"&gt;"&amp;0)+2,1)=L$1,L$1,""),"")</f>
        <v/>
      </c>
      <c r="M367" s="36" t="e" cm="1">
        <f t="array" ref="M367">IF(A367="","",_xlfn.XLOOKUP(D367&amp;"_"&amp;AE367,符文权重!A:A&amp;"_"&amp;符文权重!C:C,符文权重!D:D))</f>
        <v>#N/A</v>
      </c>
      <c r="N367" s="36"/>
      <c r="O367" s="36"/>
      <c r="P367" s="36"/>
      <c r="Q367" s="36"/>
      <c r="R367" s="36"/>
      <c r="S367" s="60" t="s">
        <v>192</v>
      </c>
      <c r="T367" s="60" t="s">
        <v>193</v>
      </c>
      <c r="U367" s="60" t="s">
        <v>415</v>
      </c>
      <c r="V367" s="61" t="s">
        <v>481</v>
      </c>
      <c r="W367" s="60"/>
      <c r="Y367" s="35">
        <v>100</v>
      </c>
      <c r="AA367" s="59" t="s">
        <v>181</v>
      </c>
      <c r="AB367" s="42" t="str">
        <f t="shared" si="183"/>
        <v>射手的每次攻击提高&lt;color=#54b76b&gt;6%&lt;/color&gt;伤害，充能时重置</v>
      </c>
      <c r="AC367" s="57" t="s">
        <v>479</v>
      </c>
      <c r="AD367" s="59" t="s">
        <v>220</v>
      </c>
      <c r="AE367" s="60">
        <v>100</v>
      </c>
      <c r="AF367" s="60"/>
      <c r="AG367" s="60">
        <v>1</v>
      </c>
      <c r="AH367" s="35">
        <v>1</v>
      </c>
      <c r="AI367" s="57">
        <v>5505052</v>
      </c>
      <c r="AJ367" s="64" t="s">
        <v>478</v>
      </c>
      <c r="AK367" s="60">
        <v>6</v>
      </c>
      <c r="AL367" s="35"/>
    </row>
    <row r="368" s="28" customFormat="1" hidden="1" customHeight="1" spans="1:38">
      <c r="A368" s="57">
        <v>5505053</v>
      </c>
      <c r="B368" s="58" t="s">
        <v>478</v>
      </c>
      <c r="C368" s="57" t="s">
        <v>479</v>
      </c>
      <c r="D368" s="59">
        <v>3</v>
      </c>
      <c r="E368" s="59"/>
      <c r="F368" s="60" t="s">
        <v>193</v>
      </c>
      <c r="G368" s="36" t="str">
        <f t="shared" si="180"/>
        <v/>
      </c>
      <c r="H368" s="36" t="str">
        <f>IFERROR(IF(--MID($F368,2*COUNTIF($G368:G368,"&gt;"&amp;0)+2,1)=H$1,H$1,""),"")</f>
        <v/>
      </c>
      <c r="I368" s="36">
        <f>IFERROR(IF(--MID($F368,2*COUNTIF($G368:H368,"&gt;"&amp;0)+2,1)=I$1,I$1,""),"")</f>
        <v>3</v>
      </c>
      <c r="J368" s="36" t="str">
        <f>IFERROR(IF(--MID($F368,2*COUNTIF($G368:I368,"&gt;"&amp;0)+2,1)=J$1,J$1,""),"")</f>
        <v/>
      </c>
      <c r="K368" s="36" t="str">
        <f>IFERROR(IF(--MID($F368,2*COUNTIF($G368:J368,"&gt;"&amp;0)+2,1)=K$1,K$1,""),"")</f>
        <v/>
      </c>
      <c r="L368" s="36" t="str">
        <f>IFERROR(IF(--MID($F368,2*COUNTIF($G368:K368,"&gt;"&amp;0)+2,1)=L$1,L$1,""),"")</f>
        <v/>
      </c>
      <c r="M368" s="36" t="e" cm="1">
        <f t="array" ref="M368">IF(A368="","",_xlfn.XLOOKUP(D368&amp;"_"&amp;AE368,符文权重!A:A&amp;"_"&amp;符文权重!C:C,符文权重!D:D))</f>
        <v>#N/A</v>
      </c>
      <c r="N368" s="36"/>
      <c r="O368" s="36"/>
      <c r="P368" s="36"/>
      <c r="Q368" s="36"/>
      <c r="R368" s="36"/>
      <c r="S368" s="60" t="s">
        <v>192</v>
      </c>
      <c r="T368" s="60" t="s">
        <v>193</v>
      </c>
      <c r="U368" s="60" t="s">
        <v>417</v>
      </c>
      <c r="V368" s="61" t="s">
        <v>482</v>
      </c>
      <c r="W368" s="60"/>
      <c r="Y368" s="35">
        <v>100</v>
      </c>
      <c r="AA368" s="59" t="s">
        <v>183</v>
      </c>
      <c r="AB368" s="42" t="str">
        <f t="shared" si="183"/>
        <v>射手的每次攻击提高&lt;color=#54b76b&gt;8%&lt;/color&gt;伤害，充能时重置</v>
      </c>
      <c r="AC368" s="57" t="s">
        <v>479</v>
      </c>
      <c r="AD368" s="59" t="s">
        <v>419</v>
      </c>
      <c r="AE368" s="60">
        <v>100</v>
      </c>
      <c r="AF368" s="60"/>
      <c r="AG368" s="60">
        <v>1</v>
      </c>
      <c r="AH368" s="35">
        <v>1</v>
      </c>
      <c r="AI368" s="57">
        <v>5505053</v>
      </c>
      <c r="AJ368" s="64" t="s">
        <v>478</v>
      </c>
      <c r="AK368" s="60">
        <v>8</v>
      </c>
      <c r="AL368" s="35"/>
    </row>
    <row r="369" hidden="1" customHeight="1" spans="1:38">
      <c r="A369" s="48">
        <v>5505054</v>
      </c>
      <c r="B369" s="34" t="s">
        <v>478</v>
      </c>
      <c r="C369" s="48" t="s">
        <v>479</v>
      </c>
      <c r="D369" s="42">
        <v>4</v>
      </c>
      <c r="E369" s="42"/>
      <c r="F369" s="36" t="s">
        <v>193</v>
      </c>
      <c r="G369" s="36" t="str">
        <f t="shared" si="180"/>
        <v/>
      </c>
      <c r="H369" s="36" t="str">
        <f>IFERROR(IF(--MID($F369,2*COUNTIF($G369:G369,"&gt;"&amp;0)+2,1)=H$1,H$1,""),"")</f>
        <v/>
      </c>
      <c r="I369" s="36">
        <f>IFERROR(IF(--MID($F369,2*COUNTIF($G369:H369,"&gt;"&amp;0)+2,1)=I$1,I$1,""),"")</f>
        <v>3</v>
      </c>
      <c r="J369" s="36" t="str">
        <f>IFERROR(IF(--MID($F369,2*COUNTIF($G369:I369,"&gt;"&amp;0)+2,1)=J$1,J$1,""),"")</f>
        <v/>
      </c>
      <c r="K369" s="36" t="str">
        <f>IFERROR(IF(--MID($F369,2*COUNTIF($G369:J369,"&gt;"&amp;0)+2,1)=K$1,K$1,""),"")</f>
        <v/>
      </c>
      <c r="L369" s="36" t="str">
        <f>IFERROR(IF(--MID($F369,2*COUNTIF($G369:K369,"&gt;"&amp;0)+2,1)=L$1,L$1,""),"")</f>
        <v/>
      </c>
      <c r="M369" s="51" t="str" cm="1">
        <f t="array" ref="M369">IF($A369="","",IF(G369="","",_xlfn.XLOOKUP($D369&amp;"_"&amp;$AE369,符文权重!$A:$A&amp;"_"&amp;符文权重!$C:$C,符文权重!$D:$D)*$Y369/SUMIFS($Y:$Y,G:G,G369,$D:$D,$D369,$AE:$AE,$AE369)/SUMIF(符文权重!$A:$A,$D369,符文权重!$D:$D)))</f>
        <v/>
      </c>
      <c r="N369" s="51" t="str" cm="1">
        <f t="array" ref="N369">IF($A369="","",IF(H369="","",_xlfn.XLOOKUP($D369&amp;"_"&amp;$AE369,符文权重!$A:$A&amp;"_"&amp;符文权重!$C:$C,符文权重!$D:$D)*$Y369/SUMIFS($Y:$Y,H:H,H369,$D:$D,$D369,$AE:$AE,$AE369)/SUMIF(符文权重!$A:$A,$D369,符文权重!$D:$D)))</f>
        <v/>
      </c>
      <c r="O369" s="51" cm="1">
        <f t="array" ref="O369">IF($A369="","",IF(I369="","",_xlfn.XLOOKUP($D369&amp;"_"&amp;$AE369,符文权重!$A:$A&amp;"_"&amp;符文权重!$C:$C,符文权重!$D:$D)*$Y369/SUMIFS($Y:$Y,I:I,I369,$D:$D,$D369,$AE:$AE,$AE369)/SUMIF(符文权重!$A:$A,$D369,符文权重!$D:$D)))</f>
        <v>0.00356678517598058</v>
      </c>
      <c r="P369" s="51" t="str" cm="1">
        <f t="array" ref="P369">IF($A369="","",IF(J369="","",_xlfn.XLOOKUP($D369&amp;"_"&amp;$AE369,符文权重!$A:$A&amp;"_"&amp;符文权重!$C:$C,符文权重!$D:$D)*$Y369/SUMIFS($Y:$Y,J:J,J369,$D:$D,$D369,$AE:$AE,$AE369)/SUMIF(符文权重!$A:$A,$D369,符文权重!$D:$D)))</f>
        <v/>
      </c>
      <c r="Q369" s="51" t="str" cm="1">
        <f t="array" ref="Q369">IF($A369="","",IF(K369="","",_xlfn.XLOOKUP($D369&amp;"_"&amp;$AE369,符文权重!$A:$A&amp;"_"&amp;符文权重!$C:$C,符文权重!$D:$D)*$Y369/SUMIFS($Y:$Y,K:K,K369,$D:$D,$D369,$AE:$AE,$AE369)/SUMIF(符文权重!$A:$A,$D369,符文权重!$D:$D)))</f>
        <v/>
      </c>
      <c r="R369" s="51" t="str" cm="1">
        <f t="array" ref="R369">IF($A369="","",IF(L369="","",_xlfn.XLOOKUP($D369&amp;"_"&amp;$AE369,符文权重!$A:$A&amp;"_"&amp;符文权重!$C:$C,符文权重!$D:$D)*$Y369/SUMIFS($Y:$Y,L:L,L369,$D:$D,$D369,$AE:$AE,$AE369)/SUMIF(符文权重!$A:$A,$D369,符文权重!$D:$D)))</f>
        <v/>
      </c>
      <c r="S369" s="36" t="s">
        <v>192</v>
      </c>
      <c r="T369" s="36" t="s">
        <v>193</v>
      </c>
      <c r="U369" s="36" t="s">
        <v>420</v>
      </c>
      <c r="V369" s="52" t="s">
        <v>483</v>
      </c>
      <c r="Y369" s="35">
        <v>4</v>
      </c>
      <c r="AA369" s="42" t="s">
        <v>185</v>
      </c>
      <c r="AB369" s="42" t="str">
        <f t="shared" si="183"/>
        <v>射手的每次攻击提高&lt;color=#54b76b&gt;10%&lt;/color&gt;伤害，充能时重置</v>
      </c>
      <c r="AC369" s="48" t="s">
        <v>479</v>
      </c>
      <c r="AD369" s="42" t="s">
        <v>422</v>
      </c>
      <c r="AE369" s="36">
        <v>3</v>
      </c>
      <c r="AF369" s="36"/>
      <c r="AG369" s="36">
        <v>0</v>
      </c>
      <c r="AH369" s="35">
        <v>1</v>
      </c>
      <c r="AI369" s="48">
        <v>5505054</v>
      </c>
      <c r="AJ369" s="53" t="s">
        <v>478</v>
      </c>
      <c r="AK369" s="36">
        <v>10</v>
      </c>
      <c r="AL369" s="35">
        <v>5</v>
      </c>
    </row>
    <row r="370" hidden="1" customHeight="1" spans="1:38">
      <c r="A370" s="48">
        <v>5505055</v>
      </c>
      <c r="B370" s="34" t="s">
        <v>478</v>
      </c>
      <c r="C370" s="48" t="s">
        <v>479</v>
      </c>
      <c r="D370" s="42">
        <v>5</v>
      </c>
      <c r="E370" s="42"/>
      <c r="F370" s="36" t="s">
        <v>193</v>
      </c>
      <c r="G370" s="36" t="str">
        <f t="shared" si="180"/>
        <v/>
      </c>
      <c r="H370" s="36" t="str">
        <f>IFERROR(IF(--MID($F370,2*COUNTIF($G370:G370,"&gt;"&amp;0)+2,1)=H$1,H$1,""),"")</f>
        <v/>
      </c>
      <c r="I370" s="36">
        <f>IFERROR(IF(--MID($F370,2*COUNTIF($G370:H370,"&gt;"&amp;0)+2,1)=I$1,I$1,""),"")</f>
        <v>3</v>
      </c>
      <c r="J370" s="36" t="str">
        <f>IFERROR(IF(--MID($F370,2*COUNTIF($G370:I370,"&gt;"&amp;0)+2,1)=J$1,J$1,""),"")</f>
        <v/>
      </c>
      <c r="K370" s="36" t="str">
        <f>IFERROR(IF(--MID($F370,2*COUNTIF($G370:J370,"&gt;"&amp;0)+2,1)=K$1,K$1,""),"")</f>
        <v/>
      </c>
      <c r="L370" s="36" t="str">
        <f>IFERROR(IF(--MID($F370,2*COUNTIF($G370:K370,"&gt;"&amp;0)+2,1)=L$1,L$1,""),"")</f>
        <v/>
      </c>
      <c r="M370" s="51" t="str" cm="1">
        <f t="array" ref="M370">IF($A370="","",IF(G370="","",_xlfn.XLOOKUP($D370&amp;"_"&amp;$AE370,符文权重!$A:$A&amp;"_"&amp;符文权重!$C:$C,符文权重!$D:$D)*$Y370/SUMIFS($Y:$Y,G:G,G370,$D:$D,$D370,$AE:$AE,$AE370)/SUMIF(符文权重!$A:$A,$D370,符文权重!$D:$D)))</f>
        <v/>
      </c>
      <c r="N370" s="51" t="str" cm="1">
        <f t="array" ref="N370">IF($A370="","",IF(H370="","",_xlfn.XLOOKUP($D370&amp;"_"&amp;$AE370,符文权重!$A:$A&amp;"_"&amp;符文权重!$C:$C,符文权重!$D:$D)*$Y370/SUMIFS($Y:$Y,H:H,H370,$D:$D,$D370,$AE:$AE,$AE370)/SUMIF(符文权重!$A:$A,$D370,符文权重!$D:$D)))</f>
        <v/>
      </c>
      <c r="O370" s="51" cm="1">
        <f t="array" ref="O370">IF($A370="","",IF(I370="","",_xlfn.XLOOKUP($D370&amp;"_"&amp;$AE370,符文权重!$A:$A&amp;"_"&amp;符文权重!$C:$C,符文权重!$D:$D)*$Y370/SUMIFS($Y:$Y,I:I,I370,$D:$D,$D370,$AE:$AE,$AE370)/SUMIF(符文权重!$A:$A,$D370,符文权重!$D:$D)))</f>
        <v>0.0075</v>
      </c>
      <c r="P370" s="51" t="str" cm="1">
        <f t="array" ref="P370">IF($A370="","",IF(J370="","",_xlfn.XLOOKUP($D370&amp;"_"&amp;$AE370,符文权重!$A:$A&amp;"_"&amp;符文权重!$C:$C,符文权重!$D:$D)*$Y370/SUMIFS($Y:$Y,J:J,J370,$D:$D,$D370,$AE:$AE,$AE370)/SUMIF(符文权重!$A:$A,$D370,符文权重!$D:$D)))</f>
        <v/>
      </c>
      <c r="Q370" s="51" t="str" cm="1">
        <f t="array" ref="Q370">IF($A370="","",IF(K370="","",_xlfn.XLOOKUP($D370&amp;"_"&amp;$AE370,符文权重!$A:$A&amp;"_"&amp;符文权重!$C:$C,符文权重!$D:$D)*$Y370/SUMIFS($Y:$Y,K:K,K370,$D:$D,$D370,$AE:$AE,$AE370)/SUMIF(符文权重!$A:$A,$D370,符文权重!$D:$D)))</f>
        <v/>
      </c>
      <c r="R370" s="51" t="str" cm="1">
        <f t="array" ref="R370">IF($A370="","",IF(L370="","",_xlfn.XLOOKUP($D370&amp;"_"&amp;$AE370,符文权重!$A:$A&amp;"_"&amp;符文权重!$C:$C,符文权重!$D:$D)*$Y370/SUMIFS($Y:$Y,L:L,L370,$D:$D,$D370,$AE:$AE,$AE370)/SUMIF(符文权重!$A:$A,$D370,符文权重!$D:$D)))</f>
        <v/>
      </c>
      <c r="S370" s="36" t="s">
        <v>192</v>
      </c>
      <c r="T370" s="36" t="s">
        <v>193</v>
      </c>
      <c r="U370" s="36" t="s">
        <v>423</v>
      </c>
      <c r="V370" s="52" t="s">
        <v>484</v>
      </c>
      <c r="Y370" s="35">
        <v>100</v>
      </c>
      <c r="AA370" s="42" t="s">
        <v>187</v>
      </c>
      <c r="AB370" s="42" t="str">
        <f t="shared" si="183"/>
        <v>射手的每次攻击提高&lt;color=#54b76b&gt;15%&lt;/color&gt;伤害，充能时重置</v>
      </c>
      <c r="AC370" s="48" t="s">
        <v>479</v>
      </c>
      <c r="AD370" s="42" t="s">
        <v>425</v>
      </c>
      <c r="AE370" s="36">
        <v>5</v>
      </c>
      <c r="AF370" s="36"/>
      <c r="AG370" s="36">
        <v>0</v>
      </c>
      <c r="AH370" s="35">
        <v>1</v>
      </c>
      <c r="AI370" s="48">
        <v>5505055</v>
      </c>
      <c r="AJ370" s="53" t="s">
        <v>478</v>
      </c>
      <c r="AK370" s="36">
        <v>15</v>
      </c>
      <c r="AL370" s="35">
        <v>5</v>
      </c>
    </row>
    <row r="371" hidden="1" customHeight="1" spans="1:38">
      <c r="A371" s="48">
        <v>5505056</v>
      </c>
      <c r="B371" s="34" t="s">
        <v>478</v>
      </c>
      <c r="C371" s="48" t="s">
        <v>479</v>
      </c>
      <c r="D371" s="42">
        <v>6</v>
      </c>
      <c r="E371" s="42"/>
      <c r="F371" s="36" t="s">
        <v>193</v>
      </c>
      <c r="G371" s="36" t="str">
        <f t="shared" si="180"/>
        <v/>
      </c>
      <c r="H371" s="36" t="str">
        <f>IFERROR(IF(--MID($F371,2*COUNTIF($G371:G371,"&gt;"&amp;0)+2,1)=H$1,H$1,""),"")</f>
        <v/>
      </c>
      <c r="I371" s="36">
        <f>IFERROR(IF(--MID($F371,2*COUNTIF($G371:H371,"&gt;"&amp;0)+2,1)=I$1,I$1,""),"")</f>
        <v>3</v>
      </c>
      <c r="J371" s="36" t="str">
        <f>IFERROR(IF(--MID($F371,2*COUNTIF($G371:I371,"&gt;"&amp;0)+2,1)=J$1,J$1,""),"")</f>
        <v/>
      </c>
      <c r="K371" s="36" t="str">
        <f>IFERROR(IF(--MID($F371,2*COUNTIF($G371:J371,"&gt;"&amp;0)+2,1)=K$1,K$1,""),"")</f>
        <v/>
      </c>
      <c r="L371" s="36" t="str">
        <f>IFERROR(IF(--MID($F371,2*COUNTIF($G371:K371,"&gt;"&amp;0)+2,1)=L$1,L$1,""),"")</f>
        <v/>
      </c>
      <c r="M371" s="51" t="str" cm="1">
        <f t="array" ref="M371">IF($A371="","",IF(G371="","",_xlfn.XLOOKUP($D371&amp;"_"&amp;$AE371,符文权重!$A:$A&amp;"_"&amp;符文权重!$C:$C,符文权重!$D:$D)*$Y371/SUMIFS($Y:$Y,G:G,G371,$D:$D,$D371,$AE:$AE,$AE371)/SUMIF(符文权重!$A:$A,$D371,符文权重!$D:$D)))</f>
        <v/>
      </c>
      <c r="N371" s="51" t="str" cm="1">
        <f t="array" ref="N371">IF($A371="","",IF(H371="","",_xlfn.XLOOKUP($D371&amp;"_"&amp;$AE371,符文权重!$A:$A&amp;"_"&amp;符文权重!$C:$C,符文权重!$D:$D)*$Y371/SUMIFS($Y:$Y,H:H,H371,$D:$D,$D371,$AE:$AE,$AE371)/SUMIF(符文权重!$A:$A,$D371,符文权重!$D:$D)))</f>
        <v/>
      </c>
      <c r="O371" s="51" cm="1">
        <f t="array" ref="O371">IF($A371="","",IF(I371="","",_xlfn.XLOOKUP($D371&amp;"_"&amp;$AE371,符文权重!$A:$A&amp;"_"&amp;符文权重!$C:$C,符文权重!$D:$D)*$Y371/SUMIFS($Y:$Y,I:I,I371,$D:$D,$D371,$AE:$AE,$AE371)/SUMIF(符文权重!$A:$A,$D371,符文权重!$D:$D)))</f>
        <v>0.0075</v>
      </c>
      <c r="P371" s="51" t="str" cm="1">
        <f t="array" ref="P371">IF($A371="","",IF(J371="","",_xlfn.XLOOKUP($D371&amp;"_"&amp;$AE371,符文权重!$A:$A&amp;"_"&amp;符文权重!$C:$C,符文权重!$D:$D)*$Y371/SUMIFS($Y:$Y,J:J,J371,$D:$D,$D371,$AE:$AE,$AE371)/SUMIF(符文权重!$A:$A,$D371,符文权重!$D:$D)))</f>
        <v/>
      </c>
      <c r="Q371" s="51" t="str" cm="1">
        <f t="array" ref="Q371">IF($A371="","",IF(K371="","",_xlfn.XLOOKUP($D371&amp;"_"&amp;$AE371,符文权重!$A:$A&amp;"_"&amp;符文权重!$C:$C,符文权重!$D:$D)*$Y371/SUMIFS($Y:$Y,K:K,K371,$D:$D,$D371,$AE:$AE,$AE371)/SUMIF(符文权重!$A:$A,$D371,符文权重!$D:$D)))</f>
        <v/>
      </c>
      <c r="R371" s="51" t="str" cm="1">
        <f t="array" ref="R371">IF($A371="","",IF(L371="","",_xlfn.XLOOKUP($D371&amp;"_"&amp;$AE371,符文权重!$A:$A&amp;"_"&amp;符文权重!$C:$C,符文权重!$D:$D)*$Y371/SUMIFS($Y:$Y,L:L,L371,$D:$D,$D371,$AE:$AE,$AE371)/SUMIF(符文权重!$A:$A,$D371,符文权重!$D:$D)))</f>
        <v/>
      </c>
      <c r="S371" s="36" t="s">
        <v>192</v>
      </c>
      <c r="T371" s="36" t="s">
        <v>193</v>
      </c>
      <c r="U371" s="36" t="s">
        <v>426</v>
      </c>
      <c r="V371" s="52" t="s">
        <v>485</v>
      </c>
      <c r="Y371" s="35">
        <v>100</v>
      </c>
      <c r="AA371" s="42" t="s">
        <v>189</v>
      </c>
      <c r="AB371" s="42" t="str">
        <f t="shared" si="183"/>
        <v>射手的每次攻击提高&lt;color=#54b76b&gt;20%&lt;/color&gt;伤害，充能时重置</v>
      </c>
      <c r="AC371" s="48" t="s">
        <v>479</v>
      </c>
      <c r="AD371" s="42" t="s">
        <v>428</v>
      </c>
      <c r="AE371" s="36">
        <v>5</v>
      </c>
      <c r="AF371" s="36"/>
      <c r="AG371" s="36">
        <v>0</v>
      </c>
      <c r="AH371" s="35">
        <v>1</v>
      </c>
      <c r="AI371" s="48">
        <v>5505056</v>
      </c>
      <c r="AJ371" s="53" t="s">
        <v>478</v>
      </c>
      <c r="AK371" s="36">
        <v>20</v>
      </c>
      <c r="AL371" s="35">
        <v>5</v>
      </c>
    </row>
    <row r="372" hidden="1" customHeight="1" spans="1:38">
      <c r="A372" s="48">
        <v>5505057</v>
      </c>
      <c r="B372" s="34" t="s">
        <v>478</v>
      </c>
      <c r="C372" s="48" t="s">
        <v>479</v>
      </c>
      <c r="D372" s="42">
        <v>7</v>
      </c>
      <c r="E372" s="42"/>
      <c r="F372" s="36" t="s">
        <v>193</v>
      </c>
      <c r="G372" s="36" t="str">
        <f t="shared" si="180"/>
        <v/>
      </c>
      <c r="H372" s="36" t="str">
        <f>IFERROR(IF(--MID($F372,2*COUNTIF($G372:G372,"&gt;"&amp;0)+2,1)=H$1,H$1,""),"")</f>
        <v/>
      </c>
      <c r="I372" s="36">
        <f>IFERROR(IF(--MID($F372,2*COUNTIF($G372:H372,"&gt;"&amp;0)+2,1)=I$1,I$1,""),"")</f>
        <v>3</v>
      </c>
      <c r="J372" s="36" t="str">
        <f>IFERROR(IF(--MID($F372,2*COUNTIF($G372:I372,"&gt;"&amp;0)+2,1)=J$1,J$1,""),"")</f>
        <v/>
      </c>
      <c r="K372" s="36" t="str">
        <f>IFERROR(IF(--MID($F372,2*COUNTIF($G372:J372,"&gt;"&amp;0)+2,1)=K$1,K$1,""),"")</f>
        <v/>
      </c>
      <c r="L372" s="36" t="str">
        <f>IFERROR(IF(--MID($F372,2*COUNTIF($G372:K372,"&gt;"&amp;0)+2,1)=L$1,L$1,""),"")</f>
        <v/>
      </c>
      <c r="M372" s="51" t="str" cm="1">
        <f t="array" ref="M372">IF($A372="","",IF(G372="","",_xlfn.XLOOKUP($D372&amp;"_"&amp;$AE372,符文权重!$A:$A&amp;"_"&amp;符文权重!$C:$C,符文权重!$D:$D)*$Y372/SUMIFS($Y:$Y,G:G,G372,$D:$D,$D372,$AE:$AE,$AE372)/SUMIF(符文权重!$A:$A,$D372,符文权重!$D:$D)))</f>
        <v/>
      </c>
      <c r="N372" s="51" t="str" cm="1">
        <f t="array" ref="N372">IF($A372="","",IF(H372="","",_xlfn.XLOOKUP($D372&amp;"_"&amp;$AE372,符文权重!$A:$A&amp;"_"&amp;符文权重!$C:$C,符文权重!$D:$D)*$Y372/SUMIFS($Y:$Y,H:H,H372,$D:$D,$D372,$AE:$AE,$AE372)/SUMIF(符文权重!$A:$A,$D372,符文权重!$D:$D)))</f>
        <v/>
      </c>
      <c r="O372" s="51" cm="1">
        <f t="array" ref="O372">IF($A372="","",IF(I372="","",_xlfn.XLOOKUP($D372&amp;"_"&amp;$AE372,符文权重!$A:$A&amp;"_"&amp;符文权重!$C:$C,符文权重!$D:$D)*$Y372/SUMIFS($Y:$Y,I:I,I372,$D:$D,$D372,$AE:$AE,$AE372)/SUMIF(符文权重!$A:$A,$D372,符文权重!$D:$D)))</f>
        <v>0.0075</v>
      </c>
      <c r="P372" s="51" t="str" cm="1">
        <f t="array" ref="P372">IF($A372="","",IF(J372="","",_xlfn.XLOOKUP($D372&amp;"_"&amp;$AE372,符文权重!$A:$A&amp;"_"&amp;符文权重!$C:$C,符文权重!$D:$D)*$Y372/SUMIFS($Y:$Y,J:J,J372,$D:$D,$D372,$AE:$AE,$AE372)/SUMIF(符文权重!$A:$A,$D372,符文权重!$D:$D)))</f>
        <v/>
      </c>
      <c r="Q372" s="51" t="str" cm="1">
        <f t="array" ref="Q372">IF($A372="","",IF(K372="","",_xlfn.XLOOKUP($D372&amp;"_"&amp;$AE372,符文权重!$A:$A&amp;"_"&amp;符文权重!$C:$C,符文权重!$D:$D)*$Y372/SUMIFS($Y:$Y,K:K,K372,$D:$D,$D372,$AE:$AE,$AE372)/SUMIF(符文权重!$A:$A,$D372,符文权重!$D:$D)))</f>
        <v/>
      </c>
      <c r="R372" s="51" t="str" cm="1">
        <f t="array" ref="R372">IF($A372="","",IF(L372="","",_xlfn.XLOOKUP($D372&amp;"_"&amp;$AE372,符文权重!$A:$A&amp;"_"&amp;符文权重!$C:$C,符文权重!$D:$D)*$Y372/SUMIFS($Y:$Y,L:L,L372,$D:$D,$D372,$AE:$AE,$AE372)/SUMIF(符文权重!$A:$A,$D372,符文权重!$D:$D)))</f>
        <v/>
      </c>
      <c r="S372" s="36" t="s">
        <v>192</v>
      </c>
      <c r="T372" s="36" t="s">
        <v>193</v>
      </c>
      <c r="U372" s="36" t="s">
        <v>429</v>
      </c>
      <c r="V372" s="52" t="s">
        <v>486</v>
      </c>
      <c r="Y372" s="36">
        <v>100</v>
      </c>
      <c r="AA372" s="42" t="s">
        <v>191</v>
      </c>
      <c r="AB372" s="42" t="str">
        <f t="shared" si="183"/>
        <v>射手的每次攻击提高&lt;color=#54b76b&gt;30%&lt;/color&gt;伤害，充能时重置</v>
      </c>
      <c r="AC372" s="48" t="s">
        <v>479</v>
      </c>
      <c r="AD372" s="42" t="s">
        <v>487</v>
      </c>
      <c r="AE372" s="36">
        <v>5</v>
      </c>
      <c r="AF372" s="36"/>
      <c r="AG372" s="36">
        <v>0</v>
      </c>
      <c r="AH372" s="35">
        <v>1</v>
      </c>
      <c r="AI372" s="48">
        <v>5505057</v>
      </c>
      <c r="AJ372" s="53" t="s">
        <v>478</v>
      </c>
      <c r="AK372" s="36">
        <v>30</v>
      </c>
      <c r="AL372" s="36">
        <v>5</v>
      </c>
    </row>
    <row r="373" s="25" customFormat="1" hidden="1" customHeight="1" spans="1:38">
      <c r="A373" s="48" t="s">
        <v>178</v>
      </c>
      <c r="B373" s="35"/>
      <c r="C373" s="48" t="s">
        <v>178</v>
      </c>
      <c r="D373" s="42" t="s">
        <v>178</v>
      </c>
      <c r="E373" s="42"/>
      <c r="F373" s="36"/>
      <c r="G373" s="36" t="str">
        <f t="shared" si="180"/>
        <v/>
      </c>
      <c r="H373" s="36" t="str">
        <f>IFERROR(IF(--MID($F373,2*COUNTIF($G373:G373,"&gt;"&amp;0)+2,1)=H$1,H$1,""),"")</f>
        <v/>
      </c>
      <c r="I373" s="36" t="str">
        <f>IFERROR(IF(--MID($F373,2*COUNTIF($G373:H373,"&gt;"&amp;0)+2,1)=I$1,I$1,""),"")</f>
        <v/>
      </c>
      <c r="J373" s="36" t="str">
        <f>IFERROR(IF(--MID($F373,2*COUNTIF($G373:I373,"&gt;"&amp;0)+2,1)=J$1,J$1,""),"")</f>
        <v/>
      </c>
      <c r="K373" s="36" t="str">
        <f>IFERROR(IF(--MID($F373,2*COUNTIF($G373:J373,"&gt;"&amp;0)+2,1)=K$1,K$1,""),"")</f>
        <v/>
      </c>
      <c r="L373" s="36" t="str">
        <f>IFERROR(IF(--MID($F373,2*COUNTIF($G373:K373,"&gt;"&amp;0)+2,1)=L$1,L$1,""),"")</f>
        <v/>
      </c>
      <c r="M373" s="51" t="str" cm="1">
        <f t="array" ref="M373">IF($A373="","",IF(G373="","",_xlfn.XLOOKUP($D373&amp;"_"&amp;$AE373,符文权重!$A:$A&amp;"_"&amp;符文权重!$C:$C,符文权重!$D:$D)*$Y373/SUMIFS($Y:$Y,G:G,G373,$D:$D,$D373,$AE:$AE,$AE373)/SUMIF(符文权重!$A:$A,$D373,符文权重!$D:$D)))</f>
        <v/>
      </c>
      <c r="N373" s="36" t="str" cm="1">
        <f t="array" ref="N373">IF($A373="","",IF(H373="","",_xlfn.XLOOKUP($D373&amp;"_"&amp;$AE373,符文权重!$A:$A&amp;"_"&amp;符文权重!$C:$C,符文权重!$D:$D)*$Y373/SUMIFS($Y:$Y,H:H,H373,$D:$D,$D$6,$AE:$AE,$AE$6)))</f>
        <v/>
      </c>
      <c r="O373" s="36" t="str" cm="1">
        <f t="array" ref="O373">IF($A373="","",IF(I373="","",_xlfn.XLOOKUP($D373&amp;"_"&amp;$AE373,符文权重!$A:$A&amp;"_"&amp;符文权重!$C:$C,符文权重!$D:$D)*$Y373/SUMIFS($Y:$Y,I:I,I373,$D:$D,$D$6,$AE:$AE,$AE$6)))</f>
        <v/>
      </c>
      <c r="P373" s="36" t="str" cm="1">
        <f t="array" ref="P373">IF($A373="","",IF(J373="","",_xlfn.XLOOKUP($D373&amp;"_"&amp;$AE373,符文权重!$A:$A&amp;"_"&amp;符文权重!$C:$C,符文权重!$D:$D)*$Y373/SUMIFS($Y:$Y,J:J,J373,$D:$D,$D$6,$AE:$AE,$AE$6)))</f>
        <v/>
      </c>
      <c r="Q373" s="36" t="str" cm="1">
        <f t="array" ref="Q373">IF($A373="","",IF(K373="","",_xlfn.XLOOKUP($D373&amp;"_"&amp;$AE373,符文权重!$A:$A&amp;"_"&amp;符文权重!$C:$C,符文权重!$D:$D)*$Y373/SUMIFS($Y:$Y,K:K,K373,$D:$D,$D$6,$AE:$AE,$AE$6)))</f>
        <v/>
      </c>
      <c r="R373" s="36" t="str" cm="1">
        <f t="array" ref="R373">IF($A373="","",IF(L373="","",_xlfn.XLOOKUP($D373&amp;"_"&amp;$AE373,符文权重!$A:$A&amp;"_"&amp;符文权重!$C:$C,符文权重!$D:$D)*$Y373/SUMIFS($Y:$Y,L:L,L373,$D:$D,$D$6,$AE:$AE,$AE$6)))</f>
        <v/>
      </c>
      <c r="S373" s="36"/>
      <c r="T373" s="36"/>
      <c r="U373" s="36"/>
      <c r="W373" s="41"/>
      <c r="X373" s="35"/>
      <c r="Y373" s="35"/>
      <c r="Z373" s="35"/>
      <c r="AA373" s="42" t="s">
        <v>178</v>
      </c>
      <c r="AB373" s="42" t="str">
        <f t="shared" si="183"/>
        <v/>
      </c>
      <c r="AC373" s="48" t="s">
        <v>178</v>
      </c>
      <c r="AD373" s="42" t="s">
        <v>178</v>
      </c>
      <c r="AE373" s="36"/>
      <c r="AF373" s="36"/>
      <c r="AG373" s="36"/>
      <c r="AH373" s="35" t="s">
        <v>178</v>
      </c>
      <c r="AI373" s="33"/>
      <c r="AJ373" s="74"/>
      <c r="AK373" s="36"/>
      <c r="AL373" s="35"/>
    </row>
    <row r="374" s="27" customFormat="1" hidden="1" customHeight="1" spans="1:38">
      <c r="A374" s="57">
        <v>5505061</v>
      </c>
      <c r="B374" s="28" t="s">
        <v>488</v>
      </c>
      <c r="C374" s="57" t="s">
        <v>489</v>
      </c>
      <c r="D374" s="59">
        <v>1</v>
      </c>
      <c r="E374" s="59"/>
      <c r="F374" s="60" t="s">
        <v>404</v>
      </c>
      <c r="G374" s="36" t="str">
        <f t="shared" si="180"/>
        <v/>
      </c>
      <c r="H374" s="36" t="str">
        <f>IFERROR(IF(--MID($F374,2*COUNTIF($G374:G374,"&gt;"&amp;0)+2,1)=H$1,H$1,""),"")</f>
        <v/>
      </c>
      <c r="I374" s="36" t="str">
        <f>IFERROR(IF(--MID($F374,2*COUNTIF($G374:H374,"&gt;"&amp;0)+2,1)=I$1,I$1,""),"")</f>
        <v/>
      </c>
      <c r="J374" s="36">
        <f>IFERROR(IF(--MID($F374,2*COUNTIF($G374:I374,"&gt;"&amp;0)+2,1)=J$1,J$1,""),"")</f>
        <v>4</v>
      </c>
      <c r="K374" s="36" t="str">
        <f>IFERROR(IF(--MID($F374,2*COUNTIF($G374:J374,"&gt;"&amp;0)+2,1)=K$1,K$1,""),"")</f>
        <v/>
      </c>
      <c r="L374" s="36" t="str">
        <f>IFERROR(IF(--MID($F374,2*COUNTIF($G374:K374,"&gt;"&amp;0)+2,1)=L$1,L$1,""),"")</f>
        <v/>
      </c>
      <c r="M374" s="36" t="e" cm="1">
        <f t="array" ref="M374">IF(A374="","",_xlfn.XLOOKUP(D374&amp;"_"&amp;AE374,符文权重!A:A&amp;"_"&amp;符文权重!C:C,符文权重!D:D))</f>
        <v>#N/A</v>
      </c>
      <c r="N374" s="36"/>
      <c r="O374" s="36"/>
      <c r="P374" s="36"/>
      <c r="Q374" s="36"/>
      <c r="R374" s="36"/>
      <c r="S374" s="60" t="s">
        <v>192</v>
      </c>
      <c r="T374" s="60" t="s">
        <v>193</v>
      </c>
      <c r="U374" s="60" t="s">
        <v>413</v>
      </c>
      <c r="V374" s="61" t="s">
        <v>490</v>
      </c>
      <c r="W374" s="67"/>
      <c r="X374" s="28"/>
      <c r="Y374" s="35">
        <v>100</v>
      </c>
      <c r="Z374" s="28"/>
      <c r="AA374" s="59" t="s">
        <v>177</v>
      </c>
      <c r="AB374" s="42" t="str">
        <f t="shared" si="183"/>
        <v>射手穿透或弹射时，有&lt;color=#54b76b&gt;5%&lt;/color&gt;概率不消耗次数</v>
      </c>
      <c r="AC374" s="57" t="s">
        <v>489</v>
      </c>
      <c r="AD374" s="59" t="s">
        <v>230</v>
      </c>
      <c r="AE374" s="60">
        <v>100</v>
      </c>
      <c r="AF374" s="60"/>
      <c r="AG374" s="60">
        <v>1</v>
      </c>
      <c r="AH374" s="35">
        <v>1</v>
      </c>
      <c r="AI374" s="62">
        <v>5505061</v>
      </c>
      <c r="AJ374" s="73" t="s">
        <v>488</v>
      </c>
      <c r="AK374" s="60">
        <v>5</v>
      </c>
      <c r="AL374" s="35"/>
    </row>
    <row r="375" s="28" customFormat="1" hidden="1" customHeight="1" spans="1:38">
      <c r="A375" s="57">
        <v>5505062</v>
      </c>
      <c r="B375" s="58" t="s">
        <v>488</v>
      </c>
      <c r="C375" s="57" t="s">
        <v>489</v>
      </c>
      <c r="D375" s="59">
        <v>2</v>
      </c>
      <c r="E375" s="59"/>
      <c r="F375" s="60" t="s">
        <v>404</v>
      </c>
      <c r="G375" s="36" t="str">
        <f t="shared" si="180"/>
        <v/>
      </c>
      <c r="H375" s="36" t="str">
        <f>IFERROR(IF(--MID($F375,2*COUNTIF($G375:G375,"&gt;"&amp;0)+2,1)=H$1,H$1,""),"")</f>
        <v/>
      </c>
      <c r="I375" s="36" t="str">
        <f>IFERROR(IF(--MID($F375,2*COUNTIF($G375:H375,"&gt;"&amp;0)+2,1)=I$1,I$1,""),"")</f>
        <v/>
      </c>
      <c r="J375" s="36">
        <f>IFERROR(IF(--MID($F375,2*COUNTIF($G375:I375,"&gt;"&amp;0)+2,1)=J$1,J$1,""),"")</f>
        <v>4</v>
      </c>
      <c r="K375" s="36" t="str">
        <f>IFERROR(IF(--MID($F375,2*COUNTIF($G375:J375,"&gt;"&amp;0)+2,1)=K$1,K$1,""),"")</f>
        <v/>
      </c>
      <c r="L375" s="36" t="str">
        <f>IFERROR(IF(--MID($F375,2*COUNTIF($G375:K375,"&gt;"&amp;0)+2,1)=L$1,L$1,""),"")</f>
        <v/>
      </c>
      <c r="M375" s="36" t="e" cm="1">
        <f t="array" ref="M375">IF(A375="","",_xlfn.XLOOKUP(D375&amp;"_"&amp;AE375,符文权重!A:A&amp;"_"&amp;符文权重!C:C,符文权重!D:D))</f>
        <v>#N/A</v>
      </c>
      <c r="N375" s="36"/>
      <c r="O375" s="36"/>
      <c r="P375" s="36"/>
      <c r="Q375" s="36"/>
      <c r="R375" s="36"/>
      <c r="S375" s="60" t="s">
        <v>192</v>
      </c>
      <c r="T375" s="60" t="s">
        <v>193</v>
      </c>
      <c r="U375" s="60" t="s">
        <v>415</v>
      </c>
      <c r="V375" s="61" t="s">
        <v>491</v>
      </c>
      <c r="W375" s="60"/>
      <c r="Y375" s="35">
        <v>100</v>
      </c>
      <c r="AA375" s="59" t="s">
        <v>181</v>
      </c>
      <c r="AB375" s="42" t="str">
        <f t="shared" si="183"/>
        <v>射手穿透或弹射时，有&lt;color=#54b76b&gt;12%&lt;/color&gt;概率不消耗次数</v>
      </c>
      <c r="AC375" s="57" t="s">
        <v>489</v>
      </c>
      <c r="AD375" s="59" t="s">
        <v>492</v>
      </c>
      <c r="AE375" s="60">
        <v>100</v>
      </c>
      <c r="AF375" s="60"/>
      <c r="AG375" s="60">
        <v>1</v>
      </c>
      <c r="AH375" s="35">
        <v>1</v>
      </c>
      <c r="AI375" s="57">
        <v>5505062</v>
      </c>
      <c r="AJ375" s="64" t="s">
        <v>488</v>
      </c>
      <c r="AK375" s="60">
        <v>12</v>
      </c>
      <c r="AL375" s="35"/>
    </row>
    <row r="376" s="28" customFormat="1" hidden="1" customHeight="1" spans="1:38">
      <c r="A376" s="57">
        <v>5505063</v>
      </c>
      <c r="B376" s="58" t="s">
        <v>488</v>
      </c>
      <c r="C376" s="57" t="s">
        <v>489</v>
      </c>
      <c r="D376" s="59">
        <v>3</v>
      </c>
      <c r="E376" s="59"/>
      <c r="F376" s="60" t="s">
        <v>404</v>
      </c>
      <c r="G376" s="36" t="str">
        <f t="shared" si="180"/>
        <v/>
      </c>
      <c r="H376" s="36" t="str">
        <f>IFERROR(IF(--MID($F376,2*COUNTIF($G376:G376,"&gt;"&amp;0)+2,1)=H$1,H$1,""),"")</f>
        <v/>
      </c>
      <c r="I376" s="36" t="str">
        <f>IFERROR(IF(--MID($F376,2*COUNTIF($G376:H376,"&gt;"&amp;0)+2,1)=I$1,I$1,""),"")</f>
        <v/>
      </c>
      <c r="J376" s="36">
        <f>IFERROR(IF(--MID($F376,2*COUNTIF($G376:I376,"&gt;"&amp;0)+2,1)=J$1,J$1,""),"")</f>
        <v>4</v>
      </c>
      <c r="K376" s="36" t="str">
        <f>IFERROR(IF(--MID($F376,2*COUNTIF($G376:J376,"&gt;"&amp;0)+2,1)=K$1,K$1,""),"")</f>
        <v/>
      </c>
      <c r="L376" s="36" t="str">
        <f>IFERROR(IF(--MID($F376,2*COUNTIF($G376:K376,"&gt;"&amp;0)+2,1)=L$1,L$1,""),"")</f>
        <v/>
      </c>
      <c r="M376" s="36" t="e" cm="1">
        <f t="array" ref="M376">IF(A376="","",_xlfn.XLOOKUP(D376&amp;"_"&amp;AE376,符文权重!A:A&amp;"_"&amp;符文权重!C:C,符文权重!D:D))</f>
        <v>#N/A</v>
      </c>
      <c r="N376" s="36"/>
      <c r="O376" s="36"/>
      <c r="P376" s="36"/>
      <c r="Q376" s="36"/>
      <c r="R376" s="36"/>
      <c r="S376" s="60" t="s">
        <v>192</v>
      </c>
      <c r="T376" s="60" t="s">
        <v>193</v>
      </c>
      <c r="U376" s="60" t="s">
        <v>417</v>
      </c>
      <c r="V376" s="61" t="s">
        <v>493</v>
      </c>
      <c r="W376" s="60"/>
      <c r="Y376" s="36">
        <v>100</v>
      </c>
      <c r="AA376" s="59" t="s">
        <v>183</v>
      </c>
      <c r="AB376" s="42" t="str">
        <f t="shared" si="183"/>
        <v>射手穿透或弹射时，有&lt;color=#54b76b&gt;18%&lt;/color&gt;概率不消耗次数</v>
      </c>
      <c r="AC376" s="57" t="s">
        <v>489</v>
      </c>
      <c r="AD376" s="59" t="s">
        <v>494</v>
      </c>
      <c r="AE376" s="60">
        <v>100</v>
      </c>
      <c r="AF376" s="60"/>
      <c r="AG376" s="60">
        <v>1</v>
      </c>
      <c r="AH376" s="35">
        <v>1</v>
      </c>
      <c r="AI376" s="57">
        <v>5505063</v>
      </c>
      <c r="AJ376" s="64" t="s">
        <v>488</v>
      </c>
      <c r="AK376" s="60">
        <v>18</v>
      </c>
      <c r="AL376" s="36"/>
    </row>
    <row r="377" hidden="1" customHeight="1" spans="1:38">
      <c r="A377" s="48">
        <v>5505064</v>
      </c>
      <c r="B377" s="34" t="s">
        <v>488</v>
      </c>
      <c r="C377" s="48" t="s">
        <v>489</v>
      </c>
      <c r="D377" s="42">
        <v>4</v>
      </c>
      <c r="E377" s="42"/>
      <c r="F377" s="36" t="s">
        <v>404</v>
      </c>
      <c r="G377" s="36" t="str">
        <f t="shared" si="180"/>
        <v/>
      </c>
      <c r="H377" s="36" t="str">
        <f>IFERROR(IF(--MID($F377,2*COUNTIF($G377:G377,"&gt;"&amp;0)+2,1)=H$1,H$1,""),"")</f>
        <v/>
      </c>
      <c r="I377" s="36" t="str">
        <f>IFERROR(IF(--MID($F377,2*COUNTIF($G377:H377,"&gt;"&amp;0)+2,1)=I$1,I$1,""),"")</f>
        <v/>
      </c>
      <c r="J377" s="36">
        <f>IFERROR(IF(--MID($F377,2*COUNTIF($G377:I377,"&gt;"&amp;0)+2,1)=J$1,J$1,""),"")</f>
        <v>4</v>
      </c>
      <c r="K377" s="36" t="str">
        <f>IFERROR(IF(--MID($F377,2*COUNTIF($G377:J377,"&gt;"&amp;0)+2,1)=K$1,K$1,""),"")</f>
        <v/>
      </c>
      <c r="L377" s="36" t="str">
        <f>IFERROR(IF(--MID($F377,2*COUNTIF($G377:K377,"&gt;"&amp;0)+2,1)=L$1,L$1,""),"")</f>
        <v/>
      </c>
      <c r="M377" s="51" t="str" cm="1">
        <f t="array" ref="M377">IF($A377="","",IF(G377="","",_xlfn.XLOOKUP($D377&amp;"_"&amp;$AE377,符文权重!$A:$A&amp;"_"&amp;符文权重!$C:$C,符文权重!$D:$D)*$Y377/SUMIFS($Y:$Y,G:G,G377,$D:$D,$D377,$AE:$AE,$AE377)/SUMIF(符文权重!$A:$A,$D377,符文权重!$D:$D)))</f>
        <v/>
      </c>
      <c r="N377" s="51" t="str" cm="1">
        <f t="array" ref="N377">IF($A377="","",IF(H377="","",_xlfn.XLOOKUP($D377&amp;"_"&amp;$AE377,符文权重!$A:$A&amp;"_"&amp;符文权重!$C:$C,符文权重!$D:$D)*$Y377/SUMIFS($Y:$Y,H:H,H377,$D:$D,$D377,$AE:$AE,$AE377)/SUMIF(符文权重!$A:$A,$D377,符文权重!$D:$D)))</f>
        <v/>
      </c>
      <c r="O377" s="51" t="str" cm="1">
        <f t="array" ref="O377">IF($A377="","",IF(I377="","",_xlfn.XLOOKUP($D377&amp;"_"&amp;$AE377,符文权重!$A:$A&amp;"_"&amp;符文权重!$C:$C,符文权重!$D:$D)*$Y377/SUMIFS($Y:$Y,I:I,I377,$D:$D,$D377,$AE:$AE,$AE377)/SUMIF(符文权重!$A:$A,$D377,符文权重!$D:$D)))</f>
        <v/>
      </c>
      <c r="P377" s="51" cm="1">
        <f t="array" ref="P377">IF($A377="","",IF(J377="","",_xlfn.XLOOKUP($D377&amp;"_"&amp;$AE377,符文权重!$A:$A&amp;"_"&amp;符文权重!$C:$C,符文权重!$D:$D)*$Y377/SUMIFS($Y:$Y,J:J,J377,$D:$D,$D377,$AE:$AE,$AE377)/SUMIF(符文权重!$A:$A,$D377,符文权重!$D:$D)))</f>
        <v>0.00344789233678123</v>
      </c>
      <c r="Q377" s="51" t="str" cm="1">
        <f t="array" ref="Q377">IF($A377="","",IF(K377="","",_xlfn.XLOOKUP($D377&amp;"_"&amp;$AE377,符文权重!$A:$A&amp;"_"&amp;符文权重!$C:$C,符文权重!$D:$D)*$Y377/SUMIFS($Y:$Y,K:K,K377,$D:$D,$D377,$AE:$AE,$AE377)/SUMIF(符文权重!$A:$A,$D377,符文权重!$D:$D)))</f>
        <v/>
      </c>
      <c r="R377" s="51" t="str" cm="1">
        <f t="array" ref="R377">IF($A377="","",IF(L377="","",_xlfn.XLOOKUP($D377&amp;"_"&amp;$AE377,符文权重!$A:$A&amp;"_"&amp;符文权重!$C:$C,符文权重!$D:$D)*$Y377/SUMIFS($Y:$Y,L:L,L377,$D:$D,$D377,$AE:$AE,$AE377)/SUMIF(符文权重!$A:$A,$D377,符文权重!$D:$D)))</f>
        <v/>
      </c>
      <c r="S377" s="36" t="s">
        <v>192</v>
      </c>
      <c r="T377" s="36" t="s">
        <v>193</v>
      </c>
      <c r="U377" s="36" t="s">
        <v>420</v>
      </c>
      <c r="V377" s="52" t="s">
        <v>495</v>
      </c>
      <c r="Y377" s="35">
        <v>4</v>
      </c>
      <c r="AA377" s="42" t="s">
        <v>185</v>
      </c>
      <c r="AB377" s="42" t="str">
        <f t="shared" si="183"/>
        <v>射手穿透或弹射时，有&lt;color=#54b76b&gt;25%&lt;/color&gt;概率不消耗次数</v>
      </c>
      <c r="AC377" s="48" t="s">
        <v>489</v>
      </c>
      <c r="AD377" s="42" t="s">
        <v>431</v>
      </c>
      <c r="AE377" s="36">
        <v>3</v>
      </c>
      <c r="AF377" s="36"/>
      <c r="AG377" s="36">
        <v>0</v>
      </c>
      <c r="AH377" s="35">
        <v>1</v>
      </c>
      <c r="AI377" s="48">
        <v>5505064</v>
      </c>
      <c r="AJ377" s="53" t="s">
        <v>488</v>
      </c>
      <c r="AK377" s="36">
        <v>25</v>
      </c>
      <c r="AL377" s="35">
        <v>5</v>
      </c>
    </row>
    <row r="378" hidden="1" customHeight="1" spans="1:38">
      <c r="A378" s="48">
        <v>5505065</v>
      </c>
      <c r="B378" s="34" t="s">
        <v>488</v>
      </c>
      <c r="C378" s="48" t="s">
        <v>489</v>
      </c>
      <c r="D378" s="42">
        <v>5</v>
      </c>
      <c r="E378" s="42"/>
      <c r="F378" s="36" t="s">
        <v>404</v>
      </c>
      <c r="G378" s="36" t="str">
        <f t="shared" si="180"/>
        <v/>
      </c>
      <c r="H378" s="36" t="str">
        <f>IFERROR(IF(--MID($F378,2*COUNTIF($G378:G378,"&gt;"&amp;0)+2,1)=H$1,H$1,""),"")</f>
        <v/>
      </c>
      <c r="I378" s="36" t="str">
        <f>IFERROR(IF(--MID($F378,2*COUNTIF($G378:H378,"&gt;"&amp;0)+2,1)=I$1,I$1,""),"")</f>
        <v/>
      </c>
      <c r="J378" s="36">
        <f>IFERROR(IF(--MID($F378,2*COUNTIF($G378:I378,"&gt;"&amp;0)+2,1)=J$1,J$1,""),"")</f>
        <v>4</v>
      </c>
      <c r="K378" s="36" t="str">
        <f>IFERROR(IF(--MID($F378,2*COUNTIF($G378:J378,"&gt;"&amp;0)+2,1)=K$1,K$1,""),"")</f>
        <v/>
      </c>
      <c r="L378" s="36" t="str">
        <f>IFERROR(IF(--MID($F378,2*COUNTIF($G378:K378,"&gt;"&amp;0)+2,1)=L$1,L$1,""),"")</f>
        <v/>
      </c>
      <c r="M378" s="51" t="str" cm="1">
        <f t="array" ref="M378">IF($A378="","",IF(G378="","",_xlfn.XLOOKUP($D378&amp;"_"&amp;$AE378,符文权重!$A:$A&amp;"_"&amp;符文权重!$C:$C,符文权重!$D:$D)*$Y378/SUMIFS($Y:$Y,G:G,G378,$D:$D,$D378,$AE:$AE,$AE378)/SUMIF(符文权重!$A:$A,$D378,符文权重!$D:$D)))</f>
        <v/>
      </c>
      <c r="N378" s="51" t="str" cm="1">
        <f t="array" ref="N378">IF($A378="","",IF(H378="","",_xlfn.XLOOKUP($D378&amp;"_"&amp;$AE378,符文权重!$A:$A&amp;"_"&amp;符文权重!$C:$C,符文权重!$D:$D)*$Y378/SUMIFS($Y:$Y,H:H,H378,$D:$D,$D378,$AE:$AE,$AE378)/SUMIF(符文权重!$A:$A,$D378,符文权重!$D:$D)))</f>
        <v/>
      </c>
      <c r="O378" s="51" t="str" cm="1">
        <f t="array" ref="O378">IF($A378="","",IF(I378="","",_xlfn.XLOOKUP($D378&amp;"_"&amp;$AE378,符文权重!$A:$A&amp;"_"&amp;符文权重!$C:$C,符文权重!$D:$D)*$Y378/SUMIFS($Y:$Y,I:I,I378,$D:$D,$D378,$AE:$AE,$AE378)/SUMIF(符文权重!$A:$A,$D378,符文权重!$D:$D)))</f>
        <v/>
      </c>
      <c r="P378" s="51" cm="1">
        <f t="array" ref="P378">IF($A378="","",IF(J378="","",_xlfn.XLOOKUP($D378&amp;"_"&amp;$AE378,符文权重!$A:$A&amp;"_"&amp;符文权重!$C:$C,符文权重!$D:$D)*$Y378/SUMIFS($Y:$Y,J:J,J378,$D:$D,$D378,$AE:$AE,$AE378)/SUMIF(符文权重!$A:$A,$D378,符文权重!$D:$D)))</f>
        <v>0.005</v>
      </c>
      <c r="Q378" s="51" t="str" cm="1">
        <f t="array" ref="Q378">IF($A378="","",IF(K378="","",_xlfn.XLOOKUP($D378&amp;"_"&amp;$AE378,符文权重!$A:$A&amp;"_"&amp;符文权重!$C:$C,符文权重!$D:$D)*$Y378/SUMIFS($Y:$Y,K:K,K378,$D:$D,$D378,$AE:$AE,$AE378)/SUMIF(符文权重!$A:$A,$D378,符文权重!$D:$D)))</f>
        <v/>
      </c>
      <c r="R378" s="51" t="str" cm="1">
        <f t="array" ref="R378">IF($A378="","",IF(L378="","",_xlfn.XLOOKUP($D378&amp;"_"&amp;$AE378,符文权重!$A:$A&amp;"_"&amp;符文权重!$C:$C,符文权重!$D:$D)*$Y378/SUMIFS($Y:$Y,L:L,L378,$D:$D,$D378,$AE:$AE,$AE378)/SUMIF(符文权重!$A:$A,$D378,符文权重!$D:$D)))</f>
        <v/>
      </c>
      <c r="S378" s="36" t="s">
        <v>192</v>
      </c>
      <c r="T378" s="36" t="s">
        <v>193</v>
      </c>
      <c r="U378" s="36" t="s">
        <v>423</v>
      </c>
      <c r="V378" s="52" t="s">
        <v>496</v>
      </c>
      <c r="Y378" s="35">
        <v>100</v>
      </c>
      <c r="AA378" s="42" t="s">
        <v>187</v>
      </c>
      <c r="AB378" s="42" t="str">
        <f t="shared" si="183"/>
        <v>射手穿透或弹射时，有&lt;color=#54b76b&gt;40%&lt;/color&gt;概率不消耗次数</v>
      </c>
      <c r="AC378" s="48" t="s">
        <v>489</v>
      </c>
      <c r="AD378" s="42" t="s">
        <v>497</v>
      </c>
      <c r="AE378" s="36">
        <v>5</v>
      </c>
      <c r="AF378" s="36"/>
      <c r="AG378" s="36">
        <v>0</v>
      </c>
      <c r="AH378" s="35">
        <v>1</v>
      </c>
      <c r="AI378" s="48">
        <v>5505065</v>
      </c>
      <c r="AJ378" s="53" t="s">
        <v>488</v>
      </c>
      <c r="AK378" s="36">
        <v>40</v>
      </c>
      <c r="AL378" s="35">
        <v>5</v>
      </c>
    </row>
    <row r="379" hidden="1" customHeight="1" spans="1:38">
      <c r="A379" s="48">
        <v>5505066</v>
      </c>
      <c r="B379" s="34" t="s">
        <v>488</v>
      </c>
      <c r="C379" s="48" t="s">
        <v>489</v>
      </c>
      <c r="D379" s="42">
        <v>6</v>
      </c>
      <c r="E379" s="42"/>
      <c r="F379" s="36" t="s">
        <v>404</v>
      </c>
      <c r="G379" s="36" t="str">
        <f t="shared" si="180"/>
        <v/>
      </c>
      <c r="H379" s="36" t="str">
        <f>IFERROR(IF(--MID($F379,2*COUNTIF($G379:G379,"&gt;"&amp;0)+2,1)=H$1,H$1,""),"")</f>
        <v/>
      </c>
      <c r="I379" s="36" t="str">
        <f>IFERROR(IF(--MID($F379,2*COUNTIF($G379:H379,"&gt;"&amp;0)+2,1)=I$1,I$1,""),"")</f>
        <v/>
      </c>
      <c r="J379" s="36">
        <f>IFERROR(IF(--MID($F379,2*COUNTIF($G379:I379,"&gt;"&amp;0)+2,1)=J$1,J$1,""),"")</f>
        <v>4</v>
      </c>
      <c r="K379" s="36" t="str">
        <f>IFERROR(IF(--MID($F379,2*COUNTIF($G379:J379,"&gt;"&amp;0)+2,1)=K$1,K$1,""),"")</f>
        <v/>
      </c>
      <c r="L379" s="36" t="str">
        <f>IFERROR(IF(--MID($F379,2*COUNTIF($G379:K379,"&gt;"&amp;0)+2,1)=L$1,L$1,""),"")</f>
        <v/>
      </c>
      <c r="M379" s="51" t="str" cm="1">
        <f t="array" ref="M379">IF($A379="","",IF(G379="","",_xlfn.XLOOKUP($D379&amp;"_"&amp;$AE379,符文权重!$A:$A&amp;"_"&amp;符文权重!$C:$C,符文权重!$D:$D)*$Y379/SUMIFS($Y:$Y,G:G,G379,$D:$D,$D379,$AE:$AE,$AE379)/SUMIF(符文权重!$A:$A,$D379,符文权重!$D:$D)))</f>
        <v/>
      </c>
      <c r="N379" s="51" t="str" cm="1">
        <f t="array" ref="N379">IF($A379="","",IF(H379="","",_xlfn.XLOOKUP($D379&amp;"_"&amp;$AE379,符文权重!$A:$A&amp;"_"&amp;符文权重!$C:$C,符文权重!$D:$D)*$Y379/SUMIFS($Y:$Y,H:H,H379,$D:$D,$D379,$AE:$AE,$AE379)/SUMIF(符文权重!$A:$A,$D379,符文权重!$D:$D)))</f>
        <v/>
      </c>
      <c r="O379" s="51" t="str" cm="1">
        <f t="array" ref="O379">IF($A379="","",IF(I379="","",_xlfn.XLOOKUP($D379&amp;"_"&amp;$AE379,符文权重!$A:$A&amp;"_"&amp;符文权重!$C:$C,符文权重!$D:$D)*$Y379/SUMIFS($Y:$Y,I:I,I379,$D:$D,$D379,$AE:$AE,$AE379)/SUMIF(符文权重!$A:$A,$D379,符文权重!$D:$D)))</f>
        <v/>
      </c>
      <c r="P379" s="51" cm="1">
        <f t="array" ref="P379">IF($A379="","",IF(J379="","",_xlfn.XLOOKUP($D379&amp;"_"&amp;$AE379,符文权重!$A:$A&amp;"_"&amp;符文权重!$C:$C,符文权重!$D:$D)*$Y379/SUMIFS($Y:$Y,J:J,J379,$D:$D,$D379,$AE:$AE,$AE379)/SUMIF(符文权重!$A:$A,$D379,符文权重!$D:$D)))</f>
        <v>0.005</v>
      </c>
      <c r="Q379" s="51" t="str" cm="1">
        <f t="array" ref="Q379">IF($A379="","",IF(K379="","",_xlfn.XLOOKUP($D379&amp;"_"&amp;$AE379,符文权重!$A:$A&amp;"_"&amp;符文权重!$C:$C,符文权重!$D:$D)*$Y379/SUMIFS($Y:$Y,K:K,K379,$D:$D,$D379,$AE:$AE,$AE379)/SUMIF(符文权重!$A:$A,$D379,符文权重!$D:$D)))</f>
        <v/>
      </c>
      <c r="R379" s="51" t="str" cm="1">
        <f t="array" ref="R379">IF($A379="","",IF(L379="","",_xlfn.XLOOKUP($D379&amp;"_"&amp;$AE379,符文权重!$A:$A&amp;"_"&amp;符文权重!$C:$C,符文权重!$D:$D)*$Y379/SUMIFS($Y:$Y,L:L,L379,$D:$D,$D379,$AE:$AE,$AE379)/SUMIF(符文权重!$A:$A,$D379,符文权重!$D:$D)))</f>
        <v/>
      </c>
      <c r="S379" s="36" t="s">
        <v>192</v>
      </c>
      <c r="T379" s="36" t="s">
        <v>193</v>
      </c>
      <c r="U379" s="36" t="s">
        <v>426</v>
      </c>
      <c r="V379" s="52" t="s">
        <v>498</v>
      </c>
      <c r="Y379" s="35">
        <v>100</v>
      </c>
      <c r="AA379" s="42" t="s">
        <v>189</v>
      </c>
      <c r="AB379" s="42" t="str">
        <f t="shared" si="183"/>
        <v>射手穿透或弹射时，有&lt;color=#54b76b&gt;55%&lt;/color&gt;概率不消耗次数</v>
      </c>
      <c r="AC379" s="48" t="s">
        <v>489</v>
      </c>
      <c r="AD379" s="42" t="s">
        <v>451</v>
      </c>
      <c r="AE379" s="36">
        <v>5</v>
      </c>
      <c r="AF379" s="36"/>
      <c r="AG379" s="36">
        <v>0</v>
      </c>
      <c r="AH379" s="35">
        <v>1</v>
      </c>
      <c r="AI379" s="48">
        <v>5505066</v>
      </c>
      <c r="AJ379" s="53" t="s">
        <v>488</v>
      </c>
      <c r="AK379" s="36">
        <v>55</v>
      </c>
      <c r="AL379" s="35">
        <v>5</v>
      </c>
    </row>
    <row r="380" hidden="1" customHeight="1" spans="1:38">
      <c r="A380" s="48">
        <v>5505067</v>
      </c>
      <c r="B380" s="34" t="s">
        <v>488</v>
      </c>
      <c r="C380" s="48" t="s">
        <v>489</v>
      </c>
      <c r="D380" s="42">
        <v>7</v>
      </c>
      <c r="E380" s="42"/>
      <c r="F380" s="36" t="s">
        <v>404</v>
      </c>
      <c r="G380" s="36" t="str">
        <f t="shared" si="180"/>
        <v/>
      </c>
      <c r="H380" s="36" t="str">
        <f>IFERROR(IF(--MID($F380,2*COUNTIF($G380:G380,"&gt;"&amp;0)+2,1)=H$1,H$1,""),"")</f>
        <v/>
      </c>
      <c r="I380" s="36" t="str">
        <f>IFERROR(IF(--MID($F380,2*COUNTIF($G380:H380,"&gt;"&amp;0)+2,1)=I$1,I$1,""),"")</f>
        <v/>
      </c>
      <c r="J380" s="36">
        <f>IFERROR(IF(--MID($F380,2*COUNTIF($G380:I380,"&gt;"&amp;0)+2,1)=J$1,J$1,""),"")</f>
        <v>4</v>
      </c>
      <c r="K380" s="36" t="str">
        <f>IFERROR(IF(--MID($F380,2*COUNTIF($G380:J380,"&gt;"&amp;0)+2,1)=K$1,K$1,""),"")</f>
        <v/>
      </c>
      <c r="L380" s="36" t="str">
        <f>IFERROR(IF(--MID($F380,2*COUNTIF($G380:K380,"&gt;"&amp;0)+2,1)=L$1,L$1,""),"")</f>
        <v/>
      </c>
      <c r="M380" s="51" t="str" cm="1">
        <f t="array" ref="M380">IF($A380="","",IF(G380="","",_xlfn.XLOOKUP($D380&amp;"_"&amp;$AE380,符文权重!$A:$A&amp;"_"&amp;符文权重!$C:$C,符文权重!$D:$D)*$Y380/SUMIFS($Y:$Y,G:G,G380,$D:$D,$D380,$AE:$AE,$AE380)/SUMIF(符文权重!$A:$A,$D380,符文权重!$D:$D)))</f>
        <v/>
      </c>
      <c r="N380" s="51" t="str" cm="1">
        <f t="array" ref="N380">IF($A380="","",IF(H380="","",_xlfn.XLOOKUP($D380&amp;"_"&amp;$AE380,符文权重!$A:$A&amp;"_"&amp;符文权重!$C:$C,符文权重!$D:$D)*$Y380/SUMIFS($Y:$Y,H:H,H380,$D:$D,$D380,$AE:$AE,$AE380)/SUMIF(符文权重!$A:$A,$D380,符文权重!$D:$D)))</f>
        <v/>
      </c>
      <c r="O380" s="51" t="str" cm="1">
        <f t="array" ref="O380">IF($A380="","",IF(I380="","",_xlfn.XLOOKUP($D380&amp;"_"&amp;$AE380,符文权重!$A:$A&amp;"_"&amp;符文权重!$C:$C,符文权重!$D:$D)*$Y380/SUMIFS($Y:$Y,I:I,I380,$D:$D,$D380,$AE:$AE,$AE380)/SUMIF(符文权重!$A:$A,$D380,符文权重!$D:$D)))</f>
        <v/>
      </c>
      <c r="P380" s="51" cm="1">
        <f t="array" ref="P380">IF($A380="","",IF(J380="","",_xlfn.XLOOKUP($D380&amp;"_"&amp;$AE380,符文权重!$A:$A&amp;"_"&amp;符文权重!$C:$C,符文权重!$D:$D)*$Y380/SUMIFS($Y:$Y,J:J,J380,$D:$D,$D380,$AE:$AE,$AE380)/SUMIF(符文权重!$A:$A,$D380,符文权重!$D:$D)))</f>
        <v>0.005</v>
      </c>
      <c r="Q380" s="51" t="str" cm="1">
        <f t="array" ref="Q380">IF($A380="","",IF(K380="","",_xlfn.XLOOKUP($D380&amp;"_"&amp;$AE380,符文权重!$A:$A&amp;"_"&amp;符文权重!$C:$C,符文权重!$D:$D)*$Y380/SUMIFS($Y:$Y,K:K,K380,$D:$D,$D380,$AE:$AE,$AE380)/SUMIF(符文权重!$A:$A,$D380,符文权重!$D:$D)))</f>
        <v/>
      </c>
      <c r="R380" s="51" t="str" cm="1">
        <f t="array" ref="R380">IF($A380="","",IF(L380="","",_xlfn.XLOOKUP($D380&amp;"_"&amp;$AE380,符文权重!$A:$A&amp;"_"&amp;符文权重!$C:$C,符文权重!$D:$D)*$Y380/SUMIFS($Y:$Y,L:L,L380,$D:$D,$D380,$AE:$AE,$AE380)/SUMIF(符文权重!$A:$A,$D380,符文权重!$D:$D)))</f>
        <v/>
      </c>
      <c r="S380" s="36" t="s">
        <v>192</v>
      </c>
      <c r="T380" s="36" t="s">
        <v>193</v>
      </c>
      <c r="U380" s="36" t="s">
        <v>429</v>
      </c>
      <c r="V380" s="52" t="s">
        <v>499</v>
      </c>
      <c r="Y380" s="36">
        <v>100</v>
      </c>
      <c r="AA380" s="42" t="s">
        <v>191</v>
      </c>
      <c r="AB380" s="42" t="str">
        <f t="shared" si="183"/>
        <v>射手穿透或弹射时，有&lt;color=#54b76b&gt;75%&lt;/color&gt;概率不消耗次数</v>
      </c>
      <c r="AC380" s="48" t="s">
        <v>489</v>
      </c>
      <c r="AD380" s="42" t="s">
        <v>500</v>
      </c>
      <c r="AE380" s="36">
        <v>5</v>
      </c>
      <c r="AF380" s="36"/>
      <c r="AG380" s="36">
        <v>0</v>
      </c>
      <c r="AH380" s="35">
        <v>1</v>
      </c>
      <c r="AI380" s="48">
        <v>5505067</v>
      </c>
      <c r="AJ380" s="53" t="s">
        <v>488</v>
      </c>
      <c r="AK380" s="36">
        <v>75</v>
      </c>
      <c r="AL380" s="36">
        <v>5</v>
      </c>
    </row>
    <row r="381" s="25" customFormat="1" hidden="1" customHeight="1" spans="1:38">
      <c r="A381" s="48" t="s">
        <v>178</v>
      </c>
      <c r="B381" s="35"/>
      <c r="C381" s="48" t="s">
        <v>178</v>
      </c>
      <c r="D381" s="42" t="s">
        <v>178</v>
      </c>
      <c r="E381" s="42"/>
      <c r="F381" s="36"/>
      <c r="G381" s="36" t="str">
        <f t="shared" si="180"/>
        <v/>
      </c>
      <c r="H381" s="36" t="str">
        <f>IFERROR(IF(--MID($F381,2*COUNTIF($G381:G381,"&gt;"&amp;0)+2,1)=H$1,H$1,""),"")</f>
        <v/>
      </c>
      <c r="I381" s="36" t="str">
        <f>IFERROR(IF(--MID($F381,2*COUNTIF($G381:H381,"&gt;"&amp;0)+2,1)=I$1,I$1,""),"")</f>
        <v/>
      </c>
      <c r="J381" s="36" t="str">
        <f>IFERROR(IF(--MID($F381,2*COUNTIF($G381:I381,"&gt;"&amp;0)+2,1)=J$1,J$1,""),"")</f>
        <v/>
      </c>
      <c r="K381" s="36" t="str">
        <f>IFERROR(IF(--MID($F381,2*COUNTIF($G381:J381,"&gt;"&amp;0)+2,1)=K$1,K$1,""),"")</f>
        <v/>
      </c>
      <c r="L381" s="36" t="str">
        <f>IFERROR(IF(--MID($F381,2*COUNTIF($G381:K381,"&gt;"&amp;0)+2,1)=L$1,L$1,""),"")</f>
        <v/>
      </c>
      <c r="M381" s="51" t="str" cm="1">
        <f t="array" ref="M381">IF($A381="","",IF(G381="","",_xlfn.XLOOKUP($D381&amp;"_"&amp;$AE381,符文权重!$A:$A&amp;"_"&amp;符文权重!$C:$C,符文权重!$D:$D)*$Y381/SUMIFS($Y:$Y,G:G,G381,$D:$D,$D381,$AE:$AE,$AE381)/SUMIF(符文权重!$A:$A,$D381,符文权重!$D:$D)))</f>
        <v/>
      </c>
      <c r="N381" s="36" t="str" cm="1">
        <f t="array" ref="N381">IF($A381="","",IF(H381="","",_xlfn.XLOOKUP($D381&amp;"_"&amp;$AE381,符文权重!$A:$A&amp;"_"&amp;符文权重!$C:$C,符文权重!$D:$D)*$Y381/SUMIFS($Y:$Y,H:H,H381,$D:$D,$D$6,$AE:$AE,$AE$6)))</f>
        <v/>
      </c>
      <c r="O381" s="36" t="str" cm="1">
        <f t="array" ref="O381">IF($A381="","",IF(I381="","",_xlfn.XLOOKUP($D381&amp;"_"&amp;$AE381,符文权重!$A:$A&amp;"_"&amp;符文权重!$C:$C,符文权重!$D:$D)*$Y381/SUMIFS($Y:$Y,I:I,I381,$D:$D,$D$6,$AE:$AE,$AE$6)))</f>
        <v/>
      </c>
      <c r="P381" s="36" t="str" cm="1">
        <f t="array" ref="P381">IF($A381="","",IF(J381="","",_xlfn.XLOOKUP($D381&amp;"_"&amp;$AE381,符文权重!$A:$A&amp;"_"&amp;符文权重!$C:$C,符文权重!$D:$D)*$Y381/SUMIFS($Y:$Y,J:J,J381,$D:$D,$D$6,$AE:$AE,$AE$6)))</f>
        <v/>
      </c>
      <c r="Q381" s="36" t="str" cm="1">
        <f t="array" ref="Q381">IF($A381="","",IF(K381="","",_xlfn.XLOOKUP($D381&amp;"_"&amp;$AE381,符文权重!$A:$A&amp;"_"&amp;符文权重!$C:$C,符文权重!$D:$D)*$Y381/SUMIFS($Y:$Y,K:K,K381,$D:$D,$D$6,$AE:$AE,$AE$6)))</f>
        <v/>
      </c>
      <c r="R381" s="36" t="str" cm="1">
        <f t="array" ref="R381">IF($A381="","",IF(L381="","",_xlfn.XLOOKUP($D381&amp;"_"&amp;$AE381,符文权重!$A:$A&amp;"_"&amp;符文权重!$C:$C,符文权重!$D:$D)*$Y381/SUMIFS($Y:$Y,L:L,L381,$D:$D,$D$6,$AE:$AE,$AE$6)))</f>
        <v/>
      </c>
      <c r="S381" s="36"/>
      <c r="T381" s="36"/>
      <c r="U381" s="36"/>
      <c r="W381" s="41"/>
      <c r="X381" s="35"/>
      <c r="Y381" s="35"/>
      <c r="Z381" s="35"/>
      <c r="AA381" s="42" t="s">
        <v>178</v>
      </c>
      <c r="AB381" s="42" t="str">
        <f t="shared" si="183"/>
        <v/>
      </c>
      <c r="AC381" s="48" t="s">
        <v>178</v>
      </c>
      <c r="AD381" s="42" t="s">
        <v>178</v>
      </c>
      <c r="AE381" s="36"/>
      <c r="AF381" s="36"/>
      <c r="AG381" s="36"/>
      <c r="AH381" s="35" t="s">
        <v>178</v>
      </c>
      <c r="AI381" s="33"/>
      <c r="AJ381" s="74"/>
      <c r="AK381" s="36"/>
      <c r="AL381" s="35"/>
    </row>
    <row r="382" s="27" customFormat="1" hidden="1" customHeight="1" spans="1:38">
      <c r="A382" s="57">
        <v>5505071</v>
      </c>
      <c r="B382" s="28" t="s">
        <v>501</v>
      </c>
      <c r="C382" s="57" t="s">
        <v>502</v>
      </c>
      <c r="D382" s="59">
        <v>1</v>
      </c>
      <c r="E382" s="59"/>
      <c r="F382" s="60" t="s">
        <v>211</v>
      </c>
      <c r="G382" s="36" t="str">
        <f t="shared" si="180"/>
        <v/>
      </c>
      <c r="H382" s="36">
        <f>IFERROR(IF(--MID($F382,2*COUNTIF($G382:G382,"&gt;"&amp;0)+2,1)=H$1,H$1,""),"")</f>
        <v>2</v>
      </c>
      <c r="I382" s="36" t="str">
        <f>IFERROR(IF(--MID($F382,2*COUNTIF($G382:H382,"&gt;"&amp;0)+2,1)=I$1,I$1,""),"")</f>
        <v/>
      </c>
      <c r="J382" s="36" t="str">
        <f>IFERROR(IF(--MID($F382,2*COUNTIF($G382:I382,"&gt;"&amp;0)+2,1)=J$1,J$1,""),"")</f>
        <v/>
      </c>
      <c r="K382" s="36" t="str">
        <f>IFERROR(IF(--MID($F382,2*COUNTIF($G382:J382,"&gt;"&amp;0)+2,1)=K$1,K$1,""),"")</f>
        <v/>
      </c>
      <c r="L382" s="36" t="str">
        <f>IFERROR(IF(--MID($F382,2*COUNTIF($G382:K382,"&gt;"&amp;0)+2,1)=L$1,L$1,""),"")</f>
        <v/>
      </c>
      <c r="M382" s="36" t="e" cm="1">
        <f t="array" ref="M382">IF(A382="","",_xlfn.XLOOKUP(D382&amp;"_"&amp;AE382,符文权重!A:A&amp;"_"&amp;符文权重!C:C,符文权重!D:D))</f>
        <v>#N/A</v>
      </c>
      <c r="N382" s="36"/>
      <c r="O382" s="36"/>
      <c r="P382" s="36"/>
      <c r="Q382" s="36"/>
      <c r="R382" s="36"/>
      <c r="S382" s="60" t="s">
        <v>192</v>
      </c>
      <c r="T382" s="60" t="s">
        <v>193</v>
      </c>
      <c r="U382" s="60" t="s">
        <v>413</v>
      </c>
      <c r="V382" s="61" t="s">
        <v>503</v>
      </c>
      <c r="W382" s="67"/>
      <c r="X382" s="28"/>
      <c r="Y382" s="35">
        <v>100</v>
      </c>
      <c r="Z382" s="28"/>
      <c r="AA382" s="59" t="s">
        <v>177</v>
      </c>
      <c r="AB382" s="42" t="str">
        <f t="shared" si="183"/>
        <v>射手普攻时有&lt;color=#54b76b&gt;5%&lt;/color&gt;概率额外攻击1次</v>
      </c>
      <c r="AC382" s="57" t="s">
        <v>502</v>
      </c>
      <c r="AD382" s="59" t="s">
        <v>230</v>
      </c>
      <c r="AE382" s="60">
        <v>100</v>
      </c>
      <c r="AF382" s="60"/>
      <c r="AG382" s="60">
        <v>1</v>
      </c>
      <c r="AH382" s="35">
        <v>1</v>
      </c>
      <c r="AI382" s="62">
        <v>5505071</v>
      </c>
      <c r="AJ382" s="73" t="s">
        <v>501</v>
      </c>
      <c r="AK382" s="60">
        <v>5</v>
      </c>
      <c r="AL382" s="35"/>
    </row>
    <row r="383" s="28" customFormat="1" hidden="1" customHeight="1" spans="1:38">
      <c r="A383" s="57">
        <v>5505072</v>
      </c>
      <c r="B383" s="28" t="s">
        <v>501</v>
      </c>
      <c r="C383" s="57" t="s">
        <v>502</v>
      </c>
      <c r="D383" s="59">
        <v>2</v>
      </c>
      <c r="E383" s="59"/>
      <c r="F383" s="60" t="s">
        <v>211</v>
      </c>
      <c r="G383" s="36" t="str">
        <f t="shared" si="180"/>
        <v/>
      </c>
      <c r="H383" s="36">
        <f>IFERROR(IF(--MID($F383,2*COUNTIF($G383:G383,"&gt;"&amp;0)+2,1)=H$1,H$1,""),"")</f>
        <v>2</v>
      </c>
      <c r="I383" s="36" t="str">
        <f>IFERROR(IF(--MID($F383,2*COUNTIF($G383:H383,"&gt;"&amp;0)+2,1)=I$1,I$1,""),"")</f>
        <v/>
      </c>
      <c r="J383" s="36" t="str">
        <f>IFERROR(IF(--MID($F383,2*COUNTIF($G383:I383,"&gt;"&amp;0)+2,1)=J$1,J$1,""),"")</f>
        <v/>
      </c>
      <c r="K383" s="36" t="str">
        <f>IFERROR(IF(--MID($F383,2*COUNTIF($G383:J383,"&gt;"&amp;0)+2,1)=K$1,K$1,""),"")</f>
        <v/>
      </c>
      <c r="L383" s="36" t="str">
        <f>IFERROR(IF(--MID($F383,2*COUNTIF($G383:K383,"&gt;"&amp;0)+2,1)=L$1,L$1,""),"")</f>
        <v/>
      </c>
      <c r="M383" s="36" t="e" cm="1">
        <f t="array" ref="M383">IF(A383="","",_xlfn.XLOOKUP(D383&amp;"_"&amp;AE383,符文权重!A:A&amp;"_"&amp;符文权重!C:C,符文权重!D:D))</f>
        <v>#N/A</v>
      </c>
      <c r="N383" s="36"/>
      <c r="O383" s="36"/>
      <c r="P383" s="36"/>
      <c r="Q383" s="36"/>
      <c r="R383" s="36"/>
      <c r="S383" s="60" t="s">
        <v>192</v>
      </c>
      <c r="T383" s="60" t="s">
        <v>193</v>
      </c>
      <c r="U383" s="60" t="s">
        <v>415</v>
      </c>
      <c r="V383" s="61" t="s">
        <v>504</v>
      </c>
      <c r="W383" s="60"/>
      <c r="Y383" s="35">
        <v>100</v>
      </c>
      <c r="AA383" s="59" t="s">
        <v>181</v>
      </c>
      <c r="AB383" s="42" t="str">
        <f t="shared" si="183"/>
        <v>射手普攻时有&lt;color=#54b76b&gt;8%&lt;/color&gt;概率额外攻击1次</v>
      </c>
      <c r="AC383" s="57" t="s">
        <v>502</v>
      </c>
      <c r="AD383" s="59" t="s">
        <v>419</v>
      </c>
      <c r="AE383" s="60">
        <v>100</v>
      </c>
      <c r="AF383" s="60"/>
      <c r="AG383" s="60">
        <v>1</v>
      </c>
      <c r="AH383" s="35">
        <v>1</v>
      </c>
      <c r="AI383" s="57">
        <v>5505072</v>
      </c>
      <c r="AJ383" s="64" t="s">
        <v>501</v>
      </c>
      <c r="AK383" s="60">
        <v>8</v>
      </c>
      <c r="AL383" s="35"/>
    </row>
    <row r="384" s="28" customFormat="1" hidden="1" customHeight="1" spans="1:38">
      <c r="A384" s="57">
        <v>5505073</v>
      </c>
      <c r="B384" s="28" t="s">
        <v>501</v>
      </c>
      <c r="C384" s="57" t="s">
        <v>502</v>
      </c>
      <c r="D384" s="59">
        <v>3</v>
      </c>
      <c r="E384" s="59"/>
      <c r="F384" s="60" t="s">
        <v>211</v>
      </c>
      <c r="G384" s="36" t="str">
        <f t="shared" si="180"/>
        <v/>
      </c>
      <c r="H384" s="36">
        <f>IFERROR(IF(--MID($F384,2*COUNTIF($G384:G384,"&gt;"&amp;0)+2,1)=H$1,H$1,""),"")</f>
        <v>2</v>
      </c>
      <c r="I384" s="36" t="str">
        <f>IFERROR(IF(--MID($F384,2*COUNTIF($G384:H384,"&gt;"&amp;0)+2,1)=I$1,I$1,""),"")</f>
        <v/>
      </c>
      <c r="J384" s="36" t="str">
        <f>IFERROR(IF(--MID($F384,2*COUNTIF($G384:I384,"&gt;"&amp;0)+2,1)=J$1,J$1,""),"")</f>
        <v/>
      </c>
      <c r="K384" s="36" t="str">
        <f>IFERROR(IF(--MID($F384,2*COUNTIF($G384:J384,"&gt;"&amp;0)+2,1)=K$1,K$1,""),"")</f>
        <v/>
      </c>
      <c r="L384" s="36" t="str">
        <f>IFERROR(IF(--MID($F384,2*COUNTIF($G384:K384,"&gt;"&amp;0)+2,1)=L$1,L$1,""),"")</f>
        <v/>
      </c>
      <c r="M384" s="36" t="e" cm="1">
        <f t="array" ref="M384">IF(A384="","",_xlfn.XLOOKUP(D384&amp;"_"&amp;AE384,符文权重!A:A&amp;"_"&amp;符文权重!C:C,符文权重!D:D))</f>
        <v>#N/A</v>
      </c>
      <c r="N384" s="36"/>
      <c r="O384" s="36"/>
      <c r="P384" s="36"/>
      <c r="Q384" s="36"/>
      <c r="R384" s="36"/>
      <c r="S384" s="60" t="s">
        <v>192</v>
      </c>
      <c r="T384" s="60" t="s">
        <v>193</v>
      </c>
      <c r="U384" s="60" t="s">
        <v>417</v>
      </c>
      <c r="V384" s="61" t="s">
        <v>505</v>
      </c>
      <c r="W384" s="60"/>
      <c r="Y384" s="36">
        <v>100</v>
      </c>
      <c r="AA384" s="59" t="s">
        <v>183</v>
      </c>
      <c r="AB384" s="42" t="str">
        <f t="shared" si="183"/>
        <v>射手普攻时有&lt;color=#54b76b&gt;10%&lt;/color&gt;概率额外攻击1次</v>
      </c>
      <c r="AC384" s="57" t="s">
        <v>502</v>
      </c>
      <c r="AD384" s="59" t="s">
        <v>422</v>
      </c>
      <c r="AE384" s="60">
        <v>100</v>
      </c>
      <c r="AF384" s="60"/>
      <c r="AG384" s="60">
        <v>1</v>
      </c>
      <c r="AH384" s="35">
        <v>1</v>
      </c>
      <c r="AI384" s="57">
        <v>5505073</v>
      </c>
      <c r="AJ384" s="64" t="s">
        <v>501</v>
      </c>
      <c r="AK384" s="60">
        <v>10</v>
      </c>
      <c r="AL384" s="36"/>
    </row>
    <row r="385" hidden="1" customHeight="1" spans="1:38">
      <c r="A385" s="48">
        <v>5505074</v>
      </c>
      <c r="B385" s="35" t="s">
        <v>501</v>
      </c>
      <c r="C385" s="48" t="s">
        <v>502</v>
      </c>
      <c r="D385" s="42">
        <v>4</v>
      </c>
      <c r="E385" s="42"/>
      <c r="F385" s="36" t="s">
        <v>211</v>
      </c>
      <c r="G385" s="36" t="str">
        <f t="shared" si="180"/>
        <v/>
      </c>
      <c r="H385" s="36">
        <f>IFERROR(IF(--MID($F385,2*COUNTIF($G385:G385,"&gt;"&amp;0)+2,1)=H$1,H$1,""),"")</f>
        <v>2</v>
      </c>
      <c r="I385" s="36" t="str">
        <f>IFERROR(IF(--MID($F385,2*COUNTIF($G385:H385,"&gt;"&amp;0)+2,1)=I$1,I$1,""),"")</f>
        <v/>
      </c>
      <c r="J385" s="36" t="str">
        <f>IFERROR(IF(--MID($F385,2*COUNTIF($G385:I385,"&gt;"&amp;0)+2,1)=J$1,J$1,""),"")</f>
        <v/>
      </c>
      <c r="K385" s="36" t="str">
        <f>IFERROR(IF(--MID($F385,2*COUNTIF($G385:J385,"&gt;"&amp;0)+2,1)=K$1,K$1,""),"")</f>
        <v/>
      </c>
      <c r="L385" s="36" t="str">
        <f>IFERROR(IF(--MID($F385,2*COUNTIF($G385:K385,"&gt;"&amp;0)+2,1)=L$1,L$1,""),"")</f>
        <v/>
      </c>
      <c r="M385" s="51" t="str" cm="1">
        <f t="array" ref="M385">IF($A385="","",IF(G385="","",_xlfn.XLOOKUP($D385&amp;"_"&amp;$AE385,符文权重!$A:$A&amp;"_"&amp;符文权重!$C:$C,符文权重!$D:$D)*$Y385/SUMIFS($Y:$Y,G:G,G385,$D:$D,$D385,$AE:$AE,$AE385)/SUMIF(符文权重!$A:$A,$D385,符文权重!$D:$D)))</f>
        <v/>
      </c>
      <c r="N385" s="51" cm="1">
        <f t="array" ref="N385">IF($A385="","",IF(H385="","",_xlfn.XLOOKUP($D385&amp;"_"&amp;$AE385,符文权重!$A:$A&amp;"_"&amp;符文权重!$C:$C,符文权重!$D:$D)*$Y385/SUMIFS($Y:$Y,H:H,H385,$D:$D,$D385,$AE:$AE,$AE385)/SUMIF(符文权重!$A:$A,$D385,符文权重!$D:$D)))</f>
        <v>0.00344789233678123</v>
      </c>
      <c r="O385" s="51" t="str" cm="1">
        <f t="array" ref="O385">IF($A385="","",IF(I385="","",_xlfn.XLOOKUP($D385&amp;"_"&amp;$AE385,符文权重!$A:$A&amp;"_"&amp;符文权重!$C:$C,符文权重!$D:$D)*$Y385/SUMIFS($Y:$Y,I:I,I385,$D:$D,$D385,$AE:$AE,$AE385)/SUMIF(符文权重!$A:$A,$D385,符文权重!$D:$D)))</f>
        <v/>
      </c>
      <c r="P385" s="51" t="str" cm="1">
        <f t="array" ref="P385">IF($A385="","",IF(J385="","",_xlfn.XLOOKUP($D385&amp;"_"&amp;$AE385,符文权重!$A:$A&amp;"_"&amp;符文权重!$C:$C,符文权重!$D:$D)*$Y385/SUMIFS($Y:$Y,J:J,J385,$D:$D,$D385,$AE:$AE,$AE385)/SUMIF(符文权重!$A:$A,$D385,符文权重!$D:$D)))</f>
        <v/>
      </c>
      <c r="Q385" s="51" t="str" cm="1">
        <f t="array" ref="Q385">IF($A385="","",IF(K385="","",_xlfn.XLOOKUP($D385&amp;"_"&amp;$AE385,符文权重!$A:$A&amp;"_"&amp;符文权重!$C:$C,符文权重!$D:$D)*$Y385/SUMIFS($Y:$Y,K:K,K385,$D:$D,$D385,$AE:$AE,$AE385)/SUMIF(符文权重!$A:$A,$D385,符文权重!$D:$D)))</f>
        <v/>
      </c>
      <c r="R385" s="51" t="str" cm="1">
        <f t="array" ref="R385">IF($A385="","",IF(L385="","",_xlfn.XLOOKUP($D385&amp;"_"&amp;$AE385,符文权重!$A:$A&amp;"_"&amp;符文权重!$C:$C,符文权重!$D:$D)*$Y385/SUMIFS($Y:$Y,L:L,L385,$D:$D,$D385,$AE:$AE,$AE385)/SUMIF(符文权重!$A:$A,$D385,符文权重!$D:$D)))</f>
        <v/>
      </c>
      <c r="S385" s="36" t="s">
        <v>192</v>
      </c>
      <c r="T385" s="36" t="s">
        <v>193</v>
      </c>
      <c r="U385" s="36" t="s">
        <v>420</v>
      </c>
      <c r="V385" s="52" t="s">
        <v>506</v>
      </c>
      <c r="Y385" s="35">
        <v>4</v>
      </c>
      <c r="AA385" s="42" t="s">
        <v>185</v>
      </c>
      <c r="AB385" s="42" t="str">
        <f t="shared" si="183"/>
        <v>射手普攻时有&lt;color=#54b76b&gt;15%&lt;/color&gt;概率额外攻击1次</v>
      </c>
      <c r="AC385" s="48" t="s">
        <v>502</v>
      </c>
      <c r="AD385" s="42" t="s">
        <v>425</v>
      </c>
      <c r="AE385" s="36">
        <v>3</v>
      </c>
      <c r="AF385" s="36"/>
      <c r="AG385" s="36">
        <v>0</v>
      </c>
      <c r="AH385" s="35">
        <v>1</v>
      </c>
      <c r="AI385" s="48">
        <v>5505074</v>
      </c>
      <c r="AJ385" s="53" t="s">
        <v>501</v>
      </c>
      <c r="AK385" s="36">
        <v>15</v>
      </c>
      <c r="AL385" s="35">
        <v>5</v>
      </c>
    </row>
    <row r="386" hidden="1" customHeight="1" spans="1:38">
      <c r="A386" s="48">
        <v>5505075</v>
      </c>
      <c r="B386" s="35" t="s">
        <v>501</v>
      </c>
      <c r="C386" s="48" t="s">
        <v>502</v>
      </c>
      <c r="D386" s="42">
        <v>5</v>
      </c>
      <c r="E386" s="42"/>
      <c r="F386" s="36" t="s">
        <v>211</v>
      </c>
      <c r="G386" s="36" t="str">
        <f t="shared" si="180"/>
        <v/>
      </c>
      <c r="H386" s="36">
        <f>IFERROR(IF(--MID($F386,2*COUNTIF($G386:G386,"&gt;"&amp;0)+2,1)=H$1,H$1,""),"")</f>
        <v>2</v>
      </c>
      <c r="I386" s="36" t="str">
        <f>IFERROR(IF(--MID($F386,2*COUNTIF($G386:H386,"&gt;"&amp;0)+2,1)=I$1,I$1,""),"")</f>
        <v/>
      </c>
      <c r="J386" s="36" t="str">
        <f>IFERROR(IF(--MID($F386,2*COUNTIF($G386:I386,"&gt;"&amp;0)+2,1)=J$1,J$1,""),"")</f>
        <v/>
      </c>
      <c r="K386" s="36" t="str">
        <f>IFERROR(IF(--MID($F386,2*COUNTIF($G386:J386,"&gt;"&amp;0)+2,1)=K$1,K$1,""),"")</f>
        <v/>
      </c>
      <c r="L386" s="36" t="str">
        <f>IFERROR(IF(--MID($F386,2*COUNTIF($G386:K386,"&gt;"&amp;0)+2,1)=L$1,L$1,""),"")</f>
        <v/>
      </c>
      <c r="M386" s="51" t="str" cm="1">
        <f t="array" ref="M386">IF($A386="","",IF(G386="","",_xlfn.XLOOKUP($D386&amp;"_"&amp;$AE386,符文权重!$A:$A&amp;"_"&amp;符文权重!$C:$C,符文权重!$D:$D)*$Y386/SUMIFS($Y:$Y,G:G,G386,$D:$D,$D386,$AE:$AE,$AE386)/SUMIF(符文权重!$A:$A,$D386,符文权重!$D:$D)))</f>
        <v/>
      </c>
      <c r="N386" s="51" cm="1">
        <f t="array" ref="N386">IF($A386="","",IF(H386="","",_xlfn.XLOOKUP($D386&amp;"_"&amp;$AE386,符文权重!$A:$A&amp;"_"&amp;符文权重!$C:$C,符文权重!$D:$D)*$Y386/SUMIFS($Y:$Y,H:H,H386,$D:$D,$D386,$AE:$AE,$AE386)/SUMIF(符文权重!$A:$A,$D386,符文权重!$D:$D)))</f>
        <v>0.00375</v>
      </c>
      <c r="O386" s="51" t="str" cm="1">
        <f t="array" ref="O386">IF($A386="","",IF(I386="","",_xlfn.XLOOKUP($D386&amp;"_"&amp;$AE386,符文权重!$A:$A&amp;"_"&amp;符文权重!$C:$C,符文权重!$D:$D)*$Y386/SUMIFS($Y:$Y,I:I,I386,$D:$D,$D386,$AE:$AE,$AE386)/SUMIF(符文权重!$A:$A,$D386,符文权重!$D:$D)))</f>
        <v/>
      </c>
      <c r="P386" s="51" t="str" cm="1">
        <f t="array" ref="P386">IF($A386="","",IF(J386="","",_xlfn.XLOOKUP($D386&amp;"_"&amp;$AE386,符文权重!$A:$A&amp;"_"&amp;符文权重!$C:$C,符文权重!$D:$D)*$Y386/SUMIFS($Y:$Y,J:J,J386,$D:$D,$D386,$AE:$AE,$AE386)/SUMIF(符文权重!$A:$A,$D386,符文权重!$D:$D)))</f>
        <v/>
      </c>
      <c r="Q386" s="51" t="str" cm="1">
        <f t="array" ref="Q386">IF($A386="","",IF(K386="","",_xlfn.XLOOKUP($D386&amp;"_"&amp;$AE386,符文权重!$A:$A&amp;"_"&amp;符文权重!$C:$C,符文权重!$D:$D)*$Y386/SUMIFS($Y:$Y,K:K,K386,$D:$D,$D386,$AE:$AE,$AE386)/SUMIF(符文权重!$A:$A,$D386,符文权重!$D:$D)))</f>
        <v/>
      </c>
      <c r="R386" s="51" t="str" cm="1">
        <f t="array" ref="R386">IF($A386="","",IF(L386="","",_xlfn.XLOOKUP($D386&amp;"_"&amp;$AE386,符文权重!$A:$A&amp;"_"&amp;符文权重!$C:$C,符文权重!$D:$D)*$Y386/SUMIFS($Y:$Y,L:L,L386,$D:$D,$D386,$AE:$AE,$AE386)/SUMIF(符文权重!$A:$A,$D386,符文权重!$D:$D)))</f>
        <v/>
      </c>
      <c r="S386" s="36" t="s">
        <v>192</v>
      </c>
      <c r="T386" s="36" t="s">
        <v>193</v>
      </c>
      <c r="U386" s="36" t="s">
        <v>423</v>
      </c>
      <c r="V386" s="52" t="s">
        <v>507</v>
      </c>
      <c r="Y386" s="35">
        <v>100</v>
      </c>
      <c r="AA386" s="42" t="s">
        <v>187</v>
      </c>
      <c r="AB386" s="42" t="str">
        <f t="shared" si="183"/>
        <v>射手普攻时有&lt;color=#54b76b&gt;25%&lt;/color&gt;概率额外攻击1次</v>
      </c>
      <c r="AC386" s="48" t="s">
        <v>502</v>
      </c>
      <c r="AD386" s="42" t="s">
        <v>431</v>
      </c>
      <c r="AE386" s="36">
        <v>5</v>
      </c>
      <c r="AF386" s="36"/>
      <c r="AG386" s="36">
        <v>0</v>
      </c>
      <c r="AH386" s="35">
        <v>1</v>
      </c>
      <c r="AI386" s="48">
        <v>5505075</v>
      </c>
      <c r="AJ386" s="53" t="s">
        <v>501</v>
      </c>
      <c r="AK386" s="36">
        <v>25</v>
      </c>
      <c r="AL386" s="35">
        <v>5</v>
      </c>
    </row>
    <row r="387" hidden="1" customHeight="1" spans="1:38">
      <c r="A387" s="48">
        <v>5505076</v>
      </c>
      <c r="B387" s="35" t="s">
        <v>501</v>
      </c>
      <c r="C387" s="48" t="s">
        <v>502</v>
      </c>
      <c r="D387" s="42">
        <v>6</v>
      </c>
      <c r="E387" s="42"/>
      <c r="F387" s="36" t="s">
        <v>211</v>
      </c>
      <c r="G387" s="36" t="str">
        <f t="shared" si="180"/>
        <v/>
      </c>
      <c r="H387" s="36">
        <f>IFERROR(IF(--MID($F387,2*COUNTIF($G387:G387,"&gt;"&amp;0)+2,1)=H$1,H$1,""),"")</f>
        <v>2</v>
      </c>
      <c r="I387" s="36" t="str">
        <f>IFERROR(IF(--MID($F387,2*COUNTIF($G387:H387,"&gt;"&amp;0)+2,1)=I$1,I$1,""),"")</f>
        <v/>
      </c>
      <c r="J387" s="36" t="str">
        <f>IFERROR(IF(--MID($F387,2*COUNTIF($G387:I387,"&gt;"&amp;0)+2,1)=J$1,J$1,""),"")</f>
        <v/>
      </c>
      <c r="K387" s="36" t="str">
        <f>IFERROR(IF(--MID($F387,2*COUNTIF($G387:J387,"&gt;"&amp;0)+2,1)=K$1,K$1,""),"")</f>
        <v/>
      </c>
      <c r="L387" s="36" t="str">
        <f>IFERROR(IF(--MID($F387,2*COUNTIF($G387:K387,"&gt;"&amp;0)+2,1)=L$1,L$1,""),"")</f>
        <v/>
      </c>
      <c r="M387" s="51" t="str" cm="1">
        <f t="array" ref="M387">IF($A387="","",IF(G387="","",_xlfn.XLOOKUP($D387&amp;"_"&amp;$AE387,符文权重!$A:$A&amp;"_"&amp;符文权重!$C:$C,符文权重!$D:$D)*$Y387/SUMIFS($Y:$Y,G:G,G387,$D:$D,$D387,$AE:$AE,$AE387)/SUMIF(符文权重!$A:$A,$D387,符文权重!$D:$D)))</f>
        <v/>
      </c>
      <c r="N387" s="51" cm="1">
        <f t="array" ref="N387">IF($A387="","",IF(H387="","",_xlfn.XLOOKUP($D387&amp;"_"&amp;$AE387,符文权重!$A:$A&amp;"_"&amp;符文权重!$C:$C,符文权重!$D:$D)*$Y387/SUMIFS($Y:$Y,H:H,H387,$D:$D,$D387,$AE:$AE,$AE387)/SUMIF(符文权重!$A:$A,$D387,符文权重!$D:$D)))</f>
        <v>0.00375</v>
      </c>
      <c r="O387" s="51" t="str" cm="1">
        <f t="array" ref="O387">IF($A387="","",IF(I387="","",_xlfn.XLOOKUP($D387&amp;"_"&amp;$AE387,符文权重!$A:$A&amp;"_"&amp;符文权重!$C:$C,符文权重!$D:$D)*$Y387/SUMIFS($Y:$Y,I:I,I387,$D:$D,$D387,$AE:$AE,$AE387)/SUMIF(符文权重!$A:$A,$D387,符文权重!$D:$D)))</f>
        <v/>
      </c>
      <c r="P387" s="51" t="str" cm="1">
        <f t="array" ref="P387">IF($A387="","",IF(J387="","",_xlfn.XLOOKUP($D387&amp;"_"&amp;$AE387,符文权重!$A:$A&amp;"_"&amp;符文权重!$C:$C,符文权重!$D:$D)*$Y387/SUMIFS($Y:$Y,J:J,J387,$D:$D,$D387,$AE:$AE,$AE387)/SUMIF(符文权重!$A:$A,$D387,符文权重!$D:$D)))</f>
        <v/>
      </c>
      <c r="Q387" s="51" t="str" cm="1">
        <f t="array" ref="Q387">IF($A387="","",IF(K387="","",_xlfn.XLOOKUP($D387&amp;"_"&amp;$AE387,符文权重!$A:$A&amp;"_"&amp;符文权重!$C:$C,符文权重!$D:$D)*$Y387/SUMIFS($Y:$Y,K:K,K387,$D:$D,$D387,$AE:$AE,$AE387)/SUMIF(符文权重!$A:$A,$D387,符文权重!$D:$D)))</f>
        <v/>
      </c>
      <c r="R387" s="51" t="str" cm="1">
        <f t="array" ref="R387">IF($A387="","",IF(L387="","",_xlfn.XLOOKUP($D387&amp;"_"&amp;$AE387,符文权重!$A:$A&amp;"_"&amp;符文权重!$C:$C,符文权重!$D:$D)*$Y387/SUMIFS($Y:$Y,L:L,L387,$D:$D,$D387,$AE:$AE,$AE387)/SUMIF(符文权重!$A:$A,$D387,符文权重!$D:$D)))</f>
        <v/>
      </c>
      <c r="S387" s="36" t="s">
        <v>192</v>
      </c>
      <c r="T387" s="36" t="s">
        <v>193</v>
      </c>
      <c r="U387" s="36" t="s">
        <v>426</v>
      </c>
      <c r="V387" s="52" t="s">
        <v>508</v>
      </c>
      <c r="Y387" s="35">
        <v>100</v>
      </c>
      <c r="AA387" s="42" t="s">
        <v>189</v>
      </c>
      <c r="AB387" s="42" t="str">
        <f t="shared" si="183"/>
        <v>射手普攻时有&lt;color=#54b76b&gt;35%&lt;/color&gt;概率额外攻击1次</v>
      </c>
      <c r="AC387" s="48" t="s">
        <v>502</v>
      </c>
      <c r="AD387" s="42" t="s">
        <v>447</v>
      </c>
      <c r="AE387" s="36">
        <v>5</v>
      </c>
      <c r="AF387" s="36"/>
      <c r="AG387" s="36">
        <v>0</v>
      </c>
      <c r="AH387" s="35">
        <v>1</v>
      </c>
      <c r="AI387" s="48">
        <v>5505076</v>
      </c>
      <c r="AJ387" s="53" t="s">
        <v>501</v>
      </c>
      <c r="AK387" s="36">
        <v>35</v>
      </c>
      <c r="AL387" s="35">
        <v>5</v>
      </c>
    </row>
    <row r="388" hidden="1" customHeight="1" spans="1:38">
      <c r="A388" s="48">
        <v>5505077</v>
      </c>
      <c r="B388" s="35" t="s">
        <v>501</v>
      </c>
      <c r="C388" s="48" t="s">
        <v>502</v>
      </c>
      <c r="D388" s="42">
        <v>7</v>
      </c>
      <c r="E388" s="42"/>
      <c r="F388" s="36" t="s">
        <v>211</v>
      </c>
      <c r="G388" s="36" t="str">
        <f t="shared" si="180"/>
        <v/>
      </c>
      <c r="H388" s="36">
        <f>IFERROR(IF(--MID($F388,2*COUNTIF($G388:G388,"&gt;"&amp;0)+2,1)=H$1,H$1,""),"")</f>
        <v>2</v>
      </c>
      <c r="I388" s="36" t="str">
        <f>IFERROR(IF(--MID($F388,2*COUNTIF($G388:H388,"&gt;"&amp;0)+2,1)=I$1,I$1,""),"")</f>
        <v/>
      </c>
      <c r="J388" s="36" t="str">
        <f>IFERROR(IF(--MID($F388,2*COUNTIF($G388:I388,"&gt;"&amp;0)+2,1)=J$1,J$1,""),"")</f>
        <v/>
      </c>
      <c r="K388" s="36" t="str">
        <f>IFERROR(IF(--MID($F388,2*COUNTIF($G388:J388,"&gt;"&amp;0)+2,1)=K$1,K$1,""),"")</f>
        <v/>
      </c>
      <c r="L388" s="36" t="str">
        <f>IFERROR(IF(--MID($F388,2*COUNTIF($G388:K388,"&gt;"&amp;0)+2,1)=L$1,L$1,""),"")</f>
        <v/>
      </c>
      <c r="M388" s="51" t="str" cm="1">
        <f t="array" ref="M388">IF($A388="","",IF(G388="","",_xlfn.XLOOKUP($D388&amp;"_"&amp;$AE388,符文权重!$A:$A&amp;"_"&amp;符文权重!$C:$C,符文权重!$D:$D)*$Y388/SUMIFS($Y:$Y,G:G,G388,$D:$D,$D388,$AE:$AE,$AE388)/SUMIF(符文权重!$A:$A,$D388,符文权重!$D:$D)))</f>
        <v/>
      </c>
      <c r="N388" s="51" cm="1">
        <f t="array" ref="N388">IF($A388="","",IF(H388="","",_xlfn.XLOOKUP($D388&amp;"_"&amp;$AE388,符文权重!$A:$A&amp;"_"&amp;符文权重!$C:$C,符文权重!$D:$D)*$Y388/SUMIFS($Y:$Y,H:H,H388,$D:$D,$D388,$AE:$AE,$AE388)/SUMIF(符文权重!$A:$A,$D388,符文权重!$D:$D)))</f>
        <v>0.00375</v>
      </c>
      <c r="O388" s="51" t="str" cm="1">
        <f t="array" ref="O388">IF($A388="","",IF(I388="","",_xlfn.XLOOKUP($D388&amp;"_"&amp;$AE388,符文权重!$A:$A&amp;"_"&amp;符文权重!$C:$C,符文权重!$D:$D)*$Y388/SUMIFS($Y:$Y,I:I,I388,$D:$D,$D388,$AE:$AE,$AE388)/SUMIF(符文权重!$A:$A,$D388,符文权重!$D:$D)))</f>
        <v/>
      </c>
      <c r="P388" s="51" t="str" cm="1">
        <f t="array" ref="P388">IF($A388="","",IF(J388="","",_xlfn.XLOOKUP($D388&amp;"_"&amp;$AE388,符文权重!$A:$A&amp;"_"&amp;符文权重!$C:$C,符文权重!$D:$D)*$Y388/SUMIFS($Y:$Y,J:J,J388,$D:$D,$D388,$AE:$AE,$AE388)/SUMIF(符文权重!$A:$A,$D388,符文权重!$D:$D)))</f>
        <v/>
      </c>
      <c r="Q388" s="51" t="str" cm="1">
        <f t="array" ref="Q388">IF($A388="","",IF(K388="","",_xlfn.XLOOKUP($D388&amp;"_"&amp;$AE388,符文权重!$A:$A&amp;"_"&amp;符文权重!$C:$C,符文权重!$D:$D)*$Y388/SUMIFS($Y:$Y,K:K,K388,$D:$D,$D388,$AE:$AE,$AE388)/SUMIF(符文权重!$A:$A,$D388,符文权重!$D:$D)))</f>
        <v/>
      </c>
      <c r="R388" s="51" t="str" cm="1">
        <f t="array" ref="R388">IF($A388="","",IF(L388="","",_xlfn.XLOOKUP($D388&amp;"_"&amp;$AE388,符文权重!$A:$A&amp;"_"&amp;符文权重!$C:$C,符文权重!$D:$D)*$Y388/SUMIFS($Y:$Y,L:L,L388,$D:$D,$D388,$AE:$AE,$AE388)/SUMIF(符文权重!$A:$A,$D388,符文权重!$D:$D)))</f>
        <v/>
      </c>
      <c r="S388" s="36" t="s">
        <v>192</v>
      </c>
      <c r="T388" s="36" t="s">
        <v>193</v>
      </c>
      <c r="U388" s="36" t="s">
        <v>429</v>
      </c>
      <c r="V388" s="52" t="s">
        <v>509</v>
      </c>
      <c r="Y388" s="36">
        <v>100</v>
      </c>
      <c r="AA388" s="42" t="s">
        <v>191</v>
      </c>
      <c r="AB388" s="42" t="str">
        <f t="shared" si="183"/>
        <v>射手普攻时有&lt;color=#54b76b&gt;45%&lt;/color&gt;概率额外攻击1次</v>
      </c>
      <c r="AC388" s="48" t="s">
        <v>502</v>
      </c>
      <c r="AD388" s="42" t="s">
        <v>474</v>
      </c>
      <c r="AE388" s="36">
        <v>5</v>
      </c>
      <c r="AF388" s="36"/>
      <c r="AG388" s="36">
        <v>0</v>
      </c>
      <c r="AH388" s="35">
        <v>1</v>
      </c>
      <c r="AI388" s="48">
        <v>5505077</v>
      </c>
      <c r="AJ388" s="53" t="s">
        <v>501</v>
      </c>
      <c r="AK388" s="36">
        <v>45</v>
      </c>
      <c r="AL388" s="36">
        <v>5</v>
      </c>
    </row>
    <row r="389" s="25" customFormat="1" hidden="1" customHeight="1" spans="1:38">
      <c r="A389" s="48" t="s">
        <v>178</v>
      </c>
      <c r="B389" s="72" t="s">
        <v>510</v>
      </c>
      <c r="C389" s="48" t="s">
        <v>178</v>
      </c>
      <c r="D389" s="42" t="s">
        <v>178</v>
      </c>
      <c r="E389" s="42"/>
      <c r="F389" s="36"/>
      <c r="G389" s="36" t="str">
        <f t="shared" si="180"/>
        <v/>
      </c>
      <c r="H389" s="36" t="str">
        <f>IFERROR(IF(--MID($F389,2*COUNTIF($G389:G389,"&gt;"&amp;0)+2,1)=H$1,H$1,""),"")</f>
        <v/>
      </c>
      <c r="I389" s="36" t="str">
        <f>IFERROR(IF(--MID($F389,2*COUNTIF($G389:H389,"&gt;"&amp;0)+2,1)=I$1,I$1,""),"")</f>
        <v/>
      </c>
      <c r="J389" s="36" t="str">
        <f>IFERROR(IF(--MID($F389,2*COUNTIF($G389:I389,"&gt;"&amp;0)+2,1)=J$1,J$1,""),"")</f>
        <v/>
      </c>
      <c r="K389" s="36" t="str">
        <f>IFERROR(IF(--MID($F389,2*COUNTIF($G389:J389,"&gt;"&amp;0)+2,1)=K$1,K$1,""),"")</f>
        <v/>
      </c>
      <c r="L389" s="36" t="str">
        <f>IFERROR(IF(--MID($F389,2*COUNTIF($G389:K389,"&gt;"&amp;0)+2,1)=L$1,L$1,""),"")</f>
        <v/>
      </c>
      <c r="M389" s="51" t="str" cm="1">
        <f t="array" ref="M389">IF($A389="","",IF(G389="","",_xlfn.XLOOKUP($D389&amp;"_"&amp;$AE389,符文权重!$A:$A&amp;"_"&amp;符文权重!$C:$C,符文权重!$D:$D)*$Y389/SUMIFS($Y:$Y,G:G,G389,$D:$D,$D389,$AE:$AE,$AE389)/SUMIF(符文权重!$A:$A,$D389,符文权重!$D:$D)))</f>
        <v/>
      </c>
      <c r="N389" s="36" t="str" cm="1">
        <f t="array" ref="N389">IF($A389="","",IF(H389="","",_xlfn.XLOOKUP($D389&amp;"_"&amp;$AE389,符文权重!$A:$A&amp;"_"&amp;符文权重!$C:$C,符文权重!$D:$D)*$Y389/SUMIFS($Y:$Y,H:H,H389,$D:$D,$D$6,$AE:$AE,$AE$6)))</f>
        <v/>
      </c>
      <c r="O389" s="36" t="str" cm="1">
        <f t="array" ref="O389">IF($A389="","",IF(I389="","",_xlfn.XLOOKUP($D389&amp;"_"&amp;$AE389,符文权重!$A:$A&amp;"_"&amp;符文权重!$C:$C,符文权重!$D:$D)*$Y389/SUMIFS($Y:$Y,I:I,I389,$D:$D,$D$6,$AE:$AE,$AE$6)))</f>
        <v/>
      </c>
      <c r="P389" s="36" t="str" cm="1">
        <f t="array" ref="P389">IF($A389="","",IF(J389="","",_xlfn.XLOOKUP($D389&amp;"_"&amp;$AE389,符文权重!$A:$A&amp;"_"&amp;符文权重!$C:$C,符文权重!$D:$D)*$Y389/SUMIFS($Y:$Y,J:J,J389,$D:$D,$D$6,$AE:$AE,$AE$6)))</f>
        <v/>
      </c>
      <c r="Q389" s="36" t="str" cm="1">
        <f t="array" ref="Q389">IF($A389="","",IF(K389="","",_xlfn.XLOOKUP($D389&amp;"_"&amp;$AE389,符文权重!$A:$A&amp;"_"&amp;符文权重!$C:$C,符文权重!$D:$D)*$Y389/SUMIFS($Y:$Y,K:K,K389,$D:$D,$D$6,$AE:$AE,$AE$6)))</f>
        <v/>
      </c>
      <c r="R389" s="36" t="str" cm="1">
        <f t="array" ref="R389">IF($A389="","",IF(L389="","",_xlfn.XLOOKUP($D389&amp;"_"&amp;$AE389,符文权重!$A:$A&amp;"_"&amp;符文权重!$C:$C,符文权重!$D:$D)*$Y389/SUMIFS($Y:$Y,L:L,L389,$D:$D,$D$6,$AE:$AE,$AE$6)))</f>
        <v/>
      </c>
      <c r="S389" s="36"/>
      <c r="T389" s="36"/>
      <c r="U389" s="36"/>
      <c r="W389" s="41"/>
      <c r="X389" s="35"/>
      <c r="Y389" s="35"/>
      <c r="Z389" s="35"/>
      <c r="AA389" s="42" t="s">
        <v>178</v>
      </c>
      <c r="AB389" s="42" t="str">
        <f t="shared" si="183"/>
        <v/>
      </c>
      <c r="AC389" s="48" t="s">
        <v>178</v>
      </c>
      <c r="AD389" s="42" t="s">
        <v>178</v>
      </c>
      <c r="AE389" s="36"/>
      <c r="AF389" s="36"/>
      <c r="AG389" s="36"/>
      <c r="AH389" s="35" t="s">
        <v>178</v>
      </c>
      <c r="AI389" s="33"/>
      <c r="AJ389" s="74"/>
      <c r="AK389" s="36"/>
      <c r="AL389" s="35"/>
    </row>
    <row r="390" s="28" customFormat="1" hidden="1" customHeight="1" spans="1:38">
      <c r="A390" s="57">
        <v>5505081</v>
      </c>
      <c r="B390" s="58" t="s">
        <v>511</v>
      </c>
      <c r="C390" s="57" t="s">
        <v>512</v>
      </c>
      <c r="D390" s="59">
        <v>1</v>
      </c>
      <c r="E390" s="59"/>
      <c r="F390" s="60" t="s">
        <v>230</v>
      </c>
      <c r="G390" s="36" t="str">
        <f t="shared" si="180"/>
        <v/>
      </c>
      <c r="H390" s="36" t="str">
        <f>IFERROR(IF(--MID($F390,2*COUNTIF($G390:G390,"&gt;"&amp;0)+2,1)=H$1,H$1,""),"")</f>
        <v/>
      </c>
      <c r="I390" s="36" t="str">
        <f>IFERROR(IF(--MID($F390,2*COUNTIF($G390:H390,"&gt;"&amp;0)+2,1)=I$1,I$1,""),"")</f>
        <v/>
      </c>
      <c r="J390" s="36" t="str">
        <f>IFERROR(IF(--MID($F390,2*COUNTIF($G390:I390,"&gt;"&amp;0)+2,1)=J$1,J$1,""),"")</f>
        <v/>
      </c>
      <c r="K390" s="36">
        <f>IFERROR(IF(--MID($F390,2*COUNTIF($G390:J390,"&gt;"&amp;0)+2,1)=K$1,K$1,""),"")</f>
        <v>5</v>
      </c>
      <c r="L390" s="36" t="str">
        <f>IFERROR(IF(--MID($F390,2*COUNTIF($G390:K390,"&gt;"&amp;0)+2,1)=L$1,L$1,""),"")</f>
        <v/>
      </c>
      <c r="M390" s="36" t="e" cm="1">
        <f t="array" ref="M390">IF(A390="","",_xlfn.XLOOKUP(D390&amp;"_"&amp;AE390,符文权重!A:A&amp;"_"&amp;符文权重!C:C,符文权重!D:D))</f>
        <v>#N/A</v>
      </c>
      <c r="N390" s="36"/>
      <c r="O390" s="36"/>
      <c r="P390" s="36"/>
      <c r="Q390" s="36"/>
      <c r="R390" s="36"/>
      <c r="S390" s="60" t="s">
        <v>192</v>
      </c>
      <c r="T390" s="60" t="s">
        <v>211</v>
      </c>
      <c r="U390" s="60" t="s">
        <v>413</v>
      </c>
      <c r="V390" s="61" t="s">
        <v>513</v>
      </c>
      <c r="W390" s="60"/>
      <c r="Y390" s="35">
        <v>100</v>
      </c>
      <c r="AA390" s="59" t="s">
        <v>177</v>
      </c>
      <c r="AB390" s="42" t="str">
        <f t="shared" si="183"/>
        <v>法师职业暴击时，最终暴击伤害将在80%~&lt;color=#54b76b&gt;110%&lt;/color&gt;之间波动</v>
      </c>
      <c r="AC390" s="57" t="s">
        <v>512</v>
      </c>
      <c r="AD390" s="59" t="s">
        <v>514</v>
      </c>
      <c r="AE390" s="60">
        <v>100</v>
      </c>
      <c r="AF390" s="60"/>
      <c r="AG390" s="60">
        <v>1</v>
      </c>
      <c r="AH390" s="35">
        <v>1</v>
      </c>
      <c r="AI390" s="62">
        <v>5505081</v>
      </c>
      <c r="AJ390" s="63" t="s">
        <v>511</v>
      </c>
      <c r="AK390" s="60">
        <v>110</v>
      </c>
      <c r="AL390" s="35"/>
    </row>
    <row r="391" s="28" customFormat="1" hidden="1" customHeight="1" spans="1:38">
      <c r="A391" s="57">
        <v>5505082</v>
      </c>
      <c r="B391" s="58" t="s">
        <v>511</v>
      </c>
      <c r="C391" s="57" t="s">
        <v>512</v>
      </c>
      <c r="D391" s="59">
        <v>2</v>
      </c>
      <c r="E391" s="59"/>
      <c r="F391" s="60" t="s">
        <v>230</v>
      </c>
      <c r="G391" s="36" t="str">
        <f t="shared" ref="G391:G454" si="184">IF(LEFT(F391,2)="[1",1,"")</f>
        <v/>
      </c>
      <c r="H391" s="36" t="str">
        <f>IFERROR(IF(--MID($F391,2*COUNTIF($G391:G391,"&gt;"&amp;0)+2,1)=H$1,H$1,""),"")</f>
        <v/>
      </c>
      <c r="I391" s="36" t="str">
        <f>IFERROR(IF(--MID($F391,2*COUNTIF($G391:H391,"&gt;"&amp;0)+2,1)=I$1,I$1,""),"")</f>
        <v/>
      </c>
      <c r="J391" s="36" t="str">
        <f>IFERROR(IF(--MID($F391,2*COUNTIF($G391:I391,"&gt;"&amp;0)+2,1)=J$1,J$1,""),"")</f>
        <v/>
      </c>
      <c r="K391" s="36">
        <f>IFERROR(IF(--MID($F391,2*COUNTIF($G391:J391,"&gt;"&amp;0)+2,1)=K$1,K$1,""),"")</f>
        <v>5</v>
      </c>
      <c r="L391" s="36" t="str">
        <f>IFERROR(IF(--MID($F391,2*COUNTIF($G391:K391,"&gt;"&amp;0)+2,1)=L$1,L$1,""),"")</f>
        <v/>
      </c>
      <c r="M391" s="36" t="e" cm="1">
        <f t="array" ref="M391">IF(A391="","",_xlfn.XLOOKUP(D391&amp;"_"&amp;AE391,符文权重!A:A&amp;"_"&amp;符文权重!C:C,符文权重!D:D))</f>
        <v>#N/A</v>
      </c>
      <c r="N391" s="36"/>
      <c r="O391" s="36"/>
      <c r="P391" s="36"/>
      <c r="Q391" s="36"/>
      <c r="R391" s="36"/>
      <c r="S391" s="60" t="s">
        <v>192</v>
      </c>
      <c r="T391" s="60" t="s">
        <v>211</v>
      </c>
      <c r="U391" s="60" t="s">
        <v>415</v>
      </c>
      <c r="V391" s="61" t="s">
        <v>515</v>
      </c>
      <c r="W391" s="60"/>
      <c r="Y391" s="35">
        <v>100</v>
      </c>
      <c r="AA391" s="59" t="s">
        <v>181</v>
      </c>
      <c r="AB391" s="42" t="str">
        <f t="shared" si="183"/>
        <v>法师职业暴击时，最终暴击伤害将在80%~&lt;color=#54b76b&gt;115%&lt;/color&gt;之间波动</v>
      </c>
      <c r="AC391" s="57" t="s">
        <v>512</v>
      </c>
      <c r="AD391" s="59" t="s">
        <v>516</v>
      </c>
      <c r="AE391" s="60">
        <v>100</v>
      </c>
      <c r="AF391" s="60"/>
      <c r="AG391" s="60">
        <v>1</v>
      </c>
      <c r="AH391" s="35">
        <v>1</v>
      </c>
      <c r="AI391" s="57">
        <v>5505082</v>
      </c>
      <c r="AJ391" s="64" t="s">
        <v>511</v>
      </c>
      <c r="AK391" s="60">
        <v>115</v>
      </c>
      <c r="AL391" s="35"/>
    </row>
    <row r="392" s="28" customFormat="1" hidden="1" customHeight="1" spans="1:38">
      <c r="A392" s="57">
        <v>5505083</v>
      </c>
      <c r="B392" s="58" t="s">
        <v>511</v>
      </c>
      <c r="C392" s="57" t="s">
        <v>512</v>
      </c>
      <c r="D392" s="59">
        <v>3</v>
      </c>
      <c r="E392" s="59"/>
      <c r="F392" s="60" t="s">
        <v>230</v>
      </c>
      <c r="G392" s="36" t="str">
        <f t="shared" si="184"/>
        <v/>
      </c>
      <c r="H392" s="36" t="str">
        <f>IFERROR(IF(--MID($F392,2*COUNTIF($G392:G392,"&gt;"&amp;0)+2,1)=H$1,H$1,""),"")</f>
        <v/>
      </c>
      <c r="I392" s="36" t="str">
        <f>IFERROR(IF(--MID($F392,2*COUNTIF($G392:H392,"&gt;"&amp;0)+2,1)=I$1,I$1,""),"")</f>
        <v/>
      </c>
      <c r="J392" s="36" t="str">
        <f>IFERROR(IF(--MID($F392,2*COUNTIF($G392:I392,"&gt;"&amp;0)+2,1)=J$1,J$1,""),"")</f>
        <v/>
      </c>
      <c r="K392" s="36">
        <f>IFERROR(IF(--MID($F392,2*COUNTIF($G392:J392,"&gt;"&amp;0)+2,1)=K$1,K$1,""),"")</f>
        <v>5</v>
      </c>
      <c r="L392" s="36" t="str">
        <f>IFERROR(IF(--MID($F392,2*COUNTIF($G392:K392,"&gt;"&amp;0)+2,1)=L$1,L$1,""),"")</f>
        <v/>
      </c>
      <c r="M392" s="36" t="e" cm="1">
        <f t="array" ref="M392">IF(A392="","",_xlfn.XLOOKUP(D392&amp;"_"&amp;AE392,符文权重!A:A&amp;"_"&amp;符文权重!C:C,符文权重!D:D))</f>
        <v>#N/A</v>
      </c>
      <c r="N392" s="36"/>
      <c r="O392" s="36"/>
      <c r="P392" s="36"/>
      <c r="Q392" s="36"/>
      <c r="R392" s="36"/>
      <c r="S392" s="60" t="s">
        <v>192</v>
      </c>
      <c r="T392" s="60" t="s">
        <v>211</v>
      </c>
      <c r="U392" s="60" t="s">
        <v>417</v>
      </c>
      <c r="V392" s="61" t="s">
        <v>517</v>
      </c>
      <c r="W392" s="60"/>
      <c r="Y392" s="36">
        <v>100</v>
      </c>
      <c r="AA392" s="59" t="s">
        <v>183</v>
      </c>
      <c r="AB392" s="42" t="str">
        <f t="shared" si="183"/>
        <v>法师职业暴击时，最终暴击伤害将在80%~&lt;color=#54b76b&gt;120%&lt;/color&gt;之间波动</v>
      </c>
      <c r="AC392" s="57" t="s">
        <v>512</v>
      </c>
      <c r="AD392" s="59" t="s">
        <v>518</v>
      </c>
      <c r="AE392" s="60">
        <v>100</v>
      </c>
      <c r="AF392" s="60"/>
      <c r="AG392" s="60">
        <v>1</v>
      </c>
      <c r="AH392" s="35">
        <v>1</v>
      </c>
      <c r="AI392" s="57">
        <v>5505083</v>
      </c>
      <c r="AJ392" s="64" t="s">
        <v>511</v>
      </c>
      <c r="AK392" s="60">
        <v>120</v>
      </c>
      <c r="AL392" s="36"/>
    </row>
    <row r="393" hidden="1" customHeight="1" spans="1:38">
      <c r="A393" s="48">
        <v>5505084</v>
      </c>
      <c r="B393" s="34" t="s">
        <v>511</v>
      </c>
      <c r="C393" s="48" t="s">
        <v>512</v>
      </c>
      <c r="D393" s="42">
        <v>4</v>
      </c>
      <c r="E393" s="42"/>
      <c r="F393" s="36" t="s">
        <v>230</v>
      </c>
      <c r="G393" s="36" t="str">
        <f t="shared" si="184"/>
        <v/>
      </c>
      <c r="H393" s="36" t="str">
        <f>IFERROR(IF(--MID($F393,2*COUNTIF($G393:G393,"&gt;"&amp;0)+2,1)=H$1,H$1,""),"")</f>
        <v/>
      </c>
      <c r="I393" s="36" t="str">
        <f>IFERROR(IF(--MID($F393,2*COUNTIF($G393:H393,"&gt;"&amp;0)+2,1)=I$1,I$1,""),"")</f>
        <v/>
      </c>
      <c r="J393" s="36" t="str">
        <f>IFERROR(IF(--MID($F393,2*COUNTIF($G393:I393,"&gt;"&amp;0)+2,1)=J$1,J$1,""),"")</f>
        <v/>
      </c>
      <c r="K393" s="36">
        <f>IFERROR(IF(--MID($F393,2*COUNTIF($G393:J393,"&gt;"&amp;0)+2,1)=K$1,K$1,""),"")</f>
        <v>5</v>
      </c>
      <c r="L393" s="36" t="str">
        <f>IFERROR(IF(--MID($F393,2*COUNTIF($G393:K393,"&gt;"&amp;0)+2,1)=L$1,L$1,""),"")</f>
        <v/>
      </c>
      <c r="M393" s="51" t="str" cm="1">
        <f t="array" ref="M393">IF($A393="","",IF(G393="","",_xlfn.XLOOKUP($D393&amp;"_"&amp;$AE393,符文权重!$A:$A&amp;"_"&amp;符文权重!$C:$C,符文权重!$D:$D)*$Y393/SUMIFS($Y:$Y,G:G,G393,$D:$D,$D393,$AE:$AE,$AE393)/SUMIF(符文权重!$A:$A,$D393,符文权重!$D:$D)))</f>
        <v/>
      </c>
      <c r="N393" s="51" t="str" cm="1">
        <f t="array" ref="N393">IF($A393="","",IF(H393="","",_xlfn.XLOOKUP($D393&amp;"_"&amp;$AE393,符文权重!$A:$A&amp;"_"&amp;符文权重!$C:$C,符文权重!$D:$D)*$Y393/SUMIFS($Y:$Y,H:H,H393,$D:$D,$D393,$AE:$AE,$AE393)/SUMIF(符文权重!$A:$A,$D393,符文权重!$D:$D)))</f>
        <v/>
      </c>
      <c r="O393" s="51" t="str" cm="1">
        <f t="array" ref="O393">IF($A393="","",IF(I393="","",_xlfn.XLOOKUP($D393&amp;"_"&amp;$AE393,符文权重!$A:$A&amp;"_"&amp;符文权重!$C:$C,符文权重!$D:$D)*$Y393/SUMIFS($Y:$Y,I:I,I393,$D:$D,$D393,$AE:$AE,$AE393)/SUMIF(符文权重!$A:$A,$D393,符文权重!$D:$D)))</f>
        <v/>
      </c>
      <c r="P393" s="51" t="str" cm="1">
        <f t="array" ref="P393">IF($A393="","",IF(J393="","",_xlfn.XLOOKUP($D393&amp;"_"&amp;$AE393,符文权重!$A:$A&amp;"_"&amp;符文权重!$C:$C,符文权重!$D:$D)*$Y393/SUMIFS($Y:$Y,J:J,J393,$D:$D,$D393,$AE:$AE,$AE393)/SUMIF(符文权重!$A:$A,$D393,符文权重!$D:$D)))</f>
        <v/>
      </c>
      <c r="Q393" s="51" cm="1">
        <f t="array" ref="Q393">IF($A393="","",IF(K393="","",_xlfn.XLOOKUP($D393&amp;"_"&amp;$AE393,符文权重!$A:$A&amp;"_"&amp;符文权重!$C:$C,符文权重!$D:$D)*$Y393/SUMIFS($Y:$Y,K:K,K393,$D:$D,$D393,$AE:$AE,$AE393)/SUMIF(符文权重!$A:$A,$D393,符文权重!$D:$D)))</f>
        <v>0.00352625352625353</v>
      </c>
      <c r="R393" s="51" t="str" cm="1">
        <f t="array" ref="R393">IF($A393="","",IF(L393="","",_xlfn.XLOOKUP($D393&amp;"_"&amp;$AE393,符文权重!$A:$A&amp;"_"&amp;符文权重!$C:$C,符文权重!$D:$D)*$Y393/SUMIFS($Y:$Y,L:L,L393,$D:$D,$D393,$AE:$AE,$AE393)/SUMIF(符文权重!$A:$A,$D393,符文权重!$D:$D)))</f>
        <v/>
      </c>
      <c r="S393" s="36" t="s">
        <v>192</v>
      </c>
      <c r="T393" s="36" t="s">
        <v>211</v>
      </c>
      <c r="U393" s="36" t="s">
        <v>420</v>
      </c>
      <c r="V393" s="52" t="s">
        <v>519</v>
      </c>
      <c r="Y393" s="35">
        <v>4</v>
      </c>
      <c r="AA393" s="42" t="s">
        <v>185</v>
      </c>
      <c r="AB393" s="42" t="str">
        <f t="shared" si="183"/>
        <v>法师职业暴击时，最终暴击伤害将在80%~&lt;color=#54b76b&gt;130%&lt;/color&gt;之间波动</v>
      </c>
      <c r="AC393" s="48" t="s">
        <v>512</v>
      </c>
      <c r="AD393" s="42" t="s">
        <v>520</v>
      </c>
      <c r="AE393" s="36">
        <v>3</v>
      </c>
      <c r="AF393" s="36"/>
      <c r="AG393" s="36">
        <v>0</v>
      </c>
      <c r="AH393" s="35">
        <v>1</v>
      </c>
      <c r="AI393" s="48">
        <v>5505084</v>
      </c>
      <c r="AJ393" s="53" t="s">
        <v>511</v>
      </c>
      <c r="AK393" s="36">
        <v>130</v>
      </c>
      <c r="AL393" s="35">
        <v>5</v>
      </c>
    </row>
    <row r="394" hidden="1" customHeight="1" spans="1:38">
      <c r="A394" s="48">
        <v>5505085</v>
      </c>
      <c r="B394" s="34" t="s">
        <v>511</v>
      </c>
      <c r="C394" s="48" t="s">
        <v>512</v>
      </c>
      <c r="D394" s="42">
        <v>5</v>
      </c>
      <c r="E394" s="42"/>
      <c r="F394" s="36" t="s">
        <v>230</v>
      </c>
      <c r="G394" s="36" t="str">
        <f t="shared" si="184"/>
        <v/>
      </c>
      <c r="H394" s="36" t="str">
        <f>IFERROR(IF(--MID($F394,2*COUNTIF($G394:G394,"&gt;"&amp;0)+2,1)=H$1,H$1,""),"")</f>
        <v/>
      </c>
      <c r="I394" s="36" t="str">
        <f>IFERROR(IF(--MID($F394,2*COUNTIF($G394:H394,"&gt;"&amp;0)+2,1)=I$1,I$1,""),"")</f>
        <v/>
      </c>
      <c r="J394" s="36" t="str">
        <f>IFERROR(IF(--MID($F394,2*COUNTIF($G394:I394,"&gt;"&amp;0)+2,1)=J$1,J$1,""),"")</f>
        <v/>
      </c>
      <c r="K394" s="36">
        <f>IFERROR(IF(--MID($F394,2*COUNTIF($G394:J394,"&gt;"&amp;0)+2,1)=K$1,K$1,""),"")</f>
        <v>5</v>
      </c>
      <c r="L394" s="36" t="str">
        <f>IFERROR(IF(--MID($F394,2*COUNTIF($G394:K394,"&gt;"&amp;0)+2,1)=L$1,L$1,""),"")</f>
        <v/>
      </c>
      <c r="M394" s="51" t="str" cm="1">
        <f t="array" ref="M394">IF($A394="","",IF(G394="","",_xlfn.XLOOKUP($D394&amp;"_"&amp;$AE394,符文权重!$A:$A&amp;"_"&amp;符文权重!$C:$C,符文权重!$D:$D)*$Y394/SUMIFS($Y:$Y,G:G,G394,$D:$D,$D394,$AE:$AE,$AE394)/SUMIF(符文权重!$A:$A,$D394,符文权重!$D:$D)))</f>
        <v/>
      </c>
      <c r="N394" s="51" t="str" cm="1">
        <f t="array" ref="N394">IF($A394="","",IF(H394="","",_xlfn.XLOOKUP($D394&amp;"_"&amp;$AE394,符文权重!$A:$A&amp;"_"&amp;符文权重!$C:$C,符文权重!$D:$D)*$Y394/SUMIFS($Y:$Y,H:H,H394,$D:$D,$D394,$AE:$AE,$AE394)/SUMIF(符文权重!$A:$A,$D394,符文权重!$D:$D)))</f>
        <v/>
      </c>
      <c r="O394" s="51" t="str" cm="1">
        <f t="array" ref="O394">IF($A394="","",IF(I394="","",_xlfn.XLOOKUP($D394&amp;"_"&amp;$AE394,符文权重!$A:$A&amp;"_"&amp;符文权重!$C:$C,符文权重!$D:$D)*$Y394/SUMIFS($Y:$Y,I:I,I394,$D:$D,$D394,$AE:$AE,$AE394)/SUMIF(符文权重!$A:$A,$D394,符文权重!$D:$D)))</f>
        <v/>
      </c>
      <c r="P394" s="51" t="str" cm="1">
        <f t="array" ref="P394">IF($A394="","",IF(J394="","",_xlfn.XLOOKUP($D394&amp;"_"&amp;$AE394,符文权重!$A:$A&amp;"_"&amp;符文权重!$C:$C,符文权重!$D:$D)*$Y394/SUMIFS($Y:$Y,J:J,J394,$D:$D,$D394,$AE:$AE,$AE394)/SUMIF(符文权重!$A:$A,$D394,符文权重!$D:$D)))</f>
        <v/>
      </c>
      <c r="Q394" s="51" cm="1">
        <f t="array" ref="Q394">IF($A394="","",IF(K394="","",_xlfn.XLOOKUP($D394&amp;"_"&amp;$AE394,符文权重!$A:$A&amp;"_"&amp;符文权重!$C:$C,符文权重!$D:$D)*$Y394/SUMIFS($Y:$Y,K:K,K394,$D:$D,$D394,$AE:$AE,$AE394)/SUMIF(符文权重!$A:$A,$D394,符文权重!$D:$D)))</f>
        <v>0.00375</v>
      </c>
      <c r="R394" s="51" t="str" cm="1">
        <f t="array" ref="R394">IF($A394="","",IF(L394="","",_xlfn.XLOOKUP($D394&amp;"_"&amp;$AE394,符文权重!$A:$A&amp;"_"&amp;符文权重!$C:$C,符文权重!$D:$D)*$Y394/SUMIFS($Y:$Y,L:L,L394,$D:$D,$D394,$AE:$AE,$AE394)/SUMIF(符文权重!$A:$A,$D394,符文权重!$D:$D)))</f>
        <v/>
      </c>
      <c r="S394" s="36" t="s">
        <v>192</v>
      </c>
      <c r="T394" s="36" t="s">
        <v>211</v>
      </c>
      <c r="U394" s="36" t="s">
        <v>423</v>
      </c>
      <c r="V394" s="52" t="s">
        <v>521</v>
      </c>
      <c r="Y394" s="35">
        <v>100</v>
      </c>
      <c r="AA394" s="42" t="s">
        <v>187</v>
      </c>
      <c r="AB394" s="42" t="str">
        <f t="shared" si="183"/>
        <v>法师职业暴击时，最终暴击伤害将在80%~&lt;color=#54b76b&gt;150%&lt;/color&gt;之间波动</v>
      </c>
      <c r="AC394" s="48" t="s">
        <v>512</v>
      </c>
      <c r="AD394" s="42" t="s">
        <v>522</v>
      </c>
      <c r="AE394" s="36">
        <v>5</v>
      </c>
      <c r="AF394" s="36"/>
      <c r="AG394" s="36">
        <v>0</v>
      </c>
      <c r="AH394" s="35">
        <v>1</v>
      </c>
      <c r="AI394" s="48">
        <v>5505085</v>
      </c>
      <c r="AJ394" s="53" t="s">
        <v>511</v>
      </c>
      <c r="AK394" s="36">
        <v>150</v>
      </c>
      <c r="AL394" s="35">
        <v>5</v>
      </c>
    </row>
    <row r="395" hidden="1" customHeight="1" spans="1:38">
      <c r="A395" s="48">
        <v>5505086</v>
      </c>
      <c r="B395" s="34" t="s">
        <v>511</v>
      </c>
      <c r="C395" s="48" t="s">
        <v>512</v>
      </c>
      <c r="D395" s="42">
        <v>6</v>
      </c>
      <c r="E395" s="42"/>
      <c r="F395" s="36" t="s">
        <v>230</v>
      </c>
      <c r="G395" s="36" t="str">
        <f t="shared" si="184"/>
        <v/>
      </c>
      <c r="H395" s="36" t="str">
        <f>IFERROR(IF(--MID($F395,2*COUNTIF($G395:G395,"&gt;"&amp;0)+2,1)=H$1,H$1,""),"")</f>
        <v/>
      </c>
      <c r="I395" s="36" t="str">
        <f>IFERROR(IF(--MID($F395,2*COUNTIF($G395:H395,"&gt;"&amp;0)+2,1)=I$1,I$1,""),"")</f>
        <v/>
      </c>
      <c r="J395" s="36" t="str">
        <f>IFERROR(IF(--MID($F395,2*COUNTIF($G395:I395,"&gt;"&amp;0)+2,1)=J$1,J$1,""),"")</f>
        <v/>
      </c>
      <c r="K395" s="36">
        <f>IFERROR(IF(--MID($F395,2*COUNTIF($G395:J395,"&gt;"&amp;0)+2,1)=K$1,K$1,""),"")</f>
        <v>5</v>
      </c>
      <c r="L395" s="36" t="str">
        <f>IFERROR(IF(--MID($F395,2*COUNTIF($G395:K395,"&gt;"&amp;0)+2,1)=L$1,L$1,""),"")</f>
        <v/>
      </c>
      <c r="M395" s="51" t="str" cm="1">
        <f t="array" ref="M395">IF($A395="","",IF(G395="","",_xlfn.XLOOKUP($D395&amp;"_"&amp;$AE395,符文权重!$A:$A&amp;"_"&amp;符文权重!$C:$C,符文权重!$D:$D)*$Y395/SUMIFS($Y:$Y,G:G,G395,$D:$D,$D395,$AE:$AE,$AE395)/SUMIF(符文权重!$A:$A,$D395,符文权重!$D:$D)))</f>
        <v/>
      </c>
      <c r="N395" s="51" t="str" cm="1">
        <f t="array" ref="N395">IF($A395="","",IF(H395="","",_xlfn.XLOOKUP($D395&amp;"_"&amp;$AE395,符文权重!$A:$A&amp;"_"&amp;符文权重!$C:$C,符文权重!$D:$D)*$Y395/SUMIFS($Y:$Y,H:H,H395,$D:$D,$D395,$AE:$AE,$AE395)/SUMIF(符文权重!$A:$A,$D395,符文权重!$D:$D)))</f>
        <v/>
      </c>
      <c r="O395" s="51" t="str" cm="1">
        <f t="array" ref="O395">IF($A395="","",IF(I395="","",_xlfn.XLOOKUP($D395&amp;"_"&amp;$AE395,符文权重!$A:$A&amp;"_"&amp;符文权重!$C:$C,符文权重!$D:$D)*$Y395/SUMIFS($Y:$Y,I:I,I395,$D:$D,$D395,$AE:$AE,$AE395)/SUMIF(符文权重!$A:$A,$D395,符文权重!$D:$D)))</f>
        <v/>
      </c>
      <c r="P395" s="51" t="str" cm="1">
        <f t="array" ref="P395">IF($A395="","",IF(J395="","",_xlfn.XLOOKUP($D395&amp;"_"&amp;$AE395,符文权重!$A:$A&amp;"_"&amp;符文权重!$C:$C,符文权重!$D:$D)*$Y395/SUMIFS($Y:$Y,J:J,J395,$D:$D,$D395,$AE:$AE,$AE395)/SUMIF(符文权重!$A:$A,$D395,符文权重!$D:$D)))</f>
        <v/>
      </c>
      <c r="Q395" s="51" cm="1">
        <f t="array" ref="Q395">IF($A395="","",IF(K395="","",_xlfn.XLOOKUP($D395&amp;"_"&amp;$AE395,符文权重!$A:$A&amp;"_"&amp;符文权重!$C:$C,符文权重!$D:$D)*$Y395/SUMIFS($Y:$Y,K:K,K395,$D:$D,$D395,$AE:$AE,$AE395)/SUMIF(符文权重!$A:$A,$D395,符文权重!$D:$D)))</f>
        <v>0.00375</v>
      </c>
      <c r="R395" s="51" t="str" cm="1">
        <f t="array" ref="R395">IF($A395="","",IF(L395="","",_xlfn.XLOOKUP($D395&amp;"_"&amp;$AE395,符文权重!$A:$A&amp;"_"&amp;符文权重!$C:$C,符文权重!$D:$D)*$Y395/SUMIFS($Y:$Y,L:L,L395,$D:$D,$D395,$AE:$AE,$AE395)/SUMIF(符文权重!$A:$A,$D395,符文权重!$D:$D)))</f>
        <v/>
      </c>
      <c r="S395" s="36" t="s">
        <v>192</v>
      </c>
      <c r="T395" s="36" t="s">
        <v>211</v>
      </c>
      <c r="U395" s="36" t="s">
        <v>426</v>
      </c>
      <c r="V395" s="52" t="s">
        <v>523</v>
      </c>
      <c r="Y395" s="35">
        <v>100</v>
      </c>
      <c r="AA395" s="42" t="s">
        <v>189</v>
      </c>
      <c r="AB395" s="42" t="str">
        <f t="shared" si="183"/>
        <v>法师职业暴击时，最终暴击伤害将在80%~&lt;color=#54b76b&gt;180%&lt;/color&gt;之间波动</v>
      </c>
      <c r="AC395" s="48" t="s">
        <v>512</v>
      </c>
      <c r="AD395" s="42" t="s">
        <v>524</v>
      </c>
      <c r="AE395" s="36">
        <v>5</v>
      </c>
      <c r="AF395" s="36"/>
      <c r="AG395" s="36">
        <v>0</v>
      </c>
      <c r="AH395" s="35">
        <v>1</v>
      </c>
      <c r="AI395" s="48">
        <v>5505086</v>
      </c>
      <c r="AJ395" s="53" t="s">
        <v>511</v>
      </c>
      <c r="AK395" s="36">
        <v>180</v>
      </c>
      <c r="AL395" s="35">
        <v>5</v>
      </c>
    </row>
    <row r="396" hidden="1" customHeight="1" spans="1:38">
      <c r="A396" s="48">
        <v>5505087</v>
      </c>
      <c r="B396" s="34" t="s">
        <v>511</v>
      </c>
      <c r="C396" s="48" t="s">
        <v>512</v>
      </c>
      <c r="D396" s="42">
        <v>7</v>
      </c>
      <c r="E396" s="42"/>
      <c r="F396" s="36" t="s">
        <v>230</v>
      </c>
      <c r="G396" s="36" t="str">
        <f t="shared" si="184"/>
        <v/>
      </c>
      <c r="H396" s="36" t="str">
        <f>IFERROR(IF(--MID($F396,2*COUNTIF($G396:G396,"&gt;"&amp;0)+2,1)=H$1,H$1,""),"")</f>
        <v/>
      </c>
      <c r="I396" s="36" t="str">
        <f>IFERROR(IF(--MID($F396,2*COUNTIF($G396:H396,"&gt;"&amp;0)+2,1)=I$1,I$1,""),"")</f>
        <v/>
      </c>
      <c r="J396" s="36" t="str">
        <f>IFERROR(IF(--MID($F396,2*COUNTIF($G396:I396,"&gt;"&amp;0)+2,1)=J$1,J$1,""),"")</f>
        <v/>
      </c>
      <c r="K396" s="36">
        <f>IFERROR(IF(--MID($F396,2*COUNTIF($G396:J396,"&gt;"&amp;0)+2,1)=K$1,K$1,""),"")</f>
        <v>5</v>
      </c>
      <c r="L396" s="36" t="str">
        <f>IFERROR(IF(--MID($F396,2*COUNTIF($G396:K396,"&gt;"&amp;0)+2,1)=L$1,L$1,""),"")</f>
        <v/>
      </c>
      <c r="M396" s="51" t="str" cm="1">
        <f t="array" ref="M396">IF($A396="","",IF(G396="","",_xlfn.XLOOKUP($D396&amp;"_"&amp;$AE396,符文权重!$A:$A&amp;"_"&amp;符文权重!$C:$C,符文权重!$D:$D)*$Y396/SUMIFS($Y:$Y,G:G,G396,$D:$D,$D396,$AE:$AE,$AE396)/SUMIF(符文权重!$A:$A,$D396,符文权重!$D:$D)))</f>
        <v/>
      </c>
      <c r="N396" s="51" t="str" cm="1">
        <f t="array" ref="N396">IF($A396="","",IF(H396="","",_xlfn.XLOOKUP($D396&amp;"_"&amp;$AE396,符文权重!$A:$A&amp;"_"&amp;符文权重!$C:$C,符文权重!$D:$D)*$Y396/SUMIFS($Y:$Y,H:H,H396,$D:$D,$D396,$AE:$AE,$AE396)/SUMIF(符文权重!$A:$A,$D396,符文权重!$D:$D)))</f>
        <v/>
      </c>
      <c r="O396" s="51" t="str" cm="1">
        <f t="array" ref="O396">IF($A396="","",IF(I396="","",_xlfn.XLOOKUP($D396&amp;"_"&amp;$AE396,符文权重!$A:$A&amp;"_"&amp;符文权重!$C:$C,符文权重!$D:$D)*$Y396/SUMIFS($Y:$Y,I:I,I396,$D:$D,$D396,$AE:$AE,$AE396)/SUMIF(符文权重!$A:$A,$D396,符文权重!$D:$D)))</f>
        <v/>
      </c>
      <c r="P396" s="51" t="str" cm="1">
        <f t="array" ref="P396">IF($A396="","",IF(J396="","",_xlfn.XLOOKUP($D396&amp;"_"&amp;$AE396,符文权重!$A:$A&amp;"_"&amp;符文权重!$C:$C,符文权重!$D:$D)*$Y396/SUMIFS($Y:$Y,J:J,J396,$D:$D,$D396,$AE:$AE,$AE396)/SUMIF(符文权重!$A:$A,$D396,符文权重!$D:$D)))</f>
        <v/>
      </c>
      <c r="Q396" s="51" cm="1">
        <f t="array" ref="Q396">IF($A396="","",IF(K396="","",_xlfn.XLOOKUP($D396&amp;"_"&amp;$AE396,符文权重!$A:$A&amp;"_"&amp;符文权重!$C:$C,符文权重!$D:$D)*$Y396/SUMIFS($Y:$Y,K:K,K396,$D:$D,$D396,$AE:$AE,$AE396)/SUMIF(符文权重!$A:$A,$D396,符文权重!$D:$D)))</f>
        <v>0.00375</v>
      </c>
      <c r="R396" s="51" t="str" cm="1">
        <f t="array" ref="R396">IF($A396="","",IF(L396="","",_xlfn.XLOOKUP($D396&amp;"_"&amp;$AE396,符文权重!$A:$A&amp;"_"&amp;符文权重!$C:$C,符文权重!$D:$D)*$Y396/SUMIFS($Y:$Y,L:L,L396,$D:$D,$D396,$AE:$AE,$AE396)/SUMIF(符文权重!$A:$A,$D396,符文权重!$D:$D)))</f>
        <v/>
      </c>
      <c r="S396" s="36" t="s">
        <v>192</v>
      </c>
      <c r="T396" s="36" t="s">
        <v>211</v>
      </c>
      <c r="U396" s="36" t="s">
        <v>429</v>
      </c>
      <c r="V396" s="52" t="s">
        <v>525</v>
      </c>
      <c r="Y396" s="36">
        <v>100</v>
      </c>
      <c r="AA396" s="42" t="s">
        <v>191</v>
      </c>
      <c r="AB396" s="42" t="str">
        <f t="shared" si="183"/>
        <v>法师职业暴击时，最终暴击伤害将在80%~&lt;color=#54b76b&gt;240%&lt;/color&gt;之间波动</v>
      </c>
      <c r="AC396" s="48" t="s">
        <v>512</v>
      </c>
      <c r="AD396" s="42" t="s">
        <v>526</v>
      </c>
      <c r="AE396" s="36">
        <v>5</v>
      </c>
      <c r="AF396" s="36"/>
      <c r="AG396" s="36">
        <v>0</v>
      </c>
      <c r="AH396" s="35">
        <v>1</v>
      </c>
      <c r="AI396" s="48">
        <v>5505087</v>
      </c>
      <c r="AJ396" s="53" t="s">
        <v>511</v>
      </c>
      <c r="AK396" s="36">
        <v>240</v>
      </c>
      <c r="AL396" s="36">
        <v>5</v>
      </c>
    </row>
    <row r="397" s="25" customFormat="1" hidden="1" customHeight="1" spans="1:38">
      <c r="A397" s="48" t="s">
        <v>178</v>
      </c>
      <c r="B397" s="34"/>
      <c r="C397" s="48" t="s">
        <v>178</v>
      </c>
      <c r="D397" s="42" t="s">
        <v>178</v>
      </c>
      <c r="E397" s="42"/>
      <c r="F397" s="36"/>
      <c r="G397" s="36" t="str">
        <f t="shared" si="184"/>
        <v/>
      </c>
      <c r="H397" s="36" t="str">
        <f>IFERROR(IF(--MID($F397,2*COUNTIF($G397:G397,"&gt;"&amp;0)+2,1)=H$1,H$1,""),"")</f>
        <v/>
      </c>
      <c r="I397" s="36" t="str">
        <f>IFERROR(IF(--MID($F397,2*COUNTIF($G397:H397,"&gt;"&amp;0)+2,1)=I$1,I$1,""),"")</f>
        <v/>
      </c>
      <c r="J397" s="36" t="str">
        <f>IFERROR(IF(--MID($F397,2*COUNTIF($G397:I397,"&gt;"&amp;0)+2,1)=J$1,J$1,""),"")</f>
        <v/>
      </c>
      <c r="K397" s="36" t="str">
        <f>IFERROR(IF(--MID($F397,2*COUNTIF($G397:J397,"&gt;"&amp;0)+2,1)=K$1,K$1,""),"")</f>
        <v/>
      </c>
      <c r="L397" s="36" t="str">
        <f>IFERROR(IF(--MID($F397,2*COUNTIF($G397:K397,"&gt;"&amp;0)+2,1)=L$1,L$1,""),"")</f>
        <v/>
      </c>
      <c r="M397" s="51" t="str" cm="1">
        <f t="array" ref="M397">IF($A397="","",IF(G397="","",_xlfn.XLOOKUP($D397&amp;"_"&amp;$AE397,符文权重!$A:$A&amp;"_"&amp;符文权重!$C:$C,符文权重!$D:$D)*$Y397/SUMIFS($Y:$Y,G:G,G397,$D:$D,$D397,$AE:$AE,$AE397)/SUMIF(符文权重!$A:$A,$D397,符文权重!$D:$D)))</f>
        <v/>
      </c>
      <c r="N397" s="36" t="str" cm="1">
        <f t="array" ref="N397">IF($A397="","",IF(H397="","",_xlfn.XLOOKUP($D397&amp;"_"&amp;$AE397,符文权重!$A:$A&amp;"_"&amp;符文权重!$C:$C,符文权重!$D:$D)*$Y397/SUMIFS($Y:$Y,H:H,H397,$D:$D,$D$6,$AE:$AE,$AE$6)))</f>
        <v/>
      </c>
      <c r="O397" s="36" t="str" cm="1">
        <f t="array" ref="O397">IF($A397="","",IF(I397="","",_xlfn.XLOOKUP($D397&amp;"_"&amp;$AE397,符文权重!$A:$A&amp;"_"&amp;符文权重!$C:$C,符文权重!$D:$D)*$Y397/SUMIFS($Y:$Y,I:I,I397,$D:$D,$D$6,$AE:$AE,$AE$6)))</f>
        <v/>
      </c>
      <c r="P397" s="36" t="str" cm="1">
        <f t="array" ref="P397">IF($A397="","",IF(J397="","",_xlfn.XLOOKUP($D397&amp;"_"&amp;$AE397,符文权重!$A:$A&amp;"_"&amp;符文权重!$C:$C,符文权重!$D:$D)*$Y397/SUMIFS($Y:$Y,J:J,J397,$D:$D,$D$6,$AE:$AE,$AE$6)))</f>
        <v/>
      </c>
      <c r="Q397" s="36" t="str" cm="1">
        <f t="array" ref="Q397">IF($A397="","",IF(K397="","",_xlfn.XLOOKUP($D397&amp;"_"&amp;$AE397,符文权重!$A:$A&amp;"_"&amp;符文权重!$C:$C,符文权重!$D:$D)*$Y397/SUMIFS($Y:$Y,K:K,K397,$D:$D,$D$6,$AE:$AE,$AE$6)))</f>
        <v/>
      </c>
      <c r="R397" s="36" t="str" cm="1">
        <f t="array" ref="R397">IF($A397="","",IF(L397="","",_xlfn.XLOOKUP($D397&amp;"_"&amp;$AE397,符文权重!$A:$A&amp;"_"&amp;符文权重!$C:$C,符文权重!$D:$D)*$Y397/SUMIFS($Y:$Y,L:L,L397,$D:$D,$D$6,$AE:$AE,$AE$6)))</f>
        <v/>
      </c>
      <c r="S397" s="36"/>
      <c r="T397" s="36"/>
      <c r="U397" s="36"/>
      <c r="W397" s="41"/>
      <c r="X397" s="35"/>
      <c r="Y397" s="35"/>
      <c r="Z397" s="35"/>
      <c r="AA397" s="42" t="s">
        <v>178</v>
      </c>
      <c r="AB397" s="42" t="str">
        <f t="shared" si="183"/>
        <v/>
      </c>
      <c r="AC397" s="48" t="s">
        <v>178</v>
      </c>
      <c r="AD397" s="42" t="s">
        <v>178</v>
      </c>
      <c r="AE397" s="36"/>
      <c r="AF397" s="36"/>
      <c r="AG397" s="36"/>
      <c r="AH397" s="35" t="s">
        <v>178</v>
      </c>
      <c r="AI397" s="33"/>
      <c r="AJ397" s="74"/>
      <c r="AK397" s="36"/>
      <c r="AL397" s="35"/>
    </row>
    <row r="398" s="28" customFormat="1" hidden="1" customHeight="1" spans="1:38">
      <c r="A398" s="57">
        <v>5505091</v>
      </c>
      <c r="B398" s="58" t="s">
        <v>527</v>
      </c>
      <c r="C398" s="57" t="s">
        <v>528</v>
      </c>
      <c r="D398" s="59">
        <v>1</v>
      </c>
      <c r="E398" s="59"/>
      <c r="F398" s="60" t="s">
        <v>404</v>
      </c>
      <c r="G398" s="36" t="str">
        <f t="shared" si="184"/>
        <v/>
      </c>
      <c r="H398" s="36" t="str">
        <f>IFERROR(IF(--MID($F398,2*COUNTIF($G398:G398,"&gt;"&amp;0)+2,1)=H$1,H$1,""),"")</f>
        <v/>
      </c>
      <c r="I398" s="36" t="str">
        <f>IFERROR(IF(--MID($F398,2*COUNTIF($G398:H398,"&gt;"&amp;0)+2,1)=I$1,I$1,""),"")</f>
        <v/>
      </c>
      <c r="J398" s="36">
        <f>IFERROR(IF(--MID($F398,2*COUNTIF($G398:I398,"&gt;"&amp;0)+2,1)=J$1,J$1,""),"")</f>
        <v>4</v>
      </c>
      <c r="K398" s="36" t="str">
        <f>IFERROR(IF(--MID($F398,2*COUNTIF($G398:J398,"&gt;"&amp;0)+2,1)=K$1,K$1,""),"")</f>
        <v/>
      </c>
      <c r="L398" s="36" t="str">
        <f>IFERROR(IF(--MID($F398,2*COUNTIF($G398:K398,"&gt;"&amp;0)+2,1)=L$1,L$1,""),"")</f>
        <v/>
      </c>
      <c r="M398" s="36" t="e" cm="1">
        <f t="array" ref="M398">IF(A398="","",_xlfn.XLOOKUP(D398&amp;"_"&amp;AE398,符文权重!A:A&amp;"_"&amp;符文权重!C:C,符文权重!D:D))</f>
        <v>#N/A</v>
      </c>
      <c r="N398" s="36"/>
      <c r="O398" s="36"/>
      <c r="P398" s="36"/>
      <c r="Q398" s="36"/>
      <c r="R398" s="36"/>
      <c r="S398" s="60" t="s">
        <v>192</v>
      </c>
      <c r="T398" s="60" t="s">
        <v>211</v>
      </c>
      <c r="U398" s="60" t="s">
        <v>413</v>
      </c>
      <c r="V398" s="61" t="s">
        <v>529</v>
      </c>
      <c r="W398" s="60"/>
      <c r="Y398" s="35">
        <v>100</v>
      </c>
      <c r="AA398" s="59" t="s">
        <v>177</v>
      </c>
      <c r="AB398" s="42" t="str">
        <f t="shared" si="183"/>
        <v>法师职业的大招冷却时间缩短&lt;color=#54b76b&gt;10%&lt;/color&gt;</v>
      </c>
      <c r="AC398" s="57" t="s">
        <v>528</v>
      </c>
      <c r="AD398" s="59" t="s">
        <v>422</v>
      </c>
      <c r="AE398" s="60">
        <v>100</v>
      </c>
      <c r="AF398" s="60"/>
      <c r="AG398" s="60">
        <v>1</v>
      </c>
      <c r="AH398" s="35">
        <v>1</v>
      </c>
      <c r="AI398" s="62">
        <v>5505091</v>
      </c>
      <c r="AJ398" s="63" t="s">
        <v>527</v>
      </c>
      <c r="AK398" s="60">
        <v>10</v>
      </c>
      <c r="AL398" s="35"/>
    </row>
    <row r="399" s="28" customFormat="1" hidden="1" customHeight="1" spans="1:38">
      <c r="A399" s="57">
        <v>5505092</v>
      </c>
      <c r="B399" s="58" t="s">
        <v>527</v>
      </c>
      <c r="C399" s="57" t="s">
        <v>528</v>
      </c>
      <c r="D399" s="59">
        <v>2</v>
      </c>
      <c r="E399" s="59"/>
      <c r="F399" s="60" t="s">
        <v>404</v>
      </c>
      <c r="G399" s="36" t="str">
        <f t="shared" si="184"/>
        <v/>
      </c>
      <c r="H399" s="36" t="str">
        <f>IFERROR(IF(--MID($F399,2*COUNTIF($G399:G399,"&gt;"&amp;0)+2,1)=H$1,H$1,""),"")</f>
        <v/>
      </c>
      <c r="I399" s="36" t="str">
        <f>IFERROR(IF(--MID($F399,2*COUNTIF($G399:H399,"&gt;"&amp;0)+2,1)=I$1,I$1,""),"")</f>
        <v/>
      </c>
      <c r="J399" s="36">
        <f>IFERROR(IF(--MID($F399,2*COUNTIF($G399:I399,"&gt;"&amp;0)+2,1)=J$1,J$1,""),"")</f>
        <v>4</v>
      </c>
      <c r="K399" s="36" t="str">
        <f>IFERROR(IF(--MID($F399,2*COUNTIF($G399:J399,"&gt;"&amp;0)+2,1)=K$1,K$1,""),"")</f>
        <v/>
      </c>
      <c r="L399" s="36" t="str">
        <f>IFERROR(IF(--MID($F399,2*COUNTIF($G399:K399,"&gt;"&amp;0)+2,1)=L$1,L$1,""),"")</f>
        <v/>
      </c>
      <c r="M399" s="36" t="e" cm="1">
        <f t="array" ref="M399">IF(A399="","",_xlfn.XLOOKUP(D399&amp;"_"&amp;AE399,符文权重!A:A&amp;"_"&amp;符文权重!C:C,符文权重!D:D))</f>
        <v>#N/A</v>
      </c>
      <c r="N399" s="36"/>
      <c r="O399" s="36"/>
      <c r="P399" s="36"/>
      <c r="Q399" s="36"/>
      <c r="R399" s="36"/>
      <c r="S399" s="60" t="s">
        <v>192</v>
      </c>
      <c r="T399" s="60" t="s">
        <v>211</v>
      </c>
      <c r="U399" s="60" t="s">
        <v>415</v>
      </c>
      <c r="V399" s="61" t="s">
        <v>530</v>
      </c>
      <c r="W399" s="60"/>
      <c r="Y399" s="35">
        <v>100</v>
      </c>
      <c r="AA399" s="59" t="s">
        <v>181</v>
      </c>
      <c r="AB399" s="42" t="str">
        <f t="shared" si="183"/>
        <v>法师职业的大招冷却时间缩短&lt;color=#54b76b&gt;15%&lt;/color&gt;</v>
      </c>
      <c r="AC399" s="57" t="s">
        <v>528</v>
      </c>
      <c r="AD399" s="59" t="s">
        <v>425</v>
      </c>
      <c r="AE399" s="60">
        <v>100</v>
      </c>
      <c r="AF399" s="60"/>
      <c r="AG399" s="60">
        <v>1</v>
      </c>
      <c r="AH399" s="35">
        <v>1</v>
      </c>
      <c r="AI399" s="57">
        <v>5505092</v>
      </c>
      <c r="AJ399" s="64" t="s">
        <v>527</v>
      </c>
      <c r="AK399" s="60">
        <v>15</v>
      </c>
      <c r="AL399" s="35"/>
    </row>
    <row r="400" s="28" customFormat="1" hidden="1" customHeight="1" spans="1:38">
      <c r="A400" s="57">
        <v>5505093</v>
      </c>
      <c r="B400" s="58" t="s">
        <v>527</v>
      </c>
      <c r="C400" s="57" t="s">
        <v>528</v>
      </c>
      <c r="D400" s="59">
        <v>3</v>
      </c>
      <c r="E400" s="59"/>
      <c r="F400" s="60" t="s">
        <v>404</v>
      </c>
      <c r="G400" s="36" t="str">
        <f t="shared" si="184"/>
        <v/>
      </c>
      <c r="H400" s="36" t="str">
        <f>IFERROR(IF(--MID($F400,2*COUNTIF($G400:G400,"&gt;"&amp;0)+2,1)=H$1,H$1,""),"")</f>
        <v/>
      </c>
      <c r="I400" s="36" t="str">
        <f>IFERROR(IF(--MID($F400,2*COUNTIF($G400:H400,"&gt;"&amp;0)+2,1)=I$1,I$1,""),"")</f>
        <v/>
      </c>
      <c r="J400" s="36">
        <f>IFERROR(IF(--MID($F400,2*COUNTIF($G400:I400,"&gt;"&amp;0)+2,1)=J$1,J$1,""),"")</f>
        <v>4</v>
      </c>
      <c r="K400" s="36" t="str">
        <f>IFERROR(IF(--MID($F400,2*COUNTIF($G400:J400,"&gt;"&amp;0)+2,1)=K$1,K$1,""),"")</f>
        <v/>
      </c>
      <c r="L400" s="36" t="str">
        <f>IFERROR(IF(--MID($F400,2*COUNTIF($G400:K400,"&gt;"&amp;0)+2,1)=L$1,L$1,""),"")</f>
        <v/>
      </c>
      <c r="M400" s="36" t="e" cm="1">
        <f t="array" ref="M400">IF(A400="","",_xlfn.XLOOKUP(D400&amp;"_"&amp;AE400,符文权重!A:A&amp;"_"&amp;符文权重!C:C,符文权重!D:D))</f>
        <v>#N/A</v>
      </c>
      <c r="N400" s="36"/>
      <c r="O400" s="36"/>
      <c r="P400" s="36"/>
      <c r="Q400" s="36"/>
      <c r="R400" s="36"/>
      <c r="S400" s="60" t="s">
        <v>192</v>
      </c>
      <c r="T400" s="60" t="s">
        <v>211</v>
      </c>
      <c r="U400" s="60" t="s">
        <v>417</v>
      </c>
      <c r="V400" s="61" t="s">
        <v>531</v>
      </c>
      <c r="W400" s="60"/>
      <c r="Y400" s="36">
        <v>100</v>
      </c>
      <c r="AA400" s="59" t="s">
        <v>183</v>
      </c>
      <c r="AB400" s="42" t="str">
        <f t="shared" si="183"/>
        <v>法师职业的大招冷却时间缩短&lt;color=#54b76b&gt;20%&lt;/color&gt;</v>
      </c>
      <c r="AC400" s="57" t="s">
        <v>528</v>
      </c>
      <c r="AD400" s="59" t="s">
        <v>428</v>
      </c>
      <c r="AE400" s="60">
        <v>100</v>
      </c>
      <c r="AF400" s="60"/>
      <c r="AG400" s="60">
        <v>1</v>
      </c>
      <c r="AH400" s="35">
        <v>1</v>
      </c>
      <c r="AI400" s="57">
        <v>5505093</v>
      </c>
      <c r="AJ400" s="64" t="s">
        <v>527</v>
      </c>
      <c r="AK400" s="60">
        <v>20</v>
      </c>
      <c r="AL400" s="36"/>
    </row>
    <row r="401" hidden="1" customHeight="1" spans="1:38">
      <c r="A401" s="48">
        <v>5505094</v>
      </c>
      <c r="B401" s="34" t="s">
        <v>527</v>
      </c>
      <c r="C401" s="48" t="s">
        <v>528</v>
      </c>
      <c r="D401" s="42">
        <v>4</v>
      </c>
      <c r="E401" s="42"/>
      <c r="F401" s="36" t="s">
        <v>404</v>
      </c>
      <c r="G401" s="36" t="str">
        <f t="shared" si="184"/>
        <v/>
      </c>
      <c r="H401" s="36" t="str">
        <f>IFERROR(IF(--MID($F401,2*COUNTIF($G401:G401,"&gt;"&amp;0)+2,1)=H$1,H$1,""),"")</f>
        <v/>
      </c>
      <c r="I401" s="36" t="str">
        <f>IFERROR(IF(--MID($F401,2*COUNTIF($G401:H401,"&gt;"&amp;0)+2,1)=I$1,I$1,""),"")</f>
        <v/>
      </c>
      <c r="J401" s="36">
        <f>IFERROR(IF(--MID($F401,2*COUNTIF($G401:I401,"&gt;"&amp;0)+2,1)=J$1,J$1,""),"")</f>
        <v>4</v>
      </c>
      <c r="K401" s="36" t="str">
        <f>IFERROR(IF(--MID($F401,2*COUNTIF($G401:J401,"&gt;"&amp;0)+2,1)=K$1,K$1,""),"")</f>
        <v/>
      </c>
      <c r="L401" s="36" t="str">
        <f>IFERROR(IF(--MID($F401,2*COUNTIF($G401:K401,"&gt;"&amp;0)+2,1)=L$1,L$1,""),"")</f>
        <v/>
      </c>
      <c r="M401" s="51" t="str" cm="1">
        <f t="array" ref="M401">IF($A401="","",IF(G401="","",_xlfn.XLOOKUP($D401&amp;"_"&amp;$AE401,符文权重!$A:$A&amp;"_"&amp;符文权重!$C:$C,符文权重!$D:$D)*$Y401/SUMIFS($Y:$Y,G:G,G401,$D:$D,$D401,$AE:$AE,$AE401)/SUMIF(符文权重!$A:$A,$D401,符文权重!$D:$D)))</f>
        <v/>
      </c>
      <c r="N401" s="51" t="str" cm="1">
        <f t="array" ref="N401">IF($A401="","",IF(H401="","",_xlfn.XLOOKUP($D401&amp;"_"&amp;$AE401,符文权重!$A:$A&amp;"_"&amp;符文权重!$C:$C,符文权重!$D:$D)*$Y401/SUMIFS($Y:$Y,H:H,H401,$D:$D,$D401,$AE:$AE,$AE401)/SUMIF(符文权重!$A:$A,$D401,符文权重!$D:$D)))</f>
        <v/>
      </c>
      <c r="O401" s="51" t="str" cm="1">
        <f t="array" ref="O401">IF($A401="","",IF(I401="","",_xlfn.XLOOKUP($D401&amp;"_"&amp;$AE401,符文权重!$A:$A&amp;"_"&amp;符文权重!$C:$C,符文权重!$D:$D)*$Y401/SUMIFS($Y:$Y,I:I,I401,$D:$D,$D401,$AE:$AE,$AE401)/SUMIF(符文权重!$A:$A,$D401,符文权重!$D:$D)))</f>
        <v/>
      </c>
      <c r="P401" s="51" cm="1">
        <f t="array" ref="P401">IF($A401="","",IF(J401="","",_xlfn.XLOOKUP($D401&amp;"_"&amp;$AE401,符文权重!$A:$A&amp;"_"&amp;符文权重!$C:$C,符文权重!$D:$D)*$Y401/SUMIFS($Y:$Y,J:J,J401,$D:$D,$D401,$AE:$AE,$AE401)/SUMIF(符文权重!$A:$A,$D401,符文权重!$D:$D)))</f>
        <v>0.00344789233678123</v>
      </c>
      <c r="Q401" s="51" t="str" cm="1">
        <f t="array" ref="Q401">IF($A401="","",IF(K401="","",_xlfn.XLOOKUP($D401&amp;"_"&amp;$AE401,符文权重!$A:$A&amp;"_"&amp;符文权重!$C:$C,符文权重!$D:$D)*$Y401/SUMIFS($Y:$Y,K:K,K401,$D:$D,$D401,$AE:$AE,$AE401)/SUMIF(符文权重!$A:$A,$D401,符文权重!$D:$D)))</f>
        <v/>
      </c>
      <c r="R401" s="51" t="str" cm="1">
        <f t="array" ref="R401">IF($A401="","",IF(L401="","",_xlfn.XLOOKUP($D401&amp;"_"&amp;$AE401,符文权重!$A:$A&amp;"_"&amp;符文权重!$C:$C,符文权重!$D:$D)*$Y401/SUMIFS($Y:$Y,L:L,L401,$D:$D,$D401,$AE:$AE,$AE401)/SUMIF(符文权重!$A:$A,$D401,符文权重!$D:$D)))</f>
        <v/>
      </c>
      <c r="S401" s="36" t="s">
        <v>192</v>
      </c>
      <c r="T401" s="36" t="s">
        <v>211</v>
      </c>
      <c r="U401" s="36" t="s">
        <v>420</v>
      </c>
      <c r="V401" s="52" t="s">
        <v>532</v>
      </c>
      <c r="Y401" s="35">
        <v>4</v>
      </c>
      <c r="AA401" s="42" t="s">
        <v>185</v>
      </c>
      <c r="AB401" s="42" t="str">
        <f t="shared" si="183"/>
        <v>法师职业的大招冷却时间缩短&lt;color=#54b76b&gt;25%&lt;/color&gt;</v>
      </c>
      <c r="AC401" s="48" t="s">
        <v>528</v>
      </c>
      <c r="AD401" s="42" t="s">
        <v>431</v>
      </c>
      <c r="AE401" s="36">
        <v>3</v>
      </c>
      <c r="AF401" s="36"/>
      <c r="AG401" s="36">
        <v>0</v>
      </c>
      <c r="AH401" s="35">
        <v>1</v>
      </c>
      <c r="AI401" s="48">
        <v>5505094</v>
      </c>
      <c r="AJ401" s="53" t="s">
        <v>527</v>
      </c>
      <c r="AK401" s="36">
        <v>25</v>
      </c>
      <c r="AL401" s="35">
        <v>5</v>
      </c>
    </row>
    <row r="402" hidden="1" customHeight="1" spans="1:38">
      <c r="A402" s="48">
        <v>5505095</v>
      </c>
      <c r="B402" s="34" t="s">
        <v>527</v>
      </c>
      <c r="C402" s="48" t="s">
        <v>528</v>
      </c>
      <c r="D402" s="42">
        <v>5</v>
      </c>
      <c r="E402" s="42"/>
      <c r="F402" s="36" t="s">
        <v>404</v>
      </c>
      <c r="G402" s="36" t="str">
        <f t="shared" si="184"/>
        <v/>
      </c>
      <c r="H402" s="36" t="str">
        <f>IFERROR(IF(--MID($F402,2*COUNTIF($G402:G402,"&gt;"&amp;0)+2,1)=H$1,H$1,""),"")</f>
        <v/>
      </c>
      <c r="I402" s="36" t="str">
        <f>IFERROR(IF(--MID($F402,2*COUNTIF($G402:H402,"&gt;"&amp;0)+2,1)=I$1,I$1,""),"")</f>
        <v/>
      </c>
      <c r="J402" s="36">
        <f>IFERROR(IF(--MID($F402,2*COUNTIF($G402:I402,"&gt;"&amp;0)+2,1)=J$1,J$1,""),"")</f>
        <v>4</v>
      </c>
      <c r="K402" s="36" t="str">
        <f>IFERROR(IF(--MID($F402,2*COUNTIF($G402:J402,"&gt;"&amp;0)+2,1)=K$1,K$1,""),"")</f>
        <v/>
      </c>
      <c r="L402" s="36" t="str">
        <f>IFERROR(IF(--MID($F402,2*COUNTIF($G402:K402,"&gt;"&amp;0)+2,1)=L$1,L$1,""),"")</f>
        <v/>
      </c>
      <c r="M402" s="51" t="str" cm="1">
        <f t="array" ref="M402">IF($A402="","",IF(G402="","",_xlfn.XLOOKUP($D402&amp;"_"&amp;$AE402,符文权重!$A:$A&amp;"_"&amp;符文权重!$C:$C,符文权重!$D:$D)*$Y402/SUMIFS($Y:$Y,G:G,G402,$D:$D,$D402,$AE:$AE,$AE402)/SUMIF(符文权重!$A:$A,$D402,符文权重!$D:$D)))</f>
        <v/>
      </c>
      <c r="N402" s="51" t="str" cm="1">
        <f t="array" ref="N402">IF($A402="","",IF(H402="","",_xlfn.XLOOKUP($D402&amp;"_"&amp;$AE402,符文权重!$A:$A&amp;"_"&amp;符文权重!$C:$C,符文权重!$D:$D)*$Y402/SUMIFS($Y:$Y,H:H,H402,$D:$D,$D402,$AE:$AE,$AE402)/SUMIF(符文权重!$A:$A,$D402,符文权重!$D:$D)))</f>
        <v/>
      </c>
      <c r="O402" s="51" t="str" cm="1">
        <f t="array" ref="O402">IF($A402="","",IF(I402="","",_xlfn.XLOOKUP($D402&amp;"_"&amp;$AE402,符文权重!$A:$A&amp;"_"&amp;符文权重!$C:$C,符文权重!$D:$D)*$Y402/SUMIFS($Y:$Y,I:I,I402,$D:$D,$D402,$AE:$AE,$AE402)/SUMIF(符文权重!$A:$A,$D402,符文权重!$D:$D)))</f>
        <v/>
      </c>
      <c r="P402" s="51" cm="1">
        <f t="array" ref="P402">IF($A402="","",IF(J402="","",_xlfn.XLOOKUP($D402&amp;"_"&amp;$AE402,符文权重!$A:$A&amp;"_"&amp;符文权重!$C:$C,符文权重!$D:$D)*$Y402/SUMIFS($Y:$Y,J:J,J402,$D:$D,$D402,$AE:$AE,$AE402)/SUMIF(符文权重!$A:$A,$D402,符文权重!$D:$D)))</f>
        <v>0.005</v>
      </c>
      <c r="Q402" s="51" t="str" cm="1">
        <f t="array" ref="Q402">IF($A402="","",IF(K402="","",_xlfn.XLOOKUP($D402&amp;"_"&amp;$AE402,符文权重!$A:$A&amp;"_"&amp;符文权重!$C:$C,符文权重!$D:$D)*$Y402/SUMIFS($Y:$Y,K:K,K402,$D:$D,$D402,$AE:$AE,$AE402)/SUMIF(符文权重!$A:$A,$D402,符文权重!$D:$D)))</f>
        <v/>
      </c>
      <c r="R402" s="51" t="str" cm="1">
        <f t="array" ref="R402">IF($A402="","",IF(L402="","",_xlfn.XLOOKUP($D402&amp;"_"&amp;$AE402,符文权重!$A:$A&amp;"_"&amp;符文权重!$C:$C,符文权重!$D:$D)*$Y402/SUMIFS($Y:$Y,L:L,L402,$D:$D,$D402,$AE:$AE,$AE402)/SUMIF(符文权重!$A:$A,$D402,符文权重!$D:$D)))</f>
        <v/>
      </c>
      <c r="S402" s="36" t="s">
        <v>192</v>
      </c>
      <c r="T402" s="36" t="s">
        <v>211</v>
      </c>
      <c r="U402" s="36" t="s">
        <v>423</v>
      </c>
      <c r="V402" s="52" t="s">
        <v>533</v>
      </c>
      <c r="Y402" s="35">
        <v>100</v>
      </c>
      <c r="AA402" s="42" t="s">
        <v>187</v>
      </c>
      <c r="AB402" s="42" t="str">
        <f t="shared" si="183"/>
        <v>法师职业的大招冷却时间缩短&lt;color=#54b76b&gt;35%&lt;/color&gt;</v>
      </c>
      <c r="AC402" s="48" t="s">
        <v>528</v>
      </c>
      <c r="AD402" s="42" t="s">
        <v>447</v>
      </c>
      <c r="AE402" s="36">
        <v>5</v>
      </c>
      <c r="AF402" s="36"/>
      <c r="AG402" s="36">
        <v>0</v>
      </c>
      <c r="AH402" s="35">
        <v>1</v>
      </c>
      <c r="AI402" s="48">
        <v>5505095</v>
      </c>
      <c r="AJ402" s="53" t="s">
        <v>527</v>
      </c>
      <c r="AK402" s="36">
        <v>35</v>
      </c>
      <c r="AL402" s="35">
        <v>5</v>
      </c>
    </row>
    <row r="403" hidden="1" customHeight="1" spans="1:38">
      <c r="A403" s="48">
        <v>5505096</v>
      </c>
      <c r="B403" s="34" t="s">
        <v>527</v>
      </c>
      <c r="C403" s="48" t="s">
        <v>528</v>
      </c>
      <c r="D403" s="42">
        <v>6</v>
      </c>
      <c r="E403" s="42"/>
      <c r="F403" s="36" t="s">
        <v>404</v>
      </c>
      <c r="G403" s="36" t="str">
        <f t="shared" si="184"/>
        <v/>
      </c>
      <c r="H403" s="36" t="str">
        <f>IFERROR(IF(--MID($F403,2*COUNTIF($G403:G403,"&gt;"&amp;0)+2,1)=H$1,H$1,""),"")</f>
        <v/>
      </c>
      <c r="I403" s="36" t="str">
        <f>IFERROR(IF(--MID($F403,2*COUNTIF($G403:H403,"&gt;"&amp;0)+2,1)=I$1,I$1,""),"")</f>
        <v/>
      </c>
      <c r="J403" s="36">
        <f>IFERROR(IF(--MID($F403,2*COUNTIF($G403:I403,"&gt;"&amp;0)+2,1)=J$1,J$1,""),"")</f>
        <v>4</v>
      </c>
      <c r="K403" s="36" t="str">
        <f>IFERROR(IF(--MID($F403,2*COUNTIF($G403:J403,"&gt;"&amp;0)+2,1)=K$1,K$1,""),"")</f>
        <v/>
      </c>
      <c r="L403" s="36" t="str">
        <f>IFERROR(IF(--MID($F403,2*COUNTIF($G403:K403,"&gt;"&amp;0)+2,1)=L$1,L$1,""),"")</f>
        <v/>
      </c>
      <c r="M403" s="51" t="str" cm="1">
        <f t="array" ref="M403">IF($A403="","",IF(G403="","",_xlfn.XLOOKUP($D403&amp;"_"&amp;$AE403,符文权重!$A:$A&amp;"_"&amp;符文权重!$C:$C,符文权重!$D:$D)*$Y403/SUMIFS($Y:$Y,G:G,G403,$D:$D,$D403,$AE:$AE,$AE403)/SUMIF(符文权重!$A:$A,$D403,符文权重!$D:$D)))</f>
        <v/>
      </c>
      <c r="N403" s="51" t="str" cm="1">
        <f t="array" ref="N403">IF($A403="","",IF(H403="","",_xlfn.XLOOKUP($D403&amp;"_"&amp;$AE403,符文权重!$A:$A&amp;"_"&amp;符文权重!$C:$C,符文权重!$D:$D)*$Y403/SUMIFS($Y:$Y,H:H,H403,$D:$D,$D403,$AE:$AE,$AE403)/SUMIF(符文权重!$A:$A,$D403,符文权重!$D:$D)))</f>
        <v/>
      </c>
      <c r="O403" s="51" t="str" cm="1">
        <f t="array" ref="O403">IF($A403="","",IF(I403="","",_xlfn.XLOOKUP($D403&amp;"_"&amp;$AE403,符文权重!$A:$A&amp;"_"&amp;符文权重!$C:$C,符文权重!$D:$D)*$Y403/SUMIFS($Y:$Y,I:I,I403,$D:$D,$D403,$AE:$AE,$AE403)/SUMIF(符文权重!$A:$A,$D403,符文权重!$D:$D)))</f>
        <v/>
      </c>
      <c r="P403" s="51" cm="1">
        <f t="array" ref="P403">IF($A403="","",IF(J403="","",_xlfn.XLOOKUP($D403&amp;"_"&amp;$AE403,符文权重!$A:$A&amp;"_"&amp;符文权重!$C:$C,符文权重!$D:$D)*$Y403/SUMIFS($Y:$Y,J:J,J403,$D:$D,$D403,$AE:$AE,$AE403)/SUMIF(符文权重!$A:$A,$D403,符文权重!$D:$D)))</f>
        <v>0.005</v>
      </c>
      <c r="Q403" s="51" t="str" cm="1">
        <f t="array" ref="Q403">IF($A403="","",IF(K403="","",_xlfn.XLOOKUP($D403&amp;"_"&amp;$AE403,符文权重!$A:$A&amp;"_"&amp;符文权重!$C:$C,符文权重!$D:$D)*$Y403/SUMIFS($Y:$Y,K:K,K403,$D:$D,$D403,$AE:$AE,$AE403)/SUMIF(符文权重!$A:$A,$D403,符文权重!$D:$D)))</f>
        <v/>
      </c>
      <c r="R403" s="51" t="str" cm="1">
        <f t="array" ref="R403">IF($A403="","",IF(L403="","",_xlfn.XLOOKUP($D403&amp;"_"&amp;$AE403,符文权重!$A:$A&amp;"_"&amp;符文权重!$C:$C,符文权重!$D:$D)*$Y403/SUMIFS($Y:$Y,L:L,L403,$D:$D,$D403,$AE:$AE,$AE403)/SUMIF(符文权重!$A:$A,$D403,符文权重!$D:$D)))</f>
        <v/>
      </c>
      <c r="S403" s="36" t="s">
        <v>192</v>
      </c>
      <c r="T403" s="36" t="s">
        <v>211</v>
      </c>
      <c r="U403" s="36" t="s">
        <v>426</v>
      </c>
      <c r="V403" s="52" t="s">
        <v>534</v>
      </c>
      <c r="Y403" s="35">
        <v>100</v>
      </c>
      <c r="AA403" s="42" t="s">
        <v>189</v>
      </c>
      <c r="AB403" s="42" t="str">
        <f t="shared" si="183"/>
        <v>法师职业的大招冷却时间缩短&lt;color=#54b76b&gt;45%&lt;/color&gt;</v>
      </c>
      <c r="AC403" s="48" t="s">
        <v>528</v>
      </c>
      <c r="AD403" s="42" t="s">
        <v>474</v>
      </c>
      <c r="AE403" s="36">
        <v>5</v>
      </c>
      <c r="AF403" s="36"/>
      <c r="AG403" s="36">
        <v>0</v>
      </c>
      <c r="AH403" s="35">
        <v>1</v>
      </c>
      <c r="AI403" s="48">
        <v>5505096</v>
      </c>
      <c r="AJ403" s="53" t="s">
        <v>527</v>
      </c>
      <c r="AK403" s="36">
        <v>45</v>
      </c>
      <c r="AL403" s="35">
        <v>5</v>
      </c>
    </row>
    <row r="404" hidden="1" customHeight="1" spans="1:38">
      <c r="A404" s="48">
        <v>5505097</v>
      </c>
      <c r="B404" s="34" t="s">
        <v>527</v>
      </c>
      <c r="C404" s="48" t="s">
        <v>528</v>
      </c>
      <c r="D404" s="42">
        <v>7</v>
      </c>
      <c r="E404" s="42"/>
      <c r="F404" s="36" t="s">
        <v>404</v>
      </c>
      <c r="G404" s="36" t="str">
        <f t="shared" si="184"/>
        <v/>
      </c>
      <c r="H404" s="36" t="str">
        <f>IFERROR(IF(--MID($F404,2*COUNTIF($G404:G404,"&gt;"&amp;0)+2,1)=H$1,H$1,""),"")</f>
        <v/>
      </c>
      <c r="I404" s="36" t="str">
        <f>IFERROR(IF(--MID($F404,2*COUNTIF($G404:H404,"&gt;"&amp;0)+2,1)=I$1,I$1,""),"")</f>
        <v/>
      </c>
      <c r="J404" s="36">
        <f>IFERROR(IF(--MID($F404,2*COUNTIF($G404:I404,"&gt;"&amp;0)+2,1)=J$1,J$1,""),"")</f>
        <v>4</v>
      </c>
      <c r="K404" s="36" t="str">
        <f>IFERROR(IF(--MID($F404,2*COUNTIF($G404:J404,"&gt;"&amp;0)+2,1)=K$1,K$1,""),"")</f>
        <v/>
      </c>
      <c r="L404" s="36" t="str">
        <f>IFERROR(IF(--MID($F404,2*COUNTIF($G404:K404,"&gt;"&amp;0)+2,1)=L$1,L$1,""),"")</f>
        <v/>
      </c>
      <c r="M404" s="51" t="str" cm="1">
        <f t="array" ref="M404">IF($A404="","",IF(G404="","",_xlfn.XLOOKUP($D404&amp;"_"&amp;$AE404,符文权重!$A:$A&amp;"_"&amp;符文权重!$C:$C,符文权重!$D:$D)*$Y404/SUMIFS($Y:$Y,G:G,G404,$D:$D,$D404,$AE:$AE,$AE404)/SUMIF(符文权重!$A:$A,$D404,符文权重!$D:$D)))</f>
        <v/>
      </c>
      <c r="N404" s="51" t="str" cm="1">
        <f t="array" ref="N404">IF($A404="","",IF(H404="","",_xlfn.XLOOKUP($D404&amp;"_"&amp;$AE404,符文权重!$A:$A&amp;"_"&amp;符文权重!$C:$C,符文权重!$D:$D)*$Y404/SUMIFS($Y:$Y,H:H,H404,$D:$D,$D404,$AE:$AE,$AE404)/SUMIF(符文权重!$A:$A,$D404,符文权重!$D:$D)))</f>
        <v/>
      </c>
      <c r="O404" s="51" t="str" cm="1">
        <f t="array" ref="O404">IF($A404="","",IF(I404="","",_xlfn.XLOOKUP($D404&amp;"_"&amp;$AE404,符文权重!$A:$A&amp;"_"&amp;符文权重!$C:$C,符文权重!$D:$D)*$Y404/SUMIFS($Y:$Y,I:I,I404,$D:$D,$D404,$AE:$AE,$AE404)/SUMIF(符文权重!$A:$A,$D404,符文权重!$D:$D)))</f>
        <v/>
      </c>
      <c r="P404" s="51" cm="1">
        <f t="array" ref="P404">IF($A404="","",IF(J404="","",_xlfn.XLOOKUP($D404&amp;"_"&amp;$AE404,符文权重!$A:$A&amp;"_"&amp;符文权重!$C:$C,符文权重!$D:$D)*$Y404/SUMIFS($Y:$Y,J:J,J404,$D:$D,$D404,$AE:$AE,$AE404)/SUMIF(符文权重!$A:$A,$D404,符文权重!$D:$D)))</f>
        <v>0.005</v>
      </c>
      <c r="Q404" s="51" t="str" cm="1">
        <f t="array" ref="Q404">IF($A404="","",IF(K404="","",_xlfn.XLOOKUP($D404&amp;"_"&amp;$AE404,符文权重!$A:$A&amp;"_"&amp;符文权重!$C:$C,符文权重!$D:$D)*$Y404/SUMIFS($Y:$Y,K:K,K404,$D:$D,$D404,$AE:$AE,$AE404)/SUMIF(符文权重!$A:$A,$D404,符文权重!$D:$D)))</f>
        <v/>
      </c>
      <c r="R404" s="51" t="str" cm="1">
        <f t="array" ref="R404">IF($A404="","",IF(L404="","",_xlfn.XLOOKUP($D404&amp;"_"&amp;$AE404,符文权重!$A:$A&amp;"_"&amp;符文权重!$C:$C,符文权重!$D:$D)*$Y404/SUMIFS($Y:$Y,L:L,L404,$D:$D,$D404,$AE:$AE,$AE404)/SUMIF(符文权重!$A:$A,$D404,符文权重!$D:$D)))</f>
        <v/>
      </c>
      <c r="S404" s="36" t="s">
        <v>192</v>
      </c>
      <c r="T404" s="36" t="s">
        <v>211</v>
      </c>
      <c r="U404" s="36" t="s">
        <v>429</v>
      </c>
      <c r="V404" s="52" t="s">
        <v>535</v>
      </c>
      <c r="Y404" s="36">
        <v>100</v>
      </c>
      <c r="AA404" s="42" t="s">
        <v>191</v>
      </c>
      <c r="AB404" s="42" t="str">
        <f t="shared" si="183"/>
        <v>法师职业的大招冷却时间缩短&lt;color=#54b76b&gt;55%&lt;/color&gt;</v>
      </c>
      <c r="AC404" s="48" t="s">
        <v>528</v>
      </c>
      <c r="AD404" s="42" t="s">
        <v>451</v>
      </c>
      <c r="AE404" s="36">
        <v>5</v>
      </c>
      <c r="AF404" s="36"/>
      <c r="AG404" s="36">
        <v>0</v>
      </c>
      <c r="AH404" s="35">
        <v>1</v>
      </c>
      <c r="AI404" s="48">
        <v>5505097</v>
      </c>
      <c r="AJ404" s="53" t="s">
        <v>527</v>
      </c>
      <c r="AK404" s="36">
        <v>55</v>
      </c>
      <c r="AL404" s="36">
        <v>5</v>
      </c>
    </row>
    <row r="405" s="25" customFormat="1" hidden="1" customHeight="1" spans="1:38">
      <c r="A405" s="48" t="s">
        <v>178</v>
      </c>
      <c r="B405" s="35"/>
      <c r="C405" s="48" t="str">
        <f t="shared" ref="C405:C468" si="185">IF(ISBLANK(AI405),"",LEFT(AI405,6)&amp;1)</f>
        <v/>
      </c>
      <c r="D405" s="42" t="str">
        <f t="shared" ref="D405:D468" si="186">IF(ISBLANK(AI405),"",VALUE(RIGHT(A405,1)))</f>
        <v/>
      </c>
      <c r="E405" s="42"/>
      <c r="F405" s="36"/>
      <c r="G405" s="36" t="str">
        <f t="shared" si="184"/>
        <v/>
      </c>
      <c r="H405" s="36" t="str">
        <f>IFERROR(IF(--MID($F405,2*COUNTIF($G405:G405,"&gt;"&amp;0)+2,1)=H$1,H$1,""),"")</f>
        <v/>
      </c>
      <c r="I405" s="36" t="str">
        <f>IFERROR(IF(--MID($F405,2*COUNTIF($G405:H405,"&gt;"&amp;0)+2,1)=I$1,I$1,""),"")</f>
        <v/>
      </c>
      <c r="J405" s="36" t="str">
        <f>IFERROR(IF(--MID($F405,2*COUNTIF($G405:I405,"&gt;"&amp;0)+2,1)=J$1,J$1,""),"")</f>
        <v/>
      </c>
      <c r="K405" s="36" t="str">
        <f>IFERROR(IF(--MID($F405,2*COUNTIF($G405:J405,"&gt;"&amp;0)+2,1)=K$1,K$1,""),"")</f>
        <v/>
      </c>
      <c r="L405" s="36" t="str">
        <f>IFERROR(IF(--MID($F405,2*COUNTIF($G405:K405,"&gt;"&amp;0)+2,1)=L$1,L$1,""),"")</f>
        <v/>
      </c>
      <c r="M405" s="51" t="str" cm="1">
        <f t="array" ref="M405">IF($A405="","",IF(G405="","",_xlfn.XLOOKUP($D405&amp;"_"&amp;$AE405,符文权重!$A:$A&amp;"_"&amp;符文权重!$C:$C,符文权重!$D:$D)*$Y405/SUMIFS($Y:$Y,G:G,G405,$D:$D,$D405,$AE:$AE,$AE405)/SUMIF(符文权重!$A:$A,$D405,符文权重!$D:$D)))</f>
        <v/>
      </c>
      <c r="N405" s="36" t="str" cm="1">
        <f t="array" ref="N405">IF($A405="","",IF(H405="","",_xlfn.XLOOKUP($D405&amp;"_"&amp;$AE405,符文权重!$A:$A&amp;"_"&amp;符文权重!$C:$C,符文权重!$D:$D)*$Y405/SUMIFS($Y:$Y,H:H,H405,$D:$D,$D$6,$AE:$AE,$AE$6)))</f>
        <v/>
      </c>
      <c r="O405" s="36" t="str" cm="1">
        <f t="array" ref="O405">IF($A405="","",IF(I405="","",_xlfn.XLOOKUP($D405&amp;"_"&amp;$AE405,符文权重!$A:$A&amp;"_"&amp;符文权重!$C:$C,符文权重!$D:$D)*$Y405/SUMIFS($Y:$Y,I:I,I405,$D:$D,$D$6,$AE:$AE,$AE$6)))</f>
        <v/>
      </c>
      <c r="P405" s="36" t="str" cm="1">
        <f t="array" ref="P405">IF($A405="","",IF(J405="","",_xlfn.XLOOKUP($D405&amp;"_"&amp;$AE405,符文权重!$A:$A&amp;"_"&amp;符文权重!$C:$C,符文权重!$D:$D)*$Y405/SUMIFS($Y:$Y,J:J,J405,$D:$D,$D$6,$AE:$AE,$AE$6)))</f>
        <v/>
      </c>
      <c r="Q405" s="36" t="str" cm="1">
        <f t="array" ref="Q405">IF($A405="","",IF(K405="","",_xlfn.XLOOKUP($D405&amp;"_"&amp;$AE405,符文权重!$A:$A&amp;"_"&amp;符文权重!$C:$C,符文权重!$D:$D)*$Y405/SUMIFS($Y:$Y,K:K,K405,$D:$D,$D$6,$AE:$AE,$AE$6)))</f>
        <v/>
      </c>
      <c r="R405" s="36" t="str" cm="1">
        <f t="array" ref="R405">IF($A405="","",IF(L405="","",_xlfn.XLOOKUP($D405&amp;"_"&amp;$AE405,符文权重!$A:$A&amp;"_"&amp;符文权重!$C:$C,符文权重!$D:$D)*$Y405/SUMIFS($Y:$Y,L:L,L405,$D:$D,$D$6,$AE:$AE,$AE$6)))</f>
        <v/>
      </c>
      <c r="S405" s="36"/>
      <c r="T405" s="36"/>
      <c r="U405" s="36"/>
      <c r="W405" s="41"/>
      <c r="X405" s="35"/>
      <c r="Y405" s="35"/>
      <c r="Z405" s="35"/>
      <c r="AA405" s="42" t="s">
        <v>178</v>
      </c>
      <c r="AB405" s="42" t="str">
        <f t="shared" si="183"/>
        <v/>
      </c>
      <c r="AC405" s="48" t="str">
        <f t="shared" ref="AC405:AC468" si="187">IF(ISBLANK(AI405),"",C405)</f>
        <v/>
      </c>
      <c r="AD405" s="42" t="str">
        <f t="shared" ref="AD405:AD460" si="188">IF(ISBLANK(AK405),"","["&amp;AK405&amp;"]")</f>
        <v/>
      </c>
      <c r="AE405" s="36"/>
      <c r="AF405" s="36"/>
      <c r="AG405" s="36"/>
      <c r="AH405" s="35" t="s">
        <v>178</v>
      </c>
      <c r="AI405" s="33"/>
      <c r="AJ405" s="74"/>
      <c r="AK405" s="36"/>
      <c r="AL405" s="35"/>
    </row>
    <row r="406" s="27" customFormat="1" hidden="1" customHeight="1" spans="1:38">
      <c r="A406" s="57">
        <v>5505101</v>
      </c>
      <c r="B406" s="28" t="s">
        <v>536</v>
      </c>
      <c r="C406" s="57" t="str">
        <f t="shared" si="185"/>
        <v>5505101</v>
      </c>
      <c r="D406" s="59">
        <f t="shared" si="186"/>
        <v>1</v>
      </c>
      <c r="E406" s="59"/>
      <c r="F406" s="60" t="s">
        <v>220</v>
      </c>
      <c r="G406" s="36" t="str">
        <f t="shared" si="184"/>
        <v/>
      </c>
      <c r="H406" s="36" t="str">
        <f>IFERROR(IF(--MID($F406,2*COUNTIF($G406:G406,"&gt;"&amp;0)+2,1)=H$1,H$1,""),"")</f>
        <v/>
      </c>
      <c r="I406" s="36" t="str">
        <f>IFERROR(IF(--MID($F406,2*COUNTIF($G406:H406,"&gt;"&amp;0)+2,1)=I$1,I$1,""),"")</f>
        <v/>
      </c>
      <c r="J406" s="36" t="str">
        <f>IFERROR(IF(--MID($F406,2*COUNTIF($G406:I406,"&gt;"&amp;0)+2,1)=J$1,J$1,""),"")</f>
        <v/>
      </c>
      <c r="K406" s="36" t="str">
        <f>IFERROR(IF(--MID($F406,2*COUNTIF($G406:J406,"&gt;"&amp;0)+2,1)=K$1,K$1,""),"")</f>
        <v/>
      </c>
      <c r="L406" s="36">
        <f>IFERROR(IF(--MID($F406,2*COUNTIF($G406:K406,"&gt;"&amp;0)+2,1)=L$1,L$1,""),"")</f>
        <v>6</v>
      </c>
      <c r="M406" s="36" t="e" cm="1">
        <f t="array" ref="M406">IF(A406="","",_xlfn.XLOOKUP(D406&amp;"_"&amp;AE406,符文权重!A:A&amp;"_"&amp;符文权重!C:C,符文权重!D:D))</f>
        <v>#N/A</v>
      </c>
      <c r="N406" s="36"/>
      <c r="O406" s="36"/>
      <c r="P406" s="36"/>
      <c r="Q406" s="36"/>
      <c r="R406" s="36"/>
      <c r="S406" s="60" t="s">
        <v>192</v>
      </c>
      <c r="T406" s="60" t="s">
        <v>211</v>
      </c>
      <c r="U406" s="60" t="e">
        <f>IF(C406="","",SUBSTITUTE(SUBSTITUTE("[{global_atk,"&amp;#REF!*D406&amp;"}]",21,20),9,8))</f>
        <v>#REF!</v>
      </c>
      <c r="V406" s="61" t="str">
        <f t="shared" ref="V406:V412" si="189">"["&amp;A406&amp;"]"</f>
        <v>[5505101]</v>
      </c>
      <c r="W406" s="67"/>
      <c r="X406" s="28"/>
      <c r="Y406" s="35">
        <v>100</v>
      </c>
      <c r="Z406" s="28"/>
      <c r="AA406" s="59" t="s">
        <v>177</v>
      </c>
      <c r="AB406" s="42" t="str">
        <f t="shared" si="183"/>
        <v>法师对血量低于50%敌人有&lt;color=#54b76b&gt;0%&lt;/color&gt;额外暴击几率</v>
      </c>
      <c r="AC406" s="57" t="str">
        <f t="shared" si="187"/>
        <v>5505101</v>
      </c>
      <c r="AD406" s="59" t="str">
        <f t="shared" si="188"/>
        <v>[0]</v>
      </c>
      <c r="AE406" s="60">
        <v>100</v>
      </c>
      <c r="AF406" s="60"/>
      <c r="AG406" s="60">
        <v>1</v>
      </c>
      <c r="AH406" s="28">
        <v>1</v>
      </c>
      <c r="AI406" s="62">
        <v>5505101</v>
      </c>
      <c r="AJ406" s="73" t="s">
        <v>536</v>
      </c>
      <c r="AK406" s="60">
        <v>0</v>
      </c>
      <c r="AL406" s="35"/>
    </row>
    <row r="407" s="28" customFormat="1" hidden="1" customHeight="1" spans="1:38">
      <c r="A407" s="57">
        <v>5505102</v>
      </c>
      <c r="B407" s="58"/>
      <c r="C407" s="57" t="str">
        <f t="shared" si="185"/>
        <v>5505101</v>
      </c>
      <c r="D407" s="59">
        <f t="shared" si="186"/>
        <v>2</v>
      </c>
      <c r="E407" s="59"/>
      <c r="F407" s="60" t="s">
        <v>220</v>
      </c>
      <c r="G407" s="36" t="str">
        <f t="shared" si="184"/>
        <v/>
      </c>
      <c r="H407" s="36" t="str">
        <f>IFERROR(IF(--MID($F407,2*COUNTIF($G407:G407,"&gt;"&amp;0)+2,1)=H$1,H$1,""),"")</f>
        <v/>
      </c>
      <c r="I407" s="36" t="str">
        <f>IFERROR(IF(--MID($F407,2*COUNTIF($G407:H407,"&gt;"&amp;0)+2,1)=I$1,I$1,""),"")</f>
        <v/>
      </c>
      <c r="J407" s="36" t="str">
        <f>IFERROR(IF(--MID($F407,2*COUNTIF($G407:I407,"&gt;"&amp;0)+2,1)=J$1,J$1,""),"")</f>
        <v/>
      </c>
      <c r="K407" s="36" t="str">
        <f>IFERROR(IF(--MID($F407,2*COUNTIF($G407:J407,"&gt;"&amp;0)+2,1)=K$1,K$1,""),"")</f>
        <v/>
      </c>
      <c r="L407" s="36">
        <f>IFERROR(IF(--MID($F407,2*COUNTIF($G407:K407,"&gt;"&amp;0)+2,1)=L$1,L$1,""),"")</f>
        <v>6</v>
      </c>
      <c r="M407" s="36" t="e" cm="1">
        <f t="array" ref="M407">IF(A407="","",_xlfn.XLOOKUP(D407&amp;"_"&amp;AE407,符文权重!A:A&amp;"_"&amp;符文权重!C:C,符文权重!D:D))</f>
        <v>#N/A</v>
      </c>
      <c r="N407" s="36"/>
      <c r="O407" s="36"/>
      <c r="P407" s="36"/>
      <c r="Q407" s="36"/>
      <c r="R407" s="36"/>
      <c r="S407" s="60" t="s">
        <v>192</v>
      </c>
      <c r="T407" s="60" t="s">
        <v>211</v>
      </c>
      <c r="U407" s="60" t="e">
        <f>IF(C407="","",SUBSTITUTE(SUBSTITUTE("[{global_atk,"&amp;#REF!*D407&amp;"}]",21,20),9,8))</f>
        <v>#REF!</v>
      </c>
      <c r="V407" s="61" t="str">
        <f t="shared" si="189"/>
        <v>[5505102]</v>
      </c>
      <c r="W407" s="60"/>
      <c r="Y407" s="35">
        <v>100</v>
      </c>
      <c r="AA407" s="59" t="s">
        <v>181</v>
      </c>
      <c r="AB407" s="42" t="str">
        <f t="shared" si="183"/>
        <v>法师对血量低于50%敌人有&lt;color=#54b76b&gt;0%&lt;/color&gt;额外暴击几率</v>
      </c>
      <c r="AC407" s="57" t="str">
        <f t="shared" si="187"/>
        <v>5505101</v>
      </c>
      <c r="AD407" s="59" t="str">
        <f t="shared" si="188"/>
        <v>[0]</v>
      </c>
      <c r="AE407" s="60">
        <v>100</v>
      </c>
      <c r="AF407" s="60"/>
      <c r="AG407" s="60">
        <v>1</v>
      </c>
      <c r="AH407" s="28">
        <v>1</v>
      </c>
      <c r="AI407" s="57">
        <f t="shared" ref="AI407:AI412" si="190">AI406+1</f>
        <v>5505102</v>
      </c>
      <c r="AJ407" s="64" t="str">
        <f t="shared" ref="AJ407:AJ412" si="191">AJ406</f>
        <v>法师对血量低于50%敌人有&lt;color=#54b76b&gt;%s%&lt;/color&gt;额外暴击几率</v>
      </c>
      <c r="AK407" s="60">
        <v>0</v>
      </c>
      <c r="AL407" s="35"/>
    </row>
    <row r="408" s="28" customFormat="1" hidden="1" customHeight="1" spans="1:38">
      <c r="A408" s="57">
        <v>5505103</v>
      </c>
      <c r="B408" s="58"/>
      <c r="C408" s="57" t="str">
        <f t="shared" si="185"/>
        <v>5505101</v>
      </c>
      <c r="D408" s="59">
        <f t="shared" si="186"/>
        <v>3</v>
      </c>
      <c r="E408" s="59"/>
      <c r="F408" s="60" t="s">
        <v>220</v>
      </c>
      <c r="G408" s="36" t="str">
        <f t="shared" si="184"/>
        <v/>
      </c>
      <c r="H408" s="36" t="str">
        <f>IFERROR(IF(--MID($F408,2*COUNTIF($G408:G408,"&gt;"&amp;0)+2,1)=H$1,H$1,""),"")</f>
        <v/>
      </c>
      <c r="I408" s="36" t="str">
        <f>IFERROR(IF(--MID($F408,2*COUNTIF($G408:H408,"&gt;"&amp;0)+2,1)=I$1,I$1,""),"")</f>
        <v/>
      </c>
      <c r="J408" s="36" t="str">
        <f>IFERROR(IF(--MID($F408,2*COUNTIF($G408:I408,"&gt;"&amp;0)+2,1)=J$1,J$1,""),"")</f>
        <v/>
      </c>
      <c r="K408" s="36" t="str">
        <f>IFERROR(IF(--MID($F408,2*COUNTIF($G408:J408,"&gt;"&amp;0)+2,1)=K$1,K$1,""),"")</f>
        <v/>
      </c>
      <c r="L408" s="36">
        <f>IFERROR(IF(--MID($F408,2*COUNTIF($G408:K408,"&gt;"&amp;0)+2,1)=L$1,L$1,""),"")</f>
        <v>6</v>
      </c>
      <c r="M408" s="36" t="e" cm="1">
        <f t="array" ref="M408">IF(A408="","",_xlfn.XLOOKUP(D408&amp;"_"&amp;AE408,符文权重!A:A&amp;"_"&amp;符文权重!C:C,符文权重!D:D))</f>
        <v>#N/A</v>
      </c>
      <c r="N408" s="36"/>
      <c r="O408" s="36"/>
      <c r="P408" s="36"/>
      <c r="Q408" s="36"/>
      <c r="R408" s="36"/>
      <c r="S408" s="60" t="s">
        <v>192</v>
      </c>
      <c r="T408" s="60" t="s">
        <v>211</v>
      </c>
      <c r="U408" s="60" t="e">
        <f>IF(C408="","",SUBSTITUTE(SUBSTITUTE("[{global_atk,"&amp;#REF!*D408&amp;"}]",21,20),9,8))</f>
        <v>#REF!</v>
      </c>
      <c r="V408" s="61" t="str">
        <f t="shared" si="189"/>
        <v>[5505103]</v>
      </c>
      <c r="W408" s="60"/>
      <c r="Y408" s="36">
        <v>100</v>
      </c>
      <c r="AA408" s="59" t="s">
        <v>183</v>
      </c>
      <c r="AB408" s="42" t="str">
        <f t="shared" si="183"/>
        <v>法师对血量低于50%敌人有&lt;color=#54b76b&gt;0%&lt;/color&gt;额外暴击几率</v>
      </c>
      <c r="AC408" s="57" t="str">
        <f t="shared" si="187"/>
        <v>5505101</v>
      </c>
      <c r="AD408" s="59" t="str">
        <f t="shared" si="188"/>
        <v>[0]</v>
      </c>
      <c r="AE408" s="60">
        <v>100</v>
      </c>
      <c r="AF408" s="60"/>
      <c r="AG408" s="60">
        <v>1</v>
      </c>
      <c r="AH408" s="28">
        <v>1</v>
      </c>
      <c r="AI408" s="57">
        <f t="shared" si="190"/>
        <v>5505103</v>
      </c>
      <c r="AJ408" s="64" t="str">
        <f t="shared" si="191"/>
        <v>法师对血量低于50%敌人有&lt;color=#54b76b&gt;%s%&lt;/color&gt;额外暴击几率</v>
      </c>
      <c r="AK408" s="60">
        <v>0</v>
      </c>
      <c r="AL408" s="36"/>
    </row>
    <row r="409" hidden="1" customHeight="1" spans="1:38">
      <c r="A409" s="48">
        <v>5505104</v>
      </c>
      <c r="C409" s="48" t="str">
        <f t="shared" si="185"/>
        <v>5505101</v>
      </c>
      <c r="D409" s="42">
        <f t="shared" si="186"/>
        <v>4</v>
      </c>
      <c r="E409" s="42"/>
      <c r="F409" s="36" t="s">
        <v>220</v>
      </c>
      <c r="G409" s="36" t="str">
        <f t="shared" si="184"/>
        <v/>
      </c>
      <c r="H409" s="36" t="str">
        <f>IFERROR(IF(--MID($F409,2*COUNTIF($G409:G409,"&gt;"&amp;0)+2,1)=H$1,H$1,""),"")</f>
        <v/>
      </c>
      <c r="I409" s="36" t="str">
        <f>IFERROR(IF(--MID($F409,2*COUNTIF($G409:H409,"&gt;"&amp;0)+2,1)=I$1,I$1,""),"")</f>
        <v/>
      </c>
      <c r="J409" s="36" t="str">
        <f>IFERROR(IF(--MID($F409,2*COUNTIF($G409:I409,"&gt;"&amp;0)+2,1)=J$1,J$1,""),"")</f>
        <v/>
      </c>
      <c r="K409" s="36" t="str">
        <f>IFERROR(IF(--MID($F409,2*COUNTIF($G409:J409,"&gt;"&amp;0)+2,1)=K$1,K$1,""),"")</f>
        <v/>
      </c>
      <c r="L409" s="36">
        <f>IFERROR(IF(--MID($F409,2*COUNTIF($G409:K409,"&gt;"&amp;0)+2,1)=L$1,L$1,""),"")</f>
        <v>6</v>
      </c>
      <c r="M409" s="51" t="str" cm="1">
        <f t="array" ref="M409">IF($A409="","",IF(G409="","",_xlfn.XLOOKUP($D409&amp;"_"&amp;$AE409,符文权重!$A:$A&amp;"_"&amp;符文权重!$C:$C,符文权重!$D:$D)*$Y409/SUMIFS($Y:$Y,G:G,G409,$D:$D,$D409,$AE:$AE,$AE409)/SUMIF(符文权重!$A:$A,$D409,符文权重!$D:$D)))</f>
        <v/>
      </c>
      <c r="N409" s="51" t="str" cm="1">
        <f t="array" ref="N409">IF($A409="","",IF(H409="","",_xlfn.XLOOKUP($D409&amp;"_"&amp;$AE409,符文权重!$A:$A&amp;"_"&amp;符文权重!$C:$C,符文权重!$D:$D)*$Y409/SUMIFS($Y:$Y,H:H,H409,$D:$D,$D409,$AE:$AE,$AE409)/SUMIF(符文权重!$A:$A,$D409,符文权重!$D:$D)))</f>
        <v/>
      </c>
      <c r="O409" s="51" t="str" cm="1">
        <f t="array" ref="O409">IF($A409="","",IF(I409="","",_xlfn.XLOOKUP($D409&amp;"_"&amp;$AE409,符文权重!$A:$A&amp;"_"&amp;符文权重!$C:$C,符文权重!$D:$D)*$Y409/SUMIFS($Y:$Y,I:I,I409,$D:$D,$D409,$AE:$AE,$AE409)/SUMIF(符文权重!$A:$A,$D409,符文权重!$D:$D)))</f>
        <v/>
      </c>
      <c r="P409" s="51" t="str" cm="1">
        <f t="array" ref="P409">IF($A409="","",IF(J409="","",_xlfn.XLOOKUP($D409&amp;"_"&amp;$AE409,符文权重!$A:$A&amp;"_"&amp;符文权重!$C:$C,符文权重!$D:$D)*$Y409/SUMIFS($Y:$Y,J:J,J409,$D:$D,$D409,$AE:$AE,$AE409)/SUMIF(符文权重!$A:$A,$D409,符文权重!$D:$D)))</f>
        <v/>
      </c>
      <c r="Q409" s="51" t="str" cm="1">
        <f t="array" ref="Q409">IF($A409="","",IF(K409="","",_xlfn.XLOOKUP($D409&amp;"_"&amp;$AE409,符文权重!$A:$A&amp;"_"&amp;符文权重!$C:$C,符文权重!$D:$D)*$Y409/SUMIFS($Y:$Y,K:K,K409,$D:$D,$D409,$AE:$AE,$AE409)/SUMIF(符文权重!$A:$A,$D409,符文权重!$D:$D)))</f>
        <v/>
      </c>
      <c r="R409" s="51" cm="1">
        <f t="array" ref="R409">IF($A409="","",IF(L409="","",_xlfn.XLOOKUP($D409&amp;"_"&amp;$AE409,符文权重!$A:$A&amp;"_"&amp;符文权重!$C:$C,符文权重!$D:$D)*$Y409/SUMIFS($Y:$Y,L:L,L409,$D:$D,$D409,$AE:$AE,$AE409)/SUMIF(符文权重!$A:$A,$D409,符文权重!$D:$D)))</f>
        <v>0.00341000341000341</v>
      </c>
      <c r="S409" s="36" t="s">
        <v>192</v>
      </c>
      <c r="T409" s="36" t="s">
        <v>211</v>
      </c>
      <c r="U409" s="36" t="e">
        <f>IF(C409="","",SUBSTITUTE(SUBSTITUTE("[{global_atk,"&amp;#REF!*D409&amp;"}]",21,20),9,8))</f>
        <v>#REF!</v>
      </c>
      <c r="V409" s="52" t="str">
        <f t="shared" si="189"/>
        <v>[5505104]</v>
      </c>
      <c r="Y409" s="35">
        <v>4</v>
      </c>
      <c r="AA409" s="42" t="s">
        <v>185</v>
      </c>
      <c r="AB409" s="42" t="str">
        <f t="shared" si="183"/>
        <v>法师对血量低于50%敌人有&lt;color=#54b76b&gt;6%&lt;/color&gt;额外暴击几率</v>
      </c>
      <c r="AC409" s="48" t="str">
        <f t="shared" si="187"/>
        <v>5505101</v>
      </c>
      <c r="AD409" s="42" t="str">
        <f t="shared" si="188"/>
        <v>[6]</v>
      </c>
      <c r="AE409" s="36">
        <v>3</v>
      </c>
      <c r="AF409" s="36"/>
      <c r="AG409" s="36">
        <v>0</v>
      </c>
      <c r="AH409" s="35">
        <v>1</v>
      </c>
      <c r="AI409" s="48">
        <f t="shared" si="190"/>
        <v>5505104</v>
      </c>
      <c r="AJ409" s="53" t="str">
        <f t="shared" si="191"/>
        <v>法师对血量低于50%敌人有&lt;color=#54b76b&gt;%s%&lt;/color&gt;额外暴击几率</v>
      </c>
      <c r="AK409" s="36">
        <v>6</v>
      </c>
      <c r="AL409" s="35">
        <v>5</v>
      </c>
    </row>
    <row r="410" hidden="1" customHeight="1" spans="1:38">
      <c r="A410" s="48">
        <v>5505105</v>
      </c>
      <c r="C410" s="48" t="str">
        <f t="shared" si="185"/>
        <v>5505101</v>
      </c>
      <c r="D410" s="42">
        <f t="shared" si="186"/>
        <v>5</v>
      </c>
      <c r="E410" s="42"/>
      <c r="F410" s="36" t="s">
        <v>220</v>
      </c>
      <c r="G410" s="36" t="str">
        <f t="shared" si="184"/>
        <v/>
      </c>
      <c r="H410" s="36" t="str">
        <f>IFERROR(IF(--MID($F410,2*COUNTIF($G410:G410,"&gt;"&amp;0)+2,1)=H$1,H$1,""),"")</f>
        <v/>
      </c>
      <c r="I410" s="36" t="str">
        <f>IFERROR(IF(--MID($F410,2*COUNTIF($G410:H410,"&gt;"&amp;0)+2,1)=I$1,I$1,""),"")</f>
        <v/>
      </c>
      <c r="J410" s="36" t="str">
        <f>IFERROR(IF(--MID($F410,2*COUNTIF($G410:I410,"&gt;"&amp;0)+2,1)=J$1,J$1,""),"")</f>
        <v/>
      </c>
      <c r="K410" s="36" t="str">
        <f>IFERROR(IF(--MID($F410,2*COUNTIF($G410:J410,"&gt;"&amp;0)+2,1)=K$1,K$1,""),"")</f>
        <v/>
      </c>
      <c r="L410" s="36">
        <f>IFERROR(IF(--MID($F410,2*COUNTIF($G410:K410,"&gt;"&amp;0)+2,1)=L$1,L$1,""),"")</f>
        <v>6</v>
      </c>
      <c r="M410" s="51" t="str" cm="1">
        <f t="array" ref="M410">IF($A410="","",IF(G410="","",_xlfn.XLOOKUP($D410&amp;"_"&amp;$AE410,符文权重!$A:$A&amp;"_"&amp;符文权重!$C:$C,符文权重!$D:$D)*$Y410/SUMIFS($Y:$Y,G:G,G410,$D:$D,$D410,$AE:$AE,$AE410)/SUMIF(符文权重!$A:$A,$D410,符文权重!$D:$D)))</f>
        <v/>
      </c>
      <c r="N410" s="51" t="str" cm="1">
        <f t="array" ref="N410">IF($A410="","",IF(H410="","",_xlfn.XLOOKUP($D410&amp;"_"&amp;$AE410,符文权重!$A:$A&amp;"_"&amp;符文权重!$C:$C,符文权重!$D:$D)*$Y410/SUMIFS($Y:$Y,H:H,H410,$D:$D,$D410,$AE:$AE,$AE410)/SUMIF(符文权重!$A:$A,$D410,符文权重!$D:$D)))</f>
        <v/>
      </c>
      <c r="O410" s="51" t="str" cm="1">
        <f t="array" ref="O410">IF($A410="","",IF(I410="","",_xlfn.XLOOKUP($D410&amp;"_"&amp;$AE410,符文权重!$A:$A&amp;"_"&amp;符文权重!$C:$C,符文权重!$D:$D)*$Y410/SUMIFS($Y:$Y,I:I,I410,$D:$D,$D410,$AE:$AE,$AE410)/SUMIF(符文权重!$A:$A,$D410,符文权重!$D:$D)))</f>
        <v/>
      </c>
      <c r="P410" s="51" t="str" cm="1">
        <f t="array" ref="P410">IF($A410="","",IF(J410="","",_xlfn.XLOOKUP($D410&amp;"_"&amp;$AE410,符文权重!$A:$A&amp;"_"&amp;符文权重!$C:$C,符文权重!$D:$D)*$Y410/SUMIFS($Y:$Y,J:J,J410,$D:$D,$D410,$AE:$AE,$AE410)/SUMIF(符文权重!$A:$A,$D410,符文权重!$D:$D)))</f>
        <v/>
      </c>
      <c r="Q410" s="51" t="str" cm="1">
        <f t="array" ref="Q410">IF($A410="","",IF(K410="","",_xlfn.XLOOKUP($D410&amp;"_"&amp;$AE410,符文权重!$A:$A&amp;"_"&amp;符文权重!$C:$C,符文权重!$D:$D)*$Y410/SUMIFS($Y:$Y,K:K,K410,$D:$D,$D410,$AE:$AE,$AE410)/SUMIF(符文权重!$A:$A,$D410,符文权重!$D:$D)))</f>
        <v/>
      </c>
      <c r="R410" s="51" cm="1">
        <f t="array" ref="R410">IF($A410="","",IF(L410="","",_xlfn.XLOOKUP($D410&amp;"_"&amp;$AE410,符文权重!$A:$A&amp;"_"&amp;符文权重!$C:$C,符文权重!$D:$D)*$Y410/SUMIFS($Y:$Y,L:L,L410,$D:$D,$D410,$AE:$AE,$AE410)/SUMIF(符文权重!$A:$A,$D410,符文权重!$D:$D)))</f>
        <v>0.00375</v>
      </c>
      <c r="S410" s="36" t="s">
        <v>192</v>
      </c>
      <c r="T410" s="36" t="s">
        <v>211</v>
      </c>
      <c r="U410" s="36" t="e">
        <f>IF(C410="","",SUBSTITUTE(SUBSTITUTE("[{global_atk,"&amp;#REF!*D410&amp;"}]",21,20),9,8))</f>
        <v>#REF!</v>
      </c>
      <c r="V410" s="52" t="str">
        <f t="shared" si="189"/>
        <v>[5505105]</v>
      </c>
      <c r="Y410" s="35">
        <v>100</v>
      </c>
      <c r="AA410" s="42" t="s">
        <v>187</v>
      </c>
      <c r="AB410" s="42" t="str">
        <f t="shared" ref="AB410:AB473" si="192">SUBSTITUTE(AJ410,"%s",AK410)</f>
        <v>法师对血量低于50%敌人有&lt;color=#54b76b&gt;8%&lt;/color&gt;额外暴击几率</v>
      </c>
      <c r="AC410" s="48" t="str">
        <f t="shared" si="187"/>
        <v>5505101</v>
      </c>
      <c r="AD410" s="42" t="str">
        <f t="shared" si="188"/>
        <v>[8]</v>
      </c>
      <c r="AE410" s="36">
        <v>5</v>
      </c>
      <c r="AF410" s="36"/>
      <c r="AG410" s="36">
        <v>0</v>
      </c>
      <c r="AH410" s="35">
        <v>1</v>
      </c>
      <c r="AI410" s="48">
        <f t="shared" si="190"/>
        <v>5505105</v>
      </c>
      <c r="AJ410" s="53" t="str">
        <f t="shared" si="191"/>
        <v>法师对血量低于50%敌人有&lt;color=#54b76b&gt;%s%&lt;/color&gt;额外暴击几率</v>
      </c>
      <c r="AK410" s="36">
        <v>8</v>
      </c>
      <c r="AL410" s="35">
        <v>5</v>
      </c>
    </row>
    <row r="411" hidden="1" customHeight="1" spans="1:38">
      <c r="A411" s="48">
        <v>5505106</v>
      </c>
      <c r="C411" s="48" t="str">
        <f t="shared" si="185"/>
        <v>5505101</v>
      </c>
      <c r="D411" s="42">
        <f t="shared" si="186"/>
        <v>6</v>
      </c>
      <c r="E411" s="42"/>
      <c r="F411" s="36" t="s">
        <v>220</v>
      </c>
      <c r="G411" s="36" t="str">
        <f t="shared" si="184"/>
        <v/>
      </c>
      <c r="H411" s="36" t="str">
        <f>IFERROR(IF(--MID($F411,2*COUNTIF($G411:G411,"&gt;"&amp;0)+2,1)=H$1,H$1,""),"")</f>
        <v/>
      </c>
      <c r="I411" s="36" t="str">
        <f>IFERROR(IF(--MID($F411,2*COUNTIF($G411:H411,"&gt;"&amp;0)+2,1)=I$1,I$1,""),"")</f>
        <v/>
      </c>
      <c r="J411" s="36" t="str">
        <f>IFERROR(IF(--MID($F411,2*COUNTIF($G411:I411,"&gt;"&amp;0)+2,1)=J$1,J$1,""),"")</f>
        <v/>
      </c>
      <c r="K411" s="36" t="str">
        <f>IFERROR(IF(--MID($F411,2*COUNTIF($G411:J411,"&gt;"&amp;0)+2,1)=K$1,K$1,""),"")</f>
        <v/>
      </c>
      <c r="L411" s="36">
        <f>IFERROR(IF(--MID($F411,2*COUNTIF($G411:K411,"&gt;"&amp;0)+2,1)=L$1,L$1,""),"")</f>
        <v>6</v>
      </c>
      <c r="M411" s="51" t="str" cm="1">
        <f t="array" ref="M411">IF($A411="","",IF(G411="","",_xlfn.XLOOKUP($D411&amp;"_"&amp;$AE411,符文权重!$A:$A&amp;"_"&amp;符文权重!$C:$C,符文权重!$D:$D)*$Y411/SUMIFS($Y:$Y,G:G,G411,$D:$D,$D411,$AE:$AE,$AE411)/SUMIF(符文权重!$A:$A,$D411,符文权重!$D:$D)))</f>
        <v/>
      </c>
      <c r="N411" s="51" t="str" cm="1">
        <f t="array" ref="N411">IF($A411="","",IF(H411="","",_xlfn.XLOOKUP($D411&amp;"_"&amp;$AE411,符文权重!$A:$A&amp;"_"&amp;符文权重!$C:$C,符文权重!$D:$D)*$Y411/SUMIFS($Y:$Y,H:H,H411,$D:$D,$D411,$AE:$AE,$AE411)/SUMIF(符文权重!$A:$A,$D411,符文权重!$D:$D)))</f>
        <v/>
      </c>
      <c r="O411" s="51" t="str" cm="1">
        <f t="array" ref="O411">IF($A411="","",IF(I411="","",_xlfn.XLOOKUP($D411&amp;"_"&amp;$AE411,符文权重!$A:$A&amp;"_"&amp;符文权重!$C:$C,符文权重!$D:$D)*$Y411/SUMIFS($Y:$Y,I:I,I411,$D:$D,$D411,$AE:$AE,$AE411)/SUMIF(符文权重!$A:$A,$D411,符文权重!$D:$D)))</f>
        <v/>
      </c>
      <c r="P411" s="51" t="str" cm="1">
        <f t="array" ref="P411">IF($A411="","",IF(J411="","",_xlfn.XLOOKUP($D411&amp;"_"&amp;$AE411,符文权重!$A:$A&amp;"_"&amp;符文权重!$C:$C,符文权重!$D:$D)*$Y411/SUMIFS($Y:$Y,J:J,J411,$D:$D,$D411,$AE:$AE,$AE411)/SUMIF(符文权重!$A:$A,$D411,符文权重!$D:$D)))</f>
        <v/>
      </c>
      <c r="Q411" s="51" t="str" cm="1">
        <f t="array" ref="Q411">IF($A411="","",IF(K411="","",_xlfn.XLOOKUP($D411&amp;"_"&amp;$AE411,符文权重!$A:$A&amp;"_"&amp;符文权重!$C:$C,符文权重!$D:$D)*$Y411/SUMIFS($Y:$Y,K:K,K411,$D:$D,$D411,$AE:$AE,$AE411)/SUMIF(符文权重!$A:$A,$D411,符文权重!$D:$D)))</f>
        <v/>
      </c>
      <c r="R411" s="51" cm="1">
        <f t="array" ref="R411">IF($A411="","",IF(L411="","",_xlfn.XLOOKUP($D411&amp;"_"&amp;$AE411,符文权重!$A:$A&amp;"_"&amp;符文权重!$C:$C,符文权重!$D:$D)*$Y411/SUMIFS($Y:$Y,L:L,L411,$D:$D,$D411,$AE:$AE,$AE411)/SUMIF(符文权重!$A:$A,$D411,符文权重!$D:$D)))</f>
        <v>0.00375</v>
      </c>
      <c r="S411" s="36" t="s">
        <v>192</v>
      </c>
      <c r="T411" s="36" t="s">
        <v>211</v>
      </c>
      <c r="U411" s="36" t="e">
        <f>IF(C411="","",SUBSTITUTE(SUBSTITUTE("[{global_atk,"&amp;#REF!*D411&amp;"}]",21,20),9,8))</f>
        <v>#REF!</v>
      </c>
      <c r="V411" s="52" t="str">
        <f t="shared" si="189"/>
        <v>[5505106]</v>
      </c>
      <c r="Y411" s="35">
        <v>100</v>
      </c>
      <c r="AA411" s="42" t="s">
        <v>189</v>
      </c>
      <c r="AB411" s="42" t="str">
        <f t="shared" si="192"/>
        <v>法师对血量低于50%敌人有&lt;color=#54b76b&gt;12%&lt;/color&gt;额外暴击几率</v>
      </c>
      <c r="AC411" s="48" t="str">
        <f t="shared" si="187"/>
        <v>5505101</v>
      </c>
      <c r="AD411" s="42" t="str">
        <f t="shared" si="188"/>
        <v>[12]</v>
      </c>
      <c r="AE411" s="36">
        <v>5</v>
      </c>
      <c r="AF411" s="36"/>
      <c r="AG411" s="36">
        <v>0</v>
      </c>
      <c r="AH411" s="35">
        <v>1</v>
      </c>
      <c r="AI411" s="48">
        <f t="shared" si="190"/>
        <v>5505106</v>
      </c>
      <c r="AJ411" s="53" t="str">
        <f t="shared" si="191"/>
        <v>法师对血量低于50%敌人有&lt;color=#54b76b&gt;%s%&lt;/color&gt;额外暴击几率</v>
      </c>
      <c r="AK411" s="36">
        <v>12</v>
      </c>
      <c r="AL411" s="35">
        <v>5</v>
      </c>
    </row>
    <row r="412" hidden="1" customHeight="1" spans="1:38">
      <c r="A412" s="48">
        <v>5505107</v>
      </c>
      <c r="C412" s="48" t="str">
        <f t="shared" si="185"/>
        <v>5505101</v>
      </c>
      <c r="D412" s="42">
        <f t="shared" si="186"/>
        <v>7</v>
      </c>
      <c r="E412" s="42"/>
      <c r="F412" s="36" t="s">
        <v>220</v>
      </c>
      <c r="G412" s="36" t="str">
        <f t="shared" si="184"/>
        <v/>
      </c>
      <c r="H412" s="36" t="str">
        <f>IFERROR(IF(--MID($F412,2*COUNTIF($G412:G412,"&gt;"&amp;0)+2,1)=H$1,H$1,""),"")</f>
        <v/>
      </c>
      <c r="I412" s="36" t="str">
        <f>IFERROR(IF(--MID($F412,2*COUNTIF($G412:H412,"&gt;"&amp;0)+2,1)=I$1,I$1,""),"")</f>
        <v/>
      </c>
      <c r="J412" s="36" t="str">
        <f>IFERROR(IF(--MID($F412,2*COUNTIF($G412:I412,"&gt;"&amp;0)+2,1)=J$1,J$1,""),"")</f>
        <v/>
      </c>
      <c r="K412" s="36" t="str">
        <f>IFERROR(IF(--MID($F412,2*COUNTIF($G412:J412,"&gt;"&amp;0)+2,1)=K$1,K$1,""),"")</f>
        <v/>
      </c>
      <c r="L412" s="36">
        <f>IFERROR(IF(--MID($F412,2*COUNTIF($G412:K412,"&gt;"&amp;0)+2,1)=L$1,L$1,""),"")</f>
        <v>6</v>
      </c>
      <c r="M412" s="51" t="str" cm="1">
        <f t="array" ref="M412">IF($A412="","",IF(G412="","",_xlfn.XLOOKUP($D412&amp;"_"&amp;$AE412,符文权重!$A:$A&amp;"_"&amp;符文权重!$C:$C,符文权重!$D:$D)*$Y412/SUMIFS($Y:$Y,G:G,G412,$D:$D,$D412,$AE:$AE,$AE412)/SUMIF(符文权重!$A:$A,$D412,符文权重!$D:$D)))</f>
        <v/>
      </c>
      <c r="N412" s="51" t="str" cm="1">
        <f t="array" ref="N412">IF($A412="","",IF(H412="","",_xlfn.XLOOKUP($D412&amp;"_"&amp;$AE412,符文权重!$A:$A&amp;"_"&amp;符文权重!$C:$C,符文权重!$D:$D)*$Y412/SUMIFS($Y:$Y,H:H,H412,$D:$D,$D412,$AE:$AE,$AE412)/SUMIF(符文权重!$A:$A,$D412,符文权重!$D:$D)))</f>
        <v/>
      </c>
      <c r="O412" s="51" t="str" cm="1">
        <f t="array" ref="O412">IF($A412="","",IF(I412="","",_xlfn.XLOOKUP($D412&amp;"_"&amp;$AE412,符文权重!$A:$A&amp;"_"&amp;符文权重!$C:$C,符文权重!$D:$D)*$Y412/SUMIFS($Y:$Y,I:I,I412,$D:$D,$D412,$AE:$AE,$AE412)/SUMIF(符文权重!$A:$A,$D412,符文权重!$D:$D)))</f>
        <v/>
      </c>
      <c r="P412" s="51" t="str" cm="1">
        <f t="array" ref="P412">IF($A412="","",IF(J412="","",_xlfn.XLOOKUP($D412&amp;"_"&amp;$AE412,符文权重!$A:$A&amp;"_"&amp;符文权重!$C:$C,符文权重!$D:$D)*$Y412/SUMIFS($Y:$Y,J:J,J412,$D:$D,$D412,$AE:$AE,$AE412)/SUMIF(符文权重!$A:$A,$D412,符文权重!$D:$D)))</f>
        <v/>
      </c>
      <c r="Q412" s="51" t="str" cm="1">
        <f t="array" ref="Q412">IF($A412="","",IF(K412="","",_xlfn.XLOOKUP($D412&amp;"_"&amp;$AE412,符文权重!$A:$A&amp;"_"&amp;符文权重!$C:$C,符文权重!$D:$D)*$Y412/SUMIFS($Y:$Y,K:K,K412,$D:$D,$D412,$AE:$AE,$AE412)/SUMIF(符文权重!$A:$A,$D412,符文权重!$D:$D)))</f>
        <v/>
      </c>
      <c r="R412" s="51" cm="1">
        <f t="array" ref="R412">IF($A412="","",IF(L412="","",_xlfn.XLOOKUP($D412&amp;"_"&amp;$AE412,符文权重!$A:$A&amp;"_"&amp;符文权重!$C:$C,符文权重!$D:$D)*$Y412/SUMIFS($Y:$Y,L:L,L412,$D:$D,$D412,$AE:$AE,$AE412)/SUMIF(符文权重!$A:$A,$D412,符文权重!$D:$D)))</f>
        <v>0.00375</v>
      </c>
      <c r="S412" s="36" t="s">
        <v>192</v>
      </c>
      <c r="T412" s="36" t="s">
        <v>211</v>
      </c>
      <c r="U412" s="36" t="e">
        <f>IF(C412="","",SUBSTITUTE(SUBSTITUTE("[{global_atk,"&amp;#REF!*D412&amp;"}]",21,20),9,8))</f>
        <v>#REF!</v>
      </c>
      <c r="V412" s="52" t="str">
        <f t="shared" si="189"/>
        <v>[5505107]</v>
      </c>
      <c r="Y412" s="36">
        <v>100</v>
      </c>
      <c r="AA412" s="42" t="s">
        <v>191</v>
      </c>
      <c r="AB412" s="42" t="str">
        <f t="shared" si="192"/>
        <v>法师对血量低于50%敌人有&lt;color=#54b76b&gt;16%&lt;/color&gt;额外暴击几率</v>
      </c>
      <c r="AC412" s="48" t="str">
        <f t="shared" si="187"/>
        <v>5505101</v>
      </c>
      <c r="AD412" s="42" t="str">
        <f t="shared" si="188"/>
        <v>[16]</v>
      </c>
      <c r="AE412" s="36">
        <v>5</v>
      </c>
      <c r="AF412" s="36"/>
      <c r="AG412" s="36">
        <v>0</v>
      </c>
      <c r="AH412" s="35">
        <v>1</v>
      </c>
      <c r="AI412" s="48">
        <f t="shared" si="190"/>
        <v>5505107</v>
      </c>
      <c r="AJ412" s="53" t="str">
        <f t="shared" si="191"/>
        <v>法师对血量低于50%敌人有&lt;color=#54b76b&gt;%s%&lt;/color&gt;额外暴击几率</v>
      </c>
      <c r="AK412" s="36">
        <v>16</v>
      </c>
      <c r="AL412" s="36">
        <v>5</v>
      </c>
    </row>
    <row r="413" s="25" customFormat="1" hidden="1" customHeight="1" spans="1:38">
      <c r="A413" s="48" t="s">
        <v>178</v>
      </c>
      <c r="B413" s="72" t="s">
        <v>537</v>
      </c>
      <c r="C413" s="48" t="str">
        <f t="shared" si="185"/>
        <v/>
      </c>
      <c r="D413" s="42" t="str">
        <f t="shared" si="186"/>
        <v/>
      </c>
      <c r="E413" s="42"/>
      <c r="F413" s="36"/>
      <c r="G413" s="36" t="str">
        <f t="shared" si="184"/>
        <v/>
      </c>
      <c r="H413" s="36" t="str">
        <f>IFERROR(IF(--MID($F413,2*COUNTIF($G413:G413,"&gt;"&amp;0)+2,1)=H$1,H$1,""),"")</f>
        <v/>
      </c>
      <c r="I413" s="36" t="str">
        <f>IFERROR(IF(--MID($F413,2*COUNTIF($G413:H413,"&gt;"&amp;0)+2,1)=I$1,I$1,""),"")</f>
        <v/>
      </c>
      <c r="J413" s="36" t="str">
        <f>IFERROR(IF(--MID($F413,2*COUNTIF($G413:I413,"&gt;"&amp;0)+2,1)=J$1,J$1,""),"")</f>
        <v/>
      </c>
      <c r="K413" s="36" t="str">
        <f>IFERROR(IF(--MID($F413,2*COUNTIF($G413:J413,"&gt;"&amp;0)+2,1)=K$1,K$1,""),"")</f>
        <v/>
      </c>
      <c r="L413" s="36" t="str">
        <f>IFERROR(IF(--MID($F413,2*COUNTIF($G413:K413,"&gt;"&amp;0)+2,1)=L$1,L$1,""),"")</f>
        <v/>
      </c>
      <c r="M413" s="51" t="str" cm="1">
        <f t="array" ref="M413">IF($A413="","",IF(G413="","",_xlfn.XLOOKUP($D413&amp;"_"&amp;$AE413,符文权重!$A:$A&amp;"_"&amp;符文权重!$C:$C,符文权重!$D:$D)*$Y413/SUMIFS($Y:$Y,G:G,G413,$D:$D,$D413,$AE:$AE,$AE413)/SUMIF(符文权重!$A:$A,$D413,符文权重!$D:$D)))</f>
        <v/>
      </c>
      <c r="N413" s="36" t="str" cm="1">
        <f t="array" ref="N413">IF($A413="","",IF(H413="","",_xlfn.XLOOKUP($D413&amp;"_"&amp;$AE413,符文权重!$A:$A&amp;"_"&amp;符文权重!$C:$C,符文权重!$D:$D)*$Y413/SUMIFS($Y:$Y,H:H,H413,$D:$D,$D$6,$AE:$AE,$AE$6)))</f>
        <v/>
      </c>
      <c r="O413" s="36" t="str" cm="1">
        <f t="array" ref="O413">IF($A413="","",IF(I413="","",_xlfn.XLOOKUP($D413&amp;"_"&amp;$AE413,符文权重!$A:$A&amp;"_"&amp;符文权重!$C:$C,符文权重!$D:$D)*$Y413/SUMIFS($Y:$Y,I:I,I413,$D:$D,$D$6,$AE:$AE,$AE$6)))</f>
        <v/>
      </c>
      <c r="P413" s="36" t="str" cm="1">
        <f t="array" ref="P413">IF($A413="","",IF(J413="","",_xlfn.XLOOKUP($D413&amp;"_"&amp;$AE413,符文权重!$A:$A&amp;"_"&amp;符文权重!$C:$C,符文权重!$D:$D)*$Y413/SUMIFS($Y:$Y,J:J,J413,$D:$D,$D$6,$AE:$AE,$AE$6)))</f>
        <v/>
      </c>
      <c r="Q413" s="36" t="str" cm="1">
        <f t="array" ref="Q413">IF($A413="","",IF(K413="","",_xlfn.XLOOKUP($D413&amp;"_"&amp;$AE413,符文权重!$A:$A&amp;"_"&amp;符文权重!$C:$C,符文权重!$D:$D)*$Y413/SUMIFS($Y:$Y,K:K,K413,$D:$D,$D$6,$AE:$AE,$AE$6)))</f>
        <v/>
      </c>
      <c r="R413" s="36" t="str" cm="1">
        <f t="array" ref="R413">IF($A413="","",IF(L413="","",_xlfn.XLOOKUP($D413&amp;"_"&amp;$AE413,符文权重!$A:$A&amp;"_"&amp;符文权重!$C:$C,符文权重!$D:$D)*$Y413/SUMIFS($Y:$Y,L:L,L413,$D:$D,$D$6,$AE:$AE,$AE$6)))</f>
        <v/>
      </c>
      <c r="S413" s="36"/>
      <c r="T413" s="36"/>
      <c r="U413" s="36"/>
      <c r="W413" s="41"/>
      <c r="X413" s="35"/>
      <c r="Y413" s="35"/>
      <c r="Z413" s="35"/>
      <c r="AA413" s="42" t="s">
        <v>178</v>
      </c>
      <c r="AB413" s="42" t="str">
        <f t="shared" si="192"/>
        <v/>
      </c>
      <c r="AC413" s="48" t="str">
        <f t="shared" si="187"/>
        <v/>
      </c>
      <c r="AD413" s="42" t="str">
        <f t="shared" si="188"/>
        <v/>
      </c>
      <c r="AE413" s="36"/>
      <c r="AF413" s="36"/>
      <c r="AG413" s="36"/>
      <c r="AH413" s="35" t="s">
        <v>178</v>
      </c>
      <c r="AI413" s="33"/>
      <c r="AJ413" s="74"/>
      <c r="AK413" s="36"/>
      <c r="AL413" s="35"/>
    </row>
    <row r="414" s="28" customFormat="1" hidden="1" customHeight="1" spans="1:38">
      <c r="A414" s="57">
        <v>5505111</v>
      </c>
      <c r="B414" s="58" t="s">
        <v>538</v>
      </c>
      <c r="C414" s="57" t="str">
        <f t="shared" si="185"/>
        <v>5505111</v>
      </c>
      <c r="D414" s="59">
        <f t="shared" si="186"/>
        <v>1</v>
      </c>
      <c r="E414" s="59"/>
      <c r="F414" s="60" t="s">
        <v>211</v>
      </c>
      <c r="G414" s="36" t="str">
        <f t="shared" si="184"/>
        <v/>
      </c>
      <c r="H414" s="36">
        <f>IFERROR(IF(--MID($F414,2*COUNTIF($G414:G414,"&gt;"&amp;0)+2,1)=H$1,H$1,""),"")</f>
        <v>2</v>
      </c>
      <c r="I414" s="36" t="str">
        <f>IFERROR(IF(--MID($F414,2*COUNTIF($G414:H414,"&gt;"&amp;0)+2,1)=I$1,I$1,""),"")</f>
        <v/>
      </c>
      <c r="J414" s="36" t="str">
        <f>IFERROR(IF(--MID($F414,2*COUNTIF($G414:I414,"&gt;"&amp;0)+2,1)=J$1,J$1,""),"")</f>
        <v/>
      </c>
      <c r="K414" s="36" t="str">
        <f>IFERROR(IF(--MID($F414,2*COUNTIF($G414:J414,"&gt;"&amp;0)+2,1)=K$1,K$1,""),"")</f>
        <v/>
      </c>
      <c r="L414" s="36" t="str">
        <f>IFERROR(IF(--MID($F414,2*COUNTIF($G414:K414,"&gt;"&amp;0)+2,1)=L$1,L$1,""),"")</f>
        <v/>
      </c>
      <c r="M414" s="36" t="e" cm="1">
        <f t="array" ref="M414">IF(A414="","",_xlfn.XLOOKUP(D414&amp;"_"&amp;AE414,符文权重!A:A&amp;"_"&amp;符文权重!C:C,符文权重!D:D))</f>
        <v>#N/A</v>
      </c>
      <c r="N414" s="36"/>
      <c r="O414" s="36"/>
      <c r="P414" s="36"/>
      <c r="Q414" s="36"/>
      <c r="R414" s="36"/>
      <c r="S414" s="60" t="s">
        <v>192</v>
      </c>
      <c r="T414" s="60" t="s">
        <v>230</v>
      </c>
      <c r="U414" s="60" t="e">
        <f>IF(C414="","",SUBSTITUTE(SUBSTITUTE("[{global_atk,"&amp;#REF!*D414&amp;"}]",21,20),9,8))</f>
        <v>#REF!</v>
      </c>
      <c r="V414" s="61" t="str">
        <f t="shared" ref="V414:V420" si="193">"["&amp;A414&amp;"]"</f>
        <v>[5505111]</v>
      </c>
      <c r="W414" s="60"/>
      <c r="Y414" s="35">
        <v>100</v>
      </c>
      <c r="AA414" s="59" t="s">
        <v>177</v>
      </c>
      <c r="AB414" s="42" t="str">
        <f t="shared" si="192"/>
        <v>控制职业有&lt;color=#54b76b&gt;0%&lt;/color&gt;的概率控制时间延长100%</v>
      </c>
      <c r="AC414" s="57" t="str">
        <f t="shared" si="187"/>
        <v>5505111</v>
      </c>
      <c r="AD414" s="59" t="str">
        <f t="shared" si="188"/>
        <v>[0]</v>
      </c>
      <c r="AE414" s="60">
        <v>100</v>
      </c>
      <c r="AF414" s="60"/>
      <c r="AG414" s="60">
        <v>1</v>
      </c>
      <c r="AH414" s="28">
        <v>1</v>
      </c>
      <c r="AI414" s="62">
        <v>5505111</v>
      </c>
      <c r="AJ414" s="63" t="s">
        <v>538</v>
      </c>
      <c r="AK414" s="60">
        <v>0</v>
      </c>
      <c r="AL414" s="35"/>
    </row>
    <row r="415" s="28" customFormat="1" hidden="1" customHeight="1" spans="1:38">
      <c r="A415" s="57">
        <v>5505112</v>
      </c>
      <c r="B415" s="58"/>
      <c r="C415" s="57" t="str">
        <f t="shared" si="185"/>
        <v>5505111</v>
      </c>
      <c r="D415" s="59">
        <f t="shared" si="186"/>
        <v>2</v>
      </c>
      <c r="E415" s="59"/>
      <c r="F415" s="60" t="s">
        <v>211</v>
      </c>
      <c r="G415" s="36" t="str">
        <f t="shared" si="184"/>
        <v/>
      </c>
      <c r="H415" s="36">
        <f>IFERROR(IF(--MID($F415,2*COUNTIF($G415:G415,"&gt;"&amp;0)+2,1)=H$1,H$1,""),"")</f>
        <v>2</v>
      </c>
      <c r="I415" s="36" t="str">
        <f>IFERROR(IF(--MID($F415,2*COUNTIF($G415:H415,"&gt;"&amp;0)+2,1)=I$1,I$1,""),"")</f>
        <v/>
      </c>
      <c r="J415" s="36" t="str">
        <f>IFERROR(IF(--MID($F415,2*COUNTIF($G415:I415,"&gt;"&amp;0)+2,1)=J$1,J$1,""),"")</f>
        <v/>
      </c>
      <c r="K415" s="36" t="str">
        <f>IFERROR(IF(--MID($F415,2*COUNTIF($G415:J415,"&gt;"&amp;0)+2,1)=K$1,K$1,""),"")</f>
        <v/>
      </c>
      <c r="L415" s="36" t="str">
        <f>IFERROR(IF(--MID($F415,2*COUNTIF($G415:K415,"&gt;"&amp;0)+2,1)=L$1,L$1,""),"")</f>
        <v/>
      </c>
      <c r="M415" s="36" t="e" cm="1">
        <f t="array" ref="M415">IF(A415="","",_xlfn.XLOOKUP(D415&amp;"_"&amp;AE415,符文权重!A:A&amp;"_"&amp;符文权重!C:C,符文权重!D:D))</f>
        <v>#N/A</v>
      </c>
      <c r="N415" s="36"/>
      <c r="O415" s="36"/>
      <c r="P415" s="36"/>
      <c r="Q415" s="36"/>
      <c r="R415" s="36"/>
      <c r="S415" s="60" t="s">
        <v>192</v>
      </c>
      <c r="T415" s="60" t="s">
        <v>230</v>
      </c>
      <c r="U415" s="60" t="e">
        <f>IF(C415="","",SUBSTITUTE(SUBSTITUTE("[{global_atk,"&amp;#REF!*D415&amp;"}]",21,20),9,8))</f>
        <v>#REF!</v>
      </c>
      <c r="V415" s="61" t="str">
        <f t="shared" si="193"/>
        <v>[5505112]</v>
      </c>
      <c r="W415" s="60"/>
      <c r="Y415" s="35">
        <v>100</v>
      </c>
      <c r="AA415" s="59" t="s">
        <v>181</v>
      </c>
      <c r="AB415" s="42" t="str">
        <f t="shared" si="192"/>
        <v>控制职业有&lt;color=#54b76b&gt;0%&lt;/color&gt;的概率控制时间延长100%</v>
      </c>
      <c r="AC415" s="57" t="str">
        <f t="shared" si="187"/>
        <v>5505111</v>
      </c>
      <c r="AD415" s="59" t="str">
        <f t="shared" si="188"/>
        <v>[0]</v>
      </c>
      <c r="AE415" s="60">
        <v>100</v>
      </c>
      <c r="AF415" s="60"/>
      <c r="AG415" s="60">
        <v>1</v>
      </c>
      <c r="AH415" s="28">
        <v>1</v>
      </c>
      <c r="AI415" s="57">
        <f t="shared" ref="AI415:AI420" si="194">AI414+1</f>
        <v>5505112</v>
      </c>
      <c r="AJ415" s="64" t="str">
        <f t="shared" ref="AJ415:AJ420" si="195">AJ414</f>
        <v>控制职业有&lt;color=#54b76b&gt;%s%&lt;/color&gt;的概率控制时间延长100%</v>
      </c>
      <c r="AK415" s="60">
        <v>0</v>
      </c>
      <c r="AL415" s="35"/>
    </row>
    <row r="416" s="28" customFormat="1" hidden="1" customHeight="1" spans="1:38">
      <c r="A416" s="57">
        <v>5505113</v>
      </c>
      <c r="B416" s="58"/>
      <c r="C416" s="57" t="str">
        <f t="shared" si="185"/>
        <v>5505111</v>
      </c>
      <c r="D416" s="59">
        <f t="shared" si="186"/>
        <v>3</v>
      </c>
      <c r="E416" s="59"/>
      <c r="F416" s="60" t="s">
        <v>211</v>
      </c>
      <c r="G416" s="36" t="str">
        <f t="shared" si="184"/>
        <v/>
      </c>
      <c r="H416" s="36">
        <f>IFERROR(IF(--MID($F416,2*COUNTIF($G416:G416,"&gt;"&amp;0)+2,1)=H$1,H$1,""),"")</f>
        <v>2</v>
      </c>
      <c r="I416" s="36" t="str">
        <f>IFERROR(IF(--MID($F416,2*COUNTIF($G416:H416,"&gt;"&amp;0)+2,1)=I$1,I$1,""),"")</f>
        <v/>
      </c>
      <c r="J416" s="36" t="str">
        <f>IFERROR(IF(--MID($F416,2*COUNTIF($G416:I416,"&gt;"&amp;0)+2,1)=J$1,J$1,""),"")</f>
        <v/>
      </c>
      <c r="K416" s="36" t="str">
        <f>IFERROR(IF(--MID($F416,2*COUNTIF($G416:J416,"&gt;"&amp;0)+2,1)=K$1,K$1,""),"")</f>
        <v/>
      </c>
      <c r="L416" s="36" t="str">
        <f>IFERROR(IF(--MID($F416,2*COUNTIF($G416:K416,"&gt;"&amp;0)+2,1)=L$1,L$1,""),"")</f>
        <v/>
      </c>
      <c r="M416" s="36" t="e" cm="1">
        <f t="array" ref="M416">IF(A416="","",_xlfn.XLOOKUP(D416&amp;"_"&amp;AE416,符文权重!A:A&amp;"_"&amp;符文权重!C:C,符文权重!D:D))</f>
        <v>#N/A</v>
      </c>
      <c r="N416" s="36"/>
      <c r="O416" s="36"/>
      <c r="P416" s="36"/>
      <c r="Q416" s="36"/>
      <c r="R416" s="36"/>
      <c r="S416" s="60" t="s">
        <v>192</v>
      </c>
      <c r="T416" s="60" t="s">
        <v>230</v>
      </c>
      <c r="U416" s="60" t="e">
        <f>IF(C416="","",SUBSTITUTE(SUBSTITUTE("[{global_atk,"&amp;#REF!*D416&amp;"}]",21,20),9,8))</f>
        <v>#REF!</v>
      </c>
      <c r="V416" s="61" t="str">
        <f t="shared" si="193"/>
        <v>[5505113]</v>
      </c>
      <c r="W416" s="60"/>
      <c r="Y416" s="36">
        <v>100</v>
      </c>
      <c r="AA416" s="59" t="s">
        <v>183</v>
      </c>
      <c r="AB416" s="42" t="str">
        <f t="shared" si="192"/>
        <v>控制职业有&lt;color=#54b76b&gt;0%&lt;/color&gt;的概率控制时间延长100%</v>
      </c>
      <c r="AC416" s="57" t="str">
        <f t="shared" si="187"/>
        <v>5505111</v>
      </c>
      <c r="AD416" s="59" t="str">
        <f t="shared" si="188"/>
        <v>[0]</v>
      </c>
      <c r="AE416" s="60">
        <v>100</v>
      </c>
      <c r="AF416" s="60"/>
      <c r="AG416" s="60">
        <v>1</v>
      </c>
      <c r="AH416" s="28">
        <v>1</v>
      </c>
      <c r="AI416" s="57">
        <f t="shared" si="194"/>
        <v>5505113</v>
      </c>
      <c r="AJ416" s="64" t="str">
        <f t="shared" si="195"/>
        <v>控制职业有&lt;color=#54b76b&gt;%s%&lt;/color&gt;的概率控制时间延长100%</v>
      </c>
      <c r="AK416" s="60">
        <v>0</v>
      </c>
      <c r="AL416" s="36"/>
    </row>
    <row r="417" hidden="1" customHeight="1" spans="1:38">
      <c r="A417" s="48">
        <v>5505114</v>
      </c>
      <c r="C417" s="48" t="str">
        <f t="shared" si="185"/>
        <v>5505111</v>
      </c>
      <c r="D417" s="42">
        <f t="shared" si="186"/>
        <v>4</v>
      </c>
      <c r="E417" s="42"/>
      <c r="F417" s="36" t="s">
        <v>211</v>
      </c>
      <c r="G417" s="36" t="str">
        <f t="shared" si="184"/>
        <v/>
      </c>
      <c r="H417" s="36">
        <f>IFERROR(IF(--MID($F417,2*COUNTIF($G417:G417,"&gt;"&amp;0)+2,1)=H$1,H$1,""),"")</f>
        <v>2</v>
      </c>
      <c r="I417" s="36" t="str">
        <f>IFERROR(IF(--MID($F417,2*COUNTIF($G417:H417,"&gt;"&amp;0)+2,1)=I$1,I$1,""),"")</f>
        <v/>
      </c>
      <c r="J417" s="36" t="str">
        <f>IFERROR(IF(--MID($F417,2*COUNTIF($G417:I417,"&gt;"&amp;0)+2,1)=J$1,J$1,""),"")</f>
        <v/>
      </c>
      <c r="K417" s="36" t="str">
        <f>IFERROR(IF(--MID($F417,2*COUNTIF($G417:J417,"&gt;"&amp;0)+2,1)=K$1,K$1,""),"")</f>
        <v/>
      </c>
      <c r="L417" s="36" t="str">
        <f>IFERROR(IF(--MID($F417,2*COUNTIF($G417:K417,"&gt;"&amp;0)+2,1)=L$1,L$1,""),"")</f>
        <v/>
      </c>
      <c r="M417" s="51" t="str" cm="1">
        <f t="array" ref="M417">IF($A417="","",IF(G417="","",_xlfn.XLOOKUP($D417&amp;"_"&amp;$AE417,符文权重!$A:$A&amp;"_"&amp;符文权重!$C:$C,符文权重!$D:$D)*$Y417/SUMIFS($Y:$Y,G:G,G417,$D:$D,$D417,$AE:$AE,$AE417)/SUMIF(符文权重!$A:$A,$D417,符文权重!$D:$D)))</f>
        <v/>
      </c>
      <c r="N417" s="51" cm="1">
        <f t="array" ref="N417">IF($A417="","",IF(H417="","",_xlfn.XLOOKUP($D417&amp;"_"&amp;$AE417,符文权重!$A:$A&amp;"_"&amp;符文权重!$C:$C,符文权重!$D:$D)*$Y417/SUMIFS($Y:$Y,H:H,H417,$D:$D,$D417,$AE:$AE,$AE417)/SUMIF(符文权重!$A:$A,$D417,符文权重!$D:$D)))</f>
        <v>0.00344789233678123</v>
      </c>
      <c r="O417" s="51" t="str" cm="1">
        <f t="array" ref="O417">IF($A417="","",IF(I417="","",_xlfn.XLOOKUP($D417&amp;"_"&amp;$AE417,符文权重!$A:$A&amp;"_"&amp;符文权重!$C:$C,符文权重!$D:$D)*$Y417/SUMIFS($Y:$Y,I:I,I417,$D:$D,$D417,$AE:$AE,$AE417)/SUMIF(符文权重!$A:$A,$D417,符文权重!$D:$D)))</f>
        <v/>
      </c>
      <c r="P417" s="51" t="str" cm="1">
        <f t="array" ref="P417">IF($A417="","",IF(J417="","",_xlfn.XLOOKUP($D417&amp;"_"&amp;$AE417,符文权重!$A:$A&amp;"_"&amp;符文权重!$C:$C,符文权重!$D:$D)*$Y417/SUMIFS($Y:$Y,J:J,J417,$D:$D,$D417,$AE:$AE,$AE417)/SUMIF(符文权重!$A:$A,$D417,符文权重!$D:$D)))</f>
        <v/>
      </c>
      <c r="Q417" s="51" t="str" cm="1">
        <f t="array" ref="Q417">IF($A417="","",IF(K417="","",_xlfn.XLOOKUP($D417&amp;"_"&amp;$AE417,符文权重!$A:$A&amp;"_"&amp;符文权重!$C:$C,符文权重!$D:$D)*$Y417/SUMIFS($Y:$Y,K:K,K417,$D:$D,$D417,$AE:$AE,$AE417)/SUMIF(符文权重!$A:$A,$D417,符文权重!$D:$D)))</f>
        <v/>
      </c>
      <c r="R417" s="51" t="str" cm="1">
        <f t="array" ref="R417">IF($A417="","",IF(L417="","",_xlfn.XLOOKUP($D417&amp;"_"&amp;$AE417,符文权重!$A:$A&amp;"_"&amp;符文权重!$C:$C,符文权重!$D:$D)*$Y417/SUMIFS($Y:$Y,L:L,L417,$D:$D,$D417,$AE:$AE,$AE417)/SUMIF(符文权重!$A:$A,$D417,符文权重!$D:$D)))</f>
        <v/>
      </c>
      <c r="S417" s="36" t="s">
        <v>192</v>
      </c>
      <c r="T417" s="36" t="s">
        <v>230</v>
      </c>
      <c r="U417" s="36" t="e">
        <f>IF(C417="","",SUBSTITUTE(SUBSTITUTE("[{global_atk,"&amp;#REF!*D417&amp;"}]",21,20),9,8))</f>
        <v>#REF!</v>
      </c>
      <c r="V417" s="52" t="str">
        <f t="shared" si="193"/>
        <v>[5505114]</v>
      </c>
      <c r="Y417" s="35">
        <v>4</v>
      </c>
      <c r="AA417" s="42" t="s">
        <v>185</v>
      </c>
      <c r="AB417" s="42" t="str">
        <f t="shared" si="192"/>
        <v>控制职业有&lt;color=#54b76b&gt;10%&lt;/color&gt;的概率控制时间延长100%</v>
      </c>
      <c r="AC417" s="48" t="str">
        <f t="shared" si="187"/>
        <v>5505111</v>
      </c>
      <c r="AD417" s="42" t="str">
        <f t="shared" si="188"/>
        <v>[10]</v>
      </c>
      <c r="AE417" s="36">
        <v>3</v>
      </c>
      <c r="AF417" s="36"/>
      <c r="AG417" s="36">
        <v>0</v>
      </c>
      <c r="AH417" s="35">
        <v>1</v>
      </c>
      <c r="AI417" s="48">
        <f t="shared" si="194"/>
        <v>5505114</v>
      </c>
      <c r="AJ417" s="53" t="str">
        <f t="shared" si="195"/>
        <v>控制职业有&lt;color=#54b76b&gt;%s%&lt;/color&gt;的概率控制时间延长100%</v>
      </c>
      <c r="AK417" s="36">
        <v>10</v>
      </c>
      <c r="AL417" s="35">
        <v>5</v>
      </c>
    </row>
    <row r="418" hidden="1" customHeight="1" spans="1:38">
      <c r="A418" s="48">
        <v>5505115</v>
      </c>
      <c r="C418" s="48" t="str">
        <f t="shared" si="185"/>
        <v>5505111</v>
      </c>
      <c r="D418" s="42">
        <f t="shared" si="186"/>
        <v>5</v>
      </c>
      <c r="E418" s="42"/>
      <c r="F418" s="36" t="s">
        <v>211</v>
      </c>
      <c r="G418" s="36" t="str">
        <f t="shared" si="184"/>
        <v/>
      </c>
      <c r="H418" s="36">
        <f>IFERROR(IF(--MID($F418,2*COUNTIF($G418:G418,"&gt;"&amp;0)+2,1)=H$1,H$1,""),"")</f>
        <v>2</v>
      </c>
      <c r="I418" s="36" t="str">
        <f>IFERROR(IF(--MID($F418,2*COUNTIF($G418:H418,"&gt;"&amp;0)+2,1)=I$1,I$1,""),"")</f>
        <v/>
      </c>
      <c r="J418" s="36" t="str">
        <f>IFERROR(IF(--MID($F418,2*COUNTIF($G418:I418,"&gt;"&amp;0)+2,1)=J$1,J$1,""),"")</f>
        <v/>
      </c>
      <c r="K418" s="36" t="str">
        <f>IFERROR(IF(--MID($F418,2*COUNTIF($G418:J418,"&gt;"&amp;0)+2,1)=K$1,K$1,""),"")</f>
        <v/>
      </c>
      <c r="L418" s="36" t="str">
        <f>IFERROR(IF(--MID($F418,2*COUNTIF($G418:K418,"&gt;"&amp;0)+2,1)=L$1,L$1,""),"")</f>
        <v/>
      </c>
      <c r="M418" s="51" t="str" cm="1">
        <f t="array" ref="M418">IF($A418="","",IF(G418="","",_xlfn.XLOOKUP($D418&amp;"_"&amp;$AE418,符文权重!$A:$A&amp;"_"&amp;符文权重!$C:$C,符文权重!$D:$D)*$Y418/SUMIFS($Y:$Y,G:G,G418,$D:$D,$D418,$AE:$AE,$AE418)/SUMIF(符文权重!$A:$A,$D418,符文权重!$D:$D)))</f>
        <v/>
      </c>
      <c r="N418" s="51" cm="1">
        <f t="array" ref="N418">IF($A418="","",IF(H418="","",_xlfn.XLOOKUP($D418&amp;"_"&amp;$AE418,符文权重!$A:$A&amp;"_"&amp;符文权重!$C:$C,符文权重!$D:$D)*$Y418/SUMIFS($Y:$Y,H:H,H418,$D:$D,$D418,$AE:$AE,$AE418)/SUMIF(符文权重!$A:$A,$D418,符文权重!$D:$D)))</f>
        <v>0.00375</v>
      </c>
      <c r="O418" s="51" t="str" cm="1">
        <f t="array" ref="O418">IF($A418="","",IF(I418="","",_xlfn.XLOOKUP($D418&amp;"_"&amp;$AE418,符文权重!$A:$A&amp;"_"&amp;符文权重!$C:$C,符文权重!$D:$D)*$Y418/SUMIFS($Y:$Y,I:I,I418,$D:$D,$D418,$AE:$AE,$AE418)/SUMIF(符文权重!$A:$A,$D418,符文权重!$D:$D)))</f>
        <v/>
      </c>
      <c r="P418" s="51" t="str" cm="1">
        <f t="array" ref="P418">IF($A418="","",IF(J418="","",_xlfn.XLOOKUP($D418&amp;"_"&amp;$AE418,符文权重!$A:$A&amp;"_"&amp;符文权重!$C:$C,符文权重!$D:$D)*$Y418/SUMIFS($Y:$Y,J:J,J418,$D:$D,$D418,$AE:$AE,$AE418)/SUMIF(符文权重!$A:$A,$D418,符文权重!$D:$D)))</f>
        <v/>
      </c>
      <c r="Q418" s="51" t="str" cm="1">
        <f t="array" ref="Q418">IF($A418="","",IF(K418="","",_xlfn.XLOOKUP($D418&amp;"_"&amp;$AE418,符文权重!$A:$A&amp;"_"&amp;符文权重!$C:$C,符文权重!$D:$D)*$Y418/SUMIFS($Y:$Y,K:K,K418,$D:$D,$D418,$AE:$AE,$AE418)/SUMIF(符文权重!$A:$A,$D418,符文权重!$D:$D)))</f>
        <v/>
      </c>
      <c r="R418" s="51" t="str" cm="1">
        <f t="array" ref="R418">IF($A418="","",IF(L418="","",_xlfn.XLOOKUP($D418&amp;"_"&amp;$AE418,符文权重!$A:$A&amp;"_"&amp;符文权重!$C:$C,符文权重!$D:$D)*$Y418/SUMIFS($Y:$Y,L:L,L418,$D:$D,$D418,$AE:$AE,$AE418)/SUMIF(符文权重!$A:$A,$D418,符文权重!$D:$D)))</f>
        <v/>
      </c>
      <c r="S418" s="36" t="s">
        <v>192</v>
      </c>
      <c r="T418" s="36" t="s">
        <v>230</v>
      </c>
      <c r="U418" s="36" t="e">
        <f>IF(C418="","",SUBSTITUTE(SUBSTITUTE("[{global_atk,"&amp;#REF!*D418&amp;"}]",21,20),9,8))</f>
        <v>#REF!</v>
      </c>
      <c r="V418" s="52" t="str">
        <f t="shared" si="193"/>
        <v>[5505115]</v>
      </c>
      <c r="Y418" s="35">
        <v>100</v>
      </c>
      <c r="AA418" s="42" t="s">
        <v>187</v>
      </c>
      <c r="AB418" s="42" t="str">
        <f t="shared" si="192"/>
        <v>控制职业有&lt;color=#54b76b&gt;15%&lt;/color&gt;的概率控制时间延长100%</v>
      </c>
      <c r="AC418" s="48" t="str">
        <f t="shared" si="187"/>
        <v>5505111</v>
      </c>
      <c r="AD418" s="42" t="str">
        <f t="shared" si="188"/>
        <v>[15]</v>
      </c>
      <c r="AE418" s="36">
        <v>5</v>
      </c>
      <c r="AF418" s="36"/>
      <c r="AG418" s="36">
        <v>0</v>
      </c>
      <c r="AH418" s="35">
        <v>1</v>
      </c>
      <c r="AI418" s="48">
        <f t="shared" si="194"/>
        <v>5505115</v>
      </c>
      <c r="AJ418" s="53" t="str">
        <f t="shared" si="195"/>
        <v>控制职业有&lt;color=#54b76b&gt;%s%&lt;/color&gt;的概率控制时间延长100%</v>
      </c>
      <c r="AK418" s="36">
        <v>15</v>
      </c>
      <c r="AL418" s="35">
        <v>5</v>
      </c>
    </row>
    <row r="419" hidden="1" customHeight="1" spans="1:38">
      <c r="A419" s="48">
        <v>5505116</v>
      </c>
      <c r="C419" s="48" t="str">
        <f t="shared" si="185"/>
        <v>5505111</v>
      </c>
      <c r="D419" s="42">
        <f t="shared" si="186"/>
        <v>6</v>
      </c>
      <c r="E419" s="42"/>
      <c r="F419" s="36" t="s">
        <v>211</v>
      </c>
      <c r="G419" s="36" t="str">
        <f t="shared" si="184"/>
        <v/>
      </c>
      <c r="H419" s="36">
        <f>IFERROR(IF(--MID($F419,2*COUNTIF($G419:G419,"&gt;"&amp;0)+2,1)=H$1,H$1,""),"")</f>
        <v>2</v>
      </c>
      <c r="I419" s="36" t="str">
        <f>IFERROR(IF(--MID($F419,2*COUNTIF($G419:H419,"&gt;"&amp;0)+2,1)=I$1,I$1,""),"")</f>
        <v/>
      </c>
      <c r="J419" s="36" t="str">
        <f>IFERROR(IF(--MID($F419,2*COUNTIF($G419:I419,"&gt;"&amp;0)+2,1)=J$1,J$1,""),"")</f>
        <v/>
      </c>
      <c r="K419" s="36" t="str">
        <f>IFERROR(IF(--MID($F419,2*COUNTIF($G419:J419,"&gt;"&amp;0)+2,1)=K$1,K$1,""),"")</f>
        <v/>
      </c>
      <c r="L419" s="36" t="str">
        <f>IFERROR(IF(--MID($F419,2*COUNTIF($G419:K419,"&gt;"&amp;0)+2,1)=L$1,L$1,""),"")</f>
        <v/>
      </c>
      <c r="M419" s="51" t="str" cm="1">
        <f t="array" ref="M419">IF($A419="","",IF(G419="","",_xlfn.XLOOKUP($D419&amp;"_"&amp;$AE419,符文权重!$A:$A&amp;"_"&amp;符文权重!$C:$C,符文权重!$D:$D)*$Y419/SUMIFS($Y:$Y,G:G,G419,$D:$D,$D419,$AE:$AE,$AE419)/SUMIF(符文权重!$A:$A,$D419,符文权重!$D:$D)))</f>
        <v/>
      </c>
      <c r="N419" s="51" cm="1">
        <f t="array" ref="N419">IF($A419="","",IF(H419="","",_xlfn.XLOOKUP($D419&amp;"_"&amp;$AE419,符文权重!$A:$A&amp;"_"&amp;符文权重!$C:$C,符文权重!$D:$D)*$Y419/SUMIFS($Y:$Y,H:H,H419,$D:$D,$D419,$AE:$AE,$AE419)/SUMIF(符文权重!$A:$A,$D419,符文权重!$D:$D)))</f>
        <v>0.00375</v>
      </c>
      <c r="O419" s="51" t="str" cm="1">
        <f t="array" ref="O419">IF($A419="","",IF(I419="","",_xlfn.XLOOKUP($D419&amp;"_"&amp;$AE419,符文权重!$A:$A&amp;"_"&amp;符文权重!$C:$C,符文权重!$D:$D)*$Y419/SUMIFS($Y:$Y,I:I,I419,$D:$D,$D419,$AE:$AE,$AE419)/SUMIF(符文权重!$A:$A,$D419,符文权重!$D:$D)))</f>
        <v/>
      </c>
      <c r="P419" s="51" t="str" cm="1">
        <f t="array" ref="P419">IF($A419="","",IF(J419="","",_xlfn.XLOOKUP($D419&amp;"_"&amp;$AE419,符文权重!$A:$A&amp;"_"&amp;符文权重!$C:$C,符文权重!$D:$D)*$Y419/SUMIFS($Y:$Y,J:J,J419,$D:$D,$D419,$AE:$AE,$AE419)/SUMIF(符文权重!$A:$A,$D419,符文权重!$D:$D)))</f>
        <v/>
      </c>
      <c r="Q419" s="51" t="str" cm="1">
        <f t="array" ref="Q419">IF($A419="","",IF(K419="","",_xlfn.XLOOKUP($D419&amp;"_"&amp;$AE419,符文权重!$A:$A&amp;"_"&amp;符文权重!$C:$C,符文权重!$D:$D)*$Y419/SUMIFS($Y:$Y,K:K,K419,$D:$D,$D419,$AE:$AE,$AE419)/SUMIF(符文权重!$A:$A,$D419,符文权重!$D:$D)))</f>
        <v/>
      </c>
      <c r="R419" s="51" t="str" cm="1">
        <f t="array" ref="R419">IF($A419="","",IF(L419="","",_xlfn.XLOOKUP($D419&amp;"_"&amp;$AE419,符文权重!$A:$A&amp;"_"&amp;符文权重!$C:$C,符文权重!$D:$D)*$Y419/SUMIFS($Y:$Y,L:L,L419,$D:$D,$D419,$AE:$AE,$AE419)/SUMIF(符文权重!$A:$A,$D419,符文权重!$D:$D)))</f>
        <v/>
      </c>
      <c r="S419" s="36" t="s">
        <v>192</v>
      </c>
      <c r="T419" s="36" t="s">
        <v>230</v>
      </c>
      <c r="U419" s="36" t="e">
        <f>IF(C419="","",SUBSTITUTE(SUBSTITUTE("[{global_atk,"&amp;#REF!*D419&amp;"}]",21,20),9,8))</f>
        <v>#REF!</v>
      </c>
      <c r="V419" s="52" t="str">
        <f t="shared" si="193"/>
        <v>[5505116]</v>
      </c>
      <c r="Y419" s="35">
        <v>100</v>
      </c>
      <c r="AA419" s="42" t="s">
        <v>189</v>
      </c>
      <c r="AB419" s="42" t="str">
        <f t="shared" si="192"/>
        <v>控制职业有&lt;color=#54b76b&gt;25%&lt;/color&gt;的概率控制时间延长100%</v>
      </c>
      <c r="AC419" s="48" t="str">
        <f t="shared" si="187"/>
        <v>5505111</v>
      </c>
      <c r="AD419" s="42" t="str">
        <f t="shared" si="188"/>
        <v>[25]</v>
      </c>
      <c r="AE419" s="36">
        <v>5</v>
      </c>
      <c r="AF419" s="36"/>
      <c r="AG419" s="36">
        <v>0</v>
      </c>
      <c r="AH419" s="35">
        <v>1</v>
      </c>
      <c r="AI419" s="48">
        <f t="shared" si="194"/>
        <v>5505116</v>
      </c>
      <c r="AJ419" s="53" t="str">
        <f t="shared" si="195"/>
        <v>控制职业有&lt;color=#54b76b&gt;%s%&lt;/color&gt;的概率控制时间延长100%</v>
      </c>
      <c r="AK419" s="36">
        <v>25</v>
      </c>
      <c r="AL419" s="35">
        <v>5</v>
      </c>
    </row>
    <row r="420" hidden="1" customHeight="1" spans="1:38">
      <c r="A420" s="48">
        <v>5505117</v>
      </c>
      <c r="C420" s="48" t="str">
        <f t="shared" si="185"/>
        <v>5505111</v>
      </c>
      <c r="D420" s="42">
        <f t="shared" si="186"/>
        <v>7</v>
      </c>
      <c r="E420" s="42"/>
      <c r="F420" s="36" t="s">
        <v>211</v>
      </c>
      <c r="G420" s="36" t="str">
        <f t="shared" si="184"/>
        <v/>
      </c>
      <c r="H420" s="36">
        <f>IFERROR(IF(--MID($F420,2*COUNTIF($G420:G420,"&gt;"&amp;0)+2,1)=H$1,H$1,""),"")</f>
        <v>2</v>
      </c>
      <c r="I420" s="36" t="str">
        <f>IFERROR(IF(--MID($F420,2*COUNTIF($G420:H420,"&gt;"&amp;0)+2,1)=I$1,I$1,""),"")</f>
        <v/>
      </c>
      <c r="J420" s="36" t="str">
        <f>IFERROR(IF(--MID($F420,2*COUNTIF($G420:I420,"&gt;"&amp;0)+2,1)=J$1,J$1,""),"")</f>
        <v/>
      </c>
      <c r="K420" s="36" t="str">
        <f>IFERROR(IF(--MID($F420,2*COUNTIF($G420:J420,"&gt;"&amp;0)+2,1)=K$1,K$1,""),"")</f>
        <v/>
      </c>
      <c r="L420" s="36" t="str">
        <f>IFERROR(IF(--MID($F420,2*COUNTIF($G420:K420,"&gt;"&amp;0)+2,1)=L$1,L$1,""),"")</f>
        <v/>
      </c>
      <c r="M420" s="51" t="str" cm="1">
        <f t="array" ref="M420">IF($A420="","",IF(G420="","",_xlfn.XLOOKUP($D420&amp;"_"&amp;$AE420,符文权重!$A:$A&amp;"_"&amp;符文权重!$C:$C,符文权重!$D:$D)*$Y420/SUMIFS($Y:$Y,G:G,G420,$D:$D,$D420,$AE:$AE,$AE420)/SUMIF(符文权重!$A:$A,$D420,符文权重!$D:$D)))</f>
        <v/>
      </c>
      <c r="N420" s="51" cm="1">
        <f t="array" ref="N420">IF($A420="","",IF(H420="","",_xlfn.XLOOKUP($D420&amp;"_"&amp;$AE420,符文权重!$A:$A&amp;"_"&amp;符文权重!$C:$C,符文权重!$D:$D)*$Y420/SUMIFS($Y:$Y,H:H,H420,$D:$D,$D420,$AE:$AE,$AE420)/SUMIF(符文权重!$A:$A,$D420,符文权重!$D:$D)))</f>
        <v>0.00375</v>
      </c>
      <c r="O420" s="51" t="str" cm="1">
        <f t="array" ref="O420">IF($A420="","",IF(I420="","",_xlfn.XLOOKUP($D420&amp;"_"&amp;$AE420,符文权重!$A:$A&amp;"_"&amp;符文权重!$C:$C,符文权重!$D:$D)*$Y420/SUMIFS($Y:$Y,I:I,I420,$D:$D,$D420,$AE:$AE,$AE420)/SUMIF(符文权重!$A:$A,$D420,符文权重!$D:$D)))</f>
        <v/>
      </c>
      <c r="P420" s="51" t="str" cm="1">
        <f t="array" ref="P420">IF($A420="","",IF(J420="","",_xlfn.XLOOKUP($D420&amp;"_"&amp;$AE420,符文权重!$A:$A&amp;"_"&amp;符文权重!$C:$C,符文权重!$D:$D)*$Y420/SUMIFS($Y:$Y,J:J,J420,$D:$D,$D420,$AE:$AE,$AE420)/SUMIF(符文权重!$A:$A,$D420,符文权重!$D:$D)))</f>
        <v/>
      </c>
      <c r="Q420" s="51" t="str" cm="1">
        <f t="array" ref="Q420">IF($A420="","",IF(K420="","",_xlfn.XLOOKUP($D420&amp;"_"&amp;$AE420,符文权重!$A:$A&amp;"_"&amp;符文权重!$C:$C,符文权重!$D:$D)*$Y420/SUMIFS($Y:$Y,K:K,K420,$D:$D,$D420,$AE:$AE,$AE420)/SUMIF(符文权重!$A:$A,$D420,符文权重!$D:$D)))</f>
        <v/>
      </c>
      <c r="R420" s="51" t="str" cm="1">
        <f t="array" ref="R420">IF($A420="","",IF(L420="","",_xlfn.XLOOKUP($D420&amp;"_"&amp;$AE420,符文权重!$A:$A&amp;"_"&amp;符文权重!$C:$C,符文权重!$D:$D)*$Y420/SUMIFS($Y:$Y,L:L,L420,$D:$D,$D420,$AE:$AE,$AE420)/SUMIF(符文权重!$A:$A,$D420,符文权重!$D:$D)))</f>
        <v/>
      </c>
      <c r="S420" s="36" t="s">
        <v>192</v>
      </c>
      <c r="T420" s="36" t="s">
        <v>230</v>
      </c>
      <c r="U420" s="36" t="e">
        <f>IF(C420="","",SUBSTITUTE(SUBSTITUTE("[{global_atk,"&amp;#REF!*D420&amp;"}]",21,20),9,8))</f>
        <v>#REF!</v>
      </c>
      <c r="V420" s="52" t="str">
        <f t="shared" si="193"/>
        <v>[5505117]</v>
      </c>
      <c r="Y420" s="36">
        <v>100</v>
      </c>
      <c r="AA420" s="42" t="s">
        <v>191</v>
      </c>
      <c r="AB420" s="42" t="str">
        <f t="shared" si="192"/>
        <v>控制职业有&lt;color=#54b76b&gt;30%&lt;/color&gt;的概率控制时间延长100%</v>
      </c>
      <c r="AC420" s="48" t="str">
        <f t="shared" si="187"/>
        <v>5505111</v>
      </c>
      <c r="AD420" s="42" t="str">
        <f t="shared" si="188"/>
        <v>[30]</v>
      </c>
      <c r="AE420" s="36">
        <v>5</v>
      </c>
      <c r="AF420" s="36"/>
      <c r="AG420" s="36">
        <v>0</v>
      </c>
      <c r="AH420" s="35">
        <v>1</v>
      </c>
      <c r="AI420" s="48">
        <f t="shared" si="194"/>
        <v>5505117</v>
      </c>
      <c r="AJ420" s="53" t="str">
        <f t="shared" si="195"/>
        <v>控制职业有&lt;color=#54b76b&gt;%s%&lt;/color&gt;的概率控制时间延长100%</v>
      </c>
      <c r="AK420" s="36">
        <v>30</v>
      </c>
      <c r="AL420" s="36">
        <v>5</v>
      </c>
    </row>
    <row r="421" s="25" customFormat="1" hidden="1" customHeight="1" spans="1:38">
      <c r="A421" s="48" t="s">
        <v>178</v>
      </c>
      <c r="B421" s="35"/>
      <c r="C421" s="48" t="str">
        <f t="shared" si="185"/>
        <v/>
      </c>
      <c r="D421" s="42" t="str">
        <f t="shared" si="186"/>
        <v/>
      </c>
      <c r="E421" s="42"/>
      <c r="F421" s="36"/>
      <c r="G421" s="36" t="str">
        <f t="shared" si="184"/>
        <v/>
      </c>
      <c r="H421" s="36" t="str">
        <f>IFERROR(IF(--MID($F421,2*COUNTIF($G421:G421,"&gt;"&amp;0)+2,1)=H$1,H$1,""),"")</f>
        <v/>
      </c>
      <c r="I421" s="36" t="str">
        <f>IFERROR(IF(--MID($F421,2*COUNTIF($G421:H421,"&gt;"&amp;0)+2,1)=I$1,I$1,""),"")</f>
        <v/>
      </c>
      <c r="J421" s="36" t="str">
        <f>IFERROR(IF(--MID($F421,2*COUNTIF($G421:I421,"&gt;"&amp;0)+2,1)=J$1,J$1,""),"")</f>
        <v/>
      </c>
      <c r="K421" s="36" t="str">
        <f>IFERROR(IF(--MID($F421,2*COUNTIF($G421:J421,"&gt;"&amp;0)+2,1)=K$1,K$1,""),"")</f>
        <v/>
      </c>
      <c r="L421" s="36" t="str">
        <f>IFERROR(IF(--MID($F421,2*COUNTIF($G421:K421,"&gt;"&amp;0)+2,1)=L$1,L$1,""),"")</f>
        <v/>
      </c>
      <c r="M421" s="51" t="str" cm="1">
        <f t="array" ref="M421">IF($A421="","",IF(G421="","",_xlfn.XLOOKUP($D421&amp;"_"&amp;$AE421,符文权重!$A:$A&amp;"_"&amp;符文权重!$C:$C,符文权重!$D:$D)*$Y421/SUMIFS($Y:$Y,G:G,G421,$D:$D,$D421,$AE:$AE,$AE421)/SUMIF(符文权重!$A:$A,$D421,符文权重!$D:$D)))</f>
        <v/>
      </c>
      <c r="N421" s="36" t="str" cm="1">
        <f t="array" ref="N421">IF($A421="","",IF(H421="","",_xlfn.XLOOKUP($D421&amp;"_"&amp;$AE421,符文权重!$A:$A&amp;"_"&amp;符文权重!$C:$C,符文权重!$D:$D)*$Y421/SUMIFS($Y:$Y,H:H,H421,$D:$D,$D$6,$AE:$AE,$AE$6)))</f>
        <v/>
      </c>
      <c r="O421" s="36" t="str" cm="1">
        <f t="array" ref="O421">IF($A421="","",IF(I421="","",_xlfn.XLOOKUP($D421&amp;"_"&amp;$AE421,符文权重!$A:$A&amp;"_"&amp;符文权重!$C:$C,符文权重!$D:$D)*$Y421/SUMIFS($Y:$Y,I:I,I421,$D:$D,$D$6,$AE:$AE,$AE$6)))</f>
        <v/>
      </c>
      <c r="P421" s="36" t="str" cm="1">
        <f t="array" ref="P421">IF($A421="","",IF(J421="","",_xlfn.XLOOKUP($D421&amp;"_"&amp;$AE421,符文权重!$A:$A&amp;"_"&amp;符文权重!$C:$C,符文权重!$D:$D)*$Y421/SUMIFS($Y:$Y,J:J,J421,$D:$D,$D$6,$AE:$AE,$AE$6)))</f>
        <v/>
      </c>
      <c r="Q421" s="36" t="str" cm="1">
        <f t="array" ref="Q421">IF($A421="","",IF(K421="","",_xlfn.XLOOKUP($D421&amp;"_"&amp;$AE421,符文权重!$A:$A&amp;"_"&amp;符文权重!$C:$C,符文权重!$D:$D)*$Y421/SUMIFS($Y:$Y,K:K,K421,$D:$D,$D$6,$AE:$AE,$AE$6)))</f>
        <v/>
      </c>
      <c r="R421" s="36" t="str" cm="1">
        <f t="array" ref="R421">IF($A421="","",IF(L421="","",_xlfn.XLOOKUP($D421&amp;"_"&amp;$AE421,符文权重!$A:$A&amp;"_"&amp;符文权重!$C:$C,符文权重!$D:$D)*$Y421/SUMIFS($Y:$Y,L:L,L421,$D:$D,$D$6,$AE:$AE,$AE$6)))</f>
        <v/>
      </c>
      <c r="S421" s="36"/>
      <c r="T421" s="36"/>
      <c r="U421" s="36"/>
      <c r="W421" s="41"/>
      <c r="X421" s="35"/>
      <c r="Y421" s="35"/>
      <c r="Z421" s="35"/>
      <c r="AA421" s="42" t="s">
        <v>178</v>
      </c>
      <c r="AB421" s="42" t="str">
        <f t="shared" si="192"/>
        <v/>
      </c>
      <c r="AC421" s="48" t="str">
        <f t="shared" si="187"/>
        <v/>
      </c>
      <c r="AD421" s="42" t="str">
        <f t="shared" si="188"/>
        <v/>
      </c>
      <c r="AE421" s="36"/>
      <c r="AF421" s="36"/>
      <c r="AG421" s="36"/>
      <c r="AH421" s="35" t="s">
        <v>178</v>
      </c>
      <c r="AI421" s="33"/>
      <c r="AJ421" s="74"/>
      <c r="AK421" s="36"/>
      <c r="AL421" s="35"/>
    </row>
    <row r="422" s="28" customFormat="1" hidden="1" customHeight="1" spans="1:38">
      <c r="A422" s="57">
        <v>5505121</v>
      </c>
      <c r="B422" s="58" t="s">
        <v>539</v>
      </c>
      <c r="C422" s="57" t="str">
        <f t="shared" si="185"/>
        <v>5505121</v>
      </c>
      <c r="D422" s="59">
        <f t="shared" si="186"/>
        <v>1</v>
      </c>
      <c r="E422" s="59"/>
      <c r="F422" s="60" t="s">
        <v>220</v>
      </c>
      <c r="G422" s="36" t="str">
        <f t="shared" si="184"/>
        <v/>
      </c>
      <c r="H422" s="36" t="str">
        <f>IFERROR(IF(--MID($F422,2*COUNTIF($G422:G422,"&gt;"&amp;0)+2,1)=H$1,H$1,""),"")</f>
        <v/>
      </c>
      <c r="I422" s="36" t="str">
        <f>IFERROR(IF(--MID($F422,2*COUNTIF($G422:H422,"&gt;"&amp;0)+2,1)=I$1,I$1,""),"")</f>
        <v/>
      </c>
      <c r="J422" s="36" t="str">
        <f>IFERROR(IF(--MID($F422,2*COUNTIF($G422:I422,"&gt;"&amp;0)+2,1)=J$1,J$1,""),"")</f>
        <v/>
      </c>
      <c r="K422" s="36" t="str">
        <f>IFERROR(IF(--MID($F422,2*COUNTIF($G422:J422,"&gt;"&amp;0)+2,1)=K$1,K$1,""),"")</f>
        <v/>
      </c>
      <c r="L422" s="36">
        <f>IFERROR(IF(--MID($F422,2*COUNTIF($G422:K422,"&gt;"&amp;0)+2,1)=L$1,L$1,""),"")</f>
        <v>6</v>
      </c>
      <c r="M422" s="36" t="e" cm="1">
        <f t="array" ref="M422">IF(A422="","",_xlfn.XLOOKUP(D422&amp;"_"&amp;AE422,符文权重!A:A&amp;"_"&amp;符文权重!C:C,符文权重!D:D))</f>
        <v>#N/A</v>
      </c>
      <c r="N422" s="36"/>
      <c r="O422" s="36"/>
      <c r="P422" s="36"/>
      <c r="Q422" s="36"/>
      <c r="R422" s="36"/>
      <c r="S422" s="60" t="s">
        <v>192</v>
      </c>
      <c r="T422" s="60" t="s">
        <v>230</v>
      </c>
      <c r="U422" s="60" t="e">
        <f>IF(C422="","",SUBSTITUTE(SUBSTITUTE("[{global_atk,"&amp;#REF!*D422&amp;"}]",21,20),9,8))</f>
        <v>#REF!</v>
      </c>
      <c r="V422" s="61" t="str">
        <f t="shared" ref="V422:V428" si="196">"["&amp;A422&amp;"]"</f>
        <v>[5505121]</v>
      </c>
      <c r="W422" s="60"/>
      <c r="Y422" s="35">
        <v>100</v>
      </c>
      <c r="AA422" s="59" t="s">
        <v>177</v>
      </c>
      <c r="AB422" s="42" t="str">
        <f t="shared" si="192"/>
        <v>被施加控制的怪物5s内受到伤害&lt;color=#54b76b&gt;+5%&lt;/color&gt;</v>
      </c>
      <c r="AC422" s="57" t="str">
        <f t="shared" si="187"/>
        <v>5505121</v>
      </c>
      <c r="AD422" s="59" t="str">
        <f t="shared" si="188"/>
        <v>[5]</v>
      </c>
      <c r="AE422" s="60">
        <v>100</v>
      </c>
      <c r="AF422" s="60"/>
      <c r="AG422" s="60">
        <v>1</v>
      </c>
      <c r="AH422" s="35">
        <v>1</v>
      </c>
      <c r="AI422" s="62">
        <v>5505121</v>
      </c>
      <c r="AJ422" s="63" t="s">
        <v>539</v>
      </c>
      <c r="AK422" s="60">
        <v>5</v>
      </c>
      <c r="AL422" s="35"/>
    </row>
    <row r="423" s="28" customFormat="1" hidden="1" customHeight="1" spans="1:38">
      <c r="A423" s="57">
        <v>5505122</v>
      </c>
      <c r="B423" s="58" t="s">
        <v>539</v>
      </c>
      <c r="C423" s="57" t="str">
        <f t="shared" si="185"/>
        <v>5505121</v>
      </c>
      <c r="D423" s="59">
        <f t="shared" si="186"/>
        <v>2</v>
      </c>
      <c r="E423" s="59"/>
      <c r="F423" s="60" t="s">
        <v>220</v>
      </c>
      <c r="G423" s="36" t="str">
        <f t="shared" si="184"/>
        <v/>
      </c>
      <c r="H423" s="36" t="str">
        <f>IFERROR(IF(--MID($F423,2*COUNTIF($G423:G423,"&gt;"&amp;0)+2,1)=H$1,H$1,""),"")</f>
        <v/>
      </c>
      <c r="I423" s="36" t="str">
        <f>IFERROR(IF(--MID($F423,2*COUNTIF($G423:H423,"&gt;"&amp;0)+2,1)=I$1,I$1,""),"")</f>
        <v/>
      </c>
      <c r="J423" s="36" t="str">
        <f>IFERROR(IF(--MID($F423,2*COUNTIF($G423:I423,"&gt;"&amp;0)+2,1)=J$1,J$1,""),"")</f>
        <v/>
      </c>
      <c r="K423" s="36" t="str">
        <f>IFERROR(IF(--MID($F423,2*COUNTIF($G423:J423,"&gt;"&amp;0)+2,1)=K$1,K$1,""),"")</f>
        <v/>
      </c>
      <c r="L423" s="36">
        <f>IFERROR(IF(--MID($F423,2*COUNTIF($G423:K423,"&gt;"&amp;0)+2,1)=L$1,L$1,""),"")</f>
        <v>6</v>
      </c>
      <c r="M423" s="36" t="e" cm="1">
        <f t="array" ref="M423">IF(A423="","",_xlfn.XLOOKUP(D423&amp;"_"&amp;AE423,符文权重!A:A&amp;"_"&amp;符文权重!C:C,符文权重!D:D))</f>
        <v>#N/A</v>
      </c>
      <c r="N423" s="36"/>
      <c r="O423" s="36"/>
      <c r="P423" s="36"/>
      <c r="Q423" s="36"/>
      <c r="R423" s="36"/>
      <c r="S423" s="60" t="s">
        <v>192</v>
      </c>
      <c r="T423" s="60" t="s">
        <v>230</v>
      </c>
      <c r="U423" s="60" t="e">
        <f>IF(C423="","",SUBSTITUTE(SUBSTITUTE("[{global_atk,"&amp;#REF!*D423&amp;"}]",21,20),9,8))</f>
        <v>#REF!</v>
      </c>
      <c r="V423" s="61" t="str">
        <f t="shared" si="196"/>
        <v>[5505122]</v>
      </c>
      <c r="W423" s="60"/>
      <c r="Y423" s="35">
        <v>100</v>
      </c>
      <c r="AA423" s="59" t="s">
        <v>181</v>
      </c>
      <c r="AB423" s="42" t="str">
        <f t="shared" si="192"/>
        <v>被施加控制的怪物5s内受到伤害&lt;color=#54b76b&gt;+10%&lt;/color&gt;</v>
      </c>
      <c r="AC423" s="57" t="str">
        <f t="shared" si="187"/>
        <v>5505121</v>
      </c>
      <c r="AD423" s="59" t="str">
        <f t="shared" si="188"/>
        <v>[10]</v>
      </c>
      <c r="AE423" s="60">
        <v>100</v>
      </c>
      <c r="AF423" s="60"/>
      <c r="AG423" s="60">
        <v>1</v>
      </c>
      <c r="AH423" s="35">
        <v>1</v>
      </c>
      <c r="AI423" s="57">
        <f t="shared" ref="AI423:AI428" si="197">AI422+1</f>
        <v>5505122</v>
      </c>
      <c r="AJ423" s="64" t="str">
        <f t="shared" ref="AJ423:AJ428" si="198">AJ422</f>
        <v>被施加控制的怪物5s内受到伤害&lt;color=#54b76b&gt;+%s%&lt;/color&gt;</v>
      </c>
      <c r="AK423" s="60">
        <v>10</v>
      </c>
      <c r="AL423" s="35"/>
    </row>
    <row r="424" s="28" customFormat="1" hidden="1" customHeight="1" spans="1:38">
      <c r="A424" s="57">
        <v>5505123</v>
      </c>
      <c r="B424" s="58" t="s">
        <v>539</v>
      </c>
      <c r="C424" s="57" t="str">
        <f t="shared" si="185"/>
        <v>5505121</v>
      </c>
      <c r="D424" s="59">
        <f t="shared" si="186"/>
        <v>3</v>
      </c>
      <c r="E424" s="59"/>
      <c r="F424" s="60" t="s">
        <v>220</v>
      </c>
      <c r="G424" s="36" t="str">
        <f t="shared" si="184"/>
        <v/>
      </c>
      <c r="H424" s="36" t="str">
        <f>IFERROR(IF(--MID($F424,2*COUNTIF($G424:G424,"&gt;"&amp;0)+2,1)=H$1,H$1,""),"")</f>
        <v/>
      </c>
      <c r="I424" s="36" t="str">
        <f>IFERROR(IF(--MID($F424,2*COUNTIF($G424:H424,"&gt;"&amp;0)+2,1)=I$1,I$1,""),"")</f>
        <v/>
      </c>
      <c r="J424" s="36" t="str">
        <f>IFERROR(IF(--MID($F424,2*COUNTIF($G424:I424,"&gt;"&amp;0)+2,1)=J$1,J$1,""),"")</f>
        <v/>
      </c>
      <c r="K424" s="36" t="str">
        <f>IFERROR(IF(--MID($F424,2*COUNTIF($G424:J424,"&gt;"&amp;0)+2,1)=K$1,K$1,""),"")</f>
        <v/>
      </c>
      <c r="L424" s="36">
        <f>IFERROR(IF(--MID($F424,2*COUNTIF($G424:K424,"&gt;"&amp;0)+2,1)=L$1,L$1,""),"")</f>
        <v>6</v>
      </c>
      <c r="M424" s="36" t="e" cm="1">
        <f t="array" ref="M424">IF(A424="","",_xlfn.XLOOKUP(D424&amp;"_"&amp;AE424,符文权重!A:A&amp;"_"&amp;符文权重!C:C,符文权重!D:D))</f>
        <v>#N/A</v>
      </c>
      <c r="N424" s="36"/>
      <c r="O424" s="36"/>
      <c r="P424" s="36"/>
      <c r="Q424" s="36"/>
      <c r="R424" s="36"/>
      <c r="S424" s="60" t="s">
        <v>192</v>
      </c>
      <c r="T424" s="60" t="s">
        <v>230</v>
      </c>
      <c r="U424" s="60" t="e">
        <f>IF(C424="","",SUBSTITUTE(SUBSTITUTE("[{global_atk,"&amp;#REF!*D424&amp;"}]",21,20),9,8))</f>
        <v>#REF!</v>
      </c>
      <c r="V424" s="61" t="str">
        <f t="shared" si="196"/>
        <v>[5505123]</v>
      </c>
      <c r="W424" s="60"/>
      <c r="Y424" s="36">
        <v>100</v>
      </c>
      <c r="AA424" s="59" t="s">
        <v>183</v>
      </c>
      <c r="AB424" s="42" t="str">
        <f t="shared" si="192"/>
        <v>被施加控制的怪物5s内受到伤害&lt;color=#54b76b&gt;+15%&lt;/color&gt;</v>
      </c>
      <c r="AC424" s="57" t="str">
        <f t="shared" si="187"/>
        <v>5505121</v>
      </c>
      <c r="AD424" s="59" t="str">
        <f t="shared" si="188"/>
        <v>[15]</v>
      </c>
      <c r="AE424" s="60">
        <v>100</v>
      </c>
      <c r="AF424" s="60"/>
      <c r="AG424" s="60">
        <v>1</v>
      </c>
      <c r="AH424" s="35">
        <v>1</v>
      </c>
      <c r="AI424" s="57">
        <f t="shared" si="197"/>
        <v>5505123</v>
      </c>
      <c r="AJ424" s="64" t="str">
        <f t="shared" si="198"/>
        <v>被施加控制的怪物5s内受到伤害&lt;color=#54b76b&gt;+%s%&lt;/color&gt;</v>
      </c>
      <c r="AK424" s="60">
        <v>15</v>
      </c>
      <c r="AL424" s="36"/>
    </row>
    <row r="425" hidden="1" customHeight="1" spans="1:38">
      <c r="A425" s="48">
        <v>5505124</v>
      </c>
      <c r="B425" s="34" t="s">
        <v>539</v>
      </c>
      <c r="C425" s="48" t="str">
        <f t="shared" si="185"/>
        <v>5505121</v>
      </c>
      <c r="D425" s="42">
        <f t="shared" si="186"/>
        <v>4</v>
      </c>
      <c r="E425" s="42"/>
      <c r="F425" s="36" t="s">
        <v>220</v>
      </c>
      <c r="G425" s="36" t="str">
        <f t="shared" si="184"/>
        <v/>
      </c>
      <c r="H425" s="36" t="str">
        <f>IFERROR(IF(--MID($F425,2*COUNTIF($G425:G425,"&gt;"&amp;0)+2,1)=H$1,H$1,""),"")</f>
        <v/>
      </c>
      <c r="I425" s="36" t="str">
        <f>IFERROR(IF(--MID($F425,2*COUNTIF($G425:H425,"&gt;"&amp;0)+2,1)=I$1,I$1,""),"")</f>
        <v/>
      </c>
      <c r="J425" s="36" t="str">
        <f>IFERROR(IF(--MID($F425,2*COUNTIF($G425:I425,"&gt;"&amp;0)+2,1)=J$1,J$1,""),"")</f>
        <v/>
      </c>
      <c r="K425" s="36" t="str">
        <f>IFERROR(IF(--MID($F425,2*COUNTIF($G425:J425,"&gt;"&amp;0)+2,1)=K$1,K$1,""),"")</f>
        <v/>
      </c>
      <c r="L425" s="36">
        <f>IFERROR(IF(--MID($F425,2*COUNTIF($G425:K425,"&gt;"&amp;0)+2,1)=L$1,L$1,""),"")</f>
        <v>6</v>
      </c>
      <c r="M425" s="51" t="str" cm="1">
        <f t="array" ref="M425">IF($A425="","",IF(G425="","",_xlfn.XLOOKUP($D425&amp;"_"&amp;$AE425,符文权重!$A:$A&amp;"_"&amp;符文权重!$C:$C,符文权重!$D:$D)*$Y425/SUMIFS($Y:$Y,G:G,G425,$D:$D,$D425,$AE:$AE,$AE425)/SUMIF(符文权重!$A:$A,$D425,符文权重!$D:$D)))</f>
        <v/>
      </c>
      <c r="N425" s="51" t="str" cm="1">
        <f t="array" ref="N425">IF($A425="","",IF(H425="","",_xlfn.XLOOKUP($D425&amp;"_"&amp;$AE425,符文权重!$A:$A&amp;"_"&amp;符文权重!$C:$C,符文权重!$D:$D)*$Y425/SUMIFS($Y:$Y,H:H,H425,$D:$D,$D425,$AE:$AE,$AE425)/SUMIF(符文权重!$A:$A,$D425,符文权重!$D:$D)))</f>
        <v/>
      </c>
      <c r="O425" s="51" t="str" cm="1">
        <f t="array" ref="O425">IF($A425="","",IF(I425="","",_xlfn.XLOOKUP($D425&amp;"_"&amp;$AE425,符文权重!$A:$A&amp;"_"&amp;符文权重!$C:$C,符文权重!$D:$D)*$Y425/SUMIFS($Y:$Y,I:I,I425,$D:$D,$D425,$AE:$AE,$AE425)/SUMIF(符文权重!$A:$A,$D425,符文权重!$D:$D)))</f>
        <v/>
      </c>
      <c r="P425" s="51" t="str" cm="1">
        <f t="array" ref="P425">IF($A425="","",IF(J425="","",_xlfn.XLOOKUP($D425&amp;"_"&amp;$AE425,符文权重!$A:$A&amp;"_"&amp;符文权重!$C:$C,符文权重!$D:$D)*$Y425/SUMIFS($Y:$Y,J:J,J425,$D:$D,$D425,$AE:$AE,$AE425)/SUMIF(符文权重!$A:$A,$D425,符文权重!$D:$D)))</f>
        <v/>
      </c>
      <c r="Q425" s="51" t="str" cm="1">
        <f t="array" ref="Q425">IF($A425="","",IF(K425="","",_xlfn.XLOOKUP($D425&amp;"_"&amp;$AE425,符文权重!$A:$A&amp;"_"&amp;符文权重!$C:$C,符文权重!$D:$D)*$Y425/SUMIFS($Y:$Y,K:K,K425,$D:$D,$D425,$AE:$AE,$AE425)/SUMIF(符文权重!$A:$A,$D425,符文权重!$D:$D)))</f>
        <v/>
      </c>
      <c r="R425" s="51" cm="1">
        <f t="array" ref="R425">IF($A425="","",IF(L425="","",_xlfn.XLOOKUP($D425&amp;"_"&amp;$AE425,符文权重!$A:$A&amp;"_"&amp;符文权重!$C:$C,符文权重!$D:$D)*$Y425/SUMIFS($Y:$Y,L:L,L425,$D:$D,$D425,$AE:$AE,$AE425)/SUMIF(符文权重!$A:$A,$D425,符文权重!$D:$D)))</f>
        <v>0.00341000341000341</v>
      </c>
      <c r="S425" s="36" t="s">
        <v>192</v>
      </c>
      <c r="T425" s="36" t="s">
        <v>230</v>
      </c>
      <c r="U425" s="36" t="e">
        <f>IF(C425="","",SUBSTITUTE(SUBSTITUTE("[{global_atk,"&amp;#REF!*D425&amp;"}]",21,20),9,8))</f>
        <v>#REF!</v>
      </c>
      <c r="V425" s="52" t="str">
        <f t="shared" si="196"/>
        <v>[5505124]</v>
      </c>
      <c r="Y425" s="35">
        <v>4</v>
      </c>
      <c r="AA425" s="42" t="s">
        <v>185</v>
      </c>
      <c r="AB425" s="42" t="str">
        <f t="shared" si="192"/>
        <v>被施加控制的怪物5s内受到伤害&lt;color=#54b76b&gt;+20%&lt;/color&gt;</v>
      </c>
      <c r="AC425" s="48" t="str">
        <f t="shared" si="187"/>
        <v>5505121</v>
      </c>
      <c r="AD425" s="42" t="str">
        <f t="shared" si="188"/>
        <v>[20]</v>
      </c>
      <c r="AE425" s="36">
        <v>3</v>
      </c>
      <c r="AF425" s="36"/>
      <c r="AG425" s="36">
        <v>0</v>
      </c>
      <c r="AH425" s="35">
        <v>1</v>
      </c>
      <c r="AI425" s="48">
        <f t="shared" si="197"/>
        <v>5505124</v>
      </c>
      <c r="AJ425" s="53" t="str">
        <f t="shared" si="198"/>
        <v>被施加控制的怪物5s内受到伤害&lt;color=#54b76b&gt;+%s%&lt;/color&gt;</v>
      </c>
      <c r="AK425" s="36">
        <v>20</v>
      </c>
      <c r="AL425" s="35">
        <v>5</v>
      </c>
    </row>
    <row r="426" hidden="1" customHeight="1" spans="1:38">
      <c r="A426" s="48">
        <v>5505125</v>
      </c>
      <c r="B426" s="34" t="s">
        <v>539</v>
      </c>
      <c r="C426" s="48" t="str">
        <f t="shared" si="185"/>
        <v>5505121</v>
      </c>
      <c r="D426" s="42">
        <f t="shared" si="186"/>
        <v>5</v>
      </c>
      <c r="E426" s="42"/>
      <c r="F426" s="36" t="s">
        <v>220</v>
      </c>
      <c r="G426" s="36" t="str">
        <f t="shared" si="184"/>
        <v/>
      </c>
      <c r="H426" s="36" t="str">
        <f>IFERROR(IF(--MID($F426,2*COUNTIF($G426:G426,"&gt;"&amp;0)+2,1)=H$1,H$1,""),"")</f>
        <v/>
      </c>
      <c r="I426" s="36" t="str">
        <f>IFERROR(IF(--MID($F426,2*COUNTIF($G426:H426,"&gt;"&amp;0)+2,1)=I$1,I$1,""),"")</f>
        <v/>
      </c>
      <c r="J426" s="36" t="str">
        <f>IFERROR(IF(--MID($F426,2*COUNTIF($G426:I426,"&gt;"&amp;0)+2,1)=J$1,J$1,""),"")</f>
        <v/>
      </c>
      <c r="K426" s="36" t="str">
        <f>IFERROR(IF(--MID($F426,2*COUNTIF($G426:J426,"&gt;"&amp;0)+2,1)=K$1,K$1,""),"")</f>
        <v/>
      </c>
      <c r="L426" s="36">
        <f>IFERROR(IF(--MID($F426,2*COUNTIF($G426:K426,"&gt;"&amp;0)+2,1)=L$1,L$1,""),"")</f>
        <v>6</v>
      </c>
      <c r="M426" s="51" t="str" cm="1">
        <f t="array" ref="M426">IF($A426="","",IF(G426="","",_xlfn.XLOOKUP($D426&amp;"_"&amp;$AE426,符文权重!$A:$A&amp;"_"&amp;符文权重!$C:$C,符文权重!$D:$D)*$Y426/SUMIFS($Y:$Y,G:G,G426,$D:$D,$D426,$AE:$AE,$AE426)/SUMIF(符文权重!$A:$A,$D426,符文权重!$D:$D)))</f>
        <v/>
      </c>
      <c r="N426" s="51" t="str" cm="1">
        <f t="array" ref="N426">IF($A426="","",IF(H426="","",_xlfn.XLOOKUP($D426&amp;"_"&amp;$AE426,符文权重!$A:$A&amp;"_"&amp;符文权重!$C:$C,符文权重!$D:$D)*$Y426/SUMIFS($Y:$Y,H:H,H426,$D:$D,$D426,$AE:$AE,$AE426)/SUMIF(符文权重!$A:$A,$D426,符文权重!$D:$D)))</f>
        <v/>
      </c>
      <c r="O426" s="51" t="str" cm="1">
        <f t="array" ref="O426">IF($A426="","",IF(I426="","",_xlfn.XLOOKUP($D426&amp;"_"&amp;$AE426,符文权重!$A:$A&amp;"_"&amp;符文权重!$C:$C,符文权重!$D:$D)*$Y426/SUMIFS($Y:$Y,I:I,I426,$D:$D,$D426,$AE:$AE,$AE426)/SUMIF(符文权重!$A:$A,$D426,符文权重!$D:$D)))</f>
        <v/>
      </c>
      <c r="P426" s="51" t="str" cm="1">
        <f t="array" ref="P426">IF($A426="","",IF(J426="","",_xlfn.XLOOKUP($D426&amp;"_"&amp;$AE426,符文权重!$A:$A&amp;"_"&amp;符文权重!$C:$C,符文权重!$D:$D)*$Y426/SUMIFS($Y:$Y,J:J,J426,$D:$D,$D426,$AE:$AE,$AE426)/SUMIF(符文权重!$A:$A,$D426,符文权重!$D:$D)))</f>
        <v/>
      </c>
      <c r="Q426" s="51" t="str" cm="1">
        <f t="array" ref="Q426">IF($A426="","",IF(K426="","",_xlfn.XLOOKUP($D426&amp;"_"&amp;$AE426,符文权重!$A:$A&amp;"_"&amp;符文权重!$C:$C,符文权重!$D:$D)*$Y426/SUMIFS($Y:$Y,K:K,K426,$D:$D,$D426,$AE:$AE,$AE426)/SUMIF(符文权重!$A:$A,$D426,符文权重!$D:$D)))</f>
        <v/>
      </c>
      <c r="R426" s="51" cm="1">
        <f t="array" ref="R426">IF($A426="","",IF(L426="","",_xlfn.XLOOKUP($D426&amp;"_"&amp;$AE426,符文权重!$A:$A&amp;"_"&amp;符文权重!$C:$C,符文权重!$D:$D)*$Y426/SUMIFS($Y:$Y,L:L,L426,$D:$D,$D426,$AE:$AE,$AE426)/SUMIF(符文权重!$A:$A,$D426,符文权重!$D:$D)))</f>
        <v>0.00375</v>
      </c>
      <c r="S426" s="36" t="s">
        <v>192</v>
      </c>
      <c r="T426" s="36" t="s">
        <v>230</v>
      </c>
      <c r="U426" s="36" t="e">
        <f>IF(C426="","",SUBSTITUTE(SUBSTITUTE("[{global_atk,"&amp;#REF!*D426&amp;"}]",21,20),9,8))</f>
        <v>#REF!</v>
      </c>
      <c r="V426" s="52" t="str">
        <f t="shared" si="196"/>
        <v>[5505125]</v>
      </c>
      <c r="Y426" s="35">
        <v>100</v>
      </c>
      <c r="AA426" s="42" t="s">
        <v>187</v>
      </c>
      <c r="AB426" s="42" t="str">
        <f t="shared" si="192"/>
        <v>被施加控制的怪物5s内受到伤害&lt;color=#54b76b&gt;+35%&lt;/color&gt;</v>
      </c>
      <c r="AC426" s="48" t="str">
        <f t="shared" si="187"/>
        <v>5505121</v>
      </c>
      <c r="AD426" s="42" t="str">
        <f t="shared" si="188"/>
        <v>[35]</v>
      </c>
      <c r="AE426" s="36">
        <v>5</v>
      </c>
      <c r="AF426" s="36"/>
      <c r="AG426" s="36">
        <v>0</v>
      </c>
      <c r="AH426" s="35">
        <v>1</v>
      </c>
      <c r="AI426" s="48">
        <f t="shared" si="197"/>
        <v>5505125</v>
      </c>
      <c r="AJ426" s="53" t="str">
        <f t="shared" si="198"/>
        <v>被施加控制的怪物5s内受到伤害&lt;color=#54b76b&gt;+%s%&lt;/color&gt;</v>
      </c>
      <c r="AK426" s="36">
        <v>35</v>
      </c>
      <c r="AL426" s="35">
        <v>5</v>
      </c>
    </row>
    <row r="427" hidden="1" customHeight="1" spans="1:38">
      <c r="A427" s="48">
        <v>5505126</v>
      </c>
      <c r="B427" s="34" t="s">
        <v>539</v>
      </c>
      <c r="C427" s="48" t="str">
        <f t="shared" si="185"/>
        <v>5505121</v>
      </c>
      <c r="D427" s="42">
        <f t="shared" si="186"/>
        <v>6</v>
      </c>
      <c r="E427" s="42"/>
      <c r="F427" s="36" t="s">
        <v>220</v>
      </c>
      <c r="G427" s="36" t="str">
        <f t="shared" si="184"/>
        <v/>
      </c>
      <c r="H427" s="36" t="str">
        <f>IFERROR(IF(--MID($F427,2*COUNTIF($G427:G427,"&gt;"&amp;0)+2,1)=H$1,H$1,""),"")</f>
        <v/>
      </c>
      <c r="I427" s="36" t="str">
        <f>IFERROR(IF(--MID($F427,2*COUNTIF($G427:H427,"&gt;"&amp;0)+2,1)=I$1,I$1,""),"")</f>
        <v/>
      </c>
      <c r="J427" s="36" t="str">
        <f>IFERROR(IF(--MID($F427,2*COUNTIF($G427:I427,"&gt;"&amp;0)+2,1)=J$1,J$1,""),"")</f>
        <v/>
      </c>
      <c r="K427" s="36" t="str">
        <f>IFERROR(IF(--MID($F427,2*COUNTIF($G427:J427,"&gt;"&amp;0)+2,1)=K$1,K$1,""),"")</f>
        <v/>
      </c>
      <c r="L427" s="36">
        <f>IFERROR(IF(--MID($F427,2*COUNTIF($G427:K427,"&gt;"&amp;0)+2,1)=L$1,L$1,""),"")</f>
        <v>6</v>
      </c>
      <c r="M427" s="51" t="str" cm="1">
        <f t="array" ref="M427">IF($A427="","",IF(G427="","",_xlfn.XLOOKUP($D427&amp;"_"&amp;$AE427,符文权重!$A:$A&amp;"_"&amp;符文权重!$C:$C,符文权重!$D:$D)*$Y427/SUMIFS($Y:$Y,G:G,G427,$D:$D,$D427,$AE:$AE,$AE427)/SUMIF(符文权重!$A:$A,$D427,符文权重!$D:$D)))</f>
        <v/>
      </c>
      <c r="N427" s="51" t="str" cm="1">
        <f t="array" ref="N427">IF($A427="","",IF(H427="","",_xlfn.XLOOKUP($D427&amp;"_"&amp;$AE427,符文权重!$A:$A&amp;"_"&amp;符文权重!$C:$C,符文权重!$D:$D)*$Y427/SUMIFS($Y:$Y,H:H,H427,$D:$D,$D427,$AE:$AE,$AE427)/SUMIF(符文权重!$A:$A,$D427,符文权重!$D:$D)))</f>
        <v/>
      </c>
      <c r="O427" s="51" t="str" cm="1">
        <f t="array" ref="O427">IF($A427="","",IF(I427="","",_xlfn.XLOOKUP($D427&amp;"_"&amp;$AE427,符文权重!$A:$A&amp;"_"&amp;符文权重!$C:$C,符文权重!$D:$D)*$Y427/SUMIFS($Y:$Y,I:I,I427,$D:$D,$D427,$AE:$AE,$AE427)/SUMIF(符文权重!$A:$A,$D427,符文权重!$D:$D)))</f>
        <v/>
      </c>
      <c r="P427" s="51" t="str" cm="1">
        <f t="array" ref="P427">IF($A427="","",IF(J427="","",_xlfn.XLOOKUP($D427&amp;"_"&amp;$AE427,符文权重!$A:$A&amp;"_"&amp;符文权重!$C:$C,符文权重!$D:$D)*$Y427/SUMIFS($Y:$Y,J:J,J427,$D:$D,$D427,$AE:$AE,$AE427)/SUMIF(符文权重!$A:$A,$D427,符文权重!$D:$D)))</f>
        <v/>
      </c>
      <c r="Q427" s="51" t="str" cm="1">
        <f t="array" ref="Q427">IF($A427="","",IF(K427="","",_xlfn.XLOOKUP($D427&amp;"_"&amp;$AE427,符文权重!$A:$A&amp;"_"&amp;符文权重!$C:$C,符文权重!$D:$D)*$Y427/SUMIFS($Y:$Y,K:K,K427,$D:$D,$D427,$AE:$AE,$AE427)/SUMIF(符文权重!$A:$A,$D427,符文权重!$D:$D)))</f>
        <v/>
      </c>
      <c r="R427" s="51" cm="1">
        <f t="array" ref="R427">IF($A427="","",IF(L427="","",_xlfn.XLOOKUP($D427&amp;"_"&amp;$AE427,符文权重!$A:$A&amp;"_"&amp;符文权重!$C:$C,符文权重!$D:$D)*$Y427/SUMIFS($Y:$Y,L:L,L427,$D:$D,$D427,$AE:$AE,$AE427)/SUMIF(符文权重!$A:$A,$D427,符文权重!$D:$D)))</f>
        <v>0.00375</v>
      </c>
      <c r="S427" s="36" t="s">
        <v>192</v>
      </c>
      <c r="T427" s="36" t="s">
        <v>230</v>
      </c>
      <c r="U427" s="36" t="e">
        <f>IF(C427="","",SUBSTITUTE(SUBSTITUTE("[{global_atk,"&amp;#REF!*D427&amp;"}]",21,20),9,8))</f>
        <v>#REF!</v>
      </c>
      <c r="V427" s="52" t="str">
        <f t="shared" si="196"/>
        <v>[5505126]</v>
      </c>
      <c r="Y427" s="35">
        <v>100</v>
      </c>
      <c r="AA427" s="42" t="s">
        <v>189</v>
      </c>
      <c r="AB427" s="42" t="str">
        <f t="shared" si="192"/>
        <v>被施加控制的怪物5s内受到伤害&lt;color=#54b76b&gt;+45%&lt;/color&gt;</v>
      </c>
      <c r="AC427" s="48" t="str">
        <f t="shared" si="187"/>
        <v>5505121</v>
      </c>
      <c r="AD427" s="42" t="str">
        <f t="shared" si="188"/>
        <v>[45]</v>
      </c>
      <c r="AE427" s="36">
        <v>5</v>
      </c>
      <c r="AF427" s="36"/>
      <c r="AG427" s="36">
        <v>0</v>
      </c>
      <c r="AH427" s="35">
        <v>1</v>
      </c>
      <c r="AI427" s="48">
        <f t="shared" si="197"/>
        <v>5505126</v>
      </c>
      <c r="AJ427" s="53" t="str">
        <f t="shared" si="198"/>
        <v>被施加控制的怪物5s内受到伤害&lt;color=#54b76b&gt;+%s%&lt;/color&gt;</v>
      </c>
      <c r="AK427" s="36">
        <v>45</v>
      </c>
      <c r="AL427" s="35">
        <v>5</v>
      </c>
    </row>
    <row r="428" hidden="1" customHeight="1" spans="1:38">
      <c r="A428" s="48">
        <v>5505127</v>
      </c>
      <c r="B428" s="34" t="s">
        <v>539</v>
      </c>
      <c r="C428" s="48" t="str">
        <f t="shared" si="185"/>
        <v>5505121</v>
      </c>
      <c r="D428" s="42">
        <f t="shared" si="186"/>
        <v>7</v>
      </c>
      <c r="E428" s="42"/>
      <c r="F428" s="36" t="s">
        <v>220</v>
      </c>
      <c r="G428" s="36" t="str">
        <f t="shared" si="184"/>
        <v/>
      </c>
      <c r="H428" s="36" t="str">
        <f>IFERROR(IF(--MID($F428,2*COUNTIF($G428:G428,"&gt;"&amp;0)+2,1)=H$1,H$1,""),"")</f>
        <v/>
      </c>
      <c r="I428" s="36" t="str">
        <f>IFERROR(IF(--MID($F428,2*COUNTIF($G428:H428,"&gt;"&amp;0)+2,1)=I$1,I$1,""),"")</f>
        <v/>
      </c>
      <c r="J428" s="36" t="str">
        <f>IFERROR(IF(--MID($F428,2*COUNTIF($G428:I428,"&gt;"&amp;0)+2,1)=J$1,J$1,""),"")</f>
        <v/>
      </c>
      <c r="K428" s="36" t="str">
        <f>IFERROR(IF(--MID($F428,2*COUNTIF($G428:J428,"&gt;"&amp;0)+2,1)=K$1,K$1,""),"")</f>
        <v/>
      </c>
      <c r="L428" s="36">
        <f>IFERROR(IF(--MID($F428,2*COUNTIF($G428:K428,"&gt;"&amp;0)+2,1)=L$1,L$1,""),"")</f>
        <v>6</v>
      </c>
      <c r="M428" s="51" t="str" cm="1">
        <f t="array" ref="M428">IF($A428="","",IF(G428="","",_xlfn.XLOOKUP($D428&amp;"_"&amp;$AE428,符文权重!$A:$A&amp;"_"&amp;符文权重!$C:$C,符文权重!$D:$D)*$Y428/SUMIFS($Y:$Y,G:G,G428,$D:$D,$D428,$AE:$AE,$AE428)/SUMIF(符文权重!$A:$A,$D428,符文权重!$D:$D)))</f>
        <v/>
      </c>
      <c r="N428" s="51" t="str" cm="1">
        <f t="array" ref="N428">IF($A428="","",IF(H428="","",_xlfn.XLOOKUP($D428&amp;"_"&amp;$AE428,符文权重!$A:$A&amp;"_"&amp;符文权重!$C:$C,符文权重!$D:$D)*$Y428/SUMIFS($Y:$Y,H:H,H428,$D:$D,$D428,$AE:$AE,$AE428)/SUMIF(符文权重!$A:$A,$D428,符文权重!$D:$D)))</f>
        <v/>
      </c>
      <c r="O428" s="51" t="str" cm="1">
        <f t="array" ref="O428">IF($A428="","",IF(I428="","",_xlfn.XLOOKUP($D428&amp;"_"&amp;$AE428,符文权重!$A:$A&amp;"_"&amp;符文权重!$C:$C,符文权重!$D:$D)*$Y428/SUMIFS($Y:$Y,I:I,I428,$D:$D,$D428,$AE:$AE,$AE428)/SUMIF(符文权重!$A:$A,$D428,符文权重!$D:$D)))</f>
        <v/>
      </c>
      <c r="P428" s="51" t="str" cm="1">
        <f t="array" ref="P428">IF($A428="","",IF(J428="","",_xlfn.XLOOKUP($D428&amp;"_"&amp;$AE428,符文权重!$A:$A&amp;"_"&amp;符文权重!$C:$C,符文权重!$D:$D)*$Y428/SUMIFS($Y:$Y,J:J,J428,$D:$D,$D428,$AE:$AE,$AE428)/SUMIF(符文权重!$A:$A,$D428,符文权重!$D:$D)))</f>
        <v/>
      </c>
      <c r="Q428" s="51" t="str" cm="1">
        <f t="array" ref="Q428">IF($A428="","",IF(K428="","",_xlfn.XLOOKUP($D428&amp;"_"&amp;$AE428,符文权重!$A:$A&amp;"_"&amp;符文权重!$C:$C,符文权重!$D:$D)*$Y428/SUMIFS($Y:$Y,K:K,K428,$D:$D,$D428,$AE:$AE,$AE428)/SUMIF(符文权重!$A:$A,$D428,符文权重!$D:$D)))</f>
        <v/>
      </c>
      <c r="R428" s="51" cm="1">
        <f t="array" ref="R428">IF($A428="","",IF(L428="","",_xlfn.XLOOKUP($D428&amp;"_"&amp;$AE428,符文权重!$A:$A&amp;"_"&amp;符文权重!$C:$C,符文权重!$D:$D)*$Y428/SUMIFS($Y:$Y,L:L,L428,$D:$D,$D428,$AE:$AE,$AE428)/SUMIF(符文权重!$A:$A,$D428,符文权重!$D:$D)))</f>
        <v>0.00375</v>
      </c>
      <c r="S428" s="36" t="s">
        <v>192</v>
      </c>
      <c r="T428" s="36" t="s">
        <v>230</v>
      </c>
      <c r="U428" s="36" t="e">
        <f>IF(C428="","",SUBSTITUTE(SUBSTITUTE("[{global_atk,"&amp;#REF!*D428&amp;"}]",21,20),9,8))</f>
        <v>#REF!</v>
      </c>
      <c r="V428" s="52" t="str">
        <f t="shared" si="196"/>
        <v>[5505127]</v>
      </c>
      <c r="Y428" s="36">
        <v>100</v>
      </c>
      <c r="AA428" s="42" t="s">
        <v>191</v>
      </c>
      <c r="AB428" s="42" t="str">
        <f t="shared" si="192"/>
        <v>被施加控制的怪物5s内受到伤害&lt;color=#54b76b&gt;+60%&lt;/color&gt;</v>
      </c>
      <c r="AC428" s="48" t="str">
        <f t="shared" si="187"/>
        <v>5505121</v>
      </c>
      <c r="AD428" s="42" t="str">
        <f t="shared" si="188"/>
        <v>[60]</v>
      </c>
      <c r="AE428" s="36">
        <v>5</v>
      </c>
      <c r="AF428" s="36"/>
      <c r="AG428" s="36">
        <v>0</v>
      </c>
      <c r="AH428" s="35">
        <v>1</v>
      </c>
      <c r="AI428" s="48">
        <f t="shared" si="197"/>
        <v>5505127</v>
      </c>
      <c r="AJ428" s="53" t="str">
        <f t="shared" si="198"/>
        <v>被施加控制的怪物5s内受到伤害&lt;color=#54b76b&gt;+%s%&lt;/color&gt;</v>
      </c>
      <c r="AK428" s="36">
        <v>60</v>
      </c>
      <c r="AL428" s="36">
        <v>5</v>
      </c>
    </row>
    <row r="429" s="25" customFormat="1" hidden="1" customHeight="1" spans="1:38">
      <c r="A429" s="48" t="s">
        <v>178</v>
      </c>
      <c r="B429" s="35"/>
      <c r="C429" s="48" t="str">
        <f t="shared" si="185"/>
        <v/>
      </c>
      <c r="D429" s="42" t="str">
        <f t="shared" si="186"/>
        <v/>
      </c>
      <c r="E429" s="42"/>
      <c r="F429" s="36"/>
      <c r="G429" s="36" t="str">
        <f t="shared" si="184"/>
        <v/>
      </c>
      <c r="H429" s="36" t="str">
        <f>IFERROR(IF(--MID($F429,2*COUNTIF($G429:G429,"&gt;"&amp;0)+2,1)=H$1,H$1,""),"")</f>
        <v/>
      </c>
      <c r="I429" s="36" t="str">
        <f>IFERROR(IF(--MID($F429,2*COUNTIF($G429:H429,"&gt;"&amp;0)+2,1)=I$1,I$1,""),"")</f>
        <v/>
      </c>
      <c r="J429" s="36" t="str">
        <f>IFERROR(IF(--MID($F429,2*COUNTIF($G429:I429,"&gt;"&amp;0)+2,1)=J$1,J$1,""),"")</f>
        <v/>
      </c>
      <c r="K429" s="36" t="str">
        <f>IFERROR(IF(--MID($F429,2*COUNTIF($G429:J429,"&gt;"&amp;0)+2,1)=K$1,K$1,""),"")</f>
        <v/>
      </c>
      <c r="L429" s="36" t="str">
        <f>IFERROR(IF(--MID($F429,2*COUNTIF($G429:K429,"&gt;"&amp;0)+2,1)=L$1,L$1,""),"")</f>
        <v/>
      </c>
      <c r="M429" s="51" t="str" cm="1">
        <f t="array" ref="M429">IF($A429="","",IF(G429="","",_xlfn.XLOOKUP($D429&amp;"_"&amp;$AE429,符文权重!$A:$A&amp;"_"&amp;符文权重!$C:$C,符文权重!$D:$D)*$Y429/SUMIFS($Y:$Y,G:G,G429,$D:$D,$D429,$AE:$AE,$AE429)/SUMIF(符文权重!$A:$A,$D429,符文权重!$D:$D)))</f>
        <v/>
      </c>
      <c r="N429" s="36" t="str" cm="1">
        <f t="array" ref="N429">IF($A429="","",IF(H429="","",_xlfn.XLOOKUP($D429&amp;"_"&amp;$AE429,符文权重!$A:$A&amp;"_"&amp;符文权重!$C:$C,符文权重!$D:$D)*$Y429/SUMIFS($Y:$Y,H:H,H429,$D:$D,$D$6,$AE:$AE,$AE$6)))</f>
        <v/>
      </c>
      <c r="O429" s="36" t="str" cm="1">
        <f t="array" ref="O429">IF($A429="","",IF(I429="","",_xlfn.XLOOKUP($D429&amp;"_"&amp;$AE429,符文权重!$A:$A&amp;"_"&amp;符文权重!$C:$C,符文权重!$D:$D)*$Y429/SUMIFS($Y:$Y,I:I,I429,$D:$D,$D$6,$AE:$AE,$AE$6)))</f>
        <v/>
      </c>
      <c r="P429" s="36" t="str" cm="1">
        <f t="array" ref="P429">IF($A429="","",IF(J429="","",_xlfn.XLOOKUP($D429&amp;"_"&amp;$AE429,符文权重!$A:$A&amp;"_"&amp;符文权重!$C:$C,符文权重!$D:$D)*$Y429/SUMIFS($Y:$Y,J:J,J429,$D:$D,$D$6,$AE:$AE,$AE$6)))</f>
        <v/>
      </c>
      <c r="Q429" s="36" t="str" cm="1">
        <f t="array" ref="Q429">IF($A429="","",IF(K429="","",_xlfn.XLOOKUP($D429&amp;"_"&amp;$AE429,符文权重!$A:$A&amp;"_"&amp;符文权重!$C:$C,符文权重!$D:$D)*$Y429/SUMIFS($Y:$Y,K:K,K429,$D:$D,$D$6,$AE:$AE,$AE$6)))</f>
        <v/>
      </c>
      <c r="R429" s="36" t="str" cm="1">
        <f t="array" ref="R429">IF($A429="","",IF(L429="","",_xlfn.XLOOKUP($D429&amp;"_"&amp;$AE429,符文权重!$A:$A&amp;"_"&amp;符文权重!$C:$C,符文权重!$D:$D)*$Y429/SUMIFS($Y:$Y,L:L,L429,$D:$D,$D$6,$AE:$AE,$AE$6)))</f>
        <v/>
      </c>
      <c r="S429" s="36"/>
      <c r="T429" s="36"/>
      <c r="U429" s="36"/>
      <c r="W429" s="41"/>
      <c r="X429" s="35"/>
      <c r="Y429" s="35"/>
      <c r="Z429" s="35"/>
      <c r="AA429" s="42" t="s">
        <v>178</v>
      </c>
      <c r="AB429" s="42" t="str">
        <f t="shared" si="192"/>
        <v/>
      </c>
      <c r="AC429" s="48" t="str">
        <f t="shared" si="187"/>
        <v/>
      </c>
      <c r="AD429" s="42" t="str">
        <f t="shared" si="188"/>
        <v/>
      </c>
      <c r="AE429" s="36"/>
      <c r="AF429" s="36"/>
      <c r="AG429" s="36"/>
      <c r="AH429" s="35" t="s">
        <v>178</v>
      </c>
      <c r="AI429" s="33"/>
      <c r="AJ429" s="74"/>
      <c r="AK429" s="36"/>
      <c r="AL429" s="35"/>
    </row>
    <row r="430" s="28" customFormat="1" hidden="1" customHeight="1" spans="1:38">
      <c r="A430" s="57">
        <v>5505131</v>
      </c>
      <c r="B430" s="58" t="s">
        <v>540</v>
      </c>
      <c r="C430" s="57" t="str">
        <f t="shared" si="185"/>
        <v>5505131</v>
      </c>
      <c r="D430" s="59">
        <f t="shared" si="186"/>
        <v>1</v>
      </c>
      <c r="E430" s="59"/>
      <c r="F430" s="60" t="s">
        <v>202</v>
      </c>
      <c r="G430" s="36">
        <f t="shared" si="184"/>
        <v>1</v>
      </c>
      <c r="H430" s="36" t="str">
        <f>IFERROR(IF(--MID($F430,2*COUNTIF($G430:G430,"&gt;"&amp;0)+2,1)=H$1,H$1,""),"")</f>
        <v/>
      </c>
      <c r="I430" s="36" t="str">
        <f>IFERROR(IF(--MID($F430,2*COUNTIF($G430:H430,"&gt;"&amp;0)+2,1)=I$1,I$1,""),"")</f>
        <v/>
      </c>
      <c r="J430" s="36" t="str">
        <f>IFERROR(IF(--MID($F430,2*COUNTIF($G430:I430,"&gt;"&amp;0)+2,1)=J$1,J$1,""),"")</f>
        <v/>
      </c>
      <c r="K430" s="36" t="str">
        <f>IFERROR(IF(--MID($F430,2*COUNTIF($G430:J430,"&gt;"&amp;0)+2,1)=K$1,K$1,""),"")</f>
        <v/>
      </c>
      <c r="L430" s="36" t="str">
        <f>IFERROR(IF(--MID($F430,2*COUNTIF($G430:K430,"&gt;"&amp;0)+2,1)=L$1,L$1,""),"")</f>
        <v/>
      </c>
      <c r="M430" s="36" t="e" cm="1">
        <f t="array" ref="M430">IF(A430="","",_xlfn.XLOOKUP(D430&amp;"_"&amp;AE430,符文权重!A:A&amp;"_"&amp;符文权重!C:C,符文权重!D:D))</f>
        <v>#N/A</v>
      </c>
      <c r="N430" s="36"/>
      <c r="O430" s="36"/>
      <c r="P430" s="36"/>
      <c r="Q430" s="36"/>
      <c r="R430" s="36"/>
      <c r="S430" s="60" t="s">
        <v>192</v>
      </c>
      <c r="T430" s="60" t="s">
        <v>230</v>
      </c>
      <c r="U430" s="60" t="e">
        <f>IF(C430="","",SUBSTITUTE(SUBSTITUTE("[{global_atk,"&amp;#REF!*D430&amp;"}]",21,20),9,8))</f>
        <v>#REF!</v>
      </c>
      <c r="V430" s="61" t="str">
        <f t="shared" ref="V430:V436" si="199">"["&amp;A430&amp;"]"</f>
        <v>[5505131]</v>
      </c>
      <c r="W430" s="60"/>
      <c r="Y430" s="35">
        <v>100</v>
      </c>
      <c r="AA430" s="59" t="s">
        <v>177</v>
      </c>
      <c r="AB430" s="42" t="str">
        <f t="shared" si="192"/>
        <v>每选择一个控制梦灵的词条，所有控制梦灵伤害&lt;color=#54b76b&gt;+5%&lt;/color&gt;</v>
      </c>
      <c r="AC430" s="57" t="str">
        <f t="shared" si="187"/>
        <v>5505131</v>
      </c>
      <c r="AD430" s="59" t="str">
        <f t="shared" si="188"/>
        <v>[5]</v>
      </c>
      <c r="AE430" s="60">
        <v>100</v>
      </c>
      <c r="AF430" s="60"/>
      <c r="AG430" s="60">
        <v>1</v>
      </c>
      <c r="AH430" s="35">
        <v>1</v>
      </c>
      <c r="AI430" s="62">
        <v>5505131</v>
      </c>
      <c r="AJ430" s="63" t="s">
        <v>540</v>
      </c>
      <c r="AK430" s="60">
        <v>5</v>
      </c>
      <c r="AL430" s="35"/>
    </row>
    <row r="431" s="28" customFormat="1" hidden="1" customHeight="1" spans="1:38">
      <c r="A431" s="57">
        <v>5505132</v>
      </c>
      <c r="B431" s="58" t="s">
        <v>540</v>
      </c>
      <c r="C431" s="57" t="str">
        <f t="shared" si="185"/>
        <v>5505131</v>
      </c>
      <c r="D431" s="59">
        <f t="shared" si="186"/>
        <v>2</v>
      </c>
      <c r="E431" s="59"/>
      <c r="F431" s="60" t="s">
        <v>202</v>
      </c>
      <c r="G431" s="36">
        <f t="shared" si="184"/>
        <v>1</v>
      </c>
      <c r="H431" s="36" t="str">
        <f>IFERROR(IF(--MID($F431,2*COUNTIF($G431:G431,"&gt;"&amp;0)+2,1)=H$1,H$1,""),"")</f>
        <v/>
      </c>
      <c r="I431" s="36" t="str">
        <f>IFERROR(IF(--MID($F431,2*COUNTIF($G431:H431,"&gt;"&amp;0)+2,1)=I$1,I$1,""),"")</f>
        <v/>
      </c>
      <c r="J431" s="36" t="str">
        <f>IFERROR(IF(--MID($F431,2*COUNTIF($G431:I431,"&gt;"&amp;0)+2,1)=J$1,J$1,""),"")</f>
        <v/>
      </c>
      <c r="K431" s="36" t="str">
        <f>IFERROR(IF(--MID($F431,2*COUNTIF($G431:J431,"&gt;"&amp;0)+2,1)=K$1,K$1,""),"")</f>
        <v/>
      </c>
      <c r="L431" s="36" t="str">
        <f>IFERROR(IF(--MID($F431,2*COUNTIF($G431:K431,"&gt;"&amp;0)+2,1)=L$1,L$1,""),"")</f>
        <v/>
      </c>
      <c r="M431" s="36" t="e" cm="1">
        <f t="array" ref="M431">IF(A431="","",_xlfn.XLOOKUP(D431&amp;"_"&amp;AE431,符文权重!A:A&amp;"_"&amp;符文权重!C:C,符文权重!D:D))</f>
        <v>#N/A</v>
      </c>
      <c r="N431" s="36"/>
      <c r="O431" s="36"/>
      <c r="P431" s="36"/>
      <c r="Q431" s="36"/>
      <c r="R431" s="36"/>
      <c r="S431" s="60" t="s">
        <v>192</v>
      </c>
      <c r="T431" s="60" t="s">
        <v>230</v>
      </c>
      <c r="U431" s="60" t="e">
        <f>IF(C431="","",SUBSTITUTE(SUBSTITUTE("[{global_atk,"&amp;#REF!*D431&amp;"}]",21,20),9,8))</f>
        <v>#REF!</v>
      </c>
      <c r="V431" s="61" t="str">
        <f t="shared" si="199"/>
        <v>[5505132]</v>
      </c>
      <c r="W431" s="60"/>
      <c r="Y431" s="35">
        <v>100</v>
      </c>
      <c r="AA431" s="59" t="s">
        <v>181</v>
      </c>
      <c r="AB431" s="42" t="str">
        <f t="shared" si="192"/>
        <v>每选择一个控制梦灵的词条，所有控制梦灵伤害&lt;color=#54b76b&gt;+8%&lt;/color&gt;</v>
      </c>
      <c r="AC431" s="57" t="str">
        <f t="shared" si="187"/>
        <v>5505131</v>
      </c>
      <c r="AD431" s="59" t="str">
        <f t="shared" si="188"/>
        <v>[8]</v>
      </c>
      <c r="AE431" s="60">
        <v>100</v>
      </c>
      <c r="AF431" s="60"/>
      <c r="AG431" s="60">
        <v>1</v>
      </c>
      <c r="AH431" s="35">
        <v>1</v>
      </c>
      <c r="AI431" s="57">
        <f t="shared" ref="AI431:AI436" si="200">AI430+1</f>
        <v>5505132</v>
      </c>
      <c r="AJ431" s="64" t="str">
        <f t="shared" ref="AJ431:AJ436" si="201">AJ430</f>
        <v>每选择一个控制梦灵的词条，所有控制梦灵伤害&lt;color=#54b76b&gt;+%s%&lt;/color&gt;</v>
      </c>
      <c r="AK431" s="60">
        <v>8</v>
      </c>
      <c r="AL431" s="35"/>
    </row>
    <row r="432" s="28" customFormat="1" hidden="1" customHeight="1" spans="1:38">
      <c r="A432" s="57">
        <v>5505133</v>
      </c>
      <c r="B432" s="58" t="s">
        <v>540</v>
      </c>
      <c r="C432" s="57" t="str">
        <f t="shared" si="185"/>
        <v>5505131</v>
      </c>
      <c r="D432" s="59">
        <f t="shared" si="186"/>
        <v>3</v>
      </c>
      <c r="E432" s="59"/>
      <c r="F432" s="60" t="s">
        <v>202</v>
      </c>
      <c r="G432" s="36">
        <f t="shared" si="184"/>
        <v>1</v>
      </c>
      <c r="H432" s="36" t="str">
        <f>IFERROR(IF(--MID($F432,2*COUNTIF($G432:G432,"&gt;"&amp;0)+2,1)=H$1,H$1,""),"")</f>
        <v/>
      </c>
      <c r="I432" s="36" t="str">
        <f>IFERROR(IF(--MID($F432,2*COUNTIF($G432:H432,"&gt;"&amp;0)+2,1)=I$1,I$1,""),"")</f>
        <v/>
      </c>
      <c r="J432" s="36" t="str">
        <f>IFERROR(IF(--MID($F432,2*COUNTIF($G432:I432,"&gt;"&amp;0)+2,1)=J$1,J$1,""),"")</f>
        <v/>
      </c>
      <c r="K432" s="36" t="str">
        <f>IFERROR(IF(--MID($F432,2*COUNTIF($G432:J432,"&gt;"&amp;0)+2,1)=K$1,K$1,""),"")</f>
        <v/>
      </c>
      <c r="L432" s="36" t="str">
        <f>IFERROR(IF(--MID($F432,2*COUNTIF($G432:K432,"&gt;"&amp;0)+2,1)=L$1,L$1,""),"")</f>
        <v/>
      </c>
      <c r="M432" s="36" t="e" cm="1">
        <f t="array" ref="M432">IF(A432="","",_xlfn.XLOOKUP(D432&amp;"_"&amp;AE432,符文权重!A:A&amp;"_"&amp;符文权重!C:C,符文权重!D:D))</f>
        <v>#N/A</v>
      </c>
      <c r="N432" s="36"/>
      <c r="O432" s="36"/>
      <c r="P432" s="36"/>
      <c r="Q432" s="36"/>
      <c r="R432" s="36"/>
      <c r="S432" s="60" t="s">
        <v>192</v>
      </c>
      <c r="T432" s="60" t="s">
        <v>230</v>
      </c>
      <c r="U432" s="60" t="e">
        <f>IF(C432="","",SUBSTITUTE(SUBSTITUTE("[{global_atk,"&amp;#REF!*D432&amp;"}]",21,20),9,8))</f>
        <v>#REF!</v>
      </c>
      <c r="V432" s="61" t="str">
        <f t="shared" si="199"/>
        <v>[5505133]</v>
      </c>
      <c r="W432" s="60"/>
      <c r="Y432" s="36">
        <v>100</v>
      </c>
      <c r="AA432" s="59" t="s">
        <v>183</v>
      </c>
      <c r="AB432" s="42" t="str">
        <f t="shared" si="192"/>
        <v>每选择一个控制梦灵的词条，所有控制梦灵伤害&lt;color=#54b76b&gt;+10%&lt;/color&gt;</v>
      </c>
      <c r="AC432" s="57" t="str">
        <f t="shared" si="187"/>
        <v>5505131</v>
      </c>
      <c r="AD432" s="59" t="str">
        <f t="shared" si="188"/>
        <v>[10]</v>
      </c>
      <c r="AE432" s="60">
        <v>100</v>
      </c>
      <c r="AF432" s="60"/>
      <c r="AG432" s="60">
        <v>1</v>
      </c>
      <c r="AH432" s="35">
        <v>1</v>
      </c>
      <c r="AI432" s="57">
        <f t="shared" si="200"/>
        <v>5505133</v>
      </c>
      <c r="AJ432" s="64" t="str">
        <f t="shared" si="201"/>
        <v>每选择一个控制梦灵的词条，所有控制梦灵伤害&lt;color=#54b76b&gt;+%s%&lt;/color&gt;</v>
      </c>
      <c r="AK432" s="60">
        <v>10</v>
      </c>
      <c r="AL432" s="36"/>
    </row>
    <row r="433" hidden="1" customHeight="1" spans="1:38">
      <c r="A433" s="48">
        <v>5505134</v>
      </c>
      <c r="B433" s="34" t="s">
        <v>540</v>
      </c>
      <c r="C433" s="48" t="str">
        <f t="shared" si="185"/>
        <v>5505131</v>
      </c>
      <c r="D433" s="42">
        <f t="shared" si="186"/>
        <v>4</v>
      </c>
      <c r="E433" s="42"/>
      <c r="F433" s="36" t="s">
        <v>202</v>
      </c>
      <c r="G433" s="36">
        <f t="shared" si="184"/>
        <v>1</v>
      </c>
      <c r="H433" s="36" t="str">
        <f>IFERROR(IF(--MID($F433,2*COUNTIF($G433:G433,"&gt;"&amp;0)+2,1)=H$1,H$1,""),"")</f>
        <v/>
      </c>
      <c r="I433" s="36" t="str">
        <f>IFERROR(IF(--MID($F433,2*COUNTIF($G433:H433,"&gt;"&amp;0)+2,1)=I$1,I$1,""),"")</f>
        <v/>
      </c>
      <c r="J433" s="36" t="str">
        <f>IFERROR(IF(--MID($F433,2*COUNTIF($G433:I433,"&gt;"&amp;0)+2,1)=J$1,J$1,""),"")</f>
        <v/>
      </c>
      <c r="K433" s="36" t="str">
        <f>IFERROR(IF(--MID($F433,2*COUNTIF($G433:J433,"&gt;"&amp;0)+2,1)=K$1,K$1,""),"")</f>
        <v/>
      </c>
      <c r="L433" s="36" t="str">
        <f>IFERROR(IF(--MID($F433,2*COUNTIF($G433:K433,"&gt;"&amp;0)+2,1)=L$1,L$1,""),"")</f>
        <v/>
      </c>
      <c r="M433" s="51" cm="1">
        <f t="array" ref="M433">IF($A433="","",IF(G433="","",_xlfn.XLOOKUP($D433&amp;"_"&amp;$AE433,符文权重!$A:$A&amp;"_"&amp;符文权重!$C:$C,符文权重!$D:$D)*$Y433/SUMIFS($Y:$Y,G:G,G433,$D:$D,$D433,$AE:$AE,$AE433)/SUMIF(符文权重!$A:$A,$D433,符文权重!$D:$D)))</f>
        <v>0.00344789233678123</v>
      </c>
      <c r="N433" s="51" t="str" cm="1">
        <f t="array" ref="N433">IF($A433="","",IF(H433="","",_xlfn.XLOOKUP($D433&amp;"_"&amp;$AE433,符文权重!$A:$A&amp;"_"&amp;符文权重!$C:$C,符文权重!$D:$D)*$Y433/SUMIFS($Y:$Y,H:H,H433,$D:$D,$D433,$AE:$AE,$AE433)/SUMIF(符文权重!$A:$A,$D433,符文权重!$D:$D)))</f>
        <v/>
      </c>
      <c r="O433" s="51" t="str" cm="1">
        <f t="array" ref="O433">IF($A433="","",IF(I433="","",_xlfn.XLOOKUP($D433&amp;"_"&amp;$AE433,符文权重!$A:$A&amp;"_"&amp;符文权重!$C:$C,符文权重!$D:$D)*$Y433/SUMIFS($Y:$Y,I:I,I433,$D:$D,$D433,$AE:$AE,$AE433)/SUMIF(符文权重!$A:$A,$D433,符文权重!$D:$D)))</f>
        <v/>
      </c>
      <c r="P433" s="51" t="str" cm="1">
        <f t="array" ref="P433">IF($A433="","",IF(J433="","",_xlfn.XLOOKUP($D433&amp;"_"&amp;$AE433,符文权重!$A:$A&amp;"_"&amp;符文权重!$C:$C,符文权重!$D:$D)*$Y433/SUMIFS($Y:$Y,J:J,J433,$D:$D,$D433,$AE:$AE,$AE433)/SUMIF(符文权重!$A:$A,$D433,符文权重!$D:$D)))</f>
        <v/>
      </c>
      <c r="Q433" s="51" t="str" cm="1">
        <f t="array" ref="Q433">IF($A433="","",IF(K433="","",_xlfn.XLOOKUP($D433&amp;"_"&amp;$AE433,符文权重!$A:$A&amp;"_"&amp;符文权重!$C:$C,符文权重!$D:$D)*$Y433/SUMIFS($Y:$Y,K:K,K433,$D:$D,$D433,$AE:$AE,$AE433)/SUMIF(符文权重!$A:$A,$D433,符文权重!$D:$D)))</f>
        <v/>
      </c>
      <c r="R433" s="51" t="str" cm="1">
        <f t="array" ref="R433">IF($A433="","",IF(L433="","",_xlfn.XLOOKUP($D433&amp;"_"&amp;$AE433,符文权重!$A:$A&amp;"_"&amp;符文权重!$C:$C,符文权重!$D:$D)*$Y433/SUMIFS($Y:$Y,L:L,L433,$D:$D,$D433,$AE:$AE,$AE433)/SUMIF(符文权重!$A:$A,$D433,符文权重!$D:$D)))</f>
        <v/>
      </c>
      <c r="S433" s="36" t="s">
        <v>192</v>
      </c>
      <c r="T433" s="36" t="s">
        <v>230</v>
      </c>
      <c r="U433" s="36" t="e">
        <f>IF(C433="","",SUBSTITUTE(SUBSTITUTE("[{global_atk,"&amp;#REF!*D433&amp;"}]",21,20),9,8))</f>
        <v>#REF!</v>
      </c>
      <c r="V433" s="52" t="str">
        <f t="shared" si="199"/>
        <v>[5505134]</v>
      </c>
      <c r="Y433" s="35">
        <v>4</v>
      </c>
      <c r="AA433" s="42" t="s">
        <v>185</v>
      </c>
      <c r="AB433" s="42" t="str">
        <f t="shared" si="192"/>
        <v>每选择一个控制梦灵的词条，所有控制梦灵伤害&lt;color=#54b76b&gt;+15%&lt;/color&gt;</v>
      </c>
      <c r="AC433" s="48" t="str">
        <f t="shared" si="187"/>
        <v>5505131</v>
      </c>
      <c r="AD433" s="42" t="str">
        <f t="shared" si="188"/>
        <v>[15]</v>
      </c>
      <c r="AE433" s="36">
        <v>3</v>
      </c>
      <c r="AF433" s="36"/>
      <c r="AG433" s="36">
        <v>0</v>
      </c>
      <c r="AH433" s="35">
        <v>1</v>
      </c>
      <c r="AI433" s="48">
        <f t="shared" si="200"/>
        <v>5505134</v>
      </c>
      <c r="AJ433" s="53" t="str">
        <f t="shared" si="201"/>
        <v>每选择一个控制梦灵的词条，所有控制梦灵伤害&lt;color=#54b76b&gt;+%s%&lt;/color&gt;</v>
      </c>
      <c r="AK433" s="36">
        <v>15</v>
      </c>
      <c r="AL433" s="35">
        <v>5</v>
      </c>
    </row>
    <row r="434" hidden="1" customHeight="1" spans="1:38">
      <c r="A434" s="48">
        <v>5505135</v>
      </c>
      <c r="B434" s="34" t="s">
        <v>540</v>
      </c>
      <c r="C434" s="48" t="str">
        <f t="shared" si="185"/>
        <v>5505131</v>
      </c>
      <c r="D434" s="42">
        <f t="shared" si="186"/>
        <v>5</v>
      </c>
      <c r="E434" s="42"/>
      <c r="F434" s="36" t="s">
        <v>202</v>
      </c>
      <c r="G434" s="36">
        <f t="shared" si="184"/>
        <v>1</v>
      </c>
      <c r="H434" s="36" t="str">
        <f>IFERROR(IF(--MID($F434,2*COUNTIF($G434:G434,"&gt;"&amp;0)+2,1)=H$1,H$1,""),"")</f>
        <v/>
      </c>
      <c r="I434" s="36" t="str">
        <f>IFERROR(IF(--MID($F434,2*COUNTIF($G434:H434,"&gt;"&amp;0)+2,1)=I$1,I$1,""),"")</f>
        <v/>
      </c>
      <c r="J434" s="36" t="str">
        <f>IFERROR(IF(--MID($F434,2*COUNTIF($G434:I434,"&gt;"&amp;0)+2,1)=J$1,J$1,""),"")</f>
        <v/>
      </c>
      <c r="K434" s="36" t="str">
        <f>IFERROR(IF(--MID($F434,2*COUNTIF($G434:J434,"&gt;"&amp;0)+2,1)=K$1,K$1,""),"")</f>
        <v/>
      </c>
      <c r="L434" s="36" t="str">
        <f>IFERROR(IF(--MID($F434,2*COUNTIF($G434:K434,"&gt;"&amp;0)+2,1)=L$1,L$1,""),"")</f>
        <v/>
      </c>
      <c r="M434" s="51" cm="1">
        <f t="array" ref="M434">IF($A434="","",IF(G434="","",_xlfn.XLOOKUP($D434&amp;"_"&amp;$AE434,符文权重!$A:$A&amp;"_"&amp;符文权重!$C:$C,符文权重!$D:$D)*$Y434/SUMIFS($Y:$Y,G:G,G434,$D:$D,$D434,$AE:$AE,$AE434)/SUMIF(符文权重!$A:$A,$D434,符文权重!$D:$D)))</f>
        <v>0.005</v>
      </c>
      <c r="N434" s="51" t="str" cm="1">
        <f t="array" ref="N434">IF($A434="","",IF(H434="","",_xlfn.XLOOKUP($D434&amp;"_"&amp;$AE434,符文权重!$A:$A&amp;"_"&amp;符文权重!$C:$C,符文权重!$D:$D)*$Y434/SUMIFS($Y:$Y,H:H,H434,$D:$D,$D434,$AE:$AE,$AE434)/SUMIF(符文权重!$A:$A,$D434,符文权重!$D:$D)))</f>
        <v/>
      </c>
      <c r="O434" s="51" t="str" cm="1">
        <f t="array" ref="O434">IF($A434="","",IF(I434="","",_xlfn.XLOOKUP($D434&amp;"_"&amp;$AE434,符文权重!$A:$A&amp;"_"&amp;符文权重!$C:$C,符文权重!$D:$D)*$Y434/SUMIFS($Y:$Y,I:I,I434,$D:$D,$D434,$AE:$AE,$AE434)/SUMIF(符文权重!$A:$A,$D434,符文权重!$D:$D)))</f>
        <v/>
      </c>
      <c r="P434" s="51" t="str" cm="1">
        <f t="array" ref="P434">IF($A434="","",IF(J434="","",_xlfn.XLOOKUP($D434&amp;"_"&amp;$AE434,符文权重!$A:$A&amp;"_"&amp;符文权重!$C:$C,符文权重!$D:$D)*$Y434/SUMIFS($Y:$Y,J:J,J434,$D:$D,$D434,$AE:$AE,$AE434)/SUMIF(符文权重!$A:$A,$D434,符文权重!$D:$D)))</f>
        <v/>
      </c>
      <c r="Q434" s="51" t="str" cm="1">
        <f t="array" ref="Q434">IF($A434="","",IF(K434="","",_xlfn.XLOOKUP($D434&amp;"_"&amp;$AE434,符文权重!$A:$A&amp;"_"&amp;符文权重!$C:$C,符文权重!$D:$D)*$Y434/SUMIFS($Y:$Y,K:K,K434,$D:$D,$D434,$AE:$AE,$AE434)/SUMIF(符文权重!$A:$A,$D434,符文权重!$D:$D)))</f>
        <v/>
      </c>
      <c r="R434" s="51" t="str" cm="1">
        <f t="array" ref="R434">IF($A434="","",IF(L434="","",_xlfn.XLOOKUP($D434&amp;"_"&amp;$AE434,符文权重!$A:$A&amp;"_"&amp;符文权重!$C:$C,符文权重!$D:$D)*$Y434/SUMIFS($Y:$Y,L:L,L434,$D:$D,$D434,$AE:$AE,$AE434)/SUMIF(符文权重!$A:$A,$D434,符文权重!$D:$D)))</f>
        <v/>
      </c>
      <c r="S434" s="36" t="s">
        <v>192</v>
      </c>
      <c r="T434" s="36" t="s">
        <v>230</v>
      </c>
      <c r="U434" s="36" t="e">
        <f>IF(C434="","",SUBSTITUTE(SUBSTITUTE("[{global_atk,"&amp;#REF!*D434&amp;"}]",21,20),9,8))</f>
        <v>#REF!</v>
      </c>
      <c r="V434" s="52" t="str">
        <f t="shared" si="199"/>
        <v>[5505135]</v>
      </c>
      <c r="Y434" s="35">
        <v>100</v>
      </c>
      <c r="AA434" s="42" t="s">
        <v>187</v>
      </c>
      <c r="AB434" s="42" t="str">
        <f t="shared" si="192"/>
        <v>每选择一个控制梦灵的词条，所有控制梦灵伤害&lt;color=#54b76b&gt;+25%&lt;/color&gt;</v>
      </c>
      <c r="AC434" s="48" t="str">
        <f t="shared" si="187"/>
        <v>5505131</v>
      </c>
      <c r="AD434" s="42" t="str">
        <f t="shared" si="188"/>
        <v>[25]</v>
      </c>
      <c r="AE434" s="36">
        <v>5</v>
      </c>
      <c r="AF434" s="36"/>
      <c r="AG434" s="36">
        <v>0</v>
      </c>
      <c r="AH434" s="35">
        <v>1</v>
      </c>
      <c r="AI434" s="48">
        <f t="shared" si="200"/>
        <v>5505135</v>
      </c>
      <c r="AJ434" s="53" t="str">
        <f t="shared" si="201"/>
        <v>每选择一个控制梦灵的词条，所有控制梦灵伤害&lt;color=#54b76b&gt;+%s%&lt;/color&gt;</v>
      </c>
      <c r="AK434" s="36">
        <v>25</v>
      </c>
      <c r="AL434" s="35">
        <v>5</v>
      </c>
    </row>
    <row r="435" hidden="1" customHeight="1" spans="1:38">
      <c r="A435" s="48">
        <v>5505136</v>
      </c>
      <c r="B435" s="34" t="s">
        <v>540</v>
      </c>
      <c r="C435" s="48" t="str">
        <f t="shared" si="185"/>
        <v>5505131</v>
      </c>
      <c r="D435" s="42">
        <f t="shared" si="186"/>
        <v>6</v>
      </c>
      <c r="E435" s="42"/>
      <c r="F435" s="36" t="s">
        <v>202</v>
      </c>
      <c r="G435" s="36">
        <f t="shared" si="184"/>
        <v>1</v>
      </c>
      <c r="H435" s="36" t="str">
        <f>IFERROR(IF(--MID($F435,2*COUNTIF($G435:G435,"&gt;"&amp;0)+2,1)=H$1,H$1,""),"")</f>
        <v/>
      </c>
      <c r="I435" s="36" t="str">
        <f>IFERROR(IF(--MID($F435,2*COUNTIF($G435:H435,"&gt;"&amp;0)+2,1)=I$1,I$1,""),"")</f>
        <v/>
      </c>
      <c r="J435" s="36" t="str">
        <f>IFERROR(IF(--MID($F435,2*COUNTIF($G435:I435,"&gt;"&amp;0)+2,1)=J$1,J$1,""),"")</f>
        <v/>
      </c>
      <c r="K435" s="36" t="str">
        <f>IFERROR(IF(--MID($F435,2*COUNTIF($G435:J435,"&gt;"&amp;0)+2,1)=K$1,K$1,""),"")</f>
        <v/>
      </c>
      <c r="L435" s="36" t="str">
        <f>IFERROR(IF(--MID($F435,2*COUNTIF($G435:K435,"&gt;"&amp;0)+2,1)=L$1,L$1,""),"")</f>
        <v/>
      </c>
      <c r="M435" s="51" cm="1">
        <f t="array" ref="M435">IF($A435="","",IF(G435="","",_xlfn.XLOOKUP($D435&amp;"_"&amp;$AE435,符文权重!$A:$A&amp;"_"&amp;符文权重!$C:$C,符文权重!$D:$D)*$Y435/SUMIFS($Y:$Y,G:G,G435,$D:$D,$D435,$AE:$AE,$AE435)/SUMIF(符文权重!$A:$A,$D435,符文权重!$D:$D)))</f>
        <v>0.005</v>
      </c>
      <c r="N435" s="51" t="str" cm="1">
        <f t="array" ref="N435">IF($A435="","",IF(H435="","",_xlfn.XLOOKUP($D435&amp;"_"&amp;$AE435,符文权重!$A:$A&amp;"_"&amp;符文权重!$C:$C,符文权重!$D:$D)*$Y435/SUMIFS($Y:$Y,H:H,H435,$D:$D,$D435,$AE:$AE,$AE435)/SUMIF(符文权重!$A:$A,$D435,符文权重!$D:$D)))</f>
        <v/>
      </c>
      <c r="O435" s="51" t="str" cm="1">
        <f t="array" ref="O435">IF($A435="","",IF(I435="","",_xlfn.XLOOKUP($D435&amp;"_"&amp;$AE435,符文权重!$A:$A&amp;"_"&amp;符文权重!$C:$C,符文权重!$D:$D)*$Y435/SUMIFS($Y:$Y,I:I,I435,$D:$D,$D435,$AE:$AE,$AE435)/SUMIF(符文权重!$A:$A,$D435,符文权重!$D:$D)))</f>
        <v/>
      </c>
      <c r="P435" s="51" t="str" cm="1">
        <f t="array" ref="P435">IF($A435="","",IF(J435="","",_xlfn.XLOOKUP($D435&amp;"_"&amp;$AE435,符文权重!$A:$A&amp;"_"&amp;符文权重!$C:$C,符文权重!$D:$D)*$Y435/SUMIFS($Y:$Y,J:J,J435,$D:$D,$D435,$AE:$AE,$AE435)/SUMIF(符文权重!$A:$A,$D435,符文权重!$D:$D)))</f>
        <v/>
      </c>
      <c r="Q435" s="51" t="str" cm="1">
        <f t="array" ref="Q435">IF($A435="","",IF(K435="","",_xlfn.XLOOKUP($D435&amp;"_"&amp;$AE435,符文权重!$A:$A&amp;"_"&amp;符文权重!$C:$C,符文权重!$D:$D)*$Y435/SUMIFS($Y:$Y,K:K,K435,$D:$D,$D435,$AE:$AE,$AE435)/SUMIF(符文权重!$A:$A,$D435,符文权重!$D:$D)))</f>
        <v/>
      </c>
      <c r="R435" s="51" t="str" cm="1">
        <f t="array" ref="R435">IF($A435="","",IF(L435="","",_xlfn.XLOOKUP($D435&amp;"_"&amp;$AE435,符文权重!$A:$A&amp;"_"&amp;符文权重!$C:$C,符文权重!$D:$D)*$Y435/SUMIFS($Y:$Y,L:L,L435,$D:$D,$D435,$AE:$AE,$AE435)/SUMIF(符文权重!$A:$A,$D435,符文权重!$D:$D)))</f>
        <v/>
      </c>
      <c r="S435" s="36" t="s">
        <v>192</v>
      </c>
      <c r="T435" s="36" t="s">
        <v>230</v>
      </c>
      <c r="U435" s="36" t="e">
        <f>IF(C435="","",SUBSTITUTE(SUBSTITUTE("[{global_atk,"&amp;#REF!*D435&amp;"}]",21,20),9,8))</f>
        <v>#REF!</v>
      </c>
      <c r="V435" s="52" t="str">
        <f t="shared" si="199"/>
        <v>[5505136]</v>
      </c>
      <c r="Y435" s="35">
        <v>100</v>
      </c>
      <c r="AA435" s="42" t="s">
        <v>189</v>
      </c>
      <c r="AB435" s="42" t="str">
        <f t="shared" si="192"/>
        <v>每选择一个控制梦灵的词条，所有控制梦灵伤害&lt;color=#54b76b&gt;+35%&lt;/color&gt;</v>
      </c>
      <c r="AC435" s="48" t="str">
        <f t="shared" si="187"/>
        <v>5505131</v>
      </c>
      <c r="AD435" s="42" t="str">
        <f t="shared" si="188"/>
        <v>[35]</v>
      </c>
      <c r="AE435" s="36">
        <v>5</v>
      </c>
      <c r="AF435" s="36"/>
      <c r="AG435" s="36">
        <v>0</v>
      </c>
      <c r="AH435" s="35">
        <v>1</v>
      </c>
      <c r="AI435" s="48">
        <f t="shared" si="200"/>
        <v>5505136</v>
      </c>
      <c r="AJ435" s="53" t="str">
        <f t="shared" si="201"/>
        <v>每选择一个控制梦灵的词条，所有控制梦灵伤害&lt;color=#54b76b&gt;+%s%&lt;/color&gt;</v>
      </c>
      <c r="AK435" s="36">
        <v>35</v>
      </c>
      <c r="AL435" s="35">
        <v>5</v>
      </c>
    </row>
    <row r="436" hidden="1" customHeight="1" spans="1:38">
      <c r="A436" s="48">
        <v>5505137</v>
      </c>
      <c r="B436" s="34" t="s">
        <v>540</v>
      </c>
      <c r="C436" s="48" t="str">
        <f t="shared" si="185"/>
        <v>5505131</v>
      </c>
      <c r="D436" s="42">
        <f t="shared" si="186"/>
        <v>7</v>
      </c>
      <c r="E436" s="42"/>
      <c r="F436" s="36" t="s">
        <v>202</v>
      </c>
      <c r="G436" s="36">
        <f t="shared" si="184"/>
        <v>1</v>
      </c>
      <c r="H436" s="36" t="str">
        <f>IFERROR(IF(--MID($F436,2*COUNTIF($G436:G436,"&gt;"&amp;0)+2,1)=H$1,H$1,""),"")</f>
        <v/>
      </c>
      <c r="I436" s="36" t="str">
        <f>IFERROR(IF(--MID($F436,2*COUNTIF($G436:H436,"&gt;"&amp;0)+2,1)=I$1,I$1,""),"")</f>
        <v/>
      </c>
      <c r="J436" s="36" t="str">
        <f>IFERROR(IF(--MID($F436,2*COUNTIF($G436:I436,"&gt;"&amp;0)+2,1)=J$1,J$1,""),"")</f>
        <v/>
      </c>
      <c r="K436" s="36" t="str">
        <f>IFERROR(IF(--MID($F436,2*COUNTIF($G436:J436,"&gt;"&amp;0)+2,1)=K$1,K$1,""),"")</f>
        <v/>
      </c>
      <c r="L436" s="36" t="str">
        <f>IFERROR(IF(--MID($F436,2*COUNTIF($G436:K436,"&gt;"&amp;0)+2,1)=L$1,L$1,""),"")</f>
        <v/>
      </c>
      <c r="M436" s="51" cm="1">
        <f t="array" ref="M436">IF($A436="","",IF(G436="","",_xlfn.XLOOKUP($D436&amp;"_"&amp;$AE436,符文权重!$A:$A&amp;"_"&amp;符文权重!$C:$C,符文权重!$D:$D)*$Y436/SUMIFS($Y:$Y,G:G,G436,$D:$D,$D436,$AE:$AE,$AE436)/SUMIF(符文权重!$A:$A,$D436,符文权重!$D:$D)))</f>
        <v>0.005</v>
      </c>
      <c r="N436" s="51" t="str" cm="1">
        <f t="array" ref="N436">IF($A436="","",IF(H436="","",_xlfn.XLOOKUP($D436&amp;"_"&amp;$AE436,符文权重!$A:$A&amp;"_"&amp;符文权重!$C:$C,符文权重!$D:$D)*$Y436/SUMIFS($Y:$Y,H:H,H436,$D:$D,$D436,$AE:$AE,$AE436)/SUMIF(符文权重!$A:$A,$D436,符文权重!$D:$D)))</f>
        <v/>
      </c>
      <c r="O436" s="51" t="str" cm="1">
        <f t="array" ref="O436">IF($A436="","",IF(I436="","",_xlfn.XLOOKUP($D436&amp;"_"&amp;$AE436,符文权重!$A:$A&amp;"_"&amp;符文权重!$C:$C,符文权重!$D:$D)*$Y436/SUMIFS($Y:$Y,I:I,I436,$D:$D,$D436,$AE:$AE,$AE436)/SUMIF(符文权重!$A:$A,$D436,符文权重!$D:$D)))</f>
        <v/>
      </c>
      <c r="P436" s="51" t="str" cm="1">
        <f t="array" ref="P436">IF($A436="","",IF(J436="","",_xlfn.XLOOKUP($D436&amp;"_"&amp;$AE436,符文权重!$A:$A&amp;"_"&amp;符文权重!$C:$C,符文权重!$D:$D)*$Y436/SUMIFS($Y:$Y,J:J,J436,$D:$D,$D436,$AE:$AE,$AE436)/SUMIF(符文权重!$A:$A,$D436,符文权重!$D:$D)))</f>
        <v/>
      </c>
      <c r="Q436" s="51" t="str" cm="1">
        <f t="array" ref="Q436">IF($A436="","",IF(K436="","",_xlfn.XLOOKUP($D436&amp;"_"&amp;$AE436,符文权重!$A:$A&amp;"_"&amp;符文权重!$C:$C,符文权重!$D:$D)*$Y436/SUMIFS($Y:$Y,K:K,K436,$D:$D,$D436,$AE:$AE,$AE436)/SUMIF(符文权重!$A:$A,$D436,符文权重!$D:$D)))</f>
        <v/>
      </c>
      <c r="R436" s="51" t="str" cm="1">
        <f t="array" ref="R436">IF($A436="","",IF(L436="","",_xlfn.XLOOKUP($D436&amp;"_"&amp;$AE436,符文权重!$A:$A&amp;"_"&amp;符文权重!$C:$C,符文权重!$D:$D)*$Y436/SUMIFS($Y:$Y,L:L,L436,$D:$D,$D436,$AE:$AE,$AE436)/SUMIF(符文权重!$A:$A,$D436,符文权重!$D:$D)))</f>
        <v/>
      </c>
      <c r="S436" s="36" t="s">
        <v>192</v>
      </c>
      <c r="T436" s="36" t="s">
        <v>230</v>
      </c>
      <c r="U436" s="36" t="e">
        <f>IF(C436="","",SUBSTITUTE(SUBSTITUTE("[{global_atk,"&amp;#REF!*D436&amp;"}]",21,20),9,8))</f>
        <v>#REF!</v>
      </c>
      <c r="V436" s="52" t="str">
        <f t="shared" si="199"/>
        <v>[5505137]</v>
      </c>
      <c r="Y436" s="36">
        <v>100</v>
      </c>
      <c r="AA436" s="42" t="s">
        <v>191</v>
      </c>
      <c r="AB436" s="42" t="str">
        <f t="shared" si="192"/>
        <v>每选择一个控制梦灵的词条，所有控制梦灵伤害&lt;color=#54b76b&gt;+45%&lt;/color&gt;</v>
      </c>
      <c r="AC436" s="48" t="str">
        <f t="shared" si="187"/>
        <v>5505131</v>
      </c>
      <c r="AD436" s="42" t="str">
        <f t="shared" si="188"/>
        <v>[45]</v>
      </c>
      <c r="AE436" s="36">
        <v>5</v>
      </c>
      <c r="AF436" s="36"/>
      <c r="AG436" s="36">
        <v>0</v>
      </c>
      <c r="AH436" s="35">
        <v>1</v>
      </c>
      <c r="AI436" s="48">
        <f t="shared" si="200"/>
        <v>5505137</v>
      </c>
      <c r="AJ436" s="53" t="str">
        <f t="shared" si="201"/>
        <v>每选择一个控制梦灵的词条，所有控制梦灵伤害&lt;color=#54b76b&gt;+%s%&lt;/color&gt;</v>
      </c>
      <c r="AK436" s="36">
        <v>45</v>
      </c>
      <c r="AL436" s="36">
        <v>5</v>
      </c>
    </row>
    <row r="437" s="25" customFormat="1" hidden="1" customHeight="1" spans="1:38">
      <c r="A437" s="48" t="s">
        <v>178</v>
      </c>
      <c r="B437" s="72" t="s">
        <v>541</v>
      </c>
      <c r="C437" s="48" t="str">
        <f t="shared" si="185"/>
        <v/>
      </c>
      <c r="D437" s="42" t="str">
        <f t="shared" si="186"/>
        <v/>
      </c>
      <c r="E437" s="42"/>
      <c r="G437" s="36" t="str">
        <f t="shared" si="184"/>
        <v/>
      </c>
      <c r="H437" s="36" t="str">
        <f>IFERROR(IF(--MID($F437,2*COUNTIF($G437:G437,"&gt;"&amp;0)+2,1)=H$1,H$1,""),"")</f>
        <v/>
      </c>
      <c r="I437" s="36" t="str">
        <f>IFERROR(IF(--MID($F437,2*COUNTIF($G437:H437,"&gt;"&amp;0)+2,1)=I$1,I$1,""),"")</f>
        <v/>
      </c>
      <c r="J437" s="36" t="str">
        <f>IFERROR(IF(--MID($F437,2*COUNTIF($G437:I437,"&gt;"&amp;0)+2,1)=J$1,J$1,""),"")</f>
        <v/>
      </c>
      <c r="K437" s="36" t="str">
        <f>IFERROR(IF(--MID($F437,2*COUNTIF($G437:J437,"&gt;"&amp;0)+2,1)=K$1,K$1,""),"")</f>
        <v/>
      </c>
      <c r="L437" s="36" t="str">
        <f>IFERROR(IF(--MID($F437,2*COUNTIF($G437:K437,"&gt;"&amp;0)+2,1)=L$1,L$1,""),"")</f>
        <v/>
      </c>
      <c r="M437" s="51" t="str" cm="1">
        <f t="array" ref="M437">IF($A437="","",IF(G437="","",_xlfn.XLOOKUP($D437&amp;"_"&amp;$AE437,符文权重!$A:$A&amp;"_"&amp;符文权重!$C:$C,符文权重!$D:$D)*$Y437/SUMIFS($Y:$Y,G:G,G437,$D:$D,$D437,$AE:$AE,$AE437)/SUMIF(符文权重!$A:$A,$D437,符文权重!$D:$D)))</f>
        <v/>
      </c>
      <c r="N437" s="36" t="str" cm="1">
        <f t="array" ref="N437">IF($A437="","",IF(H437="","",_xlfn.XLOOKUP($D437&amp;"_"&amp;$AE437,符文权重!$A:$A&amp;"_"&amp;符文权重!$C:$C,符文权重!$D:$D)*$Y437/SUMIFS($Y:$Y,H:H,H437,$D:$D,$D$6,$AE:$AE,$AE$6)))</f>
        <v/>
      </c>
      <c r="O437" s="36" t="str" cm="1">
        <f t="array" ref="O437">IF($A437="","",IF(I437="","",_xlfn.XLOOKUP($D437&amp;"_"&amp;$AE437,符文权重!$A:$A&amp;"_"&amp;符文权重!$C:$C,符文权重!$D:$D)*$Y437/SUMIFS($Y:$Y,I:I,I437,$D:$D,$D$6,$AE:$AE,$AE$6)))</f>
        <v/>
      </c>
      <c r="P437" s="36" t="str" cm="1">
        <f t="array" ref="P437">IF($A437="","",IF(J437="","",_xlfn.XLOOKUP($D437&amp;"_"&amp;$AE437,符文权重!$A:$A&amp;"_"&amp;符文权重!$C:$C,符文权重!$D:$D)*$Y437/SUMIFS($Y:$Y,J:J,J437,$D:$D,$D$6,$AE:$AE,$AE$6)))</f>
        <v/>
      </c>
      <c r="Q437" s="36" t="str" cm="1">
        <f t="array" ref="Q437">IF($A437="","",IF(K437="","",_xlfn.XLOOKUP($D437&amp;"_"&amp;$AE437,符文权重!$A:$A&amp;"_"&amp;符文权重!$C:$C,符文权重!$D:$D)*$Y437/SUMIFS($Y:$Y,K:K,K437,$D:$D,$D$6,$AE:$AE,$AE$6)))</f>
        <v/>
      </c>
      <c r="R437" s="36" t="str" cm="1">
        <f t="array" ref="R437">IF($A437="","",IF(L437="","",_xlfn.XLOOKUP($D437&amp;"_"&amp;$AE437,符文权重!$A:$A&amp;"_"&amp;符文权重!$C:$C,符文权重!$D:$D)*$Y437/SUMIFS($Y:$Y,L:L,L437,$D:$D,$D$6,$AE:$AE,$AE$6)))</f>
        <v/>
      </c>
      <c r="S437" s="36"/>
      <c r="T437" s="36"/>
      <c r="U437" s="36"/>
      <c r="W437" s="41"/>
      <c r="X437" s="35"/>
      <c r="Y437" s="35"/>
      <c r="Z437" s="35"/>
      <c r="AA437" s="42" t="s">
        <v>178</v>
      </c>
      <c r="AB437" s="42" t="str">
        <f t="shared" si="192"/>
        <v/>
      </c>
      <c r="AC437" s="48" t="str">
        <f t="shared" si="187"/>
        <v/>
      </c>
      <c r="AD437" s="42" t="str">
        <f t="shared" si="188"/>
        <v/>
      </c>
      <c r="AE437" s="36"/>
      <c r="AF437" s="36"/>
      <c r="AG437" s="36"/>
      <c r="AH437" s="35" t="s">
        <v>178</v>
      </c>
      <c r="AI437" s="33"/>
      <c r="AJ437" s="65"/>
      <c r="AK437" s="36"/>
      <c r="AL437" s="35"/>
    </row>
    <row r="438" s="28" customFormat="1" hidden="1" customHeight="1" spans="1:38">
      <c r="A438" s="57">
        <v>5505141</v>
      </c>
      <c r="B438" s="58" t="s">
        <v>542</v>
      </c>
      <c r="C438" s="57" t="str">
        <f t="shared" si="185"/>
        <v>5505141</v>
      </c>
      <c r="D438" s="59">
        <f t="shared" si="186"/>
        <v>1</v>
      </c>
      <c r="E438" s="59"/>
      <c r="F438" s="60" t="s">
        <v>404</v>
      </c>
      <c r="G438" s="36" t="str">
        <f t="shared" si="184"/>
        <v/>
      </c>
      <c r="H438" s="36" t="str">
        <f>IFERROR(IF(--MID($F438,2*COUNTIF($G438:G438,"&gt;"&amp;0)+2,1)=H$1,H$1,""),"")</f>
        <v/>
      </c>
      <c r="I438" s="36" t="str">
        <f>IFERROR(IF(--MID($F438,2*COUNTIF($G438:H438,"&gt;"&amp;0)+2,1)=I$1,I$1,""),"")</f>
        <v/>
      </c>
      <c r="J438" s="36">
        <f>IFERROR(IF(--MID($F438,2*COUNTIF($G438:I438,"&gt;"&amp;0)+2,1)=J$1,J$1,""),"")</f>
        <v>4</v>
      </c>
      <c r="K438" s="36" t="str">
        <f>IFERROR(IF(--MID($F438,2*COUNTIF($G438:J438,"&gt;"&amp;0)+2,1)=K$1,K$1,""),"")</f>
        <v/>
      </c>
      <c r="L438" s="36" t="str">
        <f>IFERROR(IF(--MID($F438,2*COUNTIF($G438:K438,"&gt;"&amp;0)+2,1)=L$1,L$1,""),"")</f>
        <v/>
      </c>
      <c r="M438" s="36" t="e" cm="1">
        <f t="array" ref="M438">IF(A438="","",_xlfn.XLOOKUP(D438&amp;"_"&amp;AE438,符文权重!A:A&amp;"_"&amp;符文权重!C:C,符文权重!D:D))</f>
        <v>#N/A</v>
      </c>
      <c r="N438" s="36"/>
      <c r="O438" s="36"/>
      <c r="P438" s="36"/>
      <c r="Q438" s="36"/>
      <c r="R438" s="36"/>
      <c r="S438" s="60" t="s">
        <v>192</v>
      </c>
      <c r="T438" s="60" t="s">
        <v>220</v>
      </c>
      <c r="U438" s="60" t="e">
        <f>IF(C438="","",SUBSTITUTE(SUBSTITUTE("[{global_atk,"&amp;#REF!*D438&amp;"}]",21,20),9,8))</f>
        <v>#REF!</v>
      </c>
      <c r="V438" s="61" t="str">
        <f t="shared" ref="V438:V444" si="202">"["&amp;A438&amp;"]"</f>
        <v>[5505141]</v>
      </c>
      <c r="W438" s="60"/>
      <c r="Y438" s="35">
        <v>100</v>
      </c>
      <c r="AA438" s="59" t="s">
        <v>177</v>
      </c>
      <c r="AB438" s="42" t="str">
        <f t="shared" si="192"/>
        <v>毒系职业施加中毒效果时，有&lt;color=#54b76b&gt;60%&lt;/color&gt;概率触发[剧毒]，造成当前层数的毒系伤害</v>
      </c>
      <c r="AC438" s="57" t="str">
        <f t="shared" si="187"/>
        <v>5505141</v>
      </c>
      <c r="AD438" s="59" t="str">
        <f t="shared" si="188"/>
        <v>[60]</v>
      </c>
      <c r="AE438" s="60">
        <v>100</v>
      </c>
      <c r="AF438" s="60"/>
      <c r="AG438" s="60">
        <v>1</v>
      </c>
      <c r="AH438" s="35">
        <v>1</v>
      </c>
      <c r="AI438" s="62">
        <v>5505141</v>
      </c>
      <c r="AJ438" s="63" t="s">
        <v>542</v>
      </c>
      <c r="AK438" s="60">
        <v>60</v>
      </c>
      <c r="AL438" s="35"/>
    </row>
    <row r="439" s="28" customFormat="1" hidden="1" customHeight="1" spans="1:38">
      <c r="A439" s="57">
        <v>5505142</v>
      </c>
      <c r="B439" s="58" t="s">
        <v>542</v>
      </c>
      <c r="C439" s="57" t="str">
        <f t="shared" si="185"/>
        <v>5505141</v>
      </c>
      <c r="D439" s="59">
        <f t="shared" si="186"/>
        <v>2</v>
      </c>
      <c r="E439" s="59"/>
      <c r="F439" s="60" t="s">
        <v>404</v>
      </c>
      <c r="G439" s="36" t="str">
        <f t="shared" si="184"/>
        <v/>
      </c>
      <c r="H439" s="36" t="str">
        <f>IFERROR(IF(--MID($F439,2*COUNTIF($G439:G439,"&gt;"&amp;0)+2,1)=H$1,H$1,""),"")</f>
        <v/>
      </c>
      <c r="I439" s="36" t="str">
        <f>IFERROR(IF(--MID($F439,2*COUNTIF($G439:H439,"&gt;"&amp;0)+2,1)=I$1,I$1,""),"")</f>
        <v/>
      </c>
      <c r="J439" s="36">
        <f>IFERROR(IF(--MID($F439,2*COUNTIF($G439:I439,"&gt;"&amp;0)+2,1)=J$1,J$1,""),"")</f>
        <v>4</v>
      </c>
      <c r="K439" s="36" t="str">
        <f>IFERROR(IF(--MID($F439,2*COUNTIF($G439:J439,"&gt;"&amp;0)+2,1)=K$1,K$1,""),"")</f>
        <v/>
      </c>
      <c r="L439" s="36" t="str">
        <f>IFERROR(IF(--MID($F439,2*COUNTIF($G439:K439,"&gt;"&amp;0)+2,1)=L$1,L$1,""),"")</f>
        <v/>
      </c>
      <c r="M439" s="36" t="e" cm="1">
        <f t="array" ref="M439">IF(A439="","",_xlfn.XLOOKUP(D439&amp;"_"&amp;AE439,符文权重!A:A&amp;"_"&amp;符文权重!C:C,符文权重!D:D))</f>
        <v>#N/A</v>
      </c>
      <c r="N439" s="36"/>
      <c r="O439" s="36"/>
      <c r="P439" s="36"/>
      <c r="Q439" s="36"/>
      <c r="R439" s="36"/>
      <c r="S439" s="60" t="s">
        <v>192</v>
      </c>
      <c r="T439" s="60" t="s">
        <v>220</v>
      </c>
      <c r="U439" s="60" t="e">
        <f>IF(C439="","",SUBSTITUTE(SUBSTITUTE("[{global_atk,"&amp;#REF!*D439&amp;"}]",21,20),9,8))</f>
        <v>#REF!</v>
      </c>
      <c r="V439" s="61" t="str">
        <f t="shared" si="202"/>
        <v>[5505142]</v>
      </c>
      <c r="W439" s="60"/>
      <c r="Y439" s="35">
        <v>100</v>
      </c>
      <c r="AA439" s="59" t="s">
        <v>181</v>
      </c>
      <c r="AB439" s="42" t="str">
        <f t="shared" si="192"/>
        <v>毒系职业施加中毒效果时，有&lt;color=#54b76b&gt;75%&lt;/color&gt;概率触发[剧毒]，造成当前层数的毒系伤害</v>
      </c>
      <c r="AC439" s="57" t="str">
        <f t="shared" si="187"/>
        <v>5505141</v>
      </c>
      <c r="AD439" s="59" t="str">
        <f t="shared" si="188"/>
        <v>[75]</v>
      </c>
      <c r="AE439" s="60">
        <v>100</v>
      </c>
      <c r="AF439" s="60"/>
      <c r="AG439" s="60">
        <v>1</v>
      </c>
      <c r="AH439" s="35">
        <v>1</v>
      </c>
      <c r="AI439" s="57">
        <f t="shared" ref="AI439:AI444" si="203">AI438+1</f>
        <v>5505142</v>
      </c>
      <c r="AJ439" s="64" t="str">
        <f t="shared" ref="AJ439:AJ444" si="204">AJ438</f>
        <v>毒系职业施加中毒效果时，有&lt;color=#54b76b&gt;%s%&lt;/color&gt;概率触发[剧毒]，造成当前层数的毒系伤害</v>
      </c>
      <c r="AK439" s="60">
        <v>75</v>
      </c>
      <c r="AL439" s="35"/>
    </row>
    <row r="440" s="28" customFormat="1" hidden="1" customHeight="1" spans="1:38">
      <c r="A440" s="57">
        <v>5505143</v>
      </c>
      <c r="B440" s="58" t="s">
        <v>542</v>
      </c>
      <c r="C440" s="57" t="str">
        <f t="shared" si="185"/>
        <v>5505141</v>
      </c>
      <c r="D440" s="59">
        <f t="shared" si="186"/>
        <v>3</v>
      </c>
      <c r="E440" s="59"/>
      <c r="F440" s="60" t="s">
        <v>404</v>
      </c>
      <c r="G440" s="36" t="str">
        <f t="shared" si="184"/>
        <v/>
      </c>
      <c r="H440" s="36" t="str">
        <f>IFERROR(IF(--MID($F440,2*COUNTIF($G440:G440,"&gt;"&amp;0)+2,1)=H$1,H$1,""),"")</f>
        <v/>
      </c>
      <c r="I440" s="36" t="str">
        <f>IFERROR(IF(--MID($F440,2*COUNTIF($G440:H440,"&gt;"&amp;0)+2,1)=I$1,I$1,""),"")</f>
        <v/>
      </c>
      <c r="J440" s="36">
        <f>IFERROR(IF(--MID($F440,2*COUNTIF($G440:I440,"&gt;"&amp;0)+2,1)=J$1,J$1,""),"")</f>
        <v>4</v>
      </c>
      <c r="K440" s="36" t="str">
        <f>IFERROR(IF(--MID($F440,2*COUNTIF($G440:J440,"&gt;"&amp;0)+2,1)=K$1,K$1,""),"")</f>
        <v/>
      </c>
      <c r="L440" s="36" t="str">
        <f>IFERROR(IF(--MID($F440,2*COUNTIF($G440:K440,"&gt;"&amp;0)+2,1)=L$1,L$1,""),"")</f>
        <v/>
      </c>
      <c r="M440" s="36" t="e" cm="1">
        <f t="array" ref="M440">IF(A440="","",_xlfn.XLOOKUP(D440&amp;"_"&amp;AE440,符文权重!A:A&amp;"_"&amp;符文权重!C:C,符文权重!D:D))</f>
        <v>#N/A</v>
      </c>
      <c r="N440" s="36"/>
      <c r="O440" s="36"/>
      <c r="P440" s="36"/>
      <c r="Q440" s="36"/>
      <c r="R440" s="36"/>
      <c r="S440" s="60" t="s">
        <v>192</v>
      </c>
      <c r="T440" s="60" t="s">
        <v>220</v>
      </c>
      <c r="U440" s="60" t="e">
        <f>IF(C440="","",SUBSTITUTE(SUBSTITUTE("[{global_atk,"&amp;#REF!*D440&amp;"}]",21,20),9,8))</f>
        <v>#REF!</v>
      </c>
      <c r="V440" s="61" t="str">
        <f t="shared" si="202"/>
        <v>[5505143]</v>
      </c>
      <c r="W440" s="60"/>
      <c r="Y440" s="36">
        <v>100</v>
      </c>
      <c r="AA440" s="59" t="s">
        <v>183</v>
      </c>
      <c r="AB440" s="42" t="str">
        <f t="shared" si="192"/>
        <v>毒系职业施加中毒效果时，有&lt;color=#54b76b&gt;75%&lt;/color&gt;概率触发[剧毒]，造成当前层数的毒系伤害</v>
      </c>
      <c r="AC440" s="57" t="str">
        <f t="shared" si="187"/>
        <v>5505141</v>
      </c>
      <c r="AD440" s="59" t="str">
        <f t="shared" si="188"/>
        <v>[75]</v>
      </c>
      <c r="AE440" s="60">
        <v>100</v>
      </c>
      <c r="AF440" s="60"/>
      <c r="AG440" s="60">
        <v>1</v>
      </c>
      <c r="AH440" s="35">
        <v>1</v>
      </c>
      <c r="AI440" s="57">
        <f t="shared" si="203"/>
        <v>5505143</v>
      </c>
      <c r="AJ440" s="64" t="str">
        <f t="shared" si="204"/>
        <v>毒系职业施加中毒效果时，有&lt;color=#54b76b&gt;%s%&lt;/color&gt;概率触发[剧毒]，造成当前层数的毒系伤害</v>
      </c>
      <c r="AK440" s="60">
        <v>75</v>
      </c>
      <c r="AL440" s="36"/>
    </row>
    <row r="441" hidden="1" customHeight="1" spans="1:38">
      <c r="A441" s="48">
        <v>5505144</v>
      </c>
      <c r="B441" s="34" t="s">
        <v>542</v>
      </c>
      <c r="C441" s="48" t="str">
        <f t="shared" si="185"/>
        <v>5505141</v>
      </c>
      <c r="D441" s="42">
        <f t="shared" si="186"/>
        <v>4</v>
      </c>
      <c r="E441" s="42"/>
      <c r="F441" s="36" t="s">
        <v>404</v>
      </c>
      <c r="G441" s="36" t="str">
        <f t="shared" si="184"/>
        <v/>
      </c>
      <c r="H441" s="36" t="str">
        <f>IFERROR(IF(--MID($F441,2*COUNTIF($G441:G441,"&gt;"&amp;0)+2,1)=H$1,H$1,""),"")</f>
        <v/>
      </c>
      <c r="I441" s="36" t="str">
        <f>IFERROR(IF(--MID($F441,2*COUNTIF($G441:H441,"&gt;"&amp;0)+2,1)=I$1,I$1,""),"")</f>
        <v/>
      </c>
      <c r="J441" s="36">
        <f>IFERROR(IF(--MID($F441,2*COUNTIF($G441:I441,"&gt;"&amp;0)+2,1)=J$1,J$1,""),"")</f>
        <v>4</v>
      </c>
      <c r="K441" s="36" t="str">
        <f>IFERROR(IF(--MID($F441,2*COUNTIF($G441:J441,"&gt;"&amp;0)+2,1)=K$1,K$1,""),"")</f>
        <v/>
      </c>
      <c r="L441" s="36" t="str">
        <f>IFERROR(IF(--MID($F441,2*COUNTIF($G441:K441,"&gt;"&amp;0)+2,1)=L$1,L$1,""),"")</f>
        <v/>
      </c>
      <c r="M441" s="51" t="str" cm="1">
        <f t="array" ref="M441">IF($A441="","",IF(G441="","",_xlfn.XLOOKUP($D441&amp;"_"&amp;$AE441,符文权重!$A:$A&amp;"_"&amp;符文权重!$C:$C,符文权重!$D:$D)*$Y441/SUMIFS($Y:$Y,G:G,G441,$D:$D,$D441,$AE:$AE,$AE441)/SUMIF(符文权重!$A:$A,$D441,符文权重!$D:$D)))</f>
        <v/>
      </c>
      <c r="N441" s="51" t="str" cm="1">
        <f t="array" ref="N441">IF($A441="","",IF(H441="","",_xlfn.XLOOKUP($D441&amp;"_"&amp;$AE441,符文权重!$A:$A&amp;"_"&amp;符文权重!$C:$C,符文权重!$D:$D)*$Y441/SUMIFS($Y:$Y,H:H,H441,$D:$D,$D441,$AE:$AE,$AE441)/SUMIF(符文权重!$A:$A,$D441,符文权重!$D:$D)))</f>
        <v/>
      </c>
      <c r="O441" s="51" t="str" cm="1">
        <f t="array" ref="O441">IF($A441="","",IF(I441="","",_xlfn.XLOOKUP($D441&amp;"_"&amp;$AE441,符文权重!$A:$A&amp;"_"&amp;符文权重!$C:$C,符文权重!$D:$D)*$Y441/SUMIFS($Y:$Y,I:I,I441,$D:$D,$D441,$AE:$AE,$AE441)/SUMIF(符文权重!$A:$A,$D441,符文权重!$D:$D)))</f>
        <v/>
      </c>
      <c r="P441" s="51" cm="1">
        <f t="array" ref="P441">IF($A441="","",IF(J441="","",_xlfn.XLOOKUP($D441&amp;"_"&amp;$AE441,符文权重!$A:$A&amp;"_"&amp;符文权重!$C:$C,符文权重!$D:$D)*$Y441/SUMIFS($Y:$Y,J:J,J441,$D:$D,$D441,$AE:$AE,$AE441)/SUMIF(符文权重!$A:$A,$D441,符文权重!$D:$D)))</f>
        <v>0.00344789233678123</v>
      </c>
      <c r="Q441" s="51" t="str" cm="1">
        <f t="array" ref="Q441">IF($A441="","",IF(K441="","",_xlfn.XLOOKUP($D441&amp;"_"&amp;$AE441,符文权重!$A:$A&amp;"_"&amp;符文权重!$C:$C,符文权重!$D:$D)*$Y441/SUMIFS($Y:$Y,K:K,K441,$D:$D,$D441,$AE:$AE,$AE441)/SUMIF(符文权重!$A:$A,$D441,符文权重!$D:$D)))</f>
        <v/>
      </c>
      <c r="R441" s="51" t="str" cm="1">
        <f t="array" ref="R441">IF($A441="","",IF(L441="","",_xlfn.XLOOKUP($D441&amp;"_"&amp;$AE441,符文权重!$A:$A&amp;"_"&amp;符文权重!$C:$C,符文权重!$D:$D)*$Y441/SUMIFS($Y:$Y,L:L,L441,$D:$D,$D441,$AE:$AE,$AE441)/SUMIF(符文权重!$A:$A,$D441,符文权重!$D:$D)))</f>
        <v/>
      </c>
      <c r="S441" s="36" t="s">
        <v>192</v>
      </c>
      <c r="T441" s="36" t="s">
        <v>220</v>
      </c>
      <c r="U441" s="36" t="e">
        <f>IF(C441="","",SUBSTITUTE(SUBSTITUTE("[{global_atk,"&amp;#REF!*D441&amp;"}]",21,20),9,8))</f>
        <v>#REF!</v>
      </c>
      <c r="V441" s="52" t="str">
        <f t="shared" si="202"/>
        <v>[5505144]</v>
      </c>
      <c r="Y441" s="35">
        <v>4</v>
      </c>
      <c r="AA441" s="42" t="s">
        <v>185</v>
      </c>
      <c r="AB441" s="42" t="str">
        <f t="shared" si="192"/>
        <v>毒系职业施加中毒效果时，有&lt;color=#54b76b&gt;4%&lt;/color&gt;概率触发[剧毒]，造成当前层数的毒系伤害</v>
      </c>
      <c r="AC441" s="48" t="str">
        <f t="shared" si="187"/>
        <v>5505141</v>
      </c>
      <c r="AD441" s="42" t="str">
        <f t="shared" si="188"/>
        <v>[4]</v>
      </c>
      <c r="AE441" s="36">
        <v>3</v>
      </c>
      <c r="AF441" s="36"/>
      <c r="AG441" s="36">
        <v>0</v>
      </c>
      <c r="AH441" s="35">
        <v>1</v>
      </c>
      <c r="AI441" s="48">
        <f t="shared" si="203"/>
        <v>5505144</v>
      </c>
      <c r="AJ441" s="53" t="str">
        <f t="shared" si="204"/>
        <v>毒系职业施加中毒效果时，有&lt;color=#54b76b&gt;%s%&lt;/color&gt;概率触发[剧毒]，造成当前层数的毒系伤害</v>
      </c>
      <c r="AK441" s="36">
        <v>4</v>
      </c>
      <c r="AL441" s="35">
        <v>5</v>
      </c>
    </row>
    <row r="442" hidden="1" customHeight="1" spans="1:38">
      <c r="A442" s="48">
        <v>5505145</v>
      </c>
      <c r="B442" s="34" t="s">
        <v>542</v>
      </c>
      <c r="C442" s="48" t="str">
        <f t="shared" si="185"/>
        <v>5505141</v>
      </c>
      <c r="D442" s="42">
        <f t="shared" si="186"/>
        <v>5</v>
      </c>
      <c r="E442" s="42"/>
      <c r="F442" s="36" t="s">
        <v>404</v>
      </c>
      <c r="G442" s="36" t="str">
        <f t="shared" si="184"/>
        <v/>
      </c>
      <c r="H442" s="36" t="str">
        <f>IFERROR(IF(--MID($F442,2*COUNTIF($G442:G442,"&gt;"&amp;0)+2,1)=H$1,H$1,""),"")</f>
        <v/>
      </c>
      <c r="I442" s="36" t="str">
        <f>IFERROR(IF(--MID($F442,2*COUNTIF($G442:H442,"&gt;"&amp;0)+2,1)=I$1,I$1,""),"")</f>
        <v/>
      </c>
      <c r="J442" s="36">
        <f>IFERROR(IF(--MID($F442,2*COUNTIF($G442:I442,"&gt;"&amp;0)+2,1)=J$1,J$1,""),"")</f>
        <v>4</v>
      </c>
      <c r="K442" s="36" t="str">
        <f>IFERROR(IF(--MID($F442,2*COUNTIF($G442:J442,"&gt;"&amp;0)+2,1)=K$1,K$1,""),"")</f>
        <v/>
      </c>
      <c r="L442" s="36" t="str">
        <f>IFERROR(IF(--MID($F442,2*COUNTIF($G442:K442,"&gt;"&amp;0)+2,1)=L$1,L$1,""),"")</f>
        <v/>
      </c>
      <c r="M442" s="51" t="str" cm="1">
        <f t="array" ref="M442">IF($A442="","",IF(G442="","",_xlfn.XLOOKUP($D442&amp;"_"&amp;$AE442,符文权重!$A:$A&amp;"_"&amp;符文权重!$C:$C,符文权重!$D:$D)*$Y442/SUMIFS($Y:$Y,G:G,G442,$D:$D,$D442,$AE:$AE,$AE442)/SUMIF(符文权重!$A:$A,$D442,符文权重!$D:$D)))</f>
        <v/>
      </c>
      <c r="N442" s="51" t="str" cm="1">
        <f t="array" ref="N442">IF($A442="","",IF(H442="","",_xlfn.XLOOKUP($D442&amp;"_"&amp;$AE442,符文权重!$A:$A&amp;"_"&amp;符文权重!$C:$C,符文权重!$D:$D)*$Y442/SUMIFS($Y:$Y,H:H,H442,$D:$D,$D442,$AE:$AE,$AE442)/SUMIF(符文权重!$A:$A,$D442,符文权重!$D:$D)))</f>
        <v/>
      </c>
      <c r="O442" s="51" t="str" cm="1">
        <f t="array" ref="O442">IF($A442="","",IF(I442="","",_xlfn.XLOOKUP($D442&amp;"_"&amp;$AE442,符文权重!$A:$A&amp;"_"&amp;符文权重!$C:$C,符文权重!$D:$D)*$Y442/SUMIFS($Y:$Y,I:I,I442,$D:$D,$D442,$AE:$AE,$AE442)/SUMIF(符文权重!$A:$A,$D442,符文权重!$D:$D)))</f>
        <v/>
      </c>
      <c r="P442" s="51" cm="1">
        <f t="array" ref="P442">IF($A442="","",IF(J442="","",_xlfn.XLOOKUP($D442&amp;"_"&amp;$AE442,符文权重!$A:$A&amp;"_"&amp;符文权重!$C:$C,符文权重!$D:$D)*$Y442/SUMIFS($Y:$Y,J:J,J442,$D:$D,$D442,$AE:$AE,$AE442)/SUMIF(符文权重!$A:$A,$D442,符文权重!$D:$D)))</f>
        <v>0.005</v>
      </c>
      <c r="Q442" s="51" t="str" cm="1">
        <f t="array" ref="Q442">IF($A442="","",IF(K442="","",_xlfn.XLOOKUP($D442&amp;"_"&amp;$AE442,符文权重!$A:$A&amp;"_"&amp;符文权重!$C:$C,符文权重!$D:$D)*$Y442/SUMIFS($Y:$Y,K:K,K442,$D:$D,$D442,$AE:$AE,$AE442)/SUMIF(符文权重!$A:$A,$D442,符文权重!$D:$D)))</f>
        <v/>
      </c>
      <c r="R442" s="51" t="str" cm="1">
        <f t="array" ref="R442">IF($A442="","",IF(L442="","",_xlfn.XLOOKUP($D442&amp;"_"&amp;$AE442,符文权重!$A:$A&amp;"_"&amp;符文权重!$C:$C,符文权重!$D:$D)*$Y442/SUMIFS($Y:$Y,L:L,L442,$D:$D,$D442,$AE:$AE,$AE442)/SUMIF(符文权重!$A:$A,$D442,符文权重!$D:$D)))</f>
        <v/>
      </c>
      <c r="S442" s="36" t="s">
        <v>192</v>
      </c>
      <c r="T442" s="36" t="s">
        <v>220</v>
      </c>
      <c r="U442" s="36" t="e">
        <f>IF(C442="","",SUBSTITUTE(SUBSTITUTE("[{global_atk,"&amp;#REF!*D442&amp;"}]",21,20),9,8))</f>
        <v>#REF!</v>
      </c>
      <c r="V442" s="52" t="str">
        <f t="shared" si="202"/>
        <v>[5505145]</v>
      </c>
      <c r="Y442" s="35">
        <v>100</v>
      </c>
      <c r="AA442" s="42" t="s">
        <v>187</v>
      </c>
      <c r="AB442" s="42" t="str">
        <f t="shared" si="192"/>
        <v>毒系职业施加中毒效果时，有&lt;color=#54b76b&gt;8%&lt;/color&gt;概率触发[剧毒]，造成当前层数的毒系伤害</v>
      </c>
      <c r="AC442" s="48" t="str">
        <f t="shared" si="187"/>
        <v>5505141</v>
      </c>
      <c r="AD442" s="42" t="str">
        <f t="shared" si="188"/>
        <v>[8]</v>
      </c>
      <c r="AE442" s="36">
        <v>5</v>
      </c>
      <c r="AF442" s="36"/>
      <c r="AG442" s="36">
        <v>0</v>
      </c>
      <c r="AH442" s="35">
        <v>1</v>
      </c>
      <c r="AI442" s="48">
        <f t="shared" si="203"/>
        <v>5505145</v>
      </c>
      <c r="AJ442" s="53" t="str">
        <f t="shared" si="204"/>
        <v>毒系职业施加中毒效果时，有&lt;color=#54b76b&gt;%s%&lt;/color&gt;概率触发[剧毒]，造成当前层数的毒系伤害</v>
      </c>
      <c r="AK442" s="36">
        <v>8</v>
      </c>
      <c r="AL442" s="35">
        <v>5</v>
      </c>
    </row>
    <row r="443" hidden="1" customHeight="1" spans="1:38">
      <c r="A443" s="48">
        <v>5505146</v>
      </c>
      <c r="B443" s="34" t="s">
        <v>542</v>
      </c>
      <c r="C443" s="48" t="str">
        <f t="shared" si="185"/>
        <v>5505141</v>
      </c>
      <c r="D443" s="42">
        <f t="shared" si="186"/>
        <v>6</v>
      </c>
      <c r="E443" s="42"/>
      <c r="F443" s="36" t="s">
        <v>404</v>
      </c>
      <c r="G443" s="36" t="str">
        <f t="shared" si="184"/>
        <v/>
      </c>
      <c r="H443" s="36" t="str">
        <f>IFERROR(IF(--MID($F443,2*COUNTIF($G443:G443,"&gt;"&amp;0)+2,1)=H$1,H$1,""),"")</f>
        <v/>
      </c>
      <c r="I443" s="36" t="str">
        <f>IFERROR(IF(--MID($F443,2*COUNTIF($G443:H443,"&gt;"&amp;0)+2,1)=I$1,I$1,""),"")</f>
        <v/>
      </c>
      <c r="J443" s="36">
        <f>IFERROR(IF(--MID($F443,2*COUNTIF($G443:I443,"&gt;"&amp;0)+2,1)=J$1,J$1,""),"")</f>
        <v>4</v>
      </c>
      <c r="K443" s="36" t="str">
        <f>IFERROR(IF(--MID($F443,2*COUNTIF($G443:J443,"&gt;"&amp;0)+2,1)=K$1,K$1,""),"")</f>
        <v/>
      </c>
      <c r="L443" s="36" t="str">
        <f>IFERROR(IF(--MID($F443,2*COUNTIF($G443:K443,"&gt;"&amp;0)+2,1)=L$1,L$1,""),"")</f>
        <v/>
      </c>
      <c r="M443" s="51" t="str" cm="1">
        <f t="array" ref="M443">IF($A443="","",IF(G443="","",_xlfn.XLOOKUP($D443&amp;"_"&amp;$AE443,符文权重!$A:$A&amp;"_"&amp;符文权重!$C:$C,符文权重!$D:$D)*$Y443/SUMIFS($Y:$Y,G:G,G443,$D:$D,$D443,$AE:$AE,$AE443)/SUMIF(符文权重!$A:$A,$D443,符文权重!$D:$D)))</f>
        <v/>
      </c>
      <c r="N443" s="51" t="str" cm="1">
        <f t="array" ref="N443">IF($A443="","",IF(H443="","",_xlfn.XLOOKUP($D443&amp;"_"&amp;$AE443,符文权重!$A:$A&amp;"_"&amp;符文权重!$C:$C,符文权重!$D:$D)*$Y443/SUMIFS($Y:$Y,H:H,H443,$D:$D,$D443,$AE:$AE,$AE443)/SUMIF(符文权重!$A:$A,$D443,符文权重!$D:$D)))</f>
        <v/>
      </c>
      <c r="O443" s="51" t="str" cm="1">
        <f t="array" ref="O443">IF($A443="","",IF(I443="","",_xlfn.XLOOKUP($D443&amp;"_"&amp;$AE443,符文权重!$A:$A&amp;"_"&amp;符文权重!$C:$C,符文权重!$D:$D)*$Y443/SUMIFS($Y:$Y,I:I,I443,$D:$D,$D443,$AE:$AE,$AE443)/SUMIF(符文权重!$A:$A,$D443,符文权重!$D:$D)))</f>
        <v/>
      </c>
      <c r="P443" s="51" cm="1">
        <f t="array" ref="P443">IF($A443="","",IF(J443="","",_xlfn.XLOOKUP($D443&amp;"_"&amp;$AE443,符文权重!$A:$A&amp;"_"&amp;符文权重!$C:$C,符文权重!$D:$D)*$Y443/SUMIFS($Y:$Y,J:J,J443,$D:$D,$D443,$AE:$AE,$AE443)/SUMIF(符文权重!$A:$A,$D443,符文权重!$D:$D)))</f>
        <v>0.005</v>
      </c>
      <c r="Q443" s="51" t="str" cm="1">
        <f t="array" ref="Q443">IF($A443="","",IF(K443="","",_xlfn.XLOOKUP($D443&amp;"_"&amp;$AE443,符文权重!$A:$A&amp;"_"&amp;符文权重!$C:$C,符文权重!$D:$D)*$Y443/SUMIFS($Y:$Y,K:K,K443,$D:$D,$D443,$AE:$AE,$AE443)/SUMIF(符文权重!$A:$A,$D443,符文权重!$D:$D)))</f>
        <v/>
      </c>
      <c r="R443" s="51" t="str" cm="1">
        <f t="array" ref="R443">IF($A443="","",IF(L443="","",_xlfn.XLOOKUP($D443&amp;"_"&amp;$AE443,符文权重!$A:$A&amp;"_"&amp;符文权重!$C:$C,符文权重!$D:$D)*$Y443/SUMIFS($Y:$Y,L:L,L443,$D:$D,$D443,$AE:$AE,$AE443)/SUMIF(符文权重!$A:$A,$D443,符文权重!$D:$D)))</f>
        <v/>
      </c>
      <c r="S443" s="36" t="s">
        <v>192</v>
      </c>
      <c r="T443" s="36" t="s">
        <v>220</v>
      </c>
      <c r="U443" s="36" t="e">
        <f>IF(C443="","",SUBSTITUTE(SUBSTITUTE("[{global_atk,"&amp;#REF!*D443&amp;"}]",21,20),9,8))</f>
        <v>#REF!</v>
      </c>
      <c r="V443" s="52" t="str">
        <f t="shared" si="202"/>
        <v>[5505146]</v>
      </c>
      <c r="Y443" s="35">
        <v>100</v>
      </c>
      <c r="AA443" s="42" t="s">
        <v>189</v>
      </c>
      <c r="AB443" s="42" t="str">
        <f t="shared" si="192"/>
        <v>毒系职业施加中毒效果时，有&lt;color=#54b76b&gt;11%&lt;/color&gt;概率触发[剧毒]，造成当前层数的毒系伤害</v>
      </c>
      <c r="AC443" s="48" t="str">
        <f t="shared" si="187"/>
        <v>5505141</v>
      </c>
      <c r="AD443" s="42" t="str">
        <f t="shared" si="188"/>
        <v>[11]</v>
      </c>
      <c r="AE443" s="36">
        <v>5</v>
      </c>
      <c r="AF443" s="36"/>
      <c r="AG443" s="36">
        <v>0</v>
      </c>
      <c r="AH443" s="35">
        <v>1</v>
      </c>
      <c r="AI443" s="48">
        <f t="shared" si="203"/>
        <v>5505146</v>
      </c>
      <c r="AJ443" s="53" t="str">
        <f t="shared" si="204"/>
        <v>毒系职业施加中毒效果时，有&lt;color=#54b76b&gt;%s%&lt;/color&gt;概率触发[剧毒]，造成当前层数的毒系伤害</v>
      </c>
      <c r="AK443" s="36">
        <v>11</v>
      </c>
      <c r="AL443" s="35">
        <v>5</v>
      </c>
    </row>
    <row r="444" hidden="1" customHeight="1" spans="1:38">
      <c r="A444" s="48">
        <v>5505147</v>
      </c>
      <c r="B444" s="34" t="s">
        <v>542</v>
      </c>
      <c r="C444" s="48" t="str">
        <f t="shared" si="185"/>
        <v>5505141</v>
      </c>
      <c r="D444" s="42">
        <f t="shared" si="186"/>
        <v>7</v>
      </c>
      <c r="E444" s="42"/>
      <c r="F444" s="36" t="s">
        <v>404</v>
      </c>
      <c r="G444" s="36" t="str">
        <f t="shared" si="184"/>
        <v/>
      </c>
      <c r="H444" s="36" t="str">
        <f>IFERROR(IF(--MID($F444,2*COUNTIF($G444:G444,"&gt;"&amp;0)+2,1)=H$1,H$1,""),"")</f>
        <v/>
      </c>
      <c r="I444" s="36" t="str">
        <f>IFERROR(IF(--MID($F444,2*COUNTIF($G444:H444,"&gt;"&amp;0)+2,1)=I$1,I$1,""),"")</f>
        <v/>
      </c>
      <c r="J444" s="36">
        <f>IFERROR(IF(--MID($F444,2*COUNTIF($G444:I444,"&gt;"&amp;0)+2,1)=J$1,J$1,""),"")</f>
        <v>4</v>
      </c>
      <c r="K444" s="36" t="str">
        <f>IFERROR(IF(--MID($F444,2*COUNTIF($G444:J444,"&gt;"&amp;0)+2,1)=K$1,K$1,""),"")</f>
        <v/>
      </c>
      <c r="L444" s="36" t="str">
        <f>IFERROR(IF(--MID($F444,2*COUNTIF($G444:K444,"&gt;"&amp;0)+2,1)=L$1,L$1,""),"")</f>
        <v/>
      </c>
      <c r="M444" s="51" t="str" cm="1">
        <f t="array" ref="M444">IF($A444="","",IF(G444="","",_xlfn.XLOOKUP($D444&amp;"_"&amp;$AE444,符文权重!$A:$A&amp;"_"&amp;符文权重!$C:$C,符文权重!$D:$D)*$Y444/SUMIFS($Y:$Y,G:G,G444,$D:$D,$D444,$AE:$AE,$AE444)/SUMIF(符文权重!$A:$A,$D444,符文权重!$D:$D)))</f>
        <v/>
      </c>
      <c r="N444" s="51" t="str" cm="1">
        <f t="array" ref="N444">IF($A444="","",IF(H444="","",_xlfn.XLOOKUP($D444&amp;"_"&amp;$AE444,符文权重!$A:$A&amp;"_"&amp;符文权重!$C:$C,符文权重!$D:$D)*$Y444/SUMIFS($Y:$Y,H:H,H444,$D:$D,$D444,$AE:$AE,$AE444)/SUMIF(符文权重!$A:$A,$D444,符文权重!$D:$D)))</f>
        <v/>
      </c>
      <c r="O444" s="51" t="str" cm="1">
        <f t="array" ref="O444">IF($A444="","",IF(I444="","",_xlfn.XLOOKUP($D444&amp;"_"&amp;$AE444,符文权重!$A:$A&amp;"_"&amp;符文权重!$C:$C,符文权重!$D:$D)*$Y444/SUMIFS($Y:$Y,I:I,I444,$D:$D,$D444,$AE:$AE,$AE444)/SUMIF(符文权重!$A:$A,$D444,符文权重!$D:$D)))</f>
        <v/>
      </c>
      <c r="P444" s="51" cm="1">
        <f t="array" ref="P444">IF($A444="","",IF(J444="","",_xlfn.XLOOKUP($D444&amp;"_"&amp;$AE444,符文权重!$A:$A&amp;"_"&amp;符文权重!$C:$C,符文权重!$D:$D)*$Y444/SUMIFS($Y:$Y,J:J,J444,$D:$D,$D444,$AE:$AE,$AE444)/SUMIF(符文权重!$A:$A,$D444,符文权重!$D:$D)))</f>
        <v>0.005</v>
      </c>
      <c r="Q444" s="51" t="str" cm="1">
        <f t="array" ref="Q444">IF($A444="","",IF(K444="","",_xlfn.XLOOKUP($D444&amp;"_"&amp;$AE444,符文权重!$A:$A&amp;"_"&amp;符文权重!$C:$C,符文权重!$D:$D)*$Y444/SUMIFS($Y:$Y,K:K,K444,$D:$D,$D444,$AE:$AE,$AE444)/SUMIF(符文权重!$A:$A,$D444,符文权重!$D:$D)))</f>
        <v/>
      </c>
      <c r="R444" s="51" t="str" cm="1">
        <f t="array" ref="R444">IF($A444="","",IF(L444="","",_xlfn.XLOOKUP($D444&amp;"_"&amp;$AE444,符文权重!$A:$A&amp;"_"&amp;符文权重!$C:$C,符文权重!$D:$D)*$Y444/SUMIFS($Y:$Y,L:L,L444,$D:$D,$D444,$AE:$AE,$AE444)/SUMIF(符文权重!$A:$A,$D444,符文权重!$D:$D)))</f>
        <v/>
      </c>
      <c r="S444" s="36" t="s">
        <v>192</v>
      </c>
      <c r="T444" s="36" t="s">
        <v>220</v>
      </c>
      <c r="U444" s="36" t="e">
        <f>IF(C444="","",SUBSTITUTE(SUBSTITUTE("[{global_atk,"&amp;#REF!*D444&amp;"}]",21,20),9,8))</f>
        <v>#REF!</v>
      </c>
      <c r="V444" s="52" t="str">
        <f t="shared" si="202"/>
        <v>[5505147]</v>
      </c>
      <c r="Y444" s="36">
        <v>100</v>
      </c>
      <c r="AA444" s="42" t="s">
        <v>191</v>
      </c>
      <c r="AB444" s="42" t="str">
        <f t="shared" si="192"/>
        <v>毒系职业施加中毒效果时，有&lt;color=#54b76b&gt;14%&lt;/color&gt;概率触发[剧毒]，造成当前层数的毒系伤害</v>
      </c>
      <c r="AC444" s="48" t="str">
        <f t="shared" si="187"/>
        <v>5505141</v>
      </c>
      <c r="AD444" s="42" t="str">
        <f t="shared" si="188"/>
        <v>[14]</v>
      </c>
      <c r="AE444" s="36">
        <v>5</v>
      </c>
      <c r="AF444" s="36"/>
      <c r="AG444" s="36">
        <v>0</v>
      </c>
      <c r="AH444" s="35">
        <v>1</v>
      </c>
      <c r="AI444" s="48">
        <f t="shared" si="203"/>
        <v>5505147</v>
      </c>
      <c r="AJ444" s="53" t="str">
        <f t="shared" si="204"/>
        <v>毒系职业施加中毒效果时，有&lt;color=#54b76b&gt;%s%&lt;/color&gt;概率触发[剧毒]，造成当前层数的毒系伤害</v>
      </c>
      <c r="AK444" s="36">
        <v>14</v>
      </c>
      <c r="AL444" s="36">
        <v>5</v>
      </c>
    </row>
    <row r="445" hidden="1" customHeight="1" spans="1:38">
      <c r="A445" s="48" t="s">
        <v>178</v>
      </c>
      <c r="C445" s="48" t="str">
        <f t="shared" si="185"/>
        <v/>
      </c>
      <c r="D445" s="42" t="str">
        <f t="shared" si="186"/>
        <v/>
      </c>
      <c r="E445" s="42"/>
      <c r="F445" s="36"/>
      <c r="G445" s="36" t="str">
        <f t="shared" si="184"/>
        <v/>
      </c>
      <c r="H445" s="36" t="str">
        <f>IFERROR(IF(--MID($F445,2*COUNTIF($G445:G445,"&gt;"&amp;0)+2,1)=H$1,H$1,""),"")</f>
        <v/>
      </c>
      <c r="I445" s="36" t="str">
        <f>IFERROR(IF(--MID($F445,2*COUNTIF($G445:H445,"&gt;"&amp;0)+2,1)=I$1,I$1,""),"")</f>
        <v/>
      </c>
      <c r="J445" s="36" t="str">
        <f>IFERROR(IF(--MID($F445,2*COUNTIF($G445:I445,"&gt;"&amp;0)+2,1)=J$1,J$1,""),"")</f>
        <v/>
      </c>
      <c r="K445" s="36" t="str">
        <f>IFERROR(IF(--MID($F445,2*COUNTIF($G445:J445,"&gt;"&amp;0)+2,1)=K$1,K$1,""),"")</f>
        <v/>
      </c>
      <c r="L445" s="36" t="str">
        <f>IFERROR(IF(--MID($F445,2*COUNTIF($G445:K445,"&gt;"&amp;0)+2,1)=L$1,L$1,""),"")</f>
        <v/>
      </c>
      <c r="M445" s="51" t="str" cm="1">
        <f t="array" ref="M445">IF($A445="","",IF(G445="","",_xlfn.XLOOKUP($D445&amp;"_"&amp;$AE445,符文权重!$A:$A&amp;"_"&amp;符文权重!$C:$C,符文权重!$D:$D)*$Y445/SUMIFS($Y:$Y,G:G,G445,$D:$D,$D445,$AE:$AE,$AE445)/SUMIF(符文权重!$A:$A,$D445,符文权重!$D:$D)))</f>
        <v/>
      </c>
      <c r="N445" s="36"/>
      <c r="O445" s="36"/>
      <c r="P445" s="36"/>
      <c r="Q445" s="36"/>
      <c r="R445" s="36"/>
      <c r="S445" s="36" t="s">
        <v>178</v>
      </c>
      <c r="T445" s="36" t="s">
        <v>178</v>
      </c>
      <c r="U445" s="36"/>
      <c r="V445" s="25"/>
      <c r="AA445" s="42" t="s">
        <v>178</v>
      </c>
      <c r="AB445" s="42" t="str">
        <f t="shared" si="192"/>
        <v/>
      </c>
      <c r="AC445" s="48" t="str">
        <f t="shared" si="187"/>
        <v/>
      </c>
      <c r="AD445" s="42" t="str">
        <f t="shared" si="188"/>
        <v/>
      </c>
      <c r="AE445" s="36">
        <v>100</v>
      </c>
      <c r="AF445" s="36"/>
      <c r="AG445" s="36">
        <v>1</v>
      </c>
      <c r="AH445" s="35" t="s">
        <v>178</v>
      </c>
      <c r="AJ445" s="55"/>
      <c r="AK445" s="36"/>
    </row>
    <row r="446" s="28" customFormat="1" hidden="1" customHeight="1" spans="1:38">
      <c r="A446" s="57">
        <v>5505151</v>
      </c>
      <c r="B446" s="58" t="s">
        <v>543</v>
      </c>
      <c r="C446" s="57" t="str">
        <f t="shared" si="185"/>
        <v>5505151</v>
      </c>
      <c r="D446" s="59">
        <f t="shared" si="186"/>
        <v>1</v>
      </c>
      <c r="E446" s="59"/>
      <c r="F446" s="60" t="s">
        <v>230</v>
      </c>
      <c r="G446" s="36" t="str">
        <f t="shared" si="184"/>
        <v/>
      </c>
      <c r="H446" s="36" t="str">
        <f>IFERROR(IF(--MID($F446,2*COUNTIF($G446:G446,"&gt;"&amp;0)+2,1)=H$1,H$1,""),"")</f>
        <v/>
      </c>
      <c r="I446" s="36" t="str">
        <f>IFERROR(IF(--MID($F446,2*COUNTIF($G446:H446,"&gt;"&amp;0)+2,1)=I$1,I$1,""),"")</f>
        <v/>
      </c>
      <c r="J446" s="36" t="str">
        <f>IFERROR(IF(--MID($F446,2*COUNTIF($G446:I446,"&gt;"&amp;0)+2,1)=J$1,J$1,""),"")</f>
        <v/>
      </c>
      <c r="K446" s="36">
        <f>IFERROR(IF(--MID($F446,2*COUNTIF($G446:J446,"&gt;"&amp;0)+2,1)=K$1,K$1,""),"")</f>
        <v>5</v>
      </c>
      <c r="L446" s="36" t="str">
        <f>IFERROR(IF(--MID($F446,2*COUNTIF($G446:K446,"&gt;"&amp;0)+2,1)=L$1,L$1,""),"")</f>
        <v/>
      </c>
      <c r="M446" s="36" t="e" cm="1">
        <f t="array" ref="M446">IF(A446="","",_xlfn.XLOOKUP(D446&amp;"_"&amp;AE446,符文权重!A:A&amp;"_"&amp;符文权重!C:C,符文权重!D:D))</f>
        <v>#N/A</v>
      </c>
      <c r="N446" s="36"/>
      <c r="O446" s="36"/>
      <c r="P446" s="36"/>
      <c r="Q446" s="36"/>
      <c r="R446" s="36"/>
      <c r="S446" s="60" t="s">
        <v>192</v>
      </c>
      <c r="T446" s="60" t="s">
        <v>220</v>
      </c>
      <c r="U446" s="60" t="e">
        <f>IF(C446="","",SUBSTITUTE(SUBSTITUTE("[{global_atk,"&amp;#REF!*D446&amp;"}]",21,20),9,8))</f>
        <v>#REF!</v>
      </c>
      <c r="V446" s="61" t="str">
        <f t="shared" ref="V446:V452" si="205">"["&amp;A446&amp;"]"</f>
        <v>[5505151]</v>
      </c>
      <c r="W446" s="60"/>
      <c r="Y446" s="35">
        <v>100</v>
      </c>
      <c r="AA446" s="59" t="s">
        <v>177</v>
      </c>
      <c r="AB446" s="42" t="str">
        <f t="shared" si="192"/>
        <v>每次触发中毒伤害，下次中毒伤害额外&lt;color=#54b76b&gt;+1%&lt;/color&gt;</v>
      </c>
      <c r="AC446" s="57" t="str">
        <f t="shared" si="187"/>
        <v>5505151</v>
      </c>
      <c r="AD446" s="59" t="str">
        <f t="shared" si="188"/>
        <v>[1]</v>
      </c>
      <c r="AE446" s="60">
        <v>100</v>
      </c>
      <c r="AF446" s="60"/>
      <c r="AG446" s="60">
        <v>1</v>
      </c>
      <c r="AH446" s="35">
        <v>1</v>
      </c>
      <c r="AI446" s="62">
        <v>5505151</v>
      </c>
      <c r="AJ446" s="63" t="s">
        <v>543</v>
      </c>
      <c r="AK446" s="60">
        <v>1</v>
      </c>
      <c r="AL446" s="35"/>
    </row>
    <row r="447" s="28" customFormat="1" hidden="1" customHeight="1" spans="1:38">
      <c r="A447" s="57">
        <v>5505152</v>
      </c>
      <c r="B447" s="58" t="s">
        <v>543</v>
      </c>
      <c r="C447" s="57" t="str">
        <f t="shared" si="185"/>
        <v>5505151</v>
      </c>
      <c r="D447" s="59">
        <f t="shared" si="186"/>
        <v>2</v>
      </c>
      <c r="E447" s="59"/>
      <c r="F447" s="60" t="s">
        <v>230</v>
      </c>
      <c r="G447" s="36" t="str">
        <f t="shared" si="184"/>
        <v/>
      </c>
      <c r="H447" s="36" t="str">
        <f>IFERROR(IF(--MID($F447,2*COUNTIF($G447:G447,"&gt;"&amp;0)+2,1)=H$1,H$1,""),"")</f>
        <v/>
      </c>
      <c r="I447" s="36" t="str">
        <f>IFERROR(IF(--MID($F447,2*COUNTIF($G447:H447,"&gt;"&amp;0)+2,1)=I$1,I$1,""),"")</f>
        <v/>
      </c>
      <c r="J447" s="36" t="str">
        <f>IFERROR(IF(--MID($F447,2*COUNTIF($G447:I447,"&gt;"&amp;0)+2,1)=J$1,J$1,""),"")</f>
        <v/>
      </c>
      <c r="K447" s="36">
        <f>IFERROR(IF(--MID($F447,2*COUNTIF($G447:J447,"&gt;"&amp;0)+2,1)=K$1,K$1,""),"")</f>
        <v>5</v>
      </c>
      <c r="L447" s="36" t="str">
        <f>IFERROR(IF(--MID($F447,2*COUNTIF($G447:K447,"&gt;"&amp;0)+2,1)=L$1,L$1,""),"")</f>
        <v/>
      </c>
      <c r="M447" s="36" t="e" cm="1">
        <f t="array" ref="M447">IF(A447="","",_xlfn.XLOOKUP(D447&amp;"_"&amp;AE447,符文权重!A:A&amp;"_"&amp;符文权重!C:C,符文权重!D:D))</f>
        <v>#N/A</v>
      </c>
      <c r="N447" s="36"/>
      <c r="O447" s="36"/>
      <c r="P447" s="36"/>
      <c r="Q447" s="36"/>
      <c r="R447" s="36"/>
      <c r="S447" s="60" t="s">
        <v>192</v>
      </c>
      <c r="T447" s="60" t="s">
        <v>220</v>
      </c>
      <c r="U447" s="60" t="e">
        <f>IF(C447="","",SUBSTITUTE(SUBSTITUTE("[{global_atk,"&amp;#REF!*D447&amp;"}]",21,20),9,8))</f>
        <v>#REF!</v>
      </c>
      <c r="V447" s="61" t="str">
        <f t="shared" si="205"/>
        <v>[5505152]</v>
      </c>
      <c r="W447" s="60"/>
      <c r="Y447" s="35">
        <v>100</v>
      </c>
      <c r="AA447" s="59" t="s">
        <v>181</v>
      </c>
      <c r="AB447" s="42" t="str">
        <f t="shared" si="192"/>
        <v>每次触发中毒伤害，下次中毒伤害额外&lt;color=#54b76b&gt;+2%&lt;/color&gt;</v>
      </c>
      <c r="AC447" s="57" t="str">
        <f t="shared" si="187"/>
        <v>5505151</v>
      </c>
      <c r="AD447" s="59" t="str">
        <f t="shared" si="188"/>
        <v>[2]</v>
      </c>
      <c r="AE447" s="60">
        <v>100</v>
      </c>
      <c r="AF447" s="60"/>
      <c r="AG447" s="60">
        <v>1</v>
      </c>
      <c r="AH447" s="35">
        <v>1</v>
      </c>
      <c r="AI447" s="57">
        <f t="shared" ref="AI447:AI452" si="206">AI446+1</f>
        <v>5505152</v>
      </c>
      <c r="AJ447" s="64" t="str">
        <f t="shared" ref="AJ447:AJ452" si="207">AJ446</f>
        <v>每次触发中毒伤害，下次中毒伤害额外&lt;color=#54b76b&gt;+%s%&lt;/color&gt;</v>
      </c>
      <c r="AK447" s="60">
        <v>2</v>
      </c>
      <c r="AL447" s="35"/>
    </row>
    <row r="448" s="28" customFormat="1" hidden="1" customHeight="1" spans="1:38">
      <c r="A448" s="57">
        <v>5505153</v>
      </c>
      <c r="B448" s="58" t="s">
        <v>543</v>
      </c>
      <c r="C448" s="57" t="str">
        <f t="shared" si="185"/>
        <v>5505151</v>
      </c>
      <c r="D448" s="59">
        <f t="shared" si="186"/>
        <v>3</v>
      </c>
      <c r="E448" s="59"/>
      <c r="F448" s="60" t="s">
        <v>230</v>
      </c>
      <c r="G448" s="36" t="str">
        <f t="shared" si="184"/>
        <v/>
      </c>
      <c r="H448" s="36" t="str">
        <f>IFERROR(IF(--MID($F448,2*COUNTIF($G448:G448,"&gt;"&amp;0)+2,1)=H$1,H$1,""),"")</f>
        <v/>
      </c>
      <c r="I448" s="36" t="str">
        <f>IFERROR(IF(--MID($F448,2*COUNTIF($G448:H448,"&gt;"&amp;0)+2,1)=I$1,I$1,""),"")</f>
        <v/>
      </c>
      <c r="J448" s="36" t="str">
        <f>IFERROR(IF(--MID($F448,2*COUNTIF($G448:I448,"&gt;"&amp;0)+2,1)=J$1,J$1,""),"")</f>
        <v/>
      </c>
      <c r="K448" s="36">
        <f>IFERROR(IF(--MID($F448,2*COUNTIF($G448:J448,"&gt;"&amp;0)+2,1)=K$1,K$1,""),"")</f>
        <v>5</v>
      </c>
      <c r="L448" s="36" t="str">
        <f>IFERROR(IF(--MID($F448,2*COUNTIF($G448:K448,"&gt;"&amp;0)+2,1)=L$1,L$1,""),"")</f>
        <v/>
      </c>
      <c r="M448" s="36" t="e" cm="1">
        <f t="array" ref="M448">IF(A448="","",_xlfn.XLOOKUP(D448&amp;"_"&amp;AE448,符文权重!A:A&amp;"_"&amp;符文权重!C:C,符文权重!D:D))</f>
        <v>#N/A</v>
      </c>
      <c r="N448" s="36"/>
      <c r="O448" s="36"/>
      <c r="P448" s="36"/>
      <c r="Q448" s="36"/>
      <c r="R448" s="36"/>
      <c r="S448" s="60" t="s">
        <v>192</v>
      </c>
      <c r="T448" s="60" t="s">
        <v>220</v>
      </c>
      <c r="U448" s="60" t="e">
        <f>IF(C448="","",SUBSTITUTE(SUBSTITUTE("[{global_atk,"&amp;#REF!*D448&amp;"}]",21,20),9,8))</f>
        <v>#REF!</v>
      </c>
      <c r="V448" s="61" t="str">
        <f t="shared" si="205"/>
        <v>[5505153]</v>
      </c>
      <c r="W448" s="60"/>
      <c r="Y448" s="36">
        <v>100</v>
      </c>
      <c r="AA448" s="59" t="s">
        <v>183</v>
      </c>
      <c r="AB448" s="42" t="str">
        <f t="shared" si="192"/>
        <v>每次触发中毒伤害，下次中毒伤害额外&lt;color=#54b76b&gt;+3%&lt;/color&gt;</v>
      </c>
      <c r="AC448" s="57" t="str">
        <f t="shared" si="187"/>
        <v>5505151</v>
      </c>
      <c r="AD448" s="59" t="str">
        <f t="shared" si="188"/>
        <v>[3]</v>
      </c>
      <c r="AE448" s="60">
        <v>100</v>
      </c>
      <c r="AF448" s="60"/>
      <c r="AG448" s="60">
        <v>1</v>
      </c>
      <c r="AH448" s="35">
        <v>1</v>
      </c>
      <c r="AI448" s="57">
        <f t="shared" si="206"/>
        <v>5505153</v>
      </c>
      <c r="AJ448" s="64" t="str">
        <f t="shared" si="207"/>
        <v>每次触发中毒伤害，下次中毒伤害额外&lt;color=#54b76b&gt;+%s%&lt;/color&gt;</v>
      </c>
      <c r="AK448" s="60">
        <v>3</v>
      </c>
      <c r="AL448" s="36"/>
    </row>
    <row r="449" hidden="1" customHeight="1" spans="1:38">
      <c r="A449" s="48">
        <v>5505154</v>
      </c>
      <c r="B449" s="34" t="s">
        <v>543</v>
      </c>
      <c r="C449" s="48" t="str">
        <f t="shared" si="185"/>
        <v>5505151</v>
      </c>
      <c r="D449" s="42">
        <f t="shared" si="186"/>
        <v>4</v>
      </c>
      <c r="E449" s="42"/>
      <c r="F449" s="36" t="s">
        <v>230</v>
      </c>
      <c r="G449" s="36" t="str">
        <f t="shared" si="184"/>
        <v/>
      </c>
      <c r="H449" s="36" t="str">
        <f>IFERROR(IF(--MID($F449,2*COUNTIF($G449:G449,"&gt;"&amp;0)+2,1)=H$1,H$1,""),"")</f>
        <v/>
      </c>
      <c r="I449" s="36" t="str">
        <f>IFERROR(IF(--MID($F449,2*COUNTIF($G449:H449,"&gt;"&amp;0)+2,1)=I$1,I$1,""),"")</f>
        <v/>
      </c>
      <c r="J449" s="36" t="str">
        <f>IFERROR(IF(--MID($F449,2*COUNTIF($G449:I449,"&gt;"&amp;0)+2,1)=J$1,J$1,""),"")</f>
        <v/>
      </c>
      <c r="K449" s="36">
        <f>IFERROR(IF(--MID($F449,2*COUNTIF($G449:J449,"&gt;"&amp;0)+2,1)=K$1,K$1,""),"")</f>
        <v>5</v>
      </c>
      <c r="L449" s="36" t="str">
        <f>IFERROR(IF(--MID($F449,2*COUNTIF($G449:K449,"&gt;"&amp;0)+2,1)=L$1,L$1,""),"")</f>
        <v/>
      </c>
      <c r="M449" s="51" t="str" cm="1">
        <f t="array" ref="M449">IF($A449="","",IF(G449="","",_xlfn.XLOOKUP($D449&amp;"_"&amp;$AE449,符文权重!$A:$A&amp;"_"&amp;符文权重!$C:$C,符文权重!$D:$D)*$Y449/SUMIFS($Y:$Y,G:G,G449,$D:$D,$D449,$AE:$AE,$AE449)/SUMIF(符文权重!$A:$A,$D449,符文权重!$D:$D)))</f>
        <v/>
      </c>
      <c r="N449" s="51" t="str" cm="1">
        <f t="array" ref="N449">IF($A449="","",IF(H449="","",_xlfn.XLOOKUP($D449&amp;"_"&amp;$AE449,符文权重!$A:$A&amp;"_"&amp;符文权重!$C:$C,符文权重!$D:$D)*$Y449/SUMIFS($Y:$Y,H:H,H449,$D:$D,$D449,$AE:$AE,$AE449)/SUMIF(符文权重!$A:$A,$D449,符文权重!$D:$D)))</f>
        <v/>
      </c>
      <c r="O449" s="51" t="str" cm="1">
        <f t="array" ref="O449">IF($A449="","",IF(I449="","",_xlfn.XLOOKUP($D449&amp;"_"&amp;$AE449,符文权重!$A:$A&amp;"_"&amp;符文权重!$C:$C,符文权重!$D:$D)*$Y449/SUMIFS($Y:$Y,I:I,I449,$D:$D,$D449,$AE:$AE,$AE449)/SUMIF(符文权重!$A:$A,$D449,符文权重!$D:$D)))</f>
        <v/>
      </c>
      <c r="P449" s="51" t="str" cm="1">
        <f t="array" ref="P449">IF($A449="","",IF(J449="","",_xlfn.XLOOKUP($D449&amp;"_"&amp;$AE449,符文权重!$A:$A&amp;"_"&amp;符文权重!$C:$C,符文权重!$D:$D)*$Y449/SUMIFS($Y:$Y,J:J,J449,$D:$D,$D449,$AE:$AE,$AE449)/SUMIF(符文权重!$A:$A,$D449,符文权重!$D:$D)))</f>
        <v/>
      </c>
      <c r="Q449" s="51" cm="1">
        <f t="array" ref="Q449">IF($A449="","",IF(K449="","",_xlfn.XLOOKUP($D449&amp;"_"&amp;$AE449,符文权重!$A:$A&amp;"_"&amp;符文权重!$C:$C,符文权重!$D:$D)*$Y449/SUMIFS($Y:$Y,K:K,K449,$D:$D,$D449,$AE:$AE,$AE449)/SUMIF(符文权重!$A:$A,$D449,符文权重!$D:$D)))</f>
        <v>0.00352625352625353</v>
      </c>
      <c r="R449" s="51" t="str" cm="1">
        <f t="array" ref="R449">IF($A449="","",IF(L449="","",_xlfn.XLOOKUP($D449&amp;"_"&amp;$AE449,符文权重!$A:$A&amp;"_"&amp;符文权重!$C:$C,符文权重!$D:$D)*$Y449/SUMIFS($Y:$Y,L:L,L449,$D:$D,$D449,$AE:$AE,$AE449)/SUMIF(符文权重!$A:$A,$D449,符文权重!$D:$D)))</f>
        <v/>
      </c>
      <c r="S449" s="36" t="s">
        <v>192</v>
      </c>
      <c r="T449" s="36" t="s">
        <v>220</v>
      </c>
      <c r="U449" s="36" t="e">
        <f>IF(C449="","",SUBSTITUTE(SUBSTITUTE("[{global_atk,"&amp;#REF!*D449&amp;"}]",21,20),9,8))</f>
        <v>#REF!</v>
      </c>
      <c r="V449" s="52" t="str">
        <f t="shared" si="205"/>
        <v>[5505154]</v>
      </c>
      <c r="Y449" s="35">
        <v>4</v>
      </c>
      <c r="AA449" s="42" t="s">
        <v>185</v>
      </c>
      <c r="AB449" s="42" t="str">
        <f t="shared" si="192"/>
        <v>每次触发中毒伤害，下次中毒伤害额外&lt;color=#54b76b&gt;+4%&lt;/color&gt;</v>
      </c>
      <c r="AC449" s="48" t="str">
        <f t="shared" si="187"/>
        <v>5505151</v>
      </c>
      <c r="AD449" s="42" t="str">
        <f t="shared" si="188"/>
        <v>[4]</v>
      </c>
      <c r="AE449" s="36">
        <v>3</v>
      </c>
      <c r="AF449" s="36"/>
      <c r="AG449" s="36">
        <v>0</v>
      </c>
      <c r="AH449" s="35">
        <v>1</v>
      </c>
      <c r="AI449" s="48">
        <f t="shared" si="206"/>
        <v>5505154</v>
      </c>
      <c r="AJ449" s="53" t="str">
        <f t="shared" si="207"/>
        <v>每次触发中毒伤害，下次中毒伤害额外&lt;color=#54b76b&gt;+%s%&lt;/color&gt;</v>
      </c>
      <c r="AK449" s="36">
        <v>4</v>
      </c>
      <c r="AL449" s="35">
        <v>5</v>
      </c>
    </row>
    <row r="450" hidden="1" customHeight="1" spans="1:38">
      <c r="A450" s="48">
        <v>5505155</v>
      </c>
      <c r="B450" s="34" t="s">
        <v>543</v>
      </c>
      <c r="C450" s="48" t="str">
        <f t="shared" si="185"/>
        <v>5505151</v>
      </c>
      <c r="D450" s="42">
        <f t="shared" si="186"/>
        <v>5</v>
      </c>
      <c r="E450" s="42"/>
      <c r="F450" s="36" t="s">
        <v>230</v>
      </c>
      <c r="G450" s="36" t="str">
        <f t="shared" si="184"/>
        <v/>
      </c>
      <c r="H450" s="36" t="str">
        <f>IFERROR(IF(--MID($F450,2*COUNTIF($G450:G450,"&gt;"&amp;0)+2,1)=H$1,H$1,""),"")</f>
        <v/>
      </c>
      <c r="I450" s="36" t="str">
        <f>IFERROR(IF(--MID($F450,2*COUNTIF($G450:H450,"&gt;"&amp;0)+2,1)=I$1,I$1,""),"")</f>
        <v/>
      </c>
      <c r="J450" s="36" t="str">
        <f>IFERROR(IF(--MID($F450,2*COUNTIF($G450:I450,"&gt;"&amp;0)+2,1)=J$1,J$1,""),"")</f>
        <v/>
      </c>
      <c r="K450" s="36">
        <f>IFERROR(IF(--MID($F450,2*COUNTIF($G450:J450,"&gt;"&amp;0)+2,1)=K$1,K$1,""),"")</f>
        <v>5</v>
      </c>
      <c r="L450" s="36" t="str">
        <f>IFERROR(IF(--MID($F450,2*COUNTIF($G450:K450,"&gt;"&amp;0)+2,1)=L$1,L$1,""),"")</f>
        <v/>
      </c>
      <c r="M450" s="51" t="str" cm="1">
        <f t="array" ref="M450">IF($A450="","",IF(G450="","",_xlfn.XLOOKUP($D450&amp;"_"&amp;$AE450,符文权重!$A:$A&amp;"_"&amp;符文权重!$C:$C,符文权重!$D:$D)*$Y450/SUMIFS($Y:$Y,G:G,G450,$D:$D,$D450,$AE:$AE,$AE450)/SUMIF(符文权重!$A:$A,$D450,符文权重!$D:$D)))</f>
        <v/>
      </c>
      <c r="N450" s="51" t="str" cm="1">
        <f t="array" ref="N450">IF($A450="","",IF(H450="","",_xlfn.XLOOKUP($D450&amp;"_"&amp;$AE450,符文权重!$A:$A&amp;"_"&amp;符文权重!$C:$C,符文权重!$D:$D)*$Y450/SUMIFS($Y:$Y,H:H,H450,$D:$D,$D450,$AE:$AE,$AE450)/SUMIF(符文权重!$A:$A,$D450,符文权重!$D:$D)))</f>
        <v/>
      </c>
      <c r="O450" s="51" t="str" cm="1">
        <f t="array" ref="O450">IF($A450="","",IF(I450="","",_xlfn.XLOOKUP($D450&amp;"_"&amp;$AE450,符文权重!$A:$A&amp;"_"&amp;符文权重!$C:$C,符文权重!$D:$D)*$Y450/SUMIFS($Y:$Y,I:I,I450,$D:$D,$D450,$AE:$AE,$AE450)/SUMIF(符文权重!$A:$A,$D450,符文权重!$D:$D)))</f>
        <v/>
      </c>
      <c r="P450" s="51" t="str" cm="1">
        <f t="array" ref="P450">IF($A450="","",IF(J450="","",_xlfn.XLOOKUP($D450&amp;"_"&amp;$AE450,符文权重!$A:$A&amp;"_"&amp;符文权重!$C:$C,符文权重!$D:$D)*$Y450/SUMIFS($Y:$Y,J:J,J450,$D:$D,$D450,$AE:$AE,$AE450)/SUMIF(符文权重!$A:$A,$D450,符文权重!$D:$D)))</f>
        <v/>
      </c>
      <c r="Q450" s="51" cm="1">
        <f t="array" ref="Q450">IF($A450="","",IF(K450="","",_xlfn.XLOOKUP($D450&amp;"_"&amp;$AE450,符文权重!$A:$A&amp;"_"&amp;符文权重!$C:$C,符文权重!$D:$D)*$Y450/SUMIFS($Y:$Y,K:K,K450,$D:$D,$D450,$AE:$AE,$AE450)/SUMIF(符文权重!$A:$A,$D450,符文权重!$D:$D)))</f>
        <v>0.00375</v>
      </c>
      <c r="R450" s="51" t="str" cm="1">
        <f t="array" ref="R450">IF($A450="","",IF(L450="","",_xlfn.XLOOKUP($D450&amp;"_"&amp;$AE450,符文权重!$A:$A&amp;"_"&amp;符文权重!$C:$C,符文权重!$D:$D)*$Y450/SUMIFS($Y:$Y,L:L,L450,$D:$D,$D450,$AE:$AE,$AE450)/SUMIF(符文权重!$A:$A,$D450,符文权重!$D:$D)))</f>
        <v/>
      </c>
      <c r="S450" s="36" t="s">
        <v>192</v>
      </c>
      <c r="T450" s="36" t="s">
        <v>220</v>
      </c>
      <c r="U450" s="36" t="e">
        <f>IF(C450="","",SUBSTITUTE(SUBSTITUTE("[{global_atk,"&amp;#REF!*D450&amp;"}]",21,20),9,8))</f>
        <v>#REF!</v>
      </c>
      <c r="V450" s="52" t="str">
        <f t="shared" si="205"/>
        <v>[5505155]</v>
      </c>
      <c r="Y450" s="35">
        <v>100</v>
      </c>
      <c r="AA450" s="42" t="s">
        <v>187</v>
      </c>
      <c r="AB450" s="42" t="str">
        <f t="shared" si="192"/>
        <v>每次触发中毒伤害，下次中毒伤害额外&lt;color=#54b76b&gt;+8%&lt;/color&gt;</v>
      </c>
      <c r="AC450" s="48" t="str">
        <f t="shared" si="187"/>
        <v>5505151</v>
      </c>
      <c r="AD450" s="42" t="str">
        <f t="shared" si="188"/>
        <v>[8]</v>
      </c>
      <c r="AE450" s="36">
        <v>5</v>
      </c>
      <c r="AF450" s="36"/>
      <c r="AG450" s="36">
        <v>0</v>
      </c>
      <c r="AH450" s="35">
        <v>1</v>
      </c>
      <c r="AI450" s="48">
        <f t="shared" si="206"/>
        <v>5505155</v>
      </c>
      <c r="AJ450" s="53" t="str">
        <f t="shared" si="207"/>
        <v>每次触发中毒伤害，下次中毒伤害额外&lt;color=#54b76b&gt;+%s%&lt;/color&gt;</v>
      </c>
      <c r="AK450" s="36">
        <v>8</v>
      </c>
      <c r="AL450" s="35">
        <v>5</v>
      </c>
    </row>
    <row r="451" hidden="1" customHeight="1" spans="1:38">
      <c r="A451" s="48">
        <v>5505156</v>
      </c>
      <c r="B451" s="34" t="s">
        <v>543</v>
      </c>
      <c r="C451" s="48" t="str">
        <f t="shared" si="185"/>
        <v>5505151</v>
      </c>
      <c r="D451" s="42">
        <f t="shared" si="186"/>
        <v>6</v>
      </c>
      <c r="E451" s="42"/>
      <c r="F451" s="36" t="s">
        <v>230</v>
      </c>
      <c r="G451" s="36" t="str">
        <f t="shared" si="184"/>
        <v/>
      </c>
      <c r="H451" s="36" t="str">
        <f>IFERROR(IF(--MID($F451,2*COUNTIF($G451:G451,"&gt;"&amp;0)+2,1)=H$1,H$1,""),"")</f>
        <v/>
      </c>
      <c r="I451" s="36" t="str">
        <f>IFERROR(IF(--MID($F451,2*COUNTIF($G451:H451,"&gt;"&amp;0)+2,1)=I$1,I$1,""),"")</f>
        <v/>
      </c>
      <c r="J451" s="36" t="str">
        <f>IFERROR(IF(--MID($F451,2*COUNTIF($G451:I451,"&gt;"&amp;0)+2,1)=J$1,J$1,""),"")</f>
        <v/>
      </c>
      <c r="K451" s="36">
        <f>IFERROR(IF(--MID($F451,2*COUNTIF($G451:J451,"&gt;"&amp;0)+2,1)=K$1,K$1,""),"")</f>
        <v>5</v>
      </c>
      <c r="L451" s="36" t="str">
        <f>IFERROR(IF(--MID($F451,2*COUNTIF($G451:K451,"&gt;"&amp;0)+2,1)=L$1,L$1,""),"")</f>
        <v/>
      </c>
      <c r="M451" s="51" t="str" cm="1">
        <f t="array" ref="M451">IF($A451="","",IF(G451="","",_xlfn.XLOOKUP($D451&amp;"_"&amp;$AE451,符文权重!$A:$A&amp;"_"&amp;符文权重!$C:$C,符文权重!$D:$D)*$Y451/SUMIFS($Y:$Y,G:G,G451,$D:$D,$D451,$AE:$AE,$AE451)/SUMIF(符文权重!$A:$A,$D451,符文权重!$D:$D)))</f>
        <v/>
      </c>
      <c r="N451" s="51" t="str" cm="1">
        <f t="array" ref="N451">IF($A451="","",IF(H451="","",_xlfn.XLOOKUP($D451&amp;"_"&amp;$AE451,符文权重!$A:$A&amp;"_"&amp;符文权重!$C:$C,符文权重!$D:$D)*$Y451/SUMIFS($Y:$Y,H:H,H451,$D:$D,$D451,$AE:$AE,$AE451)/SUMIF(符文权重!$A:$A,$D451,符文权重!$D:$D)))</f>
        <v/>
      </c>
      <c r="O451" s="51" t="str" cm="1">
        <f t="array" ref="O451">IF($A451="","",IF(I451="","",_xlfn.XLOOKUP($D451&amp;"_"&amp;$AE451,符文权重!$A:$A&amp;"_"&amp;符文权重!$C:$C,符文权重!$D:$D)*$Y451/SUMIFS($Y:$Y,I:I,I451,$D:$D,$D451,$AE:$AE,$AE451)/SUMIF(符文权重!$A:$A,$D451,符文权重!$D:$D)))</f>
        <v/>
      </c>
      <c r="P451" s="51" t="str" cm="1">
        <f t="array" ref="P451">IF($A451="","",IF(J451="","",_xlfn.XLOOKUP($D451&amp;"_"&amp;$AE451,符文权重!$A:$A&amp;"_"&amp;符文权重!$C:$C,符文权重!$D:$D)*$Y451/SUMIFS($Y:$Y,J:J,J451,$D:$D,$D451,$AE:$AE,$AE451)/SUMIF(符文权重!$A:$A,$D451,符文权重!$D:$D)))</f>
        <v/>
      </c>
      <c r="Q451" s="51" cm="1">
        <f t="array" ref="Q451">IF($A451="","",IF(K451="","",_xlfn.XLOOKUP($D451&amp;"_"&amp;$AE451,符文权重!$A:$A&amp;"_"&amp;符文权重!$C:$C,符文权重!$D:$D)*$Y451/SUMIFS($Y:$Y,K:K,K451,$D:$D,$D451,$AE:$AE,$AE451)/SUMIF(符文权重!$A:$A,$D451,符文权重!$D:$D)))</f>
        <v>0.00375</v>
      </c>
      <c r="R451" s="51" t="str" cm="1">
        <f t="array" ref="R451">IF($A451="","",IF(L451="","",_xlfn.XLOOKUP($D451&amp;"_"&amp;$AE451,符文权重!$A:$A&amp;"_"&amp;符文权重!$C:$C,符文权重!$D:$D)*$Y451/SUMIFS($Y:$Y,L:L,L451,$D:$D,$D451,$AE:$AE,$AE451)/SUMIF(符文权重!$A:$A,$D451,符文权重!$D:$D)))</f>
        <v/>
      </c>
      <c r="S451" s="36" t="s">
        <v>192</v>
      </c>
      <c r="T451" s="36" t="s">
        <v>220</v>
      </c>
      <c r="U451" s="36" t="e">
        <f>IF(C451="","",SUBSTITUTE(SUBSTITUTE("[{global_atk,"&amp;#REF!*D451&amp;"}]",21,20),9,8))</f>
        <v>#REF!</v>
      </c>
      <c r="V451" s="52" t="str">
        <f t="shared" si="205"/>
        <v>[5505156]</v>
      </c>
      <c r="Y451" s="35">
        <v>100</v>
      </c>
      <c r="AA451" s="42" t="s">
        <v>189</v>
      </c>
      <c r="AB451" s="42" t="str">
        <f t="shared" si="192"/>
        <v>每次触发中毒伤害，下次中毒伤害额外&lt;color=#54b76b&gt;+11%&lt;/color&gt;</v>
      </c>
      <c r="AC451" s="48" t="str">
        <f t="shared" si="187"/>
        <v>5505151</v>
      </c>
      <c r="AD451" s="42" t="str">
        <f t="shared" si="188"/>
        <v>[11]</v>
      </c>
      <c r="AE451" s="36">
        <v>5</v>
      </c>
      <c r="AF451" s="36"/>
      <c r="AG451" s="36">
        <v>0</v>
      </c>
      <c r="AH451" s="35">
        <v>1</v>
      </c>
      <c r="AI451" s="48">
        <f t="shared" si="206"/>
        <v>5505156</v>
      </c>
      <c r="AJ451" s="53" t="str">
        <f t="shared" si="207"/>
        <v>每次触发中毒伤害，下次中毒伤害额外&lt;color=#54b76b&gt;+%s%&lt;/color&gt;</v>
      </c>
      <c r="AK451" s="36">
        <v>11</v>
      </c>
      <c r="AL451" s="35">
        <v>5</v>
      </c>
    </row>
    <row r="452" hidden="1" customHeight="1" spans="1:38">
      <c r="A452" s="48">
        <v>5505157</v>
      </c>
      <c r="B452" s="34" t="s">
        <v>543</v>
      </c>
      <c r="C452" s="48" t="str">
        <f t="shared" si="185"/>
        <v>5505151</v>
      </c>
      <c r="D452" s="42">
        <f t="shared" si="186"/>
        <v>7</v>
      </c>
      <c r="E452" s="42"/>
      <c r="F452" s="36" t="s">
        <v>230</v>
      </c>
      <c r="G452" s="36" t="str">
        <f t="shared" si="184"/>
        <v/>
      </c>
      <c r="H452" s="36" t="str">
        <f>IFERROR(IF(--MID($F452,2*COUNTIF($G452:G452,"&gt;"&amp;0)+2,1)=H$1,H$1,""),"")</f>
        <v/>
      </c>
      <c r="I452" s="36" t="str">
        <f>IFERROR(IF(--MID($F452,2*COUNTIF($G452:H452,"&gt;"&amp;0)+2,1)=I$1,I$1,""),"")</f>
        <v/>
      </c>
      <c r="J452" s="36" t="str">
        <f>IFERROR(IF(--MID($F452,2*COUNTIF($G452:I452,"&gt;"&amp;0)+2,1)=J$1,J$1,""),"")</f>
        <v/>
      </c>
      <c r="K452" s="36">
        <f>IFERROR(IF(--MID($F452,2*COUNTIF($G452:J452,"&gt;"&amp;0)+2,1)=K$1,K$1,""),"")</f>
        <v>5</v>
      </c>
      <c r="L452" s="36" t="str">
        <f>IFERROR(IF(--MID($F452,2*COUNTIF($G452:K452,"&gt;"&amp;0)+2,1)=L$1,L$1,""),"")</f>
        <v/>
      </c>
      <c r="M452" s="51" t="str" cm="1">
        <f t="array" ref="M452">IF($A452="","",IF(G452="","",_xlfn.XLOOKUP($D452&amp;"_"&amp;$AE452,符文权重!$A:$A&amp;"_"&amp;符文权重!$C:$C,符文权重!$D:$D)*$Y452/SUMIFS($Y:$Y,G:G,G452,$D:$D,$D452,$AE:$AE,$AE452)/SUMIF(符文权重!$A:$A,$D452,符文权重!$D:$D)))</f>
        <v/>
      </c>
      <c r="N452" s="51" t="str" cm="1">
        <f t="array" ref="N452">IF($A452="","",IF(H452="","",_xlfn.XLOOKUP($D452&amp;"_"&amp;$AE452,符文权重!$A:$A&amp;"_"&amp;符文权重!$C:$C,符文权重!$D:$D)*$Y452/SUMIFS($Y:$Y,H:H,H452,$D:$D,$D452,$AE:$AE,$AE452)/SUMIF(符文权重!$A:$A,$D452,符文权重!$D:$D)))</f>
        <v/>
      </c>
      <c r="O452" s="51" t="str" cm="1">
        <f t="array" ref="O452">IF($A452="","",IF(I452="","",_xlfn.XLOOKUP($D452&amp;"_"&amp;$AE452,符文权重!$A:$A&amp;"_"&amp;符文权重!$C:$C,符文权重!$D:$D)*$Y452/SUMIFS($Y:$Y,I:I,I452,$D:$D,$D452,$AE:$AE,$AE452)/SUMIF(符文权重!$A:$A,$D452,符文权重!$D:$D)))</f>
        <v/>
      </c>
      <c r="P452" s="51" t="str" cm="1">
        <f t="array" ref="P452">IF($A452="","",IF(J452="","",_xlfn.XLOOKUP($D452&amp;"_"&amp;$AE452,符文权重!$A:$A&amp;"_"&amp;符文权重!$C:$C,符文权重!$D:$D)*$Y452/SUMIFS($Y:$Y,J:J,J452,$D:$D,$D452,$AE:$AE,$AE452)/SUMIF(符文权重!$A:$A,$D452,符文权重!$D:$D)))</f>
        <v/>
      </c>
      <c r="Q452" s="51" cm="1">
        <f t="array" ref="Q452">IF($A452="","",IF(K452="","",_xlfn.XLOOKUP($D452&amp;"_"&amp;$AE452,符文权重!$A:$A&amp;"_"&amp;符文权重!$C:$C,符文权重!$D:$D)*$Y452/SUMIFS($Y:$Y,K:K,K452,$D:$D,$D452,$AE:$AE,$AE452)/SUMIF(符文权重!$A:$A,$D452,符文权重!$D:$D)))</f>
        <v>0.00375</v>
      </c>
      <c r="R452" s="51" t="str" cm="1">
        <f t="array" ref="R452">IF($A452="","",IF(L452="","",_xlfn.XLOOKUP($D452&amp;"_"&amp;$AE452,符文权重!$A:$A&amp;"_"&amp;符文权重!$C:$C,符文权重!$D:$D)*$Y452/SUMIFS($Y:$Y,L:L,L452,$D:$D,$D452,$AE:$AE,$AE452)/SUMIF(符文权重!$A:$A,$D452,符文权重!$D:$D)))</f>
        <v/>
      </c>
      <c r="S452" s="36" t="s">
        <v>192</v>
      </c>
      <c r="T452" s="36" t="s">
        <v>220</v>
      </c>
      <c r="U452" s="36" t="e">
        <f>IF(C452="","",SUBSTITUTE(SUBSTITUTE("[{global_atk,"&amp;#REF!*D452&amp;"}]",21,20),9,8))</f>
        <v>#REF!</v>
      </c>
      <c r="V452" s="52" t="str">
        <f t="shared" si="205"/>
        <v>[5505157]</v>
      </c>
      <c r="Y452" s="36">
        <v>100</v>
      </c>
      <c r="AA452" s="42" t="s">
        <v>191</v>
      </c>
      <c r="AB452" s="42" t="str">
        <f t="shared" si="192"/>
        <v>每次触发中毒伤害，下次中毒伤害额外&lt;color=#54b76b&gt;+14%&lt;/color&gt;</v>
      </c>
      <c r="AC452" s="48" t="str">
        <f t="shared" si="187"/>
        <v>5505151</v>
      </c>
      <c r="AD452" s="42" t="str">
        <f t="shared" si="188"/>
        <v>[14]</v>
      </c>
      <c r="AE452" s="36">
        <v>5</v>
      </c>
      <c r="AF452" s="36"/>
      <c r="AG452" s="36">
        <v>0</v>
      </c>
      <c r="AH452" s="35">
        <v>1</v>
      </c>
      <c r="AI452" s="48">
        <f t="shared" si="206"/>
        <v>5505157</v>
      </c>
      <c r="AJ452" s="53" t="str">
        <f t="shared" si="207"/>
        <v>每次触发中毒伤害，下次中毒伤害额外&lt;color=#54b76b&gt;+%s%&lt;/color&gt;</v>
      </c>
      <c r="AK452" s="36">
        <v>14</v>
      </c>
      <c r="AL452" s="36">
        <v>5</v>
      </c>
    </row>
    <row r="453" s="25" customFormat="1" hidden="1" customHeight="1" spans="1:38">
      <c r="A453" s="48" t="s">
        <v>178</v>
      </c>
      <c r="B453" s="35"/>
      <c r="C453" s="48" t="str">
        <f t="shared" si="185"/>
        <v/>
      </c>
      <c r="D453" s="42" t="str">
        <f t="shared" si="186"/>
        <v/>
      </c>
      <c r="E453" s="42"/>
      <c r="F453" s="36"/>
      <c r="G453" s="36" t="str">
        <f t="shared" si="184"/>
        <v/>
      </c>
      <c r="H453" s="36" t="str">
        <f>IFERROR(IF(--MID($F453,2*COUNTIF($G453:G453,"&gt;"&amp;0)+2,1)=H$1,H$1,""),"")</f>
        <v/>
      </c>
      <c r="I453" s="36" t="str">
        <f>IFERROR(IF(--MID($F453,2*COUNTIF($G453:H453,"&gt;"&amp;0)+2,1)=I$1,I$1,""),"")</f>
        <v/>
      </c>
      <c r="J453" s="36" t="str">
        <f>IFERROR(IF(--MID($F453,2*COUNTIF($G453:I453,"&gt;"&amp;0)+2,1)=J$1,J$1,""),"")</f>
        <v/>
      </c>
      <c r="K453" s="36" t="str">
        <f>IFERROR(IF(--MID($F453,2*COUNTIF($G453:J453,"&gt;"&amp;0)+2,1)=K$1,K$1,""),"")</f>
        <v/>
      </c>
      <c r="L453" s="36" t="str">
        <f>IFERROR(IF(--MID($F453,2*COUNTIF($G453:K453,"&gt;"&amp;0)+2,1)=L$1,L$1,""),"")</f>
        <v/>
      </c>
      <c r="M453" s="51" t="str" cm="1">
        <f t="array" ref="M453">IF($A453="","",IF(G453="","",_xlfn.XLOOKUP($D453&amp;"_"&amp;$AE453,符文权重!$A:$A&amp;"_"&amp;符文权重!$C:$C,符文权重!$D:$D)*$Y453/SUMIFS($Y:$Y,G:G,G453,$D:$D,$D453,$AE:$AE,$AE453)/SUMIF(符文权重!$A:$A,$D453,符文权重!$D:$D)))</f>
        <v/>
      </c>
      <c r="N453" s="36"/>
      <c r="O453" s="36"/>
      <c r="P453" s="36"/>
      <c r="Q453" s="36"/>
      <c r="R453" s="36"/>
      <c r="S453" s="36"/>
      <c r="T453" s="36"/>
      <c r="U453" s="36"/>
      <c r="W453" s="41"/>
      <c r="X453" s="35"/>
      <c r="Y453" s="35"/>
      <c r="Z453" s="35"/>
      <c r="AA453" s="42" t="s">
        <v>178</v>
      </c>
      <c r="AB453" s="42" t="str">
        <f t="shared" si="192"/>
        <v/>
      </c>
      <c r="AC453" s="48" t="str">
        <f t="shared" si="187"/>
        <v/>
      </c>
      <c r="AD453" s="42" t="str">
        <f t="shared" si="188"/>
        <v/>
      </c>
      <c r="AE453" s="36">
        <v>100</v>
      </c>
      <c r="AF453" s="36"/>
      <c r="AG453" s="36">
        <v>1</v>
      </c>
      <c r="AH453" s="35" t="s">
        <v>178</v>
      </c>
      <c r="AI453" s="33"/>
      <c r="AJ453" s="74"/>
      <c r="AK453" s="36"/>
      <c r="AL453" s="35"/>
    </row>
    <row r="454" s="27" customFormat="1" hidden="1" customHeight="1" spans="1:38">
      <c r="A454" s="57">
        <v>5505161</v>
      </c>
      <c r="B454" s="28" t="s">
        <v>544</v>
      </c>
      <c r="C454" s="57" t="str">
        <f t="shared" si="185"/>
        <v>5505161</v>
      </c>
      <c r="D454" s="59">
        <f t="shared" si="186"/>
        <v>1</v>
      </c>
      <c r="E454" s="59"/>
      <c r="F454" s="60" t="s">
        <v>220</v>
      </c>
      <c r="G454" s="36" t="str">
        <f t="shared" si="184"/>
        <v/>
      </c>
      <c r="H454" s="36" t="str">
        <f>IFERROR(IF(--MID($F454,2*COUNTIF($G454:G454,"&gt;"&amp;0)+2,1)=H$1,H$1,""),"")</f>
        <v/>
      </c>
      <c r="I454" s="36" t="str">
        <f>IFERROR(IF(--MID($F454,2*COUNTIF($G454:H454,"&gt;"&amp;0)+2,1)=I$1,I$1,""),"")</f>
        <v/>
      </c>
      <c r="J454" s="36" t="str">
        <f>IFERROR(IF(--MID($F454,2*COUNTIF($G454:I454,"&gt;"&amp;0)+2,1)=J$1,J$1,""),"")</f>
        <v/>
      </c>
      <c r="K454" s="36" t="str">
        <f>IFERROR(IF(--MID($F454,2*COUNTIF($G454:J454,"&gt;"&amp;0)+2,1)=K$1,K$1,""),"")</f>
        <v/>
      </c>
      <c r="L454" s="36">
        <f>IFERROR(IF(--MID($F454,2*COUNTIF($G454:K454,"&gt;"&amp;0)+2,1)=L$1,L$1,""),"")</f>
        <v>6</v>
      </c>
      <c r="M454" s="36" t="e" cm="1">
        <f t="array" ref="M454">IF(A454="","",_xlfn.XLOOKUP(D454&amp;"_"&amp;AE454,符文权重!A:A&amp;"_"&amp;符文权重!C:C,符文权重!D:D))</f>
        <v>#N/A</v>
      </c>
      <c r="N454" s="36"/>
      <c r="O454" s="36"/>
      <c r="P454" s="36"/>
      <c r="Q454" s="36"/>
      <c r="R454" s="36"/>
      <c r="S454" s="60" t="s">
        <v>192</v>
      </c>
      <c r="T454" s="60" t="s">
        <v>220</v>
      </c>
      <c r="U454" s="60" t="e">
        <f>IF(C454="","",SUBSTITUTE(SUBSTITUTE("[{global_atk,"&amp;#REF!*D454&amp;"}]",21,20),9,8))</f>
        <v>#REF!</v>
      </c>
      <c r="V454" s="61" t="str">
        <f t="shared" ref="V454:V460" si="208">"["&amp;A454&amp;"]"</f>
        <v>[5505161]</v>
      </c>
      <c r="W454" s="60"/>
      <c r="X454" s="28"/>
      <c r="Y454" s="35">
        <v>100</v>
      </c>
      <c r="Z454" s="28"/>
      <c r="AA454" s="59" t="s">
        <v>177</v>
      </c>
      <c r="AB454" s="42" t="str">
        <f t="shared" si="192"/>
        <v>毒系职业中毒层数上限提升&lt;color=#54b76b&gt;10%&lt;/color&gt;</v>
      </c>
      <c r="AC454" s="57" t="str">
        <f t="shared" si="187"/>
        <v>5505161</v>
      </c>
      <c r="AD454" s="59" t="str">
        <f t="shared" si="188"/>
        <v>[10]</v>
      </c>
      <c r="AE454" s="60">
        <v>100</v>
      </c>
      <c r="AF454" s="60"/>
      <c r="AG454" s="60">
        <v>1</v>
      </c>
      <c r="AH454" s="35">
        <v>1</v>
      </c>
      <c r="AI454" s="62">
        <v>5505161</v>
      </c>
      <c r="AJ454" s="73" t="s">
        <v>544</v>
      </c>
      <c r="AK454" s="60">
        <v>10</v>
      </c>
      <c r="AL454" s="35"/>
    </row>
    <row r="455" s="28" customFormat="1" hidden="1" customHeight="1" spans="1:38">
      <c r="A455" s="57">
        <v>5505162</v>
      </c>
      <c r="B455" s="28" t="s">
        <v>545</v>
      </c>
      <c r="C455" s="57" t="str">
        <f t="shared" si="185"/>
        <v>5505161</v>
      </c>
      <c r="D455" s="59">
        <f t="shared" si="186"/>
        <v>2</v>
      </c>
      <c r="E455" s="59"/>
      <c r="F455" s="60" t="s">
        <v>220</v>
      </c>
      <c r="G455" s="36" t="str">
        <f t="shared" ref="G455:G518" si="209">IF(LEFT(F455,2)="[1",1,"")</f>
        <v/>
      </c>
      <c r="H455" s="36" t="str">
        <f>IFERROR(IF(--MID($F455,2*COUNTIF($G455:G455,"&gt;"&amp;0)+2,1)=H$1,H$1,""),"")</f>
        <v/>
      </c>
      <c r="I455" s="36" t="str">
        <f>IFERROR(IF(--MID($F455,2*COUNTIF($G455:H455,"&gt;"&amp;0)+2,1)=I$1,I$1,""),"")</f>
        <v/>
      </c>
      <c r="J455" s="36" t="str">
        <f>IFERROR(IF(--MID($F455,2*COUNTIF($G455:I455,"&gt;"&amp;0)+2,1)=J$1,J$1,""),"")</f>
        <v/>
      </c>
      <c r="K455" s="36" t="str">
        <f>IFERROR(IF(--MID($F455,2*COUNTIF($G455:J455,"&gt;"&amp;0)+2,1)=K$1,K$1,""),"")</f>
        <v/>
      </c>
      <c r="L455" s="36">
        <f>IFERROR(IF(--MID($F455,2*COUNTIF($G455:K455,"&gt;"&amp;0)+2,1)=L$1,L$1,""),"")</f>
        <v>6</v>
      </c>
      <c r="M455" s="36" t="e" cm="1">
        <f t="array" ref="M455">IF(A455="","",_xlfn.XLOOKUP(D455&amp;"_"&amp;AE455,符文权重!A:A&amp;"_"&amp;符文权重!C:C,符文权重!D:D))</f>
        <v>#N/A</v>
      </c>
      <c r="N455" s="36"/>
      <c r="O455" s="36"/>
      <c r="P455" s="36"/>
      <c r="Q455" s="36"/>
      <c r="R455" s="36"/>
      <c r="S455" s="60" t="s">
        <v>192</v>
      </c>
      <c r="T455" s="60" t="s">
        <v>220</v>
      </c>
      <c r="U455" s="60" t="e">
        <f>IF(C455="","",SUBSTITUTE(SUBSTITUTE("[{global_atk,"&amp;#REF!*D455&amp;"}]",21,20),9,8))</f>
        <v>#REF!</v>
      </c>
      <c r="V455" s="61" t="str">
        <f t="shared" si="208"/>
        <v>[5505162]</v>
      </c>
      <c r="W455" s="60"/>
      <c r="Y455" s="35">
        <v>100</v>
      </c>
      <c r="AA455" s="59" t="s">
        <v>181</v>
      </c>
      <c r="AB455" s="42" t="str">
        <f t="shared" si="192"/>
        <v>毒系职业中毒层数上限提升&lt;color=#54b76b&gt;20%&lt;/color&gt;</v>
      </c>
      <c r="AC455" s="57" t="str">
        <f t="shared" si="187"/>
        <v>5505161</v>
      </c>
      <c r="AD455" s="59" t="str">
        <f t="shared" si="188"/>
        <v>[20]</v>
      </c>
      <c r="AE455" s="60">
        <v>100</v>
      </c>
      <c r="AF455" s="60"/>
      <c r="AG455" s="60">
        <v>1</v>
      </c>
      <c r="AH455" s="35">
        <v>1</v>
      </c>
      <c r="AI455" s="57">
        <f t="shared" ref="AI455:AI460" si="210">AI454+1</f>
        <v>5505162</v>
      </c>
      <c r="AJ455" s="64" t="str">
        <f t="shared" ref="AJ455:AJ460" si="211">AJ454</f>
        <v>毒系职业中毒层数上限提升&lt;color=#54b76b&gt;%s%&lt;/color&gt;</v>
      </c>
      <c r="AK455" s="60">
        <v>20</v>
      </c>
      <c r="AL455" s="35"/>
    </row>
    <row r="456" s="28" customFormat="1" hidden="1" customHeight="1" spans="1:38">
      <c r="A456" s="57">
        <v>5505163</v>
      </c>
      <c r="B456" s="28" t="s">
        <v>546</v>
      </c>
      <c r="C456" s="57" t="str">
        <f t="shared" si="185"/>
        <v>5505161</v>
      </c>
      <c r="D456" s="59">
        <f t="shared" si="186"/>
        <v>3</v>
      </c>
      <c r="E456" s="59"/>
      <c r="F456" s="60" t="s">
        <v>220</v>
      </c>
      <c r="G456" s="36" t="str">
        <f t="shared" si="209"/>
        <v/>
      </c>
      <c r="H456" s="36" t="str">
        <f>IFERROR(IF(--MID($F456,2*COUNTIF($G456:G456,"&gt;"&amp;0)+2,1)=H$1,H$1,""),"")</f>
        <v/>
      </c>
      <c r="I456" s="36" t="str">
        <f>IFERROR(IF(--MID($F456,2*COUNTIF($G456:H456,"&gt;"&amp;0)+2,1)=I$1,I$1,""),"")</f>
        <v/>
      </c>
      <c r="J456" s="36" t="str">
        <f>IFERROR(IF(--MID($F456,2*COUNTIF($G456:I456,"&gt;"&amp;0)+2,1)=J$1,J$1,""),"")</f>
        <v/>
      </c>
      <c r="K456" s="36" t="str">
        <f>IFERROR(IF(--MID($F456,2*COUNTIF($G456:J456,"&gt;"&amp;0)+2,1)=K$1,K$1,""),"")</f>
        <v/>
      </c>
      <c r="L456" s="36">
        <f>IFERROR(IF(--MID($F456,2*COUNTIF($G456:K456,"&gt;"&amp;0)+2,1)=L$1,L$1,""),"")</f>
        <v>6</v>
      </c>
      <c r="M456" s="36" t="e" cm="1">
        <f t="array" ref="M456">IF(A456="","",_xlfn.XLOOKUP(D456&amp;"_"&amp;AE456,符文权重!A:A&amp;"_"&amp;符文权重!C:C,符文权重!D:D))</f>
        <v>#N/A</v>
      </c>
      <c r="N456" s="36"/>
      <c r="O456" s="36"/>
      <c r="P456" s="36"/>
      <c r="Q456" s="36"/>
      <c r="R456" s="36"/>
      <c r="S456" s="60" t="s">
        <v>192</v>
      </c>
      <c r="T456" s="60" t="s">
        <v>220</v>
      </c>
      <c r="U456" s="60" t="e">
        <f>IF(C456="","",SUBSTITUTE(SUBSTITUTE("[{global_atk,"&amp;#REF!*D456&amp;"}]",21,20),9,8))</f>
        <v>#REF!</v>
      </c>
      <c r="V456" s="61" t="str">
        <f t="shared" si="208"/>
        <v>[5505163]</v>
      </c>
      <c r="W456" s="60"/>
      <c r="Y456" s="35">
        <v>100</v>
      </c>
      <c r="AA456" s="59" t="s">
        <v>183</v>
      </c>
      <c r="AB456" s="42" t="str">
        <f t="shared" si="192"/>
        <v>毒系职业中毒层数上限提升&lt;color=#54b76b&gt;35%&lt;/color&gt;</v>
      </c>
      <c r="AC456" s="57" t="str">
        <f t="shared" si="187"/>
        <v>5505161</v>
      </c>
      <c r="AD456" s="59" t="str">
        <f t="shared" si="188"/>
        <v>[35]</v>
      </c>
      <c r="AE456" s="60">
        <v>100</v>
      </c>
      <c r="AF456" s="60"/>
      <c r="AG456" s="60">
        <v>1</v>
      </c>
      <c r="AH456" s="35">
        <v>1</v>
      </c>
      <c r="AI456" s="57">
        <f t="shared" si="210"/>
        <v>5505163</v>
      </c>
      <c r="AJ456" s="64" t="str">
        <f t="shared" si="211"/>
        <v>毒系职业中毒层数上限提升&lt;color=#54b76b&gt;%s%&lt;/color&gt;</v>
      </c>
      <c r="AK456" s="60">
        <v>35</v>
      </c>
      <c r="AL456" s="35"/>
    </row>
    <row r="457" hidden="1" customHeight="1" spans="1:38">
      <c r="A457" s="48">
        <v>5505164</v>
      </c>
      <c r="B457" s="35" t="s">
        <v>547</v>
      </c>
      <c r="C457" s="48" t="str">
        <f t="shared" si="185"/>
        <v>5505161</v>
      </c>
      <c r="D457" s="42">
        <f t="shared" si="186"/>
        <v>4</v>
      </c>
      <c r="E457" s="42"/>
      <c r="F457" s="36" t="s">
        <v>220</v>
      </c>
      <c r="G457" s="36" t="str">
        <f t="shared" si="209"/>
        <v/>
      </c>
      <c r="H457" s="36" t="str">
        <f>IFERROR(IF(--MID($F457,2*COUNTIF($G457:G457,"&gt;"&amp;0)+2,1)=H$1,H$1,""),"")</f>
        <v/>
      </c>
      <c r="I457" s="36" t="str">
        <f>IFERROR(IF(--MID($F457,2*COUNTIF($G457:H457,"&gt;"&amp;0)+2,1)=I$1,I$1,""),"")</f>
        <v/>
      </c>
      <c r="J457" s="36" t="str">
        <f>IFERROR(IF(--MID($F457,2*COUNTIF($G457:I457,"&gt;"&amp;0)+2,1)=J$1,J$1,""),"")</f>
        <v/>
      </c>
      <c r="K457" s="36" t="str">
        <f>IFERROR(IF(--MID($F457,2*COUNTIF($G457:J457,"&gt;"&amp;0)+2,1)=K$1,K$1,""),"")</f>
        <v/>
      </c>
      <c r="L457" s="36">
        <f>IFERROR(IF(--MID($F457,2*COUNTIF($G457:K457,"&gt;"&amp;0)+2,1)=L$1,L$1,""),"")</f>
        <v>6</v>
      </c>
      <c r="M457" s="51" t="str" cm="1">
        <f t="array" ref="M457">IF($A457="","",IF(G457="","",_xlfn.XLOOKUP($D457&amp;"_"&amp;$AE457,符文权重!$A:$A&amp;"_"&amp;符文权重!$C:$C,符文权重!$D:$D)*$Y457/SUMIFS($Y:$Y,G:G,G457,$D:$D,$D457,$AE:$AE,$AE457)/SUMIF(符文权重!$A:$A,$D457,符文权重!$D:$D)))</f>
        <v/>
      </c>
      <c r="N457" s="51" t="str" cm="1">
        <f t="array" ref="N457">IF($A457="","",IF(H457="","",_xlfn.XLOOKUP($D457&amp;"_"&amp;$AE457,符文权重!$A:$A&amp;"_"&amp;符文权重!$C:$C,符文权重!$D:$D)*$Y457/SUMIFS($Y:$Y,H:H,H457,$D:$D,$D457,$AE:$AE,$AE457)/SUMIF(符文权重!$A:$A,$D457,符文权重!$D:$D)))</f>
        <v/>
      </c>
      <c r="O457" s="51" t="str" cm="1">
        <f t="array" ref="O457">IF($A457="","",IF(I457="","",_xlfn.XLOOKUP($D457&amp;"_"&amp;$AE457,符文权重!$A:$A&amp;"_"&amp;符文权重!$C:$C,符文权重!$D:$D)*$Y457/SUMIFS($Y:$Y,I:I,I457,$D:$D,$D457,$AE:$AE,$AE457)/SUMIF(符文权重!$A:$A,$D457,符文权重!$D:$D)))</f>
        <v/>
      </c>
      <c r="P457" s="51" t="str" cm="1">
        <f t="array" ref="P457">IF($A457="","",IF(J457="","",_xlfn.XLOOKUP($D457&amp;"_"&amp;$AE457,符文权重!$A:$A&amp;"_"&amp;符文权重!$C:$C,符文权重!$D:$D)*$Y457/SUMIFS($Y:$Y,J:J,J457,$D:$D,$D457,$AE:$AE,$AE457)/SUMIF(符文权重!$A:$A,$D457,符文权重!$D:$D)))</f>
        <v/>
      </c>
      <c r="Q457" s="51" t="str" cm="1">
        <f t="array" ref="Q457">IF($A457="","",IF(K457="","",_xlfn.XLOOKUP($D457&amp;"_"&amp;$AE457,符文权重!$A:$A&amp;"_"&amp;符文权重!$C:$C,符文权重!$D:$D)*$Y457/SUMIFS($Y:$Y,K:K,K457,$D:$D,$D457,$AE:$AE,$AE457)/SUMIF(符文权重!$A:$A,$D457,符文权重!$D:$D)))</f>
        <v/>
      </c>
      <c r="R457" s="51" cm="1">
        <f t="array" ref="R457">IF($A457="","",IF(L457="","",_xlfn.XLOOKUP($D457&amp;"_"&amp;$AE457,符文权重!$A:$A&amp;"_"&amp;符文权重!$C:$C,符文权重!$D:$D)*$Y457/SUMIFS($Y:$Y,L:L,L457,$D:$D,$D457,$AE:$AE,$AE457)/SUMIF(符文权重!$A:$A,$D457,符文权重!$D:$D)))</f>
        <v>0.00341000341000341</v>
      </c>
      <c r="S457" s="36" t="s">
        <v>192</v>
      </c>
      <c r="T457" s="36" t="s">
        <v>220</v>
      </c>
      <c r="U457" s="36" t="e">
        <f>IF(C457="","",SUBSTITUTE(SUBSTITUTE("[{global_atk,"&amp;#REF!*D457&amp;"}]",21,20),9,8))</f>
        <v>#REF!</v>
      </c>
      <c r="V457" s="52" t="str">
        <f t="shared" si="208"/>
        <v>[5505164]</v>
      </c>
      <c r="Y457" s="35">
        <v>4</v>
      </c>
      <c r="AA457" s="42" t="s">
        <v>185</v>
      </c>
      <c r="AB457" s="42" t="str">
        <f t="shared" si="192"/>
        <v>毒系职业中毒层数上限提升&lt;color=#54b76b&gt;50%&lt;/color&gt;</v>
      </c>
      <c r="AC457" s="48" t="str">
        <f t="shared" si="187"/>
        <v>5505161</v>
      </c>
      <c r="AD457" s="42" t="str">
        <f t="shared" si="188"/>
        <v>[50]</v>
      </c>
      <c r="AE457" s="36">
        <v>3</v>
      </c>
      <c r="AF457" s="36"/>
      <c r="AG457" s="36">
        <v>0</v>
      </c>
      <c r="AH457" s="35">
        <v>1</v>
      </c>
      <c r="AI457" s="48">
        <f t="shared" si="210"/>
        <v>5505164</v>
      </c>
      <c r="AJ457" s="53" t="str">
        <f t="shared" si="211"/>
        <v>毒系职业中毒层数上限提升&lt;color=#54b76b&gt;%s%&lt;/color&gt;</v>
      </c>
      <c r="AK457" s="36">
        <v>50</v>
      </c>
      <c r="AL457" s="35">
        <v>5</v>
      </c>
    </row>
    <row r="458" hidden="1" customHeight="1" spans="1:38">
      <c r="A458" s="48">
        <v>5505165</v>
      </c>
      <c r="B458" s="35" t="s">
        <v>548</v>
      </c>
      <c r="C458" s="48" t="str">
        <f t="shared" si="185"/>
        <v>5505161</v>
      </c>
      <c r="D458" s="42">
        <f t="shared" si="186"/>
        <v>5</v>
      </c>
      <c r="E458" s="42"/>
      <c r="F458" s="36" t="s">
        <v>220</v>
      </c>
      <c r="G458" s="36" t="str">
        <f t="shared" si="209"/>
        <v/>
      </c>
      <c r="H458" s="36" t="str">
        <f>IFERROR(IF(--MID($F458,2*COUNTIF($G458:G458,"&gt;"&amp;0)+2,1)=H$1,H$1,""),"")</f>
        <v/>
      </c>
      <c r="I458" s="36" t="str">
        <f>IFERROR(IF(--MID($F458,2*COUNTIF($G458:H458,"&gt;"&amp;0)+2,1)=I$1,I$1,""),"")</f>
        <v/>
      </c>
      <c r="J458" s="36" t="str">
        <f>IFERROR(IF(--MID($F458,2*COUNTIF($G458:I458,"&gt;"&amp;0)+2,1)=J$1,J$1,""),"")</f>
        <v/>
      </c>
      <c r="K458" s="36" t="str">
        <f>IFERROR(IF(--MID($F458,2*COUNTIF($G458:J458,"&gt;"&amp;0)+2,1)=K$1,K$1,""),"")</f>
        <v/>
      </c>
      <c r="L458" s="36">
        <f>IFERROR(IF(--MID($F458,2*COUNTIF($G458:K458,"&gt;"&amp;0)+2,1)=L$1,L$1,""),"")</f>
        <v>6</v>
      </c>
      <c r="M458" s="51" t="str" cm="1">
        <f t="array" ref="M458">IF($A458="","",IF(G458="","",_xlfn.XLOOKUP($D458&amp;"_"&amp;$AE458,符文权重!$A:$A&amp;"_"&amp;符文权重!$C:$C,符文权重!$D:$D)*$Y458/SUMIFS($Y:$Y,G:G,G458,$D:$D,$D458,$AE:$AE,$AE458)/SUMIF(符文权重!$A:$A,$D458,符文权重!$D:$D)))</f>
        <v/>
      </c>
      <c r="N458" s="51" t="str" cm="1">
        <f t="array" ref="N458">IF($A458="","",IF(H458="","",_xlfn.XLOOKUP($D458&amp;"_"&amp;$AE458,符文权重!$A:$A&amp;"_"&amp;符文权重!$C:$C,符文权重!$D:$D)*$Y458/SUMIFS($Y:$Y,H:H,H458,$D:$D,$D458,$AE:$AE,$AE458)/SUMIF(符文权重!$A:$A,$D458,符文权重!$D:$D)))</f>
        <v/>
      </c>
      <c r="O458" s="51" t="str" cm="1">
        <f t="array" ref="O458">IF($A458="","",IF(I458="","",_xlfn.XLOOKUP($D458&amp;"_"&amp;$AE458,符文权重!$A:$A&amp;"_"&amp;符文权重!$C:$C,符文权重!$D:$D)*$Y458/SUMIFS($Y:$Y,I:I,I458,$D:$D,$D458,$AE:$AE,$AE458)/SUMIF(符文权重!$A:$A,$D458,符文权重!$D:$D)))</f>
        <v/>
      </c>
      <c r="P458" s="51" t="str" cm="1">
        <f t="array" ref="P458">IF($A458="","",IF(J458="","",_xlfn.XLOOKUP($D458&amp;"_"&amp;$AE458,符文权重!$A:$A&amp;"_"&amp;符文权重!$C:$C,符文权重!$D:$D)*$Y458/SUMIFS($Y:$Y,J:J,J458,$D:$D,$D458,$AE:$AE,$AE458)/SUMIF(符文权重!$A:$A,$D458,符文权重!$D:$D)))</f>
        <v/>
      </c>
      <c r="Q458" s="51" t="str" cm="1">
        <f t="array" ref="Q458">IF($A458="","",IF(K458="","",_xlfn.XLOOKUP($D458&amp;"_"&amp;$AE458,符文权重!$A:$A&amp;"_"&amp;符文权重!$C:$C,符文权重!$D:$D)*$Y458/SUMIFS($Y:$Y,K:K,K458,$D:$D,$D458,$AE:$AE,$AE458)/SUMIF(符文权重!$A:$A,$D458,符文权重!$D:$D)))</f>
        <v/>
      </c>
      <c r="R458" s="51" cm="1">
        <f t="array" ref="R458">IF($A458="","",IF(L458="","",_xlfn.XLOOKUP($D458&amp;"_"&amp;$AE458,符文权重!$A:$A&amp;"_"&amp;符文权重!$C:$C,符文权重!$D:$D)*$Y458/SUMIFS($Y:$Y,L:L,L458,$D:$D,$D458,$AE:$AE,$AE458)/SUMIF(符文权重!$A:$A,$D458,符文权重!$D:$D)))</f>
        <v>0.00375</v>
      </c>
      <c r="S458" s="36" t="s">
        <v>192</v>
      </c>
      <c r="T458" s="36" t="s">
        <v>220</v>
      </c>
      <c r="U458" s="36" t="e">
        <f>IF(C458="","",SUBSTITUTE(SUBSTITUTE("[{global_atk,"&amp;#REF!*D458&amp;"}]",21,20),9,8))</f>
        <v>#REF!</v>
      </c>
      <c r="V458" s="52" t="str">
        <f t="shared" si="208"/>
        <v>[5505165]</v>
      </c>
      <c r="Y458" s="35">
        <v>100</v>
      </c>
      <c r="AA458" s="42" t="s">
        <v>187</v>
      </c>
      <c r="AB458" s="42" t="str">
        <f t="shared" si="192"/>
        <v>毒系职业中毒层数上限提升&lt;color=#54b76b&gt;80%&lt;/color&gt;</v>
      </c>
      <c r="AC458" s="48" t="str">
        <f t="shared" si="187"/>
        <v>5505161</v>
      </c>
      <c r="AD458" s="42" t="str">
        <f t="shared" si="188"/>
        <v>[80]</v>
      </c>
      <c r="AE458" s="36">
        <v>5</v>
      </c>
      <c r="AF458" s="36"/>
      <c r="AG458" s="36">
        <v>0</v>
      </c>
      <c r="AH458" s="35">
        <v>1</v>
      </c>
      <c r="AI458" s="48">
        <f t="shared" si="210"/>
        <v>5505165</v>
      </c>
      <c r="AJ458" s="53" t="str">
        <f t="shared" si="211"/>
        <v>毒系职业中毒层数上限提升&lt;color=#54b76b&gt;%s%&lt;/color&gt;</v>
      </c>
      <c r="AK458" s="36">
        <v>80</v>
      </c>
      <c r="AL458" s="35">
        <v>5</v>
      </c>
    </row>
    <row r="459" hidden="1" customHeight="1" spans="1:38">
      <c r="A459" s="48">
        <v>5505166</v>
      </c>
      <c r="B459" s="35" t="s">
        <v>549</v>
      </c>
      <c r="C459" s="48" t="str">
        <f t="shared" si="185"/>
        <v>5505161</v>
      </c>
      <c r="D459" s="42">
        <f t="shared" si="186"/>
        <v>6</v>
      </c>
      <c r="E459" s="42"/>
      <c r="F459" s="36" t="s">
        <v>220</v>
      </c>
      <c r="G459" s="36" t="str">
        <f t="shared" si="209"/>
        <v/>
      </c>
      <c r="H459" s="36" t="str">
        <f>IFERROR(IF(--MID($F459,2*COUNTIF($G459:G459,"&gt;"&amp;0)+2,1)=H$1,H$1,""),"")</f>
        <v/>
      </c>
      <c r="I459" s="36" t="str">
        <f>IFERROR(IF(--MID($F459,2*COUNTIF($G459:H459,"&gt;"&amp;0)+2,1)=I$1,I$1,""),"")</f>
        <v/>
      </c>
      <c r="J459" s="36" t="str">
        <f>IFERROR(IF(--MID($F459,2*COUNTIF($G459:I459,"&gt;"&amp;0)+2,1)=J$1,J$1,""),"")</f>
        <v/>
      </c>
      <c r="K459" s="36" t="str">
        <f>IFERROR(IF(--MID($F459,2*COUNTIF($G459:J459,"&gt;"&amp;0)+2,1)=K$1,K$1,""),"")</f>
        <v/>
      </c>
      <c r="L459" s="36">
        <f>IFERROR(IF(--MID($F459,2*COUNTIF($G459:K459,"&gt;"&amp;0)+2,1)=L$1,L$1,""),"")</f>
        <v>6</v>
      </c>
      <c r="M459" s="51" t="str" cm="1">
        <f t="array" ref="M459">IF($A459="","",IF(G459="","",_xlfn.XLOOKUP($D459&amp;"_"&amp;$AE459,符文权重!$A:$A&amp;"_"&amp;符文权重!$C:$C,符文权重!$D:$D)*$Y459/SUMIFS($Y:$Y,G:G,G459,$D:$D,$D459,$AE:$AE,$AE459)/SUMIF(符文权重!$A:$A,$D459,符文权重!$D:$D)))</f>
        <v/>
      </c>
      <c r="N459" s="51" t="str" cm="1">
        <f t="array" ref="N459">IF($A459="","",IF(H459="","",_xlfn.XLOOKUP($D459&amp;"_"&amp;$AE459,符文权重!$A:$A&amp;"_"&amp;符文权重!$C:$C,符文权重!$D:$D)*$Y459/SUMIFS($Y:$Y,H:H,H459,$D:$D,$D459,$AE:$AE,$AE459)/SUMIF(符文权重!$A:$A,$D459,符文权重!$D:$D)))</f>
        <v/>
      </c>
      <c r="O459" s="51" t="str" cm="1">
        <f t="array" ref="O459">IF($A459="","",IF(I459="","",_xlfn.XLOOKUP($D459&amp;"_"&amp;$AE459,符文权重!$A:$A&amp;"_"&amp;符文权重!$C:$C,符文权重!$D:$D)*$Y459/SUMIFS($Y:$Y,I:I,I459,$D:$D,$D459,$AE:$AE,$AE459)/SUMIF(符文权重!$A:$A,$D459,符文权重!$D:$D)))</f>
        <v/>
      </c>
      <c r="P459" s="51" t="str" cm="1">
        <f t="array" ref="P459">IF($A459="","",IF(J459="","",_xlfn.XLOOKUP($D459&amp;"_"&amp;$AE459,符文权重!$A:$A&amp;"_"&amp;符文权重!$C:$C,符文权重!$D:$D)*$Y459/SUMIFS($Y:$Y,J:J,J459,$D:$D,$D459,$AE:$AE,$AE459)/SUMIF(符文权重!$A:$A,$D459,符文权重!$D:$D)))</f>
        <v/>
      </c>
      <c r="Q459" s="51" t="str" cm="1">
        <f t="array" ref="Q459">IF($A459="","",IF(K459="","",_xlfn.XLOOKUP($D459&amp;"_"&amp;$AE459,符文权重!$A:$A&amp;"_"&amp;符文权重!$C:$C,符文权重!$D:$D)*$Y459/SUMIFS($Y:$Y,K:K,K459,$D:$D,$D459,$AE:$AE,$AE459)/SUMIF(符文权重!$A:$A,$D459,符文权重!$D:$D)))</f>
        <v/>
      </c>
      <c r="R459" s="51" cm="1">
        <f t="array" ref="R459">IF($A459="","",IF(L459="","",_xlfn.XLOOKUP($D459&amp;"_"&amp;$AE459,符文权重!$A:$A&amp;"_"&amp;符文权重!$C:$C,符文权重!$D:$D)*$Y459/SUMIFS($Y:$Y,L:L,L459,$D:$D,$D459,$AE:$AE,$AE459)/SUMIF(符文权重!$A:$A,$D459,符文权重!$D:$D)))</f>
        <v>0.00375</v>
      </c>
      <c r="S459" s="36" t="s">
        <v>192</v>
      </c>
      <c r="T459" s="36" t="s">
        <v>220</v>
      </c>
      <c r="U459" s="36" t="e">
        <f>IF(C459="","",SUBSTITUTE(SUBSTITUTE("[{global_atk,"&amp;#REF!*D459&amp;"}]",21,20),9,8))</f>
        <v>#REF!</v>
      </c>
      <c r="V459" s="52" t="str">
        <f t="shared" si="208"/>
        <v>[5505166]</v>
      </c>
      <c r="Y459" s="35">
        <v>100</v>
      </c>
      <c r="AA459" s="42" t="s">
        <v>189</v>
      </c>
      <c r="AB459" s="42" t="str">
        <f t="shared" si="192"/>
        <v>毒系职业中毒层数上限提升&lt;color=#54b76b&gt;110%&lt;/color&gt;</v>
      </c>
      <c r="AC459" s="48" t="str">
        <f t="shared" si="187"/>
        <v>5505161</v>
      </c>
      <c r="AD459" s="42" t="str">
        <f t="shared" si="188"/>
        <v>[110]</v>
      </c>
      <c r="AE459" s="36">
        <v>5</v>
      </c>
      <c r="AF459" s="36"/>
      <c r="AG459" s="36">
        <v>0</v>
      </c>
      <c r="AH459" s="35">
        <v>1</v>
      </c>
      <c r="AI459" s="48">
        <f t="shared" si="210"/>
        <v>5505166</v>
      </c>
      <c r="AJ459" s="53" t="str">
        <f t="shared" si="211"/>
        <v>毒系职业中毒层数上限提升&lt;color=#54b76b&gt;%s%&lt;/color&gt;</v>
      </c>
      <c r="AK459" s="36">
        <v>110</v>
      </c>
      <c r="AL459" s="35">
        <v>5</v>
      </c>
    </row>
    <row r="460" hidden="1" customHeight="1" spans="1:38">
      <c r="A460" s="48">
        <v>5505167</v>
      </c>
      <c r="B460" s="35" t="s">
        <v>550</v>
      </c>
      <c r="C460" s="48" t="str">
        <f t="shared" si="185"/>
        <v>5505161</v>
      </c>
      <c r="D460" s="42">
        <f t="shared" si="186"/>
        <v>7</v>
      </c>
      <c r="E460" s="42"/>
      <c r="F460" s="36" t="s">
        <v>220</v>
      </c>
      <c r="G460" s="36" t="str">
        <f t="shared" si="209"/>
        <v/>
      </c>
      <c r="H460" s="36" t="str">
        <f>IFERROR(IF(--MID($F460,2*COUNTIF($G460:G460,"&gt;"&amp;0)+2,1)=H$1,H$1,""),"")</f>
        <v/>
      </c>
      <c r="I460" s="36" t="str">
        <f>IFERROR(IF(--MID($F460,2*COUNTIF($G460:H460,"&gt;"&amp;0)+2,1)=I$1,I$1,""),"")</f>
        <v/>
      </c>
      <c r="J460" s="36" t="str">
        <f>IFERROR(IF(--MID($F460,2*COUNTIF($G460:I460,"&gt;"&amp;0)+2,1)=J$1,J$1,""),"")</f>
        <v/>
      </c>
      <c r="K460" s="36" t="str">
        <f>IFERROR(IF(--MID($F460,2*COUNTIF($G460:J460,"&gt;"&amp;0)+2,1)=K$1,K$1,""),"")</f>
        <v/>
      </c>
      <c r="L460" s="36">
        <f>IFERROR(IF(--MID($F460,2*COUNTIF($G460:K460,"&gt;"&amp;0)+2,1)=L$1,L$1,""),"")</f>
        <v>6</v>
      </c>
      <c r="M460" s="51" t="str" cm="1">
        <f t="array" ref="M460">IF($A460="","",IF(G460="","",_xlfn.XLOOKUP($D460&amp;"_"&amp;$AE460,符文权重!$A:$A&amp;"_"&amp;符文权重!$C:$C,符文权重!$D:$D)*$Y460/SUMIFS($Y:$Y,G:G,G460,$D:$D,$D460,$AE:$AE,$AE460)/SUMIF(符文权重!$A:$A,$D460,符文权重!$D:$D)))</f>
        <v/>
      </c>
      <c r="N460" s="51" t="str" cm="1">
        <f t="array" ref="N460">IF($A460="","",IF(H460="","",_xlfn.XLOOKUP($D460&amp;"_"&amp;$AE460,符文权重!$A:$A&amp;"_"&amp;符文权重!$C:$C,符文权重!$D:$D)*$Y460/SUMIFS($Y:$Y,H:H,H460,$D:$D,$D460,$AE:$AE,$AE460)/SUMIF(符文权重!$A:$A,$D460,符文权重!$D:$D)))</f>
        <v/>
      </c>
      <c r="O460" s="51" t="str" cm="1">
        <f t="array" ref="O460">IF($A460="","",IF(I460="","",_xlfn.XLOOKUP($D460&amp;"_"&amp;$AE460,符文权重!$A:$A&amp;"_"&amp;符文权重!$C:$C,符文权重!$D:$D)*$Y460/SUMIFS($Y:$Y,I:I,I460,$D:$D,$D460,$AE:$AE,$AE460)/SUMIF(符文权重!$A:$A,$D460,符文权重!$D:$D)))</f>
        <v/>
      </c>
      <c r="P460" s="51" t="str" cm="1">
        <f t="array" ref="P460">IF($A460="","",IF(J460="","",_xlfn.XLOOKUP($D460&amp;"_"&amp;$AE460,符文权重!$A:$A&amp;"_"&amp;符文权重!$C:$C,符文权重!$D:$D)*$Y460/SUMIFS($Y:$Y,J:J,J460,$D:$D,$D460,$AE:$AE,$AE460)/SUMIF(符文权重!$A:$A,$D460,符文权重!$D:$D)))</f>
        <v/>
      </c>
      <c r="Q460" s="51" t="str" cm="1">
        <f t="array" ref="Q460">IF($A460="","",IF(K460="","",_xlfn.XLOOKUP($D460&amp;"_"&amp;$AE460,符文权重!$A:$A&amp;"_"&amp;符文权重!$C:$C,符文权重!$D:$D)*$Y460/SUMIFS($Y:$Y,K:K,K460,$D:$D,$D460,$AE:$AE,$AE460)/SUMIF(符文权重!$A:$A,$D460,符文权重!$D:$D)))</f>
        <v/>
      </c>
      <c r="R460" s="51" cm="1">
        <f t="array" ref="R460">IF($A460="","",IF(L460="","",_xlfn.XLOOKUP($D460&amp;"_"&amp;$AE460,符文权重!$A:$A&amp;"_"&amp;符文权重!$C:$C,符文权重!$D:$D)*$Y460/SUMIFS($Y:$Y,L:L,L460,$D:$D,$D460,$AE:$AE,$AE460)/SUMIF(符文权重!$A:$A,$D460,符文权重!$D:$D)))</f>
        <v>0.00375</v>
      </c>
      <c r="S460" s="36" t="s">
        <v>192</v>
      </c>
      <c r="T460" s="36" t="s">
        <v>220</v>
      </c>
      <c r="U460" s="36" t="e">
        <f>IF(C460="","",SUBSTITUTE(SUBSTITUTE("[{global_atk,"&amp;#REF!*D460&amp;"}]",21,20),9,8))</f>
        <v>#REF!</v>
      </c>
      <c r="V460" s="52" t="str">
        <f t="shared" si="208"/>
        <v>[5505167]</v>
      </c>
      <c r="Y460" s="35">
        <v>100</v>
      </c>
      <c r="AA460" s="42" t="s">
        <v>191</v>
      </c>
      <c r="AB460" s="42" t="str">
        <f t="shared" si="192"/>
        <v>毒系职业中毒层数上限提升&lt;color=#54b76b&gt;140%&lt;/color&gt;</v>
      </c>
      <c r="AC460" s="48" t="str">
        <f t="shared" si="187"/>
        <v>5505161</v>
      </c>
      <c r="AD460" s="42" t="str">
        <f t="shared" si="188"/>
        <v>[140]</v>
      </c>
      <c r="AE460" s="36">
        <v>5</v>
      </c>
      <c r="AF460" s="36"/>
      <c r="AG460" s="36">
        <v>0</v>
      </c>
      <c r="AH460" s="35">
        <v>1</v>
      </c>
      <c r="AI460" s="48">
        <f t="shared" si="210"/>
        <v>5505167</v>
      </c>
      <c r="AJ460" s="53" t="str">
        <f t="shared" si="211"/>
        <v>毒系职业中毒层数上限提升&lt;color=#54b76b&gt;%s%&lt;/color&gt;</v>
      </c>
      <c r="AK460" s="36">
        <v>140</v>
      </c>
      <c r="AL460" s="35">
        <v>5</v>
      </c>
    </row>
    <row r="461" s="25" customFormat="1" hidden="1" customHeight="1" spans="1:38">
      <c r="A461" s="48" t="s">
        <v>178</v>
      </c>
      <c r="B461" s="72" t="s">
        <v>551</v>
      </c>
      <c r="C461" s="48" t="str">
        <f t="shared" si="185"/>
        <v/>
      </c>
      <c r="D461" s="42" t="str">
        <f t="shared" si="186"/>
        <v/>
      </c>
      <c r="E461" s="42"/>
      <c r="F461" s="36"/>
      <c r="G461" s="36" t="str">
        <f t="shared" si="209"/>
        <v/>
      </c>
      <c r="H461" s="36" t="str">
        <f>IFERROR(IF(--MID($F461,2*COUNTIF($G461:G461,"&gt;"&amp;0)+2,1)=H$1,H$1,""),"")</f>
        <v/>
      </c>
      <c r="I461" s="36" t="str">
        <f>IFERROR(IF(--MID($F461,2*COUNTIF($G461:H461,"&gt;"&amp;0)+2,1)=I$1,I$1,""),"")</f>
        <v/>
      </c>
      <c r="J461" s="36" t="str">
        <f>IFERROR(IF(--MID($F461,2*COUNTIF($G461:I461,"&gt;"&amp;0)+2,1)=J$1,J$1,""),"")</f>
        <v/>
      </c>
      <c r="K461" s="36" t="str">
        <f>IFERROR(IF(--MID($F461,2*COUNTIF($G461:J461,"&gt;"&amp;0)+2,1)=K$1,K$1,""),"")</f>
        <v/>
      </c>
      <c r="L461" s="36" t="str">
        <f>IFERROR(IF(--MID($F461,2*COUNTIF($G461:K461,"&gt;"&amp;0)+2,1)=L$1,L$1,""),"")</f>
        <v/>
      </c>
      <c r="M461" s="51" t="str" cm="1">
        <f t="array" ref="M461">IF($A461="","",IF(G461="","",_xlfn.XLOOKUP($D461&amp;"_"&amp;$AE461,符文权重!$A:$A&amp;"_"&amp;符文权重!$C:$C,符文权重!$D:$D)*$Y461/SUMIFS($Y:$Y,G:G,G461,$D:$D,$D461,$AE:$AE,$AE461)/SUMIF(符文权重!$A:$A,$D461,符文权重!$D:$D)))</f>
        <v/>
      </c>
      <c r="N461" s="36" t="str" cm="1">
        <f t="array" ref="N461">IF($A461="","",IF(H461="","",_xlfn.XLOOKUP($D461&amp;"_"&amp;$AE461,符文权重!$A:$A&amp;"_"&amp;符文权重!$C:$C,符文权重!$D:$D)*$Y461/SUMIFS($Y:$Y,H:H,H461,$D:$D,$D$6,$AE:$AE,$AE$6)))</f>
        <v/>
      </c>
      <c r="O461" s="36" t="str" cm="1">
        <f t="array" ref="O461">IF($A461="","",IF(I461="","",_xlfn.XLOOKUP($D461&amp;"_"&amp;$AE461,符文权重!$A:$A&amp;"_"&amp;符文权重!$C:$C,符文权重!$D:$D)*$Y461/SUMIFS($Y:$Y,I:I,I461,$D:$D,$D$6,$AE:$AE,$AE$6)))</f>
        <v/>
      </c>
      <c r="P461" s="36" t="str" cm="1">
        <f t="array" ref="P461">IF($A461="","",IF(J461="","",_xlfn.XLOOKUP($D461&amp;"_"&amp;$AE461,符文权重!$A:$A&amp;"_"&amp;符文权重!$C:$C,符文权重!$D:$D)*$Y461/SUMIFS($Y:$Y,J:J,J461,$D:$D,$D$6,$AE:$AE,$AE$6)))</f>
        <v/>
      </c>
      <c r="Q461" s="36" t="str" cm="1">
        <f t="array" ref="Q461">IF($A461="","",IF(K461="","",_xlfn.XLOOKUP($D461&amp;"_"&amp;$AE461,符文权重!$A:$A&amp;"_"&amp;符文权重!$C:$C,符文权重!$D:$D)*$Y461/SUMIFS($Y:$Y,K:K,K461,$D:$D,$D$6,$AE:$AE,$AE$6)))</f>
        <v/>
      </c>
      <c r="R461" s="36" t="str" cm="1">
        <f t="array" ref="R461">IF($A461="","",IF(L461="","",_xlfn.XLOOKUP($D461&amp;"_"&amp;$AE461,符文权重!$A:$A&amp;"_"&amp;符文权重!$C:$C,符文权重!$D:$D)*$Y461/SUMIFS($Y:$Y,L:L,L461,$D:$D,$D$6,$AE:$AE,$AE$6)))</f>
        <v/>
      </c>
      <c r="S461" s="36"/>
      <c r="T461" s="36"/>
      <c r="U461" s="36"/>
      <c r="W461" s="41"/>
      <c r="X461" s="35"/>
      <c r="Y461" s="35"/>
      <c r="Z461" s="35"/>
      <c r="AA461" s="42" t="s">
        <v>178</v>
      </c>
      <c r="AB461" s="42" t="str">
        <f t="shared" si="192"/>
        <v/>
      </c>
      <c r="AC461" s="48" t="str">
        <f t="shared" si="187"/>
        <v/>
      </c>
      <c r="AD461" s="42"/>
      <c r="AE461" s="36"/>
      <c r="AF461" s="36"/>
      <c r="AG461" s="36"/>
      <c r="AH461" s="35" t="s">
        <v>178</v>
      </c>
      <c r="AI461" s="33"/>
      <c r="AJ461" s="74"/>
      <c r="AK461" s="36"/>
      <c r="AL461" s="35"/>
    </row>
    <row r="462" s="27" customFormat="1" hidden="1" customHeight="1" spans="1:38">
      <c r="A462" s="57">
        <v>5505171</v>
      </c>
      <c r="B462" s="28" t="s">
        <v>552</v>
      </c>
      <c r="C462" s="57" t="str">
        <f t="shared" si="185"/>
        <v>5505171</v>
      </c>
      <c r="D462" s="59">
        <f t="shared" si="186"/>
        <v>1</v>
      </c>
      <c r="E462" s="59"/>
      <c r="F462" s="60" t="s">
        <v>230</v>
      </c>
      <c r="G462" s="36" t="str">
        <f t="shared" si="209"/>
        <v/>
      </c>
      <c r="H462" s="36" t="str">
        <f>IFERROR(IF(--MID($F462,2*COUNTIF($G462:G462,"&gt;"&amp;0)+2,1)=H$1,H$1,""),"")</f>
        <v/>
      </c>
      <c r="I462" s="36" t="str">
        <f>IFERROR(IF(--MID($F462,2*COUNTIF($G462:H462,"&gt;"&amp;0)+2,1)=I$1,I$1,""),"")</f>
        <v/>
      </c>
      <c r="J462" s="36" t="str">
        <f>IFERROR(IF(--MID($F462,2*COUNTIF($G462:I462,"&gt;"&amp;0)+2,1)=J$1,J$1,""),"")</f>
        <v/>
      </c>
      <c r="K462" s="36">
        <f>IFERROR(IF(--MID($F462,2*COUNTIF($G462:J462,"&gt;"&amp;0)+2,1)=K$1,K$1,""),"")</f>
        <v>5</v>
      </c>
      <c r="L462" s="36" t="str">
        <f>IFERROR(IF(--MID($F462,2*COUNTIF($G462:K462,"&gt;"&amp;0)+2,1)=L$1,L$1,""),"")</f>
        <v/>
      </c>
      <c r="M462" s="36" t="e" cm="1">
        <f t="array" ref="M462">IF(A462="","",_xlfn.XLOOKUP(D462&amp;"_"&amp;AE462,符文权重!A:A&amp;"_"&amp;符文权重!C:C,符文权重!D:D))</f>
        <v>#N/A</v>
      </c>
      <c r="N462" s="36"/>
      <c r="O462" s="36"/>
      <c r="P462" s="36"/>
      <c r="Q462" s="36"/>
      <c r="R462" s="36"/>
      <c r="S462" s="60" t="s">
        <v>192</v>
      </c>
      <c r="T462" s="60" t="s">
        <v>239</v>
      </c>
      <c r="U462" s="60" t="e">
        <f>IF(C462="","",SUBSTITUTE(SUBSTITUTE("[{global_atk,"&amp;#REF!*D462&amp;"}]",21,20),9,8))</f>
        <v>#REF!</v>
      </c>
      <c r="V462" s="61" t="str">
        <f t="shared" ref="V462:V468" si="212">"["&amp;A462&amp;"]"</f>
        <v>[5505171]</v>
      </c>
      <c r="W462" s="60"/>
      <c r="X462" s="28"/>
      <c r="Y462" s="35">
        <v>100</v>
      </c>
      <c r="Z462" s="28"/>
      <c r="AA462" s="59" t="s">
        <v>177</v>
      </c>
      <c r="AB462" s="42" t="str">
        <f t="shared" si="192"/>
        <v>召唤师召唤物持续时间&lt;color=#54b76b&gt;+5%&lt;/color&gt;</v>
      </c>
      <c r="AC462" s="57" t="str">
        <f t="shared" si="187"/>
        <v>5505171</v>
      </c>
      <c r="AD462" s="59" t="str">
        <f t="shared" ref="AD462:AD525" si="213">IF(ISBLANK(AK462),"","["&amp;AK462&amp;"]")</f>
        <v>[5]</v>
      </c>
      <c r="AE462" s="60">
        <v>100</v>
      </c>
      <c r="AF462" s="60"/>
      <c r="AG462" s="60">
        <v>1</v>
      </c>
      <c r="AH462" s="35">
        <v>1</v>
      </c>
      <c r="AI462" s="62">
        <v>5505171</v>
      </c>
      <c r="AJ462" s="73" t="s">
        <v>552</v>
      </c>
      <c r="AK462" s="60">
        <v>5</v>
      </c>
      <c r="AL462" s="35"/>
    </row>
    <row r="463" s="28" customFormat="1" hidden="1" customHeight="1" spans="1:38">
      <c r="A463" s="57">
        <v>5505172</v>
      </c>
      <c r="B463" s="28" t="s">
        <v>552</v>
      </c>
      <c r="C463" s="57" t="str">
        <f t="shared" si="185"/>
        <v>5505171</v>
      </c>
      <c r="D463" s="59">
        <f t="shared" si="186"/>
        <v>2</v>
      </c>
      <c r="E463" s="59"/>
      <c r="F463" s="60" t="s">
        <v>230</v>
      </c>
      <c r="G463" s="36" t="str">
        <f t="shared" si="209"/>
        <v/>
      </c>
      <c r="H463" s="36" t="str">
        <f>IFERROR(IF(--MID($F463,2*COUNTIF($G463:G463,"&gt;"&amp;0)+2,1)=H$1,H$1,""),"")</f>
        <v/>
      </c>
      <c r="I463" s="36" t="str">
        <f>IFERROR(IF(--MID($F463,2*COUNTIF($G463:H463,"&gt;"&amp;0)+2,1)=I$1,I$1,""),"")</f>
        <v/>
      </c>
      <c r="J463" s="36" t="str">
        <f>IFERROR(IF(--MID($F463,2*COUNTIF($G463:I463,"&gt;"&amp;0)+2,1)=J$1,J$1,""),"")</f>
        <v/>
      </c>
      <c r="K463" s="36">
        <f>IFERROR(IF(--MID($F463,2*COUNTIF($G463:J463,"&gt;"&amp;0)+2,1)=K$1,K$1,""),"")</f>
        <v>5</v>
      </c>
      <c r="L463" s="36" t="str">
        <f>IFERROR(IF(--MID($F463,2*COUNTIF($G463:K463,"&gt;"&amp;0)+2,1)=L$1,L$1,""),"")</f>
        <v/>
      </c>
      <c r="M463" s="36" t="e" cm="1">
        <f t="array" ref="M463">IF(A463="","",_xlfn.XLOOKUP(D463&amp;"_"&amp;AE463,符文权重!A:A&amp;"_"&amp;符文权重!C:C,符文权重!D:D))</f>
        <v>#N/A</v>
      </c>
      <c r="N463" s="36"/>
      <c r="O463" s="36"/>
      <c r="P463" s="36"/>
      <c r="Q463" s="36"/>
      <c r="R463" s="36"/>
      <c r="S463" s="60" t="s">
        <v>192</v>
      </c>
      <c r="T463" s="60" t="s">
        <v>239</v>
      </c>
      <c r="U463" s="60" t="e">
        <f>IF(C463="","",SUBSTITUTE(SUBSTITUTE("[{global_atk,"&amp;#REF!*D463&amp;"}]",21,20),9,8))</f>
        <v>#REF!</v>
      </c>
      <c r="V463" s="61" t="str">
        <f t="shared" si="212"/>
        <v>[5505172]</v>
      </c>
      <c r="W463" s="60"/>
      <c r="Y463" s="35">
        <v>100</v>
      </c>
      <c r="AA463" s="59" t="s">
        <v>181</v>
      </c>
      <c r="AB463" s="42" t="str">
        <f t="shared" si="192"/>
        <v>召唤师召唤物持续时间&lt;color=#54b76b&gt;+10%&lt;/color&gt;</v>
      </c>
      <c r="AC463" s="57" t="str">
        <f t="shared" si="187"/>
        <v>5505171</v>
      </c>
      <c r="AD463" s="59" t="str">
        <f t="shared" si="213"/>
        <v>[10]</v>
      </c>
      <c r="AE463" s="60">
        <v>100</v>
      </c>
      <c r="AF463" s="60"/>
      <c r="AG463" s="60">
        <v>1</v>
      </c>
      <c r="AH463" s="35">
        <v>1</v>
      </c>
      <c r="AI463" s="57">
        <f t="shared" ref="AI463:AI468" si="214">AI462+1</f>
        <v>5505172</v>
      </c>
      <c r="AJ463" s="64" t="str">
        <f t="shared" ref="AJ463:AJ468" si="215">AJ462</f>
        <v>召唤师召唤物持续时间&lt;color=#54b76b&gt;+%s%&lt;/color&gt;</v>
      </c>
      <c r="AK463" s="60">
        <v>10</v>
      </c>
      <c r="AL463" s="35"/>
    </row>
    <row r="464" s="28" customFormat="1" hidden="1" customHeight="1" spans="1:38">
      <c r="A464" s="57">
        <v>5505173</v>
      </c>
      <c r="B464" s="28" t="s">
        <v>552</v>
      </c>
      <c r="C464" s="57" t="str">
        <f t="shared" si="185"/>
        <v>5505171</v>
      </c>
      <c r="D464" s="59">
        <f t="shared" si="186"/>
        <v>3</v>
      </c>
      <c r="E464" s="59"/>
      <c r="F464" s="60" t="s">
        <v>230</v>
      </c>
      <c r="G464" s="36" t="str">
        <f t="shared" si="209"/>
        <v/>
      </c>
      <c r="H464" s="36" t="str">
        <f>IFERROR(IF(--MID($F464,2*COUNTIF($G464:G464,"&gt;"&amp;0)+2,1)=H$1,H$1,""),"")</f>
        <v/>
      </c>
      <c r="I464" s="36" t="str">
        <f>IFERROR(IF(--MID($F464,2*COUNTIF($G464:H464,"&gt;"&amp;0)+2,1)=I$1,I$1,""),"")</f>
        <v/>
      </c>
      <c r="J464" s="36" t="str">
        <f>IFERROR(IF(--MID($F464,2*COUNTIF($G464:I464,"&gt;"&amp;0)+2,1)=J$1,J$1,""),"")</f>
        <v/>
      </c>
      <c r="K464" s="36">
        <f>IFERROR(IF(--MID($F464,2*COUNTIF($G464:J464,"&gt;"&amp;0)+2,1)=K$1,K$1,""),"")</f>
        <v>5</v>
      </c>
      <c r="L464" s="36" t="str">
        <f>IFERROR(IF(--MID($F464,2*COUNTIF($G464:K464,"&gt;"&amp;0)+2,1)=L$1,L$1,""),"")</f>
        <v/>
      </c>
      <c r="M464" s="36" t="e" cm="1">
        <f t="array" ref="M464">IF(A464="","",_xlfn.XLOOKUP(D464&amp;"_"&amp;AE464,符文权重!A:A&amp;"_"&amp;符文权重!C:C,符文权重!D:D))</f>
        <v>#N/A</v>
      </c>
      <c r="N464" s="36"/>
      <c r="O464" s="36"/>
      <c r="P464" s="36"/>
      <c r="Q464" s="36"/>
      <c r="R464" s="36"/>
      <c r="S464" s="60" t="s">
        <v>192</v>
      </c>
      <c r="T464" s="60" t="s">
        <v>239</v>
      </c>
      <c r="U464" s="60" t="e">
        <f>IF(C464="","",SUBSTITUTE(SUBSTITUTE("[{global_atk,"&amp;#REF!*D464&amp;"}]",21,20),9,8))</f>
        <v>#REF!</v>
      </c>
      <c r="V464" s="61" t="str">
        <f t="shared" si="212"/>
        <v>[5505173]</v>
      </c>
      <c r="W464" s="60"/>
      <c r="Y464" s="35">
        <v>100</v>
      </c>
      <c r="AA464" s="59" t="s">
        <v>183</v>
      </c>
      <c r="AB464" s="42" t="str">
        <f t="shared" si="192"/>
        <v>召唤师召唤物持续时间&lt;color=#54b76b&gt;+15%&lt;/color&gt;</v>
      </c>
      <c r="AC464" s="57" t="str">
        <f t="shared" si="187"/>
        <v>5505171</v>
      </c>
      <c r="AD464" s="59" t="str">
        <f t="shared" si="213"/>
        <v>[15]</v>
      </c>
      <c r="AE464" s="60">
        <v>100</v>
      </c>
      <c r="AF464" s="60"/>
      <c r="AG464" s="60">
        <v>1</v>
      </c>
      <c r="AH464" s="35">
        <v>1</v>
      </c>
      <c r="AI464" s="57">
        <f t="shared" si="214"/>
        <v>5505173</v>
      </c>
      <c r="AJ464" s="64" t="str">
        <f t="shared" si="215"/>
        <v>召唤师召唤物持续时间&lt;color=#54b76b&gt;+%s%&lt;/color&gt;</v>
      </c>
      <c r="AK464" s="60">
        <v>15</v>
      </c>
      <c r="AL464" s="35"/>
    </row>
    <row r="465" hidden="1" customHeight="1" spans="1:38">
      <c r="A465" s="48">
        <v>5505174</v>
      </c>
      <c r="B465" s="35" t="s">
        <v>552</v>
      </c>
      <c r="C465" s="48" t="str">
        <f t="shared" si="185"/>
        <v>5505171</v>
      </c>
      <c r="D465" s="42">
        <f t="shared" si="186"/>
        <v>4</v>
      </c>
      <c r="E465" s="42"/>
      <c r="F465" s="36" t="s">
        <v>230</v>
      </c>
      <c r="G465" s="36" t="str">
        <f t="shared" si="209"/>
        <v/>
      </c>
      <c r="H465" s="36" t="str">
        <f>IFERROR(IF(--MID($F465,2*COUNTIF($G465:G465,"&gt;"&amp;0)+2,1)=H$1,H$1,""),"")</f>
        <v/>
      </c>
      <c r="I465" s="36" t="str">
        <f>IFERROR(IF(--MID($F465,2*COUNTIF($G465:H465,"&gt;"&amp;0)+2,1)=I$1,I$1,""),"")</f>
        <v/>
      </c>
      <c r="J465" s="36" t="str">
        <f>IFERROR(IF(--MID($F465,2*COUNTIF($G465:I465,"&gt;"&amp;0)+2,1)=J$1,J$1,""),"")</f>
        <v/>
      </c>
      <c r="K465" s="36">
        <f>IFERROR(IF(--MID($F465,2*COUNTIF($G465:J465,"&gt;"&amp;0)+2,1)=K$1,K$1,""),"")</f>
        <v>5</v>
      </c>
      <c r="L465" s="36" t="str">
        <f>IFERROR(IF(--MID($F465,2*COUNTIF($G465:K465,"&gt;"&amp;0)+2,1)=L$1,L$1,""),"")</f>
        <v/>
      </c>
      <c r="M465" s="51" t="str" cm="1">
        <f t="array" ref="M465">IF($A465="","",IF(G465="","",_xlfn.XLOOKUP($D465&amp;"_"&amp;$AE465,符文权重!$A:$A&amp;"_"&amp;符文权重!$C:$C,符文权重!$D:$D)*$Y465/SUMIFS($Y:$Y,G:G,G465,$D:$D,$D465,$AE:$AE,$AE465)/SUMIF(符文权重!$A:$A,$D465,符文权重!$D:$D)))</f>
        <v/>
      </c>
      <c r="N465" s="51" t="str" cm="1">
        <f t="array" ref="N465">IF($A465="","",IF(H465="","",_xlfn.XLOOKUP($D465&amp;"_"&amp;$AE465,符文权重!$A:$A&amp;"_"&amp;符文权重!$C:$C,符文权重!$D:$D)*$Y465/SUMIFS($Y:$Y,H:H,H465,$D:$D,$D465,$AE:$AE,$AE465)/SUMIF(符文权重!$A:$A,$D465,符文权重!$D:$D)))</f>
        <v/>
      </c>
      <c r="O465" s="51" t="str" cm="1">
        <f t="array" ref="O465">IF($A465="","",IF(I465="","",_xlfn.XLOOKUP($D465&amp;"_"&amp;$AE465,符文权重!$A:$A&amp;"_"&amp;符文权重!$C:$C,符文权重!$D:$D)*$Y465/SUMIFS($Y:$Y,I:I,I465,$D:$D,$D465,$AE:$AE,$AE465)/SUMIF(符文权重!$A:$A,$D465,符文权重!$D:$D)))</f>
        <v/>
      </c>
      <c r="P465" s="51" t="str" cm="1">
        <f t="array" ref="P465">IF($A465="","",IF(J465="","",_xlfn.XLOOKUP($D465&amp;"_"&amp;$AE465,符文权重!$A:$A&amp;"_"&amp;符文权重!$C:$C,符文权重!$D:$D)*$Y465/SUMIFS($Y:$Y,J:J,J465,$D:$D,$D465,$AE:$AE,$AE465)/SUMIF(符文权重!$A:$A,$D465,符文权重!$D:$D)))</f>
        <v/>
      </c>
      <c r="Q465" s="51" cm="1">
        <f t="array" ref="Q465">IF($A465="","",IF(K465="","",_xlfn.XLOOKUP($D465&amp;"_"&amp;$AE465,符文权重!$A:$A&amp;"_"&amp;符文权重!$C:$C,符文权重!$D:$D)*$Y465/SUMIFS($Y:$Y,K:K,K465,$D:$D,$D465,$AE:$AE,$AE465)/SUMIF(符文权重!$A:$A,$D465,符文权重!$D:$D)))</f>
        <v>0.00352625352625353</v>
      </c>
      <c r="R465" s="51" t="str" cm="1">
        <f t="array" ref="R465">IF($A465="","",IF(L465="","",_xlfn.XLOOKUP($D465&amp;"_"&amp;$AE465,符文权重!$A:$A&amp;"_"&amp;符文权重!$C:$C,符文权重!$D:$D)*$Y465/SUMIFS($Y:$Y,L:L,L465,$D:$D,$D465,$AE:$AE,$AE465)/SUMIF(符文权重!$A:$A,$D465,符文权重!$D:$D)))</f>
        <v/>
      </c>
      <c r="S465" s="36" t="s">
        <v>192</v>
      </c>
      <c r="T465" s="36" t="s">
        <v>239</v>
      </c>
      <c r="U465" s="36" t="e">
        <f>IF(C465="","",SUBSTITUTE(SUBSTITUTE("[{global_atk,"&amp;#REF!*D465&amp;"}]",21,20),9,8))</f>
        <v>#REF!</v>
      </c>
      <c r="V465" s="52" t="str">
        <f t="shared" si="212"/>
        <v>[5505174]</v>
      </c>
      <c r="Y465" s="35">
        <v>4</v>
      </c>
      <c r="AA465" s="42" t="s">
        <v>185</v>
      </c>
      <c r="AB465" s="42" t="str">
        <f t="shared" si="192"/>
        <v>召唤师召唤物持续时间&lt;color=#54b76b&gt;+20%&lt;/color&gt;</v>
      </c>
      <c r="AC465" s="48" t="str">
        <f t="shared" si="187"/>
        <v>5505171</v>
      </c>
      <c r="AD465" s="42" t="str">
        <f t="shared" si="213"/>
        <v>[20]</v>
      </c>
      <c r="AE465" s="36">
        <v>3</v>
      </c>
      <c r="AF465" s="36"/>
      <c r="AG465" s="36">
        <v>0</v>
      </c>
      <c r="AH465" s="35">
        <v>1</v>
      </c>
      <c r="AI465" s="48">
        <f t="shared" si="214"/>
        <v>5505174</v>
      </c>
      <c r="AJ465" s="53" t="str">
        <f t="shared" si="215"/>
        <v>召唤师召唤物持续时间&lt;color=#54b76b&gt;+%s%&lt;/color&gt;</v>
      </c>
      <c r="AK465" s="36">
        <v>20</v>
      </c>
      <c r="AL465" s="35">
        <v>5</v>
      </c>
    </row>
    <row r="466" hidden="1" customHeight="1" spans="1:38">
      <c r="A466" s="48">
        <v>5505175</v>
      </c>
      <c r="B466" s="35" t="s">
        <v>552</v>
      </c>
      <c r="C466" s="48" t="str">
        <f t="shared" si="185"/>
        <v>5505171</v>
      </c>
      <c r="D466" s="42">
        <f t="shared" si="186"/>
        <v>5</v>
      </c>
      <c r="E466" s="42"/>
      <c r="F466" s="36" t="s">
        <v>230</v>
      </c>
      <c r="G466" s="36" t="str">
        <f t="shared" si="209"/>
        <v/>
      </c>
      <c r="H466" s="36" t="str">
        <f>IFERROR(IF(--MID($F466,2*COUNTIF($G466:G466,"&gt;"&amp;0)+2,1)=H$1,H$1,""),"")</f>
        <v/>
      </c>
      <c r="I466" s="36" t="str">
        <f>IFERROR(IF(--MID($F466,2*COUNTIF($G466:H466,"&gt;"&amp;0)+2,1)=I$1,I$1,""),"")</f>
        <v/>
      </c>
      <c r="J466" s="36" t="str">
        <f>IFERROR(IF(--MID($F466,2*COUNTIF($G466:I466,"&gt;"&amp;0)+2,1)=J$1,J$1,""),"")</f>
        <v/>
      </c>
      <c r="K466" s="36">
        <f>IFERROR(IF(--MID($F466,2*COUNTIF($G466:J466,"&gt;"&amp;0)+2,1)=K$1,K$1,""),"")</f>
        <v>5</v>
      </c>
      <c r="L466" s="36" t="str">
        <f>IFERROR(IF(--MID($F466,2*COUNTIF($G466:K466,"&gt;"&amp;0)+2,1)=L$1,L$1,""),"")</f>
        <v/>
      </c>
      <c r="M466" s="51" t="str" cm="1">
        <f t="array" ref="M466">IF($A466="","",IF(G466="","",_xlfn.XLOOKUP($D466&amp;"_"&amp;$AE466,符文权重!$A:$A&amp;"_"&amp;符文权重!$C:$C,符文权重!$D:$D)*$Y466/SUMIFS($Y:$Y,G:G,G466,$D:$D,$D466,$AE:$AE,$AE466)/SUMIF(符文权重!$A:$A,$D466,符文权重!$D:$D)))</f>
        <v/>
      </c>
      <c r="N466" s="51" t="str" cm="1">
        <f t="array" ref="N466">IF($A466="","",IF(H466="","",_xlfn.XLOOKUP($D466&amp;"_"&amp;$AE466,符文权重!$A:$A&amp;"_"&amp;符文权重!$C:$C,符文权重!$D:$D)*$Y466/SUMIFS($Y:$Y,H:H,H466,$D:$D,$D466,$AE:$AE,$AE466)/SUMIF(符文权重!$A:$A,$D466,符文权重!$D:$D)))</f>
        <v/>
      </c>
      <c r="O466" s="51" t="str" cm="1">
        <f t="array" ref="O466">IF($A466="","",IF(I466="","",_xlfn.XLOOKUP($D466&amp;"_"&amp;$AE466,符文权重!$A:$A&amp;"_"&amp;符文权重!$C:$C,符文权重!$D:$D)*$Y466/SUMIFS($Y:$Y,I:I,I466,$D:$D,$D466,$AE:$AE,$AE466)/SUMIF(符文权重!$A:$A,$D466,符文权重!$D:$D)))</f>
        <v/>
      </c>
      <c r="P466" s="51" t="str" cm="1">
        <f t="array" ref="P466">IF($A466="","",IF(J466="","",_xlfn.XLOOKUP($D466&amp;"_"&amp;$AE466,符文权重!$A:$A&amp;"_"&amp;符文权重!$C:$C,符文权重!$D:$D)*$Y466/SUMIFS($Y:$Y,J:J,J466,$D:$D,$D466,$AE:$AE,$AE466)/SUMIF(符文权重!$A:$A,$D466,符文权重!$D:$D)))</f>
        <v/>
      </c>
      <c r="Q466" s="51" cm="1">
        <f t="array" ref="Q466">IF($A466="","",IF(K466="","",_xlfn.XLOOKUP($D466&amp;"_"&amp;$AE466,符文权重!$A:$A&amp;"_"&amp;符文权重!$C:$C,符文权重!$D:$D)*$Y466/SUMIFS($Y:$Y,K:K,K466,$D:$D,$D466,$AE:$AE,$AE466)/SUMIF(符文权重!$A:$A,$D466,符文权重!$D:$D)))</f>
        <v>0.00375</v>
      </c>
      <c r="R466" s="51" t="str" cm="1">
        <f t="array" ref="R466">IF($A466="","",IF(L466="","",_xlfn.XLOOKUP($D466&amp;"_"&amp;$AE466,符文权重!$A:$A&amp;"_"&amp;符文权重!$C:$C,符文权重!$D:$D)*$Y466/SUMIFS($Y:$Y,L:L,L466,$D:$D,$D466,$AE:$AE,$AE466)/SUMIF(符文权重!$A:$A,$D466,符文权重!$D:$D)))</f>
        <v/>
      </c>
      <c r="S466" s="36" t="s">
        <v>192</v>
      </c>
      <c r="T466" s="36" t="s">
        <v>239</v>
      </c>
      <c r="U466" s="36" t="e">
        <f>IF(C466="","",SUBSTITUTE(SUBSTITUTE("[{global_atk,"&amp;#REF!*D466&amp;"}]",21,20),9,8))</f>
        <v>#REF!</v>
      </c>
      <c r="V466" s="52" t="str">
        <f t="shared" si="212"/>
        <v>[5505175]</v>
      </c>
      <c r="Y466" s="35">
        <v>100</v>
      </c>
      <c r="AA466" s="42" t="s">
        <v>187</v>
      </c>
      <c r="AB466" s="42" t="str">
        <f t="shared" si="192"/>
        <v>召唤师召唤物持续时间&lt;color=#54b76b&gt;+30%&lt;/color&gt;</v>
      </c>
      <c r="AC466" s="48" t="str">
        <f t="shared" si="187"/>
        <v>5505171</v>
      </c>
      <c r="AD466" s="42" t="str">
        <f t="shared" si="213"/>
        <v>[30]</v>
      </c>
      <c r="AE466" s="36">
        <v>5</v>
      </c>
      <c r="AF466" s="36"/>
      <c r="AG466" s="36">
        <v>0</v>
      </c>
      <c r="AH466" s="35">
        <v>1</v>
      </c>
      <c r="AI466" s="48">
        <f t="shared" si="214"/>
        <v>5505175</v>
      </c>
      <c r="AJ466" s="53" t="str">
        <f t="shared" si="215"/>
        <v>召唤师召唤物持续时间&lt;color=#54b76b&gt;+%s%&lt;/color&gt;</v>
      </c>
      <c r="AK466" s="36">
        <v>30</v>
      </c>
      <c r="AL466" s="35">
        <v>5</v>
      </c>
    </row>
    <row r="467" hidden="1" customHeight="1" spans="1:38">
      <c r="A467" s="48">
        <v>5505176</v>
      </c>
      <c r="B467" s="35" t="s">
        <v>552</v>
      </c>
      <c r="C467" s="48" t="str">
        <f t="shared" si="185"/>
        <v>5505171</v>
      </c>
      <c r="D467" s="42">
        <f t="shared" si="186"/>
        <v>6</v>
      </c>
      <c r="E467" s="42"/>
      <c r="F467" s="36" t="s">
        <v>230</v>
      </c>
      <c r="G467" s="36" t="str">
        <f t="shared" si="209"/>
        <v/>
      </c>
      <c r="H467" s="36" t="str">
        <f>IFERROR(IF(--MID($F467,2*COUNTIF($G467:G467,"&gt;"&amp;0)+2,1)=H$1,H$1,""),"")</f>
        <v/>
      </c>
      <c r="I467" s="36" t="str">
        <f>IFERROR(IF(--MID($F467,2*COUNTIF($G467:H467,"&gt;"&amp;0)+2,1)=I$1,I$1,""),"")</f>
        <v/>
      </c>
      <c r="J467" s="36" t="str">
        <f>IFERROR(IF(--MID($F467,2*COUNTIF($G467:I467,"&gt;"&amp;0)+2,1)=J$1,J$1,""),"")</f>
        <v/>
      </c>
      <c r="K467" s="36">
        <f>IFERROR(IF(--MID($F467,2*COUNTIF($G467:J467,"&gt;"&amp;0)+2,1)=K$1,K$1,""),"")</f>
        <v>5</v>
      </c>
      <c r="L467" s="36" t="str">
        <f>IFERROR(IF(--MID($F467,2*COUNTIF($G467:K467,"&gt;"&amp;0)+2,1)=L$1,L$1,""),"")</f>
        <v/>
      </c>
      <c r="M467" s="51" t="str" cm="1">
        <f t="array" ref="M467">IF($A467="","",IF(G467="","",_xlfn.XLOOKUP($D467&amp;"_"&amp;$AE467,符文权重!$A:$A&amp;"_"&amp;符文权重!$C:$C,符文权重!$D:$D)*$Y467/SUMIFS($Y:$Y,G:G,G467,$D:$D,$D467,$AE:$AE,$AE467)/SUMIF(符文权重!$A:$A,$D467,符文权重!$D:$D)))</f>
        <v/>
      </c>
      <c r="N467" s="51" t="str" cm="1">
        <f t="array" ref="N467">IF($A467="","",IF(H467="","",_xlfn.XLOOKUP($D467&amp;"_"&amp;$AE467,符文权重!$A:$A&amp;"_"&amp;符文权重!$C:$C,符文权重!$D:$D)*$Y467/SUMIFS($Y:$Y,H:H,H467,$D:$D,$D467,$AE:$AE,$AE467)/SUMIF(符文权重!$A:$A,$D467,符文权重!$D:$D)))</f>
        <v/>
      </c>
      <c r="O467" s="51" t="str" cm="1">
        <f t="array" ref="O467">IF($A467="","",IF(I467="","",_xlfn.XLOOKUP($D467&amp;"_"&amp;$AE467,符文权重!$A:$A&amp;"_"&amp;符文权重!$C:$C,符文权重!$D:$D)*$Y467/SUMIFS($Y:$Y,I:I,I467,$D:$D,$D467,$AE:$AE,$AE467)/SUMIF(符文权重!$A:$A,$D467,符文权重!$D:$D)))</f>
        <v/>
      </c>
      <c r="P467" s="51" t="str" cm="1">
        <f t="array" ref="P467">IF($A467="","",IF(J467="","",_xlfn.XLOOKUP($D467&amp;"_"&amp;$AE467,符文权重!$A:$A&amp;"_"&amp;符文权重!$C:$C,符文权重!$D:$D)*$Y467/SUMIFS($Y:$Y,J:J,J467,$D:$D,$D467,$AE:$AE,$AE467)/SUMIF(符文权重!$A:$A,$D467,符文权重!$D:$D)))</f>
        <v/>
      </c>
      <c r="Q467" s="51" cm="1">
        <f t="array" ref="Q467">IF($A467="","",IF(K467="","",_xlfn.XLOOKUP($D467&amp;"_"&amp;$AE467,符文权重!$A:$A&amp;"_"&amp;符文权重!$C:$C,符文权重!$D:$D)*$Y467/SUMIFS($Y:$Y,K:K,K467,$D:$D,$D467,$AE:$AE,$AE467)/SUMIF(符文权重!$A:$A,$D467,符文权重!$D:$D)))</f>
        <v>0.00375</v>
      </c>
      <c r="R467" s="51" t="str" cm="1">
        <f t="array" ref="R467">IF($A467="","",IF(L467="","",_xlfn.XLOOKUP($D467&amp;"_"&amp;$AE467,符文权重!$A:$A&amp;"_"&amp;符文权重!$C:$C,符文权重!$D:$D)*$Y467/SUMIFS($Y:$Y,L:L,L467,$D:$D,$D467,$AE:$AE,$AE467)/SUMIF(符文权重!$A:$A,$D467,符文权重!$D:$D)))</f>
        <v/>
      </c>
      <c r="S467" s="36" t="s">
        <v>192</v>
      </c>
      <c r="T467" s="36" t="s">
        <v>239</v>
      </c>
      <c r="U467" s="36" t="e">
        <f>IF(C467="","",SUBSTITUTE(SUBSTITUTE("[{global_atk,"&amp;#REF!*D467&amp;"}]",21,20),9,8))</f>
        <v>#REF!</v>
      </c>
      <c r="V467" s="52" t="str">
        <f t="shared" si="212"/>
        <v>[5505176]</v>
      </c>
      <c r="Y467" s="35">
        <v>100</v>
      </c>
      <c r="AA467" s="42" t="s">
        <v>189</v>
      </c>
      <c r="AB467" s="42" t="str">
        <f t="shared" si="192"/>
        <v>召唤师召唤物持续时间&lt;color=#54b76b&gt;+40%&lt;/color&gt;</v>
      </c>
      <c r="AC467" s="48" t="str">
        <f t="shared" si="187"/>
        <v>5505171</v>
      </c>
      <c r="AD467" s="42" t="str">
        <f t="shared" si="213"/>
        <v>[40]</v>
      </c>
      <c r="AE467" s="36">
        <v>5</v>
      </c>
      <c r="AF467" s="36"/>
      <c r="AG467" s="36">
        <v>0</v>
      </c>
      <c r="AH467" s="35">
        <v>1</v>
      </c>
      <c r="AI467" s="48">
        <f t="shared" si="214"/>
        <v>5505176</v>
      </c>
      <c r="AJ467" s="53" t="str">
        <f t="shared" si="215"/>
        <v>召唤师召唤物持续时间&lt;color=#54b76b&gt;+%s%&lt;/color&gt;</v>
      </c>
      <c r="AK467" s="36">
        <v>40</v>
      </c>
      <c r="AL467" s="35">
        <v>5</v>
      </c>
    </row>
    <row r="468" hidden="1" customHeight="1" spans="1:38">
      <c r="A468" s="48">
        <v>5505177</v>
      </c>
      <c r="C468" s="48" t="str">
        <f t="shared" si="185"/>
        <v>5505171</v>
      </c>
      <c r="D468" s="42">
        <f t="shared" si="186"/>
        <v>7</v>
      </c>
      <c r="E468" s="42"/>
      <c r="F468" s="36" t="s">
        <v>230</v>
      </c>
      <c r="G468" s="36" t="str">
        <f t="shared" si="209"/>
        <v/>
      </c>
      <c r="H468" s="36" t="str">
        <f>IFERROR(IF(--MID($F468,2*COUNTIF($G468:G468,"&gt;"&amp;0)+2,1)=H$1,H$1,""),"")</f>
        <v/>
      </c>
      <c r="I468" s="36" t="str">
        <f>IFERROR(IF(--MID($F468,2*COUNTIF($G468:H468,"&gt;"&amp;0)+2,1)=I$1,I$1,""),"")</f>
        <v/>
      </c>
      <c r="J468" s="36" t="str">
        <f>IFERROR(IF(--MID($F468,2*COUNTIF($G468:I468,"&gt;"&amp;0)+2,1)=J$1,J$1,""),"")</f>
        <v/>
      </c>
      <c r="K468" s="36">
        <f>IFERROR(IF(--MID($F468,2*COUNTIF($G468:J468,"&gt;"&amp;0)+2,1)=K$1,K$1,""),"")</f>
        <v>5</v>
      </c>
      <c r="L468" s="36" t="str">
        <f>IFERROR(IF(--MID($F468,2*COUNTIF($G468:K468,"&gt;"&amp;0)+2,1)=L$1,L$1,""),"")</f>
        <v/>
      </c>
      <c r="M468" s="51" t="str" cm="1">
        <f t="array" ref="M468">IF($A468="","",IF(G468="","",_xlfn.XLOOKUP($D468&amp;"_"&amp;$AE468,符文权重!$A:$A&amp;"_"&amp;符文权重!$C:$C,符文权重!$D:$D)*$Y468/SUMIFS($Y:$Y,G:G,G468,$D:$D,$D468,$AE:$AE,$AE468)/SUMIF(符文权重!$A:$A,$D468,符文权重!$D:$D)))</f>
        <v/>
      </c>
      <c r="N468" s="51" t="str" cm="1">
        <f t="array" ref="N468">IF($A468="","",IF(H468="","",_xlfn.XLOOKUP($D468&amp;"_"&amp;$AE468,符文权重!$A:$A&amp;"_"&amp;符文权重!$C:$C,符文权重!$D:$D)*$Y468/SUMIFS($Y:$Y,H:H,H468,$D:$D,$D468,$AE:$AE,$AE468)/SUMIF(符文权重!$A:$A,$D468,符文权重!$D:$D)))</f>
        <v/>
      </c>
      <c r="O468" s="51" t="str" cm="1">
        <f t="array" ref="O468">IF($A468="","",IF(I468="","",_xlfn.XLOOKUP($D468&amp;"_"&amp;$AE468,符文权重!$A:$A&amp;"_"&amp;符文权重!$C:$C,符文权重!$D:$D)*$Y468/SUMIFS($Y:$Y,I:I,I468,$D:$D,$D468,$AE:$AE,$AE468)/SUMIF(符文权重!$A:$A,$D468,符文权重!$D:$D)))</f>
        <v/>
      </c>
      <c r="P468" s="51" t="str" cm="1">
        <f t="array" ref="P468">IF($A468="","",IF(J468="","",_xlfn.XLOOKUP($D468&amp;"_"&amp;$AE468,符文权重!$A:$A&amp;"_"&amp;符文权重!$C:$C,符文权重!$D:$D)*$Y468/SUMIFS($Y:$Y,J:J,J468,$D:$D,$D468,$AE:$AE,$AE468)/SUMIF(符文权重!$A:$A,$D468,符文权重!$D:$D)))</f>
        <v/>
      </c>
      <c r="Q468" s="51" cm="1">
        <f t="array" ref="Q468">IF($A468="","",IF(K468="","",_xlfn.XLOOKUP($D468&amp;"_"&amp;$AE468,符文权重!$A:$A&amp;"_"&amp;符文权重!$C:$C,符文权重!$D:$D)*$Y468/SUMIFS($Y:$Y,K:K,K468,$D:$D,$D468,$AE:$AE,$AE468)/SUMIF(符文权重!$A:$A,$D468,符文权重!$D:$D)))</f>
        <v>0.00375</v>
      </c>
      <c r="R468" s="51" t="str" cm="1">
        <f t="array" ref="R468">IF($A468="","",IF(L468="","",_xlfn.XLOOKUP($D468&amp;"_"&amp;$AE468,符文权重!$A:$A&amp;"_"&amp;符文权重!$C:$C,符文权重!$D:$D)*$Y468/SUMIFS($Y:$Y,L:L,L468,$D:$D,$D468,$AE:$AE,$AE468)/SUMIF(符文权重!$A:$A,$D468,符文权重!$D:$D)))</f>
        <v/>
      </c>
      <c r="S468" s="36" t="s">
        <v>192</v>
      </c>
      <c r="T468" s="36" t="s">
        <v>239</v>
      </c>
      <c r="U468" s="36" t="e">
        <f>IF(C468="","",SUBSTITUTE(SUBSTITUTE("[{global_atk,"&amp;#REF!*D468&amp;"}]",21,20),9,8))</f>
        <v>#REF!</v>
      </c>
      <c r="V468" s="52" t="str">
        <f t="shared" si="212"/>
        <v>[5505177]</v>
      </c>
      <c r="Y468" s="35">
        <v>100</v>
      </c>
      <c r="AA468" s="42" t="s">
        <v>191</v>
      </c>
      <c r="AB468" s="42" t="str">
        <f t="shared" si="192"/>
        <v>召唤师召唤物持续时间&lt;color=#54b76b&gt;+60%&lt;/color&gt;</v>
      </c>
      <c r="AC468" s="48" t="str">
        <f t="shared" si="187"/>
        <v>5505171</v>
      </c>
      <c r="AD468" s="42" t="str">
        <f t="shared" si="213"/>
        <v>[60]</v>
      </c>
      <c r="AE468" s="36">
        <v>5</v>
      </c>
      <c r="AF468" s="36"/>
      <c r="AG468" s="36">
        <v>0</v>
      </c>
      <c r="AH468" s="35">
        <v>1</v>
      </c>
      <c r="AI468" s="48">
        <f t="shared" si="214"/>
        <v>5505177</v>
      </c>
      <c r="AJ468" s="53" t="str">
        <f t="shared" si="215"/>
        <v>召唤师召唤物持续时间&lt;color=#54b76b&gt;+%s%&lt;/color&gt;</v>
      </c>
      <c r="AK468" s="36">
        <v>60</v>
      </c>
      <c r="AL468" s="35">
        <v>5</v>
      </c>
    </row>
    <row r="469" s="25" customFormat="1" hidden="1" customHeight="1" spans="1:38">
      <c r="A469" s="48" t="s">
        <v>178</v>
      </c>
      <c r="B469" s="35"/>
      <c r="C469" s="48" t="str">
        <f t="shared" ref="C469:C532" si="216">IF(ISBLANK(AI469),"",LEFT(AI469,6)&amp;1)</f>
        <v/>
      </c>
      <c r="D469" s="42" t="str">
        <f t="shared" ref="D469:D532" si="217">IF(ISBLANK(AI469),"",VALUE(RIGHT(A469,1)))</f>
        <v/>
      </c>
      <c r="E469" s="42"/>
      <c r="F469" s="36"/>
      <c r="G469" s="36" t="str">
        <f t="shared" si="209"/>
        <v/>
      </c>
      <c r="H469" s="36" t="str">
        <f>IFERROR(IF(--MID($F469,2*COUNTIF($G469:G469,"&gt;"&amp;0)+2,1)=H$1,H$1,""),"")</f>
        <v/>
      </c>
      <c r="I469" s="36" t="str">
        <f>IFERROR(IF(--MID($F469,2*COUNTIF($G469:H469,"&gt;"&amp;0)+2,1)=I$1,I$1,""),"")</f>
        <v/>
      </c>
      <c r="J469" s="36" t="str">
        <f>IFERROR(IF(--MID($F469,2*COUNTIF($G469:I469,"&gt;"&amp;0)+2,1)=J$1,J$1,""),"")</f>
        <v/>
      </c>
      <c r="K469" s="36" t="str">
        <f>IFERROR(IF(--MID($F469,2*COUNTIF($G469:J469,"&gt;"&amp;0)+2,1)=K$1,K$1,""),"")</f>
        <v/>
      </c>
      <c r="L469" s="36" t="str">
        <f>IFERROR(IF(--MID($F469,2*COUNTIF($G469:K469,"&gt;"&amp;0)+2,1)=L$1,L$1,""),"")</f>
        <v/>
      </c>
      <c r="M469" s="51" t="str" cm="1">
        <f t="array" ref="M469">IF($A469="","",IF(G469="","",_xlfn.XLOOKUP($D469&amp;"_"&amp;$AE469,符文权重!$A:$A&amp;"_"&amp;符文权重!$C:$C,符文权重!$D:$D)*$Y469/SUMIFS($Y:$Y,G:G,G469,$D:$D,$D469,$AE:$AE,$AE469)/SUMIF(符文权重!$A:$A,$D469,符文权重!$D:$D)))</f>
        <v/>
      </c>
      <c r="N469" s="36"/>
      <c r="O469" s="36"/>
      <c r="P469" s="36"/>
      <c r="Q469" s="36"/>
      <c r="R469" s="36"/>
      <c r="S469" s="36"/>
      <c r="T469" s="36"/>
      <c r="U469" s="36"/>
      <c r="W469" s="41"/>
      <c r="X469" s="35"/>
      <c r="Y469" s="35"/>
      <c r="Z469" s="35"/>
      <c r="AA469" s="42" t="s">
        <v>178</v>
      </c>
      <c r="AB469" s="42" t="str">
        <f t="shared" si="192"/>
        <v/>
      </c>
      <c r="AC469" s="48" t="str">
        <f t="shared" ref="AC469:AC532" si="218">IF(ISBLANK(AI469),"",C469)</f>
        <v/>
      </c>
      <c r="AD469" s="42" t="str">
        <f t="shared" si="213"/>
        <v/>
      </c>
      <c r="AE469" s="36">
        <v>100</v>
      </c>
      <c r="AF469" s="36"/>
      <c r="AG469" s="36">
        <v>1</v>
      </c>
      <c r="AH469" s="35" t="s">
        <v>178</v>
      </c>
      <c r="AI469" s="33"/>
      <c r="AJ469" s="74"/>
      <c r="AK469" s="36"/>
      <c r="AL469" s="35"/>
    </row>
    <row r="470" s="27" customFormat="1" hidden="1" customHeight="1" spans="1:38">
      <c r="A470" s="57">
        <v>5505181</v>
      </c>
      <c r="B470" s="28" t="s">
        <v>553</v>
      </c>
      <c r="C470" s="57" t="str">
        <f t="shared" si="216"/>
        <v>5505181</v>
      </c>
      <c r="D470" s="59">
        <f t="shared" si="217"/>
        <v>1</v>
      </c>
      <c r="E470" s="59"/>
      <c r="F470" s="60" t="s">
        <v>220</v>
      </c>
      <c r="G470" s="36" t="str">
        <f t="shared" si="209"/>
        <v/>
      </c>
      <c r="H470" s="36" t="str">
        <f>IFERROR(IF(--MID($F470,2*COUNTIF($G470:G470,"&gt;"&amp;0)+2,1)=H$1,H$1,""),"")</f>
        <v/>
      </c>
      <c r="I470" s="36" t="str">
        <f>IFERROR(IF(--MID($F470,2*COUNTIF($G470:H470,"&gt;"&amp;0)+2,1)=I$1,I$1,""),"")</f>
        <v/>
      </c>
      <c r="J470" s="36" t="str">
        <f>IFERROR(IF(--MID($F470,2*COUNTIF($G470:I470,"&gt;"&amp;0)+2,1)=J$1,J$1,""),"")</f>
        <v/>
      </c>
      <c r="K470" s="36" t="str">
        <f>IFERROR(IF(--MID($F470,2*COUNTIF($G470:J470,"&gt;"&amp;0)+2,1)=K$1,K$1,""),"")</f>
        <v/>
      </c>
      <c r="L470" s="36">
        <f>IFERROR(IF(--MID($F470,2*COUNTIF($G470:K470,"&gt;"&amp;0)+2,1)=L$1,L$1,""),"")</f>
        <v>6</v>
      </c>
      <c r="M470" s="36" t="e" cm="1">
        <f t="array" ref="M470">IF(A470="","",_xlfn.XLOOKUP(D470&amp;"_"&amp;AE470,符文权重!A:A&amp;"_"&amp;符文权重!C:C,符文权重!D:D))</f>
        <v>#N/A</v>
      </c>
      <c r="N470" s="36"/>
      <c r="O470" s="36"/>
      <c r="P470" s="36"/>
      <c r="Q470" s="36"/>
      <c r="R470" s="36"/>
      <c r="S470" s="60" t="s">
        <v>192</v>
      </c>
      <c r="T470" s="60" t="s">
        <v>239</v>
      </c>
      <c r="U470" s="60" t="e">
        <f>IF(C470="","",SUBSTITUTE(SUBSTITUTE("[{global_atk,"&amp;#REF!*D470&amp;"}]",21,20),9,8))</f>
        <v>#REF!</v>
      </c>
      <c r="V470" s="61" t="str">
        <f t="shared" ref="V470:V476" si="219">"["&amp;A470&amp;"]"</f>
        <v>[5505181]</v>
      </c>
      <c r="W470" s="60"/>
      <c r="X470" s="28"/>
      <c r="Y470" s="35">
        <v>100</v>
      </c>
      <c r="Z470" s="28"/>
      <c r="AA470" s="59" t="s">
        <v>177</v>
      </c>
      <c r="AB470" s="42" t="str">
        <f t="shared" si="192"/>
        <v>召唤师召唤物死亡前，无敌&lt;color=#54b76b&gt;0&lt;/color&gt;秒</v>
      </c>
      <c r="AC470" s="57" t="str">
        <f t="shared" si="218"/>
        <v>5505181</v>
      </c>
      <c r="AD470" s="59" t="str">
        <f t="shared" si="213"/>
        <v>[0]</v>
      </c>
      <c r="AE470" s="60">
        <v>100</v>
      </c>
      <c r="AF470" s="60"/>
      <c r="AG470" s="60">
        <v>1</v>
      </c>
      <c r="AH470" s="35">
        <v>1</v>
      </c>
      <c r="AI470" s="62">
        <v>5505181</v>
      </c>
      <c r="AJ470" s="73" t="s">
        <v>553</v>
      </c>
      <c r="AK470" s="60">
        <v>0</v>
      </c>
      <c r="AL470" s="35"/>
    </row>
    <row r="471" s="28" customFormat="1" hidden="1" customHeight="1" spans="1:38">
      <c r="A471" s="57">
        <v>5505182</v>
      </c>
      <c r="B471" s="28" t="s">
        <v>553</v>
      </c>
      <c r="C471" s="57" t="str">
        <f t="shared" si="216"/>
        <v>5505181</v>
      </c>
      <c r="D471" s="59">
        <f t="shared" si="217"/>
        <v>2</v>
      </c>
      <c r="E471" s="59"/>
      <c r="F471" s="60" t="s">
        <v>220</v>
      </c>
      <c r="G471" s="36" t="str">
        <f t="shared" si="209"/>
        <v/>
      </c>
      <c r="H471" s="36" t="str">
        <f>IFERROR(IF(--MID($F471,2*COUNTIF($G471:G471,"&gt;"&amp;0)+2,1)=H$1,H$1,""),"")</f>
        <v/>
      </c>
      <c r="I471" s="36" t="str">
        <f>IFERROR(IF(--MID($F471,2*COUNTIF($G471:H471,"&gt;"&amp;0)+2,1)=I$1,I$1,""),"")</f>
        <v/>
      </c>
      <c r="J471" s="36" t="str">
        <f>IFERROR(IF(--MID($F471,2*COUNTIF($G471:I471,"&gt;"&amp;0)+2,1)=J$1,J$1,""),"")</f>
        <v/>
      </c>
      <c r="K471" s="36" t="str">
        <f>IFERROR(IF(--MID($F471,2*COUNTIF($G471:J471,"&gt;"&amp;0)+2,1)=K$1,K$1,""),"")</f>
        <v/>
      </c>
      <c r="L471" s="36">
        <f>IFERROR(IF(--MID($F471,2*COUNTIF($G471:K471,"&gt;"&amp;0)+2,1)=L$1,L$1,""),"")</f>
        <v>6</v>
      </c>
      <c r="M471" s="36" t="e" cm="1">
        <f t="array" ref="M471">IF(A471="","",_xlfn.XLOOKUP(D471&amp;"_"&amp;AE471,符文权重!A:A&amp;"_"&amp;符文权重!C:C,符文权重!D:D))</f>
        <v>#N/A</v>
      </c>
      <c r="N471" s="36"/>
      <c r="O471" s="36"/>
      <c r="P471" s="36"/>
      <c r="Q471" s="36"/>
      <c r="R471" s="36"/>
      <c r="S471" s="60" t="s">
        <v>192</v>
      </c>
      <c r="T471" s="60" t="s">
        <v>239</v>
      </c>
      <c r="U471" s="60" t="e">
        <f>IF(C471="","",SUBSTITUTE(SUBSTITUTE("[{global_atk,"&amp;#REF!*D471&amp;"}]",21,20),9,8))</f>
        <v>#REF!</v>
      </c>
      <c r="V471" s="61" t="str">
        <f t="shared" si="219"/>
        <v>[5505182]</v>
      </c>
      <c r="W471" s="60"/>
      <c r="Y471" s="35">
        <v>100</v>
      </c>
      <c r="AA471" s="59" t="s">
        <v>181</v>
      </c>
      <c r="AB471" s="42" t="str">
        <f t="shared" si="192"/>
        <v>召唤师召唤物死亡前，无敌&lt;color=#54b76b&gt;0&lt;/color&gt;秒</v>
      </c>
      <c r="AC471" s="57" t="str">
        <f t="shared" si="218"/>
        <v>5505181</v>
      </c>
      <c r="AD471" s="59" t="str">
        <f t="shared" si="213"/>
        <v>[0]</v>
      </c>
      <c r="AE471" s="60">
        <v>100</v>
      </c>
      <c r="AF471" s="60"/>
      <c r="AG471" s="60">
        <v>1</v>
      </c>
      <c r="AH471" s="35">
        <v>1</v>
      </c>
      <c r="AI471" s="57">
        <f t="shared" ref="AI471:AI476" si="220">AI470+1</f>
        <v>5505182</v>
      </c>
      <c r="AJ471" s="64" t="str">
        <f t="shared" ref="AJ471:AJ476" si="221">AJ470</f>
        <v>召唤师召唤物死亡前，无敌&lt;color=#54b76b&gt;%s&lt;/color&gt;秒</v>
      </c>
      <c r="AK471" s="60">
        <v>0</v>
      </c>
      <c r="AL471" s="35"/>
    </row>
    <row r="472" s="28" customFormat="1" hidden="1" customHeight="1" spans="1:38">
      <c r="A472" s="57">
        <v>5505183</v>
      </c>
      <c r="B472" s="28" t="s">
        <v>553</v>
      </c>
      <c r="C472" s="57" t="str">
        <f t="shared" si="216"/>
        <v>5505181</v>
      </c>
      <c r="D472" s="59">
        <f t="shared" si="217"/>
        <v>3</v>
      </c>
      <c r="E472" s="59"/>
      <c r="F472" s="60" t="s">
        <v>220</v>
      </c>
      <c r="G472" s="36" t="str">
        <f t="shared" si="209"/>
        <v/>
      </c>
      <c r="H472" s="36" t="str">
        <f>IFERROR(IF(--MID($F472,2*COUNTIF($G472:G472,"&gt;"&amp;0)+2,1)=H$1,H$1,""),"")</f>
        <v/>
      </c>
      <c r="I472" s="36" t="str">
        <f>IFERROR(IF(--MID($F472,2*COUNTIF($G472:H472,"&gt;"&amp;0)+2,1)=I$1,I$1,""),"")</f>
        <v/>
      </c>
      <c r="J472" s="36" t="str">
        <f>IFERROR(IF(--MID($F472,2*COUNTIF($G472:I472,"&gt;"&amp;0)+2,1)=J$1,J$1,""),"")</f>
        <v/>
      </c>
      <c r="K472" s="36" t="str">
        <f>IFERROR(IF(--MID($F472,2*COUNTIF($G472:J472,"&gt;"&amp;0)+2,1)=K$1,K$1,""),"")</f>
        <v/>
      </c>
      <c r="L472" s="36">
        <f>IFERROR(IF(--MID($F472,2*COUNTIF($G472:K472,"&gt;"&amp;0)+2,1)=L$1,L$1,""),"")</f>
        <v>6</v>
      </c>
      <c r="M472" s="36" t="e" cm="1">
        <f t="array" ref="M472">IF(A472="","",_xlfn.XLOOKUP(D472&amp;"_"&amp;AE472,符文权重!A:A&amp;"_"&amp;符文权重!C:C,符文权重!D:D))</f>
        <v>#N/A</v>
      </c>
      <c r="N472" s="36"/>
      <c r="O472" s="36"/>
      <c r="P472" s="36"/>
      <c r="Q472" s="36"/>
      <c r="R472" s="36"/>
      <c r="S472" s="60" t="s">
        <v>192</v>
      </c>
      <c r="T472" s="60" t="s">
        <v>239</v>
      </c>
      <c r="U472" s="60" t="e">
        <f>IF(C472="","",SUBSTITUTE(SUBSTITUTE("[{global_atk,"&amp;#REF!*D472&amp;"}]",21,20),9,8))</f>
        <v>#REF!</v>
      </c>
      <c r="V472" s="61" t="str">
        <f t="shared" si="219"/>
        <v>[5505183]</v>
      </c>
      <c r="W472" s="60"/>
      <c r="Y472" s="35">
        <v>100</v>
      </c>
      <c r="AA472" s="59" t="s">
        <v>183</v>
      </c>
      <c r="AB472" s="42" t="str">
        <f t="shared" si="192"/>
        <v>召唤师召唤物死亡前，无敌&lt;color=#54b76b&gt;0.5&lt;/color&gt;秒</v>
      </c>
      <c r="AC472" s="57" t="str">
        <f t="shared" si="218"/>
        <v>5505181</v>
      </c>
      <c r="AD472" s="59" t="str">
        <f t="shared" si="213"/>
        <v>[0.5]</v>
      </c>
      <c r="AE472" s="60">
        <v>100</v>
      </c>
      <c r="AF472" s="60"/>
      <c r="AG472" s="60">
        <v>1</v>
      </c>
      <c r="AH472" s="35">
        <v>1</v>
      </c>
      <c r="AI472" s="57">
        <f t="shared" si="220"/>
        <v>5505183</v>
      </c>
      <c r="AJ472" s="64" t="str">
        <f t="shared" si="221"/>
        <v>召唤师召唤物死亡前，无敌&lt;color=#54b76b&gt;%s&lt;/color&gt;秒</v>
      </c>
      <c r="AK472" s="60">
        <v>0.5</v>
      </c>
      <c r="AL472" s="35"/>
    </row>
    <row r="473" hidden="1" customHeight="1" spans="1:38">
      <c r="A473" s="48">
        <v>5505184</v>
      </c>
      <c r="B473" s="35" t="s">
        <v>553</v>
      </c>
      <c r="C473" s="48" t="str">
        <f t="shared" si="216"/>
        <v>5505181</v>
      </c>
      <c r="D473" s="42">
        <f t="shared" si="217"/>
        <v>4</v>
      </c>
      <c r="E473" s="42"/>
      <c r="F473" s="36" t="s">
        <v>220</v>
      </c>
      <c r="G473" s="36" t="str">
        <f t="shared" si="209"/>
        <v/>
      </c>
      <c r="H473" s="36" t="str">
        <f>IFERROR(IF(--MID($F473,2*COUNTIF($G473:G473,"&gt;"&amp;0)+2,1)=H$1,H$1,""),"")</f>
        <v/>
      </c>
      <c r="I473" s="36" t="str">
        <f>IFERROR(IF(--MID($F473,2*COUNTIF($G473:H473,"&gt;"&amp;0)+2,1)=I$1,I$1,""),"")</f>
        <v/>
      </c>
      <c r="J473" s="36" t="str">
        <f>IFERROR(IF(--MID($F473,2*COUNTIF($G473:I473,"&gt;"&amp;0)+2,1)=J$1,J$1,""),"")</f>
        <v/>
      </c>
      <c r="K473" s="36" t="str">
        <f>IFERROR(IF(--MID($F473,2*COUNTIF($G473:J473,"&gt;"&amp;0)+2,1)=K$1,K$1,""),"")</f>
        <v/>
      </c>
      <c r="L473" s="36">
        <f>IFERROR(IF(--MID($F473,2*COUNTIF($G473:K473,"&gt;"&amp;0)+2,1)=L$1,L$1,""),"")</f>
        <v>6</v>
      </c>
      <c r="M473" s="51" t="str" cm="1">
        <f t="array" ref="M473">IF($A473="","",IF(G473="","",_xlfn.XLOOKUP($D473&amp;"_"&amp;$AE473,符文权重!$A:$A&amp;"_"&amp;符文权重!$C:$C,符文权重!$D:$D)*$Y473/SUMIFS($Y:$Y,G:G,G473,$D:$D,$D473,$AE:$AE,$AE473)/SUMIF(符文权重!$A:$A,$D473,符文权重!$D:$D)))</f>
        <v/>
      </c>
      <c r="N473" s="51" t="str" cm="1">
        <f t="array" ref="N473">IF($A473="","",IF(H473="","",_xlfn.XLOOKUP($D473&amp;"_"&amp;$AE473,符文权重!$A:$A&amp;"_"&amp;符文权重!$C:$C,符文权重!$D:$D)*$Y473/SUMIFS($Y:$Y,H:H,H473,$D:$D,$D473,$AE:$AE,$AE473)/SUMIF(符文权重!$A:$A,$D473,符文权重!$D:$D)))</f>
        <v/>
      </c>
      <c r="O473" s="51" t="str" cm="1">
        <f t="array" ref="O473">IF($A473="","",IF(I473="","",_xlfn.XLOOKUP($D473&amp;"_"&amp;$AE473,符文权重!$A:$A&amp;"_"&amp;符文权重!$C:$C,符文权重!$D:$D)*$Y473/SUMIFS($Y:$Y,I:I,I473,$D:$D,$D473,$AE:$AE,$AE473)/SUMIF(符文权重!$A:$A,$D473,符文权重!$D:$D)))</f>
        <v/>
      </c>
      <c r="P473" s="51" t="str" cm="1">
        <f t="array" ref="P473">IF($A473="","",IF(J473="","",_xlfn.XLOOKUP($D473&amp;"_"&amp;$AE473,符文权重!$A:$A&amp;"_"&amp;符文权重!$C:$C,符文权重!$D:$D)*$Y473/SUMIFS($Y:$Y,J:J,J473,$D:$D,$D473,$AE:$AE,$AE473)/SUMIF(符文权重!$A:$A,$D473,符文权重!$D:$D)))</f>
        <v/>
      </c>
      <c r="Q473" s="51" t="str" cm="1">
        <f t="array" ref="Q473">IF($A473="","",IF(K473="","",_xlfn.XLOOKUP($D473&amp;"_"&amp;$AE473,符文权重!$A:$A&amp;"_"&amp;符文权重!$C:$C,符文权重!$D:$D)*$Y473/SUMIFS($Y:$Y,K:K,K473,$D:$D,$D473,$AE:$AE,$AE473)/SUMIF(符文权重!$A:$A,$D473,符文权重!$D:$D)))</f>
        <v/>
      </c>
      <c r="R473" s="51" cm="1">
        <f t="array" ref="R473">IF($A473="","",IF(L473="","",_xlfn.XLOOKUP($D473&amp;"_"&amp;$AE473,符文权重!$A:$A&amp;"_"&amp;符文权重!$C:$C,符文权重!$D:$D)*$Y473/SUMIFS($Y:$Y,L:L,L473,$D:$D,$D473,$AE:$AE,$AE473)/SUMIF(符文权重!$A:$A,$D473,符文权重!$D:$D)))</f>
        <v>0.00341000341000341</v>
      </c>
      <c r="S473" s="36" t="s">
        <v>192</v>
      </c>
      <c r="T473" s="36" t="s">
        <v>239</v>
      </c>
      <c r="U473" s="36" t="e">
        <f>IF(C473="","",SUBSTITUTE(SUBSTITUTE("[{global_atk,"&amp;#REF!*D473&amp;"}]",21,20),9,8))</f>
        <v>#REF!</v>
      </c>
      <c r="V473" s="52" t="str">
        <f t="shared" si="219"/>
        <v>[5505184]</v>
      </c>
      <c r="Y473" s="35">
        <v>4</v>
      </c>
      <c r="AA473" s="42" t="s">
        <v>185</v>
      </c>
      <c r="AB473" s="42" t="str">
        <f t="shared" si="192"/>
        <v>召唤师召唤物死亡前，无敌&lt;color=#54b76b&gt;1&lt;/color&gt;秒</v>
      </c>
      <c r="AC473" s="48" t="str">
        <f t="shared" si="218"/>
        <v>5505181</v>
      </c>
      <c r="AD473" s="42" t="str">
        <f t="shared" si="213"/>
        <v>[1]</v>
      </c>
      <c r="AE473" s="36">
        <v>3</v>
      </c>
      <c r="AF473" s="36"/>
      <c r="AG473" s="36">
        <v>0</v>
      </c>
      <c r="AH473" s="35">
        <v>1</v>
      </c>
      <c r="AI473" s="48">
        <f t="shared" si="220"/>
        <v>5505184</v>
      </c>
      <c r="AJ473" s="53" t="str">
        <f t="shared" si="221"/>
        <v>召唤师召唤物死亡前，无敌&lt;color=#54b76b&gt;%s&lt;/color&gt;秒</v>
      </c>
      <c r="AK473" s="36">
        <v>1</v>
      </c>
      <c r="AL473" s="35">
        <v>5</v>
      </c>
    </row>
    <row r="474" hidden="1" customHeight="1" spans="1:38">
      <c r="A474" s="48">
        <v>5505185</v>
      </c>
      <c r="B474" s="35" t="s">
        <v>553</v>
      </c>
      <c r="C474" s="48" t="str">
        <f t="shared" si="216"/>
        <v>5505181</v>
      </c>
      <c r="D474" s="42">
        <f t="shared" si="217"/>
        <v>5</v>
      </c>
      <c r="E474" s="42"/>
      <c r="F474" s="36" t="s">
        <v>220</v>
      </c>
      <c r="G474" s="36" t="str">
        <f t="shared" si="209"/>
        <v/>
      </c>
      <c r="H474" s="36" t="str">
        <f>IFERROR(IF(--MID($F474,2*COUNTIF($G474:G474,"&gt;"&amp;0)+2,1)=H$1,H$1,""),"")</f>
        <v/>
      </c>
      <c r="I474" s="36" t="str">
        <f>IFERROR(IF(--MID($F474,2*COUNTIF($G474:H474,"&gt;"&amp;0)+2,1)=I$1,I$1,""),"")</f>
        <v/>
      </c>
      <c r="J474" s="36" t="str">
        <f>IFERROR(IF(--MID($F474,2*COUNTIF($G474:I474,"&gt;"&amp;0)+2,1)=J$1,J$1,""),"")</f>
        <v/>
      </c>
      <c r="K474" s="36" t="str">
        <f>IFERROR(IF(--MID($F474,2*COUNTIF($G474:J474,"&gt;"&amp;0)+2,1)=K$1,K$1,""),"")</f>
        <v/>
      </c>
      <c r="L474" s="36">
        <f>IFERROR(IF(--MID($F474,2*COUNTIF($G474:K474,"&gt;"&amp;0)+2,1)=L$1,L$1,""),"")</f>
        <v>6</v>
      </c>
      <c r="M474" s="51" t="str" cm="1">
        <f t="array" ref="M474">IF($A474="","",IF(G474="","",_xlfn.XLOOKUP($D474&amp;"_"&amp;$AE474,符文权重!$A:$A&amp;"_"&amp;符文权重!$C:$C,符文权重!$D:$D)*$Y474/SUMIFS($Y:$Y,G:G,G474,$D:$D,$D474,$AE:$AE,$AE474)/SUMIF(符文权重!$A:$A,$D474,符文权重!$D:$D)))</f>
        <v/>
      </c>
      <c r="N474" s="51" t="str" cm="1">
        <f t="array" ref="N474">IF($A474="","",IF(H474="","",_xlfn.XLOOKUP($D474&amp;"_"&amp;$AE474,符文权重!$A:$A&amp;"_"&amp;符文权重!$C:$C,符文权重!$D:$D)*$Y474/SUMIFS($Y:$Y,H:H,H474,$D:$D,$D474,$AE:$AE,$AE474)/SUMIF(符文权重!$A:$A,$D474,符文权重!$D:$D)))</f>
        <v/>
      </c>
      <c r="O474" s="51" t="str" cm="1">
        <f t="array" ref="O474">IF($A474="","",IF(I474="","",_xlfn.XLOOKUP($D474&amp;"_"&amp;$AE474,符文权重!$A:$A&amp;"_"&amp;符文权重!$C:$C,符文权重!$D:$D)*$Y474/SUMIFS($Y:$Y,I:I,I474,$D:$D,$D474,$AE:$AE,$AE474)/SUMIF(符文权重!$A:$A,$D474,符文权重!$D:$D)))</f>
        <v/>
      </c>
      <c r="P474" s="51" t="str" cm="1">
        <f t="array" ref="P474">IF($A474="","",IF(J474="","",_xlfn.XLOOKUP($D474&amp;"_"&amp;$AE474,符文权重!$A:$A&amp;"_"&amp;符文权重!$C:$C,符文权重!$D:$D)*$Y474/SUMIFS($Y:$Y,J:J,J474,$D:$D,$D474,$AE:$AE,$AE474)/SUMIF(符文权重!$A:$A,$D474,符文权重!$D:$D)))</f>
        <v/>
      </c>
      <c r="Q474" s="51" t="str" cm="1">
        <f t="array" ref="Q474">IF($A474="","",IF(K474="","",_xlfn.XLOOKUP($D474&amp;"_"&amp;$AE474,符文权重!$A:$A&amp;"_"&amp;符文权重!$C:$C,符文权重!$D:$D)*$Y474/SUMIFS($Y:$Y,K:K,K474,$D:$D,$D474,$AE:$AE,$AE474)/SUMIF(符文权重!$A:$A,$D474,符文权重!$D:$D)))</f>
        <v/>
      </c>
      <c r="R474" s="51" cm="1">
        <f t="array" ref="R474">IF($A474="","",IF(L474="","",_xlfn.XLOOKUP($D474&amp;"_"&amp;$AE474,符文权重!$A:$A&amp;"_"&amp;符文权重!$C:$C,符文权重!$D:$D)*$Y474/SUMIFS($Y:$Y,L:L,L474,$D:$D,$D474,$AE:$AE,$AE474)/SUMIF(符文权重!$A:$A,$D474,符文权重!$D:$D)))</f>
        <v>0.00375</v>
      </c>
      <c r="S474" s="36" t="s">
        <v>192</v>
      </c>
      <c r="T474" s="36" t="s">
        <v>239</v>
      </c>
      <c r="U474" s="36" t="e">
        <f>IF(C474="","",SUBSTITUTE(SUBSTITUTE("[{global_atk,"&amp;#REF!*D474&amp;"}]",21,20),9,8))</f>
        <v>#REF!</v>
      </c>
      <c r="V474" s="52" t="str">
        <f t="shared" si="219"/>
        <v>[5505185]</v>
      </c>
      <c r="Y474" s="35">
        <v>100</v>
      </c>
      <c r="AA474" s="42" t="s">
        <v>187</v>
      </c>
      <c r="AB474" s="42" t="str">
        <f t="shared" ref="AB474:AB533" si="222">SUBSTITUTE(AJ474,"%s",AK474)</f>
        <v>召唤师召唤物死亡前，无敌&lt;color=#54b76b&gt;1.5&lt;/color&gt;秒</v>
      </c>
      <c r="AC474" s="48" t="str">
        <f t="shared" si="218"/>
        <v>5505181</v>
      </c>
      <c r="AD474" s="42" t="str">
        <f t="shared" si="213"/>
        <v>[1.5]</v>
      </c>
      <c r="AE474" s="36">
        <v>5</v>
      </c>
      <c r="AF474" s="36"/>
      <c r="AG474" s="36">
        <v>0</v>
      </c>
      <c r="AH474" s="35">
        <v>1</v>
      </c>
      <c r="AI474" s="48">
        <f t="shared" si="220"/>
        <v>5505185</v>
      </c>
      <c r="AJ474" s="53" t="str">
        <f t="shared" si="221"/>
        <v>召唤师召唤物死亡前，无敌&lt;color=#54b76b&gt;%s&lt;/color&gt;秒</v>
      </c>
      <c r="AK474" s="36">
        <v>1.5</v>
      </c>
      <c r="AL474" s="35">
        <v>5</v>
      </c>
    </row>
    <row r="475" hidden="1" customHeight="1" spans="1:38">
      <c r="A475" s="48">
        <v>5505186</v>
      </c>
      <c r="B475" s="35" t="s">
        <v>553</v>
      </c>
      <c r="C475" s="48" t="str">
        <f t="shared" si="216"/>
        <v>5505181</v>
      </c>
      <c r="D475" s="42">
        <f t="shared" si="217"/>
        <v>6</v>
      </c>
      <c r="E475" s="42"/>
      <c r="F475" s="36" t="s">
        <v>220</v>
      </c>
      <c r="G475" s="36" t="str">
        <f t="shared" si="209"/>
        <v/>
      </c>
      <c r="H475" s="36" t="str">
        <f>IFERROR(IF(--MID($F475,2*COUNTIF($G475:G475,"&gt;"&amp;0)+2,1)=H$1,H$1,""),"")</f>
        <v/>
      </c>
      <c r="I475" s="36" t="str">
        <f>IFERROR(IF(--MID($F475,2*COUNTIF($G475:H475,"&gt;"&amp;0)+2,1)=I$1,I$1,""),"")</f>
        <v/>
      </c>
      <c r="J475" s="36" t="str">
        <f>IFERROR(IF(--MID($F475,2*COUNTIF($G475:I475,"&gt;"&amp;0)+2,1)=J$1,J$1,""),"")</f>
        <v/>
      </c>
      <c r="K475" s="36" t="str">
        <f>IFERROR(IF(--MID($F475,2*COUNTIF($G475:J475,"&gt;"&amp;0)+2,1)=K$1,K$1,""),"")</f>
        <v/>
      </c>
      <c r="L475" s="36">
        <f>IFERROR(IF(--MID($F475,2*COUNTIF($G475:K475,"&gt;"&amp;0)+2,1)=L$1,L$1,""),"")</f>
        <v>6</v>
      </c>
      <c r="M475" s="51" t="str" cm="1">
        <f t="array" ref="M475">IF($A475="","",IF(G475="","",_xlfn.XLOOKUP($D475&amp;"_"&amp;$AE475,符文权重!$A:$A&amp;"_"&amp;符文权重!$C:$C,符文权重!$D:$D)*$Y475/SUMIFS($Y:$Y,G:G,G475,$D:$D,$D475,$AE:$AE,$AE475)/SUMIF(符文权重!$A:$A,$D475,符文权重!$D:$D)))</f>
        <v/>
      </c>
      <c r="N475" s="51" t="str" cm="1">
        <f t="array" ref="N475">IF($A475="","",IF(H475="","",_xlfn.XLOOKUP($D475&amp;"_"&amp;$AE475,符文权重!$A:$A&amp;"_"&amp;符文权重!$C:$C,符文权重!$D:$D)*$Y475/SUMIFS($Y:$Y,H:H,H475,$D:$D,$D475,$AE:$AE,$AE475)/SUMIF(符文权重!$A:$A,$D475,符文权重!$D:$D)))</f>
        <v/>
      </c>
      <c r="O475" s="51" t="str" cm="1">
        <f t="array" ref="O475">IF($A475="","",IF(I475="","",_xlfn.XLOOKUP($D475&amp;"_"&amp;$AE475,符文权重!$A:$A&amp;"_"&amp;符文权重!$C:$C,符文权重!$D:$D)*$Y475/SUMIFS($Y:$Y,I:I,I475,$D:$D,$D475,$AE:$AE,$AE475)/SUMIF(符文权重!$A:$A,$D475,符文权重!$D:$D)))</f>
        <v/>
      </c>
      <c r="P475" s="51" t="str" cm="1">
        <f t="array" ref="P475">IF($A475="","",IF(J475="","",_xlfn.XLOOKUP($D475&amp;"_"&amp;$AE475,符文权重!$A:$A&amp;"_"&amp;符文权重!$C:$C,符文权重!$D:$D)*$Y475/SUMIFS($Y:$Y,J:J,J475,$D:$D,$D475,$AE:$AE,$AE475)/SUMIF(符文权重!$A:$A,$D475,符文权重!$D:$D)))</f>
        <v/>
      </c>
      <c r="Q475" s="51" t="str" cm="1">
        <f t="array" ref="Q475">IF($A475="","",IF(K475="","",_xlfn.XLOOKUP($D475&amp;"_"&amp;$AE475,符文权重!$A:$A&amp;"_"&amp;符文权重!$C:$C,符文权重!$D:$D)*$Y475/SUMIFS($Y:$Y,K:K,K475,$D:$D,$D475,$AE:$AE,$AE475)/SUMIF(符文权重!$A:$A,$D475,符文权重!$D:$D)))</f>
        <v/>
      </c>
      <c r="R475" s="51" cm="1">
        <f t="array" ref="R475">IF($A475="","",IF(L475="","",_xlfn.XLOOKUP($D475&amp;"_"&amp;$AE475,符文权重!$A:$A&amp;"_"&amp;符文权重!$C:$C,符文权重!$D:$D)*$Y475/SUMIFS($Y:$Y,L:L,L475,$D:$D,$D475,$AE:$AE,$AE475)/SUMIF(符文权重!$A:$A,$D475,符文权重!$D:$D)))</f>
        <v>0.00375</v>
      </c>
      <c r="S475" s="36" t="s">
        <v>192</v>
      </c>
      <c r="T475" s="36" t="s">
        <v>239</v>
      </c>
      <c r="U475" s="36" t="e">
        <f>IF(C475="","",SUBSTITUTE(SUBSTITUTE("[{global_atk,"&amp;#REF!*D475&amp;"}]",21,20),9,8))</f>
        <v>#REF!</v>
      </c>
      <c r="V475" s="52" t="str">
        <f t="shared" si="219"/>
        <v>[5505186]</v>
      </c>
      <c r="Y475" s="35">
        <v>100</v>
      </c>
      <c r="AA475" s="42" t="s">
        <v>189</v>
      </c>
      <c r="AB475" s="42" t="str">
        <f t="shared" si="222"/>
        <v>召唤师召唤物死亡前，无敌&lt;color=#54b76b&gt;2&lt;/color&gt;秒</v>
      </c>
      <c r="AC475" s="48" t="str">
        <f t="shared" si="218"/>
        <v>5505181</v>
      </c>
      <c r="AD475" s="42" t="str">
        <f t="shared" si="213"/>
        <v>[2]</v>
      </c>
      <c r="AE475" s="36">
        <v>5</v>
      </c>
      <c r="AF475" s="36"/>
      <c r="AG475" s="36">
        <v>0</v>
      </c>
      <c r="AH475" s="35">
        <v>1</v>
      </c>
      <c r="AI475" s="48">
        <f t="shared" si="220"/>
        <v>5505186</v>
      </c>
      <c r="AJ475" s="53" t="str">
        <f t="shared" si="221"/>
        <v>召唤师召唤物死亡前，无敌&lt;color=#54b76b&gt;%s&lt;/color&gt;秒</v>
      </c>
      <c r="AK475" s="36">
        <v>2</v>
      </c>
      <c r="AL475" s="35">
        <v>5</v>
      </c>
    </row>
    <row r="476" hidden="1" customHeight="1" spans="1:38">
      <c r="A476" s="48">
        <v>5505187</v>
      </c>
      <c r="B476" s="35" t="s">
        <v>553</v>
      </c>
      <c r="C476" s="48" t="str">
        <f t="shared" si="216"/>
        <v>5505181</v>
      </c>
      <c r="D476" s="42">
        <f t="shared" si="217"/>
        <v>7</v>
      </c>
      <c r="E476" s="42"/>
      <c r="F476" s="36" t="s">
        <v>220</v>
      </c>
      <c r="G476" s="36" t="str">
        <f t="shared" si="209"/>
        <v/>
      </c>
      <c r="H476" s="36" t="str">
        <f>IFERROR(IF(--MID($F476,2*COUNTIF($G476:G476,"&gt;"&amp;0)+2,1)=H$1,H$1,""),"")</f>
        <v/>
      </c>
      <c r="I476" s="36" t="str">
        <f>IFERROR(IF(--MID($F476,2*COUNTIF($G476:H476,"&gt;"&amp;0)+2,1)=I$1,I$1,""),"")</f>
        <v/>
      </c>
      <c r="J476" s="36" t="str">
        <f>IFERROR(IF(--MID($F476,2*COUNTIF($G476:I476,"&gt;"&amp;0)+2,1)=J$1,J$1,""),"")</f>
        <v/>
      </c>
      <c r="K476" s="36" t="str">
        <f>IFERROR(IF(--MID($F476,2*COUNTIF($G476:J476,"&gt;"&amp;0)+2,1)=K$1,K$1,""),"")</f>
        <v/>
      </c>
      <c r="L476" s="36">
        <f>IFERROR(IF(--MID($F476,2*COUNTIF($G476:K476,"&gt;"&amp;0)+2,1)=L$1,L$1,""),"")</f>
        <v>6</v>
      </c>
      <c r="M476" s="51"/>
      <c r="N476" s="51" t="str" cm="1">
        <f t="array" ref="N476">IF($A476="","",IF(H476="","",_xlfn.XLOOKUP($D476&amp;"_"&amp;$AE476,符文权重!$A:$A&amp;"_"&amp;符文权重!$C:$C,符文权重!$D:$D)*$Y476/SUMIFS($Y:$Y,H:H,H476,$D:$D,$D476,$AE:$AE,$AE476)/SUMIF(符文权重!$A:$A,$D476,符文权重!$D:$D)))</f>
        <v/>
      </c>
      <c r="O476" s="51" t="str" cm="1">
        <f t="array" ref="O476">IF($A476="","",IF(I476="","",_xlfn.XLOOKUP($D476&amp;"_"&amp;$AE476,符文权重!$A:$A&amp;"_"&amp;符文权重!$C:$C,符文权重!$D:$D)*$Y476/SUMIFS($Y:$Y,I:I,I476,$D:$D,$D476,$AE:$AE,$AE476)/SUMIF(符文权重!$A:$A,$D476,符文权重!$D:$D)))</f>
        <v/>
      </c>
      <c r="P476" s="51" t="str" cm="1">
        <f t="array" ref="P476">IF($A476="","",IF(J476="","",_xlfn.XLOOKUP($D476&amp;"_"&amp;$AE476,符文权重!$A:$A&amp;"_"&amp;符文权重!$C:$C,符文权重!$D:$D)*$Y476/SUMIFS($Y:$Y,J:J,J476,$D:$D,$D476,$AE:$AE,$AE476)/SUMIF(符文权重!$A:$A,$D476,符文权重!$D:$D)))</f>
        <v/>
      </c>
      <c r="Q476" s="51" t="str" cm="1">
        <f t="array" ref="Q476">IF($A476="","",IF(K476="","",_xlfn.XLOOKUP($D476&amp;"_"&amp;$AE476,符文权重!$A:$A&amp;"_"&amp;符文权重!$C:$C,符文权重!$D:$D)*$Y476/SUMIFS($Y:$Y,K:K,K476,$D:$D,$D476,$AE:$AE,$AE476)/SUMIF(符文权重!$A:$A,$D476,符文权重!$D:$D)))</f>
        <v/>
      </c>
      <c r="R476" s="51" cm="1">
        <f t="array" ref="R476">IF($A476="","",IF(L476="","",_xlfn.XLOOKUP($D476&amp;"_"&amp;$AE476,符文权重!$A:$A&amp;"_"&amp;符文权重!$C:$C,符文权重!$D:$D)*$Y476/SUMIFS($Y:$Y,L:L,L476,$D:$D,$D476,$AE:$AE,$AE476)/SUMIF(符文权重!$A:$A,$D476,符文权重!$D:$D)))</f>
        <v>0.00375</v>
      </c>
      <c r="S476" s="36" t="s">
        <v>192</v>
      </c>
      <c r="T476" s="36" t="s">
        <v>239</v>
      </c>
      <c r="U476" s="36" t="e">
        <f>IF(C476="","",SUBSTITUTE(SUBSTITUTE("[{global_atk,"&amp;#REF!*D476&amp;"}]",21,20),9,8))</f>
        <v>#REF!</v>
      </c>
      <c r="V476" s="52" t="str">
        <f t="shared" si="219"/>
        <v>[5505187]</v>
      </c>
      <c r="Y476" s="35">
        <v>100</v>
      </c>
      <c r="AA476" s="42" t="s">
        <v>191</v>
      </c>
      <c r="AB476" s="42" t="str">
        <f t="shared" si="222"/>
        <v>召唤师召唤物死亡前，无敌&lt;color=#54b76b&gt;2.5&lt;/color&gt;秒</v>
      </c>
      <c r="AC476" s="48" t="str">
        <f t="shared" si="218"/>
        <v>5505181</v>
      </c>
      <c r="AD476" s="42" t="str">
        <f t="shared" si="213"/>
        <v>[2.5]</v>
      </c>
      <c r="AE476" s="36">
        <v>5</v>
      </c>
      <c r="AF476" s="36"/>
      <c r="AG476" s="36">
        <v>0</v>
      </c>
      <c r="AH476" s="35">
        <v>1</v>
      </c>
      <c r="AI476" s="48">
        <f t="shared" si="220"/>
        <v>5505187</v>
      </c>
      <c r="AJ476" s="53" t="str">
        <f t="shared" si="221"/>
        <v>召唤师召唤物死亡前，无敌&lt;color=#54b76b&gt;%s&lt;/color&gt;秒</v>
      </c>
      <c r="AK476" s="36">
        <v>2.5</v>
      </c>
      <c r="AL476" s="35">
        <v>5</v>
      </c>
    </row>
    <row r="477" s="25" customFormat="1" hidden="1" customHeight="1" spans="1:38">
      <c r="A477" s="48" t="s">
        <v>178</v>
      </c>
      <c r="B477" s="35"/>
      <c r="C477" s="48" t="str">
        <f t="shared" si="216"/>
        <v/>
      </c>
      <c r="D477" s="42" t="str">
        <f t="shared" si="217"/>
        <v/>
      </c>
      <c r="E477" s="42"/>
      <c r="F477" s="36"/>
      <c r="G477" s="36" t="str">
        <f t="shared" si="209"/>
        <v/>
      </c>
      <c r="H477" s="36" t="str">
        <f>IFERROR(IF(--MID($F477,2*COUNTIF($G477:G477,"&gt;"&amp;0)+2,1)=H$1,H$1,""),"")</f>
        <v/>
      </c>
      <c r="I477" s="36" t="str">
        <f>IFERROR(IF(--MID($F477,2*COUNTIF($G477:H477,"&gt;"&amp;0)+2,1)=I$1,I$1,""),"")</f>
        <v/>
      </c>
      <c r="J477" s="36" t="str">
        <f>IFERROR(IF(--MID($F477,2*COUNTIF($G477:I477,"&gt;"&amp;0)+2,1)=J$1,J$1,""),"")</f>
        <v/>
      </c>
      <c r="K477" s="36" t="str">
        <f>IFERROR(IF(--MID($F477,2*COUNTIF($G477:J477,"&gt;"&amp;0)+2,1)=K$1,K$1,""),"")</f>
        <v/>
      </c>
      <c r="L477" s="36" t="str">
        <f>IFERROR(IF(--MID($F477,2*COUNTIF($G477:K477,"&gt;"&amp;0)+2,1)=L$1,L$1,""),"")</f>
        <v/>
      </c>
      <c r="M477" s="51" t="str" cm="1">
        <f t="array" ref="M477">IF($A477="","",IF(G477="","",_xlfn.XLOOKUP($D477&amp;"_"&amp;$AE477,符文权重!$A:$A&amp;"_"&amp;符文权重!$C:$C,符文权重!$D:$D)*$Y477/SUMIFS($Y:$Y,G:G,G477,$D:$D,$D477,$AE:$AE,$AE477)/SUMIF(符文权重!$A:$A,$D477,符文权重!$D:$D)))</f>
        <v/>
      </c>
      <c r="N477" s="36" t="str" cm="1">
        <f t="array" ref="N477">IF($A477="","",IF(H477="","",_xlfn.XLOOKUP($D477&amp;"_"&amp;$AE477,符文权重!$A:$A&amp;"_"&amp;符文权重!$C:$C,符文权重!$D:$D)*$Y477/SUMIFS($Y:$Y,H:H,H477,$D:$D,$D$6,$AE:$AE,$AE$6)))</f>
        <v/>
      </c>
      <c r="O477" s="36" t="str" cm="1">
        <f t="array" ref="O477">IF($A477="","",IF(I477="","",_xlfn.XLOOKUP($D477&amp;"_"&amp;$AE477,符文权重!$A:$A&amp;"_"&amp;符文权重!$C:$C,符文权重!$D:$D)*$Y477/SUMIFS($Y:$Y,I:I,I477,$D:$D,$D$6,$AE:$AE,$AE$6)))</f>
        <v/>
      </c>
      <c r="P477" s="36" t="str" cm="1">
        <f t="array" ref="P477">IF($A477="","",IF(J477="","",_xlfn.XLOOKUP($D477&amp;"_"&amp;$AE477,符文权重!$A:$A&amp;"_"&amp;符文权重!$C:$C,符文权重!$D:$D)*$Y477/SUMIFS($Y:$Y,J:J,J477,$D:$D,$D$6,$AE:$AE,$AE$6)))</f>
        <v/>
      </c>
      <c r="Q477" s="36" t="str" cm="1">
        <f t="array" ref="Q477">IF($A477="","",IF(K477="","",_xlfn.XLOOKUP($D477&amp;"_"&amp;$AE477,符文权重!$A:$A&amp;"_"&amp;符文权重!$C:$C,符文权重!$D:$D)*$Y477/SUMIFS($Y:$Y,K:K,K477,$D:$D,$D$6,$AE:$AE,$AE$6)))</f>
        <v/>
      </c>
      <c r="R477" s="36" t="str" cm="1">
        <f t="array" ref="R477">IF($A477="","",IF(L477="","",_xlfn.XLOOKUP($D477&amp;"_"&amp;$AE477,符文权重!$A:$A&amp;"_"&amp;符文权重!$C:$C,符文权重!$D:$D)*$Y477/SUMIFS($Y:$Y,L:L,L477,$D:$D,$D$6,$AE:$AE,$AE$6)))</f>
        <v/>
      </c>
      <c r="S477" s="36"/>
      <c r="T477" s="36"/>
      <c r="U477" s="36"/>
      <c r="W477" s="41"/>
      <c r="X477" s="35"/>
      <c r="Y477" s="35"/>
      <c r="Z477" s="35"/>
      <c r="AA477" s="42" t="s">
        <v>178</v>
      </c>
      <c r="AB477" s="42" t="str">
        <f t="shared" si="222"/>
        <v/>
      </c>
      <c r="AC477" s="48" t="str">
        <f t="shared" si="218"/>
        <v/>
      </c>
      <c r="AD477" s="42" t="str">
        <f t="shared" si="213"/>
        <v/>
      </c>
      <c r="AE477" s="36"/>
      <c r="AF477" s="36"/>
      <c r="AG477" s="36"/>
      <c r="AH477" s="35" t="s">
        <v>178</v>
      </c>
      <c r="AI477" s="33"/>
      <c r="AJ477" s="74"/>
      <c r="AK477" s="36"/>
      <c r="AL477" s="35"/>
    </row>
    <row r="478" s="27" customFormat="1" hidden="1" customHeight="1" spans="1:38">
      <c r="A478" s="57">
        <v>5505191</v>
      </c>
      <c r="B478" s="28" t="s">
        <v>554</v>
      </c>
      <c r="C478" s="57" t="str">
        <f t="shared" si="216"/>
        <v>5505191</v>
      </c>
      <c r="D478" s="59">
        <f t="shared" si="217"/>
        <v>1</v>
      </c>
      <c r="E478" s="59"/>
      <c r="F478" s="60" t="s">
        <v>202</v>
      </c>
      <c r="G478" s="36">
        <f t="shared" si="209"/>
        <v>1</v>
      </c>
      <c r="H478" s="36" t="str">
        <f>IFERROR(IF(--MID($F478,2*COUNTIF($G478:G478,"&gt;"&amp;0)+2,1)=H$1,H$1,""),"")</f>
        <v/>
      </c>
      <c r="I478" s="36" t="str">
        <f>IFERROR(IF(--MID($F478,2*COUNTIF($G478:H478,"&gt;"&amp;0)+2,1)=I$1,I$1,""),"")</f>
        <v/>
      </c>
      <c r="J478" s="36" t="str">
        <f>IFERROR(IF(--MID($F478,2*COUNTIF($G478:I478,"&gt;"&amp;0)+2,1)=J$1,J$1,""),"")</f>
        <v/>
      </c>
      <c r="K478" s="36" t="str">
        <f>IFERROR(IF(--MID($F478,2*COUNTIF($G478:J478,"&gt;"&amp;0)+2,1)=K$1,K$1,""),"")</f>
        <v/>
      </c>
      <c r="L478" s="36" t="str">
        <f>IFERROR(IF(--MID($F478,2*COUNTIF($G478:K478,"&gt;"&amp;0)+2,1)=L$1,L$1,""),"")</f>
        <v/>
      </c>
      <c r="M478" s="36" t="e" cm="1">
        <f t="array" ref="M478">IF(A478="","",_xlfn.XLOOKUP(D478&amp;"_"&amp;AE478,符文权重!A:A&amp;"_"&amp;符文权重!C:C,符文权重!D:D))</f>
        <v>#N/A</v>
      </c>
      <c r="N478" s="36"/>
      <c r="O478" s="36"/>
      <c r="P478" s="36"/>
      <c r="Q478" s="36"/>
      <c r="R478" s="36"/>
      <c r="S478" s="60" t="s">
        <v>192</v>
      </c>
      <c r="T478" s="60" t="s">
        <v>239</v>
      </c>
      <c r="U478" s="60" t="e">
        <f>IF(C478="","",SUBSTITUTE(SUBSTITUTE("[{global_atk,"&amp;#REF!*D478&amp;"}]",21,20),9,8))</f>
        <v>#REF!</v>
      </c>
      <c r="V478" s="61" t="str">
        <f t="shared" ref="V478:V484" si="223">"["&amp;A478&amp;"]"</f>
        <v>[5505191]</v>
      </c>
      <c r="W478" s="60"/>
      <c r="X478" s="28"/>
      <c r="Y478" s="35">
        <v>100</v>
      </c>
      <c r="Z478" s="28"/>
      <c r="AA478" s="59" t="s">
        <v>177</v>
      </c>
      <c r="AB478" s="42" t="str">
        <f t="shared" si="222"/>
        <v>召唤师召唤物每嘲讽1个敌人，召唤物最大生命值&lt;color=#54b76b&gt;+0%&lt;/color&gt;</v>
      </c>
      <c r="AC478" s="57" t="str">
        <f t="shared" si="218"/>
        <v>5505191</v>
      </c>
      <c r="AD478" s="59" t="str">
        <f t="shared" si="213"/>
        <v>[0]</v>
      </c>
      <c r="AE478" s="60">
        <v>100</v>
      </c>
      <c r="AF478" s="60"/>
      <c r="AG478" s="60">
        <v>1</v>
      </c>
      <c r="AH478" s="35">
        <v>1</v>
      </c>
      <c r="AI478" s="62">
        <v>5505191</v>
      </c>
      <c r="AJ478" s="73" t="s">
        <v>554</v>
      </c>
      <c r="AK478" s="60">
        <v>0</v>
      </c>
      <c r="AL478" s="35"/>
    </row>
    <row r="479" s="28" customFormat="1" hidden="1" customHeight="1" spans="1:38">
      <c r="A479" s="57">
        <v>5505192</v>
      </c>
      <c r="B479" s="58"/>
      <c r="C479" s="57" t="str">
        <f t="shared" si="216"/>
        <v>5505191</v>
      </c>
      <c r="D479" s="59">
        <f t="shared" si="217"/>
        <v>2</v>
      </c>
      <c r="E479" s="59"/>
      <c r="F479" s="60" t="s">
        <v>202</v>
      </c>
      <c r="G479" s="36">
        <f t="shared" si="209"/>
        <v>1</v>
      </c>
      <c r="H479" s="36" t="str">
        <f>IFERROR(IF(--MID($F479,2*COUNTIF($G479:G479,"&gt;"&amp;0)+2,1)=H$1,H$1,""),"")</f>
        <v/>
      </c>
      <c r="I479" s="36" t="str">
        <f>IFERROR(IF(--MID($F479,2*COUNTIF($G479:H479,"&gt;"&amp;0)+2,1)=I$1,I$1,""),"")</f>
        <v/>
      </c>
      <c r="J479" s="36" t="str">
        <f>IFERROR(IF(--MID($F479,2*COUNTIF($G479:I479,"&gt;"&amp;0)+2,1)=J$1,J$1,""),"")</f>
        <v/>
      </c>
      <c r="K479" s="36" t="str">
        <f>IFERROR(IF(--MID($F479,2*COUNTIF($G479:J479,"&gt;"&amp;0)+2,1)=K$1,K$1,""),"")</f>
        <v/>
      </c>
      <c r="L479" s="36" t="str">
        <f>IFERROR(IF(--MID($F479,2*COUNTIF($G479:K479,"&gt;"&amp;0)+2,1)=L$1,L$1,""),"")</f>
        <v/>
      </c>
      <c r="M479" s="36" t="e" cm="1">
        <f t="array" ref="M479">IF(A479="","",_xlfn.XLOOKUP(D479&amp;"_"&amp;AE479,符文权重!A:A&amp;"_"&amp;符文权重!C:C,符文权重!D:D))</f>
        <v>#N/A</v>
      </c>
      <c r="N479" s="36"/>
      <c r="O479" s="36"/>
      <c r="P479" s="36"/>
      <c r="Q479" s="36"/>
      <c r="R479" s="36"/>
      <c r="S479" s="60" t="s">
        <v>192</v>
      </c>
      <c r="T479" s="60" t="s">
        <v>239</v>
      </c>
      <c r="U479" s="60" t="e">
        <f>IF(C479="","",SUBSTITUTE(SUBSTITUTE("[{global_atk,"&amp;#REF!*D479&amp;"}]",21,20),9,8))</f>
        <v>#REF!</v>
      </c>
      <c r="V479" s="61" t="str">
        <f t="shared" si="223"/>
        <v>[5505192]</v>
      </c>
      <c r="W479" s="60"/>
      <c r="Y479" s="35">
        <v>100</v>
      </c>
      <c r="AA479" s="59" t="s">
        <v>181</v>
      </c>
      <c r="AB479" s="42" t="str">
        <f t="shared" si="222"/>
        <v>召唤师召唤物每嘲讽1个敌人，召唤物最大生命值&lt;color=#54b76b&gt;+0%&lt;/color&gt;</v>
      </c>
      <c r="AC479" s="57" t="str">
        <f t="shared" si="218"/>
        <v>5505191</v>
      </c>
      <c r="AD479" s="59" t="str">
        <f t="shared" si="213"/>
        <v>[0]</v>
      </c>
      <c r="AE479" s="60">
        <v>100</v>
      </c>
      <c r="AF479" s="60"/>
      <c r="AG479" s="60">
        <v>1</v>
      </c>
      <c r="AH479" s="35">
        <v>1</v>
      </c>
      <c r="AI479" s="57">
        <f t="shared" ref="AI479:AI484" si="224">AI478+1</f>
        <v>5505192</v>
      </c>
      <c r="AJ479" s="64" t="str">
        <f t="shared" ref="AJ479:AJ484" si="225">AJ478</f>
        <v>召唤师召唤物每嘲讽1个敌人，召唤物最大生命值&lt;color=#54b76b&gt;+%s%&lt;/color&gt;</v>
      </c>
      <c r="AK479" s="60">
        <v>0</v>
      </c>
      <c r="AL479" s="35"/>
    </row>
    <row r="480" s="28" customFormat="1" hidden="1" customHeight="1" spans="1:38">
      <c r="A480" s="57">
        <v>5505193</v>
      </c>
      <c r="B480" s="58"/>
      <c r="C480" s="57" t="str">
        <f t="shared" si="216"/>
        <v>5505191</v>
      </c>
      <c r="D480" s="59">
        <f t="shared" si="217"/>
        <v>3</v>
      </c>
      <c r="E480" s="59"/>
      <c r="F480" s="60" t="s">
        <v>202</v>
      </c>
      <c r="G480" s="36">
        <f t="shared" si="209"/>
        <v>1</v>
      </c>
      <c r="H480" s="36" t="str">
        <f>IFERROR(IF(--MID($F480,2*COUNTIF($G480:G480,"&gt;"&amp;0)+2,1)=H$1,H$1,""),"")</f>
        <v/>
      </c>
      <c r="I480" s="36" t="str">
        <f>IFERROR(IF(--MID($F480,2*COUNTIF($G480:H480,"&gt;"&amp;0)+2,1)=I$1,I$1,""),"")</f>
        <v/>
      </c>
      <c r="J480" s="36" t="str">
        <f>IFERROR(IF(--MID($F480,2*COUNTIF($G480:I480,"&gt;"&amp;0)+2,1)=J$1,J$1,""),"")</f>
        <v/>
      </c>
      <c r="K480" s="36" t="str">
        <f>IFERROR(IF(--MID($F480,2*COUNTIF($G480:J480,"&gt;"&amp;0)+2,1)=K$1,K$1,""),"")</f>
        <v/>
      </c>
      <c r="L480" s="36" t="str">
        <f>IFERROR(IF(--MID($F480,2*COUNTIF($G480:K480,"&gt;"&amp;0)+2,1)=L$1,L$1,""),"")</f>
        <v/>
      </c>
      <c r="M480" s="36" t="e" cm="1">
        <f t="array" ref="M480">IF(A480="","",_xlfn.XLOOKUP(D480&amp;"_"&amp;AE480,符文权重!A:A&amp;"_"&amp;符文权重!C:C,符文权重!D:D))</f>
        <v>#N/A</v>
      </c>
      <c r="N480" s="36"/>
      <c r="O480" s="36"/>
      <c r="P480" s="36"/>
      <c r="Q480" s="36"/>
      <c r="R480" s="36"/>
      <c r="S480" s="60" t="s">
        <v>192</v>
      </c>
      <c r="T480" s="60" t="s">
        <v>239</v>
      </c>
      <c r="U480" s="60" t="e">
        <f>IF(C480="","",SUBSTITUTE(SUBSTITUTE("[{global_atk,"&amp;#REF!*D480&amp;"}]",21,20),9,8))</f>
        <v>#REF!</v>
      </c>
      <c r="V480" s="61" t="str">
        <f t="shared" si="223"/>
        <v>[5505193]</v>
      </c>
      <c r="W480" s="60"/>
      <c r="Y480" s="35">
        <v>100</v>
      </c>
      <c r="AA480" s="59" t="s">
        <v>183</v>
      </c>
      <c r="AB480" s="42" t="str">
        <f t="shared" si="222"/>
        <v>召唤师召唤物每嘲讽1个敌人，召唤物最大生命值&lt;color=#54b76b&gt;+0%&lt;/color&gt;</v>
      </c>
      <c r="AC480" s="57" t="str">
        <f t="shared" si="218"/>
        <v>5505191</v>
      </c>
      <c r="AD480" s="59" t="str">
        <f t="shared" si="213"/>
        <v>[0]</v>
      </c>
      <c r="AE480" s="60">
        <v>100</v>
      </c>
      <c r="AF480" s="60"/>
      <c r="AG480" s="60">
        <v>1</v>
      </c>
      <c r="AH480" s="35">
        <v>1</v>
      </c>
      <c r="AI480" s="57">
        <f t="shared" si="224"/>
        <v>5505193</v>
      </c>
      <c r="AJ480" s="64" t="str">
        <f t="shared" si="225"/>
        <v>召唤师召唤物每嘲讽1个敌人，召唤物最大生命值&lt;color=#54b76b&gt;+%s%&lt;/color&gt;</v>
      </c>
      <c r="AK480" s="60">
        <v>0</v>
      </c>
      <c r="AL480" s="35"/>
    </row>
    <row r="481" hidden="1" customHeight="1" spans="1:38">
      <c r="A481" s="48">
        <v>5505194</v>
      </c>
      <c r="C481" s="48" t="str">
        <f t="shared" si="216"/>
        <v>5505191</v>
      </c>
      <c r="D481" s="42">
        <f t="shared" si="217"/>
        <v>4</v>
      </c>
      <c r="E481" s="42"/>
      <c r="F481" s="36" t="s">
        <v>202</v>
      </c>
      <c r="G481" s="36">
        <f t="shared" si="209"/>
        <v>1</v>
      </c>
      <c r="H481" s="36" t="str">
        <f>IFERROR(IF(--MID($F481,2*COUNTIF($G481:G481,"&gt;"&amp;0)+2,1)=H$1,H$1,""),"")</f>
        <v/>
      </c>
      <c r="I481" s="36" t="str">
        <f>IFERROR(IF(--MID($F481,2*COUNTIF($G481:H481,"&gt;"&amp;0)+2,1)=I$1,I$1,""),"")</f>
        <v/>
      </c>
      <c r="J481" s="36" t="str">
        <f>IFERROR(IF(--MID($F481,2*COUNTIF($G481:I481,"&gt;"&amp;0)+2,1)=J$1,J$1,""),"")</f>
        <v/>
      </c>
      <c r="K481" s="36" t="str">
        <f>IFERROR(IF(--MID($F481,2*COUNTIF($G481:J481,"&gt;"&amp;0)+2,1)=K$1,K$1,""),"")</f>
        <v/>
      </c>
      <c r="L481" s="36" t="str">
        <f>IFERROR(IF(--MID($F481,2*COUNTIF($G481:K481,"&gt;"&amp;0)+2,1)=L$1,L$1,""),"")</f>
        <v/>
      </c>
      <c r="M481" s="51" cm="1">
        <f t="array" ref="M481">IF($A481="","",IF(G481="","",_xlfn.XLOOKUP($D481&amp;"_"&amp;$AE481,符文权重!$A:$A&amp;"_"&amp;符文权重!$C:$C,符文权重!$D:$D)*$Y481/SUMIFS($Y:$Y,G:G,G481,$D:$D,$D481,$AE:$AE,$AE481)/SUMIF(符文权重!$A:$A,$D481,符文权重!$D:$D)))</f>
        <v>0.00344789233678123</v>
      </c>
      <c r="N481" s="51" t="str" cm="1">
        <f t="array" ref="N481">IF($A481="","",IF(H481="","",_xlfn.XLOOKUP($D481&amp;"_"&amp;$AE481,符文权重!$A:$A&amp;"_"&amp;符文权重!$C:$C,符文权重!$D:$D)*$Y481/SUMIFS($Y:$Y,H:H,H481,$D:$D,$D481,$AE:$AE,$AE481)/SUMIF(符文权重!$A:$A,$D481,符文权重!$D:$D)))</f>
        <v/>
      </c>
      <c r="O481" s="51" t="str" cm="1">
        <f t="array" ref="O481">IF($A481="","",IF(I481="","",_xlfn.XLOOKUP($D481&amp;"_"&amp;$AE481,符文权重!$A:$A&amp;"_"&amp;符文权重!$C:$C,符文权重!$D:$D)*$Y481/SUMIFS($Y:$Y,I:I,I481,$D:$D,$D481,$AE:$AE,$AE481)/SUMIF(符文权重!$A:$A,$D481,符文权重!$D:$D)))</f>
        <v/>
      </c>
      <c r="P481" s="51" t="str" cm="1">
        <f t="array" ref="P481">IF($A481="","",IF(J481="","",_xlfn.XLOOKUP($D481&amp;"_"&amp;$AE481,符文权重!$A:$A&amp;"_"&amp;符文权重!$C:$C,符文权重!$D:$D)*$Y481/SUMIFS($Y:$Y,J:J,J481,$D:$D,$D481,$AE:$AE,$AE481)/SUMIF(符文权重!$A:$A,$D481,符文权重!$D:$D)))</f>
        <v/>
      </c>
      <c r="Q481" s="51" t="str" cm="1">
        <f t="array" ref="Q481">IF($A481="","",IF(K481="","",_xlfn.XLOOKUP($D481&amp;"_"&amp;$AE481,符文权重!$A:$A&amp;"_"&amp;符文权重!$C:$C,符文权重!$D:$D)*$Y481/SUMIFS($Y:$Y,K:K,K481,$D:$D,$D481,$AE:$AE,$AE481)/SUMIF(符文权重!$A:$A,$D481,符文权重!$D:$D)))</f>
        <v/>
      </c>
      <c r="R481" s="51" t="str" cm="1">
        <f t="array" ref="R481">IF($A481="","",IF(L481="","",_xlfn.XLOOKUP($D481&amp;"_"&amp;$AE481,符文权重!$A:$A&amp;"_"&amp;符文权重!$C:$C,符文权重!$D:$D)*$Y481/SUMIFS($Y:$Y,L:L,L481,$D:$D,$D481,$AE:$AE,$AE481)/SUMIF(符文权重!$A:$A,$D481,符文权重!$D:$D)))</f>
        <v/>
      </c>
      <c r="S481" s="36" t="s">
        <v>192</v>
      </c>
      <c r="T481" s="36" t="s">
        <v>239</v>
      </c>
      <c r="U481" s="36" t="e">
        <f>IF(C481="","",SUBSTITUTE(SUBSTITUTE("[{global_atk,"&amp;#REF!*D481&amp;"}]",21,20),9,8))</f>
        <v>#REF!</v>
      </c>
      <c r="V481" s="52" t="str">
        <f t="shared" si="223"/>
        <v>[5505194]</v>
      </c>
      <c r="Y481" s="35">
        <v>4</v>
      </c>
      <c r="AA481" s="42" t="s">
        <v>185</v>
      </c>
      <c r="AB481" s="42" t="str">
        <f t="shared" si="222"/>
        <v>召唤师召唤物每嘲讽1个敌人，召唤物最大生命值&lt;color=#54b76b&gt;+4%&lt;/color&gt;</v>
      </c>
      <c r="AC481" s="48" t="str">
        <f t="shared" si="218"/>
        <v>5505191</v>
      </c>
      <c r="AD481" s="42" t="str">
        <f t="shared" si="213"/>
        <v>[4]</v>
      </c>
      <c r="AE481" s="36">
        <v>3</v>
      </c>
      <c r="AF481" s="36"/>
      <c r="AG481" s="36">
        <v>0</v>
      </c>
      <c r="AH481" s="35">
        <v>1</v>
      </c>
      <c r="AI481" s="48">
        <f t="shared" si="224"/>
        <v>5505194</v>
      </c>
      <c r="AJ481" s="53" t="str">
        <f t="shared" si="225"/>
        <v>召唤师召唤物每嘲讽1个敌人，召唤物最大生命值&lt;color=#54b76b&gt;+%s%&lt;/color&gt;</v>
      </c>
      <c r="AK481" s="36">
        <v>4</v>
      </c>
      <c r="AL481" s="35">
        <v>5</v>
      </c>
    </row>
    <row r="482" hidden="1" customHeight="1" spans="1:38">
      <c r="A482" s="48">
        <v>5505195</v>
      </c>
      <c r="C482" s="48" t="str">
        <f t="shared" si="216"/>
        <v>5505191</v>
      </c>
      <c r="D482" s="42">
        <f t="shared" si="217"/>
        <v>5</v>
      </c>
      <c r="E482" s="42"/>
      <c r="F482" s="36" t="s">
        <v>202</v>
      </c>
      <c r="G482" s="36">
        <f t="shared" si="209"/>
        <v>1</v>
      </c>
      <c r="H482" s="36" t="str">
        <f>IFERROR(IF(--MID($F482,2*COUNTIF($G482:G482,"&gt;"&amp;0)+2,1)=H$1,H$1,""),"")</f>
        <v/>
      </c>
      <c r="I482" s="36" t="str">
        <f>IFERROR(IF(--MID($F482,2*COUNTIF($G482:H482,"&gt;"&amp;0)+2,1)=I$1,I$1,""),"")</f>
        <v/>
      </c>
      <c r="J482" s="36" t="str">
        <f>IFERROR(IF(--MID($F482,2*COUNTIF($G482:I482,"&gt;"&amp;0)+2,1)=J$1,J$1,""),"")</f>
        <v/>
      </c>
      <c r="K482" s="36" t="str">
        <f>IFERROR(IF(--MID($F482,2*COUNTIF($G482:J482,"&gt;"&amp;0)+2,1)=K$1,K$1,""),"")</f>
        <v/>
      </c>
      <c r="L482" s="36" t="str">
        <f>IFERROR(IF(--MID($F482,2*COUNTIF($G482:K482,"&gt;"&amp;0)+2,1)=L$1,L$1,""),"")</f>
        <v/>
      </c>
      <c r="M482" s="51" cm="1">
        <f t="array" ref="M482">IF($A482="","",IF(G482="","",_xlfn.XLOOKUP($D482&amp;"_"&amp;$AE482,符文权重!$A:$A&amp;"_"&amp;符文权重!$C:$C,符文权重!$D:$D)*$Y482/SUMIFS($Y:$Y,G:G,G482,$D:$D,$D482,$AE:$AE,$AE482)/SUMIF(符文权重!$A:$A,$D482,符文权重!$D:$D)))</f>
        <v>0.005</v>
      </c>
      <c r="N482" s="51" t="str" cm="1">
        <f t="array" ref="N482">IF($A482="","",IF(H482="","",_xlfn.XLOOKUP($D482&amp;"_"&amp;$AE482,符文权重!$A:$A&amp;"_"&amp;符文权重!$C:$C,符文权重!$D:$D)*$Y482/SUMIFS($Y:$Y,H:H,H482,$D:$D,$D482,$AE:$AE,$AE482)/SUMIF(符文权重!$A:$A,$D482,符文权重!$D:$D)))</f>
        <v/>
      </c>
      <c r="O482" s="51" t="str" cm="1">
        <f t="array" ref="O482">IF($A482="","",IF(I482="","",_xlfn.XLOOKUP($D482&amp;"_"&amp;$AE482,符文权重!$A:$A&amp;"_"&amp;符文权重!$C:$C,符文权重!$D:$D)*$Y482/SUMIFS($Y:$Y,I:I,I482,$D:$D,$D482,$AE:$AE,$AE482)/SUMIF(符文权重!$A:$A,$D482,符文权重!$D:$D)))</f>
        <v/>
      </c>
      <c r="P482" s="51" t="str" cm="1">
        <f t="array" ref="P482">IF($A482="","",IF(J482="","",_xlfn.XLOOKUP($D482&amp;"_"&amp;$AE482,符文权重!$A:$A&amp;"_"&amp;符文权重!$C:$C,符文权重!$D:$D)*$Y482/SUMIFS($Y:$Y,J:J,J482,$D:$D,$D482,$AE:$AE,$AE482)/SUMIF(符文权重!$A:$A,$D482,符文权重!$D:$D)))</f>
        <v/>
      </c>
      <c r="Q482" s="51" t="str" cm="1">
        <f t="array" ref="Q482">IF($A482="","",IF(K482="","",_xlfn.XLOOKUP($D482&amp;"_"&amp;$AE482,符文权重!$A:$A&amp;"_"&amp;符文权重!$C:$C,符文权重!$D:$D)*$Y482/SUMIFS($Y:$Y,K:K,K482,$D:$D,$D482,$AE:$AE,$AE482)/SUMIF(符文权重!$A:$A,$D482,符文权重!$D:$D)))</f>
        <v/>
      </c>
      <c r="R482" s="51" t="str" cm="1">
        <f t="array" ref="R482">IF($A482="","",IF(L482="","",_xlfn.XLOOKUP($D482&amp;"_"&amp;$AE482,符文权重!$A:$A&amp;"_"&amp;符文权重!$C:$C,符文权重!$D:$D)*$Y482/SUMIFS($Y:$Y,L:L,L482,$D:$D,$D482,$AE:$AE,$AE482)/SUMIF(符文权重!$A:$A,$D482,符文权重!$D:$D)))</f>
        <v/>
      </c>
      <c r="S482" s="36" t="s">
        <v>192</v>
      </c>
      <c r="T482" s="36" t="s">
        <v>239</v>
      </c>
      <c r="U482" s="36" t="e">
        <f>IF(C482="","",SUBSTITUTE(SUBSTITUTE("[{global_atk,"&amp;#REF!*D482&amp;"}]",21,20),9,8))</f>
        <v>#REF!</v>
      </c>
      <c r="V482" s="52" t="str">
        <f t="shared" si="223"/>
        <v>[5505195]</v>
      </c>
      <c r="Y482" s="35">
        <v>100</v>
      </c>
      <c r="AA482" s="42" t="s">
        <v>187</v>
      </c>
      <c r="AB482" s="42" t="str">
        <f t="shared" si="222"/>
        <v>召唤师召唤物每嘲讽1个敌人，召唤物最大生命值&lt;color=#54b76b&gt;+6%&lt;/color&gt;</v>
      </c>
      <c r="AC482" s="48" t="str">
        <f t="shared" si="218"/>
        <v>5505191</v>
      </c>
      <c r="AD482" s="42" t="str">
        <f t="shared" si="213"/>
        <v>[6]</v>
      </c>
      <c r="AE482" s="36">
        <v>5</v>
      </c>
      <c r="AF482" s="36"/>
      <c r="AG482" s="36">
        <v>0</v>
      </c>
      <c r="AH482" s="35">
        <v>1</v>
      </c>
      <c r="AI482" s="48">
        <f t="shared" si="224"/>
        <v>5505195</v>
      </c>
      <c r="AJ482" s="53" t="str">
        <f t="shared" si="225"/>
        <v>召唤师召唤物每嘲讽1个敌人，召唤物最大生命值&lt;color=#54b76b&gt;+%s%&lt;/color&gt;</v>
      </c>
      <c r="AK482" s="36">
        <v>6</v>
      </c>
      <c r="AL482" s="35">
        <v>5</v>
      </c>
    </row>
    <row r="483" hidden="1" customHeight="1" spans="1:38">
      <c r="A483" s="48">
        <v>5505196</v>
      </c>
      <c r="C483" s="48" t="str">
        <f t="shared" si="216"/>
        <v>5505191</v>
      </c>
      <c r="D483" s="42">
        <f t="shared" si="217"/>
        <v>6</v>
      </c>
      <c r="E483" s="42"/>
      <c r="F483" s="36" t="s">
        <v>202</v>
      </c>
      <c r="G483" s="36">
        <f t="shared" si="209"/>
        <v>1</v>
      </c>
      <c r="H483" s="36" t="str">
        <f>IFERROR(IF(--MID($F483,2*COUNTIF($G483:G483,"&gt;"&amp;0)+2,1)=H$1,H$1,""),"")</f>
        <v/>
      </c>
      <c r="I483" s="36" t="str">
        <f>IFERROR(IF(--MID($F483,2*COUNTIF($G483:H483,"&gt;"&amp;0)+2,1)=I$1,I$1,""),"")</f>
        <v/>
      </c>
      <c r="J483" s="36" t="str">
        <f>IFERROR(IF(--MID($F483,2*COUNTIF($G483:I483,"&gt;"&amp;0)+2,1)=J$1,J$1,""),"")</f>
        <v/>
      </c>
      <c r="K483" s="36" t="str">
        <f>IFERROR(IF(--MID($F483,2*COUNTIF($G483:J483,"&gt;"&amp;0)+2,1)=K$1,K$1,""),"")</f>
        <v/>
      </c>
      <c r="L483" s="36" t="str">
        <f>IFERROR(IF(--MID($F483,2*COUNTIF($G483:K483,"&gt;"&amp;0)+2,1)=L$1,L$1,""),"")</f>
        <v/>
      </c>
      <c r="M483" s="51" cm="1">
        <f t="array" ref="M483">IF($A483="","",IF(G483="","",_xlfn.XLOOKUP($D483&amp;"_"&amp;$AE483,符文权重!$A:$A&amp;"_"&amp;符文权重!$C:$C,符文权重!$D:$D)*$Y483/SUMIFS($Y:$Y,G:G,G483,$D:$D,$D483,$AE:$AE,$AE483)/SUMIF(符文权重!$A:$A,$D483,符文权重!$D:$D)))</f>
        <v>0.005</v>
      </c>
      <c r="N483" s="51" t="str" cm="1">
        <f t="array" ref="N483">IF($A483="","",IF(H483="","",_xlfn.XLOOKUP($D483&amp;"_"&amp;$AE483,符文权重!$A:$A&amp;"_"&amp;符文权重!$C:$C,符文权重!$D:$D)*$Y483/SUMIFS($Y:$Y,H:H,H483,$D:$D,$D483,$AE:$AE,$AE483)/SUMIF(符文权重!$A:$A,$D483,符文权重!$D:$D)))</f>
        <v/>
      </c>
      <c r="O483" s="51" t="str" cm="1">
        <f t="array" ref="O483">IF($A483="","",IF(I483="","",_xlfn.XLOOKUP($D483&amp;"_"&amp;$AE483,符文权重!$A:$A&amp;"_"&amp;符文权重!$C:$C,符文权重!$D:$D)*$Y483/SUMIFS($Y:$Y,I:I,I483,$D:$D,$D483,$AE:$AE,$AE483)/SUMIF(符文权重!$A:$A,$D483,符文权重!$D:$D)))</f>
        <v/>
      </c>
      <c r="P483" s="51" t="str" cm="1">
        <f t="array" ref="P483">IF($A483="","",IF(J483="","",_xlfn.XLOOKUP($D483&amp;"_"&amp;$AE483,符文权重!$A:$A&amp;"_"&amp;符文权重!$C:$C,符文权重!$D:$D)*$Y483/SUMIFS($Y:$Y,J:J,J483,$D:$D,$D483,$AE:$AE,$AE483)/SUMIF(符文权重!$A:$A,$D483,符文权重!$D:$D)))</f>
        <v/>
      </c>
      <c r="Q483" s="51" t="str" cm="1">
        <f t="array" ref="Q483">IF($A483="","",IF(K483="","",_xlfn.XLOOKUP($D483&amp;"_"&amp;$AE483,符文权重!$A:$A&amp;"_"&amp;符文权重!$C:$C,符文权重!$D:$D)*$Y483/SUMIFS($Y:$Y,K:K,K483,$D:$D,$D483,$AE:$AE,$AE483)/SUMIF(符文权重!$A:$A,$D483,符文权重!$D:$D)))</f>
        <v/>
      </c>
      <c r="R483" s="51" t="str" cm="1">
        <f t="array" ref="R483">IF($A483="","",IF(L483="","",_xlfn.XLOOKUP($D483&amp;"_"&amp;$AE483,符文权重!$A:$A&amp;"_"&amp;符文权重!$C:$C,符文权重!$D:$D)*$Y483/SUMIFS($Y:$Y,L:L,L483,$D:$D,$D483,$AE:$AE,$AE483)/SUMIF(符文权重!$A:$A,$D483,符文权重!$D:$D)))</f>
        <v/>
      </c>
      <c r="S483" s="36" t="s">
        <v>192</v>
      </c>
      <c r="T483" s="36" t="s">
        <v>239</v>
      </c>
      <c r="U483" s="36" t="e">
        <f>IF(C483="","",SUBSTITUTE(SUBSTITUTE("[{global_atk,"&amp;#REF!*D483&amp;"}]",21,20),9,8))</f>
        <v>#REF!</v>
      </c>
      <c r="V483" s="52" t="str">
        <f t="shared" si="223"/>
        <v>[5505196]</v>
      </c>
      <c r="Y483" s="35">
        <v>100</v>
      </c>
      <c r="AA483" s="42" t="s">
        <v>189</v>
      </c>
      <c r="AB483" s="42" t="str">
        <f t="shared" si="222"/>
        <v>召唤师召唤物每嘲讽1个敌人，召唤物最大生命值&lt;color=#54b76b&gt;+8%&lt;/color&gt;</v>
      </c>
      <c r="AC483" s="48" t="str">
        <f t="shared" si="218"/>
        <v>5505191</v>
      </c>
      <c r="AD483" s="42" t="str">
        <f t="shared" si="213"/>
        <v>[8]</v>
      </c>
      <c r="AE483" s="36">
        <v>5</v>
      </c>
      <c r="AF483" s="36"/>
      <c r="AG483" s="36">
        <v>0</v>
      </c>
      <c r="AH483" s="35">
        <v>1</v>
      </c>
      <c r="AI483" s="48">
        <f t="shared" si="224"/>
        <v>5505196</v>
      </c>
      <c r="AJ483" s="53" t="str">
        <f t="shared" si="225"/>
        <v>召唤师召唤物每嘲讽1个敌人，召唤物最大生命值&lt;color=#54b76b&gt;+%s%&lt;/color&gt;</v>
      </c>
      <c r="AK483" s="36">
        <v>8</v>
      </c>
      <c r="AL483" s="35">
        <v>5</v>
      </c>
    </row>
    <row r="484" hidden="1" customHeight="1" spans="1:38">
      <c r="A484" s="48">
        <v>5505197</v>
      </c>
      <c r="C484" s="48" t="str">
        <f t="shared" si="216"/>
        <v>5505191</v>
      </c>
      <c r="D484" s="42">
        <f t="shared" si="217"/>
        <v>7</v>
      </c>
      <c r="E484" s="42"/>
      <c r="F484" s="36" t="s">
        <v>202</v>
      </c>
      <c r="G484" s="36">
        <f t="shared" si="209"/>
        <v>1</v>
      </c>
      <c r="H484" s="36" t="str">
        <f>IFERROR(IF(--MID($F484,2*COUNTIF($G484:G484,"&gt;"&amp;0)+2,1)=H$1,H$1,""),"")</f>
        <v/>
      </c>
      <c r="I484" s="36" t="str">
        <f>IFERROR(IF(--MID($F484,2*COUNTIF($G484:H484,"&gt;"&amp;0)+2,1)=I$1,I$1,""),"")</f>
        <v/>
      </c>
      <c r="J484" s="36" t="str">
        <f>IFERROR(IF(--MID($F484,2*COUNTIF($G484:I484,"&gt;"&amp;0)+2,1)=J$1,J$1,""),"")</f>
        <v/>
      </c>
      <c r="K484" s="36" t="str">
        <f>IFERROR(IF(--MID($F484,2*COUNTIF($G484:J484,"&gt;"&amp;0)+2,1)=K$1,K$1,""),"")</f>
        <v/>
      </c>
      <c r="L484" s="36" t="str">
        <f>IFERROR(IF(--MID($F484,2*COUNTIF($G484:K484,"&gt;"&amp;0)+2,1)=L$1,L$1,""),"")</f>
        <v/>
      </c>
      <c r="M484" s="51" cm="1">
        <f t="array" ref="M484">IF($A484="","",IF(G484="","",_xlfn.XLOOKUP($D484&amp;"_"&amp;$AE484,符文权重!$A:$A&amp;"_"&amp;符文权重!$C:$C,符文权重!$D:$D)*$Y484/SUMIFS($Y:$Y,G:G,G484,$D:$D,$D484,$AE:$AE,$AE484)/SUMIF(符文权重!$A:$A,$D484,符文权重!$D:$D)))</f>
        <v>0.005</v>
      </c>
      <c r="N484" s="51" t="str" cm="1">
        <f t="array" ref="N484">IF($A484="","",IF(H484="","",_xlfn.XLOOKUP($D484&amp;"_"&amp;$AE484,符文权重!$A:$A&amp;"_"&amp;符文权重!$C:$C,符文权重!$D:$D)*$Y484/SUMIFS($Y:$Y,H:H,H484,$D:$D,$D484,$AE:$AE,$AE484)/SUMIF(符文权重!$A:$A,$D484,符文权重!$D:$D)))</f>
        <v/>
      </c>
      <c r="O484" s="51" t="str" cm="1">
        <f t="array" ref="O484">IF($A484="","",IF(I484="","",_xlfn.XLOOKUP($D484&amp;"_"&amp;$AE484,符文权重!$A:$A&amp;"_"&amp;符文权重!$C:$C,符文权重!$D:$D)*$Y484/SUMIFS($Y:$Y,I:I,I484,$D:$D,$D484,$AE:$AE,$AE484)/SUMIF(符文权重!$A:$A,$D484,符文权重!$D:$D)))</f>
        <v/>
      </c>
      <c r="P484" s="51" t="str" cm="1">
        <f t="array" ref="P484">IF($A484="","",IF(J484="","",_xlfn.XLOOKUP($D484&amp;"_"&amp;$AE484,符文权重!$A:$A&amp;"_"&amp;符文权重!$C:$C,符文权重!$D:$D)*$Y484/SUMIFS($Y:$Y,J:J,J484,$D:$D,$D484,$AE:$AE,$AE484)/SUMIF(符文权重!$A:$A,$D484,符文权重!$D:$D)))</f>
        <v/>
      </c>
      <c r="Q484" s="51" t="str" cm="1">
        <f t="array" ref="Q484">IF($A484="","",IF(K484="","",_xlfn.XLOOKUP($D484&amp;"_"&amp;$AE484,符文权重!$A:$A&amp;"_"&amp;符文权重!$C:$C,符文权重!$D:$D)*$Y484/SUMIFS($Y:$Y,K:K,K484,$D:$D,$D484,$AE:$AE,$AE484)/SUMIF(符文权重!$A:$A,$D484,符文权重!$D:$D)))</f>
        <v/>
      </c>
      <c r="R484" s="51" t="str" cm="1">
        <f t="array" ref="R484">IF($A484="","",IF(L484="","",_xlfn.XLOOKUP($D484&amp;"_"&amp;$AE484,符文权重!$A:$A&amp;"_"&amp;符文权重!$C:$C,符文权重!$D:$D)*$Y484/SUMIFS($Y:$Y,L:L,L484,$D:$D,$D484,$AE:$AE,$AE484)/SUMIF(符文权重!$A:$A,$D484,符文权重!$D:$D)))</f>
        <v/>
      </c>
      <c r="S484" s="36" t="s">
        <v>192</v>
      </c>
      <c r="T484" s="36" t="s">
        <v>239</v>
      </c>
      <c r="U484" s="36" t="e">
        <f>IF(C484="","",SUBSTITUTE(SUBSTITUTE("[{global_atk,"&amp;#REF!*D484&amp;"}]",21,20),9,8))</f>
        <v>#REF!</v>
      </c>
      <c r="V484" s="52" t="str">
        <f t="shared" si="223"/>
        <v>[5505197]</v>
      </c>
      <c r="Y484" s="35">
        <v>100</v>
      </c>
      <c r="AA484" s="42" t="s">
        <v>191</v>
      </c>
      <c r="AB484" s="42" t="str">
        <f t="shared" si="222"/>
        <v>召唤师召唤物每嘲讽1个敌人，召唤物最大生命值&lt;color=#54b76b&gt;+12%&lt;/color&gt;</v>
      </c>
      <c r="AC484" s="48" t="str">
        <f t="shared" si="218"/>
        <v>5505191</v>
      </c>
      <c r="AD484" s="42" t="str">
        <f t="shared" si="213"/>
        <v>[12]</v>
      </c>
      <c r="AE484" s="36">
        <v>5</v>
      </c>
      <c r="AF484" s="36"/>
      <c r="AG484" s="36">
        <v>0</v>
      </c>
      <c r="AH484" s="35">
        <v>1</v>
      </c>
      <c r="AI484" s="48">
        <f t="shared" si="224"/>
        <v>5505197</v>
      </c>
      <c r="AJ484" s="53" t="str">
        <f t="shared" si="225"/>
        <v>召唤师召唤物每嘲讽1个敌人，召唤物最大生命值&lt;color=#54b76b&gt;+%s%&lt;/color&gt;</v>
      </c>
      <c r="AK484" s="36">
        <v>12</v>
      </c>
      <c r="AL484" s="35">
        <v>5</v>
      </c>
    </row>
    <row r="485" s="25" customFormat="1" hidden="1" customHeight="1" spans="1:38">
      <c r="A485" s="48" t="s">
        <v>178</v>
      </c>
      <c r="B485" s="49" t="s">
        <v>555</v>
      </c>
      <c r="C485" s="48" t="str">
        <f t="shared" si="216"/>
        <v/>
      </c>
      <c r="D485" s="42" t="str">
        <f t="shared" si="217"/>
        <v/>
      </c>
      <c r="E485" s="42"/>
      <c r="F485" s="36"/>
      <c r="G485" s="36" t="str">
        <f t="shared" si="209"/>
        <v/>
      </c>
      <c r="H485" s="36" t="str">
        <f>IFERROR(IF(--MID($F485,2*COUNTIF($G485:G485,"&gt;"&amp;0)+2,1)=H$1,H$1,""),"")</f>
        <v/>
      </c>
      <c r="I485" s="36" t="str">
        <f>IFERROR(IF(--MID($F485,2*COUNTIF($G485:H485,"&gt;"&amp;0)+2,1)=I$1,I$1,""),"")</f>
        <v/>
      </c>
      <c r="J485" s="36" t="str">
        <f>IFERROR(IF(--MID($F485,2*COUNTIF($G485:I485,"&gt;"&amp;0)+2,1)=J$1,J$1,""),"")</f>
        <v/>
      </c>
      <c r="K485" s="36" t="str">
        <f>IFERROR(IF(--MID($F485,2*COUNTIF($G485:J485,"&gt;"&amp;0)+2,1)=K$1,K$1,""),"")</f>
        <v/>
      </c>
      <c r="L485" s="36" t="str">
        <f>IFERROR(IF(--MID($F485,2*COUNTIF($G485:K485,"&gt;"&amp;0)+2,1)=L$1,L$1,""),"")</f>
        <v/>
      </c>
      <c r="M485" s="51" t="str" cm="1">
        <f t="array" ref="M485">IF($A485="","",IF(G485="","",_xlfn.XLOOKUP($D485&amp;"_"&amp;$AE485,符文权重!$A:$A&amp;"_"&amp;符文权重!$C:$C,符文权重!$D:$D)*$Y485/SUMIFS($Y:$Y,G:G,G485,$D:$D,$D485,$AE:$AE,$AE485)/SUMIF(符文权重!$A:$A,$D485,符文权重!$D:$D)))</f>
        <v/>
      </c>
      <c r="N485" s="36" t="str" cm="1">
        <f t="array" ref="N485">IF($A485="","",IF(H485="","",_xlfn.XLOOKUP($D485&amp;"_"&amp;$AE485,符文权重!$A:$A&amp;"_"&amp;符文权重!$C:$C,符文权重!$D:$D)*$Y485/SUMIFS($Y:$Y,H:H,H485,$D:$D,$D$6,$AE:$AE,$AE$6)))</f>
        <v/>
      </c>
      <c r="O485" s="36" t="str" cm="1">
        <f t="array" ref="O485">IF($A485="","",IF(I485="","",_xlfn.XLOOKUP($D485&amp;"_"&amp;$AE485,符文权重!$A:$A&amp;"_"&amp;符文权重!$C:$C,符文权重!$D:$D)*$Y485/SUMIFS($Y:$Y,I:I,I485,$D:$D,$D$6,$AE:$AE,$AE$6)))</f>
        <v/>
      </c>
      <c r="P485" s="36" t="str" cm="1">
        <f t="array" ref="P485">IF($A485="","",IF(J485="","",_xlfn.XLOOKUP($D485&amp;"_"&amp;$AE485,符文权重!$A:$A&amp;"_"&amp;符文权重!$C:$C,符文权重!$D:$D)*$Y485/SUMIFS($Y:$Y,J:J,J485,$D:$D,$D$6,$AE:$AE,$AE$6)))</f>
        <v/>
      </c>
      <c r="Q485" s="36" t="str" cm="1">
        <f t="array" ref="Q485">IF($A485="","",IF(K485="","",_xlfn.XLOOKUP($D485&amp;"_"&amp;$AE485,符文权重!$A:$A&amp;"_"&amp;符文权重!$C:$C,符文权重!$D:$D)*$Y485/SUMIFS($Y:$Y,K:K,K485,$D:$D,$D$6,$AE:$AE,$AE$6)))</f>
        <v/>
      </c>
      <c r="R485" s="36" t="str" cm="1">
        <f t="array" ref="R485">IF($A485="","",IF(L485="","",_xlfn.XLOOKUP($D485&amp;"_"&amp;$AE485,符文权重!$A:$A&amp;"_"&amp;符文权重!$C:$C,符文权重!$D:$D)*$Y485/SUMIFS($Y:$Y,L:L,L485,$D:$D,$D$6,$AE:$AE,$AE$6)))</f>
        <v/>
      </c>
      <c r="S485" s="36"/>
      <c r="T485" s="36"/>
      <c r="U485" s="36"/>
      <c r="W485" s="41"/>
      <c r="X485" s="35"/>
      <c r="Y485" s="35"/>
      <c r="Z485" s="35"/>
      <c r="AA485" s="42" t="s">
        <v>178</v>
      </c>
      <c r="AB485" s="42" t="str">
        <f t="shared" si="222"/>
        <v/>
      </c>
      <c r="AC485" s="48" t="str">
        <f t="shared" si="218"/>
        <v/>
      </c>
      <c r="AD485" s="42" t="str">
        <f t="shared" si="213"/>
        <v/>
      </c>
      <c r="AE485" s="36"/>
      <c r="AF485" s="36"/>
      <c r="AG485" s="36"/>
      <c r="AH485" s="35" t="s">
        <v>178</v>
      </c>
      <c r="AI485" s="33"/>
      <c r="AJ485" s="74"/>
      <c r="AK485" s="36"/>
      <c r="AL485" s="35"/>
    </row>
    <row r="486" s="28" customFormat="1" hidden="1" customHeight="1" spans="1:38">
      <c r="A486" s="57">
        <v>5506011</v>
      </c>
      <c r="B486" s="60" t="s">
        <v>556</v>
      </c>
      <c r="C486" s="57" t="str">
        <f t="shared" si="216"/>
        <v>5506011</v>
      </c>
      <c r="D486" s="59">
        <f t="shared" si="217"/>
        <v>1</v>
      </c>
      <c r="E486" s="59"/>
      <c r="F486" s="60" t="s">
        <v>557</v>
      </c>
      <c r="G486" s="36" t="str">
        <f t="shared" si="209"/>
        <v/>
      </c>
      <c r="H486" s="36" t="str">
        <f>IFERROR(IF(--MID($F486,2*COUNTIF($G486:G486,"&gt;"&amp;0)+2,1)=H$1,H$1,""),"")</f>
        <v/>
      </c>
      <c r="I486" s="36">
        <f>IFERROR(IF(--MID($F486,2*COUNTIF($G486:H486,"&gt;"&amp;0)+2,1)=I$1,I$1,""),"")</f>
        <v>3</v>
      </c>
      <c r="J486" s="36" t="str">
        <f>IFERROR(IF(--MID($F486,2*COUNTIF($G486:I486,"&gt;"&amp;0)+2,1)=J$1,J$1,""),"")</f>
        <v/>
      </c>
      <c r="K486" s="36">
        <f>IFERROR(IF(--MID($F486,2*COUNTIF($G486:J486,"&gt;"&amp;0)+2,1)=K$1,K$1,""),"")</f>
        <v>5</v>
      </c>
      <c r="L486" s="36" t="str">
        <f>IFERROR(IF(--MID($F486,2*COUNTIF($G486:K486,"&gt;"&amp;0)+2,1)=L$1,L$1,""),"")</f>
        <v/>
      </c>
      <c r="M486" s="36" t="e" cm="1">
        <f t="array" ref="M486">IF(A486="","",_xlfn.XLOOKUP(D486&amp;"_"&amp;AE486,符文权重!A:A&amp;"_"&amp;符文权重!C:C,符文权重!D:D))</f>
        <v>#N/A</v>
      </c>
      <c r="N486" s="36"/>
      <c r="O486" s="36"/>
      <c r="P486" s="36"/>
      <c r="Q486" s="36"/>
      <c r="R486" s="36"/>
      <c r="S486" s="60" t="s">
        <v>175</v>
      </c>
      <c r="T486" s="60"/>
      <c r="U486" s="60" t="e">
        <f>IF(C486="","",SUBSTITUTE(SUBSTITUTE("[{global_atk,"&amp;#REF!*D486&amp;"}]",21,20),9,8))</f>
        <v>#REF!</v>
      </c>
      <c r="V486" s="61" t="str">
        <f t="shared" ref="V486:V492" si="226">"["&amp;A486&amp;"]"</f>
        <v>[5506011]</v>
      </c>
      <c r="W486" s="60"/>
      <c r="Y486" s="35">
        <v>100</v>
      </c>
      <c r="AA486" s="59" t="s">
        <v>177</v>
      </c>
      <c r="AB486" s="42" t="str">
        <f t="shared" si="222"/>
        <v>攻击满血怪物时，暴击率&lt;color=#54b76b&gt;+0%&lt;/color&gt;</v>
      </c>
      <c r="AC486" s="57" t="str">
        <f t="shared" si="218"/>
        <v>5506011</v>
      </c>
      <c r="AD486" s="59" t="str">
        <f t="shared" si="213"/>
        <v>[0]</v>
      </c>
      <c r="AE486" s="60">
        <v>100</v>
      </c>
      <c r="AF486" s="60"/>
      <c r="AG486" s="60">
        <v>1</v>
      </c>
      <c r="AH486" s="28" t="s">
        <v>178</v>
      </c>
      <c r="AI486" s="62">
        <v>5506011</v>
      </c>
      <c r="AJ486" s="70" t="s">
        <v>556</v>
      </c>
      <c r="AK486" s="60">
        <v>0</v>
      </c>
      <c r="AL486" s="35"/>
    </row>
    <row r="487" s="28" customFormat="1" hidden="1" customHeight="1" spans="1:38">
      <c r="A487" s="57">
        <v>5506012</v>
      </c>
      <c r="B487" s="75"/>
      <c r="C487" s="57" t="str">
        <f t="shared" si="216"/>
        <v>5506011</v>
      </c>
      <c r="D487" s="59">
        <f t="shared" si="217"/>
        <v>2</v>
      </c>
      <c r="E487" s="59"/>
      <c r="F487" s="60" t="s">
        <v>557</v>
      </c>
      <c r="G487" s="36" t="str">
        <f t="shared" si="209"/>
        <v/>
      </c>
      <c r="H487" s="36" t="str">
        <f>IFERROR(IF(--MID($F487,2*COUNTIF($G487:G487,"&gt;"&amp;0)+2,1)=H$1,H$1,""),"")</f>
        <v/>
      </c>
      <c r="I487" s="36">
        <f>IFERROR(IF(--MID($F487,2*COUNTIF($G487:H487,"&gt;"&amp;0)+2,1)=I$1,I$1,""),"")</f>
        <v>3</v>
      </c>
      <c r="J487" s="36" t="str">
        <f>IFERROR(IF(--MID($F487,2*COUNTIF($G487:I487,"&gt;"&amp;0)+2,1)=J$1,J$1,""),"")</f>
        <v/>
      </c>
      <c r="K487" s="36">
        <f>IFERROR(IF(--MID($F487,2*COUNTIF($G487:J487,"&gt;"&amp;0)+2,1)=K$1,K$1,""),"")</f>
        <v>5</v>
      </c>
      <c r="L487" s="36" t="str">
        <f>IFERROR(IF(--MID($F487,2*COUNTIF($G487:K487,"&gt;"&amp;0)+2,1)=L$1,L$1,""),"")</f>
        <v/>
      </c>
      <c r="M487" s="36" t="e" cm="1">
        <f t="array" ref="M487">IF(A487="","",_xlfn.XLOOKUP(D487&amp;"_"&amp;AE487,符文权重!A:A&amp;"_"&amp;符文权重!C:C,符文权重!D:D))</f>
        <v>#N/A</v>
      </c>
      <c r="N487" s="36"/>
      <c r="O487" s="36"/>
      <c r="P487" s="36"/>
      <c r="Q487" s="36"/>
      <c r="R487" s="36"/>
      <c r="S487" s="60" t="s">
        <v>175</v>
      </c>
      <c r="T487" s="60"/>
      <c r="U487" s="60" t="e">
        <f>IF(C487="","",SUBSTITUTE(SUBSTITUTE("[{global_atk,"&amp;#REF!*D487&amp;"}]",21,20),9,8))</f>
        <v>#REF!</v>
      </c>
      <c r="V487" s="61" t="str">
        <f t="shared" si="226"/>
        <v>[5506012]</v>
      </c>
      <c r="W487" s="60"/>
      <c r="Y487" s="35">
        <v>100</v>
      </c>
      <c r="AA487" s="59" t="s">
        <v>181</v>
      </c>
      <c r="AB487" s="42" t="str">
        <f t="shared" si="222"/>
        <v>攻击满血怪物时，暴击率&lt;color=#54b76b&gt;+0%&lt;/color&gt;</v>
      </c>
      <c r="AC487" s="57" t="str">
        <f t="shared" si="218"/>
        <v>5506011</v>
      </c>
      <c r="AD487" s="59" t="str">
        <f t="shared" si="213"/>
        <v>[0]</v>
      </c>
      <c r="AE487" s="60">
        <v>100</v>
      </c>
      <c r="AF487" s="60"/>
      <c r="AG487" s="60">
        <v>1</v>
      </c>
      <c r="AH487" s="28" t="s">
        <v>178</v>
      </c>
      <c r="AI487" s="57">
        <f t="shared" ref="AI487:AI492" si="227">AI486+1</f>
        <v>5506012</v>
      </c>
      <c r="AJ487" s="64" t="str">
        <f t="shared" ref="AJ487:AJ492" si="228">AJ486</f>
        <v>攻击满血怪物时，暴击率&lt;color=#54b76b&gt;+%s%&lt;/color&gt;</v>
      </c>
      <c r="AK487" s="60">
        <v>0</v>
      </c>
      <c r="AL487" s="35"/>
    </row>
    <row r="488" hidden="1" customHeight="1" spans="1:38">
      <c r="A488" s="48">
        <v>5506013</v>
      </c>
      <c r="C488" s="48" t="str">
        <f t="shared" si="216"/>
        <v>5506011</v>
      </c>
      <c r="D488" s="42">
        <f t="shared" si="217"/>
        <v>3</v>
      </c>
      <c r="E488" s="42"/>
      <c r="F488" s="36" t="s">
        <v>557</v>
      </c>
      <c r="G488" s="36" t="str">
        <f t="shared" si="209"/>
        <v/>
      </c>
      <c r="H488" s="36" t="str">
        <f>IFERROR(IF(--MID($F488,2*COUNTIF($G488:G488,"&gt;"&amp;0)+2,1)=H$1,H$1,""),"")</f>
        <v/>
      </c>
      <c r="I488" s="36">
        <f>IFERROR(IF(--MID($F488,2*COUNTIF($G488:H488,"&gt;"&amp;0)+2,1)=I$1,I$1,""),"")</f>
        <v>3</v>
      </c>
      <c r="J488" s="36" t="str">
        <f>IFERROR(IF(--MID($F488,2*COUNTIF($G488:I488,"&gt;"&amp;0)+2,1)=J$1,J$1,""),"")</f>
        <v/>
      </c>
      <c r="K488" s="36">
        <f>IFERROR(IF(--MID($F488,2*COUNTIF($G488:J488,"&gt;"&amp;0)+2,1)=K$1,K$1,""),"")</f>
        <v>5</v>
      </c>
      <c r="L488" s="36" t="str">
        <f>IFERROR(IF(--MID($F488,2*COUNTIF($G488:K488,"&gt;"&amp;0)+2,1)=L$1,L$1,""),"")</f>
        <v/>
      </c>
      <c r="M488" s="51" t="str" cm="1">
        <f t="array" ref="M488">IF($A488="","",IF(G488="","",_xlfn.XLOOKUP($D488&amp;"_"&amp;$AE488,符文权重!$A:$A&amp;"_"&amp;符文权重!$C:$C,符文权重!$D:$D)*$Y488/SUMIFS($Y:$Y,G:G,G488,$D:$D,$D488,$AE:$AE,$AE488)/SUMIF(符文权重!$A:$A,$D488,符文权重!$D:$D)))</f>
        <v/>
      </c>
      <c r="N488" s="51" t="str" cm="1">
        <f t="array" ref="N488">IF($A488="","",IF(H488="","",_xlfn.XLOOKUP($D488&amp;"_"&amp;$AE488,符文权重!$A:$A&amp;"_"&amp;符文权重!$C:$C,符文权重!$D:$D)*$Y488/SUMIFS($Y:$Y,H:H,H488,$D:$D,$D488,$AE:$AE,$AE488)/SUMIF(符文权重!$A:$A,$D488,符文权重!$D:$D)))</f>
        <v/>
      </c>
      <c r="O488" s="51" cm="1">
        <f t="array" ref="O488">IF($A488="","",IF(I488="","",_xlfn.XLOOKUP($D488&amp;"_"&amp;$AE488,符文权重!$A:$A&amp;"_"&amp;符文权重!$C:$C,符文权重!$D:$D)*$Y488/SUMIFS($Y:$Y,I:I,I488,$D:$D,$D488,$AE:$AE,$AE488)/SUMIF(符文权重!$A:$A,$D488,符文权重!$D:$D)))</f>
        <v>0.00460271317829457</v>
      </c>
      <c r="P488" s="51" t="str" cm="1">
        <f t="array" ref="P488">IF($A488="","",IF(J488="","",_xlfn.XLOOKUP($D488&amp;"_"&amp;$AE488,符文权重!$A:$A&amp;"_"&amp;符文权重!$C:$C,符文权重!$D:$D)*$Y488/SUMIFS($Y:$Y,J:J,J488,$D:$D,$D488,$AE:$AE,$AE488)/SUMIF(符文权重!$A:$A,$D488,符文权重!$D:$D)))</f>
        <v/>
      </c>
      <c r="Q488" s="51" cm="1">
        <f t="array" ref="Q488">IF($A488="","",IF(K488="","",_xlfn.XLOOKUP($D488&amp;"_"&amp;$AE488,符文权重!$A:$A&amp;"_"&amp;符文权重!$C:$C,符文权重!$D:$D)*$Y488/SUMIFS($Y:$Y,K:K,K488,$D:$D,$D488,$AE:$AE,$AE488)/SUMIF(符文权重!$A:$A,$D488,符文权重!$D:$D)))</f>
        <v>0.00570913461538462</v>
      </c>
      <c r="R488" s="51" t="str" cm="1">
        <f t="array" ref="R488">IF($A488="","",IF(L488="","",_xlfn.XLOOKUP($D488&amp;"_"&amp;$AE488,符文权重!$A:$A&amp;"_"&amp;符文权重!$C:$C,符文权重!$D:$D)*$Y488/SUMIFS($Y:$Y,L:L,L488,$D:$D,$D488,$AE:$AE,$AE488)/SUMIF(符文权重!$A:$A,$D488,符文权重!$D:$D)))</f>
        <v/>
      </c>
      <c r="S488" s="36" t="s">
        <v>175</v>
      </c>
      <c r="T488" s="36"/>
      <c r="U488" s="36" t="e">
        <f>IF(C488="","",SUBSTITUTE(SUBSTITUTE("[{global_atk,"&amp;#REF!*D488&amp;"}]",21,20),9,8))</f>
        <v>#REF!</v>
      </c>
      <c r="V488" s="52" t="str">
        <f t="shared" si="226"/>
        <v>[5506013]</v>
      </c>
      <c r="Y488" s="35">
        <v>5</v>
      </c>
      <c r="AA488" s="42" t="s">
        <v>183</v>
      </c>
      <c r="AB488" s="42" t="str">
        <f t="shared" si="222"/>
        <v>攻击满血怪物时，暴击率&lt;color=#54b76b&gt;+20%&lt;/color&gt;</v>
      </c>
      <c r="AC488" s="48" t="str">
        <f t="shared" si="218"/>
        <v>5506011</v>
      </c>
      <c r="AD488" s="42" t="str">
        <f t="shared" si="213"/>
        <v>[20]</v>
      </c>
      <c r="AE488" s="36">
        <v>2</v>
      </c>
      <c r="AF488" s="36"/>
      <c r="AG488" s="36">
        <v>1</v>
      </c>
      <c r="AH488" s="35" t="s">
        <v>178</v>
      </c>
      <c r="AI488" s="48">
        <f t="shared" si="227"/>
        <v>5506013</v>
      </c>
      <c r="AJ488" s="53" t="str">
        <f t="shared" si="228"/>
        <v>攻击满血怪物时，暴击率&lt;color=#54b76b&gt;+%s%&lt;/color&gt;</v>
      </c>
      <c r="AK488" s="36">
        <v>20</v>
      </c>
      <c r="AL488" s="35">
        <v>3</v>
      </c>
    </row>
    <row r="489" hidden="1" customHeight="1" spans="1:38">
      <c r="A489" s="48">
        <v>5506014</v>
      </c>
      <c r="C489" s="48" t="str">
        <f t="shared" si="216"/>
        <v>5506011</v>
      </c>
      <c r="D489" s="42">
        <f t="shared" si="217"/>
        <v>4</v>
      </c>
      <c r="E489" s="42"/>
      <c r="F489" s="36" t="s">
        <v>557</v>
      </c>
      <c r="G489" s="36" t="str">
        <f t="shared" si="209"/>
        <v/>
      </c>
      <c r="H489" s="36" t="str">
        <f>IFERROR(IF(--MID($F489,2*COUNTIF($G489:G489,"&gt;"&amp;0)+2,1)=H$1,H$1,""),"")</f>
        <v/>
      </c>
      <c r="I489" s="36">
        <f>IFERROR(IF(--MID($F489,2*COUNTIF($G489:H489,"&gt;"&amp;0)+2,1)=I$1,I$1,""),"")</f>
        <v>3</v>
      </c>
      <c r="J489" s="36" t="str">
        <f>IFERROR(IF(--MID($F489,2*COUNTIF($G489:I489,"&gt;"&amp;0)+2,1)=J$1,J$1,""),"")</f>
        <v/>
      </c>
      <c r="K489" s="36">
        <f>IFERROR(IF(--MID($F489,2*COUNTIF($G489:J489,"&gt;"&amp;0)+2,1)=K$1,K$1,""),"")</f>
        <v>5</v>
      </c>
      <c r="L489" s="36" t="str">
        <f>IFERROR(IF(--MID($F489,2*COUNTIF($G489:K489,"&gt;"&amp;0)+2,1)=L$1,L$1,""),"")</f>
        <v/>
      </c>
      <c r="M489" s="51" t="str" cm="1">
        <f t="array" ref="M489">IF($A489="","",IF(G489="","",_xlfn.XLOOKUP($D489&amp;"_"&amp;$AE489,符文权重!$A:$A&amp;"_"&amp;符文权重!$C:$C,符文权重!$D:$D)*$Y489/SUMIFS($Y:$Y,G:G,G489,$D:$D,$D489,$AE:$AE,$AE489)/SUMIF(符文权重!$A:$A,$D489,符文权重!$D:$D)))</f>
        <v/>
      </c>
      <c r="N489" s="51" t="str" cm="1">
        <f t="array" ref="N489">IF($A489="","",IF(H489="","",_xlfn.XLOOKUP($D489&amp;"_"&amp;$AE489,符文权重!$A:$A&amp;"_"&amp;符文权重!$C:$C,符文权重!$D:$D)*$Y489/SUMIFS($Y:$Y,H:H,H489,$D:$D,$D489,$AE:$AE,$AE489)/SUMIF(符文权重!$A:$A,$D489,符文权重!$D:$D)))</f>
        <v/>
      </c>
      <c r="O489" s="51" cm="1">
        <f t="array" ref="O489">IF($A489="","",IF(I489="","",_xlfn.XLOOKUP($D489&amp;"_"&amp;$AE489,符文权重!$A:$A&amp;"_"&amp;符文权重!$C:$C,符文权重!$D:$D)*$Y489/SUMIFS($Y:$Y,I:I,I489,$D:$D,$D489,$AE:$AE,$AE489)/SUMIF(符文权重!$A:$A,$D489,符文权重!$D:$D)))</f>
        <v>0.00713357035196116</v>
      </c>
      <c r="P489" s="51" t="str" cm="1">
        <f t="array" ref="P489">IF($A489="","",IF(J489="","",_xlfn.XLOOKUP($D489&amp;"_"&amp;$AE489,符文权重!$A:$A&amp;"_"&amp;符文权重!$C:$C,符文权重!$D:$D)*$Y489/SUMIFS($Y:$Y,J:J,J489,$D:$D,$D489,$AE:$AE,$AE489)/SUMIF(符文权重!$A:$A,$D489,符文权重!$D:$D)))</f>
        <v/>
      </c>
      <c r="Q489" s="51" cm="1">
        <f t="array" ref="Q489">IF($A489="","",IF(K489="","",_xlfn.XLOOKUP($D489&amp;"_"&amp;$AE489,符文权重!$A:$A&amp;"_"&amp;符文权重!$C:$C,符文权重!$D:$D)*$Y489/SUMIFS($Y:$Y,K:K,K489,$D:$D,$D489,$AE:$AE,$AE489)/SUMIF(符文权重!$A:$A,$D489,符文权重!$D:$D)))</f>
        <v>0.00705250705250705</v>
      </c>
      <c r="R489" s="51" t="str" cm="1">
        <f t="array" ref="R489">IF($A489="","",IF(L489="","",_xlfn.XLOOKUP($D489&amp;"_"&amp;$AE489,符文权重!$A:$A&amp;"_"&amp;符文权重!$C:$C,符文权重!$D:$D)*$Y489/SUMIFS($Y:$Y,L:L,L489,$D:$D,$D489,$AE:$AE,$AE489)/SUMIF(符文权重!$A:$A,$D489,符文权重!$D:$D)))</f>
        <v/>
      </c>
      <c r="S489" s="36" t="s">
        <v>175</v>
      </c>
      <c r="T489" s="36"/>
      <c r="U489" s="36" t="e">
        <f>IF(C489="","",SUBSTITUTE(SUBSTITUTE("[{global_atk,"&amp;#REF!*D489&amp;"}]",21,20),9,8))</f>
        <v>#REF!</v>
      </c>
      <c r="V489" s="52" t="str">
        <f t="shared" si="226"/>
        <v>[5506014]</v>
      </c>
      <c r="Y489" s="35">
        <v>8</v>
      </c>
      <c r="AA489" s="42" t="s">
        <v>185</v>
      </c>
      <c r="AB489" s="42" t="str">
        <f t="shared" si="222"/>
        <v>攻击满血怪物时，暴击率&lt;color=#54b76b&gt;+24%&lt;/color&gt;</v>
      </c>
      <c r="AC489" s="48" t="str">
        <f t="shared" si="218"/>
        <v>5506011</v>
      </c>
      <c r="AD489" s="42" t="str">
        <f t="shared" si="213"/>
        <v>[24]</v>
      </c>
      <c r="AE489" s="36">
        <v>3</v>
      </c>
      <c r="AF489" s="36"/>
      <c r="AG489" s="36">
        <v>0</v>
      </c>
      <c r="AH489" s="35" t="s">
        <v>178</v>
      </c>
      <c r="AI489" s="48">
        <f t="shared" si="227"/>
        <v>5506014</v>
      </c>
      <c r="AJ489" s="53" t="str">
        <f t="shared" si="228"/>
        <v>攻击满血怪物时，暴击率&lt;color=#54b76b&gt;+%s%&lt;/color&gt;</v>
      </c>
      <c r="AK489" s="36">
        <v>24</v>
      </c>
      <c r="AL489" s="35">
        <v>3</v>
      </c>
    </row>
    <row r="490" hidden="1" customHeight="1" spans="1:38">
      <c r="A490" s="48">
        <v>5506015</v>
      </c>
      <c r="C490" s="48" t="str">
        <f t="shared" si="216"/>
        <v>5506011</v>
      </c>
      <c r="D490" s="42">
        <f t="shared" si="217"/>
        <v>5</v>
      </c>
      <c r="E490" s="42"/>
      <c r="F490" s="36" t="s">
        <v>557</v>
      </c>
      <c r="G490" s="36" t="str">
        <f t="shared" si="209"/>
        <v/>
      </c>
      <c r="H490" s="36" t="str">
        <f>IFERROR(IF(--MID($F490,2*COUNTIF($G490:G490,"&gt;"&amp;0)+2,1)=H$1,H$1,""),"")</f>
        <v/>
      </c>
      <c r="I490" s="36">
        <f>IFERROR(IF(--MID($F490,2*COUNTIF($G490:H490,"&gt;"&amp;0)+2,1)=I$1,I$1,""),"")</f>
        <v>3</v>
      </c>
      <c r="J490" s="36" t="str">
        <f>IFERROR(IF(--MID($F490,2*COUNTIF($G490:I490,"&gt;"&amp;0)+2,1)=J$1,J$1,""),"")</f>
        <v/>
      </c>
      <c r="K490" s="36">
        <f>IFERROR(IF(--MID($F490,2*COUNTIF($G490:J490,"&gt;"&amp;0)+2,1)=K$1,K$1,""),"")</f>
        <v>5</v>
      </c>
      <c r="L490" s="36" t="str">
        <f>IFERROR(IF(--MID($F490,2*COUNTIF($G490:K490,"&gt;"&amp;0)+2,1)=L$1,L$1,""),"")</f>
        <v/>
      </c>
      <c r="M490" s="51" t="str" cm="1">
        <f t="array" ref="M490">IF($A490="","",IF(G490="","",_xlfn.XLOOKUP($D490&amp;"_"&amp;$AE490,符文权重!$A:$A&amp;"_"&amp;符文权重!$C:$C,符文权重!$D:$D)*$Y490/SUMIFS($Y:$Y,G:G,G490,$D:$D,$D490,$AE:$AE,$AE490)/SUMIF(符文权重!$A:$A,$D490,符文权重!$D:$D)))</f>
        <v/>
      </c>
      <c r="N490" s="51" t="str" cm="1">
        <f t="array" ref="N490">IF($A490="","",IF(H490="","",_xlfn.XLOOKUP($D490&amp;"_"&amp;$AE490,符文权重!$A:$A&amp;"_"&amp;符文权重!$C:$C,符文权重!$D:$D)*$Y490/SUMIFS($Y:$Y,H:H,H490,$D:$D,$D490,$AE:$AE,$AE490)/SUMIF(符文权重!$A:$A,$D490,符文权重!$D:$D)))</f>
        <v/>
      </c>
      <c r="O490" s="51" cm="1">
        <f t="array" ref="O490">IF($A490="","",IF(I490="","",_xlfn.XLOOKUP($D490&amp;"_"&amp;$AE490,符文权重!$A:$A&amp;"_"&amp;符文权重!$C:$C,符文权重!$D:$D)*$Y490/SUMIFS($Y:$Y,I:I,I490,$D:$D,$D490,$AE:$AE,$AE490)/SUMIF(符文权重!$A:$A,$D490,符文权重!$D:$D)))</f>
        <v>0.00721428571428571</v>
      </c>
      <c r="P490" s="51" t="str" cm="1">
        <f t="array" ref="P490">IF($A490="","",IF(J490="","",_xlfn.XLOOKUP($D490&amp;"_"&amp;$AE490,符文权重!$A:$A&amp;"_"&amp;符文权重!$C:$C,符文权重!$D:$D)*$Y490/SUMIFS($Y:$Y,J:J,J490,$D:$D,$D490,$AE:$AE,$AE490)/SUMIF(符文权重!$A:$A,$D490,符文权重!$D:$D)))</f>
        <v/>
      </c>
      <c r="Q490" s="51" cm="1">
        <f t="array" ref="Q490">IF($A490="","",IF(K490="","",_xlfn.XLOOKUP($D490&amp;"_"&amp;$AE490,符文权重!$A:$A&amp;"_"&amp;符文权重!$C:$C,符文权重!$D:$D)*$Y490/SUMIFS($Y:$Y,K:K,K490,$D:$D,$D490,$AE:$AE,$AE490)/SUMIF(符文权重!$A:$A,$D490,符文权重!$D:$D)))</f>
        <v>0.00721428571428571</v>
      </c>
      <c r="R490" s="51" t="str" cm="1">
        <f t="array" ref="R490">IF($A490="","",IF(L490="","",_xlfn.XLOOKUP($D490&amp;"_"&amp;$AE490,符文权重!$A:$A&amp;"_"&amp;符文权重!$C:$C,符文权重!$D:$D)*$Y490/SUMIFS($Y:$Y,L:L,L490,$D:$D,$D490,$AE:$AE,$AE490)/SUMIF(符文权重!$A:$A,$D490,符文权重!$D:$D)))</f>
        <v/>
      </c>
      <c r="S490" s="36" t="s">
        <v>175</v>
      </c>
      <c r="T490" s="36"/>
      <c r="U490" s="36" t="e">
        <f>IF(C490="","",SUBSTITUTE(SUBSTITUTE("[{global_atk,"&amp;#REF!*D490&amp;"}]",21,20),9,8))</f>
        <v>#REF!</v>
      </c>
      <c r="V490" s="52" t="str">
        <f t="shared" si="226"/>
        <v>[5506015]</v>
      </c>
      <c r="Y490" s="35">
        <v>100</v>
      </c>
      <c r="AA490" s="42" t="s">
        <v>187</v>
      </c>
      <c r="AB490" s="42" t="str">
        <f t="shared" si="222"/>
        <v>攻击满血怪物时，暴击率&lt;color=#54b76b&gt;+28%&lt;/color&gt;</v>
      </c>
      <c r="AC490" s="48" t="str">
        <f t="shared" si="218"/>
        <v>5506011</v>
      </c>
      <c r="AD490" s="42" t="str">
        <f t="shared" si="213"/>
        <v>[28]</v>
      </c>
      <c r="AE490" s="36">
        <v>4</v>
      </c>
      <c r="AF490" s="36"/>
      <c r="AG490" s="36">
        <v>0</v>
      </c>
      <c r="AH490" s="35" t="s">
        <v>178</v>
      </c>
      <c r="AI490" s="48">
        <f t="shared" si="227"/>
        <v>5506015</v>
      </c>
      <c r="AJ490" s="53" t="str">
        <f t="shared" si="228"/>
        <v>攻击满血怪物时，暴击率&lt;color=#54b76b&gt;+%s%&lt;/color&gt;</v>
      </c>
      <c r="AK490" s="36">
        <v>28</v>
      </c>
      <c r="AL490" s="35">
        <v>3</v>
      </c>
    </row>
    <row r="491" hidden="1" customHeight="1" spans="1:38">
      <c r="A491" s="48">
        <v>5506016</v>
      </c>
      <c r="C491" s="48" t="str">
        <f t="shared" si="216"/>
        <v>5506011</v>
      </c>
      <c r="D491" s="42">
        <f t="shared" si="217"/>
        <v>6</v>
      </c>
      <c r="E491" s="42"/>
      <c r="F491" s="36" t="s">
        <v>557</v>
      </c>
      <c r="G491" s="36" t="str">
        <f t="shared" si="209"/>
        <v/>
      </c>
      <c r="H491" s="36" t="str">
        <f>IFERROR(IF(--MID($F491,2*COUNTIF($G491:G491,"&gt;"&amp;0)+2,1)=H$1,H$1,""),"")</f>
        <v/>
      </c>
      <c r="I491" s="36">
        <f>IFERROR(IF(--MID($F491,2*COUNTIF($G491:H491,"&gt;"&amp;0)+2,1)=I$1,I$1,""),"")</f>
        <v>3</v>
      </c>
      <c r="J491" s="36" t="str">
        <f>IFERROR(IF(--MID($F491,2*COUNTIF($G491:I491,"&gt;"&amp;0)+2,1)=J$1,J$1,""),"")</f>
        <v/>
      </c>
      <c r="K491" s="36">
        <f>IFERROR(IF(--MID($F491,2*COUNTIF($G491:J491,"&gt;"&amp;0)+2,1)=K$1,K$1,""),"")</f>
        <v>5</v>
      </c>
      <c r="L491" s="36" t="str">
        <f>IFERROR(IF(--MID($F491,2*COUNTIF($G491:K491,"&gt;"&amp;0)+2,1)=L$1,L$1,""),"")</f>
        <v/>
      </c>
      <c r="M491" s="51" t="str" cm="1">
        <f t="array" ref="M491">IF($A491="","",IF(G491="","",_xlfn.XLOOKUP($D491&amp;"_"&amp;$AE491,符文权重!$A:$A&amp;"_"&amp;符文权重!$C:$C,符文权重!$D:$D)*$Y491/SUMIFS($Y:$Y,G:G,G491,$D:$D,$D491,$AE:$AE,$AE491)/SUMIF(符文权重!$A:$A,$D491,符文权重!$D:$D)))</f>
        <v/>
      </c>
      <c r="N491" s="51" t="str" cm="1">
        <f t="array" ref="N491">IF($A491="","",IF(H491="","",_xlfn.XLOOKUP($D491&amp;"_"&amp;$AE491,符文权重!$A:$A&amp;"_"&amp;符文权重!$C:$C,符文权重!$D:$D)*$Y491/SUMIFS($Y:$Y,H:H,H491,$D:$D,$D491,$AE:$AE,$AE491)/SUMIF(符文权重!$A:$A,$D491,符文权重!$D:$D)))</f>
        <v/>
      </c>
      <c r="O491" s="51" cm="1">
        <f t="array" ref="O491">IF($A491="","",IF(I491="","",_xlfn.XLOOKUP($D491&amp;"_"&amp;$AE491,符文权重!$A:$A&amp;"_"&amp;符文权重!$C:$C,符文权重!$D:$D)*$Y491/SUMIFS($Y:$Y,I:I,I491,$D:$D,$D491,$AE:$AE,$AE491)/SUMIF(符文权重!$A:$A,$D491,符文权重!$D:$D)))</f>
        <v>0.00721428571428571</v>
      </c>
      <c r="P491" s="51" t="str" cm="1">
        <f t="array" ref="P491">IF($A491="","",IF(J491="","",_xlfn.XLOOKUP($D491&amp;"_"&amp;$AE491,符文权重!$A:$A&amp;"_"&amp;符文权重!$C:$C,符文权重!$D:$D)*$Y491/SUMIFS($Y:$Y,J:J,J491,$D:$D,$D491,$AE:$AE,$AE491)/SUMIF(符文权重!$A:$A,$D491,符文权重!$D:$D)))</f>
        <v/>
      </c>
      <c r="Q491" s="51" cm="1">
        <f t="array" ref="Q491">IF($A491="","",IF(K491="","",_xlfn.XLOOKUP($D491&amp;"_"&amp;$AE491,符文权重!$A:$A&amp;"_"&amp;符文权重!$C:$C,符文权重!$D:$D)*$Y491/SUMIFS($Y:$Y,K:K,K491,$D:$D,$D491,$AE:$AE,$AE491)/SUMIF(符文权重!$A:$A,$D491,符文权重!$D:$D)))</f>
        <v>0.00721428571428571</v>
      </c>
      <c r="R491" s="51" t="str" cm="1">
        <f t="array" ref="R491">IF($A491="","",IF(L491="","",_xlfn.XLOOKUP($D491&amp;"_"&amp;$AE491,符文权重!$A:$A&amp;"_"&amp;符文权重!$C:$C,符文权重!$D:$D)*$Y491/SUMIFS($Y:$Y,L:L,L491,$D:$D,$D491,$AE:$AE,$AE491)/SUMIF(符文权重!$A:$A,$D491,符文权重!$D:$D)))</f>
        <v/>
      </c>
      <c r="S491" s="36" t="s">
        <v>175</v>
      </c>
      <c r="T491" s="36"/>
      <c r="U491" s="36" t="e">
        <f>IF(C491="","",SUBSTITUTE(SUBSTITUTE("[{global_atk,"&amp;#REF!*D491&amp;"}]",21,20),9,8))</f>
        <v>#REF!</v>
      </c>
      <c r="V491" s="52" t="str">
        <f t="shared" si="226"/>
        <v>[5506016]</v>
      </c>
      <c r="Y491" s="35">
        <v>100</v>
      </c>
      <c r="AA491" s="42" t="s">
        <v>189</v>
      </c>
      <c r="AB491" s="42" t="str">
        <f t="shared" si="222"/>
        <v>攻击满血怪物时，暴击率&lt;color=#54b76b&gt;+32%&lt;/color&gt;</v>
      </c>
      <c r="AC491" s="48" t="str">
        <f t="shared" si="218"/>
        <v>5506011</v>
      </c>
      <c r="AD491" s="42" t="str">
        <f t="shared" si="213"/>
        <v>[32]</v>
      </c>
      <c r="AE491" s="36">
        <v>4</v>
      </c>
      <c r="AF491" s="36"/>
      <c r="AG491" s="36">
        <v>0</v>
      </c>
      <c r="AH491" s="35" t="s">
        <v>178</v>
      </c>
      <c r="AI491" s="48">
        <f t="shared" si="227"/>
        <v>5506016</v>
      </c>
      <c r="AJ491" s="53" t="str">
        <f t="shared" si="228"/>
        <v>攻击满血怪物时，暴击率&lt;color=#54b76b&gt;+%s%&lt;/color&gt;</v>
      </c>
      <c r="AK491" s="36">
        <v>32</v>
      </c>
      <c r="AL491" s="35">
        <v>3</v>
      </c>
    </row>
    <row r="492" hidden="1" customHeight="1" spans="1:38">
      <c r="A492" s="48">
        <v>5506017</v>
      </c>
      <c r="C492" s="48" t="str">
        <f t="shared" si="216"/>
        <v>5506011</v>
      </c>
      <c r="D492" s="42">
        <f t="shared" si="217"/>
        <v>7</v>
      </c>
      <c r="E492" s="42"/>
      <c r="F492" s="36" t="s">
        <v>557</v>
      </c>
      <c r="G492" s="36" t="str">
        <f t="shared" si="209"/>
        <v/>
      </c>
      <c r="H492" s="36" t="str">
        <f>IFERROR(IF(--MID($F492,2*COUNTIF($G492:G492,"&gt;"&amp;0)+2,1)=H$1,H$1,""),"")</f>
        <v/>
      </c>
      <c r="I492" s="36">
        <f>IFERROR(IF(--MID($F492,2*COUNTIF($G492:H492,"&gt;"&amp;0)+2,1)=I$1,I$1,""),"")</f>
        <v>3</v>
      </c>
      <c r="J492" s="36" t="str">
        <f>IFERROR(IF(--MID($F492,2*COUNTIF($G492:I492,"&gt;"&amp;0)+2,1)=J$1,J$1,""),"")</f>
        <v/>
      </c>
      <c r="K492" s="36">
        <f>IFERROR(IF(--MID($F492,2*COUNTIF($G492:J492,"&gt;"&amp;0)+2,1)=K$1,K$1,""),"")</f>
        <v>5</v>
      </c>
      <c r="L492" s="36" t="str">
        <f>IFERROR(IF(--MID($F492,2*COUNTIF($G492:K492,"&gt;"&amp;0)+2,1)=L$1,L$1,""),"")</f>
        <v/>
      </c>
      <c r="M492" s="51" t="str" cm="1">
        <f t="array" ref="M492">IF($A492="","",IF(G492="","",_xlfn.XLOOKUP($D492&amp;"_"&amp;$AE492,符文权重!$A:$A&amp;"_"&amp;符文权重!$C:$C,符文权重!$D:$D)*$Y492/SUMIFS($Y:$Y,G:G,G492,$D:$D,$D492,$AE:$AE,$AE492)/SUMIF(符文权重!$A:$A,$D492,符文权重!$D:$D)))</f>
        <v/>
      </c>
      <c r="N492" s="51" t="str" cm="1">
        <f t="array" ref="N492">IF($A492="","",IF(H492="","",_xlfn.XLOOKUP($D492&amp;"_"&amp;$AE492,符文权重!$A:$A&amp;"_"&amp;符文权重!$C:$C,符文权重!$D:$D)*$Y492/SUMIFS($Y:$Y,H:H,H492,$D:$D,$D492,$AE:$AE,$AE492)/SUMIF(符文权重!$A:$A,$D492,符文权重!$D:$D)))</f>
        <v/>
      </c>
      <c r="O492" s="51" cm="1">
        <f t="array" ref="O492">IF($A492="","",IF(I492="","",_xlfn.XLOOKUP($D492&amp;"_"&amp;$AE492,符文权重!$A:$A&amp;"_"&amp;符文权重!$C:$C,符文权重!$D:$D)*$Y492/SUMIFS($Y:$Y,I:I,I492,$D:$D,$D492,$AE:$AE,$AE492)/SUMIF(符文权重!$A:$A,$D492,符文权重!$D:$D)))</f>
        <v>0.00721428571428571</v>
      </c>
      <c r="P492" s="51" t="str" cm="1">
        <f t="array" ref="P492">IF($A492="","",IF(J492="","",_xlfn.XLOOKUP($D492&amp;"_"&amp;$AE492,符文权重!$A:$A&amp;"_"&amp;符文权重!$C:$C,符文权重!$D:$D)*$Y492/SUMIFS($Y:$Y,J:J,J492,$D:$D,$D492,$AE:$AE,$AE492)/SUMIF(符文权重!$A:$A,$D492,符文权重!$D:$D)))</f>
        <v/>
      </c>
      <c r="Q492" s="51" cm="1">
        <f t="array" ref="Q492">IF($A492="","",IF(K492="","",_xlfn.XLOOKUP($D492&amp;"_"&amp;$AE492,符文权重!$A:$A&amp;"_"&amp;符文权重!$C:$C,符文权重!$D:$D)*$Y492/SUMIFS($Y:$Y,K:K,K492,$D:$D,$D492,$AE:$AE,$AE492)/SUMIF(符文权重!$A:$A,$D492,符文权重!$D:$D)))</f>
        <v>0.00721428571428571</v>
      </c>
      <c r="R492" s="51" t="str" cm="1">
        <f t="array" ref="R492">IF($A492="","",IF(L492="","",_xlfn.XLOOKUP($D492&amp;"_"&amp;$AE492,符文权重!$A:$A&amp;"_"&amp;符文权重!$C:$C,符文权重!$D:$D)*$Y492/SUMIFS($Y:$Y,L:L,L492,$D:$D,$D492,$AE:$AE,$AE492)/SUMIF(符文权重!$A:$A,$D492,符文权重!$D:$D)))</f>
        <v/>
      </c>
      <c r="S492" s="36" t="s">
        <v>175</v>
      </c>
      <c r="T492" s="36"/>
      <c r="U492" s="36" t="e">
        <f>IF(C492="","",SUBSTITUTE(SUBSTITUTE("[{global_atk,"&amp;#REF!*D492&amp;"}]",21,20),9,8))</f>
        <v>#REF!</v>
      </c>
      <c r="V492" s="52" t="str">
        <f t="shared" si="226"/>
        <v>[5506017]</v>
      </c>
      <c r="Y492" s="35">
        <v>100</v>
      </c>
      <c r="AA492" s="42" t="s">
        <v>191</v>
      </c>
      <c r="AB492" s="42" t="str">
        <f t="shared" si="222"/>
        <v>攻击满血怪物时，暴击率&lt;color=#54b76b&gt;+36%&lt;/color&gt;</v>
      </c>
      <c r="AC492" s="48" t="str">
        <f t="shared" si="218"/>
        <v>5506011</v>
      </c>
      <c r="AD492" s="42" t="str">
        <f t="shared" si="213"/>
        <v>[36]</v>
      </c>
      <c r="AE492" s="36">
        <v>4</v>
      </c>
      <c r="AF492" s="36"/>
      <c r="AG492" s="36">
        <v>0</v>
      </c>
      <c r="AH492" s="35" t="s">
        <v>178</v>
      </c>
      <c r="AI492" s="48">
        <f t="shared" si="227"/>
        <v>5506017</v>
      </c>
      <c r="AJ492" s="53" t="str">
        <f t="shared" si="228"/>
        <v>攻击满血怪物时，暴击率&lt;color=#54b76b&gt;+%s%&lt;/color&gt;</v>
      </c>
      <c r="AK492" s="36">
        <v>36</v>
      </c>
      <c r="AL492" s="35">
        <v>3</v>
      </c>
    </row>
    <row r="493" s="25" customFormat="1" hidden="1" customHeight="1" spans="1:38">
      <c r="A493" s="48" t="s">
        <v>178</v>
      </c>
      <c r="B493" s="35"/>
      <c r="C493" s="48" t="str">
        <f t="shared" si="216"/>
        <v/>
      </c>
      <c r="D493" s="42" t="str">
        <f t="shared" si="217"/>
        <v/>
      </c>
      <c r="E493" s="42"/>
      <c r="F493" s="36"/>
      <c r="G493" s="36" t="str">
        <f t="shared" si="209"/>
        <v/>
      </c>
      <c r="H493" s="36" t="str">
        <f>IFERROR(IF(--MID($F493,2*COUNTIF($G493:G493,"&gt;"&amp;0)+2,1)=H$1,H$1,""),"")</f>
        <v/>
      </c>
      <c r="I493" s="36" t="str">
        <f>IFERROR(IF(--MID($F493,2*COUNTIF($G493:H493,"&gt;"&amp;0)+2,1)=I$1,I$1,""),"")</f>
        <v/>
      </c>
      <c r="J493" s="36" t="str">
        <f>IFERROR(IF(--MID($F493,2*COUNTIF($G493:I493,"&gt;"&amp;0)+2,1)=J$1,J$1,""),"")</f>
        <v/>
      </c>
      <c r="K493" s="36" t="str">
        <f>IFERROR(IF(--MID($F493,2*COUNTIF($G493:J493,"&gt;"&amp;0)+2,1)=K$1,K$1,""),"")</f>
        <v/>
      </c>
      <c r="L493" s="36" t="str">
        <f>IFERROR(IF(--MID($F493,2*COUNTIF($G493:K493,"&gt;"&amp;0)+2,1)=L$1,L$1,""),"")</f>
        <v/>
      </c>
      <c r="M493" s="51" t="str" cm="1">
        <f t="array" ref="M493">IF($A493="","",IF(G493="","",_xlfn.XLOOKUP($D493&amp;"_"&amp;$AE493,符文权重!$A:$A&amp;"_"&amp;符文权重!$C:$C,符文权重!$D:$D)*$Y493/SUMIFS($Y:$Y,G:G,G493,$D:$D,$D493,$AE:$AE,$AE493)/SUMIF(符文权重!$A:$A,$D493,符文权重!$D:$D)))</f>
        <v/>
      </c>
      <c r="N493" s="36" t="str" cm="1">
        <f t="array" ref="N493">IF($A493="","",IF(H493="","",_xlfn.XLOOKUP($D493&amp;"_"&amp;$AE493,符文权重!$A:$A&amp;"_"&amp;符文权重!$C:$C,符文权重!$D:$D)*$Y493/SUMIFS($Y:$Y,H:H,H493,$D:$D,$D$6,$AE:$AE,$AE$6)))</f>
        <v/>
      </c>
      <c r="O493" s="36" t="str" cm="1">
        <f t="array" ref="O493">IF($A493="","",IF(I493="","",_xlfn.XLOOKUP($D493&amp;"_"&amp;$AE493,符文权重!$A:$A&amp;"_"&amp;符文权重!$C:$C,符文权重!$D:$D)*$Y493/SUMIFS($Y:$Y,I:I,I493,$D:$D,$D$6,$AE:$AE,$AE$6)))</f>
        <v/>
      </c>
      <c r="P493" s="36" t="str" cm="1">
        <f t="array" ref="P493">IF($A493="","",IF(J493="","",_xlfn.XLOOKUP($D493&amp;"_"&amp;$AE493,符文权重!$A:$A&amp;"_"&amp;符文权重!$C:$C,符文权重!$D:$D)*$Y493/SUMIFS($Y:$Y,J:J,J493,$D:$D,$D$6,$AE:$AE,$AE$6)))</f>
        <v/>
      </c>
      <c r="Q493" s="36" t="str" cm="1">
        <f t="array" ref="Q493">IF($A493="","",IF(K493="","",_xlfn.XLOOKUP($D493&amp;"_"&amp;$AE493,符文权重!$A:$A&amp;"_"&amp;符文权重!$C:$C,符文权重!$D:$D)*$Y493/SUMIFS($Y:$Y,K:K,K493,$D:$D,$D$6,$AE:$AE,$AE$6)))</f>
        <v/>
      </c>
      <c r="R493" s="36" t="str" cm="1">
        <f t="array" ref="R493">IF($A493="","",IF(L493="","",_xlfn.XLOOKUP($D493&amp;"_"&amp;$AE493,符文权重!$A:$A&amp;"_"&amp;符文权重!$C:$C,符文权重!$D:$D)*$Y493/SUMIFS($Y:$Y,L:L,L493,$D:$D,$D$6,$AE:$AE,$AE$6)))</f>
        <v/>
      </c>
      <c r="S493" s="36"/>
      <c r="T493" s="36"/>
      <c r="U493" s="36"/>
      <c r="W493" s="41"/>
      <c r="X493" s="35"/>
      <c r="Y493" s="35"/>
      <c r="Z493" s="35"/>
      <c r="AA493" s="42" t="s">
        <v>178</v>
      </c>
      <c r="AB493" s="42" t="str">
        <f t="shared" si="222"/>
        <v/>
      </c>
      <c r="AC493" s="48" t="str">
        <f t="shared" si="218"/>
        <v/>
      </c>
      <c r="AD493" s="42" t="str">
        <f t="shared" si="213"/>
        <v/>
      </c>
      <c r="AE493" s="36"/>
      <c r="AF493" s="36"/>
      <c r="AG493" s="36"/>
      <c r="AH493" s="35" t="s">
        <v>178</v>
      </c>
      <c r="AI493" s="33"/>
      <c r="AJ493" s="74"/>
      <c r="AK493" s="36"/>
      <c r="AL493" s="35"/>
    </row>
    <row r="494" hidden="1" customHeight="1" spans="1:38">
      <c r="A494" s="48">
        <v>5506021</v>
      </c>
      <c r="B494" s="36" t="s">
        <v>558</v>
      </c>
      <c r="C494" s="48" t="str">
        <f t="shared" si="216"/>
        <v>5506021</v>
      </c>
      <c r="D494" s="42">
        <f t="shared" si="217"/>
        <v>1</v>
      </c>
      <c r="E494" s="42"/>
      <c r="F494" s="36" t="s">
        <v>211</v>
      </c>
      <c r="G494" s="36" t="str">
        <f t="shared" si="209"/>
        <v/>
      </c>
      <c r="H494" s="36">
        <f>IFERROR(IF(--MID($F494,2*COUNTIF($G494:G494,"&gt;"&amp;0)+2,1)=H$1,H$1,""),"")</f>
        <v>2</v>
      </c>
      <c r="I494" s="36" t="str">
        <f>IFERROR(IF(--MID($F494,2*COUNTIF($G494:H494,"&gt;"&amp;0)+2,1)=I$1,I$1,""),"")</f>
        <v/>
      </c>
      <c r="J494" s="36" t="str">
        <f>IFERROR(IF(--MID($F494,2*COUNTIF($G494:I494,"&gt;"&amp;0)+2,1)=J$1,J$1,""),"")</f>
        <v/>
      </c>
      <c r="K494" s="36" t="str">
        <f>IFERROR(IF(--MID($F494,2*COUNTIF($G494:J494,"&gt;"&amp;0)+2,1)=K$1,K$1,""),"")</f>
        <v/>
      </c>
      <c r="L494" s="36" t="str">
        <f>IFERROR(IF(--MID($F494,2*COUNTIF($G494:K494,"&gt;"&amp;0)+2,1)=L$1,L$1,""),"")</f>
        <v/>
      </c>
      <c r="M494" s="36" t="e" cm="1">
        <f t="array" ref="M494">IF(A494="","",_xlfn.XLOOKUP(D494&amp;"_"&amp;AE494,符文权重!A:A&amp;"_"&amp;符文权重!C:C,符文权重!D:D))</f>
        <v>#N/A</v>
      </c>
      <c r="N494" s="36"/>
      <c r="O494" s="36"/>
      <c r="P494" s="36"/>
      <c r="Q494" s="36"/>
      <c r="R494" s="36"/>
      <c r="S494" s="36" t="s">
        <v>175</v>
      </c>
      <c r="T494" s="36"/>
      <c r="U494" s="36" t="e">
        <f>IF(C494="","",SUBSTITUTE(SUBSTITUTE("[{global_atk,"&amp;#REF!*D494&amp;"}]",21,20),9,8))</f>
        <v>#REF!</v>
      </c>
      <c r="V494" s="52" t="str">
        <f t="shared" ref="V494:V500" si="229">"["&amp;A494&amp;"]"</f>
        <v>[5506021]</v>
      </c>
      <c r="Y494" s="35">
        <v>100</v>
      </c>
      <c r="AA494" s="42" t="s">
        <v>177</v>
      </c>
      <c r="AB494" s="42" t="str">
        <f t="shared" si="222"/>
        <v>无视怪物所有类型&lt;color=#54b76b&gt;0%&lt;/color&gt;的抗性</v>
      </c>
      <c r="AC494" s="48" t="str">
        <f t="shared" si="218"/>
        <v>5506021</v>
      </c>
      <c r="AD494" s="42" t="str">
        <f t="shared" si="213"/>
        <v>[0]</v>
      </c>
      <c r="AE494" s="36">
        <v>100</v>
      </c>
      <c r="AF494" s="36"/>
      <c r="AG494" s="36">
        <v>1</v>
      </c>
      <c r="AH494" s="35">
        <v>1</v>
      </c>
      <c r="AI494" s="33">
        <v>5506021</v>
      </c>
      <c r="AJ494" s="71" t="s">
        <v>558</v>
      </c>
      <c r="AK494" s="36">
        <v>0</v>
      </c>
      <c r="AL494" s="35">
        <v>6</v>
      </c>
    </row>
    <row r="495" hidden="1" customHeight="1" spans="1:38">
      <c r="A495" s="48">
        <v>5506022</v>
      </c>
      <c r="C495" s="48" t="str">
        <f t="shared" si="216"/>
        <v>5506021</v>
      </c>
      <c r="D495" s="42">
        <f t="shared" si="217"/>
        <v>2</v>
      </c>
      <c r="E495" s="42"/>
      <c r="F495" s="36" t="s">
        <v>211</v>
      </c>
      <c r="G495" s="36" t="str">
        <f t="shared" si="209"/>
        <v/>
      </c>
      <c r="H495" s="36">
        <f>IFERROR(IF(--MID($F495,2*COUNTIF($G495:G495,"&gt;"&amp;0)+2,1)=H$1,H$1,""),"")</f>
        <v>2</v>
      </c>
      <c r="I495" s="36" t="str">
        <f>IFERROR(IF(--MID($F495,2*COUNTIF($G495:H495,"&gt;"&amp;0)+2,1)=I$1,I$1,""),"")</f>
        <v/>
      </c>
      <c r="J495" s="36" t="str">
        <f>IFERROR(IF(--MID($F495,2*COUNTIF($G495:I495,"&gt;"&amp;0)+2,1)=J$1,J$1,""),"")</f>
        <v/>
      </c>
      <c r="K495" s="36" t="str">
        <f>IFERROR(IF(--MID($F495,2*COUNTIF($G495:J495,"&gt;"&amp;0)+2,1)=K$1,K$1,""),"")</f>
        <v/>
      </c>
      <c r="L495" s="36" t="str">
        <f>IFERROR(IF(--MID($F495,2*COUNTIF($G495:K495,"&gt;"&amp;0)+2,1)=L$1,L$1,""),"")</f>
        <v/>
      </c>
      <c r="M495" s="36" t="e" cm="1">
        <f t="array" ref="M495">IF(A495="","",_xlfn.XLOOKUP(D495&amp;"_"&amp;AE495,符文权重!A:A&amp;"_"&amp;符文权重!C:C,符文权重!D:D))</f>
        <v>#N/A</v>
      </c>
      <c r="N495" s="36"/>
      <c r="O495" s="36"/>
      <c r="P495" s="36"/>
      <c r="Q495" s="36"/>
      <c r="R495" s="36"/>
      <c r="S495" s="36" t="s">
        <v>175</v>
      </c>
      <c r="T495" s="36"/>
      <c r="U495" s="36" t="e">
        <f>IF(C495="","",SUBSTITUTE(SUBSTITUTE("[{global_atk,"&amp;#REF!*D495&amp;"}]",21,20),9,8))</f>
        <v>#REF!</v>
      </c>
      <c r="V495" s="52" t="str">
        <f t="shared" si="229"/>
        <v>[5506022]</v>
      </c>
      <c r="Y495" s="35">
        <v>100</v>
      </c>
      <c r="AA495" s="42" t="s">
        <v>181</v>
      </c>
      <c r="AB495" s="42" t="str">
        <f t="shared" si="222"/>
        <v>无视怪物所有类型&lt;color=#54b76b&gt;0%&lt;/color&gt;的抗性</v>
      </c>
      <c r="AC495" s="48" t="str">
        <f t="shared" si="218"/>
        <v>5506021</v>
      </c>
      <c r="AD495" s="42" t="str">
        <f t="shared" si="213"/>
        <v>[0]</v>
      </c>
      <c r="AE495" s="36">
        <v>100</v>
      </c>
      <c r="AF495" s="36"/>
      <c r="AG495" s="36">
        <v>1</v>
      </c>
      <c r="AH495" s="35">
        <v>1</v>
      </c>
      <c r="AI495" s="48">
        <f t="shared" ref="AI495:AI500" si="230">AI494+1</f>
        <v>5506022</v>
      </c>
      <c r="AJ495" s="53" t="str">
        <f t="shared" ref="AJ495:AJ500" si="231">AJ494</f>
        <v>无视怪物所有类型&lt;color=#54b76b&gt;%s%&lt;/color&gt;的抗性</v>
      </c>
      <c r="AK495" s="36">
        <v>0</v>
      </c>
      <c r="AL495" s="35">
        <v>6</v>
      </c>
    </row>
    <row r="496" hidden="1" customHeight="1" spans="1:38">
      <c r="A496" s="48">
        <v>5506023</v>
      </c>
      <c r="C496" s="48" t="str">
        <f t="shared" si="216"/>
        <v>5506021</v>
      </c>
      <c r="D496" s="42">
        <f t="shared" si="217"/>
        <v>3</v>
      </c>
      <c r="E496" s="42"/>
      <c r="F496" s="36" t="s">
        <v>211</v>
      </c>
      <c r="G496" s="36" t="str">
        <f t="shared" si="209"/>
        <v/>
      </c>
      <c r="H496" s="36">
        <f>IFERROR(IF(--MID($F496,2*COUNTIF($G496:G496,"&gt;"&amp;0)+2,1)=H$1,H$1,""),"")</f>
        <v>2</v>
      </c>
      <c r="I496" s="36" t="str">
        <f>IFERROR(IF(--MID($F496,2*COUNTIF($G496:H496,"&gt;"&amp;0)+2,1)=I$1,I$1,""),"")</f>
        <v/>
      </c>
      <c r="J496" s="36" t="str">
        <f>IFERROR(IF(--MID($F496,2*COUNTIF($G496:I496,"&gt;"&amp;0)+2,1)=J$1,J$1,""),"")</f>
        <v/>
      </c>
      <c r="K496" s="36" t="str">
        <f>IFERROR(IF(--MID($F496,2*COUNTIF($G496:J496,"&gt;"&amp;0)+2,1)=K$1,K$1,""),"")</f>
        <v/>
      </c>
      <c r="L496" s="36" t="str">
        <f>IFERROR(IF(--MID($F496,2*COUNTIF($G496:K496,"&gt;"&amp;0)+2,1)=L$1,L$1,""),"")</f>
        <v/>
      </c>
      <c r="M496" s="36" t="e" cm="1">
        <f t="array" ref="M496">IF(A496="","",_xlfn.XLOOKUP(D496&amp;"_"&amp;AE496,符文权重!A:A&amp;"_"&amp;符文权重!C:C,符文权重!D:D))</f>
        <v>#N/A</v>
      </c>
      <c r="N496" s="36"/>
      <c r="O496" s="36"/>
      <c r="P496" s="36"/>
      <c r="Q496" s="36"/>
      <c r="R496" s="36"/>
      <c r="S496" s="36" t="s">
        <v>175</v>
      </c>
      <c r="T496" s="36"/>
      <c r="U496" s="36" t="e">
        <f>IF(C496="","",SUBSTITUTE(SUBSTITUTE("[{global_atk,"&amp;#REF!*D496&amp;"}]",21,20),9,8))</f>
        <v>#REF!</v>
      </c>
      <c r="V496" s="52" t="str">
        <f t="shared" si="229"/>
        <v>[5506023]</v>
      </c>
      <c r="Y496" s="35">
        <v>100</v>
      </c>
      <c r="AA496" s="42" t="s">
        <v>183</v>
      </c>
      <c r="AB496" s="42" t="str">
        <f t="shared" si="222"/>
        <v>无视怪物所有类型&lt;color=#54b76b&gt;0%&lt;/color&gt;的抗性</v>
      </c>
      <c r="AC496" s="48" t="str">
        <f t="shared" si="218"/>
        <v>5506021</v>
      </c>
      <c r="AD496" s="42" t="str">
        <f t="shared" si="213"/>
        <v>[0]</v>
      </c>
      <c r="AE496" s="36">
        <v>100</v>
      </c>
      <c r="AF496" s="36"/>
      <c r="AG496" s="36">
        <v>1</v>
      </c>
      <c r="AH496" s="35">
        <v>1</v>
      </c>
      <c r="AI496" s="48">
        <f t="shared" si="230"/>
        <v>5506023</v>
      </c>
      <c r="AJ496" s="53" t="str">
        <f t="shared" si="231"/>
        <v>无视怪物所有类型&lt;color=#54b76b&gt;%s%&lt;/color&gt;的抗性</v>
      </c>
      <c r="AK496" s="36">
        <v>0</v>
      </c>
      <c r="AL496" s="35">
        <v>6</v>
      </c>
    </row>
    <row r="497" hidden="1" customHeight="1" spans="1:38">
      <c r="A497" s="48">
        <v>5506024</v>
      </c>
      <c r="C497" s="48" t="str">
        <f t="shared" si="216"/>
        <v>5506021</v>
      </c>
      <c r="D497" s="42">
        <f t="shared" si="217"/>
        <v>4</v>
      </c>
      <c r="E497" s="42"/>
      <c r="F497" s="36" t="s">
        <v>211</v>
      </c>
      <c r="G497" s="36" t="str">
        <f t="shared" si="209"/>
        <v/>
      </c>
      <c r="H497" s="36">
        <f>IFERROR(IF(--MID($F497,2*COUNTIF($G497:G497,"&gt;"&amp;0)+2,1)=H$1,H$1,""),"")</f>
        <v>2</v>
      </c>
      <c r="I497" s="36" t="str">
        <f>IFERROR(IF(--MID($F497,2*COUNTIF($G497:H497,"&gt;"&amp;0)+2,1)=I$1,I$1,""),"")</f>
        <v/>
      </c>
      <c r="J497" s="36" t="str">
        <f>IFERROR(IF(--MID($F497,2*COUNTIF($G497:I497,"&gt;"&amp;0)+2,1)=J$1,J$1,""),"")</f>
        <v/>
      </c>
      <c r="K497" s="36" t="str">
        <f>IFERROR(IF(--MID($F497,2*COUNTIF($G497:J497,"&gt;"&amp;0)+2,1)=K$1,K$1,""),"")</f>
        <v/>
      </c>
      <c r="L497" s="36" t="str">
        <f>IFERROR(IF(--MID($F497,2*COUNTIF($G497:K497,"&gt;"&amp;0)+2,1)=L$1,L$1,""),"")</f>
        <v/>
      </c>
      <c r="M497" s="51" t="str" cm="1">
        <f t="array" ref="M497">IF($A497="","",IF(G497="","",_xlfn.XLOOKUP($D497&amp;"_"&amp;$AE497,符文权重!$A:$A&amp;"_"&amp;符文权重!$C:$C,符文权重!$D:$D)*$Y497/SUMIFS($Y:$Y,G:G,G497,$D:$D,$D497,$AE:$AE,$AE497)/SUMIF(符文权重!$A:$A,$D497,符文权重!$D:$D)))</f>
        <v/>
      </c>
      <c r="N497" s="51" cm="1">
        <f t="array" ref="N497">IF($A497="","",IF(H497="","",_xlfn.XLOOKUP($D497&amp;"_"&amp;$AE497,符文权重!$A:$A&amp;"_"&amp;符文权重!$C:$C,符文权重!$D:$D)*$Y497/SUMIFS($Y:$Y,H:H,H497,$D:$D,$D497,$AE:$AE,$AE497)/SUMIF(符文权重!$A:$A,$D497,符文权重!$D:$D)))</f>
        <v>0.00297356179709121</v>
      </c>
      <c r="O497" s="51" t="str" cm="1">
        <f t="array" ref="O497">IF($A497="","",IF(I497="","",_xlfn.XLOOKUP($D497&amp;"_"&amp;$AE497,符文权重!$A:$A&amp;"_"&amp;符文权重!$C:$C,符文权重!$D:$D)*$Y497/SUMIFS($Y:$Y,I:I,I497,$D:$D,$D497,$AE:$AE,$AE497)/SUMIF(符文权重!$A:$A,$D497,符文权重!$D:$D)))</f>
        <v/>
      </c>
      <c r="P497" s="51" t="str" cm="1">
        <f t="array" ref="P497">IF($A497="","",IF(J497="","",_xlfn.XLOOKUP($D497&amp;"_"&amp;$AE497,符文权重!$A:$A&amp;"_"&amp;符文权重!$C:$C,符文权重!$D:$D)*$Y497/SUMIFS($Y:$Y,J:J,J497,$D:$D,$D497,$AE:$AE,$AE497)/SUMIF(符文权重!$A:$A,$D497,符文权重!$D:$D)))</f>
        <v/>
      </c>
      <c r="Q497" s="51" t="str" cm="1">
        <f t="array" ref="Q497">IF($A497="","",IF(K497="","",_xlfn.XLOOKUP($D497&amp;"_"&amp;$AE497,符文权重!$A:$A&amp;"_"&amp;符文权重!$C:$C,符文权重!$D:$D)*$Y497/SUMIFS($Y:$Y,K:K,K497,$D:$D,$D497,$AE:$AE,$AE497)/SUMIF(符文权重!$A:$A,$D497,符文权重!$D:$D)))</f>
        <v/>
      </c>
      <c r="R497" s="51" t="str" cm="1">
        <f t="array" ref="R497">IF($A497="","",IF(L497="","",_xlfn.XLOOKUP($D497&amp;"_"&amp;$AE497,符文权重!$A:$A&amp;"_"&amp;符文权重!$C:$C,符文权重!$D:$D)*$Y497/SUMIFS($Y:$Y,L:L,L497,$D:$D,$D497,$AE:$AE,$AE497)/SUMIF(符文权重!$A:$A,$D497,符文权重!$D:$D)))</f>
        <v/>
      </c>
      <c r="S497" s="36" t="s">
        <v>175</v>
      </c>
      <c r="T497" s="36"/>
      <c r="U497" s="36" t="e">
        <f>IF(C497="","",SUBSTITUTE(SUBSTITUTE("[{global_atk,"&amp;#REF!*D497&amp;"}]",21,20),9,8))</f>
        <v>#REF!</v>
      </c>
      <c r="V497" s="52" t="str">
        <f t="shared" si="229"/>
        <v>[5506024]</v>
      </c>
      <c r="W497" s="36" t="s">
        <v>559</v>
      </c>
      <c r="Y497" s="35">
        <v>20</v>
      </c>
      <c r="AA497" s="42" t="s">
        <v>185</v>
      </c>
      <c r="AB497" s="42" t="str">
        <f t="shared" si="222"/>
        <v>无视怪物所有类型&lt;color=#54b76b&gt;30%&lt;/color&gt;的抗性</v>
      </c>
      <c r="AC497" s="48" t="str">
        <f t="shared" si="218"/>
        <v>5506021</v>
      </c>
      <c r="AD497" s="42" t="str">
        <f t="shared" si="213"/>
        <v>[30]</v>
      </c>
      <c r="AE497" s="36">
        <v>4</v>
      </c>
      <c r="AF497" s="36"/>
      <c r="AG497" s="36">
        <v>0</v>
      </c>
      <c r="AH497" s="35">
        <v>1</v>
      </c>
      <c r="AI497" s="48">
        <f t="shared" si="230"/>
        <v>5506024</v>
      </c>
      <c r="AJ497" s="53" t="str">
        <f t="shared" si="231"/>
        <v>无视怪物所有类型&lt;color=#54b76b&gt;%s%&lt;/color&gt;的抗性</v>
      </c>
      <c r="AK497" s="36">
        <v>30</v>
      </c>
      <c r="AL497" s="35">
        <v>6</v>
      </c>
    </row>
    <row r="498" customHeight="1" spans="1:38">
      <c r="A498" s="48">
        <v>5506025</v>
      </c>
      <c r="C498" s="48" t="str">
        <f t="shared" si="216"/>
        <v>5506021</v>
      </c>
      <c r="D498" s="42">
        <f t="shared" si="217"/>
        <v>5</v>
      </c>
      <c r="E498" s="42"/>
      <c r="F498" s="36" t="s">
        <v>211</v>
      </c>
      <c r="G498" s="36" t="str">
        <f t="shared" si="209"/>
        <v/>
      </c>
      <c r="H498" s="36">
        <f>IFERROR(IF(--MID($F498,2*COUNTIF($G498:G498,"&gt;"&amp;0)+2,1)=H$1,H$1,""),"")</f>
        <v>2</v>
      </c>
      <c r="I498" s="36" t="str">
        <f>IFERROR(IF(--MID($F498,2*COUNTIF($G498:H498,"&gt;"&amp;0)+2,1)=I$1,I$1,""),"")</f>
        <v/>
      </c>
      <c r="J498" s="36" t="str">
        <f>IFERROR(IF(--MID($F498,2*COUNTIF($G498:I498,"&gt;"&amp;0)+2,1)=J$1,J$1,""),"")</f>
        <v/>
      </c>
      <c r="K498" s="36" t="str">
        <f>IFERROR(IF(--MID($F498,2*COUNTIF($G498:J498,"&gt;"&amp;0)+2,1)=K$1,K$1,""),"")</f>
        <v/>
      </c>
      <c r="L498" s="36" t="str">
        <f>IFERROR(IF(--MID($F498,2*COUNTIF($G498:K498,"&gt;"&amp;0)+2,1)=L$1,L$1,""),"")</f>
        <v/>
      </c>
      <c r="M498" s="51" t="str" cm="1">
        <f t="array" ref="M498">IF($A498="","",IF(G498="","",_xlfn.XLOOKUP($D498&amp;"_"&amp;$AE498,符文权重!$A:$A&amp;"_"&amp;符文权重!$C:$C,符文权重!$D:$D)*$Y498/SUMIFS($Y:$Y,G:G,G498,$D:$D,$D498,$AE:$AE,$AE498)/SUMIF(符文权重!$A:$A,$D498,符文权重!$D:$D)))</f>
        <v/>
      </c>
      <c r="N498" s="51" cm="1">
        <f t="array" ref="N498">IF($A498="","",IF(H498="","",_xlfn.XLOOKUP($D498&amp;"_"&amp;$AE498,符文权重!$A:$A&amp;"_"&amp;符文权重!$C:$C,符文权重!$D:$D)*$Y498/SUMIFS($Y:$Y,H:H,H498,$D:$D,$D498,$AE:$AE,$AE498)/SUMIF(符文权重!$A:$A,$D498,符文权重!$D:$D)))</f>
        <v>0.00300429184549356</v>
      </c>
      <c r="O498" s="51" t="str" cm="1">
        <f t="array" ref="O498">IF($A498="","",IF(I498="","",_xlfn.XLOOKUP($D498&amp;"_"&amp;$AE498,符文权重!$A:$A&amp;"_"&amp;符文权重!$C:$C,符文权重!$D:$D)*$Y498/SUMIFS($Y:$Y,I:I,I498,$D:$D,$D498,$AE:$AE,$AE498)/SUMIF(符文权重!$A:$A,$D498,符文权重!$D:$D)))</f>
        <v/>
      </c>
      <c r="P498" s="51" t="str" cm="1">
        <f t="array" ref="P498">IF($A498="","",IF(J498="","",_xlfn.XLOOKUP($D498&amp;"_"&amp;$AE498,符文权重!$A:$A&amp;"_"&amp;符文权重!$C:$C,符文权重!$D:$D)*$Y498/SUMIFS($Y:$Y,J:J,J498,$D:$D,$D498,$AE:$AE,$AE498)/SUMIF(符文权重!$A:$A,$D498,符文权重!$D:$D)))</f>
        <v/>
      </c>
      <c r="Q498" s="51" t="str" cm="1">
        <f t="array" ref="Q498">IF($A498="","",IF(K498="","",_xlfn.XLOOKUP($D498&amp;"_"&amp;$AE498,符文权重!$A:$A&amp;"_"&amp;符文权重!$C:$C,符文权重!$D:$D)*$Y498/SUMIFS($Y:$Y,K:K,K498,$D:$D,$D498,$AE:$AE,$AE498)/SUMIF(符文权重!$A:$A,$D498,符文权重!$D:$D)))</f>
        <v/>
      </c>
      <c r="R498" s="51" t="str" cm="1">
        <f t="array" ref="R498">IF($A498="","",IF(L498="","",_xlfn.XLOOKUP($D498&amp;"_"&amp;$AE498,符文权重!$A:$A&amp;"_"&amp;符文权重!$C:$C,符文权重!$D:$D)*$Y498/SUMIFS($Y:$Y,L:L,L498,$D:$D,$D498,$AE:$AE,$AE498)/SUMIF(符文权重!$A:$A,$D498,符文权重!$D:$D)))</f>
        <v/>
      </c>
      <c r="S498" s="36" t="s">
        <v>175</v>
      </c>
      <c r="T498" s="36"/>
      <c r="U498" s="36" t="e">
        <f>IF(C498="","",SUBSTITUTE(SUBSTITUTE("[{global_atk,"&amp;#REF!*D498&amp;"}]",21,20),9,8))</f>
        <v>#REF!</v>
      </c>
      <c r="V498" s="52" t="str">
        <f t="shared" si="229"/>
        <v>[5506025]</v>
      </c>
      <c r="W498" s="36" t="s">
        <v>560</v>
      </c>
      <c r="Y498" s="35">
        <v>100</v>
      </c>
      <c r="AA498" s="42" t="s">
        <v>187</v>
      </c>
      <c r="AB498" s="42" t="str">
        <f t="shared" si="222"/>
        <v>无视怪物所有类型&lt;color=#54b76b&gt;40%&lt;/color&gt;的抗性</v>
      </c>
      <c r="AC498" s="48" t="str">
        <f t="shared" si="218"/>
        <v>5506021</v>
      </c>
      <c r="AD498" s="42" t="str">
        <f t="shared" si="213"/>
        <v>[40]</v>
      </c>
      <c r="AE498" s="36">
        <v>6</v>
      </c>
      <c r="AF498" s="36"/>
      <c r="AG498" s="36">
        <v>0</v>
      </c>
      <c r="AH498" s="35">
        <v>1</v>
      </c>
      <c r="AI498" s="48">
        <f t="shared" si="230"/>
        <v>5506025</v>
      </c>
      <c r="AJ498" s="53" t="str">
        <f t="shared" si="231"/>
        <v>无视怪物所有类型&lt;color=#54b76b&gt;%s%&lt;/color&gt;的抗性</v>
      </c>
      <c r="AK498" s="36">
        <v>40</v>
      </c>
      <c r="AL498" s="35">
        <v>6</v>
      </c>
    </row>
    <row r="499" customHeight="1" spans="1:38">
      <c r="A499" s="48">
        <v>5506026</v>
      </c>
      <c r="C499" s="48" t="str">
        <f t="shared" si="216"/>
        <v>5506021</v>
      </c>
      <c r="D499" s="42">
        <f t="shared" si="217"/>
        <v>6</v>
      </c>
      <c r="E499" s="42"/>
      <c r="F499" s="36" t="s">
        <v>211</v>
      </c>
      <c r="G499" s="36" t="str">
        <f t="shared" si="209"/>
        <v/>
      </c>
      <c r="H499" s="36">
        <f>IFERROR(IF(--MID($F499,2*COUNTIF($G499:G499,"&gt;"&amp;0)+2,1)=H$1,H$1,""),"")</f>
        <v>2</v>
      </c>
      <c r="I499" s="36" t="str">
        <f>IFERROR(IF(--MID($F499,2*COUNTIF($G499:H499,"&gt;"&amp;0)+2,1)=I$1,I$1,""),"")</f>
        <v/>
      </c>
      <c r="J499" s="36" t="str">
        <f>IFERROR(IF(--MID($F499,2*COUNTIF($G499:I499,"&gt;"&amp;0)+2,1)=J$1,J$1,""),"")</f>
        <v/>
      </c>
      <c r="K499" s="36" t="str">
        <f>IFERROR(IF(--MID($F499,2*COUNTIF($G499:J499,"&gt;"&amp;0)+2,1)=K$1,K$1,""),"")</f>
        <v/>
      </c>
      <c r="L499" s="36" t="str">
        <f>IFERROR(IF(--MID($F499,2*COUNTIF($G499:K499,"&gt;"&amp;0)+2,1)=L$1,L$1,""),"")</f>
        <v/>
      </c>
      <c r="M499" s="51" t="str" cm="1">
        <f t="array" ref="M499">IF($A499="","",IF(G499="","",_xlfn.XLOOKUP($D499&amp;"_"&amp;$AE499,符文权重!$A:$A&amp;"_"&amp;符文权重!$C:$C,符文权重!$D:$D)*$Y499/SUMIFS($Y:$Y,G:G,G499,$D:$D,$D499,$AE:$AE,$AE499)/SUMIF(符文权重!$A:$A,$D499,符文权重!$D:$D)))</f>
        <v/>
      </c>
      <c r="N499" s="51" cm="1">
        <f t="array" ref="N499">IF($A499="","",IF(H499="","",_xlfn.XLOOKUP($D499&amp;"_"&amp;$AE499,符文权重!$A:$A&amp;"_"&amp;符文权重!$C:$C,符文权重!$D:$D)*$Y499/SUMIFS($Y:$Y,H:H,H499,$D:$D,$D499,$AE:$AE,$AE499)/SUMIF(符文权重!$A:$A,$D499,符文权重!$D:$D)))</f>
        <v>0.00300429184549356</v>
      </c>
      <c r="O499" s="51" t="str" cm="1">
        <f t="array" ref="O499">IF($A499="","",IF(I499="","",_xlfn.XLOOKUP($D499&amp;"_"&amp;$AE499,符文权重!$A:$A&amp;"_"&amp;符文权重!$C:$C,符文权重!$D:$D)*$Y499/SUMIFS($Y:$Y,I:I,I499,$D:$D,$D499,$AE:$AE,$AE499)/SUMIF(符文权重!$A:$A,$D499,符文权重!$D:$D)))</f>
        <v/>
      </c>
      <c r="P499" s="51" t="str" cm="1">
        <f t="array" ref="P499">IF($A499="","",IF(J499="","",_xlfn.XLOOKUP($D499&amp;"_"&amp;$AE499,符文权重!$A:$A&amp;"_"&amp;符文权重!$C:$C,符文权重!$D:$D)*$Y499/SUMIFS($Y:$Y,J:J,J499,$D:$D,$D499,$AE:$AE,$AE499)/SUMIF(符文权重!$A:$A,$D499,符文权重!$D:$D)))</f>
        <v/>
      </c>
      <c r="Q499" s="51" t="str" cm="1">
        <f t="array" ref="Q499">IF($A499="","",IF(K499="","",_xlfn.XLOOKUP($D499&amp;"_"&amp;$AE499,符文权重!$A:$A&amp;"_"&amp;符文权重!$C:$C,符文权重!$D:$D)*$Y499/SUMIFS($Y:$Y,K:K,K499,$D:$D,$D499,$AE:$AE,$AE499)/SUMIF(符文权重!$A:$A,$D499,符文权重!$D:$D)))</f>
        <v/>
      </c>
      <c r="R499" s="51" t="str" cm="1">
        <f t="array" ref="R499">IF($A499="","",IF(L499="","",_xlfn.XLOOKUP($D499&amp;"_"&amp;$AE499,符文权重!$A:$A&amp;"_"&amp;符文权重!$C:$C,符文权重!$D:$D)*$Y499/SUMIFS($Y:$Y,L:L,L499,$D:$D,$D499,$AE:$AE,$AE499)/SUMIF(符文权重!$A:$A,$D499,符文权重!$D:$D)))</f>
        <v/>
      </c>
      <c r="S499" s="36" t="s">
        <v>175</v>
      </c>
      <c r="T499" s="36"/>
      <c r="U499" s="36" t="e">
        <f>IF(C499="","",SUBSTITUTE(SUBSTITUTE("[{global_atk,"&amp;#REF!*D499&amp;"}]",21,20),9,8))</f>
        <v>#REF!</v>
      </c>
      <c r="V499" s="52" t="str">
        <f t="shared" si="229"/>
        <v>[5506026]</v>
      </c>
      <c r="W499" s="36" t="s">
        <v>561</v>
      </c>
      <c r="Y499" s="35">
        <v>100</v>
      </c>
      <c r="AA499" s="42" t="s">
        <v>189</v>
      </c>
      <c r="AB499" s="42" t="str">
        <f t="shared" si="222"/>
        <v>无视怪物所有类型&lt;color=#54b76b&gt;50%&lt;/color&gt;的抗性</v>
      </c>
      <c r="AC499" s="48" t="str">
        <f t="shared" si="218"/>
        <v>5506021</v>
      </c>
      <c r="AD499" s="42" t="str">
        <f t="shared" si="213"/>
        <v>[50]</v>
      </c>
      <c r="AE499" s="36">
        <v>6</v>
      </c>
      <c r="AF499" s="36"/>
      <c r="AG499" s="36">
        <v>0</v>
      </c>
      <c r="AH499" s="35">
        <v>1</v>
      </c>
      <c r="AI499" s="48">
        <f t="shared" si="230"/>
        <v>5506026</v>
      </c>
      <c r="AJ499" s="53" t="str">
        <f t="shared" si="231"/>
        <v>无视怪物所有类型&lt;color=#54b76b&gt;%s%&lt;/color&gt;的抗性</v>
      </c>
      <c r="AK499" s="36">
        <v>50</v>
      </c>
      <c r="AL499" s="35">
        <v>6</v>
      </c>
    </row>
    <row r="500" customHeight="1" spans="1:38">
      <c r="A500" s="48">
        <v>5506027</v>
      </c>
      <c r="C500" s="48" t="str">
        <f t="shared" si="216"/>
        <v>5506021</v>
      </c>
      <c r="D500" s="42">
        <f t="shared" si="217"/>
        <v>7</v>
      </c>
      <c r="E500" s="42"/>
      <c r="F500" s="36" t="s">
        <v>211</v>
      </c>
      <c r="G500" s="36" t="str">
        <f t="shared" si="209"/>
        <v/>
      </c>
      <c r="H500" s="36">
        <f>IFERROR(IF(--MID($F500,2*COUNTIF($G500:G500,"&gt;"&amp;0)+2,1)=H$1,H$1,""),"")</f>
        <v>2</v>
      </c>
      <c r="I500" s="36" t="str">
        <f>IFERROR(IF(--MID($F500,2*COUNTIF($G500:H500,"&gt;"&amp;0)+2,1)=I$1,I$1,""),"")</f>
        <v/>
      </c>
      <c r="J500" s="36" t="str">
        <f>IFERROR(IF(--MID($F500,2*COUNTIF($G500:I500,"&gt;"&amp;0)+2,1)=J$1,J$1,""),"")</f>
        <v/>
      </c>
      <c r="K500" s="36" t="str">
        <f>IFERROR(IF(--MID($F500,2*COUNTIF($G500:J500,"&gt;"&amp;0)+2,1)=K$1,K$1,""),"")</f>
        <v/>
      </c>
      <c r="L500" s="36" t="str">
        <f>IFERROR(IF(--MID($F500,2*COUNTIF($G500:K500,"&gt;"&amp;0)+2,1)=L$1,L$1,""),"")</f>
        <v/>
      </c>
      <c r="M500" s="51" t="str" cm="1">
        <f t="array" ref="M500">IF($A500="","",IF(G500="","",_xlfn.XLOOKUP($D500&amp;"_"&amp;$AE500,符文权重!$A:$A&amp;"_"&amp;符文权重!$C:$C,符文权重!$D:$D)*$Y500/SUMIFS($Y:$Y,G:G,G500,$D:$D,$D500,$AE:$AE,$AE500)/SUMIF(符文权重!$A:$A,$D500,符文权重!$D:$D)))</f>
        <v/>
      </c>
      <c r="N500" s="51" cm="1">
        <f t="array" ref="N500">IF($A500="","",IF(H500="","",_xlfn.XLOOKUP($D500&amp;"_"&amp;$AE500,符文权重!$A:$A&amp;"_"&amp;符文权重!$C:$C,符文权重!$D:$D)*$Y500/SUMIFS($Y:$Y,H:H,H500,$D:$D,$D500,$AE:$AE,$AE500)/SUMIF(符文权重!$A:$A,$D500,符文权重!$D:$D)))</f>
        <v>0.00300429184549356</v>
      </c>
      <c r="O500" s="51" t="str" cm="1">
        <f t="array" ref="O500">IF($A500="","",IF(I500="","",_xlfn.XLOOKUP($D500&amp;"_"&amp;$AE500,符文权重!$A:$A&amp;"_"&amp;符文权重!$C:$C,符文权重!$D:$D)*$Y500/SUMIFS($Y:$Y,I:I,I500,$D:$D,$D500,$AE:$AE,$AE500)/SUMIF(符文权重!$A:$A,$D500,符文权重!$D:$D)))</f>
        <v/>
      </c>
      <c r="P500" s="51" t="str" cm="1">
        <f t="array" ref="P500">IF($A500="","",IF(J500="","",_xlfn.XLOOKUP($D500&amp;"_"&amp;$AE500,符文权重!$A:$A&amp;"_"&amp;符文权重!$C:$C,符文权重!$D:$D)*$Y500/SUMIFS($Y:$Y,J:J,J500,$D:$D,$D500,$AE:$AE,$AE500)/SUMIF(符文权重!$A:$A,$D500,符文权重!$D:$D)))</f>
        <v/>
      </c>
      <c r="Q500" s="51" t="str" cm="1">
        <f t="array" ref="Q500">IF($A500="","",IF(K500="","",_xlfn.XLOOKUP($D500&amp;"_"&amp;$AE500,符文权重!$A:$A&amp;"_"&amp;符文权重!$C:$C,符文权重!$D:$D)*$Y500/SUMIFS($Y:$Y,K:K,K500,$D:$D,$D500,$AE:$AE,$AE500)/SUMIF(符文权重!$A:$A,$D500,符文权重!$D:$D)))</f>
        <v/>
      </c>
      <c r="R500" s="51" t="str" cm="1">
        <f t="array" ref="R500">IF($A500="","",IF(L500="","",_xlfn.XLOOKUP($D500&amp;"_"&amp;$AE500,符文权重!$A:$A&amp;"_"&amp;符文权重!$C:$C,符文权重!$D:$D)*$Y500/SUMIFS($Y:$Y,L:L,L500,$D:$D,$D500,$AE:$AE,$AE500)/SUMIF(符文权重!$A:$A,$D500,符文权重!$D:$D)))</f>
        <v/>
      </c>
      <c r="S500" s="36" t="s">
        <v>175</v>
      </c>
      <c r="T500" s="36"/>
      <c r="U500" s="36" t="e">
        <f>IF(C500="","",SUBSTITUTE(SUBSTITUTE("[{global_atk,"&amp;#REF!*D500&amp;"}]",21,20),9,8))</f>
        <v>#REF!</v>
      </c>
      <c r="V500" s="52" t="str">
        <f t="shared" si="229"/>
        <v>[5506027]</v>
      </c>
      <c r="W500" s="36" t="s">
        <v>562</v>
      </c>
      <c r="Y500" s="35">
        <v>100</v>
      </c>
      <c r="AA500" s="42" t="s">
        <v>191</v>
      </c>
      <c r="AB500" s="42" t="str">
        <f t="shared" si="222"/>
        <v>无视怪物所有类型&lt;color=#54b76b&gt;60%&lt;/color&gt;的抗性</v>
      </c>
      <c r="AC500" s="48" t="str">
        <f t="shared" si="218"/>
        <v>5506021</v>
      </c>
      <c r="AD500" s="42" t="str">
        <f t="shared" si="213"/>
        <v>[60]</v>
      </c>
      <c r="AE500" s="36">
        <v>6</v>
      </c>
      <c r="AF500" s="36"/>
      <c r="AG500" s="36">
        <v>0</v>
      </c>
      <c r="AH500" s="35">
        <v>1</v>
      </c>
      <c r="AI500" s="48">
        <f t="shared" si="230"/>
        <v>5506027</v>
      </c>
      <c r="AJ500" s="53" t="str">
        <f t="shared" si="231"/>
        <v>无视怪物所有类型&lt;color=#54b76b&gt;%s%&lt;/color&gt;的抗性</v>
      </c>
      <c r="AK500" s="36">
        <v>60</v>
      </c>
      <c r="AL500" s="35">
        <v>6</v>
      </c>
    </row>
    <row r="501" s="25" customFormat="1" hidden="1" customHeight="1" spans="1:38">
      <c r="A501" s="48" t="s">
        <v>178</v>
      </c>
      <c r="B501" s="35"/>
      <c r="C501" s="48" t="str">
        <f t="shared" si="216"/>
        <v/>
      </c>
      <c r="D501" s="42" t="str">
        <f t="shared" si="217"/>
        <v/>
      </c>
      <c r="E501" s="42"/>
      <c r="F501" s="36"/>
      <c r="G501" s="36" t="str">
        <f t="shared" si="209"/>
        <v/>
      </c>
      <c r="H501" s="36" t="str">
        <f>IFERROR(IF(--MID($F501,2*COUNTIF($G501:G501,"&gt;"&amp;0)+2,1)=H$1,H$1,""),"")</f>
        <v/>
      </c>
      <c r="I501" s="36" t="str">
        <f>IFERROR(IF(--MID($F501,2*COUNTIF($G501:H501,"&gt;"&amp;0)+2,1)=I$1,I$1,""),"")</f>
        <v/>
      </c>
      <c r="J501" s="36" t="str">
        <f>IFERROR(IF(--MID($F501,2*COUNTIF($G501:I501,"&gt;"&amp;0)+2,1)=J$1,J$1,""),"")</f>
        <v/>
      </c>
      <c r="K501" s="36" t="str">
        <f>IFERROR(IF(--MID($F501,2*COUNTIF($G501:J501,"&gt;"&amp;0)+2,1)=K$1,K$1,""),"")</f>
        <v/>
      </c>
      <c r="L501" s="36" t="str">
        <f>IFERROR(IF(--MID($F501,2*COUNTIF($G501:K501,"&gt;"&amp;0)+2,1)=L$1,L$1,""),"")</f>
        <v/>
      </c>
      <c r="M501" s="51" t="str" cm="1">
        <f t="array" ref="M501">IF($A501="","",IF(G501="","",_xlfn.XLOOKUP($D501&amp;"_"&amp;$AE501,符文权重!$A:$A&amp;"_"&amp;符文权重!$C:$C,符文权重!$D:$D)*$Y501/SUMIFS($Y:$Y,G:G,G501,$D:$D,$D501,$AE:$AE,$AE501)/SUMIF(符文权重!$A:$A,$D501,符文权重!$D:$D)))</f>
        <v/>
      </c>
      <c r="N501" s="36" t="str" cm="1">
        <f t="array" ref="N501">IF($A501="","",IF(H501="","",_xlfn.XLOOKUP($D501&amp;"_"&amp;$AE501,符文权重!$A:$A&amp;"_"&amp;符文权重!$C:$C,符文权重!$D:$D)*$Y501/SUMIFS($Y:$Y,H:H,H501,$D:$D,$D$6,$AE:$AE,$AE$6)))</f>
        <v/>
      </c>
      <c r="O501" s="36" t="str" cm="1">
        <f t="array" ref="O501">IF($A501="","",IF(I501="","",_xlfn.XLOOKUP($D501&amp;"_"&amp;$AE501,符文权重!$A:$A&amp;"_"&amp;符文权重!$C:$C,符文权重!$D:$D)*$Y501/SUMIFS($Y:$Y,I:I,I501,$D:$D,$D$6,$AE:$AE,$AE$6)))</f>
        <v/>
      </c>
      <c r="P501" s="36" t="str" cm="1">
        <f t="array" ref="P501">IF($A501="","",IF(J501="","",_xlfn.XLOOKUP($D501&amp;"_"&amp;$AE501,符文权重!$A:$A&amp;"_"&amp;符文权重!$C:$C,符文权重!$D:$D)*$Y501/SUMIFS($Y:$Y,J:J,J501,$D:$D,$D$6,$AE:$AE,$AE$6)))</f>
        <v/>
      </c>
      <c r="Q501" s="36" t="str" cm="1">
        <f t="array" ref="Q501">IF($A501="","",IF(K501="","",_xlfn.XLOOKUP($D501&amp;"_"&amp;$AE501,符文权重!$A:$A&amp;"_"&amp;符文权重!$C:$C,符文权重!$D:$D)*$Y501/SUMIFS($Y:$Y,K:K,K501,$D:$D,$D$6,$AE:$AE,$AE$6)))</f>
        <v/>
      </c>
      <c r="R501" s="36" t="str" cm="1">
        <f t="array" ref="R501">IF($A501="","",IF(L501="","",_xlfn.XLOOKUP($D501&amp;"_"&amp;$AE501,符文权重!$A:$A&amp;"_"&amp;符文权重!$C:$C,符文权重!$D:$D)*$Y501/SUMIFS($Y:$Y,L:L,L501,$D:$D,$D$6,$AE:$AE,$AE$6)))</f>
        <v/>
      </c>
      <c r="S501" s="36"/>
      <c r="T501" s="36"/>
      <c r="U501" s="36"/>
      <c r="W501" s="41"/>
      <c r="X501" s="35"/>
      <c r="Y501" s="35"/>
      <c r="Z501" s="35"/>
      <c r="AA501" s="42" t="s">
        <v>178</v>
      </c>
      <c r="AB501" s="42" t="str">
        <f t="shared" si="222"/>
        <v/>
      </c>
      <c r="AC501" s="48" t="str">
        <f t="shared" si="218"/>
        <v/>
      </c>
      <c r="AD501" s="42" t="str">
        <f t="shared" si="213"/>
        <v/>
      </c>
      <c r="AE501" s="36"/>
      <c r="AF501" s="36"/>
      <c r="AG501" s="36"/>
      <c r="AH501" s="35" t="s">
        <v>178</v>
      </c>
      <c r="AI501" s="33"/>
      <c r="AJ501" s="74"/>
      <c r="AK501" s="36"/>
      <c r="AL501" s="35"/>
    </row>
    <row r="502" hidden="1" customHeight="1" spans="1:38">
      <c r="A502" s="48">
        <v>5506031</v>
      </c>
      <c r="B502" s="34" t="s">
        <v>563</v>
      </c>
      <c r="C502" s="48" t="str">
        <f t="shared" si="216"/>
        <v>5506031</v>
      </c>
      <c r="D502" s="42">
        <f t="shared" si="217"/>
        <v>1</v>
      </c>
      <c r="E502" s="42"/>
      <c r="F502" s="36" t="s">
        <v>404</v>
      </c>
      <c r="G502" s="36" t="str">
        <f t="shared" si="209"/>
        <v/>
      </c>
      <c r="H502" s="36" t="str">
        <f>IFERROR(IF(--MID($F502,2*COUNTIF($G502:G502,"&gt;"&amp;0)+2,1)=H$1,H$1,""),"")</f>
        <v/>
      </c>
      <c r="I502" s="36" t="str">
        <f>IFERROR(IF(--MID($F502,2*COUNTIF($G502:H502,"&gt;"&amp;0)+2,1)=I$1,I$1,""),"")</f>
        <v/>
      </c>
      <c r="J502" s="36">
        <f>IFERROR(IF(--MID($F502,2*COUNTIF($G502:I502,"&gt;"&amp;0)+2,1)=J$1,J$1,""),"")</f>
        <v>4</v>
      </c>
      <c r="K502" s="36" t="str">
        <f>IFERROR(IF(--MID($F502,2*COUNTIF($G502:J502,"&gt;"&amp;0)+2,1)=K$1,K$1,""),"")</f>
        <v/>
      </c>
      <c r="L502" s="36" t="str">
        <f>IFERROR(IF(--MID($F502,2*COUNTIF($G502:K502,"&gt;"&amp;0)+2,1)=L$1,L$1,""),"")</f>
        <v/>
      </c>
      <c r="M502" s="36" t="e" cm="1">
        <f t="array" ref="M502">IF(A502="","",_xlfn.XLOOKUP(D502&amp;"_"&amp;AE502,符文权重!A:A&amp;"_"&amp;符文权重!C:C,符文权重!D:D))</f>
        <v>#N/A</v>
      </c>
      <c r="N502" s="36"/>
      <c r="O502" s="36"/>
      <c r="P502" s="36"/>
      <c r="Q502" s="36"/>
      <c r="R502" s="36"/>
      <c r="S502" s="36" t="s">
        <v>175</v>
      </c>
      <c r="T502" s="36"/>
      <c r="U502" s="36" t="e">
        <f>IF(C502="","",SUBSTITUTE(SUBSTITUTE("[{global_atk,"&amp;#REF!*D502&amp;"}]",21,20),9,8))</f>
        <v>#REF!</v>
      </c>
      <c r="V502" s="52" t="str">
        <f t="shared" ref="V502:V508" si="232">"["&amp;A502&amp;"]"</f>
        <v>[5506031]</v>
      </c>
      <c r="Y502" s="35">
        <v>100</v>
      </c>
      <c r="AA502" s="42" t="s">
        <v>177</v>
      </c>
      <c r="AB502" s="42" t="str">
        <f t="shared" si="222"/>
        <v>伤害在80%~&lt;color=#54b76b&gt;0%&lt;/color&gt;之间浮动</v>
      </c>
      <c r="AC502" s="48" t="str">
        <f t="shared" si="218"/>
        <v>5506031</v>
      </c>
      <c r="AD502" s="42" t="str">
        <f t="shared" si="213"/>
        <v>[0]</v>
      </c>
      <c r="AE502" s="36">
        <v>100</v>
      </c>
      <c r="AF502" s="36"/>
      <c r="AG502" s="36">
        <v>1</v>
      </c>
      <c r="AH502" s="35">
        <v>1</v>
      </c>
      <c r="AI502" s="33">
        <v>5506031</v>
      </c>
      <c r="AJ502" s="55" t="s">
        <v>563</v>
      </c>
      <c r="AK502" s="36">
        <v>0</v>
      </c>
      <c r="AL502" s="35">
        <v>6</v>
      </c>
    </row>
    <row r="503" hidden="1" customHeight="1" spans="1:38">
      <c r="A503" s="48">
        <v>5506032</v>
      </c>
      <c r="C503" s="48" t="str">
        <f t="shared" si="216"/>
        <v>5506031</v>
      </c>
      <c r="D503" s="42">
        <f t="shared" si="217"/>
        <v>2</v>
      </c>
      <c r="E503" s="42"/>
      <c r="F503" s="36" t="s">
        <v>404</v>
      </c>
      <c r="G503" s="36" t="str">
        <f t="shared" si="209"/>
        <v/>
      </c>
      <c r="H503" s="36" t="str">
        <f>IFERROR(IF(--MID($F503,2*COUNTIF($G503:G503,"&gt;"&amp;0)+2,1)=H$1,H$1,""),"")</f>
        <v/>
      </c>
      <c r="I503" s="36" t="str">
        <f>IFERROR(IF(--MID($F503,2*COUNTIF($G503:H503,"&gt;"&amp;0)+2,1)=I$1,I$1,""),"")</f>
        <v/>
      </c>
      <c r="J503" s="36">
        <f>IFERROR(IF(--MID($F503,2*COUNTIF($G503:I503,"&gt;"&amp;0)+2,1)=J$1,J$1,""),"")</f>
        <v>4</v>
      </c>
      <c r="K503" s="36" t="str">
        <f>IFERROR(IF(--MID($F503,2*COUNTIF($G503:J503,"&gt;"&amp;0)+2,1)=K$1,K$1,""),"")</f>
        <v/>
      </c>
      <c r="L503" s="36" t="str">
        <f>IFERROR(IF(--MID($F503,2*COUNTIF($G503:K503,"&gt;"&amp;0)+2,1)=L$1,L$1,""),"")</f>
        <v/>
      </c>
      <c r="M503" s="36" t="e" cm="1">
        <f t="array" ref="M503">IF(A503="","",_xlfn.XLOOKUP(D503&amp;"_"&amp;AE503,符文权重!A:A&amp;"_"&amp;符文权重!C:C,符文权重!D:D))</f>
        <v>#N/A</v>
      </c>
      <c r="N503" s="36"/>
      <c r="O503" s="36"/>
      <c r="P503" s="36"/>
      <c r="Q503" s="36"/>
      <c r="R503" s="36"/>
      <c r="S503" s="36" t="s">
        <v>175</v>
      </c>
      <c r="T503" s="36"/>
      <c r="U503" s="36" t="e">
        <f>IF(C503="","",SUBSTITUTE(SUBSTITUTE("[{global_atk,"&amp;#REF!*D503&amp;"}]",21,20),9,8))</f>
        <v>#REF!</v>
      </c>
      <c r="V503" s="52" t="str">
        <f t="shared" si="232"/>
        <v>[5506032]</v>
      </c>
      <c r="Y503" s="35">
        <v>100</v>
      </c>
      <c r="AA503" s="42" t="s">
        <v>181</v>
      </c>
      <c r="AB503" s="42" t="str">
        <f t="shared" si="222"/>
        <v>伤害在80%~&lt;color=#54b76b&gt;0%&lt;/color&gt;之间浮动</v>
      </c>
      <c r="AC503" s="48" t="str">
        <f t="shared" si="218"/>
        <v>5506031</v>
      </c>
      <c r="AD503" s="42" t="str">
        <f t="shared" si="213"/>
        <v>[0]</v>
      </c>
      <c r="AE503" s="36">
        <v>100</v>
      </c>
      <c r="AF503" s="36"/>
      <c r="AG503" s="36">
        <v>1</v>
      </c>
      <c r="AH503" s="35">
        <v>1</v>
      </c>
      <c r="AI503" s="48">
        <f t="shared" ref="AI503:AI508" si="233">AI502+1</f>
        <v>5506032</v>
      </c>
      <c r="AJ503" s="53" t="str">
        <f t="shared" ref="AJ503:AJ508" si="234">AJ502</f>
        <v>伤害在80%~&lt;color=#54b76b&gt;%s%&lt;/color&gt;之间浮动</v>
      </c>
      <c r="AK503" s="36">
        <v>0</v>
      </c>
      <c r="AL503" s="35">
        <v>6</v>
      </c>
    </row>
    <row r="504" hidden="1" customHeight="1" spans="1:38">
      <c r="A504" s="48">
        <v>5506033</v>
      </c>
      <c r="C504" s="48" t="str">
        <f t="shared" si="216"/>
        <v>5506031</v>
      </c>
      <c r="D504" s="42">
        <f t="shared" si="217"/>
        <v>3</v>
      </c>
      <c r="E504" s="42"/>
      <c r="F504" s="36" t="s">
        <v>404</v>
      </c>
      <c r="G504" s="36" t="str">
        <f t="shared" si="209"/>
        <v/>
      </c>
      <c r="H504" s="36" t="str">
        <f>IFERROR(IF(--MID($F504,2*COUNTIF($G504:G504,"&gt;"&amp;0)+2,1)=H$1,H$1,""),"")</f>
        <v/>
      </c>
      <c r="I504" s="36" t="str">
        <f>IFERROR(IF(--MID($F504,2*COUNTIF($G504:H504,"&gt;"&amp;0)+2,1)=I$1,I$1,""),"")</f>
        <v/>
      </c>
      <c r="J504" s="36">
        <f>IFERROR(IF(--MID($F504,2*COUNTIF($G504:I504,"&gt;"&amp;0)+2,1)=J$1,J$1,""),"")</f>
        <v>4</v>
      </c>
      <c r="K504" s="36" t="str">
        <f>IFERROR(IF(--MID($F504,2*COUNTIF($G504:J504,"&gt;"&amp;0)+2,1)=K$1,K$1,""),"")</f>
        <v/>
      </c>
      <c r="L504" s="36" t="str">
        <f>IFERROR(IF(--MID($F504,2*COUNTIF($G504:K504,"&gt;"&amp;0)+2,1)=L$1,L$1,""),"")</f>
        <v/>
      </c>
      <c r="M504" s="36" t="e" cm="1">
        <f t="array" ref="M504">IF(A504="","",_xlfn.XLOOKUP(D504&amp;"_"&amp;AE504,符文权重!A:A&amp;"_"&amp;符文权重!C:C,符文权重!D:D))</f>
        <v>#N/A</v>
      </c>
      <c r="N504" s="36"/>
      <c r="O504" s="36"/>
      <c r="P504" s="36"/>
      <c r="Q504" s="36"/>
      <c r="R504" s="36"/>
      <c r="S504" s="36" t="s">
        <v>175</v>
      </c>
      <c r="T504" s="36"/>
      <c r="U504" s="36" t="e">
        <f>IF(C504="","",SUBSTITUTE(SUBSTITUTE("[{global_atk,"&amp;#REF!*D504&amp;"}]",21,20),9,8))</f>
        <v>#REF!</v>
      </c>
      <c r="V504" s="52" t="str">
        <f t="shared" si="232"/>
        <v>[5506033]</v>
      </c>
      <c r="Y504" s="35">
        <v>100</v>
      </c>
      <c r="AA504" s="42" t="s">
        <v>183</v>
      </c>
      <c r="AB504" s="42" t="str">
        <f t="shared" si="222"/>
        <v>伤害在80%~&lt;color=#54b76b&gt;0%&lt;/color&gt;之间浮动</v>
      </c>
      <c r="AC504" s="48" t="str">
        <f t="shared" si="218"/>
        <v>5506031</v>
      </c>
      <c r="AD504" s="42" t="str">
        <f t="shared" si="213"/>
        <v>[0]</v>
      </c>
      <c r="AE504" s="36">
        <v>100</v>
      </c>
      <c r="AF504" s="36"/>
      <c r="AG504" s="36">
        <v>1</v>
      </c>
      <c r="AH504" s="35">
        <v>1</v>
      </c>
      <c r="AI504" s="48">
        <f t="shared" si="233"/>
        <v>5506033</v>
      </c>
      <c r="AJ504" s="53" t="str">
        <f t="shared" si="234"/>
        <v>伤害在80%~&lt;color=#54b76b&gt;%s%&lt;/color&gt;之间浮动</v>
      </c>
      <c r="AK504" s="36">
        <v>0</v>
      </c>
      <c r="AL504" s="35">
        <v>6</v>
      </c>
    </row>
    <row r="505" hidden="1" customHeight="1" spans="1:38">
      <c r="A505" s="48">
        <v>5506034</v>
      </c>
      <c r="C505" s="48" t="str">
        <f t="shared" si="216"/>
        <v>5506031</v>
      </c>
      <c r="D505" s="42">
        <f t="shared" si="217"/>
        <v>4</v>
      </c>
      <c r="E505" s="42"/>
      <c r="F505" s="36" t="s">
        <v>404</v>
      </c>
      <c r="G505" s="36" t="str">
        <f t="shared" si="209"/>
        <v/>
      </c>
      <c r="H505" s="36" t="str">
        <f>IFERROR(IF(--MID($F505,2*COUNTIF($G505:G505,"&gt;"&amp;0)+2,1)=H$1,H$1,""),"")</f>
        <v/>
      </c>
      <c r="I505" s="36" t="str">
        <f>IFERROR(IF(--MID($F505,2*COUNTIF($G505:H505,"&gt;"&amp;0)+2,1)=I$1,I$1,""),"")</f>
        <v/>
      </c>
      <c r="J505" s="36">
        <f>IFERROR(IF(--MID($F505,2*COUNTIF($G505:I505,"&gt;"&amp;0)+2,1)=J$1,J$1,""),"")</f>
        <v>4</v>
      </c>
      <c r="K505" s="36" t="str">
        <f>IFERROR(IF(--MID($F505,2*COUNTIF($G505:J505,"&gt;"&amp;0)+2,1)=K$1,K$1,""),"")</f>
        <v/>
      </c>
      <c r="L505" s="36" t="str">
        <f>IFERROR(IF(--MID($F505,2*COUNTIF($G505:K505,"&gt;"&amp;0)+2,1)=L$1,L$1,""),"")</f>
        <v/>
      </c>
      <c r="M505" s="51" t="str" cm="1">
        <f t="array" ref="M505">IF($A505="","",IF(G505="","",_xlfn.XLOOKUP($D505&amp;"_"&amp;$AE505,符文权重!$A:$A&amp;"_"&amp;符文权重!$C:$C,符文权重!$D:$D)*$Y505/SUMIFS($Y:$Y,G:G,G505,$D:$D,$D505,$AE:$AE,$AE505)/SUMIF(符文权重!$A:$A,$D505,符文权重!$D:$D)))</f>
        <v/>
      </c>
      <c r="N505" s="51" t="str" cm="1">
        <f t="array" ref="N505">IF($A505="","",IF(H505="","",_xlfn.XLOOKUP($D505&amp;"_"&amp;$AE505,符文权重!$A:$A&amp;"_"&amp;符文权重!$C:$C,符文权重!$D:$D)*$Y505/SUMIFS($Y:$Y,H:H,H505,$D:$D,$D505,$AE:$AE,$AE505)/SUMIF(符文权重!$A:$A,$D505,符文权重!$D:$D)))</f>
        <v/>
      </c>
      <c r="O505" s="51" t="str" cm="1">
        <f t="array" ref="O505">IF($A505="","",IF(I505="","",_xlfn.XLOOKUP($D505&amp;"_"&amp;$AE505,符文权重!$A:$A&amp;"_"&amp;符文权重!$C:$C,符文权重!$D:$D)*$Y505/SUMIFS($Y:$Y,I:I,I505,$D:$D,$D505,$AE:$AE,$AE505)/SUMIF(符文权重!$A:$A,$D505,符文权重!$D:$D)))</f>
        <v/>
      </c>
      <c r="P505" s="51" cm="1">
        <f t="array" ref="P505">IF($A505="","",IF(J505="","",_xlfn.XLOOKUP($D505&amp;"_"&amp;$AE505,符文权重!$A:$A&amp;"_"&amp;符文权重!$C:$C,符文权重!$D:$D)*$Y505/SUMIFS($Y:$Y,J:J,J505,$D:$D,$D505,$AE:$AE,$AE505)/SUMIF(符文权重!$A:$A,$D505,符文权重!$D:$D)))</f>
        <v>0.0022977522977523</v>
      </c>
      <c r="Q505" s="51" t="str" cm="1">
        <f t="array" ref="Q505">IF($A505="","",IF(K505="","",_xlfn.XLOOKUP($D505&amp;"_"&amp;$AE505,符文权重!$A:$A&amp;"_"&amp;符文权重!$C:$C,符文权重!$D:$D)*$Y505/SUMIFS($Y:$Y,K:K,K505,$D:$D,$D505,$AE:$AE,$AE505)/SUMIF(符文权重!$A:$A,$D505,符文权重!$D:$D)))</f>
        <v/>
      </c>
      <c r="R505" s="51" t="str" cm="1">
        <f t="array" ref="R505">IF($A505="","",IF(L505="","",_xlfn.XLOOKUP($D505&amp;"_"&amp;$AE505,符文权重!$A:$A&amp;"_"&amp;符文权重!$C:$C,符文权重!$D:$D)*$Y505/SUMIFS($Y:$Y,L:L,L505,$D:$D,$D505,$AE:$AE,$AE505)/SUMIF(符文权重!$A:$A,$D505,符文权重!$D:$D)))</f>
        <v/>
      </c>
      <c r="S505" s="36" t="s">
        <v>175</v>
      </c>
      <c r="T505" s="36"/>
      <c r="U505" s="36" t="e">
        <f>IF(C505="","",SUBSTITUTE(SUBSTITUTE("[{global_atk,"&amp;#REF!*D505&amp;"}]",21,20),9,8))</f>
        <v>#REF!</v>
      </c>
      <c r="V505" s="52" t="str">
        <f t="shared" si="232"/>
        <v>[5506034]</v>
      </c>
      <c r="Y505" s="35">
        <v>20</v>
      </c>
      <c r="AA505" s="42" t="s">
        <v>185</v>
      </c>
      <c r="AB505" s="42" t="str">
        <f t="shared" si="222"/>
        <v>伤害在80%~&lt;color=#54b76b&gt;130%&lt;/color&gt;之间浮动</v>
      </c>
      <c r="AC505" s="48" t="str">
        <f t="shared" si="218"/>
        <v>5506031</v>
      </c>
      <c r="AD505" s="42" t="str">
        <f t="shared" si="213"/>
        <v>[130]</v>
      </c>
      <c r="AE505" s="36">
        <v>4</v>
      </c>
      <c r="AF505" s="36"/>
      <c r="AG505" s="36">
        <v>0</v>
      </c>
      <c r="AH505" s="35">
        <v>1</v>
      </c>
      <c r="AI505" s="48">
        <f t="shared" si="233"/>
        <v>5506034</v>
      </c>
      <c r="AJ505" s="53" t="str">
        <f t="shared" si="234"/>
        <v>伤害在80%~&lt;color=#54b76b&gt;%s%&lt;/color&gt;之间浮动</v>
      </c>
      <c r="AK505" s="36">
        <v>130</v>
      </c>
      <c r="AL505" s="35">
        <v>6</v>
      </c>
    </row>
    <row r="506" customHeight="1" spans="1:38">
      <c r="A506" s="48">
        <v>5506035</v>
      </c>
      <c r="C506" s="48" t="str">
        <f t="shared" si="216"/>
        <v>5506031</v>
      </c>
      <c r="D506" s="42">
        <f t="shared" si="217"/>
        <v>5</v>
      </c>
      <c r="E506" s="42"/>
      <c r="F506" s="36" t="s">
        <v>404</v>
      </c>
      <c r="G506" s="36" t="str">
        <f t="shared" si="209"/>
        <v/>
      </c>
      <c r="H506" s="36" t="str">
        <f>IFERROR(IF(--MID($F506,2*COUNTIF($G506:G506,"&gt;"&amp;0)+2,1)=H$1,H$1,""),"")</f>
        <v/>
      </c>
      <c r="I506" s="36" t="str">
        <f>IFERROR(IF(--MID($F506,2*COUNTIF($G506:H506,"&gt;"&amp;0)+2,1)=I$1,I$1,""),"")</f>
        <v/>
      </c>
      <c r="J506" s="36">
        <f>IFERROR(IF(--MID($F506,2*COUNTIF($G506:I506,"&gt;"&amp;0)+2,1)=J$1,J$1,""),"")</f>
        <v>4</v>
      </c>
      <c r="K506" s="36" t="str">
        <f>IFERROR(IF(--MID($F506,2*COUNTIF($G506:J506,"&gt;"&amp;0)+2,1)=K$1,K$1,""),"")</f>
        <v/>
      </c>
      <c r="L506" s="36" t="str">
        <f>IFERROR(IF(--MID($F506,2*COUNTIF($G506:K506,"&gt;"&amp;0)+2,1)=L$1,L$1,""),"")</f>
        <v/>
      </c>
      <c r="M506" s="51" t="str" cm="1">
        <f t="array" ref="M506">IF($A506="","",IF(G506="","",_xlfn.XLOOKUP($D506&amp;"_"&amp;$AE506,符文权重!$A:$A&amp;"_"&amp;符文权重!$C:$C,符文权重!$D:$D)*$Y506/SUMIFS($Y:$Y,G:G,G506,$D:$D,$D506,$AE:$AE,$AE506)/SUMIF(符文权重!$A:$A,$D506,符文权重!$D:$D)))</f>
        <v/>
      </c>
      <c r="N506" s="51" t="str" cm="1">
        <f t="array" ref="N506">IF($A506="","",IF(H506="","",_xlfn.XLOOKUP($D506&amp;"_"&amp;$AE506,符文权重!$A:$A&amp;"_"&amp;符文权重!$C:$C,符文权重!$D:$D)*$Y506/SUMIFS($Y:$Y,H:H,H506,$D:$D,$D506,$AE:$AE,$AE506)/SUMIF(符文权重!$A:$A,$D506,符文权重!$D:$D)))</f>
        <v/>
      </c>
      <c r="O506" s="51" t="str" cm="1">
        <f t="array" ref="O506">IF($A506="","",IF(I506="","",_xlfn.XLOOKUP($D506&amp;"_"&amp;$AE506,符文权重!$A:$A&amp;"_"&amp;符文权重!$C:$C,符文权重!$D:$D)*$Y506/SUMIFS($Y:$Y,I:I,I506,$D:$D,$D506,$AE:$AE,$AE506)/SUMIF(符文权重!$A:$A,$D506,符文权重!$D:$D)))</f>
        <v/>
      </c>
      <c r="P506" s="51" cm="1">
        <f t="array" ref="P506">IF($A506="","",IF(J506="","",_xlfn.XLOOKUP($D506&amp;"_"&amp;$AE506,符文权重!$A:$A&amp;"_"&amp;符文权重!$C:$C,符文权重!$D:$D)*$Y506/SUMIFS($Y:$Y,J:J,J506,$D:$D,$D506,$AE:$AE,$AE506)/SUMIF(符文权重!$A:$A,$D506,符文权重!$D:$D)))</f>
        <v>0.00300429184549356</v>
      </c>
      <c r="Q506" s="51" t="str" cm="1">
        <f t="array" ref="Q506">IF($A506="","",IF(K506="","",_xlfn.XLOOKUP($D506&amp;"_"&amp;$AE506,符文权重!$A:$A&amp;"_"&amp;符文权重!$C:$C,符文权重!$D:$D)*$Y506/SUMIFS($Y:$Y,K:K,K506,$D:$D,$D506,$AE:$AE,$AE506)/SUMIF(符文权重!$A:$A,$D506,符文权重!$D:$D)))</f>
        <v/>
      </c>
      <c r="R506" s="51" t="str" cm="1">
        <f t="array" ref="R506">IF($A506="","",IF(L506="","",_xlfn.XLOOKUP($D506&amp;"_"&amp;$AE506,符文权重!$A:$A&amp;"_"&amp;符文权重!$C:$C,符文权重!$D:$D)*$Y506/SUMIFS($Y:$Y,L:L,L506,$D:$D,$D506,$AE:$AE,$AE506)/SUMIF(符文权重!$A:$A,$D506,符文权重!$D:$D)))</f>
        <v/>
      </c>
      <c r="S506" s="36" t="s">
        <v>175</v>
      </c>
      <c r="T506" s="36"/>
      <c r="U506" s="36" t="e">
        <f>IF(C506="","",SUBSTITUTE(SUBSTITUTE("[{global_atk,"&amp;#REF!*D506&amp;"}]",21,20),9,8))</f>
        <v>#REF!</v>
      </c>
      <c r="V506" s="52" t="str">
        <f t="shared" si="232"/>
        <v>[5506035]</v>
      </c>
      <c r="Y506" s="35">
        <v>100</v>
      </c>
      <c r="AA506" s="42" t="s">
        <v>187</v>
      </c>
      <c r="AB506" s="42" t="str">
        <f t="shared" si="222"/>
        <v>伤害在80%~&lt;color=#54b76b&gt;150%&lt;/color&gt;之间浮动</v>
      </c>
      <c r="AC506" s="48" t="str">
        <f t="shared" si="218"/>
        <v>5506031</v>
      </c>
      <c r="AD506" s="42" t="str">
        <f t="shared" si="213"/>
        <v>[150]</v>
      </c>
      <c r="AE506" s="36">
        <v>6</v>
      </c>
      <c r="AF506" s="36"/>
      <c r="AG506" s="36">
        <v>0</v>
      </c>
      <c r="AH506" s="35">
        <v>1</v>
      </c>
      <c r="AI506" s="48">
        <f t="shared" si="233"/>
        <v>5506035</v>
      </c>
      <c r="AJ506" s="53" t="str">
        <f t="shared" si="234"/>
        <v>伤害在80%~&lt;color=#54b76b&gt;%s%&lt;/color&gt;之间浮动</v>
      </c>
      <c r="AK506" s="36">
        <v>150</v>
      </c>
      <c r="AL506" s="35">
        <v>6</v>
      </c>
    </row>
    <row r="507" customHeight="1" spans="1:38">
      <c r="A507" s="48">
        <v>5506036</v>
      </c>
      <c r="C507" s="48" t="str">
        <f t="shared" si="216"/>
        <v>5506031</v>
      </c>
      <c r="D507" s="42">
        <f t="shared" si="217"/>
        <v>6</v>
      </c>
      <c r="E507" s="42"/>
      <c r="F507" s="36" t="s">
        <v>404</v>
      </c>
      <c r="G507" s="36" t="str">
        <f t="shared" si="209"/>
        <v/>
      </c>
      <c r="H507" s="36" t="str">
        <f>IFERROR(IF(--MID($F507,2*COUNTIF($G507:G507,"&gt;"&amp;0)+2,1)=H$1,H$1,""),"")</f>
        <v/>
      </c>
      <c r="I507" s="36" t="str">
        <f>IFERROR(IF(--MID($F507,2*COUNTIF($G507:H507,"&gt;"&amp;0)+2,1)=I$1,I$1,""),"")</f>
        <v/>
      </c>
      <c r="J507" s="36">
        <f>IFERROR(IF(--MID($F507,2*COUNTIF($G507:I507,"&gt;"&amp;0)+2,1)=J$1,J$1,""),"")</f>
        <v>4</v>
      </c>
      <c r="K507" s="36" t="str">
        <f>IFERROR(IF(--MID($F507,2*COUNTIF($G507:J507,"&gt;"&amp;0)+2,1)=K$1,K$1,""),"")</f>
        <v/>
      </c>
      <c r="L507" s="36" t="str">
        <f>IFERROR(IF(--MID($F507,2*COUNTIF($G507:K507,"&gt;"&amp;0)+2,1)=L$1,L$1,""),"")</f>
        <v/>
      </c>
      <c r="M507" s="51" t="str" cm="1">
        <f t="array" ref="M507">IF($A507="","",IF(G507="","",_xlfn.XLOOKUP($D507&amp;"_"&amp;$AE507,符文权重!$A:$A&amp;"_"&amp;符文权重!$C:$C,符文权重!$D:$D)*$Y507/SUMIFS($Y:$Y,G:G,G507,$D:$D,$D507,$AE:$AE,$AE507)/SUMIF(符文权重!$A:$A,$D507,符文权重!$D:$D)))</f>
        <v/>
      </c>
      <c r="N507" s="51" t="str" cm="1">
        <f t="array" ref="N507">IF($A507="","",IF(H507="","",_xlfn.XLOOKUP($D507&amp;"_"&amp;$AE507,符文权重!$A:$A&amp;"_"&amp;符文权重!$C:$C,符文权重!$D:$D)*$Y507/SUMIFS($Y:$Y,H:H,H507,$D:$D,$D507,$AE:$AE,$AE507)/SUMIF(符文权重!$A:$A,$D507,符文权重!$D:$D)))</f>
        <v/>
      </c>
      <c r="O507" s="51" t="str" cm="1">
        <f t="array" ref="O507">IF($A507="","",IF(I507="","",_xlfn.XLOOKUP($D507&amp;"_"&amp;$AE507,符文权重!$A:$A&amp;"_"&amp;符文权重!$C:$C,符文权重!$D:$D)*$Y507/SUMIFS($Y:$Y,I:I,I507,$D:$D,$D507,$AE:$AE,$AE507)/SUMIF(符文权重!$A:$A,$D507,符文权重!$D:$D)))</f>
        <v/>
      </c>
      <c r="P507" s="51" cm="1">
        <f t="array" ref="P507">IF($A507="","",IF(J507="","",_xlfn.XLOOKUP($D507&amp;"_"&amp;$AE507,符文权重!$A:$A&amp;"_"&amp;符文权重!$C:$C,符文权重!$D:$D)*$Y507/SUMIFS($Y:$Y,J:J,J507,$D:$D,$D507,$AE:$AE,$AE507)/SUMIF(符文权重!$A:$A,$D507,符文权重!$D:$D)))</f>
        <v>0.00300429184549356</v>
      </c>
      <c r="Q507" s="51" t="str" cm="1">
        <f t="array" ref="Q507">IF($A507="","",IF(K507="","",_xlfn.XLOOKUP($D507&amp;"_"&amp;$AE507,符文权重!$A:$A&amp;"_"&amp;符文权重!$C:$C,符文权重!$D:$D)*$Y507/SUMIFS($Y:$Y,K:K,K507,$D:$D,$D507,$AE:$AE,$AE507)/SUMIF(符文权重!$A:$A,$D507,符文权重!$D:$D)))</f>
        <v/>
      </c>
      <c r="R507" s="51" t="str" cm="1">
        <f t="array" ref="R507">IF($A507="","",IF(L507="","",_xlfn.XLOOKUP($D507&amp;"_"&amp;$AE507,符文权重!$A:$A&amp;"_"&amp;符文权重!$C:$C,符文权重!$D:$D)*$Y507/SUMIFS($Y:$Y,L:L,L507,$D:$D,$D507,$AE:$AE,$AE507)/SUMIF(符文权重!$A:$A,$D507,符文权重!$D:$D)))</f>
        <v/>
      </c>
      <c r="S507" s="36" t="s">
        <v>175</v>
      </c>
      <c r="T507" s="36"/>
      <c r="U507" s="36" t="e">
        <f>IF(C507="","",SUBSTITUTE(SUBSTITUTE("[{global_atk,"&amp;#REF!*D507&amp;"}]",21,20),9,8))</f>
        <v>#REF!</v>
      </c>
      <c r="V507" s="52" t="str">
        <f t="shared" si="232"/>
        <v>[5506036]</v>
      </c>
      <c r="Y507" s="35">
        <v>100</v>
      </c>
      <c r="AA507" s="42" t="s">
        <v>189</v>
      </c>
      <c r="AB507" s="42" t="str">
        <f t="shared" si="222"/>
        <v>伤害在80%~&lt;color=#54b76b&gt;180%&lt;/color&gt;之间浮动</v>
      </c>
      <c r="AC507" s="48" t="str">
        <f t="shared" si="218"/>
        <v>5506031</v>
      </c>
      <c r="AD507" s="42" t="str">
        <f t="shared" si="213"/>
        <v>[180]</v>
      </c>
      <c r="AE507" s="36">
        <v>6</v>
      </c>
      <c r="AF507" s="36"/>
      <c r="AG507" s="36">
        <v>0</v>
      </c>
      <c r="AH507" s="35">
        <v>1</v>
      </c>
      <c r="AI507" s="48">
        <f t="shared" si="233"/>
        <v>5506036</v>
      </c>
      <c r="AJ507" s="53" t="str">
        <f t="shared" si="234"/>
        <v>伤害在80%~&lt;color=#54b76b&gt;%s%&lt;/color&gt;之间浮动</v>
      </c>
      <c r="AK507" s="36">
        <v>180</v>
      </c>
      <c r="AL507" s="35">
        <v>6</v>
      </c>
    </row>
    <row r="508" customHeight="1" spans="1:38">
      <c r="A508" s="48">
        <v>5506037</v>
      </c>
      <c r="C508" s="48" t="str">
        <f t="shared" si="216"/>
        <v>5506031</v>
      </c>
      <c r="D508" s="42">
        <f t="shared" si="217"/>
        <v>7</v>
      </c>
      <c r="E508" s="42"/>
      <c r="F508" s="36" t="s">
        <v>404</v>
      </c>
      <c r="G508" s="36" t="str">
        <f t="shared" si="209"/>
        <v/>
      </c>
      <c r="H508" s="36" t="str">
        <f>IFERROR(IF(--MID($F508,2*COUNTIF($G508:G508,"&gt;"&amp;0)+2,1)=H$1,H$1,""),"")</f>
        <v/>
      </c>
      <c r="I508" s="36" t="str">
        <f>IFERROR(IF(--MID($F508,2*COUNTIF($G508:H508,"&gt;"&amp;0)+2,1)=I$1,I$1,""),"")</f>
        <v/>
      </c>
      <c r="J508" s="36">
        <f>IFERROR(IF(--MID($F508,2*COUNTIF($G508:I508,"&gt;"&amp;0)+2,1)=J$1,J$1,""),"")</f>
        <v>4</v>
      </c>
      <c r="K508" s="36" t="str">
        <f>IFERROR(IF(--MID($F508,2*COUNTIF($G508:J508,"&gt;"&amp;0)+2,1)=K$1,K$1,""),"")</f>
        <v/>
      </c>
      <c r="L508" s="36" t="str">
        <f>IFERROR(IF(--MID($F508,2*COUNTIF($G508:K508,"&gt;"&amp;0)+2,1)=L$1,L$1,""),"")</f>
        <v/>
      </c>
      <c r="M508" s="51" t="str" cm="1">
        <f t="array" ref="M508">IF($A508="","",IF(G508="","",_xlfn.XLOOKUP($D508&amp;"_"&amp;$AE508,符文权重!$A:$A&amp;"_"&amp;符文权重!$C:$C,符文权重!$D:$D)*$Y508/SUMIFS($Y:$Y,G:G,G508,$D:$D,$D508,$AE:$AE,$AE508)/SUMIF(符文权重!$A:$A,$D508,符文权重!$D:$D)))</f>
        <v/>
      </c>
      <c r="N508" s="51" t="str" cm="1">
        <f t="array" ref="N508">IF($A508="","",IF(H508="","",_xlfn.XLOOKUP($D508&amp;"_"&amp;$AE508,符文权重!$A:$A&amp;"_"&amp;符文权重!$C:$C,符文权重!$D:$D)*$Y508/SUMIFS($Y:$Y,H:H,H508,$D:$D,$D508,$AE:$AE,$AE508)/SUMIF(符文权重!$A:$A,$D508,符文权重!$D:$D)))</f>
        <v/>
      </c>
      <c r="O508" s="51" t="str" cm="1">
        <f t="array" ref="O508">IF($A508="","",IF(I508="","",_xlfn.XLOOKUP($D508&amp;"_"&amp;$AE508,符文权重!$A:$A&amp;"_"&amp;符文权重!$C:$C,符文权重!$D:$D)*$Y508/SUMIFS($Y:$Y,I:I,I508,$D:$D,$D508,$AE:$AE,$AE508)/SUMIF(符文权重!$A:$A,$D508,符文权重!$D:$D)))</f>
        <v/>
      </c>
      <c r="P508" s="51" cm="1">
        <f t="array" ref="P508">IF($A508="","",IF(J508="","",_xlfn.XLOOKUP($D508&amp;"_"&amp;$AE508,符文权重!$A:$A&amp;"_"&amp;符文权重!$C:$C,符文权重!$D:$D)*$Y508/SUMIFS($Y:$Y,J:J,J508,$D:$D,$D508,$AE:$AE,$AE508)/SUMIF(符文权重!$A:$A,$D508,符文权重!$D:$D)))</f>
        <v>0.00300429184549356</v>
      </c>
      <c r="Q508" s="51" t="str" cm="1">
        <f t="array" ref="Q508">IF($A508="","",IF(K508="","",_xlfn.XLOOKUP($D508&amp;"_"&amp;$AE508,符文权重!$A:$A&amp;"_"&amp;符文权重!$C:$C,符文权重!$D:$D)*$Y508/SUMIFS($Y:$Y,K:K,K508,$D:$D,$D508,$AE:$AE,$AE508)/SUMIF(符文权重!$A:$A,$D508,符文权重!$D:$D)))</f>
        <v/>
      </c>
      <c r="R508" s="51" t="str" cm="1">
        <f t="array" ref="R508">IF($A508="","",IF(L508="","",_xlfn.XLOOKUP($D508&amp;"_"&amp;$AE508,符文权重!$A:$A&amp;"_"&amp;符文权重!$C:$C,符文权重!$D:$D)*$Y508/SUMIFS($Y:$Y,L:L,L508,$D:$D,$D508,$AE:$AE,$AE508)/SUMIF(符文权重!$A:$A,$D508,符文权重!$D:$D)))</f>
        <v/>
      </c>
      <c r="S508" s="36" t="s">
        <v>175</v>
      </c>
      <c r="T508" s="36"/>
      <c r="U508" s="36" t="e">
        <f>IF(C508="","",SUBSTITUTE(SUBSTITUTE("[{global_atk,"&amp;#REF!*D508&amp;"}]",21,20),9,8))</f>
        <v>#REF!</v>
      </c>
      <c r="V508" s="52" t="str">
        <f t="shared" si="232"/>
        <v>[5506037]</v>
      </c>
      <c r="Y508" s="35">
        <v>100</v>
      </c>
      <c r="AA508" s="42" t="s">
        <v>191</v>
      </c>
      <c r="AB508" s="42" t="str">
        <f t="shared" si="222"/>
        <v>伤害在80%~&lt;color=#54b76b&gt;210%&lt;/color&gt;之间浮动</v>
      </c>
      <c r="AC508" s="48" t="str">
        <f t="shared" si="218"/>
        <v>5506031</v>
      </c>
      <c r="AD508" s="42" t="str">
        <f t="shared" si="213"/>
        <v>[210]</v>
      </c>
      <c r="AE508" s="36">
        <v>6</v>
      </c>
      <c r="AF508" s="36"/>
      <c r="AG508" s="36">
        <v>0</v>
      </c>
      <c r="AH508" s="35">
        <v>1</v>
      </c>
      <c r="AI508" s="48">
        <f t="shared" si="233"/>
        <v>5506037</v>
      </c>
      <c r="AJ508" s="53" t="str">
        <f t="shared" si="234"/>
        <v>伤害在80%~&lt;color=#54b76b&gt;%s%&lt;/color&gt;之间浮动</v>
      </c>
      <c r="AK508" s="36">
        <v>210</v>
      </c>
      <c r="AL508" s="35">
        <v>6</v>
      </c>
    </row>
    <row r="509" s="25" customFormat="1" hidden="1" customHeight="1" spans="1:38">
      <c r="A509" s="48" t="s">
        <v>178</v>
      </c>
      <c r="B509" s="35"/>
      <c r="C509" s="48" t="str">
        <f t="shared" si="216"/>
        <v/>
      </c>
      <c r="D509" s="42" t="str">
        <f t="shared" si="217"/>
        <v/>
      </c>
      <c r="E509" s="42"/>
      <c r="F509" s="36"/>
      <c r="G509" s="36" t="str">
        <f t="shared" si="209"/>
        <v/>
      </c>
      <c r="H509" s="36" t="str">
        <f>IFERROR(IF(--MID($F509,2*COUNTIF($G509:G509,"&gt;"&amp;0)+2,1)=H$1,H$1,""),"")</f>
        <v/>
      </c>
      <c r="I509" s="36" t="str">
        <f>IFERROR(IF(--MID($F509,2*COUNTIF($G509:H509,"&gt;"&amp;0)+2,1)=I$1,I$1,""),"")</f>
        <v/>
      </c>
      <c r="J509" s="36" t="str">
        <f>IFERROR(IF(--MID($F509,2*COUNTIF($G509:I509,"&gt;"&amp;0)+2,1)=J$1,J$1,""),"")</f>
        <v/>
      </c>
      <c r="K509" s="36" t="str">
        <f>IFERROR(IF(--MID($F509,2*COUNTIF($G509:J509,"&gt;"&amp;0)+2,1)=K$1,K$1,""),"")</f>
        <v/>
      </c>
      <c r="L509" s="36" t="str">
        <f>IFERROR(IF(--MID($F509,2*COUNTIF($G509:K509,"&gt;"&amp;0)+2,1)=L$1,L$1,""),"")</f>
        <v/>
      </c>
      <c r="M509" s="51" t="str" cm="1">
        <f t="array" ref="M509">IF($A509="","",IF(G509="","",_xlfn.XLOOKUP($D509&amp;"_"&amp;$AE509,符文权重!$A:$A&amp;"_"&amp;符文权重!$C:$C,符文权重!$D:$D)*$Y509/SUMIFS($Y:$Y,G:G,G509,$D:$D,$D509,$AE:$AE,$AE509)/SUMIF(符文权重!$A:$A,$D509,符文权重!$D:$D)))</f>
        <v/>
      </c>
      <c r="N509" s="36" t="str" cm="1">
        <f t="array" ref="N509">IF($A509="","",IF(H509="","",_xlfn.XLOOKUP($D509&amp;"_"&amp;$AE509,符文权重!$A:$A&amp;"_"&amp;符文权重!$C:$C,符文权重!$D:$D)*$Y509/SUMIFS($Y:$Y,H:H,H509,$D:$D,$D$6,$AE:$AE,$AE$6)))</f>
        <v/>
      </c>
      <c r="O509" s="36" t="str" cm="1">
        <f t="array" ref="O509">IF($A509="","",IF(I509="","",_xlfn.XLOOKUP($D509&amp;"_"&amp;$AE509,符文权重!$A:$A&amp;"_"&amp;符文权重!$C:$C,符文权重!$D:$D)*$Y509/SUMIFS($Y:$Y,I:I,I509,$D:$D,$D$6,$AE:$AE,$AE$6)))</f>
        <v/>
      </c>
      <c r="P509" s="36" t="str" cm="1">
        <f t="array" ref="P509">IF($A509="","",IF(J509="","",_xlfn.XLOOKUP($D509&amp;"_"&amp;$AE509,符文权重!$A:$A&amp;"_"&amp;符文权重!$C:$C,符文权重!$D:$D)*$Y509/SUMIFS($Y:$Y,J:J,J509,$D:$D,$D$6,$AE:$AE,$AE$6)))</f>
        <v/>
      </c>
      <c r="Q509" s="36" t="str" cm="1">
        <f t="array" ref="Q509">IF($A509="","",IF(K509="","",_xlfn.XLOOKUP($D509&amp;"_"&amp;$AE509,符文权重!$A:$A&amp;"_"&amp;符文权重!$C:$C,符文权重!$D:$D)*$Y509/SUMIFS($Y:$Y,K:K,K509,$D:$D,$D$6,$AE:$AE,$AE$6)))</f>
        <v/>
      </c>
      <c r="R509" s="36" t="str" cm="1">
        <f t="array" ref="R509">IF($A509="","",IF(L509="","",_xlfn.XLOOKUP($D509&amp;"_"&amp;$AE509,符文权重!$A:$A&amp;"_"&amp;符文权重!$C:$C,符文权重!$D:$D)*$Y509/SUMIFS($Y:$Y,L:L,L509,$D:$D,$D$6,$AE:$AE,$AE$6)))</f>
        <v/>
      </c>
      <c r="S509" s="36"/>
      <c r="T509" s="36"/>
      <c r="U509" s="36"/>
      <c r="W509" s="41"/>
      <c r="X509" s="35"/>
      <c r="Y509" s="35"/>
      <c r="Z509" s="35"/>
      <c r="AA509" s="42" t="s">
        <v>178</v>
      </c>
      <c r="AB509" s="42" t="str">
        <f t="shared" si="222"/>
        <v/>
      </c>
      <c r="AC509" s="48" t="str">
        <f t="shared" si="218"/>
        <v/>
      </c>
      <c r="AD509" s="42" t="str">
        <f t="shared" si="213"/>
        <v/>
      </c>
      <c r="AE509" s="36"/>
      <c r="AF509" s="36"/>
      <c r="AG509" s="36"/>
      <c r="AH509" s="35" t="s">
        <v>178</v>
      </c>
      <c r="AI509" s="33"/>
      <c r="AJ509" s="74"/>
      <c r="AK509" s="36"/>
      <c r="AL509" s="35"/>
    </row>
    <row r="510" hidden="1" customHeight="1" spans="1:38">
      <c r="A510" s="48">
        <v>5506041</v>
      </c>
      <c r="B510" s="34" t="s">
        <v>564</v>
      </c>
      <c r="C510" s="48" t="str">
        <f t="shared" si="216"/>
        <v>5506041</v>
      </c>
      <c r="D510" s="42">
        <f t="shared" si="217"/>
        <v>1</v>
      </c>
      <c r="E510" s="42"/>
      <c r="F510" s="36" t="s">
        <v>174</v>
      </c>
      <c r="G510" s="36">
        <f t="shared" si="209"/>
        <v>1</v>
      </c>
      <c r="H510" s="36">
        <f>IFERROR(IF(--MID($F510,2*COUNTIF($G510:G510,"&gt;"&amp;0)+2,1)=H$1,H$1,""),"")</f>
        <v>2</v>
      </c>
      <c r="I510" s="36">
        <f>IFERROR(IF(--MID($F510,2*COUNTIF($G510:H510,"&gt;"&amp;0)+2,1)=I$1,I$1,""),"")</f>
        <v>3</v>
      </c>
      <c r="J510" s="36">
        <f>IFERROR(IF(--MID($F510,2*COUNTIF($G510:I510,"&gt;"&amp;0)+2,1)=J$1,J$1,""),"")</f>
        <v>4</v>
      </c>
      <c r="K510" s="36">
        <f>IFERROR(IF(--MID($F510,2*COUNTIF($G510:J510,"&gt;"&amp;0)+2,1)=K$1,K$1,""),"")</f>
        <v>5</v>
      </c>
      <c r="L510" s="36">
        <f>IFERROR(IF(--MID($F510,2*COUNTIF($G510:K510,"&gt;"&amp;0)+2,1)=L$1,L$1,""),"")</f>
        <v>6</v>
      </c>
      <c r="M510" s="36" t="e" cm="1">
        <f t="array" ref="M510">IF(A510="","",_xlfn.XLOOKUP(D510&amp;"_"&amp;AE510,符文权重!A:A&amp;"_"&amp;符文权重!C:C,符文权重!D:D))</f>
        <v>#N/A</v>
      </c>
      <c r="N510" s="36"/>
      <c r="O510" s="36"/>
      <c r="P510" s="36"/>
      <c r="Q510" s="36"/>
      <c r="R510" s="36"/>
      <c r="S510" s="36" t="s">
        <v>175</v>
      </c>
      <c r="T510" s="36"/>
      <c r="U510" s="36" t="e">
        <f>IF(C510="","",SUBSTITUTE(SUBSTITUTE("[{global_atk,"&amp;#REF!*D510&amp;"}]",21,20),9,8))</f>
        <v>#REF!</v>
      </c>
      <c r="V510" s="52" t="str">
        <f t="shared" ref="V510:V516" si="235">"["&amp;A510&amp;"]"</f>
        <v>[5506041]</v>
      </c>
      <c r="Y510" s="35">
        <v>100</v>
      </c>
      <c r="AA510" s="42" t="s">
        <v>177</v>
      </c>
      <c r="AB510" s="42" t="str">
        <f t="shared" si="222"/>
        <v>梦灵暴击率&lt;color=#54b76b&gt;+0%&lt;/color&gt;</v>
      </c>
      <c r="AC510" s="48" t="str">
        <f t="shared" si="218"/>
        <v>5506041</v>
      </c>
      <c r="AD510" s="42" t="str">
        <f t="shared" si="213"/>
        <v>[0]</v>
      </c>
      <c r="AE510" s="36">
        <v>100</v>
      </c>
      <c r="AF510" s="36"/>
      <c r="AG510" s="36">
        <v>1</v>
      </c>
      <c r="AH510" s="35">
        <v>1</v>
      </c>
      <c r="AI510" s="33">
        <v>5506041</v>
      </c>
      <c r="AJ510" s="55" t="s">
        <v>564</v>
      </c>
      <c r="AK510" s="36">
        <v>0</v>
      </c>
      <c r="AL510" s="35">
        <v>6</v>
      </c>
    </row>
    <row r="511" hidden="1" customHeight="1" spans="1:38">
      <c r="A511" s="48">
        <v>5506042</v>
      </c>
      <c r="C511" s="48" t="str">
        <f t="shared" si="216"/>
        <v>5506041</v>
      </c>
      <c r="D511" s="42">
        <f t="shared" si="217"/>
        <v>2</v>
      </c>
      <c r="E511" s="42"/>
      <c r="F511" s="36" t="s">
        <v>174</v>
      </c>
      <c r="G511" s="36">
        <f t="shared" si="209"/>
        <v>1</v>
      </c>
      <c r="H511" s="36">
        <f>IFERROR(IF(--MID($F511,2*COUNTIF($G511:G511,"&gt;"&amp;0)+2,1)=H$1,H$1,""),"")</f>
        <v>2</v>
      </c>
      <c r="I511" s="36">
        <f>IFERROR(IF(--MID($F511,2*COUNTIF($G511:H511,"&gt;"&amp;0)+2,1)=I$1,I$1,""),"")</f>
        <v>3</v>
      </c>
      <c r="J511" s="36">
        <f>IFERROR(IF(--MID($F511,2*COUNTIF($G511:I511,"&gt;"&amp;0)+2,1)=J$1,J$1,""),"")</f>
        <v>4</v>
      </c>
      <c r="K511" s="36">
        <f>IFERROR(IF(--MID($F511,2*COUNTIF($G511:J511,"&gt;"&amp;0)+2,1)=K$1,K$1,""),"")</f>
        <v>5</v>
      </c>
      <c r="L511" s="36">
        <f>IFERROR(IF(--MID($F511,2*COUNTIF($G511:K511,"&gt;"&amp;0)+2,1)=L$1,L$1,""),"")</f>
        <v>6</v>
      </c>
      <c r="M511" s="36" t="e" cm="1">
        <f t="array" ref="M511">IF(A511="","",_xlfn.XLOOKUP(D511&amp;"_"&amp;AE511,符文权重!A:A&amp;"_"&amp;符文权重!C:C,符文权重!D:D))</f>
        <v>#N/A</v>
      </c>
      <c r="N511" s="36"/>
      <c r="O511" s="36"/>
      <c r="P511" s="36"/>
      <c r="Q511" s="36"/>
      <c r="R511" s="36"/>
      <c r="S511" s="36" t="s">
        <v>175</v>
      </c>
      <c r="T511" s="36"/>
      <c r="U511" s="36" t="e">
        <f>IF(C511="","",SUBSTITUTE(SUBSTITUTE("[{global_atk,"&amp;#REF!*D511&amp;"}]",21,20),9,8))</f>
        <v>#REF!</v>
      </c>
      <c r="V511" s="52" t="str">
        <f t="shared" si="235"/>
        <v>[5506042]</v>
      </c>
      <c r="Y511" s="35">
        <v>100</v>
      </c>
      <c r="AA511" s="42" t="s">
        <v>181</v>
      </c>
      <c r="AB511" s="42" t="str">
        <f t="shared" si="222"/>
        <v>梦灵暴击率&lt;color=#54b76b&gt;+0%&lt;/color&gt;</v>
      </c>
      <c r="AC511" s="48" t="str">
        <f t="shared" si="218"/>
        <v>5506041</v>
      </c>
      <c r="AD511" s="42" t="str">
        <f t="shared" si="213"/>
        <v>[0]</v>
      </c>
      <c r="AE511" s="36">
        <v>100</v>
      </c>
      <c r="AF511" s="36"/>
      <c r="AG511" s="36">
        <v>1</v>
      </c>
      <c r="AH511" s="35">
        <v>1</v>
      </c>
      <c r="AI511" s="48">
        <f t="shared" ref="AI511:AI516" si="236">AI510+1</f>
        <v>5506042</v>
      </c>
      <c r="AJ511" s="53" t="str">
        <f t="shared" ref="AJ511:AJ516" si="237">AJ510</f>
        <v>梦灵暴击率&lt;color=#54b76b&gt;+%s%&lt;/color&gt;</v>
      </c>
      <c r="AK511" s="36">
        <v>0</v>
      </c>
      <c r="AL511" s="35">
        <v>6</v>
      </c>
    </row>
    <row r="512" hidden="1" customHeight="1" spans="1:38">
      <c r="A512" s="48">
        <v>5506043</v>
      </c>
      <c r="C512" s="48" t="str">
        <f t="shared" si="216"/>
        <v>5506041</v>
      </c>
      <c r="D512" s="42">
        <f t="shared" si="217"/>
        <v>3</v>
      </c>
      <c r="E512" s="42"/>
      <c r="F512" s="36" t="s">
        <v>174</v>
      </c>
      <c r="G512" s="36">
        <f t="shared" si="209"/>
        <v>1</v>
      </c>
      <c r="H512" s="36">
        <f>IFERROR(IF(--MID($F512,2*COUNTIF($G512:G512,"&gt;"&amp;0)+2,1)=H$1,H$1,""),"")</f>
        <v>2</v>
      </c>
      <c r="I512" s="36">
        <f>IFERROR(IF(--MID($F512,2*COUNTIF($G512:H512,"&gt;"&amp;0)+2,1)=I$1,I$1,""),"")</f>
        <v>3</v>
      </c>
      <c r="J512" s="36">
        <f>IFERROR(IF(--MID($F512,2*COUNTIF($G512:I512,"&gt;"&amp;0)+2,1)=J$1,J$1,""),"")</f>
        <v>4</v>
      </c>
      <c r="K512" s="36">
        <f>IFERROR(IF(--MID($F512,2*COUNTIF($G512:J512,"&gt;"&amp;0)+2,1)=K$1,K$1,""),"")</f>
        <v>5</v>
      </c>
      <c r="L512" s="36">
        <f>IFERROR(IF(--MID($F512,2*COUNTIF($G512:K512,"&gt;"&amp;0)+2,1)=L$1,L$1,""),"")</f>
        <v>6</v>
      </c>
      <c r="M512" s="36" t="e" cm="1">
        <f t="array" ref="M512">IF(A512="","",_xlfn.XLOOKUP(D512&amp;"_"&amp;AE512,符文权重!A:A&amp;"_"&amp;符文权重!C:C,符文权重!D:D))</f>
        <v>#N/A</v>
      </c>
      <c r="N512" s="36"/>
      <c r="O512" s="36"/>
      <c r="P512" s="36"/>
      <c r="Q512" s="36"/>
      <c r="R512" s="36"/>
      <c r="S512" s="36" t="s">
        <v>175</v>
      </c>
      <c r="T512" s="36"/>
      <c r="U512" s="36" t="e">
        <f>IF(C512="","",SUBSTITUTE(SUBSTITUTE("[{global_atk,"&amp;#REF!*D512&amp;"}]",21,20),9,8))</f>
        <v>#REF!</v>
      </c>
      <c r="V512" s="52" t="str">
        <f t="shared" si="235"/>
        <v>[5506043]</v>
      </c>
      <c r="Y512" s="35">
        <v>100</v>
      </c>
      <c r="AA512" s="42" t="s">
        <v>183</v>
      </c>
      <c r="AB512" s="42" t="str">
        <f t="shared" si="222"/>
        <v>梦灵暴击率&lt;color=#54b76b&gt;+0%&lt;/color&gt;</v>
      </c>
      <c r="AC512" s="48" t="str">
        <f t="shared" si="218"/>
        <v>5506041</v>
      </c>
      <c r="AD512" s="42" t="str">
        <f t="shared" si="213"/>
        <v>[0]</v>
      </c>
      <c r="AE512" s="36">
        <v>100</v>
      </c>
      <c r="AF512" s="36"/>
      <c r="AG512" s="36">
        <v>1</v>
      </c>
      <c r="AH512" s="35">
        <v>1</v>
      </c>
      <c r="AI512" s="48">
        <f t="shared" si="236"/>
        <v>5506043</v>
      </c>
      <c r="AJ512" s="53" t="str">
        <f t="shared" si="237"/>
        <v>梦灵暴击率&lt;color=#54b76b&gt;+%s%&lt;/color&gt;</v>
      </c>
      <c r="AK512" s="36">
        <v>0</v>
      </c>
      <c r="AL512" s="35">
        <v>6</v>
      </c>
    </row>
    <row r="513" hidden="1" customHeight="1" spans="1:38">
      <c r="A513" s="48">
        <v>5506044</v>
      </c>
      <c r="C513" s="48" t="str">
        <f t="shared" si="216"/>
        <v>5506041</v>
      </c>
      <c r="D513" s="42">
        <f t="shared" si="217"/>
        <v>4</v>
      </c>
      <c r="E513" s="42"/>
      <c r="F513" s="36" t="s">
        <v>174</v>
      </c>
      <c r="G513" s="36">
        <f t="shared" si="209"/>
        <v>1</v>
      </c>
      <c r="H513" s="36">
        <f>IFERROR(IF(--MID($F513,2*COUNTIF($G513:G513,"&gt;"&amp;0)+2,1)=H$1,H$1,""),"")</f>
        <v>2</v>
      </c>
      <c r="I513" s="36">
        <f>IFERROR(IF(--MID($F513,2*COUNTIF($G513:H513,"&gt;"&amp;0)+2,1)=I$1,I$1,""),"")</f>
        <v>3</v>
      </c>
      <c r="J513" s="36">
        <f>IFERROR(IF(--MID($F513,2*COUNTIF($G513:I513,"&gt;"&amp;0)+2,1)=J$1,J$1,""),"")</f>
        <v>4</v>
      </c>
      <c r="K513" s="36">
        <f>IFERROR(IF(--MID($F513,2*COUNTIF($G513:J513,"&gt;"&amp;0)+2,1)=K$1,K$1,""),"")</f>
        <v>5</v>
      </c>
      <c r="L513" s="36">
        <f>IFERROR(IF(--MID($F513,2*COUNTIF($G513:K513,"&gt;"&amp;0)+2,1)=L$1,L$1,""),"")</f>
        <v>6</v>
      </c>
      <c r="M513" s="51" cm="1">
        <f t="array" ref="M513">IF($A513="","",IF(G513="","",_xlfn.XLOOKUP($D513&amp;"_"&amp;$AE513,符文权重!$A:$A&amp;"_"&amp;符文权重!$C:$C,符文权重!$D:$D)*$Y513/SUMIFS($Y:$Y,G:G,G513,$D:$D,$D513,$AE:$AE,$AE513)/SUMIF(符文权重!$A:$A,$D513,符文权重!$D:$D)))</f>
        <v>0.001001001001001</v>
      </c>
      <c r="N513" s="51" cm="1">
        <f t="array" ref="N513">IF($A513="","",IF(H513="","",_xlfn.XLOOKUP($D513&amp;"_"&amp;$AE513,符文权重!$A:$A&amp;"_"&amp;符文权重!$C:$C,符文权重!$D:$D)*$Y513/SUMIFS($Y:$Y,H:H,H513,$D:$D,$D513,$AE:$AE,$AE513)/SUMIF(符文权重!$A:$A,$D513,符文权重!$D:$D)))</f>
        <v>0.001001001001001</v>
      </c>
      <c r="O513" s="51" cm="1">
        <f t="array" ref="O513">IF($A513="","",IF(I513="","",_xlfn.XLOOKUP($D513&amp;"_"&amp;$AE513,符文权重!$A:$A&amp;"_"&amp;符文权重!$C:$C,符文权重!$D:$D)*$Y513/SUMIFS($Y:$Y,I:I,I513,$D:$D,$D513,$AE:$AE,$AE513)/SUMIF(符文权重!$A:$A,$D513,符文权重!$D:$D)))</f>
        <v>0.001001001001001</v>
      </c>
      <c r="P513" s="51" cm="1">
        <f t="array" ref="P513">IF($A513="","",IF(J513="","",_xlfn.XLOOKUP($D513&amp;"_"&amp;$AE513,符文权重!$A:$A&amp;"_"&amp;符文权重!$C:$C,符文权重!$D:$D)*$Y513/SUMIFS($Y:$Y,J:J,J513,$D:$D,$D513,$AE:$AE,$AE513)/SUMIF(符文权重!$A:$A,$D513,符文权重!$D:$D)))</f>
        <v>0.001001001001001</v>
      </c>
      <c r="Q513" s="51" cm="1">
        <f t="array" ref="Q513">IF($A513="","",IF(K513="","",_xlfn.XLOOKUP($D513&amp;"_"&amp;$AE513,符文权重!$A:$A&amp;"_"&amp;符文权重!$C:$C,符文权重!$D:$D)*$Y513/SUMIFS($Y:$Y,K:K,K513,$D:$D,$D513,$AE:$AE,$AE513)/SUMIF(符文权重!$A:$A,$D513,符文权重!$D:$D)))</f>
        <v>0.001001001001001</v>
      </c>
      <c r="R513" s="51" cm="1">
        <f t="array" ref="R513">IF($A513="","",IF(L513="","",_xlfn.XLOOKUP($D513&amp;"_"&amp;$AE513,符文权重!$A:$A&amp;"_"&amp;符文权重!$C:$C,符文权重!$D:$D)*$Y513/SUMIFS($Y:$Y,L:L,L513,$D:$D,$D513,$AE:$AE,$AE513)/SUMIF(符文权重!$A:$A,$D513,符文权重!$D:$D)))</f>
        <v>0.001001001001001</v>
      </c>
      <c r="S513" s="36" t="s">
        <v>175</v>
      </c>
      <c r="T513" s="36"/>
      <c r="U513" s="36" t="e">
        <f>IF(C513="","",SUBSTITUTE(SUBSTITUTE("[{global_atk,"&amp;#REF!*D513&amp;"}]",21,20),9,8))</f>
        <v>#REF!</v>
      </c>
      <c r="V513" s="52" t="str">
        <f t="shared" si="235"/>
        <v>[5506044]</v>
      </c>
      <c r="W513" s="36" t="s">
        <v>565</v>
      </c>
      <c r="Y513" s="35">
        <v>16</v>
      </c>
      <c r="AA513" s="42" t="s">
        <v>185</v>
      </c>
      <c r="AB513" s="42" t="str">
        <f t="shared" si="222"/>
        <v>梦灵暴击率&lt;color=#54b76b&gt;+4%&lt;/color&gt;</v>
      </c>
      <c r="AC513" s="48" t="str">
        <f t="shared" si="218"/>
        <v>5506041</v>
      </c>
      <c r="AD513" s="42" t="str">
        <f t="shared" si="213"/>
        <v>[4]</v>
      </c>
      <c r="AE513" s="69">
        <v>10</v>
      </c>
      <c r="AF513" s="36"/>
      <c r="AG513" s="36">
        <v>0</v>
      </c>
      <c r="AH513" s="35">
        <v>1</v>
      </c>
      <c r="AI513" s="48">
        <f t="shared" si="236"/>
        <v>5506044</v>
      </c>
      <c r="AJ513" s="53" t="str">
        <f t="shared" si="237"/>
        <v>梦灵暴击率&lt;color=#54b76b&gt;+%s%&lt;/color&gt;</v>
      </c>
      <c r="AK513" s="36">
        <v>4</v>
      </c>
      <c r="AL513" s="35">
        <v>6</v>
      </c>
    </row>
    <row r="514" customHeight="1" spans="1:38">
      <c r="A514" s="48">
        <v>5506045</v>
      </c>
      <c r="C514" s="48" t="str">
        <f t="shared" si="216"/>
        <v>5506041</v>
      </c>
      <c r="D514" s="42">
        <f t="shared" si="217"/>
        <v>5</v>
      </c>
      <c r="E514" s="42"/>
      <c r="F514" s="36" t="s">
        <v>174</v>
      </c>
      <c r="G514" s="36">
        <f t="shared" si="209"/>
        <v>1</v>
      </c>
      <c r="H514" s="36">
        <f>IFERROR(IF(--MID($F514,2*COUNTIF($G514:G514,"&gt;"&amp;0)+2,1)=H$1,H$1,""),"")</f>
        <v>2</v>
      </c>
      <c r="I514" s="36">
        <f>IFERROR(IF(--MID($F514,2*COUNTIF($G514:H514,"&gt;"&amp;0)+2,1)=I$1,I$1,""),"")</f>
        <v>3</v>
      </c>
      <c r="J514" s="36">
        <f>IFERROR(IF(--MID($F514,2*COUNTIF($G514:I514,"&gt;"&amp;0)+2,1)=J$1,J$1,""),"")</f>
        <v>4</v>
      </c>
      <c r="K514" s="36">
        <f>IFERROR(IF(--MID($F514,2*COUNTIF($G514:J514,"&gt;"&amp;0)+2,1)=K$1,K$1,""),"")</f>
        <v>5</v>
      </c>
      <c r="L514" s="36">
        <f>IFERROR(IF(--MID($F514,2*COUNTIF($G514:K514,"&gt;"&amp;0)+2,1)=L$1,L$1,""),"")</f>
        <v>6</v>
      </c>
      <c r="M514" s="51" cm="1">
        <f t="array" ref="M514">IF($A514="","",IF(G514="","",_xlfn.XLOOKUP($D514&amp;"_"&amp;$AE514,符文权重!$A:$A&amp;"_"&amp;符文权重!$C:$C,符文权重!$D:$D)*$Y514/SUMIFS($Y:$Y,G:G,G514,$D:$D,$D514,$AE:$AE,$AE514)/SUMIF(符文权重!$A:$A,$D514,符文权重!$D:$D)))</f>
        <v>0.000991416309012875</v>
      </c>
      <c r="N514" s="51" cm="1">
        <f t="array" ref="N514">IF($A514="","",IF(H514="","",_xlfn.XLOOKUP($D514&amp;"_"&amp;$AE514,符文权重!$A:$A&amp;"_"&amp;符文权重!$C:$C,符文权重!$D:$D)*$Y514/SUMIFS($Y:$Y,H:H,H514,$D:$D,$D514,$AE:$AE,$AE514)/SUMIF(符文权重!$A:$A,$D514,符文权重!$D:$D)))</f>
        <v>0.000991416309012875</v>
      </c>
      <c r="O514" s="51" cm="1">
        <f t="array" ref="O514">IF($A514="","",IF(I514="","",_xlfn.XLOOKUP($D514&amp;"_"&amp;$AE514,符文权重!$A:$A&amp;"_"&amp;符文权重!$C:$C,符文权重!$D:$D)*$Y514/SUMIFS($Y:$Y,I:I,I514,$D:$D,$D514,$AE:$AE,$AE514)/SUMIF(符文权重!$A:$A,$D514,符文权重!$D:$D)))</f>
        <v>0.000991416309012875</v>
      </c>
      <c r="P514" s="51" cm="1">
        <f t="array" ref="P514">IF($A514="","",IF(J514="","",_xlfn.XLOOKUP($D514&amp;"_"&amp;$AE514,符文权重!$A:$A&amp;"_"&amp;符文权重!$C:$C,符文权重!$D:$D)*$Y514/SUMIFS($Y:$Y,J:J,J514,$D:$D,$D514,$AE:$AE,$AE514)/SUMIF(符文权重!$A:$A,$D514,符文权重!$D:$D)))</f>
        <v>0.000991416309012875</v>
      </c>
      <c r="Q514" s="51" cm="1">
        <f t="array" ref="Q514">IF($A514="","",IF(K514="","",_xlfn.XLOOKUP($D514&amp;"_"&amp;$AE514,符文权重!$A:$A&amp;"_"&amp;符文权重!$C:$C,符文权重!$D:$D)*$Y514/SUMIFS($Y:$Y,K:K,K514,$D:$D,$D514,$AE:$AE,$AE514)/SUMIF(符文权重!$A:$A,$D514,符文权重!$D:$D)))</f>
        <v>0.000991416309012875</v>
      </c>
      <c r="R514" s="51" cm="1">
        <f t="array" ref="R514">IF($A514="","",IF(L514="","",_xlfn.XLOOKUP($D514&amp;"_"&amp;$AE514,符文权重!$A:$A&amp;"_"&amp;符文权重!$C:$C,符文权重!$D:$D)*$Y514/SUMIFS($Y:$Y,L:L,L514,$D:$D,$D514,$AE:$AE,$AE514)/SUMIF(符文权重!$A:$A,$D514,符文权重!$D:$D)))</f>
        <v>0.000991416309012875</v>
      </c>
      <c r="S514" s="36" t="s">
        <v>175</v>
      </c>
      <c r="T514" s="36"/>
      <c r="U514" s="36" t="e">
        <f>IF(C514="","",SUBSTITUTE(SUBSTITUTE("[{global_atk,"&amp;#REF!*D514&amp;"}]",21,20),9,8))</f>
        <v>#REF!</v>
      </c>
      <c r="V514" s="52" t="str">
        <f t="shared" si="235"/>
        <v>[5506045]</v>
      </c>
      <c r="W514" s="36" t="s">
        <v>566</v>
      </c>
      <c r="Y514" s="35">
        <v>33</v>
      </c>
      <c r="AA514" s="42" t="s">
        <v>187</v>
      </c>
      <c r="AB514" s="42" t="str">
        <f t="shared" si="222"/>
        <v>梦灵暴击率&lt;color=#54b76b&gt;+5%&lt;/color&gt;</v>
      </c>
      <c r="AC514" s="48" t="str">
        <f t="shared" si="218"/>
        <v>5506041</v>
      </c>
      <c r="AD514" s="42" t="str">
        <f t="shared" si="213"/>
        <v>[5]</v>
      </c>
      <c r="AE514" s="36">
        <v>6</v>
      </c>
      <c r="AF514" s="36"/>
      <c r="AG514" s="36">
        <v>0</v>
      </c>
      <c r="AH514" s="35">
        <v>1</v>
      </c>
      <c r="AI514" s="48">
        <f t="shared" si="236"/>
        <v>5506045</v>
      </c>
      <c r="AJ514" s="53" t="str">
        <f t="shared" si="237"/>
        <v>梦灵暴击率&lt;color=#54b76b&gt;+%s%&lt;/color&gt;</v>
      </c>
      <c r="AK514" s="36">
        <v>5</v>
      </c>
      <c r="AL514" s="35">
        <v>6</v>
      </c>
    </row>
    <row r="515" customHeight="1" spans="1:38">
      <c r="A515" s="48">
        <v>5506046</v>
      </c>
      <c r="C515" s="48" t="str">
        <f t="shared" si="216"/>
        <v>5506041</v>
      </c>
      <c r="D515" s="42">
        <f t="shared" si="217"/>
        <v>6</v>
      </c>
      <c r="E515" s="42"/>
      <c r="F515" s="36" t="s">
        <v>174</v>
      </c>
      <c r="G515" s="36">
        <f t="shared" si="209"/>
        <v>1</v>
      </c>
      <c r="H515" s="36">
        <f>IFERROR(IF(--MID($F515,2*COUNTIF($G515:G515,"&gt;"&amp;0)+2,1)=H$1,H$1,""),"")</f>
        <v>2</v>
      </c>
      <c r="I515" s="36">
        <f>IFERROR(IF(--MID($F515,2*COUNTIF($G515:H515,"&gt;"&amp;0)+2,1)=I$1,I$1,""),"")</f>
        <v>3</v>
      </c>
      <c r="J515" s="36">
        <f>IFERROR(IF(--MID($F515,2*COUNTIF($G515:I515,"&gt;"&amp;0)+2,1)=J$1,J$1,""),"")</f>
        <v>4</v>
      </c>
      <c r="K515" s="36">
        <f>IFERROR(IF(--MID($F515,2*COUNTIF($G515:J515,"&gt;"&amp;0)+2,1)=K$1,K$1,""),"")</f>
        <v>5</v>
      </c>
      <c r="L515" s="36">
        <f>IFERROR(IF(--MID($F515,2*COUNTIF($G515:K515,"&gt;"&amp;0)+2,1)=L$1,L$1,""),"")</f>
        <v>6</v>
      </c>
      <c r="M515" s="51" cm="1">
        <f t="array" ref="M515">IF($A515="","",IF(G515="","",_xlfn.XLOOKUP($D515&amp;"_"&amp;$AE515,符文权重!$A:$A&amp;"_"&amp;符文权重!$C:$C,符文权重!$D:$D)*$Y515/SUMIFS($Y:$Y,G:G,G515,$D:$D,$D515,$AE:$AE,$AE515)/SUMIF(符文权重!$A:$A,$D515,符文权重!$D:$D)))</f>
        <v>0.000991416309012875</v>
      </c>
      <c r="N515" s="51" cm="1">
        <f t="array" ref="N515">IF($A515="","",IF(H515="","",_xlfn.XLOOKUP($D515&amp;"_"&amp;$AE515,符文权重!$A:$A&amp;"_"&amp;符文权重!$C:$C,符文权重!$D:$D)*$Y515/SUMIFS($Y:$Y,H:H,H515,$D:$D,$D515,$AE:$AE,$AE515)/SUMIF(符文权重!$A:$A,$D515,符文权重!$D:$D)))</f>
        <v>0.000991416309012875</v>
      </c>
      <c r="O515" s="51" cm="1">
        <f t="array" ref="O515">IF($A515="","",IF(I515="","",_xlfn.XLOOKUP($D515&amp;"_"&amp;$AE515,符文权重!$A:$A&amp;"_"&amp;符文权重!$C:$C,符文权重!$D:$D)*$Y515/SUMIFS($Y:$Y,I:I,I515,$D:$D,$D515,$AE:$AE,$AE515)/SUMIF(符文权重!$A:$A,$D515,符文权重!$D:$D)))</f>
        <v>0.000991416309012875</v>
      </c>
      <c r="P515" s="51" cm="1">
        <f t="array" ref="P515">IF($A515="","",IF(J515="","",_xlfn.XLOOKUP($D515&amp;"_"&amp;$AE515,符文权重!$A:$A&amp;"_"&amp;符文权重!$C:$C,符文权重!$D:$D)*$Y515/SUMIFS($Y:$Y,J:J,J515,$D:$D,$D515,$AE:$AE,$AE515)/SUMIF(符文权重!$A:$A,$D515,符文权重!$D:$D)))</f>
        <v>0.000991416309012875</v>
      </c>
      <c r="Q515" s="51" cm="1">
        <f t="array" ref="Q515">IF($A515="","",IF(K515="","",_xlfn.XLOOKUP($D515&amp;"_"&amp;$AE515,符文权重!$A:$A&amp;"_"&amp;符文权重!$C:$C,符文权重!$D:$D)*$Y515/SUMIFS($Y:$Y,K:K,K515,$D:$D,$D515,$AE:$AE,$AE515)/SUMIF(符文权重!$A:$A,$D515,符文权重!$D:$D)))</f>
        <v>0.000991416309012875</v>
      </c>
      <c r="R515" s="51" cm="1">
        <f t="array" ref="R515">IF($A515="","",IF(L515="","",_xlfn.XLOOKUP($D515&amp;"_"&amp;$AE515,符文权重!$A:$A&amp;"_"&amp;符文权重!$C:$C,符文权重!$D:$D)*$Y515/SUMIFS($Y:$Y,L:L,L515,$D:$D,$D515,$AE:$AE,$AE515)/SUMIF(符文权重!$A:$A,$D515,符文权重!$D:$D)))</f>
        <v>0.000991416309012875</v>
      </c>
      <c r="S515" s="36" t="s">
        <v>175</v>
      </c>
      <c r="T515" s="36"/>
      <c r="U515" s="36" t="e">
        <f>IF(C515="","",SUBSTITUTE(SUBSTITUTE("[{global_atk,"&amp;#REF!*D515&amp;"}]",21,20),9,8))</f>
        <v>#REF!</v>
      </c>
      <c r="V515" s="52" t="str">
        <f t="shared" si="235"/>
        <v>[5506046]</v>
      </c>
      <c r="W515" s="36" t="s">
        <v>567</v>
      </c>
      <c r="Y515" s="35">
        <v>33</v>
      </c>
      <c r="AA515" s="42" t="s">
        <v>189</v>
      </c>
      <c r="AB515" s="42" t="str">
        <f t="shared" si="222"/>
        <v>梦灵暴击率&lt;color=#54b76b&gt;+6%&lt;/color&gt;</v>
      </c>
      <c r="AC515" s="48" t="str">
        <f t="shared" si="218"/>
        <v>5506041</v>
      </c>
      <c r="AD515" s="42" t="str">
        <f t="shared" si="213"/>
        <v>[6]</v>
      </c>
      <c r="AE515" s="36">
        <v>6</v>
      </c>
      <c r="AF515" s="36"/>
      <c r="AG515" s="36">
        <v>0</v>
      </c>
      <c r="AH515" s="35">
        <v>1</v>
      </c>
      <c r="AI515" s="48">
        <f t="shared" si="236"/>
        <v>5506046</v>
      </c>
      <c r="AJ515" s="53" t="str">
        <f t="shared" si="237"/>
        <v>梦灵暴击率&lt;color=#54b76b&gt;+%s%&lt;/color&gt;</v>
      </c>
      <c r="AK515" s="36">
        <v>6</v>
      </c>
      <c r="AL515" s="35">
        <v>6</v>
      </c>
    </row>
    <row r="516" customHeight="1" spans="1:38">
      <c r="A516" s="48">
        <v>5506047</v>
      </c>
      <c r="C516" s="48" t="str">
        <f t="shared" si="216"/>
        <v>5506041</v>
      </c>
      <c r="D516" s="42">
        <f t="shared" si="217"/>
        <v>7</v>
      </c>
      <c r="E516" s="42"/>
      <c r="F516" s="36" t="s">
        <v>174</v>
      </c>
      <c r="G516" s="36">
        <f t="shared" si="209"/>
        <v>1</v>
      </c>
      <c r="H516" s="36">
        <f>IFERROR(IF(--MID($F516,2*COUNTIF($G516:G516,"&gt;"&amp;0)+2,1)=H$1,H$1,""),"")</f>
        <v>2</v>
      </c>
      <c r="I516" s="36">
        <f>IFERROR(IF(--MID($F516,2*COUNTIF($G516:H516,"&gt;"&amp;0)+2,1)=I$1,I$1,""),"")</f>
        <v>3</v>
      </c>
      <c r="J516" s="36">
        <f>IFERROR(IF(--MID($F516,2*COUNTIF($G516:I516,"&gt;"&amp;0)+2,1)=J$1,J$1,""),"")</f>
        <v>4</v>
      </c>
      <c r="K516" s="36">
        <f>IFERROR(IF(--MID($F516,2*COUNTIF($G516:J516,"&gt;"&amp;0)+2,1)=K$1,K$1,""),"")</f>
        <v>5</v>
      </c>
      <c r="L516" s="36">
        <f>IFERROR(IF(--MID($F516,2*COUNTIF($G516:K516,"&gt;"&amp;0)+2,1)=L$1,L$1,""),"")</f>
        <v>6</v>
      </c>
      <c r="M516" s="51" cm="1">
        <f t="array" ref="M516">IF($A516="","",IF(G516="","",_xlfn.XLOOKUP($D516&amp;"_"&amp;$AE516,符文权重!$A:$A&amp;"_"&amp;符文权重!$C:$C,符文权重!$D:$D)*$Y516/SUMIFS($Y:$Y,G:G,G516,$D:$D,$D516,$AE:$AE,$AE516)/SUMIF(符文权重!$A:$A,$D516,符文权重!$D:$D)))</f>
        <v>0.000991416309012875</v>
      </c>
      <c r="N516" s="51" cm="1">
        <f t="array" ref="N516">IF($A516="","",IF(H516="","",_xlfn.XLOOKUP($D516&amp;"_"&amp;$AE516,符文权重!$A:$A&amp;"_"&amp;符文权重!$C:$C,符文权重!$D:$D)*$Y516/SUMIFS($Y:$Y,H:H,H516,$D:$D,$D516,$AE:$AE,$AE516)/SUMIF(符文权重!$A:$A,$D516,符文权重!$D:$D)))</f>
        <v>0.000991416309012875</v>
      </c>
      <c r="O516" s="51" cm="1">
        <f t="array" ref="O516">IF($A516="","",IF(I516="","",_xlfn.XLOOKUP($D516&amp;"_"&amp;$AE516,符文权重!$A:$A&amp;"_"&amp;符文权重!$C:$C,符文权重!$D:$D)*$Y516/SUMIFS($Y:$Y,I:I,I516,$D:$D,$D516,$AE:$AE,$AE516)/SUMIF(符文权重!$A:$A,$D516,符文权重!$D:$D)))</f>
        <v>0.000991416309012875</v>
      </c>
      <c r="P516" s="51" cm="1">
        <f t="array" ref="P516">IF($A516="","",IF(J516="","",_xlfn.XLOOKUP($D516&amp;"_"&amp;$AE516,符文权重!$A:$A&amp;"_"&amp;符文权重!$C:$C,符文权重!$D:$D)*$Y516/SUMIFS($Y:$Y,J:J,J516,$D:$D,$D516,$AE:$AE,$AE516)/SUMIF(符文权重!$A:$A,$D516,符文权重!$D:$D)))</f>
        <v>0.000991416309012875</v>
      </c>
      <c r="Q516" s="51" cm="1">
        <f t="array" ref="Q516">IF($A516="","",IF(K516="","",_xlfn.XLOOKUP($D516&amp;"_"&amp;$AE516,符文权重!$A:$A&amp;"_"&amp;符文权重!$C:$C,符文权重!$D:$D)*$Y516/SUMIFS($Y:$Y,K:K,K516,$D:$D,$D516,$AE:$AE,$AE516)/SUMIF(符文权重!$A:$A,$D516,符文权重!$D:$D)))</f>
        <v>0.000991416309012875</v>
      </c>
      <c r="R516" s="51" cm="1">
        <f t="array" ref="R516">IF($A516="","",IF(L516="","",_xlfn.XLOOKUP($D516&amp;"_"&amp;$AE516,符文权重!$A:$A&amp;"_"&amp;符文权重!$C:$C,符文权重!$D:$D)*$Y516/SUMIFS($Y:$Y,L:L,L516,$D:$D,$D516,$AE:$AE,$AE516)/SUMIF(符文权重!$A:$A,$D516,符文权重!$D:$D)))</f>
        <v>0.000991416309012875</v>
      </c>
      <c r="S516" s="36" t="s">
        <v>175</v>
      </c>
      <c r="T516" s="36"/>
      <c r="U516" s="36" t="e">
        <f>IF(C516="","",SUBSTITUTE(SUBSTITUTE("[{global_atk,"&amp;#REF!*D516&amp;"}]",21,20),9,8))</f>
        <v>#REF!</v>
      </c>
      <c r="V516" s="52" t="str">
        <f t="shared" si="235"/>
        <v>[5506047]</v>
      </c>
      <c r="W516" s="36" t="s">
        <v>568</v>
      </c>
      <c r="Y516" s="35">
        <v>33</v>
      </c>
      <c r="AA516" s="42" t="s">
        <v>191</v>
      </c>
      <c r="AB516" s="42" t="str">
        <f t="shared" si="222"/>
        <v>梦灵暴击率&lt;color=#54b76b&gt;+7%&lt;/color&gt;</v>
      </c>
      <c r="AC516" s="48" t="str">
        <f t="shared" si="218"/>
        <v>5506041</v>
      </c>
      <c r="AD516" s="42" t="str">
        <f t="shared" si="213"/>
        <v>[7]</v>
      </c>
      <c r="AE516" s="36">
        <v>6</v>
      </c>
      <c r="AF516" s="36"/>
      <c r="AG516" s="36">
        <v>0</v>
      </c>
      <c r="AH516" s="35">
        <v>1</v>
      </c>
      <c r="AI516" s="48">
        <f t="shared" si="236"/>
        <v>5506047</v>
      </c>
      <c r="AJ516" s="53" t="str">
        <f t="shared" si="237"/>
        <v>梦灵暴击率&lt;color=#54b76b&gt;+%s%&lt;/color&gt;</v>
      </c>
      <c r="AK516" s="36">
        <v>7</v>
      </c>
      <c r="AL516" s="35">
        <v>6</v>
      </c>
    </row>
    <row r="517" s="25" customFormat="1" hidden="1" customHeight="1" spans="1:38">
      <c r="A517" s="48" t="s">
        <v>178</v>
      </c>
      <c r="B517" s="35"/>
      <c r="C517" s="48" t="str">
        <f t="shared" si="216"/>
        <v/>
      </c>
      <c r="D517" s="42" t="str">
        <f t="shared" si="217"/>
        <v/>
      </c>
      <c r="E517" s="42"/>
      <c r="F517" s="36"/>
      <c r="G517" s="36" t="str">
        <f t="shared" si="209"/>
        <v/>
      </c>
      <c r="H517" s="36" t="str">
        <f>IFERROR(IF(--MID($F517,2*COUNTIF($G517:G517,"&gt;"&amp;0)+2,1)=H$1,H$1,""),"")</f>
        <v/>
      </c>
      <c r="I517" s="36" t="str">
        <f>IFERROR(IF(--MID($F517,2*COUNTIF($G517:H517,"&gt;"&amp;0)+2,1)=I$1,I$1,""),"")</f>
        <v/>
      </c>
      <c r="J517" s="36" t="str">
        <f>IFERROR(IF(--MID($F517,2*COUNTIF($G517:I517,"&gt;"&amp;0)+2,1)=J$1,J$1,""),"")</f>
        <v/>
      </c>
      <c r="K517" s="36" t="str">
        <f>IFERROR(IF(--MID($F517,2*COUNTIF($G517:J517,"&gt;"&amp;0)+2,1)=K$1,K$1,""),"")</f>
        <v/>
      </c>
      <c r="L517" s="36" t="str">
        <f>IFERROR(IF(--MID($F517,2*COUNTIF($G517:K517,"&gt;"&amp;0)+2,1)=L$1,L$1,""),"")</f>
        <v/>
      </c>
      <c r="M517" s="51" t="str" cm="1">
        <f t="array" ref="M517">IF($A517="","",IF(G517="","",_xlfn.XLOOKUP($D517&amp;"_"&amp;$AE517,符文权重!$A:$A&amp;"_"&amp;符文权重!$C:$C,符文权重!$D:$D)*$Y517/SUMIFS($Y:$Y,G:G,G517,$D:$D,$D517,$AE:$AE,$AE517)/SUMIF(符文权重!$A:$A,$D517,符文权重!$D:$D)))</f>
        <v/>
      </c>
      <c r="N517" s="36" t="str" cm="1">
        <f t="array" ref="N517">IF($A517="","",IF(H517="","",_xlfn.XLOOKUP($D517&amp;"_"&amp;$AE517,符文权重!$A:$A&amp;"_"&amp;符文权重!$C:$C,符文权重!$D:$D)*$Y517/SUMIFS($Y:$Y,H:H,H517,$D:$D,$D$6,$AE:$AE,$AE$6)))</f>
        <v/>
      </c>
      <c r="O517" s="36" t="str" cm="1">
        <f t="array" ref="O517">IF($A517="","",IF(I517="","",_xlfn.XLOOKUP($D517&amp;"_"&amp;$AE517,符文权重!$A:$A&amp;"_"&amp;符文权重!$C:$C,符文权重!$D:$D)*$Y517/SUMIFS($Y:$Y,I:I,I517,$D:$D,$D$6,$AE:$AE,$AE$6)))</f>
        <v/>
      </c>
      <c r="P517" s="36" t="str" cm="1">
        <f t="array" ref="P517">IF($A517="","",IF(J517="","",_xlfn.XLOOKUP($D517&amp;"_"&amp;$AE517,符文权重!$A:$A&amp;"_"&amp;符文权重!$C:$C,符文权重!$D:$D)*$Y517/SUMIFS($Y:$Y,J:J,J517,$D:$D,$D$6,$AE:$AE,$AE$6)))</f>
        <v/>
      </c>
      <c r="Q517" s="36" t="str" cm="1">
        <f t="array" ref="Q517">IF($A517="","",IF(K517="","",_xlfn.XLOOKUP($D517&amp;"_"&amp;$AE517,符文权重!$A:$A&amp;"_"&amp;符文权重!$C:$C,符文权重!$D:$D)*$Y517/SUMIFS($Y:$Y,K:K,K517,$D:$D,$D$6,$AE:$AE,$AE$6)))</f>
        <v/>
      </c>
      <c r="R517" s="36" t="str" cm="1">
        <f t="array" ref="R517">IF($A517="","",IF(L517="","",_xlfn.XLOOKUP($D517&amp;"_"&amp;$AE517,符文权重!$A:$A&amp;"_"&amp;符文权重!$C:$C,符文权重!$D:$D)*$Y517/SUMIFS($Y:$Y,L:L,L517,$D:$D,$D$6,$AE:$AE,$AE$6)))</f>
        <v/>
      </c>
      <c r="S517" s="36"/>
      <c r="T517" s="36"/>
      <c r="U517" s="36"/>
      <c r="W517" s="41"/>
      <c r="X517" s="35"/>
      <c r="Y517" s="35"/>
      <c r="Z517" s="35"/>
      <c r="AA517" s="42" t="s">
        <v>178</v>
      </c>
      <c r="AB517" s="42" t="str">
        <f t="shared" si="222"/>
        <v/>
      </c>
      <c r="AC517" s="48" t="str">
        <f t="shared" si="218"/>
        <v/>
      </c>
      <c r="AD517" s="42" t="str">
        <f t="shared" si="213"/>
        <v/>
      </c>
      <c r="AE517" s="36"/>
      <c r="AF517" s="36"/>
      <c r="AG517" s="36"/>
      <c r="AH517" s="35" t="s">
        <v>178</v>
      </c>
      <c r="AI517" s="33"/>
      <c r="AJ517" s="74"/>
      <c r="AK517" s="36"/>
      <c r="AL517" s="35"/>
    </row>
    <row r="518" s="25" customFormat="1" hidden="1" customHeight="1" spans="1:38">
      <c r="A518" s="48">
        <v>5506051</v>
      </c>
      <c r="B518" s="34" t="s">
        <v>569</v>
      </c>
      <c r="C518" s="48" t="str">
        <f t="shared" si="216"/>
        <v>5506051</v>
      </c>
      <c r="D518" s="42">
        <f t="shared" si="217"/>
        <v>1</v>
      </c>
      <c r="E518" s="42"/>
      <c r="F518" s="36" t="s">
        <v>193</v>
      </c>
      <c r="G518" s="36" t="str">
        <f t="shared" si="209"/>
        <v/>
      </c>
      <c r="H518" s="36" t="str">
        <f>IFERROR(IF(--MID($F518,2*COUNTIF($G518:G518,"&gt;"&amp;0)+2,1)=H$1,H$1,""),"")</f>
        <v/>
      </c>
      <c r="I518" s="36">
        <f>IFERROR(IF(--MID($F518,2*COUNTIF($G518:H518,"&gt;"&amp;0)+2,1)=I$1,I$1,""),"")</f>
        <v>3</v>
      </c>
      <c r="J518" s="36" t="str">
        <f>IFERROR(IF(--MID($F518,2*COUNTIF($G518:I518,"&gt;"&amp;0)+2,1)=J$1,J$1,""),"")</f>
        <v/>
      </c>
      <c r="K518" s="36" t="str">
        <f>IFERROR(IF(--MID($F518,2*COUNTIF($G518:J518,"&gt;"&amp;0)+2,1)=K$1,K$1,""),"")</f>
        <v/>
      </c>
      <c r="L518" s="36" t="str">
        <f>IFERROR(IF(--MID($F518,2*COUNTIF($G518:K518,"&gt;"&amp;0)+2,1)=L$1,L$1,""),"")</f>
        <v/>
      </c>
      <c r="M518" s="36" t="e" cm="1">
        <f t="array" ref="M518">IF(A518="","",_xlfn.XLOOKUP(D518&amp;"_"&amp;AE518,符文权重!A:A&amp;"_"&amp;符文权重!C:C,符文权重!D:D))</f>
        <v>#N/A</v>
      </c>
      <c r="N518" s="36"/>
      <c r="O518" s="36"/>
      <c r="P518" s="36"/>
      <c r="Q518" s="36"/>
      <c r="R518" s="36"/>
      <c r="S518" s="36" t="s">
        <v>175</v>
      </c>
      <c r="T518" s="36"/>
      <c r="U518" s="36" t="e">
        <f>IF(C518="","",SUBSTITUTE(SUBSTITUTE("[{global_atk,"&amp;#REF!*D518&amp;"}]",21,20),9,8))</f>
        <v>#REF!</v>
      </c>
      <c r="V518" s="52" t="str">
        <f t="shared" ref="V518:V524" si="238">"["&amp;A518&amp;"]"</f>
        <v>[5506051]</v>
      </c>
      <c r="W518" s="36"/>
      <c r="X518" s="35"/>
      <c r="Y518" s="35">
        <v>100</v>
      </c>
      <c r="Z518" s="35"/>
      <c r="AA518" s="42" t="s">
        <v>177</v>
      </c>
      <c r="AB518" s="42" t="str">
        <f t="shared" si="222"/>
        <v>释放普攻时&lt;color=#54b76b&gt;0%&lt;/color&gt;概率额外释放1次</v>
      </c>
      <c r="AC518" s="48" t="str">
        <f t="shared" si="218"/>
        <v>5506051</v>
      </c>
      <c r="AD518" s="42" t="str">
        <f t="shared" si="213"/>
        <v>[0]</v>
      </c>
      <c r="AE518" s="36">
        <v>100</v>
      </c>
      <c r="AF518" s="36"/>
      <c r="AG518" s="36">
        <v>1</v>
      </c>
      <c r="AH518" s="35">
        <v>1</v>
      </c>
      <c r="AI518" s="33">
        <v>5506051</v>
      </c>
      <c r="AJ518" s="55" t="s">
        <v>570</v>
      </c>
      <c r="AK518" s="36">
        <v>0</v>
      </c>
      <c r="AL518" s="35">
        <v>6</v>
      </c>
    </row>
    <row r="519" hidden="1" customHeight="1" spans="1:38">
      <c r="A519" s="48">
        <v>5506052</v>
      </c>
      <c r="C519" s="48" t="str">
        <f t="shared" si="216"/>
        <v>5506051</v>
      </c>
      <c r="D519" s="42">
        <f t="shared" si="217"/>
        <v>2</v>
      </c>
      <c r="E519" s="42"/>
      <c r="F519" s="36" t="s">
        <v>193</v>
      </c>
      <c r="G519" s="36" t="str">
        <f t="shared" ref="G519:G582" si="239">IF(LEFT(F519,2)="[1",1,"")</f>
        <v/>
      </c>
      <c r="H519" s="36" t="str">
        <f>IFERROR(IF(--MID($F519,2*COUNTIF($G519:G519,"&gt;"&amp;0)+2,1)=H$1,H$1,""),"")</f>
        <v/>
      </c>
      <c r="I519" s="36">
        <f>IFERROR(IF(--MID($F519,2*COUNTIF($G519:H519,"&gt;"&amp;0)+2,1)=I$1,I$1,""),"")</f>
        <v>3</v>
      </c>
      <c r="J519" s="36" t="str">
        <f>IFERROR(IF(--MID($F519,2*COUNTIF($G519:I519,"&gt;"&amp;0)+2,1)=J$1,J$1,""),"")</f>
        <v/>
      </c>
      <c r="K519" s="36" t="str">
        <f>IFERROR(IF(--MID($F519,2*COUNTIF($G519:J519,"&gt;"&amp;0)+2,1)=K$1,K$1,""),"")</f>
        <v/>
      </c>
      <c r="L519" s="36" t="str">
        <f>IFERROR(IF(--MID($F519,2*COUNTIF($G519:K519,"&gt;"&amp;0)+2,1)=L$1,L$1,""),"")</f>
        <v/>
      </c>
      <c r="M519" s="36" t="e" cm="1">
        <f t="array" ref="M519">IF(A519="","",_xlfn.XLOOKUP(D519&amp;"_"&amp;AE519,符文权重!A:A&amp;"_"&amp;符文权重!C:C,符文权重!D:D))</f>
        <v>#N/A</v>
      </c>
      <c r="N519" s="36"/>
      <c r="O519" s="36"/>
      <c r="P519" s="36"/>
      <c r="Q519" s="36"/>
      <c r="R519" s="36"/>
      <c r="S519" s="36" t="s">
        <v>175</v>
      </c>
      <c r="T519" s="36"/>
      <c r="U519" s="36" t="e">
        <f>IF(C519="","",SUBSTITUTE(SUBSTITUTE("[{global_atk,"&amp;#REF!*D519&amp;"}]",21,20),9,8))</f>
        <v>#REF!</v>
      </c>
      <c r="V519" s="52" t="str">
        <f t="shared" si="238"/>
        <v>[5506052]</v>
      </c>
      <c r="Y519" s="35">
        <v>100</v>
      </c>
      <c r="AA519" s="42" t="s">
        <v>181</v>
      </c>
      <c r="AB519" s="42" t="str">
        <f t="shared" si="222"/>
        <v>释放普攻时&lt;color=#54b76b&gt;0%&lt;/color&gt;概率额外释放1次</v>
      </c>
      <c r="AC519" s="48" t="str">
        <f t="shared" si="218"/>
        <v>5506051</v>
      </c>
      <c r="AD519" s="42" t="str">
        <f t="shared" si="213"/>
        <v>[0]</v>
      </c>
      <c r="AE519" s="36">
        <v>100</v>
      </c>
      <c r="AF519" s="36"/>
      <c r="AG519" s="36">
        <v>1</v>
      </c>
      <c r="AH519" s="35">
        <v>1</v>
      </c>
      <c r="AI519" s="48">
        <f t="shared" ref="AI519:AI524" si="240">AI518+1</f>
        <v>5506052</v>
      </c>
      <c r="AJ519" s="53" t="str">
        <f t="shared" ref="AJ519:AJ524" si="241">AJ518</f>
        <v>释放普攻时&lt;color=#54b76b&gt;%s%&lt;/color&gt;概率额外释放1次</v>
      </c>
      <c r="AK519" s="36">
        <v>0</v>
      </c>
      <c r="AL519" s="35">
        <v>6</v>
      </c>
    </row>
    <row r="520" hidden="1" customHeight="1" spans="1:38">
      <c r="A520" s="48">
        <v>5506053</v>
      </c>
      <c r="C520" s="48" t="str">
        <f t="shared" si="216"/>
        <v>5506051</v>
      </c>
      <c r="D520" s="42">
        <f t="shared" si="217"/>
        <v>3</v>
      </c>
      <c r="E520" s="42"/>
      <c r="F520" s="36" t="s">
        <v>193</v>
      </c>
      <c r="G520" s="36" t="str">
        <f t="shared" si="239"/>
        <v/>
      </c>
      <c r="H520" s="36" t="str">
        <f>IFERROR(IF(--MID($F520,2*COUNTIF($G520:G520,"&gt;"&amp;0)+2,1)=H$1,H$1,""),"")</f>
        <v/>
      </c>
      <c r="I520" s="36">
        <f>IFERROR(IF(--MID($F520,2*COUNTIF($G520:H520,"&gt;"&amp;0)+2,1)=I$1,I$1,""),"")</f>
        <v>3</v>
      </c>
      <c r="J520" s="36" t="str">
        <f>IFERROR(IF(--MID($F520,2*COUNTIF($G520:I520,"&gt;"&amp;0)+2,1)=J$1,J$1,""),"")</f>
        <v/>
      </c>
      <c r="K520" s="36" t="str">
        <f>IFERROR(IF(--MID($F520,2*COUNTIF($G520:J520,"&gt;"&amp;0)+2,1)=K$1,K$1,""),"")</f>
        <v/>
      </c>
      <c r="L520" s="36" t="str">
        <f>IFERROR(IF(--MID($F520,2*COUNTIF($G520:K520,"&gt;"&amp;0)+2,1)=L$1,L$1,""),"")</f>
        <v/>
      </c>
      <c r="M520" s="36" t="e" cm="1">
        <f t="array" ref="M520">IF(A520="","",_xlfn.XLOOKUP(D520&amp;"_"&amp;AE520,符文权重!A:A&amp;"_"&amp;符文权重!C:C,符文权重!D:D))</f>
        <v>#N/A</v>
      </c>
      <c r="N520" s="36"/>
      <c r="O520" s="36"/>
      <c r="P520" s="36"/>
      <c r="Q520" s="36"/>
      <c r="R520" s="36"/>
      <c r="S520" s="36" t="s">
        <v>175</v>
      </c>
      <c r="T520" s="36"/>
      <c r="U520" s="36" t="e">
        <f>IF(C520="","",SUBSTITUTE(SUBSTITUTE("[{global_atk,"&amp;#REF!*D520&amp;"}]",21,20),9,8))</f>
        <v>#REF!</v>
      </c>
      <c r="V520" s="52" t="str">
        <f t="shared" si="238"/>
        <v>[5506053]</v>
      </c>
      <c r="Y520" s="35">
        <v>100</v>
      </c>
      <c r="AA520" s="42" t="s">
        <v>183</v>
      </c>
      <c r="AB520" s="42" t="str">
        <f t="shared" si="222"/>
        <v>释放普攻时&lt;color=#54b76b&gt;0%&lt;/color&gt;概率额外释放1次</v>
      </c>
      <c r="AC520" s="48" t="str">
        <f t="shared" si="218"/>
        <v>5506051</v>
      </c>
      <c r="AD520" s="42" t="str">
        <f t="shared" si="213"/>
        <v>[0]</v>
      </c>
      <c r="AE520" s="36">
        <v>100</v>
      </c>
      <c r="AF520" s="36"/>
      <c r="AG520" s="36">
        <v>1</v>
      </c>
      <c r="AH520" s="35">
        <v>1</v>
      </c>
      <c r="AI520" s="48">
        <f t="shared" si="240"/>
        <v>5506053</v>
      </c>
      <c r="AJ520" s="53" t="str">
        <f t="shared" si="241"/>
        <v>释放普攻时&lt;color=#54b76b&gt;%s%&lt;/color&gt;概率额外释放1次</v>
      </c>
      <c r="AK520" s="36">
        <v>0</v>
      </c>
      <c r="AL520" s="35">
        <v>6</v>
      </c>
    </row>
    <row r="521" hidden="1" customHeight="1" spans="1:38">
      <c r="A521" s="48">
        <v>5506054</v>
      </c>
      <c r="C521" s="48" t="str">
        <f t="shared" si="216"/>
        <v>5506051</v>
      </c>
      <c r="D521" s="42">
        <f t="shared" si="217"/>
        <v>4</v>
      </c>
      <c r="E521" s="42"/>
      <c r="F521" s="36" t="s">
        <v>193</v>
      </c>
      <c r="G521" s="36" t="str">
        <f t="shared" si="239"/>
        <v/>
      </c>
      <c r="H521" s="36" t="str">
        <f>IFERROR(IF(--MID($F521,2*COUNTIF($G521:G521,"&gt;"&amp;0)+2,1)=H$1,H$1,""),"")</f>
        <v/>
      </c>
      <c r="I521" s="36">
        <f>IFERROR(IF(--MID($F521,2*COUNTIF($G521:H521,"&gt;"&amp;0)+2,1)=I$1,I$1,""),"")</f>
        <v>3</v>
      </c>
      <c r="J521" s="36" t="str">
        <f>IFERROR(IF(--MID($F521,2*COUNTIF($G521:I521,"&gt;"&amp;0)+2,1)=J$1,J$1,""),"")</f>
        <v/>
      </c>
      <c r="K521" s="36" t="str">
        <f>IFERROR(IF(--MID($F521,2*COUNTIF($G521:J521,"&gt;"&amp;0)+2,1)=K$1,K$1,""),"")</f>
        <v/>
      </c>
      <c r="L521" s="36" t="str">
        <f>IFERROR(IF(--MID($F521,2*COUNTIF($G521:K521,"&gt;"&amp;0)+2,1)=L$1,L$1,""),"")</f>
        <v/>
      </c>
      <c r="M521" s="51" t="str" cm="1">
        <f t="array" ref="M521">IF($A521="","",IF(G521="","",_xlfn.XLOOKUP($D521&amp;"_"&amp;$AE521,符文权重!$A:$A&amp;"_"&amp;符文权重!$C:$C,符文权重!$D:$D)*$Y521/SUMIFS($Y:$Y,G:G,G521,$D:$D,$D521,$AE:$AE,$AE521)/SUMIF(符文权重!$A:$A,$D521,符文权重!$D:$D)))</f>
        <v/>
      </c>
      <c r="N521" s="51" t="str" cm="1">
        <f t="array" ref="N521">IF($A521="","",IF(H521="","",_xlfn.XLOOKUP($D521&amp;"_"&amp;$AE521,符文权重!$A:$A&amp;"_"&amp;符文权重!$C:$C,符文权重!$D:$D)*$Y521/SUMIFS($Y:$Y,H:H,H521,$D:$D,$D521,$AE:$AE,$AE521)/SUMIF(符文权重!$A:$A,$D521,符文权重!$D:$D)))</f>
        <v/>
      </c>
      <c r="O521" s="51" cm="1">
        <f t="array" ref="O521">IF($A521="","",IF(I521="","",_xlfn.XLOOKUP($D521&amp;"_"&amp;$AE521,符文权重!$A:$A&amp;"_"&amp;符文权重!$C:$C,符文权重!$D:$D)*$Y521/SUMIFS($Y:$Y,I:I,I521,$D:$D,$D521,$AE:$AE,$AE521)/SUMIF(符文权重!$A:$A,$D521,符文权重!$D:$D)))</f>
        <v>0.0022977522977523</v>
      </c>
      <c r="P521" s="51" t="str" cm="1">
        <f t="array" ref="P521">IF($A521="","",IF(J521="","",_xlfn.XLOOKUP($D521&amp;"_"&amp;$AE521,符文权重!$A:$A&amp;"_"&amp;符文权重!$C:$C,符文权重!$D:$D)*$Y521/SUMIFS($Y:$Y,J:J,J521,$D:$D,$D521,$AE:$AE,$AE521)/SUMIF(符文权重!$A:$A,$D521,符文权重!$D:$D)))</f>
        <v/>
      </c>
      <c r="Q521" s="51" t="str" cm="1">
        <f t="array" ref="Q521">IF($A521="","",IF(K521="","",_xlfn.XLOOKUP($D521&amp;"_"&amp;$AE521,符文权重!$A:$A&amp;"_"&amp;符文权重!$C:$C,符文权重!$D:$D)*$Y521/SUMIFS($Y:$Y,K:K,K521,$D:$D,$D521,$AE:$AE,$AE521)/SUMIF(符文权重!$A:$A,$D521,符文权重!$D:$D)))</f>
        <v/>
      </c>
      <c r="R521" s="51" t="str" cm="1">
        <f t="array" ref="R521">IF($A521="","",IF(L521="","",_xlfn.XLOOKUP($D521&amp;"_"&amp;$AE521,符文权重!$A:$A&amp;"_"&amp;符文权重!$C:$C,符文权重!$D:$D)*$Y521/SUMIFS($Y:$Y,L:L,L521,$D:$D,$D521,$AE:$AE,$AE521)/SUMIF(符文权重!$A:$A,$D521,符文权重!$D:$D)))</f>
        <v/>
      </c>
      <c r="S521" s="36" t="s">
        <v>175</v>
      </c>
      <c r="T521" s="36"/>
      <c r="U521" s="36" t="e">
        <f>IF(C521="","",SUBSTITUTE(SUBSTITUTE("[{global_atk,"&amp;#REF!*D521&amp;"}]",21,20),9,8))</f>
        <v>#REF!</v>
      </c>
      <c r="V521" s="52" t="str">
        <f t="shared" si="238"/>
        <v>[5506054]</v>
      </c>
      <c r="Y521" s="35">
        <v>20</v>
      </c>
      <c r="AA521" s="42" t="s">
        <v>185</v>
      </c>
      <c r="AB521" s="42" t="str">
        <f t="shared" si="222"/>
        <v>释放普攻时&lt;color=#54b76b&gt;10%&lt;/color&gt;概率额外释放1次</v>
      </c>
      <c r="AC521" s="48" t="str">
        <f t="shared" si="218"/>
        <v>5506051</v>
      </c>
      <c r="AD521" s="42" t="str">
        <f t="shared" si="213"/>
        <v>[10]</v>
      </c>
      <c r="AE521" s="36">
        <v>4</v>
      </c>
      <c r="AF521" s="36"/>
      <c r="AG521" s="36">
        <v>0</v>
      </c>
      <c r="AH521" s="35">
        <v>1</v>
      </c>
      <c r="AI521" s="48">
        <f t="shared" si="240"/>
        <v>5506054</v>
      </c>
      <c r="AJ521" s="53" t="str">
        <f t="shared" si="241"/>
        <v>释放普攻时&lt;color=#54b76b&gt;%s%&lt;/color&gt;概率额外释放1次</v>
      </c>
      <c r="AK521" s="36">
        <v>10</v>
      </c>
      <c r="AL521" s="35">
        <v>6</v>
      </c>
    </row>
    <row r="522" customHeight="1" spans="1:38">
      <c r="A522" s="48">
        <v>5506055</v>
      </c>
      <c r="C522" s="48" t="str">
        <f t="shared" si="216"/>
        <v>5506051</v>
      </c>
      <c r="D522" s="42">
        <f t="shared" si="217"/>
        <v>5</v>
      </c>
      <c r="E522" s="42"/>
      <c r="F522" s="36" t="s">
        <v>193</v>
      </c>
      <c r="G522" s="36" t="str">
        <f t="shared" si="239"/>
        <v/>
      </c>
      <c r="H522" s="36" t="str">
        <f>IFERROR(IF(--MID($F522,2*COUNTIF($G522:G522,"&gt;"&amp;0)+2,1)=H$1,H$1,""),"")</f>
        <v/>
      </c>
      <c r="I522" s="36">
        <f>IFERROR(IF(--MID($F522,2*COUNTIF($G522:H522,"&gt;"&amp;0)+2,1)=I$1,I$1,""),"")</f>
        <v>3</v>
      </c>
      <c r="J522" s="36" t="str">
        <f>IFERROR(IF(--MID($F522,2*COUNTIF($G522:I522,"&gt;"&amp;0)+2,1)=J$1,J$1,""),"")</f>
        <v/>
      </c>
      <c r="K522" s="36" t="str">
        <f>IFERROR(IF(--MID($F522,2*COUNTIF($G522:J522,"&gt;"&amp;0)+2,1)=K$1,K$1,""),"")</f>
        <v/>
      </c>
      <c r="L522" s="36" t="str">
        <f>IFERROR(IF(--MID($F522,2*COUNTIF($G522:K522,"&gt;"&amp;0)+2,1)=L$1,L$1,""),"")</f>
        <v/>
      </c>
      <c r="M522" s="51" t="str" cm="1">
        <f t="array" ref="M522">IF($A522="","",IF(G522="","",_xlfn.XLOOKUP($D522&amp;"_"&amp;$AE522,符文权重!$A:$A&amp;"_"&amp;符文权重!$C:$C,符文权重!$D:$D)*$Y522/SUMIFS($Y:$Y,G:G,G522,$D:$D,$D522,$AE:$AE,$AE522)/SUMIF(符文权重!$A:$A,$D522,符文权重!$D:$D)))</f>
        <v/>
      </c>
      <c r="N522" s="51" t="str" cm="1">
        <f t="array" ref="N522">IF($A522="","",IF(H522="","",_xlfn.XLOOKUP($D522&amp;"_"&amp;$AE522,符文权重!$A:$A&amp;"_"&amp;符文权重!$C:$C,符文权重!$D:$D)*$Y522/SUMIFS($Y:$Y,H:H,H522,$D:$D,$D522,$AE:$AE,$AE522)/SUMIF(符文权重!$A:$A,$D522,符文权重!$D:$D)))</f>
        <v/>
      </c>
      <c r="O522" s="51" cm="1">
        <f t="array" ref="O522">IF($A522="","",IF(I522="","",_xlfn.XLOOKUP($D522&amp;"_"&amp;$AE522,符文权重!$A:$A&amp;"_"&amp;符文权重!$C:$C,符文权重!$D:$D)*$Y522/SUMIFS($Y:$Y,I:I,I522,$D:$D,$D522,$AE:$AE,$AE522)/SUMIF(符文权重!$A:$A,$D522,符文权重!$D:$D)))</f>
        <v>0.00300429184549356</v>
      </c>
      <c r="P522" s="51" t="str" cm="1">
        <f t="array" ref="P522">IF($A522="","",IF(J522="","",_xlfn.XLOOKUP($D522&amp;"_"&amp;$AE522,符文权重!$A:$A&amp;"_"&amp;符文权重!$C:$C,符文权重!$D:$D)*$Y522/SUMIFS($Y:$Y,J:J,J522,$D:$D,$D522,$AE:$AE,$AE522)/SUMIF(符文权重!$A:$A,$D522,符文权重!$D:$D)))</f>
        <v/>
      </c>
      <c r="Q522" s="51" t="str" cm="1">
        <f t="array" ref="Q522">IF($A522="","",IF(K522="","",_xlfn.XLOOKUP($D522&amp;"_"&amp;$AE522,符文权重!$A:$A&amp;"_"&amp;符文权重!$C:$C,符文权重!$D:$D)*$Y522/SUMIFS($Y:$Y,K:K,K522,$D:$D,$D522,$AE:$AE,$AE522)/SUMIF(符文权重!$A:$A,$D522,符文权重!$D:$D)))</f>
        <v/>
      </c>
      <c r="R522" s="51" t="str" cm="1">
        <f t="array" ref="R522">IF($A522="","",IF(L522="","",_xlfn.XLOOKUP($D522&amp;"_"&amp;$AE522,符文权重!$A:$A&amp;"_"&amp;符文权重!$C:$C,符文权重!$D:$D)*$Y522/SUMIFS($Y:$Y,L:L,L522,$D:$D,$D522,$AE:$AE,$AE522)/SUMIF(符文权重!$A:$A,$D522,符文权重!$D:$D)))</f>
        <v/>
      </c>
      <c r="S522" s="36" t="s">
        <v>175</v>
      </c>
      <c r="T522" s="36"/>
      <c r="U522" s="36" t="e">
        <f>IF(C522="","",SUBSTITUTE(SUBSTITUTE("[{global_atk,"&amp;#REF!*D522&amp;"}]",21,20),9,8))</f>
        <v>#REF!</v>
      </c>
      <c r="V522" s="52" t="str">
        <f t="shared" si="238"/>
        <v>[5506055]</v>
      </c>
      <c r="Y522" s="35">
        <v>100</v>
      </c>
      <c r="AA522" s="42" t="s">
        <v>187</v>
      </c>
      <c r="AB522" s="42" t="str">
        <f t="shared" si="222"/>
        <v>释放普攻时&lt;color=#54b76b&gt;16%&lt;/color&gt;概率额外释放1次</v>
      </c>
      <c r="AC522" s="48" t="str">
        <f t="shared" si="218"/>
        <v>5506051</v>
      </c>
      <c r="AD522" s="42" t="str">
        <f t="shared" si="213"/>
        <v>[16]</v>
      </c>
      <c r="AE522" s="36">
        <v>6</v>
      </c>
      <c r="AF522" s="36"/>
      <c r="AG522" s="36">
        <v>0</v>
      </c>
      <c r="AH522" s="35">
        <v>1</v>
      </c>
      <c r="AI522" s="48">
        <f t="shared" si="240"/>
        <v>5506055</v>
      </c>
      <c r="AJ522" s="53" t="str">
        <f t="shared" si="241"/>
        <v>释放普攻时&lt;color=#54b76b&gt;%s%&lt;/color&gt;概率额外释放1次</v>
      </c>
      <c r="AK522" s="36">
        <v>16</v>
      </c>
      <c r="AL522" s="35">
        <v>6</v>
      </c>
    </row>
    <row r="523" customHeight="1" spans="1:38">
      <c r="A523" s="48">
        <v>5506056</v>
      </c>
      <c r="C523" s="48" t="str">
        <f t="shared" si="216"/>
        <v>5506051</v>
      </c>
      <c r="D523" s="42">
        <f t="shared" si="217"/>
        <v>6</v>
      </c>
      <c r="E523" s="42"/>
      <c r="F523" s="36" t="s">
        <v>193</v>
      </c>
      <c r="G523" s="36" t="str">
        <f t="shared" si="239"/>
        <v/>
      </c>
      <c r="H523" s="36" t="str">
        <f>IFERROR(IF(--MID($F523,2*COUNTIF($G523:G523,"&gt;"&amp;0)+2,1)=H$1,H$1,""),"")</f>
        <v/>
      </c>
      <c r="I523" s="36">
        <f>IFERROR(IF(--MID($F523,2*COUNTIF($G523:H523,"&gt;"&amp;0)+2,1)=I$1,I$1,""),"")</f>
        <v>3</v>
      </c>
      <c r="J523" s="36" t="str">
        <f>IFERROR(IF(--MID($F523,2*COUNTIF($G523:I523,"&gt;"&amp;0)+2,1)=J$1,J$1,""),"")</f>
        <v/>
      </c>
      <c r="K523" s="36" t="str">
        <f>IFERROR(IF(--MID($F523,2*COUNTIF($G523:J523,"&gt;"&amp;0)+2,1)=K$1,K$1,""),"")</f>
        <v/>
      </c>
      <c r="L523" s="36" t="str">
        <f>IFERROR(IF(--MID($F523,2*COUNTIF($G523:K523,"&gt;"&amp;0)+2,1)=L$1,L$1,""),"")</f>
        <v/>
      </c>
      <c r="M523" s="51" t="str" cm="1">
        <f t="array" ref="M523">IF($A523="","",IF(G523="","",_xlfn.XLOOKUP($D523&amp;"_"&amp;$AE523,符文权重!$A:$A&amp;"_"&amp;符文权重!$C:$C,符文权重!$D:$D)*$Y523/SUMIFS($Y:$Y,G:G,G523,$D:$D,$D523,$AE:$AE,$AE523)/SUMIF(符文权重!$A:$A,$D523,符文权重!$D:$D)))</f>
        <v/>
      </c>
      <c r="N523" s="51" t="str" cm="1">
        <f t="array" ref="N523">IF($A523="","",IF(H523="","",_xlfn.XLOOKUP($D523&amp;"_"&amp;$AE523,符文权重!$A:$A&amp;"_"&amp;符文权重!$C:$C,符文权重!$D:$D)*$Y523/SUMIFS($Y:$Y,H:H,H523,$D:$D,$D523,$AE:$AE,$AE523)/SUMIF(符文权重!$A:$A,$D523,符文权重!$D:$D)))</f>
        <v/>
      </c>
      <c r="O523" s="51" cm="1">
        <f t="array" ref="O523">IF($A523="","",IF(I523="","",_xlfn.XLOOKUP($D523&amp;"_"&amp;$AE523,符文权重!$A:$A&amp;"_"&amp;符文权重!$C:$C,符文权重!$D:$D)*$Y523/SUMIFS($Y:$Y,I:I,I523,$D:$D,$D523,$AE:$AE,$AE523)/SUMIF(符文权重!$A:$A,$D523,符文权重!$D:$D)))</f>
        <v>0.00300429184549356</v>
      </c>
      <c r="P523" s="51" t="str" cm="1">
        <f t="array" ref="P523">IF($A523="","",IF(J523="","",_xlfn.XLOOKUP($D523&amp;"_"&amp;$AE523,符文权重!$A:$A&amp;"_"&amp;符文权重!$C:$C,符文权重!$D:$D)*$Y523/SUMIFS($Y:$Y,J:J,J523,$D:$D,$D523,$AE:$AE,$AE523)/SUMIF(符文权重!$A:$A,$D523,符文权重!$D:$D)))</f>
        <v/>
      </c>
      <c r="Q523" s="51" t="str" cm="1">
        <f t="array" ref="Q523">IF($A523="","",IF(K523="","",_xlfn.XLOOKUP($D523&amp;"_"&amp;$AE523,符文权重!$A:$A&amp;"_"&amp;符文权重!$C:$C,符文权重!$D:$D)*$Y523/SUMIFS($Y:$Y,K:K,K523,$D:$D,$D523,$AE:$AE,$AE523)/SUMIF(符文权重!$A:$A,$D523,符文权重!$D:$D)))</f>
        <v/>
      </c>
      <c r="R523" s="51" t="str" cm="1">
        <f t="array" ref="R523">IF($A523="","",IF(L523="","",_xlfn.XLOOKUP($D523&amp;"_"&amp;$AE523,符文权重!$A:$A&amp;"_"&amp;符文权重!$C:$C,符文权重!$D:$D)*$Y523/SUMIFS($Y:$Y,L:L,L523,$D:$D,$D523,$AE:$AE,$AE523)/SUMIF(符文权重!$A:$A,$D523,符文权重!$D:$D)))</f>
        <v/>
      </c>
      <c r="S523" s="36" t="s">
        <v>175</v>
      </c>
      <c r="T523" s="36"/>
      <c r="U523" s="36" t="e">
        <f>IF(C523="","",SUBSTITUTE(SUBSTITUTE("[{global_atk,"&amp;#REF!*D523&amp;"}]",21,20),9,8))</f>
        <v>#REF!</v>
      </c>
      <c r="V523" s="52" t="str">
        <f t="shared" si="238"/>
        <v>[5506056]</v>
      </c>
      <c r="Y523" s="35">
        <v>100</v>
      </c>
      <c r="AA523" s="42" t="s">
        <v>189</v>
      </c>
      <c r="AB523" s="42" t="str">
        <f t="shared" si="222"/>
        <v>释放普攻时&lt;color=#54b76b&gt;22%&lt;/color&gt;概率额外释放1次</v>
      </c>
      <c r="AC523" s="48" t="str">
        <f t="shared" si="218"/>
        <v>5506051</v>
      </c>
      <c r="AD523" s="42" t="str">
        <f t="shared" si="213"/>
        <v>[22]</v>
      </c>
      <c r="AE523" s="36">
        <v>6</v>
      </c>
      <c r="AF523" s="36"/>
      <c r="AG523" s="36">
        <v>0</v>
      </c>
      <c r="AH523" s="35">
        <v>1</v>
      </c>
      <c r="AI523" s="48">
        <f t="shared" si="240"/>
        <v>5506056</v>
      </c>
      <c r="AJ523" s="53" t="str">
        <f t="shared" si="241"/>
        <v>释放普攻时&lt;color=#54b76b&gt;%s%&lt;/color&gt;概率额外释放1次</v>
      </c>
      <c r="AK523" s="36">
        <v>22</v>
      </c>
      <c r="AL523" s="35">
        <v>6</v>
      </c>
    </row>
    <row r="524" customHeight="1" spans="1:38">
      <c r="A524" s="48">
        <v>5506057</v>
      </c>
      <c r="C524" s="48" t="str">
        <f t="shared" si="216"/>
        <v>5506051</v>
      </c>
      <c r="D524" s="42">
        <f t="shared" si="217"/>
        <v>7</v>
      </c>
      <c r="E524" s="42"/>
      <c r="F524" s="36" t="s">
        <v>193</v>
      </c>
      <c r="G524" s="36" t="str">
        <f t="shared" si="239"/>
        <v/>
      </c>
      <c r="H524" s="36" t="str">
        <f>IFERROR(IF(--MID($F524,2*COUNTIF($G524:G524,"&gt;"&amp;0)+2,1)=H$1,H$1,""),"")</f>
        <v/>
      </c>
      <c r="I524" s="36">
        <f>IFERROR(IF(--MID($F524,2*COUNTIF($G524:H524,"&gt;"&amp;0)+2,1)=I$1,I$1,""),"")</f>
        <v>3</v>
      </c>
      <c r="J524" s="36" t="str">
        <f>IFERROR(IF(--MID($F524,2*COUNTIF($G524:I524,"&gt;"&amp;0)+2,1)=J$1,J$1,""),"")</f>
        <v/>
      </c>
      <c r="K524" s="36" t="str">
        <f>IFERROR(IF(--MID($F524,2*COUNTIF($G524:J524,"&gt;"&amp;0)+2,1)=K$1,K$1,""),"")</f>
        <v/>
      </c>
      <c r="L524" s="36" t="str">
        <f>IFERROR(IF(--MID($F524,2*COUNTIF($G524:K524,"&gt;"&amp;0)+2,1)=L$1,L$1,""),"")</f>
        <v/>
      </c>
      <c r="M524" s="51" t="str" cm="1">
        <f t="array" ref="M524">IF($A524="","",IF(G524="","",_xlfn.XLOOKUP($D524&amp;"_"&amp;$AE524,符文权重!$A:$A&amp;"_"&amp;符文权重!$C:$C,符文权重!$D:$D)*$Y524/SUMIFS($Y:$Y,G:G,G524,$D:$D,$D524,$AE:$AE,$AE524)/SUMIF(符文权重!$A:$A,$D524,符文权重!$D:$D)))</f>
        <v/>
      </c>
      <c r="N524" s="51" t="str" cm="1">
        <f t="array" ref="N524">IF($A524="","",IF(H524="","",_xlfn.XLOOKUP($D524&amp;"_"&amp;$AE524,符文权重!$A:$A&amp;"_"&amp;符文权重!$C:$C,符文权重!$D:$D)*$Y524/SUMIFS($Y:$Y,H:H,H524,$D:$D,$D524,$AE:$AE,$AE524)/SUMIF(符文权重!$A:$A,$D524,符文权重!$D:$D)))</f>
        <v/>
      </c>
      <c r="O524" s="51" cm="1">
        <f t="array" ref="O524">IF($A524="","",IF(I524="","",_xlfn.XLOOKUP($D524&amp;"_"&amp;$AE524,符文权重!$A:$A&amp;"_"&amp;符文权重!$C:$C,符文权重!$D:$D)*$Y524/SUMIFS($Y:$Y,I:I,I524,$D:$D,$D524,$AE:$AE,$AE524)/SUMIF(符文权重!$A:$A,$D524,符文权重!$D:$D)))</f>
        <v>0.00300429184549356</v>
      </c>
      <c r="P524" s="51" t="str" cm="1">
        <f t="array" ref="P524">IF($A524="","",IF(J524="","",_xlfn.XLOOKUP($D524&amp;"_"&amp;$AE524,符文权重!$A:$A&amp;"_"&amp;符文权重!$C:$C,符文权重!$D:$D)*$Y524/SUMIFS($Y:$Y,J:J,J524,$D:$D,$D524,$AE:$AE,$AE524)/SUMIF(符文权重!$A:$A,$D524,符文权重!$D:$D)))</f>
        <v/>
      </c>
      <c r="Q524" s="51" t="str" cm="1">
        <f t="array" ref="Q524">IF($A524="","",IF(K524="","",_xlfn.XLOOKUP($D524&amp;"_"&amp;$AE524,符文权重!$A:$A&amp;"_"&amp;符文权重!$C:$C,符文权重!$D:$D)*$Y524/SUMIFS($Y:$Y,K:K,K524,$D:$D,$D524,$AE:$AE,$AE524)/SUMIF(符文权重!$A:$A,$D524,符文权重!$D:$D)))</f>
        <v/>
      </c>
      <c r="R524" s="51" t="str" cm="1">
        <f t="array" ref="R524">IF($A524="","",IF(L524="","",_xlfn.XLOOKUP($D524&amp;"_"&amp;$AE524,符文权重!$A:$A&amp;"_"&amp;符文权重!$C:$C,符文权重!$D:$D)*$Y524/SUMIFS($Y:$Y,L:L,L524,$D:$D,$D524,$AE:$AE,$AE524)/SUMIF(符文权重!$A:$A,$D524,符文权重!$D:$D)))</f>
        <v/>
      </c>
      <c r="S524" s="36" t="s">
        <v>175</v>
      </c>
      <c r="T524" s="36"/>
      <c r="U524" s="36" t="e">
        <f>IF(C524="","",SUBSTITUTE(SUBSTITUTE("[{global_atk,"&amp;#REF!*D524&amp;"}]",21,20),9,8))</f>
        <v>#REF!</v>
      </c>
      <c r="V524" s="52" t="str">
        <f t="shared" si="238"/>
        <v>[5506057]</v>
      </c>
      <c r="Y524" s="35">
        <v>100</v>
      </c>
      <c r="AA524" s="42" t="s">
        <v>191</v>
      </c>
      <c r="AB524" s="42" t="str">
        <f t="shared" si="222"/>
        <v>释放普攻时&lt;color=#54b76b&gt;28%&lt;/color&gt;概率额外释放1次</v>
      </c>
      <c r="AC524" s="48" t="str">
        <f t="shared" si="218"/>
        <v>5506051</v>
      </c>
      <c r="AD524" s="42" t="str">
        <f t="shared" si="213"/>
        <v>[28]</v>
      </c>
      <c r="AE524" s="36">
        <v>6</v>
      </c>
      <c r="AF524" s="36"/>
      <c r="AG524" s="36">
        <v>0</v>
      </c>
      <c r="AH524" s="35">
        <v>1</v>
      </c>
      <c r="AI524" s="48">
        <f t="shared" si="240"/>
        <v>5506057</v>
      </c>
      <c r="AJ524" s="53" t="str">
        <f t="shared" si="241"/>
        <v>释放普攻时&lt;color=#54b76b&gt;%s%&lt;/color&gt;概率额外释放1次</v>
      </c>
      <c r="AK524" s="36">
        <v>28</v>
      </c>
      <c r="AL524" s="35">
        <v>6</v>
      </c>
    </row>
    <row r="525" s="25" customFormat="1" hidden="1" customHeight="1" spans="1:38">
      <c r="A525" s="48" t="s">
        <v>178</v>
      </c>
      <c r="B525" s="34"/>
      <c r="C525" s="48" t="str">
        <f t="shared" si="216"/>
        <v/>
      </c>
      <c r="D525" s="42" t="str">
        <f t="shared" si="217"/>
        <v/>
      </c>
      <c r="E525" s="42"/>
      <c r="F525" s="36"/>
      <c r="G525" s="36" t="str">
        <f t="shared" si="239"/>
        <v/>
      </c>
      <c r="H525" s="36" t="str">
        <f>IFERROR(IF(--MID($F525,2*COUNTIF($G525:G525,"&gt;"&amp;0)+2,1)=H$1,H$1,""),"")</f>
        <v/>
      </c>
      <c r="I525" s="36" t="str">
        <f>IFERROR(IF(--MID($F525,2*COUNTIF($G525:H525,"&gt;"&amp;0)+2,1)=I$1,I$1,""),"")</f>
        <v/>
      </c>
      <c r="J525" s="36" t="str">
        <f>IFERROR(IF(--MID($F525,2*COUNTIF($G525:I525,"&gt;"&amp;0)+2,1)=J$1,J$1,""),"")</f>
        <v/>
      </c>
      <c r="K525" s="36" t="str">
        <f>IFERROR(IF(--MID($F525,2*COUNTIF($G525:J525,"&gt;"&amp;0)+2,1)=K$1,K$1,""),"")</f>
        <v/>
      </c>
      <c r="L525" s="36" t="str">
        <f>IFERROR(IF(--MID($F525,2*COUNTIF($G525:K525,"&gt;"&amp;0)+2,1)=L$1,L$1,""),"")</f>
        <v/>
      </c>
      <c r="M525" s="51" t="str" cm="1">
        <f t="array" ref="M525">IF($A525="","",IF(G525="","",_xlfn.XLOOKUP($D525&amp;"_"&amp;$AE525,符文权重!$A:$A&amp;"_"&amp;符文权重!$C:$C,符文权重!$D:$D)*$Y525/SUMIFS($Y:$Y,G:G,G525,$D:$D,$D525,$AE:$AE,$AE525)/SUMIF(符文权重!$A:$A,$D525,符文权重!$D:$D)))</f>
        <v/>
      </c>
      <c r="N525" s="36" t="str" cm="1">
        <f t="array" ref="N525">IF($A525="","",IF(H525="","",_xlfn.XLOOKUP($D525&amp;"_"&amp;$AE525,符文权重!$A:$A&amp;"_"&amp;符文权重!$C:$C,符文权重!$D:$D)*$Y525/SUMIFS($Y:$Y,H:H,H525,$D:$D,$D$6,$AE:$AE,$AE$6)))</f>
        <v/>
      </c>
      <c r="O525" s="36" t="str" cm="1">
        <f t="array" ref="O525">IF($A525="","",IF(I525="","",_xlfn.XLOOKUP($D525&amp;"_"&amp;$AE525,符文权重!$A:$A&amp;"_"&amp;符文权重!$C:$C,符文权重!$D:$D)*$Y525/SUMIFS($Y:$Y,I:I,I525,$D:$D,$D$6,$AE:$AE,$AE$6)))</f>
        <v/>
      </c>
      <c r="P525" s="36" t="str" cm="1">
        <f t="array" ref="P525">IF($A525="","",IF(J525="","",_xlfn.XLOOKUP($D525&amp;"_"&amp;$AE525,符文权重!$A:$A&amp;"_"&amp;符文权重!$C:$C,符文权重!$D:$D)*$Y525/SUMIFS($Y:$Y,J:J,J525,$D:$D,$D$6,$AE:$AE,$AE$6)))</f>
        <v/>
      </c>
      <c r="Q525" s="36" t="str" cm="1">
        <f t="array" ref="Q525">IF($A525="","",IF(K525="","",_xlfn.XLOOKUP($D525&amp;"_"&amp;$AE525,符文权重!$A:$A&amp;"_"&amp;符文权重!$C:$C,符文权重!$D:$D)*$Y525/SUMIFS($Y:$Y,K:K,K525,$D:$D,$D$6,$AE:$AE,$AE$6)))</f>
        <v/>
      </c>
      <c r="R525" s="36" t="str" cm="1">
        <f t="array" ref="R525">IF($A525="","",IF(L525="","",_xlfn.XLOOKUP($D525&amp;"_"&amp;$AE525,符文权重!$A:$A&amp;"_"&amp;符文权重!$C:$C,符文权重!$D:$D)*$Y525/SUMIFS($Y:$Y,L:L,L525,$D:$D,$D$6,$AE:$AE,$AE$6)))</f>
        <v/>
      </c>
      <c r="S525" s="36"/>
      <c r="T525" s="36"/>
      <c r="U525" s="36"/>
      <c r="W525" s="41"/>
      <c r="X525" s="35"/>
      <c r="Y525" s="35"/>
      <c r="Z525" s="35"/>
      <c r="AA525" s="42" t="s">
        <v>178</v>
      </c>
      <c r="AB525" s="42" t="str">
        <f t="shared" si="222"/>
        <v/>
      </c>
      <c r="AC525" s="48" t="str">
        <f t="shared" si="218"/>
        <v/>
      </c>
      <c r="AD525" s="42" t="str">
        <f t="shared" si="213"/>
        <v/>
      </c>
      <c r="AE525" s="36"/>
      <c r="AF525" s="36"/>
      <c r="AG525" s="36"/>
      <c r="AH525" s="35" t="s">
        <v>178</v>
      </c>
      <c r="AI525" s="33"/>
      <c r="AJ525" s="55"/>
      <c r="AK525" s="36"/>
      <c r="AL525" s="35"/>
    </row>
    <row r="526" s="25" customFormat="1" hidden="1" customHeight="1" spans="1:38">
      <c r="A526" s="48">
        <v>5506061</v>
      </c>
      <c r="B526" s="34" t="s">
        <v>571</v>
      </c>
      <c r="C526" s="48" t="str">
        <f t="shared" si="216"/>
        <v>5506061</v>
      </c>
      <c r="D526" s="42">
        <f t="shared" si="217"/>
        <v>1</v>
      </c>
      <c r="E526" s="42"/>
      <c r="F526" s="36" t="s">
        <v>230</v>
      </c>
      <c r="G526" s="36" t="str">
        <f t="shared" si="239"/>
        <v/>
      </c>
      <c r="H526" s="36" t="str">
        <f>IFERROR(IF(--MID($F526,2*COUNTIF($G526:G526,"&gt;"&amp;0)+2,1)=H$1,H$1,""),"")</f>
        <v/>
      </c>
      <c r="I526" s="36" t="str">
        <f>IFERROR(IF(--MID($F526,2*COUNTIF($G526:H526,"&gt;"&amp;0)+2,1)=I$1,I$1,""),"")</f>
        <v/>
      </c>
      <c r="J526" s="36" t="str">
        <f>IFERROR(IF(--MID($F526,2*COUNTIF($G526:I526,"&gt;"&amp;0)+2,1)=J$1,J$1,""),"")</f>
        <v/>
      </c>
      <c r="K526" s="36">
        <f>IFERROR(IF(--MID($F526,2*COUNTIF($G526:J526,"&gt;"&amp;0)+2,1)=K$1,K$1,""),"")</f>
        <v>5</v>
      </c>
      <c r="L526" s="36" t="str">
        <f>IFERROR(IF(--MID($F526,2*COUNTIF($G526:K526,"&gt;"&amp;0)+2,1)=L$1,L$1,""),"")</f>
        <v/>
      </c>
      <c r="M526" s="36" t="e" cm="1">
        <f t="array" ref="M526">IF(A526="","",_xlfn.XLOOKUP(D526&amp;"_"&amp;AE526,符文权重!A:A&amp;"_"&amp;符文权重!C:C,符文权重!D:D))</f>
        <v>#N/A</v>
      </c>
      <c r="N526" s="36"/>
      <c r="O526" s="36"/>
      <c r="P526" s="36"/>
      <c r="Q526" s="36"/>
      <c r="R526" s="36"/>
      <c r="S526" s="36" t="s">
        <v>175</v>
      </c>
      <c r="T526" s="36"/>
      <c r="U526" s="36" t="e">
        <f>IF(C526="","",SUBSTITUTE(SUBSTITUTE("[{global_atk,"&amp;#REF!*D526&amp;"}]",21,20),9,8))</f>
        <v>#REF!</v>
      </c>
      <c r="V526" s="52" t="str">
        <f t="shared" ref="V526:V532" si="242">"["&amp;A526&amp;"]"</f>
        <v>[5506061]</v>
      </c>
      <c r="W526" s="36"/>
      <c r="X526" s="35"/>
      <c r="Y526" s="35">
        <v>100</v>
      </c>
      <c r="Z526" s="35"/>
      <c r="AA526" s="42" t="s">
        <v>177</v>
      </c>
      <c r="AB526" s="42" t="str">
        <f t="shared" si="222"/>
        <v>伤害有&lt;color=#54b76b&gt;0%&lt;/color&gt;概率造成2次命中</v>
      </c>
      <c r="AC526" s="48" t="str">
        <f t="shared" si="218"/>
        <v>5506061</v>
      </c>
      <c r="AD526" s="42" t="str">
        <f t="shared" ref="AD526:AD572" si="243">IF(ISBLANK(AK526),"","["&amp;AK526&amp;"]")</f>
        <v>[0]</v>
      </c>
      <c r="AE526" s="36">
        <v>100</v>
      </c>
      <c r="AF526" s="36"/>
      <c r="AG526" s="36">
        <v>1</v>
      </c>
      <c r="AH526" s="35">
        <v>1</v>
      </c>
      <c r="AI526" s="33">
        <v>5506061</v>
      </c>
      <c r="AJ526" s="55" t="s">
        <v>571</v>
      </c>
      <c r="AK526" s="36">
        <v>0</v>
      </c>
      <c r="AL526" s="35">
        <v>6</v>
      </c>
    </row>
    <row r="527" hidden="1" customHeight="1" spans="1:38">
      <c r="A527" s="48">
        <v>5506062</v>
      </c>
      <c r="C527" s="48" t="str">
        <f t="shared" si="216"/>
        <v>5506061</v>
      </c>
      <c r="D527" s="42">
        <f t="shared" si="217"/>
        <v>2</v>
      </c>
      <c r="E527" s="42"/>
      <c r="F527" s="36" t="s">
        <v>230</v>
      </c>
      <c r="G527" s="36" t="str">
        <f t="shared" si="239"/>
        <v/>
      </c>
      <c r="H527" s="36" t="str">
        <f>IFERROR(IF(--MID($F527,2*COUNTIF($G527:G527,"&gt;"&amp;0)+2,1)=H$1,H$1,""),"")</f>
        <v/>
      </c>
      <c r="I527" s="36" t="str">
        <f>IFERROR(IF(--MID($F527,2*COUNTIF($G527:H527,"&gt;"&amp;0)+2,1)=I$1,I$1,""),"")</f>
        <v/>
      </c>
      <c r="J527" s="36" t="str">
        <f>IFERROR(IF(--MID($F527,2*COUNTIF($G527:I527,"&gt;"&amp;0)+2,1)=J$1,J$1,""),"")</f>
        <v/>
      </c>
      <c r="K527" s="36">
        <f>IFERROR(IF(--MID($F527,2*COUNTIF($G527:J527,"&gt;"&amp;0)+2,1)=K$1,K$1,""),"")</f>
        <v>5</v>
      </c>
      <c r="L527" s="36" t="str">
        <f>IFERROR(IF(--MID($F527,2*COUNTIF($G527:K527,"&gt;"&amp;0)+2,1)=L$1,L$1,""),"")</f>
        <v/>
      </c>
      <c r="M527" s="36" t="e" cm="1">
        <f t="array" ref="M527">IF(A527="","",_xlfn.XLOOKUP(D527&amp;"_"&amp;AE527,符文权重!A:A&amp;"_"&amp;符文权重!C:C,符文权重!D:D))</f>
        <v>#N/A</v>
      </c>
      <c r="N527" s="36"/>
      <c r="O527" s="36"/>
      <c r="P527" s="36"/>
      <c r="Q527" s="36"/>
      <c r="R527" s="36"/>
      <c r="S527" s="36" t="s">
        <v>175</v>
      </c>
      <c r="T527" s="36"/>
      <c r="U527" s="36" t="e">
        <f>IF(C527="","",SUBSTITUTE(SUBSTITUTE("[{global_atk,"&amp;#REF!*D527&amp;"}]",21,20),9,8))</f>
        <v>#REF!</v>
      </c>
      <c r="V527" s="52" t="str">
        <f t="shared" si="242"/>
        <v>[5506062]</v>
      </c>
      <c r="Y527" s="35">
        <v>100</v>
      </c>
      <c r="AA527" s="42" t="s">
        <v>181</v>
      </c>
      <c r="AB527" s="42" t="str">
        <f t="shared" si="222"/>
        <v>伤害有&lt;color=#54b76b&gt;0%&lt;/color&gt;概率造成2次命中</v>
      </c>
      <c r="AC527" s="48" t="str">
        <f t="shared" si="218"/>
        <v>5506061</v>
      </c>
      <c r="AD527" s="42" t="str">
        <f t="shared" si="243"/>
        <v>[0]</v>
      </c>
      <c r="AE527" s="36">
        <v>100</v>
      </c>
      <c r="AF527" s="36"/>
      <c r="AG527" s="36">
        <v>1</v>
      </c>
      <c r="AH527" s="35">
        <v>1</v>
      </c>
      <c r="AI527" s="48">
        <f t="shared" ref="AI527:AI532" si="244">AI526+1</f>
        <v>5506062</v>
      </c>
      <c r="AJ527" s="53" t="str">
        <f t="shared" ref="AJ527:AJ532" si="245">AJ526</f>
        <v>伤害有&lt;color=#54b76b&gt;%s%&lt;/color&gt;概率造成2次命中</v>
      </c>
      <c r="AK527" s="36">
        <v>0</v>
      </c>
      <c r="AL527" s="35">
        <v>6</v>
      </c>
    </row>
    <row r="528" hidden="1" customHeight="1" spans="1:38">
      <c r="A528" s="48">
        <v>5506063</v>
      </c>
      <c r="C528" s="48" t="str">
        <f t="shared" si="216"/>
        <v>5506061</v>
      </c>
      <c r="D528" s="42">
        <f t="shared" si="217"/>
        <v>3</v>
      </c>
      <c r="E528" s="42"/>
      <c r="F528" s="36" t="s">
        <v>230</v>
      </c>
      <c r="G528" s="36" t="str">
        <f t="shared" si="239"/>
        <v/>
      </c>
      <c r="H528" s="36" t="str">
        <f>IFERROR(IF(--MID($F528,2*COUNTIF($G528:G528,"&gt;"&amp;0)+2,1)=H$1,H$1,""),"")</f>
        <v/>
      </c>
      <c r="I528" s="36" t="str">
        <f>IFERROR(IF(--MID($F528,2*COUNTIF($G528:H528,"&gt;"&amp;0)+2,1)=I$1,I$1,""),"")</f>
        <v/>
      </c>
      <c r="J528" s="36" t="str">
        <f>IFERROR(IF(--MID($F528,2*COUNTIF($G528:I528,"&gt;"&amp;0)+2,1)=J$1,J$1,""),"")</f>
        <v/>
      </c>
      <c r="K528" s="36">
        <f>IFERROR(IF(--MID($F528,2*COUNTIF($G528:J528,"&gt;"&amp;0)+2,1)=K$1,K$1,""),"")</f>
        <v>5</v>
      </c>
      <c r="L528" s="36" t="str">
        <f>IFERROR(IF(--MID($F528,2*COUNTIF($G528:K528,"&gt;"&amp;0)+2,1)=L$1,L$1,""),"")</f>
        <v/>
      </c>
      <c r="M528" s="36" t="e" cm="1">
        <f t="array" ref="M528">IF(A528="","",_xlfn.XLOOKUP(D528&amp;"_"&amp;AE528,符文权重!A:A&amp;"_"&amp;符文权重!C:C,符文权重!D:D))</f>
        <v>#N/A</v>
      </c>
      <c r="N528" s="36"/>
      <c r="O528" s="36"/>
      <c r="P528" s="36"/>
      <c r="Q528" s="36"/>
      <c r="R528" s="36"/>
      <c r="S528" s="36" t="s">
        <v>175</v>
      </c>
      <c r="T528" s="36"/>
      <c r="U528" s="36" t="e">
        <f>IF(C528="","",SUBSTITUTE(SUBSTITUTE("[{global_atk,"&amp;#REF!*D528&amp;"}]",21,20),9,8))</f>
        <v>#REF!</v>
      </c>
      <c r="V528" s="52" t="str">
        <f t="shared" si="242"/>
        <v>[5506063]</v>
      </c>
      <c r="Y528" s="35">
        <v>100</v>
      </c>
      <c r="AA528" s="42" t="s">
        <v>183</v>
      </c>
      <c r="AB528" s="42" t="str">
        <f t="shared" si="222"/>
        <v>伤害有&lt;color=#54b76b&gt;0%&lt;/color&gt;概率造成2次命中</v>
      </c>
      <c r="AC528" s="48" t="str">
        <f t="shared" si="218"/>
        <v>5506061</v>
      </c>
      <c r="AD528" s="42" t="str">
        <f t="shared" si="243"/>
        <v>[0]</v>
      </c>
      <c r="AE528" s="36">
        <v>100</v>
      </c>
      <c r="AF528" s="36"/>
      <c r="AG528" s="36">
        <v>1</v>
      </c>
      <c r="AH528" s="35">
        <v>1</v>
      </c>
      <c r="AI528" s="48">
        <f t="shared" si="244"/>
        <v>5506063</v>
      </c>
      <c r="AJ528" s="53" t="str">
        <f t="shared" si="245"/>
        <v>伤害有&lt;color=#54b76b&gt;%s%&lt;/color&gt;概率造成2次命中</v>
      </c>
      <c r="AK528" s="36">
        <v>0</v>
      </c>
      <c r="AL528" s="35">
        <v>6</v>
      </c>
    </row>
    <row r="529" hidden="1" customHeight="1" spans="1:38">
      <c r="A529" s="48">
        <v>5506064</v>
      </c>
      <c r="C529" s="48" t="str">
        <f t="shared" si="216"/>
        <v>5506061</v>
      </c>
      <c r="D529" s="42">
        <f t="shared" si="217"/>
        <v>4</v>
      </c>
      <c r="E529" s="42"/>
      <c r="F529" s="36" t="s">
        <v>230</v>
      </c>
      <c r="G529" s="36" t="str">
        <f t="shared" si="239"/>
        <v/>
      </c>
      <c r="H529" s="36" t="str">
        <f>IFERROR(IF(--MID($F529,2*COUNTIF($G529:G529,"&gt;"&amp;0)+2,1)=H$1,H$1,""),"")</f>
        <v/>
      </c>
      <c r="I529" s="36" t="str">
        <f>IFERROR(IF(--MID($F529,2*COUNTIF($G529:H529,"&gt;"&amp;0)+2,1)=I$1,I$1,""),"")</f>
        <v/>
      </c>
      <c r="J529" s="36" t="str">
        <f>IFERROR(IF(--MID($F529,2*COUNTIF($G529:I529,"&gt;"&amp;0)+2,1)=J$1,J$1,""),"")</f>
        <v/>
      </c>
      <c r="K529" s="36">
        <f>IFERROR(IF(--MID($F529,2*COUNTIF($G529:J529,"&gt;"&amp;0)+2,1)=K$1,K$1,""),"")</f>
        <v>5</v>
      </c>
      <c r="L529" s="36" t="str">
        <f>IFERROR(IF(--MID($F529,2*COUNTIF($G529:K529,"&gt;"&amp;0)+2,1)=L$1,L$1,""),"")</f>
        <v/>
      </c>
      <c r="M529" s="51" t="str" cm="1">
        <f t="array" ref="M529">IF($A529="","",IF(G529="","",_xlfn.XLOOKUP($D529&amp;"_"&amp;$AE529,符文权重!$A:$A&amp;"_"&amp;符文权重!$C:$C,符文权重!$D:$D)*$Y529/SUMIFS($Y:$Y,G:G,G529,$D:$D,$D529,$AE:$AE,$AE529)/SUMIF(符文权重!$A:$A,$D529,符文权重!$D:$D)))</f>
        <v/>
      </c>
      <c r="N529" s="51" t="str" cm="1">
        <f t="array" ref="N529">IF($A529="","",IF(H529="","",_xlfn.XLOOKUP($D529&amp;"_"&amp;$AE529,符文权重!$A:$A&amp;"_"&amp;符文权重!$C:$C,符文权重!$D:$D)*$Y529/SUMIFS($Y:$Y,H:H,H529,$D:$D,$D529,$AE:$AE,$AE529)/SUMIF(符文权重!$A:$A,$D529,符文权重!$D:$D)))</f>
        <v/>
      </c>
      <c r="O529" s="51" t="str" cm="1">
        <f t="array" ref="O529">IF($A529="","",IF(I529="","",_xlfn.XLOOKUP($D529&amp;"_"&amp;$AE529,符文权重!$A:$A&amp;"_"&amp;符文权重!$C:$C,符文权重!$D:$D)*$Y529/SUMIFS($Y:$Y,I:I,I529,$D:$D,$D529,$AE:$AE,$AE529)/SUMIF(符文权重!$A:$A,$D529,符文权重!$D:$D)))</f>
        <v/>
      </c>
      <c r="P529" s="51" t="str" cm="1">
        <f t="array" ref="P529">IF($A529="","",IF(J529="","",_xlfn.XLOOKUP($D529&amp;"_"&amp;$AE529,符文权重!$A:$A&amp;"_"&amp;符文权重!$C:$C,符文权重!$D:$D)*$Y529/SUMIFS($Y:$Y,J:J,J529,$D:$D,$D529,$AE:$AE,$AE529)/SUMIF(符文权重!$A:$A,$D529,符文权重!$D:$D)))</f>
        <v/>
      </c>
      <c r="Q529" s="51" cm="1">
        <f t="array" ref="Q529">IF($A529="","",IF(K529="","",_xlfn.XLOOKUP($D529&amp;"_"&amp;$AE529,符文权重!$A:$A&amp;"_"&amp;符文权重!$C:$C,符文权重!$D:$D)*$Y529/SUMIFS($Y:$Y,K:K,K529,$D:$D,$D529,$AE:$AE,$AE529)/SUMIF(符文权重!$A:$A,$D529,符文权重!$D:$D)))</f>
        <v>0.0022977522977523</v>
      </c>
      <c r="R529" s="51" t="str" cm="1">
        <f t="array" ref="R529">IF($A529="","",IF(L529="","",_xlfn.XLOOKUP($D529&amp;"_"&amp;$AE529,符文权重!$A:$A&amp;"_"&amp;符文权重!$C:$C,符文权重!$D:$D)*$Y529/SUMIFS($Y:$Y,L:L,L529,$D:$D,$D529,$AE:$AE,$AE529)/SUMIF(符文权重!$A:$A,$D529,符文权重!$D:$D)))</f>
        <v/>
      </c>
      <c r="S529" s="36" t="s">
        <v>175</v>
      </c>
      <c r="T529" s="36"/>
      <c r="U529" s="36" t="e">
        <f>IF(C529="","",SUBSTITUTE(SUBSTITUTE("[{global_atk,"&amp;#REF!*D529&amp;"}]",21,20),9,8))</f>
        <v>#REF!</v>
      </c>
      <c r="V529" s="52" t="str">
        <f t="shared" si="242"/>
        <v>[5506064]</v>
      </c>
      <c r="Y529" s="35">
        <v>20</v>
      </c>
      <c r="AA529" s="42" t="s">
        <v>185</v>
      </c>
      <c r="AB529" s="42" t="str">
        <f t="shared" si="222"/>
        <v>伤害有&lt;color=#54b76b&gt;4%&lt;/color&gt;概率造成2次命中</v>
      </c>
      <c r="AC529" s="48" t="str">
        <f t="shared" si="218"/>
        <v>5506061</v>
      </c>
      <c r="AD529" s="42" t="str">
        <f t="shared" si="243"/>
        <v>[4]</v>
      </c>
      <c r="AE529" s="36">
        <v>4</v>
      </c>
      <c r="AF529" s="36"/>
      <c r="AG529" s="36">
        <v>0</v>
      </c>
      <c r="AH529" s="35">
        <v>1</v>
      </c>
      <c r="AI529" s="48">
        <f t="shared" si="244"/>
        <v>5506064</v>
      </c>
      <c r="AJ529" s="53" t="str">
        <f t="shared" si="245"/>
        <v>伤害有&lt;color=#54b76b&gt;%s%&lt;/color&gt;概率造成2次命中</v>
      </c>
      <c r="AK529" s="36">
        <v>4</v>
      </c>
      <c r="AL529" s="35">
        <v>6</v>
      </c>
    </row>
    <row r="530" customHeight="1" spans="1:38">
      <c r="A530" s="48">
        <v>5506065</v>
      </c>
      <c r="C530" s="48" t="str">
        <f t="shared" si="216"/>
        <v>5506061</v>
      </c>
      <c r="D530" s="42">
        <f t="shared" si="217"/>
        <v>5</v>
      </c>
      <c r="E530" s="42"/>
      <c r="F530" s="36" t="s">
        <v>230</v>
      </c>
      <c r="G530" s="36" t="str">
        <f t="shared" si="239"/>
        <v/>
      </c>
      <c r="H530" s="36" t="str">
        <f>IFERROR(IF(--MID($F530,2*COUNTIF($G530:G530,"&gt;"&amp;0)+2,1)=H$1,H$1,""),"")</f>
        <v/>
      </c>
      <c r="I530" s="36" t="str">
        <f>IFERROR(IF(--MID($F530,2*COUNTIF($G530:H530,"&gt;"&amp;0)+2,1)=I$1,I$1,""),"")</f>
        <v/>
      </c>
      <c r="J530" s="36" t="str">
        <f>IFERROR(IF(--MID($F530,2*COUNTIF($G530:I530,"&gt;"&amp;0)+2,1)=J$1,J$1,""),"")</f>
        <v/>
      </c>
      <c r="K530" s="36">
        <f>IFERROR(IF(--MID($F530,2*COUNTIF($G530:J530,"&gt;"&amp;0)+2,1)=K$1,K$1,""),"")</f>
        <v>5</v>
      </c>
      <c r="L530" s="36" t="str">
        <f>IFERROR(IF(--MID($F530,2*COUNTIF($G530:K530,"&gt;"&amp;0)+2,1)=L$1,L$1,""),"")</f>
        <v/>
      </c>
      <c r="M530" s="51" t="str" cm="1">
        <f t="array" ref="M530">IF($A530="","",IF(G530="","",_xlfn.XLOOKUP($D530&amp;"_"&amp;$AE530,符文权重!$A:$A&amp;"_"&amp;符文权重!$C:$C,符文权重!$D:$D)*$Y530/SUMIFS($Y:$Y,G:G,G530,$D:$D,$D530,$AE:$AE,$AE530)/SUMIF(符文权重!$A:$A,$D530,符文权重!$D:$D)))</f>
        <v/>
      </c>
      <c r="N530" s="51" t="str" cm="1">
        <f t="array" ref="N530">IF($A530="","",IF(H530="","",_xlfn.XLOOKUP($D530&amp;"_"&amp;$AE530,符文权重!$A:$A&amp;"_"&amp;符文权重!$C:$C,符文权重!$D:$D)*$Y530/SUMIFS($Y:$Y,H:H,H530,$D:$D,$D530,$AE:$AE,$AE530)/SUMIF(符文权重!$A:$A,$D530,符文权重!$D:$D)))</f>
        <v/>
      </c>
      <c r="O530" s="51" t="str" cm="1">
        <f t="array" ref="O530">IF($A530="","",IF(I530="","",_xlfn.XLOOKUP($D530&amp;"_"&amp;$AE530,符文权重!$A:$A&amp;"_"&amp;符文权重!$C:$C,符文权重!$D:$D)*$Y530/SUMIFS($Y:$Y,I:I,I530,$D:$D,$D530,$AE:$AE,$AE530)/SUMIF(符文权重!$A:$A,$D530,符文权重!$D:$D)))</f>
        <v/>
      </c>
      <c r="P530" s="51" t="str" cm="1">
        <f t="array" ref="P530">IF($A530="","",IF(J530="","",_xlfn.XLOOKUP($D530&amp;"_"&amp;$AE530,符文权重!$A:$A&amp;"_"&amp;符文权重!$C:$C,符文权重!$D:$D)*$Y530/SUMIFS($Y:$Y,J:J,J530,$D:$D,$D530,$AE:$AE,$AE530)/SUMIF(符文权重!$A:$A,$D530,符文权重!$D:$D)))</f>
        <v/>
      </c>
      <c r="Q530" s="51" cm="1">
        <f t="array" ref="Q530">IF($A530="","",IF(K530="","",_xlfn.XLOOKUP($D530&amp;"_"&amp;$AE530,符文权重!$A:$A&amp;"_"&amp;符文权重!$C:$C,符文权重!$D:$D)*$Y530/SUMIFS($Y:$Y,K:K,K530,$D:$D,$D530,$AE:$AE,$AE530)/SUMIF(符文权重!$A:$A,$D530,符文权重!$D:$D)))</f>
        <v>0.00300429184549356</v>
      </c>
      <c r="R530" s="51" t="str" cm="1">
        <f t="array" ref="R530">IF($A530="","",IF(L530="","",_xlfn.XLOOKUP($D530&amp;"_"&amp;$AE530,符文权重!$A:$A&amp;"_"&amp;符文权重!$C:$C,符文权重!$D:$D)*$Y530/SUMIFS($Y:$Y,L:L,L530,$D:$D,$D530,$AE:$AE,$AE530)/SUMIF(符文权重!$A:$A,$D530,符文权重!$D:$D)))</f>
        <v/>
      </c>
      <c r="S530" s="36" t="s">
        <v>175</v>
      </c>
      <c r="T530" s="36"/>
      <c r="U530" s="36" t="e">
        <f>IF(C530="","",SUBSTITUTE(SUBSTITUTE("[{global_atk,"&amp;#REF!*D530&amp;"}]",21,20),9,8))</f>
        <v>#REF!</v>
      </c>
      <c r="V530" s="52" t="str">
        <f t="shared" si="242"/>
        <v>[5506065]</v>
      </c>
      <c r="Y530" s="35">
        <v>100</v>
      </c>
      <c r="AA530" s="42" t="s">
        <v>187</v>
      </c>
      <c r="AB530" s="42" t="str">
        <f t="shared" si="222"/>
        <v>伤害有&lt;color=#54b76b&gt;6%&lt;/color&gt;概率造成2次命中</v>
      </c>
      <c r="AC530" s="48" t="str">
        <f t="shared" si="218"/>
        <v>5506061</v>
      </c>
      <c r="AD530" s="42" t="str">
        <f t="shared" si="243"/>
        <v>[6]</v>
      </c>
      <c r="AE530" s="36">
        <v>6</v>
      </c>
      <c r="AF530" s="36"/>
      <c r="AG530" s="36">
        <v>0</v>
      </c>
      <c r="AH530" s="35">
        <v>1</v>
      </c>
      <c r="AI530" s="48">
        <f t="shared" si="244"/>
        <v>5506065</v>
      </c>
      <c r="AJ530" s="53" t="str">
        <f t="shared" si="245"/>
        <v>伤害有&lt;color=#54b76b&gt;%s%&lt;/color&gt;概率造成2次命中</v>
      </c>
      <c r="AK530" s="36">
        <v>6</v>
      </c>
      <c r="AL530" s="35">
        <v>6</v>
      </c>
    </row>
    <row r="531" customHeight="1" spans="1:38">
      <c r="A531" s="48">
        <v>5506066</v>
      </c>
      <c r="C531" s="48" t="str">
        <f t="shared" si="216"/>
        <v>5506061</v>
      </c>
      <c r="D531" s="42">
        <f t="shared" si="217"/>
        <v>6</v>
      </c>
      <c r="E531" s="42"/>
      <c r="F531" s="36" t="s">
        <v>230</v>
      </c>
      <c r="G531" s="36" t="str">
        <f t="shared" si="239"/>
        <v/>
      </c>
      <c r="H531" s="36" t="str">
        <f>IFERROR(IF(--MID($F531,2*COUNTIF($G531:G531,"&gt;"&amp;0)+2,1)=H$1,H$1,""),"")</f>
        <v/>
      </c>
      <c r="I531" s="36" t="str">
        <f>IFERROR(IF(--MID($F531,2*COUNTIF($G531:H531,"&gt;"&amp;0)+2,1)=I$1,I$1,""),"")</f>
        <v/>
      </c>
      <c r="J531" s="36" t="str">
        <f>IFERROR(IF(--MID($F531,2*COUNTIF($G531:I531,"&gt;"&amp;0)+2,1)=J$1,J$1,""),"")</f>
        <v/>
      </c>
      <c r="K531" s="36">
        <f>IFERROR(IF(--MID($F531,2*COUNTIF($G531:J531,"&gt;"&amp;0)+2,1)=K$1,K$1,""),"")</f>
        <v>5</v>
      </c>
      <c r="L531" s="36" t="str">
        <f>IFERROR(IF(--MID($F531,2*COUNTIF($G531:K531,"&gt;"&amp;0)+2,1)=L$1,L$1,""),"")</f>
        <v/>
      </c>
      <c r="M531" s="51" t="str" cm="1">
        <f t="array" ref="M531">IF($A531="","",IF(G531="","",_xlfn.XLOOKUP($D531&amp;"_"&amp;$AE531,符文权重!$A:$A&amp;"_"&amp;符文权重!$C:$C,符文权重!$D:$D)*$Y531/SUMIFS($Y:$Y,G:G,G531,$D:$D,$D531,$AE:$AE,$AE531)/SUMIF(符文权重!$A:$A,$D531,符文权重!$D:$D)))</f>
        <v/>
      </c>
      <c r="N531" s="51" t="str" cm="1">
        <f t="array" ref="N531">IF($A531="","",IF(H531="","",_xlfn.XLOOKUP($D531&amp;"_"&amp;$AE531,符文权重!$A:$A&amp;"_"&amp;符文权重!$C:$C,符文权重!$D:$D)*$Y531/SUMIFS($Y:$Y,H:H,H531,$D:$D,$D531,$AE:$AE,$AE531)/SUMIF(符文权重!$A:$A,$D531,符文权重!$D:$D)))</f>
        <v/>
      </c>
      <c r="O531" s="51" t="str" cm="1">
        <f t="array" ref="O531">IF($A531="","",IF(I531="","",_xlfn.XLOOKUP($D531&amp;"_"&amp;$AE531,符文权重!$A:$A&amp;"_"&amp;符文权重!$C:$C,符文权重!$D:$D)*$Y531/SUMIFS($Y:$Y,I:I,I531,$D:$D,$D531,$AE:$AE,$AE531)/SUMIF(符文权重!$A:$A,$D531,符文权重!$D:$D)))</f>
        <v/>
      </c>
      <c r="P531" s="51" t="str" cm="1">
        <f t="array" ref="P531">IF($A531="","",IF(J531="","",_xlfn.XLOOKUP($D531&amp;"_"&amp;$AE531,符文权重!$A:$A&amp;"_"&amp;符文权重!$C:$C,符文权重!$D:$D)*$Y531/SUMIFS($Y:$Y,J:J,J531,$D:$D,$D531,$AE:$AE,$AE531)/SUMIF(符文权重!$A:$A,$D531,符文权重!$D:$D)))</f>
        <v/>
      </c>
      <c r="Q531" s="51" cm="1">
        <f t="array" ref="Q531">IF($A531="","",IF(K531="","",_xlfn.XLOOKUP($D531&amp;"_"&amp;$AE531,符文权重!$A:$A&amp;"_"&amp;符文权重!$C:$C,符文权重!$D:$D)*$Y531/SUMIFS($Y:$Y,K:K,K531,$D:$D,$D531,$AE:$AE,$AE531)/SUMIF(符文权重!$A:$A,$D531,符文权重!$D:$D)))</f>
        <v>0.00300429184549356</v>
      </c>
      <c r="R531" s="51" t="str" cm="1">
        <f t="array" ref="R531">IF($A531="","",IF(L531="","",_xlfn.XLOOKUP($D531&amp;"_"&amp;$AE531,符文权重!$A:$A&amp;"_"&amp;符文权重!$C:$C,符文权重!$D:$D)*$Y531/SUMIFS($Y:$Y,L:L,L531,$D:$D,$D531,$AE:$AE,$AE531)/SUMIF(符文权重!$A:$A,$D531,符文权重!$D:$D)))</f>
        <v/>
      </c>
      <c r="S531" s="36" t="s">
        <v>175</v>
      </c>
      <c r="T531" s="36"/>
      <c r="U531" s="36" t="e">
        <f>IF(C531="","",SUBSTITUTE(SUBSTITUTE("[{global_atk,"&amp;#REF!*D531&amp;"}]",21,20),9,8))</f>
        <v>#REF!</v>
      </c>
      <c r="V531" s="52" t="str">
        <f t="shared" si="242"/>
        <v>[5506066]</v>
      </c>
      <c r="Y531" s="35">
        <v>100</v>
      </c>
      <c r="AA531" s="42" t="s">
        <v>189</v>
      </c>
      <c r="AB531" s="42" t="str">
        <f t="shared" si="222"/>
        <v>伤害有&lt;color=#54b76b&gt;9%&lt;/color&gt;概率造成2次命中</v>
      </c>
      <c r="AC531" s="48" t="str">
        <f t="shared" si="218"/>
        <v>5506061</v>
      </c>
      <c r="AD531" s="42" t="str">
        <f t="shared" si="243"/>
        <v>[9]</v>
      </c>
      <c r="AE531" s="36">
        <v>6</v>
      </c>
      <c r="AF531" s="36"/>
      <c r="AG531" s="36">
        <v>0</v>
      </c>
      <c r="AH531" s="35">
        <v>1</v>
      </c>
      <c r="AI531" s="48">
        <f t="shared" si="244"/>
        <v>5506066</v>
      </c>
      <c r="AJ531" s="53" t="str">
        <f t="shared" si="245"/>
        <v>伤害有&lt;color=#54b76b&gt;%s%&lt;/color&gt;概率造成2次命中</v>
      </c>
      <c r="AK531" s="36">
        <v>9</v>
      </c>
      <c r="AL531" s="35">
        <v>6</v>
      </c>
    </row>
    <row r="532" customHeight="1" spans="1:38">
      <c r="A532" s="48">
        <v>5506067</v>
      </c>
      <c r="C532" s="48" t="str">
        <f t="shared" si="216"/>
        <v>5506061</v>
      </c>
      <c r="D532" s="42">
        <f t="shared" si="217"/>
        <v>7</v>
      </c>
      <c r="E532" s="42"/>
      <c r="F532" s="36" t="s">
        <v>230</v>
      </c>
      <c r="G532" s="36" t="str">
        <f t="shared" si="239"/>
        <v/>
      </c>
      <c r="H532" s="36" t="str">
        <f>IFERROR(IF(--MID($F532,2*COUNTIF($G532:G532,"&gt;"&amp;0)+2,1)=H$1,H$1,""),"")</f>
        <v/>
      </c>
      <c r="I532" s="36" t="str">
        <f>IFERROR(IF(--MID($F532,2*COUNTIF($G532:H532,"&gt;"&amp;0)+2,1)=I$1,I$1,""),"")</f>
        <v/>
      </c>
      <c r="J532" s="36" t="str">
        <f>IFERROR(IF(--MID($F532,2*COUNTIF($G532:I532,"&gt;"&amp;0)+2,1)=J$1,J$1,""),"")</f>
        <v/>
      </c>
      <c r="K532" s="36">
        <f>IFERROR(IF(--MID($F532,2*COUNTIF($G532:J532,"&gt;"&amp;0)+2,1)=K$1,K$1,""),"")</f>
        <v>5</v>
      </c>
      <c r="L532" s="36" t="str">
        <f>IFERROR(IF(--MID($F532,2*COUNTIF($G532:K532,"&gt;"&amp;0)+2,1)=L$1,L$1,""),"")</f>
        <v/>
      </c>
      <c r="M532" s="51" t="str" cm="1">
        <f t="array" ref="M532">IF($A532="","",IF(G532="","",_xlfn.XLOOKUP($D532&amp;"_"&amp;$AE532,符文权重!$A:$A&amp;"_"&amp;符文权重!$C:$C,符文权重!$D:$D)*$Y532/SUMIFS($Y:$Y,G:G,G532,$D:$D,$D532,$AE:$AE,$AE532)/SUMIF(符文权重!$A:$A,$D532,符文权重!$D:$D)))</f>
        <v/>
      </c>
      <c r="N532" s="51" t="str" cm="1">
        <f t="array" ref="N532">IF($A532="","",IF(H532="","",_xlfn.XLOOKUP($D532&amp;"_"&amp;$AE532,符文权重!$A:$A&amp;"_"&amp;符文权重!$C:$C,符文权重!$D:$D)*$Y532/SUMIFS($Y:$Y,H:H,H532,$D:$D,$D532,$AE:$AE,$AE532)/SUMIF(符文权重!$A:$A,$D532,符文权重!$D:$D)))</f>
        <v/>
      </c>
      <c r="O532" s="51" t="str" cm="1">
        <f t="array" ref="O532">IF($A532="","",IF(I532="","",_xlfn.XLOOKUP($D532&amp;"_"&amp;$AE532,符文权重!$A:$A&amp;"_"&amp;符文权重!$C:$C,符文权重!$D:$D)*$Y532/SUMIFS($Y:$Y,I:I,I532,$D:$D,$D532,$AE:$AE,$AE532)/SUMIF(符文权重!$A:$A,$D532,符文权重!$D:$D)))</f>
        <v/>
      </c>
      <c r="P532" s="51" t="str" cm="1">
        <f t="array" ref="P532">IF($A532="","",IF(J532="","",_xlfn.XLOOKUP($D532&amp;"_"&amp;$AE532,符文权重!$A:$A&amp;"_"&amp;符文权重!$C:$C,符文权重!$D:$D)*$Y532/SUMIFS($Y:$Y,J:J,J532,$D:$D,$D532,$AE:$AE,$AE532)/SUMIF(符文权重!$A:$A,$D532,符文权重!$D:$D)))</f>
        <v/>
      </c>
      <c r="Q532" s="51" cm="1">
        <f t="array" ref="Q532">IF($A532="","",IF(K532="","",_xlfn.XLOOKUP($D532&amp;"_"&amp;$AE532,符文权重!$A:$A&amp;"_"&amp;符文权重!$C:$C,符文权重!$D:$D)*$Y532/SUMIFS($Y:$Y,K:K,K532,$D:$D,$D532,$AE:$AE,$AE532)/SUMIF(符文权重!$A:$A,$D532,符文权重!$D:$D)))</f>
        <v>0.00300429184549356</v>
      </c>
      <c r="R532" s="51" t="str" cm="1">
        <f t="array" ref="R532">IF($A532="","",IF(L532="","",_xlfn.XLOOKUP($D532&amp;"_"&amp;$AE532,符文权重!$A:$A&amp;"_"&amp;符文权重!$C:$C,符文权重!$D:$D)*$Y532/SUMIFS($Y:$Y,L:L,L532,$D:$D,$D532,$AE:$AE,$AE532)/SUMIF(符文权重!$A:$A,$D532,符文权重!$D:$D)))</f>
        <v/>
      </c>
      <c r="S532" s="36" t="s">
        <v>175</v>
      </c>
      <c r="T532" s="36"/>
      <c r="U532" s="36" t="e">
        <f>IF(C532="","",SUBSTITUTE(SUBSTITUTE("[{global_atk,"&amp;#REF!*D532&amp;"}]",21,20),9,8))</f>
        <v>#REF!</v>
      </c>
      <c r="V532" s="52" t="str">
        <f t="shared" si="242"/>
        <v>[5506067]</v>
      </c>
      <c r="Y532" s="35">
        <v>100</v>
      </c>
      <c r="AA532" s="42" t="s">
        <v>191</v>
      </c>
      <c r="AB532" s="42" t="str">
        <f t="shared" si="222"/>
        <v>伤害有&lt;color=#54b76b&gt;12%&lt;/color&gt;概率造成2次命中</v>
      </c>
      <c r="AC532" s="48" t="str">
        <f t="shared" si="218"/>
        <v>5506061</v>
      </c>
      <c r="AD532" s="42" t="str">
        <f t="shared" si="243"/>
        <v>[12]</v>
      </c>
      <c r="AE532" s="36">
        <v>6</v>
      </c>
      <c r="AF532" s="36"/>
      <c r="AG532" s="36">
        <v>0</v>
      </c>
      <c r="AH532" s="35">
        <v>1</v>
      </c>
      <c r="AI532" s="48">
        <f t="shared" si="244"/>
        <v>5506067</v>
      </c>
      <c r="AJ532" s="53" t="str">
        <f t="shared" si="245"/>
        <v>伤害有&lt;color=#54b76b&gt;%s%&lt;/color&gt;概率造成2次命中</v>
      </c>
      <c r="AK532" s="36">
        <v>12</v>
      </c>
      <c r="AL532" s="35">
        <v>6</v>
      </c>
    </row>
    <row r="533" s="25" customFormat="1" hidden="1" customHeight="1" spans="1:38">
      <c r="A533" s="48" t="s">
        <v>178</v>
      </c>
      <c r="C533" s="48" t="str">
        <f t="shared" ref="C533:C572" si="246">IF(ISBLANK(AI533),"",LEFT(AI533,6)&amp;1)</f>
        <v/>
      </c>
      <c r="D533" s="42" t="str">
        <f t="shared" ref="D533:D572" si="247">IF(ISBLANK(AI533),"",VALUE(RIGHT(A533,1)))</f>
        <v/>
      </c>
      <c r="E533" s="42"/>
      <c r="F533" s="36"/>
      <c r="G533" s="36" t="str">
        <f t="shared" si="239"/>
        <v/>
      </c>
      <c r="H533" s="36" t="str">
        <f>IFERROR(IF(--MID($F533,2*COUNTIF($G533:G533,"&gt;"&amp;0)+2,1)=H$1,H$1,""),"")</f>
        <v/>
      </c>
      <c r="I533" s="36" t="str">
        <f>IFERROR(IF(--MID($F533,2*COUNTIF($G533:H533,"&gt;"&amp;0)+2,1)=I$1,I$1,""),"")</f>
        <v/>
      </c>
      <c r="J533" s="36" t="str">
        <f>IFERROR(IF(--MID($F533,2*COUNTIF($G533:I533,"&gt;"&amp;0)+2,1)=J$1,J$1,""),"")</f>
        <v/>
      </c>
      <c r="K533" s="36" t="str">
        <f>IFERROR(IF(--MID($F533,2*COUNTIF($G533:J533,"&gt;"&amp;0)+2,1)=K$1,K$1,""),"")</f>
        <v/>
      </c>
      <c r="L533" s="36" t="str">
        <f>IFERROR(IF(--MID($F533,2*COUNTIF($G533:K533,"&gt;"&amp;0)+2,1)=L$1,L$1,""),"")</f>
        <v/>
      </c>
      <c r="M533" s="51" t="str" cm="1">
        <f t="array" ref="M533">IF($A533="","",IF(G533="","",_xlfn.XLOOKUP($D533&amp;"_"&amp;$AE533,符文权重!$A:$A&amp;"_"&amp;符文权重!$C:$C,符文权重!$D:$D)*$Y533/SUMIFS($Y:$Y,G:G,G533,$D:$D,$D533,$AE:$AE,$AE533)/SUMIF(符文权重!$A:$A,$D533,符文权重!$D:$D)))</f>
        <v/>
      </c>
      <c r="N533" s="36" t="str" cm="1">
        <f t="array" ref="N533">IF($A533="","",IF(H533="","",_xlfn.XLOOKUP($D533&amp;"_"&amp;$AE533,符文权重!$A:$A&amp;"_"&amp;符文权重!$C:$C,符文权重!$D:$D)*$Y533/SUMIFS($Y:$Y,H:H,H533,$D:$D,$D$6,$AE:$AE,$AE$6)))</f>
        <v/>
      </c>
      <c r="O533" s="36" t="str" cm="1">
        <f t="array" ref="O533">IF($A533="","",IF(I533="","",_xlfn.XLOOKUP($D533&amp;"_"&amp;$AE533,符文权重!$A:$A&amp;"_"&amp;符文权重!$C:$C,符文权重!$D:$D)*$Y533/SUMIFS($Y:$Y,I:I,I533,$D:$D,$D$6,$AE:$AE,$AE$6)))</f>
        <v/>
      </c>
      <c r="P533" s="36" t="str" cm="1">
        <f t="array" ref="P533">IF($A533="","",IF(J533="","",_xlfn.XLOOKUP($D533&amp;"_"&amp;$AE533,符文权重!$A:$A&amp;"_"&amp;符文权重!$C:$C,符文权重!$D:$D)*$Y533/SUMIFS($Y:$Y,J:J,J533,$D:$D,$D$6,$AE:$AE,$AE$6)))</f>
        <v/>
      </c>
      <c r="Q533" s="36" t="str" cm="1">
        <f t="array" ref="Q533">IF($A533="","",IF(K533="","",_xlfn.XLOOKUP($D533&amp;"_"&amp;$AE533,符文权重!$A:$A&amp;"_"&amp;符文权重!$C:$C,符文权重!$D:$D)*$Y533/SUMIFS($Y:$Y,K:K,K533,$D:$D,$D$6,$AE:$AE,$AE$6)))</f>
        <v/>
      </c>
      <c r="R533" s="36" t="str" cm="1">
        <f t="array" ref="R533">IF($A533="","",IF(L533="","",_xlfn.XLOOKUP($D533&amp;"_"&amp;$AE533,符文权重!$A:$A&amp;"_"&amp;符文权重!$C:$C,符文权重!$D:$D)*$Y533/SUMIFS($Y:$Y,L:L,L533,$D:$D,$D$6,$AE:$AE,$AE$6)))</f>
        <v/>
      </c>
      <c r="S533" s="36"/>
      <c r="T533" s="36"/>
      <c r="U533" s="36"/>
      <c r="W533" s="41"/>
      <c r="X533" s="35"/>
      <c r="Y533" s="35"/>
      <c r="Z533" s="35"/>
      <c r="AA533" s="42" t="s">
        <v>178</v>
      </c>
      <c r="AB533" s="42" t="str">
        <f t="shared" si="222"/>
        <v/>
      </c>
      <c r="AC533" s="48" t="str">
        <f>IF(ISBLANK(AI533),"",C533)</f>
        <v/>
      </c>
      <c r="AD533" s="42" t="str">
        <f t="shared" si="243"/>
        <v/>
      </c>
      <c r="AE533" s="36"/>
      <c r="AF533" s="36"/>
      <c r="AG533" s="36"/>
      <c r="AH533" s="35" t="s">
        <v>178</v>
      </c>
      <c r="AI533" s="33"/>
      <c r="AJ533" s="65"/>
      <c r="AK533" s="36"/>
      <c r="AL533" s="35"/>
    </row>
    <row r="534" s="25" customFormat="1" hidden="1" customHeight="1" spans="1:38">
      <c r="A534" s="48">
        <v>5506071</v>
      </c>
      <c r="B534" s="35" t="s">
        <v>572</v>
      </c>
      <c r="C534" s="48" t="str">
        <f t="shared" si="246"/>
        <v>5506071</v>
      </c>
      <c r="D534" s="42">
        <f t="shared" si="247"/>
        <v>1</v>
      </c>
      <c r="E534" s="42"/>
      <c r="F534" s="36" t="s">
        <v>220</v>
      </c>
      <c r="G534" s="36" t="str">
        <f t="shared" si="239"/>
        <v/>
      </c>
      <c r="H534" s="36" t="str">
        <f>IFERROR(IF(--MID($F534,2*COUNTIF($G534:G534,"&gt;"&amp;0)+2,1)=H$1,H$1,""),"")</f>
        <v/>
      </c>
      <c r="I534" s="36" t="str">
        <f>IFERROR(IF(--MID($F534,2*COUNTIF($G534:H534,"&gt;"&amp;0)+2,1)=I$1,I$1,""),"")</f>
        <v/>
      </c>
      <c r="J534" s="36" t="str">
        <f>IFERROR(IF(--MID($F534,2*COUNTIF($G534:I534,"&gt;"&amp;0)+2,1)=J$1,J$1,""),"")</f>
        <v/>
      </c>
      <c r="K534" s="36" t="str">
        <f>IFERROR(IF(--MID($F534,2*COUNTIF($G534:J534,"&gt;"&amp;0)+2,1)=K$1,K$1,""),"")</f>
        <v/>
      </c>
      <c r="L534" s="36">
        <f>IFERROR(IF(--MID($F534,2*COUNTIF($G534:K534,"&gt;"&amp;0)+2,1)=L$1,L$1,""),"")</f>
        <v>6</v>
      </c>
      <c r="M534" s="36" t="e" cm="1">
        <f t="array" ref="M534">IF(A534="","",_xlfn.XLOOKUP(D534&amp;"_"&amp;AE534,符文权重!A:A&amp;"_"&amp;符文权重!C:C,符文权重!D:D))</f>
        <v>#N/A</v>
      </c>
      <c r="N534" s="36"/>
      <c r="O534" s="36"/>
      <c r="P534" s="36"/>
      <c r="Q534" s="36"/>
      <c r="R534" s="36"/>
      <c r="S534" s="36"/>
      <c r="T534" s="36"/>
      <c r="U534" s="36" t="e">
        <f>IF(C534="","",SUBSTITUTE(SUBSTITUTE("[{global_atk,"&amp;#REF!*D534&amp;"}]",21,20),9,8))</f>
        <v>#REF!</v>
      </c>
      <c r="V534" s="52" t="str">
        <f t="shared" ref="V534:V540" si="248">"["&amp;A534&amp;"]"</f>
        <v>[5506071]</v>
      </c>
      <c r="W534" s="41"/>
      <c r="X534" s="35"/>
      <c r="Y534" s="35">
        <v>100</v>
      </c>
      <c r="Z534" s="35"/>
      <c r="AA534" s="42" t="s">
        <v>177</v>
      </c>
      <c r="AB534" s="35" t="s">
        <v>573</v>
      </c>
      <c r="AC534" s="48" t="str">
        <f>IF(ISBLANK(AI534),"",C534)</f>
        <v>5506071</v>
      </c>
      <c r="AD534" s="42" t="str">
        <f t="shared" si="243"/>
        <v>[0]</v>
      </c>
      <c r="AE534" s="36">
        <v>100</v>
      </c>
      <c r="AF534" s="36"/>
      <c r="AG534" s="36">
        <v>1</v>
      </c>
      <c r="AH534" s="35">
        <v>1</v>
      </c>
      <c r="AI534" s="33">
        <v>5506071</v>
      </c>
      <c r="AJ534" s="74" t="s">
        <v>574</v>
      </c>
      <c r="AK534" s="36">
        <v>0</v>
      </c>
      <c r="AL534" s="35">
        <v>6</v>
      </c>
    </row>
    <row r="535" hidden="1" customHeight="1" spans="1:38">
      <c r="A535" s="48">
        <v>5506072</v>
      </c>
      <c r="C535" s="48" t="str">
        <f t="shared" si="246"/>
        <v>5506071</v>
      </c>
      <c r="D535" s="42">
        <f t="shared" si="247"/>
        <v>2</v>
      </c>
      <c r="E535" s="42"/>
      <c r="F535" s="36" t="s">
        <v>220</v>
      </c>
      <c r="G535" s="36" t="str">
        <f t="shared" si="239"/>
        <v/>
      </c>
      <c r="H535" s="36" t="str">
        <f>IFERROR(IF(--MID($F535,2*COUNTIF($G535:G535,"&gt;"&amp;0)+2,1)=H$1,H$1,""),"")</f>
        <v/>
      </c>
      <c r="I535" s="36" t="str">
        <f>IFERROR(IF(--MID($F535,2*COUNTIF($G535:H535,"&gt;"&amp;0)+2,1)=I$1,I$1,""),"")</f>
        <v/>
      </c>
      <c r="J535" s="36" t="str">
        <f>IFERROR(IF(--MID($F535,2*COUNTIF($G535:I535,"&gt;"&amp;0)+2,1)=J$1,J$1,""),"")</f>
        <v/>
      </c>
      <c r="K535" s="36" t="str">
        <f>IFERROR(IF(--MID($F535,2*COUNTIF($G535:J535,"&gt;"&amp;0)+2,1)=K$1,K$1,""),"")</f>
        <v/>
      </c>
      <c r="L535" s="36">
        <f>IFERROR(IF(--MID($F535,2*COUNTIF($G535:K535,"&gt;"&amp;0)+2,1)=L$1,L$1,""),"")</f>
        <v>6</v>
      </c>
      <c r="M535" s="36" t="e" cm="1">
        <f t="array" ref="M535">IF(A535="","",_xlfn.XLOOKUP(D535&amp;"_"&amp;AE535,符文权重!A:A&amp;"_"&amp;符文权重!C:C,符文权重!D:D))</f>
        <v>#N/A</v>
      </c>
      <c r="N535" s="36"/>
      <c r="O535" s="36"/>
      <c r="P535" s="36"/>
      <c r="Q535" s="36"/>
      <c r="R535" s="36"/>
      <c r="S535" s="36" t="s">
        <v>175</v>
      </c>
      <c r="T535" s="36"/>
      <c r="U535" s="36" t="e">
        <f>IF(C535="","",SUBSTITUTE(SUBSTITUTE("[{global_atk,"&amp;#REF!*D535&amp;"}]",21,20),9,8))</f>
        <v>#REF!</v>
      </c>
      <c r="V535" s="52" t="str">
        <f t="shared" si="248"/>
        <v>[5506072]</v>
      </c>
      <c r="Y535" s="35">
        <v>100</v>
      </c>
      <c r="AA535" s="42" t="s">
        <v>181</v>
      </c>
      <c r="AB535" s="35" t="s">
        <v>573</v>
      </c>
      <c r="AC535" s="48" t="str">
        <f>IF(ISBLANK(AI535),"",C535)</f>
        <v>5506071</v>
      </c>
      <c r="AD535" s="42" t="str">
        <f t="shared" si="243"/>
        <v>[0]</v>
      </c>
      <c r="AE535" s="36">
        <v>100</v>
      </c>
      <c r="AF535" s="36"/>
      <c r="AG535" s="36">
        <v>1</v>
      </c>
      <c r="AH535" s="35">
        <v>1</v>
      </c>
      <c r="AI535" s="48">
        <f t="shared" ref="AI535:AI540" si="249">AI534+1</f>
        <v>5506072</v>
      </c>
      <c r="AJ535" s="53" t="str">
        <f>AJ534</f>
        <v>攻击范围&lt;color=#54b76b&gt;+1&lt;/color&gt;格，伤害&lt;color=#54b76b&gt;+%s%&lt;/color&gt;</v>
      </c>
      <c r="AK535" s="36">
        <v>0</v>
      </c>
      <c r="AL535" s="35">
        <v>6</v>
      </c>
    </row>
    <row r="536" hidden="1" customHeight="1" spans="1:38">
      <c r="A536" s="48">
        <v>5506073</v>
      </c>
      <c r="C536" s="48" t="str">
        <f t="shared" si="246"/>
        <v>5506071</v>
      </c>
      <c r="D536" s="42">
        <f t="shared" si="247"/>
        <v>3</v>
      </c>
      <c r="E536" s="42"/>
      <c r="F536" s="36" t="s">
        <v>220</v>
      </c>
      <c r="G536" s="36" t="str">
        <f t="shared" si="239"/>
        <v/>
      </c>
      <c r="H536" s="36" t="str">
        <f>IFERROR(IF(--MID($F536,2*COUNTIF($G536:G536,"&gt;"&amp;0)+2,1)=H$1,H$1,""),"")</f>
        <v/>
      </c>
      <c r="I536" s="36" t="str">
        <f>IFERROR(IF(--MID($F536,2*COUNTIF($G536:H536,"&gt;"&amp;0)+2,1)=I$1,I$1,""),"")</f>
        <v/>
      </c>
      <c r="J536" s="36" t="str">
        <f>IFERROR(IF(--MID($F536,2*COUNTIF($G536:I536,"&gt;"&amp;0)+2,1)=J$1,J$1,""),"")</f>
        <v/>
      </c>
      <c r="K536" s="36" t="str">
        <f>IFERROR(IF(--MID($F536,2*COUNTIF($G536:J536,"&gt;"&amp;0)+2,1)=K$1,K$1,""),"")</f>
        <v/>
      </c>
      <c r="L536" s="36">
        <f>IFERROR(IF(--MID($F536,2*COUNTIF($G536:K536,"&gt;"&amp;0)+2,1)=L$1,L$1,""),"")</f>
        <v>6</v>
      </c>
      <c r="M536" s="36" t="e" cm="1">
        <f t="array" ref="M536">IF(A536="","",_xlfn.XLOOKUP(D536&amp;"_"&amp;AE536,符文权重!A:A&amp;"_"&amp;符文权重!C:C,符文权重!D:D))</f>
        <v>#N/A</v>
      </c>
      <c r="N536" s="36"/>
      <c r="O536" s="36"/>
      <c r="P536" s="36"/>
      <c r="Q536" s="36"/>
      <c r="R536" s="36"/>
      <c r="S536" s="36" t="s">
        <v>175</v>
      </c>
      <c r="T536" s="36"/>
      <c r="U536" s="36" t="e">
        <f>IF(C536="","",SUBSTITUTE(SUBSTITUTE("[{global_atk,"&amp;#REF!*D536&amp;"}]",21,20),9,8))</f>
        <v>#REF!</v>
      </c>
      <c r="V536" s="52" t="str">
        <f t="shared" si="248"/>
        <v>[5506073]</v>
      </c>
      <c r="Y536" s="35">
        <v>100</v>
      </c>
      <c r="AA536" s="42" t="s">
        <v>183</v>
      </c>
      <c r="AB536" s="35" t="s">
        <v>573</v>
      </c>
      <c r="AC536" s="48" t="str">
        <f>IF(ISBLANK(AI536),"",C536)</f>
        <v>5506071</v>
      </c>
      <c r="AD536" s="42" t="str">
        <f t="shared" si="243"/>
        <v>[0]</v>
      </c>
      <c r="AE536" s="36">
        <v>100</v>
      </c>
      <c r="AF536" s="36"/>
      <c r="AG536" s="36">
        <v>1</v>
      </c>
      <c r="AH536" s="35">
        <v>1</v>
      </c>
      <c r="AI536" s="48">
        <f t="shared" si="249"/>
        <v>5506073</v>
      </c>
      <c r="AJ536" s="53" t="str">
        <f>AJ535</f>
        <v>攻击范围&lt;color=#54b76b&gt;+1&lt;/color&gt;格，伤害&lt;color=#54b76b&gt;+%s%&lt;/color&gt;</v>
      </c>
      <c r="AK536" s="36">
        <v>0</v>
      </c>
      <c r="AL536" s="35">
        <v>6</v>
      </c>
    </row>
    <row r="537" hidden="1" customHeight="1" spans="1:38">
      <c r="A537" s="48">
        <v>5506074</v>
      </c>
      <c r="C537" s="48" t="str">
        <f t="shared" si="246"/>
        <v>5506071</v>
      </c>
      <c r="D537" s="42">
        <f t="shared" si="247"/>
        <v>4</v>
      </c>
      <c r="E537" s="42"/>
      <c r="F537" s="36" t="s">
        <v>220</v>
      </c>
      <c r="G537" s="36" t="str">
        <f t="shared" si="239"/>
        <v/>
      </c>
      <c r="H537" s="36" t="str">
        <f>IFERROR(IF(--MID($F537,2*COUNTIF($G537:G537,"&gt;"&amp;0)+2,1)=H$1,H$1,""),"")</f>
        <v/>
      </c>
      <c r="I537" s="36" t="str">
        <f>IFERROR(IF(--MID($F537,2*COUNTIF($G537:H537,"&gt;"&amp;0)+2,1)=I$1,I$1,""),"")</f>
        <v/>
      </c>
      <c r="J537" s="36" t="str">
        <f>IFERROR(IF(--MID($F537,2*COUNTIF($G537:I537,"&gt;"&amp;0)+2,1)=J$1,J$1,""),"")</f>
        <v/>
      </c>
      <c r="K537" s="36" t="str">
        <f>IFERROR(IF(--MID($F537,2*COUNTIF($G537:J537,"&gt;"&amp;0)+2,1)=K$1,K$1,""),"")</f>
        <v/>
      </c>
      <c r="L537" s="36">
        <f>IFERROR(IF(--MID($F537,2*COUNTIF($G537:K537,"&gt;"&amp;0)+2,1)=L$1,L$1,""),"")</f>
        <v>6</v>
      </c>
      <c r="M537" s="51" t="str" cm="1">
        <f t="array" ref="M537">IF($A537="","",IF(G537="","",_xlfn.XLOOKUP($D537&amp;"_"&amp;$AE537,符文权重!$A:$A&amp;"_"&amp;符文权重!$C:$C,符文权重!$D:$D)*$Y537/SUMIFS($Y:$Y,G:G,G537,$D:$D,$D537,$AE:$AE,$AE537)/SUMIF(符文权重!$A:$A,$D537,符文权重!$D:$D)))</f>
        <v/>
      </c>
      <c r="N537" s="51" t="str" cm="1">
        <f t="array" ref="N537">IF($A537="","",IF(H537="","",_xlfn.XLOOKUP($D537&amp;"_"&amp;$AE537,符文权重!$A:$A&amp;"_"&amp;符文权重!$C:$C,符文权重!$D:$D)*$Y537/SUMIFS($Y:$Y,H:H,H537,$D:$D,$D537,$AE:$AE,$AE537)/SUMIF(符文权重!$A:$A,$D537,符文权重!$D:$D)))</f>
        <v/>
      </c>
      <c r="O537" s="51" t="str" cm="1">
        <f t="array" ref="O537">IF($A537="","",IF(I537="","",_xlfn.XLOOKUP($D537&amp;"_"&amp;$AE537,符文权重!$A:$A&amp;"_"&amp;符文权重!$C:$C,符文权重!$D:$D)*$Y537/SUMIFS($Y:$Y,I:I,I537,$D:$D,$D537,$AE:$AE,$AE537)/SUMIF(符文权重!$A:$A,$D537,符文权重!$D:$D)))</f>
        <v/>
      </c>
      <c r="P537" s="51" t="str" cm="1">
        <f t="array" ref="P537">IF($A537="","",IF(J537="","",_xlfn.XLOOKUP($D537&amp;"_"&amp;$AE537,符文权重!$A:$A&amp;"_"&amp;符文权重!$C:$C,符文权重!$D:$D)*$Y537/SUMIFS($Y:$Y,J:J,J537,$D:$D,$D537,$AE:$AE,$AE537)/SUMIF(符文权重!$A:$A,$D537,符文权重!$D:$D)))</f>
        <v/>
      </c>
      <c r="Q537" s="51" t="str" cm="1">
        <f t="array" ref="Q537">IF($A537="","",IF(K537="","",_xlfn.XLOOKUP($D537&amp;"_"&amp;$AE537,符文权重!$A:$A&amp;"_"&amp;符文权重!$C:$C,符文权重!$D:$D)*$Y537/SUMIFS($Y:$Y,K:K,K537,$D:$D,$D537,$AE:$AE,$AE537)/SUMIF(符文权重!$A:$A,$D537,符文权重!$D:$D)))</f>
        <v/>
      </c>
      <c r="R537" s="51" cm="1">
        <f t="array" ref="R537">IF($A537="","",IF(L537="","",_xlfn.XLOOKUP($D537&amp;"_"&amp;$AE537,符文权重!$A:$A&amp;"_"&amp;符文权重!$C:$C,符文权重!$D:$D)*$Y537/SUMIFS($Y:$Y,L:L,L537,$D:$D,$D537,$AE:$AE,$AE537)/SUMIF(符文权重!$A:$A,$D537,符文权重!$D:$D)))</f>
        <v>0.00297356179709121</v>
      </c>
      <c r="S537" s="36" t="s">
        <v>175</v>
      </c>
      <c r="T537" s="36"/>
      <c r="U537" s="36" t="e">
        <f>IF(C537="","",SUBSTITUTE(SUBSTITUTE("[{global_atk,"&amp;#REF!*D537&amp;"}]",21,20),9,8))</f>
        <v>#REF!</v>
      </c>
      <c r="V537" s="52" t="str">
        <f t="shared" si="248"/>
        <v>[5506074]</v>
      </c>
      <c r="Y537" s="35">
        <v>20</v>
      </c>
      <c r="AA537" s="42" t="s">
        <v>185</v>
      </c>
      <c r="AB537" s="35" t="s">
        <v>573</v>
      </c>
      <c r="AC537" s="48">
        <v>55060711</v>
      </c>
      <c r="AD537" s="42" t="str">
        <f t="shared" si="243"/>
        <v>[0]</v>
      </c>
      <c r="AE537" s="36">
        <v>4</v>
      </c>
      <c r="AF537" s="36"/>
      <c r="AG537" s="36">
        <v>0</v>
      </c>
      <c r="AH537" s="35">
        <v>1</v>
      </c>
      <c r="AI537" s="48">
        <f t="shared" si="249"/>
        <v>5506074</v>
      </c>
      <c r="AJ537" s="53" t="str">
        <f>AJ536</f>
        <v>攻击范围&lt;color=#54b76b&gt;+1&lt;/color&gt;格，伤害&lt;color=#54b76b&gt;+%s%&lt;/color&gt;</v>
      </c>
      <c r="AK537" s="36">
        <v>0</v>
      </c>
      <c r="AL537" s="35">
        <v>6</v>
      </c>
    </row>
    <row r="538" customHeight="1" spans="1:38">
      <c r="A538" s="48">
        <v>5506075</v>
      </c>
      <c r="C538" s="48" t="str">
        <f t="shared" si="246"/>
        <v>5506071</v>
      </c>
      <c r="D538" s="42">
        <f t="shared" si="247"/>
        <v>5</v>
      </c>
      <c r="E538" s="42"/>
      <c r="F538" s="36" t="s">
        <v>220</v>
      </c>
      <c r="G538" s="36" t="str">
        <f t="shared" si="239"/>
        <v/>
      </c>
      <c r="H538" s="36" t="str">
        <f>IFERROR(IF(--MID($F538,2*COUNTIF($G538:G538,"&gt;"&amp;0)+2,1)=H$1,H$1,""),"")</f>
        <v/>
      </c>
      <c r="I538" s="36" t="str">
        <f>IFERROR(IF(--MID($F538,2*COUNTIF($G538:H538,"&gt;"&amp;0)+2,1)=I$1,I$1,""),"")</f>
        <v/>
      </c>
      <c r="J538" s="36" t="str">
        <f>IFERROR(IF(--MID($F538,2*COUNTIF($G538:I538,"&gt;"&amp;0)+2,1)=J$1,J$1,""),"")</f>
        <v/>
      </c>
      <c r="K538" s="36" t="str">
        <f>IFERROR(IF(--MID($F538,2*COUNTIF($G538:J538,"&gt;"&amp;0)+2,1)=K$1,K$1,""),"")</f>
        <v/>
      </c>
      <c r="L538" s="36">
        <f>IFERROR(IF(--MID($F538,2*COUNTIF($G538:K538,"&gt;"&amp;0)+2,1)=L$1,L$1,""),"")</f>
        <v>6</v>
      </c>
      <c r="M538" s="51" t="str" cm="1">
        <f t="array" ref="M538">IF($A538="","",IF(G538="","",_xlfn.XLOOKUP($D538&amp;"_"&amp;$AE538,符文权重!$A:$A&amp;"_"&amp;符文权重!$C:$C,符文权重!$D:$D)*$Y538/SUMIFS($Y:$Y,G:G,G538,$D:$D,$D538,$AE:$AE,$AE538)/SUMIF(符文权重!$A:$A,$D538,符文权重!$D:$D)))</f>
        <v/>
      </c>
      <c r="N538" s="51" t="str" cm="1">
        <f t="array" ref="N538">IF($A538="","",IF(H538="","",_xlfn.XLOOKUP($D538&amp;"_"&amp;$AE538,符文权重!$A:$A&amp;"_"&amp;符文权重!$C:$C,符文权重!$D:$D)*$Y538/SUMIFS($Y:$Y,H:H,H538,$D:$D,$D538,$AE:$AE,$AE538)/SUMIF(符文权重!$A:$A,$D538,符文权重!$D:$D)))</f>
        <v/>
      </c>
      <c r="O538" s="51" t="str" cm="1">
        <f t="array" ref="O538">IF($A538="","",IF(I538="","",_xlfn.XLOOKUP($D538&amp;"_"&amp;$AE538,符文权重!$A:$A&amp;"_"&amp;符文权重!$C:$C,符文权重!$D:$D)*$Y538/SUMIFS($Y:$Y,I:I,I538,$D:$D,$D538,$AE:$AE,$AE538)/SUMIF(符文权重!$A:$A,$D538,符文权重!$D:$D)))</f>
        <v/>
      </c>
      <c r="P538" s="51" t="str" cm="1">
        <f t="array" ref="P538">IF($A538="","",IF(J538="","",_xlfn.XLOOKUP($D538&amp;"_"&amp;$AE538,符文权重!$A:$A&amp;"_"&amp;符文权重!$C:$C,符文权重!$D:$D)*$Y538/SUMIFS($Y:$Y,J:J,J538,$D:$D,$D538,$AE:$AE,$AE538)/SUMIF(符文权重!$A:$A,$D538,符文权重!$D:$D)))</f>
        <v/>
      </c>
      <c r="Q538" s="51" t="str" cm="1">
        <f t="array" ref="Q538">IF($A538="","",IF(K538="","",_xlfn.XLOOKUP($D538&amp;"_"&amp;$AE538,符文权重!$A:$A&amp;"_"&amp;符文权重!$C:$C,符文权重!$D:$D)*$Y538/SUMIFS($Y:$Y,K:K,K538,$D:$D,$D538,$AE:$AE,$AE538)/SUMIF(符文权重!$A:$A,$D538,符文权重!$D:$D)))</f>
        <v/>
      </c>
      <c r="R538" s="51" cm="1">
        <f t="array" ref="R538">IF($A538="","",IF(L538="","",_xlfn.XLOOKUP($D538&amp;"_"&amp;$AE538,符文权重!$A:$A&amp;"_"&amp;符文权重!$C:$C,符文权重!$D:$D)*$Y538/SUMIFS($Y:$Y,L:L,L538,$D:$D,$D538,$AE:$AE,$AE538)/SUMIF(符文权重!$A:$A,$D538,符文权重!$D:$D)))</f>
        <v>0.00300429184549356</v>
      </c>
      <c r="S538" s="36" t="s">
        <v>175</v>
      </c>
      <c r="T538" s="36"/>
      <c r="U538" s="36" t="e">
        <f>IF(C538="","",SUBSTITUTE(SUBSTITUTE("[{global_atk,"&amp;#REF!*D538&amp;"}]",21,20),9,8))</f>
        <v>#REF!</v>
      </c>
      <c r="V538" s="52" t="str">
        <f t="shared" si="248"/>
        <v>[5506075]</v>
      </c>
      <c r="W538" s="36" t="s">
        <v>575</v>
      </c>
      <c r="Y538" s="35">
        <v>100</v>
      </c>
      <c r="AA538" s="42" t="s">
        <v>187</v>
      </c>
      <c r="AB538" s="42" t="str">
        <f t="shared" ref="AB538:AB601" si="250">SUBSTITUTE(AJ538,"%s",AK538)</f>
        <v>攻击范围&lt;color=#54b76b&gt;+1&lt;/color&gt;格，伤害&lt;color=#54b76b&gt;+5%&lt;/color&gt;</v>
      </c>
      <c r="AC538" s="48" t="str">
        <f>IF(ISBLANK(AI538),"",C538)</f>
        <v>5506071</v>
      </c>
      <c r="AD538" s="42" t="str">
        <f t="shared" si="243"/>
        <v>[5]</v>
      </c>
      <c r="AE538" s="36">
        <v>6</v>
      </c>
      <c r="AF538" s="36"/>
      <c r="AG538" s="36">
        <v>0</v>
      </c>
      <c r="AH538" s="35">
        <v>1</v>
      </c>
      <c r="AI538" s="48">
        <f t="shared" si="249"/>
        <v>5506075</v>
      </c>
      <c r="AJ538" s="53" t="str">
        <f>AJ537</f>
        <v>攻击范围&lt;color=#54b76b&gt;+1&lt;/color&gt;格，伤害&lt;color=#54b76b&gt;+%s%&lt;/color&gt;</v>
      </c>
      <c r="AK538" s="36">
        <v>5</v>
      </c>
      <c r="AL538" s="35">
        <v>6</v>
      </c>
    </row>
    <row r="539" customHeight="1" spans="1:38">
      <c r="A539" s="48">
        <v>5506076</v>
      </c>
      <c r="C539" s="48" t="str">
        <f t="shared" si="246"/>
        <v>5506071</v>
      </c>
      <c r="D539" s="42">
        <f t="shared" si="247"/>
        <v>6</v>
      </c>
      <c r="E539" s="42"/>
      <c r="F539" s="36" t="s">
        <v>220</v>
      </c>
      <c r="G539" s="36" t="str">
        <f t="shared" si="239"/>
        <v/>
      </c>
      <c r="H539" s="36" t="str">
        <f>IFERROR(IF(--MID($F539,2*COUNTIF($G539:G539,"&gt;"&amp;0)+2,1)=H$1,H$1,""),"")</f>
        <v/>
      </c>
      <c r="I539" s="36" t="str">
        <f>IFERROR(IF(--MID($F539,2*COUNTIF($G539:H539,"&gt;"&amp;0)+2,1)=I$1,I$1,""),"")</f>
        <v/>
      </c>
      <c r="J539" s="36" t="str">
        <f>IFERROR(IF(--MID($F539,2*COUNTIF($G539:I539,"&gt;"&amp;0)+2,1)=J$1,J$1,""),"")</f>
        <v/>
      </c>
      <c r="K539" s="36" t="str">
        <f>IFERROR(IF(--MID($F539,2*COUNTIF($G539:J539,"&gt;"&amp;0)+2,1)=K$1,K$1,""),"")</f>
        <v/>
      </c>
      <c r="L539" s="36">
        <f>IFERROR(IF(--MID($F539,2*COUNTIF($G539:K539,"&gt;"&amp;0)+2,1)=L$1,L$1,""),"")</f>
        <v>6</v>
      </c>
      <c r="M539" s="51" t="str" cm="1">
        <f t="array" ref="M539">IF($A539="","",IF(G539="","",_xlfn.XLOOKUP($D539&amp;"_"&amp;$AE539,符文权重!$A:$A&amp;"_"&amp;符文权重!$C:$C,符文权重!$D:$D)*$Y539/SUMIFS($Y:$Y,G:G,G539,$D:$D,$D539,$AE:$AE,$AE539)/SUMIF(符文权重!$A:$A,$D539,符文权重!$D:$D)))</f>
        <v/>
      </c>
      <c r="N539" s="51" t="str" cm="1">
        <f t="array" ref="N539">IF($A539="","",IF(H539="","",_xlfn.XLOOKUP($D539&amp;"_"&amp;$AE539,符文权重!$A:$A&amp;"_"&amp;符文权重!$C:$C,符文权重!$D:$D)*$Y539/SUMIFS($Y:$Y,H:H,H539,$D:$D,$D539,$AE:$AE,$AE539)/SUMIF(符文权重!$A:$A,$D539,符文权重!$D:$D)))</f>
        <v/>
      </c>
      <c r="O539" s="51" t="str" cm="1">
        <f t="array" ref="O539">IF($A539="","",IF(I539="","",_xlfn.XLOOKUP($D539&amp;"_"&amp;$AE539,符文权重!$A:$A&amp;"_"&amp;符文权重!$C:$C,符文权重!$D:$D)*$Y539/SUMIFS($Y:$Y,I:I,I539,$D:$D,$D539,$AE:$AE,$AE539)/SUMIF(符文权重!$A:$A,$D539,符文权重!$D:$D)))</f>
        <v/>
      </c>
      <c r="P539" s="51" t="str" cm="1">
        <f t="array" ref="P539">IF($A539="","",IF(J539="","",_xlfn.XLOOKUP($D539&amp;"_"&amp;$AE539,符文权重!$A:$A&amp;"_"&amp;符文权重!$C:$C,符文权重!$D:$D)*$Y539/SUMIFS($Y:$Y,J:J,J539,$D:$D,$D539,$AE:$AE,$AE539)/SUMIF(符文权重!$A:$A,$D539,符文权重!$D:$D)))</f>
        <v/>
      </c>
      <c r="Q539" s="51" t="str" cm="1">
        <f t="array" ref="Q539">IF($A539="","",IF(K539="","",_xlfn.XLOOKUP($D539&amp;"_"&amp;$AE539,符文权重!$A:$A&amp;"_"&amp;符文权重!$C:$C,符文权重!$D:$D)*$Y539/SUMIFS($Y:$Y,K:K,K539,$D:$D,$D539,$AE:$AE,$AE539)/SUMIF(符文权重!$A:$A,$D539,符文权重!$D:$D)))</f>
        <v/>
      </c>
      <c r="R539" s="51" cm="1">
        <f t="array" ref="R539">IF($A539="","",IF(L539="","",_xlfn.XLOOKUP($D539&amp;"_"&amp;$AE539,符文权重!$A:$A&amp;"_"&amp;符文权重!$C:$C,符文权重!$D:$D)*$Y539/SUMIFS($Y:$Y,L:L,L539,$D:$D,$D539,$AE:$AE,$AE539)/SUMIF(符文权重!$A:$A,$D539,符文权重!$D:$D)))</f>
        <v>0.00300429184549356</v>
      </c>
      <c r="S539" s="36" t="s">
        <v>175</v>
      </c>
      <c r="T539" s="36"/>
      <c r="U539" s="36" t="e">
        <f>IF(C539="","",SUBSTITUTE(SUBSTITUTE("[{global_atk,"&amp;#REF!*D539&amp;"}]",21,20),9,8))</f>
        <v>#REF!</v>
      </c>
      <c r="V539" s="52" t="str">
        <f t="shared" si="248"/>
        <v>[5506076]</v>
      </c>
      <c r="W539" s="36" t="s">
        <v>576</v>
      </c>
      <c r="Y539" s="35">
        <v>100</v>
      </c>
      <c r="AA539" s="42" t="s">
        <v>189</v>
      </c>
      <c r="AB539" s="42" t="str">
        <f t="shared" si="250"/>
        <v>攻击范围&lt;color=#54b76b&gt;+1&lt;/color&gt;格，伤害&lt;color=#54b76b&gt;+10%&lt;/color&gt;</v>
      </c>
      <c r="AC539" s="48" t="str">
        <f>IF(ISBLANK(AI539),"",C539)</f>
        <v>5506071</v>
      </c>
      <c r="AD539" s="42" t="str">
        <f t="shared" si="243"/>
        <v>[10]</v>
      </c>
      <c r="AE539" s="36">
        <v>6</v>
      </c>
      <c r="AF539" s="36"/>
      <c r="AG539" s="36">
        <v>0</v>
      </c>
      <c r="AH539" s="35">
        <v>1</v>
      </c>
      <c r="AI539" s="48">
        <f t="shared" si="249"/>
        <v>5506076</v>
      </c>
      <c r="AJ539" s="53" t="str">
        <f>AJ538</f>
        <v>攻击范围&lt;color=#54b76b&gt;+1&lt;/color&gt;格，伤害&lt;color=#54b76b&gt;+%s%&lt;/color&gt;</v>
      </c>
      <c r="AK539" s="36">
        <v>10</v>
      </c>
      <c r="AL539" s="35">
        <v>6</v>
      </c>
    </row>
    <row r="540" customHeight="1" spans="1:38">
      <c r="A540" s="48">
        <v>5506077</v>
      </c>
      <c r="C540" s="48" t="str">
        <f t="shared" si="246"/>
        <v>5506071</v>
      </c>
      <c r="D540" s="42">
        <f t="shared" si="247"/>
        <v>7</v>
      </c>
      <c r="E540" s="42"/>
      <c r="F540" s="36" t="s">
        <v>220</v>
      </c>
      <c r="G540" s="36" t="str">
        <f t="shared" si="239"/>
        <v/>
      </c>
      <c r="H540" s="36" t="str">
        <f>IFERROR(IF(--MID($F540,2*COUNTIF($G540:G540,"&gt;"&amp;0)+2,1)=H$1,H$1,""),"")</f>
        <v/>
      </c>
      <c r="I540" s="36" t="str">
        <f>IFERROR(IF(--MID($F540,2*COUNTIF($G540:H540,"&gt;"&amp;0)+2,1)=I$1,I$1,""),"")</f>
        <v/>
      </c>
      <c r="J540" s="36" t="str">
        <f>IFERROR(IF(--MID($F540,2*COUNTIF($G540:I540,"&gt;"&amp;0)+2,1)=J$1,J$1,""),"")</f>
        <v/>
      </c>
      <c r="K540" s="36" t="str">
        <f>IFERROR(IF(--MID($F540,2*COUNTIF($G540:J540,"&gt;"&amp;0)+2,1)=K$1,K$1,""),"")</f>
        <v/>
      </c>
      <c r="L540" s="36">
        <f>IFERROR(IF(--MID($F540,2*COUNTIF($G540:K540,"&gt;"&amp;0)+2,1)=L$1,L$1,""),"")</f>
        <v>6</v>
      </c>
      <c r="M540" s="51" t="str" cm="1">
        <f t="array" ref="M540">IF($A540="","",IF(G540="","",_xlfn.XLOOKUP($D540&amp;"_"&amp;$AE540,符文权重!$A:$A&amp;"_"&amp;符文权重!$C:$C,符文权重!$D:$D)*$Y540/SUMIFS($Y:$Y,G:G,G540,$D:$D,$D540,$AE:$AE,$AE540)/SUMIF(符文权重!$A:$A,$D540,符文权重!$D:$D)))</f>
        <v/>
      </c>
      <c r="N540" s="51" t="str" cm="1">
        <f t="array" ref="N540">IF($A540="","",IF(H540="","",_xlfn.XLOOKUP($D540&amp;"_"&amp;$AE540,符文权重!$A:$A&amp;"_"&amp;符文权重!$C:$C,符文权重!$D:$D)*$Y540/SUMIFS($Y:$Y,H:H,H540,$D:$D,$D540,$AE:$AE,$AE540)/SUMIF(符文权重!$A:$A,$D540,符文权重!$D:$D)))</f>
        <v/>
      </c>
      <c r="O540" s="51" t="str" cm="1">
        <f t="array" ref="O540">IF($A540="","",IF(I540="","",_xlfn.XLOOKUP($D540&amp;"_"&amp;$AE540,符文权重!$A:$A&amp;"_"&amp;符文权重!$C:$C,符文权重!$D:$D)*$Y540/SUMIFS($Y:$Y,I:I,I540,$D:$D,$D540,$AE:$AE,$AE540)/SUMIF(符文权重!$A:$A,$D540,符文权重!$D:$D)))</f>
        <v/>
      </c>
      <c r="P540" s="51" t="str" cm="1">
        <f t="array" ref="P540">IF($A540="","",IF(J540="","",_xlfn.XLOOKUP($D540&amp;"_"&amp;$AE540,符文权重!$A:$A&amp;"_"&amp;符文权重!$C:$C,符文权重!$D:$D)*$Y540/SUMIFS($Y:$Y,J:J,J540,$D:$D,$D540,$AE:$AE,$AE540)/SUMIF(符文权重!$A:$A,$D540,符文权重!$D:$D)))</f>
        <v/>
      </c>
      <c r="Q540" s="51" t="str" cm="1">
        <f t="array" ref="Q540">IF($A540="","",IF(K540="","",_xlfn.XLOOKUP($D540&amp;"_"&amp;$AE540,符文权重!$A:$A&amp;"_"&amp;符文权重!$C:$C,符文权重!$D:$D)*$Y540/SUMIFS($Y:$Y,K:K,K540,$D:$D,$D540,$AE:$AE,$AE540)/SUMIF(符文权重!$A:$A,$D540,符文权重!$D:$D)))</f>
        <v/>
      </c>
      <c r="R540" s="51" cm="1">
        <f t="array" ref="R540">IF($A540="","",IF(L540="","",_xlfn.XLOOKUP($D540&amp;"_"&amp;$AE540,符文权重!$A:$A&amp;"_"&amp;符文权重!$C:$C,符文权重!$D:$D)*$Y540/SUMIFS($Y:$Y,L:L,L540,$D:$D,$D540,$AE:$AE,$AE540)/SUMIF(符文权重!$A:$A,$D540,符文权重!$D:$D)))</f>
        <v>0.00300429184549356</v>
      </c>
      <c r="S540" s="36" t="s">
        <v>175</v>
      </c>
      <c r="T540" s="36"/>
      <c r="U540" s="36" t="e">
        <f>IF(C540="","",SUBSTITUTE(SUBSTITUTE("[{global_atk,"&amp;#REF!*D540&amp;"}]",21,20),9,8))</f>
        <v>#REF!</v>
      </c>
      <c r="V540" s="52" t="str">
        <f t="shared" si="248"/>
        <v>[5506077]</v>
      </c>
      <c r="W540" s="36" t="s">
        <v>576</v>
      </c>
      <c r="Y540" s="35">
        <v>100</v>
      </c>
      <c r="AA540" s="42" t="s">
        <v>191</v>
      </c>
      <c r="AB540" s="42" t="str">
        <f t="shared" si="250"/>
        <v>攻击范围&lt;color=#54b76b&gt;+2&lt;/color&gt;格，伤害&lt;color=#54b76b&gt;+10%&lt;/color&gt;</v>
      </c>
      <c r="AC540" s="48">
        <v>55060712</v>
      </c>
      <c r="AD540" s="42" t="str">
        <f t="shared" si="243"/>
        <v>[10]</v>
      </c>
      <c r="AE540" s="36">
        <v>6</v>
      </c>
      <c r="AF540" s="36"/>
      <c r="AG540" s="36">
        <v>0</v>
      </c>
      <c r="AH540" s="35">
        <v>1</v>
      </c>
      <c r="AI540" s="48">
        <f t="shared" si="249"/>
        <v>5506077</v>
      </c>
      <c r="AJ540" s="53" t="s">
        <v>577</v>
      </c>
      <c r="AK540" s="36">
        <v>10</v>
      </c>
      <c r="AL540" s="35">
        <v>6</v>
      </c>
    </row>
    <row r="541" s="25" customFormat="1" hidden="1" customHeight="1" spans="1:38">
      <c r="A541" s="48" t="s">
        <v>178</v>
      </c>
      <c r="C541" s="48" t="str">
        <f t="shared" si="246"/>
        <v/>
      </c>
      <c r="D541" s="42" t="str">
        <f t="shared" si="247"/>
        <v/>
      </c>
      <c r="E541" s="42"/>
      <c r="F541" s="36"/>
      <c r="G541" s="36" t="str">
        <f t="shared" si="239"/>
        <v/>
      </c>
      <c r="H541" s="36" t="str">
        <f>IFERROR(IF(--MID($F541,2*COUNTIF($G541:G541,"&gt;"&amp;0)+2,1)=H$1,H$1,""),"")</f>
        <v/>
      </c>
      <c r="I541" s="36" t="str">
        <f>IFERROR(IF(--MID($F541,2*COUNTIF($G541:H541,"&gt;"&amp;0)+2,1)=I$1,I$1,""),"")</f>
        <v/>
      </c>
      <c r="J541" s="36" t="str">
        <f>IFERROR(IF(--MID($F541,2*COUNTIF($G541:I541,"&gt;"&amp;0)+2,1)=J$1,J$1,""),"")</f>
        <v/>
      </c>
      <c r="K541" s="36" t="str">
        <f>IFERROR(IF(--MID($F541,2*COUNTIF($G541:J541,"&gt;"&amp;0)+2,1)=K$1,K$1,""),"")</f>
        <v/>
      </c>
      <c r="L541" s="36" t="str">
        <f>IFERROR(IF(--MID($F541,2*COUNTIF($G541:K541,"&gt;"&amp;0)+2,1)=L$1,L$1,""),"")</f>
        <v/>
      </c>
      <c r="M541" s="51" t="str" cm="1">
        <f t="array" ref="M541">IF($A541="","",IF(G541="","",_xlfn.XLOOKUP($D541&amp;"_"&amp;$AE541,符文权重!$A:$A&amp;"_"&amp;符文权重!$C:$C,符文权重!$D:$D)*$Y541/SUMIFS($Y:$Y,G:G,G541,$D:$D,$D541,$AE:$AE,$AE541)/SUMIF(符文权重!$A:$A,$D541,符文权重!$D:$D)))</f>
        <v/>
      </c>
      <c r="N541" s="36" t="str" cm="1">
        <f t="array" ref="N541">IF($A541="","",IF(H541="","",_xlfn.XLOOKUP($D541&amp;"_"&amp;$AE541,符文权重!$A:$A&amp;"_"&amp;符文权重!$C:$C,符文权重!$D:$D)*$Y541/SUMIFS($Y:$Y,H:H,H541,$D:$D,$D$6,$AE:$AE,$AE$6)))</f>
        <v/>
      </c>
      <c r="O541" s="36" t="str" cm="1">
        <f t="array" ref="O541">IF($A541="","",IF(I541="","",_xlfn.XLOOKUP($D541&amp;"_"&amp;$AE541,符文权重!$A:$A&amp;"_"&amp;符文权重!$C:$C,符文权重!$D:$D)*$Y541/SUMIFS($Y:$Y,I:I,I541,$D:$D,$D$6,$AE:$AE,$AE$6)))</f>
        <v/>
      </c>
      <c r="P541" s="36" t="str" cm="1">
        <f t="array" ref="P541">IF($A541="","",IF(J541="","",_xlfn.XLOOKUP($D541&amp;"_"&amp;$AE541,符文权重!$A:$A&amp;"_"&amp;符文权重!$C:$C,符文权重!$D:$D)*$Y541/SUMIFS($Y:$Y,J:J,J541,$D:$D,$D$6,$AE:$AE,$AE$6)))</f>
        <v/>
      </c>
      <c r="Q541" s="36" t="str" cm="1">
        <f t="array" ref="Q541">IF($A541="","",IF(K541="","",_xlfn.XLOOKUP($D541&amp;"_"&amp;$AE541,符文权重!$A:$A&amp;"_"&amp;符文权重!$C:$C,符文权重!$D:$D)*$Y541/SUMIFS($Y:$Y,K:K,K541,$D:$D,$D$6,$AE:$AE,$AE$6)))</f>
        <v/>
      </c>
      <c r="R541" s="36" t="str" cm="1">
        <f t="array" ref="R541">IF($A541="","",IF(L541="","",_xlfn.XLOOKUP($D541&amp;"_"&amp;$AE541,符文权重!$A:$A&amp;"_"&amp;符文权重!$C:$C,符文权重!$D:$D)*$Y541/SUMIFS($Y:$Y,L:L,L541,$D:$D,$D$6,$AE:$AE,$AE$6)))</f>
        <v/>
      </c>
      <c r="S541" s="36"/>
      <c r="T541" s="36"/>
      <c r="U541" s="36"/>
      <c r="W541" s="41"/>
      <c r="X541" s="35"/>
      <c r="Y541" s="35"/>
      <c r="Z541" s="35"/>
      <c r="AA541" s="42" t="s">
        <v>178</v>
      </c>
      <c r="AB541" s="42" t="str">
        <f t="shared" si="250"/>
        <v/>
      </c>
      <c r="AC541" s="48" t="str">
        <f t="shared" ref="AC541:AC572" si="251">IF(ISBLANK(AI541),"",C541)</f>
        <v/>
      </c>
      <c r="AD541" s="42" t="str">
        <f t="shared" si="243"/>
        <v/>
      </c>
      <c r="AE541" s="36"/>
      <c r="AF541" s="36"/>
      <c r="AG541" s="36"/>
      <c r="AH541" s="35" t="s">
        <v>178</v>
      </c>
      <c r="AI541" s="33"/>
      <c r="AJ541" s="65"/>
      <c r="AK541" s="36"/>
      <c r="AL541" s="35"/>
    </row>
    <row r="542" s="25" customFormat="1" hidden="1" customHeight="1" spans="1:38">
      <c r="A542" s="48">
        <v>5506081</v>
      </c>
      <c r="B542" s="35" t="s">
        <v>578</v>
      </c>
      <c r="C542" s="48" t="str">
        <f t="shared" si="246"/>
        <v>5506081</v>
      </c>
      <c r="D542" s="42">
        <f t="shared" si="247"/>
        <v>1</v>
      </c>
      <c r="E542" s="42"/>
      <c r="F542" s="36" t="s">
        <v>346</v>
      </c>
      <c r="G542" s="36">
        <f t="shared" si="239"/>
        <v>1</v>
      </c>
      <c r="H542" s="36" t="str">
        <f>IFERROR(IF(--MID($F542,2*COUNTIF($G542:G542,"&gt;"&amp;0)+2,1)=H$1,H$1,""),"")</f>
        <v/>
      </c>
      <c r="I542" s="36" t="str">
        <f>IFERROR(IF(--MID($F542,2*COUNTIF($G542:H542,"&gt;"&amp;0)+2,1)=I$1,I$1,""),"")</f>
        <v/>
      </c>
      <c r="J542" s="36">
        <f>IFERROR(IF(--MID($F542,2*COUNTIF($G542:I542,"&gt;"&amp;0)+2,1)=J$1,J$1,""),"")</f>
        <v>4</v>
      </c>
      <c r="K542" s="36" t="str">
        <f>IFERROR(IF(--MID($F542,2*COUNTIF($G542:J542,"&gt;"&amp;0)+2,1)=K$1,K$1,""),"")</f>
        <v/>
      </c>
      <c r="L542" s="36" t="str">
        <f>IFERROR(IF(--MID($F542,2*COUNTIF($G542:K542,"&gt;"&amp;0)+2,1)=L$1,L$1,""),"")</f>
        <v/>
      </c>
      <c r="M542" s="36" t="e" cm="1">
        <f t="array" ref="M542">IF(A542="","",_xlfn.XLOOKUP(D542&amp;"_"&amp;AE542,符文权重!A:A&amp;"_"&amp;符文权重!C:C,符文权重!D:D))</f>
        <v>#N/A</v>
      </c>
      <c r="N542" s="36"/>
      <c r="O542" s="36"/>
      <c r="P542" s="36"/>
      <c r="Q542" s="36"/>
      <c r="R542" s="36"/>
      <c r="S542" s="36" t="s">
        <v>175</v>
      </c>
      <c r="T542" s="36"/>
      <c r="U542" s="36" t="e">
        <f>IF(C542="","",SUBSTITUTE(SUBSTITUTE("[{global_atk,"&amp;#REF!*D542&amp;"}]",21,20),9,8))</f>
        <v>#REF!</v>
      </c>
      <c r="V542" s="52" t="str">
        <f t="shared" ref="V542:V548" si="252">"["&amp;A542&amp;"]"</f>
        <v>[5506081]</v>
      </c>
      <c r="W542" s="36"/>
      <c r="X542" s="35"/>
      <c r="Y542" s="35">
        <v>100</v>
      </c>
      <c r="Z542" s="35"/>
      <c r="AA542" s="42" t="s">
        <v>177</v>
      </c>
      <c r="AB542" s="42" t="str">
        <f t="shared" si="250"/>
        <v>充能后获得&lt;color=#54b76b&gt;0%&lt;/color&gt;攻速3秒</v>
      </c>
      <c r="AC542" s="48" t="str">
        <f t="shared" si="251"/>
        <v>5506081</v>
      </c>
      <c r="AD542" s="42" t="str">
        <f t="shared" si="243"/>
        <v>[0]</v>
      </c>
      <c r="AE542" s="36">
        <v>100</v>
      </c>
      <c r="AF542" s="36"/>
      <c r="AG542" s="36">
        <v>1</v>
      </c>
      <c r="AH542" s="35">
        <v>1</v>
      </c>
      <c r="AI542" s="33">
        <v>5506081</v>
      </c>
      <c r="AJ542" s="74" t="s">
        <v>578</v>
      </c>
      <c r="AK542" s="36">
        <v>0</v>
      </c>
      <c r="AL542" s="35">
        <v>6</v>
      </c>
    </row>
    <row r="543" hidden="1" customHeight="1" spans="1:38">
      <c r="A543" s="48">
        <v>5506082</v>
      </c>
      <c r="C543" s="48" t="str">
        <f t="shared" si="246"/>
        <v>5506081</v>
      </c>
      <c r="D543" s="42">
        <f t="shared" si="247"/>
        <v>2</v>
      </c>
      <c r="E543" s="42"/>
      <c r="F543" s="36" t="s">
        <v>346</v>
      </c>
      <c r="G543" s="36">
        <f t="shared" si="239"/>
        <v>1</v>
      </c>
      <c r="H543" s="36" t="str">
        <f>IFERROR(IF(--MID($F543,2*COUNTIF($G543:G543,"&gt;"&amp;0)+2,1)=H$1,H$1,""),"")</f>
        <v/>
      </c>
      <c r="I543" s="36" t="str">
        <f>IFERROR(IF(--MID($F543,2*COUNTIF($G543:H543,"&gt;"&amp;0)+2,1)=I$1,I$1,""),"")</f>
        <v/>
      </c>
      <c r="J543" s="36">
        <f>IFERROR(IF(--MID($F543,2*COUNTIF($G543:I543,"&gt;"&amp;0)+2,1)=J$1,J$1,""),"")</f>
        <v>4</v>
      </c>
      <c r="K543" s="36" t="str">
        <f>IFERROR(IF(--MID($F543,2*COUNTIF($G543:J543,"&gt;"&amp;0)+2,1)=K$1,K$1,""),"")</f>
        <v/>
      </c>
      <c r="L543" s="36" t="str">
        <f>IFERROR(IF(--MID($F543,2*COUNTIF($G543:K543,"&gt;"&amp;0)+2,1)=L$1,L$1,""),"")</f>
        <v/>
      </c>
      <c r="M543" s="36" t="e" cm="1">
        <f t="array" ref="M543">IF(A543="","",_xlfn.XLOOKUP(D543&amp;"_"&amp;AE543,符文权重!A:A&amp;"_"&amp;符文权重!C:C,符文权重!D:D))</f>
        <v>#N/A</v>
      </c>
      <c r="N543" s="36"/>
      <c r="O543" s="36"/>
      <c r="P543" s="36"/>
      <c r="Q543" s="36"/>
      <c r="R543" s="36"/>
      <c r="S543" s="36" t="s">
        <v>175</v>
      </c>
      <c r="T543" s="36"/>
      <c r="U543" s="36" t="e">
        <f>IF(C543="","",SUBSTITUTE(SUBSTITUTE("[{global_atk,"&amp;#REF!*D543&amp;"}]",21,20),9,8))</f>
        <v>#REF!</v>
      </c>
      <c r="V543" s="52" t="str">
        <f t="shared" si="252"/>
        <v>[5506082]</v>
      </c>
      <c r="Y543" s="35">
        <v>100</v>
      </c>
      <c r="AA543" s="42" t="s">
        <v>181</v>
      </c>
      <c r="AB543" s="42" t="str">
        <f t="shared" si="250"/>
        <v>充能后获得&lt;color=#54b76b&gt;0%&lt;/color&gt;攻速3秒</v>
      </c>
      <c r="AC543" s="48" t="str">
        <f t="shared" si="251"/>
        <v>5506081</v>
      </c>
      <c r="AD543" s="42" t="str">
        <f t="shared" si="243"/>
        <v>[0]</v>
      </c>
      <c r="AE543" s="36">
        <v>100</v>
      </c>
      <c r="AF543" s="36"/>
      <c r="AG543" s="36">
        <v>1</v>
      </c>
      <c r="AH543" s="35">
        <v>1</v>
      </c>
      <c r="AI543" s="48">
        <f t="shared" ref="AI543:AI548" si="253">AI542+1</f>
        <v>5506082</v>
      </c>
      <c r="AJ543" s="53" t="str">
        <f t="shared" ref="AJ543:AJ548" si="254">AJ542</f>
        <v>充能后获得&lt;color=#54b76b&gt;%s%&lt;/color&gt;攻速3秒</v>
      </c>
      <c r="AK543" s="36">
        <v>0</v>
      </c>
      <c r="AL543" s="35">
        <v>6</v>
      </c>
    </row>
    <row r="544" hidden="1" customHeight="1" spans="1:38">
      <c r="A544" s="48">
        <v>5506083</v>
      </c>
      <c r="C544" s="48" t="str">
        <f t="shared" si="246"/>
        <v>5506081</v>
      </c>
      <c r="D544" s="42">
        <f t="shared" si="247"/>
        <v>3</v>
      </c>
      <c r="E544" s="42"/>
      <c r="F544" s="36" t="s">
        <v>346</v>
      </c>
      <c r="G544" s="36">
        <f t="shared" si="239"/>
        <v>1</v>
      </c>
      <c r="H544" s="36" t="str">
        <f>IFERROR(IF(--MID($F544,2*COUNTIF($G544:G544,"&gt;"&amp;0)+2,1)=H$1,H$1,""),"")</f>
        <v/>
      </c>
      <c r="I544" s="36" t="str">
        <f>IFERROR(IF(--MID($F544,2*COUNTIF($G544:H544,"&gt;"&amp;0)+2,1)=I$1,I$1,""),"")</f>
        <v/>
      </c>
      <c r="J544" s="36">
        <f>IFERROR(IF(--MID($F544,2*COUNTIF($G544:I544,"&gt;"&amp;0)+2,1)=J$1,J$1,""),"")</f>
        <v>4</v>
      </c>
      <c r="K544" s="36" t="str">
        <f>IFERROR(IF(--MID($F544,2*COUNTIF($G544:J544,"&gt;"&amp;0)+2,1)=K$1,K$1,""),"")</f>
        <v/>
      </c>
      <c r="L544" s="36" t="str">
        <f>IFERROR(IF(--MID($F544,2*COUNTIF($G544:K544,"&gt;"&amp;0)+2,1)=L$1,L$1,""),"")</f>
        <v/>
      </c>
      <c r="M544" s="36" t="e" cm="1">
        <f t="array" ref="M544">IF(A544="","",_xlfn.XLOOKUP(D544&amp;"_"&amp;AE544,符文权重!A:A&amp;"_"&amp;符文权重!C:C,符文权重!D:D))</f>
        <v>#N/A</v>
      </c>
      <c r="N544" s="36"/>
      <c r="O544" s="36"/>
      <c r="P544" s="36"/>
      <c r="Q544" s="36"/>
      <c r="R544" s="36"/>
      <c r="S544" s="36" t="s">
        <v>175</v>
      </c>
      <c r="T544" s="36"/>
      <c r="U544" s="36" t="e">
        <f>IF(C544="","",SUBSTITUTE(SUBSTITUTE("[{global_atk,"&amp;#REF!*D544&amp;"}]",21,20),9,8))</f>
        <v>#REF!</v>
      </c>
      <c r="V544" s="52" t="str">
        <f t="shared" si="252"/>
        <v>[5506083]</v>
      </c>
      <c r="Y544" s="35">
        <v>100</v>
      </c>
      <c r="AA544" s="42" t="s">
        <v>183</v>
      </c>
      <c r="AB544" s="42" t="str">
        <f t="shared" si="250"/>
        <v>充能后获得&lt;color=#54b76b&gt;0%&lt;/color&gt;攻速3秒</v>
      </c>
      <c r="AC544" s="48" t="str">
        <f t="shared" si="251"/>
        <v>5506081</v>
      </c>
      <c r="AD544" s="42" t="str">
        <f t="shared" si="243"/>
        <v>[0]</v>
      </c>
      <c r="AE544" s="36">
        <v>100</v>
      </c>
      <c r="AF544" s="36"/>
      <c r="AG544" s="36">
        <v>1</v>
      </c>
      <c r="AH544" s="35">
        <v>1</v>
      </c>
      <c r="AI544" s="48">
        <f t="shared" si="253"/>
        <v>5506083</v>
      </c>
      <c r="AJ544" s="53" t="str">
        <f t="shared" si="254"/>
        <v>充能后获得&lt;color=#54b76b&gt;%s%&lt;/color&gt;攻速3秒</v>
      </c>
      <c r="AK544" s="36">
        <v>0</v>
      </c>
      <c r="AL544" s="35">
        <v>6</v>
      </c>
    </row>
    <row r="545" hidden="1" customHeight="1" spans="1:38">
      <c r="A545" s="48">
        <v>5506084</v>
      </c>
      <c r="C545" s="48" t="str">
        <f t="shared" si="246"/>
        <v>5506081</v>
      </c>
      <c r="D545" s="42">
        <f t="shared" si="247"/>
        <v>4</v>
      </c>
      <c r="E545" s="42"/>
      <c r="F545" s="36" t="s">
        <v>346</v>
      </c>
      <c r="G545" s="36">
        <f t="shared" si="239"/>
        <v>1</v>
      </c>
      <c r="H545" s="36" t="str">
        <f>IFERROR(IF(--MID($F545,2*COUNTIF($G545:G545,"&gt;"&amp;0)+2,1)=H$1,H$1,""),"")</f>
        <v/>
      </c>
      <c r="I545" s="36" t="str">
        <f>IFERROR(IF(--MID($F545,2*COUNTIF($G545:H545,"&gt;"&amp;0)+2,1)=I$1,I$1,""),"")</f>
        <v/>
      </c>
      <c r="J545" s="36">
        <f>IFERROR(IF(--MID($F545,2*COUNTIF($G545:I545,"&gt;"&amp;0)+2,1)=J$1,J$1,""),"")</f>
        <v>4</v>
      </c>
      <c r="K545" s="36" t="str">
        <f>IFERROR(IF(--MID($F545,2*COUNTIF($G545:J545,"&gt;"&amp;0)+2,1)=K$1,K$1,""),"")</f>
        <v/>
      </c>
      <c r="L545" s="36" t="str">
        <f>IFERROR(IF(--MID($F545,2*COUNTIF($G545:K545,"&gt;"&amp;0)+2,1)=L$1,L$1,""),"")</f>
        <v/>
      </c>
      <c r="M545" s="51" cm="1">
        <f t="array" ref="M545">IF($A545="","",IF(G545="","",_xlfn.XLOOKUP($D545&amp;"_"&amp;$AE545,符文权重!$A:$A&amp;"_"&amp;符文权重!$C:$C,符文权重!$D:$D)*$Y545/SUMIFS($Y:$Y,G:G,G545,$D:$D,$D545,$AE:$AE,$AE545)/SUMIF(符文权重!$A:$A,$D545,符文权重!$D:$D)))</f>
        <v>0.00421254587921255</v>
      </c>
      <c r="N545" s="51" t="str" cm="1">
        <f t="array" ref="N545">IF($A545="","",IF(H545="","",_xlfn.XLOOKUP($D545&amp;"_"&amp;$AE545,符文权重!$A:$A&amp;"_"&amp;符文权重!$C:$C,符文权重!$D:$D)*$Y545/SUMIFS($Y:$Y,H:H,H545,$D:$D,$D545,$AE:$AE,$AE545)/SUMIF(符文权重!$A:$A,$D545,符文权重!$D:$D)))</f>
        <v/>
      </c>
      <c r="O545" s="51" t="str" cm="1">
        <f t="array" ref="O545">IF($A545="","",IF(I545="","",_xlfn.XLOOKUP($D545&amp;"_"&amp;$AE545,符文权重!$A:$A&amp;"_"&amp;符文权重!$C:$C,符文权重!$D:$D)*$Y545/SUMIFS($Y:$Y,I:I,I545,$D:$D,$D545,$AE:$AE,$AE545)/SUMIF(符文权重!$A:$A,$D545,符文权重!$D:$D)))</f>
        <v/>
      </c>
      <c r="P545" s="51" cm="1">
        <f t="array" ref="P545">IF($A545="","",IF(J545="","",_xlfn.XLOOKUP($D545&amp;"_"&amp;$AE545,符文权重!$A:$A&amp;"_"&amp;符文权重!$C:$C,符文权重!$D:$D)*$Y545/SUMIFS($Y:$Y,J:J,J545,$D:$D,$D545,$AE:$AE,$AE545)/SUMIF(符文权重!$A:$A,$D545,符文权重!$D:$D)))</f>
        <v>0.0022977522977523</v>
      </c>
      <c r="Q545" s="51" t="str" cm="1">
        <f t="array" ref="Q545">IF($A545="","",IF(K545="","",_xlfn.XLOOKUP($D545&amp;"_"&amp;$AE545,符文权重!$A:$A&amp;"_"&amp;符文权重!$C:$C,符文权重!$D:$D)*$Y545/SUMIFS($Y:$Y,K:K,K545,$D:$D,$D545,$AE:$AE,$AE545)/SUMIF(符文权重!$A:$A,$D545,符文权重!$D:$D)))</f>
        <v/>
      </c>
      <c r="R545" s="51" t="str" cm="1">
        <f t="array" ref="R545">IF($A545="","",IF(L545="","",_xlfn.XLOOKUP($D545&amp;"_"&amp;$AE545,符文权重!$A:$A&amp;"_"&amp;符文权重!$C:$C,符文权重!$D:$D)*$Y545/SUMIFS($Y:$Y,L:L,L545,$D:$D,$D545,$AE:$AE,$AE545)/SUMIF(符文权重!$A:$A,$D545,符文权重!$D:$D)))</f>
        <v/>
      </c>
      <c r="S545" s="36" t="s">
        <v>175</v>
      </c>
      <c r="T545" s="36"/>
      <c r="U545" s="36" t="e">
        <f>IF(C545="","",SUBSTITUTE(SUBSTITUTE("[{global_atk,"&amp;#REF!*D545&amp;"}]",21,20),9,8))</f>
        <v>#REF!</v>
      </c>
      <c r="V545" s="52" t="str">
        <f t="shared" si="252"/>
        <v>[5506084]</v>
      </c>
      <c r="Y545" s="35">
        <v>20</v>
      </c>
      <c r="AA545" s="42" t="s">
        <v>185</v>
      </c>
      <c r="AB545" s="42" t="str">
        <f t="shared" si="250"/>
        <v>充能后获得&lt;color=#54b76b&gt;40%&lt;/color&gt;攻速3秒</v>
      </c>
      <c r="AC545" s="48" t="str">
        <f t="shared" si="251"/>
        <v>5506081</v>
      </c>
      <c r="AD545" s="42" t="str">
        <f t="shared" si="243"/>
        <v>[40]</v>
      </c>
      <c r="AE545" s="36">
        <v>4</v>
      </c>
      <c r="AF545" s="36"/>
      <c r="AG545" s="36">
        <v>0</v>
      </c>
      <c r="AH545" s="35">
        <v>1</v>
      </c>
      <c r="AI545" s="48">
        <f t="shared" si="253"/>
        <v>5506084</v>
      </c>
      <c r="AJ545" s="53" t="str">
        <f t="shared" si="254"/>
        <v>充能后获得&lt;color=#54b76b&gt;%s%&lt;/color&gt;攻速3秒</v>
      </c>
      <c r="AK545" s="36">
        <v>40</v>
      </c>
      <c r="AL545" s="35">
        <v>6</v>
      </c>
    </row>
    <row r="546" customHeight="1" spans="1:38">
      <c r="A546" s="48">
        <v>5506085</v>
      </c>
      <c r="C546" s="48" t="str">
        <f t="shared" si="246"/>
        <v>5506081</v>
      </c>
      <c r="D546" s="42">
        <f t="shared" si="247"/>
        <v>5</v>
      </c>
      <c r="E546" s="42"/>
      <c r="F546" s="36" t="s">
        <v>346</v>
      </c>
      <c r="G546" s="36">
        <f t="shared" si="239"/>
        <v>1</v>
      </c>
      <c r="H546" s="36" t="str">
        <f>IFERROR(IF(--MID($F546,2*COUNTIF($G546:G546,"&gt;"&amp;0)+2,1)=H$1,H$1,""),"")</f>
        <v/>
      </c>
      <c r="I546" s="36" t="str">
        <f>IFERROR(IF(--MID($F546,2*COUNTIF($G546:H546,"&gt;"&amp;0)+2,1)=I$1,I$1,""),"")</f>
        <v/>
      </c>
      <c r="J546" s="36">
        <f>IFERROR(IF(--MID($F546,2*COUNTIF($G546:I546,"&gt;"&amp;0)+2,1)=J$1,J$1,""),"")</f>
        <v>4</v>
      </c>
      <c r="K546" s="36" t="str">
        <f>IFERROR(IF(--MID($F546,2*COUNTIF($G546:J546,"&gt;"&amp;0)+2,1)=K$1,K$1,""),"")</f>
        <v/>
      </c>
      <c r="L546" s="36" t="str">
        <f>IFERROR(IF(--MID($F546,2*COUNTIF($G546:K546,"&gt;"&amp;0)+2,1)=L$1,L$1,""),"")</f>
        <v/>
      </c>
      <c r="M546" s="51" cm="1">
        <f t="array" ref="M546">IF($A546="","",IF(G546="","",_xlfn.XLOOKUP($D546&amp;"_"&amp;$AE546,符文权重!$A:$A&amp;"_"&amp;符文权重!$C:$C,符文权重!$D:$D)*$Y546/SUMIFS($Y:$Y,G:G,G546,$D:$D,$D546,$AE:$AE,$AE546)/SUMIF(符文权重!$A:$A,$D546,符文权重!$D:$D)))</f>
        <v>0.00300429184549356</v>
      </c>
      <c r="N546" s="51" t="str" cm="1">
        <f t="array" ref="N546">IF($A546="","",IF(H546="","",_xlfn.XLOOKUP($D546&amp;"_"&amp;$AE546,符文权重!$A:$A&amp;"_"&amp;符文权重!$C:$C,符文权重!$D:$D)*$Y546/SUMIFS($Y:$Y,H:H,H546,$D:$D,$D546,$AE:$AE,$AE546)/SUMIF(符文权重!$A:$A,$D546,符文权重!$D:$D)))</f>
        <v/>
      </c>
      <c r="O546" s="51" t="str" cm="1">
        <f t="array" ref="O546">IF($A546="","",IF(I546="","",_xlfn.XLOOKUP($D546&amp;"_"&amp;$AE546,符文权重!$A:$A&amp;"_"&amp;符文权重!$C:$C,符文权重!$D:$D)*$Y546/SUMIFS($Y:$Y,I:I,I546,$D:$D,$D546,$AE:$AE,$AE546)/SUMIF(符文权重!$A:$A,$D546,符文权重!$D:$D)))</f>
        <v/>
      </c>
      <c r="P546" s="51" cm="1">
        <f t="array" ref="P546">IF($A546="","",IF(J546="","",_xlfn.XLOOKUP($D546&amp;"_"&amp;$AE546,符文权重!$A:$A&amp;"_"&amp;符文权重!$C:$C,符文权重!$D:$D)*$Y546/SUMIFS($Y:$Y,J:J,J546,$D:$D,$D546,$AE:$AE,$AE546)/SUMIF(符文权重!$A:$A,$D546,符文权重!$D:$D)))</f>
        <v>0.00300429184549356</v>
      </c>
      <c r="Q546" s="51" t="str" cm="1">
        <f t="array" ref="Q546">IF($A546="","",IF(K546="","",_xlfn.XLOOKUP($D546&amp;"_"&amp;$AE546,符文权重!$A:$A&amp;"_"&amp;符文权重!$C:$C,符文权重!$D:$D)*$Y546/SUMIFS($Y:$Y,K:K,K546,$D:$D,$D546,$AE:$AE,$AE546)/SUMIF(符文权重!$A:$A,$D546,符文权重!$D:$D)))</f>
        <v/>
      </c>
      <c r="R546" s="51" t="str" cm="1">
        <f t="array" ref="R546">IF($A546="","",IF(L546="","",_xlfn.XLOOKUP($D546&amp;"_"&amp;$AE546,符文权重!$A:$A&amp;"_"&amp;符文权重!$C:$C,符文权重!$D:$D)*$Y546/SUMIFS($Y:$Y,L:L,L546,$D:$D,$D546,$AE:$AE,$AE546)/SUMIF(符文权重!$A:$A,$D546,符文权重!$D:$D)))</f>
        <v/>
      </c>
      <c r="S546" s="36" t="s">
        <v>175</v>
      </c>
      <c r="T546" s="36"/>
      <c r="U546" s="36" t="e">
        <f>IF(C546="","",SUBSTITUTE(SUBSTITUTE("[{global_atk,"&amp;#REF!*D546&amp;"}]",21,20),9,8))</f>
        <v>#REF!</v>
      </c>
      <c r="V546" s="52" t="str">
        <f t="shared" si="252"/>
        <v>[5506085]</v>
      </c>
      <c r="Y546" s="35">
        <v>100</v>
      </c>
      <c r="AA546" s="42" t="s">
        <v>187</v>
      </c>
      <c r="AB546" s="42" t="str">
        <f t="shared" si="250"/>
        <v>充能后获得&lt;color=#54b76b&gt;60%&lt;/color&gt;攻速3秒</v>
      </c>
      <c r="AC546" s="48" t="str">
        <f t="shared" si="251"/>
        <v>5506081</v>
      </c>
      <c r="AD546" s="42" t="str">
        <f t="shared" si="243"/>
        <v>[60]</v>
      </c>
      <c r="AE546" s="36">
        <v>6</v>
      </c>
      <c r="AF546" s="36"/>
      <c r="AG546" s="36">
        <v>0</v>
      </c>
      <c r="AH546" s="35">
        <v>1</v>
      </c>
      <c r="AI546" s="48">
        <f t="shared" si="253"/>
        <v>5506085</v>
      </c>
      <c r="AJ546" s="53" t="str">
        <f t="shared" si="254"/>
        <v>充能后获得&lt;color=#54b76b&gt;%s%&lt;/color&gt;攻速3秒</v>
      </c>
      <c r="AK546" s="36">
        <v>60</v>
      </c>
      <c r="AL546" s="35">
        <v>6</v>
      </c>
    </row>
    <row r="547" customHeight="1" spans="1:38">
      <c r="A547" s="48">
        <v>5506086</v>
      </c>
      <c r="C547" s="48" t="str">
        <f t="shared" si="246"/>
        <v>5506081</v>
      </c>
      <c r="D547" s="42">
        <f t="shared" si="247"/>
        <v>6</v>
      </c>
      <c r="E547" s="42"/>
      <c r="F547" s="36" t="s">
        <v>346</v>
      </c>
      <c r="G547" s="36">
        <f t="shared" si="239"/>
        <v>1</v>
      </c>
      <c r="H547" s="36" t="str">
        <f>IFERROR(IF(--MID($F547,2*COUNTIF($G547:G547,"&gt;"&amp;0)+2,1)=H$1,H$1,""),"")</f>
        <v/>
      </c>
      <c r="I547" s="36" t="str">
        <f>IFERROR(IF(--MID($F547,2*COUNTIF($G547:H547,"&gt;"&amp;0)+2,1)=I$1,I$1,""),"")</f>
        <v/>
      </c>
      <c r="J547" s="36">
        <f>IFERROR(IF(--MID($F547,2*COUNTIF($G547:I547,"&gt;"&amp;0)+2,1)=J$1,J$1,""),"")</f>
        <v>4</v>
      </c>
      <c r="K547" s="36" t="str">
        <f>IFERROR(IF(--MID($F547,2*COUNTIF($G547:J547,"&gt;"&amp;0)+2,1)=K$1,K$1,""),"")</f>
        <v/>
      </c>
      <c r="L547" s="36" t="str">
        <f>IFERROR(IF(--MID($F547,2*COUNTIF($G547:K547,"&gt;"&amp;0)+2,1)=L$1,L$1,""),"")</f>
        <v/>
      </c>
      <c r="M547" s="51" cm="1">
        <f t="array" ref="M547">IF($A547="","",IF(G547="","",_xlfn.XLOOKUP($D547&amp;"_"&amp;$AE547,符文权重!$A:$A&amp;"_"&amp;符文权重!$C:$C,符文权重!$D:$D)*$Y547/SUMIFS($Y:$Y,G:G,G547,$D:$D,$D547,$AE:$AE,$AE547)/SUMIF(符文权重!$A:$A,$D547,符文权重!$D:$D)))</f>
        <v>0.00300429184549356</v>
      </c>
      <c r="N547" s="51" t="str" cm="1">
        <f t="array" ref="N547">IF($A547="","",IF(H547="","",_xlfn.XLOOKUP($D547&amp;"_"&amp;$AE547,符文权重!$A:$A&amp;"_"&amp;符文权重!$C:$C,符文权重!$D:$D)*$Y547/SUMIFS($Y:$Y,H:H,H547,$D:$D,$D547,$AE:$AE,$AE547)/SUMIF(符文权重!$A:$A,$D547,符文权重!$D:$D)))</f>
        <v/>
      </c>
      <c r="O547" s="51" t="str" cm="1">
        <f t="array" ref="O547">IF($A547="","",IF(I547="","",_xlfn.XLOOKUP($D547&amp;"_"&amp;$AE547,符文权重!$A:$A&amp;"_"&amp;符文权重!$C:$C,符文权重!$D:$D)*$Y547/SUMIFS($Y:$Y,I:I,I547,$D:$D,$D547,$AE:$AE,$AE547)/SUMIF(符文权重!$A:$A,$D547,符文权重!$D:$D)))</f>
        <v/>
      </c>
      <c r="P547" s="51" cm="1">
        <f t="array" ref="P547">IF($A547="","",IF(J547="","",_xlfn.XLOOKUP($D547&amp;"_"&amp;$AE547,符文权重!$A:$A&amp;"_"&amp;符文权重!$C:$C,符文权重!$D:$D)*$Y547/SUMIFS($Y:$Y,J:J,J547,$D:$D,$D547,$AE:$AE,$AE547)/SUMIF(符文权重!$A:$A,$D547,符文权重!$D:$D)))</f>
        <v>0.00300429184549356</v>
      </c>
      <c r="Q547" s="51" t="str" cm="1">
        <f t="array" ref="Q547">IF($A547="","",IF(K547="","",_xlfn.XLOOKUP($D547&amp;"_"&amp;$AE547,符文权重!$A:$A&amp;"_"&amp;符文权重!$C:$C,符文权重!$D:$D)*$Y547/SUMIFS($Y:$Y,K:K,K547,$D:$D,$D547,$AE:$AE,$AE547)/SUMIF(符文权重!$A:$A,$D547,符文权重!$D:$D)))</f>
        <v/>
      </c>
      <c r="R547" s="51" t="str" cm="1">
        <f t="array" ref="R547">IF($A547="","",IF(L547="","",_xlfn.XLOOKUP($D547&amp;"_"&amp;$AE547,符文权重!$A:$A&amp;"_"&amp;符文权重!$C:$C,符文权重!$D:$D)*$Y547/SUMIFS($Y:$Y,L:L,L547,$D:$D,$D547,$AE:$AE,$AE547)/SUMIF(符文权重!$A:$A,$D547,符文权重!$D:$D)))</f>
        <v/>
      </c>
      <c r="S547" s="36" t="s">
        <v>175</v>
      </c>
      <c r="T547" s="36"/>
      <c r="U547" s="36" t="e">
        <f>IF(C547="","",SUBSTITUTE(SUBSTITUTE("[{global_atk,"&amp;#REF!*D547&amp;"}]",21,20),9,8))</f>
        <v>#REF!</v>
      </c>
      <c r="V547" s="52" t="str">
        <f t="shared" si="252"/>
        <v>[5506086]</v>
      </c>
      <c r="Y547" s="35">
        <v>100</v>
      </c>
      <c r="AA547" s="42" t="s">
        <v>189</v>
      </c>
      <c r="AB547" s="42" t="str">
        <f t="shared" si="250"/>
        <v>充能后获得&lt;color=#54b76b&gt;90%&lt;/color&gt;攻速3秒</v>
      </c>
      <c r="AC547" s="48" t="str">
        <f t="shared" si="251"/>
        <v>5506081</v>
      </c>
      <c r="AD547" s="42" t="str">
        <f t="shared" si="243"/>
        <v>[90]</v>
      </c>
      <c r="AE547" s="36">
        <v>6</v>
      </c>
      <c r="AF547" s="36"/>
      <c r="AG547" s="36">
        <v>0</v>
      </c>
      <c r="AH547" s="35">
        <v>1</v>
      </c>
      <c r="AI547" s="48">
        <f t="shared" si="253"/>
        <v>5506086</v>
      </c>
      <c r="AJ547" s="53" t="str">
        <f t="shared" si="254"/>
        <v>充能后获得&lt;color=#54b76b&gt;%s%&lt;/color&gt;攻速3秒</v>
      </c>
      <c r="AK547" s="36">
        <v>90</v>
      </c>
      <c r="AL547" s="35">
        <v>6</v>
      </c>
    </row>
    <row r="548" customHeight="1" spans="1:38">
      <c r="A548" s="48">
        <v>5506087</v>
      </c>
      <c r="C548" s="48" t="str">
        <f t="shared" si="246"/>
        <v>5506081</v>
      </c>
      <c r="D548" s="42">
        <f t="shared" si="247"/>
        <v>7</v>
      </c>
      <c r="E548" s="42"/>
      <c r="F548" s="36" t="s">
        <v>346</v>
      </c>
      <c r="G548" s="36">
        <f t="shared" si="239"/>
        <v>1</v>
      </c>
      <c r="H548" s="36" t="str">
        <f>IFERROR(IF(--MID($F548,2*COUNTIF($G548:G548,"&gt;"&amp;0)+2,1)=H$1,H$1,""),"")</f>
        <v/>
      </c>
      <c r="I548" s="36" t="str">
        <f>IFERROR(IF(--MID($F548,2*COUNTIF($G548:H548,"&gt;"&amp;0)+2,1)=I$1,I$1,""),"")</f>
        <v/>
      </c>
      <c r="J548" s="36">
        <f>IFERROR(IF(--MID($F548,2*COUNTIF($G548:I548,"&gt;"&amp;0)+2,1)=J$1,J$1,""),"")</f>
        <v>4</v>
      </c>
      <c r="K548" s="36" t="str">
        <f>IFERROR(IF(--MID($F548,2*COUNTIF($G548:J548,"&gt;"&amp;0)+2,1)=K$1,K$1,""),"")</f>
        <v/>
      </c>
      <c r="L548" s="36" t="str">
        <f>IFERROR(IF(--MID($F548,2*COUNTIF($G548:K548,"&gt;"&amp;0)+2,1)=L$1,L$1,""),"")</f>
        <v/>
      </c>
      <c r="M548" s="51" cm="1">
        <f t="array" ref="M548">IF($A548="","",IF(G548="","",_xlfn.XLOOKUP($D548&amp;"_"&amp;$AE548,符文权重!$A:$A&amp;"_"&amp;符文权重!$C:$C,符文权重!$D:$D)*$Y548/SUMIFS($Y:$Y,G:G,G548,$D:$D,$D548,$AE:$AE,$AE548)/SUMIF(符文权重!$A:$A,$D548,符文权重!$D:$D)))</f>
        <v>0.00300429184549356</v>
      </c>
      <c r="N548" s="51" t="str" cm="1">
        <f t="array" ref="N548">IF($A548="","",IF(H548="","",_xlfn.XLOOKUP($D548&amp;"_"&amp;$AE548,符文权重!$A:$A&amp;"_"&amp;符文权重!$C:$C,符文权重!$D:$D)*$Y548/SUMIFS($Y:$Y,H:H,H548,$D:$D,$D548,$AE:$AE,$AE548)/SUMIF(符文权重!$A:$A,$D548,符文权重!$D:$D)))</f>
        <v/>
      </c>
      <c r="O548" s="51" t="str" cm="1">
        <f t="array" ref="O548">IF($A548="","",IF(I548="","",_xlfn.XLOOKUP($D548&amp;"_"&amp;$AE548,符文权重!$A:$A&amp;"_"&amp;符文权重!$C:$C,符文权重!$D:$D)*$Y548/SUMIFS($Y:$Y,I:I,I548,$D:$D,$D548,$AE:$AE,$AE548)/SUMIF(符文权重!$A:$A,$D548,符文权重!$D:$D)))</f>
        <v/>
      </c>
      <c r="P548" s="51" cm="1">
        <f t="array" ref="P548">IF($A548="","",IF(J548="","",_xlfn.XLOOKUP($D548&amp;"_"&amp;$AE548,符文权重!$A:$A&amp;"_"&amp;符文权重!$C:$C,符文权重!$D:$D)*$Y548/SUMIFS($Y:$Y,J:J,J548,$D:$D,$D548,$AE:$AE,$AE548)/SUMIF(符文权重!$A:$A,$D548,符文权重!$D:$D)))</f>
        <v>0.00300429184549356</v>
      </c>
      <c r="Q548" s="51" t="str" cm="1">
        <f t="array" ref="Q548">IF($A548="","",IF(K548="","",_xlfn.XLOOKUP($D548&amp;"_"&amp;$AE548,符文权重!$A:$A&amp;"_"&amp;符文权重!$C:$C,符文权重!$D:$D)*$Y548/SUMIFS($Y:$Y,K:K,K548,$D:$D,$D548,$AE:$AE,$AE548)/SUMIF(符文权重!$A:$A,$D548,符文权重!$D:$D)))</f>
        <v/>
      </c>
      <c r="R548" s="51" t="str" cm="1">
        <f t="array" ref="R548">IF($A548="","",IF(L548="","",_xlfn.XLOOKUP($D548&amp;"_"&amp;$AE548,符文权重!$A:$A&amp;"_"&amp;符文权重!$C:$C,符文权重!$D:$D)*$Y548/SUMIFS($Y:$Y,L:L,L548,$D:$D,$D548,$AE:$AE,$AE548)/SUMIF(符文权重!$A:$A,$D548,符文权重!$D:$D)))</f>
        <v/>
      </c>
      <c r="S548" s="36" t="s">
        <v>175</v>
      </c>
      <c r="T548" s="36"/>
      <c r="U548" s="36" t="e">
        <f>IF(C548="","",SUBSTITUTE(SUBSTITUTE("[{global_atk,"&amp;#REF!*D548&amp;"}]",21,20),9,8))</f>
        <v>#REF!</v>
      </c>
      <c r="V548" s="52" t="str">
        <f t="shared" si="252"/>
        <v>[5506087]</v>
      </c>
      <c r="Y548" s="35">
        <v>100</v>
      </c>
      <c r="AA548" s="42" t="s">
        <v>191</v>
      </c>
      <c r="AB548" s="42" t="str">
        <f t="shared" si="250"/>
        <v>充能后获得&lt;color=#54b76b&gt;120%&lt;/color&gt;攻速3秒</v>
      </c>
      <c r="AC548" s="48" t="str">
        <f t="shared" si="251"/>
        <v>5506081</v>
      </c>
      <c r="AD548" s="42" t="str">
        <f t="shared" si="243"/>
        <v>[120]</v>
      </c>
      <c r="AE548" s="36">
        <v>6</v>
      </c>
      <c r="AF548" s="36"/>
      <c r="AG548" s="36">
        <v>0</v>
      </c>
      <c r="AH548" s="35">
        <v>1</v>
      </c>
      <c r="AI548" s="48">
        <f t="shared" si="253"/>
        <v>5506087</v>
      </c>
      <c r="AJ548" s="53" t="str">
        <f t="shared" si="254"/>
        <v>充能后获得&lt;color=#54b76b&gt;%s%&lt;/color&gt;攻速3秒</v>
      </c>
      <c r="AK548" s="36">
        <v>120</v>
      </c>
      <c r="AL548" s="35">
        <v>6</v>
      </c>
    </row>
    <row r="549" s="25" customFormat="1" hidden="1" customHeight="1" spans="1:38">
      <c r="A549" s="48" t="s">
        <v>178</v>
      </c>
      <c r="C549" s="48" t="str">
        <f t="shared" si="246"/>
        <v/>
      </c>
      <c r="D549" s="42" t="str">
        <f t="shared" si="247"/>
        <v/>
      </c>
      <c r="E549" s="42"/>
      <c r="F549" s="36"/>
      <c r="G549" s="36" t="str">
        <f t="shared" si="239"/>
        <v/>
      </c>
      <c r="H549" s="36" t="str">
        <f>IFERROR(IF(--MID($F549,2*COUNTIF($G549:G549,"&gt;"&amp;0)+2,1)=H$1,H$1,""),"")</f>
        <v/>
      </c>
      <c r="I549" s="36" t="str">
        <f>IFERROR(IF(--MID($F549,2*COUNTIF($G549:H549,"&gt;"&amp;0)+2,1)=I$1,I$1,""),"")</f>
        <v/>
      </c>
      <c r="J549" s="36" t="str">
        <f>IFERROR(IF(--MID($F549,2*COUNTIF($G549:I549,"&gt;"&amp;0)+2,1)=J$1,J$1,""),"")</f>
        <v/>
      </c>
      <c r="K549" s="36" t="str">
        <f>IFERROR(IF(--MID($F549,2*COUNTIF($G549:J549,"&gt;"&amp;0)+2,1)=K$1,K$1,""),"")</f>
        <v/>
      </c>
      <c r="L549" s="36" t="str">
        <f>IFERROR(IF(--MID($F549,2*COUNTIF($G549:K549,"&gt;"&amp;0)+2,1)=L$1,L$1,""),"")</f>
        <v/>
      </c>
      <c r="M549" s="51" t="str" cm="1">
        <f t="array" ref="M549">IF($A549="","",IF(G549="","",_xlfn.XLOOKUP($D549&amp;"_"&amp;$AE549,符文权重!$A:$A&amp;"_"&amp;符文权重!$C:$C,符文权重!$D:$D)*$Y549/SUMIFS($Y:$Y,G:G,G549,$D:$D,$D549,$AE:$AE,$AE549)/SUMIF(符文权重!$A:$A,$D549,符文权重!$D:$D)))</f>
        <v/>
      </c>
      <c r="N549" s="36" t="str" cm="1">
        <f t="array" ref="N549">IF($A549="","",IF(H549="","",_xlfn.XLOOKUP($D549&amp;"_"&amp;$AE549,符文权重!$A:$A&amp;"_"&amp;符文权重!$C:$C,符文权重!$D:$D)*$Y549/SUMIFS($Y:$Y,H:H,H549,$D:$D,$D$6,$AE:$AE,$AE$6)))</f>
        <v/>
      </c>
      <c r="O549" s="36" t="str" cm="1">
        <f t="array" ref="O549">IF($A549="","",IF(I549="","",_xlfn.XLOOKUP($D549&amp;"_"&amp;$AE549,符文权重!$A:$A&amp;"_"&amp;符文权重!$C:$C,符文权重!$D:$D)*$Y549/SUMIFS($Y:$Y,I:I,I549,$D:$D,$D$6,$AE:$AE,$AE$6)))</f>
        <v/>
      </c>
      <c r="P549" s="36" t="str" cm="1">
        <f t="array" ref="P549">IF($A549="","",IF(J549="","",_xlfn.XLOOKUP($D549&amp;"_"&amp;$AE549,符文权重!$A:$A&amp;"_"&amp;符文权重!$C:$C,符文权重!$D:$D)*$Y549/SUMIFS($Y:$Y,J:J,J549,$D:$D,$D$6,$AE:$AE,$AE$6)))</f>
        <v/>
      </c>
      <c r="Q549" s="36" t="str" cm="1">
        <f t="array" ref="Q549">IF($A549="","",IF(K549="","",_xlfn.XLOOKUP($D549&amp;"_"&amp;$AE549,符文权重!$A:$A&amp;"_"&amp;符文权重!$C:$C,符文权重!$D:$D)*$Y549/SUMIFS($Y:$Y,K:K,K549,$D:$D,$D$6,$AE:$AE,$AE$6)))</f>
        <v/>
      </c>
      <c r="R549" s="36" t="str" cm="1">
        <f t="array" ref="R549">IF($A549="","",IF(L549="","",_xlfn.XLOOKUP($D549&amp;"_"&amp;$AE549,符文权重!$A:$A&amp;"_"&amp;符文权重!$C:$C,符文权重!$D:$D)*$Y549/SUMIFS($Y:$Y,L:L,L549,$D:$D,$D$6,$AE:$AE,$AE$6)))</f>
        <v/>
      </c>
      <c r="S549" s="36"/>
      <c r="T549" s="36"/>
      <c r="U549" s="36"/>
      <c r="W549" s="41"/>
      <c r="X549" s="35"/>
      <c r="Y549" s="35"/>
      <c r="Z549" s="35"/>
      <c r="AA549" s="42" t="s">
        <v>178</v>
      </c>
      <c r="AB549" s="42" t="str">
        <f t="shared" si="250"/>
        <v/>
      </c>
      <c r="AC549" s="48" t="str">
        <f t="shared" si="251"/>
        <v/>
      </c>
      <c r="AD549" s="42" t="str">
        <f t="shared" si="243"/>
        <v/>
      </c>
      <c r="AE549" s="36"/>
      <c r="AF549" s="36"/>
      <c r="AG549" s="36"/>
      <c r="AH549" s="35" t="s">
        <v>178</v>
      </c>
      <c r="AI549" s="33"/>
      <c r="AJ549" s="65"/>
      <c r="AK549" s="36"/>
      <c r="AL549" s="35"/>
    </row>
    <row r="550" s="25" customFormat="1" hidden="1" customHeight="1" spans="1:38">
      <c r="A550" s="48">
        <v>5506091</v>
      </c>
      <c r="B550" s="35" t="s">
        <v>579</v>
      </c>
      <c r="C550" s="48" t="str">
        <f t="shared" si="246"/>
        <v>5506091</v>
      </c>
      <c r="D550" s="42">
        <f t="shared" si="247"/>
        <v>1</v>
      </c>
      <c r="E550" s="42"/>
      <c r="F550" s="36" t="s">
        <v>343</v>
      </c>
      <c r="G550" s="36" t="str">
        <f t="shared" si="239"/>
        <v/>
      </c>
      <c r="H550" s="36">
        <f>IFERROR(IF(--MID($F550,2*COUNTIF($G550:G550,"&gt;"&amp;0)+2,1)=H$1,H$1,""),"")</f>
        <v>2</v>
      </c>
      <c r="I550" s="36" t="str">
        <f>IFERROR(IF(--MID($F550,2*COUNTIF($G550:H550,"&gt;"&amp;0)+2,1)=I$1,I$1,""),"")</f>
        <v/>
      </c>
      <c r="J550" s="36" t="str">
        <f>IFERROR(IF(--MID($F550,2*COUNTIF($G550:I550,"&gt;"&amp;0)+2,1)=J$1,J$1,""),"")</f>
        <v/>
      </c>
      <c r="K550" s="36">
        <f>IFERROR(IF(--MID($F550,2*COUNTIF($G550:J550,"&gt;"&amp;0)+2,1)=K$1,K$1,""),"")</f>
        <v>5</v>
      </c>
      <c r="L550" s="36" t="str">
        <f>IFERROR(IF(--MID($F550,2*COUNTIF($G550:K550,"&gt;"&amp;0)+2,1)=L$1,L$1,""),"")</f>
        <v/>
      </c>
      <c r="M550" s="36" t="e" cm="1">
        <f t="array" ref="M550">IF(A550="","",_xlfn.XLOOKUP(D550&amp;"_"&amp;AE550,符文权重!A:A&amp;"_"&amp;符文权重!C:C,符文权重!D:D))</f>
        <v>#N/A</v>
      </c>
      <c r="N550" s="36"/>
      <c r="O550" s="36"/>
      <c r="P550" s="36"/>
      <c r="Q550" s="36"/>
      <c r="R550" s="36"/>
      <c r="S550" s="36" t="s">
        <v>175</v>
      </c>
      <c r="T550" s="36"/>
      <c r="U550" s="36" t="e">
        <f>IF(C550="","",SUBSTITUTE(SUBSTITUTE("[{global_atk,"&amp;#REF!*D550&amp;"}]",21,20),9,8))</f>
        <v>#REF!</v>
      </c>
      <c r="V550" s="52" t="str">
        <f t="shared" ref="V550:V556" si="255">"["&amp;A550&amp;"]"</f>
        <v>[5506091]</v>
      </c>
      <c r="W550" s="36"/>
      <c r="X550" s="35"/>
      <c r="Y550" s="35">
        <v>100</v>
      </c>
      <c r="Z550" s="35"/>
      <c r="AA550" s="42" t="s">
        <v>177</v>
      </c>
      <c r="AB550" s="42" t="str">
        <f t="shared" si="250"/>
        <v>能量耗尽时&lt;color=#54b76b&gt;0%&lt;/color&gt;概率跳过充能</v>
      </c>
      <c r="AC550" s="48" t="str">
        <f t="shared" si="251"/>
        <v>5506091</v>
      </c>
      <c r="AD550" s="42" t="str">
        <f t="shared" si="243"/>
        <v>[0]</v>
      </c>
      <c r="AE550" s="36">
        <v>100</v>
      </c>
      <c r="AF550" s="36"/>
      <c r="AG550" s="36">
        <v>1</v>
      </c>
      <c r="AH550" s="35">
        <v>1</v>
      </c>
      <c r="AI550" s="33">
        <v>5506091</v>
      </c>
      <c r="AJ550" s="74" t="s">
        <v>579</v>
      </c>
      <c r="AK550" s="36">
        <v>0</v>
      </c>
      <c r="AL550" s="35">
        <v>6</v>
      </c>
    </row>
    <row r="551" hidden="1" customHeight="1" spans="1:38">
      <c r="A551" s="48">
        <v>5506092</v>
      </c>
      <c r="C551" s="48" t="str">
        <f t="shared" si="246"/>
        <v>5506091</v>
      </c>
      <c r="D551" s="42">
        <f t="shared" si="247"/>
        <v>2</v>
      </c>
      <c r="E551" s="42"/>
      <c r="F551" s="36" t="s">
        <v>343</v>
      </c>
      <c r="G551" s="36" t="str">
        <f t="shared" si="239"/>
        <v/>
      </c>
      <c r="H551" s="36">
        <f>IFERROR(IF(--MID($F551,2*COUNTIF($G551:G551,"&gt;"&amp;0)+2,1)=H$1,H$1,""),"")</f>
        <v>2</v>
      </c>
      <c r="I551" s="36" t="str">
        <f>IFERROR(IF(--MID($F551,2*COUNTIF($G551:H551,"&gt;"&amp;0)+2,1)=I$1,I$1,""),"")</f>
        <v/>
      </c>
      <c r="J551" s="36" t="str">
        <f>IFERROR(IF(--MID($F551,2*COUNTIF($G551:I551,"&gt;"&amp;0)+2,1)=J$1,J$1,""),"")</f>
        <v/>
      </c>
      <c r="K551" s="36">
        <f>IFERROR(IF(--MID($F551,2*COUNTIF($G551:J551,"&gt;"&amp;0)+2,1)=K$1,K$1,""),"")</f>
        <v>5</v>
      </c>
      <c r="L551" s="36" t="str">
        <f>IFERROR(IF(--MID($F551,2*COUNTIF($G551:K551,"&gt;"&amp;0)+2,1)=L$1,L$1,""),"")</f>
        <v/>
      </c>
      <c r="M551" s="36" t="e" cm="1">
        <f t="array" ref="M551">IF(A551="","",_xlfn.XLOOKUP(D551&amp;"_"&amp;AE551,符文权重!A:A&amp;"_"&amp;符文权重!C:C,符文权重!D:D))</f>
        <v>#N/A</v>
      </c>
      <c r="N551" s="36"/>
      <c r="O551" s="36"/>
      <c r="P551" s="36"/>
      <c r="Q551" s="36"/>
      <c r="R551" s="36"/>
      <c r="S551" s="36" t="s">
        <v>175</v>
      </c>
      <c r="T551" s="36"/>
      <c r="U551" s="36" t="e">
        <f>IF(C551="","",SUBSTITUTE(SUBSTITUTE("[{global_atk,"&amp;#REF!*D551&amp;"}]",21,20),9,8))</f>
        <v>#REF!</v>
      </c>
      <c r="V551" s="52" t="str">
        <f t="shared" si="255"/>
        <v>[5506092]</v>
      </c>
      <c r="Y551" s="35">
        <v>100</v>
      </c>
      <c r="AA551" s="42" t="s">
        <v>181</v>
      </c>
      <c r="AB551" s="42" t="str">
        <f t="shared" si="250"/>
        <v>能量耗尽时&lt;color=#54b76b&gt;0%&lt;/color&gt;概率跳过充能</v>
      </c>
      <c r="AC551" s="48" t="str">
        <f t="shared" si="251"/>
        <v>5506091</v>
      </c>
      <c r="AD551" s="42" t="str">
        <f t="shared" si="243"/>
        <v>[0]</v>
      </c>
      <c r="AE551" s="36">
        <v>100</v>
      </c>
      <c r="AF551" s="36"/>
      <c r="AG551" s="36">
        <v>1</v>
      </c>
      <c r="AH551" s="35">
        <v>1</v>
      </c>
      <c r="AI551" s="48">
        <f t="shared" ref="AI551:AI556" si="256">AI550+1</f>
        <v>5506092</v>
      </c>
      <c r="AJ551" s="53" t="str">
        <f t="shared" ref="AJ551:AJ556" si="257">AJ550</f>
        <v>能量耗尽时&lt;color=#54b76b&gt;%s%&lt;/color&gt;概率跳过充能</v>
      </c>
      <c r="AK551" s="36">
        <v>0</v>
      </c>
      <c r="AL551" s="35">
        <v>6</v>
      </c>
    </row>
    <row r="552" hidden="1" customHeight="1" spans="1:38">
      <c r="A552" s="48">
        <v>5506093</v>
      </c>
      <c r="C552" s="48" t="str">
        <f t="shared" si="246"/>
        <v>5506091</v>
      </c>
      <c r="D552" s="42">
        <f t="shared" si="247"/>
        <v>3</v>
      </c>
      <c r="E552" s="42"/>
      <c r="F552" s="36" t="s">
        <v>343</v>
      </c>
      <c r="G552" s="36" t="str">
        <f t="shared" si="239"/>
        <v/>
      </c>
      <c r="H552" s="36">
        <f>IFERROR(IF(--MID($F552,2*COUNTIF($G552:G552,"&gt;"&amp;0)+2,1)=H$1,H$1,""),"")</f>
        <v>2</v>
      </c>
      <c r="I552" s="36" t="str">
        <f>IFERROR(IF(--MID($F552,2*COUNTIF($G552:H552,"&gt;"&amp;0)+2,1)=I$1,I$1,""),"")</f>
        <v/>
      </c>
      <c r="J552" s="36" t="str">
        <f>IFERROR(IF(--MID($F552,2*COUNTIF($G552:I552,"&gt;"&amp;0)+2,1)=J$1,J$1,""),"")</f>
        <v/>
      </c>
      <c r="K552" s="36">
        <f>IFERROR(IF(--MID($F552,2*COUNTIF($G552:J552,"&gt;"&amp;0)+2,1)=K$1,K$1,""),"")</f>
        <v>5</v>
      </c>
      <c r="L552" s="36" t="str">
        <f>IFERROR(IF(--MID($F552,2*COUNTIF($G552:K552,"&gt;"&amp;0)+2,1)=L$1,L$1,""),"")</f>
        <v/>
      </c>
      <c r="M552" s="36" t="e" cm="1">
        <f t="array" ref="M552">IF(A552="","",_xlfn.XLOOKUP(D552&amp;"_"&amp;AE552,符文权重!A:A&amp;"_"&amp;符文权重!C:C,符文权重!D:D))</f>
        <v>#N/A</v>
      </c>
      <c r="N552" s="36"/>
      <c r="O552" s="36"/>
      <c r="P552" s="36"/>
      <c r="Q552" s="36"/>
      <c r="R552" s="36"/>
      <c r="S552" s="36" t="s">
        <v>175</v>
      </c>
      <c r="T552" s="36"/>
      <c r="U552" s="36" t="e">
        <f>IF(C552="","",SUBSTITUTE(SUBSTITUTE("[{global_atk,"&amp;#REF!*D552&amp;"}]",21,20),9,8))</f>
        <v>#REF!</v>
      </c>
      <c r="V552" s="52" t="str">
        <f t="shared" si="255"/>
        <v>[5506093]</v>
      </c>
      <c r="Y552" s="35">
        <v>100</v>
      </c>
      <c r="AA552" s="42" t="s">
        <v>183</v>
      </c>
      <c r="AB552" s="42" t="str">
        <f t="shared" si="250"/>
        <v>能量耗尽时&lt;color=#54b76b&gt;0%&lt;/color&gt;概率跳过充能</v>
      </c>
      <c r="AC552" s="48" t="str">
        <f t="shared" si="251"/>
        <v>5506091</v>
      </c>
      <c r="AD552" s="42" t="str">
        <f t="shared" si="243"/>
        <v>[0]</v>
      </c>
      <c r="AE552" s="36">
        <v>100</v>
      </c>
      <c r="AF552" s="36"/>
      <c r="AG552" s="36">
        <v>1</v>
      </c>
      <c r="AH552" s="35">
        <v>1</v>
      </c>
      <c r="AI552" s="48">
        <f t="shared" si="256"/>
        <v>5506093</v>
      </c>
      <c r="AJ552" s="53" t="str">
        <f t="shared" si="257"/>
        <v>能量耗尽时&lt;color=#54b76b&gt;%s%&lt;/color&gt;概率跳过充能</v>
      </c>
      <c r="AK552" s="36">
        <v>0</v>
      </c>
      <c r="AL552" s="35">
        <v>6</v>
      </c>
    </row>
    <row r="553" hidden="1" customHeight="1" spans="1:38">
      <c r="A553" s="48">
        <v>5506094</v>
      </c>
      <c r="C553" s="48" t="str">
        <f t="shared" si="246"/>
        <v>5506091</v>
      </c>
      <c r="D553" s="42">
        <f t="shared" si="247"/>
        <v>4</v>
      </c>
      <c r="E553" s="42"/>
      <c r="F553" s="36" t="s">
        <v>343</v>
      </c>
      <c r="G553" s="36" t="str">
        <f t="shared" si="239"/>
        <v/>
      </c>
      <c r="H553" s="36">
        <f>IFERROR(IF(--MID($F553,2*COUNTIF($G553:G553,"&gt;"&amp;0)+2,1)=H$1,H$1,""),"")</f>
        <v>2</v>
      </c>
      <c r="I553" s="36" t="str">
        <f>IFERROR(IF(--MID($F553,2*COUNTIF($G553:H553,"&gt;"&amp;0)+2,1)=I$1,I$1,""),"")</f>
        <v/>
      </c>
      <c r="J553" s="36" t="str">
        <f>IFERROR(IF(--MID($F553,2*COUNTIF($G553:I553,"&gt;"&amp;0)+2,1)=J$1,J$1,""),"")</f>
        <v/>
      </c>
      <c r="K553" s="36">
        <f>IFERROR(IF(--MID($F553,2*COUNTIF($G553:J553,"&gt;"&amp;0)+2,1)=K$1,K$1,""),"")</f>
        <v>5</v>
      </c>
      <c r="L553" s="36" t="str">
        <f>IFERROR(IF(--MID($F553,2*COUNTIF($G553:K553,"&gt;"&amp;0)+2,1)=L$1,L$1,""),"")</f>
        <v/>
      </c>
      <c r="M553" s="51" t="str" cm="1">
        <f t="array" ref="M553">IF($A553="","",IF(G553="","",_xlfn.XLOOKUP($D553&amp;"_"&amp;$AE553,符文权重!$A:$A&amp;"_"&amp;符文权重!$C:$C,符文权重!$D:$D)*$Y553/SUMIFS($Y:$Y,G:G,G553,$D:$D,$D553,$AE:$AE,$AE553)/SUMIF(符文权重!$A:$A,$D553,符文权重!$D:$D)))</f>
        <v/>
      </c>
      <c r="N553" s="51" cm="1">
        <f t="array" ref="N553">IF($A553="","",IF(H553="","",_xlfn.XLOOKUP($D553&amp;"_"&amp;$AE553,符文权重!$A:$A&amp;"_"&amp;符文权重!$C:$C,符文权重!$D:$D)*$Y553/SUMIFS($Y:$Y,H:H,H553,$D:$D,$D553,$AE:$AE,$AE553)/SUMIF(符文权重!$A:$A,$D553,符文权重!$D:$D)))</f>
        <v>0.00297356179709121</v>
      </c>
      <c r="O553" s="51" t="str" cm="1">
        <f t="array" ref="O553">IF($A553="","",IF(I553="","",_xlfn.XLOOKUP($D553&amp;"_"&amp;$AE553,符文权重!$A:$A&amp;"_"&amp;符文权重!$C:$C,符文权重!$D:$D)*$Y553/SUMIFS($Y:$Y,I:I,I553,$D:$D,$D553,$AE:$AE,$AE553)/SUMIF(符文权重!$A:$A,$D553,符文权重!$D:$D)))</f>
        <v/>
      </c>
      <c r="P553" s="51" t="str" cm="1">
        <f t="array" ref="P553">IF($A553="","",IF(J553="","",_xlfn.XLOOKUP($D553&amp;"_"&amp;$AE553,符文权重!$A:$A&amp;"_"&amp;符文权重!$C:$C,符文权重!$D:$D)*$Y553/SUMIFS($Y:$Y,J:J,J553,$D:$D,$D553,$AE:$AE,$AE553)/SUMIF(符文权重!$A:$A,$D553,符文权重!$D:$D)))</f>
        <v/>
      </c>
      <c r="Q553" s="51" cm="1">
        <f t="array" ref="Q553">IF($A553="","",IF(K553="","",_xlfn.XLOOKUP($D553&amp;"_"&amp;$AE553,符文权重!$A:$A&amp;"_"&amp;符文权重!$C:$C,符文权重!$D:$D)*$Y553/SUMIFS($Y:$Y,K:K,K553,$D:$D,$D553,$AE:$AE,$AE553)/SUMIF(符文权重!$A:$A,$D553,符文权重!$D:$D)))</f>
        <v>0.0022977522977523</v>
      </c>
      <c r="R553" s="51" t="str" cm="1">
        <f t="array" ref="R553">IF($A553="","",IF(L553="","",_xlfn.XLOOKUP($D553&amp;"_"&amp;$AE553,符文权重!$A:$A&amp;"_"&amp;符文权重!$C:$C,符文权重!$D:$D)*$Y553/SUMIFS($Y:$Y,L:L,L553,$D:$D,$D553,$AE:$AE,$AE553)/SUMIF(符文权重!$A:$A,$D553,符文权重!$D:$D)))</f>
        <v/>
      </c>
      <c r="S553" s="36" t="s">
        <v>175</v>
      </c>
      <c r="T553" s="36"/>
      <c r="U553" s="36" t="e">
        <f>IF(C553="","",SUBSTITUTE(SUBSTITUTE("[{global_atk,"&amp;#REF!*D553&amp;"}]",21,20),9,8))</f>
        <v>#REF!</v>
      </c>
      <c r="V553" s="52" t="str">
        <f t="shared" si="255"/>
        <v>[5506094]</v>
      </c>
      <c r="W553" s="36" t="s">
        <v>580</v>
      </c>
      <c r="Y553" s="35">
        <v>20</v>
      </c>
      <c r="AA553" s="42" t="s">
        <v>185</v>
      </c>
      <c r="AB553" s="42" t="str">
        <f t="shared" si="250"/>
        <v>能量耗尽时&lt;color=#54b76b&gt;5%&lt;/color&gt;概率跳过充能</v>
      </c>
      <c r="AC553" s="48" t="str">
        <f t="shared" si="251"/>
        <v>5506091</v>
      </c>
      <c r="AD553" s="42" t="str">
        <f t="shared" si="243"/>
        <v>[5]</v>
      </c>
      <c r="AE553" s="36">
        <v>4</v>
      </c>
      <c r="AF553" s="36"/>
      <c r="AG553" s="36">
        <v>0</v>
      </c>
      <c r="AH553" s="35">
        <v>1</v>
      </c>
      <c r="AI553" s="48">
        <f t="shared" si="256"/>
        <v>5506094</v>
      </c>
      <c r="AJ553" s="53" t="str">
        <f t="shared" si="257"/>
        <v>能量耗尽时&lt;color=#54b76b&gt;%s%&lt;/color&gt;概率跳过充能</v>
      </c>
      <c r="AK553" s="36">
        <v>5</v>
      </c>
      <c r="AL553" s="35">
        <v>6</v>
      </c>
    </row>
    <row r="554" customHeight="1" spans="1:38">
      <c r="A554" s="48">
        <v>5506095</v>
      </c>
      <c r="C554" s="48" t="str">
        <f t="shared" si="246"/>
        <v>5506091</v>
      </c>
      <c r="D554" s="42">
        <f t="shared" si="247"/>
        <v>5</v>
      </c>
      <c r="E554" s="42"/>
      <c r="F554" s="36" t="s">
        <v>343</v>
      </c>
      <c r="G554" s="36" t="str">
        <f t="shared" si="239"/>
        <v/>
      </c>
      <c r="H554" s="36">
        <f>IFERROR(IF(--MID($F554,2*COUNTIF($G554:G554,"&gt;"&amp;0)+2,1)=H$1,H$1,""),"")</f>
        <v>2</v>
      </c>
      <c r="I554" s="36" t="str">
        <f>IFERROR(IF(--MID($F554,2*COUNTIF($G554:H554,"&gt;"&amp;0)+2,1)=I$1,I$1,""),"")</f>
        <v/>
      </c>
      <c r="J554" s="36" t="str">
        <f>IFERROR(IF(--MID($F554,2*COUNTIF($G554:I554,"&gt;"&amp;0)+2,1)=J$1,J$1,""),"")</f>
        <v/>
      </c>
      <c r="K554" s="36">
        <f>IFERROR(IF(--MID($F554,2*COUNTIF($G554:J554,"&gt;"&amp;0)+2,1)=K$1,K$1,""),"")</f>
        <v>5</v>
      </c>
      <c r="L554" s="36" t="str">
        <f>IFERROR(IF(--MID($F554,2*COUNTIF($G554:K554,"&gt;"&amp;0)+2,1)=L$1,L$1,""),"")</f>
        <v/>
      </c>
      <c r="M554" s="51" t="str" cm="1">
        <f t="array" ref="M554">IF($A554="","",IF(G554="","",_xlfn.XLOOKUP($D554&amp;"_"&amp;$AE554,符文权重!$A:$A&amp;"_"&amp;符文权重!$C:$C,符文权重!$D:$D)*$Y554/SUMIFS($Y:$Y,G:G,G554,$D:$D,$D554,$AE:$AE,$AE554)/SUMIF(符文权重!$A:$A,$D554,符文权重!$D:$D)))</f>
        <v/>
      </c>
      <c r="N554" s="51" cm="1">
        <f t="array" ref="N554">IF($A554="","",IF(H554="","",_xlfn.XLOOKUP($D554&amp;"_"&amp;$AE554,符文权重!$A:$A&amp;"_"&amp;符文权重!$C:$C,符文权重!$D:$D)*$Y554/SUMIFS($Y:$Y,H:H,H554,$D:$D,$D554,$AE:$AE,$AE554)/SUMIF(符文权重!$A:$A,$D554,符文权重!$D:$D)))</f>
        <v>0.00300429184549356</v>
      </c>
      <c r="O554" s="51" t="str" cm="1">
        <f t="array" ref="O554">IF($A554="","",IF(I554="","",_xlfn.XLOOKUP($D554&amp;"_"&amp;$AE554,符文权重!$A:$A&amp;"_"&amp;符文权重!$C:$C,符文权重!$D:$D)*$Y554/SUMIFS($Y:$Y,I:I,I554,$D:$D,$D554,$AE:$AE,$AE554)/SUMIF(符文权重!$A:$A,$D554,符文权重!$D:$D)))</f>
        <v/>
      </c>
      <c r="P554" s="51" t="str" cm="1">
        <f t="array" ref="P554">IF($A554="","",IF(J554="","",_xlfn.XLOOKUP($D554&amp;"_"&amp;$AE554,符文权重!$A:$A&amp;"_"&amp;符文权重!$C:$C,符文权重!$D:$D)*$Y554/SUMIFS($Y:$Y,J:J,J554,$D:$D,$D554,$AE:$AE,$AE554)/SUMIF(符文权重!$A:$A,$D554,符文权重!$D:$D)))</f>
        <v/>
      </c>
      <c r="Q554" s="51" cm="1">
        <f t="array" ref="Q554">IF($A554="","",IF(K554="","",_xlfn.XLOOKUP($D554&amp;"_"&amp;$AE554,符文权重!$A:$A&amp;"_"&amp;符文权重!$C:$C,符文权重!$D:$D)*$Y554/SUMIFS($Y:$Y,K:K,K554,$D:$D,$D554,$AE:$AE,$AE554)/SUMIF(符文权重!$A:$A,$D554,符文权重!$D:$D)))</f>
        <v>0.00300429184549356</v>
      </c>
      <c r="R554" s="51" t="str" cm="1">
        <f t="array" ref="R554">IF($A554="","",IF(L554="","",_xlfn.XLOOKUP($D554&amp;"_"&amp;$AE554,符文权重!$A:$A&amp;"_"&amp;符文权重!$C:$C,符文权重!$D:$D)*$Y554/SUMIFS($Y:$Y,L:L,L554,$D:$D,$D554,$AE:$AE,$AE554)/SUMIF(符文权重!$A:$A,$D554,符文权重!$D:$D)))</f>
        <v/>
      </c>
      <c r="S554" s="36" t="s">
        <v>175</v>
      </c>
      <c r="T554" s="36"/>
      <c r="U554" s="36" t="e">
        <f>IF(C554="","",SUBSTITUTE(SUBSTITUTE("[{global_atk,"&amp;#REF!*D554&amp;"}]",21,20),9,8))</f>
        <v>#REF!</v>
      </c>
      <c r="V554" s="52" t="str">
        <f t="shared" si="255"/>
        <v>[5506095]</v>
      </c>
      <c r="W554" s="36" t="s">
        <v>581</v>
      </c>
      <c r="Y554" s="35">
        <v>100</v>
      </c>
      <c r="AA554" s="42" t="s">
        <v>187</v>
      </c>
      <c r="AB554" s="42" t="str">
        <f t="shared" si="250"/>
        <v>能量耗尽时&lt;color=#54b76b&gt;8%&lt;/color&gt;概率跳过充能</v>
      </c>
      <c r="AC554" s="48" t="str">
        <f t="shared" si="251"/>
        <v>5506091</v>
      </c>
      <c r="AD554" s="42" t="str">
        <f t="shared" si="243"/>
        <v>[8]</v>
      </c>
      <c r="AE554" s="36">
        <v>6</v>
      </c>
      <c r="AF554" s="36"/>
      <c r="AG554" s="36">
        <v>0</v>
      </c>
      <c r="AH554" s="35">
        <v>1</v>
      </c>
      <c r="AI554" s="48">
        <f t="shared" si="256"/>
        <v>5506095</v>
      </c>
      <c r="AJ554" s="53" t="str">
        <f t="shared" si="257"/>
        <v>能量耗尽时&lt;color=#54b76b&gt;%s%&lt;/color&gt;概率跳过充能</v>
      </c>
      <c r="AK554" s="36">
        <v>8</v>
      </c>
      <c r="AL554" s="35">
        <v>6</v>
      </c>
    </row>
    <row r="555" customHeight="1" spans="1:38">
      <c r="A555" s="48">
        <v>5506096</v>
      </c>
      <c r="C555" s="48" t="str">
        <f t="shared" si="246"/>
        <v>5506091</v>
      </c>
      <c r="D555" s="42">
        <f t="shared" si="247"/>
        <v>6</v>
      </c>
      <c r="E555" s="42"/>
      <c r="F555" s="36" t="s">
        <v>343</v>
      </c>
      <c r="G555" s="36" t="str">
        <f t="shared" si="239"/>
        <v/>
      </c>
      <c r="H555" s="36">
        <f>IFERROR(IF(--MID($F555,2*COUNTIF($G555:G555,"&gt;"&amp;0)+2,1)=H$1,H$1,""),"")</f>
        <v>2</v>
      </c>
      <c r="I555" s="36" t="str">
        <f>IFERROR(IF(--MID($F555,2*COUNTIF($G555:H555,"&gt;"&amp;0)+2,1)=I$1,I$1,""),"")</f>
        <v/>
      </c>
      <c r="J555" s="36" t="str">
        <f>IFERROR(IF(--MID($F555,2*COUNTIF($G555:I555,"&gt;"&amp;0)+2,1)=J$1,J$1,""),"")</f>
        <v/>
      </c>
      <c r="K555" s="36">
        <f>IFERROR(IF(--MID($F555,2*COUNTIF($G555:J555,"&gt;"&amp;0)+2,1)=K$1,K$1,""),"")</f>
        <v>5</v>
      </c>
      <c r="L555" s="36" t="str">
        <f>IFERROR(IF(--MID($F555,2*COUNTIF($G555:K555,"&gt;"&amp;0)+2,1)=L$1,L$1,""),"")</f>
        <v/>
      </c>
      <c r="M555" s="51" t="str" cm="1">
        <f t="array" ref="M555">IF($A555="","",IF(G555="","",_xlfn.XLOOKUP($D555&amp;"_"&amp;$AE555,符文权重!$A:$A&amp;"_"&amp;符文权重!$C:$C,符文权重!$D:$D)*$Y555/SUMIFS($Y:$Y,G:G,G555,$D:$D,$D555,$AE:$AE,$AE555)/SUMIF(符文权重!$A:$A,$D555,符文权重!$D:$D)))</f>
        <v/>
      </c>
      <c r="N555" s="51" cm="1">
        <f t="array" ref="N555">IF($A555="","",IF(H555="","",_xlfn.XLOOKUP($D555&amp;"_"&amp;$AE555,符文权重!$A:$A&amp;"_"&amp;符文权重!$C:$C,符文权重!$D:$D)*$Y555/SUMIFS($Y:$Y,H:H,H555,$D:$D,$D555,$AE:$AE,$AE555)/SUMIF(符文权重!$A:$A,$D555,符文权重!$D:$D)))</f>
        <v>0.00300429184549356</v>
      </c>
      <c r="O555" s="51" t="str" cm="1">
        <f t="array" ref="O555">IF($A555="","",IF(I555="","",_xlfn.XLOOKUP($D555&amp;"_"&amp;$AE555,符文权重!$A:$A&amp;"_"&amp;符文权重!$C:$C,符文权重!$D:$D)*$Y555/SUMIFS($Y:$Y,I:I,I555,$D:$D,$D555,$AE:$AE,$AE555)/SUMIF(符文权重!$A:$A,$D555,符文权重!$D:$D)))</f>
        <v/>
      </c>
      <c r="P555" s="51" t="str" cm="1">
        <f t="array" ref="P555">IF($A555="","",IF(J555="","",_xlfn.XLOOKUP($D555&amp;"_"&amp;$AE555,符文权重!$A:$A&amp;"_"&amp;符文权重!$C:$C,符文权重!$D:$D)*$Y555/SUMIFS($Y:$Y,J:J,J555,$D:$D,$D555,$AE:$AE,$AE555)/SUMIF(符文权重!$A:$A,$D555,符文权重!$D:$D)))</f>
        <v/>
      </c>
      <c r="Q555" s="51" cm="1">
        <f t="array" ref="Q555">IF($A555="","",IF(K555="","",_xlfn.XLOOKUP($D555&amp;"_"&amp;$AE555,符文权重!$A:$A&amp;"_"&amp;符文权重!$C:$C,符文权重!$D:$D)*$Y555/SUMIFS($Y:$Y,K:K,K555,$D:$D,$D555,$AE:$AE,$AE555)/SUMIF(符文权重!$A:$A,$D555,符文权重!$D:$D)))</f>
        <v>0.00300429184549356</v>
      </c>
      <c r="R555" s="51" t="str" cm="1">
        <f t="array" ref="R555">IF($A555="","",IF(L555="","",_xlfn.XLOOKUP($D555&amp;"_"&amp;$AE555,符文权重!$A:$A&amp;"_"&amp;符文权重!$C:$C,符文权重!$D:$D)*$Y555/SUMIFS($Y:$Y,L:L,L555,$D:$D,$D555,$AE:$AE,$AE555)/SUMIF(符文权重!$A:$A,$D555,符文权重!$D:$D)))</f>
        <v/>
      </c>
      <c r="S555" s="36" t="s">
        <v>175</v>
      </c>
      <c r="T555" s="36"/>
      <c r="U555" s="36" t="e">
        <f>IF(C555="","",SUBSTITUTE(SUBSTITUTE("[{global_atk,"&amp;#REF!*D555&amp;"}]",21,20),9,8))</f>
        <v>#REF!</v>
      </c>
      <c r="V555" s="52" t="str">
        <f t="shared" si="255"/>
        <v>[5506096]</v>
      </c>
      <c r="W555" s="36" t="s">
        <v>582</v>
      </c>
      <c r="Y555" s="35">
        <v>100</v>
      </c>
      <c r="AA555" s="42" t="s">
        <v>189</v>
      </c>
      <c r="AB555" s="42" t="str">
        <f t="shared" si="250"/>
        <v>能量耗尽时&lt;color=#54b76b&gt;12%&lt;/color&gt;概率跳过充能</v>
      </c>
      <c r="AC555" s="48" t="str">
        <f t="shared" si="251"/>
        <v>5506091</v>
      </c>
      <c r="AD555" s="42" t="str">
        <f t="shared" si="243"/>
        <v>[12]</v>
      </c>
      <c r="AE555" s="36">
        <v>6</v>
      </c>
      <c r="AF555" s="36"/>
      <c r="AG555" s="36">
        <v>0</v>
      </c>
      <c r="AH555" s="35">
        <v>1</v>
      </c>
      <c r="AI555" s="48">
        <f t="shared" si="256"/>
        <v>5506096</v>
      </c>
      <c r="AJ555" s="53" t="str">
        <f t="shared" si="257"/>
        <v>能量耗尽时&lt;color=#54b76b&gt;%s%&lt;/color&gt;概率跳过充能</v>
      </c>
      <c r="AK555" s="36">
        <v>12</v>
      </c>
      <c r="AL555" s="35">
        <v>6</v>
      </c>
    </row>
    <row r="556" customHeight="1" spans="1:38">
      <c r="A556" s="48">
        <v>5506097</v>
      </c>
      <c r="C556" s="48" t="str">
        <f t="shared" si="246"/>
        <v>5506091</v>
      </c>
      <c r="D556" s="42">
        <f t="shared" si="247"/>
        <v>7</v>
      </c>
      <c r="E556" s="42"/>
      <c r="F556" s="36" t="s">
        <v>343</v>
      </c>
      <c r="G556" s="36" t="str">
        <f t="shared" si="239"/>
        <v/>
      </c>
      <c r="H556" s="36">
        <f>IFERROR(IF(--MID($F556,2*COUNTIF($G556:G556,"&gt;"&amp;0)+2,1)=H$1,H$1,""),"")</f>
        <v>2</v>
      </c>
      <c r="I556" s="36" t="str">
        <f>IFERROR(IF(--MID($F556,2*COUNTIF($G556:H556,"&gt;"&amp;0)+2,1)=I$1,I$1,""),"")</f>
        <v/>
      </c>
      <c r="J556" s="36" t="str">
        <f>IFERROR(IF(--MID($F556,2*COUNTIF($G556:I556,"&gt;"&amp;0)+2,1)=J$1,J$1,""),"")</f>
        <v/>
      </c>
      <c r="K556" s="36">
        <f>IFERROR(IF(--MID($F556,2*COUNTIF($G556:J556,"&gt;"&amp;0)+2,1)=K$1,K$1,""),"")</f>
        <v>5</v>
      </c>
      <c r="L556" s="36" t="str">
        <f>IFERROR(IF(--MID($F556,2*COUNTIF($G556:K556,"&gt;"&amp;0)+2,1)=L$1,L$1,""),"")</f>
        <v/>
      </c>
      <c r="M556" s="51" t="str" cm="1">
        <f t="array" ref="M556">IF($A556="","",IF(G556="","",_xlfn.XLOOKUP($D556&amp;"_"&amp;$AE556,符文权重!$A:$A&amp;"_"&amp;符文权重!$C:$C,符文权重!$D:$D)*$Y556/SUMIFS($Y:$Y,G:G,G556,$D:$D,$D556,$AE:$AE,$AE556)/SUMIF(符文权重!$A:$A,$D556,符文权重!$D:$D)))</f>
        <v/>
      </c>
      <c r="N556" s="51" cm="1">
        <f t="array" ref="N556">IF($A556="","",IF(H556="","",_xlfn.XLOOKUP($D556&amp;"_"&amp;$AE556,符文权重!$A:$A&amp;"_"&amp;符文权重!$C:$C,符文权重!$D:$D)*$Y556/SUMIFS($Y:$Y,H:H,H556,$D:$D,$D556,$AE:$AE,$AE556)/SUMIF(符文权重!$A:$A,$D556,符文权重!$D:$D)))</f>
        <v>0.00300429184549356</v>
      </c>
      <c r="O556" s="51" t="str" cm="1">
        <f t="array" ref="O556">IF($A556="","",IF(I556="","",_xlfn.XLOOKUP($D556&amp;"_"&amp;$AE556,符文权重!$A:$A&amp;"_"&amp;符文权重!$C:$C,符文权重!$D:$D)*$Y556/SUMIFS($Y:$Y,I:I,I556,$D:$D,$D556,$AE:$AE,$AE556)/SUMIF(符文权重!$A:$A,$D556,符文权重!$D:$D)))</f>
        <v/>
      </c>
      <c r="P556" s="51" t="str" cm="1">
        <f t="array" ref="P556">IF($A556="","",IF(J556="","",_xlfn.XLOOKUP($D556&amp;"_"&amp;$AE556,符文权重!$A:$A&amp;"_"&amp;符文权重!$C:$C,符文权重!$D:$D)*$Y556/SUMIFS($Y:$Y,J:J,J556,$D:$D,$D556,$AE:$AE,$AE556)/SUMIF(符文权重!$A:$A,$D556,符文权重!$D:$D)))</f>
        <v/>
      </c>
      <c r="Q556" s="51" cm="1">
        <f t="array" ref="Q556">IF($A556="","",IF(K556="","",_xlfn.XLOOKUP($D556&amp;"_"&amp;$AE556,符文权重!$A:$A&amp;"_"&amp;符文权重!$C:$C,符文权重!$D:$D)*$Y556/SUMIFS($Y:$Y,K:K,K556,$D:$D,$D556,$AE:$AE,$AE556)/SUMIF(符文权重!$A:$A,$D556,符文权重!$D:$D)))</f>
        <v>0.00300429184549356</v>
      </c>
      <c r="R556" s="51" t="str" cm="1">
        <f t="array" ref="R556">IF($A556="","",IF(L556="","",_xlfn.XLOOKUP($D556&amp;"_"&amp;$AE556,符文权重!$A:$A&amp;"_"&amp;符文权重!$C:$C,符文权重!$D:$D)*$Y556/SUMIFS($Y:$Y,L:L,L556,$D:$D,$D556,$AE:$AE,$AE556)/SUMIF(符文权重!$A:$A,$D556,符文权重!$D:$D)))</f>
        <v/>
      </c>
      <c r="S556" s="36" t="s">
        <v>175</v>
      </c>
      <c r="T556" s="36"/>
      <c r="U556" s="36" t="e">
        <f>IF(C556="","",SUBSTITUTE(SUBSTITUTE("[{global_atk,"&amp;#REF!*D556&amp;"}]",21,20),9,8))</f>
        <v>#REF!</v>
      </c>
      <c r="V556" s="52" t="str">
        <f t="shared" si="255"/>
        <v>[5506097]</v>
      </c>
      <c r="W556" s="36" t="s">
        <v>583</v>
      </c>
      <c r="Y556" s="35">
        <v>100</v>
      </c>
      <c r="AA556" s="42" t="s">
        <v>191</v>
      </c>
      <c r="AB556" s="42" t="str">
        <f t="shared" si="250"/>
        <v>能量耗尽时&lt;color=#54b76b&gt;15%&lt;/color&gt;概率跳过充能</v>
      </c>
      <c r="AC556" s="48" t="str">
        <f t="shared" si="251"/>
        <v>5506091</v>
      </c>
      <c r="AD556" s="42" t="str">
        <f t="shared" si="243"/>
        <v>[15]</v>
      </c>
      <c r="AE556" s="36">
        <v>6</v>
      </c>
      <c r="AF556" s="36"/>
      <c r="AG556" s="36">
        <v>0</v>
      </c>
      <c r="AH556" s="35">
        <v>1</v>
      </c>
      <c r="AI556" s="48">
        <f t="shared" si="256"/>
        <v>5506097</v>
      </c>
      <c r="AJ556" s="53" t="str">
        <f t="shared" si="257"/>
        <v>能量耗尽时&lt;color=#54b76b&gt;%s%&lt;/color&gt;概率跳过充能</v>
      </c>
      <c r="AK556" s="36">
        <v>15</v>
      </c>
      <c r="AL556" s="35">
        <v>6</v>
      </c>
    </row>
    <row r="557" s="25" customFormat="1" hidden="1" customHeight="1" spans="1:38">
      <c r="A557" s="48" t="s">
        <v>178</v>
      </c>
      <c r="C557" s="48" t="str">
        <f t="shared" si="246"/>
        <v/>
      </c>
      <c r="D557" s="42" t="str">
        <f t="shared" si="247"/>
        <v/>
      </c>
      <c r="E557" s="42"/>
      <c r="F557" s="36"/>
      <c r="G557" s="36" t="str">
        <f t="shared" si="239"/>
        <v/>
      </c>
      <c r="H557" s="36" t="str">
        <f>IFERROR(IF(--MID($F557,2*COUNTIF($G557:G557,"&gt;"&amp;0)+2,1)=H$1,H$1,""),"")</f>
        <v/>
      </c>
      <c r="I557" s="36" t="str">
        <f>IFERROR(IF(--MID($F557,2*COUNTIF($G557:H557,"&gt;"&amp;0)+2,1)=I$1,I$1,""),"")</f>
        <v/>
      </c>
      <c r="J557" s="36" t="str">
        <f>IFERROR(IF(--MID($F557,2*COUNTIF($G557:I557,"&gt;"&amp;0)+2,1)=J$1,J$1,""),"")</f>
        <v/>
      </c>
      <c r="K557" s="36" t="str">
        <f>IFERROR(IF(--MID($F557,2*COUNTIF($G557:J557,"&gt;"&amp;0)+2,1)=K$1,K$1,""),"")</f>
        <v/>
      </c>
      <c r="L557" s="36" t="str">
        <f>IFERROR(IF(--MID($F557,2*COUNTIF($G557:K557,"&gt;"&amp;0)+2,1)=L$1,L$1,""),"")</f>
        <v/>
      </c>
      <c r="M557" s="51" t="str" cm="1">
        <f t="array" ref="M557">IF($A557="","",IF(G557="","",_xlfn.XLOOKUP($D557&amp;"_"&amp;$AE557,符文权重!$A:$A&amp;"_"&amp;符文权重!$C:$C,符文权重!$D:$D)*$Y557/SUMIFS($Y:$Y,G:G,G557,$D:$D,$D557,$AE:$AE,$AE557)/SUMIF(符文权重!$A:$A,$D557,符文权重!$D:$D)))</f>
        <v/>
      </c>
      <c r="N557" s="36" t="str" cm="1">
        <f t="array" ref="N557">IF($A557="","",IF(H557="","",_xlfn.XLOOKUP($D557&amp;"_"&amp;$AE557,符文权重!$A:$A&amp;"_"&amp;符文权重!$C:$C,符文权重!$D:$D)*$Y557/SUMIFS($Y:$Y,H:H,H557,$D:$D,$D$6,$AE:$AE,$AE$6)))</f>
        <v/>
      </c>
      <c r="O557" s="36" t="str" cm="1">
        <f t="array" ref="O557">IF($A557="","",IF(I557="","",_xlfn.XLOOKUP($D557&amp;"_"&amp;$AE557,符文权重!$A:$A&amp;"_"&amp;符文权重!$C:$C,符文权重!$D:$D)*$Y557/SUMIFS($Y:$Y,I:I,I557,$D:$D,$D$6,$AE:$AE,$AE$6)))</f>
        <v/>
      </c>
      <c r="P557" s="36" t="str" cm="1">
        <f t="array" ref="P557">IF($A557="","",IF(J557="","",_xlfn.XLOOKUP($D557&amp;"_"&amp;$AE557,符文权重!$A:$A&amp;"_"&amp;符文权重!$C:$C,符文权重!$D:$D)*$Y557/SUMIFS($Y:$Y,J:J,J557,$D:$D,$D$6,$AE:$AE,$AE$6)))</f>
        <v/>
      </c>
      <c r="Q557" s="36" t="str" cm="1">
        <f t="array" ref="Q557">IF($A557="","",IF(K557="","",_xlfn.XLOOKUP($D557&amp;"_"&amp;$AE557,符文权重!$A:$A&amp;"_"&amp;符文权重!$C:$C,符文权重!$D:$D)*$Y557/SUMIFS($Y:$Y,K:K,K557,$D:$D,$D$6,$AE:$AE,$AE$6)))</f>
        <v/>
      </c>
      <c r="R557" s="36" t="str" cm="1">
        <f t="array" ref="R557">IF($A557="","",IF(L557="","",_xlfn.XLOOKUP($D557&amp;"_"&amp;$AE557,符文权重!$A:$A&amp;"_"&amp;符文权重!$C:$C,符文权重!$D:$D)*$Y557/SUMIFS($Y:$Y,L:L,L557,$D:$D,$D$6,$AE:$AE,$AE$6)))</f>
        <v/>
      </c>
      <c r="S557" s="36"/>
      <c r="T557" s="36"/>
      <c r="U557" s="36"/>
      <c r="W557" s="41"/>
      <c r="X557" s="35"/>
      <c r="Y557" s="35"/>
      <c r="Z557" s="35"/>
      <c r="AA557" s="42" t="s">
        <v>178</v>
      </c>
      <c r="AB557" s="42" t="str">
        <f t="shared" si="250"/>
        <v/>
      </c>
      <c r="AC557" s="48" t="str">
        <f t="shared" si="251"/>
        <v/>
      </c>
      <c r="AD557" s="42" t="str">
        <f t="shared" si="243"/>
        <v/>
      </c>
      <c r="AE557" s="36"/>
      <c r="AF557" s="36"/>
      <c r="AG557" s="36"/>
      <c r="AH557" s="35" t="s">
        <v>178</v>
      </c>
      <c r="AJ557" s="65"/>
      <c r="AK557" s="36"/>
      <c r="AL557" s="35"/>
    </row>
    <row r="558" s="25" customFormat="1" hidden="1" customHeight="1" spans="1:38">
      <c r="A558" s="48">
        <v>5506101</v>
      </c>
      <c r="B558" s="35" t="s">
        <v>584</v>
      </c>
      <c r="C558" s="48" t="str">
        <f t="shared" si="246"/>
        <v>5506101</v>
      </c>
      <c r="D558" s="42">
        <f t="shared" si="247"/>
        <v>1</v>
      </c>
      <c r="E558" s="42"/>
      <c r="F558" s="36" t="s">
        <v>348</v>
      </c>
      <c r="G558" s="36" t="str">
        <f t="shared" si="239"/>
        <v/>
      </c>
      <c r="H558" s="36" t="str">
        <f>IFERROR(IF(--MID($F558,2*COUNTIF($G558:G558,"&gt;"&amp;0)+2,1)=H$1,H$1,""),"")</f>
        <v/>
      </c>
      <c r="I558" s="36">
        <f>IFERROR(IF(--MID($F558,2*COUNTIF($G558:H558,"&gt;"&amp;0)+2,1)=I$1,I$1,""),"")</f>
        <v>3</v>
      </c>
      <c r="J558" s="36" t="str">
        <f>IFERROR(IF(--MID($F558,2*COUNTIF($G558:I558,"&gt;"&amp;0)+2,1)=J$1,J$1,""),"")</f>
        <v/>
      </c>
      <c r="K558" s="36" t="str">
        <f>IFERROR(IF(--MID($F558,2*COUNTIF($G558:J558,"&gt;"&amp;0)+2,1)=K$1,K$1,""),"")</f>
        <v/>
      </c>
      <c r="L558" s="36">
        <f>IFERROR(IF(--MID($F558,2*COUNTIF($G558:K558,"&gt;"&amp;0)+2,1)=L$1,L$1,""),"")</f>
        <v>6</v>
      </c>
      <c r="M558" s="36" t="e" cm="1">
        <f t="array" ref="M558">IF(A558="","",_xlfn.XLOOKUP(D558&amp;"_"&amp;AE558,符文权重!A:A&amp;"_"&amp;符文权重!C:C,符文权重!D:D))</f>
        <v>#N/A</v>
      </c>
      <c r="N558" s="36"/>
      <c r="O558" s="36"/>
      <c r="P558" s="36"/>
      <c r="Q558" s="36"/>
      <c r="R558" s="36"/>
      <c r="S558" s="36" t="s">
        <v>192</v>
      </c>
      <c r="T558" s="36" t="s">
        <v>220</v>
      </c>
      <c r="U558" s="36" t="e">
        <f>IF(C558="","",SUBSTITUTE(SUBSTITUTE("[{global_atk,"&amp;#REF!*D558&amp;"}]",21,20),9,8))</f>
        <v>#REF!</v>
      </c>
      <c r="V558" s="52"/>
      <c r="W558" s="36"/>
      <c r="X558" s="35"/>
      <c r="Y558" s="35">
        <v>100</v>
      </c>
      <c r="Z558" s="35"/>
      <c r="AA558" s="42" t="s">
        <v>177</v>
      </c>
      <c r="AB558" s="42" t="str">
        <f t="shared" si="250"/>
        <v>负面伤害享受&lt;color=#54b76b&gt;0%&lt;/color&gt;暴击几率加成</v>
      </c>
      <c r="AC558" s="48" t="str">
        <f t="shared" si="251"/>
        <v>5506101</v>
      </c>
      <c r="AD558" s="42" t="str">
        <f t="shared" si="243"/>
        <v>[0]</v>
      </c>
      <c r="AE558" s="36">
        <v>100</v>
      </c>
      <c r="AF558" s="36"/>
      <c r="AG558" s="36">
        <v>1</v>
      </c>
      <c r="AH558" s="35">
        <v>1</v>
      </c>
      <c r="AI558" s="33">
        <v>5506101</v>
      </c>
      <c r="AJ558" s="74" t="s">
        <v>585</v>
      </c>
      <c r="AK558" s="36">
        <v>0</v>
      </c>
      <c r="AL558" s="35">
        <v>6</v>
      </c>
    </row>
    <row r="559" hidden="1" customHeight="1" spans="1:38">
      <c r="A559" s="48">
        <v>5506102</v>
      </c>
      <c r="C559" s="48" t="str">
        <f t="shared" si="246"/>
        <v>5506101</v>
      </c>
      <c r="D559" s="42">
        <f t="shared" si="247"/>
        <v>2</v>
      </c>
      <c r="E559" s="42"/>
      <c r="F559" s="36" t="s">
        <v>348</v>
      </c>
      <c r="G559" s="36" t="str">
        <f t="shared" si="239"/>
        <v/>
      </c>
      <c r="H559" s="36" t="str">
        <f>IFERROR(IF(--MID($F559,2*COUNTIF($G559:G559,"&gt;"&amp;0)+2,1)=H$1,H$1,""),"")</f>
        <v/>
      </c>
      <c r="I559" s="36">
        <f>IFERROR(IF(--MID($F559,2*COUNTIF($G559:H559,"&gt;"&amp;0)+2,1)=I$1,I$1,""),"")</f>
        <v>3</v>
      </c>
      <c r="J559" s="36" t="str">
        <f>IFERROR(IF(--MID($F559,2*COUNTIF($G559:I559,"&gt;"&amp;0)+2,1)=J$1,J$1,""),"")</f>
        <v/>
      </c>
      <c r="K559" s="36" t="str">
        <f>IFERROR(IF(--MID($F559,2*COUNTIF($G559:J559,"&gt;"&amp;0)+2,1)=K$1,K$1,""),"")</f>
        <v/>
      </c>
      <c r="L559" s="36">
        <f>IFERROR(IF(--MID($F559,2*COUNTIF($G559:K559,"&gt;"&amp;0)+2,1)=L$1,L$1,""),"")</f>
        <v>6</v>
      </c>
      <c r="M559" s="36" t="e" cm="1">
        <f t="array" ref="M559">IF(A559="","",_xlfn.XLOOKUP(D559&amp;"_"&amp;AE559,符文权重!A:A&amp;"_"&amp;符文权重!C:C,符文权重!D:D))</f>
        <v>#N/A</v>
      </c>
      <c r="N559" s="36"/>
      <c r="O559" s="36"/>
      <c r="P559" s="36"/>
      <c r="Q559" s="36"/>
      <c r="R559" s="36"/>
      <c r="S559" s="36" t="s">
        <v>192</v>
      </c>
      <c r="T559" s="36" t="s">
        <v>220</v>
      </c>
      <c r="U559" s="36" t="e">
        <f>IF(C559="","",SUBSTITUTE(SUBSTITUTE("[{global_atk,"&amp;#REF!*D559&amp;"}]",21,20),9,8))</f>
        <v>#REF!</v>
      </c>
      <c r="V559" s="52"/>
      <c r="Y559" s="35">
        <v>100</v>
      </c>
      <c r="AA559" s="42" t="s">
        <v>181</v>
      </c>
      <c r="AB559" s="42" t="str">
        <f t="shared" si="250"/>
        <v>负面伤害享受&lt;color=#54b76b&gt;0%&lt;/color&gt;暴击几率加成</v>
      </c>
      <c r="AC559" s="48" t="str">
        <f t="shared" si="251"/>
        <v>5506101</v>
      </c>
      <c r="AD559" s="42" t="str">
        <f t="shared" si="243"/>
        <v>[0]</v>
      </c>
      <c r="AE559" s="36">
        <v>100</v>
      </c>
      <c r="AF559" s="36"/>
      <c r="AG559" s="36">
        <v>1</v>
      </c>
      <c r="AH559" s="35">
        <v>1</v>
      </c>
      <c r="AI559" s="48">
        <f t="shared" ref="AI559:AI564" si="258">AI558+1</f>
        <v>5506102</v>
      </c>
      <c r="AJ559" s="53" t="str">
        <f t="shared" ref="AJ559:AJ564" si="259">AJ558</f>
        <v>负面伤害享受&lt;color=#54b76b&gt;%s%&lt;/color&gt;暴击几率加成</v>
      </c>
      <c r="AK559" s="36">
        <v>0</v>
      </c>
      <c r="AL559" s="35">
        <v>6</v>
      </c>
    </row>
    <row r="560" hidden="1" customHeight="1" spans="1:38">
      <c r="A560" s="48">
        <v>5506103</v>
      </c>
      <c r="C560" s="48" t="str">
        <f t="shared" si="246"/>
        <v>5506101</v>
      </c>
      <c r="D560" s="42">
        <f t="shared" si="247"/>
        <v>3</v>
      </c>
      <c r="E560" s="42"/>
      <c r="F560" s="36" t="s">
        <v>348</v>
      </c>
      <c r="G560" s="36" t="str">
        <f t="shared" si="239"/>
        <v/>
      </c>
      <c r="H560" s="36" t="str">
        <f>IFERROR(IF(--MID($F560,2*COUNTIF($G560:G560,"&gt;"&amp;0)+2,1)=H$1,H$1,""),"")</f>
        <v/>
      </c>
      <c r="I560" s="36">
        <f>IFERROR(IF(--MID($F560,2*COUNTIF($G560:H560,"&gt;"&amp;0)+2,1)=I$1,I$1,""),"")</f>
        <v>3</v>
      </c>
      <c r="J560" s="36" t="str">
        <f>IFERROR(IF(--MID($F560,2*COUNTIF($G560:I560,"&gt;"&amp;0)+2,1)=J$1,J$1,""),"")</f>
        <v/>
      </c>
      <c r="K560" s="36" t="str">
        <f>IFERROR(IF(--MID($F560,2*COUNTIF($G560:J560,"&gt;"&amp;0)+2,1)=K$1,K$1,""),"")</f>
        <v/>
      </c>
      <c r="L560" s="36">
        <f>IFERROR(IF(--MID($F560,2*COUNTIF($G560:K560,"&gt;"&amp;0)+2,1)=L$1,L$1,""),"")</f>
        <v>6</v>
      </c>
      <c r="M560" s="36" t="e" cm="1">
        <f t="array" ref="M560">IF(A560="","",_xlfn.XLOOKUP(D560&amp;"_"&amp;AE560,符文权重!A:A&amp;"_"&amp;符文权重!C:C,符文权重!D:D))</f>
        <v>#N/A</v>
      </c>
      <c r="N560" s="36"/>
      <c r="O560" s="36"/>
      <c r="P560" s="36"/>
      <c r="Q560" s="36"/>
      <c r="R560" s="36"/>
      <c r="S560" s="36" t="s">
        <v>192</v>
      </c>
      <c r="T560" s="36" t="s">
        <v>220</v>
      </c>
      <c r="U560" s="36" t="e">
        <f>IF(C560="","",SUBSTITUTE(SUBSTITUTE("[{global_atk,"&amp;#REF!*D560&amp;"}]",21,20),9,8))</f>
        <v>#REF!</v>
      </c>
      <c r="V560" s="52"/>
      <c r="Y560" s="35">
        <v>100</v>
      </c>
      <c r="AA560" s="42" t="s">
        <v>183</v>
      </c>
      <c r="AB560" s="42" t="str">
        <f t="shared" si="250"/>
        <v>负面伤害享受&lt;color=#54b76b&gt;0%&lt;/color&gt;暴击几率加成</v>
      </c>
      <c r="AC560" s="48" t="str">
        <f t="shared" si="251"/>
        <v>5506101</v>
      </c>
      <c r="AD560" s="42" t="str">
        <f t="shared" si="243"/>
        <v>[0]</v>
      </c>
      <c r="AE560" s="36">
        <v>100</v>
      </c>
      <c r="AF560" s="36"/>
      <c r="AG560" s="36">
        <v>1</v>
      </c>
      <c r="AH560" s="35">
        <v>1</v>
      </c>
      <c r="AI560" s="48">
        <f t="shared" si="258"/>
        <v>5506103</v>
      </c>
      <c r="AJ560" s="53" t="str">
        <f t="shared" si="259"/>
        <v>负面伤害享受&lt;color=#54b76b&gt;%s%&lt;/color&gt;暴击几率加成</v>
      </c>
      <c r="AK560" s="36">
        <v>0</v>
      </c>
      <c r="AL560" s="35">
        <v>6</v>
      </c>
    </row>
    <row r="561" hidden="1" customHeight="1" spans="1:38">
      <c r="A561" s="48">
        <v>5506104</v>
      </c>
      <c r="C561" s="48" t="str">
        <f t="shared" si="246"/>
        <v>5506101</v>
      </c>
      <c r="D561" s="42">
        <f t="shared" si="247"/>
        <v>4</v>
      </c>
      <c r="E561" s="42"/>
      <c r="F561" s="36" t="s">
        <v>348</v>
      </c>
      <c r="G561" s="36" t="str">
        <f t="shared" si="239"/>
        <v/>
      </c>
      <c r="H561" s="36" t="str">
        <f>IFERROR(IF(--MID($F561,2*COUNTIF($G561:G561,"&gt;"&amp;0)+2,1)=H$1,H$1,""),"")</f>
        <v/>
      </c>
      <c r="I561" s="36">
        <f>IFERROR(IF(--MID($F561,2*COUNTIF($G561:H561,"&gt;"&amp;0)+2,1)=I$1,I$1,""),"")</f>
        <v>3</v>
      </c>
      <c r="J561" s="36" t="str">
        <f>IFERROR(IF(--MID($F561,2*COUNTIF($G561:I561,"&gt;"&amp;0)+2,1)=J$1,J$1,""),"")</f>
        <v/>
      </c>
      <c r="K561" s="36" t="str">
        <f>IFERROR(IF(--MID($F561,2*COUNTIF($G561:J561,"&gt;"&amp;0)+2,1)=K$1,K$1,""),"")</f>
        <v/>
      </c>
      <c r="L561" s="36">
        <f>IFERROR(IF(--MID($F561,2*COUNTIF($G561:K561,"&gt;"&amp;0)+2,1)=L$1,L$1,""),"")</f>
        <v>6</v>
      </c>
      <c r="M561" s="51" t="str" cm="1">
        <f t="array" ref="M561">IF($A561="","",IF(G561="","",_xlfn.XLOOKUP($D561&amp;"_"&amp;$AE561,符文权重!$A:$A&amp;"_"&amp;符文权重!$C:$C,符文权重!$D:$D)*$Y561/SUMIFS($Y:$Y,G:G,G561,$D:$D,$D561,$AE:$AE,$AE561)/SUMIF(符文权重!$A:$A,$D561,符文权重!$D:$D)))</f>
        <v/>
      </c>
      <c r="N561" s="51" t="str" cm="1">
        <f t="array" ref="N561">IF($A561="","",IF(H561="","",_xlfn.XLOOKUP($D561&amp;"_"&amp;$AE561,符文权重!$A:$A&amp;"_"&amp;符文权重!$C:$C,符文权重!$D:$D)*$Y561/SUMIFS($Y:$Y,H:H,H561,$D:$D,$D561,$AE:$AE,$AE561)/SUMIF(符文权重!$A:$A,$D561,符文权重!$D:$D)))</f>
        <v/>
      </c>
      <c r="O561" s="51" cm="1">
        <f t="array" ref="O561">IF($A561="","",IF(I561="","",_xlfn.XLOOKUP($D561&amp;"_"&amp;$AE561,符文权重!$A:$A&amp;"_"&amp;符文权重!$C:$C,符文权重!$D:$D)*$Y561/SUMIFS($Y:$Y,I:I,I561,$D:$D,$D561,$AE:$AE,$AE561)/SUMIF(符文权重!$A:$A,$D561,符文权重!$D:$D)))</f>
        <v>0.0022977522977523</v>
      </c>
      <c r="P561" s="51" t="str" cm="1">
        <f t="array" ref="P561">IF($A561="","",IF(J561="","",_xlfn.XLOOKUP($D561&amp;"_"&amp;$AE561,符文权重!$A:$A&amp;"_"&amp;符文权重!$C:$C,符文权重!$D:$D)*$Y561/SUMIFS($Y:$Y,J:J,J561,$D:$D,$D561,$AE:$AE,$AE561)/SUMIF(符文权重!$A:$A,$D561,符文权重!$D:$D)))</f>
        <v/>
      </c>
      <c r="Q561" s="51" t="str" cm="1">
        <f t="array" ref="Q561">IF($A561="","",IF(K561="","",_xlfn.XLOOKUP($D561&amp;"_"&amp;$AE561,符文权重!$A:$A&amp;"_"&amp;符文权重!$C:$C,符文权重!$D:$D)*$Y561/SUMIFS($Y:$Y,K:K,K561,$D:$D,$D561,$AE:$AE,$AE561)/SUMIF(符文权重!$A:$A,$D561,符文权重!$D:$D)))</f>
        <v/>
      </c>
      <c r="R561" s="51" cm="1">
        <f t="array" ref="R561">IF($A561="","",IF(L561="","",_xlfn.XLOOKUP($D561&amp;"_"&amp;$AE561,符文权重!$A:$A&amp;"_"&amp;符文权重!$C:$C,符文权重!$D:$D)*$Y561/SUMIFS($Y:$Y,L:L,L561,$D:$D,$D561,$AE:$AE,$AE561)/SUMIF(符文权重!$A:$A,$D561,符文权重!$D:$D)))</f>
        <v>0.00297356179709121</v>
      </c>
      <c r="S561" s="36" t="s">
        <v>192</v>
      </c>
      <c r="T561" s="36" t="s">
        <v>220</v>
      </c>
      <c r="U561" s="36" t="e">
        <f>IF(C561="","",SUBSTITUTE(SUBSTITUTE("[{global_atk,"&amp;#REF!*D561&amp;"}]",21,20),9,8))</f>
        <v>#REF!</v>
      </c>
      <c r="V561" s="52"/>
      <c r="W561" s="36" t="s">
        <v>586</v>
      </c>
      <c r="Y561" s="35">
        <v>20</v>
      </c>
      <c r="AA561" s="42" t="s">
        <v>185</v>
      </c>
      <c r="AB561" s="42" t="str">
        <f t="shared" si="250"/>
        <v>负面伤害享受&lt;color=#54b76b&gt;10%&lt;/color&gt;暴击几率加成</v>
      </c>
      <c r="AC561" s="48" t="str">
        <f t="shared" si="251"/>
        <v>5506101</v>
      </c>
      <c r="AD561" s="42" t="str">
        <f t="shared" si="243"/>
        <v>[10]</v>
      </c>
      <c r="AE561" s="36">
        <v>4</v>
      </c>
      <c r="AF561" s="36"/>
      <c r="AG561" s="36">
        <v>0</v>
      </c>
      <c r="AH561" s="35">
        <v>1</v>
      </c>
      <c r="AI561" s="48">
        <f t="shared" si="258"/>
        <v>5506104</v>
      </c>
      <c r="AJ561" s="53" t="str">
        <f t="shared" si="259"/>
        <v>负面伤害享受&lt;color=#54b76b&gt;%s%&lt;/color&gt;暴击几率加成</v>
      </c>
      <c r="AK561" s="36">
        <v>10</v>
      </c>
      <c r="AL561" s="35">
        <v>6</v>
      </c>
    </row>
    <row r="562" customHeight="1" spans="1:38">
      <c r="A562" s="48">
        <v>5506105</v>
      </c>
      <c r="C562" s="48" t="str">
        <f t="shared" si="246"/>
        <v>5506101</v>
      </c>
      <c r="D562" s="42">
        <f t="shared" si="247"/>
        <v>5</v>
      </c>
      <c r="E562" s="42"/>
      <c r="F562" s="36" t="s">
        <v>348</v>
      </c>
      <c r="G562" s="36" t="str">
        <f t="shared" si="239"/>
        <v/>
      </c>
      <c r="H562" s="36" t="str">
        <f>IFERROR(IF(--MID($F562,2*COUNTIF($G562:G562,"&gt;"&amp;0)+2,1)=H$1,H$1,""),"")</f>
        <v/>
      </c>
      <c r="I562" s="36">
        <f>IFERROR(IF(--MID($F562,2*COUNTIF($G562:H562,"&gt;"&amp;0)+2,1)=I$1,I$1,""),"")</f>
        <v>3</v>
      </c>
      <c r="J562" s="36" t="str">
        <f>IFERROR(IF(--MID($F562,2*COUNTIF($G562:I562,"&gt;"&amp;0)+2,1)=J$1,J$1,""),"")</f>
        <v/>
      </c>
      <c r="K562" s="36" t="str">
        <f>IFERROR(IF(--MID($F562,2*COUNTIF($G562:J562,"&gt;"&amp;0)+2,1)=K$1,K$1,""),"")</f>
        <v/>
      </c>
      <c r="L562" s="36">
        <f>IFERROR(IF(--MID($F562,2*COUNTIF($G562:K562,"&gt;"&amp;0)+2,1)=L$1,L$1,""),"")</f>
        <v>6</v>
      </c>
      <c r="M562" s="51" t="str" cm="1">
        <f t="array" ref="M562">IF($A562="","",IF(G562="","",_xlfn.XLOOKUP($D562&amp;"_"&amp;$AE562,符文权重!$A:$A&amp;"_"&amp;符文权重!$C:$C,符文权重!$D:$D)*$Y562/SUMIFS($Y:$Y,G:G,G562,$D:$D,$D562,$AE:$AE,$AE562)/SUMIF(符文权重!$A:$A,$D562,符文权重!$D:$D)))</f>
        <v/>
      </c>
      <c r="N562" s="51" t="str" cm="1">
        <f t="array" ref="N562">IF($A562="","",IF(H562="","",_xlfn.XLOOKUP($D562&amp;"_"&amp;$AE562,符文权重!$A:$A&amp;"_"&amp;符文权重!$C:$C,符文权重!$D:$D)*$Y562/SUMIFS($Y:$Y,H:H,H562,$D:$D,$D562,$AE:$AE,$AE562)/SUMIF(符文权重!$A:$A,$D562,符文权重!$D:$D)))</f>
        <v/>
      </c>
      <c r="O562" s="51" cm="1">
        <f t="array" ref="O562">IF($A562="","",IF(I562="","",_xlfn.XLOOKUP($D562&amp;"_"&amp;$AE562,符文权重!$A:$A&amp;"_"&amp;符文权重!$C:$C,符文权重!$D:$D)*$Y562/SUMIFS($Y:$Y,I:I,I562,$D:$D,$D562,$AE:$AE,$AE562)/SUMIF(符文权重!$A:$A,$D562,符文权重!$D:$D)))</f>
        <v>0.00300429184549356</v>
      </c>
      <c r="P562" s="51" t="str" cm="1">
        <f t="array" ref="P562">IF($A562="","",IF(J562="","",_xlfn.XLOOKUP($D562&amp;"_"&amp;$AE562,符文权重!$A:$A&amp;"_"&amp;符文权重!$C:$C,符文权重!$D:$D)*$Y562/SUMIFS($Y:$Y,J:J,J562,$D:$D,$D562,$AE:$AE,$AE562)/SUMIF(符文权重!$A:$A,$D562,符文权重!$D:$D)))</f>
        <v/>
      </c>
      <c r="Q562" s="51" t="str" cm="1">
        <f t="array" ref="Q562">IF($A562="","",IF(K562="","",_xlfn.XLOOKUP($D562&amp;"_"&amp;$AE562,符文权重!$A:$A&amp;"_"&amp;符文权重!$C:$C,符文权重!$D:$D)*$Y562/SUMIFS($Y:$Y,K:K,K562,$D:$D,$D562,$AE:$AE,$AE562)/SUMIF(符文权重!$A:$A,$D562,符文权重!$D:$D)))</f>
        <v/>
      </c>
      <c r="R562" s="51" cm="1">
        <f t="array" ref="R562">IF($A562="","",IF(L562="","",_xlfn.XLOOKUP($D562&amp;"_"&amp;$AE562,符文权重!$A:$A&amp;"_"&amp;符文权重!$C:$C,符文权重!$D:$D)*$Y562/SUMIFS($Y:$Y,L:L,L562,$D:$D,$D562,$AE:$AE,$AE562)/SUMIF(符文权重!$A:$A,$D562,符文权重!$D:$D)))</f>
        <v>0.00300429184549356</v>
      </c>
      <c r="S562" s="36" t="s">
        <v>192</v>
      </c>
      <c r="T562" s="36" t="s">
        <v>220</v>
      </c>
      <c r="U562" s="36" t="e">
        <f>IF(C562="","",SUBSTITUTE(SUBSTITUTE("[{global_atk,"&amp;#REF!*D562&amp;"}]",21,20),9,8))</f>
        <v>#REF!</v>
      </c>
      <c r="V562" s="52"/>
      <c r="W562" s="36" t="s">
        <v>587</v>
      </c>
      <c r="Y562" s="35">
        <v>100</v>
      </c>
      <c r="AA562" s="42" t="s">
        <v>187</v>
      </c>
      <c r="AB562" s="42" t="str">
        <f t="shared" si="250"/>
        <v>负面伤害享受&lt;color=#54b76b&gt;20%&lt;/color&gt;暴击几率加成</v>
      </c>
      <c r="AC562" s="48" t="str">
        <f t="shared" si="251"/>
        <v>5506101</v>
      </c>
      <c r="AD562" s="42" t="str">
        <f t="shared" si="243"/>
        <v>[20]</v>
      </c>
      <c r="AE562" s="36">
        <v>6</v>
      </c>
      <c r="AF562" s="36"/>
      <c r="AG562" s="36">
        <v>0</v>
      </c>
      <c r="AH562" s="35">
        <v>1</v>
      </c>
      <c r="AI562" s="48">
        <f t="shared" si="258"/>
        <v>5506105</v>
      </c>
      <c r="AJ562" s="53" t="str">
        <f t="shared" si="259"/>
        <v>负面伤害享受&lt;color=#54b76b&gt;%s%&lt;/color&gt;暴击几率加成</v>
      </c>
      <c r="AK562" s="36">
        <v>20</v>
      </c>
      <c r="AL562" s="35">
        <v>6</v>
      </c>
    </row>
    <row r="563" customHeight="1" spans="1:38">
      <c r="A563" s="48">
        <v>5506106</v>
      </c>
      <c r="C563" s="48" t="str">
        <f t="shared" si="246"/>
        <v>5506101</v>
      </c>
      <c r="D563" s="42">
        <f t="shared" si="247"/>
        <v>6</v>
      </c>
      <c r="E563" s="42"/>
      <c r="F563" s="36" t="s">
        <v>348</v>
      </c>
      <c r="G563" s="36" t="str">
        <f t="shared" si="239"/>
        <v/>
      </c>
      <c r="H563" s="36" t="str">
        <f>IFERROR(IF(--MID($F563,2*COUNTIF($G563:G563,"&gt;"&amp;0)+2,1)=H$1,H$1,""),"")</f>
        <v/>
      </c>
      <c r="I563" s="36">
        <f>IFERROR(IF(--MID($F563,2*COUNTIF($G563:H563,"&gt;"&amp;0)+2,1)=I$1,I$1,""),"")</f>
        <v>3</v>
      </c>
      <c r="J563" s="36" t="str">
        <f>IFERROR(IF(--MID($F563,2*COUNTIF($G563:I563,"&gt;"&amp;0)+2,1)=J$1,J$1,""),"")</f>
        <v/>
      </c>
      <c r="K563" s="36" t="str">
        <f>IFERROR(IF(--MID($F563,2*COUNTIF($G563:J563,"&gt;"&amp;0)+2,1)=K$1,K$1,""),"")</f>
        <v/>
      </c>
      <c r="L563" s="36">
        <f>IFERROR(IF(--MID($F563,2*COUNTIF($G563:K563,"&gt;"&amp;0)+2,1)=L$1,L$1,""),"")</f>
        <v>6</v>
      </c>
      <c r="M563" s="51" t="str" cm="1">
        <f t="array" ref="M563">IF($A563="","",IF(G563="","",_xlfn.XLOOKUP($D563&amp;"_"&amp;$AE563,符文权重!$A:$A&amp;"_"&amp;符文权重!$C:$C,符文权重!$D:$D)*$Y563/SUMIFS($Y:$Y,G:G,G563,$D:$D,$D563,$AE:$AE,$AE563)/SUMIF(符文权重!$A:$A,$D563,符文权重!$D:$D)))</f>
        <v/>
      </c>
      <c r="N563" s="51" t="str" cm="1">
        <f t="array" ref="N563">IF($A563="","",IF(H563="","",_xlfn.XLOOKUP($D563&amp;"_"&amp;$AE563,符文权重!$A:$A&amp;"_"&amp;符文权重!$C:$C,符文权重!$D:$D)*$Y563/SUMIFS($Y:$Y,H:H,H563,$D:$D,$D563,$AE:$AE,$AE563)/SUMIF(符文权重!$A:$A,$D563,符文权重!$D:$D)))</f>
        <v/>
      </c>
      <c r="O563" s="51" cm="1">
        <f t="array" ref="O563">IF($A563="","",IF(I563="","",_xlfn.XLOOKUP($D563&amp;"_"&amp;$AE563,符文权重!$A:$A&amp;"_"&amp;符文权重!$C:$C,符文权重!$D:$D)*$Y563/SUMIFS($Y:$Y,I:I,I563,$D:$D,$D563,$AE:$AE,$AE563)/SUMIF(符文权重!$A:$A,$D563,符文权重!$D:$D)))</f>
        <v>0.00300429184549356</v>
      </c>
      <c r="P563" s="51" t="str" cm="1">
        <f t="array" ref="P563">IF($A563="","",IF(J563="","",_xlfn.XLOOKUP($D563&amp;"_"&amp;$AE563,符文权重!$A:$A&amp;"_"&amp;符文权重!$C:$C,符文权重!$D:$D)*$Y563/SUMIFS($Y:$Y,J:J,J563,$D:$D,$D563,$AE:$AE,$AE563)/SUMIF(符文权重!$A:$A,$D563,符文权重!$D:$D)))</f>
        <v/>
      </c>
      <c r="Q563" s="51" t="str" cm="1">
        <f t="array" ref="Q563">IF($A563="","",IF(K563="","",_xlfn.XLOOKUP($D563&amp;"_"&amp;$AE563,符文权重!$A:$A&amp;"_"&amp;符文权重!$C:$C,符文权重!$D:$D)*$Y563/SUMIFS($Y:$Y,K:K,K563,$D:$D,$D563,$AE:$AE,$AE563)/SUMIF(符文权重!$A:$A,$D563,符文权重!$D:$D)))</f>
        <v/>
      </c>
      <c r="R563" s="51" cm="1">
        <f t="array" ref="R563">IF($A563="","",IF(L563="","",_xlfn.XLOOKUP($D563&amp;"_"&amp;$AE563,符文权重!$A:$A&amp;"_"&amp;符文权重!$C:$C,符文权重!$D:$D)*$Y563/SUMIFS($Y:$Y,L:L,L563,$D:$D,$D563,$AE:$AE,$AE563)/SUMIF(符文权重!$A:$A,$D563,符文权重!$D:$D)))</f>
        <v>0.00300429184549356</v>
      </c>
      <c r="S563" s="36" t="s">
        <v>192</v>
      </c>
      <c r="T563" s="36" t="s">
        <v>220</v>
      </c>
      <c r="U563" s="36" t="e">
        <f>IF(C563="","",SUBSTITUTE(SUBSTITUTE("[{global_atk,"&amp;#REF!*D563&amp;"}]",21,20),9,8))</f>
        <v>#REF!</v>
      </c>
      <c r="V563" s="52"/>
      <c r="W563" s="36" t="s">
        <v>588</v>
      </c>
      <c r="Y563" s="35">
        <v>100</v>
      </c>
      <c r="AA563" s="42" t="s">
        <v>189</v>
      </c>
      <c r="AB563" s="42" t="str">
        <f t="shared" si="250"/>
        <v>负面伤害享受&lt;color=#54b76b&gt;25%&lt;/color&gt;暴击几率加成</v>
      </c>
      <c r="AC563" s="48" t="str">
        <f t="shared" si="251"/>
        <v>5506101</v>
      </c>
      <c r="AD563" s="42" t="str">
        <f t="shared" si="243"/>
        <v>[25]</v>
      </c>
      <c r="AE563" s="36">
        <v>6</v>
      </c>
      <c r="AF563" s="36"/>
      <c r="AG563" s="36">
        <v>0</v>
      </c>
      <c r="AH563" s="35">
        <v>1</v>
      </c>
      <c r="AI563" s="48">
        <f t="shared" si="258"/>
        <v>5506106</v>
      </c>
      <c r="AJ563" s="53" t="str">
        <f t="shared" si="259"/>
        <v>负面伤害享受&lt;color=#54b76b&gt;%s%&lt;/color&gt;暴击几率加成</v>
      </c>
      <c r="AK563" s="36">
        <v>25</v>
      </c>
      <c r="AL563" s="35">
        <v>6</v>
      </c>
    </row>
    <row r="564" customHeight="1" spans="1:38">
      <c r="A564" s="48">
        <v>5506107</v>
      </c>
      <c r="C564" s="48" t="str">
        <f t="shared" si="246"/>
        <v>5506101</v>
      </c>
      <c r="D564" s="42">
        <f t="shared" si="247"/>
        <v>7</v>
      </c>
      <c r="E564" s="42"/>
      <c r="F564" s="36" t="s">
        <v>348</v>
      </c>
      <c r="G564" s="36" t="str">
        <f t="shared" si="239"/>
        <v/>
      </c>
      <c r="H564" s="36" t="str">
        <f>IFERROR(IF(--MID($F564,2*COUNTIF($G564:G564,"&gt;"&amp;0)+2,1)=H$1,H$1,""),"")</f>
        <v/>
      </c>
      <c r="I564" s="36">
        <f>IFERROR(IF(--MID($F564,2*COUNTIF($G564:H564,"&gt;"&amp;0)+2,1)=I$1,I$1,""),"")</f>
        <v>3</v>
      </c>
      <c r="J564" s="36" t="str">
        <f>IFERROR(IF(--MID($F564,2*COUNTIF($G564:I564,"&gt;"&amp;0)+2,1)=J$1,J$1,""),"")</f>
        <v/>
      </c>
      <c r="K564" s="36" t="str">
        <f>IFERROR(IF(--MID($F564,2*COUNTIF($G564:J564,"&gt;"&amp;0)+2,1)=K$1,K$1,""),"")</f>
        <v/>
      </c>
      <c r="L564" s="36">
        <f>IFERROR(IF(--MID($F564,2*COUNTIF($G564:K564,"&gt;"&amp;0)+2,1)=L$1,L$1,""),"")</f>
        <v>6</v>
      </c>
      <c r="M564" s="51" t="str" cm="1">
        <f t="array" ref="M564">IF($A564="","",IF(G564="","",_xlfn.XLOOKUP($D564&amp;"_"&amp;$AE564,符文权重!$A:$A&amp;"_"&amp;符文权重!$C:$C,符文权重!$D:$D)*$Y564/SUMIFS($Y:$Y,G:G,G564,$D:$D,$D564,$AE:$AE,$AE564)/SUMIF(符文权重!$A:$A,$D564,符文权重!$D:$D)))</f>
        <v/>
      </c>
      <c r="N564" s="51" t="str" cm="1">
        <f t="array" ref="N564">IF($A564="","",IF(H564="","",_xlfn.XLOOKUP($D564&amp;"_"&amp;$AE564,符文权重!$A:$A&amp;"_"&amp;符文权重!$C:$C,符文权重!$D:$D)*$Y564/SUMIFS($Y:$Y,H:H,H564,$D:$D,$D564,$AE:$AE,$AE564)/SUMIF(符文权重!$A:$A,$D564,符文权重!$D:$D)))</f>
        <v/>
      </c>
      <c r="O564" s="51" cm="1">
        <f t="array" ref="O564">IF($A564="","",IF(I564="","",_xlfn.XLOOKUP($D564&amp;"_"&amp;$AE564,符文权重!$A:$A&amp;"_"&amp;符文权重!$C:$C,符文权重!$D:$D)*$Y564/SUMIFS($Y:$Y,I:I,I564,$D:$D,$D564,$AE:$AE,$AE564)/SUMIF(符文权重!$A:$A,$D564,符文权重!$D:$D)))</f>
        <v>0.00300429184549356</v>
      </c>
      <c r="P564" s="51" t="str" cm="1">
        <f t="array" ref="P564">IF($A564="","",IF(J564="","",_xlfn.XLOOKUP($D564&amp;"_"&amp;$AE564,符文权重!$A:$A&amp;"_"&amp;符文权重!$C:$C,符文权重!$D:$D)*$Y564/SUMIFS($Y:$Y,J:J,J564,$D:$D,$D564,$AE:$AE,$AE564)/SUMIF(符文权重!$A:$A,$D564,符文权重!$D:$D)))</f>
        <v/>
      </c>
      <c r="Q564" s="51" t="str" cm="1">
        <f t="array" ref="Q564">IF($A564="","",IF(K564="","",_xlfn.XLOOKUP($D564&amp;"_"&amp;$AE564,符文权重!$A:$A&amp;"_"&amp;符文权重!$C:$C,符文权重!$D:$D)*$Y564/SUMIFS($Y:$Y,K:K,K564,$D:$D,$D564,$AE:$AE,$AE564)/SUMIF(符文权重!$A:$A,$D564,符文权重!$D:$D)))</f>
        <v/>
      </c>
      <c r="R564" s="51" cm="1">
        <f t="array" ref="R564">IF($A564="","",IF(L564="","",_xlfn.XLOOKUP($D564&amp;"_"&amp;$AE564,符文权重!$A:$A&amp;"_"&amp;符文权重!$C:$C,符文权重!$D:$D)*$Y564/SUMIFS($Y:$Y,L:L,L564,$D:$D,$D564,$AE:$AE,$AE564)/SUMIF(符文权重!$A:$A,$D564,符文权重!$D:$D)))</f>
        <v>0.00300429184549356</v>
      </c>
      <c r="S564" s="36" t="s">
        <v>192</v>
      </c>
      <c r="T564" s="36" t="s">
        <v>220</v>
      </c>
      <c r="U564" s="36" t="e">
        <f>IF(C564="","",SUBSTITUTE(SUBSTITUTE("[{global_atk,"&amp;#REF!*D564&amp;"}]",21,20),9,8))</f>
        <v>#REF!</v>
      </c>
      <c r="V564" s="52"/>
      <c r="W564" s="36" t="s">
        <v>589</v>
      </c>
      <c r="Y564" s="35">
        <v>100</v>
      </c>
      <c r="AA564" s="42" t="s">
        <v>191</v>
      </c>
      <c r="AB564" s="42" t="str">
        <f t="shared" si="250"/>
        <v>负面伤害享受&lt;color=#54b76b&gt;35%&lt;/color&gt;暴击几率加成</v>
      </c>
      <c r="AC564" s="48" t="str">
        <f t="shared" si="251"/>
        <v>5506101</v>
      </c>
      <c r="AD564" s="42" t="str">
        <f t="shared" si="243"/>
        <v>[35]</v>
      </c>
      <c r="AE564" s="36">
        <v>6</v>
      </c>
      <c r="AF564" s="36"/>
      <c r="AG564" s="36">
        <v>0</v>
      </c>
      <c r="AH564" s="35">
        <v>1</v>
      </c>
      <c r="AI564" s="48">
        <f t="shared" si="258"/>
        <v>5506107</v>
      </c>
      <c r="AJ564" s="53" t="str">
        <f t="shared" si="259"/>
        <v>负面伤害享受&lt;color=#54b76b&gt;%s%&lt;/color&gt;暴击几率加成</v>
      </c>
      <c r="AK564" s="36">
        <v>35</v>
      </c>
      <c r="AL564" s="35">
        <v>6</v>
      </c>
    </row>
    <row r="565" s="25" customFormat="1" hidden="1" customHeight="1" spans="1:38">
      <c r="A565" s="48" t="s">
        <v>178</v>
      </c>
      <c r="C565" s="48" t="str">
        <f t="shared" si="246"/>
        <v/>
      </c>
      <c r="D565" s="42" t="str">
        <f t="shared" si="247"/>
        <v/>
      </c>
      <c r="E565" s="42"/>
      <c r="F565" s="36"/>
      <c r="G565" s="36" t="str">
        <f t="shared" si="239"/>
        <v/>
      </c>
      <c r="H565" s="36" t="str">
        <f>IFERROR(IF(--MID($F565,2*COUNTIF($G565:G565,"&gt;"&amp;0)+2,1)=H$1,H$1,""),"")</f>
        <v/>
      </c>
      <c r="I565" s="36" t="str">
        <f>IFERROR(IF(--MID($F565,2*COUNTIF($G565:H565,"&gt;"&amp;0)+2,1)=I$1,I$1,""),"")</f>
        <v/>
      </c>
      <c r="J565" s="36" t="str">
        <f>IFERROR(IF(--MID($F565,2*COUNTIF($G565:I565,"&gt;"&amp;0)+2,1)=J$1,J$1,""),"")</f>
        <v/>
      </c>
      <c r="K565" s="36" t="str">
        <f>IFERROR(IF(--MID($F565,2*COUNTIF($G565:J565,"&gt;"&amp;0)+2,1)=K$1,K$1,""),"")</f>
        <v/>
      </c>
      <c r="L565" s="36" t="str">
        <f>IFERROR(IF(--MID($F565,2*COUNTIF($G565:K565,"&gt;"&amp;0)+2,1)=L$1,L$1,""),"")</f>
        <v/>
      </c>
      <c r="M565" s="51" t="str" cm="1">
        <f t="array" ref="M565">IF($A565="","",IF(G565="","",_xlfn.XLOOKUP($D565&amp;"_"&amp;$AE565,符文权重!$A:$A&amp;"_"&amp;符文权重!$C:$C,符文权重!$D:$D)*$Y565/SUMIFS($Y:$Y,G:G,G565,$D:$D,$D565,$AE:$AE,$AE565)/SUMIF(符文权重!$A:$A,$D565,符文权重!$D:$D)))</f>
        <v/>
      </c>
      <c r="N565" s="36" t="str" cm="1">
        <f t="array" ref="N565">IF($A565="","",IF(H565="","",_xlfn.XLOOKUP($D565&amp;"_"&amp;$AE565,符文权重!$A:$A&amp;"_"&amp;符文权重!$C:$C,符文权重!$D:$D)*$Y565/SUMIFS($Y:$Y,H:H,H565,$D:$D,$D$6,$AE:$AE,$AE$6)))</f>
        <v/>
      </c>
      <c r="O565" s="36" t="str" cm="1">
        <f t="array" ref="O565">IF($A565="","",IF(I565="","",_xlfn.XLOOKUP($D565&amp;"_"&amp;$AE565,符文权重!$A:$A&amp;"_"&amp;符文权重!$C:$C,符文权重!$D:$D)*$Y565/SUMIFS($Y:$Y,I:I,I565,$D:$D,$D$6,$AE:$AE,$AE$6)))</f>
        <v/>
      </c>
      <c r="P565" s="36" t="str" cm="1">
        <f t="array" ref="P565">IF($A565="","",IF(J565="","",_xlfn.XLOOKUP($D565&amp;"_"&amp;$AE565,符文权重!$A:$A&amp;"_"&amp;符文权重!$C:$C,符文权重!$D:$D)*$Y565/SUMIFS($Y:$Y,J:J,J565,$D:$D,$D$6,$AE:$AE,$AE$6)))</f>
        <v/>
      </c>
      <c r="Q565" s="36" t="str" cm="1">
        <f t="array" ref="Q565">IF($A565="","",IF(K565="","",_xlfn.XLOOKUP($D565&amp;"_"&amp;$AE565,符文权重!$A:$A&amp;"_"&amp;符文权重!$C:$C,符文权重!$D:$D)*$Y565/SUMIFS($Y:$Y,K:K,K565,$D:$D,$D$6,$AE:$AE,$AE$6)))</f>
        <v/>
      </c>
      <c r="R565" s="36" t="str" cm="1">
        <f t="array" ref="R565">IF($A565="","",IF(L565="","",_xlfn.XLOOKUP($D565&amp;"_"&amp;$AE565,符文权重!$A:$A&amp;"_"&amp;符文权重!$C:$C,符文权重!$D:$D)*$Y565/SUMIFS($Y:$Y,L:L,L565,$D:$D,$D$6,$AE:$AE,$AE$6)))</f>
        <v/>
      </c>
      <c r="S565" s="36"/>
      <c r="T565" s="36"/>
      <c r="U565" s="36"/>
      <c r="W565" s="41"/>
      <c r="X565" s="35"/>
      <c r="Y565" s="35"/>
      <c r="Z565" s="35"/>
      <c r="AA565" s="42" t="s">
        <v>178</v>
      </c>
      <c r="AB565" s="42" t="str">
        <f t="shared" si="250"/>
        <v/>
      </c>
      <c r="AC565" s="48" t="str">
        <f t="shared" si="251"/>
        <v/>
      </c>
      <c r="AD565" s="42" t="str">
        <f t="shared" si="243"/>
        <v/>
      </c>
      <c r="AE565" s="36"/>
      <c r="AF565" s="36"/>
      <c r="AG565" s="36"/>
      <c r="AH565" s="35" t="s">
        <v>178</v>
      </c>
      <c r="AJ565" s="65"/>
      <c r="AK565" s="36"/>
      <c r="AL565" s="35"/>
    </row>
    <row r="566" s="27" customFormat="1" hidden="1" customHeight="1" spans="1:38">
      <c r="A566" s="57">
        <v>5506111</v>
      </c>
      <c r="B566" s="28" t="s">
        <v>590</v>
      </c>
      <c r="C566" s="57" t="str">
        <f t="shared" si="246"/>
        <v>5506111</v>
      </c>
      <c r="D566" s="59">
        <f t="shared" si="247"/>
        <v>1</v>
      </c>
      <c r="E566" s="59"/>
      <c r="F566" s="60" t="s">
        <v>174</v>
      </c>
      <c r="G566" s="36">
        <f t="shared" si="239"/>
        <v>1</v>
      </c>
      <c r="H566" s="36">
        <f>IFERROR(IF(--MID($F566,2*COUNTIF($G566:G566,"&gt;"&amp;0)+2,1)=H$1,H$1,""),"")</f>
        <v>2</v>
      </c>
      <c r="I566" s="36">
        <f>IFERROR(IF(--MID($F566,2*COUNTIF($G566:H566,"&gt;"&amp;0)+2,1)=I$1,I$1,""),"")</f>
        <v>3</v>
      </c>
      <c r="J566" s="36">
        <f>IFERROR(IF(--MID($F566,2*COUNTIF($G566:I566,"&gt;"&amp;0)+2,1)=J$1,J$1,""),"")</f>
        <v>4</v>
      </c>
      <c r="K566" s="36">
        <f>IFERROR(IF(--MID($F566,2*COUNTIF($G566:J566,"&gt;"&amp;0)+2,1)=K$1,K$1,""),"")</f>
        <v>5</v>
      </c>
      <c r="L566" s="36">
        <f>IFERROR(IF(--MID($F566,2*COUNTIF($G566:K566,"&gt;"&amp;0)+2,1)=L$1,L$1,""),"")</f>
        <v>6</v>
      </c>
      <c r="M566" s="36" t="e" cm="1">
        <f t="array" ref="M566">IF(A566="","",_xlfn.XLOOKUP(D566&amp;"_"&amp;AE566,符文权重!A:A&amp;"_"&amp;符文权重!C:C,符文权重!D:D))</f>
        <v>#N/A</v>
      </c>
      <c r="N566" s="36"/>
      <c r="O566" s="36"/>
      <c r="P566" s="36"/>
      <c r="Q566" s="36"/>
      <c r="R566" s="36"/>
      <c r="S566" s="60" t="s">
        <v>175</v>
      </c>
      <c r="T566" s="60"/>
      <c r="U566" s="60" t="e">
        <f>IF(C566="","",SUBSTITUTE(SUBSTITUTE("[{global_atk,"&amp;#REF!*D566&amp;"}]",21,20),9,8))</f>
        <v>#REF!</v>
      </c>
      <c r="V566" s="61" t="str">
        <f t="shared" ref="V566:V572" si="260">"["&amp;A566&amp;"]"</f>
        <v>[5506111]</v>
      </c>
      <c r="W566" s="60"/>
      <c r="X566" s="28"/>
      <c r="Y566" s="35">
        <v>100</v>
      </c>
      <c r="Z566" s="28"/>
      <c r="AA566" s="59" t="s">
        <v>177</v>
      </c>
      <c r="AB566" s="42" t="str">
        <f t="shared" si="250"/>
        <v>对负面状态的敌人造成暴击后, &lt;color=#54b76b&gt;0%&lt;/color&gt;概率使敌人所有负面状态持续时间+1s, 最多+3s. 直到敌人的移除所有负面状态</v>
      </c>
      <c r="AC566" s="57" t="str">
        <f t="shared" si="251"/>
        <v>5506111</v>
      </c>
      <c r="AD566" s="59" t="str">
        <f t="shared" si="243"/>
        <v>[0]</v>
      </c>
      <c r="AE566" s="60">
        <v>100</v>
      </c>
      <c r="AF566" s="60"/>
      <c r="AG566" s="60">
        <v>1</v>
      </c>
      <c r="AH566" s="28">
        <v>1</v>
      </c>
      <c r="AI566" s="62">
        <v>5506111</v>
      </c>
      <c r="AJ566" s="73" t="s">
        <v>590</v>
      </c>
      <c r="AK566" s="60">
        <v>0</v>
      </c>
      <c r="AL566" s="35"/>
    </row>
    <row r="567" s="28" customFormat="1" hidden="1" customHeight="1" spans="1:38">
      <c r="A567" s="57">
        <v>5506112</v>
      </c>
      <c r="B567" s="58"/>
      <c r="C567" s="57" t="str">
        <f t="shared" si="246"/>
        <v>5506111</v>
      </c>
      <c r="D567" s="59">
        <f t="shared" si="247"/>
        <v>2</v>
      </c>
      <c r="E567" s="59"/>
      <c r="F567" s="60" t="s">
        <v>174</v>
      </c>
      <c r="G567" s="36">
        <f t="shared" si="239"/>
        <v>1</v>
      </c>
      <c r="H567" s="36">
        <f>IFERROR(IF(--MID($F567,2*COUNTIF($G567:G567,"&gt;"&amp;0)+2,1)=H$1,H$1,""),"")</f>
        <v>2</v>
      </c>
      <c r="I567" s="36">
        <f>IFERROR(IF(--MID($F567,2*COUNTIF($G567:H567,"&gt;"&amp;0)+2,1)=I$1,I$1,""),"")</f>
        <v>3</v>
      </c>
      <c r="J567" s="36">
        <f>IFERROR(IF(--MID($F567,2*COUNTIF($G567:I567,"&gt;"&amp;0)+2,1)=J$1,J$1,""),"")</f>
        <v>4</v>
      </c>
      <c r="K567" s="36">
        <f>IFERROR(IF(--MID($F567,2*COUNTIF($G567:J567,"&gt;"&amp;0)+2,1)=K$1,K$1,""),"")</f>
        <v>5</v>
      </c>
      <c r="L567" s="36">
        <f>IFERROR(IF(--MID($F567,2*COUNTIF($G567:K567,"&gt;"&amp;0)+2,1)=L$1,L$1,""),"")</f>
        <v>6</v>
      </c>
      <c r="M567" s="36" t="e" cm="1">
        <f t="array" ref="M567">IF(A567="","",_xlfn.XLOOKUP(D567&amp;"_"&amp;AE567,符文权重!A:A&amp;"_"&amp;符文权重!C:C,符文权重!D:D))</f>
        <v>#N/A</v>
      </c>
      <c r="N567" s="36"/>
      <c r="O567" s="36"/>
      <c r="P567" s="36"/>
      <c r="Q567" s="36"/>
      <c r="R567" s="36"/>
      <c r="S567" s="60" t="s">
        <v>175</v>
      </c>
      <c r="T567" s="60"/>
      <c r="U567" s="60" t="e">
        <f>IF(C567="","",SUBSTITUTE(SUBSTITUTE("[{global_atk,"&amp;#REF!*D567&amp;"}]",21,20),9,8))</f>
        <v>#REF!</v>
      </c>
      <c r="V567" s="61" t="str">
        <f t="shared" si="260"/>
        <v>[5506112]</v>
      </c>
      <c r="W567" s="60"/>
      <c r="Y567" s="35">
        <v>100</v>
      </c>
      <c r="AA567" s="59" t="s">
        <v>181</v>
      </c>
      <c r="AB567" s="42" t="str">
        <f t="shared" si="250"/>
        <v>对负面状态的敌人造成暴击后, &lt;color=#54b76b&gt;0%&lt;/color&gt;概率使敌人所有负面状态持续时间+1s, 最多+3s. 直到敌人的移除所有负面状态</v>
      </c>
      <c r="AC567" s="57" t="str">
        <f t="shared" si="251"/>
        <v>5506111</v>
      </c>
      <c r="AD567" s="59" t="str">
        <f t="shared" si="243"/>
        <v>[0]</v>
      </c>
      <c r="AE567" s="60">
        <v>100</v>
      </c>
      <c r="AF567" s="60"/>
      <c r="AG567" s="60">
        <v>1</v>
      </c>
      <c r="AH567" s="28">
        <v>1</v>
      </c>
      <c r="AI567" s="57">
        <f t="shared" ref="AI567:AI572" si="261">AI566+1</f>
        <v>5506112</v>
      </c>
      <c r="AJ567" s="64" t="str">
        <f t="shared" ref="AJ567:AJ572" si="262">AJ566</f>
        <v>对负面状态的敌人造成暴击后, &lt;color=#54b76b&gt;%s%&lt;/color&gt;概率使敌人所有负面状态持续时间+1s, 最多+3s. 直到敌人的移除所有负面状态</v>
      </c>
      <c r="AK567" s="60">
        <v>0</v>
      </c>
      <c r="AL567" s="35"/>
    </row>
    <row r="568" s="28" customFormat="1" hidden="1" customHeight="1" spans="1:38">
      <c r="A568" s="57">
        <v>5506113</v>
      </c>
      <c r="B568" s="58"/>
      <c r="C568" s="57" t="str">
        <f t="shared" si="246"/>
        <v>5506111</v>
      </c>
      <c r="D568" s="59">
        <f t="shared" si="247"/>
        <v>3</v>
      </c>
      <c r="E568" s="59"/>
      <c r="F568" s="60" t="s">
        <v>174</v>
      </c>
      <c r="G568" s="36">
        <f t="shared" si="239"/>
        <v>1</v>
      </c>
      <c r="H568" s="36">
        <f>IFERROR(IF(--MID($F568,2*COUNTIF($G568:G568,"&gt;"&amp;0)+2,1)=H$1,H$1,""),"")</f>
        <v>2</v>
      </c>
      <c r="I568" s="36">
        <f>IFERROR(IF(--MID($F568,2*COUNTIF($G568:H568,"&gt;"&amp;0)+2,1)=I$1,I$1,""),"")</f>
        <v>3</v>
      </c>
      <c r="J568" s="36">
        <f>IFERROR(IF(--MID($F568,2*COUNTIF($G568:I568,"&gt;"&amp;0)+2,1)=J$1,J$1,""),"")</f>
        <v>4</v>
      </c>
      <c r="K568" s="36">
        <f>IFERROR(IF(--MID($F568,2*COUNTIF($G568:J568,"&gt;"&amp;0)+2,1)=K$1,K$1,""),"")</f>
        <v>5</v>
      </c>
      <c r="L568" s="36">
        <f>IFERROR(IF(--MID($F568,2*COUNTIF($G568:K568,"&gt;"&amp;0)+2,1)=L$1,L$1,""),"")</f>
        <v>6</v>
      </c>
      <c r="M568" s="36" t="e" cm="1">
        <f t="array" ref="M568">IF(A568="","",_xlfn.XLOOKUP(D568&amp;"_"&amp;AE568,符文权重!A:A&amp;"_"&amp;符文权重!C:C,符文权重!D:D))</f>
        <v>#N/A</v>
      </c>
      <c r="N568" s="36"/>
      <c r="O568" s="36"/>
      <c r="P568" s="36"/>
      <c r="Q568" s="36"/>
      <c r="R568" s="36"/>
      <c r="S568" s="60" t="s">
        <v>175</v>
      </c>
      <c r="T568" s="60"/>
      <c r="U568" s="60" t="e">
        <f>IF(C568="","",SUBSTITUTE(SUBSTITUTE("[{global_atk,"&amp;#REF!*D568&amp;"}]",21,20),9,8))</f>
        <v>#REF!</v>
      </c>
      <c r="V568" s="61" t="str">
        <f t="shared" si="260"/>
        <v>[5506113]</v>
      </c>
      <c r="W568" s="60"/>
      <c r="Y568" s="35">
        <v>100</v>
      </c>
      <c r="AA568" s="59" t="s">
        <v>183</v>
      </c>
      <c r="AB568" s="42" t="str">
        <f t="shared" si="250"/>
        <v>对负面状态的敌人造成暴击后, &lt;color=#54b76b&gt;0%&lt;/color&gt;概率使敌人所有负面状态持续时间+1s, 最多+3s. 直到敌人的移除所有负面状态</v>
      </c>
      <c r="AC568" s="57" t="str">
        <f t="shared" si="251"/>
        <v>5506111</v>
      </c>
      <c r="AD568" s="59" t="str">
        <f t="shared" si="243"/>
        <v>[0]</v>
      </c>
      <c r="AE568" s="60">
        <v>100</v>
      </c>
      <c r="AF568" s="60"/>
      <c r="AG568" s="60">
        <v>1</v>
      </c>
      <c r="AH568" s="28">
        <v>1</v>
      </c>
      <c r="AI568" s="57">
        <f t="shared" si="261"/>
        <v>5506113</v>
      </c>
      <c r="AJ568" s="64" t="str">
        <f t="shared" si="262"/>
        <v>对负面状态的敌人造成暴击后, &lt;color=#54b76b&gt;%s%&lt;/color&gt;概率使敌人所有负面状态持续时间+1s, 最多+3s. 直到敌人的移除所有负面状态</v>
      </c>
      <c r="AK568" s="60">
        <v>0</v>
      </c>
      <c r="AL568" s="35"/>
    </row>
    <row r="569" s="28" customFormat="1" hidden="1" customHeight="1" spans="1:38">
      <c r="A569" s="57">
        <v>5506114</v>
      </c>
      <c r="B569" s="58"/>
      <c r="C569" s="57" t="str">
        <f t="shared" si="246"/>
        <v>5506111</v>
      </c>
      <c r="D569" s="59">
        <f t="shared" si="247"/>
        <v>4</v>
      </c>
      <c r="E569" s="59"/>
      <c r="F569" s="60" t="s">
        <v>174</v>
      </c>
      <c r="G569" s="36">
        <f t="shared" si="239"/>
        <v>1</v>
      </c>
      <c r="H569" s="36">
        <f>IFERROR(IF(--MID($F569,2*COUNTIF($G569:G569,"&gt;"&amp;0)+2,1)=H$1,H$1,""),"")</f>
        <v>2</v>
      </c>
      <c r="I569" s="36">
        <f>IFERROR(IF(--MID($F569,2*COUNTIF($G569:H569,"&gt;"&amp;0)+2,1)=I$1,I$1,""),"")</f>
        <v>3</v>
      </c>
      <c r="J569" s="36">
        <f>IFERROR(IF(--MID($F569,2*COUNTIF($G569:I569,"&gt;"&amp;0)+2,1)=J$1,J$1,""),"")</f>
        <v>4</v>
      </c>
      <c r="K569" s="36">
        <f>IFERROR(IF(--MID($F569,2*COUNTIF($G569:J569,"&gt;"&amp;0)+2,1)=K$1,K$1,""),"")</f>
        <v>5</v>
      </c>
      <c r="L569" s="36">
        <f>IFERROR(IF(--MID($F569,2*COUNTIF($G569:K569,"&gt;"&amp;0)+2,1)=L$1,L$1,""),"")</f>
        <v>6</v>
      </c>
      <c r="M569" s="36" t="e" cm="1">
        <f t="array" ref="M569">IF(A569="","",_xlfn.XLOOKUP(D569&amp;"_"&amp;AE569,符文权重!A:A&amp;"_"&amp;符文权重!C:C,符文权重!D:D))</f>
        <v>#N/A</v>
      </c>
      <c r="N569" s="36"/>
      <c r="O569" s="36"/>
      <c r="P569" s="36"/>
      <c r="Q569" s="36"/>
      <c r="R569" s="36"/>
      <c r="S569" s="60" t="s">
        <v>175</v>
      </c>
      <c r="T569" s="60"/>
      <c r="U569" s="60" t="e">
        <f>IF(C569="","",SUBSTITUTE(SUBSTITUTE("[{global_atk,"&amp;#REF!*D569&amp;"}]",21,20),9,8))</f>
        <v>#REF!</v>
      </c>
      <c r="V569" s="61" t="str">
        <f t="shared" si="260"/>
        <v>[5506114]</v>
      </c>
      <c r="W569" s="60"/>
      <c r="Y569" s="35">
        <v>100</v>
      </c>
      <c r="AA569" s="59" t="s">
        <v>185</v>
      </c>
      <c r="AB569" s="42" t="str">
        <f t="shared" si="250"/>
        <v>对负面状态的敌人造成暴击后, &lt;color=#54b76b&gt;25%&lt;/color&gt;概率使敌人所有负面状态持续时间+1s, 最多+3s. 直到敌人的移除所有负面状态</v>
      </c>
      <c r="AC569" s="57" t="str">
        <f t="shared" si="251"/>
        <v>5506111</v>
      </c>
      <c r="AD569" s="59" t="str">
        <f t="shared" si="243"/>
        <v>[25]</v>
      </c>
      <c r="AE569" s="60">
        <v>100</v>
      </c>
      <c r="AF569" s="60"/>
      <c r="AG569" s="60">
        <v>1</v>
      </c>
      <c r="AH569" s="28">
        <v>1</v>
      </c>
      <c r="AI569" s="57">
        <f t="shared" si="261"/>
        <v>5506114</v>
      </c>
      <c r="AJ569" s="64" t="str">
        <f t="shared" si="262"/>
        <v>对负面状态的敌人造成暴击后, &lt;color=#54b76b&gt;%s%&lt;/color&gt;概率使敌人所有负面状态持续时间+1s, 最多+3s. 直到敌人的移除所有负面状态</v>
      </c>
      <c r="AK569" s="60">
        <v>25</v>
      </c>
      <c r="AL569" s="35"/>
    </row>
    <row r="570" s="28" customFormat="1" hidden="1" customHeight="1" spans="1:38">
      <c r="A570" s="57">
        <v>5506115</v>
      </c>
      <c r="B570" s="58"/>
      <c r="C570" s="57" t="str">
        <f t="shared" si="246"/>
        <v>5506111</v>
      </c>
      <c r="D570" s="59">
        <f t="shared" si="247"/>
        <v>5</v>
      </c>
      <c r="E570" s="59"/>
      <c r="F570" s="60" t="s">
        <v>174</v>
      </c>
      <c r="G570" s="36">
        <f t="shared" si="239"/>
        <v>1</v>
      </c>
      <c r="H570" s="36">
        <f>IFERROR(IF(--MID($F570,2*COUNTIF($G570:G570,"&gt;"&amp;0)+2,1)=H$1,H$1,""),"")</f>
        <v>2</v>
      </c>
      <c r="I570" s="36">
        <f>IFERROR(IF(--MID($F570,2*COUNTIF($G570:H570,"&gt;"&amp;0)+2,1)=I$1,I$1,""),"")</f>
        <v>3</v>
      </c>
      <c r="J570" s="36">
        <f>IFERROR(IF(--MID($F570,2*COUNTIF($G570:I570,"&gt;"&amp;0)+2,1)=J$1,J$1,""),"")</f>
        <v>4</v>
      </c>
      <c r="K570" s="36">
        <f>IFERROR(IF(--MID($F570,2*COUNTIF($G570:J570,"&gt;"&amp;0)+2,1)=K$1,K$1,""),"")</f>
        <v>5</v>
      </c>
      <c r="L570" s="36">
        <f>IFERROR(IF(--MID($F570,2*COUNTIF($G570:K570,"&gt;"&amp;0)+2,1)=L$1,L$1,""),"")</f>
        <v>6</v>
      </c>
      <c r="M570" s="36" t="e" cm="1">
        <f t="array" ref="M570">IF(A570="","",_xlfn.XLOOKUP(D570&amp;"_"&amp;AE570,符文权重!A:A&amp;"_"&amp;符文权重!C:C,符文权重!D:D))</f>
        <v>#N/A</v>
      </c>
      <c r="N570" s="36"/>
      <c r="O570" s="36"/>
      <c r="P570" s="36"/>
      <c r="Q570" s="36"/>
      <c r="R570" s="36"/>
      <c r="S570" s="60" t="s">
        <v>175</v>
      </c>
      <c r="T570" s="60"/>
      <c r="U570" s="60" t="e">
        <f>IF(C570="","",SUBSTITUTE(SUBSTITUTE("[{global_atk,"&amp;#REF!*D570&amp;"}]",21,20),9,8))</f>
        <v>#REF!</v>
      </c>
      <c r="V570" s="61" t="str">
        <f t="shared" si="260"/>
        <v>[5506115]</v>
      </c>
      <c r="W570" s="60"/>
      <c r="Y570" s="35">
        <v>100</v>
      </c>
      <c r="AA570" s="59" t="s">
        <v>187</v>
      </c>
      <c r="AB570" s="42" t="str">
        <f t="shared" si="250"/>
        <v>对负面状态的敌人造成暴击后, &lt;color=#54b76b&gt;40%&lt;/color&gt;概率使敌人所有负面状态持续时间+1s, 最多+3s. 直到敌人的移除所有负面状态</v>
      </c>
      <c r="AC570" s="57" t="str">
        <f t="shared" si="251"/>
        <v>5506111</v>
      </c>
      <c r="AD570" s="59" t="str">
        <f t="shared" si="243"/>
        <v>[40]</v>
      </c>
      <c r="AE570" s="60">
        <v>100</v>
      </c>
      <c r="AF570" s="60"/>
      <c r="AG570" s="60">
        <v>1</v>
      </c>
      <c r="AH570" s="28">
        <v>1</v>
      </c>
      <c r="AI570" s="57">
        <f t="shared" si="261"/>
        <v>5506115</v>
      </c>
      <c r="AJ570" s="64" t="str">
        <f t="shared" si="262"/>
        <v>对负面状态的敌人造成暴击后, &lt;color=#54b76b&gt;%s%&lt;/color&gt;概率使敌人所有负面状态持续时间+1s, 最多+3s. 直到敌人的移除所有负面状态</v>
      </c>
      <c r="AK570" s="60">
        <v>40</v>
      </c>
      <c r="AL570" s="35"/>
    </row>
    <row r="571" s="28" customFormat="1" hidden="1" customHeight="1" spans="1:38">
      <c r="A571" s="57">
        <v>5506116</v>
      </c>
      <c r="B571" s="58"/>
      <c r="C571" s="57" t="str">
        <f t="shared" si="246"/>
        <v>5506111</v>
      </c>
      <c r="D571" s="59">
        <f t="shared" si="247"/>
        <v>6</v>
      </c>
      <c r="E571" s="59"/>
      <c r="F571" s="60" t="s">
        <v>174</v>
      </c>
      <c r="G571" s="36">
        <f t="shared" si="239"/>
        <v>1</v>
      </c>
      <c r="H571" s="36">
        <f>IFERROR(IF(--MID($F571,2*COUNTIF($G571:G571,"&gt;"&amp;0)+2,1)=H$1,H$1,""),"")</f>
        <v>2</v>
      </c>
      <c r="I571" s="36">
        <f>IFERROR(IF(--MID($F571,2*COUNTIF($G571:H571,"&gt;"&amp;0)+2,1)=I$1,I$1,""),"")</f>
        <v>3</v>
      </c>
      <c r="J571" s="36">
        <f>IFERROR(IF(--MID($F571,2*COUNTIF($G571:I571,"&gt;"&amp;0)+2,1)=J$1,J$1,""),"")</f>
        <v>4</v>
      </c>
      <c r="K571" s="36">
        <f>IFERROR(IF(--MID($F571,2*COUNTIF($G571:J571,"&gt;"&amp;0)+2,1)=K$1,K$1,""),"")</f>
        <v>5</v>
      </c>
      <c r="L571" s="36">
        <f>IFERROR(IF(--MID($F571,2*COUNTIF($G571:K571,"&gt;"&amp;0)+2,1)=L$1,L$1,""),"")</f>
        <v>6</v>
      </c>
      <c r="M571" s="36" t="e" cm="1">
        <f t="array" ref="M571">IF(A571="","",_xlfn.XLOOKUP(D571&amp;"_"&amp;AE571,符文权重!A:A&amp;"_"&amp;符文权重!C:C,符文权重!D:D))</f>
        <v>#N/A</v>
      </c>
      <c r="N571" s="36"/>
      <c r="O571" s="36"/>
      <c r="P571" s="36"/>
      <c r="Q571" s="36"/>
      <c r="R571" s="36"/>
      <c r="S571" s="60" t="s">
        <v>175</v>
      </c>
      <c r="T571" s="60"/>
      <c r="U571" s="60" t="e">
        <f>IF(C571="","",SUBSTITUTE(SUBSTITUTE("[{global_atk,"&amp;#REF!*D571&amp;"}]",21,20),9,8))</f>
        <v>#REF!</v>
      </c>
      <c r="V571" s="61" t="str">
        <f t="shared" si="260"/>
        <v>[5506116]</v>
      </c>
      <c r="W571" s="60"/>
      <c r="Y571" s="35">
        <v>100</v>
      </c>
      <c r="AA571" s="59" t="s">
        <v>189</v>
      </c>
      <c r="AB571" s="42" t="str">
        <f t="shared" si="250"/>
        <v>对负面状态的敌人造成暴击后, &lt;color=#54b76b&gt;55%&lt;/color&gt;概率使敌人所有负面状态持续时间+1s, 最多+3s. 直到敌人的移除所有负面状态</v>
      </c>
      <c r="AC571" s="57" t="str">
        <f t="shared" si="251"/>
        <v>5506111</v>
      </c>
      <c r="AD571" s="59" t="str">
        <f t="shared" si="243"/>
        <v>[55]</v>
      </c>
      <c r="AE571" s="60">
        <v>100</v>
      </c>
      <c r="AF571" s="60"/>
      <c r="AG571" s="60">
        <v>1</v>
      </c>
      <c r="AH571" s="28">
        <v>1</v>
      </c>
      <c r="AI571" s="57">
        <f t="shared" si="261"/>
        <v>5506116</v>
      </c>
      <c r="AJ571" s="64" t="str">
        <f t="shared" si="262"/>
        <v>对负面状态的敌人造成暴击后, &lt;color=#54b76b&gt;%s%&lt;/color&gt;概率使敌人所有负面状态持续时间+1s, 最多+3s. 直到敌人的移除所有负面状态</v>
      </c>
      <c r="AK571" s="60">
        <v>55</v>
      </c>
      <c r="AL571" s="35"/>
    </row>
    <row r="572" s="28" customFormat="1" hidden="1" customHeight="1" spans="1:38">
      <c r="A572" s="57">
        <v>5506117</v>
      </c>
      <c r="B572" s="58"/>
      <c r="C572" s="57" t="str">
        <f t="shared" si="246"/>
        <v>5506111</v>
      </c>
      <c r="D572" s="59">
        <f t="shared" si="247"/>
        <v>7</v>
      </c>
      <c r="E572" s="59"/>
      <c r="F572" s="60" t="s">
        <v>174</v>
      </c>
      <c r="G572" s="36">
        <f t="shared" si="239"/>
        <v>1</v>
      </c>
      <c r="H572" s="36">
        <f>IFERROR(IF(--MID($F572,2*COUNTIF($G572:G572,"&gt;"&amp;0)+2,1)=H$1,H$1,""),"")</f>
        <v>2</v>
      </c>
      <c r="I572" s="36">
        <f>IFERROR(IF(--MID($F572,2*COUNTIF($G572:H572,"&gt;"&amp;0)+2,1)=I$1,I$1,""),"")</f>
        <v>3</v>
      </c>
      <c r="J572" s="36">
        <f>IFERROR(IF(--MID($F572,2*COUNTIF($G572:I572,"&gt;"&amp;0)+2,1)=J$1,J$1,""),"")</f>
        <v>4</v>
      </c>
      <c r="K572" s="36">
        <f>IFERROR(IF(--MID($F572,2*COUNTIF($G572:J572,"&gt;"&amp;0)+2,1)=K$1,K$1,""),"")</f>
        <v>5</v>
      </c>
      <c r="L572" s="36">
        <f>IFERROR(IF(--MID($F572,2*COUNTIF($G572:K572,"&gt;"&amp;0)+2,1)=L$1,L$1,""),"")</f>
        <v>6</v>
      </c>
      <c r="M572" s="36" t="e" cm="1">
        <f t="array" ref="M572">IF(A572="","",_xlfn.XLOOKUP(D572&amp;"_"&amp;AE572,符文权重!A:A&amp;"_"&amp;符文权重!C:C,符文权重!D:D))</f>
        <v>#N/A</v>
      </c>
      <c r="N572" s="36"/>
      <c r="O572" s="36"/>
      <c r="P572" s="36"/>
      <c r="Q572" s="36"/>
      <c r="R572" s="36"/>
      <c r="S572" s="60" t="s">
        <v>175</v>
      </c>
      <c r="T572" s="60"/>
      <c r="U572" s="60" t="e">
        <f>IF(C572="","",SUBSTITUTE(SUBSTITUTE("[{global_atk,"&amp;#REF!*D572&amp;"}]",21,20),9,8))</f>
        <v>#REF!</v>
      </c>
      <c r="V572" s="61" t="str">
        <f t="shared" si="260"/>
        <v>[5506117]</v>
      </c>
      <c r="W572" s="60"/>
      <c r="Y572" s="35">
        <v>100</v>
      </c>
      <c r="AA572" s="59" t="s">
        <v>191</v>
      </c>
      <c r="AB572" s="42" t="str">
        <f t="shared" si="250"/>
        <v>对负面状态的敌人造成暴击后, &lt;color=#54b76b&gt;75%&lt;/color&gt;概率使敌人所有负面状态持续时间+1s, 最多+3s. 直到敌人的移除所有负面状态</v>
      </c>
      <c r="AC572" s="57" t="str">
        <f t="shared" si="251"/>
        <v>5506111</v>
      </c>
      <c r="AD572" s="59" t="str">
        <f t="shared" si="243"/>
        <v>[75]</v>
      </c>
      <c r="AE572" s="60">
        <v>100</v>
      </c>
      <c r="AF572" s="60"/>
      <c r="AG572" s="60">
        <v>1</v>
      </c>
      <c r="AH572" s="28">
        <v>1</v>
      </c>
      <c r="AI572" s="57">
        <f t="shared" si="261"/>
        <v>5506117</v>
      </c>
      <c r="AJ572" s="64" t="str">
        <f t="shared" si="262"/>
        <v>对负面状态的敌人造成暴击后, &lt;color=#54b76b&gt;%s%&lt;/color&gt;概率使敌人所有负面状态持续时间+1s, 最多+3s. 直到敌人的移除所有负面状态</v>
      </c>
      <c r="AK572" s="60">
        <v>75</v>
      </c>
      <c r="AL572" s="35"/>
    </row>
    <row r="573" s="25" customFormat="1" hidden="1" customHeight="1" spans="1:38">
      <c r="B573" s="49" t="s">
        <v>591</v>
      </c>
      <c r="D573" s="36"/>
      <c r="E573" s="36"/>
      <c r="F573" s="36"/>
      <c r="G573" s="36" t="str">
        <f t="shared" si="239"/>
        <v/>
      </c>
      <c r="H573" s="36" t="str">
        <f>IFERROR(IF(--MID($F573,2*COUNTIF($G573:G573,"&gt;"&amp;0)+2,1)=H$1,H$1,""),"")</f>
        <v/>
      </c>
      <c r="I573" s="36" t="str">
        <f>IFERROR(IF(--MID($F573,2*COUNTIF($G573:H573,"&gt;"&amp;0)+2,1)=I$1,I$1,""),"")</f>
        <v/>
      </c>
      <c r="J573" s="36" t="str">
        <f>IFERROR(IF(--MID($F573,2*COUNTIF($G573:I573,"&gt;"&amp;0)+2,1)=J$1,J$1,""),"")</f>
        <v/>
      </c>
      <c r="K573" s="36" t="str">
        <f>IFERROR(IF(--MID($F573,2*COUNTIF($G573:J573,"&gt;"&amp;0)+2,1)=K$1,K$1,""),"")</f>
        <v/>
      </c>
      <c r="L573" s="36" t="str">
        <f>IFERROR(IF(--MID($F573,2*COUNTIF($G573:K573,"&gt;"&amp;0)+2,1)=L$1,L$1,""),"")</f>
        <v/>
      </c>
      <c r="M573" s="51" t="str" cm="1">
        <f t="array" ref="M573">IF($A573="","",IF(G573="","",_xlfn.XLOOKUP($D573&amp;"_"&amp;$AE573,符文权重!$A:$A&amp;"_"&amp;符文权重!$C:$C,符文权重!$D:$D)*$Y573/SUMIFS($Y:$Y,G:G,G573,$D:$D,$D573,$AE:$AE,$AE573)/SUMIF(符文权重!$A:$A,$D573,符文权重!$D:$D)))</f>
        <v/>
      </c>
      <c r="N573" s="36" t="str" cm="1">
        <f t="array" ref="N573">IF($A573="","",IF(H573="","",_xlfn.XLOOKUP($D573&amp;"_"&amp;$AE573,符文权重!$A:$A&amp;"_"&amp;符文权重!$C:$C,符文权重!$D:$D)*$Y573/SUMIFS($Y:$Y,H:H,H573,$D:$D,$D$6,$AE:$AE,$AE$6)))</f>
        <v/>
      </c>
      <c r="O573" s="36" t="str" cm="1">
        <f t="array" ref="O573">IF($A573="","",IF(I573="","",_xlfn.XLOOKUP($D573&amp;"_"&amp;$AE573,符文权重!$A:$A&amp;"_"&amp;符文权重!$C:$C,符文权重!$D:$D)*$Y573/SUMIFS($Y:$Y,I:I,I573,$D:$D,$D$6,$AE:$AE,$AE$6)))</f>
        <v/>
      </c>
      <c r="P573" s="36" t="str" cm="1">
        <f t="array" ref="P573">IF($A573="","",IF(J573="","",_xlfn.XLOOKUP($D573&amp;"_"&amp;$AE573,符文权重!$A:$A&amp;"_"&amp;符文权重!$C:$C,符文权重!$D:$D)*$Y573/SUMIFS($Y:$Y,J:J,J573,$D:$D,$D$6,$AE:$AE,$AE$6)))</f>
        <v/>
      </c>
      <c r="Q573" s="36" t="str" cm="1">
        <f t="array" ref="Q573">IF($A573="","",IF(K573="","",_xlfn.XLOOKUP($D573&amp;"_"&amp;$AE573,符文权重!$A:$A&amp;"_"&amp;符文权重!$C:$C,符文权重!$D:$D)*$Y573/SUMIFS($Y:$Y,K:K,K573,$D:$D,$D$6,$AE:$AE,$AE$6)))</f>
        <v/>
      </c>
      <c r="R573" s="36" t="str" cm="1">
        <f t="array" ref="R573">IF($A573="","",IF(L573="","",_xlfn.XLOOKUP($D573&amp;"_"&amp;$AE573,符文权重!$A:$A&amp;"_"&amp;符文权重!$C:$C,符文权重!$D:$D)*$Y573/SUMIFS($Y:$Y,L:L,L573,$D:$D,$D$6,$AE:$AE,$AE$6)))</f>
        <v/>
      </c>
      <c r="S573" s="36"/>
      <c r="T573" s="36"/>
      <c r="U573" s="36"/>
      <c r="W573" s="41"/>
      <c r="X573" s="35"/>
      <c r="Y573" s="35"/>
      <c r="Z573" s="35"/>
      <c r="AA573" s="36"/>
      <c r="AB573" s="42" t="str">
        <f t="shared" si="250"/>
        <v/>
      </c>
      <c r="AD573" s="36"/>
      <c r="AE573" s="36"/>
      <c r="AF573" s="36"/>
      <c r="AG573" s="36"/>
      <c r="AH573" s="35" t="s">
        <v>178</v>
      </c>
      <c r="AI573" s="33"/>
      <c r="AJ573" s="37"/>
      <c r="AK573" s="35"/>
      <c r="AL573" s="35"/>
    </row>
    <row r="574" hidden="1" customHeight="1" spans="1:38">
      <c r="A574" s="35"/>
      <c r="B574" s="49" t="s">
        <v>592</v>
      </c>
      <c r="D574" s="35"/>
      <c r="E574" s="35"/>
      <c r="G574" s="36" t="str">
        <f t="shared" si="239"/>
        <v/>
      </c>
      <c r="H574" s="36" t="str">
        <f>IFERROR(IF(--MID($F574,2*COUNTIF($G574:G574,"&gt;"&amp;0)+2,1)=H$1,H$1,""),"")</f>
        <v/>
      </c>
      <c r="I574" s="36" t="str">
        <f>IFERROR(IF(--MID($F574,2*COUNTIF($G574:H574,"&gt;"&amp;0)+2,1)=I$1,I$1,""),"")</f>
        <v/>
      </c>
      <c r="J574" s="36" t="str">
        <f>IFERROR(IF(--MID($F574,2*COUNTIF($G574:I574,"&gt;"&amp;0)+2,1)=J$1,J$1,""),"")</f>
        <v/>
      </c>
      <c r="K574" s="36" t="str">
        <f>IFERROR(IF(--MID($F574,2*COUNTIF($G574:J574,"&gt;"&amp;0)+2,1)=K$1,K$1,""),"")</f>
        <v/>
      </c>
      <c r="L574" s="36" t="str">
        <f>IFERROR(IF(--MID($F574,2*COUNTIF($G574:K574,"&gt;"&amp;0)+2,1)=L$1,L$1,""),"")</f>
        <v/>
      </c>
      <c r="M574" s="51" t="str" cm="1">
        <f t="array" ref="M574">IF($A574="","",IF(G574="","",_xlfn.XLOOKUP($D574&amp;"_"&amp;$AE574,符文权重!$A:$A&amp;"_"&amp;符文权重!$C:$C,符文权重!$D:$D)*$Y574/SUMIFS($Y:$Y,G:G,G574,$D:$D,$D574,$AE:$AE,$AE574)/SUMIF(符文权重!$A:$A,$D574,符文权重!$D:$D)))</f>
        <v/>
      </c>
      <c r="N574" s="36" t="str" cm="1">
        <f t="array" ref="N574">IF($A574="","",IF(H574="","",_xlfn.XLOOKUP($D574&amp;"_"&amp;$AE574,符文权重!$A:$A&amp;"_"&amp;符文权重!$C:$C,符文权重!$D:$D)*$Y574/SUMIFS($Y:$Y,H:H,H574,$D:$D,$D$6,$AE:$AE,$AE$6)))</f>
        <v/>
      </c>
      <c r="O574" s="36" t="str" cm="1">
        <f t="array" ref="O574">IF($A574="","",IF(I574="","",_xlfn.XLOOKUP($D574&amp;"_"&amp;$AE574,符文权重!$A:$A&amp;"_"&amp;符文权重!$C:$C,符文权重!$D:$D)*$Y574/SUMIFS($Y:$Y,I:I,I574,$D:$D,$D$6,$AE:$AE,$AE$6)))</f>
        <v/>
      </c>
      <c r="P574" s="36" t="str" cm="1">
        <f t="array" ref="P574">IF($A574="","",IF(J574="","",_xlfn.XLOOKUP($D574&amp;"_"&amp;$AE574,符文权重!$A:$A&amp;"_"&amp;符文权重!$C:$C,符文权重!$D:$D)*$Y574/SUMIFS($Y:$Y,J:J,J574,$D:$D,$D$6,$AE:$AE,$AE$6)))</f>
        <v/>
      </c>
      <c r="Q574" s="36" t="str" cm="1">
        <f t="array" ref="Q574">IF($A574="","",IF(K574="","",_xlfn.XLOOKUP($D574&amp;"_"&amp;$AE574,符文权重!$A:$A&amp;"_"&amp;符文权重!$C:$C,符文权重!$D:$D)*$Y574/SUMIFS($Y:$Y,K:K,K574,$D:$D,$D$6,$AE:$AE,$AE$6)))</f>
        <v/>
      </c>
      <c r="R574" s="36" t="str" cm="1">
        <f t="array" ref="R574">IF($A574="","",IF(L574="","",_xlfn.XLOOKUP($D574&amp;"_"&amp;$AE574,符文权重!$A:$A&amp;"_"&amp;符文权重!$C:$C,符文权重!$D:$D)*$Y574/SUMIFS($Y:$Y,L:L,L574,$D:$D,$D$6,$AE:$AE,$AE$6)))</f>
        <v/>
      </c>
      <c r="W574" s="35"/>
      <c r="AB574" s="42" t="str">
        <f t="shared" si="250"/>
        <v/>
      </c>
      <c r="AH574" s="35" t="s">
        <v>178</v>
      </c>
      <c r="AI574" s="35"/>
      <c r="AJ574" s="35"/>
    </row>
    <row r="575" s="25" customFormat="1" hidden="1" customHeight="1" spans="1:38">
      <c r="A575" s="35">
        <v>5510011</v>
      </c>
      <c r="B575" s="35" t="s">
        <v>49</v>
      </c>
      <c r="C575" s="35">
        <v>5301220</v>
      </c>
      <c r="D575" s="35">
        <v>1</v>
      </c>
      <c r="E575" s="35"/>
      <c r="F575" s="35" t="s">
        <v>211</v>
      </c>
      <c r="G575" s="36" t="str">
        <f t="shared" si="239"/>
        <v/>
      </c>
      <c r="H575" s="36">
        <f>IFERROR(IF(--MID($F575,2*COUNTIF($G575:G575,"&gt;"&amp;0)+2,1)=H$1,H$1,""),"")</f>
        <v>2</v>
      </c>
      <c r="I575" s="36" t="str">
        <f>IFERROR(IF(--MID($F575,2*COUNTIF($G575:H575,"&gt;"&amp;0)+2,1)=I$1,I$1,""),"")</f>
        <v/>
      </c>
      <c r="J575" s="36" t="str">
        <f>IFERROR(IF(--MID($F575,2*COUNTIF($G575:I575,"&gt;"&amp;0)+2,1)=J$1,J$1,""),"")</f>
        <v/>
      </c>
      <c r="K575" s="36" t="str">
        <f>IFERROR(IF(--MID($F575,2*COUNTIF($G575:J575,"&gt;"&amp;0)+2,1)=K$1,K$1,""),"")</f>
        <v/>
      </c>
      <c r="L575" s="36" t="str">
        <f>IFERROR(IF(--MID($F575,2*COUNTIF($G575:K575,"&gt;"&amp;0)+2,1)=L$1,L$1,""),"")</f>
        <v/>
      </c>
      <c r="M575" s="51" t="str" cm="1">
        <f t="array" ref="M575">IF($A575="","",IF(G575="","",_xlfn.XLOOKUP($D575&amp;"_"&amp;$AE575,符文权重!$A:$A&amp;"_"&amp;符文权重!$C:$C,符文权重!$D:$D)*$Y575/SUMIFS($Y:$Y,G:G,G575,$D:$D,$D575,$AE:$AE,$AE575)/SUMIF(符文权重!$A:$A,$D575,符文权重!$D:$D)))</f>
        <v/>
      </c>
      <c r="N575" s="51" cm="1">
        <f t="array" ref="N575">IF($A575="","",IF(H575="","",_xlfn.XLOOKUP($D575&amp;"_"&amp;$AE575,符文权重!$A:$A&amp;"_"&amp;符文权重!$C:$C,符文权重!$D:$D)*$Y575/SUMIFS($Y:$Y,H:H,H575,$D:$D,$D575,$AE:$AE,$AE575)/SUMIF(符文权重!$A:$A,$D575,符文权重!$D:$D)))</f>
        <v>0.025</v>
      </c>
      <c r="O575" s="51" t="str" cm="1">
        <f t="array" ref="O575">IF($A575="","",IF(I575="","",_xlfn.XLOOKUP($D575&amp;"_"&amp;$AE575,符文权重!$A:$A&amp;"_"&amp;符文权重!$C:$C,符文权重!$D:$D)*$Y575/SUMIFS($Y:$Y,I:I,I575,$D:$D,$D575,$AE:$AE,$AE575)/SUMIF(符文权重!$A:$A,$D575,符文权重!$D:$D)))</f>
        <v/>
      </c>
      <c r="P575" s="51" t="str" cm="1">
        <f t="array" ref="P575">IF($A575="","",IF(J575="","",_xlfn.XLOOKUP($D575&amp;"_"&amp;$AE575,符文权重!$A:$A&amp;"_"&amp;符文权重!$C:$C,符文权重!$D:$D)*$Y575/SUMIFS($Y:$Y,J:J,J575,$D:$D,$D575,$AE:$AE,$AE575)/SUMIF(符文权重!$A:$A,$D575,符文权重!$D:$D)))</f>
        <v/>
      </c>
      <c r="Q575" s="51" t="str" cm="1">
        <f t="array" ref="Q575">IF($A575="","",IF(K575="","",_xlfn.XLOOKUP($D575&amp;"_"&amp;$AE575,符文权重!$A:$A&amp;"_"&amp;符文权重!$C:$C,符文权重!$D:$D)*$Y575/SUMIFS($Y:$Y,K:K,K575,$D:$D,$D575,$AE:$AE,$AE575)/SUMIF(符文权重!$A:$A,$D575,符文权重!$D:$D)))</f>
        <v/>
      </c>
      <c r="R575" s="51" t="str" cm="1">
        <f t="array" ref="R575">IF($A575="","",IF(L575="","",_xlfn.XLOOKUP($D575&amp;"_"&amp;$AE575,符文权重!$A:$A&amp;"_"&amp;符文权重!$C:$C,符文权重!$D:$D)*$Y575/SUMIFS($Y:$Y,L:L,L575,$D:$D,$D575,$AE:$AE,$AE575)/SUMIF(符文权重!$A:$A,$D575,符文权重!$D:$D)))</f>
        <v/>
      </c>
      <c r="S575" s="35" t="s">
        <v>344</v>
      </c>
      <c r="T575" s="35" t="s">
        <v>593</v>
      </c>
      <c r="U575" s="35" t="s">
        <v>413</v>
      </c>
      <c r="V575" s="35" t="s">
        <v>594</v>
      </c>
      <c r="X575" s="35" t="s">
        <v>595</v>
      </c>
      <c r="Y575" s="35">
        <v>100</v>
      </c>
      <c r="AA575" s="35" t="s">
        <v>177</v>
      </c>
      <c r="AB575" s="42" t="str">
        <f t="shared" si="250"/>
        <v>寒冰射手攻击时，&lt;color=#54b76b&gt;35%&lt;/color&gt;几率释放&lt;color=#54b76b&gt;1&lt;/color&gt;个伤害&lt;color=#54b76b&gt;50%&lt;/color&gt;的冰锥</v>
      </c>
      <c r="AC575" s="35">
        <v>5301220</v>
      </c>
      <c r="AD575" s="35" t="s">
        <v>596</v>
      </c>
      <c r="AE575" s="35">
        <v>4</v>
      </c>
      <c r="AH575" s="35">
        <v>1</v>
      </c>
      <c r="AI575" s="36"/>
      <c r="AJ575" s="35" t="s">
        <v>597</v>
      </c>
      <c r="AK575" s="36"/>
      <c r="AL575" s="35">
        <v>4</v>
      </c>
    </row>
    <row r="576" s="25" customFormat="1" hidden="1" customHeight="1" spans="1:38">
      <c r="A576" s="35">
        <v>5510012</v>
      </c>
      <c r="B576" s="35" t="s">
        <v>49</v>
      </c>
      <c r="C576" s="35">
        <v>5301220</v>
      </c>
      <c r="D576" s="35">
        <v>2</v>
      </c>
      <c r="E576" s="35"/>
      <c r="F576" s="35" t="s">
        <v>211</v>
      </c>
      <c r="G576" s="36" t="str">
        <f t="shared" si="239"/>
        <v/>
      </c>
      <c r="H576" s="36">
        <f>IFERROR(IF(--MID($F576,2*COUNTIF($G576:G576,"&gt;"&amp;0)+2,1)=H$1,H$1,""),"")</f>
        <v>2</v>
      </c>
      <c r="I576" s="36" t="str">
        <f>IFERROR(IF(--MID($F576,2*COUNTIF($G576:H576,"&gt;"&amp;0)+2,1)=I$1,I$1,""),"")</f>
        <v/>
      </c>
      <c r="J576" s="36" t="str">
        <f>IFERROR(IF(--MID($F576,2*COUNTIF($G576:I576,"&gt;"&amp;0)+2,1)=J$1,J$1,""),"")</f>
        <v/>
      </c>
      <c r="K576" s="36" t="str">
        <f>IFERROR(IF(--MID($F576,2*COUNTIF($G576:J576,"&gt;"&amp;0)+2,1)=K$1,K$1,""),"")</f>
        <v/>
      </c>
      <c r="L576" s="36" t="str">
        <f>IFERROR(IF(--MID($F576,2*COUNTIF($G576:K576,"&gt;"&amp;0)+2,1)=L$1,L$1,""),"")</f>
        <v/>
      </c>
      <c r="M576" s="51" t="str" cm="1">
        <f t="array" ref="M576">IF($A576="","",IF(G576="","",_xlfn.XLOOKUP($D576&amp;"_"&amp;$AE576,符文权重!$A:$A&amp;"_"&amp;符文权重!$C:$C,符文权重!$D:$D)*$Y576/SUMIFS($Y:$Y,G:G,G576,$D:$D,$D576,$AE:$AE,$AE576)/SUMIF(符文权重!$A:$A,$D576,符文权重!$D:$D)))</f>
        <v/>
      </c>
      <c r="N576" s="51" cm="1">
        <f t="array" ref="N576">IF($A576="","",IF(H576="","",_xlfn.XLOOKUP($D576&amp;"_"&amp;$AE576,符文权重!$A:$A&amp;"_"&amp;符文权重!$C:$C,符文权重!$D:$D)*$Y576/SUMIFS($Y:$Y,H:H,H576,$D:$D,$D576,$AE:$AE,$AE576)/SUMIF(符文权重!$A:$A,$D576,符文权重!$D:$D)))</f>
        <v>0.025</v>
      </c>
      <c r="O576" s="51" t="str" cm="1">
        <f t="array" ref="O576">IF($A576="","",IF(I576="","",_xlfn.XLOOKUP($D576&amp;"_"&amp;$AE576,符文权重!$A:$A&amp;"_"&amp;符文权重!$C:$C,符文权重!$D:$D)*$Y576/SUMIFS($Y:$Y,I:I,I576,$D:$D,$D576,$AE:$AE,$AE576)/SUMIF(符文权重!$A:$A,$D576,符文权重!$D:$D)))</f>
        <v/>
      </c>
      <c r="P576" s="51" t="str" cm="1">
        <f t="array" ref="P576">IF($A576="","",IF(J576="","",_xlfn.XLOOKUP($D576&amp;"_"&amp;$AE576,符文权重!$A:$A&amp;"_"&amp;符文权重!$C:$C,符文权重!$D:$D)*$Y576/SUMIFS($Y:$Y,J:J,J576,$D:$D,$D576,$AE:$AE,$AE576)/SUMIF(符文权重!$A:$A,$D576,符文权重!$D:$D)))</f>
        <v/>
      </c>
      <c r="Q576" s="51" t="str" cm="1">
        <f t="array" ref="Q576">IF($A576="","",IF(K576="","",_xlfn.XLOOKUP($D576&amp;"_"&amp;$AE576,符文权重!$A:$A&amp;"_"&amp;符文权重!$C:$C,符文权重!$D:$D)*$Y576/SUMIFS($Y:$Y,K:K,K576,$D:$D,$D576,$AE:$AE,$AE576)/SUMIF(符文权重!$A:$A,$D576,符文权重!$D:$D)))</f>
        <v/>
      </c>
      <c r="R576" s="51" t="str" cm="1">
        <f t="array" ref="R576">IF($A576="","",IF(L576="","",_xlfn.XLOOKUP($D576&amp;"_"&amp;$AE576,符文权重!$A:$A&amp;"_"&amp;符文权重!$C:$C,符文权重!$D:$D)*$Y576/SUMIFS($Y:$Y,L:L,L576,$D:$D,$D576,$AE:$AE,$AE576)/SUMIF(符文权重!$A:$A,$D576,符文权重!$D:$D)))</f>
        <v/>
      </c>
      <c r="S576" s="35" t="s">
        <v>344</v>
      </c>
      <c r="T576" s="35" t="s">
        <v>593</v>
      </c>
      <c r="U576" s="35" t="s">
        <v>415</v>
      </c>
      <c r="V576" s="35" t="s">
        <v>598</v>
      </c>
      <c r="X576" s="35" t="s">
        <v>599</v>
      </c>
      <c r="Y576" s="35">
        <v>100</v>
      </c>
      <c r="AA576" s="35" t="s">
        <v>181</v>
      </c>
      <c r="AB576" s="42" t="str">
        <f t="shared" si="250"/>
        <v>寒冰射手攻击时，&lt;color=#54b76b&gt;35%&lt;/color&gt;几率释放&lt;color=#54b76b&gt;1&lt;/color&gt;个伤害&lt;color=#54b76b&gt;70%&lt;/color&gt;的冰锥</v>
      </c>
      <c r="AC576" s="35">
        <v>5301220</v>
      </c>
      <c r="AD576" s="35" t="s">
        <v>600</v>
      </c>
      <c r="AE576" s="35">
        <v>4</v>
      </c>
      <c r="AH576" s="35">
        <v>1</v>
      </c>
      <c r="AI576" s="36"/>
      <c r="AJ576" s="35" t="s">
        <v>601</v>
      </c>
      <c r="AK576" s="36"/>
      <c r="AL576" s="35">
        <v>4</v>
      </c>
    </row>
    <row r="577" s="25" customFormat="1" hidden="1" customHeight="1" spans="1:38">
      <c r="B577" s="49"/>
      <c r="D577" s="36"/>
      <c r="E577" s="36"/>
      <c r="F577" s="35"/>
      <c r="G577" s="36" t="str">
        <f t="shared" si="239"/>
        <v/>
      </c>
      <c r="H577" s="36" t="str">
        <f>IFERROR(IF(--MID($F577,2*COUNTIF($G577:G577,"&gt;"&amp;0)+2,1)=H$1,H$1,""),"")</f>
        <v/>
      </c>
      <c r="I577" s="36" t="str">
        <f>IFERROR(IF(--MID($F577,2*COUNTIF($G577:H577,"&gt;"&amp;0)+2,1)=I$1,I$1,""),"")</f>
        <v/>
      </c>
      <c r="J577" s="36" t="str">
        <f>IFERROR(IF(--MID($F577,2*COUNTIF($G577:I577,"&gt;"&amp;0)+2,1)=J$1,J$1,""),"")</f>
        <v/>
      </c>
      <c r="K577" s="36" t="str">
        <f>IFERROR(IF(--MID($F577,2*COUNTIF($G577:J577,"&gt;"&amp;0)+2,1)=K$1,K$1,""),"")</f>
        <v/>
      </c>
      <c r="L577" s="36" t="str">
        <f>IFERROR(IF(--MID($F577,2*COUNTIF($G577:K577,"&gt;"&amp;0)+2,1)=L$1,L$1,""),"")</f>
        <v/>
      </c>
      <c r="M577" s="51" t="str" cm="1">
        <f t="array" ref="M577">IF($A577="","",IF(G577="","",_xlfn.XLOOKUP($D577&amp;"_"&amp;$AE577,符文权重!$A:$A&amp;"_"&amp;符文权重!$C:$C,符文权重!$D:$D)*$Y577/SUMIFS($Y:$Y,G:G,G577,$D:$D,$D577,$AE:$AE,$AE577)/SUMIF(符文权重!$A:$A,$D577,符文权重!$D:$D)))</f>
        <v/>
      </c>
      <c r="N577" s="36" t="str" cm="1">
        <f t="array" ref="N577">IF($A577="","",IF(H577="","",_xlfn.XLOOKUP($D577&amp;"_"&amp;$AE577,符文权重!$A:$A&amp;"_"&amp;符文权重!$C:$C,符文权重!$D:$D)*$Y577/SUMIFS($Y:$Y,H:H,H577,$D:$D,$D$6,$AE:$AE,$AE$6)))</f>
        <v/>
      </c>
      <c r="O577" s="36" t="str" cm="1">
        <f t="array" ref="O577">IF($A577="","",IF(I577="","",_xlfn.XLOOKUP($D577&amp;"_"&amp;$AE577,符文权重!$A:$A&amp;"_"&amp;符文权重!$C:$C,符文权重!$D:$D)*$Y577/SUMIFS($Y:$Y,I:I,I577,$D:$D,$D$6,$AE:$AE,$AE$6)))</f>
        <v/>
      </c>
      <c r="P577" s="36" t="str" cm="1">
        <f t="array" ref="P577">IF($A577="","",IF(J577="","",_xlfn.XLOOKUP($D577&amp;"_"&amp;$AE577,符文权重!$A:$A&amp;"_"&amp;符文权重!$C:$C,符文权重!$D:$D)*$Y577/SUMIFS($Y:$Y,J:J,J577,$D:$D,$D$6,$AE:$AE,$AE$6)))</f>
        <v/>
      </c>
      <c r="Q577" s="36" t="str" cm="1">
        <f t="array" ref="Q577">IF($A577="","",IF(K577="","",_xlfn.XLOOKUP($D577&amp;"_"&amp;$AE577,符文权重!$A:$A&amp;"_"&amp;符文权重!$C:$C,符文权重!$D:$D)*$Y577/SUMIFS($Y:$Y,K:K,K577,$D:$D,$D$6,$AE:$AE,$AE$6)))</f>
        <v/>
      </c>
      <c r="R577" s="36" t="str" cm="1">
        <f t="array" ref="R577">IF($A577="","",IF(L577="","",_xlfn.XLOOKUP($D577&amp;"_"&amp;$AE577,符文权重!$A:$A&amp;"_"&amp;符文权重!$C:$C,符文权重!$D:$D)*$Y577/SUMIFS($Y:$Y,L:L,L577,$D:$D,$D$6,$AE:$AE,$AE$6)))</f>
        <v/>
      </c>
      <c r="S577" s="36"/>
      <c r="T577" s="36"/>
      <c r="U577" s="36"/>
      <c r="W577" s="41"/>
      <c r="X577" s="35"/>
      <c r="Y577" s="35"/>
      <c r="Z577" s="35"/>
      <c r="AA577" s="36"/>
      <c r="AB577" s="42" t="str">
        <f t="shared" si="250"/>
        <v/>
      </c>
      <c r="AD577" s="36"/>
      <c r="AE577" s="36"/>
      <c r="AF577" s="36"/>
      <c r="AG577" s="36"/>
      <c r="AH577" s="35" t="s">
        <v>178</v>
      </c>
      <c r="AI577" s="36"/>
      <c r="AJ577" s="36"/>
      <c r="AK577" s="36"/>
      <c r="AL577" s="35">
        <v>4</v>
      </c>
    </row>
    <row r="578" s="25" customFormat="1" hidden="1" customHeight="1" spans="1:38">
      <c r="A578" s="35">
        <v>5510021</v>
      </c>
      <c r="B578" s="35" t="s">
        <v>49</v>
      </c>
      <c r="C578" s="35">
        <v>5301221</v>
      </c>
      <c r="D578" s="35">
        <v>1</v>
      </c>
      <c r="E578" s="35"/>
      <c r="F578" s="35" t="s">
        <v>193</v>
      </c>
      <c r="G578" s="36" t="str">
        <f t="shared" si="239"/>
        <v/>
      </c>
      <c r="H578" s="36" t="str">
        <f>IFERROR(IF(--MID($F578,2*COUNTIF($G578:G578,"&gt;"&amp;0)+2,1)=H$1,H$1,""),"")</f>
        <v/>
      </c>
      <c r="I578" s="36">
        <f>IFERROR(IF(--MID($F578,2*COUNTIF($G578:H578,"&gt;"&amp;0)+2,1)=I$1,I$1,""),"")</f>
        <v>3</v>
      </c>
      <c r="J578" s="36" t="str">
        <f>IFERROR(IF(--MID($F578,2*COUNTIF($G578:I578,"&gt;"&amp;0)+2,1)=J$1,J$1,""),"")</f>
        <v/>
      </c>
      <c r="K578" s="36" t="str">
        <f>IFERROR(IF(--MID($F578,2*COUNTIF($G578:J578,"&gt;"&amp;0)+2,1)=K$1,K$1,""),"")</f>
        <v/>
      </c>
      <c r="L578" s="36" t="str">
        <f>IFERROR(IF(--MID($F578,2*COUNTIF($G578:K578,"&gt;"&amp;0)+2,1)=L$1,L$1,""),"")</f>
        <v/>
      </c>
      <c r="M578" s="51" t="str" cm="1">
        <f t="array" ref="M578">IF($A578="","",IF(G578="","",_xlfn.XLOOKUP($D578&amp;"_"&amp;$AE578,符文权重!$A:$A&amp;"_"&amp;符文权重!$C:$C,符文权重!$D:$D)*$Y578/SUMIFS($Y:$Y,G:G,G578,$D:$D,$D578,$AE:$AE,$AE578)/SUMIF(符文权重!$A:$A,$D578,符文权重!$D:$D)))</f>
        <v/>
      </c>
      <c r="N578" s="51" t="str" cm="1">
        <f t="array" ref="N578">IF($A578="","",IF(H578="","",_xlfn.XLOOKUP($D578&amp;"_"&amp;$AE578,符文权重!$A:$A&amp;"_"&amp;符文权重!$C:$C,符文权重!$D:$D)*$Y578/SUMIFS($Y:$Y,H:H,H578,$D:$D,$D578,$AE:$AE,$AE578)/SUMIF(符文权重!$A:$A,$D578,符文权重!$D:$D)))</f>
        <v/>
      </c>
      <c r="O578" s="51" cm="1">
        <f t="array" ref="O578">IF($A578="","",IF(I578="","",_xlfn.XLOOKUP($D578&amp;"_"&amp;$AE578,符文权重!$A:$A&amp;"_"&amp;符文权重!$C:$C,符文权重!$D:$D)*$Y578/SUMIFS($Y:$Y,I:I,I578,$D:$D,$D578,$AE:$AE,$AE578)/SUMIF(符文权重!$A:$A,$D578,符文权重!$D:$D)))</f>
        <v>0.025</v>
      </c>
      <c r="P578" s="51" t="str" cm="1">
        <f t="array" ref="P578">IF($A578="","",IF(J578="","",_xlfn.XLOOKUP($D578&amp;"_"&amp;$AE578,符文权重!$A:$A&amp;"_"&amp;符文权重!$C:$C,符文权重!$D:$D)*$Y578/SUMIFS($Y:$Y,J:J,J578,$D:$D,$D578,$AE:$AE,$AE578)/SUMIF(符文权重!$A:$A,$D578,符文权重!$D:$D)))</f>
        <v/>
      </c>
      <c r="Q578" s="51" t="str" cm="1">
        <f t="array" ref="Q578">IF($A578="","",IF(K578="","",_xlfn.XLOOKUP($D578&amp;"_"&amp;$AE578,符文权重!$A:$A&amp;"_"&amp;符文权重!$C:$C,符文权重!$D:$D)*$Y578/SUMIFS($Y:$Y,K:K,K578,$D:$D,$D578,$AE:$AE,$AE578)/SUMIF(符文权重!$A:$A,$D578,符文权重!$D:$D)))</f>
        <v/>
      </c>
      <c r="R578" s="51" t="str" cm="1">
        <f t="array" ref="R578">IF($A578="","",IF(L578="","",_xlfn.XLOOKUP($D578&amp;"_"&amp;$AE578,符文权重!$A:$A&amp;"_"&amp;符文权重!$C:$C,符文权重!$D:$D)*$Y578/SUMIFS($Y:$Y,L:L,L578,$D:$D,$D578,$AE:$AE,$AE578)/SUMIF(符文权重!$A:$A,$D578,符文权重!$D:$D)))</f>
        <v/>
      </c>
      <c r="S578" s="35" t="s">
        <v>344</v>
      </c>
      <c r="T578" s="35" t="s">
        <v>593</v>
      </c>
      <c r="U578" s="35" t="s">
        <v>413</v>
      </c>
      <c r="V578" s="35" t="s">
        <v>602</v>
      </c>
      <c r="X578" s="35" t="s">
        <v>595</v>
      </c>
      <c r="Y578" s="35">
        <v>100</v>
      </c>
      <c r="AA578" s="35" t="s">
        <v>177</v>
      </c>
      <c r="AB578" s="42" t="str">
        <f t="shared" si="250"/>
        <v>寒冰射手箭矢穿透&lt;color=#54b76b&gt;+1&lt;/color&gt;，伤害&lt;color=#54b76b&gt;-20%&lt;/color&gt;</v>
      </c>
      <c r="AC578" s="35">
        <v>5301221</v>
      </c>
      <c r="AD578" s="35" t="s">
        <v>428</v>
      </c>
      <c r="AE578" s="35">
        <v>4</v>
      </c>
      <c r="AH578" s="35">
        <v>1</v>
      </c>
      <c r="AI578" s="36"/>
      <c r="AJ578" s="35" t="s">
        <v>603</v>
      </c>
      <c r="AK578" s="36"/>
      <c r="AL578" s="35">
        <v>4</v>
      </c>
    </row>
    <row r="579" s="25" customFormat="1" hidden="1" customHeight="1" spans="1:38">
      <c r="A579" s="35">
        <v>5510022</v>
      </c>
      <c r="B579" s="35" t="s">
        <v>49</v>
      </c>
      <c r="C579" s="35">
        <v>5301221</v>
      </c>
      <c r="D579" s="35">
        <v>2</v>
      </c>
      <c r="E579" s="35"/>
      <c r="F579" s="35" t="s">
        <v>193</v>
      </c>
      <c r="G579" s="36" t="str">
        <f t="shared" si="239"/>
        <v/>
      </c>
      <c r="H579" s="36" t="str">
        <f>IFERROR(IF(--MID($F579,2*COUNTIF($G579:G579,"&gt;"&amp;0)+2,1)=H$1,H$1,""),"")</f>
        <v/>
      </c>
      <c r="I579" s="36">
        <f>IFERROR(IF(--MID($F579,2*COUNTIF($G579:H579,"&gt;"&amp;0)+2,1)=I$1,I$1,""),"")</f>
        <v>3</v>
      </c>
      <c r="J579" s="36" t="str">
        <f>IFERROR(IF(--MID($F579,2*COUNTIF($G579:I579,"&gt;"&amp;0)+2,1)=J$1,J$1,""),"")</f>
        <v/>
      </c>
      <c r="K579" s="36" t="str">
        <f>IFERROR(IF(--MID($F579,2*COUNTIF($G579:J579,"&gt;"&amp;0)+2,1)=K$1,K$1,""),"")</f>
        <v/>
      </c>
      <c r="L579" s="36" t="str">
        <f>IFERROR(IF(--MID($F579,2*COUNTIF($G579:K579,"&gt;"&amp;0)+2,1)=L$1,L$1,""),"")</f>
        <v/>
      </c>
      <c r="M579" s="51" t="str" cm="1">
        <f t="array" ref="M579">IF($A579="","",IF(G579="","",_xlfn.XLOOKUP($D579&amp;"_"&amp;$AE579,符文权重!$A:$A&amp;"_"&amp;符文权重!$C:$C,符文权重!$D:$D)*$Y579/SUMIFS($Y:$Y,G:G,G579,$D:$D,$D579,$AE:$AE,$AE579)/SUMIF(符文权重!$A:$A,$D579,符文权重!$D:$D)))</f>
        <v/>
      </c>
      <c r="N579" s="51" t="str" cm="1">
        <f t="array" ref="N579">IF($A579="","",IF(H579="","",_xlfn.XLOOKUP($D579&amp;"_"&amp;$AE579,符文权重!$A:$A&amp;"_"&amp;符文权重!$C:$C,符文权重!$D:$D)*$Y579/SUMIFS($Y:$Y,H:H,H579,$D:$D,$D579,$AE:$AE,$AE579)/SUMIF(符文权重!$A:$A,$D579,符文权重!$D:$D)))</f>
        <v/>
      </c>
      <c r="O579" s="51" cm="1">
        <f t="array" ref="O579">IF($A579="","",IF(I579="","",_xlfn.XLOOKUP($D579&amp;"_"&amp;$AE579,符文权重!$A:$A&amp;"_"&amp;符文权重!$C:$C,符文权重!$D:$D)*$Y579/SUMIFS($Y:$Y,I:I,I579,$D:$D,$D579,$AE:$AE,$AE579)/SUMIF(符文权重!$A:$A,$D579,符文权重!$D:$D)))</f>
        <v>0.025</v>
      </c>
      <c r="P579" s="51" t="str" cm="1">
        <f t="array" ref="P579">IF($A579="","",IF(J579="","",_xlfn.XLOOKUP($D579&amp;"_"&amp;$AE579,符文权重!$A:$A&amp;"_"&amp;符文权重!$C:$C,符文权重!$D:$D)*$Y579/SUMIFS($Y:$Y,J:J,J579,$D:$D,$D579,$AE:$AE,$AE579)/SUMIF(符文权重!$A:$A,$D579,符文权重!$D:$D)))</f>
        <v/>
      </c>
      <c r="Q579" s="51" t="str" cm="1">
        <f t="array" ref="Q579">IF($A579="","",IF(K579="","",_xlfn.XLOOKUP($D579&amp;"_"&amp;$AE579,符文权重!$A:$A&amp;"_"&amp;符文权重!$C:$C,符文权重!$D:$D)*$Y579/SUMIFS($Y:$Y,K:K,K579,$D:$D,$D579,$AE:$AE,$AE579)/SUMIF(符文权重!$A:$A,$D579,符文权重!$D:$D)))</f>
        <v/>
      </c>
      <c r="R579" s="51" t="str" cm="1">
        <f t="array" ref="R579">IF($A579="","",IF(L579="","",_xlfn.XLOOKUP($D579&amp;"_"&amp;$AE579,符文权重!$A:$A&amp;"_"&amp;符文权重!$C:$C,符文权重!$D:$D)*$Y579/SUMIFS($Y:$Y,L:L,L579,$D:$D,$D579,$AE:$AE,$AE579)/SUMIF(符文权重!$A:$A,$D579,符文权重!$D:$D)))</f>
        <v/>
      </c>
      <c r="S579" s="35" t="s">
        <v>344</v>
      </c>
      <c r="T579" s="35" t="s">
        <v>593</v>
      </c>
      <c r="U579" s="35" t="s">
        <v>415</v>
      </c>
      <c r="V579" s="35" t="s">
        <v>604</v>
      </c>
      <c r="X579" s="35" t="s">
        <v>599</v>
      </c>
      <c r="Y579" s="35">
        <v>100</v>
      </c>
      <c r="AA579" s="35" t="s">
        <v>181</v>
      </c>
      <c r="AB579" s="42" t="str">
        <f t="shared" si="250"/>
        <v>寒冰射手箭矢穿透&lt;color=#54b76b&gt;+1&lt;/color&gt;，伤害&lt;color=#54b76b&gt;-10%&lt;/color&gt;</v>
      </c>
      <c r="AC579" s="35">
        <v>5301221</v>
      </c>
      <c r="AD579" s="35" t="s">
        <v>422</v>
      </c>
      <c r="AE579" s="35">
        <v>4</v>
      </c>
      <c r="AH579" s="35">
        <v>1</v>
      </c>
      <c r="AI579" s="36"/>
      <c r="AJ579" s="35" t="s">
        <v>605</v>
      </c>
      <c r="AK579" s="36"/>
      <c r="AL579" s="35">
        <v>4</v>
      </c>
    </row>
    <row r="580" s="25" customFormat="1" hidden="1" customHeight="1" spans="1:38">
      <c r="A580" s="35"/>
      <c r="B580" s="35"/>
      <c r="C580" s="35"/>
      <c r="D580" s="35"/>
      <c r="E580" s="35"/>
      <c r="F580" s="35"/>
      <c r="G580" s="36" t="str">
        <f t="shared" si="239"/>
        <v/>
      </c>
      <c r="H580" s="36" t="str">
        <f>IFERROR(IF(--MID($F580,2*COUNTIF($G580:G580,"&gt;"&amp;0)+2,1)=H$1,H$1,""),"")</f>
        <v/>
      </c>
      <c r="I580" s="36" t="str">
        <f>IFERROR(IF(--MID($F580,2*COUNTIF($G580:H580,"&gt;"&amp;0)+2,1)=I$1,I$1,""),"")</f>
        <v/>
      </c>
      <c r="J580" s="36" t="str">
        <f>IFERROR(IF(--MID($F580,2*COUNTIF($G580:I580,"&gt;"&amp;0)+2,1)=J$1,J$1,""),"")</f>
        <v/>
      </c>
      <c r="K580" s="36" t="str">
        <f>IFERROR(IF(--MID($F580,2*COUNTIF($G580:J580,"&gt;"&amp;0)+2,1)=K$1,K$1,""),"")</f>
        <v/>
      </c>
      <c r="L580" s="36" t="str">
        <f>IFERROR(IF(--MID($F580,2*COUNTIF($G580:K580,"&gt;"&amp;0)+2,1)=L$1,L$1,""),"")</f>
        <v/>
      </c>
      <c r="M580" s="51" t="str" cm="1">
        <f t="array" ref="M580">IF($A580="","",IF(G580="","",_xlfn.XLOOKUP($D580&amp;"_"&amp;$AE580,符文权重!$A:$A&amp;"_"&amp;符文权重!$C:$C,符文权重!$D:$D)*$Y580/SUMIFS($Y:$Y,G:G,G580,$D:$D,$D580,$AE:$AE,$AE580)/SUMIF(符文权重!$A:$A,$D580,符文权重!$D:$D)))</f>
        <v/>
      </c>
      <c r="N580" s="36" t="str" cm="1">
        <f t="array" ref="N580">IF($A580="","",IF(H580="","",_xlfn.XLOOKUP($D580&amp;"_"&amp;$AE580,符文权重!$A:$A&amp;"_"&amp;符文权重!$C:$C,符文权重!$D:$D)*$Y580/SUMIFS($Y:$Y,H:H,H580,$D:$D,$D$6,$AE:$AE,$AE$6)))</f>
        <v/>
      </c>
      <c r="O580" s="36" t="str" cm="1">
        <f t="array" ref="O580">IF($A580="","",IF(I580="","",_xlfn.XLOOKUP($D580&amp;"_"&amp;$AE580,符文权重!$A:$A&amp;"_"&amp;符文权重!$C:$C,符文权重!$D:$D)*$Y580/SUMIFS($Y:$Y,I:I,I580,$D:$D,$D$6,$AE:$AE,$AE$6)))</f>
        <v/>
      </c>
      <c r="P580" s="36" t="str" cm="1">
        <f t="array" ref="P580">IF($A580="","",IF(J580="","",_xlfn.XLOOKUP($D580&amp;"_"&amp;$AE580,符文权重!$A:$A&amp;"_"&amp;符文权重!$C:$C,符文权重!$D:$D)*$Y580/SUMIFS($Y:$Y,J:J,J580,$D:$D,$D$6,$AE:$AE,$AE$6)))</f>
        <v/>
      </c>
      <c r="Q580" s="36" t="str" cm="1">
        <f t="array" ref="Q580">IF($A580="","",IF(K580="","",_xlfn.XLOOKUP($D580&amp;"_"&amp;$AE580,符文权重!$A:$A&amp;"_"&amp;符文权重!$C:$C,符文权重!$D:$D)*$Y580/SUMIFS($Y:$Y,K:K,K580,$D:$D,$D$6,$AE:$AE,$AE$6)))</f>
        <v/>
      </c>
      <c r="R580" s="36" t="str" cm="1">
        <f t="array" ref="R580">IF($A580="","",IF(L580="","",_xlfn.XLOOKUP($D580&amp;"_"&amp;$AE580,符文权重!$A:$A&amp;"_"&amp;符文权重!$C:$C,符文权重!$D:$D)*$Y580/SUMIFS($Y:$Y,L:L,L580,$D:$D,$D$6,$AE:$AE,$AE$6)))</f>
        <v/>
      </c>
      <c r="S580" s="35" t="s">
        <v>178</v>
      </c>
      <c r="T580" s="35" t="s">
        <v>178</v>
      </c>
      <c r="U580" s="35" t="s">
        <v>178</v>
      </c>
      <c r="V580" s="35"/>
      <c r="X580" s="35" t="s">
        <v>178</v>
      </c>
      <c r="Y580" s="35"/>
      <c r="AA580" s="35" t="s">
        <v>178</v>
      </c>
      <c r="AB580" s="42" t="str">
        <f t="shared" si="250"/>
        <v/>
      </c>
      <c r="AC580" s="35"/>
      <c r="AD580" s="35"/>
      <c r="AE580" s="35" t="s">
        <v>178</v>
      </c>
      <c r="AH580" s="35" t="s">
        <v>178</v>
      </c>
      <c r="AI580" s="36"/>
      <c r="AJ580" s="35"/>
      <c r="AK580" s="36"/>
      <c r="AL580" s="35">
        <v>4</v>
      </c>
    </row>
    <row r="581" s="25" customFormat="1" hidden="1" customHeight="1" spans="1:38">
      <c r="A581" s="35">
        <v>5510031</v>
      </c>
      <c r="B581" s="35" t="s">
        <v>50</v>
      </c>
      <c r="C581" s="35">
        <v>5301223</v>
      </c>
      <c r="D581" s="35">
        <v>1</v>
      </c>
      <c r="E581" s="35"/>
      <c r="F581" s="35" t="s">
        <v>193</v>
      </c>
      <c r="G581" s="36" t="str">
        <f t="shared" si="239"/>
        <v/>
      </c>
      <c r="H581" s="36" t="str">
        <f>IFERROR(IF(--MID($F581,2*COUNTIF($G581:G581,"&gt;"&amp;0)+2,1)=H$1,H$1,""),"")</f>
        <v/>
      </c>
      <c r="I581" s="36">
        <f>IFERROR(IF(--MID($F581,2*COUNTIF($G581:H581,"&gt;"&amp;0)+2,1)=I$1,I$1,""),"")</f>
        <v>3</v>
      </c>
      <c r="J581" s="36" t="str">
        <f>IFERROR(IF(--MID($F581,2*COUNTIF($G581:I581,"&gt;"&amp;0)+2,1)=J$1,J$1,""),"")</f>
        <v/>
      </c>
      <c r="K581" s="36" t="str">
        <f>IFERROR(IF(--MID($F581,2*COUNTIF($G581:J581,"&gt;"&amp;0)+2,1)=K$1,K$1,""),"")</f>
        <v/>
      </c>
      <c r="L581" s="36" t="str">
        <f>IFERROR(IF(--MID($F581,2*COUNTIF($G581:K581,"&gt;"&amp;0)+2,1)=L$1,L$1,""),"")</f>
        <v/>
      </c>
      <c r="M581" s="51" t="str" cm="1">
        <f t="array" ref="M581">IF($A581="","",IF(G581="","",_xlfn.XLOOKUP($D581&amp;"_"&amp;$AE581,符文权重!$A:$A&amp;"_"&amp;符文权重!$C:$C,符文权重!$D:$D)*$Y581/SUMIFS($Y:$Y,G:G,G581,$D:$D,$D581,$AE:$AE,$AE581)/SUMIF(符文权重!$A:$A,$D581,符文权重!$D:$D)))</f>
        <v/>
      </c>
      <c r="N581" s="51" t="str" cm="1">
        <f t="array" ref="N581">IF($A581="","",IF(H581="","",_xlfn.XLOOKUP($D581&amp;"_"&amp;$AE581,符文权重!$A:$A&amp;"_"&amp;符文权重!$C:$C,符文权重!$D:$D)*$Y581/SUMIFS($Y:$Y,H:H,H581,$D:$D,$D581,$AE:$AE,$AE581)/SUMIF(符文权重!$A:$A,$D581,符文权重!$D:$D)))</f>
        <v/>
      </c>
      <c r="O581" s="51" cm="1">
        <f t="array" ref="O581">IF($A581="","",IF(I581="","",_xlfn.XLOOKUP($D581&amp;"_"&amp;$AE581,符文权重!$A:$A&amp;"_"&amp;符文权重!$C:$C,符文权重!$D:$D)*$Y581/SUMIFS($Y:$Y,I:I,I581,$D:$D,$D581,$AE:$AE,$AE581)/SUMIF(符文权重!$A:$A,$D581,符文权重!$D:$D)))</f>
        <v>0.025</v>
      </c>
      <c r="P581" s="51" t="str" cm="1">
        <f t="array" ref="P581">IF($A581="","",IF(J581="","",_xlfn.XLOOKUP($D581&amp;"_"&amp;$AE581,符文权重!$A:$A&amp;"_"&amp;符文权重!$C:$C,符文权重!$D:$D)*$Y581/SUMIFS($Y:$Y,J:J,J581,$D:$D,$D581,$AE:$AE,$AE581)/SUMIF(符文权重!$A:$A,$D581,符文权重!$D:$D)))</f>
        <v/>
      </c>
      <c r="Q581" s="51" t="str" cm="1">
        <f t="array" ref="Q581">IF($A581="","",IF(K581="","",_xlfn.XLOOKUP($D581&amp;"_"&amp;$AE581,符文权重!$A:$A&amp;"_"&amp;符文权重!$C:$C,符文权重!$D:$D)*$Y581/SUMIFS($Y:$Y,K:K,K581,$D:$D,$D581,$AE:$AE,$AE581)/SUMIF(符文权重!$A:$A,$D581,符文权重!$D:$D)))</f>
        <v/>
      </c>
      <c r="R581" s="51" t="str" cm="1">
        <f t="array" ref="R581">IF($A581="","",IF(L581="","",_xlfn.XLOOKUP($D581&amp;"_"&amp;$AE581,符文权重!$A:$A&amp;"_"&amp;符文权重!$C:$C,符文权重!$D:$D)*$Y581/SUMIFS($Y:$Y,L:L,L581,$D:$D,$D581,$AE:$AE,$AE581)/SUMIF(符文权重!$A:$A,$D581,符文权重!$D:$D)))</f>
        <v/>
      </c>
      <c r="S581" s="35" t="s">
        <v>344</v>
      </c>
      <c r="T581" s="35" t="s">
        <v>606</v>
      </c>
      <c r="U581" s="35" t="s">
        <v>413</v>
      </c>
      <c r="V581" s="35" t="s">
        <v>607</v>
      </c>
      <c r="X581" s="35" t="s">
        <v>595</v>
      </c>
      <c r="Y581" s="35">
        <v>100</v>
      </c>
      <c r="AA581" s="35" t="s">
        <v>177</v>
      </c>
      <c r="AB581" s="42" t="str">
        <f t="shared" si="250"/>
        <v>炽焰巫师烤鸡有&lt;color=#54b76b&gt;15%&lt;/color&gt;概率点燃怪物</v>
      </c>
      <c r="AC581" s="35">
        <v>5301223</v>
      </c>
      <c r="AD581" s="35" t="s">
        <v>425</v>
      </c>
      <c r="AE581" s="35">
        <v>4</v>
      </c>
      <c r="AH581" s="35">
        <v>1</v>
      </c>
      <c r="AI581" s="36"/>
      <c r="AJ581" s="35" t="s">
        <v>608</v>
      </c>
      <c r="AK581" s="36"/>
      <c r="AL581" s="35">
        <v>4</v>
      </c>
    </row>
    <row r="582" s="25" customFormat="1" hidden="1" customHeight="1" spans="1:38">
      <c r="A582" s="35">
        <v>5510032</v>
      </c>
      <c r="B582" s="35" t="s">
        <v>50</v>
      </c>
      <c r="C582" s="35">
        <v>5301223</v>
      </c>
      <c r="D582" s="35">
        <v>2</v>
      </c>
      <c r="E582" s="35"/>
      <c r="F582" s="35" t="s">
        <v>193</v>
      </c>
      <c r="G582" s="36" t="str">
        <f t="shared" si="239"/>
        <v/>
      </c>
      <c r="H582" s="36" t="str">
        <f>IFERROR(IF(--MID($F582,2*COUNTIF($G582:G582,"&gt;"&amp;0)+2,1)=H$1,H$1,""),"")</f>
        <v/>
      </c>
      <c r="I582" s="36">
        <f>IFERROR(IF(--MID($F582,2*COUNTIF($G582:H582,"&gt;"&amp;0)+2,1)=I$1,I$1,""),"")</f>
        <v>3</v>
      </c>
      <c r="J582" s="36" t="str">
        <f>IFERROR(IF(--MID($F582,2*COUNTIF($G582:I582,"&gt;"&amp;0)+2,1)=J$1,J$1,""),"")</f>
        <v/>
      </c>
      <c r="K582" s="36" t="str">
        <f>IFERROR(IF(--MID($F582,2*COUNTIF($G582:J582,"&gt;"&amp;0)+2,1)=K$1,K$1,""),"")</f>
        <v/>
      </c>
      <c r="L582" s="36" t="str">
        <f>IFERROR(IF(--MID($F582,2*COUNTIF($G582:K582,"&gt;"&amp;0)+2,1)=L$1,L$1,""),"")</f>
        <v/>
      </c>
      <c r="M582" s="51" t="str" cm="1">
        <f t="array" ref="M582">IF($A582="","",IF(G582="","",_xlfn.XLOOKUP($D582&amp;"_"&amp;$AE582,符文权重!$A:$A&amp;"_"&amp;符文权重!$C:$C,符文权重!$D:$D)*$Y582/SUMIFS($Y:$Y,G:G,G582,$D:$D,$D582,$AE:$AE,$AE582)/SUMIF(符文权重!$A:$A,$D582,符文权重!$D:$D)))</f>
        <v/>
      </c>
      <c r="N582" s="51" t="str" cm="1">
        <f t="array" ref="N582">IF($A582="","",IF(H582="","",_xlfn.XLOOKUP($D582&amp;"_"&amp;$AE582,符文权重!$A:$A&amp;"_"&amp;符文权重!$C:$C,符文权重!$D:$D)*$Y582/SUMIFS($Y:$Y,H:H,H582,$D:$D,$D582,$AE:$AE,$AE582)/SUMIF(符文权重!$A:$A,$D582,符文权重!$D:$D)))</f>
        <v/>
      </c>
      <c r="O582" s="51" cm="1">
        <f t="array" ref="O582">IF($A582="","",IF(I582="","",_xlfn.XLOOKUP($D582&amp;"_"&amp;$AE582,符文权重!$A:$A&amp;"_"&amp;符文权重!$C:$C,符文权重!$D:$D)*$Y582/SUMIFS($Y:$Y,I:I,I582,$D:$D,$D582,$AE:$AE,$AE582)/SUMIF(符文权重!$A:$A,$D582,符文权重!$D:$D)))</f>
        <v>0.025</v>
      </c>
      <c r="P582" s="51" t="str" cm="1">
        <f t="array" ref="P582">IF($A582="","",IF(J582="","",_xlfn.XLOOKUP($D582&amp;"_"&amp;$AE582,符文权重!$A:$A&amp;"_"&amp;符文权重!$C:$C,符文权重!$D:$D)*$Y582/SUMIFS($Y:$Y,J:J,J582,$D:$D,$D582,$AE:$AE,$AE582)/SUMIF(符文权重!$A:$A,$D582,符文权重!$D:$D)))</f>
        <v/>
      </c>
      <c r="Q582" s="51" t="str" cm="1">
        <f t="array" ref="Q582">IF($A582="","",IF(K582="","",_xlfn.XLOOKUP($D582&amp;"_"&amp;$AE582,符文权重!$A:$A&amp;"_"&amp;符文权重!$C:$C,符文权重!$D:$D)*$Y582/SUMIFS($Y:$Y,K:K,K582,$D:$D,$D582,$AE:$AE,$AE582)/SUMIF(符文权重!$A:$A,$D582,符文权重!$D:$D)))</f>
        <v/>
      </c>
      <c r="R582" s="51" t="str" cm="1">
        <f t="array" ref="R582">IF($A582="","",IF(L582="","",_xlfn.XLOOKUP($D582&amp;"_"&amp;$AE582,符文权重!$A:$A&amp;"_"&amp;符文权重!$C:$C,符文权重!$D:$D)*$Y582/SUMIFS($Y:$Y,L:L,L582,$D:$D,$D582,$AE:$AE,$AE582)/SUMIF(符文权重!$A:$A,$D582,符文权重!$D:$D)))</f>
        <v/>
      </c>
      <c r="S582" s="35" t="s">
        <v>344</v>
      </c>
      <c r="T582" s="35" t="s">
        <v>606</v>
      </c>
      <c r="U582" s="35" t="s">
        <v>415</v>
      </c>
      <c r="V582" s="35" t="s">
        <v>609</v>
      </c>
      <c r="X582" s="35" t="s">
        <v>599</v>
      </c>
      <c r="Y582" s="35">
        <v>100</v>
      </c>
      <c r="AA582" s="35" t="s">
        <v>181</v>
      </c>
      <c r="AB582" s="42" t="str">
        <f t="shared" si="250"/>
        <v>炽焰巫师烤鸡有&lt;color=#54b76b&gt;25%&lt;/color&gt;概率点燃怪物</v>
      </c>
      <c r="AC582" s="35">
        <v>5301223</v>
      </c>
      <c r="AD582" s="35" t="s">
        <v>428</v>
      </c>
      <c r="AE582" s="35">
        <v>4</v>
      </c>
      <c r="AH582" s="35">
        <v>1</v>
      </c>
      <c r="AI582" s="36"/>
      <c r="AJ582" s="35" t="s">
        <v>610</v>
      </c>
      <c r="AK582" s="36"/>
      <c r="AL582" s="35">
        <v>4</v>
      </c>
    </row>
    <row r="583" s="25" customFormat="1" hidden="1" customHeight="1" spans="1:38">
      <c r="F583" s="35"/>
      <c r="G583" s="36" t="str">
        <f t="shared" ref="G583:G646" si="263">IF(LEFT(F583,2)="[1",1,"")</f>
        <v/>
      </c>
      <c r="H583" s="36" t="str">
        <f>IFERROR(IF(--MID($F583,2*COUNTIF($G583:G583,"&gt;"&amp;0)+2,1)=H$1,H$1,""),"")</f>
        <v/>
      </c>
      <c r="I583" s="36" t="str">
        <f>IFERROR(IF(--MID($F583,2*COUNTIF($G583:H583,"&gt;"&amp;0)+2,1)=I$1,I$1,""),"")</f>
        <v/>
      </c>
      <c r="J583" s="36" t="str">
        <f>IFERROR(IF(--MID($F583,2*COUNTIF($G583:I583,"&gt;"&amp;0)+2,1)=J$1,J$1,""),"")</f>
        <v/>
      </c>
      <c r="K583" s="36" t="str">
        <f>IFERROR(IF(--MID($F583,2*COUNTIF($G583:J583,"&gt;"&amp;0)+2,1)=K$1,K$1,""),"")</f>
        <v/>
      </c>
      <c r="L583" s="36" t="str">
        <f>IFERROR(IF(--MID($F583,2*COUNTIF($G583:K583,"&gt;"&amp;0)+2,1)=L$1,L$1,""),"")</f>
        <v/>
      </c>
      <c r="M583" s="51" t="str" cm="1">
        <f t="array" ref="M583">IF($A583="","",IF(G583="","",_xlfn.XLOOKUP($D583&amp;"_"&amp;$AE583,符文权重!$A:$A&amp;"_"&amp;符文权重!$C:$C,符文权重!$D:$D)*$Y583/SUMIFS($Y:$Y,G:G,G583,$D:$D,$D583,$AE:$AE,$AE583)/SUMIF(符文权重!$A:$A,$D583,符文权重!$D:$D)))</f>
        <v/>
      </c>
      <c r="N583" s="36" t="str" cm="1">
        <f t="array" ref="N583">IF($A583="","",IF(H583="","",_xlfn.XLOOKUP($D583&amp;"_"&amp;$AE583,符文权重!$A:$A&amp;"_"&amp;符文权重!$C:$C,符文权重!$D:$D)*$Y583/SUMIFS($Y:$Y,H:H,H583,$D:$D,$D$6,$AE:$AE,$AE$6)))</f>
        <v/>
      </c>
      <c r="O583" s="36" t="str" cm="1">
        <f t="array" ref="O583">IF($A583="","",IF(I583="","",_xlfn.XLOOKUP($D583&amp;"_"&amp;$AE583,符文权重!$A:$A&amp;"_"&amp;符文权重!$C:$C,符文权重!$D:$D)*$Y583/SUMIFS($Y:$Y,I:I,I583,$D:$D,$D$6,$AE:$AE,$AE$6)))</f>
        <v/>
      </c>
      <c r="P583" s="36" t="str" cm="1">
        <f t="array" ref="P583">IF($A583="","",IF(J583="","",_xlfn.XLOOKUP($D583&amp;"_"&amp;$AE583,符文权重!$A:$A&amp;"_"&amp;符文权重!$C:$C,符文权重!$D:$D)*$Y583/SUMIFS($Y:$Y,J:J,J583,$D:$D,$D$6,$AE:$AE,$AE$6)))</f>
        <v/>
      </c>
      <c r="Q583" s="36" t="str" cm="1">
        <f t="array" ref="Q583">IF($A583="","",IF(K583="","",_xlfn.XLOOKUP($D583&amp;"_"&amp;$AE583,符文权重!$A:$A&amp;"_"&amp;符文权重!$C:$C,符文权重!$D:$D)*$Y583/SUMIFS($Y:$Y,K:K,K583,$D:$D,$D$6,$AE:$AE,$AE$6)))</f>
        <v/>
      </c>
      <c r="R583" s="36" t="str" cm="1">
        <f t="array" ref="R583">IF($A583="","",IF(L583="","",_xlfn.XLOOKUP($D583&amp;"_"&amp;$AE583,符文权重!$A:$A&amp;"_"&amp;符文权重!$C:$C,符文权重!$D:$D)*$Y583/SUMIFS($Y:$Y,L:L,L583,$D:$D,$D$6,$AE:$AE,$AE$6)))</f>
        <v/>
      </c>
      <c r="S583" s="35" t="s">
        <v>178</v>
      </c>
      <c r="T583" s="35" t="s">
        <v>178</v>
      </c>
      <c r="U583" s="35" t="s">
        <v>178</v>
      </c>
      <c r="X583" s="35" t="s">
        <v>178</v>
      </c>
      <c r="Y583" s="35"/>
      <c r="AA583" s="35" t="s">
        <v>178</v>
      </c>
      <c r="AB583" s="42" t="str">
        <f t="shared" si="250"/>
        <v/>
      </c>
      <c r="AE583" s="35" t="s">
        <v>178</v>
      </c>
      <c r="AH583" s="35" t="s">
        <v>178</v>
      </c>
      <c r="AI583" s="36"/>
      <c r="AK583" s="36"/>
      <c r="AL583" s="35">
        <v>4</v>
      </c>
    </row>
    <row r="584" s="25" customFormat="1" hidden="1" customHeight="1" spans="1:38">
      <c r="A584" s="35">
        <v>5510041</v>
      </c>
      <c r="B584" s="35" t="s">
        <v>50</v>
      </c>
      <c r="C584" s="35">
        <v>5301224</v>
      </c>
      <c r="D584" s="35">
        <v>1</v>
      </c>
      <c r="E584" s="35"/>
      <c r="F584" s="35" t="s">
        <v>404</v>
      </c>
      <c r="G584" s="36" t="str">
        <f t="shared" si="263"/>
        <v/>
      </c>
      <c r="H584" s="36" t="str">
        <f>IFERROR(IF(--MID($F584,2*COUNTIF($G584:G584,"&gt;"&amp;0)+2,1)=H$1,H$1,""),"")</f>
        <v/>
      </c>
      <c r="I584" s="36" t="str">
        <f>IFERROR(IF(--MID($F584,2*COUNTIF($G584:H584,"&gt;"&amp;0)+2,1)=I$1,I$1,""),"")</f>
        <v/>
      </c>
      <c r="J584" s="36">
        <f>IFERROR(IF(--MID($F584,2*COUNTIF($G584:I584,"&gt;"&amp;0)+2,1)=J$1,J$1,""),"")</f>
        <v>4</v>
      </c>
      <c r="K584" s="36" t="str">
        <f>IFERROR(IF(--MID($F584,2*COUNTIF($G584:J584,"&gt;"&amp;0)+2,1)=K$1,K$1,""),"")</f>
        <v/>
      </c>
      <c r="L584" s="36" t="str">
        <f>IFERROR(IF(--MID($F584,2*COUNTIF($G584:K584,"&gt;"&amp;0)+2,1)=L$1,L$1,""),"")</f>
        <v/>
      </c>
      <c r="M584" s="51" t="str" cm="1">
        <f t="array" ref="M584">IF($A584="","",IF(G584="","",_xlfn.XLOOKUP($D584&amp;"_"&amp;$AE584,符文权重!$A:$A&amp;"_"&amp;符文权重!$C:$C,符文权重!$D:$D)*$Y584/SUMIFS($Y:$Y,G:G,G584,$D:$D,$D584,$AE:$AE,$AE584)/SUMIF(符文权重!$A:$A,$D584,符文权重!$D:$D)))</f>
        <v/>
      </c>
      <c r="N584" s="51" t="str" cm="1">
        <f t="array" ref="N584">IF($A584="","",IF(H584="","",_xlfn.XLOOKUP($D584&amp;"_"&amp;$AE584,符文权重!$A:$A&amp;"_"&amp;符文权重!$C:$C,符文权重!$D:$D)*$Y584/SUMIFS($Y:$Y,H:H,H584,$D:$D,$D584,$AE:$AE,$AE584)/SUMIF(符文权重!$A:$A,$D584,符文权重!$D:$D)))</f>
        <v/>
      </c>
      <c r="O584" s="51" t="str" cm="1">
        <f t="array" ref="O584">IF($A584="","",IF(I584="","",_xlfn.XLOOKUP($D584&amp;"_"&amp;$AE584,符文权重!$A:$A&amp;"_"&amp;符文权重!$C:$C,符文权重!$D:$D)*$Y584/SUMIFS($Y:$Y,I:I,I584,$D:$D,$D584,$AE:$AE,$AE584)/SUMIF(符文权重!$A:$A,$D584,符文权重!$D:$D)))</f>
        <v/>
      </c>
      <c r="P584" s="51" cm="1">
        <f t="array" ref="P584">IF($A584="","",IF(J584="","",_xlfn.XLOOKUP($D584&amp;"_"&amp;$AE584,符文权重!$A:$A&amp;"_"&amp;符文权重!$C:$C,符文权重!$D:$D)*$Y584/SUMIFS($Y:$Y,J:J,J584,$D:$D,$D584,$AE:$AE,$AE584)/SUMIF(符文权重!$A:$A,$D584,符文权重!$D:$D)))</f>
        <v>0.05</v>
      </c>
      <c r="Q584" s="51" t="str" cm="1">
        <f t="array" ref="Q584">IF($A584="","",IF(K584="","",_xlfn.XLOOKUP($D584&amp;"_"&amp;$AE584,符文权重!$A:$A&amp;"_"&amp;符文权重!$C:$C,符文权重!$D:$D)*$Y584/SUMIFS($Y:$Y,K:K,K584,$D:$D,$D584,$AE:$AE,$AE584)/SUMIF(符文权重!$A:$A,$D584,符文权重!$D:$D)))</f>
        <v/>
      </c>
      <c r="R584" s="51" t="str" cm="1">
        <f t="array" ref="R584">IF($A584="","",IF(L584="","",_xlfn.XLOOKUP($D584&amp;"_"&amp;$AE584,符文权重!$A:$A&amp;"_"&amp;符文权重!$C:$C,符文权重!$D:$D)*$Y584/SUMIFS($Y:$Y,L:L,L584,$D:$D,$D584,$AE:$AE,$AE584)/SUMIF(符文权重!$A:$A,$D584,符文权重!$D:$D)))</f>
        <v/>
      </c>
      <c r="S584" s="35" t="s">
        <v>344</v>
      </c>
      <c r="T584" s="35" t="s">
        <v>606</v>
      </c>
      <c r="U584" s="35" t="s">
        <v>413</v>
      </c>
      <c r="V584" s="35" t="s">
        <v>611</v>
      </c>
      <c r="X584" s="35" t="s">
        <v>595</v>
      </c>
      <c r="Y584" s="35">
        <v>100</v>
      </c>
      <c r="AA584" s="35" t="s">
        <v>177</v>
      </c>
      <c r="AB584" s="42" t="str">
        <f t="shared" si="250"/>
        <v>炽焰巫师烤鸡弹跳次数&lt;color=#54b76b&gt;+1&lt;/color&gt;，伤害&lt;color=#54b76b&gt;-20%&lt;/color&gt;</v>
      </c>
      <c r="AC584" s="35">
        <v>5301224</v>
      </c>
      <c r="AD584" s="35" t="s">
        <v>428</v>
      </c>
      <c r="AE584" s="35">
        <v>4</v>
      </c>
      <c r="AH584" s="35">
        <v>1</v>
      </c>
      <c r="AI584" s="36"/>
      <c r="AJ584" s="35" t="s">
        <v>612</v>
      </c>
      <c r="AK584" s="36"/>
      <c r="AL584" s="35">
        <v>4</v>
      </c>
    </row>
    <row r="585" s="25" customFormat="1" hidden="1" customHeight="1" spans="1:38">
      <c r="A585" s="35">
        <v>5510042</v>
      </c>
      <c r="B585" s="35" t="s">
        <v>50</v>
      </c>
      <c r="C585" s="35">
        <v>5301224</v>
      </c>
      <c r="D585" s="35">
        <v>2</v>
      </c>
      <c r="E585" s="35"/>
      <c r="F585" s="35" t="s">
        <v>404</v>
      </c>
      <c r="G585" s="36" t="str">
        <f t="shared" si="263"/>
        <v/>
      </c>
      <c r="H585" s="36" t="str">
        <f>IFERROR(IF(--MID($F585,2*COUNTIF($G585:G585,"&gt;"&amp;0)+2,1)=H$1,H$1,""),"")</f>
        <v/>
      </c>
      <c r="I585" s="36" t="str">
        <f>IFERROR(IF(--MID($F585,2*COUNTIF($G585:H585,"&gt;"&amp;0)+2,1)=I$1,I$1,""),"")</f>
        <v/>
      </c>
      <c r="J585" s="36">
        <f>IFERROR(IF(--MID($F585,2*COUNTIF($G585:I585,"&gt;"&amp;0)+2,1)=J$1,J$1,""),"")</f>
        <v>4</v>
      </c>
      <c r="K585" s="36" t="str">
        <f>IFERROR(IF(--MID($F585,2*COUNTIF($G585:J585,"&gt;"&amp;0)+2,1)=K$1,K$1,""),"")</f>
        <v/>
      </c>
      <c r="L585" s="36" t="str">
        <f>IFERROR(IF(--MID($F585,2*COUNTIF($G585:K585,"&gt;"&amp;0)+2,1)=L$1,L$1,""),"")</f>
        <v/>
      </c>
      <c r="M585" s="51" t="str" cm="1">
        <f t="array" ref="M585">IF($A585="","",IF(G585="","",_xlfn.XLOOKUP($D585&amp;"_"&amp;$AE585,符文权重!$A:$A&amp;"_"&amp;符文权重!$C:$C,符文权重!$D:$D)*$Y585/SUMIFS($Y:$Y,G:G,G585,$D:$D,$D585,$AE:$AE,$AE585)/SUMIF(符文权重!$A:$A,$D585,符文权重!$D:$D)))</f>
        <v/>
      </c>
      <c r="N585" s="51" t="str" cm="1">
        <f t="array" ref="N585">IF($A585="","",IF(H585="","",_xlfn.XLOOKUP($D585&amp;"_"&amp;$AE585,符文权重!$A:$A&amp;"_"&amp;符文权重!$C:$C,符文权重!$D:$D)*$Y585/SUMIFS($Y:$Y,H:H,H585,$D:$D,$D585,$AE:$AE,$AE585)/SUMIF(符文权重!$A:$A,$D585,符文权重!$D:$D)))</f>
        <v/>
      </c>
      <c r="O585" s="51" t="str" cm="1">
        <f t="array" ref="O585">IF($A585="","",IF(I585="","",_xlfn.XLOOKUP($D585&amp;"_"&amp;$AE585,符文权重!$A:$A&amp;"_"&amp;符文权重!$C:$C,符文权重!$D:$D)*$Y585/SUMIFS($Y:$Y,I:I,I585,$D:$D,$D585,$AE:$AE,$AE585)/SUMIF(符文权重!$A:$A,$D585,符文权重!$D:$D)))</f>
        <v/>
      </c>
      <c r="P585" s="51" cm="1">
        <f t="array" ref="P585">IF($A585="","",IF(J585="","",_xlfn.XLOOKUP($D585&amp;"_"&amp;$AE585,符文权重!$A:$A&amp;"_"&amp;符文权重!$C:$C,符文权重!$D:$D)*$Y585/SUMIFS($Y:$Y,J:J,J585,$D:$D,$D585,$AE:$AE,$AE585)/SUMIF(符文权重!$A:$A,$D585,符文权重!$D:$D)))</f>
        <v>0.05</v>
      </c>
      <c r="Q585" s="51" t="str" cm="1">
        <f t="array" ref="Q585">IF($A585="","",IF(K585="","",_xlfn.XLOOKUP($D585&amp;"_"&amp;$AE585,符文权重!$A:$A&amp;"_"&amp;符文权重!$C:$C,符文权重!$D:$D)*$Y585/SUMIFS($Y:$Y,K:K,K585,$D:$D,$D585,$AE:$AE,$AE585)/SUMIF(符文权重!$A:$A,$D585,符文权重!$D:$D)))</f>
        <v/>
      </c>
      <c r="R585" s="51" t="str" cm="1">
        <f t="array" ref="R585">IF($A585="","",IF(L585="","",_xlfn.XLOOKUP($D585&amp;"_"&amp;$AE585,符文权重!$A:$A&amp;"_"&amp;符文权重!$C:$C,符文权重!$D:$D)*$Y585/SUMIFS($Y:$Y,L:L,L585,$D:$D,$D585,$AE:$AE,$AE585)/SUMIF(符文权重!$A:$A,$D585,符文权重!$D:$D)))</f>
        <v/>
      </c>
      <c r="S585" s="35" t="s">
        <v>344</v>
      </c>
      <c r="T585" s="35" t="s">
        <v>606</v>
      </c>
      <c r="U585" s="35" t="s">
        <v>415</v>
      </c>
      <c r="V585" s="35" t="s">
        <v>613</v>
      </c>
      <c r="W585" s="35"/>
      <c r="X585" s="35" t="s">
        <v>599</v>
      </c>
      <c r="Y585" s="35">
        <v>100</v>
      </c>
      <c r="AA585" s="35" t="s">
        <v>181</v>
      </c>
      <c r="AB585" s="42" t="str">
        <f t="shared" si="250"/>
        <v>炽焰巫师烤鸡弹跳次数&lt;color=#54b76b&gt;+1&lt;/color&gt;，伤害&lt;color=#54b76b&gt;-15%&lt;/color&gt;</v>
      </c>
      <c r="AC585" s="35">
        <v>5301224</v>
      </c>
      <c r="AD585" s="35" t="s">
        <v>425</v>
      </c>
      <c r="AE585" s="35">
        <v>4</v>
      </c>
      <c r="AH585" s="35">
        <v>1</v>
      </c>
      <c r="AI585" s="36"/>
      <c r="AJ585" s="35" t="s">
        <v>614</v>
      </c>
      <c r="AK585" s="36"/>
      <c r="AL585" s="35">
        <v>4</v>
      </c>
    </row>
    <row r="586" s="25" customFormat="1" hidden="1" customHeight="1" spans="1:38">
      <c r="A586" s="35"/>
      <c r="B586" s="35"/>
      <c r="C586" s="35"/>
      <c r="D586" s="35"/>
      <c r="E586" s="35"/>
      <c r="F586" s="35"/>
      <c r="G586" s="36" t="str">
        <f t="shared" si="263"/>
        <v/>
      </c>
      <c r="H586" s="36" t="str">
        <f>IFERROR(IF(--MID($F586,2*COUNTIF($G586:G586,"&gt;"&amp;0)+2,1)=H$1,H$1,""),"")</f>
        <v/>
      </c>
      <c r="I586" s="36" t="str">
        <f>IFERROR(IF(--MID($F586,2*COUNTIF($G586:H586,"&gt;"&amp;0)+2,1)=I$1,I$1,""),"")</f>
        <v/>
      </c>
      <c r="J586" s="36" t="str">
        <f>IFERROR(IF(--MID($F586,2*COUNTIF($G586:I586,"&gt;"&amp;0)+2,1)=J$1,J$1,""),"")</f>
        <v/>
      </c>
      <c r="K586" s="36" t="str">
        <f>IFERROR(IF(--MID($F586,2*COUNTIF($G586:J586,"&gt;"&amp;0)+2,1)=K$1,K$1,""),"")</f>
        <v/>
      </c>
      <c r="L586" s="36" t="str">
        <f>IFERROR(IF(--MID($F586,2*COUNTIF($G586:K586,"&gt;"&amp;0)+2,1)=L$1,L$1,""),"")</f>
        <v/>
      </c>
      <c r="M586" s="51" t="str" cm="1">
        <f t="array" ref="M586">IF($A586="","",IF(G586="","",_xlfn.XLOOKUP($D586&amp;"_"&amp;$AE586,符文权重!$A:$A&amp;"_"&amp;符文权重!$C:$C,符文权重!$D:$D)*$Y586/SUMIFS($Y:$Y,G:G,G586,$D:$D,$D586,$AE:$AE,$AE586)/SUMIF(符文权重!$A:$A,$D586,符文权重!$D:$D)))</f>
        <v/>
      </c>
      <c r="N586" s="36" t="str" cm="1">
        <f t="array" ref="N586">IF($A586="","",IF(H586="","",_xlfn.XLOOKUP($D586&amp;"_"&amp;$AE586,符文权重!$A:$A&amp;"_"&amp;符文权重!$C:$C,符文权重!$D:$D)*$Y586/SUMIFS($Y:$Y,H:H,H586,$D:$D,$D$6,$AE:$AE,$AE$6)))</f>
        <v/>
      </c>
      <c r="O586" s="36" t="str" cm="1">
        <f t="array" ref="O586">IF($A586="","",IF(I586="","",_xlfn.XLOOKUP($D586&amp;"_"&amp;$AE586,符文权重!$A:$A&amp;"_"&amp;符文权重!$C:$C,符文权重!$D:$D)*$Y586/SUMIFS($Y:$Y,I:I,I586,$D:$D,$D$6,$AE:$AE,$AE$6)))</f>
        <v/>
      </c>
      <c r="P586" s="36" t="str" cm="1">
        <f t="array" ref="P586">IF($A586="","",IF(J586="","",_xlfn.XLOOKUP($D586&amp;"_"&amp;$AE586,符文权重!$A:$A&amp;"_"&amp;符文权重!$C:$C,符文权重!$D:$D)*$Y586/SUMIFS($Y:$Y,J:J,J586,$D:$D,$D$6,$AE:$AE,$AE$6)))</f>
        <v/>
      </c>
      <c r="Q586" s="36" t="str" cm="1">
        <f t="array" ref="Q586">IF($A586="","",IF(K586="","",_xlfn.XLOOKUP($D586&amp;"_"&amp;$AE586,符文权重!$A:$A&amp;"_"&amp;符文权重!$C:$C,符文权重!$D:$D)*$Y586/SUMIFS($Y:$Y,K:K,K586,$D:$D,$D$6,$AE:$AE,$AE$6)))</f>
        <v/>
      </c>
      <c r="R586" s="36" t="str" cm="1">
        <f t="array" ref="R586">IF($A586="","",IF(L586="","",_xlfn.XLOOKUP($D586&amp;"_"&amp;$AE586,符文权重!$A:$A&amp;"_"&amp;符文权重!$C:$C,符文权重!$D:$D)*$Y586/SUMIFS($Y:$Y,L:L,L586,$D:$D,$D$6,$AE:$AE,$AE$6)))</f>
        <v/>
      </c>
      <c r="S586" s="35" t="s">
        <v>178</v>
      </c>
      <c r="T586" s="35" t="s">
        <v>178</v>
      </c>
      <c r="U586" s="35" t="s">
        <v>178</v>
      </c>
      <c r="V586" s="35"/>
      <c r="W586" s="35"/>
      <c r="X586" s="35" t="s">
        <v>178</v>
      </c>
      <c r="Y586" s="35"/>
      <c r="AA586" s="35" t="s">
        <v>178</v>
      </c>
      <c r="AB586" s="42" t="str">
        <f t="shared" si="250"/>
        <v/>
      </c>
      <c r="AC586" s="35"/>
      <c r="AD586" s="35"/>
      <c r="AE586" s="35" t="s">
        <v>178</v>
      </c>
      <c r="AH586" s="35" t="s">
        <v>178</v>
      </c>
      <c r="AI586" s="36"/>
      <c r="AJ586" s="35"/>
      <c r="AK586" s="36"/>
      <c r="AL586" s="35">
        <v>4</v>
      </c>
    </row>
    <row r="587" s="25" customFormat="1" hidden="1" customHeight="1" spans="1:38">
      <c r="A587" s="35">
        <v>5510051</v>
      </c>
      <c r="B587" s="35" t="s">
        <v>51</v>
      </c>
      <c r="C587" s="35">
        <v>5301226</v>
      </c>
      <c r="D587" s="35">
        <v>1</v>
      </c>
      <c r="E587" s="35"/>
      <c r="F587" s="35" t="s">
        <v>230</v>
      </c>
      <c r="G587" s="36" t="str">
        <f t="shared" si="263"/>
        <v/>
      </c>
      <c r="H587" s="36" t="str">
        <f>IFERROR(IF(--MID($F587,2*COUNTIF($G587:G587,"&gt;"&amp;0)+2,1)=H$1,H$1,""),"")</f>
        <v/>
      </c>
      <c r="I587" s="36" t="str">
        <f>IFERROR(IF(--MID($F587,2*COUNTIF($G587:H587,"&gt;"&amp;0)+2,1)=I$1,I$1,""),"")</f>
        <v/>
      </c>
      <c r="J587" s="36" t="str">
        <f>IFERROR(IF(--MID($F587,2*COUNTIF($G587:I587,"&gt;"&amp;0)+2,1)=J$1,J$1,""),"")</f>
        <v/>
      </c>
      <c r="K587" s="36">
        <f>IFERROR(IF(--MID($F587,2*COUNTIF($G587:J587,"&gt;"&amp;0)+2,1)=K$1,K$1,""),"")</f>
        <v>5</v>
      </c>
      <c r="L587" s="36" t="str">
        <f>IFERROR(IF(--MID($F587,2*COUNTIF($G587:K587,"&gt;"&amp;0)+2,1)=L$1,L$1,""),"")</f>
        <v/>
      </c>
      <c r="M587" s="51" t="str" cm="1">
        <f t="array" ref="M587">IF($A587="","",IF(G587="","",_xlfn.XLOOKUP($D587&amp;"_"&amp;$AE587,符文权重!$A:$A&amp;"_"&amp;符文权重!$C:$C,符文权重!$D:$D)*$Y587/SUMIFS($Y:$Y,G:G,G587,$D:$D,$D587,$AE:$AE,$AE587)/SUMIF(符文权重!$A:$A,$D587,符文权重!$D:$D)))</f>
        <v/>
      </c>
      <c r="N587" s="51" t="str" cm="1">
        <f t="array" ref="N587">IF($A587="","",IF(H587="","",_xlfn.XLOOKUP($D587&amp;"_"&amp;$AE587,符文权重!$A:$A&amp;"_"&amp;符文权重!$C:$C,符文权重!$D:$D)*$Y587/SUMIFS($Y:$Y,H:H,H587,$D:$D,$D587,$AE:$AE,$AE587)/SUMIF(符文权重!$A:$A,$D587,符文权重!$D:$D)))</f>
        <v/>
      </c>
      <c r="O587" s="51" t="str" cm="1">
        <f t="array" ref="O587">IF($A587="","",IF(I587="","",_xlfn.XLOOKUP($D587&amp;"_"&amp;$AE587,符文权重!$A:$A&amp;"_"&amp;符文权重!$C:$C,符文权重!$D:$D)*$Y587/SUMIFS($Y:$Y,I:I,I587,$D:$D,$D587,$AE:$AE,$AE587)/SUMIF(符文权重!$A:$A,$D587,符文权重!$D:$D)))</f>
        <v/>
      </c>
      <c r="P587" s="51" t="str" cm="1">
        <f t="array" ref="P587">IF($A587="","",IF(J587="","",_xlfn.XLOOKUP($D587&amp;"_"&amp;$AE587,符文权重!$A:$A&amp;"_"&amp;符文权重!$C:$C,符文权重!$D:$D)*$Y587/SUMIFS($Y:$Y,J:J,J587,$D:$D,$D587,$AE:$AE,$AE587)/SUMIF(符文权重!$A:$A,$D587,符文权重!$D:$D)))</f>
        <v/>
      </c>
      <c r="Q587" s="51" cm="1">
        <f t="array" ref="Q587">IF($A587="","",IF(K587="","",_xlfn.XLOOKUP($D587&amp;"_"&amp;$AE587,符文权重!$A:$A&amp;"_"&amp;符文权重!$C:$C,符文权重!$D:$D)*$Y587/SUMIFS($Y:$Y,K:K,K587,$D:$D,$D587,$AE:$AE,$AE587)/SUMIF(符文权重!$A:$A,$D587,符文权重!$D:$D)))</f>
        <v>0.05</v>
      </c>
      <c r="R587" s="51" t="str" cm="1">
        <f t="array" ref="R587">IF($A587="","",IF(L587="","",_xlfn.XLOOKUP($D587&amp;"_"&amp;$AE587,符文权重!$A:$A&amp;"_"&amp;符文权重!$C:$C,符文权重!$D:$D)*$Y587/SUMIFS($Y:$Y,L:L,L587,$D:$D,$D587,$AE:$AE,$AE587)/SUMIF(符文权重!$A:$A,$D587,符文权重!$D:$D)))</f>
        <v/>
      </c>
      <c r="S587" s="35" t="s">
        <v>344</v>
      </c>
      <c r="T587" s="35" t="s">
        <v>615</v>
      </c>
      <c r="U587" s="35" t="s">
        <v>413</v>
      </c>
      <c r="V587" s="35" t="s">
        <v>616</v>
      </c>
      <c r="W587" s="35"/>
      <c r="X587" s="35" t="s">
        <v>617</v>
      </c>
      <c r="Y587" s="35">
        <v>100</v>
      </c>
      <c r="AA587" s="35" t="s">
        <v>177</v>
      </c>
      <c r="AB587" s="42" t="str">
        <f t="shared" si="250"/>
        <v>吟游诗人施加祝福时&lt;color=#54b76b&gt;50%&lt;/color&gt;几率攻击1个敌人并附加&lt;color=#54b76b&gt;15%[易伤]&lt;/color&gt;</v>
      </c>
      <c r="AC587" s="35">
        <v>5301226</v>
      </c>
      <c r="AD587" s="35" t="s">
        <v>425</v>
      </c>
      <c r="AE587" s="35">
        <v>4</v>
      </c>
      <c r="AH587" s="35">
        <v>1</v>
      </c>
      <c r="AI587" s="36"/>
      <c r="AJ587" s="35" t="s">
        <v>618</v>
      </c>
      <c r="AK587" s="36"/>
      <c r="AL587" s="35">
        <v>4</v>
      </c>
    </row>
    <row r="588" s="25" customFormat="1" hidden="1" customHeight="1" spans="1:38">
      <c r="A588" s="35">
        <v>5510052</v>
      </c>
      <c r="B588" s="35" t="s">
        <v>51</v>
      </c>
      <c r="C588" s="35">
        <v>5301226</v>
      </c>
      <c r="D588" s="35">
        <v>2</v>
      </c>
      <c r="E588" s="35"/>
      <c r="F588" s="35" t="s">
        <v>230</v>
      </c>
      <c r="G588" s="36" t="str">
        <f t="shared" si="263"/>
        <v/>
      </c>
      <c r="H588" s="36" t="str">
        <f>IFERROR(IF(--MID($F588,2*COUNTIF($G588:G588,"&gt;"&amp;0)+2,1)=H$1,H$1,""),"")</f>
        <v/>
      </c>
      <c r="I588" s="36" t="str">
        <f>IFERROR(IF(--MID($F588,2*COUNTIF($G588:H588,"&gt;"&amp;0)+2,1)=I$1,I$1,""),"")</f>
        <v/>
      </c>
      <c r="J588" s="36" t="str">
        <f>IFERROR(IF(--MID($F588,2*COUNTIF($G588:I588,"&gt;"&amp;0)+2,1)=J$1,J$1,""),"")</f>
        <v/>
      </c>
      <c r="K588" s="36">
        <f>IFERROR(IF(--MID($F588,2*COUNTIF($G588:J588,"&gt;"&amp;0)+2,1)=K$1,K$1,""),"")</f>
        <v>5</v>
      </c>
      <c r="L588" s="36" t="str">
        <f>IFERROR(IF(--MID($F588,2*COUNTIF($G588:K588,"&gt;"&amp;0)+2,1)=L$1,L$1,""),"")</f>
        <v/>
      </c>
      <c r="M588" s="51" t="str" cm="1">
        <f t="array" ref="M588">IF($A588="","",IF(G588="","",_xlfn.XLOOKUP($D588&amp;"_"&amp;$AE588,符文权重!$A:$A&amp;"_"&amp;符文权重!$C:$C,符文权重!$D:$D)*$Y588/SUMIFS($Y:$Y,G:G,G588,$D:$D,$D588,$AE:$AE,$AE588)/SUMIF(符文权重!$A:$A,$D588,符文权重!$D:$D)))</f>
        <v/>
      </c>
      <c r="N588" s="51" t="str" cm="1">
        <f t="array" ref="N588">IF($A588="","",IF(H588="","",_xlfn.XLOOKUP($D588&amp;"_"&amp;$AE588,符文权重!$A:$A&amp;"_"&amp;符文权重!$C:$C,符文权重!$D:$D)*$Y588/SUMIFS($Y:$Y,H:H,H588,$D:$D,$D588,$AE:$AE,$AE588)/SUMIF(符文权重!$A:$A,$D588,符文权重!$D:$D)))</f>
        <v/>
      </c>
      <c r="O588" s="51" t="str" cm="1">
        <f t="array" ref="O588">IF($A588="","",IF(I588="","",_xlfn.XLOOKUP($D588&amp;"_"&amp;$AE588,符文权重!$A:$A&amp;"_"&amp;符文权重!$C:$C,符文权重!$D:$D)*$Y588/SUMIFS($Y:$Y,I:I,I588,$D:$D,$D588,$AE:$AE,$AE588)/SUMIF(符文权重!$A:$A,$D588,符文权重!$D:$D)))</f>
        <v/>
      </c>
      <c r="P588" s="51" t="str" cm="1">
        <f t="array" ref="P588">IF($A588="","",IF(J588="","",_xlfn.XLOOKUP($D588&amp;"_"&amp;$AE588,符文权重!$A:$A&amp;"_"&amp;符文权重!$C:$C,符文权重!$D:$D)*$Y588/SUMIFS($Y:$Y,J:J,J588,$D:$D,$D588,$AE:$AE,$AE588)/SUMIF(符文权重!$A:$A,$D588,符文权重!$D:$D)))</f>
        <v/>
      </c>
      <c r="Q588" s="51" cm="1">
        <f t="array" ref="Q588">IF($A588="","",IF(K588="","",_xlfn.XLOOKUP($D588&amp;"_"&amp;$AE588,符文权重!$A:$A&amp;"_"&amp;符文权重!$C:$C,符文权重!$D:$D)*$Y588/SUMIFS($Y:$Y,K:K,K588,$D:$D,$D588,$AE:$AE,$AE588)/SUMIF(符文权重!$A:$A,$D588,符文权重!$D:$D)))</f>
        <v>0.05</v>
      </c>
      <c r="R588" s="51" t="str" cm="1">
        <f t="array" ref="R588">IF($A588="","",IF(L588="","",_xlfn.XLOOKUP($D588&amp;"_"&amp;$AE588,符文权重!$A:$A&amp;"_"&amp;符文权重!$C:$C,符文权重!$D:$D)*$Y588/SUMIFS($Y:$Y,L:L,L588,$D:$D,$D588,$AE:$AE,$AE588)/SUMIF(符文权重!$A:$A,$D588,符文权重!$D:$D)))</f>
        <v/>
      </c>
      <c r="S588" s="35" t="s">
        <v>344</v>
      </c>
      <c r="T588" s="35" t="s">
        <v>615</v>
      </c>
      <c r="U588" s="35" t="s">
        <v>415</v>
      </c>
      <c r="V588" s="35" t="s">
        <v>619</v>
      </c>
      <c r="X588" s="35" t="s">
        <v>620</v>
      </c>
      <c r="Y588" s="35">
        <v>100</v>
      </c>
      <c r="AA588" s="35" t="s">
        <v>181</v>
      </c>
      <c r="AB588" s="42" t="str">
        <f t="shared" si="250"/>
        <v>吟游诗人施加祝福时&lt;color=#54b76b&gt;50%&lt;/color&gt;几率攻击1个敌人并附加&lt;color=#54b76b&gt;20%[易伤]&lt;/color&gt;</v>
      </c>
      <c r="AC588" s="35">
        <v>5301226</v>
      </c>
      <c r="AD588" s="35" t="s">
        <v>428</v>
      </c>
      <c r="AE588" s="35">
        <v>4</v>
      </c>
      <c r="AH588" s="35">
        <v>1</v>
      </c>
      <c r="AI588" s="36"/>
      <c r="AJ588" s="35" t="s">
        <v>621</v>
      </c>
      <c r="AK588" s="36"/>
      <c r="AL588" s="35">
        <v>4</v>
      </c>
    </row>
    <row r="589" s="25" customFormat="1" hidden="1" customHeight="1" spans="1:38">
      <c r="F589" s="35"/>
      <c r="G589" s="36" t="str">
        <f t="shared" si="263"/>
        <v/>
      </c>
      <c r="H589" s="36" t="str">
        <f>IFERROR(IF(--MID($F589,2*COUNTIF($G589:G589,"&gt;"&amp;0)+2,1)=H$1,H$1,""),"")</f>
        <v/>
      </c>
      <c r="I589" s="36" t="str">
        <f>IFERROR(IF(--MID($F589,2*COUNTIF($G589:H589,"&gt;"&amp;0)+2,1)=I$1,I$1,""),"")</f>
        <v/>
      </c>
      <c r="J589" s="36" t="str">
        <f>IFERROR(IF(--MID($F589,2*COUNTIF($G589:I589,"&gt;"&amp;0)+2,1)=J$1,J$1,""),"")</f>
        <v/>
      </c>
      <c r="K589" s="36" t="str">
        <f>IFERROR(IF(--MID($F589,2*COUNTIF($G589:J589,"&gt;"&amp;0)+2,1)=K$1,K$1,""),"")</f>
        <v/>
      </c>
      <c r="L589" s="36" t="str">
        <f>IFERROR(IF(--MID($F589,2*COUNTIF($G589:K589,"&gt;"&amp;0)+2,1)=L$1,L$1,""),"")</f>
        <v/>
      </c>
      <c r="M589" s="51" t="str" cm="1">
        <f t="array" ref="M589">IF($A589="","",IF(G589="","",_xlfn.XLOOKUP($D589&amp;"_"&amp;$AE589,符文权重!$A:$A&amp;"_"&amp;符文权重!$C:$C,符文权重!$D:$D)*$Y589/SUMIFS($Y:$Y,G:G,G589,$D:$D,$D589,$AE:$AE,$AE589)/SUMIF(符文权重!$A:$A,$D589,符文权重!$D:$D)))</f>
        <v/>
      </c>
      <c r="N589" s="36" t="str" cm="1">
        <f t="array" ref="N589">IF($A589="","",IF(H589="","",_xlfn.XLOOKUP($D589&amp;"_"&amp;$AE589,符文权重!$A:$A&amp;"_"&amp;符文权重!$C:$C,符文权重!$D:$D)*$Y589/SUMIFS($Y:$Y,H:H,H589,$D:$D,$D$6,$AE:$AE,$AE$6)))</f>
        <v/>
      </c>
      <c r="O589" s="36" t="str" cm="1">
        <f t="array" ref="O589">IF($A589="","",IF(I589="","",_xlfn.XLOOKUP($D589&amp;"_"&amp;$AE589,符文权重!$A:$A&amp;"_"&amp;符文权重!$C:$C,符文权重!$D:$D)*$Y589/SUMIFS($Y:$Y,I:I,I589,$D:$D,$D$6,$AE:$AE,$AE$6)))</f>
        <v/>
      </c>
      <c r="P589" s="36" t="str" cm="1">
        <f t="array" ref="P589">IF($A589="","",IF(J589="","",_xlfn.XLOOKUP($D589&amp;"_"&amp;$AE589,符文权重!$A:$A&amp;"_"&amp;符文权重!$C:$C,符文权重!$D:$D)*$Y589/SUMIFS($Y:$Y,J:J,J589,$D:$D,$D$6,$AE:$AE,$AE$6)))</f>
        <v/>
      </c>
      <c r="Q589" s="36" t="str" cm="1">
        <f t="array" ref="Q589">IF($A589="","",IF(K589="","",_xlfn.XLOOKUP($D589&amp;"_"&amp;$AE589,符文权重!$A:$A&amp;"_"&amp;符文权重!$C:$C,符文权重!$D:$D)*$Y589/SUMIFS($Y:$Y,K:K,K589,$D:$D,$D$6,$AE:$AE,$AE$6)))</f>
        <v/>
      </c>
      <c r="R589" s="36" t="str" cm="1">
        <f t="array" ref="R589">IF($A589="","",IF(L589="","",_xlfn.XLOOKUP($D589&amp;"_"&amp;$AE589,符文权重!$A:$A&amp;"_"&amp;符文权重!$C:$C,符文权重!$D:$D)*$Y589/SUMIFS($Y:$Y,L:L,L589,$D:$D,$D$6,$AE:$AE,$AE$6)))</f>
        <v/>
      </c>
      <c r="S589" s="35" t="s">
        <v>178</v>
      </c>
      <c r="T589" s="35" t="s">
        <v>178</v>
      </c>
      <c r="U589" s="35" t="s">
        <v>178</v>
      </c>
      <c r="X589" s="35" t="s">
        <v>178</v>
      </c>
      <c r="Y589" s="35"/>
      <c r="AA589" s="35" t="s">
        <v>178</v>
      </c>
      <c r="AB589" s="42" t="str">
        <f t="shared" si="250"/>
        <v/>
      </c>
      <c r="AE589" s="35" t="s">
        <v>178</v>
      </c>
      <c r="AH589" s="35" t="s">
        <v>178</v>
      </c>
      <c r="AI589" s="36"/>
      <c r="AK589" s="36"/>
      <c r="AL589" s="35">
        <v>4</v>
      </c>
    </row>
    <row r="590" s="25" customFormat="1" hidden="1" customHeight="1" spans="1:38">
      <c r="A590" s="35">
        <v>5510061</v>
      </c>
      <c r="B590" s="35" t="s">
        <v>51</v>
      </c>
      <c r="C590" s="35">
        <v>5301227</v>
      </c>
      <c r="D590" s="35">
        <v>1</v>
      </c>
      <c r="E590" s="35"/>
      <c r="F590" s="35" t="s">
        <v>211</v>
      </c>
      <c r="G590" s="36" t="str">
        <f t="shared" si="263"/>
        <v/>
      </c>
      <c r="H590" s="36">
        <f>IFERROR(IF(--MID($F590,2*COUNTIF($G590:G590,"&gt;"&amp;0)+2,1)=H$1,H$1,""),"")</f>
        <v>2</v>
      </c>
      <c r="I590" s="36" t="str">
        <f>IFERROR(IF(--MID($F590,2*COUNTIF($G590:H590,"&gt;"&amp;0)+2,1)=I$1,I$1,""),"")</f>
        <v/>
      </c>
      <c r="J590" s="36" t="str">
        <f>IFERROR(IF(--MID($F590,2*COUNTIF($G590:I590,"&gt;"&amp;0)+2,1)=J$1,J$1,""),"")</f>
        <v/>
      </c>
      <c r="K590" s="36" t="str">
        <f>IFERROR(IF(--MID($F590,2*COUNTIF($G590:J590,"&gt;"&amp;0)+2,1)=K$1,K$1,""),"")</f>
        <v/>
      </c>
      <c r="L590" s="36" t="str">
        <f>IFERROR(IF(--MID($F590,2*COUNTIF($G590:K590,"&gt;"&amp;0)+2,1)=L$1,L$1,""),"")</f>
        <v/>
      </c>
      <c r="M590" s="51" t="str" cm="1">
        <f t="array" ref="M590">IF($A590="","",IF(G590="","",_xlfn.XLOOKUP($D590&amp;"_"&amp;$AE590,符文权重!$A:$A&amp;"_"&amp;符文权重!$C:$C,符文权重!$D:$D)*$Y590/SUMIFS($Y:$Y,G:G,G590,$D:$D,$D590,$AE:$AE,$AE590)/SUMIF(符文权重!$A:$A,$D590,符文权重!$D:$D)))</f>
        <v/>
      </c>
      <c r="N590" s="51" cm="1">
        <f t="array" ref="N590">IF($A590="","",IF(H590="","",_xlfn.XLOOKUP($D590&amp;"_"&amp;$AE590,符文权重!$A:$A&amp;"_"&amp;符文权重!$C:$C,符文权重!$D:$D)*$Y590/SUMIFS($Y:$Y,H:H,H590,$D:$D,$D590,$AE:$AE,$AE590)/SUMIF(符文权重!$A:$A,$D590,符文权重!$D:$D)))</f>
        <v>0.025</v>
      </c>
      <c r="O590" s="51" t="str" cm="1">
        <f t="array" ref="O590">IF($A590="","",IF(I590="","",_xlfn.XLOOKUP($D590&amp;"_"&amp;$AE590,符文权重!$A:$A&amp;"_"&amp;符文权重!$C:$C,符文权重!$D:$D)*$Y590/SUMIFS($Y:$Y,I:I,I590,$D:$D,$D590,$AE:$AE,$AE590)/SUMIF(符文权重!$A:$A,$D590,符文权重!$D:$D)))</f>
        <v/>
      </c>
      <c r="P590" s="51" t="str" cm="1">
        <f t="array" ref="P590">IF($A590="","",IF(J590="","",_xlfn.XLOOKUP($D590&amp;"_"&amp;$AE590,符文权重!$A:$A&amp;"_"&amp;符文权重!$C:$C,符文权重!$D:$D)*$Y590/SUMIFS($Y:$Y,J:J,J590,$D:$D,$D590,$AE:$AE,$AE590)/SUMIF(符文权重!$A:$A,$D590,符文权重!$D:$D)))</f>
        <v/>
      </c>
      <c r="Q590" s="51" t="str" cm="1">
        <f t="array" ref="Q590">IF($A590="","",IF(K590="","",_xlfn.XLOOKUP($D590&amp;"_"&amp;$AE590,符文权重!$A:$A&amp;"_"&amp;符文权重!$C:$C,符文权重!$D:$D)*$Y590/SUMIFS($Y:$Y,K:K,K590,$D:$D,$D590,$AE:$AE,$AE590)/SUMIF(符文权重!$A:$A,$D590,符文权重!$D:$D)))</f>
        <v/>
      </c>
      <c r="R590" s="51" t="str" cm="1">
        <f t="array" ref="R590">IF($A590="","",IF(L590="","",_xlfn.XLOOKUP($D590&amp;"_"&amp;$AE590,符文权重!$A:$A&amp;"_"&amp;符文权重!$C:$C,符文权重!$D:$D)*$Y590/SUMIFS($Y:$Y,L:L,L590,$D:$D,$D590,$AE:$AE,$AE590)/SUMIF(符文权重!$A:$A,$D590,符文权重!$D:$D)))</f>
        <v/>
      </c>
      <c r="S590" s="35" t="s">
        <v>344</v>
      </c>
      <c r="T590" s="35" t="s">
        <v>615</v>
      </c>
      <c r="U590" s="35" t="s">
        <v>413</v>
      </c>
      <c r="V590" s="35" t="s">
        <v>622</v>
      </c>
      <c r="X590" s="35" t="s">
        <v>617</v>
      </c>
      <c r="Y590" s="35">
        <v>100</v>
      </c>
      <c r="AA590" s="35" t="s">
        <v>177</v>
      </c>
      <c r="AB590" s="42" t="str">
        <f t="shared" si="250"/>
        <v>吟游诗人增幅持续时间&lt;color=#54b76b&gt;+1秒&lt;/color&gt;</v>
      </c>
      <c r="AC590" s="35">
        <v>5301227</v>
      </c>
      <c r="AD590" s="35" t="s">
        <v>202</v>
      </c>
      <c r="AE590" s="35">
        <v>4</v>
      </c>
      <c r="AH590" s="35">
        <v>1</v>
      </c>
      <c r="AI590" s="36"/>
      <c r="AJ590" s="35" t="s">
        <v>623</v>
      </c>
      <c r="AK590" s="36"/>
      <c r="AL590" s="35">
        <v>4</v>
      </c>
    </row>
    <row r="591" s="25" customFormat="1" hidden="1" customHeight="1" spans="1:38">
      <c r="A591" s="35">
        <v>5510062</v>
      </c>
      <c r="B591" s="35" t="s">
        <v>51</v>
      </c>
      <c r="C591" s="35">
        <v>5301227</v>
      </c>
      <c r="D591" s="35">
        <v>2</v>
      </c>
      <c r="E591" s="35"/>
      <c r="F591" s="35" t="s">
        <v>211</v>
      </c>
      <c r="G591" s="36" t="str">
        <f t="shared" si="263"/>
        <v/>
      </c>
      <c r="H591" s="36">
        <f>IFERROR(IF(--MID($F591,2*COUNTIF($G591:G591,"&gt;"&amp;0)+2,1)=H$1,H$1,""),"")</f>
        <v>2</v>
      </c>
      <c r="I591" s="36" t="str">
        <f>IFERROR(IF(--MID($F591,2*COUNTIF($G591:H591,"&gt;"&amp;0)+2,1)=I$1,I$1,""),"")</f>
        <v/>
      </c>
      <c r="J591" s="36" t="str">
        <f>IFERROR(IF(--MID($F591,2*COUNTIF($G591:I591,"&gt;"&amp;0)+2,1)=J$1,J$1,""),"")</f>
        <v/>
      </c>
      <c r="K591" s="36" t="str">
        <f>IFERROR(IF(--MID($F591,2*COUNTIF($G591:J591,"&gt;"&amp;0)+2,1)=K$1,K$1,""),"")</f>
        <v/>
      </c>
      <c r="L591" s="36" t="str">
        <f>IFERROR(IF(--MID($F591,2*COUNTIF($G591:K591,"&gt;"&amp;0)+2,1)=L$1,L$1,""),"")</f>
        <v/>
      </c>
      <c r="M591" s="51" t="str" cm="1">
        <f t="array" ref="M591">IF($A591="","",IF(G591="","",_xlfn.XLOOKUP($D591&amp;"_"&amp;$AE591,符文权重!$A:$A&amp;"_"&amp;符文权重!$C:$C,符文权重!$D:$D)*$Y591/SUMIFS($Y:$Y,G:G,G591,$D:$D,$D591,$AE:$AE,$AE591)/SUMIF(符文权重!$A:$A,$D591,符文权重!$D:$D)))</f>
        <v/>
      </c>
      <c r="N591" s="51" cm="1">
        <f t="array" ref="N591">IF($A591="","",IF(H591="","",_xlfn.XLOOKUP($D591&amp;"_"&amp;$AE591,符文权重!$A:$A&amp;"_"&amp;符文权重!$C:$C,符文权重!$D:$D)*$Y591/SUMIFS($Y:$Y,H:H,H591,$D:$D,$D591,$AE:$AE,$AE591)/SUMIF(符文权重!$A:$A,$D591,符文权重!$D:$D)))</f>
        <v>0.025</v>
      </c>
      <c r="O591" s="51" t="str" cm="1">
        <f t="array" ref="O591">IF($A591="","",IF(I591="","",_xlfn.XLOOKUP($D591&amp;"_"&amp;$AE591,符文权重!$A:$A&amp;"_"&amp;符文权重!$C:$C,符文权重!$D:$D)*$Y591/SUMIFS($Y:$Y,I:I,I591,$D:$D,$D591,$AE:$AE,$AE591)/SUMIF(符文权重!$A:$A,$D591,符文权重!$D:$D)))</f>
        <v/>
      </c>
      <c r="P591" s="51" t="str" cm="1">
        <f t="array" ref="P591">IF($A591="","",IF(J591="","",_xlfn.XLOOKUP($D591&amp;"_"&amp;$AE591,符文权重!$A:$A&amp;"_"&amp;符文权重!$C:$C,符文权重!$D:$D)*$Y591/SUMIFS($Y:$Y,J:J,J591,$D:$D,$D591,$AE:$AE,$AE591)/SUMIF(符文权重!$A:$A,$D591,符文权重!$D:$D)))</f>
        <v/>
      </c>
      <c r="Q591" s="51" t="str" cm="1">
        <f t="array" ref="Q591">IF($A591="","",IF(K591="","",_xlfn.XLOOKUP($D591&amp;"_"&amp;$AE591,符文权重!$A:$A&amp;"_"&amp;符文权重!$C:$C,符文权重!$D:$D)*$Y591/SUMIFS($Y:$Y,K:K,K591,$D:$D,$D591,$AE:$AE,$AE591)/SUMIF(符文权重!$A:$A,$D591,符文权重!$D:$D)))</f>
        <v/>
      </c>
      <c r="R591" s="51" t="str" cm="1">
        <f t="array" ref="R591">IF($A591="","",IF(L591="","",_xlfn.XLOOKUP($D591&amp;"_"&amp;$AE591,符文权重!$A:$A&amp;"_"&amp;符文权重!$C:$C,符文权重!$D:$D)*$Y591/SUMIFS($Y:$Y,L:L,L591,$D:$D,$D591,$AE:$AE,$AE591)/SUMIF(符文权重!$A:$A,$D591,符文权重!$D:$D)))</f>
        <v/>
      </c>
      <c r="S591" s="35" t="s">
        <v>344</v>
      </c>
      <c r="T591" s="35" t="s">
        <v>615</v>
      </c>
      <c r="U591" s="35" t="s">
        <v>415</v>
      </c>
      <c r="V591" s="35" t="s">
        <v>624</v>
      </c>
      <c r="X591" s="35" t="s">
        <v>620</v>
      </c>
      <c r="Y591" s="35">
        <v>100</v>
      </c>
      <c r="AA591" s="35" t="s">
        <v>181</v>
      </c>
      <c r="AB591" s="42" t="str">
        <f t="shared" si="250"/>
        <v>吟游诗人增幅持续时间&lt;color=#54b76b&gt;+1.5秒&lt;/color&gt;</v>
      </c>
      <c r="AC591" s="35">
        <v>5301227</v>
      </c>
      <c r="AD591" s="35" t="s">
        <v>625</v>
      </c>
      <c r="AE591" s="35">
        <v>4</v>
      </c>
      <c r="AH591" s="35">
        <v>1</v>
      </c>
      <c r="AI591" s="36"/>
      <c r="AJ591" s="35" t="s">
        <v>626</v>
      </c>
      <c r="AK591" s="36"/>
      <c r="AL591" s="35">
        <v>4</v>
      </c>
    </row>
    <row r="592" s="25" customFormat="1" hidden="1" customHeight="1" spans="1:38">
      <c r="A592" s="35"/>
      <c r="B592" s="49" t="s">
        <v>627</v>
      </c>
      <c r="C592" s="35"/>
      <c r="D592" s="35"/>
      <c r="E592" s="35"/>
      <c r="F592" s="35"/>
      <c r="G592" s="36" t="str">
        <f t="shared" si="263"/>
        <v/>
      </c>
      <c r="H592" s="36" t="str">
        <f>IFERROR(IF(--MID($F592,2*COUNTIF($G592:G592,"&gt;"&amp;0)+2,1)=H$1,H$1,""),"")</f>
        <v/>
      </c>
      <c r="I592" s="36" t="str">
        <f>IFERROR(IF(--MID($F592,2*COUNTIF($G592:H592,"&gt;"&amp;0)+2,1)=I$1,I$1,""),"")</f>
        <v/>
      </c>
      <c r="J592" s="36" t="str">
        <f>IFERROR(IF(--MID($F592,2*COUNTIF($G592:I592,"&gt;"&amp;0)+2,1)=J$1,J$1,""),"")</f>
        <v/>
      </c>
      <c r="K592" s="36" t="str">
        <f>IFERROR(IF(--MID($F592,2*COUNTIF($G592:J592,"&gt;"&amp;0)+2,1)=K$1,K$1,""),"")</f>
        <v/>
      </c>
      <c r="L592" s="36" t="str">
        <f>IFERROR(IF(--MID($F592,2*COUNTIF($G592:K592,"&gt;"&amp;0)+2,1)=L$1,L$1,""),"")</f>
        <v/>
      </c>
      <c r="M592" s="51" t="str" cm="1">
        <f t="array" ref="M592">IF($A592="","",IF(G592="","",_xlfn.XLOOKUP($D592&amp;"_"&amp;$AE592,符文权重!$A:$A&amp;"_"&amp;符文权重!$C:$C,符文权重!$D:$D)*$Y592/SUMIFS($Y:$Y,G:G,G592,$D:$D,$D592,$AE:$AE,$AE592)/SUMIF(符文权重!$A:$A,$D592,符文权重!$D:$D)))</f>
        <v/>
      </c>
      <c r="N592" s="36" t="str" cm="1">
        <f t="array" ref="N592">IF($A592="","",IF(H592="","",_xlfn.XLOOKUP($D592&amp;"_"&amp;$AE592,符文权重!$A:$A&amp;"_"&amp;符文权重!$C:$C,符文权重!$D:$D)*$Y592/SUMIFS($Y:$Y,H:H,H592,$D:$D,$D$6,$AE:$AE,$AE$6)))</f>
        <v/>
      </c>
      <c r="O592" s="36" t="str" cm="1">
        <f t="array" ref="O592">IF($A592="","",IF(I592="","",_xlfn.XLOOKUP($D592&amp;"_"&amp;$AE592,符文权重!$A:$A&amp;"_"&amp;符文权重!$C:$C,符文权重!$D:$D)*$Y592/SUMIFS($Y:$Y,I:I,I592,$D:$D,$D$6,$AE:$AE,$AE$6)))</f>
        <v/>
      </c>
      <c r="P592" s="36" t="str" cm="1">
        <f t="array" ref="P592">IF($A592="","",IF(J592="","",_xlfn.XLOOKUP($D592&amp;"_"&amp;$AE592,符文权重!$A:$A&amp;"_"&amp;符文权重!$C:$C,符文权重!$D:$D)*$Y592/SUMIFS($Y:$Y,J:J,J592,$D:$D,$D$6,$AE:$AE,$AE$6)))</f>
        <v/>
      </c>
      <c r="Q592" s="36" t="str" cm="1">
        <f t="array" ref="Q592">IF($A592="","",IF(K592="","",_xlfn.XLOOKUP($D592&amp;"_"&amp;$AE592,符文权重!$A:$A&amp;"_"&amp;符文权重!$C:$C,符文权重!$D:$D)*$Y592/SUMIFS($Y:$Y,K:K,K592,$D:$D,$D$6,$AE:$AE,$AE$6)))</f>
        <v/>
      </c>
      <c r="R592" s="36" t="str" cm="1">
        <f t="array" ref="R592">IF($A592="","",IF(L592="","",_xlfn.XLOOKUP($D592&amp;"_"&amp;$AE592,符文权重!$A:$A&amp;"_"&amp;符文权重!$C:$C,符文权重!$D:$D)*$Y592/SUMIFS($Y:$Y,L:L,L592,$D:$D,$D$6,$AE:$AE,$AE$6)))</f>
        <v/>
      </c>
      <c r="S592" s="35" t="s">
        <v>178</v>
      </c>
      <c r="T592" s="35" t="s">
        <v>178</v>
      </c>
      <c r="U592" s="35" t="s">
        <v>178</v>
      </c>
      <c r="V592" s="35"/>
      <c r="X592" s="35" t="s">
        <v>178</v>
      </c>
      <c r="Y592" s="35"/>
      <c r="AA592" s="35" t="s">
        <v>178</v>
      </c>
      <c r="AB592" s="42" t="str">
        <f t="shared" si="250"/>
        <v/>
      </c>
      <c r="AC592" s="35"/>
      <c r="AD592" s="35"/>
      <c r="AE592" s="35" t="s">
        <v>178</v>
      </c>
      <c r="AH592" s="35" t="s">
        <v>178</v>
      </c>
      <c r="AI592" s="36"/>
      <c r="AJ592" s="35"/>
      <c r="AK592" s="36"/>
      <c r="AL592" s="35">
        <v>4</v>
      </c>
    </row>
    <row r="593" s="25" customFormat="1" hidden="1" customHeight="1" spans="1:38">
      <c r="A593" s="35">
        <v>5510072</v>
      </c>
      <c r="B593" s="35" t="s">
        <v>52</v>
      </c>
      <c r="C593" s="35">
        <v>5301229</v>
      </c>
      <c r="D593" s="36">
        <v>2</v>
      </c>
      <c r="E593" s="36"/>
      <c r="F593" s="35" t="s">
        <v>211</v>
      </c>
      <c r="G593" s="36" t="str">
        <f t="shared" si="263"/>
        <v/>
      </c>
      <c r="H593" s="36">
        <f>IFERROR(IF(--MID($F593,2*COUNTIF($G593:G593,"&gt;"&amp;0)+2,1)=H$1,H$1,""),"")</f>
        <v>2</v>
      </c>
      <c r="I593" s="36" t="str">
        <f>IFERROR(IF(--MID($F593,2*COUNTIF($G593:H593,"&gt;"&amp;0)+2,1)=I$1,I$1,""),"")</f>
        <v/>
      </c>
      <c r="J593" s="36" t="str">
        <f>IFERROR(IF(--MID($F593,2*COUNTIF($G593:I593,"&gt;"&amp;0)+2,1)=J$1,J$1,""),"")</f>
        <v/>
      </c>
      <c r="K593" s="36" t="str">
        <f>IFERROR(IF(--MID($F593,2*COUNTIF($G593:J593,"&gt;"&amp;0)+2,1)=K$1,K$1,""),"")</f>
        <v/>
      </c>
      <c r="L593" s="36" t="str">
        <f>IFERROR(IF(--MID($F593,2*COUNTIF($G593:K593,"&gt;"&amp;0)+2,1)=L$1,L$1,""),"")</f>
        <v/>
      </c>
      <c r="M593" s="36" t="e" cm="1">
        <f t="array" ref="M593">IF(A593="","",_xlfn.XLOOKUP(D593&amp;"_"&amp;AE593,符文权重!A:A&amp;"_"&amp;符文权重!C:C,符文权重!D:D))</f>
        <v>#N/A</v>
      </c>
      <c r="N593" s="36"/>
      <c r="O593" s="36"/>
      <c r="P593" s="36"/>
      <c r="Q593" s="36"/>
      <c r="R593" s="36"/>
      <c r="S593" s="36" t="s">
        <v>344</v>
      </c>
      <c r="T593" s="36" t="s">
        <v>628</v>
      </c>
      <c r="U593" s="36" t="s">
        <v>415</v>
      </c>
      <c r="V593" s="25" t="s">
        <v>629</v>
      </c>
      <c r="W593" s="36"/>
      <c r="X593" s="35" t="s">
        <v>630</v>
      </c>
      <c r="Y593" s="35">
        <v>100</v>
      </c>
      <c r="Z593" s="35"/>
      <c r="AA593" s="36" t="s">
        <v>181</v>
      </c>
      <c r="AB593" s="42" t="str">
        <f t="shared" si="250"/>
        <v>摇滚巨石&lt;color=#54b76b&gt;12&lt;/color&gt;秒内没受到攻击，可获得&lt;color=#54b76b&gt;1&lt;/color&gt;层[免伤盾]，上限&lt;color=#54b76b&gt;1&lt;/color&gt;层</v>
      </c>
      <c r="AC593" s="35">
        <v>5301229</v>
      </c>
      <c r="AD593" s="36" t="s">
        <v>193</v>
      </c>
      <c r="AE593" s="36">
        <v>100</v>
      </c>
      <c r="AF593" s="36"/>
      <c r="AG593" s="36">
        <v>1</v>
      </c>
      <c r="AH593" s="36">
        <v>0</v>
      </c>
      <c r="AJ593" s="36" t="s">
        <v>631</v>
      </c>
      <c r="AL593" s="35">
        <v>4</v>
      </c>
    </row>
    <row r="594" s="25" customFormat="1" hidden="1" customHeight="1" spans="1:38">
      <c r="A594" s="35">
        <v>5510073</v>
      </c>
      <c r="B594" s="35" t="s">
        <v>52</v>
      </c>
      <c r="C594" s="35">
        <v>5301229</v>
      </c>
      <c r="D594" s="35">
        <v>3</v>
      </c>
      <c r="E594" s="35"/>
      <c r="F594" s="35" t="s">
        <v>211</v>
      </c>
      <c r="G594" s="36" t="str">
        <f t="shared" si="263"/>
        <v/>
      </c>
      <c r="H594" s="36">
        <f>IFERROR(IF(--MID($F594,2*COUNTIF($G594:G594,"&gt;"&amp;0)+2,1)=H$1,H$1,""),"")</f>
        <v>2</v>
      </c>
      <c r="I594" s="36" t="str">
        <f>IFERROR(IF(--MID($F594,2*COUNTIF($G594:H594,"&gt;"&amp;0)+2,1)=I$1,I$1,""),"")</f>
        <v/>
      </c>
      <c r="J594" s="36" t="str">
        <f>IFERROR(IF(--MID($F594,2*COUNTIF($G594:I594,"&gt;"&amp;0)+2,1)=J$1,J$1,""),"")</f>
        <v/>
      </c>
      <c r="K594" s="36" t="str">
        <f>IFERROR(IF(--MID($F594,2*COUNTIF($G594:J594,"&gt;"&amp;0)+2,1)=K$1,K$1,""),"")</f>
        <v/>
      </c>
      <c r="L594" s="36" t="str">
        <f>IFERROR(IF(--MID($F594,2*COUNTIF($G594:K594,"&gt;"&amp;0)+2,1)=L$1,L$1,""),"")</f>
        <v/>
      </c>
      <c r="M594" s="51" t="str" cm="1">
        <f t="array" ref="M594">IF($A594="","",IF(G594="","",_xlfn.XLOOKUP($D594&amp;"_"&amp;$AE594,符文权重!$A:$A&amp;"_"&amp;符文权重!$C:$C,符文权重!$D:$D)*$Y594/SUMIFS($Y:$Y,G:G,G594,$D:$D,$D594,$AE:$AE,$AE594)/SUMIF(符文权重!$A:$A,$D594,符文权重!$D:$D)))</f>
        <v/>
      </c>
      <c r="N594" s="51" cm="1">
        <f t="array" ref="N594">IF($A594="","",IF(H594="","",_xlfn.XLOOKUP($D594&amp;"_"&amp;$AE594,符文权重!$A:$A&amp;"_"&amp;符文权重!$C:$C,符文权重!$D:$D)*$Y594/SUMIFS($Y:$Y,H:H,H594,$D:$D,$D594,$AE:$AE,$AE594)/SUMIF(符文权重!$A:$A,$D594,符文权重!$D:$D)))</f>
        <v>0.0166666666666667</v>
      </c>
      <c r="O594" s="51" t="str" cm="1">
        <f t="array" ref="O594">IF($A594="","",IF(I594="","",_xlfn.XLOOKUP($D594&amp;"_"&amp;$AE594,符文权重!$A:$A&amp;"_"&amp;符文权重!$C:$C,符文权重!$D:$D)*$Y594/SUMIFS($Y:$Y,I:I,I594,$D:$D,$D594,$AE:$AE,$AE594)/SUMIF(符文权重!$A:$A,$D594,符文权重!$D:$D)))</f>
        <v/>
      </c>
      <c r="P594" s="51" t="str" cm="1">
        <f t="array" ref="P594">IF($A594="","",IF(J594="","",_xlfn.XLOOKUP($D594&amp;"_"&amp;$AE594,符文权重!$A:$A&amp;"_"&amp;符文权重!$C:$C,符文权重!$D:$D)*$Y594/SUMIFS($Y:$Y,J:J,J594,$D:$D,$D594,$AE:$AE,$AE594)/SUMIF(符文权重!$A:$A,$D594,符文权重!$D:$D)))</f>
        <v/>
      </c>
      <c r="Q594" s="51" t="str" cm="1">
        <f t="array" ref="Q594">IF($A594="","",IF(K594="","",_xlfn.XLOOKUP($D594&amp;"_"&amp;$AE594,符文权重!$A:$A&amp;"_"&amp;符文权重!$C:$C,符文权重!$D:$D)*$Y594/SUMIFS($Y:$Y,K:K,K594,$D:$D,$D594,$AE:$AE,$AE594)/SUMIF(符文权重!$A:$A,$D594,符文权重!$D:$D)))</f>
        <v/>
      </c>
      <c r="R594" s="51" t="str" cm="1">
        <f t="array" ref="R594">IF($A594="","",IF(L594="","",_xlfn.XLOOKUP($D594&amp;"_"&amp;$AE594,符文权重!$A:$A&amp;"_"&amp;符文权重!$C:$C,符文权重!$D:$D)*$Y594/SUMIFS($Y:$Y,L:L,L594,$D:$D,$D594,$AE:$AE,$AE594)/SUMIF(符文权重!$A:$A,$D594,符文权重!$D:$D)))</f>
        <v/>
      </c>
      <c r="S594" s="35" t="s">
        <v>344</v>
      </c>
      <c r="T594" s="35" t="s">
        <v>628</v>
      </c>
      <c r="U594" s="35" t="s">
        <v>417</v>
      </c>
      <c r="V594" s="35" t="s">
        <v>632</v>
      </c>
      <c r="X594" s="35" t="s">
        <v>633</v>
      </c>
      <c r="Y594" s="35">
        <v>100</v>
      </c>
      <c r="AA594" s="35" t="s">
        <v>183</v>
      </c>
      <c r="AB594" s="42" t="str">
        <f t="shared" si="250"/>
        <v>摇滚巨石&lt;color=#54b76b&gt;12&lt;/color&gt;秒内没受到攻击，可获得&lt;color=#54b76b&gt;1&lt;/color&gt;层[免伤盾]，上限&lt;color=#54b76b&gt;2&lt;/color&gt;层</v>
      </c>
      <c r="AC594" s="35">
        <v>5301229</v>
      </c>
      <c r="AD594" s="35" t="s">
        <v>404</v>
      </c>
      <c r="AE594" s="35">
        <v>4</v>
      </c>
      <c r="AH594" s="35">
        <v>1</v>
      </c>
      <c r="AI594" s="36"/>
      <c r="AJ594" s="35" t="s">
        <v>634</v>
      </c>
      <c r="AK594" s="36"/>
      <c r="AL594" s="35">
        <v>4</v>
      </c>
    </row>
    <row r="595" s="25" customFormat="1" hidden="1" customHeight="1" spans="1:38">
      <c r="A595" s="35">
        <v>5510074</v>
      </c>
      <c r="B595" s="35" t="s">
        <v>52</v>
      </c>
      <c r="C595" s="35">
        <v>5301229</v>
      </c>
      <c r="D595" s="35">
        <v>4</v>
      </c>
      <c r="E595" s="35"/>
      <c r="F595" s="35" t="s">
        <v>211</v>
      </c>
      <c r="G595" s="36" t="str">
        <f t="shared" si="263"/>
        <v/>
      </c>
      <c r="H595" s="36">
        <f>IFERROR(IF(--MID($F595,2*COUNTIF($G595:G595,"&gt;"&amp;0)+2,1)=H$1,H$1,""),"")</f>
        <v>2</v>
      </c>
      <c r="I595" s="36" t="str">
        <f>IFERROR(IF(--MID($F595,2*COUNTIF($G595:H595,"&gt;"&amp;0)+2,1)=I$1,I$1,""),"")</f>
        <v/>
      </c>
      <c r="J595" s="36" t="str">
        <f>IFERROR(IF(--MID($F595,2*COUNTIF($G595:I595,"&gt;"&amp;0)+2,1)=J$1,J$1,""),"")</f>
        <v/>
      </c>
      <c r="K595" s="36" t="str">
        <f>IFERROR(IF(--MID($F595,2*COUNTIF($G595:J595,"&gt;"&amp;0)+2,1)=K$1,K$1,""),"")</f>
        <v/>
      </c>
      <c r="L595" s="36" t="str">
        <f>IFERROR(IF(--MID($F595,2*COUNTIF($G595:K595,"&gt;"&amp;0)+2,1)=L$1,L$1,""),"")</f>
        <v/>
      </c>
      <c r="M595" s="51" t="str" cm="1">
        <f t="array" ref="M595">IF($A595="","",IF(G595="","",_xlfn.XLOOKUP($D595&amp;"_"&amp;$AE595,符文权重!$A:$A&amp;"_"&amp;符文权重!$C:$C,符文权重!$D:$D)*$Y595/SUMIFS($Y:$Y,G:G,G595,$D:$D,$D595,$AE:$AE,$AE595)/SUMIF(符文权重!$A:$A,$D595,符文权重!$D:$D)))</f>
        <v/>
      </c>
      <c r="N595" s="51" cm="1">
        <f t="array" ref="N595">IF($A595="","",IF(H595="","",_xlfn.XLOOKUP($D595&amp;"_"&amp;$AE595,符文权重!$A:$A&amp;"_"&amp;符文权重!$C:$C,符文权重!$D:$D)*$Y595/SUMIFS($Y:$Y,H:H,H595,$D:$D,$D595,$AE:$AE,$AE595)/SUMIF(符文权重!$A:$A,$D595,符文权重!$D:$D)))</f>
        <v>0.014867808985456</v>
      </c>
      <c r="O595" s="51" t="str" cm="1">
        <f t="array" ref="O595">IF($A595="","",IF(I595="","",_xlfn.XLOOKUP($D595&amp;"_"&amp;$AE595,符文权重!$A:$A&amp;"_"&amp;符文权重!$C:$C,符文权重!$D:$D)*$Y595/SUMIFS($Y:$Y,I:I,I595,$D:$D,$D595,$AE:$AE,$AE595)/SUMIF(符文权重!$A:$A,$D595,符文权重!$D:$D)))</f>
        <v/>
      </c>
      <c r="P595" s="51" t="str" cm="1">
        <f t="array" ref="P595">IF($A595="","",IF(J595="","",_xlfn.XLOOKUP($D595&amp;"_"&amp;$AE595,符文权重!$A:$A&amp;"_"&amp;符文权重!$C:$C,符文权重!$D:$D)*$Y595/SUMIFS($Y:$Y,J:J,J595,$D:$D,$D595,$AE:$AE,$AE595)/SUMIF(符文权重!$A:$A,$D595,符文权重!$D:$D)))</f>
        <v/>
      </c>
      <c r="Q595" s="51" t="str" cm="1">
        <f t="array" ref="Q595">IF($A595="","",IF(K595="","",_xlfn.XLOOKUP($D595&amp;"_"&amp;$AE595,符文权重!$A:$A&amp;"_"&amp;符文权重!$C:$C,符文权重!$D:$D)*$Y595/SUMIFS($Y:$Y,K:K,K595,$D:$D,$D595,$AE:$AE,$AE595)/SUMIF(符文权重!$A:$A,$D595,符文权重!$D:$D)))</f>
        <v/>
      </c>
      <c r="R595" s="51" t="str" cm="1">
        <f t="array" ref="R595">IF($A595="","",IF(L595="","",_xlfn.XLOOKUP($D595&amp;"_"&amp;$AE595,符文权重!$A:$A&amp;"_"&amp;符文权重!$C:$C,符文权重!$D:$D)*$Y595/SUMIFS($Y:$Y,L:L,L595,$D:$D,$D595,$AE:$AE,$AE595)/SUMIF(符文权重!$A:$A,$D595,符文权重!$D:$D)))</f>
        <v/>
      </c>
      <c r="S595" s="35" t="s">
        <v>344</v>
      </c>
      <c r="T595" s="35" t="s">
        <v>628</v>
      </c>
      <c r="U595" s="35" t="s">
        <v>420</v>
      </c>
      <c r="V595" s="35" t="s">
        <v>635</v>
      </c>
      <c r="X595" s="35" t="s">
        <v>636</v>
      </c>
      <c r="Y595" s="35">
        <v>100</v>
      </c>
      <c r="AA595" s="35" t="s">
        <v>185</v>
      </c>
      <c r="AB595" s="42" t="str">
        <f t="shared" si="250"/>
        <v>摇滚巨石&lt;color=#54b76b&gt;12&lt;/color&gt;秒内没受到攻击，可获得&lt;color=#54b76b&gt;1&lt;/color&gt;层[免伤盾]，上限&lt;color=#54b76b&gt;3&lt;/color&gt;层</v>
      </c>
      <c r="AC595" s="35">
        <v>5301229</v>
      </c>
      <c r="AD595" s="35" t="s">
        <v>230</v>
      </c>
      <c r="AE595" s="35">
        <v>4</v>
      </c>
      <c r="AH595" s="35">
        <v>1</v>
      </c>
      <c r="AI595" s="36"/>
      <c r="AJ595" s="35" t="s">
        <v>637</v>
      </c>
      <c r="AK595" s="36"/>
      <c r="AL595" s="35">
        <v>4</v>
      </c>
    </row>
    <row r="596" s="25" customFormat="1" hidden="1" customHeight="1" spans="1:38">
      <c r="A596" s="35">
        <v>5510082</v>
      </c>
      <c r="B596" s="35" t="s">
        <v>52</v>
      </c>
      <c r="C596" s="35">
        <v>5301230</v>
      </c>
      <c r="D596" s="36">
        <v>2</v>
      </c>
      <c r="E596" s="36"/>
      <c r="F596" s="35" t="s">
        <v>193</v>
      </c>
      <c r="G596" s="36" t="str">
        <f t="shared" si="263"/>
        <v/>
      </c>
      <c r="H596" s="36" t="str">
        <f>IFERROR(IF(--MID($F596,2*COUNTIF($G596:G596,"&gt;"&amp;0)+2,1)=H$1,H$1,""),"")</f>
        <v/>
      </c>
      <c r="I596" s="36">
        <f>IFERROR(IF(--MID($F596,2*COUNTIF($G596:H596,"&gt;"&amp;0)+2,1)=I$1,I$1,""),"")</f>
        <v>3</v>
      </c>
      <c r="J596" s="36" t="str">
        <f>IFERROR(IF(--MID($F596,2*COUNTIF($G596:I596,"&gt;"&amp;0)+2,1)=J$1,J$1,""),"")</f>
        <v/>
      </c>
      <c r="K596" s="36" t="str">
        <f>IFERROR(IF(--MID($F596,2*COUNTIF($G596:J596,"&gt;"&amp;0)+2,1)=K$1,K$1,""),"")</f>
        <v/>
      </c>
      <c r="L596" s="36" t="str">
        <f>IFERROR(IF(--MID($F596,2*COUNTIF($G596:K596,"&gt;"&amp;0)+2,1)=L$1,L$1,""),"")</f>
        <v/>
      </c>
      <c r="M596" s="36" t="e" cm="1">
        <f t="array" ref="M596">IF(A596="","",_xlfn.XLOOKUP(D596&amp;"_"&amp;AE596,符文权重!A:A&amp;"_"&amp;符文权重!C:C,符文权重!D:D))</f>
        <v>#N/A</v>
      </c>
      <c r="N596" s="36"/>
      <c r="O596" s="36"/>
      <c r="P596" s="36"/>
      <c r="Q596" s="36"/>
      <c r="R596" s="36"/>
      <c r="S596" s="36" t="s">
        <v>344</v>
      </c>
      <c r="T596" s="36" t="s">
        <v>628</v>
      </c>
      <c r="U596" s="36" t="s">
        <v>415</v>
      </c>
      <c r="W596" s="36" t="s">
        <v>638</v>
      </c>
      <c r="X596" s="35" t="s">
        <v>630</v>
      </c>
      <c r="Y596" s="35">
        <v>100</v>
      </c>
      <c r="Z596" s="35"/>
      <c r="AA596" s="36" t="s">
        <v>181</v>
      </c>
      <c r="AB596" s="42" t="str">
        <f t="shared" si="250"/>
        <v>摇滚巨石受到的治疗量&lt;color=#54b76b&gt;+20%&lt;/color&gt;</v>
      </c>
      <c r="AC596" s="35">
        <v>5301230</v>
      </c>
      <c r="AD596" s="36" t="s">
        <v>428</v>
      </c>
      <c r="AE596" s="36">
        <v>100</v>
      </c>
      <c r="AF596" s="36"/>
      <c r="AG596" s="36">
        <v>1</v>
      </c>
      <c r="AH596" s="36">
        <v>0</v>
      </c>
      <c r="AJ596" s="36" t="s">
        <v>639</v>
      </c>
      <c r="AL596" s="35">
        <v>4</v>
      </c>
    </row>
    <row r="597" s="25" customFormat="1" hidden="1" customHeight="1" spans="1:38">
      <c r="A597" s="35">
        <v>5510083</v>
      </c>
      <c r="B597" s="35" t="s">
        <v>52</v>
      </c>
      <c r="C597" s="35">
        <v>5301230</v>
      </c>
      <c r="D597" s="35">
        <v>3</v>
      </c>
      <c r="E597" s="35"/>
      <c r="F597" s="35" t="s">
        <v>193</v>
      </c>
      <c r="G597" s="36" t="str">
        <f t="shared" si="263"/>
        <v/>
      </c>
      <c r="H597" s="36" t="str">
        <f>IFERROR(IF(--MID($F597,2*COUNTIF($G597:G597,"&gt;"&amp;0)+2,1)=H$1,H$1,""),"")</f>
        <v/>
      </c>
      <c r="I597" s="36">
        <f>IFERROR(IF(--MID($F597,2*COUNTIF($G597:H597,"&gt;"&amp;0)+2,1)=I$1,I$1,""),"")</f>
        <v>3</v>
      </c>
      <c r="J597" s="36" t="str">
        <f>IFERROR(IF(--MID($F597,2*COUNTIF($G597:I597,"&gt;"&amp;0)+2,1)=J$1,J$1,""),"")</f>
        <v/>
      </c>
      <c r="K597" s="36" t="str">
        <f>IFERROR(IF(--MID($F597,2*COUNTIF($G597:J597,"&gt;"&amp;0)+2,1)=K$1,K$1,""),"")</f>
        <v/>
      </c>
      <c r="L597" s="36" t="str">
        <f>IFERROR(IF(--MID($F597,2*COUNTIF($G597:K597,"&gt;"&amp;0)+2,1)=L$1,L$1,""),"")</f>
        <v/>
      </c>
      <c r="M597" s="51" t="str" cm="1">
        <f t="array" ref="M597">IF($A597="","",IF(G597="","",_xlfn.XLOOKUP($D597&amp;"_"&amp;$AE597,符文权重!$A:$A&amp;"_"&amp;符文权重!$C:$C,符文权重!$D:$D)*$Y597/SUMIFS($Y:$Y,G:G,G597,$D:$D,$D597,$AE:$AE,$AE597)/SUMIF(符文权重!$A:$A,$D597,符文权重!$D:$D)))</f>
        <v/>
      </c>
      <c r="N597" s="51" t="str" cm="1">
        <f t="array" ref="N597">IF($A597="","",IF(H597="","",_xlfn.XLOOKUP($D597&amp;"_"&amp;$AE597,符文权重!$A:$A&amp;"_"&amp;符文权重!$C:$C,符文权重!$D:$D)*$Y597/SUMIFS($Y:$Y,H:H,H597,$D:$D,$D597,$AE:$AE,$AE597)/SUMIF(符文权重!$A:$A,$D597,符文权重!$D:$D)))</f>
        <v/>
      </c>
      <c r="O597" s="51" cm="1">
        <f t="array" ref="O597">IF($A597="","",IF(I597="","",_xlfn.XLOOKUP($D597&amp;"_"&amp;$AE597,符文权重!$A:$A&amp;"_"&amp;符文权重!$C:$C,符文权重!$D:$D)*$Y597/SUMIFS($Y:$Y,I:I,I597,$D:$D,$D597,$AE:$AE,$AE597)/SUMIF(符文权重!$A:$A,$D597,符文权重!$D:$D)))</f>
        <v>0.0125</v>
      </c>
      <c r="P597" s="51" t="str" cm="1">
        <f t="array" ref="P597">IF($A597="","",IF(J597="","",_xlfn.XLOOKUP($D597&amp;"_"&amp;$AE597,符文权重!$A:$A&amp;"_"&amp;符文权重!$C:$C,符文权重!$D:$D)*$Y597/SUMIFS($Y:$Y,J:J,J597,$D:$D,$D597,$AE:$AE,$AE597)/SUMIF(符文权重!$A:$A,$D597,符文权重!$D:$D)))</f>
        <v/>
      </c>
      <c r="Q597" s="51" t="str" cm="1">
        <f t="array" ref="Q597">IF($A597="","",IF(K597="","",_xlfn.XLOOKUP($D597&amp;"_"&amp;$AE597,符文权重!$A:$A&amp;"_"&amp;符文权重!$C:$C,符文权重!$D:$D)*$Y597/SUMIFS($Y:$Y,K:K,K597,$D:$D,$D597,$AE:$AE,$AE597)/SUMIF(符文权重!$A:$A,$D597,符文权重!$D:$D)))</f>
        <v/>
      </c>
      <c r="R597" s="51" t="str" cm="1">
        <f t="array" ref="R597">IF($A597="","",IF(L597="","",_xlfn.XLOOKUP($D597&amp;"_"&amp;$AE597,符文权重!$A:$A&amp;"_"&amp;符文权重!$C:$C,符文权重!$D:$D)*$Y597/SUMIFS($Y:$Y,L:L,L597,$D:$D,$D597,$AE:$AE,$AE597)/SUMIF(符文权重!$A:$A,$D597,符文权重!$D:$D)))</f>
        <v/>
      </c>
      <c r="S597" s="35" t="s">
        <v>344</v>
      </c>
      <c r="T597" s="35" t="s">
        <v>628</v>
      </c>
      <c r="U597" s="35" t="s">
        <v>417</v>
      </c>
      <c r="V597" s="35"/>
      <c r="W597" s="35" t="s">
        <v>640</v>
      </c>
      <c r="X597" s="35" t="s">
        <v>633</v>
      </c>
      <c r="Y597" s="35">
        <v>100</v>
      </c>
      <c r="AA597" s="35" t="s">
        <v>183</v>
      </c>
      <c r="AB597" s="42" t="str">
        <f t="shared" si="250"/>
        <v>摇滚巨石受到的治疗量&lt;color=#54b76b&gt;+25%&lt;/color&gt;</v>
      </c>
      <c r="AC597" s="35">
        <v>5301230</v>
      </c>
      <c r="AD597" s="35" t="s">
        <v>431</v>
      </c>
      <c r="AE597" s="35">
        <v>4</v>
      </c>
      <c r="AH597" s="35">
        <v>1</v>
      </c>
      <c r="AI597" s="36"/>
      <c r="AJ597" s="35" t="s">
        <v>641</v>
      </c>
      <c r="AK597" s="36"/>
      <c r="AL597" s="35">
        <v>4</v>
      </c>
    </row>
    <row r="598" s="25" customFormat="1" hidden="1" customHeight="1" spans="1:38">
      <c r="A598" s="35">
        <v>5510084</v>
      </c>
      <c r="B598" s="35" t="s">
        <v>52</v>
      </c>
      <c r="C598" s="35">
        <v>5301230</v>
      </c>
      <c r="D598" s="35">
        <v>4</v>
      </c>
      <c r="E598" s="35"/>
      <c r="F598" s="35" t="s">
        <v>193</v>
      </c>
      <c r="G598" s="36" t="str">
        <f t="shared" si="263"/>
        <v/>
      </c>
      <c r="H598" s="36" t="str">
        <f>IFERROR(IF(--MID($F598,2*COUNTIF($G598:G598,"&gt;"&amp;0)+2,1)=H$1,H$1,""),"")</f>
        <v/>
      </c>
      <c r="I598" s="36">
        <f>IFERROR(IF(--MID($F598,2*COUNTIF($G598:H598,"&gt;"&amp;0)+2,1)=I$1,I$1,""),"")</f>
        <v>3</v>
      </c>
      <c r="J598" s="36" t="str">
        <f>IFERROR(IF(--MID($F598,2*COUNTIF($G598:I598,"&gt;"&amp;0)+2,1)=J$1,J$1,""),"")</f>
        <v/>
      </c>
      <c r="K598" s="36" t="str">
        <f>IFERROR(IF(--MID($F598,2*COUNTIF($G598:J598,"&gt;"&amp;0)+2,1)=K$1,K$1,""),"")</f>
        <v/>
      </c>
      <c r="L598" s="36" t="str">
        <f>IFERROR(IF(--MID($F598,2*COUNTIF($G598:K598,"&gt;"&amp;0)+2,1)=L$1,L$1,""),"")</f>
        <v/>
      </c>
      <c r="M598" s="51" t="str" cm="1">
        <f t="array" ref="M598">IF($A598="","",IF(G598="","",_xlfn.XLOOKUP($D598&amp;"_"&amp;$AE598,符文权重!$A:$A&amp;"_"&amp;符文权重!$C:$C,符文权重!$D:$D)*$Y598/SUMIFS($Y:$Y,G:G,G598,$D:$D,$D598,$AE:$AE,$AE598)/SUMIF(符文权重!$A:$A,$D598,符文权重!$D:$D)))</f>
        <v/>
      </c>
      <c r="N598" s="51" t="str" cm="1">
        <f t="array" ref="N598">IF($A598="","",IF(H598="","",_xlfn.XLOOKUP($D598&amp;"_"&amp;$AE598,符文权重!$A:$A&amp;"_"&amp;符文权重!$C:$C,符文权重!$D:$D)*$Y598/SUMIFS($Y:$Y,H:H,H598,$D:$D,$D598,$AE:$AE,$AE598)/SUMIF(符文权重!$A:$A,$D598,符文权重!$D:$D)))</f>
        <v/>
      </c>
      <c r="O598" s="51" cm="1">
        <f t="array" ref="O598">IF($A598="","",IF(I598="","",_xlfn.XLOOKUP($D598&amp;"_"&amp;$AE598,符文权重!$A:$A&amp;"_"&amp;符文权重!$C:$C,符文权重!$D:$D)*$Y598/SUMIFS($Y:$Y,I:I,I598,$D:$D,$D598,$AE:$AE,$AE598)/SUMIF(符文权重!$A:$A,$D598,符文权重!$D:$D)))</f>
        <v>0.0114887614887615</v>
      </c>
      <c r="P598" s="51" t="str" cm="1">
        <f t="array" ref="P598">IF($A598="","",IF(J598="","",_xlfn.XLOOKUP($D598&amp;"_"&amp;$AE598,符文权重!$A:$A&amp;"_"&amp;符文权重!$C:$C,符文权重!$D:$D)*$Y598/SUMIFS($Y:$Y,J:J,J598,$D:$D,$D598,$AE:$AE,$AE598)/SUMIF(符文权重!$A:$A,$D598,符文权重!$D:$D)))</f>
        <v/>
      </c>
      <c r="Q598" s="51" t="str" cm="1">
        <f t="array" ref="Q598">IF($A598="","",IF(K598="","",_xlfn.XLOOKUP($D598&amp;"_"&amp;$AE598,符文权重!$A:$A&amp;"_"&amp;符文权重!$C:$C,符文权重!$D:$D)*$Y598/SUMIFS($Y:$Y,K:K,K598,$D:$D,$D598,$AE:$AE,$AE598)/SUMIF(符文权重!$A:$A,$D598,符文权重!$D:$D)))</f>
        <v/>
      </c>
      <c r="R598" s="51" t="str" cm="1">
        <f t="array" ref="R598">IF($A598="","",IF(L598="","",_xlfn.XLOOKUP($D598&amp;"_"&amp;$AE598,符文权重!$A:$A&amp;"_"&amp;符文权重!$C:$C,符文权重!$D:$D)*$Y598/SUMIFS($Y:$Y,L:L,L598,$D:$D,$D598,$AE:$AE,$AE598)/SUMIF(符文权重!$A:$A,$D598,符文权重!$D:$D)))</f>
        <v/>
      </c>
      <c r="S598" s="35" t="s">
        <v>344</v>
      </c>
      <c r="T598" s="35" t="s">
        <v>628</v>
      </c>
      <c r="U598" s="35" t="s">
        <v>420</v>
      </c>
      <c r="V598" s="35"/>
      <c r="W598" s="35" t="s">
        <v>642</v>
      </c>
      <c r="X598" s="35" t="s">
        <v>636</v>
      </c>
      <c r="Y598" s="35">
        <v>100</v>
      </c>
      <c r="AA598" s="35" t="s">
        <v>185</v>
      </c>
      <c r="AB598" s="42" t="str">
        <f t="shared" si="250"/>
        <v>摇滚巨石受到的治疗量&lt;color=#54b76b&gt;+30%&lt;/color&gt;</v>
      </c>
      <c r="AC598" s="35">
        <v>5301230</v>
      </c>
      <c r="AD598" s="35" t="s">
        <v>487</v>
      </c>
      <c r="AE598" s="35">
        <v>4</v>
      </c>
      <c r="AH598" s="35">
        <v>1</v>
      </c>
      <c r="AI598" s="36"/>
      <c r="AJ598" s="35" t="s">
        <v>643</v>
      </c>
      <c r="AK598" s="36"/>
      <c r="AL598" s="35">
        <v>4</v>
      </c>
    </row>
    <row r="599" s="25" customFormat="1" hidden="1" customHeight="1" spans="1:38">
      <c r="A599" s="35">
        <v>5510092</v>
      </c>
      <c r="B599" s="35" t="s">
        <v>52</v>
      </c>
      <c r="C599" s="35">
        <v>5301231</v>
      </c>
      <c r="D599" s="36">
        <v>2</v>
      </c>
      <c r="E599" s="36"/>
      <c r="F599" s="35" t="s">
        <v>404</v>
      </c>
      <c r="G599" s="36" t="str">
        <f t="shared" si="263"/>
        <v/>
      </c>
      <c r="H599" s="36" t="str">
        <f>IFERROR(IF(--MID($F599,2*COUNTIF($G599:G599,"&gt;"&amp;0)+2,1)=H$1,H$1,""),"")</f>
        <v/>
      </c>
      <c r="I599" s="36" t="str">
        <f>IFERROR(IF(--MID($F599,2*COUNTIF($G599:H599,"&gt;"&amp;0)+2,1)=I$1,I$1,""),"")</f>
        <v/>
      </c>
      <c r="J599" s="36">
        <f>IFERROR(IF(--MID($F599,2*COUNTIF($G599:I599,"&gt;"&amp;0)+2,1)=J$1,J$1,""),"")</f>
        <v>4</v>
      </c>
      <c r="K599" s="36" t="str">
        <f>IFERROR(IF(--MID($F599,2*COUNTIF($G599:J599,"&gt;"&amp;0)+2,1)=K$1,K$1,""),"")</f>
        <v/>
      </c>
      <c r="L599" s="36" t="str">
        <f>IFERROR(IF(--MID($F599,2*COUNTIF($G599:K599,"&gt;"&amp;0)+2,1)=L$1,L$1,""),"")</f>
        <v/>
      </c>
      <c r="M599" s="36" t="e" cm="1">
        <f t="array" ref="M599">IF(A599="","",_xlfn.XLOOKUP(D599&amp;"_"&amp;AE599,符文权重!A:A&amp;"_"&amp;符文权重!C:C,符文权重!D:D))</f>
        <v>#N/A</v>
      </c>
      <c r="N599" s="36"/>
      <c r="O599" s="36"/>
      <c r="P599" s="36"/>
      <c r="Q599" s="36"/>
      <c r="R599" s="36"/>
      <c r="S599" s="36" t="s">
        <v>344</v>
      </c>
      <c r="T599" s="36" t="s">
        <v>628</v>
      </c>
      <c r="U599" s="36" t="s">
        <v>415</v>
      </c>
      <c r="V599" s="25" t="s">
        <v>644</v>
      </c>
      <c r="W599" s="36"/>
      <c r="X599" s="35" t="s">
        <v>630</v>
      </c>
      <c r="Y599" s="35">
        <v>100</v>
      </c>
      <c r="Z599" s="35"/>
      <c r="AA599" s="36" t="s">
        <v>181</v>
      </c>
      <c r="AB599" s="42" t="str">
        <f t="shared" si="250"/>
        <v>摇滚巨石攻击被控制的敌人时，伤害&lt;color=#54b76b&gt;+12%&lt;/color&gt;</v>
      </c>
      <c r="AC599" s="35">
        <v>5301231</v>
      </c>
      <c r="AD599" s="36" t="s">
        <v>492</v>
      </c>
      <c r="AE599" s="36">
        <v>100</v>
      </c>
      <c r="AF599" s="36"/>
      <c r="AG599" s="36">
        <v>1</v>
      </c>
      <c r="AH599" s="36">
        <v>0</v>
      </c>
      <c r="AJ599" s="36" t="s">
        <v>645</v>
      </c>
      <c r="AL599" s="35">
        <v>4</v>
      </c>
    </row>
    <row r="600" s="25" customFormat="1" hidden="1" customHeight="1" spans="1:38">
      <c r="A600" s="35">
        <v>5510093</v>
      </c>
      <c r="B600" s="35" t="s">
        <v>52</v>
      </c>
      <c r="C600" s="35">
        <v>5301231</v>
      </c>
      <c r="D600" s="35">
        <v>3</v>
      </c>
      <c r="E600" s="35"/>
      <c r="F600" s="35" t="s">
        <v>404</v>
      </c>
      <c r="G600" s="36" t="str">
        <f t="shared" si="263"/>
        <v/>
      </c>
      <c r="H600" s="36" t="str">
        <f>IFERROR(IF(--MID($F600,2*COUNTIF($G600:G600,"&gt;"&amp;0)+2,1)=H$1,H$1,""),"")</f>
        <v/>
      </c>
      <c r="I600" s="36" t="str">
        <f>IFERROR(IF(--MID($F600,2*COUNTIF($G600:H600,"&gt;"&amp;0)+2,1)=I$1,I$1,""),"")</f>
        <v/>
      </c>
      <c r="J600" s="36">
        <f>IFERROR(IF(--MID($F600,2*COUNTIF($G600:I600,"&gt;"&amp;0)+2,1)=J$1,J$1,""),"")</f>
        <v>4</v>
      </c>
      <c r="K600" s="36" t="str">
        <f>IFERROR(IF(--MID($F600,2*COUNTIF($G600:J600,"&gt;"&amp;0)+2,1)=K$1,K$1,""),"")</f>
        <v/>
      </c>
      <c r="L600" s="36" t="str">
        <f>IFERROR(IF(--MID($F600,2*COUNTIF($G600:K600,"&gt;"&amp;0)+2,1)=L$1,L$1,""),"")</f>
        <v/>
      </c>
      <c r="M600" s="51" t="str" cm="1">
        <f t="array" ref="M600">IF($A600="","",IF(G600="","",_xlfn.XLOOKUP($D600&amp;"_"&amp;$AE600,符文权重!$A:$A&amp;"_"&amp;符文权重!$C:$C,符文权重!$D:$D)*$Y600/SUMIFS($Y:$Y,G:G,G600,$D:$D,$D600,$AE:$AE,$AE600)/SUMIF(符文权重!$A:$A,$D600,符文权重!$D:$D)))</f>
        <v/>
      </c>
      <c r="N600" s="51" t="str" cm="1">
        <f t="array" ref="N600">IF($A600="","",IF(H600="","",_xlfn.XLOOKUP($D600&amp;"_"&amp;$AE600,符文权重!$A:$A&amp;"_"&amp;符文权重!$C:$C,符文权重!$D:$D)*$Y600/SUMIFS($Y:$Y,H:H,H600,$D:$D,$D600,$AE:$AE,$AE600)/SUMIF(符文权重!$A:$A,$D600,符文权重!$D:$D)))</f>
        <v/>
      </c>
      <c r="O600" s="51" t="str" cm="1">
        <f t="array" ref="O600">IF($A600="","",IF(I600="","",_xlfn.XLOOKUP($D600&amp;"_"&amp;$AE600,符文权重!$A:$A&amp;"_"&amp;符文权重!$C:$C,符文权重!$D:$D)*$Y600/SUMIFS($Y:$Y,I:I,I600,$D:$D,$D600,$AE:$AE,$AE600)/SUMIF(符文权重!$A:$A,$D600,符文权重!$D:$D)))</f>
        <v/>
      </c>
      <c r="P600" s="51" cm="1">
        <f t="array" ref="P600">IF($A600="","",IF(J600="","",_xlfn.XLOOKUP($D600&amp;"_"&amp;$AE600,符文权重!$A:$A&amp;"_"&amp;符文权重!$C:$C,符文权重!$D:$D)*$Y600/SUMIFS($Y:$Y,J:J,J600,$D:$D,$D600,$AE:$AE,$AE600)/SUMIF(符文权重!$A:$A,$D600,符文权重!$D:$D)))</f>
        <v>0.0125</v>
      </c>
      <c r="Q600" s="51" t="str" cm="1">
        <f t="array" ref="Q600">IF($A600="","",IF(K600="","",_xlfn.XLOOKUP($D600&amp;"_"&amp;$AE600,符文权重!$A:$A&amp;"_"&amp;符文权重!$C:$C,符文权重!$D:$D)*$Y600/SUMIFS($Y:$Y,K:K,K600,$D:$D,$D600,$AE:$AE,$AE600)/SUMIF(符文权重!$A:$A,$D600,符文权重!$D:$D)))</f>
        <v/>
      </c>
      <c r="R600" s="51" t="str" cm="1">
        <f t="array" ref="R600">IF($A600="","",IF(L600="","",_xlfn.XLOOKUP($D600&amp;"_"&amp;$AE600,符文权重!$A:$A&amp;"_"&amp;符文权重!$C:$C,符文权重!$D:$D)*$Y600/SUMIFS($Y:$Y,L:L,L600,$D:$D,$D600,$AE:$AE,$AE600)/SUMIF(符文权重!$A:$A,$D600,符文权重!$D:$D)))</f>
        <v/>
      </c>
      <c r="S600" s="35" t="s">
        <v>344</v>
      </c>
      <c r="T600" s="35" t="s">
        <v>628</v>
      </c>
      <c r="U600" s="35" t="s">
        <v>417</v>
      </c>
      <c r="V600" s="35" t="s">
        <v>646</v>
      </c>
      <c r="X600" s="35" t="s">
        <v>633</v>
      </c>
      <c r="Y600" s="35">
        <v>100</v>
      </c>
      <c r="AA600" s="35" t="s">
        <v>183</v>
      </c>
      <c r="AB600" s="42" t="str">
        <f t="shared" si="250"/>
        <v>摇滚巨石攻击被控制的敌人时，伤害&lt;color=#54b76b&gt;+18%&lt;/color&gt;</v>
      </c>
      <c r="AC600" s="35">
        <v>5301231</v>
      </c>
      <c r="AD600" s="35" t="s">
        <v>494</v>
      </c>
      <c r="AE600" s="35">
        <v>4</v>
      </c>
      <c r="AH600" s="35">
        <v>1</v>
      </c>
      <c r="AI600" s="36"/>
      <c r="AJ600" s="35" t="s">
        <v>647</v>
      </c>
      <c r="AK600" s="36"/>
      <c r="AL600" s="35">
        <v>4</v>
      </c>
    </row>
    <row r="601" s="25" customFormat="1" hidden="1" customHeight="1" spans="1:38">
      <c r="A601" s="35">
        <v>5510094</v>
      </c>
      <c r="B601" s="35" t="s">
        <v>52</v>
      </c>
      <c r="C601" s="35">
        <v>5301231</v>
      </c>
      <c r="D601" s="35">
        <v>4</v>
      </c>
      <c r="E601" s="35"/>
      <c r="F601" s="35" t="s">
        <v>404</v>
      </c>
      <c r="G601" s="36" t="str">
        <f t="shared" si="263"/>
        <v/>
      </c>
      <c r="H601" s="36" t="str">
        <f>IFERROR(IF(--MID($F601,2*COUNTIF($G601:G601,"&gt;"&amp;0)+2,1)=H$1,H$1,""),"")</f>
        <v/>
      </c>
      <c r="I601" s="36" t="str">
        <f>IFERROR(IF(--MID($F601,2*COUNTIF($G601:H601,"&gt;"&amp;0)+2,1)=I$1,I$1,""),"")</f>
        <v/>
      </c>
      <c r="J601" s="36">
        <f>IFERROR(IF(--MID($F601,2*COUNTIF($G601:I601,"&gt;"&amp;0)+2,1)=J$1,J$1,""),"")</f>
        <v>4</v>
      </c>
      <c r="K601" s="36" t="str">
        <f>IFERROR(IF(--MID($F601,2*COUNTIF($G601:J601,"&gt;"&amp;0)+2,1)=K$1,K$1,""),"")</f>
        <v/>
      </c>
      <c r="L601" s="36" t="str">
        <f>IFERROR(IF(--MID($F601,2*COUNTIF($G601:K601,"&gt;"&amp;0)+2,1)=L$1,L$1,""),"")</f>
        <v/>
      </c>
      <c r="M601" s="51" t="str" cm="1">
        <f t="array" ref="M601">IF($A601="","",IF(G601="","",_xlfn.XLOOKUP($D601&amp;"_"&amp;$AE601,符文权重!$A:$A&amp;"_"&amp;符文权重!$C:$C,符文权重!$D:$D)*$Y601/SUMIFS($Y:$Y,G:G,G601,$D:$D,$D601,$AE:$AE,$AE601)/SUMIF(符文权重!$A:$A,$D601,符文权重!$D:$D)))</f>
        <v/>
      </c>
      <c r="N601" s="51" t="str" cm="1">
        <f t="array" ref="N601">IF($A601="","",IF(H601="","",_xlfn.XLOOKUP($D601&amp;"_"&amp;$AE601,符文权重!$A:$A&amp;"_"&amp;符文权重!$C:$C,符文权重!$D:$D)*$Y601/SUMIFS($Y:$Y,H:H,H601,$D:$D,$D601,$AE:$AE,$AE601)/SUMIF(符文权重!$A:$A,$D601,符文权重!$D:$D)))</f>
        <v/>
      </c>
      <c r="O601" s="51" t="str" cm="1">
        <f t="array" ref="O601">IF($A601="","",IF(I601="","",_xlfn.XLOOKUP($D601&amp;"_"&amp;$AE601,符文权重!$A:$A&amp;"_"&amp;符文权重!$C:$C,符文权重!$D:$D)*$Y601/SUMIFS($Y:$Y,I:I,I601,$D:$D,$D601,$AE:$AE,$AE601)/SUMIF(符文权重!$A:$A,$D601,符文权重!$D:$D)))</f>
        <v/>
      </c>
      <c r="P601" s="51" cm="1">
        <f t="array" ref="P601">IF($A601="","",IF(J601="","",_xlfn.XLOOKUP($D601&amp;"_"&amp;$AE601,符文权重!$A:$A&amp;"_"&amp;符文权重!$C:$C,符文权重!$D:$D)*$Y601/SUMIFS($Y:$Y,J:J,J601,$D:$D,$D601,$AE:$AE,$AE601)/SUMIF(符文权重!$A:$A,$D601,符文权重!$D:$D)))</f>
        <v>0.0114887614887615</v>
      </c>
      <c r="Q601" s="51" t="str" cm="1">
        <f t="array" ref="Q601">IF($A601="","",IF(K601="","",_xlfn.XLOOKUP($D601&amp;"_"&amp;$AE601,符文权重!$A:$A&amp;"_"&amp;符文权重!$C:$C,符文权重!$D:$D)*$Y601/SUMIFS($Y:$Y,K:K,K601,$D:$D,$D601,$AE:$AE,$AE601)/SUMIF(符文权重!$A:$A,$D601,符文权重!$D:$D)))</f>
        <v/>
      </c>
      <c r="R601" s="51" t="str" cm="1">
        <f t="array" ref="R601">IF($A601="","",IF(L601="","",_xlfn.XLOOKUP($D601&amp;"_"&amp;$AE601,符文权重!$A:$A&amp;"_"&amp;符文权重!$C:$C,符文权重!$D:$D)*$Y601/SUMIFS($Y:$Y,L:L,L601,$D:$D,$D601,$AE:$AE,$AE601)/SUMIF(符文权重!$A:$A,$D601,符文权重!$D:$D)))</f>
        <v/>
      </c>
      <c r="S601" s="35" t="s">
        <v>344</v>
      </c>
      <c r="T601" s="35" t="s">
        <v>628</v>
      </c>
      <c r="U601" s="35" t="s">
        <v>420</v>
      </c>
      <c r="V601" s="35" t="s">
        <v>648</v>
      </c>
      <c r="X601" s="35" t="s">
        <v>636</v>
      </c>
      <c r="Y601" s="35">
        <v>100</v>
      </c>
      <c r="AA601" s="35" t="s">
        <v>185</v>
      </c>
      <c r="AB601" s="42" t="str">
        <f t="shared" si="250"/>
        <v>摇滚巨石攻击被控制的敌人时，伤害&lt;color=#54b76b&gt;+24%&lt;/color&gt;</v>
      </c>
      <c r="AC601" s="35">
        <v>5301231</v>
      </c>
      <c r="AD601" s="35" t="s">
        <v>649</v>
      </c>
      <c r="AE601" s="35">
        <v>4</v>
      </c>
      <c r="AH601" s="35">
        <v>1</v>
      </c>
      <c r="AI601" s="36"/>
      <c r="AJ601" s="35" t="s">
        <v>650</v>
      </c>
      <c r="AK601" s="36"/>
      <c r="AL601" s="35">
        <v>4</v>
      </c>
    </row>
    <row r="602" s="25" customFormat="1" hidden="1" customHeight="1" spans="1:38">
      <c r="A602" s="35">
        <v>5510102</v>
      </c>
      <c r="B602" s="35" t="s">
        <v>651</v>
      </c>
      <c r="C602" s="35">
        <v>5301233</v>
      </c>
      <c r="D602" s="36">
        <v>2</v>
      </c>
      <c r="E602" s="36"/>
      <c r="F602" s="35" t="s">
        <v>230</v>
      </c>
      <c r="G602" s="36" t="str">
        <f t="shared" si="263"/>
        <v/>
      </c>
      <c r="H602" s="36" t="str">
        <f>IFERROR(IF(--MID($F602,2*COUNTIF($G602:G602,"&gt;"&amp;0)+2,1)=H$1,H$1,""),"")</f>
        <v/>
      </c>
      <c r="I602" s="36" t="str">
        <f>IFERROR(IF(--MID($F602,2*COUNTIF($G602:H602,"&gt;"&amp;0)+2,1)=I$1,I$1,""),"")</f>
        <v/>
      </c>
      <c r="J602" s="36" t="str">
        <f>IFERROR(IF(--MID($F602,2*COUNTIF($G602:I602,"&gt;"&amp;0)+2,1)=J$1,J$1,""),"")</f>
        <v/>
      </c>
      <c r="K602" s="36">
        <f>IFERROR(IF(--MID($F602,2*COUNTIF($G602:J602,"&gt;"&amp;0)+2,1)=K$1,K$1,""),"")</f>
        <v>5</v>
      </c>
      <c r="L602" s="36" t="str">
        <f>IFERROR(IF(--MID($F602,2*COUNTIF($G602:K602,"&gt;"&amp;0)+2,1)=L$1,L$1,""),"")</f>
        <v/>
      </c>
      <c r="M602" s="36" t="e" cm="1">
        <f t="array" ref="M602">IF(A602="","",_xlfn.XLOOKUP(D602&amp;"_"&amp;AE602,符文权重!A:A&amp;"_"&amp;符文权重!C:C,符文权重!D:D))</f>
        <v>#N/A</v>
      </c>
      <c r="N602" s="36"/>
      <c r="O602" s="36"/>
      <c r="P602" s="36"/>
      <c r="Q602" s="36"/>
      <c r="R602" s="36"/>
      <c r="S602" s="36" t="s">
        <v>344</v>
      </c>
      <c r="T602" s="36" t="s">
        <v>652</v>
      </c>
      <c r="U602" s="36" t="s">
        <v>415</v>
      </c>
      <c r="V602" s="25" t="s">
        <v>653</v>
      </c>
      <c r="W602" s="36"/>
      <c r="X602" s="35" t="s">
        <v>636</v>
      </c>
      <c r="Y602" s="35">
        <v>100</v>
      </c>
      <c r="Z602" s="35"/>
      <c r="AA602" s="36" t="s">
        <v>181</v>
      </c>
      <c r="AB602" s="42" t="str">
        <f t="shared" ref="AB602:AB665" si="264">SUBSTITUTE(AJ602,"%s",AK602)</f>
        <v>果冻少女冻冻弹射&lt;color=#54b76b&gt;+1&lt;/color&gt;，伤害&lt;color=#54b76b&gt;-45%&lt;/color&gt;</v>
      </c>
      <c r="AC602" s="35">
        <v>5301233</v>
      </c>
      <c r="AD602" s="36" t="s">
        <v>474</v>
      </c>
      <c r="AE602" s="36">
        <v>100</v>
      </c>
      <c r="AF602" s="36"/>
      <c r="AG602" s="36">
        <v>1</v>
      </c>
      <c r="AH602" s="36">
        <v>0</v>
      </c>
      <c r="AJ602" s="36" t="s">
        <v>654</v>
      </c>
      <c r="AL602" s="35">
        <v>4</v>
      </c>
    </row>
    <row r="603" s="25" customFormat="1" hidden="1" customHeight="1" spans="1:38">
      <c r="A603" s="35">
        <v>5510103</v>
      </c>
      <c r="B603" s="35" t="s">
        <v>651</v>
      </c>
      <c r="C603" s="35">
        <v>5301233</v>
      </c>
      <c r="D603" s="35">
        <v>3</v>
      </c>
      <c r="E603" s="35"/>
      <c r="F603" s="35" t="s">
        <v>230</v>
      </c>
      <c r="G603" s="36" t="str">
        <f t="shared" si="263"/>
        <v/>
      </c>
      <c r="H603" s="36" t="str">
        <f>IFERROR(IF(--MID($F603,2*COUNTIF($G603:G603,"&gt;"&amp;0)+2,1)=H$1,H$1,""),"")</f>
        <v/>
      </c>
      <c r="I603" s="36" t="str">
        <f>IFERROR(IF(--MID($F603,2*COUNTIF($G603:H603,"&gt;"&amp;0)+2,1)=I$1,I$1,""),"")</f>
        <v/>
      </c>
      <c r="J603" s="36" t="str">
        <f>IFERROR(IF(--MID($F603,2*COUNTIF($G603:I603,"&gt;"&amp;0)+2,1)=J$1,J$1,""),"")</f>
        <v/>
      </c>
      <c r="K603" s="36">
        <f>IFERROR(IF(--MID($F603,2*COUNTIF($G603:J603,"&gt;"&amp;0)+2,1)=K$1,K$1,""),"")</f>
        <v>5</v>
      </c>
      <c r="L603" s="36" t="str">
        <f>IFERROR(IF(--MID($F603,2*COUNTIF($G603:K603,"&gt;"&amp;0)+2,1)=L$1,L$1,""),"")</f>
        <v/>
      </c>
      <c r="M603" s="51" t="str" cm="1">
        <f t="array" ref="M603">IF($A603="","",IF(G603="","",_xlfn.XLOOKUP($D603&amp;"_"&amp;$AE603,符文权重!$A:$A&amp;"_"&amp;符文权重!$C:$C,符文权重!$D:$D)*$Y603/SUMIFS($Y:$Y,G:G,G603,$D:$D,$D603,$AE:$AE,$AE603)/SUMIF(符文权重!$A:$A,$D603,符文权重!$D:$D)))</f>
        <v/>
      </c>
      <c r="N603" s="51" t="str" cm="1">
        <f t="array" ref="N603">IF($A603="","",IF(H603="","",_xlfn.XLOOKUP($D603&amp;"_"&amp;$AE603,符文权重!$A:$A&amp;"_"&amp;符文权重!$C:$C,符文权重!$D:$D)*$Y603/SUMIFS($Y:$Y,H:H,H603,$D:$D,$D603,$AE:$AE,$AE603)/SUMIF(符文权重!$A:$A,$D603,符文权重!$D:$D)))</f>
        <v/>
      </c>
      <c r="O603" s="51" t="str" cm="1">
        <f t="array" ref="O603">IF($A603="","",IF(I603="","",_xlfn.XLOOKUP($D603&amp;"_"&amp;$AE603,符文权重!$A:$A&amp;"_"&amp;符文权重!$C:$C,符文权重!$D:$D)*$Y603/SUMIFS($Y:$Y,I:I,I603,$D:$D,$D603,$AE:$AE,$AE603)/SUMIF(符文权重!$A:$A,$D603,符文权重!$D:$D)))</f>
        <v/>
      </c>
      <c r="P603" s="51" t="str" cm="1">
        <f t="array" ref="P603">IF($A603="","",IF(J603="","",_xlfn.XLOOKUP($D603&amp;"_"&amp;$AE603,符文权重!$A:$A&amp;"_"&amp;符文权重!$C:$C,符文权重!$D:$D)*$Y603/SUMIFS($Y:$Y,J:J,J603,$D:$D,$D603,$AE:$AE,$AE603)/SUMIF(符文权重!$A:$A,$D603,符文权重!$D:$D)))</f>
        <v/>
      </c>
      <c r="Q603" s="51" cm="1">
        <f t="array" ref="Q603">IF($A603="","",IF(K603="","",_xlfn.XLOOKUP($D603&amp;"_"&amp;$AE603,符文权重!$A:$A&amp;"_"&amp;符文权重!$C:$C,符文权重!$D:$D)*$Y603/SUMIFS($Y:$Y,K:K,K603,$D:$D,$D603,$AE:$AE,$AE603)/SUMIF(符文权重!$A:$A,$D603,符文权重!$D:$D)))</f>
        <v>0.0125</v>
      </c>
      <c r="R603" s="51" t="str" cm="1">
        <f t="array" ref="R603">IF($A603="","",IF(L603="","",_xlfn.XLOOKUP($D603&amp;"_"&amp;$AE603,符文权重!$A:$A&amp;"_"&amp;符文权重!$C:$C,符文权重!$D:$D)*$Y603/SUMIFS($Y:$Y,L:L,L603,$D:$D,$D603,$AE:$AE,$AE603)/SUMIF(符文权重!$A:$A,$D603,符文权重!$D:$D)))</f>
        <v/>
      </c>
      <c r="S603" s="35" t="s">
        <v>344</v>
      </c>
      <c r="T603" s="35" t="s">
        <v>652</v>
      </c>
      <c r="U603" s="35" t="s">
        <v>417</v>
      </c>
      <c r="V603" s="35" t="s">
        <v>655</v>
      </c>
      <c r="X603" s="35" t="s">
        <v>656</v>
      </c>
      <c r="Y603" s="35">
        <v>100</v>
      </c>
      <c r="AA603" s="35" t="s">
        <v>183</v>
      </c>
      <c r="AB603" s="42" t="str">
        <f t="shared" si="264"/>
        <v>果冻少女冻冻弹射&lt;color=#54b76b&gt;+1&lt;/color&gt;，伤害&lt;color=#54b76b&gt;-40%&lt;/color&gt;</v>
      </c>
      <c r="AC603" s="35">
        <v>5301233</v>
      </c>
      <c r="AD603" s="35" t="s">
        <v>497</v>
      </c>
      <c r="AE603" s="35">
        <v>4</v>
      </c>
      <c r="AH603" s="35">
        <v>1</v>
      </c>
      <c r="AI603" s="36"/>
      <c r="AJ603" s="35" t="s">
        <v>657</v>
      </c>
      <c r="AK603" s="36"/>
      <c r="AL603" s="35">
        <v>4</v>
      </c>
    </row>
    <row r="604" s="25" customFormat="1" hidden="1" customHeight="1" spans="1:38">
      <c r="A604" s="35">
        <v>5510104</v>
      </c>
      <c r="B604" s="35" t="s">
        <v>651</v>
      </c>
      <c r="C604" s="35">
        <v>5301233</v>
      </c>
      <c r="D604" s="35">
        <v>4</v>
      </c>
      <c r="E604" s="35"/>
      <c r="F604" s="35" t="s">
        <v>230</v>
      </c>
      <c r="G604" s="36" t="str">
        <f t="shared" si="263"/>
        <v/>
      </c>
      <c r="H604" s="36" t="str">
        <f>IFERROR(IF(--MID($F604,2*COUNTIF($G604:G604,"&gt;"&amp;0)+2,1)=H$1,H$1,""),"")</f>
        <v/>
      </c>
      <c r="I604" s="36" t="str">
        <f>IFERROR(IF(--MID($F604,2*COUNTIF($G604:H604,"&gt;"&amp;0)+2,1)=I$1,I$1,""),"")</f>
        <v/>
      </c>
      <c r="J604" s="36" t="str">
        <f>IFERROR(IF(--MID($F604,2*COUNTIF($G604:I604,"&gt;"&amp;0)+2,1)=J$1,J$1,""),"")</f>
        <v/>
      </c>
      <c r="K604" s="36">
        <f>IFERROR(IF(--MID($F604,2*COUNTIF($G604:J604,"&gt;"&amp;0)+2,1)=K$1,K$1,""),"")</f>
        <v>5</v>
      </c>
      <c r="L604" s="36" t="str">
        <f>IFERROR(IF(--MID($F604,2*COUNTIF($G604:K604,"&gt;"&amp;0)+2,1)=L$1,L$1,""),"")</f>
        <v/>
      </c>
      <c r="M604" s="51" t="str" cm="1">
        <f t="array" ref="M604">IF($A604="","",IF(G604="","",_xlfn.XLOOKUP($D604&amp;"_"&amp;$AE604,符文权重!$A:$A&amp;"_"&amp;符文权重!$C:$C,符文权重!$D:$D)*$Y604/SUMIFS($Y:$Y,G:G,G604,$D:$D,$D604,$AE:$AE,$AE604)/SUMIF(符文权重!$A:$A,$D604,符文权重!$D:$D)))</f>
        <v/>
      </c>
      <c r="N604" s="51" t="str" cm="1">
        <f t="array" ref="N604">IF($A604="","",IF(H604="","",_xlfn.XLOOKUP($D604&amp;"_"&amp;$AE604,符文权重!$A:$A&amp;"_"&amp;符文权重!$C:$C,符文权重!$D:$D)*$Y604/SUMIFS($Y:$Y,H:H,H604,$D:$D,$D604,$AE:$AE,$AE604)/SUMIF(符文权重!$A:$A,$D604,符文权重!$D:$D)))</f>
        <v/>
      </c>
      <c r="O604" s="51" t="str" cm="1">
        <f t="array" ref="O604">IF($A604="","",IF(I604="","",_xlfn.XLOOKUP($D604&amp;"_"&amp;$AE604,符文权重!$A:$A&amp;"_"&amp;符文权重!$C:$C,符文权重!$D:$D)*$Y604/SUMIFS($Y:$Y,I:I,I604,$D:$D,$D604,$AE:$AE,$AE604)/SUMIF(符文权重!$A:$A,$D604,符文权重!$D:$D)))</f>
        <v/>
      </c>
      <c r="P604" s="51" t="str" cm="1">
        <f t="array" ref="P604">IF($A604="","",IF(J604="","",_xlfn.XLOOKUP($D604&amp;"_"&amp;$AE604,符文权重!$A:$A&amp;"_"&amp;符文权重!$C:$C,符文权重!$D:$D)*$Y604/SUMIFS($Y:$Y,J:J,J604,$D:$D,$D604,$AE:$AE,$AE604)/SUMIF(符文权重!$A:$A,$D604,符文权重!$D:$D)))</f>
        <v/>
      </c>
      <c r="Q604" s="51" cm="1">
        <f t="array" ref="Q604">IF($A604="","",IF(K604="","",_xlfn.XLOOKUP($D604&amp;"_"&amp;$AE604,符文权重!$A:$A&amp;"_"&amp;符文权重!$C:$C,符文权重!$D:$D)*$Y604/SUMIFS($Y:$Y,K:K,K604,$D:$D,$D604,$AE:$AE,$AE604)/SUMIF(符文权重!$A:$A,$D604,符文权重!$D:$D)))</f>
        <v>0.0114887614887615</v>
      </c>
      <c r="R604" s="51" t="str" cm="1">
        <f t="array" ref="R604">IF($A604="","",IF(L604="","",_xlfn.XLOOKUP($D604&amp;"_"&amp;$AE604,符文权重!$A:$A&amp;"_"&amp;符文权重!$C:$C,符文权重!$D:$D)*$Y604/SUMIFS($Y:$Y,L:L,L604,$D:$D,$D604,$AE:$AE,$AE604)/SUMIF(符文权重!$A:$A,$D604,符文权重!$D:$D)))</f>
        <v/>
      </c>
      <c r="S604" s="35" t="s">
        <v>344</v>
      </c>
      <c r="T604" s="35" t="s">
        <v>652</v>
      </c>
      <c r="U604" s="35" t="s">
        <v>420</v>
      </c>
      <c r="V604" s="35" t="s">
        <v>658</v>
      </c>
      <c r="W604" s="35"/>
      <c r="X604" s="35" t="s">
        <v>659</v>
      </c>
      <c r="Y604" s="35">
        <v>100</v>
      </c>
      <c r="AA604" s="35" t="s">
        <v>185</v>
      </c>
      <c r="AB604" s="42" t="str">
        <f t="shared" si="264"/>
        <v>果冻少女冻冻弹射&lt;color=#54b76b&gt;+1&lt;/color&gt;，伤害&lt;color=#54b76b&gt;-36%&lt;/color&gt;</v>
      </c>
      <c r="AC604" s="35">
        <v>5301233</v>
      </c>
      <c r="AD604" s="35" t="s">
        <v>660</v>
      </c>
      <c r="AE604" s="35">
        <v>4</v>
      </c>
      <c r="AH604" s="35">
        <v>1</v>
      </c>
      <c r="AI604" s="36"/>
      <c r="AJ604" s="35" t="s">
        <v>661</v>
      </c>
      <c r="AK604" s="36"/>
      <c r="AL604" s="35">
        <v>4</v>
      </c>
    </row>
    <row r="605" s="25" customFormat="1" hidden="1" customHeight="1" spans="1:38">
      <c r="A605" s="35">
        <v>5510112</v>
      </c>
      <c r="B605" s="35" t="s">
        <v>651</v>
      </c>
      <c r="C605" s="35">
        <v>5301234</v>
      </c>
      <c r="D605" s="36">
        <v>2</v>
      </c>
      <c r="E605" s="36"/>
      <c r="F605" s="35" t="s">
        <v>220</v>
      </c>
      <c r="G605" s="36" t="str">
        <f t="shared" si="263"/>
        <v/>
      </c>
      <c r="H605" s="36" t="str">
        <f>IFERROR(IF(--MID($F605,2*COUNTIF($G605:G605,"&gt;"&amp;0)+2,1)=H$1,H$1,""),"")</f>
        <v/>
      </c>
      <c r="I605" s="36" t="str">
        <f>IFERROR(IF(--MID($F605,2*COUNTIF($G605:H605,"&gt;"&amp;0)+2,1)=I$1,I$1,""),"")</f>
        <v/>
      </c>
      <c r="J605" s="36" t="str">
        <f>IFERROR(IF(--MID($F605,2*COUNTIF($G605:I605,"&gt;"&amp;0)+2,1)=J$1,J$1,""),"")</f>
        <v/>
      </c>
      <c r="K605" s="36" t="str">
        <f>IFERROR(IF(--MID($F605,2*COUNTIF($G605:J605,"&gt;"&amp;0)+2,1)=K$1,K$1,""),"")</f>
        <v/>
      </c>
      <c r="L605" s="36">
        <f>IFERROR(IF(--MID($F605,2*COUNTIF($G605:K605,"&gt;"&amp;0)+2,1)=L$1,L$1,""),"")</f>
        <v>6</v>
      </c>
      <c r="M605" s="36" t="e" cm="1">
        <f t="array" ref="M605">IF(A605="","",_xlfn.XLOOKUP(D605&amp;"_"&amp;AE605,符文权重!A:A&amp;"_"&amp;符文权重!C:C,符文权重!D:D))</f>
        <v>#N/A</v>
      </c>
      <c r="N605" s="36"/>
      <c r="O605" s="36"/>
      <c r="P605" s="36"/>
      <c r="Q605" s="36"/>
      <c r="R605" s="36"/>
      <c r="S605" s="36" t="s">
        <v>344</v>
      </c>
      <c r="T605" s="36" t="s">
        <v>652</v>
      </c>
      <c r="U605" s="36" t="s">
        <v>415</v>
      </c>
      <c r="W605" s="36" t="s">
        <v>662</v>
      </c>
      <c r="X605" s="35" t="s">
        <v>636</v>
      </c>
      <c r="Y605" s="35">
        <v>100</v>
      </c>
      <c r="Z605" s="35"/>
      <c r="AA605" s="36" t="s">
        <v>181</v>
      </c>
      <c r="AB605" s="42" t="str">
        <f t="shared" si="264"/>
        <v>果冻少女中毒伤害&lt;color=#54b76b&gt;+25%&lt;/color&gt;</v>
      </c>
      <c r="AC605" s="35">
        <v>5301234</v>
      </c>
      <c r="AD605" s="36" t="s">
        <v>431</v>
      </c>
      <c r="AE605" s="36">
        <v>100</v>
      </c>
      <c r="AF605" s="36"/>
      <c r="AG605" s="36">
        <v>1</v>
      </c>
      <c r="AH605" s="36">
        <v>0</v>
      </c>
      <c r="AJ605" s="36" t="s">
        <v>663</v>
      </c>
      <c r="AL605" s="35">
        <v>4</v>
      </c>
    </row>
    <row r="606" s="25" customFormat="1" hidden="1" customHeight="1" spans="1:38">
      <c r="A606" s="35">
        <v>5510113</v>
      </c>
      <c r="B606" s="35" t="s">
        <v>651</v>
      </c>
      <c r="C606" s="35">
        <v>5301234</v>
      </c>
      <c r="D606" s="35">
        <v>3</v>
      </c>
      <c r="E606" s="35"/>
      <c r="F606" s="35" t="s">
        <v>220</v>
      </c>
      <c r="G606" s="36" t="str">
        <f t="shared" si="263"/>
        <v/>
      </c>
      <c r="H606" s="36" t="str">
        <f>IFERROR(IF(--MID($F606,2*COUNTIF($G606:G606,"&gt;"&amp;0)+2,1)=H$1,H$1,""),"")</f>
        <v/>
      </c>
      <c r="I606" s="36" t="str">
        <f>IFERROR(IF(--MID($F606,2*COUNTIF($G606:H606,"&gt;"&amp;0)+2,1)=I$1,I$1,""),"")</f>
        <v/>
      </c>
      <c r="J606" s="36" t="str">
        <f>IFERROR(IF(--MID($F606,2*COUNTIF($G606:I606,"&gt;"&amp;0)+2,1)=J$1,J$1,""),"")</f>
        <v/>
      </c>
      <c r="K606" s="36" t="str">
        <f>IFERROR(IF(--MID($F606,2*COUNTIF($G606:J606,"&gt;"&amp;0)+2,1)=K$1,K$1,""),"")</f>
        <v/>
      </c>
      <c r="L606" s="36">
        <f>IFERROR(IF(--MID($F606,2*COUNTIF($G606:K606,"&gt;"&amp;0)+2,1)=L$1,L$1,""),"")</f>
        <v>6</v>
      </c>
      <c r="M606" s="51" t="str" cm="1">
        <f t="array" ref="M606">IF($A606="","",IF(G606="","",_xlfn.XLOOKUP($D606&amp;"_"&amp;$AE606,符文权重!$A:$A&amp;"_"&amp;符文权重!$C:$C,符文权重!$D:$D)*$Y606/SUMIFS($Y:$Y,G:G,G606,$D:$D,$D606,$AE:$AE,$AE606)/SUMIF(符文权重!$A:$A,$D606,符文权重!$D:$D)))</f>
        <v/>
      </c>
      <c r="N606" s="51" t="str" cm="1">
        <f t="array" ref="N606">IF($A606="","",IF(H606="","",_xlfn.XLOOKUP($D606&amp;"_"&amp;$AE606,符文权重!$A:$A&amp;"_"&amp;符文权重!$C:$C,符文权重!$D:$D)*$Y606/SUMIFS($Y:$Y,H:H,H606,$D:$D,$D606,$AE:$AE,$AE606)/SUMIF(符文权重!$A:$A,$D606,符文权重!$D:$D)))</f>
        <v/>
      </c>
      <c r="O606" s="51" t="str" cm="1">
        <f t="array" ref="O606">IF($A606="","",IF(I606="","",_xlfn.XLOOKUP($D606&amp;"_"&amp;$AE606,符文权重!$A:$A&amp;"_"&amp;符文权重!$C:$C,符文权重!$D:$D)*$Y606/SUMIFS($Y:$Y,I:I,I606,$D:$D,$D606,$AE:$AE,$AE606)/SUMIF(符文权重!$A:$A,$D606,符文权重!$D:$D)))</f>
        <v/>
      </c>
      <c r="P606" s="51" t="str" cm="1">
        <f t="array" ref="P606">IF($A606="","",IF(J606="","",_xlfn.XLOOKUP($D606&amp;"_"&amp;$AE606,符文权重!$A:$A&amp;"_"&amp;符文权重!$C:$C,符文权重!$D:$D)*$Y606/SUMIFS($Y:$Y,J:J,J606,$D:$D,$D606,$AE:$AE,$AE606)/SUMIF(符文权重!$A:$A,$D606,符文权重!$D:$D)))</f>
        <v/>
      </c>
      <c r="Q606" s="51" t="str" cm="1">
        <f t="array" ref="Q606">IF($A606="","",IF(K606="","",_xlfn.XLOOKUP($D606&amp;"_"&amp;$AE606,符文权重!$A:$A&amp;"_"&amp;符文权重!$C:$C,符文权重!$D:$D)*$Y606/SUMIFS($Y:$Y,K:K,K606,$D:$D,$D606,$AE:$AE,$AE606)/SUMIF(符文权重!$A:$A,$D606,符文权重!$D:$D)))</f>
        <v/>
      </c>
      <c r="R606" s="51" cm="1">
        <f t="array" ref="R606">IF($A606="","",IF(L606="","",_xlfn.XLOOKUP($D606&amp;"_"&amp;$AE606,符文权重!$A:$A&amp;"_"&amp;符文权重!$C:$C,符文权重!$D:$D)*$Y606/SUMIFS($Y:$Y,L:L,L606,$D:$D,$D606,$AE:$AE,$AE606)/SUMIF(符文权重!$A:$A,$D606,符文权重!$D:$D)))</f>
        <v>0.0166666666666667</v>
      </c>
      <c r="S606" s="35" t="s">
        <v>344</v>
      </c>
      <c r="T606" s="35" t="s">
        <v>652</v>
      </c>
      <c r="U606" s="35" t="s">
        <v>417</v>
      </c>
      <c r="W606" s="35" t="s">
        <v>664</v>
      </c>
      <c r="X606" s="35" t="s">
        <v>656</v>
      </c>
      <c r="Y606" s="35">
        <v>100</v>
      </c>
      <c r="AA606" s="35" t="s">
        <v>183</v>
      </c>
      <c r="AB606" s="42" t="str">
        <f t="shared" si="264"/>
        <v>果冻少女中毒伤害&lt;color=#54b76b&gt;+36%&lt;/color&gt;</v>
      </c>
      <c r="AC606" s="35">
        <v>5301234</v>
      </c>
      <c r="AD606" s="35" t="s">
        <v>660</v>
      </c>
      <c r="AE606" s="35">
        <v>4</v>
      </c>
      <c r="AH606" s="35">
        <v>1</v>
      </c>
      <c r="AI606" s="36"/>
      <c r="AJ606" s="35" t="s">
        <v>665</v>
      </c>
      <c r="AK606" s="36"/>
      <c r="AL606" s="35">
        <v>4</v>
      </c>
    </row>
    <row r="607" s="25" customFormat="1" hidden="1" customHeight="1" spans="1:38">
      <c r="A607" s="35">
        <v>5510114</v>
      </c>
      <c r="B607" s="35" t="s">
        <v>651</v>
      </c>
      <c r="C607" s="35">
        <v>5301234</v>
      </c>
      <c r="D607" s="35">
        <v>4</v>
      </c>
      <c r="E607" s="35"/>
      <c r="F607" s="35" t="s">
        <v>220</v>
      </c>
      <c r="G607" s="36" t="str">
        <f t="shared" si="263"/>
        <v/>
      </c>
      <c r="H607" s="36" t="str">
        <f>IFERROR(IF(--MID($F607,2*COUNTIF($G607:G607,"&gt;"&amp;0)+2,1)=H$1,H$1,""),"")</f>
        <v/>
      </c>
      <c r="I607" s="36" t="str">
        <f>IFERROR(IF(--MID($F607,2*COUNTIF($G607:H607,"&gt;"&amp;0)+2,1)=I$1,I$1,""),"")</f>
        <v/>
      </c>
      <c r="J607" s="36" t="str">
        <f>IFERROR(IF(--MID($F607,2*COUNTIF($G607:I607,"&gt;"&amp;0)+2,1)=J$1,J$1,""),"")</f>
        <v/>
      </c>
      <c r="K607" s="36" t="str">
        <f>IFERROR(IF(--MID($F607,2*COUNTIF($G607:J607,"&gt;"&amp;0)+2,1)=K$1,K$1,""),"")</f>
        <v/>
      </c>
      <c r="L607" s="36">
        <f>IFERROR(IF(--MID($F607,2*COUNTIF($G607:K607,"&gt;"&amp;0)+2,1)=L$1,L$1,""),"")</f>
        <v>6</v>
      </c>
      <c r="M607" s="51" t="str" cm="1">
        <f t="array" ref="M607">IF($A607="","",IF(G607="","",_xlfn.XLOOKUP($D607&amp;"_"&amp;$AE607,符文权重!$A:$A&amp;"_"&amp;符文权重!$C:$C,符文权重!$D:$D)*$Y607/SUMIFS($Y:$Y,G:G,G607,$D:$D,$D607,$AE:$AE,$AE607)/SUMIF(符文权重!$A:$A,$D607,符文权重!$D:$D)))</f>
        <v/>
      </c>
      <c r="N607" s="51" t="str" cm="1">
        <f t="array" ref="N607">IF($A607="","",IF(H607="","",_xlfn.XLOOKUP($D607&amp;"_"&amp;$AE607,符文权重!$A:$A&amp;"_"&amp;符文权重!$C:$C,符文权重!$D:$D)*$Y607/SUMIFS($Y:$Y,H:H,H607,$D:$D,$D607,$AE:$AE,$AE607)/SUMIF(符文权重!$A:$A,$D607,符文权重!$D:$D)))</f>
        <v/>
      </c>
      <c r="O607" s="51" t="str" cm="1">
        <f t="array" ref="O607">IF($A607="","",IF(I607="","",_xlfn.XLOOKUP($D607&amp;"_"&amp;$AE607,符文权重!$A:$A&amp;"_"&amp;符文权重!$C:$C,符文权重!$D:$D)*$Y607/SUMIFS($Y:$Y,I:I,I607,$D:$D,$D607,$AE:$AE,$AE607)/SUMIF(符文权重!$A:$A,$D607,符文权重!$D:$D)))</f>
        <v/>
      </c>
      <c r="P607" s="51" t="str" cm="1">
        <f t="array" ref="P607">IF($A607="","",IF(J607="","",_xlfn.XLOOKUP($D607&amp;"_"&amp;$AE607,符文权重!$A:$A&amp;"_"&amp;符文权重!$C:$C,符文权重!$D:$D)*$Y607/SUMIFS($Y:$Y,J:J,J607,$D:$D,$D607,$AE:$AE,$AE607)/SUMIF(符文权重!$A:$A,$D607,符文权重!$D:$D)))</f>
        <v/>
      </c>
      <c r="Q607" s="51" t="str" cm="1">
        <f t="array" ref="Q607">IF($A607="","",IF(K607="","",_xlfn.XLOOKUP($D607&amp;"_"&amp;$AE607,符文权重!$A:$A&amp;"_"&amp;符文权重!$C:$C,符文权重!$D:$D)*$Y607/SUMIFS($Y:$Y,K:K,K607,$D:$D,$D607,$AE:$AE,$AE607)/SUMIF(符文权重!$A:$A,$D607,符文权重!$D:$D)))</f>
        <v/>
      </c>
      <c r="R607" s="51" cm="1">
        <f t="array" ref="R607">IF($A607="","",IF(L607="","",_xlfn.XLOOKUP($D607&amp;"_"&amp;$AE607,符文权重!$A:$A&amp;"_"&amp;符文权重!$C:$C,符文权重!$D:$D)*$Y607/SUMIFS($Y:$Y,L:L,L607,$D:$D,$D607,$AE:$AE,$AE607)/SUMIF(符文权重!$A:$A,$D607,符文权重!$D:$D)))</f>
        <v>0.014867808985456</v>
      </c>
      <c r="S607" s="35" t="s">
        <v>344</v>
      </c>
      <c r="T607" s="35" t="s">
        <v>652</v>
      </c>
      <c r="U607" s="35" t="s">
        <v>420</v>
      </c>
      <c r="W607" s="35" t="s">
        <v>666</v>
      </c>
      <c r="X607" s="35" t="s">
        <v>659</v>
      </c>
      <c r="Y607" s="35">
        <v>100</v>
      </c>
      <c r="AA607" s="35" t="s">
        <v>185</v>
      </c>
      <c r="AB607" s="42" t="str">
        <f t="shared" si="264"/>
        <v>果冻少女中毒伤害&lt;color=#54b76b&gt;+48%&lt;/color&gt;</v>
      </c>
      <c r="AC607" s="35">
        <v>5301234</v>
      </c>
      <c r="AD607" s="35" t="s">
        <v>667</v>
      </c>
      <c r="AE607" s="35">
        <v>4</v>
      </c>
      <c r="AH607" s="35">
        <v>1</v>
      </c>
      <c r="AI607" s="36"/>
      <c r="AJ607" s="35" t="s">
        <v>668</v>
      </c>
      <c r="AK607" s="36"/>
      <c r="AL607" s="35">
        <v>4</v>
      </c>
    </row>
    <row r="608" s="25" customFormat="1" hidden="1" customHeight="1" spans="1:38">
      <c r="A608" s="35">
        <v>5510122</v>
      </c>
      <c r="B608" s="35" t="s">
        <v>651</v>
      </c>
      <c r="C608" s="35">
        <v>5301235</v>
      </c>
      <c r="D608" s="36">
        <v>2</v>
      </c>
      <c r="E608" s="36"/>
      <c r="F608" s="35" t="s">
        <v>202</v>
      </c>
      <c r="G608" s="36">
        <f t="shared" si="263"/>
        <v>1</v>
      </c>
      <c r="H608" s="36" t="str">
        <f>IFERROR(IF(--MID($F608,2*COUNTIF($G608:G608,"&gt;"&amp;0)+2,1)=H$1,H$1,""),"")</f>
        <v/>
      </c>
      <c r="I608" s="36" t="str">
        <f>IFERROR(IF(--MID($F608,2*COUNTIF($G608:H608,"&gt;"&amp;0)+2,1)=I$1,I$1,""),"")</f>
        <v/>
      </c>
      <c r="J608" s="36" t="str">
        <f>IFERROR(IF(--MID($F608,2*COUNTIF($G608:I608,"&gt;"&amp;0)+2,1)=J$1,J$1,""),"")</f>
        <v/>
      </c>
      <c r="K608" s="36" t="str">
        <f>IFERROR(IF(--MID($F608,2*COUNTIF($G608:J608,"&gt;"&amp;0)+2,1)=K$1,K$1,""),"")</f>
        <v/>
      </c>
      <c r="L608" s="36" t="str">
        <f>IFERROR(IF(--MID($F608,2*COUNTIF($G608:K608,"&gt;"&amp;0)+2,1)=L$1,L$1,""),"")</f>
        <v/>
      </c>
      <c r="M608" s="36" t="e" cm="1">
        <f t="array" ref="M608">IF(A608="","",_xlfn.XLOOKUP(D608&amp;"_"&amp;AE608,符文权重!A:A&amp;"_"&amp;符文权重!C:C,符文权重!D:D))</f>
        <v>#N/A</v>
      </c>
      <c r="N608" s="36"/>
      <c r="O608" s="36"/>
      <c r="P608" s="36"/>
      <c r="Q608" s="36"/>
      <c r="R608" s="36"/>
      <c r="S608" s="36" t="s">
        <v>344</v>
      </c>
      <c r="T608" s="36" t="s">
        <v>652</v>
      </c>
      <c r="U608" s="36" t="s">
        <v>415</v>
      </c>
      <c r="V608" s="25" t="s">
        <v>669</v>
      </c>
      <c r="W608" s="36"/>
      <c r="X608" s="35" t="s">
        <v>636</v>
      </c>
      <c r="Y608" s="35">
        <v>100</v>
      </c>
      <c r="Z608" s="35"/>
      <c r="AA608" s="36" t="s">
        <v>181</v>
      </c>
      <c r="AB608" s="42" t="str">
        <f t="shared" si="264"/>
        <v>果冻少女中毒时间&lt;color=#54b76b&gt;+20%&lt;/color&gt;</v>
      </c>
      <c r="AC608" s="35">
        <v>5301235</v>
      </c>
      <c r="AD608" s="36" t="s">
        <v>428</v>
      </c>
      <c r="AE608" s="36">
        <v>100</v>
      </c>
      <c r="AF608" s="36"/>
      <c r="AG608" s="36">
        <v>1</v>
      </c>
      <c r="AH608" s="36">
        <v>0</v>
      </c>
      <c r="AJ608" s="36" t="s">
        <v>670</v>
      </c>
      <c r="AL608" s="35">
        <v>4</v>
      </c>
    </row>
    <row r="609" s="25" customFormat="1" hidden="1" customHeight="1" spans="1:38">
      <c r="A609" s="35">
        <v>5510123</v>
      </c>
      <c r="B609" s="35" t="s">
        <v>651</v>
      </c>
      <c r="C609" s="35">
        <v>5301235</v>
      </c>
      <c r="D609" s="35">
        <v>3</v>
      </c>
      <c r="E609" s="35"/>
      <c r="F609" s="35" t="s">
        <v>202</v>
      </c>
      <c r="G609" s="36">
        <f t="shared" si="263"/>
        <v>1</v>
      </c>
      <c r="H609" s="36" t="str">
        <f>IFERROR(IF(--MID($F609,2*COUNTIF($G609:G609,"&gt;"&amp;0)+2,1)=H$1,H$1,""),"")</f>
        <v/>
      </c>
      <c r="I609" s="36" t="str">
        <f>IFERROR(IF(--MID($F609,2*COUNTIF($G609:H609,"&gt;"&amp;0)+2,1)=I$1,I$1,""),"")</f>
        <v/>
      </c>
      <c r="J609" s="36" t="str">
        <f>IFERROR(IF(--MID($F609,2*COUNTIF($G609:I609,"&gt;"&amp;0)+2,1)=J$1,J$1,""),"")</f>
        <v/>
      </c>
      <c r="K609" s="36" t="str">
        <f>IFERROR(IF(--MID($F609,2*COUNTIF($G609:J609,"&gt;"&amp;0)+2,1)=K$1,K$1,""),"")</f>
        <v/>
      </c>
      <c r="L609" s="36" t="str">
        <f>IFERROR(IF(--MID($F609,2*COUNTIF($G609:K609,"&gt;"&amp;0)+2,1)=L$1,L$1,""),"")</f>
        <v/>
      </c>
      <c r="M609" s="51" cm="1">
        <f t="array" ref="M609">IF($A609="","",IF(G609="","",_xlfn.XLOOKUP($D609&amp;"_"&amp;$AE609,符文权重!$A:$A&amp;"_"&amp;符文权重!$C:$C,符文权重!$D:$D)*$Y609/SUMIFS($Y:$Y,G:G,G609,$D:$D,$D609,$AE:$AE,$AE609)/SUMIF(符文权重!$A:$A,$D609,符文权重!$D:$D)))</f>
        <v>0.025</v>
      </c>
      <c r="N609" s="51" t="str" cm="1">
        <f t="array" ref="N609">IF($A609="","",IF(H609="","",_xlfn.XLOOKUP($D609&amp;"_"&amp;$AE609,符文权重!$A:$A&amp;"_"&amp;符文权重!$C:$C,符文权重!$D:$D)*$Y609/SUMIFS($Y:$Y,H:H,H609,$D:$D,$D609,$AE:$AE,$AE609)/SUMIF(符文权重!$A:$A,$D609,符文权重!$D:$D)))</f>
        <v/>
      </c>
      <c r="O609" s="51" t="str" cm="1">
        <f t="array" ref="O609">IF($A609="","",IF(I609="","",_xlfn.XLOOKUP($D609&amp;"_"&amp;$AE609,符文权重!$A:$A&amp;"_"&amp;符文权重!$C:$C,符文权重!$D:$D)*$Y609/SUMIFS($Y:$Y,I:I,I609,$D:$D,$D609,$AE:$AE,$AE609)/SUMIF(符文权重!$A:$A,$D609,符文权重!$D:$D)))</f>
        <v/>
      </c>
      <c r="P609" s="51" t="str" cm="1">
        <f t="array" ref="P609">IF($A609="","",IF(J609="","",_xlfn.XLOOKUP($D609&amp;"_"&amp;$AE609,符文权重!$A:$A&amp;"_"&amp;符文权重!$C:$C,符文权重!$D:$D)*$Y609/SUMIFS($Y:$Y,J:J,J609,$D:$D,$D609,$AE:$AE,$AE609)/SUMIF(符文权重!$A:$A,$D609,符文权重!$D:$D)))</f>
        <v/>
      </c>
      <c r="Q609" s="51" t="str" cm="1">
        <f t="array" ref="Q609">IF($A609="","",IF(K609="","",_xlfn.XLOOKUP($D609&amp;"_"&amp;$AE609,符文权重!$A:$A&amp;"_"&amp;符文权重!$C:$C,符文权重!$D:$D)*$Y609/SUMIFS($Y:$Y,K:K,K609,$D:$D,$D609,$AE:$AE,$AE609)/SUMIF(符文权重!$A:$A,$D609,符文权重!$D:$D)))</f>
        <v/>
      </c>
      <c r="R609" s="51" t="str" cm="1">
        <f t="array" ref="R609">IF($A609="","",IF(L609="","",_xlfn.XLOOKUP($D609&amp;"_"&amp;$AE609,符文权重!$A:$A&amp;"_"&amp;符文权重!$C:$C,符文权重!$D:$D)*$Y609/SUMIFS($Y:$Y,L:L,L609,$D:$D,$D609,$AE:$AE,$AE609)/SUMIF(符文权重!$A:$A,$D609,符文权重!$D:$D)))</f>
        <v/>
      </c>
      <c r="S609" s="35" t="s">
        <v>344</v>
      </c>
      <c r="T609" s="35" t="s">
        <v>652</v>
      </c>
      <c r="U609" s="35" t="s">
        <v>417</v>
      </c>
      <c r="V609" s="35" t="s">
        <v>671</v>
      </c>
      <c r="W609" s="35"/>
      <c r="X609" s="35" t="s">
        <v>656</v>
      </c>
      <c r="Y609" s="35">
        <v>100</v>
      </c>
      <c r="AA609" s="35" t="s">
        <v>183</v>
      </c>
      <c r="AB609" s="42" t="str">
        <f t="shared" si="264"/>
        <v>果冻少女中毒时间&lt;color=#54b76b&gt;+30%&lt;/color&gt;</v>
      </c>
      <c r="AC609" s="35">
        <v>5301235</v>
      </c>
      <c r="AD609" s="35" t="s">
        <v>487</v>
      </c>
      <c r="AE609" s="35">
        <v>4</v>
      </c>
      <c r="AH609" s="35">
        <v>1</v>
      </c>
      <c r="AI609" s="36"/>
      <c r="AJ609" s="35" t="s">
        <v>672</v>
      </c>
      <c r="AK609" s="36"/>
      <c r="AL609" s="35">
        <v>4</v>
      </c>
    </row>
    <row r="610" s="25" customFormat="1" hidden="1" customHeight="1" spans="1:38">
      <c r="A610" s="35">
        <v>5510124</v>
      </c>
      <c r="B610" s="35" t="s">
        <v>651</v>
      </c>
      <c r="C610" s="35">
        <v>5301235</v>
      </c>
      <c r="D610" s="35">
        <v>4</v>
      </c>
      <c r="E610" s="35"/>
      <c r="F610" s="35" t="s">
        <v>202</v>
      </c>
      <c r="G610" s="36">
        <f t="shared" si="263"/>
        <v>1</v>
      </c>
      <c r="H610" s="36" t="str">
        <f>IFERROR(IF(--MID($F610,2*COUNTIF($G610:G610,"&gt;"&amp;0)+2,1)=H$1,H$1,""),"")</f>
        <v/>
      </c>
      <c r="I610" s="36" t="str">
        <f>IFERROR(IF(--MID($F610,2*COUNTIF($G610:H610,"&gt;"&amp;0)+2,1)=I$1,I$1,""),"")</f>
        <v/>
      </c>
      <c r="J610" s="36" t="str">
        <f>IFERROR(IF(--MID($F610,2*COUNTIF($G610:I610,"&gt;"&amp;0)+2,1)=J$1,J$1,""),"")</f>
        <v/>
      </c>
      <c r="K610" s="36" t="str">
        <f>IFERROR(IF(--MID($F610,2*COUNTIF($G610:J610,"&gt;"&amp;0)+2,1)=K$1,K$1,""),"")</f>
        <v/>
      </c>
      <c r="L610" s="36" t="str">
        <f>IFERROR(IF(--MID($F610,2*COUNTIF($G610:K610,"&gt;"&amp;0)+2,1)=L$1,L$1,""),"")</f>
        <v/>
      </c>
      <c r="M610" s="51" cm="1">
        <f t="array" ref="M610">IF($A610="","",IF(G610="","",_xlfn.XLOOKUP($D610&amp;"_"&amp;$AE610,符文权重!$A:$A&amp;"_"&amp;符文权重!$C:$C,符文权重!$D:$D)*$Y610/SUMIFS($Y:$Y,G:G,G610,$D:$D,$D610,$AE:$AE,$AE610)/SUMIF(符文权重!$A:$A,$D610,符文权重!$D:$D)))</f>
        <v>0.0210627293960627</v>
      </c>
      <c r="N610" s="51" t="str" cm="1">
        <f t="array" ref="N610">IF($A610="","",IF(H610="","",_xlfn.XLOOKUP($D610&amp;"_"&amp;$AE610,符文权重!$A:$A&amp;"_"&amp;符文权重!$C:$C,符文权重!$D:$D)*$Y610/SUMIFS($Y:$Y,H:H,H610,$D:$D,$D610,$AE:$AE,$AE610)/SUMIF(符文权重!$A:$A,$D610,符文权重!$D:$D)))</f>
        <v/>
      </c>
      <c r="O610" s="51" t="str" cm="1">
        <f t="array" ref="O610">IF($A610="","",IF(I610="","",_xlfn.XLOOKUP($D610&amp;"_"&amp;$AE610,符文权重!$A:$A&amp;"_"&amp;符文权重!$C:$C,符文权重!$D:$D)*$Y610/SUMIFS($Y:$Y,I:I,I610,$D:$D,$D610,$AE:$AE,$AE610)/SUMIF(符文权重!$A:$A,$D610,符文权重!$D:$D)))</f>
        <v/>
      </c>
      <c r="P610" s="51" t="str" cm="1">
        <f t="array" ref="P610">IF($A610="","",IF(J610="","",_xlfn.XLOOKUP($D610&amp;"_"&amp;$AE610,符文权重!$A:$A&amp;"_"&amp;符文权重!$C:$C,符文权重!$D:$D)*$Y610/SUMIFS($Y:$Y,J:J,J610,$D:$D,$D610,$AE:$AE,$AE610)/SUMIF(符文权重!$A:$A,$D610,符文权重!$D:$D)))</f>
        <v/>
      </c>
      <c r="Q610" s="51" t="str" cm="1">
        <f t="array" ref="Q610">IF($A610="","",IF(K610="","",_xlfn.XLOOKUP($D610&amp;"_"&amp;$AE610,符文权重!$A:$A&amp;"_"&amp;符文权重!$C:$C,符文权重!$D:$D)*$Y610/SUMIFS($Y:$Y,K:K,K610,$D:$D,$D610,$AE:$AE,$AE610)/SUMIF(符文权重!$A:$A,$D610,符文权重!$D:$D)))</f>
        <v/>
      </c>
      <c r="R610" s="51" t="str" cm="1">
        <f t="array" ref="R610">IF($A610="","",IF(L610="","",_xlfn.XLOOKUP($D610&amp;"_"&amp;$AE610,符文权重!$A:$A&amp;"_"&amp;符文权重!$C:$C,符文权重!$D:$D)*$Y610/SUMIFS($Y:$Y,L:L,L610,$D:$D,$D610,$AE:$AE,$AE610)/SUMIF(符文权重!$A:$A,$D610,符文权重!$D:$D)))</f>
        <v/>
      </c>
      <c r="S610" s="35" t="s">
        <v>344</v>
      </c>
      <c r="T610" s="35" t="s">
        <v>652</v>
      </c>
      <c r="U610" s="35" t="s">
        <v>420</v>
      </c>
      <c r="V610" s="35" t="s">
        <v>673</v>
      </c>
      <c r="W610" s="35"/>
      <c r="X610" s="35" t="s">
        <v>659</v>
      </c>
      <c r="Y610" s="35">
        <v>100</v>
      </c>
      <c r="AA610" s="35" t="s">
        <v>185</v>
      </c>
      <c r="AB610" s="42" t="str">
        <f t="shared" si="264"/>
        <v>果冻少女中毒时间&lt;color=#54b76b&gt;+40%&lt;/color&gt;</v>
      </c>
      <c r="AC610" s="35">
        <v>5301235</v>
      </c>
      <c r="AD610" s="35" t="s">
        <v>497</v>
      </c>
      <c r="AE610" s="35">
        <v>4</v>
      </c>
      <c r="AH610" s="35">
        <v>1</v>
      </c>
      <c r="AI610" s="36"/>
      <c r="AJ610" s="35" t="s">
        <v>674</v>
      </c>
      <c r="AK610" s="36"/>
      <c r="AL610" s="35">
        <v>4</v>
      </c>
    </row>
    <row r="611" s="25" customFormat="1" hidden="1" customHeight="1" spans="1:38">
      <c r="A611" s="35">
        <v>5510132</v>
      </c>
      <c r="B611" s="35" t="s">
        <v>54</v>
      </c>
      <c r="C611" s="35">
        <v>5301237</v>
      </c>
      <c r="D611" s="36">
        <v>2</v>
      </c>
      <c r="E611" s="36"/>
      <c r="F611" s="35" t="s">
        <v>404</v>
      </c>
      <c r="G611" s="36" t="str">
        <f t="shared" si="263"/>
        <v/>
      </c>
      <c r="H611" s="36" t="str">
        <f>IFERROR(IF(--MID($F611,2*COUNTIF($G611:G611,"&gt;"&amp;0)+2,1)=H$1,H$1,""),"")</f>
        <v/>
      </c>
      <c r="I611" s="36" t="str">
        <f>IFERROR(IF(--MID($F611,2*COUNTIF($G611:H611,"&gt;"&amp;0)+2,1)=I$1,I$1,""),"")</f>
        <v/>
      </c>
      <c r="J611" s="36">
        <f>IFERROR(IF(--MID($F611,2*COUNTIF($G611:I611,"&gt;"&amp;0)+2,1)=J$1,J$1,""),"")</f>
        <v>4</v>
      </c>
      <c r="K611" s="36" t="str">
        <f>IFERROR(IF(--MID($F611,2*COUNTIF($G611:J611,"&gt;"&amp;0)+2,1)=K$1,K$1,""),"")</f>
        <v/>
      </c>
      <c r="L611" s="36" t="str">
        <f>IFERROR(IF(--MID($F611,2*COUNTIF($G611:K611,"&gt;"&amp;0)+2,1)=L$1,L$1,""),"")</f>
        <v/>
      </c>
      <c r="M611" s="36" t="e" cm="1">
        <f t="array" ref="M611">IF(A611="","",_xlfn.XLOOKUP(D611&amp;"_"&amp;AE611,符文权重!A:A&amp;"_"&amp;符文权重!C:C,符文权重!D:D))</f>
        <v>#N/A</v>
      </c>
      <c r="N611" s="36"/>
      <c r="O611" s="36"/>
      <c r="P611" s="36"/>
      <c r="Q611" s="36"/>
      <c r="R611" s="36"/>
      <c r="S611" s="36" t="s">
        <v>344</v>
      </c>
      <c r="T611" s="36" t="s">
        <v>675</v>
      </c>
      <c r="U611" s="36" t="s">
        <v>415</v>
      </c>
      <c r="W611" s="36" t="s">
        <v>676</v>
      </c>
      <c r="X611" s="35" t="s">
        <v>636</v>
      </c>
      <c r="Y611" s="35">
        <v>100</v>
      </c>
      <c r="Z611" s="35"/>
      <c r="AA611" s="36" t="s">
        <v>181</v>
      </c>
      <c r="AB611" s="42" t="str">
        <f t="shared" si="264"/>
        <v>雷震子暴击&lt;color=#54b76b&gt;+3%&lt;/color&gt;</v>
      </c>
      <c r="AC611" s="35">
        <v>5301237</v>
      </c>
      <c r="AD611" s="36" t="s">
        <v>193</v>
      </c>
      <c r="AE611" s="36">
        <v>100</v>
      </c>
      <c r="AF611" s="36"/>
      <c r="AG611" s="36">
        <v>1</v>
      </c>
      <c r="AH611" s="36">
        <v>0</v>
      </c>
      <c r="AJ611" s="42" t="s">
        <v>677</v>
      </c>
      <c r="AL611" s="35">
        <v>4</v>
      </c>
    </row>
    <row r="612" s="25" customFormat="1" hidden="1" customHeight="1" spans="1:38">
      <c r="A612" s="35">
        <v>5510133</v>
      </c>
      <c r="B612" s="35" t="s">
        <v>54</v>
      </c>
      <c r="C612" s="35">
        <v>5301237</v>
      </c>
      <c r="D612" s="35">
        <v>3</v>
      </c>
      <c r="E612" s="35"/>
      <c r="F612" s="35" t="s">
        <v>404</v>
      </c>
      <c r="G612" s="36" t="str">
        <f t="shared" si="263"/>
        <v/>
      </c>
      <c r="H612" s="36" t="str">
        <f>IFERROR(IF(--MID($F612,2*COUNTIF($G612:G612,"&gt;"&amp;0)+2,1)=H$1,H$1,""),"")</f>
        <v/>
      </c>
      <c r="I612" s="36" t="str">
        <f>IFERROR(IF(--MID($F612,2*COUNTIF($G612:H612,"&gt;"&amp;0)+2,1)=I$1,I$1,""),"")</f>
        <v/>
      </c>
      <c r="J612" s="36">
        <f>IFERROR(IF(--MID($F612,2*COUNTIF($G612:I612,"&gt;"&amp;0)+2,1)=J$1,J$1,""),"")</f>
        <v>4</v>
      </c>
      <c r="K612" s="36" t="str">
        <f>IFERROR(IF(--MID($F612,2*COUNTIF($G612:J612,"&gt;"&amp;0)+2,1)=K$1,K$1,""),"")</f>
        <v/>
      </c>
      <c r="L612" s="36" t="str">
        <f>IFERROR(IF(--MID($F612,2*COUNTIF($G612:K612,"&gt;"&amp;0)+2,1)=L$1,L$1,""),"")</f>
        <v/>
      </c>
      <c r="M612" s="51" t="str" cm="1">
        <f t="array" ref="M612">IF($A612="","",IF(G612="","",_xlfn.XLOOKUP($D612&amp;"_"&amp;$AE612,符文权重!$A:$A&amp;"_"&amp;符文权重!$C:$C,符文权重!$D:$D)*$Y612/SUMIFS($Y:$Y,G:G,G612,$D:$D,$D612,$AE:$AE,$AE612)/SUMIF(符文权重!$A:$A,$D612,符文权重!$D:$D)))</f>
        <v/>
      </c>
      <c r="N612" s="51" t="str" cm="1">
        <f t="array" ref="N612">IF($A612="","",IF(H612="","",_xlfn.XLOOKUP($D612&amp;"_"&amp;$AE612,符文权重!$A:$A&amp;"_"&amp;符文权重!$C:$C,符文权重!$D:$D)*$Y612/SUMIFS($Y:$Y,H:H,H612,$D:$D,$D612,$AE:$AE,$AE612)/SUMIF(符文权重!$A:$A,$D612,符文权重!$D:$D)))</f>
        <v/>
      </c>
      <c r="O612" s="51" t="str" cm="1">
        <f t="array" ref="O612">IF($A612="","",IF(I612="","",_xlfn.XLOOKUP($D612&amp;"_"&amp;$AE612,符文权重!$A:$A&amp;"_"&amp;符文权重!$C:$C,符文权重!$D:$D)*$Y612/SUMIFS($Y:$Y,I:I,I612,$D:$D,$D612,$AE:$AE,$AE612)/SUMIF(符文权重!$A:$A,$D612,符文权重!$D:$D)))</f>
        <v/>
      </c>
      <c r="P612" s="51" cm="1">
        <f t="array" ref="P612">IF($A612="","",IF(J612="","",_xlfn.XLOOKUP($D612&amp;"_"&amp;$AE612,符文权重!$A:$A&amp;"_"&amp;符文权重!$C:$C,符文权重!$D:$D)*$Y612/SUMIFS($Y:$Y,J:J,J612,$D:$D,$D612,$AE:$AE,$AE612)/SUMIF(符文权重!$A:$A,$D612,符文权重!$D:$D)))</f>
        <v>0.0125</v>
      </c>
      <c r="Q612" s="51" t="str" cm="1">
        <f t="array" ref="Q612">IF($A612="","",IF(K612="","",_xlfn.XLOOKUP($D612&amp;"_"&amp;$AE612,符文权重!$A:$A&amp;"_"&amp;符文权重!$C:$C,符文权重!$D:$D)*$Y612/SUMIFS($Y:$Y,K:K,K612,$D:$D,$D612,$AE:$AE,$AE612)/SUMIF(符文权重!$A:$A,$D612,符文权重!$D:$D)))</f>
        <v/>
      </c>
      <c r="R612" s="51" t="str" cm="1">
        <f t="array" ref="R612">IF($A612="","",IF(L612="","",_xlfn.XLOOKUP($D612&amp;"_"&amp;$AE612,符文权重!$A:$A&amp;"_"&amp;符文权重!$C:$C,符文权重!$D:$D)*$Y612/SUMIFS($Y:$Y,L:L,L612,$D:$D,$D612,$AE:$AE,$AE612)/SUMIF(符文权重!$A:$A,$D612,符文权重!$D:$D)))</f>
        <v/>
      </c>
      <c r="S612" s="35" t="s">
        <v>344</v>
      </c>
      <c r="T612" s="35" t="s">
        <v>675</v>
      </c>
      <c r="U612" s="35" t="s">
        <v>417</v>
      </c>
      <c r="V612" s="35"/>
      <c r="W612" s="35" t="s">
        <v>678</v>
      </c>
      <c r="X612" s="35" t="s">
        <v>656</v>
      </c>
      <c r="Y612" s="35">
        <v>100</v>
      </c>
      <c r="AA612" s="35" t="s">
        <v>183</v>
      </c>
      <c r="AB612" s="42" t="str">
        <f t="shared" si="264"/>
        <v>雷震子暴击&lt;color=#54b76b&gt;+5%&lt;/color&gt;</v>
      </c>
      <c r="AC612" s="35">
        <v>5301237</v>
      </c>
      <c r="AD612" s="35" t="s">
        <v>230</v>
      </c>
      <c r="AE612" s="35">
        <v>4</v>
      </c>
      <c r="AH612" s="35">
        <v>1</v>
      </c>
      <c r="AI612" s="36"/>
      <c r="AJ612" s="35" t="s">
        <v>679</v>
      </c>
      <c r="AK612" s="36"/>
      <c r="AL612" s="35">
        <v>4</v>
      </c>
    </row>
    <row r="613" s="25" customFormat="1" hidden="1" customHeight="1" spans="1:38">
      <c r="A613" s="35">
        <v>5510134</v>
      </c>
      <c r="B613" s="35" t="s">
        <v>54</v>
      </c>
      <c r="C613" s="35">
        <v>5301237</v>
      </c>
      <c r="D613" s="35">
        <v>4</v>
      </c>
      <c r="E613" s="35"/>
      <c r="F613" s="35" t="s">
        <v>404</v>
      </c>
      <c r="G613" s="36" t="str">
        <f t="shared" si="263"/>
        <v/>
      </c>
      <c r="H613" s="36" t="str">
        <f>IFERROR(IF(--MID($F613,2*COUNTIF($G613:G613,"&gt;"&amp;0)+2,1)=H$1,H$1,""),"")</f>
        <v/>
      </c>
      <c r="I613" s="36" t="str">
        <f>IFERROR(IF(--MID($F613,2*COUNTIF($G613:H613,"&gt;"&amp;0)+2,1)=I$1,I$1,""),"")</f>
        <v/>
      </c>
      <c r="J613" s="36">
        <f>IFERROR(IF(--MID($F613,2*COUNTIF($G613:I613,"&gt;"&amp;0)+2,1)=J$1,J$1,""),"")</f>
        <v>4</v>
      </c>
      <c r="K613" s="36" t="str">
        <f>IFERROR(IF(--MID($F613,2*COUNTIF($G613:J613,"&gt;"&amp;0)+2,1)=K$1,K$1,""),"")</f>
        <v/>
      </c>
      <c r="L613" s="36" t="str">
        <f>IFERROR(IF(--MID($F613,2*COUNTIF($G613:K613,"&gt;"&amp;0)+2,1)=L$1,L$1,""),"")</f>
        <v/>
      </c>
      <c r="M613" s="51" t="str" cm="1">
        <f t="array" ref="M613">IF($A613="","",IF(G613="","",_xlfn.XLOOKUP($D613&amp;"_"&amp;$AE613,符文权重!$A:$A&amp;"_"&amp;符文权重!$C:$C,符文权重!$D:$D)*$Y613/SUMIFS($Y:$Y,G:G,G613,$D:$D,$D613,$AE:$AE,$AE613)/SUMIF(符文权重!$A:$A,$D613,符文权重!$D:$D)))</f>
        <v/>
      </c>
      <c r="N613" s="51" t="str" cm="1">
        <f t="array" ref="N613">IF($A613="","",IF(H613="","",_xlfn.XLOOKUP($D613&amp;"_"&amp;$AE613,符文权重!$A:$A&amp;"_"&amp;符文权重!$C:$C,符文权重!$D:$D)*$Y613/SUMIFS($Y:$Y,H:H,H613,$D:$D,$D613,$AE:$AE,$AE613)/SUMIF(符文权重!$A:$A,$D613,符文权重!$D:$D)))</f>
        <v/>
      </c>
      <c r="O613" s="51" t="str" cm="1">
        <f t="array" ref="O613">IF($A613="","",IF(I613="","",_xlfn.XLOOKUP($D613&amp;"_"&amp;$AE613,符文权重!$A:$A&amp;"_"&amp;符文权重!$C:$C,符文权重!$D:$D)*$Y613/SUMIFS($Y:$Y,I:I,I613,$D:$D,$D613,$AE:$AE,$AE613)/SUMIF(符文权重!$A:$A,$D613,符文权重!$D:$D)))</f>
        <v/>
      </c>
      <c r="P613" s="51" cm="1">
        <f t="array" ref="P613">IF($A613="","",IF(J613="","",_xlfn.XLOOKUP($D613&amp;"_"&amp;$AE613,符文权重!$A:$A&amp;"_"&amp;符文权重!$C:$C,符文权重!$D:$D)*$Y613/SUMIFS($Y:$Y,J:J,J613,$D:$D,$D613,$AE:$AE,$AE613)/SUMIF(符文权重!$A:$A,$D613,符文权重!$D:$D)))</f>
        <v>0.0114887614887615</v>
      </c>
      <c r="Q613" s="51" t="str" cm="1">
        <f t="array" ref="Q613">IF($A613="","",IF(K613="","",_xlfn.XLOOKUP($D613&amp;"_"&amp;$AE613,符文权重!$A:$A&amp;"_"&amp;符文权重!$C:$C,符文权重!$D:$D)*$Y613/SUMIFS($Y:$Y,K:K,K613,$D:$D,$D613,$AE:$AE,$AE613)/SUMIF(符文权重!$A:$A,$D613,符文权重!$D:$D)))</f>
        <v/>
      </c>
      <c r="R613" s="51" t="str" cm="1">
        <f t="array" ref="R613">IF($A613="","",IF(L613="","",_xlfn.XLOOKUP($D613&amp;"_"&amp;$AE613,符文权重!$A:$A&amp;"_"&amp;符文权重!$C:$C,符文权重!$D:$D)*$Y613/SUMIFS($Y:$Y,L:L,L613,$D:$D,$D613,$AE:$AE,$AE613)/SUMIF(符文权重!$A:$A,$D613,符文权重!$D:$D)))</f>
        <v/>
      </c>
      <c r="S613" s="35" t="s">
        <v>344</v>
      </c>
      <c r="T613" s="35" t="s">
        <v>675</v>
      </c>
      <c r="U613" s="35" t="s">
        <v>420</v>
      </c>
      <c r="V613" s="35"/>
      <c r="W613" s="35" t="s">
        <v>680</v>
      </c>
      <c r="X613" s="35" t="s">
        <v>659</v>
      </c>
      <c r="Y613" s="35">
        <v>100</v>
      </c>
      <c r="AA613" s="35" t="s">
        <v>185</v>
      </c>
      <c r="AB613" s="42" t="str">
        <f t="shared" si="264"/>
        <v>雷震子暴击&lt;color=#54b76b&gt;+7%&lt;/color&gt;</v>
      </c>
      <c r="AC613" s="35">
        <v>5301237</v>
      </c>
      <c r="AD613" s="35" t="s">
        <v>239</v>
      </c>
      <c r="AE613" s="35">
        <v>4</v>
      </c>
      <c r="AH613" s="35">
        <v>1</v>
      </c>
      <c r="AI613" s="36"/>
      <c r="AJ613" s="35" t="s">
        <v>681</v>
      </c>
      <c r="AK613" s="36"/>
      <c r="AL613" s="35">
        <v>4</v>
      </c>
    </row>
    <row r="614" s="25" customFormat="1" hidden="1" customHeight="1" spans="1:38">
      <c r="A614" s="35">
        <v>5510142</v>
      </c>
      <c r="B614" s="35" t="s">
        <v>54</v>
      </c>
      <c r="C614" s="35">
        <v>5301238</v>
      </c>
      <c r="D614" s="36">
        <v>2</v>
      </c>
      <c r="E614" s="36"/>
      <c r="F614" s="35" t="s">
        <v>230</v>
      </c>
      <c r="G614" s="36" t="str">
        <f t="shared" si="263"/>
        <v/>
      </c>
      <c r="H614" s="36" t="str">
        <f>IFERROR(IF(--MID($F614,2*COUNTIF($G614:G614,"&gt;"&amp;0)+2,1)=H$1,H$1,""),"")</f>
        <v/>
      </c>
      <c r="I614" s="36" t="str">
        <f>IFERROR(IF(--MID($F614,2*COUNTIF($G614:H614,"&gt;"&amp;0)+2,1)=I$1,I$1,""),"")</f>
        <v/>
      </c>
      <c r="J614" s="36" t="str">
        <f>IFERROR(IF(--MID($F614,2*COUNTIF($G614:I614,"&gt;"&amp;0)+2,1)=J$1,J$1,""),"")</f>
        <v/>
      </c>
      <c r="K614" s="36">
        <f>IFERROR(IF(--MID($F614,2*COUNTIF($G614:J614,"&gt;"&amp;0)+2,1)=K$1,K$1,""),"")</f>
        <v>5</v>
      </c>
      <c r="L614" s="36" t="str">
        <f>IFERROR(IF(--MID($F614,2*COUNTIF($G614:K614,"&gt;"&amp;0)+2,1)=L$1,L$1,""),"")</f>
        <v/>
      </c>
      <c r="M614" s="36" t="e" cm="1">
        <f t="array" ref="M614">IF(A614="","",_xlfn.XLOOKUP(D614&amp;"_"&amp;AE614,符文权重!A:A&amp;"_"&amp;符文权重!C:C,符文权重!D:D))</f>
        <v>#N/A</v>
      </c>
      <c r="N614" s="36"/>
      <c r="O614" s="36"/>
      <c r="P614" s="36"/>
      <c r="Q614" s="36"/>
      <c r="R614" s="36"/>
      <c r="S614" s="36" t="s">
        <v>344</v>
      </c>
      <c r="T614" s="36" t="s">
        <v>675</v>
      </c>
      <c r="U614" s="36" t="s">
        <v>415</v>
      </c>
      <c r="V614" s="25" t="s">
        <v>682</v>
      </c>
      <c r="W614" s="36"/>
      <c r="X614" s="35" t="s">
        <v>636</v>
      </c>
      <c r="Y614" s="35">
        <v>100</v>
      </c>
      <c r="Z614" s="35"/>
      <c r="AA614" s="36" t="s">
        <v>181</v>
      </c>
      <c r="AB614" s="42" t="str">
        <f t="shared" si="264"/>
        <v>雷震子闪电链对中毒的敌人造成伤害时，造成&lt;color=#54b76b&gt;15%&lt;/color&gt;额外伤害</v>
      </c>
      <c r="AC614" s="35">
        <v>5301238</v>
      </c>
      <c r="AD614" s="36" t="s">
        <v>425</v>
      </c>
      <c r="AE614" s="36">
        <v>100</v>
      </c>
      <c r="AF614" s="36"/>
      <c r="AG614" s="36">
        <v>1</v>
      </c>
      <c r="AH614" s="36">
        <v>0</v>
      </c>
      <c r="AJ614" s="42" t="s">
        <v>683</v>
      </c>
      <c r="AL614" s="35">
        <v>4</v>
      </c>
    </row>
    <row r="615" s="25" customFormat="1" hidden="1" customHeight="1" spans="1:38">
      <c r="A615" s="35">
        <v>5510143</v>
      </c>
      <c r="B615" s="35" t="s">
        <v>54</v>
      </c>
      <c r="C615" s="35">
        <v>5301238</v>
      </c>
      <c r="D615" s="35">
        <v>3</v>
      </c>
      <c r="E615" s="35"/>
      <c r="F615" s="35" t="s">
        <v>230</v>
      </c>
      <c r="G615" s="36" t="str">
        <f t="shared" si="263"/>
        <v/>
      </c>
      <c r="H615" s="36" t="str">
        <f>IFERROR(IF(--MID($F615,2*COUNTIF($G615:G615,"&gt;"&amp;0)+2,1)=H$1,H$1,""),"")</f>
        <v/>
      </c>
      <c r="I615" s="36" t="str">
        <f>IFERROR(IF(--MID($F615,2*COUNTIF($G615:H615,"&gt;"&amp;0)+2,1)=I$1,I$1,""),"")</f>
        <v/>
      </c>
      <c r="J615" s="36" t="str">
        <f>IFERROR(IF(--MID($F615,2*COUNTIF($G615:I615,"&gt;"&amp;0)+2,1)=J$1,J$1,""),"")</f>
        <v/>
      </c>
      <c r="K615" s="36">
        <f>IFERROR(IF(--MID($F615,2*COUNTIF($G615:J615,"&gt;"&amp;0)+2,1)=K$1,K$1,""),"")</f>
        <v>5</v>
      </c>
      <c r="L615" s="36" t="str">
        <f>IFERROR(IF(--MID($F615,2*COUNTIF($G615:K615,"&gt;"&amp;0)+2,1)=L$1,L$1,""),"")</f>
        <v/>
      </c>
      <c r="M615" s="51" t="str" cm="1">
        <f t="array" ref="M615">IF($A615="","",IF(G615="","",_xlfn.XLOOKUP($D615&amp;"_"&amp;$AE615,符文权重!$A:$A&amp;"_"&amp;符文权重!$C:$C,符文权重!$D:$D)*$Y615/SUMIFS($Y:$Y,G:G,G615,$D:$D,$D615,$AE:$AE,$AE615)/SUMIF(符文权重!$A:$A,$D615,符文权重!$D:$D)))</f>
        <v/>
      </c>
      <c r="N615" s="51" t="str" cm="1">
        <f t="array" ref="N615">IF($A615="","",IF(H615="","",_xlfn.XLOOKUP($D615&amp;"_"&amp;$AE615,符文权重!$A:$A&amp;"_"&amp;符文权重!$C:$C,符文权重!$D:$D)*$Y615/SUMIFS($Y:$Y,H:H,H615,$D:$D,$D615,$AE:$AE,$AE615)/SUMIF(符文权重!$A:$A,$D615,符文权重!$D:$D)))</f>
        <v/>
      </c>
      <c r="O615" s="51" t="str" cm="1">
        <f t="array" ref="O615">IF($A615="","",IF(I615="","",_xlfn.XLOOKUP($D615&amp;"_"&amp;$AE615,符文权重!$A:$A&amp;"_"&amp;符文权重!$C:$C,符文权重!$D:$D)*$Y615/SUMIFS($Y:$Y,I:I,I615,$D:$D,$D615,$AE:$AE,$AE615)/SUMIF(符文权重!$A:$A,$D615,符文权重!$D:$D)))</f>
        <v/>
      </c>
      <c r="P615" s="51" t="str" cm="1">
        <f t="array" ref="P615">IF($A615="","",IF(J615="","",_xlfn.XLOOKUP($D615&amp;"_"&amp;$AE615,符文权重!$A:$A&amp;"_"&amp;符文权重!$C:$C,符文权重!$D:$D)*$Y615/SUMIFS($Y:$Y,J:J,J615,$D:$D,$D615,$AE:$AE,$AE615)/SUMIF(符文权重!$A:$A,$D615,符文权重!$D:$D)))</f>
        <v/>
      </c>
      <c r="Q615" s="51" cm="1">
        <f t="array" ref="Q615">IF($A615="","",IF(K615="","",_xlfn.XLOOKUP($D615&amp;"_"&amp;$AE615,符文权重!$A:$A&amp;"_"&amp;符文权重!$C:$C,符文权重!$D:$D)*$Y615/SUMIFS($Y:$Y,K:K,K615,$D:$D,$D615,$AE:$AE,$AE615)/SUMIF(符文权重!$A:$A,$D615,符文权重!$D:$D)))</f>
        <v>0.0125</v>
      </c>
      <c r="R615" s="51" t="str" cm="1">
        <f t="array" ref="R615">IF($A615="","",IF(L615="","",_xlfn.XLOOKUP($D615&amp;"_"&amp;$AE615,符文权重!$A:$A&amp;"_"&amp;符文权重!$C:$C,符文权重!$D:$D)*$Y615/SUMIFS($Y:$Y,L:L,L615,$D:$D,$D615,$AE:$AE,$AE615)/SUMIF(符文权重!$A:$A,$D615,符文权重!$D:$D)))</f>
        <v/>
      </c>
      <c r="S615" s="35" t="s">
        <v>344</v>
      </c>
      <c r="T615" s="35" t="s">
        <v>675</v>
      </c>
      <c r="U615" s="35" t="s">
        <v>417</v>
      </c>
      <c r="V615" s="35" t="s">
        <v>684</v>
      </c>
      <c r="X615" s="35" t="s">
        <v>656</v>
      </c>
      <c r="Y615" s="35">
        <v>100</v>
      </c>
      <c r="AA615" s="35" t="s">
        <v>183</v>
      </c>
      <c r="AB615" s="42" t="str">
        <f t="shared" si="264"/>
        <v>雷震子闪电链对中毒的敌人造成伤害时，造成&lt;color=#54b76b&gt;22%&lt;/color&gt;额外伤害</v>
      </c>
      <c r="AC615" s="35">
        <v>5301238</v>
      </c>
      <c r="AD615" s="35" t="s">
        <v>685</v>
      </c>
      <c r="AE615" s="35">
        <v>4</v>
      </c>
      <c r="AH615" s="35">
        <v>1</v>
      </c>
      <c r="AI615" s="36"/>
      <c r="AJ615" s="35" t="s">
        <v>686</v>
      </c>
      <c r="AK615" s="36"/>
      <c r="AL615" s="35">
        <v>4</v>
      </c>
    </row>
    <row r="616" s="25" customFormat="1" hidden="1" customHeight="1" spans="1:38">
      <c r="A616" s="35">
        <v>5510144</v>
      </c>
      <c r="B616" s="35" t="s">
        <v>54</v>
      </c>
      <c r="C616" s="35">
        <v>5301238</v>
      </c>
      <c r="D616" s="35">
        <v>4</v>
      </c>
      <c r="E616" s="35"/>
      <c r="F616" s="35" t="s">
        <v>230</v>
      </c>
      <c r="G616" s="36" t="str">
        <f t="shared" si="263"/>
        <v/>
      </c>
      <c r="H616" s="36" t="str">
        <f>IFERROR(IF(--MID($F616,2*COUNTIF($G616:G616,"&gt;"&amp;0)+2,1)=H$1,H$1,""),"")</f>
        <v/>
      </c>
      <c r="I616" s="36" t="str">
        <f>IFERROR(IF(--MID($F616,2*COUNTIF($G616:H616,"&gt;"&amp;0)+2,1)=I$1,I$1,""),"")</f>
        <v/>
      </c>
      <c r="J616" s="36" t="str">
        <f>IFERROR(IF(--MID($F616,2*COUNTIF($G616:I616,"&gt;"&amp;0)+2,1)=J$1,J$1,""),"")</f>
        <v/>
      </c>
      <c r="K616" s="36">
        <f>IFERROR(IF(--MID($F616,2*COUNTIF($G616:J616,"&gt;"&amp;0)+2,1)=K$1,K$1,""),"")</f>
        <v>5</v>
      </c>
      <c r="L616" s="36" t="str">
        <f>IFERROR(IF(--MID($F616,2*COUNTIF($G616:K616,"&gt;"&amp;0)+2,1)=L$1,L$1,""),"")</f>
        <v/>
      </c>
      <c r="M616" s="51" t="str" cm="1">
        <f t="array" ref="M616">IF($A616="","",IF(G616="","",_xlfn.XLOOKUP($D616&amp;"_"&amp;$AE616,符文权重!$A:$A&amp;"_"&amp;符文权重!$C:$C,符文权重!$D:$D)*$Y616/SUMIFS($Y:$Y,G:G,G616,$D:$D,$D616,$AE:$AE,$AE616)/SUMIF(符文权重!$A:$A,$D616,符文权重!$D:$D)))</f>
        <v/>
      </c>
      <c r="N616" s="51" t="str" cm="1">
        <f t="array" ref="N616">IF($A616="","",IF(H616="","",_xlfn.XLOOKUP($D616&amp;"_"&amp;$AE616,符文权重!$A:$A&amp;"_"&amp;符文权重!$C:$C,符文权重!$D:$D)*$Y616/SUMIFS($Y:$Y,H:H,H616,$D:$D,$D616,$AE:$AE,$AE616)/SUMIF(符文权重!$A:$A,$D616,符文权重!$D:$D)))</f>
        <v/>
      </c>
      <c r="O616" s="51" t="str" cm="1">
        <f t="array" ref="O616">IF($A616="","",IF(I616="","",_xlfn.XLOOKUP($D616&amp;"_"&amp;$AE616,符文权重!$A:$A&amp;"_"&amp;符文权重!$C:$C,符文权重!$D:$D)*$Y616/SUMIFS($Y:$Y,I:I,I616,$D:$D,$D616,$AE:$AE,$AE616)/SUMIF(符文权重!$A:$A,$D616,符文权重!$D:$D)))</f>
        <v/>
      </c>
      <c r="P616" s="51" t="str" cm="1">
        <f t="array" ref="P616">IF($A616="","",IF(J616="","",_xlfn.XLOOKUP($D616&amp;"_"&amp;$AE616,符文权重!$A:$A&amp;"_"&amp;符文权重!$C:$C,符文权重!$D:$D)*$Y616/SUMIFS($Y:$Y,J:J,J616,$D:$D,$D616,$AE:$AE,$AE616)/SUMIF(符文权重!$A:$A,$D616,符文权重!$D:$D)))</f>
        <v/>
      </c>
      <c r="Q616" s="51" cm="1">
        <f t="array" ref="Q616">IF($A616="","",IF(K616="","",_xlfn.XLOOKUP($D616&amp;"_"&amp;$AE616,符文权重!$A:$A&amp;"_"&amp;符文权重!$C:$C,符文权重!$D:$D)*$Y616/SUMIFS($Y:$Y,K:K,K616,$D:$D,$D616,$AE:$AE,$AE616)/SUMIF(符文权重!$A:$A,$D616,符文权重!$D:$D)))</f>
        <v>0.0114887614887615</v>
      </c>
      <c r="R616" s="51" t="str" cm="1">
        <f t="array" ref="R616">IF($A616="","",IF(L616="","",_xlfn.XLOOKUP($D616&amp;"_"&amp;$AE616,符文权重!$A:$A&amp;"_"&amp;符文权重!$C:$C,符文权重!$D:$D)*$Y616/SUMIFS($Y:$Y,L:L,L616,$D:$D,$D616,$AE:$AE,$AE616)/SUMIF(符文权重!$A:$A,$D616,符文权重!$D:$D)))</f>
        <v/>
      </c>
      <c r="S616" s="35" t="s">
        <v>344</v>
      </c>
      <c r="T616" s="35" t="s">
        <v>675</v>
      </c>
      <c r="U616" s="35" t="s">
        <v>420</v>
      </c>
      <c r="V616" s="35" t="s">
        <v>687</v>
      </c>
      <c r="X616" s="35" t="s">
        <v>659</v>
      </c>
      <c r="Y616" s="35">
        <v>100</v>
      </c>
      <c r="AA616" s="35" t="s">
        <v>185</v>
      </c>
      <c r="AB616" s="42" t="str">
        <f t="shared" si="264"/>
        <v>雷震子闪电链对中毒的敌人造成伤害时，造成&lt;color=#54b76b&gt;30%&lt;/color&gt;额外伤害</v>
      </c>
      <c r="AC616" s="35">
        <v>5301238</v>
      </c>
      <c r="AD616" s="35" t="s">
        <v>487</v>
      </c>
      <c r="AE616" s="35">
        <v>4</v>
      </c>
      <c r="AH616" s="35">
        <v>1</v>
      </c>
      <c r="AI616" s="36"/>
      <c r="AJ616" s="35" t="s">
        <v>688</v>
      </c>
      <c r="AK616" s="36"/>
      <c r="AL616" s="35">
        <v>4</v>
      </c>
    </row>
    <row r="617" s="25" customFormat="1" hidden="1" customHeight="1" spans="1:38">
      <c r="A617" s="35">
        <v>5510152</v>
      </c>
      <c r="B617" s="35" t="s">
        <v>54</v>
      </c>
      <c r="C617" s="25">
        <v>5301239</v>
      </c>
      <c r="D617" s="25">
        <v>2</v>
      </c>
      <c r="F617" s="35" t="s">
        <v>220</v>
      </c>
      <c r="G617" s="36" t="str">
        <f t="shared" si="263"/>
        <v/>
      </c>
      <c r="H617" s="36" t="str">
        <f>IFERROR(IF(--MID($F617,2*COUNTIF($G617:G617,"&gt;"&amp;0)+2,1)=H$1,H$1,""),"")</f>
        <v/>
      </c>
      <c r="I617" s="36" t="str">
        <f>IFERROR(IF(--MID($F617,2*COUNTIF($G617:H617,"&gt;"&amp;0)+2,1)=I$1,I$1,""),"")</f>
        <v/>
      </c>
      <c r="J617" s="36" t="str">
        <f>IFERROR(IF(--MID($F617,2*COUNTIF($G617:I617,"&gt;"&amp;0)+2,1)=J$1,J$1,""),"")</f>
        <v/>
      </c>
      <c r="K617" s="36" t="str">
        <f>IFERROR(IF(--MID($F617,2*COUNTIF($G617:J617,"&gt;"&amp;0)+2,1)=K$1,K$1,""),"")</f>
        <v/>
      </c>
      <c r="L617" s="36">
        <f>IFERROR(IF(--MID($F617,2*COUNTIF($G617:K617,"&gt;"&amp;0)+2,1)=L$1,L$1,""),"")</f>
        <v>6</v>
      </c>
      <c r="M617" s="36" t="e" cm="1">
        <f t="array" ref="M617">IF(A617="","",_xlfn.XLOOKUP(D617&amp;"_"&amp;AE617,符文权重!A:A&amp;"_"&amp;符文权重!C:C,符文权重!D:D))</f>
        <v>#N/A</v>
      </c>
      <c r="N617" s="36"/>
      <c r="O617" s="36"/>
      <c r="P617" s="36"/>
      <c r="Q617" s="36"/>
      <c r="R617" s="36"/>
      <c r="S617" s="25" t="s">
        <v>344</v>
      </c>
      <c r="T617" s="25" t="s">
        <v>675</v>
      </c>
      <c r="U617" s="25" t="s">
        <v>415</v>
      </c>
      <c r="V617" s="25" t="s">
        <v>689</v>
      </c>
      <c r="X617" s="25" t="s">
        <v>636</v>
      </c>
      <c r="Y617" s="35">
        <v>100</v>
      </c>
      <c r="AA617" s="25" t="s">
        <v>181</v>
      </c>
      <c r="AB617" s="42" t="str">
        <f t="shared" si="264"/>
        <v>雷震子大招冷却缩减&lt;color=#54b76b&gt;25%&lt;/color&gt;</v>
      </c>
      <c r="AC617" s="25">
        <v>5301239</v>
      </c>
      <c r="AD617" s="25" t="s">
        <v>431</v>
      </c>
      <c r="AE617" s="25">
        <v>100</v>
      </c>
      <c r="AG617" s="25">
        <v>1</v>
      </c>
      <c r="AH617" s="25">
        <v>0</v>
      </c>
      <c r="AJ617" s="25" t="s">
        <v>690</v>
      </c>
      <c r="AL617" s="35">
        <v>4</v>
      </c>
    </row>
    <row r="618" s="25" customFormat="1" hidden="1" customHeight="1" spans="1:38">
      <c r="A618" s="35">
        <v>5510153</v>
      </c>
      <c r="B618" s="35" t="s">
        <v>54</v>
      </c>
      <c r="C618" s="35">
        <v>5301239</v>
      </c>
      <c r="D618" s="35">
        <v>3</v>
      </c>
      <c r="E618" s="35"/>
      <c r="F618" s="35" t="s">
        <v>220</v>
      </c>
      <c r="G618" s="36" t="str">
        <f t="shared" si="263"/>
        <v/>
      </c>
      <c r="H618" s="36" t="str">
        <f>IFERROR(IF(--MID($F618,2*COUNTIF($G618:G618,"&gt;"&amp;0)+2,1)=H$1,H$1,""),"")</f>
        <v/>
      </c>
      <c r="I618" s="36" t="str">
        <f>IFERROR(IF(--MID($F618,2*COUNTIF($G618:H618,"&gt;"&amp;0)+2,1)=I$1,I$1,""),"")</f>
        <v/>
      </c>
      <c r="J618" s="36" t="str">
        <f>IFERROR(IF(--MID($F618,2*COUNTIF($G618:I618,"&gt;"&amp;0)+2,1)=J$1,J$1,""),"")</f>
        <v/>
      </c>
      <c r="K618" s="36" t="str">
        <f>IFERROR(IF(--MID($F618,2*COUNTIF($G618:J618,"&gt;"&amp;0)+2,1)=K$1,K$1,""),"")</f>
        <v/>
      </c>
      <c r="L618" s="36">
        <f>IFERROR(IF(--MID($F618,2*COUNTIF($G618:K618,"&gt;"&amp;0)+2,1)=L$1,L$1,""),"")</f>
        <v>6</v>
      </c>
      <c r="M618" s="51" t="str" cm="1">
        <f t="array" ref="M618">IF($A618="","",IF(G618="","",_xlfn.XLOOKUP($D618&amp;"_"&amp;$AE618,符文权重!$A:$A&amp;"_"&amp;符文权重!$C:$C,符文权重!$D:$D)*$Y618/SUMIFS($Y:$Y,G:G,G618,$D:$D,$D618,$AE:$AE,$AE618)/SUMIF(符文权重!$A:$A,$D618,符文权重!$D:$D)))</f>
        <v/>
      </c>
      <c r="N618" s="51" t="str" cm="1">
        <f t="array" ref="N618">IF($A618="","",IF(H618="","",_xlfn.XLOOKUP($D618&amp;"_"&amp;$AE618,符文权重!$A:$A&amp;"_"&amp;符文权重!$C:$C,符文权重!$D:$D)*$Y618/SUMIFS($Y:$Y,H:H,H618,$D:$D,$D618,$AE:$AE,$AE618)/SUMIF(符文权重!$A:$A,$D618,符文权重!$D:$D)))</f>
        <v/>
      </c>
      <c r="O618" s="51" t="str" cm="1">
        <f t="array" ref="O618">IF($A618="","",IF(I618="","",_xlfn.XLOOKUP($D618&amp;"_"&amp;$AE618,符文权重!$A:$A&amp;"_"&amp;符文权重!$C:$C,符文权重!$D:$D)*$Y618/SUMIFS($Y:$Y,I:I,I618,$D:$D,$D618,$AE:$AE,$AE618)/SUMIF(符文权重!$A:$A,$D618,符文权重!$D:$D)))</f>
        <v/>
      </c>
      <c r="P618" s="51" t="str" cm="1">
        <f t="array" ref="P618">IF($A618="","",IF(J618="","",_xlfn.XLOOKUP($D618&amp;"_"&amp;$AE618,符文权重!$A:$A&amp;"_"&amp;符文权重!$C:$C,符文权重!$D:$D)*$Y618/SUMIFS($Y:$Y,J:J,J618,$D:$D,$D618,$AE:$AE,$AE618)/SUMIF(符文权重!$A:$A,$D618,符文权重!$D:$D)))</f>
        <v/>
      </c>
      <c r="Q618" s="51" t="str" cm="1">
        <f t="array" ref="Q618">IF($A618="","",IF(K618="","",_xlfn.XLOOKUP($D618&amp;"_"&amp;$AE618,符文权重!$A:$A&amp;"_"&amp;符文权重!$C:$C,符文权重!$D:$D)*$Y618/SUMIFS($Y:$Y,K:K,K618,$D:$D,$D618,$AE:$AE,$AE618)/SUMIF(符文权重!$A:$A,$D618,符文权重!$D:$D)))</f>
        <v/>
      </c>
      <c r="R618" s="51" cm="1">
        <f t="array" ref="R618">IF($A618="","",IF(L618="","",_xlfn.XLOOKUP($D618&amp;"_"&amp;$AE618,符文权重!$A:$A&amp;"_"&amp;符文权重!$C:$C,符文权重!$D:$D)*$Y618/SUMIFS($Y:$Y,L:L,L618,$D:$D,$D618,$AE:$AE,$AE618)/SUMIF(符文权重!$A:$A,$D618,符文权重!$D:$D)))</f>
        <v>0.0166666666666667</v>
      </c>
      <c r="S618" s="35" t="s">
        <v>344</v>
      </c>
      <c r="T618" s="35" t="s">
        <v>675</v>
      </c>
      <c r="U618" s="35" t="s">
        <v>417</v>
      </c>
      <c r="V618" s="35" t="s">
        <v>691</v>
      </c>
      <c r="X618" s="35" t="s">
        <v>656</v>
      </c>
      <c r="Y618" s="35">
        <v>100</v>
      </c>
      <c r="AA618" s="35" t="s">
        <v>183</v>
      </c>
      <c r="AB618" s="42" t="str">
        <f t="shared" si="264"/>
        <v>雷震子大招冷却缩减&lt;color=#54b76b&gt;35%&lt;/color&gt;</v>
      </c>
      <c r="AC618" s="35">
        <v>5301239</v>
      </c>
      <c r="AD618" s="35" t="s">
        <v>447</v>
      </c>
      <c r="AE618" s="35">
        <v>4</v>
      </c>
      <c r="AH618" s="35">
        <v>1</v>
      </c>
      <c r="AI618" s="36"/>
      <c r="AJ618" s="35" t="s">
        <v>692</v>
      </c>
      <c r="AK618" s="36"/>
      <c r="AL618" s="35">
        <v>4</v>
      </c>
    </row>
    <row r="619" s="25" customFormat="1" hidden="1" customHeight="1" spans="1:38">
      <c r="A619" s="35">
        <v>5510154</v>
      </c>
      <c r="B619" s="35" t="s">
        <v>54</v>
      </c>
      <c r="C619" s="35">
        <v>5301239</v>
      </c>
      <c r="D619" s="35">
        <v>4</v>
      </c>
      <c r="E619" s="35"/>
      <c r="F619" s="35" t="s">
        <v>220</v>
      </c>
      <c r="G619" s="36" t="str">
        <f t="shared" si="263"/>
        <v/>
      </c>
      <c r="H619" s="36" t="str">
        <f>IFERROR(IF(--MID($F619,2*COUNTIF($G619:G619,"&gt;"&amp;0)+2,1)=H$1,H$1,""),"")</f>
        <v/>
      </c>
      <c r="I619" s="36" t="str">
        <f>IFERROR(IF(--MID($F619,2*COUNTIF($G619:H619,"&gt;"&amp;0)+2,1)=I$1,I$1,""),"")</f>
        <v/>
      </c>
      <c r="J619" s="36" t="str">
        <f>IFERROR(IF(--MID($F619,2*COUNTIF($G619:I619,"&gt;"&amp;0)+2,1)=J$1,J$1,""),"")</f>
        <v/>
      </c>
      <c r="K619" s="36" t="str">
        <f>IFERROR(IF(--MID($F619,2*COUNTIF($G619:J619,"&gt;"&amp;0)+2,1)=K$1,K$1,""),"")</f>
        <v/>
      </c>
      <c r="L619" s="36">
        <f>IFERROR(IF(--MID($F619,2*COUNTIF($G619:K619,"&gt;"&amp;0)+2,1)=L$1,L$1,""),"")</f>
        <v>6</v>
      </c>
      <c r="M619" s="51" t="str" cm="1">
        <f t="array" ref="M619">IF($A619="","",IF(G619="","",_xlfn.XLOOKUP($D619&amp;"_"&amp;$AE619,符文权重!$A:$A&amp;"_"&amp;符文权重!$C:$C,符文权重!$D:$D)*$Y619/SUMIFS($Y:$Y,G:G,G619,$D:$D,$D619,$AE:$AE,$AE619)/SUMIF(符文权重!$A:$A,$D619,符文权重!$D:$D)))</f>
        <v/>
      </c>
      <c r="N619" s="51" t="str" cm="1">
        <f t="array" ref="N619">IF($A619="","",IF(H619="","",_xlfn.XLOOKUP($D619&amp;"_"&amp;$AE619,符文权重!$A:$A&amp;"_"&amp;符文权重!$C:$C,符文权重!$D:$D)*$Y619/SUMIFS($Y:$Y,H:H,H619,$D:$D,$D619,$AE:$AE,$AE619)/SUMIF(符文权重!$A:$A,$D619,符文权重!$D:$D)))</f>
        <v/>
      </c>
      <c r="O619" s="51" t="str" cm="1">
        <f t="array" ref="O619">IF($A619="","",IF(I619="","",_xlfn.XLOOKUP($D619&amp;"_"&amp;$AE619,符文权重!$A:$A&amp;"_"&amp;符文权重!$C:$C,符文权重!$D:$D)*$Y619/SUMIFS($Y:$Y,I:I,I619,$D:$D,$D619,$AE:$AE,$AE619)/SUMIF(符文权重!$A:$A,$D619,符文权重!$D:$D)))</f>
        <v/>
      </c>
      <c r="P619" s="51" t="str" cm="1">
        <f t="array" ref="P619">IF($A619="","",IF(J619="","",_xlfn.XLOOKUP($D619&amp;"_"&amp;$AE619,符文权重!$A:$A&amp;"_"&amp;符文权重!$C:$C,符文权重!$D:$D)*$Y619/SUMIFS($Y:$Y,J:J,J619,$D:$D,$D619,$AE:$AE,$AE619)/SUMIF(符文权重!$A:$A,$D619,符文权重!$D:$D)))</f>
        <v/>
      </c>
      <c r="Q619" s="51" t="str" cm="1">
        <f t="array" ref="Q619">IF($A619="","",IF(K619="","",_xlfn.XLOOKUP($D619&amp;"_"&amp;$AE619,符文权重!$A:$A&amp;"_"&amp;符文权重!$C:$C,符文权重!$D:$D)*$Y619/SUMIFS($Y:$Y,K:K,K619,$D:$D,$D619,$AE:$AE,$AE619)/SUMIF(符文权重!$A:$A,$D619,符文权重!$D:$D)))</f>
        <v/>
      </c>
      <c r="R619" s="51" cm="1">
        <f t="array" ref="R619">IF($A619="","",IF(L619="","",_xlfn.XLOOKUP($D619&amp;"_"&amp;$AE619,符文权重!$A:$A&amp;"_"&amp;符文权重!$C:$C,符文权重!$D:$D)*$Y619/SUMIFS($Y:$Y,L:L,L619,$D:$D,$D619,$AE:$AE,$AE619)/SUMIF(符文权重!$A:$A,$D619,符文权重!$D:$D)))</f>
        <v>0.014867808985456</v>
      </c>
      <c r="S619" s="35" t="s">
        <v>344</v>
      </c>
      <c r="T619" s="35" t="s">
        <v>675</v>
      </c>
      <c r="U619" s="35" t="s">
        <v>420</v>
      </c>
      <c r="V619" s="35" t="s">
        <v>693</v>
      </c>
      <c r="X619" s="35" t="s">
        <v>659</v>
      </c>
      <c r="Y619" s="35">
        <v>100</v>
      </c>
      <c r="AA619" s="35" t="s">
        <v>185</v>
      </c>
      <c r="AB619" s="42" t="str">
        <f t="shared" si="264"/>
        <v>雷震子大招冷却缩减&lt;color=#54b76b&gt;50%&lt;/color&gt;</v>
      </c>
      <c r="AC619" s="35">
        <v>5301239</v>
      </c>
      <c r="AD619" s="35" t="s">
        <v>596</v>
      </c>
      <c r="AE619" s="35">
        <v>4</v>
      </c>
      <c r="AH619" s="35">
        <v>1</v>
      </c>
      <c r="AI619" s="36"/>
      <c r="AJ619" s="35" t="s">
        <v>694</v>
      </c>
      <c r="AK619" s="36"/>
      <c r="AL619" s="35">
        <v>4</v>
      </c>
    </row>
    <row r="620" s="25" customFormat="1" hidden="1" customHeight="1" spans="1:38">
      <c r="A620" s="35">
        <v>5510162</v>
      </c>
      <c r="B620" s="35" t="s">
        <v>55</v>
      </c>
      <c r="C620" s="25">
        <v>5301241</v>
      </c>
      <c r="D620" s="25">
        <v>2</v>
      </c>
      <c r="F620" s="35" t="s">
        <v>193</v>
      </c>
      <c r="G620" s="36" t="str">
        <f t="shared" si="263"/>
        <v/>
      </c>
      <c r="H620" s="36" t="str">
        <f>IFERROR(IF(--MID($F620,2*COUNTIF($G620:G620,"&gt;"&amp;0)+2,1)=H$1,H$1,""),"")</f>
        <v/>
      </c>
      <c r="I620" s="36">
        <f>IFERROR(IF(--MID($F620,2*COUNTIF($G620:H620,"&gt;"&amp;0)+2,1)=I$1,I$1,""),"")</f>
        <v>3</v>
      </c>
      <c r="J620" s="36" t="str">
        <f>IFERROR(IF(--MID($F620,2*COUNTIF($G620:I620,"&gt;"&amp;0)+2,1)=J$1,J$1,""),"")</f>
        <v/>
      </c>
      <c r="K620" s="36" t="str">
        <f>IFERROR(IF(--MID($F620,2*COUNTIF($G620:J620,"&gt;"&amp;0)+2,1)=K$1,K$1,""),"")</f>
        <v/>
      </c>
      <c r="L620" s="36" t="str">
        <f>IFERROR(IF(--MID($F620,2*COUNTIF($G620:K620,"&gt;"&amp;0)+2,1)=L$1,L$1,""),"")</f>
        <v/>
      </c>
      <c r="M620" s="36" t="e" cm="1">
        <f t="array" ref="M620">IF(A620="","",_xlfn.XLOOKUP(D620&amp;"_"&amp;AE620,符文权重!A:A&amp;"_"&amp;符文权重!C:C,符文权重!D:D))</f>
        <v>#N/A</v>
      </c>
      <c r="N620" s="36"/>
      <c r="O620" s="36"/>
      <c r="P620" s="36"/>
      <c r="Q620" s="36"/>
      <c r="R620" s="36"/>
      <c r="S620" s="25" t="s">
        <v>344</v>
      </c>
      <c r="T620" s="25" t="s">
        <v>695</v>
      </c>
      <c r="U620" s="25" t="s">
        <v>415</v>
      </c>
      <c r="W620" s="25" t="s">
        <v>696</v>
      </c>
      <c r="X620" s="25" t="s">
        <v>636</v>
      </c>
      <c r="Y620" s="35">
        <v>100</v>
      </c>
      <c r="AA620" s="25" t="s">
        <v>181</v>
      </c>
      <c r="AB620" s="42" t="str">
        <f t="shared" si="264"/>
        <v>忍者鲨手手里剑&lt;color=#54b76b&gt;15%&lt;/color&gt;几率不消耗能量</v>
      </c>
      <c r="AC620" s="25">
        <v>5301241</v>
      </c>
      <c r="AD620" s="25" t="s">
        <v>425</v>
      </c>
      <c r="AE620" s="25">
        <v>100</v>
      </c>
      <c r="AG620" s="25">
        <v>1</v>
      </c>
      <c r="AH620" s="25">
        <v>0</v>
      </c>
      <c r="AJ620" s="25" t="s">
        <v>697</v>
      </c>
      <c r="AL620" s="35">
        <v>4</v>
      </c>
    </row>
    <row r="621" s="25" customFormat="1" hidden="1" customHeight="1" spans="1:38">
      <c r="A621" s="35">
        <v>5510163</v>
      </c>
      <c r="B621" s="35" t="s">
        <v>55</v>
      </c>
      <c r="C621" s="35">
        <v>5301241</v>
      </c>
      <c r="D621" s="35">
        <v>3</v>
      </c>
      <c r="E621" s="35"/>
      <c r="F621" s="35" t="s">
        <v>193</v>
      </c>
      <c r="G621" s="36" t="str">
        <f t="shared" si="263"/>
        <v/>
      </c>
      <c r="H621" s="36" t="str">
        <f>IFERROR(IF(--MID($F621,2*COUNTIF($G621:G621,"&gt;"&amp;0)+2,1)=H$1,H$1,""),"")</f>
        <v/>
      </c>
      <c r="I621" s="36">
        <f>IFERROR(IF(--MID($F621,2*COUNTIF($G621:H621,"&gt;"&amp;0)+2,1)=I$1,I$1,""),"")</f>
        <v>3</v>
      </c>
      <c r="J621" s="36" t="str">
        <f>IFERROR(IF(--MID($F621,2*COUNTIF($G621:I621,"&gt;"&amp;0)+2,1)=J$1,J$1,""),"")</f>
        <v/>
      </c>
      <c r="K621" s="36" t="str">
        <f>IFERROR(IF(--MID($F621,2*COUNTIF($G621:J621,"&gt;"&amp;0)+2,1)=K$1,K$1,""),"")</f>
        <v/>
      </c>
      <c r="L621" s="36" t="str">
        <f>IFERROR(IF(--MID($F621,2*COUNTIF($G621:K621,"&gt;"&amp;0)+2,1)=L$1,L$1,""),"")</f>
        <v/>
      </c>
      <c r="M621" s="51" t="str" cm="1">
        <f t="array" ref="M621">IF($A621="","",IF(G621="","",_xlfn.XLOOKUP($D621&amp;"_"&amp;$AE621,符文权重!$A:$A&amp;"_"&amp;符文权重!$C:$C,符文权重!$D:$D)*$Y621/SUMIFS($Y:$Y,G:G,G621,$D:$D,$D621,$AE:$AE,$AE621)/SUMIF(符文权重!$A:$A,$D621,符文权重!$D:$D)))</f>
        <v/>
      </c>
      <c r="N621" s="51" t="str" cm="1">
        <f t="array" ref="N621">IF($A621="","",IF(H621="","",_xlfn.XLOOKUP($D621&amp;"_"&amp;$AE621,符文权重!$A:$A&amp;"_"&amp;符文权重!$C:$C,符文权重!$D:$D)*$Y621/SUMIFS($Y:$Y,H:H,H621,$D:$D,$D621,$AE:$AE,$AE621)/SUMIF(符文权重!$A:$A,$D621,符文权重!$D:$D)))</f>
        <v/>
      </c>
      <c r="O621" s="51" cm="1">
        <f t="array" ref="O621">IF($A621="","",IF(I621="","",_xlfn.XLOOKUP($D621&amp;"_"&amp;$AE621,符文权重!$A:$A&amp;"_"&amp;符文权重!$C:$C,符文权重!$D:$D)*$Y621/SUMIFS($Y:$Y,I:I,I621,$D:$D,$D621,$AE:$AE,$AE621)/SUMIF(符文权重!$A:$A,$D621,符文权重!$D:$D)))</f>
        <v>0.0125</v>
      </c>
      <c r="P621" s="51" t="str" cm="1">
        <f t="array" ref="P621">IF($A621="","",IF(J621="","",_xlfn.XLOOKUP($D621&amp;"_"&amp;$AE621,符文权重!$A:$A&amp;"_"&amp;符文权重!$C:$C,符文权重!$D:$D)*$Y621/SUMIFS($Y:$Y,J:J,J621,$D:$D,$D621,$AE:$AE,$AE621)/SUMIF(符文权重!$A:$A,$D621,符文权重!$D:$D)))</f>
        <v/>
      </c>
      <c r="Q621" s="51" t="str" cm="1">
        <f t="array" ref="Q621">IF($A621="","",IF(K621="","",_xlfn.XLOOKUP($D621&amp;"_"&amp;$AE621,符文权重!$A:$A&amp;"_"&amp;符文权重!$C:$C,符文权重!$D:$D)*$Y621/SUMIFS($Y:$Y,K:K,K621,$D:$D,$D621,$AE:$AE,$AE621)/SUMIF(符文权重!$A:$A,$D621,符文权重!$D:$D)))</f>
        <v/>
      </c>
      <c r="R621" s="51" t="str" cm="1">
        <f t="array" ref="R621">IF($A621="","",IF(L621="","",_xlfn.XLOOKUP($D621&amp;"_"&amp;$AE621,符文权重!$A:$A&amp;"_"&amp;符文权重!$C:$C,符文权重!$D:$D)*$Y621/SUMIFS($Y:$Y,L:L,L621,$D:$D,$D621,$AE:$AE,$AE621)/SUMIF(符文权重!$A:$A,$D621,符文权重!$D:$D)))</f>
        <v/>
      </c>
      <c r="S621" s="35" t="s">
        <v>344</v>
      </c>
      <c r="T621" s="35" t="s">
        <v>695</v>
      </c>
      <c r="U621" s="35" t="s">
        <v>417</v>
      </c>
      <c r="V621" s="35"/>
      <c r="W621" s="35" t="s">
        <v>698</v>
      </c>
      <c r="X621" s="35" t="s">
        <v>656</v>
      </c>
      <c r="Y621" s="35">
        <v>100</v>
      </c>
      <c r="AA621" s="35" t="s">
        <v>183</v>
      </c>
      <c r="AB621" s="42" t="str">
        <f t="shared" si="264"/>
        <v>忍者鲨手手里剑&lt;color=#54b76b&gt;22%&lt;/color&gt;几率不消耗能量</v>
      </c>
      <c r="AC621" s="35">
        <v>5301241</v>
      </c>
      <c r="AD621" s="35" t="s">
        <v>685</v>
      </c>
      <c r="AE621" s="35">
        <v>4</v>
      </c>
      <c r="AH621" s="35">
        <v>1</v>
      </c>
      <c r="AI621" s="36"/>
      <c r="AJ621" s="35" t="s">
        <v>699</v>
      </c>
      <c r="AK621" s="36"/>
      <c r="AL621" s="35">
        <v>4</v>
      </c>
    </row>
    <row r="622" s="25" customFormat="1" hidden="1" customHeight="1" spans="1:38">
      <c r="A622" s="35">
        <v>5510164</v>
      </c>
      <c r="B622" s="35" t="s">
        <v>55</v>
      </c>
      <c r="C622" s="35">
        <v>5301241</v>
      </c>
      <c r="D622" s="35">
        <v>4</v>
      </c>
      <c r="E622" s="35"/>
      <c r="F622" s="35" t="s">
        <v>193</v>
      </c>
      <c r="G622" s="36" t="str">
        <f t="shared" si="263"/>
        <v/>
      </c>
      <c r="H622" s="36" t="str">
        <f>IFERROR(IF(--MID($F622,2*COUNTIF($G622:G622,"&gt;"&amp;0)+2,1)=H$1,H$1,""),"")</f>
        <v/>
      </c>
      <c r="I622" s="36">
        <f>IFERROR(IF(--MID($F622,2*COUNTIF($G622:H622,"&gt;"&amp;0)+2,1)=I$1,I$1,""),"")</f>
        <v>3</v>
      </c>
      <c r="J622" s="36" t="str">
        <f>IFERROR(IF(--MID($F622,2*COUNTIF($G622:I622,"&gt;"&amp;0)+2,1)=J$1,J$1,""),"")</f>
        <v/>
      </c>
      <c r="K622" s="36" t="str">
        <f>IFERROR(IF(--MID($F622,2*COUNTIF($G622:J622,"&gt;"&amp;0)+2,1)=K$1,K$1,""),"")</f>
        <v/>
      </c>
      <c r="L622" s="36" t="str">
        <f>IFERROR(IF(--MID($F622,2*COUNTIF($G622:K622,"&gt;"&amp;0)+2,1)=L$1,L$1,""),"")</f>
        <v/>
      </c>
      <c r="M622" s="51" t="str" cm="1">
        <f t="array" ref="M622">IF($A622="","",IF(G622="","",_xlfn.XLOOKUP($D622&amp;"_"&amp;$AE622,符文权重!$A:$A&amp;"_"&amp;符文权重!$C:$C,符文权重!$D:$D)*$Y622/SUMIFS($Y:$Y,G:G,G622,$D:$D,$D622,$AE:$AE,$AE622)/SUMIF(符文权重!$A:$A,$D622,符文权重!$D:$D)))</f>
        <v/>
      </c>
      <c r="N622" s="51" t="str" cm="1">
        <f t="array" ref="N622">IF($A622="","",IF(H622="","",_xlfn.XLOOKUP($D622&amp;"_"&amp;$AE622,符文权重!$A:$A&amp;"_"&amp;符文权重!$C:$C,符文权重!$D:$D)*$Y622/SUMIFS($Y:$Y,H:H,H622,$D:$D,$D622,$AE:$AE,$AE622)/SUMIF(符文权重!$A:$A,$D622,符文权重!$D:$D)))</f>
        <v/>
      </c>
      <c r="O622" s="51" cm="1">
        <f t="array" ref="O622">IF($A622="","",IF(I622="","",_xlfn.XLOOKUP($D622&amp;"_"&amp;$AE622,符文权重!$A:$A&amp;"_"&amp;符文权重!$C:$C,符文权重!$D:$D)*$Y622/SUMIFS($Y:$Y,I:I,I622,$D:$D,$D622,$AE:$AE,$AE622)/SUMIF(符文权重!$A:$A,$D622,符文权重!$D:$D)))</f>
        <v>0.0114887614887615</v>
      </c>
      <c r="P622" s="51" t="str" cm="1">
        <f t="array" ref="P622">IF($A622="","",IF(J622="","",_xlfn.XLOOKUP($D622&amp;"_"&amp;$AE622,符文权重!$A:$A&amp;"_"&amp;符文权重!$C:$C,符文权重!$D:$D)*$Y622/SUMIFS($Y:$Y,J:J,J622,$D:$D,$D622,$AE:$AE,$AE622)/SUMIF(符文权重!$A:$A,$D622,符文权重!$D:$D)))</f>
        <v/>
      </c>
      <c r="Q622" s="51" t="str" cm="1">
        <f t="array" ref="Q622">IF($A622="","",IF(K622="","",_xlfn.XLOOKUP($D622&amp;"_"&amp;$AE622,符文权重!$A:$A&amp;"_"&amp;符文权重!$C:$C,符文权重!$D:$D)*$Y622/SUMIFS($Y:$Y,K:K,K622,$D:$D,$D622,$AE:$AE,$AE622)/SUMIF(符文权重!$A:$A,$D622,符文权重!$D:$D)))</f>
        <v/>
      </c>
      <c r="R622" s="51" t="str" cm="1">
        <f t="array" ref="R622">IF($A622="","",IF(L622="","",_xlfn.XLOOKUP($D622&amp;"_"&amp;$AE622,符文权重!$A:$A&amp;"_"&amp;符文权重!$C:$C,符文权重!$D:$D)*$Y622/SUMIFS($Y:$Y,L:L,L622,$D:$D,$D622,$AE:$AE,$AE622)/SUMIF(符文权重!$A:$A,$D622,符文权重!$D:$D)))</f>
        <v/>
      </c>
      <c r="S622" s="35" t="s">
        <v>344</v>
      </c>
      <c r="T622" s="35" t="s">
        <v>695</v>
      </c>
      <c r="U622" s="35" t="s">
        <v>420</v>
      </c>
      <c r="V622" s="35"/>
      <c r="W622" s="35" t="s">
        <v>700</v>
      </c>
      <c r="X622" s="35" t="s">
        <v>659</v>
      </c>
      <c r="Y622" s="35">
        <v>100</v>
      </c>
      <c r="AA622" s="35" t="s">
        <v>185</v>
      </c>
      <c r="AB622" s="42" t="str">
        <f t="shared" si="264"/>
        <v>忍者鲨手手里剑&lt;color=#54b76b&gt;30%&lt;/color&gt;几率不消耗能量</v>
      </c>
      <c r="AC622" s="35">
        <v>5301241</v>
      </c>
      <c r="AD622" s="35" t="s">
        <v>487</v>
      </c>
      <c r="AE622" s="35">
        <v>4</v>
      </c>
      <c r="AH622" s="35">
        <v>1</v>
      </c>
      <c r="AI622" s="36"/>
      <c r="AJ622" s="35" t="s">
        <v>701</v>
      </c>
      <c r="AK622" s="36"/>
      <c r="AL622" s="35">
        <v>4</v>
      </c>
    </row>
    <row r="623" s="25" customFormat="1" hidden="1" customHeight="1" spans="1:38">
      <c r="A623" s="35">
        <v>5510172</v>
      </c>
      <c r="B623" s="35" t="s">
        <v>55</v>
      </c>
      <c r="C623" s="35">
        <v>5301242</v>
      </c>
      <c r="D623" s="36">
        <v>2</v>
      </c>
      <c r="E623" s="36"/>
      <c r="F623" s="35" t="s">
        <v>404</v>
      </c>
      <c r="G623" s="36" t="str">
        <f t="shared" si="263"/>
        <v/>
      </c>
      <c r="H623" s="36" t="str">
        <f>IFERROR(IF(--MID($F623,2*COUNTIF($G623:G623,"&gt;"&amp;0)+2,1)=H$1,H$1,""),"")</f>
        <v/>
      </c>
      <c r="I623" s="36" t="str">
        <f>IFERROR(IF(--MID($F623,2*COUNTIF($G623:H623,"&gt;"&amp;0)+2,1)=I$1,I$1,""),"")</f>
        <v/>
      </c>
      <c r="J623" s="36">
        <f>IFERROR(IF(--MID($F623,2*COUNTIF($G623:I623,"&gt;"&amp;0)+2,1)=J$1,J$1,""),"")</f>
        <v>4</v>
      </c>
      <c r="K623" s="36" t="str">
        <f>IFERROR(IF(--MID($F623,2*COUNTIF($G623:J623,"&gt;"&amp;0)+2,1)=K$1,K$1,""),"")</f>
        <v/>
      </c>
      <c r="L623" s="36" t="str">
        <f>IFERROR(IF(--MID($F623,2*COUNTIF($G623:K623,"&gt;"&amp;0)+2,1)=L$1,L$1,""),"")</f>
        <v/>
      </c>
      <c r="M623" s="36" t="e" cm="1">
        <f t="array" ref="M623">IF(A623="","",_xlfn.XLOOKUP(D623&amp;"_"&amp;AE623,符文权重!A:A&amp;"_"&amp;符文权重!C:C,符文权重!D:D))</f>
        <v>#N/A</v>
      </c>
      <c r="N623" s="36"/>
      <c r="O623" s="36"/>
      <c r="P623" s="36"/>
      <c r="Q623" s="36"/>
      <c r="R623" s="36"/>
      <c r="S623" s="36" t="s">
        <v>344</v>
      </c>
      <c r="T623" s="36" t="s">
        <v>695</v>
      </c>
      <c r="U623" s="36" t="s">
        <v>415</v>
      </c>
      <c r="V623" s="25" t="s">
        <v>702</v>
      </c>
      <c r="W623" s="36"/>
      <c r="X623" s="35" t="s">
        <v>636</v>
      </c>
      <c r="Y623" s="35">
        <v>100</v>
      </c>
      <c r="Z623" s="35"/>
      <c r="AA623" s="36" t="s">
        <v>181</v>
      </c>
      <c r="AB623" s="42" t="str">
        <f t="shared" si="264"/>
        <v>忍者鲨手对减速的敌人造成伤害时，造成&lt;color=#54b76b&gt;12%&lt;/color&gt;额外伤害</v>
      </c>
      <c r="AC623" s="35">
        <v>5301242</v>
      </c>
      <c r="AD623" s="36" t="s">
        <v>492</v>
      </c>
      <c r="AE623" s="36">
        <v>100</v>
      </c>
      <c r="AF623" s="36"/>
      <c r="AG623" s="36">
        <v>1</v>
      </c>
      <c r="AH623" s="36">
        <v>0</v>
      </c>
      <c r="AJ623" s="36" t="s">
        <v>703</v>
      </c>
      <c r="AL623" s="35">
        <v>4</v>
      </c>
    </row>
    <row r="624" s="25" customFormat="1" hidden="1" customHeight="1" spans="1:38">
      <c r="A624" s="35">
        <v>5510173</v>
      </c>
      <c r="B624" s="35" t="s">
        <v>55</v>
      </c>
      <c r="C624" s="35">
        <v>5301242</v>
      </c>
      <c r="D624" s="35">
        <v>3</v>
      </c>
      <c r="E624" s="35"/>
      <c r="F624" s="35" t="s">
        <v>404</v>
      </c>
      <c r="G624" s="36" t="str">
        <f t="shared" si="263"/>
        <v/>
      </c>
      <c r="H624" s="36" t="str">
        <f>IFERROR(IF(--MID($F624,2*COUNTIF($G624:G624,"&gt;"&amp;0)+2,1)=H$1,H$1,""),"")</f>
        <v/>
      </c>
      <c r="I624" s="36" t="str">
        <f>IFERROR(IF(--MID($F624,2*COUNTIF($G624:H624,"&gt;"&amp;0)+2,1)=I$1,I$1,""),"")</f>
        <v/>
      </c>
      <c r="J624" s="36">
        <f>IFERROR(IF(--MID($F624,2*COUNTIF($G624:I624,"&gt;"&amp;0)+2,1)=J$1,J$1,""),"")</f>
        <v>4</v>
      </c>
      <c r="K624" s="36" t="str">
        <f>IFERROR(IF(--MID($F624,2*COUNTIF($G624:J624,"&gt;"&amp;0)+2,1)=K$1,K$1,""),"")</f>
        <v/>
      </c>
      <c r="L624" s="36" t="str">
        <f>IFERROR(IF(--MID($F624,2*COUNTIF($G624:K624,"&gt;"&amp;0)+2,1)=L$1,L$1,""),"")</f>
        <v/>
      </c>
      <c r="M624" s="51" t="str" cm="1">
        <f t="array" ref="M624">IF($A624="","",IF(G624="","",_xlfn.XLOOKUP($D624&amp;"_"&amp;$AE624,符文权重!$A:$A&amp;"_"&amp;符文权重!$C:$C,符文权重!$D:$D)*$Y624/SUMIFS($Y:$Y,G:G,G624,$D:$D,$D624,$AE:$AE,$AE624)/SUMIF(符文权重!$A:$A,$D624,符文权重!$D:$D)))</f>
        <v/>
      </c>
      <c r="N624" s="51" t="str" cm="1">
        <f t="array" ref="N624">IF($A624="","",IF(H624="","",_xlfn.XLOOKUP($D624&amp;"_"&amp;$AE624,符文权重!$A:$A&amp;"_"&amp;符文权重!$C:$C,符文权重!$D:$D)*$Y624/SUMIFS($Y:$Y,H:H,H624,$D:$D,$D624,$AE:$AE,$AE624)/SUMIF(符文权重!$A:$A,$D624,符文权重!$D:$D)))</f>
        <v/>
      </c>
      <c r="O624" s="51" t="str" cm="1">
        <f t="array" ref="O624">IF($A624="","",IF(I624="","",_xlfn.XLOOKUP($D624&amp;"_"&amp;$AE624,符文权重!$A:$A&amp;"_"&amp;符文权重!$C:$C,符文权重!$D:$D)*$Y624/SUMIFS($Y:$Y,I:I,I624,$D:$D,$D624,$AE:$AE,$AE624)/SUMIF(符文权重!$A:$A,$D624,符文权重!$D:$D)))</f>
        <v/>
      </c>
      <c r="P624" s="51" cm="1">
        <f t="array" ref="P624">IF($A624="","",IF(J624="","",_xlfn.XLOOKUP($D624&amp;"_"&amp;$AE624,符文权重!$A:$A&amp;"_"&amp;符文权重!$C:$C,符文权重!$D:$D)*$Y624/SUMIFS($Y:$Y,J:J,J624,$D:$D,$D624,$AE:$AE,$AE624)/SUMIF(符文权重!$A:$A,$D624,符文权重!$D:$D)))</f>
        <v>0.0125</v>
      </c>
      <c r="Q624" s="51" t="str" cm="1">
        <f t="array" ref="Q624">IF($A624="","",IF(K624="","",_xlfn.XLOOKUP($D624&amp;"_"&amp;$AE624,符文权重!$A:$A&amp;"_"&amp;符文权重!$C:$C,符文权重!$D:$D)*$Y624/SUMIFS($Y:$Y,K:K,K624,$D:$D,$D624,$AE:$AE,$AE624)/SUMIF(符文权重!$A:$A,$D624,符文权重!$D:$D)))</f>
        <v/>
      </c>
      <c r="R624" s="51" t="str" cm="1">
        <f t="array" ref="R624">IF($A624="","",IF(L624="","",_xlfn.XLOOKUP($D624&amp;"_"&amp;$AE624,符文权重!$A:$A&amp;"_"&amp;符文权重!$C:$C,符文权重!$D:$D)*$Y624/SUMIFS($Y:$Y,L:L,L624,$D:$D,$D624,$AE:$AE,$AE624)/SUMIF(符文权重!$A:$A,$D624,符文权重!$D:$D)))</f>
        <v/>
      </c>
      <c r="S624" s="35" t="s">
        <v>344</v>
      </c>
      <c r="T624" s="35" t="s">
        <v>695</v>
      </c>
      <c r="U624" s="35" t="s">
        <v>417</v>
      </c>
      <c r="V624" s="35" t="s">
        <v>704</v>
      </c>
      <c r="X624" s="35" t="s">
        <v>656</v>
      </c>
      <c r="Y624" s="35">
        <v>100</v>
      </c>
      <c r="AA624" s="35" t="s">
        <v>183</v>
      </c>
      <c r="AB624" s="42" t="str">
        <f t="shared" si="264"/>
        <v>忍者鲨手对减速的敌人造成伤害时，造成&lt;color=#54b76b&gt;18%&lt;/color&gt;额外伤害</v>
      </c>
      <c r="AC624" s="35">
        <v>5301242</v>
      </c>
      <c r="AD624" s="35" t="s">
        <v>494</v>
      </c>
      <c r="AE624" s="35">
        <v>4</v>
      </c>
      <c r="AH624" s="35">
        <v>1</v>
      </c>
      <c r="AI624" s="36"/>
      <c r="AJ624" s="35" t="s">
        <v>705</v>
      </c>
      <c r="AK624" s="36"/>
      <c r="AL624" s="35">
        <v>4</v>
      </c>
    </row>
    <row r="625" s="25" customFormat="1" hidden="1" customHeight="1" spans="1:38">
      <c r="A625" s="35">
        <v>5510174</v>
      </c>
      <c r="B625" s="35" t="s">
        <v>55</v>
      </c>
      <c r="C625" s="35">
        <v>5301242</v>
      </c>
      <c r="D625" s="35">
        <v>4</v>
      </c>
      <c r="E625" s="35"/>
      <c r="F625" s="35" t="s">
        <v>404</v>
      </c>
      <c r="G625" s="36" t="str">
        <f t="shared" si="263"/>
        <v/>
      </c>
      <c r="H625" s="36" t="str">
        <f>IFERROR(IF(--MID($F625,2*COUNTIF($G625:G625,"&gt;"&amp;0)+2,1)=H$1,H$1,""),"")</f>
        <v/>
      </c>
      <c r="I625" s="36" t="str">
        <f>IFERROR(IF(--MID($F625,2*COUNTIF($G625:H625,"&gt;"&amp;0)+2,1)=I$1,I$1,""),"")</f>
        <v/>
      </c>
      <c r="J625" s="36">
        <f>IFERROR(IF(--MID($F625,2*COUNTIF($G625:I625,"&gt;"&amp;0)+2,1)=J$1,J$1,""),"")</f>
        <v>4</v>
      </c>
      <c r="K625" s="36" t="str">
        <f>IFERROR(IF(--MID($F625,2*COUNTIF($G625:J625,"&gt;"&amp;0)+2,1)=K$1,K$1,""),"")</f>
        <v/>
      </c>
      <c r="L625" s="36" t="str">
        <f>IFERROR(IF(--MID($F625,2*COUNTIF($G625:K625,"&gt;"&amp;0)+2,1)=L$1,L$1,""),"")</f>
        <v/>
      </c>
      <c r="M625" s="51" t="str" cm="1">
        <f t="array" ref="M625">IF($A625="","",IF(G625="","",_xlfn.XLOOKUP($D625&amp;"_"&amp;$AE625,符文权重!$A:$A&amp;"_"&amp;符文权重!$C:$C,符文权重!$D:$D)*$Y625/SUMIFS($Y:$Y,G:G,G625,$D:$D,$D625,$AE:$AE,$AE625)/SUMIF(符文权重!$A:$A,$D625,符文权重!$D:$D)))</f>
        <v/>
      </c>
      <c r="N625" s="51" t="str" cm="1">
        <f t="array" ref="N625">IF($A625="","",IF(H625="","",_xlfn.XLOOKUP($D625&amp;"_"&amp;$AE625,符文权重!$A:$A&amp;"_"&amp;符文权重!$C:$C,符文权重!$D:$D)*$Y625/SUMIFS($Y:$Y,H:H,H625,$D:$D,$D625,$AE:$AE,$AE625)/SUMIF(符文权重!$A:$A,$D625,符文权重!$D:$D)))</f>
        <v/>
      </c>
      <c r="O625" s="51" t="str" cm="1">
        <f t="array" ref="O625">IF($A625="","",IF(I625="","",_xlfn.XLOOKUP($D625&amp;"_"&amp;$AE625,符文权重!$A:$A&amp;"_"&amp;符文权重!$C:$C,符文权重!$D:$D)*$Y625/SUMIFS($Y:$Y,I:I,I625,$D:$D,$D625,$AE:$AE,$AE625)/SUMIF(符文权重!$A:$A,$D625,符文权重!$D:$D)))</f>
        <v/>
      </c>
      <c r="P625" s="51" cm="1">
        <f t="array" ref="P625">IF($A625="","",IF(J625="","",_xlfn.XLOOKUP($D625&amp;"_"&amp;$AE625,符文权重!$A:$A&amp;"_"&amp;符文权重!$C:$C,符文权重!$D:$D)*$Y625/SUMIFS($Y:$Y,J:J,J625,$D:$D,$D625,$AE:$AE,$AE625)/SUMIF(符文权重!$A:$A,$D625,符文权重!$D:$D)))</f>
        <v>0.0114887614887615</v>
      </c>
      <c r="Q625" s="51" t="str" cm="1">
        <f t="array" ref="Q625">IF($A625="","",IF(K625="","",_xlfn.XLOOKUP($D625&amp;"_"&amp;$AE625,符文权重!$A:$A&amp;"_"&amp;符文权重!$C:$C,符文权重!$D:$D)*$Y625/SUMIFS($Y:$Y,K:K,K625,$D:$D,$D625,$AE:$AE,$AE625)/SUMIF(符文权重!$A:$A,$D625,符文权重!$D:$D)))</f>
        <v/>
      </c>
      <c r="R625" s="51" t="str" cm="1">
        <f t="array" ref="R625">IF($A625="","",IF(L625="","",_xlfn.XLOOKUP($D625&amp;"_"&amp;$AE625,符文权重!$A:$A&amp;"_"&amp;符文权重!$C:$C,符文权重!$D:$D)*$Y625/SUMIFS($Y:$Y,L:L,L625,$D:$D,$D625,$AE:$AE,$AE625)/SUMIF(符文权重!$A:$A,$D625,符文权重!$D:$D)))</f>
        <v/>
      </c>
      <c r="S625" s="35" t="s">
        <v>344</v>
      </c>
      <c r="T625" s="35" t="s">
        <v>695</v>
      </c>
      <c r="U625" s="35" t="s">
        <v>420</v>
      </c>
      <c r="V625" s="35" t="s">
        <v>706</v>
      </c>
      <c r="X625" s="35" t="s">
        <v>659</v>
      </c>
      <c r="Y625" s="35">
        <v>100</v>
      </c>
      <c r="AA625" s="35" t="s">
        <v>185</v>
      </c>
      <c r="AB625" s="42" t="str">
        <f t="shared" si="264"/>
        <v>忍者鲨手对减速的敌人造成伤害时，造成&lt;color=#54b76b&gt;24%&lt;/color&gt;额外伤害</v>
      </c>
      <c r="AC625" s="35">
        <v>5301242</v>
      </c>
      <c r="AD625" s="35" t="s">
        <v>649</v>
      </c>
      <c r="AE625" s="35">
        <v>4</v>
      </c>
      <c r="AH625" s="35">
        <v>1</v>
      </c>
      <c r="AI625" s="36"/>
      <c r="AJ625" s="35" t="s">
        <v>707</v>
      </c>
      <c r="AK625" s="36"/>
      <c r="AL625" s="35">
        <v>4</v>
      </c>
    </row>
    <row r="626" s="25" customFormat="1" hidden="1" customHeight="1" spans="1:38">
      <c r="A626" s="35">
        <v>5510182</v>
      </c>
      <c r="B626" s="35" t="s">
        <v>55</v>
      </c>
      <c r="C626" s="35">
        <v>5301243</v>
      </c>
      <c r="D626" s="36">
        <v>2</v>
      </c>
      <c r="E626" s="36"/>
      <c r="F626" s="35" t="s">
        <v>230</v>
      </c>
      <c r="G626" s="36" t="str">
        <f t="shared" si="263"/>
        <v/>
      </c>
      <c r="H626" s="36" t="str">
        <f>IFERROR(IF(--MID($F626,2*COUNTIF($G626:G626,"&gt;"&amp;0)+2,1)=H$1,H$1,""),"")</f>
        <v/>
      </c>
      <c r="I626" s="36" t="str">
        <f>IFERROR(IF(--MID($F626,2*COUNTIF($G626:H626,"&gt;"&amp;0)+2,1)=I$1,I$1,""),"")</f>
        <v/>
      </c>
      <c r="J626" s="36" t="str">
        <f>IFERROR(IF(--MID($F626,2*COUNTIF($G626:I626,"&gt;"&amp;0)+2,1)=J$1,J$1,""),"")</f>
        <v/>
      </c>
      <c r="K626" s="36">
        <f>IFERROR(IF(--MID($F626,2*COUNTIF($G626:J626,"&gt;"&amp;0)+2,1)=K$1,K$1,""),"")</f>
        <v>5</v>
      </c>
      <c r="L626" s="36" t="str">
        <f>IFERROR(IF(--MID($F626,2*COUNTIF($G626:K626,"&gt;"&amp;0)+2,1)=L$1,L$1,""),"")</f>
        <v/>
      </c>
      <c r="M626" s="36" t="e" cm="1">
        <f t="array" ref="M626">IF(A626="","",_xlfn.XLOOKUP(D626&amp;"_"&amp;AE626,符文权重!A:A&amp;"_"&amp;符文权重!C:C,符文权重!D:D))</f>
        <v>#N/A</v>
      </c>
      <c r="N626" s="36"/>
      <c r="O626" s="36"/>
      <c r="P626" s="36"/>
      <c r="Q626" s="36"/>
      <c r="R626" s="36"/>
      <c r="S626" s="36" t="s">
        <v>344</v>
      </c>
      <c r="T626" s="36" t="s">
        <v>695</v>
      </c>
      <c r="U626" s="36" t="s">
        <v>415</v>
      </c>
      <c r="V626" s="25" t="s">
        <v>708</v>
      </c>
      <c r="W626" s="36"/>
      <c r="X626" s="35" t="s">
        <v>636</v>
      </c>
      <c r="Y626" s="35">
        <v>100</v>
      </c>
      <c r="Z626" s="35"/>
      <c r="AA626" s="36" t="s">
        <v>181</v>
      </c>
      <c r="AB626" s="42" t="str">
        <f t="shared" si="264"/>
        <v>忍者鲨手有&lt;color=#54b76b&gt;12%&lt;/color&gt;的概率额外扔出一发手里剑</v>
      </c>
      <c r="AC626" s="35">
        <v>5301243</v>
      </c>
      <c r="AD626" s="36" t="s">
        <v>492</v>
      </c>
      <c r="AE626" s="36">
        <v>100</v>
      </c>
      <c r="AF626" s="36"/>
      <c r="AG626" s="36">
        <v>1</v>
      </c>
      <c r="AH626" s="36">
        <v>0</v>
      </c>
      <c r="AJ626" s="36" t="s">
        <v>709</v>
      </c>
      <c r="AL626" s="35">
        <v>4</v>
      </c>
    </row>
    <row r="627" s="25" customFormat="1" hidden="1" customHeight="1" spans="1:38">
      <c r="A627" s="35">
        <v>5510183</v>
      </c>
      <c r="B627" s="35" t="s">
        <v>55</v>
      </c>
      <c r="C627" s="35">
        <v>5301243</v>
      </c>
      <c r="D627" s="35">
        <v>3</v>
      </c>
      <c r="E627" s="35"/>
      <c r="F627" s="35" t="s">
        <v>230</v>
      </c>
      <c r="G627" s="36" t="str">
        <f t="shared" si="263"/>
        <v/>
      </c>
      <c r="H627" s="36" t="str">
        <f>IFERROR(IF(--MID($F627,2*COUNTIF($G627:G627,"&gt;"&amp;0)+2,1)=H$1,H$1,""),"")</f>
        <v/>
      </c>
      <c r="I627" s="36" t="str">
        <f>IFERROR(IF(--MID($F627,2*COUNTIF($G627:H627,"&gt;"&amp;0)+2,1)=I$1,I$1,""),"")</f>
        <v/>
      </c>
      <c r="J627" s="36" t="str">
        <f>IFERROR(IF(--MID($F627,2*COUNTIF($G627:I627,"&gt;"&amp;0)+2,1)=J$1,J$1,""),"")</f>
        <v/>
      </c>
      <c r="K627" s="36">
        <f>IFERROR(IF(--MID($F627,2*COUNTIF($G627:J627,"&gt;"&amp;0)+2,1)=K$1,K$1,""),"")</f>
        <v>5</v>
      </c>
      <c r="L627" s="36" t="str">
        <f>IFERROR(IF(--MID($F627,2*COUNTIF($G627:K627,"&gt;"&amp;0)+2,1)=L$1,L$1,""),"")</f>
        <v/>
      </c>
      <c r="M627" s="51" t="str" cm="1">
        <f t="array" ref="M627">IF($A627="","",IF(G627="","",_xlfn.XLOOKUP($D627&amp;"_"&amp;$AE627,符文权重!$A:$A&amp;"_"&amp;符文权重!$C:$C,符文权重!$D:$D)*$Y627/SUMIFS($Y:$Y,G:G,G627,$D:$D,$D627,$AE:$AE,$AE627)/SUMIF(符文权重!$A:$A,$D627,符文权重!$D:$D)))</f>
        <v/>
      </c>
      <c r="N627" s="51" t="str" cm="1">
        <f t="array" ref="N627">IF($A627="","",IF(H627="","",_xlfn.XLOOKUP($D627&amp;"_"&amp;$AE627,符文权重!$A:$A&amp;"_"&amp;符文权重!$C:$C,符文权重!$D:$D)*$Y627/SUMIFS($Y:$Y,H:H,H627,$D:$D,$D627,$AE:$AE,$AE627)/SUMIF(符文权重!$A:$A,$D627,符文权重!$D:$D)))</f>
        <v/>
      </c>
      <c r="O627" s="51" t="str" cm="1">
        <f t="array" ref="O627">IF($A627="","",IF(I627="","",_xlfn.XLOOKUP($D627&amp;"_"&amp;$AE627,符文权重!$A:$A&amp;"_"&amp;符文权重!$C:$C,符文权重!$D:$D)*$Y627/SUMIFS($Y:$Y,I:I,I627,$D:$D,$D627,$AE:$AE,$AE627)/SUMIF(符文权重!$A:$A,$D627,符文权重!$D:$D)))</f>
        <v/>
      </c>
      <c r="P627" s="51" t="str" cm="1">
        <f t="array" ref="P627">IF($A627="","",IF(J627="","",_xlfn.XLOOKUP($D627&amp;"_"&amp;$AE627,符文权重!$A:$A&amp;"_"&amp;符文权重!$C:$C,符文权重!$D:$D)*$Y627/SUMIFS($Y:$Y,J:J,J627,$D:$D,$D627,$AE:$AE,$AE627)/SUMIF(符文权重!$A:$A,$D627,符文权重!$D:$D)))</f>
        <v/>
      </c>
      <c r="Q627" s="51" cm="1">
        <f t="array" ref="Q627">IF($A627="","",IF(K627="","",_xlfn.XLOOKUP($D627&amp;"_"&amp;$AE627,符文权重!$A:$A&amp;"_"&amp;符文权重!$C:$C,符文权重!$D:$D)*$Y627/SUMIFS($Y:$Y,K:K,K627,$D:$D,$D627,$AE:$AE,$AE627)/SUMIF(符文权重!$A:$A,$D627,符文权重!$D:$D)))</f>
        <v>0.0125</v>
      </c>
      <c r="R627" s="51" t="str" cm="1">
        <f t="array" ref="R627">IF($A627="","",IF(L627="","",_xlfn.XLOOKUP($D627&amp;"_"&amp;$AE627,符文权重!$A:$A&amp;"_"&amp;符文权重!$C:$C,符文权重!$D:$D)*$Y627/SUMIFS($Y:$Y,L:L,L627,$D:$D,$D627,$AE:$AE,$AE627)/SUMIF(符文权重!$A:$A,$D627,符文权重!$D:$D)))</f>
        <v/>
      </c>
      <c r="S627" s="35" t="s">
        <v>344</v>
      </c>
      <c r="T627" s="35" t="s">
        <v>695</v>
      </c>
      <c r="U627" s="35" t="s">
        <v>417</v>
      </c>
      <c r="V627" s="35" t="s">
        <v>710</v>
      </c>
      <c r="X627" s="35" t="s">
        <v>656</v>
      </c>
      <c r="Y627" s="35">
        <v>100</v>
      </c>
      <c r="AA627" s="35" t="s">
        <v>183</v>
      </c>
      <c r="AB627" s="42" t="str">
        <f t="shared" si="264"/>
        <v>忍者鲨手有&lt;color=#54b76b&gt;16%&lt;/color&gt;的概率额外扔出一发手里剑</v>
      </c>
      <c r="AC627" s="35">
        <v>5301243</v>
      </c>
      <c r="AD627" s="35" t="s">
        <v>711</v>
      </c>
      <c r="AE627" s="35">
        <v>4</v>
      </c>
      <c r="AH627" s="35">
        <v>1</v>
      </c>
      <c r="AI627" s="36"/>
      <c r="AJ627" s="35" t="s">
        <v>712</v>
      </c>
      <c r="AK627" s="36"/>
      <c r="AL627" s="35">
        <v>4</v>
      </c>
    </row>
    <row r="628" s="25" customFormat="1" hidden="1" customHeight="1" spans="1:38">
      <c r="A628" s="35">
        <v>5510184</v>
      </c>
      <c r="B628" s="35" t="s">
        <v>55</v>
      </c>
      <c r="C628" s="35">
        <v>5301243</v>
      </c>
      <c r="D628" s="35">
        <v>4</v>
      </c>
      <c r="E628" s="35"/>
      <c r="F628" s="35" t="s">
        <v>230</v>
      </c>
      <c r="G628" s="36" t="str">
        <f t="shared" si="263"/>
        <v/>
      </c>
      <c r="H628" s="36" t="str">
        <f>IFERROR(IF(--MID($F628,2*COUNTIF($G628:G628,"&gt;"&amp;0)+2,1)=H$1,H$1,""),"")</f>
        <v/>
      </c>
      <c r="I628" s="36" t="str">
        <f>IFERROR(IF(--MID($F628,2*COUNTIF($G628:H628,"&gt;"&amp;0)+2,1)=I$1,I$1,""),"")</f>
        <v/>
      </c>
      <c r="J628" s="36" t="str">
        <f>IFERROR(IF(--MID($F628,2*COUNTIF($G628:I628,"&gt;"&amp;0)+2,1)=J$1,J$1,""),"")</f>
        <v/>
      </c>
      <c r="K628" s="36">
        <f>IFERROR(IF(--MID($F628,2*COUNTIF($G628:J628,"&gt;"&amp;0)+2,1)=K$1,K$1,""),"")</f>
        <v>5</v>
      </c>
      <c r="L628" s="36" t="str">
        <f>IFERROR(IF(--MID($F628,2*COUNTIF($G628:K628,"&gt;"&amp;0)+2,1)=L$1,L$1,""),"")</f>
        <v/>
      </c>
      <c r="M628" s="51" t="str" cm="1">
        <f t="array" ref="M628">IF($A628="","",IF(G628="","",_xlfn.XLOOKUP($D628&amp;"_"&amp;$AE628,符文权重!$A:$A&amp;"_"&amp;符文权重!$C:$C,符文权重!$D:$D)*$Y628/SUMIFS($Y:$Y,G:G,G628,$D:$D,$D628,$AE:$AE,$AE628)/SUMIF(符文权重!$A:$A,$D628,符文权重!$D:$D)))</f>
        <v/>
      </c>
      <c r="N628" s="51" t="str" cm="1">
        <f t="array" ref="N628">IF($A628="","",IF(H628="","",_xlfn.XLOOKUP($D628&amp;"_"&amp;$AE628,符文权重!$A:$A&amp;"_"&amp;符文权重!$C:$C,符文权重!$D:$D)*$Y628/SUMIFS($Y:$Y,H:H,H628,$D:$D,$D628,$AE:$AE,$AE628)/SUMIF(符文权重!$A:$A,$D628,符文权重!$D:$D)))</f>
        <v/>
      </c>
      <c r="O628" s="51" t="str" cm="1">
        <f t="array" ref="O628">IF($A628="","",IF(I628="","",_xlfn.XLOOKUP($D628&amp;"_"&amp;$AE628,符文权重!$A:$A&amp;"_"&amp;符文权重!$C:$C,符文权重!$D:$D)*$Y628/SUMIFS($Y:$Y,I:I,I628,$D:$D,$D628,$AE:$AE,$AE628)/SUMIF(符文权重!$A:$A,$D628,符文权重!$D:$D)))</f>
        <v/>
      </c>
      <c r="P628" s="51" t="str" cm="1">
        <f t="array" ref="P628">IF($A628="","",IF(J628="","",_xlfn.XLOOKUP($D628&amp;"_"&amp;$AE628,符文权重!$A:$A&amp;"_"&amp;符文权重!$C:$C,符文权重!$D:$D)*$Y628/SUMIFS($Y:$Y,J:J,J628,$D:$D,$D628,$AE:$AE,$AE628)/SUMIF(符文权重!$A:$A,$D628,符文权重!$D:$D)))</f>
        <v/>
      </c>
      <c r="Q628" s="51" cm="1">
        <f t="array" ref="Q628">IF($A628="","",IF(K628="","",_xlfn.XLOOKUP($D628&amp;"_"&amp;$AE628,符文权重!$A:$A&amp;"_"&amp;符文权重!$C:$C,符文权重!$D:$D)*$Y628/SUMIFS($Y:$Y,K:K,K628,$D:$D,$D628,$AE:$AE,$AE628)/SUMIF(符文权重!$A:$A,$D628,符文权重!$D:$D)))</f>
        <v>0.0114887614887615</v>
      </c>
      <c r="R628" s="51" t="str" cm="1">
        <f t="array" ref="R628">IF($A628="","",IF(L628="","",_xlfn.XLOOKUP($D628&amp;"_"&amp;$AE628,符文权重!$A:$A&amp;"_"&amp;符文权重!$C:$C,符文权重!$D:$D)*$Y628/SUMIFS($Y:$Y,L:L,L628,$D:$D,$D628,$AE:$AE,$AE628)/SUMIF(符文权重!$A:$A,$D628,符文权重!$D:$D)))</f>
        <v/>
      </c>
      <c r="S628" s="35" t="s">
        <v>344</v>
      </c>
      <c r="T628" s="35" t="s">
        <v>695</v>
      </c>
      <c r="U628" s="35" t="s">
        <v>420</v>
      </c>
      <c r="V628" s="35" t="s">
        <v>713</v>
      </c>
      <c r="X628" s="35" t="s">
        <v>659</v>
      </c>
      <c r="Y628" s="35">
        <v>100</v>
      </c>
      <c r="AA628" s="35" t="s">
        <v>185</v>
      </c>
      <c r="AB628" s="42" t="str">
        <f t="shared" si="264"/>
        <v>忍者鲨手有&lt;color=#54b76b&gt;20%&lt;/color&gt;的概率额外扔出一发手里剑</v>
      </c>
      <c r="AC628" s="35">
        <v>5301243</v>
      </c>
      <c r="AD628" s="35" t="s">
        <v>428</v>
      </c>
      <c r="AE628" s="35">
        <v>4</v>
      </c>
      <c r="AH628" s="35">
        <v>1</v>
      </c>
      <c r="AI628" s="36"/>
      <c r="AJ628" s="35" t="s">
        <v>714</v>
      </c>
      <c r="AK628" s="36"/>
      <c r="AL628" s="35">
        <v>4</v>
      </c>
    </row>
    <row r="629" s="25" customFormat="1" hidden="1" customHeight="1" spans="1:38">
      <c r="A629" s="35">
        <v>5510192</v>
      </c>
      <c r="B629" s="34" t="s">
        <v>715</v>
      </c>
      <c r="C629" s="35">
        <v>5301245</v>
      </c>
      <c r="D629" s="36">
        <v>2</v>
      </c>
      <c r="E629" s="36"/>
      <c r="F629" s="35" t="s">
        <v>220</v>
      </c>
      <c r="G629" s="36" t="str">
        <f t="shared" si="263"/>
        <v/>
      </c>
      <c r="H629" s="36" t="str">
        <f>IFERROR(IF(--MID($F629,2*COUNTIF($G629:G629,"&gt;"&amp;0)+2,1)=H$1,H$1,""),"")</f>
        <v/>
      </c>
      <c r="I629" s="36" t="str">
        <f>IFERROR(IF(--MID($F629,2*COUNTIF($G629:H629,"&gt;"&amp;0)+2,1)=I$1,I$1,""),"")</f>
        <v/>
      </c>
      <c r="J629" s="36" t="str">
        <f>IFERROR(IF(--MID($F629,2*COUNTIF($G629:I629,"&gt;"&amp;0)+2,1)=J$1,J$1,""),"")</f>
        <v/>
      </c>
      <c r="K629" s="36" t="str">
        <f>IFERROR(IF(--MID($F629,2*COUNTIF($G629:J629,"&gt;"&amp;0)+2,1)=K$1,K$1,""),"")</f>
        <v/>
      </c>
      <c r="L629" s="36">
        <f>IFERROR(IF(--MID($F629,2*COUNTIF($G629:K629,"&gt;"&amp;0)+2,1)=L$1,L$1,""),"")</f>
        <v>6</v>
      </c>
      <c r="M629" s="36" t="e" cm="1">
        <f t="array" ref="M629">IF(A629="","",_xlfn.XLOOKUP(D629&amp;"_"&amp;AE629,符文权重!A:A&amp;"_"&amp;符文权重!C:C,符文权重!D:D))</f>
        <v>#N/A</v>
      </c>
      <c r="N629" s="36"/>
      <c r="O629" s="36"/>
      <c r="P629" s="36"/>
      <c r="Q629" s="36"/>
      <c r="R629" s="36"/>
      <c r="S629" s="36" t="s">
        <v>344</v>
      </c>
      <c r="T629" s="36" t="s">
        <v>716</v>
      </c>
      <c r="U629" s="36" t="s">
        <v>415</v>
      </c>
      <c r="V629" s="25" t="s">
        <v>717</v>
      </c>
      <c r="W629" s="36"/>
      <c r="X629" s="35" t="s">
        <v>630</v>
      </c>
      <c r="Y629" s="35">
        <v>100</v>
      </c>
      <c r="Z629" s="35"/>
      <c r="AA629" s="36" t="s">
        <v>181</v>
      </c>
      <c r="AB629" s="42" t="str">
        <f t="shared" si="264"/>
        <v>甜心护士额外发射&lt;color=#54b76b&gt;1&lt;/color&gt;个针筒</v>
      </c>
      <c r="AC629" s="35">
        <v>5301245</v>
      </c>
      <c r="AD629" s="36" t="s">
        <v>202</v>
      </c>
      <c r="AE629" s="36">
        <v>100</v>
      </c>
      <c r="AF629" s="36"/>
      <c r="AG629" s="36">
        <v>1</v>
      </c>
      <c r="AH629" s="36">
        <v>0</v>
      </c>
      <c r="AJ629" s="36" t="s">
        <v>718</v>
      </c>
      <c r="AL629" s="35">
        <v>4</v>
      </c>
    </row>
    <row r="630" s="25" customFormat="1" hidden="1" customHeight="1" spans="1:38">
      <c r="A630" s="35">
        <v>5510193</v>
      </c>
      <c r="B630" s="35" t="s">
        <v>715</v>
      </c>
      <c r="C630" s="35">
        <v>5301245</v>
      </c>
      <c r="D630" s="35">
        <v>3</v>
      </c>
      <c r="E630" s="35"/>
      <c r="F630" s="35" t="s">
        <v>220</v>
      </c>
      <c r="G630" s="36" t="str">
        <f t="shared" si="263"/>
        <v/>
      </c>
      <c r="H630" s="36" t="str">
        <f>IFERROR(IF(--MID($F630,2*COUNTIF($G630:G630,"&gt;"&amp;0)+2,1)=H$1,H$1,""),"")</f>
        <v/>
      </c>
      <c r="I630" s="36" t="str">
        <f>IFERROR(IF(--MID($F630,2*COUNTIF($G630:H630,"&gt;"&amp;0)+2,1)=I$1,I$1,""),"")</f>
        <v/>
      </c>
      <c r="J630" s="36" t="str">
        <f>IFERROR(IF(--MID($F630,2*COUNTIF($G630:I630,"&gt;"&amp;0)+2,1)=J$1,J$1,""),"")</f>
        <v/>
      </c>
      <c r="K630" s="36" t="str">
        <f>IFERROR(IF(--MID($F630,2*COUNTIF($G630:J630,"&gt;"&amp;0)+2,1)=K$1,K$1,""),"")</f>
        <v/>
      </c>
      <c r="L630" s="36">
        <f>IFERROR(IF(--MID($F630,2*COUNTIF($G630:K630,"&gt;"&amp;0)+2,1)=L$1,L$1,""),"")</f>
        <v>6</v>
      </c>
      <c r="M630" s="51" t="str" cm="1">
        <f t="array" ref="M630">IF($A630="","",IF(G630="","",_xlfn.XLOOKUP($D630&amp;"_"&amp;$AE630,符文权重!$A:$A&amp;"_"&amp;符文权重!$C:$C,符文权重!$D:$D)*$Y630/SUMIFS($Y:$Y,G:G,G630,$D:$D,$D630,$AE:$AE,$AE630)/SUMIF(符文权重!$A:$A,$D630,符文权重!$D:$D)))</f>
        <v/>
      </c>
      <c r="N630" s="51" t="str" cm="1">
        <f t="array" ref="N630">IF($A630="","",IF(H630="","",_xlfn.XLOOKUP($D630&amp;"_"&amp;$AE630,符文权重!$A:$A&amp;"_"&amp;符文权重!$C:$C,符文权重!$D:$D)*$Y630/SUMIFS($Y:$Y,H:H,H630,$D:$D,$D630,$AE:$AE,$AE630)/SUMIF(符文权重!$A:$A,$D630,符文权重!$D:$D)))</f>
        <v/>
      </c>
      <c r="O630" s="51" t="str" cm="1">
        <f t="array" ref="O630">IF($A630="","",IF(I630="","",_xlfn.XLOOKUP($D630&amp;"_"&amp;$AE630,符文权重!$A:$A&amp;"_"&amp;符文权重!$C:$C,符文权重!$D:$D)*$Y630/SUMIFS($Y:$Y,I:I,I630,$D:$D,$D630,$AE:$AE,$AE630)/SUMIF(符文权重!$A:$A,$D630,符文权重!$D:$D)))</f>
        <v/>
      </c>
      <c r="P630" s="51" t="str" cm="1">
        <f t="array" ref="P630">IF($A630="","",IF(J630="","",_xlfn.XLOOKUP($D630&amp;"_"&amp;$AE630,符文权重!$A:$A&amp;"_"&amp;符文权重!$C:$C,符文权重!$D:$D)*$Y630/SUMIFS($Y:$Y,J:J,J630,$D:$D,$D630,$AE:$AE,$AE630)/SUMIF(符文权重!$A:$A,$D630,符文权重!$D:$D)))</f>
        <v/>
      </c>
      <c r="Q630" s="51" t="str" cm="1">
        <f t="array" ref="Q630">IF($A630="","",IF(K630="","",_xlfn.XLOOKUP($D630&amp;"_"&amp;$AE630,符文权重!$A:$A&amp;"_"&amp;符文权重!$C:$C,符文权重!$D:$D)*$Y630/SUMIFS($Y:$Y,K:K,K630,$D:$D,$D630,$AE:$AE,$AE630)/SUMIF(符文权重!$A:$A,$D630,符文权重!$D:$D)))</f>
        <v/>
      </c>
      <c r="R630" s="51" cm="1">
        <f t="array" ref="R630">IF($A630="","",IF(L630="","",_xlfn.XLOOKUP($D630&amp;"_"&amp;$AE630,符文权重!$A:$A&amp;"_"&amp;符文权重!$C:$C,符文权重!$D:$D)*$Y630/SUMIFS($Y:$Y,L:L,L630,$D:$D,$D630,$AE:$AE,$AE630)/SUMIF(符文权重!$A:$A,$D630,符文权重!$D:$D)))</f>
        <v>0.0166666666666667</v>
      </c>
      <c r="S630" s="35" t="s">
        <v>344</v>
      </c>
      <c r="T630" s="35" t="s">
        <v>716</v>
      </c>
      <c r="U630" s="35" t="s">
        <v>417</v>
      </c>
      <c r="V630" s="35" t="s">
        <v>719</v>
      </c>
      <c r="X630" s="35" t="s">
        <v>633</v>
      </c>
      <c r="Y630" s="35">
        <v>100</v>
      </c>
      <c r="AA630" s="35" t="s">
        <v>183</v>
      </c>
      <c r="AB630" s="42" t="str">
        <f t="shared" si="264"/>
        <v>甜心护士额外发射&lt;color=#54b76b&gt;2&lt;/color&gt;个针筒</v>
      </c>
      <c r="AC630" s="35">
        <v>5301245</v>
      </c>
      <c r="AD630" s="35" t="s">
        <v>211</v>
      </c>
      <c r="AE630" s="35">
        <v>4</v>
      </c>
      <c r="AH630" s="35">
        <v>1</v>
      </c>
      <c r="AI630" s="36"/>
      <c r="AJ630" s="35" t="s">
        <v>720</v>
      </c>
      <c r="AK630" s="36"/>
      <c r="AL630" s="35">
        <v>4</v>
      </c>
    </row>
    <row r="631" s="25" customFormat="1" hidden="1" customHeight="1" spans="1:38">
      <c r="A631" s="35">
        <v>5510194</v>
      </c>
      <c r="B631" s="35" t="s">
        <v>715</v>
      </c>
      <c r="C631" s="35">
        <v>5301245</v>
      </c>
      <c r="D631" s="35">
        <v>4</v>
      </c>
      <c r="E631" s="35"/>
      <c r="F631" s="35" t="s">
        <v>220</v>
      </c>
      <c r="G631" s="36" t="str">
        <f t="shared" si="263"/>
        <v/>
      </c>
      <c r="H631" s="36" t="str">
        <f>IFERROR(IF(--MID($F631,2*COUNTIF($G631:G631,"&gt;"&amp;0)+2,1)=H$1,H$1,""),"")</f>
        <v/>
      </c>
      <c r="I631" s="36" t="str">
        <f>IFERROR(IF(--MID($F631,2*COUNTIF($G631:H631,"&gt;"&amp;0)+2,1)=I$1,I$1,""),"")</f>
        <v/>
      </c>
      <c r="J631" s="36" t="str">
        <f>IFERROR(IF(--MID($F631,2*COUNTIF($G631:I631,"&gt;"&amp;0)+2,1)=J$1,J$1,""),"")</f>
        <v/>
      </c>
      <c r="K631" s="36" t="str">
        <f>IFERROR(IF(--MID($F631,2*COUNTIF($G631:J631,"&gt;"&amp;0)+2,1)=K$1,K$1,""),"")</f>
        <v/>
      </c>
      <c r="L631" s="36">
        <f>IFERROR(IF(--MID($F631,2*COUNTIF($G631:K631,"&gt;"&amp;0)+2,1)=L$1,L$1,""),"")</f>
        <v>6</v>
      </c>
      <c r="M631" s="51" t="str" cm="1">
        <f t="array" ref="M631">IF($A631="","",IF(G631="","",_xlfn.XLOOKUP($D631&amp;"_"&amp;$AE631,符文权重!$A:$A&amp;"_"&amp;符文权重!$C:$C,符文权重!$D:$D)*$Y631/SUMIFS($Y:$Y,G:G,G631,$D:$D,$D631,$AE:$AE,$AE631)/SUMIF(符文权重!$A:$A,$D631,符文权重!$D:$D)))</f>
        <v/>
      </c>
      <c r="N631" s="51" t="str" cm="1">
        <f t="array" ref="N631">IF($A631="","",IF(H631="","",_xlfn.XLOOKUP($D631&amp;"_"&amp;$AE631,符文权重!$A:$A&amp;"_"&amp;符文权重!$C:$C,符文权重!$D:$D)*$Y631/SUMIFS($Y:$Y,H:H,H631,$D:$D,$D631,$AE:$AE,$AE631)/SUMIF(符文权重!$A:$A,$D631,符文权重!$D:$D)))</f>
        <v/>
      </c>
      <c r="O631" s="51" t="str" cm="1">
        <f t="array" ref="O631">IF($A631="","",IF(I631="","",_xlfn.XLOOKUP($D631&amp;"_"&amp;$AE631,符文权重!$A:$A&amp;"_"&amp;符文权重!$C:$C,符文权重!$D:$D)*$Y631/SUMIFS($Y:$Y,I:I,I631,$D:$D,$D631,$AE:$AE,$AE631)/SUMIF(符文权重!$A:$A,$D631,符文权重!$D:$D)))</f>
        <v/>
      </c>
      <c r="P631" s="51" t="str" cm="1">
        <f t="array" ref="P631">IF($A631="","",IF(J631="","",_xlfn.XLOOKUP($D631&amp;"_"&amp;$AE631,符文权重!$A:$A&amp;"_"&amp;符文权重!$C:$C,符文权重!$D:$D)*$Y631/SUMIFS($Y:$Y,J:J,J631,$D:$D,$D631,$AE:$AE,$AE631)/SUMIF(符文权重!$A:$A,$D631,符文权重!$D:$D)))</f>
        <v/>
      </c>
      <c r="Q631" s="51" t="str" cm="1">
        <f t="array" ref="Q631">IF($A631="","",IF(K631="","",_xlfn.XLOOKUP($D631&amp;"_"&amp;$AE631,符文权重!$A:$A&amp;"_"&amp;符文权重!$C:$C,符文权重!$D:$D)*$Y631/SUMIFS($Y:$Y,K:K,K631,$D:$D,$D631,$AE:$AE,$AE631)/SUMIF(符文权重!$A:$A,$D631,符文权重!$D:$D)))</f>
        <v/>
      </c>
      <c r="R631" s="51" cm="1">
        <f t="array" ref="R631">IF($A631="","",IF(L631="","",_xlfn.XLOOKUP($D631&amp;"_"&amp;$AE631,符文权重!$A:$A&amp;"_"&amp;符文权重!$C:$C,符文权重!$D:$D)*$Y631/SUMIFS($Y:$Y,L:L,L631,$D:$D,$D631,$AE:$AE,$AE631)/SUMIF(符文权重!$A:$A,$D631,符文权重!$D:$D)))</f>
        <v>0.014867808985456</v>
      </c>
      <c r="S631" s="35" t="s">
        <v>344</v>
      </c>
      <c r="T631" s="35" t="s">
        <v>716</v>
      </c>
      <c r="U631" s="35" t="s">
        <v>420</v>
      </c>
      <c r="V631" s="35" t="s">
        <v>721</v>
      </c>
      <c r="X631" s="35" t="s">
        <v>636</v>
      </c>
      <c r="Y631" s="35">
        <v>100</v>
      </c>
      <c r="AA631" s="35" t="s">
        <v>185</v>
      </c>
      <c r="AB631" s="42" t="str">
        <f t="shared" si="264"/>
        <v>甜心护士额外发射&lt;color=#54b76b&gt;3&lt;/color&gt;个针筒</v>
      </c>
      <c r="AC631" s="35">
        <v>5301245</v>
      </c>
      <c r="AD631" s="35" t="s">
        <v>193</v>
      </c>
      <c r="AE631" s="35">
        <v>4</v>
      </c>
      <c r="AH631" s="35">
        <v>1</v>
      </c>
      <c r="AI631" s="36"/>
      <c r="AJ631" s="35" t="s">
        <v>722</v>
      </c>
      <c r="AK631" s="36"/>
      <c r="AL631" s="35">
        <v>4</v>
      </c>
    </row>
    <row r="632" s="25" customFormat="1" hidden="1" customHeight="1" spans="1:38">
      <c r="A632" s="35">
        <v>5510202</v>
      </c>
      <c r="B632" s="34" t="s">
        <v>715</v>
      </c>
      <c r="C632" s="35">
        <v>5301246</v>
      </c>
      <c r="D632" s="36">
        <v>2</v>
      </c>
      <c r="E632" s="36"/>
      <c r="F632" s="35" t="s">
        <v>202</v>
      </c>
      <c r="G632" s="36">
        <f t="shared" si="263"/>
        <v>1</v>
      </c>
      <c r="H632" s="36" t="str">
        <f>IFERROR(IF(--MID($F632,2*COUNTIF($G632:G632,"&gt;"&amp;0)+2,1)=H$1,H$1,""),"")</f>
        <v/>
      </c>
      <c r="I632" s="36" t="str">
        <f>IFERROR(IF(--MID($F632,2*COUNTIF($G632:H632,"&gt;"&amp;0)+2,1)=I$1,I$1,""),"")</f>
        <v/>
      </c>
      <c r="J632" s="36" t="str">
        <f>IFERROR(IF(--MID($F632,2*COUNTIF($G632:I632,"&gt;"&amp;0)+2,1)=J$1,J$1,""),"")</f>
        <v/>
      </c>
      <c r="K632" s="36" t="str">
        <f>IFERROR(IF(--MID($F632,2*COUNTIF($G632:J632,"&gt;"&amp;0)+2,1)=K$1,K$1,""),"")</f>
        <v/>
      </c>
      <c r="L632" s="36" t="str">
        <f>IFERROR(IF(--MID($F632,2*COUNTIF($G632:K632,"&gt;"&amp;0)+2,1)=L$1,L$1,""),"")</f>
        <v/>
      </c>
      <c r="M632" s="36" t="e" cm="1">
        <f t="array" ref="M632">IF(A632="","",_xlfn.XLOOKUP(D632&amp;"_"&amp;AE632,符文权重!A:A&amp;"_"&amp;符文权重!C:C,符文权重!D:D))</f>
        <v>#N/A</v>
      </c>
      <c r="N632" s="36"/>
      <c r="O632" s="36"/>
      <c r="P632" s="36"/>
      <c r="Q632" s="36"/>
      <c r="R632" s="36"/>
      <c r="S632" s="36" t="s">
        <v>344</v>
      </c>
      <c r="T632" s="36" t="s">
        <v>716</v>
      </c>
      <c r="U632" s="36" t="s">
        <v>415</v>
      </c>
      <c r="V632" s="25" t="s">
        <v>723</v>
      </c>
      <c r="W632" s="36"/>
      <c r="X632" s="35" t="s">
        <v>630</v>
      </c>
      <c r="Y632" s="35">
        <v>100</v>
      </c>
      <c r="Z632" s="35"/>
      <c r="AA632" s="36" t="s">
        <v>181</v>
      </c>
      <c r="AB632" s="42" t="str">
        <f t="shared" si="264"/>
        <v>甜心护士医疗包治疗效果&lt;color=#54b76b&gt;+20%&lt;/color&gt;</v>
      </c>
      <c r="AC632" s="35">
        <v>5301246</v>
      </c>
      <c r="AD632" s="36" t="s">
        <v>428</v>
      </c>
      <c r="AE632" s="36">
        <v>100</v>
      </c>
      <c r="AF632" s="36"/>
      <c r="AG632" s="36">
        <v>1</v>
      </c>
      <c r="AH632" s="36">
        <v>0</v>
      </c>
      <c r="AJ632" s="36" t="s">
        <v>724</v>
      </c>
      <c r="AL632" s="35">
        <v>4</v>
      </c>
    </row>
    <row r="633" s="25" customFormat="1" hidden="1" customHeight="1" spans="1:38">
      <c r="A633" s="35">
        <v>5510203</v>
      </c>
      <c r="B633" s="35" t="s">
        <v>715</v>
      </c>
      <c r="C633" s="35">
        <v>5301246</v>
      </c>
      <c r="D633" s="35">
        <v>3</v>
      </c>
      <c r="E633" s="35"/>
      <c r="F633" s="35" t="s">
        <v>202</v>
      </c>
      <c r="G633" s="36">
        <f t="shared" si="263"/>
        <v>1</v>
      </c>
      <c r="H633" s="36" t="str">
        <f>IFERROR(IF(--MID($F633,2*COUNTIF($G633:G633,"&gt;"&amp;0)+2,1)=H$1,H$1,""),"")</f>
        <v/>
      </c>
      <c r="I633" s="36" t="str">
        <f>IFERROR(IF(--MID($F633,2*COUNTIF($G633:H633,"&gt;"&amp;0)+2,1)=I$1,I$1,""),"")</f>
        <v/>
      </c>
      <c r="J633" s="36" t="str">
        <f>IFERROR(IF(--MID($F633,2*COUNTIF($G633:I633,"&gt;"&amp;0)+2,1)=J$1,J$1,""),"")</f>
        <v/>
      </c>
      <c r="K633" s="36" t="str">
        <f>IFERROR(IF(--MID($F633,2*COUNTIF($G633:J633,"&gt;"&amp;0)+2,1)=K$1,K$1,""),"")</f>
        <v/>
      </c>
      <c r="L633" s="36" t="str">
        <f>IFERROR(IF(--MID($F633,2*COUNTIF($G633:K633,"&gt;"&amp;0)+2,1)=L$1,L$1,""),"")</f>
        <v/>
      </c>
      <c r="M633" s="51" cm="1">
        <f t="array" ref="M633">IF($A633="","",IF(G633="","",_xlfn.XLOOKUP($D633&amp;"_"&amp;$AE633,符文权重!$A:$A&amp;"_"&amp;符文权重!$C:$C,符文权重!$D:$D)*$Y633/SUMIFS($Y:$Y,G:G,G633,$D:$D,$D633,$AE:$AE,$AE633)/SUMIF(符文权重!$A:$A,$D633,符文权重!$D:$D)))</f>
        <v>0.025</v>
      </c>
      <c r="N633" s="51" t="str" cm="1">
        <f t="array" ref="N633">IF($A633="","",IF(H633="","",_xlfn.XLOOKUP($D633&amp;"_"&amp;$AE633,符文权重!$A:$A&amp;"_"&amp;符文权重!$C:$C,符文权重!$D:$D)*$Y633/SUMIFS($Y:$Y,H:H,H633,$D:$D,$D633,$AE:$AE,$AE633)/SUMIF(符文权重!$A:$A,$D633,符文权重!$D:$D)))</f>
        <v/>
      </c>
      <c r="O633" s="51" t="str" cm="1">
        <f t="array" ref="O633">IF($A633="","",IF(I633="","",_xlfn.XLOOKUP($D633&amp;"_"&amp;$AE633,符文权重!$A:$A&amp;"_"&amp;符文权重!$C:$C,符文权重!$D:$D)*$Y633/SUMIFS($Y:$Y,I:I,I633,$D:$D,$D633,$AE:$AE,$AE633)/SUMIF(符文权重!$A:$A,$D633,符文权重!$D:$D)))</f>
        <v/>
      </c>
      <c r="P633" s="51" t="str" cm="1">
        <f t="array" ref="P633">IF($A633="","",IF(J633="","",_xlfn.XLOOKUP($D633&amp;"_"&amp;$AE633,符文权重!$A:$A&amp;"_"&amp;符文权重!$C:$C,符文权重!$D:$D)*$Y633/SUMIFS($Y:$Y,J:J,J633,$D:$D,$D633,$AE:$AE,$AE633)/SUMIF(符文权重!$A:$A,$D633,符文权重!$D:$D)))</f>
        <v/>
      </c>
      <c r="Q633" s="51" t="str" cm="1">
        <f t="array" ref="Q633">IF($A633="","",IF(K633="","",_xlfn.XLOOKUP($D633&amp;"_"&amp;$AE633,符文权重!$A:$A&amp;"_"&amp;符文权重!$C:$C,符文权重!$D:$D)*$Y633/SUMIFS($Y:$Y,K:K,K633,$D:$D,$D633,$AE:$AE,$AE633)/SUMIF(符文权重!$A:$A,$D633,符文权重!$D:$D)))</f>
        <v/>
      </c>
      <c r="R633" s="51" t="str" cm="1">
        <f t="array" ref="R633">IF($A633="","",IF(L633="","",_xlfn.XLOOKUP($D633&amp;"_"&amp;$AE633,符文权重!$A:$A&amp;"_"&amp;符文权重!$C:$C,符文权重!$D:$D)*$Y633/SUMIFS($Y:$Y,L:L,L633,$D:$D,$D633,$AE:$AE,$AE633)/SUMIF(符文权重!$A:$A,$D633,符文权重!$D:$D)))</f>
        <v/>
      </c>
      <c r="S633" s="35" t="s">
        <v>344</v>
      </c>
      <c r="T633" s="35" t="s">
        <v>716</v>
      </c>
      <c r="U633" s="35" t="s">
        <v>417</v>
      </c>
      <c r="V633" s="35" t="s">
        <v>725</v>
      </c>
      <c r="X633" s="35" t="s">
        <v>633</v>
      </c>
      <c r="Y633" s="35">
        <v>100</v>
      </c>
      <c r="AA633" s="35" t="s">
        <v>183</v>
      </c>
      <c r="AB633" s="42" t="str">
        <f t="shared" si="264"/>
        <v>甜心护士医疗包治疗效果&lt;color=#54b76b&gt;+30%&lt;/color&gt;</v>
      </c>
      <c r="AC633" s="35">
        <v>5301246</v>
      </c>
      <c r="AD633" s="35" t="s">
        <v>487</v>
      </c>
      <c r="AE633" s="35">
        <v>4</v>
      </c>
      <c r="AH633" s="35">
        <v>1</v>
      </c>
      <c r="AI633" s="36"/>
      <c r="AJ633" s="35" t="s">
        <v>726</v>
      </c>
      <c r="AK633" s="36"/>
      <c r="AL633" s="35">
        <v>4</v>
      </c>
    </row>
    <row r="634" s="25" customFormat="1" hidden="1" customHeight="1" spans="1:38">
      <c r="A634" s="35">
        <v>5510204</v>
      </c>
      <c r="B634" s="35" t="s">
        <v>715</v>
      </c>
      <c r="C634" s="35">
        <v>5301246</v>
      </c>
      <c r="D634" s="35">
        <v>4</v>
      </c>
      <c r="E634" s="35"/>
      <c r="F634" s="35" t="s">
        <v>202</v>
      </c>
      <c r="G634" s="36">
        <f t="shared" si="263"/>
        <v>1</v>
      </c>
      <c r="H634" s="36" t="str">
        <f>IFERROR(IF(--MID($F634,2*COUNTIF($G634:G634,"&gt;"&amp;0)+2,1)=H$1,H$1,""),"")</f>
        <v/>
      </c>
      <c r="I634" s="36" t="str">
        <f>IFERROR(IF(--MID($F634,2*COUNTIF($G634:H634,"&gt;"&amp;0)+2,1)=I$1,I$1,""),"")</f>
        <v/>
      </c>
      <c r="J634" s="36" t="str">
        <f>IFERROR(IF(--MID($F634,2*COUNTIF($G634:I634,"&gt;"&amp;0)+2,1)=J$1,J$1,""),"")</f>
        <v/>
      </c>
      <c r="K634" s="36" t="str">
        <f>IFERROR(IF(--MID($F634,2*COUNTIF($G634:J634,"&gt;"&amp;0)+2,1)=K$1,K$1,""),"")</f>
        <v/>
      </c>
      <c r="L634" s="36" t="str">
        <f>IFERROR(IF(--MID($F634,2*COUNTIF($G634:K634,"&gt;"&amp;0)+2,1)=L$1,L$1,""),"")</f>
        <v/>
      </c>
      <c r="M634" s="51" cm="1">
        <f t="array" ref="M634">IF($A634="","",IF(G634="","",_xlfn.XLOOKUP($D634&amp;"_"&amp;$AE634,符文权重!$A:$A&amp;"_"&amp;符文权重!$C:$C,符文权重!$D:$D)*$Y634/SUMIFS($Y:$Y,G:G,G634,$D:$D,$D634,$AE:$AE,$AE634)/SUMIF(符文权重!$A:$A,$D634,符文权重!$D:$D)))</f>
        <v>0.0210627293960627</v>
      </c>
      <c r="N634" s="51" t="str" cm="1">
        <f t="array" ref="N634">IF($A634="","",IF(H634="","",_xlfn.XLOOKUP($D634&amp;"_"&amp;$AE634,符文权重!$A:$A&amp;"_"&amp;符文权重!$C:$C,符文权重!$D:$D)*$Y634/SUMIFS($Y:$Y,H:H,H634,$D:$D,$D634,$AE:$AE,$AE634)/SUMIF(符文权重!$A:$A,$D634,符文权重!$D:$D)))</f>
        <v/>
      </c>
      <c r="O634" s="51" t="str" cm="1">
        <f t="array" ref="O634">IF($A634="","",IF(I634="","",_xlfn.XLOOKUP($D634&amp;"_"&amp;$AE634,符文权重!$A:$A&amp;"_"&amp;符文权重!$C:$C,符文权重!$D:$D)*$Y634/SUMIFS($Y:$Y,I:I,I634,$D:$D,$D634,$AE:$AE,$AE634)/SUMIF(符文权重!$A:$A,$D634,符文权重!$D:$D)))</f>
        <v/>
      </c>
      <c r="P634" s="51" t="str" cm="1">
        <f t="array" ref="P634">IF($A634="","",IF(J634="","",_xlfn.XLOOKUP($D634&amp;"_"&amp;$AE634,符文权重!$A:$A&amp;"_"&amp;符文权重!$C:$C,符文权重!$D:$D)*$Y634/SUMIFS($Y:$Y,J:J,J634,$D:$D,$D634,$AE:$AE,$AE634)/SUMIF(符文权重!$A:$A,$D634,符文权重!$D:$D)))</f>
        <v/>
      </c>
      <c r="Q634" s="51" t="str" cm="1">
        <f t="array" ref="Q634">IF($A634="","",IF(K634="","",_xlfn.XLOOKUP($D634&amp;"_"&amp;$AE634,符文权重!$A:$A&amp;"_"&amp;符文权重!$C:$C,符文权重!$D:$D)*$Y634/SUMIFS($Y:$Y,K:K,K634,$D:$D,$D634,$AE:$AE,$AE634)/SUMIF(符文权重!$A:$A,$D634,符文权重!$D:$D)))</f>
        <v/>
      </c>
      <c r="R634" s="51" t="str" cm="1">
        <f t="array" ref="R634">IF($A634="","",IF(L634="","",_xlfn.XLOOKUP($D634&amp;"_"&amp;$AE634,符文权重!$A:$A&amp;"_"&amp;符文权重!$C:$C,符文权重!$D:$D)*$Y634/SUMIFS($Y:$Y,L:L,L634,$D:$D,$D634,$AE:$AE,$AE634)/SUMIF(符文权重!$A:$A,$D634,符文权重!$D:$D)))</f>
        <v/>
      </c>
      <c r="S634" s="35" t="s">
        <v>344</v>
      </c>
      <c r="T634" s="35" t="s">
        <v>716</v>
      </c>
      <c r="U634" s="35" t="s">
        <v>420</v>
      </c>
      <c r="V634" s="35" t="s">
        <v>727</v>
      </c>
      <c r="X634" s="35" t="s">
        <v>636</v>
      </c>
      <c r="Y634" s="35">
        <v>100</v>
      </c>
      <c r="AA634" s="35" t="s">
        <v>185</v>
      </c>
      <c r="AB634" s="42" t="str">
        <f t="shared" si="264"/>
        <v>甜心护士医疗包治疗效果&lt;color=#54b76b&gt;+40%&lt;/color&gt;</v>
      </c>
      <c r="AC634" s="35">
        <v>5301246</v>
      </c>
      <c r="AD634" s="35" t="s">
        <v>497</v>
      </c>
      <c r="AE634" s="35">
        <v>4</v>
      </c>
      <c r="AH634" s="35">
        <v>1</v>
      </c>
      <c r="AI634" s="36"/>
      <c r="AJ634" s="35" t="s">
        <v>728</v>
      </c>
      <c r="AK634" s="36"/>
      <c r="AL634" s="35">
        <v>4</v>
      </c>
    </row>
    <row r="635" s="25" customFormat="1" hidden="1" customHeight="1" spans="1:38">
      <c r="A635" s="35">
        <v>5510212</v>
      </c>
      <c r="B635" s="34" t="s">
        <v>715</v>
      </c>
      <c r="C635" s="35">
        <v>5301247</v>
      </c>
      <c r="D635" s="36">
        <v>2</v>
      </c>
      <c r="E635" s="36"/>
      <c r="F635" s="35" t="s">
        <v>193</v>
      </c>
      <c r="G635" s="36" t="str">
        <f t="shared" si="263"/>
        <v/>
      </c>
      <c r="H635" s="36" t="str">
        <f>IFERROR(IF(--MID($F635,2*COUNTIF($G635:G635,"&gt;"&amp;0)+2,1)=H$1,H$1,""),"")</f>
        <v/>
      </c>
      <c r="I635" s="36">
        <f>IFERROR(IF(--MID($F635,2*COUNTIF($G635:H635,"&gt;"&amp;0)+2,1)=I$1,I$1,""),"")</f>
        <v>3</v>
      </c>
      <c r="J635" s="36" t="str">
        <f>IFERROR(IF(--MID($F635,2*COUNTIF($G635:I635,"&gt;"&amp;0)+2,1)=J$1,J$1,""),"")</f>
        <v/>
      </c>
      <c r="K635" s="36" t="str">
        <f>IFERROR(IF(--MID($F635,2*COUNTIF($G635:J635,"&gt;"&amp;0)+2,1)=K$1,K$1,""),"")</f>
        <v/>
      </c>
      <c r="L635" s="36" t="str">
        <f>IFERROR(IF(--MID($F635,2*COUNTIF($G635:K635,"&gt;"&amp;0)+2,1)=L$1,L$1,""),"")</f>
        <v/>
      </c>
      <c r="M635" s="36" t="e" cm="1">
        <f t="array" ref="M635">IF(A635="","",_xlfn.XLOOKUP(D635&amp;"_"&amp;AE635,符文权重!A:A&amp;"_"&amp;符文权重!C:C,符文权重!D:D))</f>
        <v>#N/A</v>
      </c>
      <c r="N635" s="36"/>
      <c r="O635" s="36"/>
      <c r="P635" s="36"/>
      <c r="Q635" s="36"/>
      <c r="R635" s="36"/>
      <c r="S635" s="36" t="s">
        <v>344</v>
      </c>
      <c r="T635" s="36" t="s">
        <v>716</v>
      </c>
      <c r="U635" s="36" t="s">
        <v>415</v>
      </c>
      <c r="V635" s="25" t="s">
        <v>729</v>
      </c>
      <c r="W635" s="36"/>
      <c r="X635" s="35" t="s">
        <v>630</v>
      </c>
      <c r="Y635" s="35">
        <v>100</v>
      </c>
      <c r="Z635" s="35"/>
      <c r="AA635" s="36" t="s">
        <v>181</v>
      </c>
      <c r="AB635" s="42" t="str">
        <f t="shared" si="264"/>
        <v>甜心护士医疗包能量消耗&lt;color=#54b76b&gt;-20%&lt;/color&gt;</v>
      </c>
      <c r="AC635" s="35">
        <v>5301247</v>
      </c>
      <c r="AD635" s="36" t="s">
        <v>428</v>
      </c>
      <c r="AE635" s="36">
        <v>100</v>
      </c>
      <c r="AF635" s="36"/>
      <c r="AG635" s="36">
        <v>1</v>
      </c>
      <c r="AH635" s="36">
        <v>0</v>
      </c>
      <c r="AJ635" s="36" t="s">
        <v>730</v>
      </c>
      <c r="AL635" s="35">
        <v>4</v>
      </c>
    </row>
    <row r="636" s="25" customFormat="1" hidden="1" customHeight="1" spans="1:38">
      <c r="A636" s="35">
        <v>5510213</v>
      </c>
      <c r="B636" s="35" t="s">
        <v>715</v>
      </c>
      <c r="C636" s="35">
        <v>5301247</v>
      </c>
      <c r="D636" s="35">
        <v>3</v>
      </c>
      <c r="E636" s="35"/>
      <c r="F636" s="35" t="s">
        <v>193</v>
      </c>
      <c r="G636" s="36" t="str">
        <f t="shared" si="263"/>
        <v/>
      </c>
      <c r="H636" s="36" t="str">
        <f>IFERROR(IF(--MID($F636,2*COUNTIF($G636:G636,"&gt;"&amp;0)+2,1)=H$1,H$1,""),"")</f>
        <v/>
      </c>
      <c r="I636" s="36">
        <f>IFERROR(IF(--MID($F636,2*COUNTIF($G636:H636,"&gt;"&amp;0)+2,1)=I$1,I$1,""),"")</f>
        <v>3</v>
      </c>
      <c r="J636" s="36" t="str">
        <f>IFERROR(IF(--MID($F636,2*COUNTIF($G636:I636,"&gt;"&amp;0)+2,1)=J$1,J$1,""),"")</f>
        <v/>
      </c>
      <c r="K636" s="36" t="str">
        <f>IFERROR(IF(--MID($F636,2*COUNTIF($G636:J636,"&gt;"&amp;0)+2,1)=K$1,K$1,""),"")</f>
        <v/>
      </c>
      <c r="L636" s="36" t="str">
        <f>IFERROR(IF(--MID($F636,2*COUNTIF($G636:K636,"&gt;"&amp;0)+2,1)=L$1,L$1,""),"")</f>
        <v/>
      </c>
      <c r="M636" s="51" t="str" cm="1">
        <f t="array" ref="M636">IF($A636="","",IF(G636="","",_xlfn.XLOOKUP($D636&amp;"_"&amp;$AE636,符文权重!$A:$A&amp;"_"&amp;符文权重!$C:$C,符文权重!$D:$D)*$Y636/SUMIFS($Y:$Y,G:G,G636,$D:$D,$D636,$AE:$AE,$AE636)/SUMIF(符文权重!$A:$A,$D636,符文权重!$D:$D)))</f>
        <v/>
      </c>
      <c r="N636" s="51" t="str" cm="1">
        <f t="array" ref="N636">IF($A636="","",IF(H636="","",_xlfn.XLOOKUP($D636&amp;"_"&amp;$AE636,符文权重!$A:$A&amp;"_"&amp;符文权重!$C:$C,符文权重!$D:$D)*$Y636/SUMIFS($Y:$Y,H:H,H636,$D:$D,$D636,$AE:$AE,$AE636)/SUMIF(符文权重!$A:$A,$D636,符文权重!$D:$D)))</f>
        <v/>
      </c>
      <c r="O636" s="51" cm="1">
        <f t="array" ref="O636">IF($A636="","",IF(I636="","",_xlfn.XLOOKUP($D636&amp;"_"&amp;$AE636,符文权重!$A:$A&amp;"_"&amp;符文权重!$C:$C,符文权重!$D:$D)*$Y636/SUMIFS($Y:$Y,I:I,I636,$D:$D,$D636,$AE:$AE,$AE636)/SUMIF(符文权重!$A:$A,$D636,符文权重!$D:$D)))</f>
        <v>0.0125</v>
      </c>
      <c r="P636" s="51" t="str" cm="1">
        <f t="array" ref="P636">IF($A636="","",IF(J636="","",_xlfn.XLOOKUP($D636&amp;"_"&amp;$AE636,符文权重!$A:$A&amp;"_"&amp;符文权重!$C:$C,符文权重!$D:$D)*$Y636/SUMIFS($Y:$Y,J:J,J636,$D:$D,$D636,$AE:$AE,$AE636)/SUMIF(符文权重!$A:$A,$D636,符文权重!$D:$D)))</f>
        <v/>
      </c>
      <c r="Q636" s="51" t="str" cm="1">
        <f t="array" ref="Q636">IF($A636="","",IF(K636="","",_xlfn.XLOOKUP($D636&amp;"_"&amp;$AE636,符文权重!$A:$A&amp;"_"&amp;符文权重!$C:$C,符文权重!$D:$D)*$Y636/SUMIFS($Y:$Y,K:K,K636,$D:$D,$D636,$AE:$AE,$AE636)/SUMIF(符文权重!$A:$A,$D636,符文权重!$D:$D)))</f>
        <v/>
      </c>
      <c r="R636" s="51" t="str" cm="1">
        <f t="array" ref="R636">IF($A636="","",IF(L636="","",_xlfn.XLOOKUP($D636&amp;"_"&amp;$AE636,符文权重!$A:$A&amp;"_"&amp;符文权重!$C:$C,符文权重!$D:$D)*$Y636/SUMIFS($Y:$Y,L:L,L636,$D:$D,$D636,$AE:$AE,$AE636)/SUMIF(符文权重!$A:$A,$D636,符文权重!$D:$D)))</f>
        <v/>
      </c>
      <c r="S636" s="35" t="s">
        <v>344</v>
      </c>
      <c r="T636" s="35" t="s">
        <v>716</v>
      </c>
      <c r="U636" s="35" t="s">
        <v>417</v>
      </c>
      <c r="V636" s="35" t="s">
        <v>731</v>
      </c>
      <c r="X636" s="35" t="s">
        <v>633</v>
      </c>
      <c r="Y636" s="35">
        <v>100</v>
      </c>
      <c r="AA636" s="35" t="s">
        <v>183</v>
      </c>
      <c r="AB636" s="42" t="str">
        <f t="shared" si="264"/>
        <v>甜心护士医疗包能量消耗&lt;color=#54b76b&gt;-30%&lt;/color&gt;</v>
      </c>
      <c r="AC636" s="35">
        <v>5301247</v>
      </c>
      <c r="AD636" s="35" t="s">
        <v>487</v>
      </c>
      <c r="AE636" s="35">
        <v>4</v>
      </c>
      <c r="AH636" s="35">
        <v>1</v>
      </c>
      <c r="AI636" s="36"/>
      <c r="AJ636" s="35" t="s">
        <v>732</v>
      </c>
      <c r="AK636" s="36"/>
      <c r="AL636" s="35">
        <v>4</v>
      </c>
    </row>
    <row r="637" s="25" customFormat="1" hidden="1" customHeight="1" spans="1:38">
      <c r="A637" s="35">
        <v>5510214</v>
      </c>
      <c r="B637" s="35" t="s">
        <v>715</v>
      </c>
      <c r="C637" s="35">
        <v>5301247</v>
      </c>
      <c r="D637" s="35">
        <v>4</v>
      </c>
      <c r="E637" s="35"/>
      <c r="F637" s="35" t="s">
        <v>193</v>
      </c>
      <c r="G637" s="36" t="str">
        <f t="shared" si="263"/>
        <v/>
      </c>
      <c r="H637" s="36" t="str">
        <f>IFERROR(IF(--MID($F637,2*COUNTIF($G637:G637,"&gt;"&amp;0)+2,1)=H$1,H$1,""),"")</f>
        <v/>
      </c>
      <c r="I637" s="36">
        <f>IFERROR(IF(--MID($F637,2*COUNTIF($G637:H637,"&gt;"&amp;0)+2,1)=I$1,I$1,""),"")</f>
        <v>3</v>
      </c>
      <c r="J637" s="36" t="str">
        <f>IFERROR(IF(--MID($F637,2*COUNTIF($G637:I637,"&gt;"&amp;0)+2,1)=J$1,J$1,""),"")</f>
        <v/>
      </c>
      <c r="K637" s="36" t="str">
        <f>IFERROR(IF(--MID($F637,2*COUNTIF($G637:J637,"&gt;"&amp;0)+2,1)=K$1,K$1,""),"")</f>
        <v/>
      </c>
      <c r="L637" s="36" t="str">
        <f>IFERROR(IF(--MID($F637,2*COUNTIF($G637:K637,"&gt;"&amp;0)+2,1)=L$1,L$1,""),"")</f>
        <v/>
      </c>
      <c r="M637" s="51" t="str" cm="1">
        <f t="array" ref="M637">IF($A637="","",IF(G637="","",_xlfn.XLOOKUP($D637&amp;"_"&amp;$AE637,符文权重!$A:$A&amp;"_"&amp;符文权重!$C:$C,符文权重!$D:$D)*$Y637/SUMIFS($Y:$Y,G:G,G637,$D:$D,$D637,$AE:$AE,$AE637)/SUMIF(符文权重!$A:$A,$D637,符文权重!$D:$D)))</f>
        <v/>
      </c>
      <c r="N637" s="51" t="str" cm="1">
        <f t="array" ref="N637">IF($A637="","",IF(H637="","",_xlfn.XLOOKUP($D637&amp;"_"&amp;$AE637,符文权重!$A:$A&amp;"_"&amp;符文权重!$C:$C,符文权重!$D:$D)*$Y637/SUMIFS($Y:$Y,H:H,H637,$D:$D,$D637,$AE:$AE,$AE637)/SUMIF(符文权重!$A:$A,$D637,符文权重!$D:$D)))</f>
        <v/>
      </c>
      <c r="O637" s="51" cm="1">
        <f t="array" ref="O637">IF($A637="","",IF(I637="","",_xlfn.XLOOKUP($D637&amp;"_"&amp;$AE637,符文权重!$A:$A&amp;"_"&amp;符文权重!$C:$C,符文权重!$D:$D)*$Y637/SUMIFS($Y:$Y,I:I,I637,$D:$D,$D637,$AE:$AE,$AE637)/SUMIF(符文权重!$A:$A,$D637,符文权重!$D:$D)))</f>
        <v>0.0114887614887615</v>
      </c>
      <c r="P637" s="51" t="str" cm="1">
        <f t="array" ref="P637">IF($A637="","",IF(J637="","",_xlfn.XLOOKUP($D637&amp;"_"&amp;$AE637,符文权重!$A:$A&amp;"_"&amp;符文权重!$C:$C,符文权重!$D:$D)*$Y637/SUMIFS($Y:$Y,J:J,J637,$D:$D,$D637,$AE:$AE,$AE637)/SUMIF(符文权重!$A:$A,$D637,符文权重!$D:$D)))</f>
        <v/>
      </c>
      <c r="Q637" s="51" t="str" cm="1">
        <f t="array" ref="Q637">IF($A637="","",IF(K637="","",_xlfn.XLOOKUP($D637&amp;"_"&amp;$AE637,符文权重!$A:$A&amp;"_"&amp;符文权重!$C:$C,符文权重!$D:$D)*$Y637/SUMIFS($Y:$Y,K:K,K637,$D:$D,$D637,$AE:$AE,$AE637)/SUMIF(符文权重!$A:$A,$D637,符文权重!$D:$D)))</f>
        <v/>
      </c>
      <c r="R637" s="51" t="str" cm="1">
        <f t="array" ref="R637">IF($A637="","",IF(L637="","",_xlfn.XLOOKUP($D637&amp;"_"&amp;$AE637,符文权重!$A:$A&amp;"_"&amp;符文权重!$C:$C,符文权重!$D:$D)*$Y637/SUMIFS($Y:$Y,L:L,L637,$D:$D,$D637,$AE:$AE,$AE637)/SUMIF(符文权重!$A:$A,$D637,符文权重!$D:$D)))</f>
        <v/>
      </c>
      <c r="S637" s="35" t="s">
        <v>344</v>
      </c>
      <c r="T637" s="35" t="s">
        <v>716</v>
      </c>
      <c r="U637" s="35" t="s">
        <v>420</v>
      </c>
      <c r="V637" s="35" t="s">
        <v>733</v>
      </c>
      <c r="X637" s="35" t="s">
        <v>636</v>
      </c>
      <c r="Y637" s="35">
        <v>100</v>
      </c>
      <c r="AA637" s="35" t="s">
        <v>185</v>
      </c>
      <c r="AB637" s="42" t="str">
        <f t="shared" si="264"/>
        <v>甜心护士医疗包能量消耗&lt;color=#54b76b&gt;-50%&lt;/color&gt;</v>
      </c>
      <c r="AC637" s="35">
        <v>5301247</v>
      </c>
      <c r="AD637" s="35" t="s">
        <v>596</v>
      </c>
      <c r="AE637" s="35">
        <v>4</v>
      </c>
      <c r="AH637" s="35">
        <v>1</v>
      </c>
      <c r="AI637" s="36"/>
      <c r="AJ637" s="35" t="s">
        <v>734</v>
      </c>
      <c r="AK637" s="36"/>
      <c r="AL637" s="35">
        <v>4</v>
      </c>
    </row>
    <row r="638" s="25" customFormat="1" hidden="1" customHeight="1" spans="1:38">
      <c r="A638" s="35">
        <v>5510222</v>
      </c>
      <c r="B638" s="34" t="s">
        <v>735</v>
      </c>
      <c r="C638" s="35">
        <v>5301334</v>
      </c>
      <c r="D638" s="36">
        <v>2</v>
      </c>
      <c r="E638" s="36"/>
      <c r="F638" s="35" t="s">
        <v>211</v>
      </c>
      <c r="G638" s="36" t="str">
        <f t="shared" si="263"/>
        <v/>
      </c>
      <c r="H638" s="36">
        <f>IFERROR(IF(--MID($F638,2*COUNTIF($G638:G638,"&gt;"&amp;0)+2,1)=H$1,H$1,""),"")</f>
        <v>2</v>
      </c>
      <c r="I638" s="36" t="str">
        <f>IFERROR(IF(--MID($F638,2*COUNTIF($G638:H638,"&gt;"&amp;0)+2,1)=I$1,I$1,""),"")</f>
        <v/>
      </c>
      <c r="J638" s="36" t="str">
        <f>IFERROR(IF(--MID($F638,2*COUNTIF($G638:I638,"&gt;"&amp;0)+2,1)=J$1,J$1,""),"")</f>
        <v/>
      </c>
      <c r="K638" s="36" t="str">
        <f>IFERROR(IF(--MID($F638,2*COUNTIF($G638:J638,"&gt;"&amp;0)+2,1)=K$1,K$1,""),"")</f>
        <v/>
      </c>
      <c r="L638" s="36" t="str">
        <f>IFERROR(IF(--MID($F638,2*COUNTIF($G638:K638,"&gt;"&amp;0)+2,1)=L$1,L$1,""),"")</f>
        <v/>
      </c>
      <c r="M638" s="36" t="e" cm="1">
        <f t="array" ref="M638">IF(A638="","",_xlfn.XLOOKUP(D638&amp;"_"&amp;AE638,符文权重!A:A&amp;"_"&amp;符文权重!C:C,符文权重!D:D))</f>
        <v>#N/A</v>
      </c>
      <c r="N638" s="36"/>
      <c r="O638" s="36"/>
      <c r="P638" s="36"/>
      <c r="Q638" s="36"/>
      <c r="R638" s="36"/>
      <c r="S638" s="36" t="s">
        <v>344</v>
      </c>
      <c r="T638" s="36" t="s">
        <v>736</v>
      </c>
      <c r="U638" s="36" t="s">
        <v>415</v>
      </c>
      <c r="V638" s="25" t="s">
        <v>737</v>
      </c>
      <c r="W638" s="41"/>
      <c r="X638" s="35" t="s">
        <v>738</v>
      </c>
      <c r="Y638" s="35">
        <v>100</v>
      </c>
      <c r="Z638" s="35"/>
      <c r="AA638" s="36" t="s">
        <v>181</v>
      </c>
      <c r="AB638" s="42" t="str">
        <f t="shared" si="264"/>
        <v>路人血量低于50%时，霸王轰拳护盾效果&lt;color=#54b76b&gt;+25%&lt;/color&gt;，持续时间&lt;color=#54b76b&gt;+50%&lt;/color&gt;</v>
      </c>
      <c r="AC638" s="35">
        <v>5301331</v>
      </c>
      <c r="AD638" s="36" t="s">
        <v>487</v>
      </c>
      <c r="AE638" s="36">
        <v>100</v>
      </c>
      <c r="AF638" s="36"/>
      <c r="AG638" s="36">
        <v>1</v>
      </c>
      <c r="AH638" s="36">
        <v>0</v>
      </c>
      <c r="AJ638" s="36" t="s">
        <v>739</v>
      </c>
      <c r="AL638" s="35">
        <v>4</v>
      </c>
    </row>
    <row r="639" s="25" customFormat="1" hidden="1" customHeight="1" spans="1:38">
      <c r="A639" s="35">
        <v>5510223</v>
      </c>
      <c r="B639" s="35" t="s">
        <v>735</v>
      </c>
      <c r="C639" s="35">
        <v>5301334</v>
      </c>
      <c r="D639" s="35">
        <v>3</v>
      </c>
      <c r="E639" s="35"/>
      <c r="F639" s="35" t="s">
        <v>211</v>
      </c>
      <c r="G639" s="36" t="str">
        <f t="shared" si="263"/>
        <v/>
      </c>
      <c r="H639" s="36">
        <f>IFERROR(IF(--MID($F639,2*COUNTIF($G639:G639,"&gt;"&amp;0)+2,1)=H$1,H$1,""),"")</f>
        <v>2</v>
      </c>
      <c r="I639" s="36" t="str">
        <f>IFERROR(IF(--MID($F639,2*COUNTIF($G639:H639,"&gt;"&amp;0)+2,1)=I$1,I$1,""),"")</f>
        <v/>
      </c>
      <c r="J639" s="36" t="str">
        <f>IFERROR(IF(--MID($F639,2*COUNTIF($G639:I639,"&gt;"&amp;0)+2,1)=J$1,J$1,""),"")</f>
        <v/>
      </c>
      <c r="K639" s="36" t="str">
        <f>IFERROR(IF(--MID($F639,2*COUNTIF($G639:J639,"&gt;"&amp;0)+2,1)=K$1,K$1,""),"")</f>
        <v/>
      </c>
      <c r="L639" s="36" t="str">
        <f>IFERROR(IF(--MID($F639,2*COUNTIF($G639:K639,"&gt;"&amp;0)+2,1)=L$1,L$1,""),"")</f>
        <v/>
      </c>
      <c r="M639" s="51" t="str" cm="1">
        <f t="array" ref="M639">IF($A639="","",IF(G639="","",_xlfn.XLOOKUP($D639&amp;"_"&amp;$AE639,符文权重!$A:$A&amp;"_"&amp;符文权重!$C:$C,符文权重!$D:$D)*$Y639/SUMIFS($Y:$Y,G:G,G639,$D:$D,$D639,$AE:$AE,$AE639)/SUMIF(符文权重!$A:$A,$D639,符文权重!$D:$D)))</f>
        <v/>
      </c>
      <c r="N639" s="51" cm="1">
        <f t="array" ref="N639">IF($A639="","",IF(H639="","",_xlfn.XLOOKUP($D639&amp;"_"&amp;$AE639,符文权重!$A:$A&amp;"_"&amp;符文权重!$C:$C,符文权重!$D:$D)*$Y639/SUMIFS($Y:$Y,H:H,H639,$D:$D,$D639,$AE:$AE,$AE639)/SUMIF(符文权重!$A:$A,$D639,符文权重!$D:$D)))</f>
        <v>0.0166666666666667</v>
      </c>
      <c r="O639" s="51" t="str" cm="1">
        <f t="array" ref="O639">IF($A639="","",IF(I639="","",_xlfn.XLOOKUP($D639&amp;"_"&amp;$AE639,符文权重!$A:$A&amp;"_"&amp;符文权重!$C:$C,符文权重!$D:$D)*$Y639/SUMIFS($Y:$Y,I:I,I639,$D:$D,$D639,$AE:$AE,$AE639)/SUMIF(符文权重!$A:$A,$D639,符文权重!$D:$D)))</f>
        <v/>
      </c>
      <c r="P639" s="51" t="str" cm="1">
        <f t="array" ref="P639">IF($A639="","",IF(J639="","",_xlfn.XLOOKUP($D639&amp;"_"&amp;$AE639,符文权重!$A:$A&amp;"_"&amp;符文权重!$C:$C,符文权重!$D:$D)*$Y639/SUMIFS($Y:$Y,J:J,J639,$D:$D,$D639,$AE:$AE,$AE639)/SUMIF(符文权重!$A:$A,$D639,符文权重!$D:$D)))</f>
        <v/>
      </c>
      <c r="Q639" s="51" t="str" cm="1">
        <f t="array" ref="Q639">IF($A639="","",IF(K639="","",_xlfn.XLOOKUP($D639&amp;"_"&amp;$AE639,符文权重!$A:$A&amp;"_"&amp;符文权重!$C:$C,符文权重!$D:$D)*$Y639/SUMIFS($Y:$Y,K:K,K639,$D:$D,$D639,$AE:$AE,$AE639)/SUMIF(符文权重!$A:$A,$D639,符文权重!$D:$D)))</f>
        <v/>
      </c>
      <c r="R639" s="51" t="str" cm="1">
        <f t="array" ref="R639">IF($A639="","",IF(L639="","",_xlfn.XLOOKUP($D639&amp;"_"&amp;$AE639,符文权重!$A:$A&amp;"_"&amp;符文权重!$C:$C,符文权重!$D:$D)*$Y639/SUMIFS($Y:$Y,L:L,L639,$D:$D,$D639,$AE:$AE,$AE639)/SUMIF(符文权重!$A:$A,$D639,符文权重!$D:$D)))</f>
        <v/>
      </c>
      <c r="S639" s="35" t="s">
        <v>344</v>
      </c>
      <c r="T639" s="35" t="s">
        <v>736</v>
      </c>
      <c r="U639" s="35" t="s">
        <v>417</v>
      </c>
      <c r="V639" s="35" t="s">
        <v>740</v>
      </c>
      <c r="X639" s="35" t="s">
        <v>741</v>
      </c>
      <c r="Y639" s="35">
        <v>100</v>
      </c>
      <c r="AA639" s="35" t="s">
        <v>183</v>
      </c>
      <c r="AB639" s="42" t="str">
        <f t="shared" si="264"/>
        <v>路人血量低于50%时，霸王轰拳护盾效果&lt;color=#54b76b&gt;+25%&lt;/color&gt;，持续时间&lt;color=#54b76b&gt;+50%&lt;/color&gt;</v>
      </c>
      <c r="AC639" s="35">
        <v>5301331</v>
      </c>
      <c r="AD639" s="35" t="s">
        <v>497</v>
      </c>
      <c r="AE639" s="35">
        <v>4</v>
      </c>
      <c r="AH639" s="35">
        <v>1</v>
      </c>
      <c r="AI639" s="36"/>
      <c r="AJ639" s="35" t="s">
        <v>739</v>
      </c>
      <c r="AK639" s="36"/>
      <c r="AL639" s="35">
        <v>4</v>
      </c>
    </row>
    <row r="640" s="25" customFormat="1" hidden="1" customHeight="1" spans="1:38">
      <c r="A640" s="35">
        <v>5510224</v>
      </c>
      <c r="B640" s="35" t="s">
        <v>735</v>
      </c>
      <c r="C640" s="35">
        <v>5301334</v>
      </c>
      <c r="D640" s="35">
        <v>4</v>
      </c>
      <c r="E640" s="35"/>
      <c r="F640" s="35" t="s">
        <v>211</v>
      </c>
      <c r="G640" s="36" t="str">
        <f t="shared" si="263"/>
        <v/>
      </c>
      <c r="H640" s="36">
        <f>IFERROR(IF(--MID($F640,2*COUNTIF($G640:G640,"&gt;"&amp;0)+2,1)=H$1,H$1,""),"")</f>
        <v>2</v>
      </c>
      <c r="I640" s="36" t="str">
        <f>IFERROR(IF(--MID($F640,2*COUNTIF($G640:H640,"&gt;"&amp;0)+2,1)=I$1,I$1,""),"")</f>
        <v/>
      </c>
      <c r="J640" s="36" t="str">
        <f>IFERROR(IF(--MID($F640,2*COUNTIF($G640:I640,"&gt;"&amp;0)+2,1)=J$1,J$1,""),"")</f>
        <v/>
      </c>
      <c r="K640" s="36" t="str">
        <f>IFERROR(IF(--MID($F640,2*COUNTIF($G640:J640,"&gt;"&amp;0)+2,1)=K$1,K$1,""),"")</f>
        <v/>
      </c>
      <c r="L640" s="36" t="str">
        <f>IFERROR(IF(--MID($F640,2*COUNTIF($G640:K640,"&gt;"&amp;0)+2,1)=L$1,L$1,""),"")</f>
        <v/>
      </c>
      <c r="M640" s="51" t="str" cm="1">
        <f t="array" ref="M640">IF($A640="","",IF(G640="","",_xlfn.XLOOKUP($D640&amp;"_"&amp;$AE640,符文权重!$A:$A&amp;"_"&amp;符文权重!$C:$C,符文权重!$D:$D)*$Y640/SUMIFS($Y:$Y,G:G,G640,$D:$D,$D640,$AE:$AE,$AE640)/SUMIF(符文权重!$A:$A,$D640,符文权重!$D:$D)))</f>
        <v/>
      </c>
      <c r="N640" s="51" cm="1">
        <f t="array" ref="N640">IF($A640="","",IF(H640="","",_xlfn.XLOOKUP($D640&amp;"_"&amp;$AE640,符文权重!$A:$A&amp;"_"&amp;符文权重!$C:$C,符文权重!$D:$D)*$Y640/SUMIFS($Y:$Y,H:H,H640,$D:$D,$D640,$AE:$AE,$AE640)/SUMIF(符文权重!$A:$A,$D640,符文权重!$D:$D)))</f>
        <v>0.014867808985456</v>
      </c>
      <c r="O640" s="51" t="str" cm="1">
        <f t="array" ref="O640">IF($A640="","",IF(I640="","",_xlfn.XLOOKUP($D640&amp;"_"&amp;$AE640,符文权重!$A:$A&amp;"_"&amp;符文权重!$C:$C,符文权重!$D:$D)*$Y640/SUMIFS($Y:$Y,I:I,I640,$D:$D,$D640,$AE:$AE,$AE640)/SUMIF(符文权重!$A:$A,$D640,符文权重!$D:$D)))</f>
        <v/>
      </c>
      <c r="P640" s="51" t="str" cm="1">
        <f t="array" ref="P640">IF($A640="","",IF(J640="","",_xlfn.XLOOKUP($D640&amp;"_"&amp;$AE640,符文权重!$A:$A&amp;"_"&amp;符文权重!$C:$C,符文权重!$D:$D)*$Y640/SUMIFS($Y:$Y,J:J,J640,$D:$D,$D640,$AE:$AE,$AE640)/SUMIF(符文权重!$A:$A,$D640,符文权重!$D:$D)))</f>
        <v/>
      </c>
      <c r="Q640" s="51" t="str" cm="1">
        <f t="array" ref="Q640">IF($A640="","",IF(K640="","",_xlfn.XLOOKUP($D640&amp;"_"&amp;$AE640,符文权重!$A:$A&amp;"_"&amp;符文权重!$C:$C,符文权重!$D:$D)*$Y640/SUMIFS($Y:$Y,K:K,K640,$D:$D,$D640,$AE:$AE,$AE640)/SUMIF(符文权重!$A:$A,$D640,符文权重!$D:$D)))</f>
        <v/>
      </c>
      <c r="R640" s="51" t="str" cm="1">
        <f t="array" ref="R640">IF($A640="","",IF(L640="","",_xlfn.XLOOKUP($D640&amp;"_"&amp;$AE640,符文权重!$A:$A&amp;"_"&amp;符文权重!$C:$C,符文权重!$D:$D)*$Y640/SUMIFS($Y:$Y,L:L,L640,$D:$D,$D640,$AE:$AE,$AE640)/SUMIF(符文权重!$A:$A,$D640,符文权重!$D:$D)))</f>
        <v/>
      </c>
      <c r="S640" s="35" t="s">
        <v>344</v>
      </c>
      <c r="T640" s="35" t="s">
        <v>736</v>
      </c>
      <c r="U640" s="35" t="s">
        <v>420</v>
      </c>
      <c r="V640" s="35" t="s">
        <v>742</v>
      </c>
      <c r="X640" s="35" t="s">
        <v>743</v>
      </c>
      <c r="Y640" s="35">
        <v>100</v>
      </c>
      <c r="AA640" s="35" t="s">
        <v>185</v>
      </c>
      <c r="AB640" s="42" t="str">
        <f t="shared" si="264"/>
        <v>路人血量低于50%时，霸王轰拳护盾效果&lt;color=#54b76b&gt;+40%&lt;/color&gt;，持续时间&lt;color=#54b76b&gt;+75%&lt;/color&gt;</v>
      </c>
      <c r="AC640" s="35">
        <v>53013311</v>
      </c>
      <c r="AD640" s="35" t="s">
        <v>596</v>
      </c>
      <c r="AE640" s="35">
        <v>4</v>
      </c>
      <c r="AH640" s="35">
        <v>1</v>
      </c>
      <c r="AI640" s="36"/>
      <c r="AJ640" s="35" t="s">
        <v>744</v>
      </c>
      <c r="AK640" s="36"/>
      <c r="AL640" s="35">
        <v>4</v>
      </c>
    </row>
    <row r="641" s="25" customFormat="1" hidden="1" customHeight="1" spans="1:38">
      <c r="A641" s="35">
        <v>5510232</v>
      </c>
      <c r="B641" s="34" t="s">
        <v>735</v>
      </c>
      <c r="C641" s="35">
        <v>5301335</v>
      </c>
      <c r="D641" s="36">
        <v>2</v>
      </c>
      <c r="E641" s="36"/>
      <c r="F641" s="35" t="s">
        <v>193</v>
      </c>
      <c r="G641" s="36" t="str">
        <f t="shared" si="263"/>
        <v/>
      </c>
      <c r="H641" s="36" t="str">
        <f>IFERROR(IF(--MID($F641,2*COUNTIF($G641:G641,"&gt;"&amp;0)+2,1)=H$1,H$1,""),"")</f>
        <v/>
      </c>
      <c r="I641" s="36">
        <f>IFERROR(IF(--MID($F641,2*COUNTIF($G641:H641,"&gt;"&amp;0)+2,1)=I$1,I$1,""),"")</f>
        <v>3</v>
      </c>
      <c r="J641" s="36" t="str">
        <f>IFERROR(IF(--MID($F641,2*COUNTIF($G641:I641,"&gt;"&amp;0)+2,1)=J$1,J$1,""),"")</f>
        <v/>
      </c>
      <c r="K641" s="36" t="str">
        <f>IFERROR(IF(--MID($F641,2*COUNTIF($G641:J641,"&gt;"&amp;0)+2,1)=K$1,K$1,""),"")</f>
        <v/>
      </c>
      <c r="L641" s="36" t="str">
        <f>IFERROR(IF(--MID($F641,2*COUNTIF($G641:K641,"&gt;"&amp;0)+2,1)=L$1,L$1,""),"")</f>
        <v/>
      </c>
      <c r="M641" s="36" t="e" cm="1">
        <f t="array" ref="M641">IF(A641="","",_xlfn.XLOOKUP(D641&amp;"_"&amp;AE641,符文权重!A:A&amp;"_"&amp;符文权重!C:C,符文权重!D:D))</f>
        <v>#N/A</v>
      </c>
      <c r="N641" s="36"/>
      <c r="O641" s="36"/>
      <c r="P641" s="36"/>
      <c r="Q641" s="36"/>
      <c r="R641" s="36"/>
      <c r="S641" s="36" t="s">
        <v>344</v>
      </c>
      <c r="T641" s="36" t="s">
        <v>736</v>
      </c>
      <c r="U641" s="36" t="s">
        <v>415</v>
      </c>
      <c r="V641" s="25" t="s">
        <v>745</v>
      </c>
      <c r="W641" s="41"/>
      <c r="X641" s="35" t="s">
        <v>738</v>
      </c>
      <c r="Y641" s="35">
        <v>100</v>
      </c>
      <c r="Z641" s="35"/>
      <c r="AA641" s="36" t="s">
        <v>181</v>
      </c>
      <c r="AB641" s="42" t="str">
        <f t="shared" si="264"/>
        <v>路人血量越低技能尺寸越大，至多&lt;color=#54b76b&gt;36%&lt;/color&gt;</v>
      </c>
      <c r="AC641" s="35">
        <v>5301332</v>
      </c>
      <c r="AD641" s="36" t="s">
        <v>487</v>
      </c>
      <c r="AE641" s="36">
        <v>100</v>
      </c>
      <c r="AF641" s="36"/>
      <c r="AG641" s="36">
        <v>1</v>
      </c>
      <c r="AH641" s="36">
        <v>0</v>
      </c>
      <c r="AJ641" s="36" t="s">
        <v>746</v>
      </c>
      <c r="AL641" s="35">
        <v>4</v>
      </c>
    </row>
    <row r="642" s="25" customFormat="1" hidden="1" customHeight="1" spans="1:38">
      <c r="A642" s="35">
        <v>5510233</v>
      </c>
      <c r="B642" s="35" t="s">
        <v>735</v>
      </c>
      <c r="C642" s="35">
        <v>5301335</v>
      </c>
      <c r="D642" s="35">
        <v>3</v>
      </c>
      <c r="E642" s="35"/>
      <c r="F642" s="35" t="s">
        <v>193</v>
      </c>
      <c r="G642" s="36" t="str">
        <f t="shared" si="263"/>
        <v/>
      </c>
      <c r="H642" s="36" t="str">
        <f>IFERROR(IF(--MID($F642,2*COUNTIF($G642:G642,"&gt;"&amp;0)+2,1)=H$1,H$1,""),"")</f>
        <v/>
      </c>
      <c r="I642" s="36">
        <f>IFERROR(IF(--MID($F642,2*COUNTIF($G642:H642,"&gt;"&amp;0)+2,1)=I$1,I$1,""),"")</f>
        <v>3</v>
      </c>
      <c r="J642" s="36" t="str">
        <f>IFERROR(IF(--MID($F642,2*COUNTIF($G642:I642,"&gt;"&amp;0)+2,1)=J$1,J$1,""),"")</f>
        <v/>
      </c>
      <c r="K642" s="36" t="str">
        <f>IFERROR(IF(--MID($F642,2*COUNTIF($G642:J642,"&gt;"&amp;0)+2,1)=K$1,K$1,""),"")</f>
        <v/>
      </c>
      <c r="L642" s="36" t="str">
        <f>IFERROR(IF(--MID($F642,2*COUNTIF($G642:K642,"&gt;"&amp;0)+2,1)=L$1,L$1,""),"")</f>
        <v/>
      </c>
      <c r="M642" s="51" t="str" cm="1">
        <f t="array" ref="M642">IF($A642="","",IF(G642="","",_xlfn.XLOOKUP($D642&amp;"_"&amp;$AE642,符文权重!$A:$A&amp;"_"&amp;符文权重!$C:$C,符文权重!$D:$D)*$Y642/SUMIFS($Y:$Y,G:G,G642,$D:$D,$D642,$AE:$AE,$AE642)/SUMIF(符文权重!$A:$A,$D642,符文权重!$D:$D)))</f>
        <v/>
      </c>
      <c r="N642" s="51" t="str" cm="1">
        <f t="array" ref="N642">IF($A642="","",IF(H642="","",_xlfn.XLOOKUP($D642&amp;"_"&amp;$AE642,符文权重!$A:$A&amp;"_"&amp;符文权重!$C:$C,符文权重!$D:$D)*$Y642/SUMIFS($Y:$Y,H:H,H642,$D:$D,$D642,$AE:$AE,$AE642)/SUMIF(符文权重!$A:$A,$D642,符文权重!$D:$D)))</f>
        <v/>
      </c>
      <c r="O642" s="51" cm="1">
        <f t="array" ref="O642">IF($A642="","",IF(I642="","",_xlfn.XLOOKUP($D642&amp;"_"&amp;$AE642,符文权重!$A:$A&amp;"_"&amp;符文权重!$C:$C,符文权重!$D:$D)*$Y642/SUMIFS($Y:$Y,I:I,I642,$D:$D,$D642,$AE:$AE,$AE642)/SUMIF(符文权重!$A:$A,$D642,符文权重!$D:$D)))</f>
        <v>0.0125</v>
      </c>
      <c r="P642" s="51" t="str" cm="1">
        <f t="array" ref="P642">IF($A642="","",IF(J642="","",_xlfn.XLOOKUP($D642&amp;"_"&amp;$AE642,符文权重!$A:$A&amp;"_"&amp;符文权重!$C:$C,符文权重!$D:$D)*$Y642/SUMIFS($Y:$Y,J:J,J642,$D:$D,$D642,$AE:$AE,$AE642)/SUMIF(符文权重!$A:$A,$D642,符文权重!$D:$D)))</f>
        <v/>
      </c>
      <c r="Q642" s="51" t="str" cm="1">
        <f t="array" ref="Q642">IF($A642="","",IF(K642="","",_xlfn.XLOOKUP($D642&amp;"_"&amp;$AE642,符文权重!$A:$A&amp;"_"&amp;符文权重!$C:$C,符文权重!$D:$D)*$Y642/SUMIFS($Y:$Y,K:K,K642,$D:$D,$D642,$AE:$AE,$AE642)/SUMIF(符文权重!$A:$A,$D642,符文权重!$D:$D)))</f>
        <v/>
      </c>
      <c r="R642" s="51" t="str" cm="1">
        <f t="array" ref="R642">IF($A642="","",IF(L642="","",_xlfn.XLOOKUP($D642&amp;"_"&amp;$AE642,符文权重!$A:$A&amp;"_"&amp;符文权重!$C:$C,符文权重!$D:$D)*$Y642/SUMIFS($Y:$Y,L:L,L642,$D:$D,$D642,$AE:$AE,$AE642)/SUMIF(符文权重!$A:$A,$D642,符文权重!$D:$D)))</f>
        <v/>
      </c>
      <c r="S642" s="35" t="s">
        <v>344</v>
      </c>
      <c r="T642" s="35" t="s">
        <v>736</v>
      </c>
      <c r="U642" s="35" t="s">
        <v>417</v>
      </c>
      <c r="V642" s="35" t="s">
        <v>747</v>
      </c>
      <c r="X642" s="35" t="s">
        <v>741</v>
      </c>
      <c r="Y642" s="35">
        <v>100</v>
      </c>
      <c r="AA642" s="35" t="s">
        <v>183</v>
      </c>
      <c r="AB642" s="42" t="str">
        <f t="shared" si="264"/>
        <v>路人血量越低技能尺寸越大，至多&lt;color=#54b76b&gt;36%&lt;/color&gt;</v>
      </c>
      <c r="AC642" s="35">
        <v>5301332</v>
      </c>
      <c r="AD642" s="35" t="s">
        <v>497</v>
      </c>
      <c r="AE642" s="35">
        <v>4</v>
      </c>
      <c r="AH642" s="35">
        <v>1</v>
      </c>
      <c r="AI642" s="36"/>
      <c r="AJ642" s="35" t="s">
        <v>746</v>
      </c>
      <c r="AK642" s="36"/>
      <c r="AL642" s="35">
        <v>4</v>
      </c>
    </row>
    <row r="643" s="25" customFormat="1" hidden="1" customHeight="1" spans="1:38">
      <c r="A643" s="35">
        <v>5510234</v>
      </c>
      <c r="B643" s="35" t="s">
        <v>735</v>
      </c>
      <c r="C643" s="35">
        <v>5301335</v>
      </c>
      <c r="D643" s="35">
        <v>4</v>
      </c>
      <c r="E643" s="35"/>
      <c r="F643" s="35" t="s">
        <v>193</v>
      </c>
      <c r="G643" s="36" t="str">
        <f t="shared" si="263"/>
        <v/>
      </c>
      <c r="H643" s="36" t="str">
        <f>IFERROR(IF(--MID($F643,2*COUNTIF($G643:G643,"&gt;"&amp;0)+2,1)=H$1,H$1,""),"")</f>
        <v/>
      </c>
      <c r="I643" s="36">
        <f>IFERROR(IF(--MID($F643,2*COUNTIF($G643:H643,"&gt;"&amp;0)+2,1)=I$1,I$1,""),"")</f>
        <v>3</v>
      </c>
      <c r="J643" s="36" t="str">
        <f>IFERROR(IF(--MID($F643,2*COUNTIF($G643:I643,"&gt;"&amp;0)+2,1)=J$1,J$1,""),"")</f>
        <v/>
      </c>
      <c r="K643" s="36" t="str">
        <f>IFERROR(IF(--MID($F643,2*COUNTIF($G643:J643,"&gt;"&amp;0)+2,1)=K$1,K$1,""),"")</f>
        <v/>
      </c>
      <c r="L643" s="36" t="str">
        <f>IFERROR(IF(--MID($F643,2*COUNTIF($G643:K643,"&gt;"&amp;0)+2,1)=L$1,L$1,""),"")</f>
        <v/>
      </c>
      <c r="M643" s="51" t="str" cm="1">
        <f t="array" ref="M643">IF($A643="","",IF(G643="","",_xlfn.XLOOKUP($D643&amp;"_"&amp;$AE643,符文权重!$A:$A&amp;"_"&amp;符文权重!$C:$C,符文权重!$D:$D)*$Y643/SUMIFS($Y:$Y,G:G,G643,$D:$D,$D643,$AE:$AE,$AE643)/SUMIF(符文权重!$A:$A,$D643,符文权重!$D:$D)))</f>
        <v/>
      </c>
      <c r="N643" s="51" t="str" cm="1">
        <f t="array" ref="N643">IF($A643="","",IF(H643="","",_xlfn.XLOOKUP($D643&amp;"_"&amp;$AE643,符文权重!$A:$A&amp;"_"&amp;符文权重!$C:$C,符文权重!$D:$D)*$Y643/SUMIFS($Y:$Y,H:H,H643,$D:$D,$D643,$AE:$AE,$AE643)/SUMIF(符文权重!$A:$A,$D643,符文权重!$D:$D)))</f>
        <v/>
      </c>
      <c r="O643" s="51" cm="1">
        <f t="array" ref="O643">IF($A643="","",IF(I643="","",_xlfn.XLOOKUP($D643&amp;"_"&amp;$AE643,符文权重!$A:$A&amp;"_"&amp;符文权重!$C:$C,符文权重!$D:$D)*$Y643/SUMIFS($Y:$Y,I:I,I643,$D:$D,$D643,$AE:$AE,$AE643)/SUMIF(符文权重!$A:$A,$D643,符文权重!$D:$D)))</f>
        <v>0.0114887614887615</v>
      </c>
      <c r="P643" s="51" t="str" cm="1">
        <f t="array" ref="P643">IF($A643="","",IF(J643="","",_xlfn.XLOOKUP($D643&amp;"_"&amp;$AE643,符文权重!$A:$A&amp;"_"&amp;符文权重!$C:$C,符文权重!$D:$D)*$Y643/SUMIFS($Y:$Y,J:J,J643,$D:$D,$D643,$AE:$AE,$AE643)/SUMIF(符文权重!$A:$A,$D643,符文权重!$D:$D)))</f>
        <v/>
      </c>
      <c r="Q643" s="51" t="str" cm="1">
        <f t="array" ref="Q643">IF($A643="","",IF(K643="","",_xlfn.XLOOKUP($D643&amp;"_"&amp;$AE643,符文权重!$A:$A&amp;"_"&amp;符文权重!$C:$C,符文权重!$D:$D)*$Y643/SUMIFS($Y:$Y,K:K,K643,$D:$D,$D643,$AE:$AE,$AE643)/SUMIF(符文权重!$A:$A,$D643,符文权重!$D:$D)))</f>
        <v/>
      </c>
      <c r="R643" s="51" t="str" cm="1">
        <f t="array" ref="R643">IF($A643="","",IF(L643="","",_xlfn.XLOOKUP($D643&amp;"_"&amp;$AE643,符文权重!$A:$A&amp;"_"&amp;符文权重!$C:$C,符文权重!$D:$D)*$Y643/SUMIFS($Y:$Y,L:L,L643,$D:$D,$D643,$AE:$AE,$AE643)/SUMIF(符文权重!$A:$A,$D643,符文权重!$D:$D)))</f>
        <v/>
      </c>
      <c r="S643" s="35" t="s">
        <v>344</v>
      </c>
      <c r="T643" s="35" t="s">
        <v>736</v>
      </c>
      <c r="U643" s="35" t="s">
        <v>420</v>
      </c>
      <c r="V643" s="35" t="s">
        <v>748</v>
      </c>
      <c r="X643" s="35" t="s">
        <v>743</v>
      </c>
      <c r="Y643" s="35">
        <v>100</v>
      </c>
      <c r="AA643" s="35" t="s">
        <v>185</v>
      </c>
      <c r="AB643" s="42" t="str">
        <f t="shared" si="264"/>
        <v>路人血量越低技能尺寸越大，至多&lt;color=#54b76b&gt;54%&lt;/color&gt;</v>
      </c>
      <c r="AC643" s="35">
        <v>53013321</v>
      </c>
      <c r="AD643" s="35" t="s">
        <v>596</v>
      </c>
      <c r="AE643" s="35">
        <v>4</v>
      </c>
      <c r="AH643" s="35">
        <v>1</v>
      </c>
      <c r="AI643" s="36"/>
      <c r="AJ643" s="35" t="s">
        <v>749</v>
      </c>
      <c r="AK643" s="36"/>
      <c r="AL643" s="35">
        <v>4</v>
      </c>
    </row>
    <row r="644" s="25" customFormat="1" hidden="1" customHeight="1" spans="1:38">
      <c r="A644" s="35">
        <v>5510242</v>
      </c>
      <c r="B644" s="34" t="s">
        <v>735</v>
      </c>
      <c r="C644" s="35">
        <v>5301336</v>
      </c>
      <c r="D644" s="36">
        <v>2</v>
      </c>
      <c r="E644" s="36"/>
      <c r="F644" s="35" t="s">
        <v>404</v>
      </c>
      <c r="G644" s="36" t="str">
        <f t="shared" si="263"/>
        <v/>
      </c>
      <c r="H644" s="36" t="str">
        <f>IFERROR(IF(--MID($F644,2*COUNTIF($G644:G644,"&gt;"&amp;0)+2,1)=H$1,H$1,""),"")</f>
        <v/>
      </c>
      <c r="I644" s="36" t="str">
        <f>IFERROR(IF(--MID($F644,2*COUNTIF($G644:H644,"&gt;"&amp;0)+2,1)=I$1,I$1,""),"")</f>
        <v/>
      </c>
      <c r="J644" s="36">
        <f>IFERROR(IF(--MID($F644,2*COUNTIF($G644:I644,"&gt;"&amp;0)+2,1)=J$1,J$1,""),"")</f>
        <v>4</v>
      </c>
      <c r="K644" s="36" t="str">
        <f>IFERROR(IF(--MID($F644,2*COUNTIF($G644:J644,"&gt;"&amp;0)+2,1)=K$1,K$1,""),"")</f>
        <v/>
      </c>
      <c r="L644" s="36" t="str">
        <f>IFERROR(IF(--MID($F644,2*COUNTIF($G644:K644,"&gt;"&amp;0)+2,1)=L$1,L$1,""),"")</f>
        <v/>
      </c>
      <c r="M644" s="36" t="e" cm="1">
        <f t="array" ref="M644">IF(A644="","",_xlfn.XLOOKUP(D644&amp;"_"&amp;AE644,符文权重!A:A&amp;"_"&amp;符文权重!C:C,符文权重!D:D))</f>
        <v>#N/A</v>
      </c>
      <c r="N644" s="36"/>
      <c r="O644" s="36"/>
      <c r="P644" s="36"/>
      <c r="Q644" s="36"/>
      <c r="R644" s="36"/>
      <c r="S644" s="36" t="s">
        <v>344</v>
      </c>
      <c r="T644" s="36" t="s">
        <v>736</v>
      </c>
      <c r="U644" s="36" t="s">
        <v>415</v>
      </c>
      <c r="V644" s="25" t="s">
        <v>750</v>
      </c>
      <c r="W644" s="41"/>
      <c r="X644" s="35" t="s">
        <v>738</v>
      </c>
      <c r="Y644" s="35">
        <v>100</v>
      </c>
      <c r="Z644" s="35"/>
      <c r="AA644" s="36" t="s">
        <v>181</v>
      </c>
      <c r="AB644" s="42" t="str">
        <f t="shared" si="264"/>
        <v>路人每次释放弹簧机关枪有&lt;color=#54b76b&gt;10%&lt;/color&gt;概率额外释放&lt;color=#54b76b&gt;1&lt;/color&gt;次</v>
      </c>
      <c r="AC644" s="35">
        <v>5301333</v>
      </c>
      <c r="AD644" s="36" t="s">
        <v>487</v>
      </c>
      <c r="AE644" s="36">
        <v>100</v>
      </c>
      <c r="AF644" s="36"/>
      <c r="AG644" s="36">
        <v>1</v>
      </c>
      <c r="AH644" s="36">
        <v>0</v>
      </c>
      <c r="AJ644" s="36" t="s">
        <v>751</v>
      </c>
      <c r="AL644" s="35">
        <v>4</v>
      </c>
    </row>
    <row r="645" s="25" customFormat="1" hidden="1" customHeight="1" spans="1:38">
      <c r="A645" s="35">
        <v>5510243</v>
      </c>
      <c r="B645" s="35" t="s">
        <v>735</v>
      </c>
      <c r="C645" s="35">
        <v>5301336</v>
      </c>
      <c r="D645" s="35">
        <v>3</v>
      </c>
      <c r="E645" s="35"/>
      <c r="F645" s="35" t="s">
        <v>404</v>
      </c>
      <c r="G645" s="36" t="str">
        <f t="shared" si="263"/>
        <v/>
      </c>
      <c r="H645" s="36" t="str">
        <f>IFERROR(IF(--MID($F645,2*COUNTIF($G645:G645,"&gt;"&amp;0)+2,1)=H$1,H$1,""),"")</f>
        <v/>
      </c>
      <c r="I645" s="36" t="str">
        <f>IFERROR(IF(--MID($F645,2*COUNTIF($G645:H645,"&gt;"&amp;0)+2,1)=I$1,I$1,""),"")</f>
        <v/>
      </c>
      <c r="J645" s="36">
        <f>IFERROR(IF(--MID($F645,2*COUNTIF($G645:I645,"&gt;"&amp;0)+2,1)=J$1,J$1,""),"")</f>
        <v>4</v>
      </c>
      <c r="K645" s="36" t="str">
        <f>IFERROR(IF(--MID($F645,2*COUNTIF($G645:J645,"&gt;"&amp;0)+2,1)=K$1,K$1,""),"")</f>
        <v/>
      </c>
      <c r="L645" s="36" t="str">
        <f>IFERROR(IF(--MID($F645,2*COUNTIF($G645:K645,"&gt;"&amp;0)+2,1)=L$1,L$1,""),"")</f>
        <v/>
      </c>
      <c r="M645" s="51" t="str" cm="1">
        <f t="array" ref="M645">IF($A645="","",IF(G645="","",_xlfn.XLOOKUP($D645&amp;"_"&amp;$AE645,符文权重!$A:$A&amp;"_"&amp;符文权重!$C:$C,符文权重!$D:$D)*$Y645/SUMIFS($Y:$Y,G:G,G645,$D:$D,$D645,$AE:$AE,$AE645)/SUMIF(符文权重!$A:$A,$D645,符文权重!$D:$D)))</f>
        <v/>
      </c>
      <c r="N645" s="51" t="str" cm="1">
        <f t="array" ref="N645">IF($A645="","",IF(H645="","",_xlfn.XLOOKUP($D645&amp;"_"&amp;$AE645,符文权重!$A:$A&amp;"_"&amp;符文权重!$C:$C,符文权重!$D:$D)*$Y645/SUMIFS($Y:$Y,H:H,H645,$D:$D,$D645,$AE:$AE,$AE645)/SUMIF(符文权重!$A:$A,$D645,符文权重!$D:$D)))</f>
        <v/>
      </c>
      <c r="O645" s="51" t="str" cm="1">
        <f t="array" ref="O645">IF($A645="","",IF(I645="","",_xlfn.XLOOKUP($D645&amp;"_"&amp;$AE645,符文权重!$A:$A&amp;"_"&amp;符文权重!$C:$C,符文权重!$D:$D)*$Y645/SUMIFS($Y:$Y,I:I,I645,$D:$D,$D645,$AE:$AE,$AE645)/SUMIF(符文权重!$A:$A,$D645,符文权重!$D:$D)))</f>
        <v/>
      </c>
      <c r="P645" s="51" cm="1">
        <f t="array" ref="P645">IF($A645="","",IF(J645="","",_xlfn.XLOOKUP($D645&amp;"_"&amp;$AE645,符文权重!$A:$A&amp;"_"&amp;符文权重!$C:$C,符文权重!$D:$D)*$Y645/SUMIFS($Y:$Y,J:J,J645,$D:$D,$D645,$AE:$AE,$AE645)/SUMIF(符文权重!$A:$A,$D645,符文权重!$D:$D)))</f>
        <v>0.0125</v>
      </c>
      <c r="Q645" s="51" t="str" cm="1">
        <f t="array" ref="Q645">IF($A645="","",IF(K645="","",_xlfn.XLOOKUP($D645&amp;"_"&amp;$AE645,符文权重!$A:$A&amp;"_"&amp;符文权重!$C:$C,符文权重!$D:$D)*$Y645/SUMIFS($Y:$Y,K:K,K645,$D:$D,$D645,$AE:$AE,$AE645)/SUMIF(符文权重!$A:$A,$D645,符文权重!$D:$D)))</f>
        <v/>
      </c>
      <c r="R645" s="51" t="str" cm="1">
        <f t="array" ref="R645">IF($A645="","",IF(L645="","",_xlfn.XLOOKUP($D645&amp;"_"&amp;$AE645,符文权重!$A:$A&amp;"_"&amp;符文权重!$C:$C,符文权重!$D:$D)*$Y645/SUMIFS($Y:$Y,L:L,L645,$D:$D,$D645,$AE:$AE,$AE645)/SUMIF(符文权重!$A:$A,$D645,符文权重!$D:$D)))</f>
        <v/>
      </c>
      <c r="S645" s="35" t="s">
        <v>344</v>
      </c>
      <c r="T645" s="35" t="s">
        <v>736</v>
      </c>
      <c r="U645" s="35" t="s">
        <v>417</v>
      </c>
      <c r="V645" s="35" t="s">
        <v>752</v>
      </c>
      <c r="X645" s="35" t="s">
        <v>741</v>
      </c>
      <c r="Y645" s="35">
        <v>100</v>
      </c>
      <c r="AA645" s="35" t="s">
        <v>183</v>
      </c>
      <c r="AB645" s="42" t="str">
        <f t="shared" si="264"/>
        <v>路人每次释放弹簧机关枪有&lt;color=#54b76b&gt;10%&lt;/color&gt;概率额外释放&lt;color=#54b76b&gt;1&lt;/color&gt;次</v>
      </c>
      <c r="AC645" s="35">
        <v>5301333</v>
      </c>
      <c r="AD645" s="35" t="s">
        <v>497</v>
      </c>
      <c r="AE645" s="35">
        <v>4</v>
      </c>
      <c r="AH645" s="35">
        <v>1</v>
      </c>
      <c r="AI645" s="36"/>
      <c r="AJ645" s="35" t="s">
        <v>751</v>
      </c>
      <c r="AK645" s="36"/>
      <c r="AL645" s="35">
        <v>4</v>
      </c>
    </row>
    <row r="646" s="25" customFormat="1" hidden="1" customHeight="1" spans="1:38">
      <c r="A646" s="35">
        <v>5510244</v>
      </c>
      <c r="B646" s="35" t="s">
        <v>735</v>
      </c>
      <c r="C646" s="35">
        <v>5301336</v>
      </c>
      <c r="D646" s="35">
        <v>4</v>
      </c>
      <c r="E646" s="35"/>
      <c r="F646" s="35" t="s">
        <v>404</v>
      </c>
      <c r="G646" s="36" t="str">
        <f t="shared" si="263"/>
        <v/>
      </c>
      <c r="H646" s="36" t="str">
        <f>IFERROR(IF(--MID($F646,2*COUNTIF($G646:G646,"&gt;"&amp;0)+2,1)=H$1,H$1,""),"")</f>
        <v/>
      </c>
      <c r="I646" s="36" t="str">
        <f>IFERROR(IF(--MID($F646,2*COUNTIF($G646:H646,"&gt;"&amp;0)+2,1)=I$1,I$1,""),"")</f>
        <v/>
      </c>
      <c r="J646" s="36">
        <f>IFERROR(IF(--MID($F646,2*COUNTIF($G646:I646,"&gt;"&amp;0)+2,1)=J$1,J$1,""),"")</f>
        <v>4</v>
      </c>
      <c r="K646" s="36" t="str">
        <f>IFERROR(IF(--MID($F646,2*COUNTIF($G646:J646,"&gt;"&amp;0)+2,1)=K$1,K$1,""),"")</f>
        <v/>
      </c>
      <c r="L646" s="36" t="str">
        <f>IFERROR(IF(--MID($F646,2*COUNTIF($G646:K646,"&gt;"&amp;0)+2,1)=L$1,L$1,""),"")</f>
        <v/>
      </c>
      <c r="M646" s="51" t="str" cm="1">
        <f t="array" ref="M646">IF($A646="","",IF(G646="","",_xlfn.XLOOKUP($D646&amp;"_"&amp;$AE646,符文权重!$A:$A&amp;"_"&amp;符文权重!$C:$C,符文权重!$D:$D)*$Y646/SUMIFS($Y:$Y,G:G,G646,$D:$D,$D646,$AE:$AE,$AE646)/SUMIF(符文权重!$A:$A,$D646,符文权重!$D:$D)))</f>
        <v/>
      </c>
      <c r="N646" s="51" t="str" cm="1">
        <f t="array" ref="N646">IF($A646="","",IF(H646="","",_xlfn.XLOOKUP($D646&amp;"_"&amp;$AE646,符文权重!$A:$A&amp;"_"&amp;符文权重!$C:$C,符文权重!$D:$D)*$Y646/SUMIFS($Y:$Y,H:H,H646,$D:$D,$D646,$AE:$AE,$AE646)/SUMIF(符文权重!$A:$A,$D646,符文权重!$D:$D)))</f>
        <v/>
      </c>
      <c r="O646" s="51" t="str" cm="1">
        <f t="array" ref="O646">IF($A646="","",IF(I646="","",_xlfn.XLOOKUP($D646&amp;"_"&amp;$AE646,符文权重!$A:$A&amp;"_"&amp;符文权重!$C:$C,符文权重!$D:$D)*$Y646/SUMIFS($Y:$Y,I:I,I646,$D:$D,$D646,$AE:$AE,$AE646)/SUMIF(符文权重!$A:$A,$D646,符文权重!$D:$D)))</f>
        <v/>
      </c>
      <c r="P646" s="51" cm="1">
        <f t="array" ref="P646">IF($A646="","",IF(J646="","",_xlfn.XLOOKUP($D646&amp;"_"&amp;$AE646,符文权重!$A:$A&amp;"_"&amp;符文权重!$C:$C,符文权重!$D:$D)*$Y646/SUMIFS($Y:$Y,J:J,J646,$D:$D,$D646,$AE:$AE,$AE646)/SUMIF(符文权重!$A:$A,$D646,符文权重!$D:$D)))</f>
        <v>0.0114887614887615</v>
      </c>
      <c r="Q646" s="51" t="str" cm="1">
        <f t="array" ref="Q646">IF($A646="","",IF(K646="","",_xlfn.XLOOKUP($D646&amp;"_"&amp;$AE646,符文权重!$A:$A&amp;"_"&amp;符文权重!$C:$C,符文权重!$D:$D)*$Y646/SUMIFS($Y:$Y,K:K,K646,$D:$D,$D646,$AE:$AE,$AE646)/SUMIF(符文权重!$A:$A,$D646,符文权重!$D:$D)))</f>
        <v/>
      </c>
      <c r="R646" s="51" t="str" cm="1">
        <f t="array" ref="R646">IF($A646="","",IF(L646="","",_xlfn.XLOOKUP($D646&amp;"_"&amp;$AE646,符文权重!$A:$A&amp;"_"&amp;符文权重!$C:$C,符文权重!$D:$D)*$Y646/SUMIFS($Y:$Y,L:L,L646,$D:$D,$D646,$AE:$AE,$AE646)/SUMIF(符文权重!$A:$A,$D646,符文权重!$D:$D)))</f>
        <v/>
      </c>
      <c r="S646" s="35" t="s">
        <v>344</v>
      </c>
      <c r="T646" s="35" t="s">
        <v>736</v>
      </c>
      <c r="U646" s="35" t="s">
        <v>420</v>
      </c>
      <c r="V646" s="35" t="s">
        <v>753</v>
      </c>
      <c r="X646" s="35" t="s">
        <v>743</v>
      </c>
      <c r="Y646" s="35">
        <v>100</v>
      </c>
      <c r="AA646" s="35" t="s">
        <v>185</v>
      </c>
      <c r="AB646" s="42" t="str">
        <f t="shared" si="264"/>
        <v>路人每次释放弹簧机关枪有&lt;color=#54b76b&gt;15%&lt;/color&gt;概率额外释放&lt;color=#54b76b&gt;1&lt;/color&gt;次</v>
      </c>
      <c r="AC646" s="35">
        <v>53013331</v>
      </c>
      <c r="AD646" s="35" t="s">
        <v>596</v>
      </c>
      <c r="AE646" s="35">
        <v>4</v>
      </c>
      <c r="AH646" s="35">
        <v>1</v>
      </c>
      <c r="AI646" s="36"/>
      <c r="AJ646" s="35" t="s">
        <v>754</v>
      </c>
      <c r="AK646" s="36"/>
      <c r="AL646" s="35">
        <v>4</v>
      </c>
    </row>
    <row r="647" s="25" customFormat="1" hidden="1" customHeight="1" spans="1:38">
      <c r="B647" s="49" t="s">
        <v>755</v>
      </c>
      <c r="F647" s="35"/>
      <c r="G647" s="36" t="str">
        <f t="shared" ref="G647:G710" si="265">IF(LEFT(F647,2)="[1",1,"")</f>
        <v/>
      </c>
      <c r="H647" s="36" t="str">
        <f>IFERROR(IF(--MID($F647,2*COUNTIF($G647:G647,"&gt;"&amp;0)+2,1)=H$1,H$1,""),"")</f>
        <v/>
      </c>
      <c r="I647" s="36" t="str">
        <f>IFERROR(IF(--MID($F647,2*COUNTIF($G647:H647,"&gt;"&amp;0)+2,1)=I$1,I$1,""),"")</f>
        <v/>
      </c>
      <c r="J647" s="36" t="str">
        <f>IFERROR(IF(--MID($F647,2*COUNTIF($G647:I647,"&gt;"&amp;0)+2,1)=J$1,J$1,""),"")</f>
        <v/>
      </c>
      <c r="K647" s="36" t="str">
        <f>IFERROR(IF(--MID($F647,2*COUNTIF($G647:J647,"&gt;"&amp;0)+2,1)=K$1,K$1,""),"")</f>
        <v/>
      </c>
      <c r="L647" s="36" t="str">
        <f>IFERROR(IF(--MID($F647,2*COUNTIF($G647:K647,"&gt;"&amp;0)+2,1)=L$1,L$1,""),"")</f>
        <v/>
      </c>
      <c r="M647" s="51" t="str" cm="1">
        <f t="array" ref="M647">IF($A647="","",IF(G647="","",_xlfn.XLOOKUP($D647&amp;"_"&amp;$AE647,符文权重!$A:$A&amp;"_"&amp;符文权重!$C:$C,符文权重!$D:$D)*$Y647/SUMIFS($Y:$Y,G:G,G647,$D:$D,$D647,$AE:$AE,$AE647)/SUMIF(符文权重!$A:$A,$D647,符文权重!$D:$D)))</f>
        <v/>
      </c>
      <c r="N647" s="36" t="str" cm="1">
        <f t="array" ref="N647">IF($A647="","",IF(H647="","",_xlfn.XLOOKUP($D647&amp;"_"&amp;$AE647,符文权重!$A:$A&amp;"_"&amp;符文权重!$C:$C,符文权重!$D:$D)*$Y647/SUMIFS($Y:$Y,H:H,H647,$D:$D,$D$6,$AE:$AE,$AE$6)))</f>
        <v/>
      </c>
      <c r="O647" s="36" t="str" cm="1">
        <f t="array" ref="O647">IF($A647="","",IF(I647="","",_xlfn.XLOOKUP($D647&amp;"_"&amp;$AE647,符文权重!$A:$A&amp;"_"&amp;符文权重!$C:$C,符文权重!$D:$D)*$Y647/SUMIFS($Y:$Y,I:I,I647,$D:$D,$D$6,$AE:$AE,$AE$6)))</f>
        <v/>
      </c>
      <c r="P647" s="36" t="str" cm="1">
        <f t="array" ref="P647">IF($A647="","",IF(J647="","",_xlfn.XLOOKUP($D647&amp;"_"&amp;$AE647,符文权重!$A:$A&amp;"_"&amp;符文权重!$C:$C,符文权重!$D:$D)*$Y647/SUMIFS($Y:$Y,J:J,J647,$D:$D,$D$6,$AE:$AE,$AE$6)))</f>
        <v/>
      </c>
      <c r="Q647" s="36" t="str" cm="1">
        <f t="array" ref="Q647">IF($A647="","",IF(K647="","",_xlfn.XLOOKUP($D647&amp;"_"&amp;$AE647,符文权重!$A:$A&amp;"_"&amp;符文权重!$C:$C,符文权重!$D:$D)*$Y647/SUMIFS($Y:$Y,K:K,K647,$D:$D,$D$6,$AE:$AE,$AE$6)))</f>
        <v/>
      </c>
      <c r="R647" s="36" t="str" cm="1">
        <f t="array" ref="R647">IF($A647="","",IF(L647="","",_xlfn.XLOOKUP($D647&amp;"_"&amp;$AE647,符文权重!$A:$A&amp;"_"&amp;符文权重!$C:$C,符文权重!$D:$D)*$Y647/SUMIFS($Y:$Y,L:L,L647,$D:$D,$D$6,$AE:$AE,$AE$6)))</f>
        <v/>
      </c>
      <c r="S647" s="35" t="s">
        <v>178</v>
      </c>
      <c r="T647" s="35" t="s">
        <v>178</v>
      </c>
      <c r="U647" s="35" t="s">
        <v>178</v>
      </c>
      <c r="X647" s="35" t="s">
        <v>178</v>
      </c>
      <c r="Y647" s="35"/>
      <c r="AA647" s="35" t="s">
        <v>178</v>
      </c>
      <c r="AB647" s="42" t="str">
        <f t="shared" si="264"/>
        <v/>
      </c>
      <c r="AE647" s="35" t="s">
        <v>178</v>
      </c>
      <c r="AH647" s="35" t="s">
        <v>178</v>
      </c>
      <c r="AI647" s="36"/>
      <c r="AK647" s="36"/>
      <c r="AL647" s="35">
        <v>4</v>
      </c>
    </row>
    <row r="648" s="25" customFormat="1" hidden="1" customHeight="1" spans="1:38">
      <c r="A648" s="35">
        <v>5510254</v>
      </c>
      <c r="B648" s="55" t="s">
        <v>756</v>
      </c>
      <c r="C648" s="35">
        <v>5301249</v>
      </c>
      <c r="D648" s="36">
        <v>4</v>
      </c>
      <c r="E648" s="36"/>
      <c r="F648" s="35" t="s">
        <v>193</v>
      </c>
      <c r="G648" s="36" t="str">
        <f t="shared" si="265"/>
        <v/>
      </c>
      <c r="H648" s="36" t="str">
        <f>IFERROR(IF(--MID($F648,2*COUNTIF($G648:G648,"&gt;"&amp;0)+2,1)=H$1,H$1,""),"")</f>
        <v/>
      </c>
      <c r="I648" s="36">
        <f>IFERROR(IF(--MID($F648,2*COUNTIF($G648:H648,"&gt;"&amp;0)+2,1)=I$1,I$1,""),"")</f>
        <v>3</v>
      </c>
      <c r="J648" s="36" t="str">
        <f>IFERROR(IF(--MID($F648,2*COUNTIF($G648:I648,"&gt;"&amp;0)+2,1)=J$1,J$1,""),"")</f>
        <v/>
      </c>
      <c r="K648" s="36" t="str">
        <f>IFERROR(IF(--MID($F648,2*COUNTIF($G648:J648,"&gt;"&amp;0)+2,1)=K$1,K$1,""),"")</f>
        <v/>
      </c>
      <c r="L648" s="36" t="str">
        <f>IFERROR(IF(--MID($F648,2*COUNTIF($G648:K648,"&gt;"&amp;0)+2,1)=L$1,L$1,""),"")</f>
        <v/>
      </c>
      <c r="M648" s="51" t="str" cm="1">
        <f t="array" ref="M648">IF($A648="","",IF(G648="","",_xlfn.XLOOKUP($D648&amp;"_"&amp;$AE648,符文权重!$A:$A&amp;"_"&amp;符文权重!$C:$C,符文权重!$D:$D)*$Y648/SUMIFS($Y:$Y,G:G,G648,$D:$D,$D648,$AE:$AE,$AE648)/SUMIF(符文权重!$A:$A,$D648,符文权重!$D:$D)))</f>
        <v/>
      </c>
      <c r="N648" s="51" t="str" cm="1">
        <f t="array" ref="N648">IF($A648="","",IF(H648="","",_xlfn.XLOOKUP($D648&amp;"_"&amp;$AE648,符文权重!$A:$A&amp;"_"&amp;符文权重!$C:$C,符文权重!$D:$D)*$Y648/SUMIFS($Y:$Y,H:H,H648,$D:$D,$D648,$AE:$AE,$AE648)/SUMIF(符文权重!$A:$A,$D648,符文权重!$D:$D)))</f>
        <v/>
      </c>
      <c r="O648" s="51" cm="1">
        <f t="array" ref="O648">IF($A648="","",IF(I648="","",_xlfn.XLOOKUP($D648&amp;"_"&amp;$AE648,符文权重!$A:$A&amp;"_"&amp;符文权重!$C:$C,符文权重!$D:$D)*$Y648/SUMIFS($Y:$Y,I:I,I648,$D:$D,$D648,$AE:$AE,$AE648)/SUMIF(符文权重!$A:$A,$D648,符文权重!$D:$D)))</f>
        <v>0.0035035035035035</v>
      </c>
      <c r="P648" s="51" t="str" cm="1">
        <f t="array" ref="P648">IF($A648="","",IF(J648="","",_xlfn.XLOOKUP($D648&amp;"_"&amp;$AE648,符文权重!$A:$A&amp;"_"&amp;符文权重!$C:$C,符文权重!$D:$D)*$Y648/SUMIFS($Y:$Y,J:J,J648,$D:$D,$D648,$AE:$AE,$AE648)/SUMIF(符文权重!$A:$A,$D648,符文权重!$D:$D)))</f>
        <v/>
      </c>
      <c r="Q648" s="51" t="str" cm="1">
        <f t="array" ref="Q648">IF($A648="","",IF(K648="","",_xlfn.XLOOKUP($D648&amp;"_"&amp;$AE648,符文权重!$A:$A&amp;"_"&amp;符文权重!$C:$C,符文权重!$D:$D)*$Y648/SUMIFS($Y:$Y,K:K,K648,$D:$D,$D648,$AE:$AE,$AE648)/SUMIF(符文权重!$A:$A,$D648,符文权重!$D:$D)))</f>
        <v/>
      </c>
      <c r="R648" s="51" t="str" cm="1">
        <f t="array" ref="R648">IF($A648="","",IF(L648="","",_xlfn.XLOOKUP($D648&amp;"_"&amp;$AE648,符文权重!$A:$A&amp;"_"&amp;符文权重!$C:$C,符文权重!$D:$D)*$Y648/SUMIFS($Y:$Y,L:L,L648,$D:$D,$D648,$AE:$AE,$AE648)/SUMIF(符文权重!$A:$A,$D648,符文权重!$D:$D)))</f>
        <v/>
      </c>
      <c r="S648" s="36" t="s">
        <v>344</v>
      </c>
      <c r="T648" s="36" t="s">
        <v>757</v>
      </c>
      <c r="U648" s="36" t="s">
        <v>420</v>
      </c>
      <c r="V648" s="25" t="s">
        <v>758</v>
      </c>
      <c r="W648" s="36"/>
      <c r="X648" s="35" t="s">
        <v>659</v>
      </c>
      <c r="Y648" s="35">
        <v>100</v>
      </c>
      <c r="Z648" s="35"/>
      <c r="AA648" s="36" t="s">
        <v>185</v>
      </c>
      <c r="AB648" s="42" t="str">
        <f t="shared" si="264"/>
        <v>关羽对血量高于&lt;color=#54b76b&gt;75%&lt;/color&gt;的敌人，暴击率&lt;color=#54b76b&gt;+20%&lt;/color&gt;</v>
      </c>
      <c r="AC648" s="35">
        <v>5301249</v>
      </c>
      <c r="AD648" s="36" t="s">
        <v>428</v>
      </c>
      <c r="AE648" s="36">
        <v>8</v>
      </c>
      <c r="AF648" s="36"/>
      <c r="AG648" s="36"/>
      <c r="AH648" s="36">
        <v>1</v>
      </c>
      <c r="AI648" s="33"/>
      <c r="AJ648" s="42" t="s">
        <v>759</v>
      </c>
      <c r="AK648" s="35"/>
      <c r="AL648" s="35">
        <v>4</v>
      </c>
    </row>
    <row r="649" s="25" customFormat="1" hidden="1" customHeight="1" spans="1:38">
      <c r="A649" s="35">
        <v>5510255</v>
      </c>
      <c r="B649" s="35" t="s">
        <v>756</v>
      </c>
      <c r="C649" s="35">
        <v>5301249</v>
      </c>
      <c r="D649" s="35">
        <v>5</v>
      </c>
      <c r="E649" s="35"/>
      <c r="F649" s="35" t="s">
        <v>193</v>
      </c>
      <c r="G649" s="36" t="str">
        <f t="shared" si="265"/>
        <v/>
      </c>
      <c r="H649" s="36" t="str">
        <f>IFERROR(IF(--MID($F649,2*COUNTIF($G649:G649,"&gt;"&amp;0)+2,1)=H$1,H$1,""),"")</f>
        <v/>
      </c>
      <c r="I649" s="36">
        <f>IFERROR(IF(--MID($F649,2*COUNTIF($G649:H649,"&gt;"&amp;0)+2,1)=I$1,I$1,""),"")</f>
        <v>3</v>
      </c>
      <c r="J649" s="36" t="str">
        <f>IFERROR(IF(--MID($F649,2*COUNTIF($G649:I649,"&gt;"&amp;0)+2,1)=J$1,J$1,""),"")</f>
        <v/>
      </c>
      <c r="K649" s="36" t="str">
        <f>IFERROR(IF(--MID($F649,2*COUNTIF($G649:J649,"&gt;"&amp;0)+2,1)=K$1,K$1,""),"")</f>
        <v/>
      </c>
      <c r="L649" s="36" t="str">
        <f>IFERROR(IF(--MID($F649,2*COUNTIF($G649:K649,"&gt;"&amp;0)+2,1)=L$1,L$1,""),"")</f>
        <v/>
      </c>
      <c r="M649" s="51" t="str" cm="1">
        <f t="array" ref="M649">IF($A649="","",IF(G649="","",_xlfn.XLOOKUP($D649&amp;"_"&amp;$AE649,符文权重!$A:$A&amp;"_"&amp;符文权重!$C:$C,符文权重!$D:$D)*$Y649/SUMIFS($Y:$Y,G:G,G649,$D:$D,$D649,$AE:$AE,$AE649)/SUMIF(符文权重!$A:$A,$D649,符文权重!$D:$D)))</f>
        <v/>
      </c>
      <c r="N649" s="51" t="str" cm="1">
        <f t="array" ref="N649">IF($A649="","",IF(H649="","",_xlfn.XLOOKUP($D649&amp;"_"&amp;$AE649,符文权重!$A:$A&amp;"_"&amp;符文权重!$C:$C,符文权重!$D:$D)*$Y649/SUMIFS($Y:$Y,H:H,H649,$D:$D,$D649,$AE:$AE,$AE649)/SUMIF(符文权重!$A:$A,$D649,符文权重!$D:$D)))</f>
        <v/>
      </c>
      <c r="O649" s="51" cm="1">
        <f t="array" ref="O649">IF($A649="","",IF(I649="","",_xlfn.XLOOKUP($D649&amp;"_"&amp;$AE649,符文权重!$A:$A&amp;"_"&amp;符文权重!$C:$C,符文权重!$D:$D)*$Y649/SUMIFS($Y:$Y,I:I,I649,$D:$D,$D649,$AE:$AE,$AE649)/SUMIF(符文权重!$A:$A,$D649,符文权重!$D:$D)))</f>
        <v>0.00721428571428571</v>
      </c>
      <c r="P649" s="51" t="str" cm="1">
        <f t="array" ref="P649">IF($A649="","",IF(J649="","",_xlfn.XLOOKUP($D649&amp;"_"&amp;$AE649,符文权重!$A:$A&amp;"_"&amp;符文权重!$C:$C,符文权重!$D:$D)*$Y649/SUMIFS($Y:$Y,J:J,J649,$D:$D,$D649,$AE:$AE,$AE649)/SUMIF(符文权重!$A:$A,$D649,符文权重!$D:$D)))</f>
        <v/>
      </c>
      <c r="Q649" s="51" t="str" cm="1">
        <f t="array" ref="Q649">IF($A649="","",IF(K649="","",_xlfn.XLOOKUP($D649&amp;"_"&amp;$AE649,符文权重!$A:$A&amp;"_"&amp;符文权重!$C:$C,符文权重!$D:$D)*$Y649/SUMIFS($Y:$Y,K:K,K649,$D:$D,$D649,$AE:$AE,$AE649)/SUMIF(符文权重!$A:$A,$D649,符文权重!$D:$D)))</f>
        <v/>
      </c>
      <c r="R649" s="51" t="str" cm="1">
        <f t="array" ref="R649">IF($A649="","",IF(L649="","",_xlfn.XLOOKUP($D649&amp;"_"&amp;$AE649,符文权重!$A:$A&amp;"_"&amp;符文权重!$C:$C,符文权重!$D:$D)*$Y649/SUMIFS($Y:$Y,L:L,L649,$D:$D,$D649,$AE:$AE,$AE649)/SUMIF(符文权重!$A:$A,$D649,符文权重!$D:$D)))</f>
        <v/>
      </c>
      <c r="S649" s="35" t="s">
        <v>344</v>
      </c>
      <c r="T649" s="35" t="s">
        <v>757</v>
      </c>
      <c r="U649" s="35" t="s">
        <v>423</v>
      </c>
      <c r="V649" s="35" t="s">
        <v>760</v>
      </c>
      <c r="X649" s="35" t="s">
        <v>659</v>
      </c>
      <c r="Y649" s="35">
        <v>100</v>
      </c>
      <c r="AA649" s="35" t="s">
        <v>187</v>
      </c>
      <c r="AB649" s="42" t="str">
        <f t="shared" si="264"/>
        <v>关羽对血量高于&lt;color=#54b76b&gt;75%&lt;/color&gt;的敌人，暴击率&lt;color=#54b76b&gt;+25%&lt;/color&gt;</v>
      </c>
      <c r="AC649" s="35">
        <v>5301249</v>
      </c>
      <c r="AD649" s="35" t="s">
        <v>431</v>
      </c>
      <c r="AE649" s="35">
        <v>4</v>
      </c>
      <c r="AH649" s="35">
        <v>1</v>
      </c>
      <c r="AI649" s="36"/>
      <c r="AJ649" s="35" t="s">
        <v>761</v>
      </c>
      <c r="AK649" s="36"/>
      <c r="AL649" s="35">
        <v>4</v>
      </c>
    </row>
    <row r="650" s="25" customFormat="1" hidden="1" customHeight="1" spans="1:38">
      <c r="A650" s="35">
        <v>5510256</v>
      </c>
      <c r="B650" s="35" t="s">
        <v>756</v>
      </c>
      <c r="C650" s="35">
        <v>5301249</v>
      </c>
      <c r="D650" s="35">
        <v>6</v>
      </c>
      <c r="E650" s="35"/>
      <c r="F650" s="35" t="s">
        <v>193</v>
      </c>
      <c r="G650" s="36" t="str">
        <f t="shared" si="265"/>
        <v/>
      </c>
      <c r="H650" s="36" t="str">
        <f>IFERROR(IF(--MID($F650,2*COUNTIF($G650:G650,"&gt;"&amp;0)+2,1)=H$1,H$1,""),"")</f>
        <v/>
      </c>
      <c r="I650" s="36">
        <f>IFERROR(IF(--MID($F650,2*COUNTIF($G650:H650,"&gt;"&amp;0)+2,1)=I$1,I$1,""),"")</f>
        <v>3</v>
      </c>
      <c r="J650" s="36" t="str">
        <f>IFERROR(IF(--MID($F650,2*COUNTIF($G650:I650,"&gt;"&amp;0)+2,1)=J$1,J$1,""),"")</f>
        <v/>
      </c>
      <c r="K650" s="36" t="str">
        <f>IFERROR(IF(--MID($F650,2*COUNTIF($G650:J650,"&gt;"&amp;0)+2,1)=K$1,K$1,""),"")</f>
        <v/>
      </c>
      <c r="L650" s="36" t="str">
        <f>IFERROR(IF(--MID($F650,2*COUNTIF($G650:K650,"&gt;"&amp;0)+2,1)=L$1,L$1,""),"")</f>
        <v/>
      </c>
      <c r="M650" s="51" t="str" cm="1">
        <f t="array" ref="M650">IF($A650="","",IF(G650="","",_xlfn.XLOOKUP($D650&amp;"_"&amp;$AE650,符文权重!$A:$A&amp;"_"&amp;符文权重!$C:$C,符文权重!$D:$D)*$Y650/SUMIFS($Y:$Y,G:G,G650,$D:$D,$D650,$AE:$AE,$AE650)/SUMIF(符文权重!$A:$A,$D650,符文权重!$D:$D)))</f>
        <v/>
      </c>
      <c r="N650" s="51" t="str" cm="1">
        <f t="array" ref="N650">IF($A650="","",IF(H650="","",_xlfn.XLOOKUP($D650&amp;"_"&amp;$AE650,符文权重!$A:$A&amp;"_"&amp;符文权重!$C:$C,符文权重!$D:$D)*$Y650/SUMIFS($Y:$Y,H:H,H650,$D:$D,$D650,$AE:$AE,$AE650)/SUMIF(符文权重!$A:$A,$D650,符文权重!$D:$D)))</f>
        <v/>
      </c>
      <c r="O650" s="51" cm="1">
        <f t="array" ref="O650">IF($A650="","",IF(I650="","",_xlfn.XLOOKUP($D650&amp;"_"&amp;$AE650,符文权重!$A:$A&amp;"_"&amp;符文权重!$C:$C,符文权重!$D:$D)*$Y650/SUMIFS($Y:$Y,I:I,I650,$D:$D,$D650,$AE:$AE,$AE650)/SUMIF(符文权重!$A:$A,$D650,符文权重!$D:$D)))</f>
        <v>0.00721428571428571</v>
      </c>
      <c r="P650" s="51" t="str" cm="1">
        <f t="array" ref="P650">IF($A650="","",IF(J650="","",_xlfn.XLOOKUP($D650&amp;"_"&amp;$AE650,符文权重!$A:$A&amp;"_"&amp;符文权重!$C:$C,符文权重!$D:$D)*$Y650/SUMIFS($Y:$Y,J:J,J650,$D:$D,$D650,$AE:$AE,$AE650)/SUMIF(符文权重!$A:$A,$D650,符文权重!$D:$D)))</f>
        <v/>
      </c>
      <c r="Q650" s="51" t="str" cm="1">
        <f t="array" ref="Q650">IF($A650="","",IF(K650="","",_xlfn.XLOOKUP($D650&amp;"_"&amp;$AE650,符文权重!$A:$A&amp;"_"&amp;符文权重!$C:$C,符文权重!$D:$D)*$Y650/SUMIFS($Y:$Y,K:K,K650,$D:$D,$D650,$AE:$AE,$AE650)/SUMIF(符文权重!$A:$A,$D650,符文权重!$D:$D)))</f>
        <v/>
      </c>
      <c r="R650" s="51" t="str" cm="1">
        <f t="array" ref="R650">IF($A650="","",IF(L650="","",_xlfn.XLOOKUP($D650&amp;"_"&amp;$AE650,符文权重!$A:$A&amp;"_"&amp;符文权重!$C:$C,符文权重!$D:$D)*$Y650/SUMIFS($Y:$Y,L:L,L650,$D:$D,$D650,$AE:$AE,$AE650)/SUMIF(符文权重!$A:$A,$D650,符文权重!$D:$D)))</f>
        <v/>
      </c>
      <c r="S650" s="35" t="s">
        <v>344</v>
      </c>
      <c r="T650" s="35" t="s">
        <v>757</v>
      </c>
      <c r="U650" s="35" t="s">
        <v>426</v>
      </c>
      <c r="V650" s="35" t="s">
        <v>762</v>
      </c>
      <c r="X650" s="35" t="s">
        <v>659</v>
      </c>
      <c r="Y650" s="35">
        <v>100</v>
      </c>
      <c r="AA650" s="35" t="s">
        <v>189</v>
      </c>
      <c r="AB650" s="42" t="str">
        <f t="shared" si="264"/>
        <v>关羽对血量高于&lt;color=#54b76b&gt;75%&lt;/color&gt;的敌人，暴击率&lt;color=#54b76b&gt;+32%&lt;/color&gt;</v>
      </c>
      <c r="AC650" s="35">
        <v>5301249</v>
      </c>
      <c r="AD650" s="35" t="s">
        <v>472</v>
      </c>
      <c r="AE650" s="35">
        <v>4</v>
      </c>
      <c r="AH650" s="35">
        <v>1</v>
      </c>
      <c r="AI650" s="36"/>
      <c r="AJ650" s="35" t="s">
        <v>763</v>
      </c>
      <c r="AK650" s="36"/>
      <c r="AL650" s="35">
        <v>4</v>
      </c>
    </row>
    <row r="651" s="25" customFormat="1" hidden="1" customHeight="1" spans="1:38">
      <c r="A651" s="35">
        <v>5510257</v>
      </c>
      <c r="B651" s="35" t="s">
        <v>756</v>
      </c>
      <c r="C651" s="35">
        <v>5301249</v>
      </c>
      <c r="D651" s="35">
        <v>7</v>
      </c>
      <c r="E651" s="35"/>
      <c r="F651" s="35" t="s">
        <v>193</v>
      </c>
      <c r="G651" s="36" t="str">
        <f t="shared" si="265"/>
        <v/>
      </c>
      <c r="H651" s="36" t="str">
        <f>IFERROR(IF(--MID($F651,2*COUNTIF($G651:G651,"&gt;"&amp;0)+2,1)=H$1,H$1,""),"")</f>
        <v/>
      </c>
      <c r="I651" s="36">
        <f>IFERROR(IF(--MID($F651,2*COUNTIF($G651:H651,"&gt;"&amp;0)+2,1)=I$1,I$1,""),"")</f>
        <v>3</v>
      </c>
      <c r="J651" s="36" t="str">
        <f>IFERROR(IF(--MID($F651,2*COUNTIF($G651:I651,"&gt;"&amp;0)+2,1)=J$1,J$1,""),"")</f>
        <v/>
      </c>
      <c r="K651" s="36" t="str">
        <f>IFERROR(IF(--MID($F651,2*COUNTIF($G651:J651,"&gt;"&amp;0)+2,1)=K$1,K$1,""),"")</f>
        <v/>
      </c>
      <c r="L651" s="36" t="str">
        <f>IFERROR(IF(--MID($F651,2*COUNTIF($G651:K651,"&gt;"&amp;0)+2,1)=L$1,L$1,""),"")</f>
        <v/>
      </c>
      <c r="M651" s="51" t="str" cm="1">
        <f t="array" ref="M651">IF($A651="","",IF(G651="","",_xlfn.XLOOKUP($D651&amp;"_"&amp;$AE651,符文权重!$A:$A&amp;"_"&amp;符文权重!$C:$C,符文权重!$D:$D)*$Y651/SUMIFS($Y:$Y,G:G,G651,$D:$D,$D651,$AE:$AE,$AE651)/SUMIF(符文权重!$A:$A,$D651,符文权重!$D:$D)))</f>
        <v/>
      </c>
      <c r="N651" s="51" t="str" cm="1">
        <f t="array" ref="N651">IF($A651="","",IF(H651="","",_xlfn.XLOOKUP($D651&amp;"_"&amp;$AE651,符文权重!$A:$A&amp;"_"&amp;符文权重!$C:$C,符文权重!$D:$D)*$Y651/SUMIFS($Y:$Y,H:H,H651,$D:$D,$D651,$AE:$AE,$AE651)/SUMIF(符文权重!$A:$A,$D651,符文权重!$D:$D)))</f>
        <v/>
      </c>
      <c r="O651" s="51" cm="1">
        <f t="array" ref="O651">IF($A651="","",IF(I651="","",_xlfn.XLOOKUP($D651&amp;"_"&amp;$AE651,符文权重!$A:$A&amp;"_"&amp;符文权重!$C:$C,符文权重!$D:$D)*$Y651/SUMIFS($Y:$Y,I:I,I651,$D:$D,$D651,$AE:$AE,$AE651)/SUMIF(符文权重!$A:$A,$D651,符文权重!$D:$D)))</f>
        <v>0.00721428571428571</v>
      </c>
      <c r="P651" s="51" t="str" cm="1">
        <f t="array" ref="P651">IF($A651="","",IF(J651="","",_xlfn.XLOOKUP($D651&amp;"_"&amp;$AE651,符文权重!$A:$A&amp;"_"&amp;符文权重!$C:$C,符文权重!$D:$D)*$Y651/SUMIFS($Y:$Y,J:J,J651,$D:$D,$D651,$AE:$AE,$AE651)/SUMIF(符文权重!$A:$A,$D651,符文权重!$D:$D)))</f>
        <v/>
      </c>
      <c r="Q651" s="51" t="str" cm="1">
        <f t="array" ref="Q651">IF($A651="","",IF(K651="","",_xlfn.XLOOKUP($D651&amp;"_"&amp;$AE651,符文权重!$A:$A&amp;"_"&amp;符文权重!$C:$C,符文权重!$D:$D)*$Y651/SUMIFS($Y:$Y,K:K,K651,$D:$D,$D651,$AE:$AE,$AE651)/SUMIF(符文权重!$A:$A,$D651,符文权重!$D:$D)))</f>
        <v/>
      </c>
      <c r="R651" s="51" t="str" cm="1">
        <f t="array" ref="R651">IF($A651="","",IF(L651="","",_xlfn.XLOOKUP($D651&amp;"_"&amp;$AE651,符文权重!$A:$A&amp;"_"&amp;符文权重!$C:$C,符文权重!$D:$D)*$Y651/SUMIFS($Y:$Y,L:L,L651,$D:$D,$D651,$AE:$AE,$AE651)/SUMIF(符文权重!$A:$A,$D651,符文权重!$D:$D)))</f>
        <v/>
      </c>
      <c r="S651" s="35" t="s">
        <v>344</v>
      </c>
      <c r="T651" s="35" t="s">
        <v>757</v>
      </c>
      <c r="U651" s="35" t="s">
        <v>429</v>
      </c>
      <c r="V651" s="35" t="s">
        <v>764</v>
      </c>
      <c r="W651" s="35"/>
      <c r="X651" s="35" t="s">
        <v>659</v>
      </c>
      <c r="Y651" s="35">
        <v>100</v>
      </c>
      <c r="Z651" s="35"/>
      <c r="AA651" s="35" t="s">
        <v>191</v>
      </c>
      <c r="AB651" s="42" t="str">
        <f t="shared" si="264"/>
        <v>关羽对血量高于&lt;color=#54b76b&gt;75%&lt;/color&gt;的敌人，暴击率&lt;color=#54b76b&gt;+40%&lt;/color&gt;</v>
      </c>
      <c r="AC651" s="35">
        <v>5301249</v>
      </c>
      <c r="AD651" s="35" t="s">
        <v>497</v>
      </c>
      <c r="AE651" s="35">
        <v>4</v>
      </c>
      <c r="AF651" s="35"/>
      <c r="AG651" s="35"/>
      <c r="AH651" s="35">
        <v>1</v>
      </c>
      <c r="AI651" s="36"/>
      <c r="AJ651" s="35" t="s">
        <v>765</v>
      </c>
      <c r="AK651" s="36"/>
      <c r="AL651" s="35">
        <v>4</v>
      </c>
    </row>
    <row r="652" s="25" customFormat="1" hidden="1" customHeight="1" spans="1:38">
      <c r="A652" s="35">
        <v>5510264</v>
      </c>
      <c r="B652" s="55" t="s">
        <v>756</v>
      </c>
      <c r="C652" s="35">
        <v>5301250</v>
      </c>
      <c r="D652" s="36">
        <v>4</v>
      </c>
      <c r="E652" s="36"/>
      <c r="F652" s="35" t="s">
        <v>404</v>
      </c>
      <c r="G652" s="36" t="str">
        <f t="shared" si="265"/>
        <v/>
      </c>
      <c r="H652" s="36" t="str">
        <f>IFERROR(IF(--MID($F652,2*COUNTIF($G652:G652,"&gt;"&amp;0)+2,1)=H$1,H$1,""),"")</f>
        <v/>
      </c>
      <c r="I652" s="36" t="str">
        <f>IFERROR(IF(--MID($F652,2*COUNTIF($G652:H652,"&gt;"&amp;0)+2,1)=I$1,I$1,""),"")</f>
        <v/>
      </c>
      <c r="J652" s="36">
        <f>IFERROR(IF(--MID($F652,2*COUNTIF($G652:I652,"&gt;"&amp;0)+2,1)=J$1,J$1,""),"")</f>
        <v>4</v>
      </c>
      <c r="K652" s="36" t="str">
        <f>IFERROR(IF(--MID($F652,2*COUNTIF($G652:J652,"&gt;"&amp;0)+2,1)=K$1,K$1,""),"")</f>
        <v/>
      </c>
      <c r="L652" s="36" t="str">
        <f>IFERROR(IF(--MID($F652,2*COUNTIF($G652:K652,"&gt;"&amp;0)+2,1)=L$1,L$1,""),"")</f>
        <v/>
      </c>
      <c r="M652" s="51" t="str" cm="1">
        <f t="array" ref="M652">IF($A652="","",IF(G652="","",_xlfn.XLOOKUP($D652&amp;"_"&amp;$AE652,符文权重!$A:$A&amp;"_"&amp;符文权重!$C:$C,符文权重!$D:$D)*$Y652/SUMIFS($Y:$Y,G:G,G652,$D:$D,$D652,$AE:$AE,$AE652)/SUMIF(符文权重!$A:$A,$D652,符文权重!$D:$D)))</f>
        <v/>
      </c>
      <c r="N652" s="51" t="str" cm="1">
        <f t="array" ref="N652">IF($A652="","",IF(H652="","",_xlfn.XLOOKUP($D652&amp;"_"&amp;$AE652,符文权重!$A:$A&amp;"_"&amp;符文权重!$C:$C,符文权重!$D:$D)*$Y652/SUMIFS($Y:$Y,H:H,H652,$D:$D,$D652,$AE:$AE,$AE652)/SUMIF(符文权重!$A:$A,$D652,符文权重!$D:$D)))</f>
        <v/>
      </c>
      <c r="O652" s="51" t="str" cm="1">
        <f t="array" ref="O652">IF($A652="","",IF(I652="","",_xlfn.XLOOKUP($D652&amp;"_"&amp;$AE652,符文权重!$A:$A&amp;"_"&amp;符文权重!$C:$C,符文权重!$D:$D)*$Y652/SUMIFS($Y:$Y,I:I,I652,$D:$D,$D652,$AE:$AE,$AE652)/SUMIF(符文权重!$A:$A,$D652,符文权重!$D:$D)))</f>
        <v/>
      </c>
      <c r="P652" s="51" cm="1">
        <f t="array" ref="P652">IF($A652="","",IF(J652="","",_xlfn.XLOOKUP($D652&amp;"_"&amp;$AE652,符文权重!$A:$A&amp;"_"&amp;符文权重!$C:$C,符文权重!$D:$D)*$Y652/SUMIFS($Y:$Y,J:J,J652,$D:$D,$D652,$AE:$AE,$AE652)/SUMIF(符文权重!$A:$A,$D652,符文权重!$D:$D)))</f>
        <v>0.00262762762762763</v>
      </c>
      <c r="Q652" s="51" t="str" cm="1">
        <f t="array" ref="Q652">IF($A652="","",IF(K652="","",_xlfn.XLOOKUP($D652&amp;"_"&amp;$AE652,符文权重!$A:$A&amp;"_"&amp;符文权重!$C:$C,符文权重!$D:$D)*$Y652/SUMIFS($Y:$Y,K:K,K652,$D:$D,$D652,$AE:$AE,$AE652)/SUMIF(符文权重!$A:$A,$D652,符文权重!$D:$D)))</f>
        <v/>
      </c>
      <c r="R652" s="51" t="str" cm="1">
        <f t="array" ref="R652">IF($A652="","",IF(L652="","",_xlfn.XLOOKUP($D652&amp;"_"&amp;$AE652,符文权重!$A:$A&amp;"_"&amp;符文权重!$C:$C,符文权重!$D:$D)*$Y652/SUMIFS($Y:$Y,L:L,L652,$D:$D,$D652,$AE:$AE,$AE652)/SUMIF(符文权重!$A:$A,$D652,符文权重!$D:$D)))</f>
        <v/>
      </c>
      <c r="S652" s="36" t="s">
        <v>344</v>
      </c>
      <c r="T652" s="36" t="s">
        <v>757</v>
      </c>
      <c r="U652" s="36" t="s">
        <v>420</v>
      </c>
      <c r="V652" s="25" t="s">
        <v>766</v>
      </c>
      <c r="W652" s="36"/>
      <c r="X652" s="35" t="s">
        <v>659</v>
      </c>
      <c r="Y652" s="35">
        <v>100</v>
      </c>
      <c r="Z652" s="35"/>
      <c r="AA652" s="36" t="s">
        <v>185</v>
      </c>
      <c r="AB652" s="42" t="str">
        <f t="shared" si="264"/>
        <v>关羽充能时&lt;color=#54b76b&gt;18%&lt;/color&gt;几率能量上限&lt;color=#54b76b&gt;+50%&lt;/color&gt;，持续到下次充能，最多叠&lt;color=#54b76b&gt;3&lt;/color&gt;次</v>
      </c>
      <c r="AC652" s="35">
        <v>5301250</v>
      </c>
      <c r="AD652" s="36" t="s">
        <v>494</v>
      </c>
      <c r="AE652" s="36">
        <v>8</v>
      </c>
      <c r="AF652" s="36"/>
      <c r="AG652" s="36"/>
      <c r="AH652" s="36">
        <v>1</v>
      </c>
      <c r="AI652" s="36"/>
      <c r="AJ652" s="42" t="s">
        <v>767</v>
      </c>
      <c r="AK652" s="36"/>
      <c r="AL652" s="35">
        <v>4</v>
      </c>
    </row>
    <row r="653" s="25" customFormat="1" hidden="1" customHeight="1" spans="1:38">
      <c r="A653" s="35">
        <v>5510265</v>
      </c>
      <c r="B653" s="35" t="s">
        <v>756</v>
      </c>
      <c r="C653" s="35">
        <v>5301250</v>
      </c>
      <c r="D653" s="35">
        <v>5</v>
      </c>
      <c r="E653" s="35"/>
      <c r="F653" s="35" t="s">
        <v>404</v>
      </c>
      <c r="G653" s="36" t="str">
        <f t="shared" si="265"/>
        <v/>
      </c>
      <c r="H653" s="36" t="str">
        <f>IFERROR(IF(--MID($F653,2*COUNTIF($G653:G653,"&gt;"&amp;0)+2,1)=H$1,H$1,""),"")</f>
        <v/>
      </c>
      <c r="I653" s="36" t="str">
        <f>IFERROR(IF(--MID($F653,2*COUNTIF($G653:H653,"&gt;"&amp;0)+2,1)=I$1,I$1,""),"")</f>
        <v/>
      </c>
      <c r="J653" s="36">
        <f>IFERROR(IF(--MID($F653,2*COUNTIF($G653:I653,"&gt;"&amp;0)+2,1)=J$1,J$1,""),"")</f>
        <v>4</v>
      </c>
      <c r="K653" s="36" t="str">
        <f>IFERROR(IF(--MID($F653,2*COUNTIF($G653:J653,"&gt;"&amp;0)+2,1)=K$1,K$1,""),"")</f>
        <v/>
      </c>
      <c r="L653" s="36" t="str">
        <f>IFERROR(IF(--MID($F653,2*COUNTIF($G653:K653,"&gt;"&amp;0)+2,1)=L$1,L$1,""),"")</f>
        <v/>
      </c>
      <c r="M653" s="51" t="str" cm="1">
        <f t="array" ref="M653">IF($A653="","",IF(G653="","",_xlfn.XLOOKUP($D653&amp;"_"&amp;$AE653,符文权重!$A:$A&amp;"_"&amp;符文权重!$C:$C,符文权重!$D:$D)*$Y653/SUMIFS($Y:$Y,G:G,G653,$D:$D,$D653,$AE:$AE,$AE653)/SUMIF(符文权重!$A:$A,$D653,符文权重!$D:$D)))</f>
        <v/>
      </c>
      <c r="N653" s="51" t="str" cm="1">
        <f t="array" ref="N653">IF($A653="","",IF(H653="","",_xlfn.XLOOKUP($D653&amp;"_"&amp;$AE653,符文权重!$A:$A&amp;"_"&amp;符文权重!$C:$C,符文权重!$D:$D)*$Y653/SUMIFS($Y:$Y,H:H,H653,$D:$D,$D653,$AE:$AE,$AE653)/SUMIF(符文权重!$A:$A,$D653,符文权重!$D:$D)))</f>
        <v/>
      </c>
      <c r="O653" s="51" t="str" cm="1">
        <f t="array" ref="O653">IF($A653="","",IF(I653="","",_xlfn.XLOOKUP($D653&amp;"_"&amp;$AE653,符文权重!$A:$A&amp;"_"&amp;符文权重!$C:$C,符文权重!$D:$D)*$Y653/SUMIFS($Y:$Y,I:I,I653,$D:$D,$D653,$AE:$AE,$AE653)/SUMIF(符文权重!$A:$A,$D653,符文权重!$D:$D)))</f>
        <v/>
      </c>
      <c r="P653" s="51" cm="1">
        <f t="array" ref="P653">IF($A653="","",IF(J653="","",_xlfn.XLOOKUP($D653&amp;"_"&amp;$AE653,符文权重!$A:$A&amp;"_"&amp;符文权重!$C:$C,符文权重!$D:$D)*$Y653/SUMIFS($Y:$Y,J:J,J653,$D:$D,$D653,$AE:$AE,$AE653)/SUMIF(符文权重!$A:$A,$D653,符文权重!$D:$D)))</f>
        <v>0.0063125</v>
      </c>
      <c r="Q653" s="51" t="str" cm="1">
        <f t="array" ref="Q653">IF($A653="","",IF(K653="","",_xlfn.XLOOKUP($D653&amp;"_"&amp;$AE653,符文权重!$A:$A&amp;"_"&amp;符文权重!$C:$C,符文权重!$D:$D)*$Y653/SUMIFS($Y:$Y,K:K,K653,$D:$D,$D653,$AE:$AE,$AE653)/SUMIF(符文权重!$A:$A,$D653,符文权重!$D:$D)))</f>
        <v/>
      </c>
      <c r="R653" s="51" t="str" cm="1">
        <f t="array" ref="R653">IF($A653="","",IF(L653="","",_xlfn.XLOOKUP($D653&amp;"_"&amp;$AE653,符文权重!$A:$A&amp;"_"&amp;符文权重!$C:$C,符文权重!$D:$D)*$Y653/SUMIFS($Y:$Y,L:L,L653,$D:$D,$D653,$AE:$AE,$AE653)/SUMIF(符文权重!$A:$A,$D653,符文权重!$D:$D)))</f>
        <v/>
      </c>
      <c r="S653" s="35" t="s">
        <v>344</v>
      </c>
      <c r="T653" s="35" t="s">
        <v>757</v>
      </c>
      <c r="U653" s="35" t="s">
        <v>423</v>
      </c>
      <c r="V653" s="35" t="s">
        <v>768</v>
      </c>
      <c r="X653" s="35" t="s">
        <v>636</v>
      </c>
      <c r="Y653" s="35">
        <v>100</v>
      </c>
      <c r="AA653" s="35" t="s">
        <v>187</v>
      </c>
      <c r="AB653" s="42" t="str">
        <f t="shared" si="264"/>
        <v>关羽充能时&lt;color=#54b76b&gt;25%&lt;/color&gt;几率能量上限&lt;color=#54b76b&gt;+50%&lt;/color&gt;，持续到下次充能，最多叠&lt;color=#54b76b&gt;3&lt;/color&gt;次</v>
      </c>
      <c r="AC653" s="35">
        <v>5301250</v>
      </c>
      <c r="AD653" s="35" t="s">
        <v>431</v>
      </c>
      <c r="AE653" s="35">
        <v>4</v>
      </c>
      <c r="AH653" s="35">
        <v>1</v>
      </c>
      <c r="AI653" s="36"/>
      <c r="AJ653" s="35" t="s">
        <v>769</v>
      </c>
      <c r="AK653" s="36"/>
      <c r="AL653" s="35">
        <v>4</v>
      </c>
    </row>
    <row r="654" s="25" customFormat="1" hidden="1" customHeight="1" spans="1:38">
      <c r="A654" s="35">
        <v>5510266</v>
      </c>
      <c r="B654" s="35" t="s">
        <v>756</v>
      </c>
      <c r="C654" s="35">
        <v>5301250</v>
      </c>
      <c r="D654" s="35">
        <v>6</v>
      </c>
      <c r="E654" s="35"/>
      <c r="F654" s="35" t="s">
        <v>404</v>
      </c>
      <c r="G654" s="36" t="str">
        <f t="shared" si="265"/>
        <v/>
      </c>
      <c r="H654" s="36" t="str">
        <f>IFERROR(IF(--MID($F654,2*COUNTIF($G654:G654,"&gt;"&amp;0)+2,1)=H$1,H$1,""),"")</f>
        <v/>
      </c>
      <c r="I654" s="36" t="str">
        <f>IFERROR(IF(--MID($F654,2*COUNTIF($G654:H654,"&gt;"&amp;0)+2,1)=I$1,I$1,""),"")</f>
        <v/>
      </c>
      <c r="J654" s="36">
        <f>IFERROR(IF(--MID($F654,2*COUNTIF($G654:I654,"&gt;"&amp;0)+2,1)=J$1,J$1,""),"")</f>
        <v>4</v>
      </c>
      <c r="K654" s="36" t="str">
        <f>IFERROR(IF(--MID($F654,2*COUNTIF($G654:J654,"&gt;"&amp;0)+2,1)=K$1,K$1,""),"")</f>
        <v/>
      </c>
      <c r="L654" s="36" t="str">
        <f>IFERROR(IF(--MID($F654,2*COUNTIF($G654:K654,"&gt;"&amp;0)+2,1)=L$1,L$1,""),"")</f>
        <v/>
      </c>
      <c r="M654" s="51" t="str" cm="1">
        <f t="array" ref="M654">IF($A654="","",IF(G654="","",_xlfn.XLOOKUP($D654&amp;"_"&amp;$AE654,符文权重!$A:$A&amp;"_"&amp;符文权重!$C:$C,符文权重!$D:$D)*$Y654/SUMIFS($Y:$Y,G:G,G654,$D:$D,$D654,$AE:$AE,$AE654)/SUMIF(符文权重!$A:$A,$D654,符文权重!$D:$D)))</f>
        <v/>
      </c>
      <c r="N654" s="51" t="str" cm="1">
        <f t="array" ref="N654">IF($A654="","",IF(H654="","",_xlfn.XLOOKUP($D654&amp;"_"&amp;$AE654,符文权重!$A:$A&amp;"_"&amp;符文权重!$C:$C,符文权重!$D:$D)*$Y654/SUMIFS($Y:$Y,H:H,H654,$D:$D,$D654,$AE:$AE,$AE654)/SUMIF(符文权重!$A:$A,$D654,符文权重!$D:$D)))</f>
        <v/>
      </c>
      <c r="O654" s="51" t="str" cm="1">
        <f t="array" ref="O654">IF($A654="","",IF(I654="","",_xlfn.XLOOKUP($D654&amp;"_"&amp;$AE654,符文权重!$A:$A&amp;"_"&amp;符文权重!$C:$C,符文权重!$D:$D)*$Y654/SUMIFS($Y:$Y,I:I,I654,$D:$D,$D654,$AE:$AE,$AE654)/SUMIF(符文权重!$A:$A,$D654,符文权重!$D:$D)))</f>
        <v/>
      </c>
      <c r="P654" s="51" cm="1">
        <f t="array" ref="P654">IF($A654="","",IF(J654="","",_xlfn.XLOOKUP($D654&amp;"_"&amp;$AE654,符文权重!$A:$A&amp;"_"&amp;符文权重!$C:$C,符文权重!$D:$D)*$Y654/SUMIFS($Y:$Y,J:J,J654,$D:$D,$D654,$AE:$AE,$AE654)/SUMIF(符文权重!$A:$A,$D654,符文权重!$D:$D)))</f>
        <v>0.0063125</v>
      </c>
      <c r="Q654" s="51" t="str" cm="1">
        <f t="array" ref="Q654">IF($A654="","",IF(K654="","",_xlfn.XLOOKUP($D654&amp;"_"&amp;$AE654,符文权重!$A:$A&amp;"_"&amp;符文权重!$C:$C,符文权重!$D:$D)*$Y654/SUMIFS($Y:$Y,K:K,K654,$D:$D,$D654,$AE:$AE,$AE654)/SUMIF(符文权重!$A:$A,$D654,符文权重!$D:$D)))</f>
        <v/>
      </c>
      <c r="R654" s="51" t="str" cm="1">
        <f t="array" ref="R654">IF($A654="","",IF(L654="","",_xlfn.XLOOKUP($D654&amp;"_"&amp;$AE654,符文权重!$A:$A&amp;"_"&amp;符文权重!$C:$C,符文权重!$D:$D)*$Y654/SUMIFS($Y:$Y,L:L,L654,$D:$D,$D654,$AE:$AE,$AE654)/SUMIF(符文权重!$A:$A,$D654,符文权重!$D:$D)))</f>
        <v/>
      </c>
      <c r="S654" s="35" t="s">
        <v>344</v>
      </c>
      <c r="T654" s="35" t="s">
        <v>757</v>
      </c>
      <c r="U654" s="35" t="s">
        <v>426</v>
      </c>
      <c r="V654" s="35" t="s">
        <v>770</v>
      </c>
      <c r="W654" s="35"/>
      <c r="X654" s="35" t="s">
        <v>656</v>
      </c>
      <c r="Y654" s="35">
        <v>100</v>
      </c>
      <c r="Z654" s="35"/>
      <c r="AA654" s="35" t="s">
        <v>189</v>
      </c>
      <c r="AB654" s="42" t="str">
        <f t="shared" si="264"/>
        <v>关羽充能时&lt;color=#54b76b&gt;35%&lt;/color&gt;几率能量上限&lt;color=#54b76b&gt;+50%&lt;/color&gt;，持续到下次充能，最多叠&lt;color=#54b76b&gt;3&lt;/color&gt;次</v>
      </c>
      <c r="AC654" s="35">
        <v>5301250</v>
      </c>
      <c r="AD654" s="35" t="s">
        <v>447</v>
      </c>
      <c r="AE654" s="35">
        <v>4</v>
      </c>
      <c r="AF654" s="35"/>
      <c r="AG654" s="35"/>
      <c r="AH654" s="35">
        <v>1</v>
      </c>
      <c r="AI654" s="36"/>
      <c r="AJ654" s="35" t="s">
        <v>771</v>
      </c>
      <c r="AK654" s="36"/>
      <c r="AL654" s="35">
        <v>4</v>
      </c>
    </row>
    <row r="655" s="25" customFormat="1" hidden="1" customHeight="1" spans="1:38">
      <c r="A655" s="35">
        <v>5510267</v>
      </c>
      <c r="B655" s="35" t="s">
        <v>756</v>
      </c>
      <c r="C655" s="35">
        <v>5301250</v>
      </c>
      <c r="D655" s="35">
        <v>7</v>
      </c>
      <c r="E655" s="35"/>
      <c r="F655" s="35" t="s">
        <v>404</v>
      </c>
      <c r="G655" s="36" t="str">
        <f t="shared" si="265"/>
        <v/>
      </c>
      <c r="H655" s="36" t="str">
        <f>IFERROR(IF(--MID($F655,2*COUNTIF($G655:G655,"&gt;"&amp;0)+2,1)=H$1,H$1,""),"")</f>
        <v/>
      </c>
      <c r="I655" s="36" t="str">
        <f>IFERROR(IF(--MID($F655,2*COUNTIF($G655:H655,"&gt;"&amp;0)+2,1)=I$1,I$1,""),"")</f>
        <v/>
      </c>
      <c r="J655" s="36">
        <f>IFERROR(IF(--MID($F655,2*COUNTIF($G655:I655,"&gt;"&amp;0)+2,1)=J$1,J$1,""),"")</f>
        <v>4</v>
      </c>
      <c r="K655" s="36" t="str">
        <f>IFERROR(IF(--MID($F655,2*COUNTIF($G655:J655,"&gt;"&amp;0)+2,1)=K$1,K$1,""),"")</f>
        <v/>
      </c>
      <c r="L655" s="36" t="str">
        <f>IFERROR(IF(--MID($F655,2*COUNTIF($G655:K655,"&gt;"&amp;0)+2,1)=L$1,L$1,""),"")</f>
        <v/>
      </c>
      <c r="M655" s="51" t="str" cm="1">
        <f t="array" ref="M655">IF($A655="","",IF(G655="","",_xlfn.XLOOKUP($D655&amp;"_"&amp;$AE655,符文权重!$A:$A&amp;"_"&amp;符文权重!$C:$C,符文权重!$D:$D)*$Y655/SUMIFS($Y:$Y,G:G,G655,$D:$D,$D655,$AE:$AE,$AE655)/SUMIF(符文权重!$A:$A,$D655,符文权重!$D:$D)))</f>
        <v/>
      </c>
      <c r="N655" s="51" t="str" cm="1">
        <f t="array" ref="N655">IF($A655="","",IF(H655="","",_xlfn.XLOOKUP($D655&amp;"_"&amp;$AE655,符文权重!$A:$A&amp;"_"&amp;符文权重!$C:$C,符文权重!$D:$D)*$Y655/SUMIFS($Y:$Y,H:H,H655,$D:$D,$D655,$AE:$AE,$AE655)/SUMIF(符文权重!$A:$A,$D655,符文权重!$D:$D)))</f>
        <v/>
      </c>
      <c r="O655" s="51" t="str" cm="1">
        <f t="array" ref="O655">IF($A655="","",IF(I655="","",_xlfn.XLOOKUP($D655&amp;"_"&amp;$AE655,符文权重!$A:$A&amp;"_"&amp;符文权重!$C:$C,符文权重!$D:$D)*$Y655/SUMIFS($Y:$Y,I:I,I655,$D:$D,$D655,$AE:$AE,$AE655)/SUMIF(符文权重!$A:$A,$D655,符文权重!$D:$D)))</f>
        <v/>
      </c>
      <c r="P655" s="51" cm="1">
        <f t="array" ref="P655">IF($A655="","",IF(J655="","",_xlfn.XLOOKUP($D655&amp;"_"&amp;$AE655,符文权重!$A:$A&amp;"_"&amp;符文权重!$C:$C,符文权重!$D:$D)*$Y655/SUMIFS($Y:$Y,J:J,J655,$D:$D,$D655,$AE:$AE,$AE655)/SUMIF(符文权重!$A:$A,$D655,符文权重!$D:$D)))</f>
        <v>0.0063125</v>
      </c>
      <c r="Q655" s="51" t="str" cm="1">
        <f t="array" ref="Q655">IF($A655="","",IF(K655="","",_xlfn.XLOOKUP($D655&amp;"_"&amp;$AE655,符文权重!$A:$A&amp;"_"&amp;符文权重!$C:$C,符文权重!$D:$D)*$Y655/SUMIFS($Y:$Y,K:K,K655,$D:$D,$D655,$AE:$AE,$AE655)/SUMIF(符文权重!$A:$A,$D655,符文权重!$D:$D)))</f>
        <v/>
      </c>
      <c r="R655" s="51" t="str" cm="1">
        <f t="array" ref="R655">IF($A655="","",IF(L655="","",_xlfn.XLOOKUP($D655&amp;"_"&amp;$AE655,符文权重!$A:$A&amp;"_"&amp;符文权重!$C:$C,符文权重!$D:$D)*$Y655/SUMIFS($Y:$Y,L:L,L655,$D:$D,$D655,$AE:$AE,$AE655)/SUMIF(符文权重!$A:$A,$D655,符文权重!$D:$D)))</f>
        <v/>
      </c>
      <c r="S655" s="35" t="s">
        <v>344</v>
      </c>
      <c r="T655" s="35" t="s">
        <v>757</v>
      </c>
      <c r="U655" s="35" t="s">
        <v>429</v>
      </c>
      <c r="V655" s="35" t="s">
        <v>772</v>
      </c>
      <c r="X655" s="35" t="s">
        <v>659</v>
      </c>
      <c r="Y655" s="35">
        <v>100</v>
      </c>
      <c r="AA655" s="35" t="s">
        <v>191</v>
      </c>
      <c r="AB655" s="42" t="str">
        <f t="shared" si="264"/>
        <v>关羽充能时&lt;color=#54b76b&gt;45%&lt;/color&gt;几率能量上限&lt;color=#54b76b&gt;+50%&lt;/color&gt;，持续到下次充能，最多叠&lt;color=#54b76b&gt;3&lt;/color&gt;次</v>
      </c>
      <c r="AC655" s="35">
        <v>5301250</v>
      </c>
      <c r="AD655" s="35" t="s">
        <v>474</v>
      </c>
      <c r="AE655" s="35">
        <v>4</v>
      </c>
      <c r="AH655" s="35">
        <v>1</v>
      </c>
      <c r="AI655" s="36"/>
      <c r="AJ655" s="35" t="s">
        <v>773</v>
      </c>
      <c r="AK655" s="36"/>
      <c r="AL655" s="35">
        <v>4</v>
      </c>
    </row>
    <row r="656" s="25" customFormat="1" hidden="1" customHeight="1" spans="1:38">
      <c r="A656" s="35">
        <v>5510274</v>
      </c>
      <c r="B656" s="55" t="s">
        <v>756</v>
      </c>
      <c r="C656" s="35">
        <v>5301251</v>
      </c>
      <c r="D656" s="36">
        <v>4</v>
      </c>
      <c r="E656" s="36"/>
      <c r="F656" s="35" t="s">
        <v>230</v>
      </c>
      <c r="G656" s="36" t="str">
        <f t="shared" si="265"/>
        <v/>
      </c>
      <c r="H656" s="36" t="str">
        <f>IFERROR(IF(--MID($F656,2*COUNTIF($G656:G656,"&gt;"&amp;0)+2,1)=H$1,H$1,""),"")</f>
        <v/>
      </c>
      <c r="I656" s="36" t="str">
        <f>IFERROR(IF(--MID($F656,2*COUNTIF($G656:H656,"&gt;"&amp;0)+2,1)=I$1,I$1,""),"")</f>
        <v/>
      </c>
      <c r="J656" s="36" t="str">
        <f>IFERROR(IF(--MID($F656,2*COUNTIF($G656:I656,"&gt;"&amp;0)+2,1)=J$1,J$1,""),"")</f>
        <v/>
      </c>
      <c r="K656" s="36">
        <f>IFERROR(IF(--MID($F656,2*COUNTIF($G656:J656,"&gt;"&amp;0)+2,1)=K$1,K$1,""),"")</f>
        <v>5</v>
      </c>
      <c r="L656" s="36" t="str">
        <f>IFERROR(IF(--MID($F656,2*COUNTIF($G656:K656,"&gt;"&amp;0)+2,1)=L$1,L$1,""),"")</f>
        <v/>
      </c>
      <c r="M656" s="51" t="str" cm="1">
        <f t="array" ref="M656">IF($A656="","",IF(G656="","",_xlfn.XLOOKUP($D656&amp;"_"&amp;$AE656,符文权重!$A:$A&amp;"_"&amp;符文权重!$C:$C,符文权重!$D:$D)*$Y656/SUMIFS($Y:$Y,G:G,G656,$D:$D,$D656,$AE:$AE,$AE656)/SUMIF(符文权重!$A:$A,$D656,符文权重!$D:$D)))</f>
        <v/>
      </c>
      <c r="N656" s="51" t="str" cm="1">
        <f t="array" ref="N656">IF($A656="","",IF(H656="","",_xlfn.XLOOKUP($D656&amp;"_"&amp;$AE656,符文权重!$A:$A&amp;"_"&amp;符文权重!$C:$C,符文权重!$D:$D)*$Y656/SUMIFS($Y:$Y,H:H,H656,$D:$D,$D656,$AE:$AE,$AE656)/SUMIF(符文权重!$A:$A,$D656,符文权重!$D:$D)))</f>
        <v/>
      </c>
      <c r="O656" s="51" t="str" cm="1">
        <f t="array" ref="O656">IF($A656="","",IF(I656="","",_xlfn.XLOOKUP($D656&amp;"_"&amp;$AE656,符文权重!$A:$A&amp;"_"&amp;符文权重!$C:$C,符文权重!$D:$D)*$Y656/SUMIFS($Y:$Y,I:I,I656,$D:$D,$D656,$AE:$AE,$AE656)/SUMIF(符文权重!$A:$A,$D656,符文权重!$D:$D)))</f>
        <v/>
      </c>
      <c r="P656" s="51" t="str" cm="1">
        <f t="array" ref="P656">IF($A656="","",IF(J656="","",_xlfn.XLOOKUP($D656&amp;"_"&amp;$AE656,符文权重!$A:$A&amp;"_"&amp;符文权重!$C:$C,符文权重!$D:$D)*$Y656/SUMIFS($Y:$Y,J:J,J656,$D:$D,$D656,$AE:$AE,$AE656)/SUMIF(符文权重!$A:$A,$D656,符文权重!$D:$D)))</f>
        <v/>
      </c>
      <c r="Q656" s="51" cm="1">
        <f t="array" ref="Q656">IF($A656="","",IF(K656="","",_xlfn.XLOOKUP($D656&amp;"_"&amp;$AE656,符文权重!$A:$A&amp;"_"&amp;符文权重!$C:$C,符文权重!$D:$D)*$Y656/SUMIFS($Y:$Y,K:K,K656,$D:$D,$D656,$AE:$AE,$AE656)/SUMIF(符文权重!$A:$A,$D656,符文权重!$D:$D)))</f>
        <v>0.00262762762762763</v>
      </c>
      <c r="R656" s="51" t="str" cm="1">
        <f t="array" ref="R656">IF($A656="","",IF(L656="","",_xlfn.XLOOKUP($D656&amp;"_"&amp;$AE656,符文权重!$A:$A&amp;"_"&amp;符文权重!$C:$C,符文权重!$D:$D)*$Y656/SUMIFS($Y:$Y,L:L,L656,$D:$D,$D656,$AE:$AE,$AE656)/SUMIF(符文权重!$A:$A,$D656,符文权重!$D:$D)))</f>
        <v/>
      </c>
      <c r="S656" s="36" t="s">
        <v>344</v>
      </c>
      <c r="T656" s="36" t="s">
        <v>757</v>
      </c>
      <c r="U656" s="36" t="s">
        <v>420</v>
      </c>
      <c r="V656" s="25" t="s">
        <v>774</v>
      </c>
      <c r="W656" s="36" t="s">
        <v>775</v>
      </c>
      <c r="X656" s="35" t="s">
        <v>659</v>
      </c>
      <c r="Y656" s="35">
        <v>100</v>
      </c>
      <c r="Z656" s="35"/>
      <c r="AA656" s="36" t="s">
        <v>185</v>
      </c>
      <c r="AB656" s="42" t="str">
        <f t="shared" si="264"/>
        <v>关羽的攻击距离&lt;color=#54b76b&gt;+20%&lt;/color&gt;，伤害&lt;color=#54b76b&gt;+8%&lt;/color&gt;</v>
      </c>
      <c r="AC656" s="35">
        <v>5301251</v>
      </c>
      <c r="AD656" s="36" t="s">
        <v>419</v>
      </c>
      <c r="AE656" s="36">
        <v>8</v>
      </c>
      <c r="AF656" s="36"/>
      <c r="AG656" s="36"/>
      <c r="AH656" s="36">
        <v>1</v>
      </c>
      <c r="AI656" s="36"/>
      <c r="AJ656" s="42" t="s">
        <v>776</v>
      </c>
      <c r="AK656" s="36"/>
      <c r="AL656" s="35">
        <v>4</v>
      </c>
    </row>
    <row r="657" s="25" customFormat="1" hidden="1" customHeight="1" spans="1:38">
      <c r="A657" s="35">
        <v>5510275</v>
      </c>
      <c r="B657" s="35" t="s">
        <v>756</v>
      </c>
      <c r="C657" s="35">
        <v>5301251</v>
      </c>
      <c r="D657" s="35">
        <v>5</v>
      </c>
      <c r="E657" s="35"/>
      <c r="F657" s="35" t="s">
        <v>230</v>
      </c>
      <c r="G657" s="36" t="str">
        <f t="shared" si="265"/>
        <v/>
      </c>
      <c r="H657" s="36" t="str">
        <f>IFERROR(IF(--MID($F657,2*COUNTIF($G657:G657,"&gt;"&amp;0)+2,1)=H$1,H$1,""),"")</f>
        <v/>
      </c>
      <c r="I657" s="36" t="str">
        <f>IFERROR(IF(--MID($F657,2*COUNTIF($G657:H657,"&gt;"&amp;0)+2,1)=I$1,I$1,""),"")</f>
        <v/>
      </c>
      <c r="J657" s="36" t="str">
        <f>IFERROR(IF(--MID($F657,2*COUNTIF($G657:I657,"&gt;"&amp;0)+2,1)=J$1,J$1,""),"")</f>
        <v/>
      </c>
      <c r="K657" s="36">
        <f>IFERROR(IF(--MID($F657,2*COUNTIF($G657:J657,"&gt;"&amp;0)+2,1)=K$1,K$1,""),"")</f>
        <v>5</v>
      </c>
      <c r="L657" s="36" t="str">
        <f>IFERROR(IF(--MID($F657,2*COUNTIF($G657:K657,"&gt;"&amp;0)+2,1)=L$1,L$1,""),"")</f>
        <v/>
      </c>
      <c r="M657" s="51" t="str" cm="1">
        <f t="array" ref="M657">IF($A657="","",IF(G657="","",_xlfn.XLOOKUP($D657&amp;"_"&amp;$AE657,符文权重!$A:$A&amp;"_"&amp;符文权重!$C:$C,符文权重!$D:$D)*$Y657/SUMIFS($Y:$Y,G:G,G657,$D:$D,$D657,$AE:$AE,$AE657)/SUMIF(符文权重!$A:$A,$D657,符文权重!$D:$D)))</f>
        <v/>
      </c>
      <c r="N657" s="51" t="str" cm="1">
        <f t="array" ref="N657">IF($A657="","",IF(H657="","",_xlfn.XLOOKUP($D657&amp;"_"&amp;$AE657,符文权重!$A:$A&amp;"_"&amp;符文权重!$C:$C,符文权重!$D:$D)*$Y657/SUMIFS($Y:$Y,H:H,H657,$D:$D,$D657,$AE:$AE,$AE657)/SUMIF(符文权重!$A:$A,$D657,符文权重!$D:$D)))</f>
        <v/>
      </c>
      <c r="O657" s="51" t="str" cm="1">
        <f t="array" ref="O657">IF($A657="","",IF(I657="","",_xlfn.XLOOKUP($D657&amp;"_"&amp;$AE657,符文权重!$A:$A&amp;"_"&amp;符文权重!$C:$C,符文权重!$D:$D)*$Y657/SUMIFS($Y:$Y,I:I,I657,$D:$D,$D657,$AE:$AE,$AE657)/SUMIF(符文权重!$A:$A,$D657,符文权重!$D:$D)))</f>
        <v/>
      </c>
      <c r="P657" s="51" t="str" cm="1">
        <f t="array" ref="P657">IF($A657="","",IF(J657="","",_xlfn.XLOOKUP($D657&amp;"_"&amp;$AE657,符文权重!$A:$A&amp;"_"&amp;符文权重!$C:$C,符文权重!$D:$D)*$Y657/SUMIFS($Y:$Y,J:J,J657,$D:$D,$D657,$AE:$AE,$AE657)/SUMIF(符文权重!$A:$A,$D657,符文权重!$D:$D)))</f>
        <v/>
      </c>
      <c r="Q657" s="51" cm="1">
        <f t="array" ref="Q657">IF($A657="","",IF(K657="","",_xlfn.XLOOKUP($D657&amp;"_"&amp;$AE657,符文权重!$A:$A&amp;"_"&amp;符文权重!$C:$C,符文权重!$D:$D)*$Y657/SUMIFS($Y:$Y,K:K,K657,$D:$D,$D657,$AE:$AE,$AE657)/SUMIF(符文权重!$A:$A,$D657,符文权重!$D:$D)))</f>
        <v>0.00721428571428571</v>
      </c>
      <c r="R657" s="51" t="str" cm="1">
        <f t="array" ref="R657">IF($A657="","",IF(L657="","",_xlfn.XLOOKUP($D657&amp;"_"&amp;$AE657,符文权重!$A:$A&amp;"_"&amp;符文权重!$C:$C,符文权重!$D:$D)*$Y657/SUMIFS($Y:$Y,L:L,L657,$D:$D,$D657,$AE:$AE,$AE657)/SUMIF(符文权重!$A:$A,$D657,符文权重!$D:$D)))</f>
        <v/>
      </c>
      <c r="S657" s="35" t="s">
        <v>344</v>
      </c>
      <c r="T657" s="35" t="s">
        <v>757</v>
      </c>
      <c r="U657" s="35" t="s">
        <v>423</v>
      </c>
      <c r="V657" s="35" t="s">
        <v>777</v>
      </c>
      <c r="W657" s="35" t="s">
        <v>443</v>
      </c>
      <c r="X657" s="35" t="s">
        <v>636</v>
      </c>
      <c r="Y657" s="35">
        <v>100</v>
      </c>
      <c r="Z657" s="35"/>
      <c r="AA657" s="35" t="s">
        <v>187</v>
      </c>
      <c r="AB657" s="42" t="str">
        <f t="shared" si="264"/>
        <v>关羽的攻击距离&lt;color=#54b76b&gt;+20%&lt;/color&gt;，伤害&lt;color=#54b76b&gt;+15%&lt;/color&gt;</v>
      </c>
      <c r="AC657" s="35">
        <v>5301251</v>
      </c>
      <c r="AD657" s="35" t="s">
        <v>425</v>
      </c>
      <c r="AE657" s="35">
        <v>4</v>
      </c>
      <c r="AF657" s="35"/>
      <c r="AG657" s="35"/>
      <c r="AH657" s="35">
        <v>1</v>
      </c>
      <c r="AI657" s="36"/>
      <c r="AJ657" s="35" t="s">
        <v>778</v>
      </c>
      <c r="AK657" s="36"/>
      <c r="AL657" s="35">
        <v>4</v>
      </c>
    </row>
    <row r="658" s="25" customFormat="1" hidden="1" customHeight="1" spans="1:38">
      <c r="A658" s="35">
        <v>5510276</v>
      </c>
      <c r="B658" s="35" t="s">
        <v>756</v>
      </c>
      <c r="C658" s="35">
        <v>5301251</v>
      </c>
      <c r="D658" s="35">
        <v>6</v>
      </c>
      <c r="E658" s="35"/>
      <c r="F658" s="35" t="s">
        <v>230</v>
      </c>
      <c r="G658" s="36" t="str">
        <f t="shared" si="265"/>
        <v/>
      </c>
      <c r="H658" s="36" t="str">
        <f>IFERROR(IF(--MID($F658,2*COUNTIF($G658:G658,"&gt;"&amp;0)+2,1)=H$1,H$1,""),"")</f>
        <v/>
      </c>
      <c r="I658" s="36" t="str">
        <f>IFERROR(IF(--MID($F658,2*COUNTIF($G658:H658,"&gt;"&amp;0)+2,1)=I$1,I$1,""),"")</f>
        <v/>
      </c>
      <c r="J658" s="36" t="str">
        <f>IFERROR(IF(--MID($F658,2*COUNTIF($G658:I658,"&gt;"&amp;0)+2,1)=J$1,J$1,""),"")</f>
        <v/>
      </c>
      <c r="K658" s="36">
        <f>IFERROR(IF(--MID($F658,2*COUNTIF($G658:J658,"&gt;"&amp;0)+2,1)=K$1,K$1,""),"")</f>
        <v>5</v>
      </c>
      <c r="L658" s="36" t="str">
        <f>IFERROR(IF(--MID($F658,2*COUNTIF($G658:K658,"&gt;"&amp;0)+2,1)=L$1,L$1,""),"")</f>
        <v/>
      </c>
      <c r="M658" s="51" t="str" cm="1">
        <f t="array" ref="M658">IF($A658="","",IF(G658="","",_xlfn.XLOOKUP($D658&amp;"_"&amp;$AE658,符文权重!$A:$A&amp;"_"&amp;符文权重!$C:$C,符文权重!$D:$D)*$Y658/SUMIFS($Y:$Y,G:G,G658,$D:$D,$D658,$AE:$AE,$AE658)/SUMIF(符文权重!$A:$A,$D658,符文权重!$D:$D)))</f>
        <v/>
      </c>
      <c r="N658" s="51" t="str" cm="1">
        <f t="array" ref="N658">IF($A658="","",IF(H658="","",_xlfn.XLOOKUP($D658&amp;"_"&amp;$AE658,符文权重!$A:$A&amp;"_"&amp;符文权重!$C:$C,符文权重!$D:$D)*$Y658/SUMIFS($Y:$Y,H:H,H658,$D:$D,$D658,$AE:$AE,$AE658)/SUMIF(符文权重!$A:$A,$D658,符文权重!$D:$D)))</f>
        <v/>
      </c>
      <c r="O658" s="51" t="str" cm="1">
        <f t="array" ref="O658">IF($A658="","",IF(I658="","",_xlfn.XLOOKUP($D658&amp;"_"&amp;$AE658,符文权重!$A:$A&amp;"_"&amp;符文权重!$C:$C,符文权重!$D:$D)*$Y658/SUMIFS($Y:$Y,I:I,I658,$D:$D,$D658,$AE:$AE,$AE658)/SUMIF(符文权重!$A:$A,$D658,符文权重!$D:$D)))</f>
        <v/>
      </c>
      <c r="P658" s="51" t="str" cm="1">
        <f t="array" ref="P658">IF($A658="","",IF(J658="","",_xlfn.XLOOKUP($D658&amp;"_"&amp;$AE658,符文权重!$A:$A&amp;"_"&amp;符文权重!$C:$C,符文权重!$D:$D)*$Y658/SUMIFS($Y:$Y,J:J,J658,$D:$D,$D658,$AE:$AE,$AE658)/SUMIF(符文权重!$A:$A,$D658,符文权重!$D:$D)))</f>
        <v/>
      </c>
      <c r="Q658" s="51" cm="1">
        <f t="array" ref="Q658">IF($A658="","",IF(K658="","",_xlfn.XLOOKUP($D658&amp;"_"&amp;$AE658,符文权重!$A:$A&amp;"_"&amp;符文权重!$C:$C,符文权重!$D:$D)*$Y658/SUMIFS($Y:$Y,K:K,K658,$D:$D,$D658,$AE:$AE,$AE658)/SUMIF(符文权重!$A:$A,$D658,符文权重!$D:$D)))</f>
        <v>0.00721428571428571</v>
      </c>
      <c r="R658" s="51" t="str" cm="1">
        <f t="array" ref="R658">IF($A658="","",IF(L658="","",_xlfn.XLOOKUP($D658&amp;"_"&amp;$AE658,符文权重!$A:$A&amp;"_"&amp;符文权重!$C:$C,符文权重!$D:$D)*$Y658/SUMIFS($Y:$Y,L:L,L658,$D:$D,$D658,$AE:$AE,$AE658)/SUMIF(符文权重!$A:$A,$D658,符文权重!$D:$D)))</f>
        <v/>
      </c>
      <c r="S658" s="35" t="s">
        <v>344</v>
      </c>
      <c r="T658" s="35" t="s">
        <v>757</v>
      </c>
      <c r="U658" s="35" t="s">
        <v>426</v>
      </c>
      <c r="V658" s="35" t="s">
        <v>779</v>
      </c>
      <c r="W658" s="35" t="s">
        <v>780</v>
      </c>
      <c r="X658" s="35" t="s">
        <v>656</v>
      </c>
      <c r="Y658" s="35">
        <v>100</v>
      </c>
      <c r="Z658" s="35"/>
      <c r="AA658" s="35" t="s">
        <v>189</v>
      </c>
      <c r="AB658" s="42" t="str">
        <f t="shared" si="264"/>
        <v>关羽的攻击距离&lt;color=#54b76b&gt;+20%&lt;/color&gt;，伤害&lt;color=#54b76b&gt;+30%&lt;/color&gt;</v>
      </c>
      <c r="AC658" s="35">
        <v>5301251</v>
      </c>
      <c r="AD658" s="35" t="s">
        <v>487</v>
      </c>
      <c r="AE658" s="35">
        <v>4</v>
      </c>
      <c r="AF658" s="35"/>
      <c r="AG658" s="35"/>
      <c r="AH658" s="35">
        <v>1</v>
      </c>
      <c r="AI658" s="36"/>
      <c r="AJ658" s="35" t="s">
        <v>781</v>
      </c>
      <c r="AK658" s="36"/>
      <c r="AL658" s="35">
        <v>4</v>
      </c>
    </row>
    <row r="659" s="25" customFormat="1" hidden="1" customHeight="1" spans="1:38">
      <c r="A659" s="35">
        <v>5510277</v>
      </c>
      <c r="B659" s="35" t="s">
        <v>756</v>
      </c>
      <c r="C659" s="35">
        <v>5301251</v>
      </c>
      <c r="D659" s="35">
        <v>7</v>
      </c>
      <c r="E659" s="35"/>
      <c r="F659" s="35" t="s">
        <v>230</v>
      </c>
      <c r="G659" s="36" t="str">
        <f t="shared" si="265"/>
        <v/>
      </c>
      <c r="H659" s="36" t="str">
        <f>IFERROR(IF(--MID($F659,2*COUNTIF($G659:G659,"&gt;"&amp;0)+2,1)=H$1,H$1,""),"")</f>
        <v/>
      </c>
      <c r="I659" s="36" t="str">
        <f>IFERROR(IF(--MID($F659,2*COUNTIF($G659:H659,"&gt;"&amp;0)+2,1)=I$1,I$1,""),"")</f>
        <v/>
      </c>
      <c r="J659" s="36" t="str">
        <f>IFERROR(IF(--MID($F659,2*COUNTIF($G659:I659,"&gt;"&amp;0)+2,1)=J$1,J$1,""),"")</f>
        <v/>
      </c>
      <c r="K659" s="36">
        <f>IFERROR(IF(--MID($F659,2*COUNTIF($G659:J659,"&gt;"&amp;0)+2,1)=K$1,K$1,""),"")</f>
        <v>5</v>
      </c>
      <c r="L659" s="36" t="str">
        <f>IFERROR(IF(--MID($F659,2*COUNTIF($G659:K659,"&gt;"&amp;0)+2,1)=L$1,L$1,""),"")</f>
        <v/>
      </c>
      <c r="M659" s="51" t="str" cm="1">
        <f t="array" ref="M659">IF($A659="","",IF(G659="","",_xlfn.XLOOKUP($D659&amp;"_"&amp;$AE659,符文权重!$A:$A&amp;"_"&amp;符文权重!$C:$C,符文权重!$D:$D)*$Y659/SUMIFS($Y:$Y,G:G,G659,$D:$D,$D659,$AE:$AE,$AE659)/SUMIF(符文权重!$A:$A,$D659,符文权重!$D:$D)))</f>
        <v/>
      </c>
      <c r="N659" s="51" t="str" cm="1">
        <f t="array" ref="N659">IF($A659="","",IF(H659="","",_xlfn.XLOOKUP($D659&amp;"_"&amp;$AE659,符文权重!$A:$A&amp;"_"&amp;符文权重!$C:$C,符文权重!$D:$D)*$Y659/SUMIFS($Y:$Y,H:H,H659,$D:$D,$D659,$AE:$AE,$AE659)/SUMIF(符文权重!$A:$A,$D659,符文权重!$D:$D)))</f>
        <v/>
      </c>
      <c r="O659" s="51" t="str" cm="1">
        <f t="array" ref="O659">IF($A659="","",IF(I659="","",_xlfn.XLOOKUP($D659&amp;"_"&amp;$AE659,符文权重!$A:$A&amp;"_"&amp;符文权重!$C:$C,符文权重!$D:$D)*$Y659/SUMIFS($Y:$Y,I:I,I659,$D:$D,$D659,$AE:$AE,$AE659)/SUMIF(符文权重!$A:$A,$D659,符文权重!$D:$D)))</f>
        <v/>
      </c>
      <c r="P659" s="51" t="str" cm="1">
        <f t="array" ref="P659">IF($A659="","",IF(J659="","",_xlfn.XLOOKUP($D659&amp;"_"&amp;$AE659,符文权重!$A:$A&amp;"_"&amp;符文权重!$C:$C,符文权重!$D:$D)*$Y659/SUMIFS($Y:$Y,J:J,J659,$D:$D,$D659,$AE:$AE,$AE659)/SUMIF(符文权重!$A:$A,$D659,符文权重!$D:$D)))</f>
        <v/>
      </c>
      <c r="Q659" s="51" cm="1">
        <f t="array" ref="Q659">IF($A659="","",IF(K659="","",_xlfn.XLOOKUP($D659&amp;"_"&amp;$AE659,符文权重!$A:$A&amp;"_"&amp;符文权重!$C:$C,符文权重!$D:$D)*$Y659/SUMIFS($Y:$Y,K:K,K659,$D:$D,$D659,$AE:$AE,$AE659)/SUMIF(符文权重!$A:$A,$D659,符文权重!$D:$D)))</f>
        <v>0.00721428571428571</v>
      </c>
      <c r="R659" s="51" t="str" cm="1">
        <f t="array" ref="R659">IF($A659="","",IF(L659="","",_xlfn.XLOOKUP($D659&amp;"_"&amp;$AE659,符文权重!$A:$A&amp;"_"&amp;符文权重!$C:$C,符文权重!$D:$D)*$Y659/SUMIFS($Y:$Y,L:L,L659,$D:$D,$D659,$AE:$AE,$AE659)/SUMIF(符文权重!$A:$A,$D659,符文权重!$D:$D)))</f>
        <v/>
      </c>
      <c r="S659" s="35" t="s">
        <v>344</v>
      </c>
      <c r="T659" s="35" t="s">
        <v>757</v>
      </c>
      <c r="U659" s="35" t="s">
        <v>429</v>
      </c>
      <c r="V659" s="35" t="s">
        <v>782</v>
      </c>
      <c r="W659" s="35" t="s">
        <v>783</v>
      </c>
      <c r="X659" s="35" t="s">
        <v>659</v>
      </c>
      <c r="Y659" s="35">
        <v>100</v>
      </c>
      <c r="Z659" s="35"/>
      <c r="AA659" s="35" t="s">
        <v>191</v>
      </c>
      <c r="AB659" s="42" t="str">
        <f t="shared" si="264"/>
        <v>关羽的攻击距离&lt;color=#54b76b&gt;+20%&lt;/color&gt;，伤害&lt;color=#54b76b&gt;+45%&lt;/color&gt;</v>
      </c>
      <c r="AC659" s="35">
        <v>5301251</v>
      </c>
      <c r="AD659" s="35" t="s">
        <v>474</v>
      </c>
      <c r="AE659" s="35">
        <v>4</v>
      </c>
      <c r="AF659" s="35"/>
      <c r="AG659" s="35"/>
      <c r="AH659" s="35">
        <v>1</v>
      </c>
      <c r="AI659" s="36"/>
      <c r="AJ659" s="35" t="s">
        <v>784</v>
      </c>
      <c r="AK659" s="36"/>
      <c r="AL659" s="35">
        <v>4</v>
      </c>
    </row>
    <row r="660" s="25" customFormat="1" hidden="1" customHeight="1" spans="1:38">
      <c r="A660" s="35">
        <v>5510284</v>
      </c>
      <c r="B660" s="55" t="s">
        <v>785</v>
      </c>
      <c r="C660" s="35">
        <v>5301253</v>
      </c>
      <c r="D660" s="36">
        <v>4</v>
      </c>
      <c r="E660" s="36"/>
      <c r="F660" s="35" t="s">
        <v>202</v>
      </c>
      <c r="G660" s="36">
        <f t="shared" si="265"/>
        <v>1</v>
      </c>
      <c r="H660" s="36" t="str">
        <f>IFERROR(IF(--MID($F660,2*COUNTIF($G660:G660,"&gt;"&amp;0)+2,1)=H$1,H$1,""),"")</f>
        <v/>
      </c>
      <c r="I660" s="36" t="str">
        <f>IFERROR(IF(--MID($F660,2*COUNTIF($G660:H660,"&gt;"&amp;0)+2,1)=I$1,I$1,""),"")</f>
        <v/>
      </c>
      <c r="J660" s="36" t="str">
        <f>IFERROR(IF(--MID($F660,2*COUNTIF($G660:I660,"&gt;"&amp;0)+2,1)=J$1,J$1,""),"")</f>
        <v/>
      </c>
      <c r="K660" s="36" t="str">
        <f>IFERROR(IF(--MID($F660,2*COUNTIF($G660:J660,"&gt;"&amp;0)+2,1)=K$1,K$1,""),"")</f>
        <v/>
      </c>
      <c r="L660" s="36" t="str">
        <f>IFERROR(IF(--MID($F660,2*COUNTIF($G660:K660,"&gt;"&amp;0)+2,1)=L$1,L$1,""),"")</f>
        <v/>
      </c>
      <c r="M660" s="51" cm="1">
        <f t="array" ref="M660">IF($A660="","",IF(G660="","",_xlfn.XLOOKUP($D660&amp;"_"&amp;$AE660,符文权重!$A:$A&amp;"_"&amp;符文权重!$C:$C,符文权重!$D:$D)*$Y660/SUMIFS($Y:$Y,G:G,G660,$D:$D,$D660,$AE:$AE,$AE660)/SUMIF(符文权重!$A:$A,$D660,符文权重!$D:$D)))</f>
        <v>0.0035035035035035</v>
      </c>
      <c r="N660" s="51" t="str" cm="1">
        <f t="array" ref="N660">IF($A660="","",IF(H660="","",_xlfn.XLOOKUP($D660&amp;"_"&amp;$AE660,符文权重!$A:$A&amp;"_"&amp;符文权重!$C:$C,符文权重!$D:$D)*$Y660/SUMIFS($Y:$Y,H:H,H660,$D:$D,$D660,$AE:$AE,$AE660)/SUMIF(符文权重!$A:$A,$D660,符文权重!$D:$D)))</f>
        <v/>
      </c>
      <c r="O660" s="51" t="str" cm="1">
        <f t="array" ref="O660">IF($A660="","",IF(I660="","",_xlfn.XLOOKUP($D660&amp;"_"&amp;$AE660,符文权重!$A:$A&amp;"_"&amp;符文权重!$C:$C,符文权重!$D:$D)*$Y660/SUMIFS($Y:$Y,I:I,I660,$D:$D,$D660,$AE:$AE,$AE660)/SUMIF(符文权重!$A:$A,$D660,符文权重!$D:$D)))</f>
        <v/>
      </c>
      <c r="P660" s="51" t="str" cm="1">
        <f t="array" ref="P660">IF($A660="","",IF(J660="","",_xlfn.XLOOKUP($D660&amp;"_"&amp;$AE660,符文权重!$A:$A&amp;"_"&amp;符文权重!$C:$C,符文权重!$D:$D)*$Y660/SUMIFS($Y:$Y,J:J,J660,$D:$D,$D660,$AE:$AE,$AE660)/SUMIF(符文权重!$A:$A,$D660,符文权重!$D:$D)))</f>
        <v/>
      </c>
      <c r="Q660" s="51" t="str" cm="1">
        <f t="array" ref="Q660">IF($A660="","",IF(K660="","",_xlfn.XLOOKUP($D660&amp;"_"&amp;$AE660,符文权重!$A:$A&amp;"_"&amp;符文权重!$C:$C,符文权重!$D:$D)*$Y660/SUMIFS($Y:$Y,K:K,K660,$D:$D,$D660,$AE:$AE,$AE660)/SUMIF(符文权重!$A:$A,$D660,符文权重!$D:$D)))</f>
        <v/>
      </c>
      <c r="R660" s="51" t="str" cm="1">
        <f t="array" ref="R660">IF($A660="","",IF(L660="","",_xlfn.XLOOKUP($D660&amp;"_"&amp;$AE660,符文权重!$A:$A&amp;"_"&amp;符文权重!$C:$C,符文权重!$D:$D)*$Y660/SUMIFS($Y:$Y,L:L,L660,$D:$D,$D660,$AE:$AE,$AE660)/SUMIF(符文权重!$A:$A,$D660,符文权重!$D:$D)))</f>
        <v/>
      </c>
      <c r="S660" s="36" t="s">
        <v>344</v>
      </c>
      <c r="T660" s="36" t="s">
        <v>786</v>
      </c>
      <c r="U660" s="36" t="s">
        <v>420</v>
      </c>
      <c r="V660" s="25" t="s">
        <v>787</v>
      </c>
      <c r="W660" s="36"/>
      <c r="X660" s="35" t="s">
        <v>595</v>
      </c>
      <c r="Y660" s="35">
        <v>100</v>
      </c>
      <c r="Z660" s="35"/>
      <c r="AA660" s="36" t="s">
        <v>185</v>
      </c>
      <c r="AB660" s="42" t="str">
        <f t="shared" si="264"/>
        <v>亚瑟死亡时，立即召唤自身&lt;color=#54b76b&gt;30%&lt;/color&gt;最大生命值的警盾，持续&lt;color=#54b76b&gt;12&lt;/color&gt;秒，并嘲讽范围内全部敌人</v>
      </c>
      <c r="AC660" s="35">
        <v>5301253</v>
      </c>
      <c r="AD660" s="36" t="s">
        <v>487</v>
      </c>
      <c r="AE660" s="36">
        <v>8</v>
      </c>
      <c r="AF660" s="36"/>
      <c r="AG660" s="36"/>
      <c r="AH660" s="36">
        <v>1</v>
      </c>
      <c r="AI660" s="36"/>
      <c r="AJ660" s="36" t="s">
        <v>788</v>
      </c>
      <c r="AK660" s="36"/>
      <c r="AL660" s="35">
        <v>4</v>
      </c>
    </row>
    <row r="661" s="25" customFormat="1" hidden="1" customHeight="1" spans="1:38">
      <c r="A661" s="35">
        <v>5510285</v>
      </c>
      <c r="B661" s="35" t="s">
        <v>785</v>
      </c>
      <c r="C661" s="35">
        <v>5301253</v>
      </c>
      <c r="D661" s="35">
        <v>5</v>
      </c>
      <c r="E661" s="35"/>
      <c r="F661" s="35" t="s">
        <v>202</v>
      </c>
      <c r="G661" s="36">
        <f t="shared" si="265"/>
        <v>1</v>
      </c>
      <c r="H661" s="36" t="str">
        <f>IFERROR(IF(--MID($F661,2*COUNTIF($G661:G661,"&gt;"&amp;0)+2,1)=H$1,H$1,""),"")</f>
        <v/>
      </c>
      <c r="I661" s="36" t="str">
        <f>IFERROR(IF(--MID($F661,2*COUNTIF($G661:H661,"&gt;"&amp;0)+2,1)=I$1,I$1,""),"")</f>
        <v/>
      </c>
      <c r="J661" s="36" t="str">
        <f>IFERROR(IF(--MID($F661,2*COUNTIF($G661:I661,"&gt;"&amp;0)+2,1)=J$1,J$1,""),"")</f>
        <v/>
      </c>
      <c r="K661" s="36" t="str">
        <f>IFERROR(IF(--MID($F661,2*COUNTIF($G661:J661,"&gt;"&amp;0)+2,1)=K$1,K$1,""),"")</f>
        <v/>
      </c>
      <c r="L661" s="36" t="str">
        <f>IFERROR(IF(--MID($F661,2*COUNTIF($G661:K661,"&gt;"&amp;0)+2,1)=L$1,L$1,""),"")</f>
        <v/>
      </c>
      <c r="M661" s="51" cm="1">
        <f t="array" ref="M661">IF($A661="","",IF(G661="","",_xlfn.XLOOKUP($D661&amp;"_"&amp;$AE661,符文权重!$A:$A&amp;"_"&amp;符文权重!$C:$C,符文权重!$D:$D)*$Y661/SUMIFS($Y:$Y,G:G,G661,$D:$D,$D661,$AE:$AE,$AE661)/SUMIF(符文权重!$A:$A,$D661,符文权重!$D:$D)))</f>
        <v>0.00721428571428571</v>
      </c>
      <c r="N661" s="51" t="str" cm="1">
        <f t="array" ref="N661">IF($A661="","",IF(H661="","",_xlfn.XLOOKUP($D661&amp;"_"&amp;$AE661,符文权重!$A:$A&amp;"_"&amp;符文权重!$C:$C,符文权重!$D:$D)*$Y661/SUMIFS($Y:$Y,H:H,H661,$D:$D,$D661,$AE:$AE,$AE661)/SUMIF(符文权重!$A:$A,$D661,符文权重!$D:$D)))</f>
        <v/>
      </c>
      <c r="O661" s="51" t="str" cm="1">
        <f t="array" ref="O661">IF($A661="","",IF(I661="","",_xlfn.XLOOKUP($D661&amp;"_"&amp;$AE661,符文权重!$A:$A&amp;"_"&amp;符文权重!$C:$C,符文权重!$D:$D)*$Y661/SUMIFS($Y:$Y,I:I,I661,$D:$D,$D661,$AE:$AE,$AE661)/SUMIF(符文权重!$A:$A,$D661,符文权重!$D:$D)))</f>
        <v/>
      </c>
      <c r="P661" s="51" t="str" cm="1">
        <f t="array" ref="P661">IF($A661="","",IF(J661="","",_xlfn.XLOOKUP($D661&amp;"_"&amp;$AE661,符文权重!$A:$A&amp;"_"&amp;符文权重!$C:$C,符文权重!$D:$D)*$Y661/SUMIFS($Y:$Y,J:J,J661,$D:$D,$D661,$AE:$AE,$AE661)/SUMIF(符文权重!$A:$A,$D661,符文权重!$D:$D)))</f>
        <v/>
      </c>
      <c r="Q661" s="51" t="str" cm="1">
        <f t="array" ref="Q661">IF($A661="","",IF(K661="","",_xlfn.XLOOKUP($D661&amp;"_"&amp;$AE661,符文权重!$A:$A&amp;"_"&amp;符文权重!$C:$C,符文权重!$D:$D)*$Y661/SUMIFS($Y:$Y,K:K,K661,$D:$D,$D661,$AE:$AE,$AE661)/SUMIF(符文权重!$A:$A,$D661,符文权重!$D:$D)))</f>
        <v/>
      </c>
      <c r="R661" s="51" t="str" cm="1">
        <f t="array" ref="R661">IF($A661="","",IF(L661="","",_xlfn.XLOOKUP($D661&amp;"_"&amp;$AE661,符文权重!$A:$A&amp;"_"&amp;符文权重!$C:$C,符文权重!$D:$D)*$Y661/SUMIFS($Y:$Y,L:L,L661,$D:$D,$D661,$AE:$AE,$AE661)/SUMIF(符文权重!$A:$A,$D661,符文权重!$D:$D)))</f>
        <v/>
      </c>
      <c r="S661" s="35" t="s">
        <v>344</v>
      </c>
      <c r="T661" s="35" t="s">
        <v>786</v>
      </c>
      <c r="U661" s="35" t="s">
        <v>423</v>
      </c>
      <c r="V661" s="35" t="s">
        <v>789</v>
      </c>
      <c r="X661" s="35" t="s">
        <v>790</v>
      </c>
      <c r="Y661" s="35">
        <v>100</v>
      </c>
      <c r="AA661" s="35" t="s">
        <v>187</v>
      </c>
      <c r="AB661" s="42" t="str">
        <f t="shared" si="264"/>
        <v>亚瑟死亡时，立即召唤自身&lt;color=#54b76b&gt;40%&lt;/color&gt;最大生命值的警盾，持续&lt;color=#54b76b&gt;12&lt;/color&gt;秒，并嘲讽范围内全部敌人</v>
      </c>
      <c r="AC661" s="35">
        <v>5301253</v>
      </c>
      <c r="AD661" s="35" t="s">
        <v>497</v>
      </c>
      <c r="AE661" s="35">
        <v>4</v>
      </c>
      <c r="AH661" s="35">
        <v>1</v>
      </c>
      <c r="AI661" s="36"/>
      <c r="AJ661" s="35" t="s">
        <v>791</v>
      </c>
      <c r="AK661" s="36"/>
      <c r="AL661" s="35">
        <v>4</v>
      </c>
    </row>
    <row r="662" s="25" customFormat="1" hidden="1" customHeight="1" spans="1:38">
      <c r="A662" s="35">
        <v>5510286</v>
      </c>
      <c r="B662" s="35" t="s">
        <v>785</v>
      </c>
      <c r="C662" s="35">
        <v>5301253</v>
      </c>
      <c r="D662" s="35">
        <v>6</v>
      </c>
      <c r="E662" s="35"/>
      <c r="F662" s="35" t="s">
        <v>202</v>
      </c>
      <c r="G662" s="36">
        <f t="shared" si="265"/>
        <v>1</v>
      </c>
      <c r="H662" s="36" t="str">
        <f>IFERROR(IF(--MID($F662,2*COUNTIF($G662:G662,"&gt;"&amp;0)+2,1)=H$1,H$1,""),"")</f>
        <v/>
      </c>
      <c r="I662" s="36" t="str">
        <f>IFERROR(IF(--MID($F662,2*COUNTIF($G662:H662,"&gt;"&amp;0)+2,1)=I$1,I$1,""),"")</f>
        <v/>
      </c>
      <c r="J662" s="36" t="str">
        <f>IFERROR(IF(--MID($F662,2*COUNTIF($G662:I662,"&gt;"&amp;0)+2,1)=J$1,J$1,""),"")</f>
        <v/>
      </c>
      <c r="K662" s="36" t="str">
        <f>IFERROR(IF(--MID($F662,2*COUNTIF($G662:J662,"&gt;"&amp;0)+2,1)=K$1,K$1,""),"")</f>
        <v/>
      </c>
      <c r="L662" s="36" t="str">
        <f>IFERROR(IF(--MID($F662,2*COUNTIF($G662:K662,"&gt;"&amp;0)+2,1)=L$1,L$1,""),"")</f>
        <v/>
      </c>
      <c r="M662" s="51" cm="1">
        <f t="array" ref="M662">IF($A662="","",IF(G662="","",_xlfn.XLOOKUP($D662&amp;"_"&amp;$AE662,符文权重!$A:$A&amp;"_"&amp;符文权重!$C:$C,符文权重!$D:$D)*$Y662/SUMIFS($Y:$Y,G:G,G662,$D:$D,$D662,$AE:$AE,$AE662)/SUMIF(符文权重!$A:$A,$D662,符文权重!$D:$D)))</f>
        <v>0.00721428571428571</v>
      </c>
      <c r="N662" s="51" t="str" cm="1">
        <f t="array" ref="N662">IF($A662="","",IF(H662="","",_xlfn.XLOOKUP($D662&amp;"_"&amp;$AE662,符文权重!$A:$A&amp;"_"&amp;符文权重!$C:$C,符文权重!$D:$D)*$Y662/SUMIFS($Y:$Y,H:H,H662,$D:$D,$D662,$AE:$AE,$AE662)/SUMIF(符文权重!$A:$A,$D662,符文权重!$D:$D)))</f>
        <v/>
      </c>
      <c r="O662" s="51" t="str" cm="1">
        <f t="array" ref="O662">IF($A662="","",IF(I662="","",_xlfn.XLOOKUP($D662&amp;"_"&amp;$AE662,符文权重!$A:$A&amp;"_"&amp;符文权重!$C:$C,符文权重!$D:$D)*$Y662/SUMIFS($Y:$Y,I:I,I662,$D:$D,$D662,$AE:$AE,$AE662)/SUMIF(符文权重!$A:$A,$D662,符文权重!$D:$D)))</f>
        <v/>
      </c>
      <c r="P662" s="51" t="str" cm="1">
        <f t="array" ref="P662">IF($A662="","",IF(J662="","",_xlfn.XLOOKUP($D662&amp;"_"&amp;$AE662,符文权重!$A:$A&amp;"_"&amp;符文权重!$C:$C,符文权重!$D:$D)*$Y662/SUMIFS($Y:$Y,J:J,J662,$D:$D,$D662,$AE:$AE,$AE662)/SUMIF(符文权重!$A:$A,$D662,符文权重!$D:$D)))</f>
        <v/>
      </c>
      <c r="Q662" s="51" t="str" cm="1">
        <f t="array" ref="Q662">IF($A662="","",IF(K662="","",_xlfn.XLOOKUP($D662&amp;"_"&amp;$AE662,符文权重!$A:$A&amp;"_"&amp;符文权重!$C:$C,符文权重!$D:$D)*$Y662/SUMIFS($Y:$Y,K:K,K662,$D:$D,$D662,$AE:$AE,$AE662)/SUMIF(符文权重!$A:$A,$D662,符文权重!$D:$D)))</f>
        <v/>
      </c>
      <c r="R662" s="51" t="str" cm="1">
        <f t="array" ref="R662">IF($A662="","",IF(L662="","",_xlfn.XLOOKUP($D662&amp;"_"&amp;$AE662,符文权重!$A:$A&amp;"_"&amp;符文权重!$C:$C,符文权重!$D:$D)*$Y662/SUMIFS($Y:$Y,L:L,L662,$D:$D,$D662,$AE:$AE,$AE662)/SUMIF(符文权重!$A:$A,$D662,符文权重!$D:$D)))</f>
        <v/>
      </c>
      <c r="S662" s="35" t="s">
        <v>344</v>
      </c>
      <c r="T662" s="35" t="s">
        <v>786</v>
      </c>
      <c r="U662" s="35" t="s">
        <v>426</v>
      </c>
      <c r="V662" s="35" t="s">
        <v>792</v>
      </c>
      <c r="X662" s="35" t="s">
        <v>656</v>
      </c>
      <c r="Y662" s="35">
        <v>100</v>
      </c>
      <c r="AA662" s="35" t="s">
        <v>189</v>
      </c>
      <c r="AB662" s="42" t="str">
        <f t="shared" si="264"/>
        <v>亚瑟死亡时，立即召唤自身&lt;color=#54b76b&gt;50%&lt;/color&gt;最大生命值的警盾，持续&lt;color=#54b76b&gt;12&lt;/color&gt;秒，并嘲讽范围内全部敌人</v>
      </c>
      <c r="AC662" s="35">
        <v>5301253</v>
      </c>
      <c r="AD662" s="35" t="s">
        <v>596</v>
      </c>
      <c r="AE662" s="35">
        <v>4</v>
      </c>
      <c r="AH662" s="35">
        <v>1</v>
      </c>
      <c r="AI662" s="36"/>
      <c r="AJ662" s="35" t="s">
        <v>793</v>
      </c>
      <c r="AK662" s="36"/>
      <c r="AL662" s="35">
        <v>4</v>
      </c>
    </row>
    <row r="663" s="25" customFormat="1" hidden="1" customHeight="1" spans="1:38">
      <c r="A663" s="35">
        <v>5510287</v>
      </c>
      <c r="B663" s="35" t="s">
        <v>785</v>
      </c>
      <c r="C663" s="35">
        <v>5301253</v>
      </c>
      <c r="D663" s="35">
        <v>7</v>
      </c>
      <c r="E663" s="35"/>
      <c r="F663" s="35" t="s">
        <v>202</v>
      </c>
      <c r="G663" s="36">
        <f t="shared" si="265"/>
        <v>1</v>
      </c>
      <c r="H663" s="36" t="str">
        <f>IFERROR(IF(--MID($F663,2*COUNTIF($G663:G663,"&gt;"&amp;0)+2,1)=H$1,H$1,""),"")</f>
        <v/>
      </c>
      <c r="I663" s="36" t="str">
        <f>IFERROR(IF(--MID($F663,2*COUNTIF($G663:H663,"&gt;"&amp;0)+2,1)=I$1,I$1,""),"")</f>
        <v/>
      </c>
      <c r="J663" s="36" t="str">
        <f>IFERROR(IF(--MID($F663,2*COUNTIF($G663:I663,"&gt;"&amp;0)+2,1)=J$1,J$1,""),"")</f>
        <v/>
      </c>
      <c r="K663" s="36" t="str">
        <f>IFERROR(IF(--MID($F663,2*COUNTIF($G663:J663,"&gt;"&amp;0)+2,1)=K$1,K$1,""),"")</f>
        <v/>
      </c>
      <c r="L663" s="36" t="str">
        <f>IFERROR(IF(--MID($F663,2*COUNTIF($G663:K663,"&gt;"&amp;0)+2,1)=L$1,L$1,""),"")</f>
        <v/>
      </c>
      <c r="M663" s="51" cm="1">
        <f t="array" ref="M663">IF($A663="","",IF(G663="","",_xlfn.XLOOKUP($D663&amp;"_"&amp;$AE663,符文权重!$A:$A&amp;"_"&amp;符文权重!$C:$C,符文权重!$D:$D)*$Y663/SUMIFS($Y:$Y,G:G,G663,$D:$D,$D663,$AE:$AE,$AE663)/SUMIF(符文权重!$A:$A,$D663,符文权重!$D:$D)))</f>
        <v>0.00721428571428571</v>
      </c>
      <c r="N663" s="51" t="str" cm="1">
        <f t="array" ref="N663">IF($A663="","",IF(H663="","",_xlfn.XLOOKUP($D663&amp;"_"&amp;$AE663,符文权重!$A:$A&amp;"_"&amp;符文权重!$C:$C,符文权重!$D:$D)*$Y663/SUMIFS($Y:$Y,H:H,H663,$D:$D,$D663,$AE:$AE,$AE663)/SUMIF(符文权重!$A:$A,$D663,符文权重!$D:$D)))</f>
        <v/>
      </c>
      <c r="O663" s="51" t="str" cm="1">
        <f t="array" ref="O663">IF($A663="","",IF(I663="","",_xlfn.XLOOKUP($D663&amp;"_"&amp;$AE663,符文权重!$A:$A&amp;"_"&amp;符文权重!$C:$C,符文权重!$D:$D)*$Y663/SUMIFS($Y:$Y,I:I,I663,$D:$D,$D663,$AE:$AE,$AE663)/SUMIF(符文权重!$A:$A,$D663,符文权重!$D:$D)))</f>
        <v/>
      </c>
      <c r="P663" s="51" t="str" cm="1">
        <f t="array" ref="P663">IF($A663="","",IF(J663="","",_xlfn.XLOOKUP($D663&amp;"_"&amp;$AE663,符文权重!$A:$A&amp;"_"&amp;符文权重!$C:$C,符文权重!$D:$D)*$Y663/SUMIFS($Y:$Y,J:J,J663,$D:$D,$D663,$AE:$AE,$AE663)/SUMIF(符文权重!$A:$A,$D663,符文权重!$D:$D)))</f>
        <v/>
      </c>
      <c r="Q663" s="51" t="str" cm="1">
        <f t="array" ref="Q663">IF($A663="","",IF(K663="","",_xlfn.XLOOKUP($D663&amp;"_"&amp;$AE663,符文权重!$A:$A&amp;"_"&amp;符文权重!$C:$C,符文权重!$D:$D)*$Y663/SUMIFS($Y:$Y,K:K,K663,$D:$D,$D663,$AE:$AE,$AE663)/SUMIF(符文权重!$A:$A,$D663,符文权重!$D:$D)))</f>
        <v/>
      </c>
      <c r="R663" s="51" t="str" cm="1">
        <f t="array" ref="R663">IF($A663="","",IF(L663="","",_xlfn.XLOOKUP($D663&amp;"_"&amp;$AE663,符文权重!$A:$A&amp;"_"&amp;符文权重!$C:$C,符文权重!$D:$D)*$Y663/SUMIFS($Y:$Y,L:L,L663,$D:$D,$D663,$AE:$AE,$AE663)/SUMIF(符文权重!$A:$A,$D663,符文权重!$D:$D)))</f>
        <v/>
      </c>
      <c r="S663" s="35" t="s">
        <v>344</v>
      </c>
      <c r="T663" s="35" t="s">
        <v>786</v>
      </c>
      <c r="U663" s="35" t="s">
        <v>429</v>
      </c>
      <c r="V663" s="35" t="s">
        <v>794</v>
      </c>
      <c r="X663" s="35" t="s">
        <v>795</v>
      </c>
      <c r="Y663" s="35">
        <v>100</v>
      </c>
      <c r="AA663" s="35" t="s">
        <v>191</v>
      </c>
      <c r="AB663" s="42" t="str">
        <f t="shared" si="264"/>
        <v>亚瑟死亡时，立即召唤自身&lt;color=#54b76b&gt;60%&lt;/color&gt;最大生命值的警盾，持续&lt;color=#54b76b&gt;12&lt;/color&gt;秒，并嘲讽范围内全部敌人</v>
      </c>
      <c r="AC663" s="35">
        <v>5301253</v>
      </c>
      <c r="AD663" s="35" t="s">
        <v>476</v>
      </c>
      <c r="AE663" s="35">
        <v>4</v>
      </c>
      <c r="AH663" s="35">
        <v>1</v>
      </c>
      <c r="AI663" s="36"/>
      <c r="AJ663" s="35" t="s">
        <v>796</v>
      </c>
      <c r="AK663" s="36"/>
      <c r="AL663" s="35">
        <v>4</v>
      </c>
    </row>
    <row r="664" s="25" customFormat="1" hidden="1" customHeight="1" spans="1:38">
      <c r="A664" s="35">
        <v>5510294</v>
      </c>
      <c r="B664" s="55" t="s">
        <v>785</v>
      </c>
      <c r="C664" s="35">
        <v>5301254</v>
      </c>
      <c r="D664" s="36">
        <v>4</v>
      </c>
      <c r="E664" s="36"/>
      <c r="F664" s="35" t="s">
        <v>211</v>
      </c>
      <c r="G664" s="36" t="str">
        <f t="shared" si="265"/>
        <v/>
      </c>
      <c r="H664" s="36">
        <f>IFERROR(IF(--MID($F664,2*COUNTIF($G664:G664,"&gt;"&amp;0)+2,1)=H$1,H$1,""),"")</f>
        <v>2</v>
      </c>
      <c r="I664" s="36" t="str">
        <f>IFERROR(IF(--MID($F664,2*COUNTIF($G664:H664,"&gt;"&amp;0)+2,1)=I$1,I$1,""),"")</f>
        <v/>
      </c>
      <c r="J664" s="36" t="str">
        <f>IFERROR(IF(--MID($F664,2*COUNTIF($G664:I664,"&gt;"&amp;0)+2,1)=J$1,J$1,""),"")</f>
        <v/>
      </c>
      <c r="K664" s="36" t="str">
        <f>IFERROR(IF(--MID($F664,2*COUNTIF($G664:J664,"&gt;"&amp;0)+2,1)=K$1,K$1,""),"")</f>
        <v/>
      </c>
      <c r="L664" s="36" t="str">
        <f>IFERROR(IF(--MID($F664,2*COUNTIF($G664:K664,"&gt;"&amp;0)+2,1)=L$1,L$1,""),"")</f>
        <v/>
      </c>
      <c r="M664" s="51" t="str" cm="1">
        <f t="array" ref="M664">IF($A664="","",IF(G664="","",_xlfn.XLOOKUP($D664&amp;"_"&amp;$AE664,符文权重!$A:$A&amp;"_"&amp;符文权重!$C:$C,符文权重!$D:$D)*$Y664/SUMIFS($Y:$Y,G:G,G664,$D:$D,$D664,$AE:$AE,$AE664)/SUMIF(符文权重!$A:$A,$D664,符文权重!$D:$D)))</f>
        <v/>
      </c>
      <c r="N664" s="51" cm="1">
        <f t="array" ref="N664">IF($A664="","",IF(H664="","",_xlfn.XLOOKUP($D664&amp;"_"&amp;$AE664,符文权重!$A:$A&amp;"_"&amp;符文权重!$C:$C,符文权重!$D:$D)*$Y664/SUMIFS($Y:$Y,H:H,H664,$D:$D,$D664,$AE:$AE,$AE664)/SUMIF(符文权重!$A:$A,$D664,符文权重!$D:$D)))</f>
        <v>0.0035035035035035</v>
      </c>
      <c r="O664" s="51" t="str" cm="1">
        <f t="array" ref="O664">IF($A664="","",IF(I664="","",_xlfn.XLOOKUP($D664&amp;"_"&amp;$AE664,符文权重!$A:$A&amp;"_"&amp;符文权重!$C:$C,符文权重!$D:$D)*$Y664/SUMIFS($Y:$Y,I:I,I664,$D:$D,$D664,$AE:$AE,$AE664)/SUMIF(符文权重!$A:$A,$D664,符文权重!$D:$D)))</f>
        <v/>
      </c>
      <c r="P664" s="51" t="str" cm="1">
        <f t="array" ref="P664">IF($A664="","",IF(J664="","",_xlfn.XLOOKUP($D664&amp;"_"&amp;$AE664,符文权重!$A:$A&amp;"_"&amp;符文权重!$C:$C,符文权重!$D:$D)*$Y664/SUMIFS($Y:$Y,J:J,J664,$D:$D,$D664,$AE:$AE,$AE664)/SUMIF(符文权重!$A:$A,$D664,符文权重!$D:$D)))</f>
        <v/>
      </c>
      <c r="Q664" s="51" t="str" cm="1">
        <f t="array" ref="Q664">IF($A664="","",IF(K664="","",_xlfn.XLOOKUP($D664&amp;"_"&amp;$AE664,符文权重!$A:$A&amp;"_"&amp;符文权重!$C:$C,符文权重!$D:$D)*$Y664/SUMIFS($Y:$Y,K:K,K664,$D:$D,$D664,$AE:$AE,$AE664)/SUMIF(符文权重!$A:$A,$D664,符文权重!$D:$D)))</f>
        <v/>
      </c>
      <c r="R664" s="51" t="str" cm="1">
        <f t="array" ref="R664">IF($A664="","",IF(L664="","",_xlfn.XLOOKUP($D664&amp;"_"&amp;$AE664,符文权重!$A:$A&amp;"_"&amp;符文权重!$C:$C,符文权重!$D:$D)*$Y664/SUMIFS($Y:$Y,L:L,L664,$D:$D,$D664,$AE:$AE,$AE664)/SUMIF(符文权重!$A:$A,$D664,符文权重!$D:$D)))</f>
        <v/>
      </c>
      <c r="S664" s="36" t="s">
        <v>344</v>
      </c>
      <c r="T664" s="36" t="s">
        <v>786</v>
      </c>
      <c r="U664" s="36" t="s">
        <v>420</v>
      </c>
      <c r="V664" s="25" t="s">
        <v>797</v>
      </c>
      <c r="W664" s="36"/>
      <c r="X664" s="35" t="s">
        <v>595</v>
      </c>
      <c r="Y664" s="35">
        <v>100</v>
      </c>
      <c r="Z664" s="35"/>
      <c r="AA664" s="36" t="s">
        <v>185</v>
      </c>
      <c r="AB664" s="42" t="str">
        <f t="shared" si="264"/>
        <v>亚瑟的[正当防卫]有&lt;color=#54b76b&gt;2%&lt;/color&gt;概率秒杀普通怪物（不超过亚瑟攻击力2500%）</v>
      </c>
      <c r="AC664" s="35">
        <v>53012541</v>
      </c>
      <c r="AD664" s="36" t="s">
        <v>211</v>
      </c>
      <c r="AE664" s="36">
        <v>8</v>
      </c>
      <c r="AF664" s="36"/>
      <c r="AG664" s="36"/>
      <c r="AH664" s="36">
        <v>1</v>
      </c>
      <c r="AI664" s="36"/>
      <c r="AJ664" s="42" t="s">
        <v>798</v>
      </c>
      <c r="AK664" s="36"/>
      <c r="AL664" s="35">
        <v>4</v>
      </c>
    </row>
    <row r="665" s="25" customFormat="1" hidden="1" customHeight="1" spans="1:38">
      <c r="A665" s="35">
        <v>5510295</v>
      </c>
      <c r="B665" s="35" t="s">
        <v>785</v>
      </c>
      <c r="C665" s="35">
        <v>5301254</v>
      </c>
      <c r="D665" s="35">
        <v>5</v>
      </c>
      <c r="E665" s="35"/>
      <c r="F665" s="35" t="s">
        <v>211</v>
      </c>
      <c r="G665" s="36" t="str">
        <f t="shared" si="265"/>
        <v/>
      </c>
      <c r="H665" s="36">
        <f>IFERROR(IF(--MID($F665,2*COUNTIF($G665:G665,"&gt;"&amp;0)+2,1)=H$1,H$1,""),"")</f>
        <v>2</v>
      </c>
      <c r="I665" s="36" t="str">
        <f>IFERROR(IF(--MID($F665,2*COUNTIF($G665:H665,"&gt;"&amp;0)+2,1)=I$1,I$1,""),"")</f>
        <v/>
      </c>
      <c r="J665" s="36" t="str">
        <f>IFERROR(IF(--MID($F665,2*COUNTIF($G665:I665,"&gt;"&amp;0)+2,1)=J$1,J$1,""),"")</f>
        <v/>
      </c>
      <c r="K665" s="36" t="str">
        <f>IFERROR(IF(--MID($F665,2*COUNTIF($G665:J665,"&gt;"&amp;0)+2,1)=K$1,K$1,""),"")</f>
        <v/>
      </c>
      <c r="L665" s="36" t="str">
        <f>IFERROR(IF(--MID($F665,2*COUNTIF($G665:K665,"&gt;"&amp;0)+2,1)=L$1,L$1,""),"")</f>
        <v/>
      </c>
      <c r="M665" s="51" t="str" cm="1">
        <f t="array" ref="M665">IF($A665="","",IF(G665="","",_xlfn.XLOOKUP($D665&amp;"_"&amp;$AE665,符文权重!$A:$A&amp;"_"&amp;符文权重!$C:$C,符文权重!$D:$D)*$Y665/SUMIFS($Y:$Y,G:G,G665,$D:$D,$D665,$AE:$AE,$AE665)/SUMIF(符文权重!$A:$A,$D665,符文权重!$D:$D)))</f>
        <v/>
      </c>
      <c r="N665" s="51" cm="1">
        <f t="array" ref="N665">IF($A665="","",IF(H665="","",_xlfn.XLOOKUP($D665&amp;"_"&amp;$AE665,符文权重!$A:$A&amp;"_"&amp;符文权重!$C:$C,符文权重!$D:$D)*$Y665/SUMIFS($Y:$Y,H:H,H665,$D:$D,$D665,$AE:$AE,$AE665)/SUMIF(符文权重!$A:$A,$D665,符文权重!$D:$D)))</f>
        <v>0.00841666666666667</v>
      </c>
      <c r="O665" s="51" t="str" cm="1">
        <f t="array" ref="O665">IF($A665="","",IF(I665="","",_xlfn.XLOOKUP($D665&amp;"_"&amp;$AE665,符文权重!$A:$A&amp;"_"&amp;符文权重!$C:$C,符文权重!$D:$D)*$Y665/SUMIFS($Y:$Y,I:I,I665,$D:$D,$D665,$AE:$AE,$AE665)/SUMIF(符文权重!$A:$A,$D665,符文权重!$D:$D)))</f>
        <v/>
      </c>
      <c r="P665" s="51" t="str" cm="1">
        <f t="array" ref="P665">IF($A665="","",IF(J665="","",_xlfn.XLOOKUP($D665&amp;"_"&amp;$AE665,符文权重!$A:$A&amp;"_"&amp;符文权重!$C:$C,符文权重!$D:$D)*$Y665/SUMIFS($Y:$Y,J:J,J665,$D:$D,$D665,$AE:$AE,$AE665)/SUMIF(符文权重!$A:$A,$D665,符文权重!$D:$D)))</f>
        <v/>
      </c>
      <c r="Q665" s="51" t="str" cm="1">
        <f t="array" ref="Q665">IF($A665="","",IF(K665="","",_xlfn.XLOOKUP($D665&amp;"_"&amp;$AE665,符文权重!$A:$A&amp;"_"&amp;符文权重!$C:$C,符文权重!$D:$D)*$Y665/SUMIFS($Y:$Y,K:K,K665,$D:$D,$D665,$AE:$AE,$AE665)/SUMIF(符文权重!$A:$A,$D665,符文权重!$D:$D)))</f>
        <v/>
      </c>
      <c r="R665" s="51" t="str" cm="1">
        <f t="array" ref="R665">IF($A665="","",IF(L665="","",_xlfn.XLOOKUP($D665&amp;"_"&amp;$AE665,符文权重!$A:$A&amp;"_"&amp;符文权重!$C:$C,符文权重!$D:$D)*$Y665/SUMIFS($Y:$Y,L:L,L665,$D:$D,$D665,$AE:$AE,$AE665)/SUMIF(符文权重!$A:$A,$D665,符文权重!$D:$D)))</f>
        <v/>
      </c>
      <c r="S665" s="35" t="s">
        <v>344</v>
      </c>
      <c r="T665" s="35" t="s">
        <v>786</v>
      </c>
      <c r="U665" s="35" t="s">
        <v>423</v>
      </c>
      <c r="V665" s="35" t="s">
        <v>799</v>
      </c>
      <c r="X665" s="35" t="s">
        <v>790</v>
      </c>
      <c r="Y665" s="35">
        <v>100</v>
      </c>
      <c r="AA665" s="35" t="s">
        <v>187</v>
      </c>
      <c r="AB665" s="42" t="str">
        <f t="shared" si="264"/>
        <v>亚瑟的[正当防卫]有&lt;color=#54b76b&gt;3%&lt;/color&gt;概率秒杀普通怪物（不超过亚瑟攻击力3000%）</v>
      </c>
      <c r="AC665" s="35">
        <v>53012542</v>
      </c>
      <c r="AD665" s="35" t="s">
        <v>193</v>
      </c>
      <c r="AE665" s="35">
        <v>4</v>
      </c>
      <c r="AH665" s="35">
        <v>1</v>
      </c>
      <c r="AI665" s="36"/>
      <c r="AJ665" s="35" t="s">
        <v>800</v>
      </c>
      <c r="AK665" s="36"/>
      <c r="AL665" s="35">
        <v>4</v>
      </c>
    </row>
    <row r="666" s="25" customFormat="1" hidden="1" customHeight="1" spans="1:38">
      <c r="A666" s="35">
        <v>5510296</v>
      </c>
      <c r="B666" s="35" t="s">
        <v>785</v>
      </c>
      <c r="C666" s="35">
        <v>5301254</v>
      </c>
      <c r="D666" s="35">
        <v>6</v>
      </c>
      <c r="E666" s="35"/>
      <c r="F666" s="35" t="s">
        <v>211</v>
      </c>
      <c r="G666" s="36" t="str">
        <f t="shared" si="265"/>
        <v/>
      </c>
      <c r="H666" s="36">
        <f>IFERROR(IF(--MID($F666,2*COUNTIF($G666:G666,"&gt;"&amp;0)+2,1)=H$1,H$1,""),"")</f>
        <v>2</v>
      </c>
      <c r="I666" s="36" t="str">
        <f>IFERROR(IF(--MID($F666,2*COUNTIF($G666:H666,"&gt;"&amp;0)+2,1)=I$1,I$1,""),"")</f>
        <v/>
      </c>
      <c r="J666" s="36" t="str">
        <f>IFERROR(IF(--MID($F666,2*COUNTIF($G666:I666,"&gt;"&amp;0)+2,1)=J$1,J$1,""),"")</f>
        <v/>
      </c>
      <c r="K666" s="36" t="str">
        <f>IFERROR(IF(--MID($F666,2*COUNTIF($G666:J666,"&gt;"&amp;0)+2,1)=K$1,K$1,""),"")</f>
        <v/>
      </c>
      <c r="L666" s="36" t="str">
        <f>IFERROR(IF(--MID($F666,2*COUNTIF($G666:K666,"&gt;"&amp;0)+2,1)=L$1,L$1,""),"")</f>
        <v/>
      </c>
      <c r="M666" s="51" t="str" cm="1">
        <f t="array" ref="M666">IF($A666="","",IF(G666="","",_xlfn.XLOOKUP($D666&amp;"_"&amp;$AE666,符文权重!$A:$A&amp;"_"&amp;符文权重!$C:$C,符文权重!$D:$D)*$Y666/SUMIFS($Y:$Y,G:G,G666,$D:$D,$D666,$AE:$AE,$AE666)/SUMIF(符文权重!$A:$A,$D666,符文权重!$D:$D)))</f>
        <v/>
      </c>
      <c r="N666" s="51" cm="1">
        <f t="array" ref="N666">IF($A666="","",IF(H666="","",_xlfn.XLOOKUP($D666&amp;"_"&amp;$AE666,符文权重!$A:$A&amp;"_"&amp;符文权重!$C:$C,符文权重!$D:$D)*$Y666/SUMIFS($Y:$Y,H:H,H666,$D:$D,$D666,$AE:$AE,$AE666)/SUMIF(符文权重!$A:$A,$D666,符文权重!$D:$D)))</f>
        <v>0.00841666666666667</v>
      </c>
      <c r="O666" s="51" t="str" cm="1">
        <f t="array" ref="O666">IF($A666="","",IF(I666="","",_xlfn.XLOOKUP($D666&amp;"_"&amp;$AE666,符文权重!$A:$A&amp;"_"&amp;符文权重!$C:$C,符文权重!$D:$D)*$Y666/SUMIFS($Y:$Y,I:I,I666,$D:$D,$D666,$AE:$AE,$AE666)/SUMIF(符文权重!$A:$A,$D666,符文权重!$D:$D)))</f>
        <v/>
      </c>
      <c r="P666" s="51" t="str" cm="1">
        <f t="array" ref="P666">IF($A666="","",IF(J666="","",_xlfn.XLOOKUP($D666&amp;"_"&amp;$AE666,符文权重!$A:$A&amp;"_"&amp;符文权重!$C:$C,符文权重!$D:$D)*$Y666/SUMIFS($Y:$Y,J:J,J666,$D:$D,$D666,$AE:$AE,$AE666)/SUMIF(符文权重!$A:$A,$D666,符文权重!$D:$D)))</f>
        <v/>
      </c>
      <c r="Q666" s="51" t="str" cm="1">
        <f t="array" ref="Q666">IF($A666="","",IF(K666="","",_xlfn.XLOOKUP($D666&amp;"_"&amp;$AE666,符文权重!$A:$A&amp;"_"&amp;符文权重!$C:$C,符文权重!$D:$D)*$Y666/SUMIFS($Y:$Y,K:K,K666,$D:$D,$D666,$AE:$AE,$AE666)/SUMIF(符文权重!$A:$A,$D666,符文权重!$D:$D)))</f>
        <v/>
      </c>
      <c r="R666" s="51" t="str" cm="1">
        <f t="array" ref="R666">IF($A666="","",IF(L666="","",_xlfn.XLOOKUP($D666&amp;"_"&amp;$AE666,符文权重!$A:$A&amp;"_"&amp;符文权重!$C:$C,符文权重!$D:$D)*$Y666/SUMIFS($Y:$Y,L:L,L666,$D:$D,$D666,$AE:$AE,$AE666)/SUMIF(符文权重!$A:$A,$D666,符文权重!$D:$D)))</f>
        <v/>
      </c>
      <c r="S666" s="35" t="s">
        <v>344</v>
      </c>
      <c r="T666" s="35" t="s">
        <v>786</v>
      </c>
      <c r="U666" s="35" t="s">
        <v>426</v>
      </c>
      <c r="V666" s="35" t="s">
        <v>801</v>
      </c>
      <c r="X666" s="35" t="s">
        <v>656</v>
      </c>
      <c r="Y666" s="35">
        <v>100</v>
      </c>
      <c r="AA666" s="35" t="s">
        <v>189</v>
      </c>
      <c r="AB666" s="42" t="str">
        <f t="shared" ref="AB666:AB729" si="266">SUBSTITUTE(AJ666,"%s",AK666)</f>
        <v>亚瑟的[正当防卫]有&lt;color=#54b76b&gt;4%&lt;/color&gt;概率秒杀普通怪物（不超过亚瑟攻击力3500%）</v>
      </c>
      <c r="AC666" s="35">
        <v>53012543</v>
      </c>
      <c r="AD666" s="35" t="s">
        <v>404</v>
      </c>
      <c r="AE666" s="35">
        <v>4</v>
      </c>
      <c r="AH666" s="35">
        <v>1</v>
      </c>
      <c r="AI666" s="36"/>
      <c r="AJ666" s="35" t="s">
        <v>802</v>
      </c>
      <c r="AK666" s="36"/>
      <c r="AL666" s="35">
        <v>4</v>
      </c>
    </row>
    <row r="667" s="25" customFormat="1" hidden="1" customHeight="1" spans="1:38">
      <c r="A667" s="35">
        <v>5510297</v>
      </c>
      <c r="B667" s="35" t="s">
        <v>785</v>
      </c>
      <c r="C667" s="35">
        <v>5301254</v>
      </c>
      <c r="D667" s="35">
        <v>7</v>
      </c>
      <c r="E667" s="35"/>
      <c r="F667" s="35" t="s">
        <v>211</v>
      </c>
      <c r="G667" s="36" t="str">
        <f t="shared" si="265"/>
        <v/>
      </c>
      <c r="H667" s="36">
        <f>IFERROR(IF(--MID($F667,2*COUNTIF($G667:G667,"&gt;"&amp;0)+2,1)=H$1,H$1,""),"")</f>
        <v>2</v>
      </c>
      <c r="I667" s="36" t="str">
        <f>IFERROR(IF(--MID($F667,2*COUNTIF($G667:H667,"&gt;"&amp;0)+2,1)=I$1,I$1,""),"")</f>
        <v/>
      </c>
      <c r="J667" s="36" t="str">
        <f>IFERROR(IF(--MID($F667,2*COUNTIF($G667:I667,"&gt;"&amp;0)+2,1)=J$1,J$1,""),"")</f>
        <v/>
      </c>
      <c r="K667" s="36" t="str">
        <f>IFERROR(IF(--MID($F667,2*COUNTIF($G667:J667,"&gt;"&amp;0)+2,1)=K$1,K$1,""),"")</f>
        <v/>
      </c>
      <c r="L667" s="36" t="str">
        <f>IFERROR(IF(--MID($F667,2*COUNTIF($G667:K667,"&gt;"&amp;0)+2,1)=L$1,L$1,""),"")</f>
        <v/>
      </c>
      <c r="M667" s="51" t="str" cm="1">
        <f t="array" ref="M667">IF($A667="","",IF(G667="","",_xlfn.XLOOKUP($D667&amp;"_"&amp;$AE667,符文权重!$A:$A&amp;"_"&amp;符文权重!$C:$C,符文权重!$D:$D)*$Y667/SUMIFS($Y:$Y,G:G,G667,$D:$D,$D667,$AE:$AE,$AE667)/SUMIF(符文权重!$A:$A,$D667,符文权重!$D:$D)))</f>
        <v/>
      </c>
      <c r="N667" s="51" cm="1">
        <f t="array" ref="N667">IF($A667="","",IF(H667="","",_xlfn.XLOOKUP($D667&amp;"_"&amp;$AE667,符文权重!$A:$A&amp;"_"&amp;符文权重!$C:$C,符文权重!$D:$D)*$Y667/SUMIFS($Y:$Y,H:H,H667,$D:$D,$D667,$AE:$AE,$AE667)/SUMIF(符文权重!$A:$A,$D667,符文权重!$D:$D)))</f>
        <v>0.00841666666666667</v>
      </c>
      <c r="O667" s="51" t="str" cm="1">
        <f t="array" ref="O667">IF($A667="","",IF(I667="","",_xlfn.XLOOKUP($D667&amp;"_"&amp;$AE667,符文权重!$A:$A&amp;"_"&amp;符文权重!$C:$C,符文权重!$D:$D)*$Y667/SUMIFS($Y:$Y,I:I,I667,$D:$D,$D667,$AE:$AE,$AE667)/SUMIF(符文权重!$A:$A,$D667,符文权重!$D:$D)))</f>
        <v/>
      </c>
      <c r="P667" s="51" t="str" cm="1">
        <f t="array" ref="P667">IF($A667="","",IF(J667="","",_xlfn.XLOOKUP($D667&amp;"_"&amp;$AE667,符文权重!$A:$A&amp;"_"&amp;符文权重!$C:$C,符文权重!$D:$D)*$Y667/SUMIFS($Y:$Y,J:J,J667,$D:$D,$D667,$AE:$AE,$AE667)/SUMIF(符文权重!$A:$A,$D667,符文权重!$D:$D)))</f>
        <v/>
      </c>
      <c r="Q667" s="51" t="str" cm="1">
        <f t="array" ref="Q667">IF($A667="","",IF(K667="","",_xlfn.XLOOKUP($D667&amp;"_"&amp;$AE667,符文权重!$A:$A&amp;"_"&amp;符文权重!$C:$C,符文权重!$D:$D)*$Y667/SUMIFS($Y:$Y,K:K,K667,$D:$D,$D667,$AE:$AE,$AE667)/SUMIF(符文权重!$A:$A,$D667,符文权重!$D:$D)))</f>
        <v/>
      </c>
      <c r="R667" s="51" t="str" cm="1">
        <f t="array" ref="R667">IF($A667="","",IF(L667="","",_xlfn.XLOOKUP($D667&amp;"_"&amp;$AE667,符文权重!$A:$A&amp;"_"&amp;符文权重!$C:$C,符文权重!$D:$D)*$Y667/SUMIFS($Y:$Y,L:L,L667,$D:$D,$D667,$AE:$AE,$AE667)/SUMIF(符文权重!$A:$A,$D667,符文权重!$D:$D)))</f>
        <v/>
      </c>
      <c r="S667" s="35" t="s">
        <v>344</v>
      </c>
      <c r="T667" s="35" t="s">
        <v>786</v>
      </c>
      <c r="U667" s="35" t="s">
        <v>429</v>
      </c>
      <c r="V667" s="35" t="s">
        <v>803</v>
      </c>
      <c r="X667" s="35" t="s">
        <v>795</v>
      </c>
      <c r="Y667" s="35">
        <v>100</v>
      </c>
      <c r="AA667" s="35" t="s">
        <v>191</v>
      </c>
      <c r="AB667" s="42" t="str">
        <f t="shared" si="266"/>
        <v>亚瑟的[正当防卫]有&lt;color=#54b76b&gt;5%&lt;/color&gt;概率秒杀普通怪物（不超过亚瑟攻击力4000%）</v>
      </c>
      <c r="AC667" s="35">
        <v>53012544</v>
      </c>
      <c r="AD667" s="35" t="s">
        <v>230</v>
      </c>
      <c r="AE667" s="35">
        <v>4</v>
      </c>
      <c r="AH667" s="35">
        <v>1</v>
      </c>
      <c r="AI667" s="36"/>
      <c r="AJ667" s="35" t="s">
        <v>804</v>
      </c>
      <c r="AK667" s="36"/>
      <c r="AL667" s="35">
        <v>4</v>
      </c>
    </row>
    <row r="668" s="25" customFormat="1" hidden="1" customHeight="1" spans="1:38">
      <c r="A668" s="35">
        <v>5510304</v>
      </c>
      <c r="B668" s="55" t="s">
        <v>785</v>
      </c>
      <c r="C668" s="35">
        <v>5301255</v>
      </c>
      <c r="D668" s="36">
        <v>4</v>
      </c>
      <c r="E668" s="36"/>
      <c r="F668" s="35" t="s">
        <v>193</v>
      </c>
      <c r="G668" s="36" t="str">
        <f t="shared" si="265"/>
        <v/>
      </c>
      <c r="H668" s="36" t="str">
        <f>IFERROR(IF(--MID($F668,2*COUNTIF($G668:G668,"&gt;"&amp;0)+2,1)=H$1,H$1,""),"")</f>
        <v/>
      </c>
      <c r="I668" s="36">
        <f>IFERROR(IF(--MID($F668,2*COUNTIF($G668:H668,"&gt;"&amp;0)+2,1)=I$1,I$1,""),"")</f>
        <v>3</v>
      </c>
      <c r="J668" s="36" t="str">
        <f>IFERROR(IF(--MID($F668,2*COUNTIF($G668:I668,"&gt;"&amp;0)+2,1)=J$1,J$1,""),"")</f>
        <v/>
      </c>
      <c r="K668" s="36" t="str">
        <f>IFERROR(IF(--MID($F668,2*COUNTIF($G668:J668,"&gt;"&amp;0)+2,1)=K$1,K$1,""),"")</f>
        <v/>
      </c>
      <c r="L668" s="36" t="str">
        <f>IFERROR(IF(--MID($F668,2*COUNTIF($G668:K668,"&gt;"&amp;0)+2,1)=L$1,L$1,""),"")</f>
        <v/>
      </c>
      <c r="M668" s="51" t="str" cm="1">
        <f t="array" ref="M668">IF($A668="","",IF(G668="","",_xlfn.XLOOKUP($D668&amp;"_"&amp;$AE668,符文权重!$A:$A&amp;"_"&amp;符文权重!$C:$C,符文权重!$D:$D)*$Y668/SUMIFS($Y:$Y,G:G,G668,$D:$D,$D668,$AE:$AE,$AE668)/SUMIF(符文权重!$A:$A,$D668,符文权重!$D:$D)))</f>
        <v/>
      </c>
      <c r="N668" s="51" t="str" cm="1">
        <f t="array" ref="N668">IF($A668="","",IF(H668="","",_xlfn.XLOOKUP($D668&amp;"_"&amp;$AE668,符文权重!$A:$A&amp;"_"&amp;符文权重!$C:$C,符文权重!$D:$D)*$Y668/SUMIFS($Y:$Y,H:H,H668,$D:$D,$D668,$AE:$AE,$AE668)/SUMIF(符文权重!$A:$A,$D668,符文权重!$D:$D)))</f>
        <v/>
      </c>
      <c r="O668" s="51" cm="1">
        <f t="array" ref="O668">IF($A668="","",IF(I668="","",_xlfn.XLOOKUP($D668&amp;"_"&amp;$AE668,符文权重!$A:$A&amp;"_"&amp;符文权重!$C:$C,符文权重!$D:$D)*$Y668/SUMIFS($Y:$Y,I:I,I668,$D:$D,$D668,$AE:$AE,$AE668)/SUMIF(符文权重!$A:$A,$D668,符文权重!$D:$D)))</f>
        <v>0.0035035035035035</v>
      </c>
      <c r="P668" s="51" t="str" cm="1">
        <f t="array" ref="P668">IF($A668="","",IF(J668="","",_xlfn.XLOOKUP($D668&amp;"_"&amp;$AE668,符文权重!$A:$A&amp;"_"&amp;符文权重!$C:$C,符文权重!$D:$D)*$Y668/SUMIFS($Y:$Y,J:J,J668,$D:$D,$D668,$AE:$AE,$AE668)/SUMIF(符文权重!$A:$A,$D668,符文权重!$D:$D)))</f>
        <v/>
      </c>
      <c r="Q668" s="51" t="str" cm="1">
        <f t="array" ref="Q668">IF($A668="","",IF(K668="","",_xlfn.XLOOKUP($D668&amp;"_"&amp;$AE668,符文权重!$A:$A&amp;"_"&amp;符文权重!$C:$C,符文权重!$D:$D)*$Y668/SUMIFS($Y:$Y,K:K,K668,$D:$D,$D668,$AE:$AE,$AE668)/SUMIF(符文权重!$A:$A,$D668,符文权重!$D:$D)))</f>
        <v/>
      </c>
      <c r="R668" s="51" t="str" cm="1">
        <f t="array" ref="R668">IF($A668="","",IF(L668="","",_xlfn.XLOOKUP($D668&amp;"_"&amp;$AE668,符文权重!$A:$A&amp;"_"&amp;符文权重!$C:$C,符文权重!$D:$D)*$Y668/SUMIFS($Y:$Y,L:L,L668,$D:$D,$D668,$AE:$AE,$AE668)/SUMIF(符文权重!$A:$A,$D668,符文权重!$D:$D)))</f>
        <v/>
      </c>
      <c r="S668" s="36" t="s">
        <v>344</v>
      </c>
      <c r="T668" s="36" t="s">
        <v>786</v>
      </c>
      <c r="U668" s="36" t="s">
        <v>420</v>
      </c>
      <c r="V668" s="25" t="s">
        <v>805</v>
      </c>
      <c r="W668" s="36"/>
      <c r="X668" s="35" t="s">
        <v>595</v>
      </c>
      <c r="Y668" s="35">
        <v>100</v>
      </c>
      <c r="Z668" s="35"/>
      <c r="AA668" s="36" t="s">
        <v>185</v>
      </c>
      <c r="AB668" s="42" t="str">
        <f t="shared" si="266"/>
        <v>亚瑟首次生命低于35%时，立刻恢复&lt;color=#54b76b&gt;20%&lt;/color&gt;最大生命值</v>
      </c>
      <c r="AC668" s="35">
        <v>5301255</v>
      </c>
      <c r="AD668" s="36" t="s">
        <v>428</v>
      </c>
      <c r="AE668" s="36">
        <v>8</v>
      </c>
      <c r="AF668" s="36"/>
      <c r="AG668" s="36"/>
      <c r="AH668" s="36">
        <v>1</v>
      </c>
      <c r="AI668" s="36"/>
      <c r="AJ668" s="42" t="s">
        <v>806</v>
      </c>
      <c r="AK668" s="36"/>
      <c r="AL668" s="35">
        <v>4</v>
      </c>
    </row>
    <row r="669" s="25" customFormat="1" hidden="1" customHeight="1" spans="1:38">
      <c r="A669" s="35">
        <v>5510305</v>
      </c>
      <c r="B669" s="35" t="s">
        <v>785</v>
      </c>
      <c r="C669" s="35">
        <v>5301255</v>
      </c>
      <c r="D669" s="35">
        <v>5</v>
      </c>
      <c r="E669" s="35"/>
      <c r="F669" s="35" t="s">
        <v>193</v>
      </c>
      <c r="G669" s="36" t="str">
        <f t="shared" si="265"/>
        <v/>
      </c>
      <c r="H669" s="36" t="str">
        <f>IFERROR(IF(--MID($F669,2*COUNTIF($G669:G669,"&gt;"&amp;0)+2,1)=H$1,H$1,""),"")</f>
        <v/>
      </c>
      <c r="I669" s="36">
        <f>IFERROR(IF(--MID($F669,2*COUNTIF($G669:H669,"&gt;"&amp;0)+2,1)=I$1,I$1,""),"")</f>
        <v>3</v>
      </c>
      <c r="J669" s="36" t="str">
        <f>IFERROR(IF(--MID($F669,2*COUNTIF($G669:I669,"&gt;"&amp;0)+2,1)=J$1,J$1,""),"")</f>
        <v/>
      </c>
      <c r="K669" s="36" t="str">
        <f>IFERROR(IF(--MID($F669,2*COUNTIF($G669:J669,"&gt;"&amp;0)+2,1)=K$1,K$1,""),"")</f>
        <v/>
      </c>
      <c r="L669" s="36" t="str">
        <f>IFERROR(IF(--MID($F669,2*COUNTIF($G669:K669,"&gt;"&amp;0)+2,1)=L$1,L$1,""),"")</f>
        <v/>
      </c>
      <c r="M669" s="51" t="str" cm="1">
        <f t="array" ref="M669">IF($A669="","",IF(G669="","",_xlfn.XLOOKUP($D669&amp;"_"&amp;$AE669,符文权重!$A:$A&amp;"_"&amp;符文权重!$C:$C,符文权重!$D:$D)*$Y669/SUMIFS($Y:$Y,G:G,G669,$D:$D,$D669,$AE:$AE,$AE669)/SUMIF(符文权重!$A:$A,$D669,符文权重!$D:$D)))</f>
        <v/>
      </c>
      <c r="N669" s="51" t="str" cm="1">
        <f t="array" ref="N669">IF($A669="","",IF(H669="","",_xlfn.XLOOKUP($D669&amp;"_"&amp;$AE669,符文权重!$A:$A&amp;"_"&amp;符文权重!$C:$C,符文权重!$D:$D)*$Y669/SUMIFS($Y:$Y,H:H,H669,$D:$D,$D669,$AE:$AE,$AE669)/SUMIF(符文权重!$A:$A,$D669,符文权重!$D:$D)))</f>
        <v/>
      </c>
      <c r="O669" s="51" cm="1">
        <f t="array" ref="O669">IF($A669="","",IF(I669="","",_xlfn.XLOOKUP($D669&amp;"_"&amp;$AE669,符文权重!$A:$A&amp;"_"&amp;符文权重!$C:$C,符文权重!$D:$D)*$Y669/SUMIFS($Y:$Y,I:I,I669,$D:$D,$D669,$AE:$AE,$AE669)/SUMIF(符文权重!$A:$A,$D669,符文权重!$D:$D)))</f>
        <v>0.00721428571428571</v>
      </c>
      <c r="P669" s="51" t="str" cm="1">
        <f t="array" ref="P669">IF($A669="","",IF(J669="","",_xlfn.XLOOKUP($D669&amp;"_"&amp;$AE669,符文权重!$A:$A&amp;"_"&amp;符文权重!$C:$C,符文权重!$D:$D)*$Y669/SUMIFS($Y:$Y,J:J,J669,$D:$D,$D669,$AE:$AE,$AE669)/SUMIF(符文权重!$A:$A,$D669,符文权重!$D:$D)))</f>
        <v/>
      </c>
      <c r="Q669" s="51" t="str" cm="1">
        <f t="array" ref="Q669">IF($A669="","",IF(K669="","",_xlfn.XLOOKUP($D669&amp;"_"&amp;$AE669,符文权重!$A:$A&amp;"_"&amp;符文权重!$C:$C,符文权重!$D:$D)*$Y669/SUMIFS($Y:$Y,K:K,K669,$D:$D,$D669,$AE:$AE,$AE669)/SUMIF(符文权重!$A:$A,$D669,符文权重!$D:$D)))</f>
        <v/>
      </c>
      <c r="R669" s="51" t="str" cm="1">
        <f t="array" ref="R669">IF($A669="","",IF(L669="","",_xlfn.XLOOKUP($D669&amp;"_"&amp;$AE669,符文权重!$A:$A&amp;"_"&amp;符文权重!$C:$C,符文权重!$D:$D)*$Y669/SUMIFS($Y:$Y,L:L,L669,$D:$D,$D669,$AE:$AE,$AE669)/SUMIF(符文权重!$A:$A,$D669,符文权重!$D:$D)))</f>
        <v/>
      </c>
      <c r="S669" s="35" t="s">
        <v>344</v>
      </c>
      <c r="T669" s="35" t="s">
        <v>786</v>
      </c>
      <c r="U669" s="35" t="s">
        <v>423</v>
      </c>
      <c r="V669" s="35" t="s">
        <v>807</v>
      </c>
      <c r="X669" s="35" t="s">
        <v>790</v>
      </c>
      <c r="Y669" s="35">
        <v>100</v>
      </c>
      <c r="AA669" s="35" t="s">
        <v>187</v>
      </c>
      <c r="AB669" s="42" t="str">
        <f t="shared" si="266"/>
        <v>亚瑟首次生命低于35%时，立刻恢复&lt;color=#54b76b&gt;28%&lt;/color&gt;最大生命值</v>
      </c>
      <c r="AC669" s="35">
        <v>5301255</v>
      </c>
      <c r="AD669" s="35" t="s">
        <v>808</v>
      </c>
      <c r="AE669" s="35">
        <v>4</v>
      </c>
      <c r="AH669" s="35">
        <v>1</v>
      </c>
      <c r="AI669" s="36"/>
      <c r="AJ669" s="35" t="s">
        <v>809</v>
      </c>
      <c r="AK669" s="36"/>
      <c r="AL669" s="35">
        <v>4</v>
      </c>
    </row>
    <row r="670" s="25" customFormat="1" hidden="1" customHeight="1" spans="1:38">
      <c r="A670" s="35">
        <v>5510306</v>
      </c>
      <c r="B670" s="35" t="s">
        <v>785</v>
      </c>
      <c r="C670" s="35">
        <v>5301255</v>
      </c>
      <c r="D670" s="35">
        <v>6</v>
      </c>
      <c r="E670" s="35"/>
      <c r="F670" s="35" t="s">
        <v>193</v>
      </c>
      <c r="G670" s="36" t="str">
        <f t="shared" si="265"/>
        <v/>
      </c>
      <c r="H670" s="36" t="str">
        <f>IFERROR(IF(--MID($F670,2*COUNTIF($G670:G670,"&gt;"&amp;0)+2,1)=H$1,H$1,""),"")</f>
        <v/>
      </c>
      <c r="I670" s="36">
        <f>IFERROR(IF(--MID($F670,2*COUNTIF($G670:H670,"&gt;"&amp;0)+2,1)=I$1,I$1,""),"")</f>
        <v>3</v>
      </c>
      <c r="J670" s="36" t="str">
        <f>IFERROR(IF(--MID($F670,2*COUNTIF($G670:I670,"&gt;"&amp;0)+2,1)=J$1,J$1,""),"")</f>
        <v/>
      </c>
      <c r="K670" s="36" t="str">
        <f>IFERROR(IF(--MID($F670,2*COUNTIF($G670:J670,"&gt;"&amp;0)+2,1)=K$1,K$1,""),"")</f>
        <v/>
      </c>
      <c r="L670" s="36" t="str">
        <f>IFERROR(IF(--MID($F670,2*COUNTIF($G670:K670,"&gt;"&amp;0)+2,1)=L$1,L$1,""),"")</f>
        <v/>
      </c>
      <c r="M670" s="51" t="str" cm="1">
        <f t="array" ref="M670">IF($A670="","",IF(G670="","",_xlfn.XLOOKUP($D670&amp;"_"&amp;$AE670,符文权重!$A:$A&amp;"_"&amp;符文权重!$C:$C,符文权重!$D:$D)*$Y670/SUMIFS($Y:$Y,G:G,G670,$D:$D,$D670,$AE:$AE,$AE670)/SUMIF(符文权重!$A:$A,$D670,符文权重!$D:$D)))</f>
        <v/>
      </c>
      <c r="N670" s="51" t="str" cm="1">
        <f t="array" ref="N670">IF($A670="","",IF(H670="","",_xlfn.XLOOKUP($D670&amp;"_"&amp;$AE670,符文权重!$A:$A&amp;"_"&amp;符文权重!$C:$C,符文权重!$D:$D)*$Y670/SUMIFS($Y:$Y,H:H,H670,$D:$D,$D670,$AE:$AE,$AE670)/SUMIF(符文权重!$A:$A,$D670,符文权重!$D:$D)))</f>
        <v/>
      </c>
      <c r="O670" s="51" cm="1">
        <f t="array" ref="O670">IF($A670="","",IF(I670="","",_xlfn.XLOOKUP($D670&amp;"_"&amp;$AE670,符文权重!$A:$A&amp;"_"&amp;符文权重!$C:$C,符文权重!$D:$D)*$Y670/SUMIFS($Y:$Y,I:I,I670,$D:$D,$D670,$AE:$AE,$AE670)/SUMIF(符文权重!$A:$A,$D670,符文权重!$D:$D)))</f>
        <v>0.00721428571428571</v>
      </c>
      <c r="P670" s="51" t="str" cm="1">
        <f t="array" ref="P670">IF($A670="","",IF(J670="","",_xlfn.XLOOKUP($D670&amp;"_"&amp;$AE670,符文权重!$A:$A&amp;"_"&amp;符文权重!$C:$C,符文权重!$D:$D)*$Y670/SUMIFS($Y:$Y,J:J,J670,$D:$D,$D670,$AE:$AE,$AE670)/SUMIF(符文权重!$A:$A,$D670,符文权重!$D:$D)))</f>
        <v/>
      </c>
      <c r="Q670" s="51" t="str" cm="1">
        <f t="array" ref="Q670">IF($A670="","",IF(K670="","",_xlfn.XLOOKUP($D670&amp;"_"&amp;$AE670,符文权重!$A:$A&amp;"_"&amp;符文权重!$C:$C,符文权重!$D:$D)*$Y670/SUMIFS($Y:$Y,K:K,K670,$D:$D,$D670,$AE:$AE,$AE670)/SUMIF(符文权重!$A:$A,$D670,符文权重!$D:$D)))</f>
        <v/>
      </c>
      <c r="R670" s="51" t="str" cm="1">
        <f t="array" ref="R670">IF($A670="","",IF(L670="","",_xlfn.XLOOKUP($D670&amp;"_"&amp;$AE670,符文权重!$A:$A&amp;"_"&amp;符文权重!$C:$C,符文权重!$D:$D)*$Y670/SUMIFS($Y:$Y,L:L,L670,$D:$D,$D670,$AE:$AE,$AE670)/SUMIF(符文权重!$A:$A,$D670,符文权重!$D:$D)))</f>
        <v/>
      </c>
      <c r="S670" s="35" t="s">
        <v>344</v>
      </c>
      <c r="T670" s="35" t="s">
        <v>786</v>
      </c>
      <c r="U670" s="35" t="s">
        <v>426</v>
      </c>
      <c r="V670" s="35" t="s">
        <v>810</v>
      </c>
      <c r="X670" s="35" t="s">
        <v>656</v>
      </c>
      <c r="Y670" s="35">
        <v>100</v>
      </c>
      <c r="AA670" s="35" t="s">
        <v>189</v>
      </c>
      <c r="AB670" s="42" t="str">
        <f t="shared" si="266"/>
        <v>亚瑟首次生命低于35%时，立刻恢复&lt;color=#54b76b&gt;36%&lt;/color&gt;最大生命值</v>
      </c>
      <c r="AC670" s="35">
        <v>5301255</v>
      </c>
      <c r="AD670" s="35" t="s">
        <v>660</v>
      </c>
      <c r="AE670" s="35">
        <v>4</v>
      </c>
      <c r="AH670" s="35">
        <v>1</v>
      </c>
      <c r="AJ670" s="35" t="s">
        <v>811</v>
      </c>
      <c r="AL670" s="35">
        <v>4</v>
      </c>
    </row>
    <row r="671" s="25" customFormat="1" hidden="1" customHeight="1" spans="1:38">
      <c r="A671" s="35">
        <v>5510307</v>
      </c>
      <c r="B671" s="35" t="s">
        <v>785</v>
      </c>
      <c r="C671" s="35">
        <v>5301255</v>
      </c>
      <c r="D671" s="35">
        <v>7</v>
      </c>
      <c r="E671" s="35"/>
      <c r="F671" s="35" t="s">
        <v>193</v>
      </c>
      <c r="G671" s="36" t="str">
        <f t="shared" si="265"/>
        <v/>
      </c>
      <c r="H671" s="36" t="str">
        <f>IFERROR(IF(--MID($F671,2*COUNTIF($G671:G671,"&gt;"&amp;0)+2,1)=H$1,H$1,""),"")</f>
        <v/>
      </c>
      <c r="I671" s="36">
        <f>IFERROR(IF(--MID($F671,2*COUNTIF($G671:H671,"&gt;"&amp;0)+2,1)=I$1,I$1,""),"")</f>
        <v>3</v>
      </c>
      <c r="J671" s="36" t="str">
        <f>IFERROR(IF(--MID($F671,2*COUNTIF($G671:I671,"&gt;"&amp;0)+2,1)=J$1,J$1,""),"")</f>
        <v/>
      </c>
      <c r="K671" s="36" t="str">
        <f>IFERROR(IF(--MID($F671,2*COUNTIF($G671:J671,"&gt;"&amp;0)+2,1)=K$1,K$1,""),"")</f>
        <v/>
      </c>
      <c r="L671" s="36" t="str">
        <f>IFERROR(IF(--MID($F671,2*COUNTIF($G671:K671,"&gt;"&amp;0)+2,1)=L$1,L$1,""),"")</f>
        <v/>
      </c>
      <c r="M671" s="51" t="str" cm="1">
        <f t="array" ref="M671">IF($A671="","",IF(G671="","",_xlfn.XLOOKUP($D671&amp;"_"&amp;$AE671,符文权重!$A:$A&amp;"_"&amp;符文权重!$C:$C,符文权重!$D:$D)*$Y671/SUMIFS($Y:$Y,G:G,G671,$D:$D,$D671,$AE:$AE,$AE671)/SUMIF(符文权重!$A:$A,$D671,符文权重!$D:$D)))</f>
        <v/>
      </c>
      <c r="N671" s="51" t="str" cm="1">
        <f t="array" ref="N671">IF($A671="","",IF(H671="","",_xlfn.XLOOKUP($D671&amp;"_"&amp;$AE671,符文权重!$A:$A&amp;"_"&amp;符文权重!$C:$C,符文权重!$D:$D)*$Y671/SUMIFS($Y:$Y,H:H,H671,$D:$D,$D671,$AE:$AE,$AE671)/SUMIF(符文权重!$A:$A,$D671,符文权重!$D:$D)))</f>
        <v/>
      </c>
      <c r="O671" s="51" cm="1">
        <f t="array" ref="O671">IF($A671="","",IF(I671="","",_xlfn.XLOOKUP($D671&amp;"_"&amp;$AE671,符文权重!$A:$A&amp;"_"&amp;符文权重!$C:$C,符文权重!$D:$D)*$Y671/SUMIFS($Y:$Y,I:I,I671,$D:$D,$D671,$AE:$AE,$AE671)/SUMIF(符文权重!$A:$A,$D671,符文权重!$D:$D)))</f>
        <v>0.00721428571428571</v>
      </c>
      <c r="P671" s="51" t="str" cm="1">
        <f t="array" ref="P671">IF($A671="","",IF(J671="","",_xlfn.XLOOKUP($D671&amp;"_"&amp;$AE671,符文权重!$A:$A&amp;"_"&amp;符文权重!$C:$C,符文权重!$D:$D)*$Y671/SUMIFS($Y:$Y,J:J,J671,$D:$D,$D671,$AE:$AE,$AE671)/SUMIF(符文权重!$A:$A,$D671,符文权重!$D:$D)))</f>
        <v/>
      </c>
      <c r="Q671" s="51" t="str" cm="1">
        <f t="array" ref="Q671">IF($A671="","",IF(K671="","",_xlfn.XLOOKUP($D671&amp;"_"&amp;$AE671,符文权重!$A:$A&amp;"_"&amp;符文权重!$C:$C,符文权重!$D:$D)*$Y671/SUMIFS($Y:$Y,K:K,K671,$D:$D,$D671,$AE:$AE,$AE671)/SUMIF(符文权重!$A:$A,$D671,符文权重!$D:$D)))</f>
        <v/>
      </c>
      <c r="R671" s="51" t="str" cm="1">
        <f t="array" ref="R671">IF($A671="","",IF(L671="","",_xlfn.XLOOKUP($D671&amp;"_"&amp;$AE671,符文权重!$A:$A&amp;"_"&amp;符文权重!$C:$C,符文权重!$D:$D)*$Y671/SUMIFS($Y:$Y,L:L,L671,$D:$D,$D671,$AE:$AE,$AE671)/SUMIF(符文权重!$A:$A,$D671,符文权重!$D:$D)))</f>
        <v/>
      </c>
      <c r="S671" s="35" t="s">
        <v>344</v>
      </c>
      <c r="T671" s="35" t="s">
        <v>786</v>
      </c>
      <c r="U671" s="35" t="s">
        <v>429</v>
      </c>
      <c r="V671" s="35" t="s">
        <v>812</v>
      </c>
      <c r="X671" s="35" t="s">
        <v>795</v>
      </c>
      <c r="Y671" s="35">
        <v>100</v>
      </c>
      <c r="AA671" s="35" t="s">
        <v>191</v>
      </c>
      <c r="AB671" s="42" t="str">
        <f t="shared" si="266"/>
        <v>亚瑟首次生命低于35%时，立刻恢复&lt;color=#54b76b&gt;45%&lt;/color&gt;最大生命值</v>
      </c>
      <c r="AC671" s="35">
        <v>5301255</v>
      </c>
      <c r="AD671" s="35" t="s">
        <v>474</v>
      </c>
      <c r="AE671" s="35">
        <v>4</v>
      </c>
      <c r="AH671" s="35">
        <v>1</v>
      </c>
      <c r="AI671" s="36"/>
      <c r="AJ671" s="35" t="s">
        <v>813</v>
      </c>
      <c r="AK671" s="36"/>
      <c r="AL671" s="35">
        <v>4</v>
      </c>
    </row>
    <row r="672" s="25" customFormat="1" hidden="1" customHeight="1" spans="1:38">
      <c r="A672" s="35">
        <v>5510314</v>
      </c>
      <c r="B672" s="55" t="s">
        <v>814</v>
      </c>
      <c r="C672" s="35">
        <v>5301257</v>
      </c>
      <c r="D672" s="36">
        <v>4</v>
      </c>
      <c r="E672" s="36"/>
      <c r="F672" s="35" t="s">
        <v>404</v>
      </c>
      <c r="G672" s="36" t="str">
        <f t="shared" si="265"/>
        <v/>
      </c>
      <c r="H672" s="36" t="str">
        <f>IFERROR(IF(--MID($F672,2*COUNTIF($G672:G672,"&gt;"&amp;0)+2,1)=H$1,H$1,""),"")</f>
        <v/>
      </c>
      <c r="I672" s="36" t="str">
        <f>IFERROR(IF(--MID($F672,2*COUNTIF($G672:H672,"&gt;"&amp;0)+2,1)=I$1,I$1,""),"")</f>
        <v/>
      </c>
      <c r="J672" s="36">
        <f>IFERROR(IF(--MID($F672,2*COUNTIF($G672:I672,"&gt;"&amp;0)+2,1)=J$1,J$1,""),"")</f>
        <v>4</v>
      </c>
      <c r="K672" s="36" t="str">
        <f>IFERROR(IF(--MID($F672,2*COUNTIF($G672:J672,"&gt;"&amp;0)+2,1)=K$1,K$1,""),"")</f>
        <v/>
      </c>
      <c r="L672" s="36" t="str">
        <f>IFERROR(IF(--MID($F672,2*COUNTIF($G672:K672,"&gt;"&amp;0)+2,1)=L$1,L$1,""),"")</f>
        <v/>
      </c>
      <c r="M672" s="51" t="str" cm="1">
        <f t="array" ref="M672">IF($A672="","",IF(G672="","",_xlfn.XLOOKUP($D672&amp;"_"&amp;$AE672,符文权重!$A:$A&amp;"_"&amp;符文权重!$C:$C,符文权重!$D:$D)*$Y672/SUMIFS($Y:$Y,G:G,G672,$D:$D,$D672,$AE:$AE,$AE672)/SUMIF(符文权重!$A:$A,$D672,符文权重!$D:$D)))</f>
        <v/>
      </c>
      <c r="N672" s="51" t="str" cm="1">
        <f t="array" ref="N672">IF($A672="","",IF(H672="","",_xlfn.XLOOKUP($D672&amp;"_"&amp;$AE672,符文权重!$A:$A&amp;"_"&amp;符文权重!$C:$C,符文权重!$D:$D)*$Y672/SUMIFS($Y:$Y,H:H,H672,$D:$D,$D672,$AE:$AE,$AE672)/SUMIF(符文权重!$A:$A,$D672,符文权重!$D:$D)))</f>
        <v/>
      </c>
      <c r="O672" s="51" t="str" cm="1">
        <f t="array" ref="O672">IF($A672="","",IF(I672="","",_xlfn.XLOOKUP($D672&amp;"_"&amp;$AE672,符文权重!$A:$A&amp;"_"&amp;符文权重!$C:$C,符文权重!$D:$D)*$Y672/SUMIFS($Y:$Y,I:I,I672,$D:$D,$D672,$AE:$AE,$AE672)/SUMIF(符文权重!$A:$A,$D672,符文权重!$D:$D)))</f>
        <v/>
      </c>
      <c r="P672" s="51" cm="1">
        <f t="array" ref="P672">IF($A672="","",IF(J672="","",_xlfn.XLOOKUP($D672&amp;"_"&amp;$AE672,符文权重!$A:$A&amp;"_"&amp;符文权重!$C:$C,符文权重!$D:$D)*$Y672/SUMIFS($Y:$Y,J:J,J672,$D:$D,$D672,$AE:$AE,$AE672)/SUMIF(符文权重!$A:$A,$D672,符文权重!$D:$D)))</f>
        <v>0.00262762762762763</v>
      </c>
      <c r="Q672" s="51" t="str" cm="1">
        <f t="array" ref="Q672">IF($A672="","",IF(K672="","",_xlfn.XLOOKUP($D672&amp;"_"&amp;$AE672,符文权重!$A:$A&amp;"_"&amp;符文权重!$C:$C,符文权重!$D:$D)*$Y672/SUMIFS($Y:$Y,K:K,K672,$D:$D,$D672,$AE:$AE,$AE672)/SUMIF(符文权重!$A:$A,$D672,符文权重!$D:$D)))</f>
        <v/>
      </c>
      <c r="R672" s="51" t="str" cm="1">
        <f t="array" ref="R672">IF($A672="","",IF(L672="","",_xlfn.XLOOKUP($D672&amp;"_"&amp;$AE672,符文权重!$A:$A&amp;"_"&amp;符文权重!$C:$C,符文权重!$D:$D)*$Y672/SUMIFS($Y:$Y,L:L,L672,$D:$D,$D672,$AE:$AE,$AE672)/SUMIF(符文权重!$A:$A,$D672,符文权重!$D:$D)))</f>
        <v/>
      </c>
      <c r="S672" s="36" t="s">
        <v>344</v>
      </c>
      <c r="T672" s="36" t="s">
        <v>815</v>
      </c>
      <c r="U672" s="36" t="s">
        <v>420</v>
      </c>
      <c r="W672" s="41" t="s">
        <v>816</v>
      </c>
      <c r="X672" s="35" t="s">
        <v>817</v>
      </c>
      <c r="Y672" s="35">
        <v>100</v>
      </c>
      <c r="Z672" s="35"/>
      <c r="AA672" s="36" t="s">
        <v>185</v>
      </c>
      <c r="AB672" s="42" t="str">
        <f t="shared" si="266"/>
        <v>东方不败攻击充能效率提高&lt;color=#54b76b&gt;10%&lt;/color&gt;，有&lt;color=#54b76b&gt;15%&lt;/color&gt;几率立即完成</v>
      </c>
      <c r="AC672" s="35">
        <v>5301257</v>
      </c>
      <c r="AD672" s="36" t="s">
        <v>422</v>
      </c>
      <c r="AE672" s="36">
        <v>8</v>
      </c>
      <c r="AF672" s="36"/>
      <c r="AG672" s="36"/>
      <c r="AH672" s="36">
        <v>1</v>
      </c>
      <c r="AI672" s="36"/>
      <c r="AJ672" s="42" t="s">
        <v>818</v>
      </c>
      <c r="AK672" s="36"/>
      <c r="AL672" s="35">
        <v>4</v>
      </c>
    </row>
    <row r="673" s="25" customFormat="1" hidden="1" customHeight="1" spans="1:38">
      <c r="A673" s="35">
        <v>5510315</v>
      </c>
      <c r="B673" s="35" t="s">
        <v>814</v>
      </c>
      <c r="C673" s="35">
        <v>5301257</v>
      </c>
      <c r="D673" s="35">
        <v>5</v>
      </c>
      <c r="E673" s="35"/>
      <c r="F673" s="35" t="s">
        <v>404</v>
      </c>
      <c r="G673" s="36" t="str">
        <f t="shared" si="265"/>
        <v/>
      </c>
      <c r="H673" s="36" t="str">
        <f>IFERROR(IF(--MID($F673,2*COUNTIF($G673:G673,"&gt;"&amp;0)+2,1)=H$1,H$1,""),"")</f>
        <v/>
      </c>
      <c r="I673" s="36" t="str">
        <f>IFERROR(IF(--MID($F673,2*COUNTIF($G673:H673,"&gt;"&amp;0)+2,1)=I$1,I$1,""),"")</f>
        <v/>
      </c>
      <c r="J673" s="36">
        <f>IFERROR(IF(--MID($F673,2*COUNTIF($G673:I673,"&gt;"&amp;0)+2,1)=J$1,J$1,""),"")</f>
        <v>4</v>
      </c>
      <c r="K673" s="36" t="str">
        <f>IFERROR(IF(--MID($F673,2*COUNTIF($G673:J673,"&gt;"&amp;0)+2,1)=K$1,K$1,""),"")</f>
        <v/>
      </c>
      <c r="L673" s="36" t="str">
        <f>IFERROR(IF(--MID($F673,2*COUNTIF($G673:K673,"&gt;"&amp;0)+2,1)=L$1,L$1,""),"")</f>
        <v/>
      </c>
      <c r="M673" s="51" t="str" cm="1">
        <f t="array" ref="M673">IF($A673="","",IF(G673="","",_xlfn.XLOOKUP($D673&amp;"_"&amp;$AE673,符文权重!$A:$A&amp;"_"&amp;符文权重!$C:$C,符文权重!$D:$D)*$Y673/SUMIFS($Y:$Y,G:G,G673,$D:$D,$D673,$AE:$AE,$AE673)/SUMIF(符文权重!$A:$A,$D673,符文权重!$D:$D)))</f>
        <v/>
      </c>
      <c r="N673" s="51" t="str" cm="1">
        <f t="array" ref="N673">IF($A673="","",IF(H673="","",_xlfn.XLOOKUP($D673&amp;"_"&amp;$AE673,符文权重!$A:$A&amp;"_"&amp;符文权重!$C:$C,符文权重!$D:$D)*$Y673/SUMIFS($Y:$Y,H:H,H673,$D:$D,$D673,$AE:$AE,$AE673)/SUMIF(符文权重!$A:$A,$D673,符文权重!$D:$D)))</f>
        <v/>
      </c>
      <c r="O673" s="51" t="str" cm="1">
        <f t="array" ref="O673">IF($A673="","",IF(I673="","",_xlfn.XLOOKUP($D673&amp;"_"&amp;$AE673,符文权重!$A:$A&amp;"_"&amp;符文权重!$C:$C,符文权重!$D:$D)*$Y673/SUMIFS($Y:$Y,I:I,I673,$D:$D,$D673,$AE:$AE,$AE673)/SUMIF(符文权重!$A:$A,$D673,符文权重!$D:$D)))</f>
        <v/>
      </c>
      <c r="P673" s="51" cm="1">
        <f t="array" ref="P673">IF($A673="","",IF(J673="","",_xlfn.XLOOKUP($D673&amp;"_"&amp;$AE673,符文权重!$A:$A&amp;"_"&amp;符文权重!$C:$C,符文权重!$D:$D)*$Y673/SUMIFS($Y:$Y,J:J,J673,$D:$D,$D673,$AE:$AE,$AE673)/SUMIF(符文权重!$A:$A,$D673,符文权重!$D:$D)))</f>
        <v>0.0063125</v>
      </c>
      <c r="Q673" s="51" t="str" cm="1">
        <f t="array" ref="Q673">IF($A673="","",IF(K673="","",_xlfn.XLOOKUP($D673&amp;"_"&amp;$AE673,符文权重!$A:$A&amp;"_"&amp;符文权重!$C:$C,符文权重!$D:$D)*$Y673/SUMIFS($Y:$Y,K:K,K673,$D:$D,$D673,$AE:$AE,$AE673)/SUMIF(符文权重!$A:$A,$D673,符文权重!$D:$D)))</f>
        <v/>
      </c>
      <c r="R673" s="51" t="str" cm="1">
        <f t="array" ref="R673">IF($A673="","",IF(L673="","",_xlfn.XLOOKUP($D673&amp;"_"&amp;$AE673,符文权重!$A:$A&amp;"_"&amp;符文权重!$C:$C,符文权重!$D:$D)*$Y673/SUMIFS($Y:$Y,L:L,L673,$D:$D,$D673,$AE:$AE,$AE673)/SUMIF(符文权重!$A:$A,$D673,符文权重!$D:$D)))</f>
        <v/>
      </c>
      <c r="S673" s="35" t="s">
        <v>344</v>
      </c>
      <c r="T673" s="35" t="s">
        <v>815</v>
      </c>
      <c r="U673" s="35" t="s">
        <v>423</v>
      </c>
      <c r="V673" s="35"/>
      <c r="W673" s="35" t="s">
        <v>819</v>
      </c>
      <c r="X673" s="35" t="s">
        <v>820</v>
      </c>
      <c r="Y673" s="35">
        <v>100</v>
      </c>
      <c r="AA673" s="35" t="s">
        <v>187</v>
      </c>
      <c r="AB673" s="42" t="str">
        <f t="shared" si="266"/>
        <v>东方不败攻击充能效率提高&lt;color=#54b76b&gt;15%&lt;/color&gt;，有&lt;color=#54b76b&gt;15%&lt;/color&gt;几率立即完成</v>
      </c>
      <c r="AC673" s="35">
        <v>5301257</v>
      </c>
      <c r="AD673" s="35" t="s">
        <v>425</v>
      </c>
      <c r="AE673" s="35">
        <v>4</v>
      </c>
      <c r="AH673" s="35">
        <v>1</v>
      </c>
      <c r="AI673" s="36"/>
      <c r="AJ673" s="35" t="s">
        <v>821</v>
      </c>
      <c r="AK673" s="36"/>
      <c r="AL673" s="35">
        <v>4</v>
      </c>
    </row>
    <row r="674" s="25" customFormat="1" hidden="1" customHeight="1" spans="1:38">
      <c r="A674" s="35">
        <v>5510316</v>
      </c>
      <c r="B674" s="35" t="s">
        <v>814</v>
      </c>
      <c r="C674" s="35">
        <v>5301257</v>
      </c>
      <c r="D674" s="35">
        <v>6</v>
      </c>
      <c r="E674" s="35"/>
      <c r="F674" s="35" t="s">
        <v>404</v>
      </c>
      <c r="G674" s="36" t="str">
        <f t="shared" si="265"/>
        <v/>
      </c>
      <c r="H674" s="36" t="str">
        <f>IFERROR(IF(--MID($F674,2*COUNTIF($G674:G674,"&gt;"&amp;0)+2,1)=H$1,H$1,""),"")</f>
        <v/>
      </c>
      <c r="I674" s="36" t="str">
        <f>IFERROR(IF(--MID($F674,2*COUNTIF($G674:H674,"&gt;"&amp;0)+2,1)=I$1,I$1,""),"")</f>
        <v/>
      </c>
      <c r="J674" s="36">
        <f>IFERROR(IF(--MID($F674,2*COUNTIF($G674:I674,"&gt;"&amp;0)+2,1)=J$1,J$1,""),"")</f>
        <v>4</v>
      </c>
      <c r="K674" s="36" t="str">
        <f>IFERROR(IF(--MID($F674,2*COUNTIF($G674:J674,"&gt;"&amp;0)+2,1)=K$1,K$1,""),"")</f>
        <v/>
      </c>
      <c r="L674" s="36" t="str">
        <f>IFERROR(IF(--MID($F674,2*COUNTIF($G674:K674,"&gt;"&amp;0)+2,1)=L$1,L$1,""),"")</f>
        <v/>
      </c>
      <c r="M674" s="51" t="str" cm="1">
        <f t="array" ref="M674">IF($A674="","",IF(G674="","",_xlfn.XLOOKUP($D674&amp;"_"&amp;$AE674,符文权重!$A:$A&amp;"_"&amp;符文权重!$C:$C,符文权重!$D:$D)*$Y674/SUMIFS($Y:$Y,G:G,G674,$D:$D,$D674,$AE:$AE,$AE674)/SUMIF(符文权重!$A:$A,$D674,符文权重!$D:$D)))</f>
        <v/>
      </c>
      <c r="N674" s="51" t="str" cm="1">
        <f t="array" ref="N674">IF($A674="","",IF(H674="","",_xlfn.XLOOKUP($D674&amp;"_"&amp;$AE674,符文权重!$A:$A&amp;"_"&amp;符文权重!$C:$C,符文权重!$D:$D)*$Y674/SUMIFS($Y:$Y,H:H,H674,$D:$D,$D674,$AE:$AE,$AE674)/SUMIF(符文权重!$A:$A,$D674,符文权重!$D:$D)))</f>
        <v/>
      </c>
      <c r="O674" s="51" t="str" cm="1">
        <f t="array" ref="O674">IF($A674="","",IF(I674="","",_xlfn.XLOOKUP($D674&amp;"_"&amp;$AE674,符文权重!$A:$A&amp;"_"&amp;符文权重!$C:$C,符文权重!$D:$D)*$Y674/SUMIFS($Y:$Y,I:I,I674,$D:$D,$D674,$AE:$AE,$AE674)/SUMIF(符文权重!$A:$A,$D674,符文权重!$D:$D)))</f>
        <v/>
      </c>
      <c r="P674" s="51" cm="1">
        <f t="array" ref="P674">IF($A674="","",IF(J674="","",_xlfn.XLOOKUP($D674&amp;"_"&amp;$AE674,符文权重!$A:$A&amp;"_"&amp;符文权重!$C:$C,符文权重!$D:$D)*$Y674/SUMIFS($Y:$Y,J:J,J674,$D:$D,$D674,$AE:$AE,$AE674)/SUMIF(符文权重!$A:$A,$D674,符文权重!$D:$D)))</f>
        <v>0.0063125</v>
      </c>
      <c r="Q674" s="51" t="str" cm="1">
        <f t="array" ref="Q674">IF($A674="","",IF(K674="","",_xlfn.XLOOKUP($D674&amp;"_"&amp;$AE674,符文权重!$A:$A&amp;"_"&amp;符文权重!$C:$C,符文权重!$D:$D)*$Y674/SUMIFS($Y:$Y,K:K,K674,$D:$D,$D674,$AE:$AE,$AE674)/SUMIF(符文权重!$A:$A,$D674,符文权重!$D:$D)))</f>
        <v/>
      </c>
      <c r="R674" s="51" t="str" cm="1">
        <f t="array" ref="R674">IF($A674="","",IF(L674="","",_xlfn.XLOOKUP($D674&amp;"_"&amp;$AE674,符文权重!$A:$A&amp;"_"&amp;符文权重!$C:$C,符文权重!$D:$D)*$Y674/SUMIFS($Y:$Y,L:L,L674,$D:$D,$D674,$AE:$AE,$AE674)/SUMIF(符文权重!$A:$A,$D674,符文权重!$D:$D)))</f>
        <v/>
      </c>
      <c r="S674" s="35" t="s">
        <v>344</v>
      </c>
      <c r="T674" s="35" t="s">
        <v>815</v>
      </c>
      <c r="U674" s="35" t="s">
        <v>426</v>
      </c>
      <c r="V674" s="35"/>
      <c r="W674" s="35" t="s">
        <v>822</v>
      </c>
      <c r="X674" s="35" t="s">
        <v>823</v>
      </c>
      <c r="Y674" s="35">
        <v>100</v>
      </c>
      <c r="AA674" s="35" t="s">
        <v>189</v>
      </c>
      <c r="AB674" s="42" t="str">
        <f t="shared" si="266"/>
        <v>东方不败攻击充能效率提高&lt;color=#54b76b&gt;20%&lt;/color&gt;，有&lt;color=#54b76b&gt;15%&lt;/color&gt;几率立即完成</v>
      </c>
      <c r="AC674" s="35">
        <v>5301257</v>
      </c>
      <c r="AD674" s="35" t="s">
        <v>428</v>
      </c>
      <c r="AE674" s="35">
        <v>4</v>
      </c>
      <c r="AH674" s="35">
        <v>1</v>
      </c>
      <c r="AI674" s="36"/>
      <c r="AJ674" s="35" t="s">
        <v>824</v>
      </c>
      <c r="AK674" s="36"/>
      <c r="AL674" s="35">
        <v>4</v>
      </c>
    </row>
    <row r="675" s="25" customFormat="1" hidden="1" customHeight="1" spans="1:38">
      <c r="A675" s="35">
        <v>5510317</v>
      </c>
      <c r="B675" s="35" t="s">
        <v>814</v>
      </c>
      <c r="C675" s="35">
        <v>5301257</v>
      </c>
      <c r="D675" s="35">
        <v>7</v>
      </c>
      <c r="E675" s="35"/>
      <c r="F675" s="35" t="s">
        <v>404</v>
      </c>
      <c r="G675" s="36" t="str">
        <f t="shared" si="265"/>
        <v/>
      </c>
      <c r="H675" s="36" t="str">
        <f>IFERROR(IF(--MID($F675,2*COUNTIF($G675:G675,"&gt;"&amp;0)+2,1)=H$1,H$1,""),"")</f>
        <v/>
      </c>
      <c r="I675" s="36" t="str">
        <f>IFERROR(IF(--MID($F675,2*COUNTIF($G675:H675,"&gt;"&amp;0)+2,1)=I$1,I$1,""),"")</f>
        <v/>
      </c>
      <c r="J675" s="36">
        <f>IFERROR(IF(--MID($F675,2*COUNTIF($G675:I675,"&gt;"&amp;0)+2,1)=J$1,J$1,""),"")</f>
        <v>4</v>
      </c>
      <c r="K675" s="36" t="str">
        <f>IFERROR(IF(--MID($F675,2*COUNTIF($G675:J675,"&gt;"&amp;0)+2,1)=K$1,K$1,""),"")</f>
        <v/>
      </c>
      <c r="L675" s="36" t="str">
        <f>IFERROR(IF(--MID($F675,2*COUNTIF($G675:K675,"&gt;"&amp;0)+2,1)=L$1,L$1,""),"")</f>
        <v/>
      </c>
      <c r="M675" s="51" t="str" cm="1">
        <f t="array" ref="M675">IF($A675="","",IF(G675="","",_xlfn.XLOOKUP($D675&amp;"_"&amp;$AE675,符文权重!$A:$A&amp;"_"&amp;符文权重!$C:$C,符文权重!$D:$D)*$Y675/SUMIFS($Y:$Y,G:G,G675,$D:$D,$D675,$AE:$AE,$AE675)/SUMIF(符文权重!$A:$A,$D675,符文权重!$D:$D)))</f>
        <v/>
      </c>
      <c r="N675" s="51" t="str" cm="1">
        <f t="array" ref="N675">IF($A675="","",IF(H675="","",_xlfn.XLOOKUP($D675&amp;"_"&amp;$AE675,符文权重!$A:$A&amp;"_"&amp;符文权重!$C:$C,符文权重!$D:$D)*$Y675/SUMIFS($Y:$Y,H:H,H675,$D:$D,$D675,$AE:$AE,$AE675)/SUMIF(符文权重!$A:$A,$D675,符文权重!$D:$D)))</f>
        <v/>
      </c>
      <c r="O675" s="51" t="str" cm="1">
        <f t="array" ref="O675">IF($A675="","",IF(I675="","",_xlfn.XLOOKUP($D675&amp;"_"&amp;$AE675,符文权重!$A:$A&amp;"_"&amp;符文权重!$C:$C,符文权重!$D:$D)*$Y675/SUMIFS($Y:$Y,I:I,I675,$D:$D,$D675,$AE:$AE,$AE675)/SUMIF(符文权重!$A:$A,$D675,符文权重!$D:$D)))</f>
        <v/>
      </c>
      <c r="P675" s="51" cm="1">
        <f t="array" ref="P675">IF($A675="","",IF(J675="","",_xlfn.XLOOKUP($D675&amp;"_"&amp;$AE675,符文权重!$A:$A&amp;"_"&amp;符文权重!$C:$C,符文权重!$D:$D)*$Y675/SUMIFS($Y:$Y,J:J,J675,$D:$D,$D675,$AE:$AE,$AE675)/SUMIF(符文权重!$A:$A,$D675,符文权重!$D:$D)))</f>
        <v>0.0063125</v>
      </c>
      <c r="Q675" s="51" t="str" cm="1">
        <f t="array" ref="Q675">IF($A675="","",IF(K675="","",_xlfn.XLOOKUP($D675&amp;"_"&amp;$AE675,符文权重!$A:$A&amp;"_"&amp;符文权重!$C:$C,符文权重!$D:$D)*$Y675/SUMIFS($Y:$Y,K:K,K675,$D:$D,$D675,$AE:$AE,$AE675)/SUMIF(符文权重!$A:$A,$D675,符文权重!$D:$D)))</f>
        <v/>
      </c>
      <c r="R675" s="51" t="str" cm="1">
        <f t="array" ref="R675">IF($A675="","",IF(L675="","",_xlfn.XLOOKUP($D675&amp;"_"&amp;$AE675,符文权重!$A:$A&amp;"_"&amp;符文权重!$C:$C,符文权重!$D:$D)*$Y675/SUMIFS($Y:$Y,L:L,L675,$D:$D,$D675,$AE:$AE,$AE675)/SUMIF(符文权重!$A:$A,$D675,符文权重!$D:$D)))</f>
        <v/>
      </c>
      <c r="S675" s="35" t="s">
        <v>344</v>
      </c>
      <c r="T675" s="35" t="s">
        <v>815</v>
      </c>
      <c r="U675" s="35" t="s">
        <v>429</v>
      </c>
      <c r="V675" s="35"/>
      <c r="W675" s="35" t="s">
        <v>825</v>
      </c>
      <c r="X675" s="35" t="s">
        <v>826</v>
      </c>
      <c r="Y675" s="35">
        <v>100</v>
      </c>
      <c r="AA675" s="35" t="s">
        <v>191</v>
      </c>
      <c r="AB675" s="42" t="str">
        <f t="shared" si="266"/>
        <v>东方不败攻击充能效率提高&lt;color=#54b76b&gt;30%&lt;/color&gt;，有&lt;color=#54b76b&gt;15%&lt;/color&gt;几率立即完成</v>
      </c>
      <c r="AC675" s="35">
        <v>5301257</v>
      </c>
      <c r="AD675" s="35" t="s">
        <v>487</v>
      </c>
      <c r="AE675" s="35">
        <v>4</v>
      </c>
      <c r="AH675" s="35">
        <v>1</v>
      </c>
      <c r="AI675" s="36"/>
      <c r="AJ675" s="35" t="s">
        <v>827</v>
      </c>
      <c r="AK675" s="36"/>
      <c r="AL675" s="35">
        <v>4</v>
      </c>
    </row>
    <row r="676" s="25" customFormat="1" hidden="1" customHeight="1" spans="1:38">
      <c r="A676" s="35">
        <v>5510324</v>
      </c>
      <c r="B676" s="55" t="s">
        <v>814</v>
      </c>
      <c r="C676" s="35">
        <v>5301258</v>
      </c>
      <c r="D676" s="36">
        <v>4</v>
      </c>
      <c r="E676" s="36"/>
      <c r="F676" s="35" t="s">
        <v>230</v>
      </c>
      <c r="G676" s="36" t="str">
        <f t="shared" si="265"/>
        <v/>
      </c>
      <c r="H676" s="36" t="str">
        <f>IFERROR(IF(--MID($F676,2*COUNTIF($G676:G676,"&gt;"&amp;0)+2,1)=H$1,H$1,""),"")</f>
        <v/>
      </c>
      <c r="I676" s="36" t="str">
        <f>IFERROR(IF(--MID($F676,2*COUNTIF($G676:H676,"&gt;"&amp;0)+2,1)=I$1,I$1,""),"")</f>
        <v/>
      </c>
      <c r="J676" s="36" t="str">
        <f>IFERROR(IF(--MID($F676,2*COUNTIF($G676:I676,"&gt;"&amp;0)+2,1)=J$1,J$1,""),"")</f>
        <v/>
      </c>
      <c r="K676" s="36">
        <f>IFERROR(IF(--MID($F676,2*COUNTIF($G676:J676,"&gt;"&amp;0)+2,1)=K$1,K$1,""),"")</f>
        <v>5</v>
      </c>
      <c r="L676" s="36" t="str">
        <f>IFERROR(IF(--MID($F676,2*COUNTIF($G676:K676,"&gt;"&amp;0)+2,1)=L$1,L$1,""),"")</f>
        <v/>
      </c>
      <c r="M676" s="51" t="str" cm="1">
        <f t="array" ref="M676">IF($A676="","",IF(G676="","",_xlfn.XLOOKUP($D676&amp;"_"&amp;$AE676,符文权重!$A:$A&amp;"_"&amp;符文权重!$C:$C,符文权重!$D:$D)*$Y676/SUMIFS($Y:$Y,G:G,G676,$D:$D,$D676,$AE:$AE,$AE676)/SUMIF(符文权重!$A:$A,$D676,符文权重!$D:$D)))</f>
        <v/>
      </c>
      <c r="N676" s="51" t="str" cm="1">
        <f t="array" ref="N676">IF($A676="","",IF(H676="","",_xlfn.XLOOKUP($D676&amp;"_"&amp;$AE676,符文权重!$A:$A&amp;"_"&amp;符文权重!$C:$C,符文权重!$D:$D)*$Y676/SUMIFS($Y:$Y,H:H,H676,$D:$D,$D676,$AE:$AE,$AE676)/SUMIF(符文权重!$A:$A,$D676,符文权重!$D:$D)))</f>
        <v/>
      </c>
      <c r="O676" s="51" t="str" cm="1">
        <f t="array" ref="O676">IF($A676="","",IF(I676="","",_xlfn.XLOOKUP($D676&amp;"_"&amp;$AE676,符文权重!$A:$A&amp;"_"&amp;符文权重!$C:$C,符文权重!$D:$D)*$Y676/SUMIFS($Y:$Y,I:I,I676,$D:$D,$D676,$AE:$AE,$AE676)/SUMIF(符文权重!$A:$A,$D676,符文权重!$D:$D)))</f>
        <v/>
      </c>
      <c r="P676" s="51" t="str" cm="1">
        <f t="array" ref="P676">IF($A676="","",IF(J676="","",_xlfn.XLOOKUP($D676&amp;"_"&amp;$AE676,符文权重!$A:$A&amp;"_"&amp;符文权重!$C:$C,符文权重!$D:$D)*$Y676/SUMIFS($Y:$Y,J:J,J676,$D:$D,$D676,$AE:$AE,$AE676)/SUMIF(符文权重!$A:$A,$D676,符文权重!$D:$D)))</f>
        <v/>
      </c>
      <c r="Q676" s="51" cm="1">
        <f t="array" ref="Q676">IF($A676="","",IF(K676="","",_xlfn.XLOOKUP($D676&amp;"_"&amp;$AE676,符文权重!$A:$A&amp;"_"&amp;符文权重!$C:$C,符文权重!$D:$D)*$Y676/SUMIFS($Y:$Y,K:K,K676,$D:$D,$D676,$AE:$AE,$AE676)/SUMIF(符文权重!$A:$A,$D676,符文权重!$D:$D)))</f>
        <v>0.00262762762762763</v>
      </c>
      <c r="R676" s="51" t="str" cm="1">
        <f t="array" ref="R676">IF($A676="","",IF(L676="","",_xlfn.XLOOKUP($D676&amp;"_"&amp;$AE676,符文权重!$A:$A&amp;"_"&amp;符文权重!$C:$C,符文权重!$D:$D)*$Y676/SUMIFS($Y:$Y,L:L,L676,$D:$D,$D676,$AE:$AE,$AE676)/SUMIF(符文权重!$A:$A,$D676,符文权重!$D:$D)))</f>
        <v/>
      </c>
      <c r="S676" s="36" t="s">
        <v>344</v>
      </c>
      <c r="T676" s="36" t="s">
        <v>815</v>
      </c>
      <c r="U676" s="36" t="s">
        <v>420</v>
      </c>
      <c r="V676" s="25" t="s">
        <v>828</v>
      </c>
      <c r="W676" s="36" t="s">
        <v>829</v>
      </c>
      <c r="X676" s="35" t="s">
        <v>817</v>
      </c>
      <c r="Y676" s="35">
        <v>100</v>
      </c>
      <c r="Z676" s="35"/>
      <c r="AA676" s="36" t="s">
        <v>185</v>
      </c>
      <c r="AB676" s="42" t="str">
        <f t="shared" si="266"/>
        <v>东方不败有&lt;color=#54b76b&gt;50%&lt;/color&gt;概率飞针+1，伤害&lt;color=#54b76b&gt;-20%&lt;/color&gt;</v>
      </c>
      <c r="AC676" s="35">
        <v>5301258</v>
      </c>
      <c r="AD676" s="36" t="s">
        <v>596</v>
      </c>
      <c r="AE676" s="36">
        <v>8</v>
      </c>
      <c r="AF676" s="36"/>
      <c r="AG676" s="36"/>
      <c r="AH676" s="36">
        <v>1</v>
      </c>
      <c r="AI676" s="36"/>
      <c r="AJ676" s="42" t="s">
        <v>830</v>
      </c>
      <c r="AK676" s="36"/>
      <c r="AL676" s="35">
        <v>4</v>
      </c>
    </row>
    <row r="677" s="25" customFormat="1" hidden="1" customHeight="1" spans="1:38">
      <c r="A677" s="35">
        <v>5510325</v>
      </c>
      <c r="B677" s="35" t="s">
        <v>814</v>
      </c>
      <c r="C677" s="35">
        <v>5301258</v>
      </c>
      <c r="D677" s="35">
        <v>5</v>
      </c>
      <c r="E677" s="35"/>
      <c r="F677" s="35" t="s">
        <v>230</v>
      </c>
      <c r="G677" s="36" t="str">
        <f t="shared" si="265"/>
        <v/>
      </c>
      <c r="H677" s="36" t="str">
        <f>IFERROR(IF(--MID($F677,2*COUNTIF($G677:G677,"&gt;"&amp;0)+2,1)=H$1,H$1,""),"")</f>
        <v/>
      </c>
      <c r="I677" s="36" t="str">
        <f>IFERROR(IF(--MID($F677,2*COUNTIF($G677:H677,"&gt;"&amp;0)+2,1)=I$1,I$1,""),"")</f>
        <v/>
      </c>
      <c r="J677" s="36" t="str">
        <f>IFERROR(IF(--MID($F677,2*COUNTIF($G677:I677,"&gt;"&amp;0)+2,1)=J$1,J$1,""),"")</f>
        <v/>
      </c>
      <c r="K677" s="36">
        <f>IFERROR(IF(--MID($F677,2*COUNTIF($G677:J677,"&gt;"&amp;0)+2,1)=K$1,K$1,""),"")</f>
        <v>5</v>
      </c>
      <c r="L677" s="36" t="str">
        <f>IFERROR(IF(--MID($F677,2*COUNTIF($G677:K677,"&gt;"&amp;0)+2,1)=L$1,L$1,""),"")</f>
        <v/>
      </c>
      <c r="M677" s="51" t="str" cm="1">
        <f t="array" ref="M677">IF($A677="","",IF(G677="","",_xlfn.XLOOKUP($D677&amp;"_"&amp;$AE677,符文权重!$A:$A&amp;"_"&amp;符文权重!$C:$C,符文权重!$D:$D)*$Y677/SUMIFS($Y:$Y,G:G,G677,$D:$D,$D677,$AE:$AE,$AE677)/SUMIF(符文权重!$A:$A,$D677,符文权重!$D:$D)))</f>
        <v/>
      </c>
      <c r="N677" s="51" t="str" cm="1">
        <f t="array" ref="N677">IF($A677="","",IF(H677="","",_xlfn.XLOOKUP($D677&amp;"_"&amp;$AE677,符文权重!$A:$A&amp;"_"&amp;符文权重!$C:$C,符文权重!$D:$D)*$Y677/SUMIFS($Y:$Y,H:H,H677,$D:$D,$D677,$AE:$AE,$AE677)/SUMIF(符文权重!$A:$A,$D677,符文权重!$D:$D)))</f>
        <v/>
      </c>
      <c r="O677" s="51" t="str" cm="1">
        <f t="array" ref="O677">IF($A677="","",IF(I677="","",_xlfn.XLOOKUP($D677&amp;"_"&amp;$AE677,符文权重!$A:$A&amp;"_"&amp;符文权重!$C:$C,符文权重!$D:$D)*$Y677/SUMIFS($Y:$Y,I:I,I677,$D:$D,$D677,$AE:$AE,$AE677)/SUMIF(符文权重!$A:$A,$D677,符文权重!$D:$D)))</f>
        <v/>
      </c>
      <c r="P677" s="51" t="str" cm="1">
        <f t="array" ref="P677">IF($A677="","",IF(J677="","",_xlfn.XLOOKUP($D677&amp;"_"&amp;$AE677,符文权重!$A:$A&amp;"_"&amp;符文权重!$C:$C,符文权重!$D:$D)*$Y677/SUMIFS($Y:$Y,J:J,J677,$D:$D,$D677,$AE:$AE,$AE677)/SUMIF(符文权重!$A:$A,$D677,符文权重!$D:$D)))</f>
        <v/>
      </c>
      <c r="Q677" s="51" cm="1">
        <f t="array" ref="Q677">IF($A677="","",IF(K677="","",_xlfn.XLOOKUP($D677&amp;"_"&amp;$AE677,符文权重!$A:$A&amp;"_"&amp;符文权重!$C:$C,符文权重!$D:$D)*$Y677/SUMIFS($Y:$Y,K:K,K677,$D:$D,$D677,$AE:$AE,$AE677)/SUMIF(符文权重!$A:$A,$D677,符文权重!$D:$D)))</f>
        <v>0.00721428571428571</v>
      </c>
      <c r="R677" s="51" t="str" cm="1">
        <f t="array" ref="R677">IF($A677="","",IF(L677="","",_xlfn.XLOOKUP($D677&amp;"_"&amp;$AE677,符文权重!$A:$A&amp;"_"&amp;符文权重!$C:$C,符文权重!$D:$D)*$Y677/SUMIFS($Y:$Y,L:L,L677,$D:$D,$D677,$AE:$AE,$AE677)/SUMIF(符文权重!$A:$A,$D677,符文权重!$D:$D)))</f>
        <v/>
      </c>
      <c r="S677" s="35" t="s">
        <v>344</v>
      </c>
      <c r="T677" s="35" t="s">
        <v>815</v>
      </c>
      <c r="U677" s="35" t="s">
        <v>423</v>
      </c>
      <c r="V677" s="35" t="s">
        <v>831</v>
      </c>
      <c r="W677" s="35" t="s">
        <v>829</v>
      </c>
      <c r="X677" s="35" t="s">
        <v>820</v>
      </c>
      <c r="Y677" s="35">
        <v>100</v>
      </c>
      <c r="AA677" s="35" t="s">
        <v>187</v>
      </c>
      <c r="AB677" s="42" t="str">
        <f t="shared" si="266"/>
        <v>东方不败有&lt;color=#54b76b&gt;60%&lt;/color&gt;概率飞针+1，伤害&lt;color=#54b76b&gt;-20%&lt;/color&gt;</v>
      </c>
      <c r="AC677" s="35">
        <v>5301258</v>
      </c>
      <c r="AD677" s="35" t="s">
        <v>476</v>
      </c>
      <c r="AE677" s="35">
        <v>4</v>
      </c>
      <c r="AH677" s="35">
        <v>1</v>
      </c>
      <c r="AJ677" s="35" t="s">
        <v>832</v>
      </c>
      <c r="AL677" s="35">
        <v>4</v>
      </c>
    </row>
    <row r="678" s="25" customFormat="1" hidden="1" customHeight="1" spans="1:38">
      <c r="A678" s="35">
        <v>5510326</v>
      </c>
      <c r="B678" s="35" t="s">
        <v>814</v>
      </c>
      <c r="C678" s="35">
        <v>5301258</v>
      </c>
      <c r="D678" s="35">
        <v>6</v>
      </c>
      <c r="E678" s="35"/>
      <c r="F678" s="35" t="s">
        <v>230</v>
      </c>
      <c r="G678" s="36" t="str">
        <f t="shared" si="265"/>
        <v/>
      </c>
      <c r="H678" s="36" t="str">
        <f>IFERROR(IF(--MID($F678,2*COUNTIF($G678:G678,"&gt;"&amp;0)+2,1)=H$1,H$1,""),"")</f>
        <v/>
      </c>
      <c r="I678" s="36" t="str">
        <f>IFERROR(IF(--MID($F678,2*COUNTIF($G678:H678,"&gt;"&amp;0)+2,1)=I$1,I$1,""),"")</f>
        <v/>
      </c>
      <c r="J678" s="36" t="str">
        <f>IFERROR(IF(--MID($F678,2*COUNTIF($G678:I678,"&gt;"&amp;0)+2,1)=J$1,J$1,""),"")</f>
        <v/>
      </c>
      <c r="K678" s="36">
        <f>IFERROR(IF(--MID($F678,2*COUNTIF($G678:J678,"&gt;"&amp;0)+2,1)=K$1,K$1,""),"")</f>
        <v>5</v>
      </c>
      <c r="L678" s="36" t="str">
        <f>IFERROR(IF(--MID($F678,2*COUNTIF($G678:K678,"&gt;"&amp;0)+2,1)=L$1,L$1,""),"")</f>
        <v/>
      </c>
      <c r="M678" s="51" t="str" cm="1">
        <f t="array" ref="M678">IF($A678="","",IF(G678="","",_xlfn.XLOOKUP($D678&amp;"_"&amp;$AE678,符文权重!$A:$A&amp;"_"&amp;符文权重!$C:$C,符文权重!$D:$D)*$Y678/SUMIFS($Y:$Y,G:G,G678,$D:$D,$D678,$AE:$AE,$AE678)/SUMIF(符文权重!$A:$A,$D678,符文权重!$D:$D)))</f>
        <v/>
      </c>
      <c r="N678" s="51" t="str" cm="1">
        <f t="array" ref="N678">IF($A678="","",IF(H678="","",_xlfn.XLOOKUP($D678&amp;"_"&amp;$AE678,符文权重!$A:$A&amp;"_"&amp;符文权重!$C:$C,符文权重!$D:$D)*$Y678/SUMIFS($Y:$Y,H:H,H678,$D:$D,$D678,$AE:$AE,$AE678)/SUMIF(符文权重!$A:$A,$D678,符文权重!$D:$D)))</f>
        <v/>
      </c>
      <c r="O678" s="51" t="str" cm="1">
        <f t="array" ref="O678">IF($A678="","",IF(I678="","",_xlfn.XLOOKUP($D678&amp;"_"&amp;$AE678,符文权重!$A:$A&amp;"_"&amp;符文权重!$C:$C,符文权重!$D:$D)*$Y678/SUMIFS($Y:$Y,I:I,I678,$D:$D,$D678,$AE:$AE,$AE678)/SUMIF(符文权重!$A:$A,$D678,符文权重!$D:$D)))</f>
        <v/>
      </c>
      <c r="P678" s="51" t="str" cm="1">
        <f t="array" ref="P678">IF($A678="","",IF(J678="","",_xlfn.XLOOKUP($D678&amp;"_"&amp;$AE678,符文权重!$A:$A&amp;"_"&amp;符文权重!$C:$C,符文权重!$D:$D)*$Y678/SUMIFS($Y:$Y,J:J,J678,$D:$D,$D678,$AE:$AE,$AE678)/SUMIF(符文权重!$A:$A,$D678,符文权重!$D:$D)))</f>
        <v/>
      </c>
      <c r="Q678" s="51" cm="1">
        <f t="array" ref="Q678">IF($A678="","",IF(K678="","",_xlfn.XLOOKUP($D678&amp;"_"&amp;$AE678,符文权重!$A:$A&amp;"_"&amp;符文权重!$C:$C,符文权重!$D:$D)*$Y678/SUMIFS($Y:$Y,K:K,K678,$D:$D,$D678,$AE:$AE,$AE678)/SUMIF(符文权重!$A:$A,$D678,符文权重!$D:$D)))</f>
        <v>0.00721428571428571</v>
      </c>
      <c r="R678" s="51" t="str" cm="1">
        <f t="array" ref="R678">IF($A678="","",IF(L678="","",_xlfn.XLOOKUP($D678&amp;"_"&amp;$AE678,符文权重!$A:$A&amp;"_"&amp;符文权重!$C:$C,符文权重!$D:$D)*$Y678/SUMIFS($Y:$Y,L:L,L678,$D:$D,$D678,$AE:$AE,$AE678)/SUMIF(符文权重!$A:$A,$D678,符文权重!$D:$D)))</f>
        <v/>
      </c>
      <c r="S678" s="35" t="s">
        <v>344</v>
      </c>
      <c r="T678" s="35" t="s">
        <v>815</v>
      </c>
      <c r="U678" s="35" t="s">
        <v>426</v>
      </c>
      <c r="V678" s="35" t="s">
        <v>833</v>
      </c>
      <c r="W678" s="35" t="s">
        <v>829</v>
      </c>
      <c r="X678" s="35" t="s">
        <v>823</v>
      </c>
      <c r="Y678" s="35">
        <v>100</v>
      </c>
      <c r="AA678" s="35" t="s">
        <v>189</v>
      </c>
      <c r="AB678" s="42" t="str">
        <f t="shared" si="266"/>
        <v>东方不败有&lt;color=#54b76b&gt;70%&lt;/color&gt;概率飞针+1，伤害&lt;color=#54b76b&gt;-20%&lt;/color&gt;</v>
      </c>
      <c r="AC678" s="35">
        <v>5301258</v>
      </c>
      <c r="AD678" s="35" t="s">
        <v>600</v>
      </c>
      <c r="AE678" s="35">
        <v>4</v>
      </c>
      <c r="AH678" s="35">
        <v>1</v>
      </c>
      <c r="AI678" s="36"/>
      <c r="AJ678" s="35" t="s">
        <v>834</v>
      </c>
      <c r="AK678" s="36"/>
      <c r="AL678" s="35">
        <v>4</v>
      </c>
    </row>
    <row r="679" s="25" customFormat="1" hidden="1" customHeight="1" spans="1:38">
      <c r="A679" s="35">
        <v>5510327</v>
      </c>
      <c r="B679" s="35" t="s">
        <v>814</v>
      </c>
      <c r="C679" s="35">
        <v>5301258</v>
      </c>
      <c r="D679" s="35">
        <v>7</v>
      </c>
      <c r="E679" s="35"/>
      <c r="F679" s="35" t="s">
        <v>230</v>
      </c>
      <c r="G679" s="36" t="str">
        <f t="shared" si="265"/>
        <v/>
      </c>
      <c r="H679" s="36" t="str">
        <f>IFERROR(IF(--MID($F679,2*COUNTIF($G679:G679,"&gt;"&amp;0)+2,1)=H$1,H$1,""),"")</f>
        <v/>
      </c>
      <c r="I679" s="36" t="str">
        <f>IFERROR(IF(--MID($F679,2*COUNTIF($G679:H679,"&gt;"&amp;0)+2,1)=I$1,I$1,""),"")</f>
        <v/>
      </c>
      <c r="J679" s="36" t="str">
        <f>IFERROR(IF(--MID($F679,2*COUNTIF($G679:I679,"&gt;"&amp;0)+2,1)=J$1,J$1,""),"")</f>
        <v/>
      </c>
      <c r="K679" s="36">
        <f>IFERROR(IF(--MID($F679,2*COUNTIF($G679:J679,"&gt;"&amp;0)+2,1)=K$1,K$1,""),"")</f>
        <v>5</v>
      </c>
      <c r="L679" s="36" t="str">
        <f>IFERROR(IF(--MID($F679,2*COUNTIF($G679:K679,"&gt;"&amp;0)+2,1)=L$1,L$1,""),"")</f>
        <v/>
      </c>
      <c r="M679" s="51" t="str" cm="1">
        <f t="array" ref="M679">IF($A679="","",IF(G679="","",_xlfn.XLOOKUP($D679&amp;"_"&amp;$AE679,符文权重!$A:$A&amp;"_"&amp;符文权重!$C:$C,符文权重!$D:$D)*$Y679/SUMIFS($Y:$Y,G:G,G679,$D:$D,$D679,$AE:$AE,$AE679)/SUMIF(符文权重!$A:$A,$D679,符文权重!$D:$D)))</f>
        <v/>
      </c>
      <c r="N679" s="51" t="str" cm="1">
        <f t="array" ref="N679">IF($A679="","",IF(H679="","",_xlfn.XLOOKUP($D679&amp;"_"&amp;$AE679,符文权重!$A:$A&amp;"_"&amp;符文权重!$C:$C,符文权重!$D:$D)*$Y679/SUMIFS($Y:$Y,H:H,H679,$D:$D,$D679,$AE:$AE,$AE679)/SUMIF(符文权重!$A:$A,$D679,符文权重!$D:$D)))</f>
        <v/>
      </c>
      <c r="O679" s="51" t="str" cm="1">
        <f t="array" ref="O679">IF($A679="","",IF(I679="","",_xlfn.XLOOKUP($D679&amp;"_"&amp;$AE679,符文权重!$A:$A&amp;"_"&amp;符文权重!$C:$C,符文权重!$D:$D)*$Y679/SUMIFS($Y:$Y,I:I,I679,$D:$D,$D679,$AE:$AE,$AE679)/SUMIF(符文权重!$A:$A,$D679,符文权重!$D:$D)))</f>
        <v/>
      </c>
      <c r="P679" s="51" t="str" cm="1">
        <f t="array" ref="P679">IF($A679="","",IF(J679="","",_xlfn.XLOOKUP($D679&amp;"_"&amp;$AE679,符文权重!$A:$A&amp;"_"&amp;符文权重!$C:$C,符文权重!$D:$D)*$Y679/SUMIFS($Y:$Y,J:J,J679,$D:$D,$D679,$AE:$AE,$AE679)/SUMIF(符文权重!$A:$A,$D679,符文权重!$D:$D)))</f>
        <v/>
      </c>
      <c r="Q679" s="51" cm="1">
        <f t="array" ref="Q679">IF($A679="","",IF(K679="","",_xlfn.XLOOKUP($D679&amp;"_"&amp;$AE679,符文权重!$A:$A&amp;"_"&amp;符文权重!$C:$C,符文权重!$D:$D)*$Y679/SUMIFS($Y:$Y,K:K,K679,$D:$D,$D679,$AE:$AE,$AE679)/SUMIF(符文权重!$A:$A,$D679,符文权重!$D:$D)))</f>
        <v>0.00721428571428571</v>
      </c>
      <c r="R679" s="51" t="str" cm="1">
        <f t="array" ref="R679">IF($A679="","",IF(L679="","",_xlfn.XLOOKUP($D679&amp;"_"&amp;$AE679,符文权重!$A:$A&amp;"_"&amp;符文权重!$C:$C,符文权重!$D:$D)*$Y679/SUMIFS($Y:$Y,L:L,L679,$D:$D,$D679,$AE:$AE,$AE679)/SUMIF(符文权重!$A:$A,$D679,符文权重!$D:$D)))</f>
        <v/>
      </c>
      <c r="S679" s="35" t="s">
        <v>344</v>
      </c>
      <c r="T679" s="35" t="s">
        <v>815</v>
      </c>
      <c r="U679" s="35" t="s">
        <v>429</v>
      </c>
      <c r="V679" s="35" t="s">
        <v>835</v>
      </c>
      <c r="W679" s="35" t="s">
        <v>829</v>
      </c>
      <c r="X679" s="35" t="s">
        <v>826</v>
      </c>
      <c r="Y679" s="35">
        <v>100</v>
      </c>
      <c r="AA679" s="35" t="s">
        <v>191</v>
      </c>
      <c r="AB679" s="42" t="str">
        <f t="shared" si="266"/>
        <v>东方不败有&lt;color=#54b76b&gt;80%&lt;/color&gt;概率飞针+1，伤害&lt;color=#54b76b&gt;-20%&lt;/color&gt;</v>
      </c>
      <c r="AC679" s="35">
        <v>5301258</v>
      </c>
      <c r="AD679" s="35" t="s">
        <v>458</v>
      </c>
      <c r="AE679" s="35">
        <v>4</v>
      </c>
      <c r="AH679" s="35">
        <v>1</v>
      </c>
      <c r="AI679" s="36"/>
      <c r="AJ679" s="35" t="s">
        <v>836</v>
      </c>
      <c r="AK679" s="36"/>
      <c r="AL679" s="35">
        <v>4</v>
      </c>
    </row>
    <row r="680" s="25" customFormat="1" hidden="1" customHeight="1" spans="1:38">
      <c r="A680" s="35">
        <v>5510334</v>
      </c>
      <c r="B680" s="55" t="s">
        <v>814</v>
      </c>
      <c r="C680" s="35">
        <v>5301259</v>
      </c>
      <c r="D680" s="36">
        <v>4</v>
      </c>
      <c r="E680" s="36"/>
      <c r="F680" s="35" t="s">
        <v>220</v>
      </c>
      <c r="G680" s="36" t="str">
        <f t="shared" si="265"/>
        <v/>
      </c>
      <c r="H680" s="36" t="str">
        <f>IFERROR(IF(--MID($F680,2*COUNTIF($G680:G680,"&gt;"&amp;0)+2,1)=H$1,H$1,""),"")</f>
        <v/>
      </c>
      <c r="I680" s="36" t="str">
        <f>IFERROR(IF(--MID($F680,2*COUNTIF($G680:H680,"&gt;"&amp;0)+2,1)=I$1,I$1,""),"")</f>
        <v/>
      </c>
      <c r="J680" s="36" t="str">
        <f>IFERROR(IF(--MID($F680,2*COUNTIF($G680:I680,"&gt;"&amp;0)+2,1)=J$1,J$1,""),"")</f>
        <v/>
      </c>
      <c r="K680" s="36" t="str">
        <f>IFERROR(IF(--MID($F680,2*COUNTIF($G680:J680,"&gt;"&amp;0)+2,1)=K$1,K$1,""),"")</f>
        <v/>
      </c>
      <c r="L680" s="36">
        <f>IFERROR(IF(--MID($F680,2*COUNTIF($G680:K680,"&gt;"&amp;0)+2,1)=L$1,L$1,""),"")</f>
        <v>6</v>
      </c>
      <c r="M680" s="51" t="str" cm="1">
        <f t="array" ref="M680">IF($A680="","",IF(G680="","",_xlfn.XLOOKUP($D680&amp;"_"&amp;$AE680,符文权重!$A:$A&amp;"_"&amp;符文权重!$C:$C,符文权重!$D:$D)*$Y680/SUMIFS($Y:$Y,G:G,G680,$D:$D,$D680,$AE:$AE,$AE680)/SUMIF(符文权重!$A:$A,$D680,符文权重!$D:$D)))</f>
        <v/>
      </c>
      <c r="N680" s="51" t="str" cm="1">
        <f t="array" ref="N680">IF($A680="","",IF(H680="","",_xlfn.XLOOKUP($D680&amp;"_"&amp;$AE680,符文权重!$A:$A&amp;"_"&amp;符文权重!$C:$C,符文权重!$D:$D)*$Y680/SUMIFS($Y:$Y,H:H,H680,$D:$D,$D680,$AE:$AE,$AE680)/SUMIF(符文权重!$A:$A,$D680,符文权重!$D:$D)))</f>
        <v/>
      </c>
      <c r="O680" s="51" t="str" cm="1">
        <f t="array" ref="O680">IF($A680="","",IF(I680="","",_xlfn.XLOOKUP($D680&amp;"_"&amp;$AE680,符文权重!$A:$A&amp;"_"&amp;符文权重!$C:$C,符文权重!$D:$D)*$Y680/SUMIFS($Y:$Y,I:I,I680,$D:$D,$D680,$AE:$AE,$AE680)/SUMIF(符文权重!$A:$A,$D680,符文权重!$D:$D)))</f>
        <v/>
      </c>
      <c r="P680" s="51" t="str" cm="1">
        <f t="array" ref="P680">IF($A680="","",IF(J680="","",_xlfn.XLOOKUP($D680&amp;"_"&amp;$AE680,符文权重!$A:$A&amp;"_"&amp;符文权重!$C:$C,符文权重!$D:$D)*$Y680/SUMIFS($Y:$Y,J:J,J680,$D:$D,$D680,$AE:$AE,$AE680)/SUMIF(符文权重!$A:$A,$D680,符文权重!$D:$D)))</f>
        <v/>
      </c>
      <c r="Q680" s="51" t="str" cm="1">
        <f t="array" ref="Q680">IF($A680="","",IF(K680="","",_xlfn.XLOOKUP($D680&amp;"_"&amp;$AE680,符文权重!$A:$A&amp;"_"&amp;符文权重!$C:$C,符文权重!$D:$D)*$Y680/SUMIFS($Y:$Y,K:K,K680,$D:$D,$D680,$AE:$AE,$AE680)/SUMIF(符文权重!$A:$A,$D680,符文权重!$D:$D)))</f>
        <v/>
      </c>
      <c r="R680" s="51" cm="1">
        <f t="array" ref="R680">IF($A680="","",IF(L680="","",_xlfn.XLOOKUP($D680&amp;"_"&amp;$AE680,符文权重!$A:$A&amp;"_"&amp;符文权重!$C:$C,符文权重!$D:$D)*$Y680/SUMIFS($Y:$Y,L:L,L680,$D:$D,$D680,$AE:$AE,$AE680)/SUMIF(符文权重!$A:$A,$D680,符文权重!$D:$D)))</f>
        <v>0.00262762762762763</v>
      </c>
      <c r="S680" s="36" t="s">
        <v>344</v>
      </c>
      <c r="T680" s="36" t="s">
        <v>815</v>
      </c>
      <c r="U680" s="36" t="s">
        <v>420</v>
      </c>
      <c r="V680" s="25" t="s">
        <v>837</v>
      </c>
      <c r="W680" s="36"/>
      <c r="X680" s="35" t="s">
        <v>817</v>
      </c>
      <c r="Y680" s="35">
        <v>100</v>
      </c>
      <c r="Z680" s="35"/>
      <c r="AA680" s="36" t="s">
        <v>185</v>
      </c>
      <c r="AB680" s="42" t="str">
        <f t="shared" si="266"/>
        <v>东方不败击杀目标时，攻速提升&lt;color=#54b76b&gt;30%&lt;/color&gt;，持续5秒</v>
      </c>
      <c r="AC680" s="35">
        <v>5301259</v>
      </c>
      <c r="AD680" s="36" t="s">
        <v>487</v>
      </c>
      <c r="AE680" s="36">
        <v>8</v>
      </c>
      <c r="AF680" s="36"/>
      <c r="AG680" s="36"/>
      <c r="AH680" s="36">
        <v>1</v>
      </c>
      <c r="AI680" s="36"/>
      <c r="AJ680" s="42" t="s">
        <v>838</v>
      </c>
      <c r="AK680" s="36"/>
      <c r="AL680" s="35">
        <v>4</v>
      </c>
    </row>
    <row r="681" s="25" customFormat="1" hidden="1" customHeight="1" spans="1:38">
      <c r="A681" s="35">
        <v>5510335</v>
      </c>
      <c r="B681" s="35" t="s">
        <v>814</v>
      </c>
      <c r="C681" s="35">
        <v>5301259</v>
      </c>
      <c r="D681" s="35">
        <v>5</v>
      </c>
      <c r="E681" s="35"/>
      <c r="F681" s="35" t="s">
        <v>220</v>
      </c>
      <c r="G681" s="36" t="str">
        <f t="shared" si="265"/>
        <v/>
      </c>
      <c r="H681" s="36" t="str">
        <f>IFERROR(IF(--MID($F681,2*COUNTIF($G681:G681,"&gt;"&amp;0)+2,1)=H$1,H$1,""),"")</f>
        <v/>
      </c>
      <c r="I681" s="36" t="str">
        <f>IFERROR(IF(--MID($F681,2*COUNTIF($G681:H681,"&gt;"&amp;0)+2,1)=I$1,I$1,""),"")</f>
        <v/>
      </c>
      <c r="J681" s="36" t="str">
        <f>IFERROR(IF(--MID($F681,2*COUNTIF($G681:I681,"&gt;"&amp;0)+2,1)=J$1,J$1,""),"")</f>
        <v/>
      </c>
      <c r="K681" s="36" t="str">
        <f>IFERROR(IF(--MID($F681,2*COUNTIF($G681:J681,"&gt;"&amp;0)+2,1)=K$1,K$1,""),"")</f>
        <v/>
      </c>
      <c r="L681" s="36">
        <f>IFERROR(IF(--MID($F681,2*COUNTIF($G681:K681,"&gt;"&amp;0)+2,1)=L$1,L$1,""),"")</f>
        <v>6</v>
      </c>
      <c r="M681" s="51" t="str" cm="1">
        <f t="array" ref="M681">IF($A681="","",IF(G681="","",_xlfn.XLOOKUP($D681&amp;"_"&amp;$AE681,符文权重!$A:$A&amp;"_"&amp;符文权重!$C:$C,符文权重!$D:$D)*$Y681/SUMIFS($Y:$Y,G:G,G681,$D:$D,$D681,$AE:$AE,$AE681)/SUMIF(符文权重!$A:$A,$D681,符文权重!$D:$D)))</f>
        <v/>
      </c>
      <c r="N681" s="51" t="str" cm="1">
        <f t="array" ref="N681">IF($A681="","",IF(H681="","",_xlfn.XLOOKUP($D681&amp;"_"&amp;$AE681,符文权重!$A:$A&amp;"_"&amp;符文权重!$C:$C,符文权重!$D:$D)*$Y681/SUMIFS($Y:$Y,H:H,H681,$D:$D,$D681,$AE:$AE,$AE681)/SUMIF(符文权重!$A:$A,$D681,符文权重!$D:$D)))</f>
        <v/>
      </c>
      <c r="O681" s="51" t="str" cm="1">
        <f t="array" ref="O681">IF($A681="","",IF(I681="","",_xlfn.XLOOKUP($D681&amp;"_"&amp;$AE681,符文权重!$A:$A&amp;"_"&amp;符文权重!$C:$C,符文权重!$D:$D)*$Y681/SUMIFS($Y:$Y,I:I,I681,$D:$D,$D681,$AE:$AE,$AE681)/SUMIF(符文权重!$A:$A,$D681,符文权重!$D:$D)))</f>
        <v/>
      </c>
      <c r="P681" s="51" t="str" cm="1">
        <f t="array" ref="P681">IF($A681="","",IF(J681="","",_xlfn.XLOOKUP($D681&amp;"_"&amp;$AE681,符文权重!$A:$A&amp;"_"&amp;符文权重!$C:$C,符文权重!$D:$D)*$Y681/SUMIFS($Y:$Y,J:J,J681,$D:$D,$D681,$AE:$AE,$AE681)/SUMIF(符文权重!$A:$A,$D681,符文权重!$D:$D)))</f>
        <v/>
      </c>
      <c r="Q681" s="51" t="str" cm="1">
        <f t="array" ref="Q681">IF($A681="","",IF(K681="","",_xlfn.XLOOKUP($D681&amp;"_"&amp;$AE681,符文权重!$A:$A&amp;"_"&amp;符文权重!$C:$C,符文权重!$D:$D)*$Y681/SUMIFS($Y:$Y,K:K,K681,$D:$D,$D681,$AE:$AE,$AE681)/SUMIF(符文权重!$A:$A,$D681,符文权重!$D:$D)))</f>
        <v/>
      </c>
      <c r="R681" s="51" cm="1">
        <f t="array" ref="R681">IF($A681="","",IF(L681="","",_xlfn.XLOOKUP($D681&amp;"_"&amp;$AE681,符文权重!$A:$A&amp;"_"&amp;符文权重!$C:$C,符文权重!$D:$D)*$Y681/SUMIFS($Y:$Y,L:L,L681,$D:$D,$D681,$AE:$AE,$AE681)/SUMIF(符文权重!$A:$A,$D681,符文权重!$D:$D)))</f>
        <v>0.0063125</v>
      </c>
      <c r="S681" s="35" t="s">
        <v>344</v>
      </c>
      <c r="T681" s="35" t="s">
        <v>815</v>
      </c>
      <c r="U681" s="35" t="s">
        <v>423</v>
      </c>
      <c r="V681" s="35" t="s">
        <v>839</v>
      </c>
      <c r="X681" s="35" t="s">
        <v>820</v>
      </c>
      <c r="Y681" s="35">
        <v>100</v>
      </c>
      <c r="AA681" s="35" t="s">
        <v>187</v>
      </c>
      <c r="AB681" s="42" t="str">
        <f t="shared" si="266"/>
        <v>东方不败击杀目标时，攻速提升&lt;color=#54b76b&gt;40%&lt;/color&gt;，持续5秒</v>
      </c>
      <c r="AC681" s="35">
        <v>5301259</v>
      </c>
      <c r="AD681" s="35" t="s">
        <v>497</v>
      </c>
      <c r="AE681" s="35">
        <v>4</v>
      </c>
      <c r="AH681" s="35">
        <v>1</v>
      </c>
      <c r="AI681" s="36"/>
      <c r="AJ681" s="35" t="s">
        <v>840</v>
      </c>
      <c r="AK681" s="36"/>
      <c r="AL681" s="35">
        <v>4</v>
      </c>
    </row>
    <row r="682" s="25" customFormat="1" hidden="1" customHeight="1" spans="1:38">
      <c r="A682" s="35">
        <v>5510336</v>
      </c>
      <c r="B682" s="35" t="s">
        <v>814</v>
      </c>
      <c r="C682" s="35">
        <v>5301259</v>
      </c>
      <c r="D682" s="35">
        <v>6</v>
      </c>
      <c r="E682" s="35"/>
      <c r="F682" s="35" t="s">
        <v>220</v>
      </c>
      <c r="G682" s="36" t="str">
        <f t="shared" si="265"/>
        <v/>
      </c>
      <c r="H682" s="36" t="str">
        <f>IFERROR(IF(--MID($F682,2*COUNTIF($G682:G682,"&gt;"&amp;0)+2,1)=H$1,H$1,""),"")</f>
        <v/>
      </c>
      <c r="I682" s="36" t="str">
        <f>IFERROR(IF(--MID($F682,2*COUNTIF($G682:H682,"&gt;"&amp;0)+2,1)=I$1,I$1,""),"")</f>
        <v/>
      </c>
      <c r="J682" s="36" t="str">
        <f>IFERROR(IF(--MID($F682,2*COUNTIF($G682:I682,"&gt;"&amp;0)+2,1)=J$1,J$1,""),"")</f>
        <v/>
      </c>
      <c r="K682" s="36" t="str">
        <f>IFERROR(IF(--MID($F682,2*COUNTIF($G682:J682,"&gt;"&amp;0)+2,1)=K$1,K$1,""),"")</f>
        <v/>
      </c>
      <c r="L682" s="36">
        <f>IFERROR(IF(--MID($F682,2*COUNTIF($G682:K682,"&gt;"&amp;0)+2,1)=L$1,L$1,""),"")</f>
        <v>6</v>
      </c>
      <c r="M682" s="51" t="str" cm="1">
        <f t="array" ref="M682">IF($A682="","",IF(G682="","",_xlfn.XLOOKUP($D682&amp;"_"&amp;$AE682,符文权重!$A:$A&amp;"_"&amp;符文权重!$C:$C,符文权重!$D:$D)*$Y682/SUMIFS($Y:$Y,G:G,G682,$D:$D,$D682,$AE:$AE,$AE682)/SUMIF(符文权重!$A:$A,$D682,符文权重!$D:$D)))</f>
        <v/>
      </c>
      <c r="N682" s="51" t="str" cm="1">
        <f t="array" ref="N682">IF($A682="","",IF(H682="","",_xlfn.XLOOKUP($D682&amp;"_"&amp;$AE682,符文权重!$A:$A&amp;"_"&amp;符文权重!$C:$C,符文权重!$D:$D)*$Y682/SUMIFS($Y:$Y,H:H,H682,$D:$D,$D682,$AE:$AE,$AE682)/SUMIF(符文权重!$A:$A,$D682,符文权重!$D:$D)))</f>
        <v/>
      </c>
      <c r="O682" s="51" t="str" cm="1">
        <f t="array" ref="O682">IF($A682="","",IF(I682="","",_xlfn.XLOOKUP($D682&amp;"_"&amp;$AE682,符文权重!$A:$A&amp;"_"&amp;符文权重!$C:$C,符文权重!$D:$D)*$Y682/SUMIFS($Y:$Y,I:I,I682,$D:$D,$D682,$AE:$AE,$AE682)/SUMIF(符文权重!$A:$A,$D682,符文权重!$D:$D)))</f>
        <v/>
      </c>
      <c r="P682" s="51" t="str" cm="1">
        <f t="array" ref="P682">IF($A682="","",IF(J682="","",_xlfn.XLOOKUP($D682&amp;"_"&amp;$AE682,符文权重!$A:$A&amp;"_"&amp;符文权重!$C:$C,符文权重!$D:$D)*$Y682/SUMIFS($Y:$Y,J:J,J682,$D:$D,$D682,$AE:$AE,$AE682)/SUMIF(符文权重!$A:$A,$D682,符文权重!$D:$D)))</f>
        <v/>
      </c>
      <c r="Q682" s="51" t="str" cm="1">
        <f t="array" ref="Q682">IF($A682="","",IF(K682="","",_xlfn.XLOOKUP($D682&amp;"_"&amp;$AE682,符文权重!$A:$A&amp;"_"&amp;符文权重!$C:$C,符文权重!$D:$D)*$Y682/SUMIFS($Y:$Y,K:K,K682,$D:$D,$D682,$AE:$AE,$AE682)/SUMIF(符文权重!$A:$A,$D682,符文权重!$D:$D)))</f>
        <v/>
      </c>
      <c r="R682" s="51" cm="1">
        <f t="array" ref="R682">IF($A682="","",IF(L682="","",_xlfn.XLOOKUP($D682&amp;"_"&amp;$AE682,符文权重!$A:$A&amp;"_"&amp;符文权重!$C:$C,符文权重!$D:$D)*$Y682/SUMIFS($Y:$Y,L:L,L682,$D:$D,$D682,$AE:$AE,$AE682)/SUMIF(符文权重!$A:$A,$D682,符文权重!$D:$D)))</f>
        <v>0.0063125</v>
      </c>
      <c r="S682" s="35" t="s">
        <v>344</v>
      </c>
      <c r="T682" s="35" t="s">
        <v>815</v>
      </c>
      <c r="U682" s="35" t="s">
        <v>426</v>
      </c>
      <c r="V682" s="35" t="s">
        <v>841</v>
      </c>
      <c r="X682" s="35" t="s">
        <v>823</v>
      </c>
      <c r="Y682" s="35">
        <v>100</v>
      </c>
      <c r="AA682" s="35" t="s">
        <v>189</v>
      </c>
      <c r="AB682" s="42" t="str">
        <f t="shared" si="266"/>
        <v>东方不败击杀目标时，攻速提升&lt;color=#54b76b&gt;50%&lt;/color&gt;，持续5秒</v>
      </c>
      <c r="AC682" s="35">
        <v>5301259</v>
      </c>
      <c r="AD682" s="35" t="s">
        <v>596</v>
      </c>
      <c r="AE682" s="35">
        <v>4</v>
      </c>
      <c r="AH682" s="35">
        <v>1</v>
      </c>
      <c r="AJ682" s="35" t="s">
        <v>842</v>
      </c>
      <c r="AL682" s="35">
        <v>4</v>
      </c>
    </row>
    <row r="683" s="25" customFormat="1" hidden="1" customHeight="1" spans="1:38">
      <c r="A683" s="35">
        <v>5510337</v>
      </c>
      <c r="B683" s="35" t="s">
        <v>814</v>
      </c>
      <c r="C683" s="35">
        <v>5301259</v>
      </c>
      <c r="D683" s="35">
        <v>7</v>
      </c>
      <c r="E683" s="35"/>
      <c r="F683" s="35" t="s">
        <v>220</v>
      </c>
      <c r="G683" s="36" t="str">
        <f t="shared" si="265"/>
        <v/>
      </c>
      <c r="H683" s="36" t="str">
        <f>IFERROR(IF(--MID($F683,2*COUNTIF($G683:G683,"&gt;"&amp;0)+2,1)=H$1,H$1,""),"")</f>
        <v/>
      </c>
      <c r="I683" s="36" t="str">
        <f>IFERROR(IF(--MID($F683,2*COUNTIF($G683:H683,"&gt;"&amp;0)+2,1)=I$1,I$1,""),"")</f>
        <v/>
      </c>
      <c r="J683" s="36" t="str">
        <f>IFERROR(IF(--MID($F683,2*COUNTIF($G683:I683,"&gt;"&amp;0)+2,1)=J$1,J$1,""),"")</f>
        <v/>
      </c>
      <c r="K683" s="36" t="str">
        <f>IFERROR(IF(--MID($F683,2*COUNTIF($G683:J683,"&gt;"&amp;0)+2,1)=K$1,K$1,""),"")</f>
        <v/>
      </c>
      <c r="L683" s="36">
        <f>IFERROR(IF(--MID($F683,2*COUNTIF($G683:K683,"&gt;"&amp;0)+2,1)=L$1,L$1,""),"")</f>
        <v>6</v>
      </c>
      <c r="M683" s="51" t="str" cm="1">
        <f t="array" ref="M683">IF($A683="","",IF(G683="","",_xlfn.XLOOKUP($D683&amp;"_"&amp;$AE683,符文权重!$A:$A&amp;"_"&amp;符文权重!$C:$C,符文权重!$D:$D)*$Y683/SUMIFS($Y:$Y,G:G,G683,$D:$D,$D683,$AE:$AE,$AE683)/SUMIF(符文权重!$A:$A,$D683,符文权重!$D:$D)))</f>
        <v/>
      </c>
      <c r="N683" s="51" t="str" cm="1">
        <f t="array" ref="N683">IF($A683="","",IF(H683="","",_xlfn.XLOOKUP($D683&amp;"_"&amp;$AE683,符文权重!$A:$A&amp;"_"&amp;符文权重!$C:$C,符文权重!$D:$D)*$Y683/SUMIFS($Y:$Y,H:H,H683,$D:$D,$D683,$AE:$AE,$AE683)/SUMIF(符文权重!$A:$A,$D683,符文权重!$D:$D)))</f>
        <v/>
      </c>
      <c r="O683" s="51" t="str" cm="1">
        <f t="array" ref="O683">IF($A683="","",IF(I683="","",_xlfn.XLOOKUP($D683&amp;"_"&amp;$AE683,符文权重!$A:$A&amp;"_"&amp;符文权重!$C:$C,符文权重!$D:$D)*$Y683/SUMIFS($Y:$Y,I:I,I683,$D:$D,$D683,$AE:$AE,$AE683)/SUMIF(符文权重!$A:$A,$D683,符文权重!$D:$D)))</f>
        <v/>
      </c>
      <c r="P683" s="51" t="str" cm="1">
        <f t="array" ref="P683">IF($A683="","",IF(J683="","",_xlfn.XLOOKUP($D683&amp;"_"&amp;$AE683,符文权重!$A:$A&amp;"_"&amp;符文权重!$C:$C,符文权重!$D:$D)*$Y683/SUMIFS($Y:$Y,J:J,J683,$D:$D,$D683,$AE:$AE,$AE683)/SUMIF(符文权重!$A:$A,$D683,符文权重!$D:$D)))</f>
        <v/>
      </c>
      <c r="Q683" s="51" t="str" cm="1">
        <f t="array" ref="Q683">IF($A683="","",IF(K683="","",_xlfn.XLOOKUP($D683&amp;"_"&amp;$AE683,符文权重!$A:$A&amp;"_"&amp;符文权重!$C:$C,符文权重!$D:$D)*$Y683/SUMIFS($Y:$Y,K:K,K683,$D:$D,$D683,$AE:$AE,$AE683)/SUMIF(符文权重!$A:$A,$D683,符文权重!$D:$D)))</f>
        <v/>
      </c>
      <c r="R683" s="51" cm="1">
        <f t="array" ref="R683">IF($A683="","",IF(L683="","",_xlfn.XLOOKUP($D683&amp;"_"&amp;$AE683,符文权重!$A:$A&amp;"_"&amp;符文权重!$C:$C,符文权重!$D:$D)*$Y683/SUMIFS($Y:$Y,L:L,L683,$D:$D,$D683,$AE:$AE,$AE683)/SUMIF(符文权重!$A:$A,$D683,符文权重!$D:$D)))</f>
        <v>0.0063125</v>
      </c>
      <c r="S683" s="35" t="s">
        <v>344</v>
      </c>
      <c r="T683" s="35" t="s">
        <v>815</v>
      </c>
      <c r="U683" s="35" t="s">
        <v>429</v>
      </c>
      <c r="V683" s="35" t="s">
        <v>843</v>
      </c>
      <c r="X683" s="35" t="s">
        <v>826</v>
      </c>
      <c r="Y683" s="35">
        <v>100</v>
      </c>
      <c r="AA683" s="35" t="s">
        <v>191</v>
      </c>
      <c r="AB683" s="42" t="str">
        <f t="shared" si="266"/>
        <v>东方不败击杀目标时，攻速提升&lt;color=#54b76b&gt;60%&lt;/color&gt;，持续5秒</v>
      </c>
      <c r="AC683" s="35">
        <v>5301259</v>
      </c>
      <c r="AD683" s="35" t="s">
        <v>476</v>
      </c>
      <c r="AE683" s="35">
        <v>4</v>
      </c>
      <c r="AH683" s="35">
        <v>1</v>
      </c>
      <c r="AI683" s="36"/>
      <c r="AJ683" s="35" t="s">
        <v>844</v>
      </c>
      <c r="AK683" s="36"/>
      <c r="AL683" s="35">
        <v>4</v>
      </c>
    </row>
    <row r="684" s="25" customFormat="1" hidden="1" customHeight="1" spans="1:38">
      <c r="A684" s="35">
        <v>5510344</v>
      </c>
      <c r="B684" s="55" t="s">
        <v>845</v>
      </c>
      <c r="C684" s="35">
        <v>5301261</v>
      </c>
      <c r="D684" s="36">
        <v>4</v>
      </c>
      <c r="E684" s="36"/>
      <c r="F684" s="35" t="s">
        <v>230</v>
      </c>
      <c r="G684" s="36" t="str">
        <f t="shared" si="265"/>
        <v/>
      </c>
      <c r="H684" s="36" t="str">
        <f>IFERROR(IF(--MID($F684,2*COUNTIF($G684:G684,"&gt;"&amp;0)+2,1)=H$1,H$1,""),"")</f>
        <v/>
      </c>
      <c r="I684" s="36" t="str">
        <f>IFERROR(IF(--MID($F684,2*COUNTIF($G684:H684,"&gt;"&amp;0)+2,1)=I$1,I$1,""),"")</f>
        <v/>
      </c>
      <c r="J684" s="36" t="str">
        <f>IFERROR(IF(--MID($F684,2*COUNTIF($G684:I684,"&gt;"&amp;0)+2,1)=J$1,J$1,""),"")</f>
        <v/>
      </c>
      <c r="K684" s="36">
        <f>IFERROR(IF(--MID($F684,2*COUNTIF($G684:J684,"&gt;"&amp;0)+2,1)=K$1,K$1,""),"")</f>
        <v>5</v>
      </c>
      <c r="L684" s="36" t="str">
        <f>IFERROR(IF(--MID($F684,2*COUNTIF($G684:K684,"&gt;"&amp;0)+2,1)=L$1,L$1,""),"")</f>
        <v/>
      </c>
      <c r="M684" s="51" t="str" cm="1">
        <f t="array" ref="M684">IF($A684="","",IF(G684="","",_xlfn.XLOOKUP($D684&amp;"_"&amp;$AE684,符文权重!$A:$A&amp;"_"&amp;符文权重!$C:$C,符文权重!$D:$D)*$Y684/SUMIFS($Y:$Y,G:G,G684,$D:$D,$D684,$AE:$AE,$AE684)/SUMIF(符文权重!$A:$A,$D684,符文权重!$D:$D)))</f>
        <v/>
      </c>
      <c r="N684" s="51" t="str" cm="1">
        <f t="array" ref="N684">IF($A684="","",IF(H684="","",_xlfn.XLOOKUP($D684&amp;"_"&amp;$AE684,符文权重!$A:$A&amp;"_"&amp;符文权重!$C:$C,符文权重!$D:$D)*$Y684/SUMIFS($Y:$Y,H:H,H684,$D:$D,$D684,$AE:$AE,$AE684)/SUMIF(符文权重!$A:$A,$D684,符文权重!$D:$D)))</f>
        <v/>
      </c>
      <c r="O684" s="51" t="str" cm="1">
        <f t="array" ref="O684">IF($A684="","",IF(I684="","",_xlfn.XLOOKUP($D684&amp;"_"&amp;$AE684,符文权重!$A:$A&amp;"_"&amp;符文权重!$C:$C,符文权重!$D:$D)*$Y684/SUMIFS($Y:$Y,I:I,I684,$D:$D,$D684,$AE:$AE,$AE684)/SUMIF(符文权重!$A:$A,$D684,符文权重!$D:$D)))</f>
        <v/>
      </c>
      <c r="P684" s="51" t="str" cm="1">
        <f t="array" ref="P684">IF($A684="","",IF(J684="","",_xlfn.XLOOKUP($D684&amp;"_"&amp;$AE684,符文权重!$A:$A&amp;"_"&amp;符文权重!$C:$C,符文权重!$D:$D)*$Y684/SUMIFS($Y:$Y,J:J,J684,$D:$D,$D684,$AE:$AE,$AE684)/SUMIF(符文权重!$A:$A,$D684,符文权重!$D:$D)))</f>
        <v/>
      </c>
      <c r="Q684" s="51" cm="1">
        <f t="array" ref="Q684">IF($A684="","",IF(K684="","",_xlfn.XLOOKUP($D684&amp;"_"&amp;$AE684,符文权重!$A:$A&amp;"_"&amp;符文权重!$C:$C,符文权重!$D:$D)*$Y684/SUMIFS($Y:$Y,K:K,K684,$D:$D,$D684,$AE:$AE,$AE684)/SUMIF(符文权重!$A:$A,$D684,符文权重!$D:$D)))</f>
        <v>0.00262762762762763</v>
      </c>
      <c r="R684" s="51" t="str" cm="1">
        <f t="array" ref="R684">IF($A684="","",IF(L684="","",_xlfn.XLOOKUP($D684&amp;"_"&amp;$AE684,符文权重!$A:$A&amp;"_"&amp;符文权重!$C:$C,符文权重!$D:$D)*$Y684/SUMIFS($Y:$Y,L:L,L684,$D:$D,$D684,$AE:$AE,$AE684)/SUMIF(符文权重!$A:$A,$D684,符文权重!$D:$D)))</f>
        <v/>
      </c>
      <c r="S684" s="36" t="s">
        <v>344</v>
      </c>
      <c r="T684" s="36" t="s">
        <v>846</v>
      </c>
      <c r="U684" s="36" t="s">
        <v>420</v>
      </c>
      <c r="V684" s="25" t="s">
        <v>847</v>
      </c>
      <c r="W684" s="36"/>
      <c r="X684" s="35" t="s">
        <v>817</v>
      </c>
      <c r="Y684" s="35">
        <v>100</v>
      </c>
      <c r="Z684" s="35"/>
      <c r="AA684" s="36" t="s">
        <v>185</v>
      </c>
      <c r="AB684" s="42" t="str">
        <f t="shared" si="266"/>
        <v>镭射眼对减速的敌人造成伤害时，暴击率&lt;color=#54b76b&gt;+8%&lt;/color&gt;</v>
      </c>
      <c r="AC684" s="35">
        <v>5301261</v>
      </c>
      <c r="AD684" s="36" t="s">
        <v>419</v>
      </c>
      <c r="AE684" s="36">
        <v>8</v>
      </c>
      <c r="AF684" s="36"/>
      <c r="AG684" s="36"/>
      <c r="AH684" s="36">
        <v>1</v>
      </c>
      <c r="AI684" s="36"/>
      <c r="AJ684" s="42" t="s">
        <v>848</v>
      </c>
      <c r="AK684" s="36"/>
      <c r="AL684" s="35">
        <v>4</v>
      </c>
    </row>
    <row r="685" s="25" customFormat="1" hidden="1" customHeight="1" spans="1:38">
      <c r="A685" s="35">
        <v>5510345</v>
      </c>
      <c r="B685" s="35" t="s">
        <v>845</v>
      </c>
      <c r="C685" s="35">
        <v>5301261</v>
      </c>
      <c r="D685" s="35">
        <v>5</v>
      </c>
      <c r="E685" s="35"/>
      <c r="F685" s="35" t="s">
        <v>230</v>
      </c>
      <c r="G685" s="36" t="str">
        <f t="shared" si="265"/>
        <v/>
      </c>
      <c r="H685" s="36" t="str">
        <f>IFERROR(IF(--MID($F685,2*COUNTIF($G685:G685,"&gt;"&amp;0)+2,1)=H$1,H$1,""),"")</f>
        <v/>
      </c>
      <c r="I685" s="36" t="str">
        <f>IFERROR(IF(--MID($F685,2*COUNTIF($G685:H685,"&gt;"&amp;0)+2,1)=I$1,I$1,""),"")</f>
        <v/>
      </c>
      <c r="J685" s="36" t="str">
        <f>IFERROR(IF(--MID($F685,2*COUNTIF($G685:I685,"&gt;"&amp;0)+2,1)=J$1,J$1,""),"")</f>
        <v/>
      </c>
      <c r="K685" s="36">
        <f>IFERROR(IF(--MID($F685,2*COUNTIF($G685:J685,"&gt;"&amp;0)+2,1)=K$1,K$1,""),"")</f>
        <v>5</v>
      </c>
      <c r="L685" s="36" t="str">
        <f>IFERROR(IF(--MID($F685,2*COUNTIF($G685:K685,"&gt;"&amp;0)+2,1)=L$1,L$1,""),"")</f>
        <v/>
      </c>
      <c r="M685" s="51" t="str" cm="1">
        <f t="array" ref="M685">IF($A685="","",IF(G685="","",_xlfn.XLOOKUP($D685&amp;"_"&amp;$AE685,符文权重!$A:$A&amp;"_"&amp;符文权重!$C:$C,符文权重!$D:$D)*$Y685/SUMIFS($Y:$Y,G:G,G685,$D:$D,$D685,$AE:$AE,$AE685)/SUMIF(符文权重!$A:$A,$D685,符文权重!$D:$D)))</f>
        <v/>
      </c>
      <c r="N685" s="51" t="str" cm="1">
        <f t="array" ref="N685">IF($A685="","",IF(H685="","",_xlfn.XLOOKUP($D685&amp;"_"&amp;$AE685,符文权重!$A:$A&amp;"_"&amp;符文权重!$C:$C,符文权重!$D:$D)*$Y685/SUMIFS($Y:$Y,H:H,H685,$D:$D,$D685,$AE:$AE,$AE685)/SUMIF(符文权重!$A:$A,$D685,符文权重!$D:$D)))</f>
        <v/>
      </c>
      <c r="O685" s="51" t="str" cm="1">
        <f t="array" ref="O685">IF($A685="","",IF(I685="","",_xlfn.XLOOKUP($D685&amp;"_"&amp;$AE685,符文权重!$A:$A&amp;"_"&amp;符文权重!$C:$C,符文权重!$D:$D)*$Y685/SUMIFS($Y:$Y,I:I,I685,$D:$D,$D685,$AE:$AE,$AE685)/SUMIF(符文权重!$A:$A,$D685,符文权重!$D:$D)))</f>
        <v/>
      </c>
      <c r="P685" s="51" t="str" cm="1">
        <f t="array" ref="P685">IF($A685="","",IF(J685="","",_xlfn.XLOOKUP($D685&amp;"_"&amp;$AE685,符文权重!$A:$A&amp;"_"&amp;符文权重!$C:$C,符文权重!$D:$D)*$Y685/SUMIFS($Y:$Y,J:J,J685,$D:$D,$D685,$AE:$AE,$AE685)/SUMIF(符文权重!$A:$A,$D685,符文权重!$D:$D)))</f>
        <v/>
      </c>
      <c r="Q685" s="51" cm="1">
        <f t="array" ref="Q685">IF($A685="","",IF(K685="","",_xlfn.XLOOKUP($D685&amp;"_"&amp;$AE685,符文权重!$A:$A&amp;"_"&amp;符文权重!$C:$C,符文权重!$D:$D)*$Y685/SUMIFS($Y:$Y,K:K,K685,$D:$D,$D685,$AE:$AE,$AE685)/SUMIF(符文权重!$A:$A,$D685,符文权重!$D:$D)))</f>
        <v>0.00721428571428571</v>
      </c>
      <c r="R685" s="51" t="str" cm="1">
        <f t="array" ref="R685">IF($A685="","",IF(L685="","",_xlfn.XLOOKUP($D685&amp;"_"&amp;$AE685,符文权重!$A:$A&amp;"_"&amp;符文权重!$C:$C,符文权重!$D:$D)*$Y685/SUMIFS($Y:$Y,L:L,L685,$D:$D,$D685,$AE:$AE,$AE685)/SUMIF(符文权重!$A:$A,$D685,符文权重!$D:$D)))</f>
        <v/>
      </c>
      <c r="S685" s="35" t="s">
        <v>344</v>
      </c>
      <c r="T685" s="35" t="s">
        <v>846</v>
      </c>
      <c r="U685" s="35" t="s">
        <v>423</v>
      </c>
      <c r="V685" s="35" t="s">
        <v>849</v>
      </c>
      <c r="X685" s="35" t="s">
        <v>820</v>
      </c>
      <c r="Y685" s="35">
        <v>100</v>
      </c>
      <c r="AA685" s="35" t="s">
        <v>187</v>
      </c>
      <c r="AB685" s="42" t="str">
        <f t="shared" si="266"/>
        <v>镭射眼对减速的敌人造成伤害时，暴击率&lt;color=#54b76b&gt;+10%&lt;/color&gt;</v>
      </c>
      <c r="AC685" s="35">
        <v>5301261</v>
      </c>
      <c r="AD685" s="35" t="s">
        <v>422</v>
      </c>
      <c r="AE685" s="35">
        <v>4</v>
      </c>
      <c r="AH685" s="35">
        <v>1</v>
      </c>
      <c r="AI685" s="36"/>
      <c r="AJ685" s="35" t="s">
        <v>850</v>
      </c>
      <c r="AK685" s="36"/>
      <c r="AL685" s="35">
        <v>4</v>
      </c>
    </row>
    <row r="686" s="25" customFormat="1" hidden="1" customHeight="1" spans="1:38">
      <c r="A686" s="35">
        <v>5510346</v>
      </c>
      <c r="B686" s="35" t="s">
        <v>845</v>
      </c>
      <c r="C686" s="35">
        <v>5301261</v>
      </c>
      <c r="D686" s="35">
        <v>6</v>
      </c>
      <c r="E686" s="35"/>
      <c r="F686" s="35" t="s">
        <v>230</v>
      </c>
      <c r="G686" s="36" t="str">
        <f t="shared" si="265"/>
        <v/>
      </c>
      <c r="H686" s="36" t="str">
        <f>IFERROR(IF(--MID($F686,2*COUNTIF($G686:G686,"&gt;"&amp;0)+2,1)=H$1,H$1,""),"")</f>
        <v/>
      </c>
      <c r="I686" s="36" t="str">
        <f>IFERROR(IF(--MID($F686,2*COUNTIF($G686:H686,"&gt;"&amp;0)+2,1)=I$1,I$1,""),"")</f>
        <v/>
      </c>
      <c r="J686" s="36" t="str">
        <f>IFERROR(IF(--MID($F686,2*COUNTIF($G686:I686,"&gt;"&amp;0)+2,1)=J$1,J$1,""),"")</f>
        <v/>
      </c>
      <c r="K686" s="36">
        <f>IFERROR(IF(--MID($F686,2*COUNTIF($G686:J686,"&gt;"&amp;0)+2,1)=K$1,K$1,""),"")</f>
        <v>5</v>
      </c>
      <c r="L686" s="36" t="str">
        <f>IFERROR(IF(--MID($F686,2*COUNTIF($G686:K686,"&gt;"&amp;0)+2,1)=L$1,L$1,""),"")</f>
        <v/>
      </c>
      <c r="M686" s="51" t="str" cm="1">
        <f t="array" ref="M686">IF($A686="","",IF(G686="","",_xlfn.XLOOKUP($D686&amp;"_"&amp;$AE686,符文权重!$A:$A&amp;"_"&amp;符文权重!$C:$C,符文权重!$D:$D)*$Y686/SUMIFS($Y:$Y,G:G,G686,$D:$D,$D686,$AE:$AE,$AE686)/SUMIF(符文权重!$A:$A,$D686,符文权重!$D:$D)))</f>
        <v/>
      </c>
      <c r="N686" s="51" t="str" cm="1">
        <f t="array" ref="N686">IF($A686="","",IF(H686="","",_xlfn.XLOOKUP($D686&amp;"_"&amp;$AE686,符文权重!$A:$A&amp;"_"&amp;符文权重!$C:$C,符文权重!$D:$D)*$Y686/SUMIFS($Y:$Y,H:H,H686,$D:$D,$D686,$AE:$AE,$AE686)/SUMIF(符文权重!$A:$A,$D686,符文权重!$D:$D)))</f>
        <v/>
      </c>
      <c r="O686" s="51" t="str" cm="1">
        <f t="array" ref="O686">IF($A686="","",IF(I686="","",_xlfn.XLOOKUP($D686&amp;"_"&amp;$AE686,符文权重!$A:$A&amp;"_"&amp;符文权重!$C:$C,符文权重!$D:$D)*$Y686/SUMIFS($Y:$Y,I:I,I686,$D:$D,$D686,$AE:$AE,$AE686)/SUMIF(符文权重!$A:$A,$D686,符文权重!$D:$D)))</f>
        <v/>
      </c>
      <c r="P686" s="51" t="str" cm="1">
        <f t="array" ref="P686">IF($A686="","",IF(J686="","",_xlfn.XLOOKUP($D686&amp;"_"&amp;$AE686,符文权重!$A:$A&amp;"_"&amp;符文权重!$C:$C,符文权重!$D:$D)*$Y686/SUMIFS($Y:$Y,J:J,J686,$D:$D,$D686,$AE:$AE,$AE686)/SUMIF(符文权重!$A:$A,$D686,符文权重!$D:$D)))</f>
        <v/>
      </c>
      <c r="Q686" s="51" cm="1">
        <f t="array" ref="Q686">IF($A686="","",IF(K686="","",_xlfn.XLOOKUP($D686&amp;"_"&amp;$AE686,符文权重!$A:$A&amp;"_"&amp;符文权重!$C:$C,符文权重!$D:$D)*$Y686/SUMIFS($Y:$Y,K:K,K686,$D:$D,$D686,$AE:$AE,$AE686)/SUMIF(符文权重!$A:$A,$D686,符文权重!$D:$D)))</f>
        <v>0.00721428571428571</v>
      </c>
      <c r="R686" s="51" t="str" cm="1">
        <f t="array" ref="R686">IF($A686="","",IF(L686="","",_xlfn.XLOOKUP($D686&amp;"_"&amp;$AE686,符文权重!$A:$A&amp;"_"&amp;符文权重!$C:$C,符文权重!$D:$D)*$Y686/SUMIFS($Y:$Y,L:L,L686,$D:$D,$D686,$AE:$AE,$AE686)/SUMIF(符文权重!$A:$A,$D686,符文权重!$D:$D)))</f>
        <v/>
      </c>
      <c r="S686" s="35" t="s">
        <v>344</v>
      </c>
      <c r="T686" s="35" t="s">
        <v>846</v>
      </c>
      <c r="U686" s="35" t="s">
        <v>426</v>
      </c>
      <c r="V686" s="35" t="s">
        <v>851</v>
      </c>
      <c r="X686" s="35" t="s">
        <v>823</v>
      </c>
      <c r="Y686" s="35">
        <v>100</v>
      </c>
      <c r="AA686" s="35" t="s">
        <v>189</v>
      </c>
      <c r="AB686" s="42" t="str">
        <f t="shared" si="266"/>
        <v>镭射眼对减速的敌人造成伤害时，暴击率&lt;color=#54b76b&gt;+12%&lt;/color&gt;</v>
      </c>
      <c r="AC686" s="35">
        <v>5301261</v>
      </c>
      <c r="AD686" s="35" t="s">
        <v>492</v>
      </c>
      <c r="AE686" s="35">
        <v>4</v>
      </c>
      <c r="AH686" s="35">
        <v>1</v>
      </c>
      <c r="AI686" s="36"/>
      <c r="AJ686" s="35" t="s">
        <v>852</v>
      </c>
      <c r="AK686" s="36"/>
      <c r="AL686" s="35">
        <v>4</v>
      </c>
    </row>
    <row r="687" s="25" customFormat="1" hidden="1" customHeight="1" spans="1:38">
      <c r="A687" s="35">
        <v>5510347</v>
      </c>
      <c r="B687" s="35" t="s">
        <v>845</v>
      </c>
      <c r="C687" s="35">
        <v>5301261</v>
      </c>
      <c r="D687" s="35">
        <v>7</v>
      </c>
      <c r="E687" s="35"/>
      <c r="F687" s="35" t="s">
        <v>230</v>
      </c>
      <c r="G687" s="36" t="str">
        <f t="shared" si="265"/>
        <v/>
      </c>
      <c r="H687" s="36" t="str">
        <f>IFERROR(IF(--MID($F687,2*COUNTIF($G687:G687,"&gt;"&amp;0)+2,1)=H$1,H$1,""),"")</f>
        <v/>
      </c>
      <c r="I687" s="36" t="str">
        <f>IFERROR(IF(--MID($F687,2*COUNTIF($G687:H687,"&gt;"&amp;0)+2,1)=I$1,I$1,""),"")</f>
        <v/>
      </c>
      <c r="J687" s="36" t="str">
        <f>IFERROR(IF(--MID($F687,2*COUNTIF($G687:I687,"&gt;"&amp;0)+2,1)=J$1,J$1,""),"")</f>
        <v/>
      </c>
      <c r="K687" s="36">
        <f>IFERROR(IF(--MID($F687,2*COUNTIF($G687:J687,"&gt;"&amp;0)+2,1)=K$1,K$1,""),"")</f>
        <v>5</v>
      </c>
      <c r="L687" s="36" t="str">
        <f>IFERROR(IF(--MID($F687,2*COUNTIF($G687:K687,"&gt;"&amp;0)+2,1)=L$1,L$1,""),"")</f>
        <v/>
      </c>
      <c r="M687" s="51" t="str" cm="1">
        <f t="array" ref="M687">IF($A687="","",IF(G687="","",_xlfn.XLOOKUP($D687&amp;"_"&amp;$AE687,符文权重!$A:$A&amp;"_"&amp;符文权重!$C:$C,符文权重!$D:$D)*$Y687/SUMIFS($Y:$Y,G:G,G687,$D:$D,$D687,$AE:$AE,$AE687)/SUMIF(符文权重!$A:$A,$D687,符文权重!$D:$D)))</f>
        <v/>
      </c>
      <c r="N687" s="51" t="str" cm="1">
        <f t="array" ref="N687">IF($A687="","",IF(H687="","",_xlfn.XLOOKUP($D687&amp;"_"&amp;$AE687,符文权重!$A:$A&amp;"_"&amp;符文权重!$C:$C,符文权重!$D:$D)*$Y687/SUMIFS($Y:$Y,H:H,H687,$D:$D,$D687,$AE:$AE,$AE687)/SUMIF(符文权重!$A:$A,$D687,符文权重!$D:$D)))</f>
        <v/>
      </c>
      <c r="O687" s="51" t="str" cm="1">
        <f t="array" ref="O687">IF($A687="","",IF(I687="","",_xlfn.XLOOKUP($D687&amp;"_"&amp;$AE687,符文权重!$A:$A&amp;"_"&amp;符文权重!$C:$C,符文权重!$D:$D)*$Y687/SUMIFS($Y:$Y,I:I,I687,$D:$D,$D687,$AE:$AE,$AE687)/SUMIF(符文权重!$A:$A,$D687,符文权重!$D:$D)))</f>
        <v/>
      </c>
      <c r="P687" s="51" t="str" cm="1">
        <f t="array" ref="P687">IF($A687="","",IF(J687="","",_xlfn.XLOOKUP($D687&amp;"_"&amp;$AE687,符文权重!$A:$A&amp;"_"&amp;符文权重!$C:$C,符文权重!$D:$D)*$Y687/SUMIFS($Y:$Y,J:J,J687,$D:$D,$D687,$AE:$AE,$AE687)/SUMIF(符文权重!$A:$A,$D687,符文权重!$D:$D)))</f>
        <v/>
      </c>
      <c r="Q687" s="51" cm="1">
        <f t="array" ref="Q687">IF($A687="","",IF(K687="","",_xlfn.XLOOKUP($D687&amp;"_"&amp;$AE687,符文权重!$A:$A&amp;"_"&amp;符文权重!$C:$C,符文权重!$D:$D)*$Y687/SUMIFS($Y:$Y,K:K,K687,$D:$D,$D687,$AE:$AE,$AE687)/SUMIF(符文权重!$A:$A,$D687,符文权重!$D:$D)))</f>
        <v>0.00721428571428571</v>
      </c>
      <c r="R687" s="51" t="str" cm="1">
        <f t="array" ref="R687">IF($A687="","",IF(L687="","",_xlfn.XLOOKUP($D687&amp;"_"&amp;$AE687,符文权重!$A:$A&amp;"_"&amp;符文权重!$C:$C,符文权重!$D:$D)*$Y687/SUMIFS($Y:$Y,L:L,L687,$D:$D,$D687,$AE:$AE,$AE687)/SUMIF(符文权重!$A:$A,$D687,符文权重!$D:$D)))</f>
        <v/>
      </c>
      <c r="S687" s="35" t="s">
        <v>344</v>
      </c>
      <c r="T687" s="35" t="s">
        <v>846</v>
      </c>
      <c r="U687" s="35" t="s">
        <v>429</v>
      </c>
      <c r="V687" s="35" t="s">
        <v>853</v>
      </c>
      <c r="X687" s="35" t="s">
        <v>826</v>
      </c>
      <c r="Y687" s="35">
        <v>100</v>
      </c>
      <c r="AA687" s="35" t="s">
        <v>191</v>
      </c>
      <c r="AB687" s="42" t="str">
        <f t="shared" si="266"/>
        <v>镭射眼对减速的敌人造成伤害时，暴击率&lt;color=#54b76b&gt;+14%&lt;/color&gt;</v>
      </c>
      <c r="AC687" s="35">
        <v>5301261</v>
      </c>
      <c r="AD687" s="35" t="s">
        <v>854</v>
      </c>
      <c r="AE687" s="35">
        <v>4</v>
      </c>
      <c r="AH687" s="35">
        <v>1</v>
      </c>
      <c r="AJ687" s="35" t="s">
        <v>855</v>
      </c>
      <c r="AL687" s="35">
        <v>4</v>
      </c>
    </row>
    <row r="688" s="25" customFormat="1" hidden="1" customHeight="1" spans="1:38">
      <c r="A688" s="35">
        <v>5510354</v>
      </c>
      <c r="B688" s="55" t="s">
        <v>845</v>
      </c>
      <c r="C688" s="35">
        <v>5301262</v>
      </c>
      <c r="D688" s="36">
        <v>4</v>
      </c>
      <c r="E688" s="36"/>
      <c r="F688" s="35" t="s">
        <v>220</v>
      </c>
      <c r="G688" s="36" t="str">
        <f t="shared" si="265"/>
        <v/>
      </c>
      <c r="H688" s="36" t="str">
        <f>IFERROR(IF(--MID($F688,2*COUNTIF($G688:G688,"&gt;"&amp;0)+2,1)=H$1,H$1,""),"")</f>
        <v/>
      </c>
      <c r="I688" s="36" t="str">
        <f>IFERROR(IF(--MID($F688,2*COUNTIF($G688:H688,"&gt;"&amp;0)+2,1)=I$1,I$1,""),"")</f>
        <v/>
      </c>
      <c r="J688" s="36" t="str">
        <f>IFERROR(IF(--MID($F688,2*COUNTIF($G688:I688,"&gt;"&amp;0)+2,1)=J$1,J$1,""),"")</f>
        <v/>
      </c>
      <c r="K688" s="36" t="str">
        <f>IFERROR(IF(--MID($F688,2*COUNTIF($G688:J688,"&gt;"&amp;0)+2,1)=K$1,K$1,""),"")</f>
        <v/>
      </c>
      <c r="L688" s="36">
        <f>IFERROR(IF(--MID($F688,2*COUNTIF($G688:K688,"&gt;"&amp;0)+2,1)=L$1,L$1,""),"")</f>
        <v>6</v>
      </c>
      <c r="M688" s="51" t="str" cm="1">
        <f t="array" ref="M688">IF($A688="","",IF(G688="","",_xlfn.XLOOKUP($D688&amp;"_"&amp;$AE688,符文权重!$A:$A&amp;"_"&amp;符文权重!$C:$C,符文权重!$D:$D)*$Y688/SUMIFS($Y:$Y,G:G,G688,$D:$D,$D688,$AE:$AE,$AE688)/SUMIF(符文权重!$A:$A,$D688,符文权重!$D:$D)))</f>
        <v/>
      </c>
      <c r="N688" s="51" t="str" cm="1">
        <f t="array" ref="N688">IF($A688="","",IF(H688="","",_xlfn.XLOOKUP($D688&amp;"_"&amp;$AE688,符文权重!$A:$A&amp;"_"&amp;符文权重!$C:$C,符文权重!$D:$D)*$Y688/SUMIFS($Y:$Y,H:H,H688,$D:$D,$D688,$AE:$AE,$AE688)/SUMIF(符文权重!$A:$A,$D688,符文权重!$D:$D)))</f>
        <v/>
      </c>
      <c r="O688" s="51" t="str" cm="1">
        <f t="array" ref="O688">IF($A688="","",IF(I688="","",_xlfn.XLOOKUP($D688&amp;"_"&amp;$AE688,符文权重!$A:$A&amp;"_"&amp;符文权重!$C:$C,符文权重!$D:$D)*$Y688/SUMIFS($Y:$Y,I:I,I688,$D:$D,$D688,$AE:$AE,$AE688)/SUMIF(符文权重!$A:$A,$D688,符文权重!$D:$D)))</f>
        <v/>
      </c>
      <c r="P688" s="51" t="str" cm="1">
        <f t="array" ref="P688">IF($A688="","",IF(J688="","",_xlfn.XLOOKUP($D688&amp;"_"&amp;$AE688,符文权重!$A:$A&amp;"_"&amp;符文权重!$C:$C,符文权重!$D:$D)*$Y688/SUMIFS($Y:$Y,J:J,J688,$D:$D,$D688,$AE:$AE,$AE688)/SUMIF(符文权重!$A:$A,$D688,符文权重!$D:$D)))</f>
        <v/>
      </c>
      <c r="Q688" s="51" t="str" cm="1">
        <f t="array" ref="Q688">IF($A688="","",IF(K688="","",_xlfn.XLOOKUP($D688&amp;"_"&amp;$AE688,符文权重!$A:$A&amp;"_"&amp;符文权重!$C:$C,符文权重!$D:$D)*$Y688/SUMIFS($Y:$Y,K:K,K688,$D:$D,$D688,$AE:$AE,$AE688)/SUMIF(符文权重!$A:$A,$D688,符文权重!$D:$D)))</f>
        <v/>
      </c>
      <c r="R688" s="51" cm="1">
        <f t="array" ref="R688">IF($A688="","",IF(L688="","",_xlfn.XLOOKUP($D688&amp;"_"&amp;$AE688,符文权重!$A:$A&amp;"_"&amp;符文权重!$C:$C,符文权重!$D:$D)*$Y688/SUMIFS($Y:$Y,L:L,L688,$D:$D,$D688,$AE:$AE,$AE688)/SUMIF(符文权重!$A:$A,$D688,符文权重!$D:$D)))</f>
        <v>0.00262762762762763</v>
      </c>
      <c r="S688" s="36" t="s">
        <v>344</v>
      </c>
      <c r="T688" s="36" t="s">
        <v>846</v>
      </c>
      <c r="U688" s="36" t="s">
        <v>420</v>
      </c>
      <c r="V688" s="25" t="s">
        <v>856</v>
      </c>
      <c r="W688" s="36"/>
      <c r="X688" s="35" t="s">
        <v>817</v>
      </c>
      <c r="Y688" s="35">
        <v>100</v>
      </c>
      <c r="Z688" s="35"/>
      <c r="AA688" s="36" t="s">
        <v>185</v>
      </c>
      <c r="AB688" s="42" t="str">
        <f t="shared" si="266"/>
        <v>镭射眼对主目标的敌人造成暴击时，会额外造成最大生命值的&lt;color=#54b76b&gt;7%&lt;/color&gt;伤害（400%攻击力上限）</v>
      </c>
      <c r="AC688" s="35">
        <v>5301262</v>
      </c>
      <c r="AD688" s="36" t="s">
        <v>239</v>
      </c>
      <c r="AE688" s="36">
        <v>8</v>
      </c>
      <c r="AF688" s="36"/>
      <c r="AG688" s="36"/>
      <c r="AH688" s="36">
        <v>1</v>
      </c>
      <c r="AI688" s="36"/>
      <c r="AJ688" s="42" t="s">
        <v>857</v>
      </c>
      <c r="AK688" s="36"/>
      <c r="AL688" s="35">
        <v>4</v>
      </c>
    </row>
    <row r="689" s="25" customFormat="1" hidden="1" customHeight="1" spans="1:38">
      <c r="A689" s="35">
        <v>5510355</v>
      </c>
      <c r="B689" s="35" t="s">
        <v>845</v>
      </c>
      <c r="C689" s="35">
        <v>5301262</v>
      </c>
      <c r="D689" s="35">
        <v>5</v>
      </c>
      <c r="E689" s="35"/>
      <c r="F689" s="35" t="s">
        <v>220</v>
      </c>
      <c r="G689" s="36" t="str">
        <f t="shared" si="265"/>
        <v/>
      </c>
      <c r="H689" s="36" t="str">
        <f>IFERROR(IF(--MID($F689,2*COUNTIF($G689:G689,"&gt;"&amp;0)+2,1)=H$1,H$1,""),"")</f>
        <v/>
      </c>
      <c r="I689" s="36" t="str">
        <f>IFERROR(IF(--MID($F689,2*COUNTIF($G689:H689,"&gt;"&amp;0)+2,1)=I$1,I$1,""),"")</f>
        <v/>
      </c>
      <c r="J689" s="36" t="str">
        <f>IFERROR(IF(--MID($F689,2*COUNTIF($G689:I689,"&gt;"&amp;0)+2,1)=J$1,J$1,""),"")</f>
        <v/>
      </c>
      <c r="K689" s="36" t="str">
        <f>IFERROR(IF(--MID($F689,2*COUNTIF($G689:J689,"&gt;"&amp;0)+2,1)=K$1,K$1,""),"")</f>
        <v/>
      </c>
      <c r="L689" s="36">
        <f>IFERROR(IF(--MID($F689,2*COUNTIF($G689:K689,"&gt;"&amp;0)+2,1)=L$1,L$1,""),"")</f>
        <v>6</v>
      </c>
      <c r="M689" s="51" t="str" cm="1">
        <f t="array" ref="M689">IF($A689="","",IF(G689="","",_xlfn.XLOOKUP($D689&amp;"_"&amp;$AE689,符文权重!$A:$A&amp;"_"&amp;符文权重!$C:$C,符文权重!$D:$D)*$Y689/SUMIFS($Y:$Y,G:G,G689,$D:$D,$D689,$AE:$AE,$AE689)/SUMIF(符文权重!$A:$A,$D689,符文权重!$D:$D)))</f>
        <v/>
      </c>
      <c r="N689" s="51" t="str" cm="1">
        <f t="array" ref="N689">IF($A689="","",IF(H689="","",_xlfn.XLOOKUP($D689&amp;"_"&amp;$AE689,符文权重!$A:$A&amp;"_"&amp;符文权重!$C:$C,符文权重!$D:$D)*$Y689/SUMIFS($Y:$Y,H:H,H689,$D:$D,$D689,$AE:$AE,$AE689)/SUMIF(符文权重!$A:$A,$D689,符文权重!$D:$D)))</f>
        <v/>
      </c>
      <c r="O689" s="51" t="str" cm="1">
        <f t="array" ref="O689">IF($A689="","",IF(I689="","",_xlfn.XLOOKUP($D689&amp;"_"&amp;$AE689,符文权重!$A:$A&amp;"_"&amp;符文权重!$C:$C,符文权重!$D:$D)*$Y689/SUMIFS($Y:$Y,I:I,I689,$D:$D,$D689,$AE:$AE,$AE689)/SUMIF(符文权重!$A:$A,$D689,符文权重!$D:$D)))</f>
        <v/>
      </c>
      <c r="P689" s="51" t="str" cm="1">
        <f t="array" ref="P689">IF($A689="","",IF(J689="","",_xlfn.XLOOKUP($D689&amp;"_"&amp;$AE689,符文权重!$A:$A&amp;"_"&amp;符文权重!$C:$C,符文权重!$D:$D)*$Y689/SUMIFS($Y:$Y,J:J,J689,$D:$D,$D689,$AE:$AE,$AE689)/SUMIF(符文权重!$A:$A,$D689,符文权重!$D:$D)))</f>
        <v/>
      </c>
      <c r="Q689" s="51" t="str" cm="1">
        <f t="array" ref="Q689">IF($A689="","",IF(K689="","",_xlfn.XLOOKUP($D689&amp;"_"&amp;$AE689,符文权重!$A:$A&amp;"_"&amp;符文权重!$C:$C,符文权重!$D:$D)*$Y689/SUMIFS($Y:$Y,K:K,K689,$D:$D,$D689,$AE:$AE,$AE689)/SUMIF(符文权重!$A:$A,$D689,符文权重!$D:$D)))</f>
        <v/>
      </c>
      <c r="R689" s="51" cm="1">
        <f t="array" ref="R689">IF($A689="","",IF(L689="","",_xlfn.XLOOKUP($D689&amp;"_"&amp;$AE689,符文权重!$A:$A&amp;"_"&amp;符文权重!$C:$C,符文权重!$D:$D)*$Y689/SUMIFS($Y:$Y,L:L,L689,$D:$D,$D689,$AE:$AE,$AE689)/SUMIF(符文权重!$A:$A,$D689,符文权重!$D:$D)))</f>
        <v>0.0063125</v>
      </c>
      <c r="S689" s="35" t="s">
        <v>344</v>
      </c>
      <c r="T689" s="35" t="s">
        <v>846</v>
      </c>
      <c r="U689" s="35" t="s">
        <v>423</v>
      </c>
      <c r="V689" s="35" t="s">
        <v>858</v>
      </c>
      <c r="X689" s="35" t="s">
        <v>820</v>
      </c>
      <c r="Y689" s="35">
        <v>100</v>
      </c>
      <c r="AA689" s="35" t="s">
        <v>187</v>
      </c>
      <c r="AB689" s="42" t="str">
        <f t="shared" si="266"/>
        <v>镭射眼对主目标的敌人造成暴击时，会额外造成最大生命值的&lt;color=#54b76b&gt;10%&lt;/color&gt;伤害（560%攻击力上限）</v>
      </c>
      <c r="AC689" s="35">
        <v>5301262</v>
      </c>
      <c r="AD689" s="35" t="s">
        <v>422</v>
      </c>
      <c r="AE689" s="35">
        <v>4</v>
      </c>
      <c r="AH689" s="35">
        <v>1</v>
      </c>
      <c r="AI689" s="36"/>
      <c r="AJ689" s="35" t="s">
        <v>859</v>
      </c>
      <c r="AK689" s="36"/>
      <c r="AL689" s="35">
        <v>4</v>
      </c>
    </row>
    <row r="690" s="25" customFormat="1" hidden="1" customHeight="1" spans="1:38">
      <c r="A690" s="35">
        <v>5510356</v>
      </c>
      <c r="B690" s="35" t="s">
        <v>845</v>
      </c>
      <c r="C690" s="35">
        <v>5301262</v>
      </c>
      <c r="D690" s="35">
        <v>6</v>
      </c>
      <c r="E690" s="35"/>
      <c r="F690" s="35" t="s">
        <v>220</v>
      </c>
      <c r="G690" s="36" t="str">
        <f t="shared" si="265"/>
        <v/>
      </c>
      <c r="H690" s="36" t="str">
        <f>IFERROR(IF(--MID($F690,2*COUNTIF($G690:G690,"&gt;"&amp;0)+2,1)=H$1,H$1,""),"")</f>
        <v/>
      </c>
      <c r="I690" s="36" t="str">
        <f>IFERROR(IF(--MID($F690,2*COUNTIF($G690:H690,"&gt;"&amp;0)+2,1)=I$1,I$1,""),"")</f>
        <v/>
      </c>
      <c r="J690" s="36" t="str">
        <f>IFERROR(IF(--MID($F690,2*COUNTIF($G690:I690,"&gt;"&amp;0)+2,1)=J$1,J$1,""),"")</f>
        <v/>
      </c>
      <c r="K690" s="36" t="str">
        <f>IFERROR(IF(--MID($F690,2*COUNTIF($G690:J690,"&gt;"&amp;0)+2,1)=K$1,K$1,""),"")</f>
        <v/>
      </c>
      <c r="L690" s="36">
        <f>IFERROR(IF(--MID($F690,2*COUNTIF($G690:K690,"&gt;"&amp;0)+2,1)=L$1,L$1,""),"")</f>
        <v>6</v>
      </c>
      <c r="M690" s="51" t="str" cm="1">
        <f t="array" ref="M690">IF($A690="","",IF(G690="","",_xlfn.XLOOKUP($D690&amp;"_"&amp;$AE690,符文权重!$A:$A&amp;"_"&amp;符文权重!$C:$C,符文权重!$D:$D)*$Y690/SUMIFS($Y:$Y,G:G,G690,$D:$D,$D690,$AE:$AE,$AE690)/SUMIF(符文权重!$A:$A,$D690,符文权重!$D:$D)))</f>
        <v/>
      </c>
      <c r="N690" s="51" t="str" cm="1">
        <f t="array" ref="N690">IF($A690="","",IF(H690="","",_xlfn.XLOOKUP($D690&amp;"_"&amp;$AE690,符文权重!$A:$A&amp;"_"&amp;符文权重!$C:$C,符文权重!$D:$D)*$Y690/SUMIFS($Y:$Y,H:H,H690,$D:$D,$D690,$AE:$AE,$AE690)/SUMIF(符文权重!$A:$A,$D690,符文权重!$D:$D)))</f>
        <v/>
      </c>
      <c r="O690" s="51" t="str" cm="1">
        <f t="array" ref="O690">IF($A690="","",IF(I690="","",_xlfn.XLOOKUP($D690&amp;"_"&amp;$AE690,符文权重!$A:$A&amp;"_"&amp;符文权重!$C:$C,符文权重!$D:$D)*$Y690/SUMIFS($Y:$Y,I:I,I690,$D:$D,$D690,$AE:$AE,$AE690)/SUMIF(符文权重!$A:$A,$D690,符文权重!$D:$D)))</f>
        <v/>
      </c>
      <c r="P690" s="51" t="str" cm="1">
        <f t="array" ref="P690">IF($A690="","",IF(J690="","",_xlfn.XLOOKUP($D690&amp;"_"&amp;$AE690,符文权重!$A:$A&amp;"_"&amp;符文权重!$C:$C,符文权重!$D:$D)*$Y690/SUMIFS($Y:$Y,J:J,J690,$D:$D,$D690,$AE:$AE,$AE690)/SUMIF(符文权重!$A:$A,$D690,符文权重!$D:$D)))</f>
        <v/>
      </c>
      <c r="Q690" s="51" t="str" cm="1">
        <f t="array" ref="Q690">IF($A690="","",IF(K690="","",_xlfn.XLOOKUP($D690&amp;"_"&amp;$AE690,符文权重!$A:$A&amp;"_"&amp;符文权重!$C:$C,符文权重!$D:$D)*$Y690/SUMIFS($Y:$Y,K:K,K690,$D:$D,$D690,$AE:$AE,$AE690)/SUMIF(符文权重!$A:$A,$D690,符文权重!$D:$D)))</f>
        <v/>
      </c>
      <c r="R690" s="51" cm="1">
        <f t="array" ref="R690">IF($A690="","",IF(L690="","",_xlfn.XLOOKUP($D690&amp;"_"&amp;$AE690,符文权重!$A:$A&amp;"_"&amp;符文权重!$C:$C,符文权重!$D:$D)*$Y690/SUMIFS($Y:$Y,L:L,L690,$D:$D,$D690,$AE:$AE,$AE690)/SUMIF(符文权重!$A:$A,$D690,符文权重!$D:$D)))</f>
        <v>0.0063125</v>
      </c>
      <c r="S690" s="35" t="s">
        <v>344</v>
      </c>
      <c r="T690" s="35" t="s">
        <v>846</v>
      </c>
      <c r="U690" s="35" t="s">
        <v>426</v>
      </c>
      <c r="V690" s="35" t="s">
        <v>860</v>
      </c>
      <c r="X690" s="35" t="s">
        <v>823</v>
      </c>
      <c r="Y690" s="35">
        <v>100</v>
      </c>
      <c r="AA690" s="35" t="s">
        <v>189</v>
      </c>
      <c r="AB690" s="42" t="str">
        <f t="shared" si="266"/>
        <v>镭射眼对主目标的敌人造成暴击时，会额外造成最大生命值的&lt;color=#54b76b&gt;13%&lt;/color&gt;伤害（720%攻击力上限）</v>
      </c>
      <c r="AC690" s="35">
        <v>5301262</v>
      </c>
      <c r="AD690" s="35" t="s">
        <v>861</v>
      </c>
      <c r="AE690" s="35">
        <v>4</v>
      </c>
      <c r="AH690" s="35">
        <v>1</v>
      </c>
      <c r="AI690" s="36"/>
      <c r="AJ690" s="35" t="s">
        <v>862</v>
      </c>
      <c r="AK690" s="36"/>
      <c r="AL690" s="35">
        <v>4</v>
      </c>
    </row>
    <row r="691" s="25" customFormat="1" hidden="1" customHeight="1" spans="1:38">
      <c r="A691" s="35">
        <v>5510357</v>
      </c>
      <c r="B691" s="35" t="s">
        <v>845</v>
      </c>
      <c r="C691" s="35">
        <v>5301262</v>
      </c>
      <c r="D691" s="35">
        <v>7</v>
      </c>
      <c r="E691" s="35"/>
      <c r="F691" s="35" t="s">
        <v>220</v>
      </c>
      <c r="G691" s="36" t="str">
        <f t="shared" si="265"/>
        <v/>
      </c>
      <c r="H691" s="36" t="str">
        <f>IFERROR(IF(--MID($F691,2*COUNTIF($G691:G691,"&gt;"&amp;0)+2,1)=H$1,H$1,""),"")</f>
        <v/>
      </c>
      <c r="I691" s="36" t="str">
        <f>IFERROR(IF(--MID($F691,2*COUNTIF($G691:H691,"&gt;"&amp;0)+2,1)=I$1,I$1,""),"")</f>
        <v/>
      </c>
      <c r="J691" s="36" t="str">
        <f>IFERROR(IF(--MID($F691,2*COUNTIF($G691:I691,"&gt;"&amp;0)+2,1)=J$1,J$1,""),"")</f>
        <v/>
      </c>
      <c r="K691" s="36" t="str">
        <f>IFERROR(IF(--MID($F691,2*COUNTIF($G691:J691,"&gt;"&amp;0)+2,1)=K$1,K$1,""),"")</f>
        <v/>
      </c>
      <c r="L691" s="36">
        <f>IFERROR(IF(--MID($F691,2*COUNTIF($G691:K691,"&gt;"&amp;0)+2,1)=L$1,L$1,""),"")</f>
        <v>6</v>
      </c>
      <c r="M691" s="51" t="str" cm="1">
        <f t="array" ref="M691">IF($A691="","",IF(G691="","",_xlfn.XLOOKUP($D691&amp;"_"&amp;$AE691,符文权重!$A:$A&amp;"_"&amp;符文权重!$C:$C,符文权重!$D:$D)*$Y691/SUMIFS($Y:$Y,G:G,G691,$D:$D,$D691,$AE:$AE,$AE691)/SUMIF(符文权重!$A:$A,$D691,符文权重!$D:$D)))</f>
        <v/>
      </c>
      <c r="N691" s="51" t="str" cm="1">
        <f t="array" ref="N691">IF($A691="","",IF(H691="","",_xlfn.XLOOKUP($D691&amp;"_"&amp;$AE691,符文权重!$A:$A&amp;"_"&amp;符文权重!$C:$C,符文权重!$D:$D)*$Y691/SUMIFS($Y:$Y,H:H,H691,$D:$D,$D691,$AE:$AE,$AE691)/SUMIF(符文权重!$A:$A,$D691,符文权重!$D:$D)))</f>
        <v/>
      </c>
      <c r="O691" s="51" t="str" cm="1">
        <f t="array" ref="O691">IF($A691="","",IF(I691="","",_xlfn.XLOOKUP($D691&amp;"_"&amp;$AE691,符文权重!$A:$A&amp;"_"&amp;符文权重!$C:$C,符文权重!$D:$D)*$Y691/SUMIFS($Y:$Y,I:I,I691,$D:$D,$D691,$AE:$AE,$AE691)/SUMIF(符文权重!$A:$A,$D691,符文权重!$D:$D)))</f>
        <v/>
      </c>
      <c r="P691" s="51" t="str" cm="1">
        <f t="array" ref="P691">IF($A691="","",IF(J691="","",_xlfn.XLOOKUP($D691&amp;"_"&amp;$AE691,符文权重!$A:$A&amp;"_"&amp;符文权重!$C:$C,符文权重!$D:$D)*$Y691/SUMIFS($Y:$Y,J:J,J691,$D:$D,$D691,$AE:$AE,$AE691)/SUMIF(符文权重!$A:$A,$D691,符文权重!$D:$D)))</f>
        <v/>
      </c>
      <c r="Q691" s="51" t="str" cm="1">
        <f t="array" ref="Q691">IF($A691="","",IF(K691="","",_xlfn.XLOOKUP($D691&amp;"_"&amp;$AE691,符文权重!$A:$A&amp;"_"&amp;符文权重!$C:$C,符文权重!$D:$D)*$Y691/SUMIFS($Y:$Y,K:K,K691,$D:$D,$D691,$AE:$AE,$AE691)/SUMIF(符文权重!$A:$A,$D691,符文权重!$D:$D)))</f>
        <v/>
      </c>
      <c r="R691" s="51" cm="1">
        <f t="array" ref="R691">IF($A691="","",IF(L691="","",_xlfn.XLOOKUP($D691&amp;"_"&amp;$AE691,符文权重!$A:$A&amp;"_"&amp;符文权重!$C:$C,符文权重!$D:$D)*$Y691/SUMIFS($Y:$Y,L:L,L691,$D:$D,$D691,$AE:$AE,$AE691)/SUMIF(符文权重!$A:$A,$D691,符文权重!$D:$D)))</f>
        <v>0.0063125</v>
      </c>
      <c r="S691" s="35" t="s">
        <v>344</v>
      </c>
      <c r="T691" s="35" t="s">
        <v>846</v>
      </c>
      <c r="U691" s="35" t="s">
        <v>429</v>
      </c>
      <c r="V691" s="35" t="s">
        <v>863</v>
      </c>
      <c r="X691" s="35" t="s">
        <v>826</v>
      </c>
      <c r="Y691" s="35">
        <v>100</v>
      </c>
      <c r="AA691" s="35" t="s">
        <v>191</v>
      </c>
      <c r="AB691" s="42" t="str">
        <f t="shared" si="266"/>
        <v>镭射眼对主目标的敌人造成暴击时，会额外造成最大生命值的&lt;color=#54b76b&gt;16%&lt;/color&gt;伤害（900%攻击力上限）</v>
      </c>
      <c r="AC691" s="35">
        <v>5301262</v>
      </c>
      <c r="AD691" s="35" t="s">
        <v>711</v>
      </c>
      <c r="AE691" s="35">
        <v>4</v>
      </c>
      <c r="AH691" s="35">
        <v>1</v>
      </c>
      <c r="AI691" s="36"/>
      <c r="AJ691" s="35" t="s">
        <v>864</v>
      </c>
      <c r="AK691" s="36"/>
      <c r="AL691" s="35">
        <v>4</v>
      </c>
    </row>
    <row r="692" s="25" customFormat="1" hidden="1" customHeight="1" spans="1:38">
      <c r="A692" s="35">
        <v>5510364</v>
      </c>
      <c r="B692" s="55" t="s">
        <v>845</v>
      </c>
      <c r="C692" s="35">
        <v>5301263</v>
      </c>
      <c r="D692" s="36">
        <v>4</v>
      </c>
      <c r="E692" s="36"/>
      <c r="F692" s="35" t="s">
        <v>202</v>
      </c>
      <c r="G692" s="36">
        <f t="shared" si="265"/>
        <v>1</v>
      </c>
      <c r="H692" s="36" t="str">
        <f>IFERROR(IF(--MID($F692,2*COUNTIF($G692:G692,"&gt;"&amp;0)+2,1)=H$1,H$1,""),"")</f>
        <v/>
      </c>
      <c r="I692" s="36" t="str">
        <f>IFERROR(IF(--MID($F692,2*COUNTIF($G692:H692,"&gt;"&amp;0)+2,1)=I$1,I$1,""),"")</f>
        <v/>
      </c>
      <c r="J692" s="36" t="str">
        <f>IFERROR(IF(--MID($F692,2*COUNTIF($G692:I692,"&gt;"&amp;0)+2,1)=J$1,J$1,""),"")</f>
        <v/>
      </c>
      <c r="K692" s="36" t="str">
        <f>IFERROR(IF(--MID($F692,2*COUNTIF($G692:J692,"&gt;"&amp;0)+2,1)=K$1,K$1,""),"")</f>
        <v/>
      </c>
      <c r="L692" s="36" t="str">
        <f>IFERROR(IF(--MID($F692,2*COUNTIF($G692:K692,"&gt;"&amp;0)+2,1)=L$1,L$1,""),"")</f>
        <v/>
      </c>
      <c r="M692" s="51" cm="1">
        <f t="array" ref="M692">IF($A692="","",IF(G692="","",_xlfn.XLOOKUP($D692&amp;"_"&amp;$AE692,符文权重!$A:$A&amp;"_"&amp;符文权重!$C:$C,符文权重!$D:$D)*$Y692/SUMIFS($Y:$Y,G:G,G692,$D:$D,$D692,$AE:$AE,$AE692)/SUMIF(符文权重!$A:$A,$D692,符文权重!$D:$D)))</f>
        <v>0.0035035035035035</v>
      </c>
      <c r="N692" s="51" t="str" cm="1">
        <f t="array" ref="N692">IF($A692="","",IF(H692="","",_xlfn.XLOOKUP($D692&amp;"_"&amp;$AE692,符文权重!$A:$A&amp;"_"&amp;符文权重!$C:$C,符文权重!$D:$D)*$Y692/SUMIFS($Y:$Y,H:H,H692,$D:$D,$D692,$AE:$AE,$AE692)/SUMIF(符文权重!$A:$A,$D692,符文权重!$D:$D)))</f>
        <v/>
      </c>
      <c r="O692" s="51" t="str" cm="1">
        <f t="array" ref="O692">IF($A692="","",IF(I692="","",_xlfn.XLOOKUP($D692&amp;"_"&amp;$AE692,符文权重!$A:$A&amp;"_"&amp;符文权重!$C:$C,符文权重!$D:$D)*$Y692/SUMIFS($Y:$Y,I:I,I692,$D:$D,$D692,$AE:$AE,$AE692)/SUMIF(符文权重!$A:$A,$D692,符文权重!$D:$D)))</f>
        <v/>
      </c>
      <c r="P692" s="51" t="str" cm="1">
        <f t="array" ref="P692">IF($A692="","",IF(J692="","",_xlfn.XLOOKUP($D692&amp;"_"&amp;$AE692,符文权重!$A:$A&amp;"_"&amp;符文权重!$C:$C,符文权重!$D:$D)*$Y692/SUMIFS($Y:$Y,J:J,J692,$D:$D,$D692,$AE:$AE,$AE692)/SUMIF(符文权重!$A:$A,$D692,符文权重!$D:$D)))</f>
        <v/>
      </c>
      <c r="Q692" s="51" t="str" cm="1">
        <f t="array" ref="Q692">IF($A692="","",IF(K692="","",_xlfn.XLOOKUP($D692&amp;"_"&amp;$AE692,符文权重!$A:$A&amp;"_"&amp;符文权重!$C:$C,符文权重!$D:$D)*$Y692/SUMIFS($Y:$Y,K:K,K692,$D:$D,$D692,$AE:$AE,$AE692)/SUMIF(符文权重!$A:$A,$D692,符文权重!$D:$D)))</f>
        <v/>
      </c>
      <c r="R692" s="51" t="str" cm="1">
        <f t="array" ref="R692">IF($A692="","",IF(L692="","",_xlfn.XLOOKUP($D692&amp;"_"&amp;$AE692,符文权重!$A:$A&amp;"_"&amp;符文权重!$C:$C,符文权重!$D:$D)*$Y692/SUMIFS($Y:$Y,L:L,L692,$D:$D,$D692,$AE:$AE,$AE692)/SUMIF(符文权重!$A:$A,$D692,符文权重!$D:$D)))</f>
        <v/>
      </c>
      <c r="S692" s="36" t="s">
        <v>344</v>
      </c>
      <c r="T692" s="36" t="s">
        <v>846</v>
      </c>
      <c r="U692" s="36" t="s">
        <v>420</v>
      </c>
      <c r="V692" s="25" t="s">
        <v>865</v>
      </c>
      <c r="W692" s="36"/>
      <c r="X692" s="35" t="s">
        <v>817</v>
      </c>
      <c r="Y692" s="35">
        <v>100</v>
      </c>
      <c r="Z692" s="35"/>
      <c r="AA692" s="36" t="s">
        <v>185</v>
      </c>
      <c r="AB692" s="42" t="str">
        <f t="shared" si="266"/>
        <v>镭射眼暴击时，大招的冷却降低&lt;color=#54b76b&gt;0.5&lt;/color&gt;秒</v>
      </c>
      <c r="AC692" s="35">
        <v>5301263</v>
      </c>
      <c r="AD692" s="36" t="s">
        <v>866</v>
      </c>
      <c r="AE692" s="36">
        <v>8</v>
      </c>
      <c r="AF692" s="36"/>
      <c r="AG692" s="36"/>
      <c r="AH692" s="36">
        <v>1</v>
      </c>
      <c r="AJ692" s="42" t="s">
        <v>867</v>
      </c>
      <c r="AL692" s="35">
        <v>4</v>
      </c>
    </row>
    <row r="693" s="25" customFormat="1" hidden="1" customHeight="1" spans="1:38">
      <c r="A693" s="35">
        <v>5510365</v>
      </c>
      <c r="B693" s="35" t="s">
        <v>845</v>
      </c>
      <c r="C693" s="35">
        <v>5301263</v>
      </c>
      <c r="D693" s="35">
        <v>5</v>
      </c>
      <c r="E693" s="35"/>
      <c r="F693" s="35" t="s">
        <v>202</v>
      </c>
      <c r="G693" s="36">
        <f t="shared" si="265"/>
        <v>1</v>
      </c>
      <c r="H693" s="36" t="str">
        <f>IFERROR(IF(--MID($F693,2*COUNTIF($G693:G693,"&gt;"&amp;0)+2,1)=H$1,H$1,""),"")</f>
        <v/>
      </c>
      <c r="I693" s="36" t="str">
        <f>IFERROR(IF(--MID($F693,2*COUNTIF($G693:H693,"&gt;"&amp;0)+2,1)=I$1,I$1,""),"")</f>
        <v/>
      </c>
      <c r="J693" s="36" t="str">
        <f>IFERROR(IF(--MID($F693,2*COUNTIF($G693:I693,"&gt;"&amp;0)+2,1)=J$1,J$1,""),"")</f>
        <v/>
      </c>
      <c r="K693" s="36" t="str">
        <f>IFERROR(IF(--MID($F693,2*COUNTIF($G693:J693,"&gt;"&amp;0)+2,1)=K$1,K$1,""),"")</f>
        <v/>
      </c>
      <c r="L693" s="36" t="str">
        <f>IFERROR(IF(--MID($F693,2*COUNTIF($G693:K693,"&gt;"&amp;0)+2,1)=L$1,L$1,""),"")</f>
        <v/>
      </c>
      <c r="M693" s="51" cm="1">
        <f t="array" ref="M693">IF($A693="","",IF(G693="","",_xlfn.XLOOKUP($D693&amp;"_"&amp;$AE693,符文权重!$A:$A&amp;"_"&amp;符文权重!$C:$C,符文权重!$D:$D)*$Y693/SUMIFS($Y:$Y,G:G,G693,$D:$D,$D693,$AE:$AE,$AE693)/SUMIF(符文权重!$A:$A,$D693,符文权重!$D:$D)))</f>
        <v>0.00721428571428571</v>
      </c>
      <c r="N693" s="51" t="str" cm="1">
        <f t="array" ref="N693">IF($A693="","",IF(H693="","",_xlfn.XLOOKUP($D693&amp;"_"&amp;$AE693,符文权重!$A:$A&amp;"_"&amp;符文权重!$C:$C,符文权重!$D:$D)*$Y693/SUMIFS($Y:$Y,H:H,H693,$D:$D,$D693,$AE:$AE,$AE693)/SUMIF(符文权重!$A:$A,$D693,符文权重!$D:$D)))</f>
        <v/>
      </c>
      <c r="O693" s="51" t="str" cm="1">
        <f t="array" ref="O693">IF($A693="","",IF(I693="","",_xlfn.XLOOKUP($D693&amp;"_"&amp;$AE693,符文权重!$A:$A&amp;"_"&amp;符文权重!$C:$C,符文权重!$D:$D)*$Y693/SUMIFS($Y:$Y,I:I,I693,$D:$D,$D693,$AE:$AE,$AE693)/SUMIF(符文权重!$A:$A,$D693,符文权重!$D:$D)))</f>
        <v/>
      </c>
      <c r="P693" s="51" t="str" cm="1">
        <f t="array" ref="P693">IF($A693="","",IF(J693="","",_xlfn.XLOOKUP($D693&amp;"_"&amp;$AE693,符文权重!$A:$A&amp;"_"&amp;符文权重!$C:$C,符文权重!$D:$D)*$Y693/SUMIFS($Y:$Y,J:J,J693,$D:$D,$D693,$AE:$AE,$AE693)/SUMIF(符文权重!$A:$A,$D693,符文权重!$D:$D)))</f>
        <v/>
      </c>
      <c r="Q693" s="51" t="str" cm="1">
        <f t="array" ref="Q693">IF($A693="","",IF(K693="","",_xlfn.XLOOKUP($D693&amp;"_"&amp;$AE693,符文权重!$A:$A&amp;"_"&amp;符文权重!$C:$C,符文权重!$D:$D)*$Y693/SUMIFS($Y:$Y,K:K,K693,$D:$D,$D693,$AE:$AE,$AE693)/SUMIF(符文权重!$A:$A,$D693,符文权重!$D:$D)))</f>
        <v/>
      </c>
      <c r="R693" s="51" t="str" cm="1">
        <f t="array" ref="R693">IF($A693="","",IF(L693="","",_xlfn.XLOOKUP($D693&amp;"_"&amp;$AE693,符文权重!$A:$A&amp;"_"&amp;符文权重!$C:$C,符文权重!$D:$D)*$Y693/SUMIFS($Y:$Y,L:L,L693,$D:$D,$D693,$AE:$AE,$AE693)/SUMIF(符文权重!$A:$A,$D693,符文权重!$D:$D)))</f>
        <v/>
      </c>
      <c r="S693" s="35" t="s">
        <v>344</v>
      </c>
      <c r="T693" s="35" t="s">
        <v>846</v>
      </c>
      <c r="U693" s="35" t="s">
        <v>423</v>
      </c>
      <c r="V693" s="35" t="s">
        <v>868</v>
      </c>
      <c r="X693" s="35" t="s">
        <v>820</v>
      </c>
      <c r="Y693" s="35">
        <v>100</v>
      </c>
      <c r="AA693" s="35" t="s">
        <v>187</v>
      </c>
      <c r="AB693" s="42" t="str">
        <f t="shared" si="266"/>
        <v>镭射眼暴击时，大招的冷却降低&lt;color=#54b76b&gt;0.7&lt;/color&gt;秒</v>
      </c>
      <c r="AC693" s="35">
        <v>5301263</v>
      </c>
      <c r="AD693" s="35" t="s">
        <v>869</v>
      </c>
      <c r="AE693" s="35">
        <v>4</v>
      </c>
      <c r="AH693" s="35">
        <v>1</v>
      </c>
      <c r="AI693" s="36"/>
      <c r="AJ693" s="35" t="s">
        <v>870</v>
      </c>
      <c r="AK693" s="36"/>
      <c r="AL693" s="35">
        <v>4</v>
      </c>
    </row>
    <row r="694" s="25" customFormat="1" hidden="1" customHeight="1" spans="1:38">
      <c r="A694" s="35">
        <v>5510366</v>
      </c>
      <c r="B694" s="35" t="s">
        <v>845</v>
      </c>
      <c r="C694" s="35">
        <v>5301263</v>
      </c>
      <c r="D694" s="35">
        <v>6</v>
      </c>
      <c r="E694" s="35"/>
      <c r="F694" s="35" t="s">
        <v>202</v>
      </c>
      <c r="G694" s="36">
        <f t="shared" si="265"/>
        <v>1</v>
      </c>
      <c r="H694" s="36" t="str">
        <f>IFERROR(IF(--MID($F694,2*COUNTIF($G694:G694,"&gt;"&amp;0)+2,1)=H$1,H$1,""),"")</f>
        <v/>
      </c>
      <c r="I694" s="36" t="str">
        <f>IFERROR(IF(--MID($F694,2*COUNTIF($G694:H694,"&gt;"&amp;0)+2,1)=I$1,I$1,""),"")</f>
        <v/>
      </c>
      <c r="J694" s="36" t="str">
        <f>IFERROR(IF(--MID($F694,2*COUNTIF($G694:I694,"&gt;"&amp;0)+2,1)=J$1,J$1,""),"")</f>
        <v/>
      </c>
      <c r="K694" s="36" t="str">
        <f>IFERROR(IF(--MID($F694,2*COUNTIF($G694:J694,"&gt;"&amp;0)+2,1)=K$1,K$1,""),"")</f>
        <v/>
      </c>
      <c r="L694" s="36" t="str">
        <f>IFERROR(IF(--MID($F694,2*COUNTIF($G694:K694,"&gt;"&amp;0)+2,1)=L$1,L$1,""),"")</f>
        <v/>
      </c>
      <c r="M694" s="51" cm="1">
        <f t="array" ref="M694">IF($A694="","",IF(G694="","",_xlfn.XLOOKUP($D694&amp;"_"&amp;$AE694,符文权重!$A:$A&amp;"_"&amp;符文权重!$C:$C,符文权重!$D:$D)*$Y694/SUMIFS($Y:$Y,G:G,G694,$D:$D,$D694,$AE:$AE,$AE694)/SUMIF(符文权重!$A:$A,$D694,符文权重!$D:$D)))</f>
        <v>0.00721428571428571</v>
      </c>
      <c r="N694" s="51" t="str" cm="1">
        <f t="array" ref="N694">IF($A694="","",IF(H694="","",_xlfn.XLOOKUP($D694&amp;"_"&amp;$AE694,符文权重!$A:$A&amp;"_"&amp;符文权重!$C:$C,符文权重!$D:$D)*$Y694/SUMIFS($Y:$Y,H:H,H694,$D:$D,$D694,$AE:$AE,$AE694)/SUMIF(符文权重!$A:$A,$D694,符文权重!$D:$D)))</f>
        <v/>
      </c>
      <c r="O694" s="51" t="str" cm="1">
        <f t="array" ref="O694">IF($A694="","",IF(I694="","",_xlfn.XLOOKUP($D694&amp;"_"&amp;$AE694,符文权重!$A:$A&amp;"_"&amp;符文权重!$C:$C,符文权重!$D:$D)*$Y694/SUMIFS($Y:$Y,I:I,I694,$D:$D,$D694,$AE:$AE,$AE694)/SUMIF(符文权重!$A:$A,$D694,符文权重!$D:$D)))</f>
        <v/>
      </c>
      <c r="P694" s="51" t="str" cm="1">
        <f t="array" ref="P694">IF($A694="","",IF(J694="","",_xlfn.XLOOKUP($D694&amp;"_"&amp;$AE694,符文权重!$A:$A&amp;"_"&amp;符文权重!$C:$C,符文权重!$D:$D)*$Y694/SUMIFS($Y:$Y,J:J,J694,$D:$D,$D694,$AE:$AE,$AE694)/SUMIF(符文权重!$A:$A,$D694,符文权重!$D:$D)))</f>
        <v/>
      </c>
      <c r="Q694" s="51" t="str" cm="1">
        <f t="array" ref="Q694">IF($A694="","",IF(K694="","",_xlfn.XLOOKUP($D694&amp;"_"&amp;$AE694,符文权重!$A:$A&amp;"_"&amp;符文权重!$C:$C,符文权重!$D:$D)*$Y694/SUMIFS($Y:$Y,K:K,K694,$D:$D,$D694,$AE:$AE,$AE694)/SUMIF(符文权重!$A:$A,$D694,符文权重!$D:$D)))</f>
        <v/>
      </c>
      <c r="R694" s="51" t="str" cm="1">
        <f t="array" ref="R694">IF($A694="","",IF(L694="","",_xlfn.XLOOKUP($D694&amp;"_"&amp;$AE694,符文权重!$A:$A&amp;"_"&amp;符文权重!$C:$C,符文权重!$D:$D)*$Y694/SUMIFS($Y:$Y,L:L,L694,$D:$D,$D694,$AE:$AE,$AE694)/SUMIF(符文权重!$A:$A,$D694,符文权重!$D:$D)))</f>
        <v/>
      </c>
      <c r="S694" s="35" t="s">
        <v>344</v>
      </c>
      <c r="T694" s="35" t="s">
        <v>846</v>
      </c>
      <c r="U694" s="35" t="s">
        <v>426</v>
      </c>
      <c r="V694" s="35" t="s">
        <v>871</v>
      </c>
      <c r="X694" s="35" t="s">
        <v>823</v>
      </c>
      <c r="Y694" s="35">
        <v>100</v>
      </c>
      <c r="AA694" s="35" t="s">
        <v>189</v>
      </c>
      <c r="AB694" s="42" t="str">
        <f t="shared" si="266"/>
        <v>镭射眼暴击时，大招的冷却降低&lt;color=#54b76b&gt;0.9&lt;/color&gt;秒</v>
      </c>
      <c r="AC694" s="35">
        <v>5301263</v>
      </c>
      <c r="AD694" s="35" t="s">
        <v>872</v>
      </c>
      <c r="AE694" s="35">
        <v>4</v>
      </c>
      <c r="AH694" s="35">
        <v>1</v>
      </c>
      <c r="AI694" s="36"/>
      <c r="AJ694" s="35" t="s">
        <v>873</v>
      </c>
      <c r="AK694" s="36"/>
      <c r="AL694" s="35">
        <v>4</v>
      </c>
    </row>
    <row r="695" s="25" customFormat="1" hidden="1" customHeight="1" spans="1:38">
      <c r="A695" s="35">
        <v>5510367</v>
      </c>
      <c r="B695" s="35" t="s">
        <v>845</v>
      </c>
      <c r="C695" s="35">
        <v>5301263</v>
      </c>
      <c r="D695" s="35">
        <v>7</v>
      </c>
      <c r="E695" s="35"/>
      <c r="F695" s="35" t="s">
        <v>202</v>
      </c>
      <c r="G695" s="36">
        <f t="shared" si="265"/>
        <v>1</v>
      </c>
      <c r="H695" s="36" t="str">
        <f>IFERROR(IF(--MID($F695,2*COUNTIF($G695:G695,"&gt;"&amp;0)+2,1)=H$1,H$1,""),"")</f>
        <v/>
      </c>
      <c r="I695" s="36" t="str">
        <f>IFERROR(IF(--MID($F695,2*COUNTIF($G695:H695,"&gt;"&amp;0)+2,1)=I$1,I$1,""),"")</f>
        <v/>
      </c>
      <c r="J695" s="36" t="str">
        <f>IFERROR(IF(--MID($F695,2*COUNTIF($G695:I695,"&gt;"&amp;0)+2,1)=J$1,J$1,""),"")</f>
        <v/>
      </c>
      <c r="K695" s="36" t="str">
        <f>IFERROR(IF(--MID($F695,2*COUNTIF($G695:J695,"&gt;"&amp;0)+2,1)=K$1,K$1,""),"")</f>
        <v/>
      </c>
      <c r="L695" s="36" t="str">
        <f>IFERROR(IF(--MID($F695,2*COUNTIF($G695:K695,"&gt;"&amp;0)+2,1)=L$1,L$1,""),"")</f>
        <v/>
      </c>
      <c r="M695" s="51" cm="1">
        <f t="array" ref="M695">IF($A695="","",IF(G695="","",_xlfn.XLOOKUP($D695&amp;"_"&amp;$AE695,符文权重!$A:$A&amp;"_"&amp;符文权重!$C:$C,符文权重!$D:$D)*$Y695/SUMIFS($Y:$Y,G:G,G695,$D:$D,$D695,$AE:$AE,$AE695)/SUMIF(符文权重!$A:$A,$D695,符文权重!$D:$D)))</f>
        <v>0.00721428571428571</v>
      </c>
      <c r="N695" s="51" t="str" cm="1">
        <f t="array" ref="N695">IF($A695="","",IF(H695="","",_xlfn.XLOOKUP($D695&amp;"_"&amp;$AE695,符文权重!$A:$A&amp;"_"&amp;符文权重!$C:$C,符文权重!$D:$D)*$Y695/SUMIFS($Y:$Y,H:H,H695,$D:$D,$D695,$AE:$AE,$AE695)/SUMIF(符文权重!$A:$A,$D695,符文权重!$D:$D)))</f>
        <v/>
      </c>
      <c r="O695" s="51" t="str" cm="1">
        <f t="array" ref="O695">IF($A695="","",IF(I695="","",_xlfn.XLOOKUP($D695&amp;"_"&amp;$AE695,符文权重!$A:$A&amp;"_"&amp;符文权重!$C:$C,符文权重!$D:$D)*$Y695/SUMIFS($Y:$Y,I:I,I695,$D:$D,$D695,$AE:$AE,$AE695)/SUMIF(符文权重!$A:$A,$D695,符文权重!$D:$D)))</f>
        <v/>
      </c>
      <c r="P695" s="51" t="str" cm="1">
        <f t="array" ref="P695">IF($A695="","",IF(J695="","",_xlfn.XLOOKUP($D695&amp;"_"&amp;$AE695,符文权重!$A:$A&amp;"_"&amp;符文权重!$C:$C,符文权重!$D:$D)*$Y695/SUMIFS($Y:$Y,J:J,J695,$D:$D,$D695,$AE:$AE,$AE695)/SUMIF(符文权重!$A:$A,$D695,符文权重!$D:$D)))</f>
        <v/>
      </c>
      <c r="Q695" s="51" t="str" cm="1">
        <f t="array" ref="Q695">IF($A695="","",IF(K695="","",_xlfn.XLOOKUP($D695&amp;"_"&amp;$AE695,符文权重!$A:$A&amp;"_"&amp;符文权重!$C:$C,符文权重!$D:$D)*$Y695/SUMIFS($Y:$Y,K:K,K695,$D:$D,$D695,$AE:$AE,$AE695)/SUMIF(符文权重!$A:$A,$D695,符文权重!$D:$D)))</f>
        <v/>
      </c>
      <c r="R695" s="51" t="str" cm="1">
        <f t="array" ref="R695">IF($A695="","",IF(L695="","",_xlfn.XLOOKUP($D695&amp;"_"&amp;$AE695,符文权重!$A:$A&amp;"_"&amp;符文权重!$C:$C,符文权重!$D:$D)*$Y695/SUMIFS($Y:$Y,L:L,L695,$D:$D,$D695,$AE:$AE,$AE695)/SUMIF(符文权重!$A:$A,$D695,符文权重!$D:$D)))</f>
        <v/>
      </c>
      <c r="S695" s="35" t="s">
        <v>344</v>
      </c>
      <c r="T695" s="35" t="s">
        <v>846</v>
      </c>
      <c r="U695" s="35" t="s">
        <v>429</v>
      </c>
      <c r="V695" s="35" t="s">
        <v>874</v>
      </c>
      <c r="X695" s="35" t="s">
        <v>826</v>
      </c>
      <c r="Y695" s="35">
        <v>100</v>
      </c>
      <c r="AA695" s="35" t="s">
        <v>191</v>
      </c>
      <c r="AB695" s="42" t="str">
        <f t="shared" si="266"/>
        <v>镭射眼暴击时，大招的冷却降低&lt;color=#54b76b&gt;1.2&lt;/color&gt;秒</v>
      </c>
      <c r="AC695" s="35">
        <v>5301263</v>
      </c>
      <c r="AD695" s="35" t="s">
        <v>875</v>
      </c>
      <c r="AE695" s="35">
        <v>4</v>
      </c>
      <c r="AH695" s="35">
        <v>1</v>
      </c>
      <c r="AI695" s="36"/>
      <c r="AJ695" s="35" t="s">
        <v>876</v>
      </c>
      <c r="AK695" s="36"/>
      <c r="AL695" s="35">
        <v>4</v>
      </c>
    </row>
    <row r="696" s="25" customFormat="1" hidden="1" customHeight="1" spans="1:38">
      <c r="A696" s="35">
        <v>5510374</v>
      </c>
      <c r="B696" s="55" t="s">
        <v>877</v>
      </c>
      <c r="C696" s="35">
        <v>5301265</v>
      </c>
      <c r="D696" s="36">
        <v>4</v>
      </c>
      <c r="E696" s="36"/>
      <c r="F696" s="35" t="s">
        <v>404</v>
      </c>
      <c r="G696" s="36" t="str">
        <f t="shared" si="265"/>
        <v/>
      </c>
      <c r="H696" s="36" t="str">
        <f>IFERROR(IF(--MID($F696,2*COUNTIF($G696:G696,"&gt;"&amp;0)+2,1)=H$1,H$1,""),"")</f>
        <v/>
      </c>
      <c r="I696" s="36" t="str">
        <f>IFERROR(IF(--MID($F696,2*COUNTIF($G696:H696,"&gt;"&amp;0)+2,1)=I$1,I$1,""),"")</f>
        <v/>
      </c>
      <c r="J696" s="36">
        <f>IFERROR(IF(--MID($F696,2*COUNTIF($G696:I696,"&gt;"&amp;0)+2,1)=J$1,J$1,""),"")</f>
        <v>4</v>
      </c>
      <c r="K696" s="36" t="str">
        <f>IFERROR(IF(--MID($F696,2*COUNTIF($G696:J696,"&gt;"&amp;0)+2,1)=K$1,K$1,""),"")</f>
        <v/>
      </c>
      <c r="L696" s="36" t="str">
        <f>IFERROR(IF(--MID($F696,2*COUNTIF($G696:K696,"&gt;"&amp;0)+2,1)=L$1,L$1,""),"")</f>
        <v/>
      </c>
      <c r="M696" s="51" t="str" cm="1">
        <f t="array" ref="M696">IF($A696="","",IF(G696="","",_xlfn.XLOOKUP($D696&amp;"_"&amp;$AE696,符文权重!$A:$A&amp;"_"&amp;符文权重!$C:$C,符文权重!$D:$D)*$Y696/SUMIFS($Y:$Y,G:G,G696,$D:$D,$D696,$AE:$AE,$AE696)/SUMIF(符文权重!$A:$A,$D696,符文权重!$D:$D)))</f>
        <v/>
      </c>
      <c r="N696" s="51" t="str" cm="1">
        <f t="array" ref="N696">IF($A696="","",IF(H696="","",_xlfn.XLOOKUP($D696&amp;"_"&amp;$AE696,符文权重!$A:$A&amp;"_"&amp;符文权重!$C:$C,符文权重!$D:$D)*$Y696/SUMIFS($Y:$Y,H:H,H696,$D:$D,$D696,$AE:$AE,$AE696)/SUMIF(符文权重!$A:$A,$D696,符文权重!$D:$D)))</f>
        <v/>
      </c>
      <c r="O696" s="51" t="str" cm="1">
        <f t="array" ref="O696">IF($A696="","",IF(I696="","",_xlfn.XLOOKUP($D696&amp;"_"&amp;$AE696,符文权重!$A:$A&amp;"_"&amp;符文权重!$C:$C,符文权重!$D:$D)*$Y696/SUMIFS($Y:$Y,I:I,I696,$D:$D,$D696,$AE:$AE,$AE696)/SUMIF(符文权重!$A:$A,$D696,符文权重!$D:$D)))</f>
        <v/>
      </c>
      <c r="P696" s="51" cm="1">
        <f t="array" ref="P696">IF($A696="","",IF(J696="","",_xlfn.XLOOKUP($D696&amp;"_"&amp;$AE696,符文权重!$A:$A&amp;"_"&amp;符文权重!$C:$C,符文权重!$D:$D)*$Y696/SUMIFS($Y:$Y,J:J,J696,$D:$D,$D696,$AE:$AE,$AE696)/SUMIF(符文权重!$A:$A,$D696,符文权重!$D:$D)))</f>
        <v>0.00262762762762763</v>
      </c>
      <c r="Q696" s="51" t="str" cm="1">
        <f t="array" ref="Q696">IF($A696="","",IF(K696="","",_xlfn.XLOOKUP($D696&amp;"_"&amp;$AE696,符文权重!$A:$A&amp;"_"&amp;符文权重!$C:$C,符文权重!$D:$D)*$Y696/SUMIFS($Y:$Y,K:K,K696,$D:$D,$D696,$AE:$AE,$AE696)/SUMIF(符文权重!$A:$A,$D696,符文权重!$D:$D)))</f>
        <v/>
      </c>
      <c r="R696" s="51" t="str" cm="1">
        <f t="array" ref="R696">IF($A696="","",IF(L696="","",_xlfn.XLOOKUP($D696&amp;"_"&amp;$AE696,符文权重!$A:$A&amp;"_"&amp;符文权重!$C:$C,符文权重!$D:$D)*$Y696/SUMIFS($Y:$Y,L:L,L696,$D:$D,$D696,$AE:$AE,$AE696)/SUMIF(符文权重!$A:$A,$D696,符文权重!$D:$D)))</f>
        <v/>
      </c>
      <c r="S696" s="36" t="s">
        <v>344</v>
      </c>
      <c r="T696" s="36" t="s">
        <v>878</v>
      </c>
      <c r="U696" s="36" t="s">
        <v>420</v>
      </c>
      <c r="V696" s="25" t="s">
        <v>879</v>
      </c>
      <c r="W696" s="36"/>
      <c r="X696" s="35" t="s">
        <v>595</v>
      </c>
      <c r="Y696" s="35">
        <v>100</v>
      </c>
      <c r="Z696" s="35"/>
      <c r="AA696" s="36" t="s">
        <v>185</v>
      </c>
      <c r="AB696" s="42" t="str">
        <f t="shared" si="266"/>
        <v>被神灯王子复活的梦灵，免疫所有伤害&lt;color=#54b76b&gt;1&lt;/color&gt;秒（最多生效4次）</v>
      </c>
      <c r="AC696" s="35">
        <v>5301265</v>
      </c>
      <c r="AD696" s="36" t="s">
        <v>202</v>
      </c>
      <c r="AE696" s="36">
        <v>8</v>
      </c>
      <c r="AF696" s="36"/>
      <c r="AG696" s="36"/>
      <c r="AH696" s="36">
        <v>1</v>
      </c>
      <c r="AI696" s="36"/>
      <c r="AJ696" s="36" t="s">
        <v>880</v>
      </c>
      <c r="AK696" s="36"/>
      <c r="AL696" s="35">
        <v>4</v>
      </c>
    </row>
    <row r="697" s="25" customFormat="1" hidden="1" customHeight="1" spans="1:38">
      <c r="A697" s="35">
        <v>5510375</v>
      </c>
      <c r="B697" s="35" t="s">
        <v>877</v>
      </c>
      <c r="C697" s="35">
        <v>5301265</v>
      </c>
      <c r="D697" s="35">
        <v>5</v>
      </c>
      <c r="E697" s="35"/>
      <c r="F697" s="35" t="s">
        <v>404</v>
      </c>
      <c r="G697" s="36" t="str">
        <f t="shared" si="265"/>
        <v/>
      </c>
      <c r="H697" s="36" t="str">
        <f>IFERROR(IF(--MID($F697,2*COUNTIF($G697:G697,"&gt;"&amp;0)+2,1)=H$1,H$1,""),"")</f>
        <v/>
      </c>
      <c r="I697" s="36" t="str">
        <f>IFERROR(IF(--MID($F697,2*COUNTIF($G697:H697,"&gt;"&amp;0)+2,1)=I$1,I$1,""),"")</f>
        <v/>
      </c>
      <c r="J697" s="36">
        <f>IFERROR(IF(--MID($F697,2*COUNTIF($G697:I697,"&gt;"&amp;0)+2,1)=J$1,J$1,""),"")</f>
        <v>4</v>
      </c>
      <c r="K697" s="36" t="str">
        <f>IFERROR(IF(--MID($F697,2*COUNTIF($G697:J697,"&gt;"&amp;0)+2,1)=K$1,K$1,""),"")</f>
        <v/>
      </c>
      <c r="L697" s="36" t="str">
        <f>IFERROR(IF(--MID($F697,2*COUNTIF($G697:K697,"&gt;"&amp;0)+2,1)=L$1,L$1,""),"")</f>
        <v/>
      </c>
      <c r="M697" s="51" t="str" cm="1">
        <f t="array" ref="M697">IF($A697="","",IF(G697="","",_xlfn.XLOOKUP($D697&amp;"_"&amp;$AE697,符文权重!$A:$A&amp;"_"&amp;符文权重!$C:$C,符文权重!$D:$D)*$Y697/SUMIFS($Y:$Y,G:G,G697,$D:$D,$D697,$AE:$AE,$AE697)/SUMIF(符文权重!$A:$A,$D697,符文权重!$D:$D)))</f>
        <v/>
      </c>
      <c r="N697" s="51" t="str" cm="1">
        <f t="array" ref="N697">IF($A697="","",IF(H697="","",_xlfn.XLOOKUP($D697&amp;"_"&amp;$AE697,符文权重!$A:$A&amp;"_"&amp;符文权重!$C:$C,符文权重!$D:$D)*$Y697/SUMIFS($Y:$Y,H:H,H697,$D:$D,$D697,$AE:$AE,$AE697)/SUMIF(符文权重!$A:$A,$D697,符文权重!$D:$D)))</f>
        <v/>
      </c>
      <c r="O697" s="51" t="str" cm="1">
        <f t="array" ref="O697">IF($A697="","",IF(I697="","",_xlfn.XLOOKUP($D697&amp;"_"&amp;$AE697,符文权重!$A:$A&amp;"_"&amp;符文权重!$C:$C,符文权重!$D:$D)*$Y697/SUMIFS($Y:$Y,I:I,I697,$D:$D,$D697,$AE:$AE,$AE697)/SUMIF(符文权重!$A:$A,$D697,符文权重!$D:$D)))</f>
        <v/>
      </c>
      <c r="P697" s="51" cm="1">
        <f t="array" ref="P697">IF($A697="","",IF(J697="","",_xlfn.XLOOKUP($D697&amp;"_"&amp;$AE697,符文权重!$A:$A&amp;"_"&amp;符文权重!$C:$C,符文权重!$D:$D)*$Y697/SUMIFS($Y:$Y,J:J,J697,$D:$D,$D697,$AE:$AE,$AE697)/SUMIF(符文权重!$A:$A,$D697,符文权重!$D:$D)))</f>
        <v>0.0063125</v>
      </c>
      <c r="Q697" s="51" t="str" cm="1">
        <f t="array" ref="Q697">IF($A697="","",IF(K697="","",_xlfn.XLOOKUP($D697&amp;"_"&amp;$AE697,符文权重!$A:$A&amp;"_"&amp;符文权重!$C:$C,符文权重!$D:$D)*$Y697/SUMIFS($Y:$Y,K:K,K697,$D:$D,$D697,$AE:$AE,$AE697)/SUMIF(符文权重!$A:$A,$D697,符文权重!$D:$D)))</f>
        <v/>
      </c>
      <c r="R697" s="51" t="str" cm="1">
        <f t="array" ref="R697">IF($A697="","",IF(L697="","",_xlfn.XLOOKUP($D697&amp;"_"&amp;$AE697,符文权重!$A:$A&amp;"_"&amp;符文权重!$C:$C,符文权重!$D:$D)*$Y697/SUMIFS($Y:$Y,L:L,L697,$D:$D,$D697,$AE:$AE,$AE697)/SUMIF(符文权重!$A:$A,$D697,符文权重!$D:$D)))</f>
        <v/>
      </c>
      <c r="S697" s="35" t="s">
        <v>344</v>
      </c>
      <c r="T697" s="35" t="s">
        <v>878</v>
      </c>
      <c r="U697" s="35" t="s">
        <v>423</v>
      </c>
      <c r="V697" s="35" t="s">
        <v>881</v>
      </c>
      <c r="X697" s="35" t="s">
        <v>790</v>
      </c>
      <c r="Y697" s="35">
        <v>100</v>
      </c>
      <c r="AA697" s="35" t="s">
        <v>187</v>
      </c>
      <c r="AB697" s="42" t="str">
        <f t="shared" si="266"/>
        <v>被神灯王子复活的梦灵，免疫所有伤害&lt;color=#54b76b&gt;3&lt;/color&gt;秒（最多生效4次）</v>
      </c>
      <c r="AC697" s="35">
        <v>5301265</v>
      </c>
      <c r="AD697" s="35" t="s">
        <v>193</v>
      </c>
      <c r="AE697" s="35">
        <v>4</v>
      </c>
      <c r="AH697" s="35">
        <v>1</v>
      </c>
      <c r="AI697" s="36"/>
      <c r="AJ697" s="35" t="s">
        <v>882</v>
      </c>
      <c r="AK697" s="36"/>
      <c r="AL697" s="35">
        <v>4</v>
      </c>
    </row>
    <row r="698" s="25" customFormat="1" hidden="1" customHeight="1" spans="1:38">
      <c r="A698" s="35">
        <v>5510376</v>
      </c>
      <c r="B698" s="35" t="s">
        <v>877</v>
      </c>
      <c r="C698" s="35">
        <v>5301265</v>
      </c>
      <c r="D698" s="35">
        <v>6</v>
      </c>
      <c r="E698" s="35"/>
      <c r="F698" s="35" t="s">
        <v>404</v>
      </c>
      <c r="G698" s="36" t="str">
        <f t="shared" si="265"/>
        <v/>
      </c>
      <c r="H698" s="36" t="str">
        <f>IFERROR(IF(--MID($F698,2*COUNTIF($G698:G698,"&gt;"&amp;0)+2,1)=H$1,H$1,""),"")</f>
        <v/>
      </c>
      <c r="I698" s="36" t="str">
        <f>IFERROR(IF(--MID($F698,2*COUNTIF($G698:H698,"&gt;"&amp;0)+2,1)=I$1,I$1,""),"")</f>
        <v/>
      </c>
      <c r="J698" s="36">
        <f>IFERROR(IF(--MID($F698,2*COUNTIF($G698:I698,"&gt;"&amp;0)+2,1)=J$1,J$1,""),"")</f>
        <v>4</v>
      </c>
      <c r="K698" s="36" t="str">
        <f>IFERROR(IF(--MID($F698,2*COUNTIF($G698:J698,"&gt;"&amp;0)+2,1)=K$1,K$1,""),"")</f>
        <v/>
      </c>
      <c r="L698" s="36" t="str">
        <f>IFERROR(IF(--MID($F698,2*COUNTIF($G698:K698,"&gt;"&amp;0)+2,1)=L$1,L$1,""),"")</f>
        <v/>
      </c>
      <c r="M698" s="51" t="str" cm="1">
        <f t="array" ref="M698">IF($A698="","",IF(G698="","",_xlfn.XLOOKUP($D698&amp;"_"&amp;$AE698,符文权重!$A:$A&amp;"_"&amp;符文权重!$C:$C,符文权重!$D:$D)*$Y698/SUMIFS($Y:$Y,G:G,G698,$D:$D,$D698,$AE:$AE,$AE698)/SUMIF(符文权重!$A:$A,$D698,符文权重!$D:$D)))</f>
        <v/>
      </c>
      <c r="N698" s="51" t="str" cm="1">
        <f t="array" ref="N698">IF($A698="","",IF(H698="","",_xlfn.XLOOKUP($D698&amp;"_"&amp;$AE698,符文权重!$A:$A&amp;"_"&amp;符文权重!$C:$C,符文权重!$D:$D)*$Y698/SUMIFS($Y:$Y,H:H,H698,$D:$D,$D698,$AE:$AE,$AE698)/SUMIF(符文权重!$A:$A,$D698,符文权重!$D:$D)))</f>
        <v/>
      </c>
      <c r="O698" s="51" t="str" cm="1">
        <f t="array" ref="O698">IF($A698="","",IF(I698="","",_xlfn.XLOOKUP($D698&amp;"_"&amp;$AE698,符文权重!$A:$A&amp;"_"&amp;符文权重!$C:$C,符文权重!$D:$D)*$Y698/SUMIFS($Y:$Y,I:I,I698,$D:$D,$D698,$AE:$AE,$AE698)/SUMIF(符文权重!$A:$A,$D698,符文权重!$D:$D)))</f>
        <v/>
      </c>
      <c r="P698" s="51" cm="1">
        <f t="array" ref="P698">IF($A698="","",IF(J698="","",_xlfn.XLOOKUP($D698&amp;"_"&amp;$AE698,符文权重!$A:$A&amp;"_"&amp;符文权重!$C:$C,符文权重!$D:$D)*$Y698/SUMIFS($Y:$Y,J:J,J698,$D:$D,$D698,$AE:$AE,$AE698)/SUMIF(符文权重!$A:$A,$D698,符文权重!$D:$D)))</f>
        <v>0.0063125</v>
      </c>
      <c r="Q698" s="51" t="str" cm="1">
        <f t="array" ref="Q698">IF($A698="","",IF(K698="","",_xlfn.XLOOKUP($D698&amp;"_"&amp;$AE698,符文权重!$A:$A&amp;"_"&amp;符文权重!$C:$C,符文权重!$D:$D)*$Y698/SUMIFS($Y:$Y,K:K,K698,$D:$D,$D698,$AE:$AE,$AE698)/SUMIF(符文权重!$A:$A,$D698,符文权重!$D:$D)))</f>
        <v/>
      </c>
      <c r="R698" s="51" t="str" cm="1">
        <f t="array" ref="R698">IF($A698="","",IF(L698="","",_xlfn.XLOOKUP($D698&amp;"_"&amp;$AE698,符文权重!$A:$A&amp;"_"&amp;符文权重!$C:$C,符文权重!$D:$D)*$Y698/SUMIFS($Y:$Y,L:L,L698,$D:$D,$D698,$AE:$AE,$AE698)/SUMIF(符文权重!$A:$A,$D698,符文权重!$D:$D)))</f>
        <v/>
      </c>
      <c r="S698" s="35" t="s">
        <v>344</v>
      </c>
      <c r="T698" s="35" t="s">
        <v>878</v>
      </c>
      <c r="U698" s="35" t="s">
        <v>426</v>
      </c>
      <c r="V698" s="35" t="s">
        <v>883</v>
      </c>
      <c r="X698" s="35" t="s">
        <v>656</v>
      </c>
      <c r="Y698" s="35">
        <v>100</v>
      </c>
      <c r="AA698" s="35" t="s">
        <v>189</v>
      </c>
      <c r="AB698" s="42" t="str">
        <f t="shared" si="266"/>
        <v>被神灯王子复活的梦灵，免疫所有伤害&lt;color=#54b76b&gt;5&lt;/color&gt;秒（最多生效4次）</v>
      </c>
      <c r="AC698" s="35">
        <v>5301265</v>
      </c>
      <c r="AD698" s="35" t="s">
        <v>230</v>
      </c>
      <c r="AE698" s="35">
        <v>4</v>
      </c>
      <c r="AH698" s="35">
        <v>1</v>
      </c>
      <c r="AJ698" s="35" t="s">
        <v>884</v>
      </c>
      <c r="AL698" s="35">
        <v>4</v>
      </c>
    </row>
    <row r="699" s="25" customFormat="1" hidden="1" customHeight="1" spans="1:38">
      <c r="A699" s="35">
        <v>5510377</v>
      </c>
      <c r="B699" s="35" t="s">
        <v>877</v>
      </c>
      <c r="C699" s="35">
        <v>5301265</v>
      </c>
      <c r="D699" s="35">
        <v>7</v>
      </c>
      <c r="E699" s="35"/>
      <c r="F699" s="35" t="s">
        <v>404</v>
      </c>
      <c r="G699" s="36" t="str">
        <f t="shared" si="265"/>
        <v/>
      </c>
      <c r="H699" s="36" t="str">
        <f>IFERROR(IF(--MID($F699,2*COUNTIF($G699:G699,"&gt;"&amp;0)+2,1)=H$1,H$1,""),"")</f>
        <v/>
      </c>
      <c r="I699" s="36" t="str">
        <f>IFERROR(IF(--MID($F699,2*COUNTIF($G699:H699,"&gt;"&amp;0)+2,1)=I$1,I$1,""),"")</f>
        <v/>
      </c>
      <c r="J699" s="36">
        <f>IFERROR(IF(--MID($F699,2*COUNTIF($G699:I699,"&gt;"&amp;0)+2,1)=J$1,J$1,""),"")</f>
        <v>4</v>
      </c>
      <c r="K699" s="36" t="str">
        <f>IFERROR(IF(--MID($F699,2*COUNTIF($G699:J699,"&gt;"&amp;0)+2,1)=K$1,K$1,""),"")</f>
        <v/>
      </c>
      <c r="L699" s="36" t="str">
        <f>IFERROR(IF(--MID($F699,2*COUNTIF($G699:K699,"&gt;"&amp;0)+2,1)=L$1,L$1,""),"")</f>
        <v/>
      </c>
      <c r="M699" s="51" t="str" cm="1">
        <f t="array" ref="M699">IF($A699="","",IF(G699="","",_xlfn.XLOOKUP($D699&amp;"_"&amp;$AE699,符文权重!$A:$A&amp;"_"&amp;符文权重!$C:$C,符文权重!$D:$D)*$Y699/SUMIFS($Y:$Y,G:G,G699,$D:$D,$D699,$AE:$AE,$AE699)/SUMIF(符文权重!$A:$A,$D699,符文权重!$D:$D)))</f>
        <v/>
      </c>
      <c r="N699" s="51" t="str" cm="1">
        <f t="array" ref="N699">IF($A699="","",IF(H699="","",_xlfn.XLOOKUP($D699&amp;"_"&amp;$AE699,符文权重!$A:$A&amp;"_"&amp;符文权重!$C:$C,符文权重!$D:$D)*$Y699/SUMIFS($Y:$Y,H:H,H699,$D:$D,$D699,$AE:$AE,$AE699)/SUMIF(符文权重!$A:$A,$D699,符文权重!$D:$D)))</f>
        <v/>
      </c>
      <c r="O699" s="51" t="str" cm="1">
        <f t="array" ref="O699">IF($A699="","",IF(I699="","",_xlfn.XLOOKUP($D699&amp;"_"&amp;$AE699,符文权重!$A:$A&amp;"_"&amp;符文权重!$C:$C,符文权重!$D:$D)*$Y699/SUMIFS($Y:$Y,I:I,I699,$D:$D,$D699,$AE:$AE,$AE699)/SUMIF(符文权重!$A:$A,$D699,符文权重!$D:$D)))</f>
        <v/>
      </c>
      <c r="P699" s="51" cm="1">
        <f t="array" ref="P699">IF($A699="","",IF(J699="","",_xlfn.XLOOKUP($D699&amp;"_"&amp;$AE699,符文权重!$A:$A&amp;"_"&amp;符文权重!$C:$C,符文权重!$D:$D)*$Y699/SUMIFS($Y:$Y,J:J,J699,$D:$D,$D699,$AE:$AE,$AE699)/SUMIF(符文权重!$A:$A,$D699,符文权重!$D:$D)))</f>
        <v>0.0063125</v>
      </c>
      <c r="Q699" s="51" t="str" cm="1">
        <f t="array" ref="Q699">IF($A699="","",IF(K699="","",_xlfn.XLOOKUP($D699&amp;"_"&amp;$AE699,符文权重!$A:$A&amp;"_"&amp;符文权重!$C:$C,符文权重!$D:$D)*$Y699/SUMIFS($Y:$Y,K:K,K699,$D:$D,$D699,$AE:$AE,$AE699)/SUMIF(符文权重!$A:$A,$D699,符文权重!$D:$D)))</f>
        <v/>
      </c>
      <c r="R699" s="51" t="str" cm="1">
        <f t="array" ref="R699">IF($A699="","",IF(L699="","",_xlfn.XLOOKUP($D699&amp;"_"&amp;$AE699,符文权重!$A:$A&amp;"_"&amp;符文权重!$C:$C,符文权重!$D:$D)*$Y699/SUMIFS($Y:$Y,L:L,L699,$D:$D,$D699,$AE:$AE,$AE699)/SUMIF(符文权重!$A:$A,$D699,符文权重!$D:$D)))</f>
        <v/>
      </c>
      <c r="S699" s="35" t="s">
        <v>344</v>
      </c>
      <c r="T699" s="35" t="s">
        <v>878</v>
      </c>
      <c r="U699" s="35" t="s">
        <v>429</v>
      </c>
      <c r="V699" s="35" t="s">
        <v>885</v>
      </c>
      <c r="X699" s="35" t="s">
        <v>795</v>
      </c>
      <c r="Y699" s="35">
        <v>100</v>
      </c>
      <c r="AA699" s="35" t="s">
        <v>191</v>
      </c>
      <c r="AB699" s="42" t="str">
        <f t="shared" si="266"/>
        <v>被神灯王子复活的梦灵，免疫所有伤害&lt;color=#54b76b&gt;7&lt;/color&gt;秒（最多生效4次）</v>
      </c>
      <c r="AC699" s="35">
        <v>5301265</v>
      </c>
      <c r="AD699" s="35" t="s">
        <v>239</v>
      </c>
      <c r="AE699" s="35">
        <v>4</v>
      </c>
      <c r="AH699" s="35">
        <v>1</v>
      </c>
      <c r="AI699" s="36"/>
      <c r="AJ699" s="35" t="s">
        <v>886</v>
      </c>
      <c r="AK699" s="36"/>
      <c r="AL699" s="35">
        <v>4</v>
      </c>
    </row>
    <row r="700" s="25" customFormat="1" hidden="1" customHeight="1" spans="1:38">
      <c r="A700" s="35">
        <v>5510384</v>
      </c>
      <c r="B700" s="55" t="s">
        <v>877</v>
      </c>
      <c r="C700" s="35">
        <v>5301266</v>
      </c>
      <c r="D700" s="36">
        <v>4</v>
      </c>
      <c r="E700" s="36"/>
      <c r="F700" s="35" t="s">
        <v>230</v>
      </c>
      <c r="G700" s="36" t="str">
        <f t="shared" si="265"/>
        <v/>
      </c>
      <c r="H700" s="36" t="str">
        <f>IFERROR(IF(--MID($F700,2*COUNTIF($G700:G700,"&gt;"&amp;0)+2,1)=H$1,H$1,""),"")</f>
        <v/>
      </c>
      <c r="I700" s="36" t="str">
        <f>IFERROR(IF(--MID($F700,2*COUNTIF($G700:H700,"&gt;"&amp;0)+2,1)=I$1,I$1,""),"")</f>
        <v/>
      </c>
      <c r="J700" s="36" t="str">
        <f>IFERROR(IF(--MID($F700,2*COUNTIF($G700:I700,"&gt;"&amp;0)+2,1)=J$1,J$1,""),"")</f>
        <v/>
      </c>
      <c r="K700" s="36">
        <f>IFERROR(IF(--MID($F700,2*COUNTIF($G700:J700,"&gt;"&amp;0)+2,1)=K$1,K$1,""),"")</f>
        <v>5</v>
      </c>
      <c r="L700" s="36" t="str">
        <f>IFERROR(IF(--MID($F700,2*COUNTIF($G700:K700,"&gt;"&amp;0)+2,1)=L$1,L$1,""),"")</f>
        <v/>
      </c>
      <c r="M700" s="51" t="str" cm="1">
        <f t="array" ref="M700">IF($A700="","",IF(G700="","",_xlfn.XLOOKUP($D700&amp;"_"&amp;$AE700,符文权重!$A:$A&amp;"_"&amp;符文权重!$C:$C,符文权重!$D:$D)*$Y700/SUMIFS($Y:$Y,G:G,G700,$D:$D,$D700,$AE:$AE,$AE700)/SUMIF(符文权重!$A:$A,$D700,符文权重!$D:$D)))</f>
        <v/>
      </c>
      <c r="N700" s="51" t="str" cm="1">
        <f t="array" ref="N700">IF($A700="","",IF(H700="","",_xlfn.XLOOKUP($D700&amp;"_"&amp;$AE700,符文权重!$A:$A&amp;"_"&amp;符文权重!$C:$C,符文权重!$D:$D)*$Y700/SUMIFS($Y:$Y,H:H,H700,$D:$D,$D700,$AE:$AE,$AE700)/SUMIF(符文权重!$A:$A,$D700,符文权重!$D:$D)))</f>
        <v/>
      </c>
      <c r="O700" s="51" t="str" cm="1">
        <f t="array" ref="O700">IF($A700="","",IF(I700="","",_xlfn.XLOOKUP($D700&amp;"_"&amp;$AE700,符文权重!$A:$A&amp;"_"&amp;符文权重!$C:$C,符文权重!$D:$D)*$Y700/SUMIFS($Y:$Y,I:I,I700,$D:$D,$D700,$AE:$AE,$AE700)/SUMIF(符文权重!$A:$A,$D700,符文权重!$D:$D)))</f>
        <v/>
      </c>
      <c r="P700" s="51" t="str" cm="1">
        <f t="array" ref="P700">IF($A700="","",IF(J700="","",_xlfn.XLOOKUP($D700&amp;"_"&amp;$AE700,符文权重!$A:$A&amp;"_"&amp;符文权重!$C:$C,符文权重!$D:$D)*$Y700/SUMIFS($Y:$Y,J:J,J700,$D:$D,$D700,$AE:$AE,$AE700)/SUMIF(符文权重!$A:$A,$D700,符文权重!$D:$D)))</f>
        <v/>
      </c>
      <c r="Q700" s="51" cm="1">
        <f t="array" ref="Q700">IF($A700="","",IF(K700="","",_xlfn.XLOOKUP($D700&amp;"_"&amp;$AE700,符文权重!$A:$A&amp;"_"&amp;符文权重!$C:$C,符文权重!$D:$D)*$Y700/SUMIFS($Y:$Y,K:K,K700,$D:$D,$D700,$AE:$AE,$AE700)/SUMIF(符文权重!$A:$A,$D700,符文权重!$D:$D)))</f>
        <v>0.00262762762762763</v>
      </c>
      <c r="R700" s="51" t="str" cm="1">
        <f t="array" ref="R700">IF($A700="","",IF(L700="","",_xlfn.XLOOKUP($D700&amp;"_"&amp;$AE700,符文权重!$A:$A&amp;"_"&amp;符文权重!$C:$C,符文权重!$D:$D)*$Y700/SUMIFS($Y:$Y,L:L,L700,$D:$D,$D700,$AE:$AE,$AE700)/SUMIF(符文权重!$A:$A,$D700,符文权重!$D:$D)))</f>
        <v/>
      </c>
      <c r="S700" s="36" t="s">
        <v>344</v>
      </c>
      <c r="T700" s="36" t="s">
        <v>878</v>
      </c>
      <c r="U700" s="36" t="s">
        <v>420</v>
      </c>
      <c r="V700" s="25" t="s">
        <v>887</v>
      </c>
      <c r="W700" s="36"/>
      <c r="X700" s="35" t="s">
        <v>595</v>
      </c>
      <c r="Y700" s="35">
        <v>100</v>
      </c>
      <c r="Z700" s="35"/>
      <c r="AA700" s="36" t="s">
        <v>185</v>
      </c>
      <c r="AB700" s="42" t="str">
        <f t="shared" si="266"/>
        <v>神灯王子【愿能】提供的充能加速效果&lt;color=#54b76b&gt;+15%&lt;/color&gt;</v>
      </c>
      <c r="AC700" s="35">
        <v>5301266</v>
      </c>
      <c r="AD700" s="36" t="s">
        <v>425</v>
      </c>
      <c r="AE700" s="36">
        <v>8</v>
      </c>
      <c r="AF700" s="36"/>
      <c r="AG700" s="36"/>
      <c r="AH700" s="36">
        <v>1</v>
      </c>
      <c r="AI700" s="36"/>
      <c r="AJ700" s="36" t="s">
        <v>888</v>
      </c>
      <c r="AK700" s="36"/>
      <c r="AL700" s="35">
        <v>4</v>
      </c>
    </row>
    <row r="701" s="25" customFormat="1" hidden="1" customHeight="1" spans="1:38">
      <c r="A701" s="35">
        <v>5510385</v>
      </c>
      <c r="B701" s="35" t="s">
        <v>877</v>
      </c>
      <c r="C701" s="35">
        <v>5301266</v>
      </c>
      <c r="D701" s="35">
        <v>5</v>
      </c>
      <c r="E701" s="35"/>
      <c r="F701" s="35" t="s">
        <v>230</v>
      </c>
      <c r="G701" s="36" t="str">
        <f t="shared" si="265"/>
        <v/>
      </c>
      <c r="H701" s="36" t="str">
        <f>IFERROR(IF(--MID($F701,2*COUNTIF($G701:G701,"&gt;"&amp;0)+2,1)=H$1,H$1,""),"")</f>
        <v/>
      </c>
      <c r="I701" s="36" t="str">
        <f>IFERROR(IF(--MID($F701,2*COUNTIF($G701:H701,"&gt;"&amp;0)+2,1)=I$1,I$1,""),"")</f>
        <v/>
      </c>
      <c r="J701" s="36" t="str">
        <f>IFERROR(IF(--MID($F701,2*COUNTIF($G701:I701,"&gt;"&amp;0)+2,1)=J$1,J$1,""),"")</f>
        <v/>
      </c>
      <c r="K701" s="36">
        <f>IFERROR(IF(--MID($F701,2*COUNTIF($G701:J701,"&gt;"&amp;0)+2,1)=K$1,K$1,""),"")</f>
        <v>5</v>
      </c>
      <c r="L701" s="36" t="str">
        <f>IFERROR(IF(--MID($F701,2*COUNTIF($G701:K701,"&gt;"&amp;0)+2,1)=L$1,L$1,""),"")</f>
        <v/>
      </c>
      <c r="M701" s="51" t="str" cm="1">
        <f t="array" ref="M701">IF($A701="","",IF(G701="","",_xlfn.XLOOKUP($D701&amp;"_"&amp;$AE701,符文权重!$A:$A&amp;"_"&amp;符文权重!$C:$C,符文权重!$D:$D)*$Y701/SUMIFS($Y:$Y,G:G,G701,$D:$D,$D701,$AE:$AE,$AE701)/SUMIF(符文权重!$A:$A,$D701,符文权重!$D:$D)))</f>
        <v/>
      </c>
      <c r="N701" s="51" t="str" cm="1">
        <f t="array" ref="N701">IF($A701="","",IF(H701="","",_xlfn.XLOOKUP($D701&amp;"_"&amp;$AE701,符文权重!$A:$A&amp;"_"&amp;符文权重!$C:$C,符文权重!$D:$D)*$Y701/SUMIFS($Y:$Y,H:H,H701,$D:$D,$D701,$AE:$AE,$AE701)/SUMIF(符文权重!$A:$A,$D701,符文权重!$D:$D)))</f>
        <v/>
      </c>
      <c r="O701" s="51" t="str" cm="1">
        <f t="array" ref="O701">IF($A701="","",IF(I701="","",_xlfn.XLOOKUP($D701&amp;"_"&amp;$AE701,符文权重!$A:$A&amp;"_"&amp;符文权重!$C:$C,符文权重!$D:$D)*$Y701/SUMIFS($Y:$Y,I:I,I701,$D:$D,$D701,$AE:$AE,$AE701)/SUMIF(符文权重!$A:$A,$D701,符文权重!$D:$D)))</f>
        <v/>
      </c>
      <c r="P701" s="51" t="str" cm="1">
        <f t="array" ref="P701">IF($A701="","",IF(J701="","",_xlfn.XLOOKUP($D701&amp;"_"&amp;$AE701,符文权重!$A:$A&amp;"_"&amp;符文权重!$C:$C,符文权重!$D:$D)*$Y701/SUMIFS($Y:$Y,J:J,J701,$D:$D,$D701,$AE:$AE,$AE701)/SUMIF(符文权重!$A:$A,$D701,符文权重!$D:$D)))</f>
        <v/>
      </c>
      <c r="Q701" s="51" cm="1">
        <f t="array" ref="Q701">IF($A701="","",IF(K701="","",_xlfn.XLOOKUP($D701&amp;"_"&amp;$AE701,符文权重!$A:$A&amp;"_"&amp;符文权重!$C:$C,符文权重!$D:$D)*$Y701/SUMIFS($Y:$Y,K:K,K701,$D:$D,$D701,$AE:$AE,$AE701)/SUMIF(符文权重!$A:$A,$D701,符文权重!$D:$D)))</f>
        <v>0.00721428571428571</v>
      </c>
      <c r="R701" s="51" t="str" cm="1">
        <f t="array" ref="R701">IF($A701="","",IF(L701="","",_xlfn.XLOOKUP($D701&amp;"_"&amp;$AE701,符文权重!$A:$A&amp;"_"&amp;符文权重!$C:$C,符文权重!$D:$D)*$Y701/SUMIFS($Y:$Y,L:L,L701,$D:$D,$D701,$AE:$AE,$AE701)/SUMIF(符文权重!$A:$A,$D701,符文权重!$D:$D)))</f>
        <v/>
      </c>
      <c r="S701" s="35" t="s">
        <v>344</v>
      </c>
      <c r="T701" s="35" t="s">
        <v>878</v>
      </c>
      <c r="U701" s="35" t="s">
        <v>423</v>
      </c>
      <c r="V701" s="35" t="s">
        <v>889</v>
      </c>
      <c r="X701" s="35" t="s">
        <v>790</v>
      </c>
      <c r="Y701" s="35">
        <v>100</v>
      </c>
      <c r="AA701" s="35" t="s">
        <v>187</v>
      </c>
      <c r="AB701" s="42" t="str">
        <f t="shared" si="266"/>
        <v>神灯王子【愿能】提供的充能加速效果&lt;color=#54b76b&gt;+30%&lt;/color&gt;</v>
      </c>
      <c r="AC701" s="35">
        <v>5301266</v>
      </c>
      <c r="AD701" s="35" t="s">
        <v>487</v>
      </c>
      <c r="AE701" s="35">
        <v>4</v>
      </c>
      <c r="AH701" s="35">
        <v>1</v>
      </c>
      <c r="AI701" s="36"/>
      <c r="AJ701" s="35" t="s">
        <v>890</v>
      </c>
      <c r="AK701" s="36"/>
      <c r="AL701" s="35">
        <v>4</v>
      </c>
    </row>
    <row r="702" s="25" customFormat="1" hidden="1" customHeight="1" spans="1:38">
      <c r="A702" s="35">
        <v>5510386</v>
      </c>
      <c r="B702" s="35" t="s">
        <v>877</v>
      </c>
      <c r="C702" s="35">
        <v>5301266</v>
      </c>
      <c r="D702" s="35">
        <v>6</v>
      </c>
      <c r="E702" s="35"/>
      <c r="F702" s="35" t="s">
        <v>230</v>
      </c>
      <c r="G702" s="36" t="str">
        <f t="shared" si="265"/>
        <v/>
      </c>
      <c r="H702" s="36" t="str">
        <f>IFERROR(IF(--MID($F702,2*COUNTIF($G702:G702,"&gt;"&amp;0)+2,1)=H$1,H$1,""),"")</f>
        <v/>
      </c>
      <c r="I702" s="36" t="str">
        <f>IFERROR(IF(--MID($F702,2*COUNTIF($G702:H702,"&gt;"&amp;0)+2,1)=I$1,I$1,""),"")</f>
        <v/>
      </c>
      <c r="J702" s="36" t="str">
        <f>IFERROR(IF(--MID($F702,2*COUNTIF($G702:I702,"&gt;"&amp;0)+2,1)=J$1,J$1,""),"")</f>
        <v/>
      </c>
      <c r="K702" s="36">
        <f>IFERROR(IF(--MID($F702,2*COUNTIF($G702:J702,"&gt;"&amp;0)+2,1)=K$1,K$1,""),"")</f>
        <v>5</v>
      </c>
      <c r="L702" s="36" t="str">
        <f>IFERROR(IF(--MID($F702,2*COUNTIF($G702:K702,"&gt;"&amp;0)+2,1)=L$1,L$1,""),"")</f>
        <v/>
      </c>
      <c r="M702" s="51" t="str" cm="1">
        <f t="array" ref="M702">IF($A702="","",IF(G702="","",_xlfn.XLOOKUP($D702&amp;"_"&amp;$AE702,符文权重!$A:$A&amp;"_"&amp;符文权重!$C:$C,符文权重!$D:$D)*$Y702/SUMIFS($Y:$Y,G:G,G702,$D:$D,$D702,$AE:$AE,$AE702)/SUMIF(符文权重!$A:$A,$D702,符文权重!$D:$D)))</f>
        <v/>
      </c>
      <c r="N702" s="51" t="str" cm="1">
        <f t="array" ref="N702">IF($A702="","",IF(H702="","",_xlfn.XLOOKUP($D702&amp;"_"&amp;$AE702,符文权重!$A:$A&amp;"_"&amp;符文权重!$C:$C,符文权重!$D:$D)*$Y702/SUMIFS($Y:$Y,H:H,H702,$D:$D,$D702,$AE:$AE,$AE702)/SUMIF(符文权重!$A:$A,$D702,符文权重!$D:$D)))</f>
        <v/>
      </c>
      <c r="O702" s="51" t="str" cm="1">
        <f t="array" ref="O702">IF($A702="","",IF(I702="","",_xlfn.XLOOKUP($D702&amp;"_"&amp;$AE702,符文权重!$A:$A&amp;"_"&amp;符文权重!$C:$C,符文权重!$D:$D)*$Y702/SUMIFS($Y:$Y,I:I,I702,$D:$D,$D702,$AE:$AE,$AE702)/SUMIF(符文权重!$A:$A,$D702,符文权重!$D:$D)))</f>
        <v/>
      </c>
      <c r="P702" s="51" t="str" cm="1">
        <f t="array" ref="P702">IF($A702="","",IF(J702="","",_xlfn.XLOOKUP($D702&amp;"_"&amp;$AE702,符文权重!$A:$A&amp;"_"&amp;符文权重!$C:$C,符文权重!$D:$D)*$Y702/SUMIFS($Y:$Y,J:J,J702,$D:$D,$D702,$AE:$AE,$AE702)/SUMIF(符文权重!$A:$A,$D702,符文权重!$D:$D)))</f>
        <v/>
      </c>
      <c r="Q702" s="51" cm="1">
        <f t="array" ref="Q702">IF($A702="","",IF(K702="","",_xlfn.XLOOKUP($D702&amp;"_"&amp;$AE702,符文权重!$A:$A&amp;"_"&amp;符文权重!$C:$C,符文权重!$D:$D)*$Y702/SUMIFS($Y:$Y,K:K,K702,$D:$D,$D702,$AE:$AE,$AE702)/SUMIF(符文权重!$A:$A,$D702,符文权重!$D:$D)))</f>
        <v>0.00721428571428571</v>
      </c>
      <c r="R702" s="51" t="str" cm="1">
        <f t="array" ref="R702">IF($A702="","",IF(L702="","",_xlfn.XLOOKUP($D702&amp;"_"&amp;$AE702,符文权重!$A:$A&amp;"_"&amp;符文权重!$C:$C,符文权重!$D:$D)*$Y702/SUMIFS($Y:$Y,L:L,L702,$D:$D,$D702,$AE:$AE,$AE702)/SUMIF(符文权重!$A:$A,$D702,符文权重!$D:$D)))</f>
        <v/>
      </c>
      <c r="S702" s="35" t="s">
        <v>344</v>
      </c>
      <c r="T702" s="35" t="s">
        <v>878</v>
      </c>
      <c r="U702" s="35" t="s">
        <v>426</v>
      </c>
      <c r="V702" s="35" t="s">
        <v>891</v>
      </c>
      <c r="X702" s="35" t="s">
        <v>656</v>
      </c>
      <c r="Y702" s="35">
        <v>100</v>
      </c>
      <c r="AA702" s="35" t="s">
        <v>189</v>
      </c>
      <c r="AB702" s="42" t="str">
        <f t="shared" si="266"/>
        <v>神灯王子【愿能】提供的充能加速效果&lt;color=#54b76b&gt;+45%&lt;/color&gt;</v>
      </c>
      <c r="AC702" s="35">
        <v>5301266</v>
      </c>
      <c r="AD702" s="35" t="s">
        <v>474</v>
      </c>
      <c r="AE702" s="35">
        <v>4</v>
      </c>
      <c r="AH702" s="35">
        <v>1</v>
      </c>
      <c r="AI702" s="36"/>
      <c r="AJ702" s="35" t="s">
        <v>892</v>
      </c>
      <c r="AK702" s="36"/>
      <c r="AL702" s="35">
        <v>4</v>
      </c>
    </row>
    <row r="703" s="25" customFormat="1" hidden="1" customHeight="1" spans="1:38">
      <c r="A703" s="35">
        <v>5510387</v>
      </c>
      <c r="B703" s="35" t="s">
        <v>877</v>
      </c>
      <c r="C703" s="35">
        <v>5301266</v>
      </c>
      <c r="D703" s="35">
        <v>7</v>
      </c>
      <c r="E703" s="35"/>
      <c r="F703" s="35" t="s">
        <v>230</v>
      </c>
      <c r="G703" s="36" t="str">
        <f t="shared" si="265"/>
        <v/>
      </c>
      <c r="H703" s="36" t="str">
        <f>IFERROR(IF(--MID($F703,2*COUNTIF($G703:G703,"&gt;"&amp;0)+2,1)=H$1,H$1,""),"")</f>
        <v/>
      </c>
      <c r="I703" s="36" t="str">
        <f>IFERROR(IF(--MID($F703,2*COUNTIF($G703:H703,"&gt;"&amp;0)+2,1)=I$1,I$1,""),"")</f>
        <v/>
      </c>
      <c r="J703" s="36" t="str">
        <f>IFERROR(IF(--MID($F703,2*COUNTIF($G703:I703,"&gt;"&amp;0)+2,1)=J$1,J$1,""),"")</f>
        <v/>
      </c>
      <c r="K703" s="36">
        <f>IFERROR(IF(--MID($F703,2*COUNTIF($G703:J703,"&gt;"&amp;0)+2,1)=K$1,K$1,""),"")</f>
        <v>5</v>
      </c>
      <c r="L703" s="36" t="str">
        <f>IFERROR(IF(--MID($F703,2*COUNTIF($G703:K703,"&gt;"&amp;0)+2,1)=L$1,L$1,""),"")</f>
        <v/>
      </c>
      <c r="M703" s="51" t="str" cm="1">
        <f t="array" ref="M703">IF($A703="","",IF(G703="","",_xlfn.XLOOKUP($D703&amp;"_"&amp;$AE703,符文权重!$A:$A&amp;"_"&amp;符文权重!$C:$C,符文权重!$D:$D)*$Y703/SUMIFS($Y:$Y,G:G,G703,$D:$D,$D703,$AE:$AE,$AE703)/SUMIF(符文权重!$A:$A,$D703,符文权重!$D:$D)))</f>
        <v/>
      </c>
      <c r="N703" s="51" t="str" cm="1">
        <f t="array" ref="N703">IF($A703="","",IF(H703="","",_xlfn.XLOOKUP($D703&amp;"_"&amp;$AE703,符文权重!$A:$A&amp;"_"&amp;符文权重!$C:$C,符文权重!$D:$D)*$Y703/SUMIFS($Y:$Y,H:H,H703,$D:$D,$D703,$AE:$AE,$AE703)/SUMIF(符文权重!$A:$A,$D703,符文权重!$D:$D)))</f>
        <v/>
      </c>
      <c r="O703" s="51" t="str" cm="1">
        <f t="array" ref="O703">IF($A703="","",IF(I703="","",_xlfn.XLOOKUP($D703&amp;"_"&amp;$AE703,符文权重!$A:$A&amp;"_"&amp;符文权重!$C:$C,符文权重!$D:$D)*$Y703/SUMIFS($Y:$Y,I:I,I703,$D:$D,$D703,$AE:$AE,$AE703)/SUMIF(符文权重!$A:$A,$D703,符文权重!$D:$D)))</f>
        <v/>
      </c>
      <c r="P703" s="51" t="str" cm="1">
        <f t="array" ref="P703">IF($A703="","",IF(J703="","",_xlfn.XLOOKUP($D703&amp;"_"&amp;$AE703,符文权重!$A:$A&amp;"_"&amp;符文权重!$C:$C,符文权重!$D:$D)*$Y703/SUMIFS($Y:$Y,J:J,J703,$D:$D,$D703,$AE:$AE,$AE703)/SUMIF(符文权重!$A:$A,$D703,符文权重!$D:$D)))</f>
        <v/>
      </c>
      <c r="Q703" s="51" cm="1">
        <f t="array" ref="Q703">IF($A703="","",IF(K703="","",_xlfn.XLOOKUP($D703&amp;"_"&amp;$AE703,符文权重!$A:$A&amp;"_"&amp;符文权重!$C:$C,符文权重!$D:$D)*$Y703/SUMIFS($Y:$Y,K:K,K703,$D:$D,$D703,$AE:$AE,$AE703)/SUMIF(符文权重!$A:$A,$D703,符文权重!$D:$D)))</f>
        <v>0.00721428571428571</v>
      </c>
      <c r="R703" s="51" t="str" cm="1">
        <f t="array" ref="R703">IF($A703="","",IF(L703="","",_xlfn.XLOOKUP($D703&amp;"_"&amp;$AE703,符文权重!$A:$A&amp;"_"&amp;符文权重!$C:$C,符文权重!$D:$D)*$Y703/SUMIFS($Y:$Y,L:L,L703,$D:$D,$D703,$AE:$AE,$AE703)/SUMIF(符文权重!$A:$A,$D703,符文权重!$D:$D)))</f>
        <v/>
      </c>
      <c r="S703" s="35" t="s">
        <v>344</v>
      </c>
      <c r="T703" s="35" t="s">
        <v>878</v>
      </c>
      <c r="U703" s="35" t="s">
        <v>429</v>
      </c>
      <c r="V703" s="35" t="s">
        <v>893</v>
      </c>
      <c r="X703" s="35" t="s">
        <v>795</v>
      </c>
      <c r="Y703" s="35">
        <v>100</v>
      </c>
      <c r="AA703" s="35" t="s">
        <v>191</v>
      </c>
      <c r="AB703" s="42" t="str">
        <f t="shared" si="266"/>
        <v>神灯王子【愿能】提供的充能加速效果&lt;color=#54b76b&gt;+60%&lt;/color&gt;</v>
      </c>
      <c r="AC703" s="35">
        <v>5301266</v>
      </c>
      <c r="AD703" s="35" t="s">
        <v>476</v>
      </c>
      <c r="AE703" s="35">
        <v>4</v>
      </c>
      <c r="AH703" s="35">
        <v>1</v>
      </c>
      <c r="AJ703" s="35" t="s">
        <v>894</v>
      </c>
      <c r="AL703" s="35">
        <v>4</v>
      </c>
    </row>
    <row r="704" s="25" customFormat="1" hidden="1" customHeight="1" spans="1:38">
      <c r="A704" s="35">
        <v>5510394</v>
      </c>
      <c r="B704" s="55" t="s">
        <v>877</v>
      </c>
      <c r="C704" s="35">
        <v>5301267</v>
      </c>
      <c r="D704" s="36">
        <v>4</v>
      </c>
      <c r="E704" s="36"/>
      <c r="F704" s="35" t="s">
        <v>220</v>
      </c>
      <c r="G704" s="36" t="str">
        <f t="shared" si="265"/>
        <v/>
      </c>
      <c r="H704" s="36" t="str">
        <f>IFERROR(IF(--MID($F704,2*COUNTIF($G704:G704,"&gt;"&amp;0)+2,1)=H$1,H$1,""),"")</f>
        <v/>
      </c>
      <c r="I704" s="36" t="str">
        <f>IFERROR(IF(--MID($F704,2*COUNTIF($G704:H704,"&gt;"&amp;0)+2,1)=I$1,I$1,""),"")</f>
        <v/>
      </c>
      <c r="J704" s="36" t="str">
        <f>IFERROR(IF(--MID($F704,2*COUNTIF($G704:I704,"&gt;"&amp;0)+2,1)=J$1,J$1,""),"")</f>
        <v/>
      </c>
      <c r="K704" s="36" t="str">
        <f>IFERROR(IF(--MID($F704,2*COUNTIF($G704:J704,"&gt;"&amp;0)+2,1)=K$1,K$1,""),"")</f>
        <v/>
      </c>
      <c r="L704" s="36">
        <f>IFERROR(IF(--MID($F704,2*COUNTIF($G704:K704,"&gt;"&amp;0)+2,1)=L$1,L$1,""),"")</f>
        <v>6</v>
      </c>
      <c r="M704" s="51" t="str" cm="1">
        <f t="array" ref="M704">IF($A704="","",IF(G704="","",_xlfn.XLOOKUP($D704&amp;"_"&amp;$AE704,符文权重!$A:$A&amp;"_"&amp;符文权重!$C:$C,符文权重!$D:$D)*$Y704/SUMIFS($Y:$Y,G:G,G704,$D:$D,$D704,$AE:$AE,$AE704)/SUMIF(符文权重!$A:$A,$D704,符文权重!$D:$D)))</f>
        <v/>
      </c>
      <c r="N704" s="51" t="str" cm="1">
        <f t="array" ref="N704">IF($A704="","",IF(H704="","",_xlfn.XLOOKUP($D704&amp;"_"&amp;$AE704,符文权重!$A:$A&amp;"_"&amp;符文权重!$C:$C,符文权重!$D:$D)*$Y704/SUMIFS($Y:$Y,H:H,H704,$D:$D,$D704,$AE:$AE,$AE704)/SUMIF(符文权重!$A:$A,$D704,符文权重!$D:$D)))</f>
        <v/>
      </c>
      <c r="O704" s="51" t="str" cm="1">
        <f t="array" ref="O704">IF($A704="","",IF(I704="","",_xlfn.XLOOKUP($D704&amp;"_"&amp;$AE704,符文权重!$A:$A&amp;"_"&amp;符文权重!$C:$C,符文权重!$D:$D)*$Y704/SUMIFS($Y:$Y,I:I,I704,$D:$D,$D704,$AE:$AE,$AE704)/SUMIF(符文权重!$A:$A,$D704,符文权重!$D:$D)))</f>
        <v/>
      </c>
      <c r="P704" s="51" t="str" cm="1">
        <f t="array" ref="P704">IF($A704="","",IF(J704="","",_xlfn.XLOOKUP($D704&amp;"_"&amp;$AE704,符文权重!$A:$A&amp;"_"&amp;符文权重!$C:$C,符文权重!$D:$D)*$Y704/SUMIFS($Y:$Y,J:J,J704,$D:$D,$D704,$AE:$AE,$AE704)/SUMIF(符文权重!$A:$A,$D704,符文权重!$D:$D)))</f>
        <v/>
      </c>
      <c r="Q704" s="51" t="str" cm="1">
        <f t="array" ref="Q704">IF($A704="","",IF(K704="","",_xlfn.XLOOKUP($D704&amp;"_"&amp;$AE704,符文权重!$A:$A&amp;"_"&amp;符文权重!$C:$C,符文权重!$D:$D)*$Y704/SUMIFS($Y:$Y,K:K,K704,$D:$D,$D704,$AE:$AE,$AE704)/SUMIF(符文权重!$A:$A,$D704,符文权重!$D:$D)))</f>
        <v/>
      </c>
      <c r="R704" s="51" cm="1">
        <f t="array" ref="R704">IF($A704="","",IF(L704="","",_xlfn.XLOOKUP($D704&amp;"_"&amp;$AE704,符文权重!$A:$A&amp;"_"&amp;符文权重!$C:$C,符文权重!$D:$D)*$Y704/SUMIFS($Y:$Y,L:L,L704,$D:$D,$D704,$AE:$AE,$AE704)/SUMIF(符文权重!$A:$A,$D704,符文权重!$D:$D)))</f>
        <v>0.00262762762762763</v>
      </c>
      <c r="S704" s="36" t="s">
        <v>344</v>
      </c>
      <c r="T704" s="36" t="s">
        <v>878</v>
      </c>
      <c r="U704" s="36" t="s">
        <v>420</v>
      </c>
      <c r="V704" s="25" t="s">
        <v>895</v>
      </c>
      <c r="W704" s="36"/>
      <c r="X704" s="35" t="s">
        <v>595</v>
      </c>
      <c r="Y704" s="35">
        <v>100</v>
      </c>
      <c r="Z704" s="35"/>
      <c r="AA704" s="36" t="s">
        <v>185</v>
      </c>
      <c r="AB704" s="42" t="str">
        <f t="shared" si="266"/>
        <v>神灯王子攻击有&lt;color=#54b76b&gt;10%&lt;/color&gt;概率使全体梦灵获得：下次充能加速&lt;color=#54b76b&gt;+50%&lt;/color&gt;</v>
      </c>
      <c r="AC704" s="35">
        <v>53012671</v>
      </c>
      <c r="AD704" s="36" t="s">
        <v>596</v>
      </c>
      <c r="AE704" s="36">
        <v>8</v>
      </c>
      <c r="AF704" s="36"/>
      <c r="AG704" s="36"/>
      <c r="AH704" s="36">
        <v>1</v>
      </c>
      <c r="AI704" s="36"/>
      <c r="AJ704" s="36" t="s">
        <v>896</v>
      </c>
      <c r="AK704" s="36"/>
      <c r="AL704" s="35">
        <v>4</v>
      </c>
    </row>
    <row r="705" s="25" customFormat="1" hidden="1" customHeight="1" spans="1:38">
      <c r="A705" s="35">
        <v>5510395</v>
      </c>
      <c r="B705" s="35" t="s">
        <v>877</v>
      </c>
      <c r="C705" s="35">
        <v>5301267</v>
      </c>
      <c r="D705" s="35">
        <v>5</v>
      </c>
      <c r="E705" s="35"/>
      <c r="F705" s="35" t="s">
        <v>220</v>
      </c>
      <c r="G705" s="36" t="str">
        <f t="shared" si="265"/>
        <v/>
      </c>
      <c r="H705" s="36" t="str">
        <f>IFERROR(IF(--MID($F705,2*COUNTIF($G705:G705,"&gt;"&amp;0)+2,1)=H$1,H$1,""),"")</f>
        <v/>
      </c>
      <c r="I705" s="36" t="str">
        <f>IFERROR(IF(--MID($F705,2*COUNTIF($G705:H705,"&gt;"&amp;0)+2,1)=I$1,I$1,""),"")</f>
        <v/>
      </c>
      <c r="J705" s="36" t="str">
        <f>IFERROR(IF(--MID($F705,2*COUNTIF($G705:I705,"&gt;"&amp;0)+2,1)=J$1,J$1,""),"")</f>
        <v/>
      </c>
      <c r="K705" s="36" t="str">
        <f>IFERROR(IF(--MID($F705,2*COUNTIF($G705:J705,"&gt;"&amp;0)+2,1)=K$1,K$1,""),"")</f>
        <v/>
      </c>
      <c r="L705" s="36">
        <f>IFERROR(IF(--MID($F705,2*COUNTIF($G705:K705,"&gt;"&amp;0)+2,1)=L$1,L$1,""),"")</f>
        <v>6</v>
      </c>
      <c r="M705" s="51" t="str" cm="1">
        <f t="array" ref="M705">IF($A705="","",IF(G705="","",_xlfn.XLOOKUP($D705&amp;"_"&amp;$AE705,符文权重!$A:$A&amp;"_"&amp;符文权重!$C:$C,符文权重!$D:$D)*$Y705/SUMIFS($Y:$Y,G:G,G705,$D:$D,$D705,$AE:$AE,$AE705)/SUMIF(符文权重!$A:$A,$D705,符文权重!$D:$D)))</f>
        <v/>
      </c>
      <c r="N705" s="51" t="str" cm="1">
        <f t="array" ref="N705">IF($A705="","",IF(H705="","",_xlfn.XLOOKUP($D705&amp;"_"&amp;$AE705,符文权重!$A:$A&amp;"_"&amp;符文权重!$C:$C,符文权重!$D:$D)*$Y705/SUMIFS($Y:$Y,H:H,H705,$D:$D,$D705,$AE:$AE,$AE705)/SUMIF(符文权重!$A:$A,$D705,符文权重!$D:$D)))</f>
        <v/>
      </c>
      <c r="O705" s="51" t="str" cm="1">
        <f t="array" ref="O705">IF($A705="","",IF(I705="","",_xlfn.XLOOKUP($D705&amp;"_"&amp;$AE705,符文权重!$A:$A&amp;"_"&amp;符文权重!$C:$C,符文权重!$D:$D)*$Y705/SUMIFS($Y:$Y,I:I,I705,$D:$D,$D705,$AE:$AE,$AE705)/SUMIF(符文权重!$A:$A,$D705,符文权重!$D:$D)))</f>
        <v/>
      </c>
      <c r="P705" s="51" t="str" cm="1">
        <f t="array" ref="P705">IF($A705="","",IF(J705="","",_xlfn.XLOOKUP($D705&amp;"_"&amp;$AE705,符文权重!$A:$A&amp;"_"&amp;符文权重!$C:$C,符文权重!$D:$D)*$Y705/SUMIFS($Y:$Y,J:J,J705,$D:$D,$D705,$AE:$AE,$AE705)/SUMIF(符文权重!$A:$A,$D705,符文权重!$D:$D)))</f>
        <v/>
      </c>
      <c r="Q705" s="51" t="str" cm="1">
        <f t="array" ref="Q705">IF($A705="","",IF(K705="","",_xlfn.XLOOKUP($D705&amp;"_"&amp;$AE705,符文权重!$A:$A&amp;"_"&amp;符文权重!$C:$C,符文权重!$D:$D)*$Y705/SUMIFS($Y:$Y,K:K,K705,$D:$D,$D705,$AE:$AE,$AE705)/SUMIF(符文权重!$A:$A,$D705,符文权重!$D:$D)))</f>
        <v/>
      </c>
      <c r="R705" s="51" cm="1">
        <f t="array" ref="R705">IF($A705="","",IF(L705="","",_xlfn.XLOOKUP($D705&amp;"_"&amp;$AE705,符文权重!$A:$A&amp;"_"&amp;符文权重!$C:$C,符文权重!$D:$D)*$Y705/SUMIFS($Y:$Y,L:L,L705,$D:$D,$D705,$AE:$AE,$AE705)/SUMIF(符文权重!$A:$A,$D705,符文权重!$D:$D)))</f>
        <v>0.0063125</v>
      </c>
      <c r="S705" s="35" t="s">
        <v>344</v>
      </c>
      <c r="T705" s="35" t="s">
        <v>878</v>
      </c>
      <c r="U705" s="35" t="s">
        <v>423</v>
      </c>
      <c r="V705" s="35" t="s">
        <v>897</v>
      </c>
      <c r="X705" s="35" t="s">
        <v>790</v>
      </c>
      <c r="Y705" s="35">
        <v>100</v>
      </c>
      <c r="AA705" s="35" t="s">
        <v>187</v>
      </c>
      <c r="AB705" s="42" t="str">
        <f t="shared" si="266"/>
        <v>神灯王子攻击有&lt;color=#54b76b&gt;15%&lt;/color&gt;概率使全体梦灵获得：下次充能加速&lt;color=#54b76b&gt;+100%&lt;/color&gt;</v>
      </c>
      <c r="AC705" s="35">
        <v>53012672</v>
      </c>
      <c r="AD705" s="35" t="s">
        <v>898</v>
      </c>
      <c r="AE705" s="35">
        <v>4</v>
      </c>
      <c r="AH705" s="35">
        <v>1</v>
      </c>
      <c r="AI705" s="36"/>
      <c r="AJ705" s="35" t="s">
        <v>899</v>
      </c>
      <c r="AK705" s="36"/>
      <c r="AL705" s="35">
        <v>4</v>
      </c>
    </row>
    <row r="706" s="25" customFormat="1" hidden="1" customHeight="1" spans="1:38">
      <c r="A706" s="35">
        <v>5510396</v>
      </c>
      <c r="B706" s="35" t="s">
        <v>877</v>
      </c>
      <c r="C706" s="35">
        <v>5301267</v>
      </c>
      <c r="D706" s="35">
        <v>6</v>
      </c>
      <c r="E706" s="35"/>
      <c r="F706" s="35" t="s">
        <v>220</v>
      </c>
      <c r="G706" s="36" t="str">
        <f t="shared" si="265"/>
        <v/>
      </c>
      <c r="H706" s="36" t="str">
        <f>IFERROR(IF(--MID($F706,2*COUNTIF($G706:G706,"&gt;"&amp;0)+2,1)=H$1,H$1,""),"")</f>
        <v/>
      </c>
      <c r="I706" s="36" t="str">
        <f>IFERROR(IF(--MID($F706,2*COUNTIF($G706:H706,"&gt;"&amp;0)+2,1)=I$1,I$1,""),"")</f>
        <v/>
      </c>
      <c r="J706" s="36" t="str">
        <f>IFERROR(IF(--MID($F706,2*COUNTIF($G706:I706,"&gt;"&amp;0)+2,1)=J$1,J$1,""),"")</f>
        <v/>
      </c>
      <c r="K706" s="36" t="str">
        <f>IFERROR(IF(--MID($F706,2*COUNTIF($G706:J706,"&gt;"&amp;0)+2,1)=K$1,K$1,""),"")</f>
        <v/>
      </c>
      <c r="L706" s="36">
        <f>IFERROR(IF(--MID($F706,2*COUNTIF($G706:K706,"&gt;"&amp;0)+2,1)=L$1,L$1,""),"")</f>
        <v>6</v>
      </c>
      <c r="M706" s="51" t="str" cm="1">
        <f t="array" ref="M706">IF($A706="","",IF(G706="","",_xlfn.XLOOKUP($D706&amp;"_"&amp;$AE706,符文权重!$A:$A&amp;"_"&amp;符文权重!$C:$C,符文权重!$D:$D)*$Y706/SUMIFS($Y:$Y,G:G,G706,$D:$D,$D706,$AE:$AE,$AE706)/SUMIF(符文权重!$A:$A,$D706,符文权重!$D:$D)))</f>
        <v/>
      </c>
      <c r="N706" s="51" t="str" cm="1">
        <f t="array" ref="N706">IF($A706="","",IF(H706="","",_xlfn.XLOOKUP($D706&amp;"_"&amp;$AE706,符文权重!$A:$A&amp;"_"&amp;符文权重!$C:$C,符文权重!$D:$D)*$Y706/SUMIFS($Y:$Y,H:H,H706,$D:$D,$D706,$AE:$AE,$AE706)/SUMIF(符文权重!$A:$A,$D706,符文权重!$D:$D)))</f>
        <v/>
      </c>
      <c r="O706" s="51" t="str" cm="1">
        <f t="array" ref="O706">IF($A706="","",IF(I706="","",_xlfn.XLOOKUP($D706&amp;"_"&amp;$AE706,符文权重!$A:$A&amp;"_"&amp;符文权重!$C:$C,符文权重!$D:$D)*$Y706/SUMIFS($Y:$Y,I:I,I706,$D:$D,$D706,$AE:$AE,$AE706)/SUMIF(符文权重!$A:$A,$D706,符文权重!$D:$D)))</f>
        <v/>
      </c>
      <c r="P706" s="51" t="str" cm="1">
        <f t="array" ref="P706">IF($A706="","",IF(J706="","",_xlfn.XLOOKUP($D706&amp;"_"&amp;$AE706,符文权重!$A:$A&amp;"_"&amp;符文权重!$C:$C,符文权重!$D:$D)*$Y706/SUMIFS($Y:$Y,J:J,J706,$D:$D,$D706,$AE:$AE,$AE706)/SUMIF(符文权重!$A:$A,$D706,符文权重!$D:$D)))</f>
        <v/>
      </c>
      <c r="Q706" s="51" t="str" cm="1">
        <f t="array" ref="Q706">IF($A706="","",IF(K706="","",_xlfn.XLOOKUP($D706&amp;"_"&amp;$AE706,符文权重!$A:$A&amp;"_"&amp;符文权重!$C:$C,符文权重!$D:$D)*$Y706/SUMIFS($Y:$Y,K:K,K706,$D:$D,$D706,$AE:$AE,$AE706)/SUMIF(符文权重!$A:$A,$D706,符文权重!$D:$D)))</f>
        <v/>
      </c>
      <c r="R706" s="51" cm="1">
        <f t="array" ref="R706">IF($A706="","",IF(L706="","",_xlfn.XLOOKUP($D706&amp;"_"&amp;$AE706,符文权重!$A:$A&amp;"_"&amp;符文权重!$C:$C,符文权重!$D:$D)*$Y706/SUMIFS($Y:$Y,L:L,L706,$D:$D,$D706,$AE:$AE,$AE706)/SUMIF(符文权重!$A:$A,$D706,符文权重!$D:$D)))</f>
        <v>0.0063125</v>
      </c>
      <c r="S706" s="35" t="s">
        <v>344</v>
      </c>
      <c r="T706" s="35" t="s">
        <v>878</v>
      </c>
      <c r="U706" s="35" t="s">
        <v>426</v>
      </c>
      <c r="V706" s="35" t="s">
        <v>900</v>
      </c>
      <c r="X706" s="35" t="s">
        <v>656</v>
      </c>
      <c r="Y706" s="35">
        <v>100</v>
      </c>
      <c r="AA706" s="35" t="s">
        <v>189</v>
      </c>
      <c r="AB706" s="42" t="str">
        <f t="shared" si="266"/>
        <v>神灯王子攻击有&lt;color=#54b76b&gt;15%&lt;/color&gt;概率使全体梦灵获得：下次充能加速&lt;color=#54b76b&gt;+200%&lt;/color&gt;</v>
      </c>
      <c r="AC706" s="35">
        <v>53012672</v>
      </c>
      <c r="AD706" s="35" t="s">
        <v>462</v>
      </c>
      <c r="AE706" s="35">
        <v>4</v>
      </c>
      <c r="AH706" s="35">
        <v>1</v>
      </c>
      <c r="AI706" s="36"/>
      <c r="AJ706" s="35" t="s">
        <v>901</v>
      </c>
      <c r="AK706" s="36"/>
      <c r="AL706" s="35">
        <v>4</v>
      </c>
    </row>
    <row r="707" s="25" customFormat="1" hidden="1" customHeight="1" spans="1:38">
      <c r="A707" s="35">
        <v>5510397</v>
      </c>
      <c r="B707" s="35" t="s">
        <v>877</v>
      </c>
      <c r="C707" s="35">
        <v>5301267</v>
      </c>
      <c r="D707" s="35">
        <v>7</v>
      </c>
      <c r="E707" s="35"/>
      <c r="F707" s="35" t="s">
        <v>220</v>
      </c>
      <c r="G707" s="36" t="str">
        <f t="shared" si="265"/>
        <v/>
      </c>
      <c r="H707" s="36" t="str">
        <f>IFERROR(IF(--MID($F707,2*COUNTIF($G707:G707,"&gt;"&amp;0)+2,1)=H$1,H$1,""),"")</f>
        <v/>
      </c>
      <c r="I707" s="36" t="str">
        <f>IFERROR(IF(--MID($F707,2*COUNTIF($G707:H707,"&gt;"&amp;0)+2,1)=I$1,I$1,""),"")</f>
        <v/>
      </c>
      <c r="J707" s="36" t="str">
        <f>IFERROR(IF(--MID($F707,2*COUNTIF($G707:I707,"&gt;"&amp;0)+2,1)=J$1,J$1,""),"")</f>
        <v/>
      </c>
      <c r="K707" s="36" t="str">
        <f>IFERROR(IF(--MID($F707,2*COUNTIF($G707:J707,"&gt;"&amp;0)+2,1)=K$1,K$1,""),"")</f>
        <v/>
      </c>
      <c r="L707" s="36">
        <f>IFERROR(IF(--MID($F707,2*COUNTIF($G707:K707,"&gt;"&amp;0)+2,1)=L$1,L$1,""),"")</f>
        <v>6</v>
      </c>
      <c r="M707" s="51" t="str" cm="1">
        <f t="array" ref="M707">IF($A707="","",IF(G707="","",_xlfn.XLOOKUP($D707&amp;"_"&amp;$AE707,符文权重!$A:$A&amp;"_"&amp;符文权重!$C:$C,符文权重!$D:$D)*$Y707/SUMIFS($Y:$Y,G:G,G707,$D:$D,$D707,$AE:$AE,$AE707)/SUMIF(符文权重!$A:$A,$D707,符文权重!$D:$D)))</f>
        <v/>
      </c>
      <c r="N707" s="51" t="str" cm="1">
        <f t="array" ref="N707">IF($A707="","",IF(H707="","",_xlfn.XLOOKUP($D707&amp;"_"&amp;$AE707,符文权重!$A:$A&amp;"_"&amp;符文权重!$C:$C,符文权重!$D:$D)*$Y707/SUMIFS($Y:$Y,H:H,H707,$D:$D,$D707,$AE:$AE,$AE707)/SUMIF(符文权重!$A:$A,$D707,符文权重!$D:$D)))</f>
        <v/>
      </c>
      <c r="O707" s="51" t="str" cm="1">
        <f t="array" ref="O707">IF($A707="","",IF(I707="","",_xlfn.XLOOKUP($D707&amp;"_"&amp;$AE707,符文权重!$A:$A&amp;"_"&amp;符文权重!$C:$C,符文权重!$D:$D)*$Y707/SUMIFS($Y:$Y,I:I,I707,$D:$D,$D707,$AE:$AE,$AE707)/SUMIF(符文权重!$A:$A,$D707,符文权重!$D:$D)))</f>
        <v/>
      </c>
      <c r="P707" s="51" t="str" cm="1">
        <f t="array" ref="P707">IF($A707="","",IF(J707="","",_xlfn.XLOOKUP($D707&amp;"_"&amp;$AE707,符文权重!$A:$A&amp;"_"&amp;符文权重!$C:$C,符文权重!$D:$D)*$Y707/SUMIFS($Y:$Y,J:J,J707,$D:$D,$D707,$AE:$AE,$AE707)/SUMIF(符文权重!$A:$A,$D707,符文权重!$D:$D)))</f>
        <v/>
      </c>
      <c r="Q707" s="51" t="str" cm="1">
        <f t="array" ref="Q707">IF($A707="","",IF(K707="","",_xlfn.XLOOKUP($D707&amp;"_"&amp;$AE707,符文权重!$A:$A&amp;"_"&amp;符文权重!$C:$C,符文权重!$D:$D)*$Y707/SUMIFS($Y:$Y,K:K,K707,$D:$D,$D707,$AE:$AE,$AE707)/SUMIF(符文权重!$A:$A,$D707,符文权重!$D:$D)))</f>
        <v/>
      </c>
      <c r="R707" s="51" cm="1">
        <f t="array" ref="R707">IF($A707="","",IF(L707="","",_xlfn.XLOOKUP($D707&amp;"_"&amp;$AE707,符文权重!$A:$A&amp;"_"&amp;符文权重!$C:$C,符文权重!$D:$D)*$Y707/SUMIFS($Y:$Y,L:L,L707,$D:$D,$D707,$AE:$AE,$AE707)/SUMIF(符文权重!$A:$A,$D707,符文权重!$D:$D)))</f>
        <v>0.0063125</v>
      </c>
      <c r="S707" s="35" t="s">
        <v>344</v>
      </c>
      <c r="T707" s="35" t="s">
        <v>878</v>
      </c>
      <c r="U707" s="35" t="s">
        <v>429</v>
      </c>
      <c r="V707" s="35" t="s">
        <v>902</v>
      </c>
      <c r="X707" s="35" t="s">
        <v>795</v>
      </c>
      <c r="Y707" s="35">
        <v>100</v>
      </c>
      <c r="AA707" s="35" t="s">
        <v>191</v>
      </c>
      <c r="AB707" s="42" t="str">
        <f t="shared" si="266"/>
        <v>神灯王子攻击有&lt;color=#54b76b&gt;15%&lt;/color&gt;概率使全体梦灵获得：下次充能加速&lt;color=#54b76b&gt;+300%&lt;/color&gt;</v>
      </c>
      <c r="AC707" s="35">
        <v>53012672</v>
      </c>
      <c r="AD707" s="35" t="s">
        <v>903</v>
      </c>
      <c r="AE707" s="35">
        <v>4</v>
      </c>
      <c r="AH707" s="35">
        <v>1</v>
      </c>
      <c r="AI707" s="36"/>
      <c r="AJ707" s="35" t="s">
        <v>904</v>
      </c>
      <c r="AK707" s="36"/>
      <c r="AL707" s="35">
        <v>4</v>
      </c>
    </row>
    <row r="708" s="25" customFormat="1" hidden="1" customHeight="1" spans="1:38">
      <c r="A708" s="35">
        <v>5510404</v>
      </c>
      <c r="B708" s="55" t="s">
        <v>905</v>
      </c>
      <c r="C708" s="35">
        <v>5301269</v>
      </c>
      <c r="D708" s="36">
        <v>4</v>
      </c>
      <c r="E708" s="36"/>
      <c r="F708" s="35" t="s">
        <v>211</v>
      </c>
      <c r="G708" s="36" t="str">
        <f t="shared" si="265"/>
        <v/>
      </c>
      <c r="H708" s="36">
        <f>IFERROR(IF(--MID($F708,2*COUNTIF($G708:G708,"&gt;"&amp;0)+2,1)=H$1,H$1,""),"")</f>
        <v>2</v>
      </c>
      <c r="I708" s="36" t="str">
        <f>IFERROR(IF(--MID($F708,2*COUNTIF($G708:H708,"&gt;"&amp;0)+2,1)=I$1,I$1,""),"")</f>
        <v/>
      </c>
      <c r="J708" s="36" t="str">
        <f>IFERROR(IF(--MID($F708,2*COUNTIF($G708:I708,"&gt;"&amp;0)+2,1)=J$1,J$1,""),"")</f>
        <v/>
      </c>
      <c r="K708" s="36" t="str">
        <f>IFERROR(IF(--MID($F708,2*COUNTIF($G708:J708,"&gt;"&amp;0)+2,1)=K$1,K$1,""),"")</f>
        <v/>
      </c>
      <c r="L708" s="36" t="str">
        <f>IFERROR(IF(--MID($F708,2*COUNTIF($G708:K708,"&gt;"&amp;0)+2,1)=L$1,L$1,""),"")</f>
        <v/>
      </c>
      <c r="M708" s="51" t="str" cm="1">
        <f t="array" ref="M708">IF($A708="","",IF(G708="","",_xlfn.XLOOKUP($D708&amp;"_"&amp;$AE708,符文权重!$A:$A&amp;"_"&amp;符文权重!$C:$C,符文权重!$D:$D)*$Y708/SUMIFS($Y:$Y,G:G,G708,$D:$D,$D708,$AE:$AE,$AE708)/SUMIF(符文权重!$A:$A,$D708,符文权重!$D:$D)))</f>
        <v/>
      </c>
      <c r="N708" s="51" cm="1">
        <f t="array" ref="N708">IF($A708="","",IF(H708="","",_xlfn.XLOOKUP($D708&amp;"_"&amp;$AE708,符文权重!$A:$A&amp;"_"&amp;符文权重!$C:$C,符文权重!$D:$D)*$Y708/SUMIFS($Y:$Y,H:H,H708,$D:$D,$D708,$AE:$AE,$AE708)/SUMIF(符文权重!$A:$A,$D708,符文权重!$D:$D)))</f>
        <v>0.0035035035035035</v>
      </c>
      <c r="O708" s="51" t="str" cm="1">
        <f t="array" ref="O708">IF($A708="","",IF(I708="","",_xlfn.XLOOKUP($D708&amp;"_"&amp;$AE708,符文权重!$A:$A&amp;"_"&amp;符文权重!$C:$C,符文权重!$D:$D)*$Y708/SUMIFS($Y:$Y,I:I,I708,$D:$D,$D708,$AE:$AE,$AE708)/SUMIF(符文权重!$A:$A,$D708,符文权重!$D:$D)))</f>
        <v/>
      </c>
      <c r="P708" s="51" t="str" cm="1">
        <f t="array" ref="P708">IF($A708="","",IF(J708="","",_xlfn.XLOOKUP($D708&amp;"_"&amp;$AE708,符文权重!$A:$A&amp;"_"&amp;符文权重!$C:$C,符文权重!$D:$D)*$Y708/SUMIFS($Y:$Y,J:J,J708,$D:$D,$D708,$AE:$AE,$AE708)/SUMIF(符文权重!$A:$A,$D708,符文权重!$D:$D)))</f>
        <v/>
      </c>
      <c r="Q708" s="51" t="str" cm="1">
        <f t="array" ref="Q708">IF($A708="","",IF(K708="","",_xlfn.XLOOKUP($D708&amp;"_"&amp;$AE708,符文权重!$A:$A&amp;"_"&amp;符文权重!$C:$C,符文权重!$D:$D)*$Y708/SUMIFS($Y:$Y,K:K,K708,$D:$D,$D708,$AE:$AE,$AE708)/SUMIF(符文权重!$A:$A,$D708,符文权重!$D:$D)))</f>
        <v/>
      </c>
      <c r="R708" s="51" t="str" cm="1">
        <f t="array" ref="R708">IF($A708="","",IF(L708="","",_xlfn.XLOOKUP($D708&amp;"_"&amp;$AE708,符文权重!$A:$A&amp;"_"&amp;符文权重!$C:$C,符文权重!$D:$D)*$Y708/SUMIFS($Y:$Y,L:L,L708,$D:$D,$D708,$AE:$AE,$AE708)/SUMIF(符文权重!$A:$A,$D708,符文权重!$D:$D)))</f>
        <v/>
      </c>
      <c r="S708" s="36" t="s">
        <v>344</v>
      </c>
      <c r="T708" s="36" t="s">
        <v>906</v>
      </c>
      <c r="U708" s="36" t="s">
        <v>420</v>
      </c>
      <c r="V708" s="25" t="s">
        <v>907</v>
      </c>
      <c r="W708" s="36"/>
      <c r="X708" s="35" t="s">
        <v>595</v>
      </c>
      <c r="Y708" s="35">
        <v>100</v>
      </c>
      <c r="Z708" s="35"/>
      <c r="AA708" s="36" t="s">
        <v>185</v>
      </c>
      <c r="AB708" s="42" t="str">
        <f t="shared" si="266"/>
        <v>唐小僧[符咒]消失时爆炸，造成&lt;color=#54b76b&gt;20%&lt;/color&gt;伤害</v>
      </c>
      <c r="AC708" s="35">
        <v>5301269</v>
      </c>
      <c r="AD708" s="36" t="s">
        <v>428</v>
      </c>
      <c r="AE708" s="36">
        <v>8</v>
      </c>
      <c r="AF708" s="36"/>
      <c r="AG708" s="36"/>
      <c r="AH708" s="36">
        <v>1</v>
      </c>
      <c r="AJ708" s="36" t="s">
        <v>908</v>
      </c>
      <c r="AL708" s="35">
        <v>4</v>
      </c>
    </row>
    <row r="709" s="25" customFormat="1" hidden="1" customHeight="1" spans="1:38">
      <c r="A709" s="35">
        <v>5510405</v>
      </c>
      <c r="B709" s="35" t="s">
        <v>905</v>
      </c>
      <c r="C709" s="35">
        <v>5301269</v>
      </c>
      <c r="D709" s="35">
        <v>5</v>
      </c>
      <c r="E709" s="35"/>
      <c r="F709" s="35" t="s">
        <v>211</v>
      </c>
      <c r="G709" s="36" t="str">
        <f t="shared" si="265"/>
        <v/>
      </c>
      <c r="H709" s="36">
        <f>IFERROR(IF(--MID($F709,2*COUNTIF($G709:G709,"&gt;"&amp;0)+2,1)=H$1,H$1,""),"")</f>
        <v>2</v>
      </c>
      <c r="I709" s="36" t="str">
        <f>IFERROR(IF(--MID($F709,2*COUNTIF($G709:H709,"&gt;"&amp;0)+2,1)=I$1,I$1,""),"")</f>
        <v/>
      </c>
      <c r="J709" s="36" t="str">
        <f>IFERROR(IF(--MID($F709,2*COUNTIF($G709:I709,"&gt;"&amp;0)+2,1)=J$1,J$1,""),"")</f>
        <v/>
      </c>
      <c r="K709" s="36" t="str">
        <f>IFERROR(IF(--MID($F709,2*COUNTIF($G709:J709,"&gt;"&amp;0)+2,1)=K$1,K$1,""),"")</f>
        <v/>
      </c>
      <c r="L709" s="36" t="str">
        <f>IFERROR(IF(--MID($F709,2*COUNTIF($G709:K709,"&gt;"&amp;0)+2,1)=L$1,L$1,""),"")</f>
        <v/>
      </c>
      <c r="M709" s="51" t="str" cm="1">
        <f t="array" ref="M709">IF($A709="","",IF(G709="","",_xlfn.XLOOKUP($D709&amp;"_"&amp;$AE709,符文权重!$A:$A&amp;"_"&amp;符文权重!$C:$C,符文权重!$D:$D)*$Y709/SUMIFS($Y:$Y,G:G,G709,$D:$D,$D709,$AE:$AE,$AE709)/SUMIF(符文权重!$A:$A,$D709,符文权重!$D:$D)))</f>
        <v/>
      </c>
      <c r="N709" s="51" cm="1">
        <f t="array" ref="N709">IF($A709="","",IF(H709="","",_xlfn.XLOOKUP($D709&amp;"_"&amp;$AE709,符文权重!$A:$A&amp;"_"&amp;符文权重!$C:$C,符文权重!$D:$D)*$Y709/SUMIFS($Y:$Y,H:H,H709,$D:$D,$D709,$AE:$AE,$AE709)/SUMIF(符文权重!$A:$A,$D709,符文权重!$D:$D)))</f>
        <v>0.00841666666666667</v>
      </c>
      <c r="O709" s="51" t="str" cm="1">
        <f t="array" ref="O709">IF($A709="","",IF(I709="","",_xlfn.XLOOKUP($D709&amp;"_"&amp;$AE709,符文权重!$A:$A&amp;"_"&amp;符文权重!$C:$C,符文权重!$D:$D)*$Y709/SUMIFS($Y:$Y,I:I,I709,$D:$D,$D709,$AE:$AE,$AE709)/SUMIF(符文权重!$A:$A,$D709,符文权重!$D:$D)))</f>
        <v/>
      </c>
      <c r="P709" s="51" t="str" cm="1">
        <f t="array" ref="P709">IF($A709="","",IF(J709="","",_xlfn.XLOOKUP($D709&amp;"_"&amp;$AE709,符文权重!$A:$A&amp;"_"&amp;符文权重!$C:$C,符文权重!$D:$D)*$Y709/SUMIFS($Y:$Y,J:J,J709,$D:$D,$D709,$AE:$AE,$AE709)/SUMIF(符文权重!$A:$A,$D709,符文权重!$D:$D)))</f>
        <v/>
      </c>
      <c r="Q709" s="51" t="str" cm="1">
        <f t="array" ref="Q709">IF($A709="","",IF(K709="","",_xlfn.XLOOKUP($D709&amp;"_"&amp;$AE709,符文权重!$A:$A&amp;"_"&amp;符文权重!$C:$C,符文权重!$D:$D)*$Y709/SUMIFS($Y:$Y,K:K,K709,$D:$D,$D709,$AE:$AE,$AE709)/SUMIF(符文权重!$A:$A,$D709,符文权重!$D:$D)))</f>
        <v/>
      </c>
      <c r="R709" s="51" t="str" cm="1">
        <f t="array" ref="R709">IF($A709="","",IF(L709="","",_xlfn.XLOOKUP($D709&amp;"_"&amp;$AE709,符文权重!$A:$A&amp;"_"&amp;符文权重!$C:$C,符文权重!$D:$D)*$Y709/SUMIFS($Y:$Y,L:L,L709,$D:$D,$D709,$AE:$AE,$AE709)/SUMIF(符文权重!$A:$A,$D709,符文权重!$D:$D)))</f>
        <v/>
      </c>
      <c r="S709" s="35" t="s">
        <v>344</v>
      </c>
      <c r="T709" s="35" t="s">
        <v>906</v>
      </c>
      <c r="U709" s="35" t="s">
        <v>423</v>
      </c>
      <c r="V709" s="35" t="s">
        <v>909</v>
      </c>
      <c r="X709" s="35" t="s">
        <v>790</v>
      </c>
      <c r="Y709" s="35">
        <v>100</v>
      </c>
      <c r="AA709" s="35" t="s">
        <v>187</v>
      </c>
      <c r="AB709" s="42" t="str">
        <f t="shared" si="266"/>
        <v>唐小僧[符咒]消失时爆炸，造成&lt;color=#54b76b&gt;28%&lt;/color&gt;伤害</v>
      </c>
      <c r="AC709" s="35">
        <v>5301269</v>
      </c>
      <c r="AD709" s="35" t="s">
        <v>808</v>
      </c>
      <c r="AE709" s="35">
        <v>4</v>
      </c>
      <c r="AH709" s="35">
        <v>1</v>
      </c>
      <c r="AI709" s="36"/>
      <c r="AJ709" s="35" t="s">
        <v>910</v>
      </c>
      <c r="AK709" s="36"/>
      <c r="AL709" s="35">
        <v>4</v>
      </c>
    </row>
    <row r="710" s="25" customFormat="1" hidden="1" customHeight="1" spans="1:38">
      <c r="A710" s="35">
        <v>5510406</v>
      </c>
      <c r="B710" s="35" t="s">
        <v>905</v>
      </c>
      <c r="C710" s="35">
        <v>5301269</v>
      </c>
      <c r="D710" s="35">
        <v>6</v>
      </c>
      <c r="E710" s="35"/>
      <c r="F710" s="35" t="s">
        <v>211</v>
      </c>
      <c r="G710" s="36" t="str">
        <f t="shared" si="265"/>
        <v/>
      </c>
      <c r="H710" s="36">
        <f>IFERROR(IF(--MID($F710,2*COUNTIF($G710:G710,"&gt;"&amp;0)+2,1)=H$1,H$1,""),"")</f>
        <v>2</v>
      </c>
      <c r="I710" s="36" t="str">
        <f>IFERROR(IF(--MID($F710,2*COUNTIF($G710:H710,"&gt;"&amp;0)+2,1)=I$1,I$1,""),"")</f>
        <v/>
      </c>
      <c r="J710" s="36" t="str">
        <f>IFERROR(IF(--MID($F710,2*COUNTIF($G710:I710,"&gt;"&amp;0)+2,1)=J$1,J$1,""),"")</f>
        <v/>
      </c>
      <c r="K710" s="36" t="str">
        <f>IFERROR(IF(--MID($F710,2*COUNTIF($G710:J710,"&gt;"&amp;0)+2,1)=K$1,K$1,""),"")</f>
        <v/>
      </c>
      <c r="L710" s="36" t="str">
        <f>IFERROR(IF(--MID($F710,2*COUNTIF($G710:K710,"&gt;"&amp;0)+2,1)=L$1,L$1,""),"")</f>
        <v/>
      </c>
      <c r="M710" s="51" t="str" cm="1">
        <f t="array" ref="M710">IF($A710="","",IF(G710="","",_xlfn.XLOOKUP($D710&amp;"_"&amp;$AE710,符文权重!$A:$A&amp;"_"&amp;符文权重!$C:$C,符文权重!$D:$D)*$Y710/SUMIFS($Y:$Y,G:G,G710,$D:$D,$D710,$AE:$AE,$AE710)/SUMIF(符文权重!$A:$A,$D710,符文权重!$D:$D)))</f>
        <v/>
      </c>
      <c r="N710" s="51" cm="1">
        <f t="array" ref="N710">IF($A710="","",IF(H710="","",_xlfn.XLOOKUP($D710&amp;"_"&amp;$AE710,符文权重!$A:$A&amp;"_"&amp;符文权重!$C:$C,符文权重!$D:$D)*$Y710/SUMIFS($Y:$Y,H:H,H710,$D:$D,$D710,$AE:$AE,$AE710)/SUMIF(符文权重!$A:$A,$D710,符文权重!$D:$D)))</f>
        <v>0.00841666666666667</v>
      </c>
      <c r="O710" s="51" t="str" cm="1">
        <f t="array" ref="O710">IF($A710="","",IF(I710="","",_xlfn.XLOOKUP($D710&amp;"_"&amp;$AE710,符文权重!$A:$A&amp;"_"&amp;符文权重!$C:$C,符文权重!$D:$D)*$Y710/SUMIFS($Y:$Y,I:I,I710,$D:$D,$D710,$AE:$AE,$AE710)/SUMIF(符文权重!$A:$A,$D710,符文权重!$D:$D)))</f>
        <v/>
      </c>
      <c r="P710" s="51" t="str" cm="1">
        <f t="array" ref="P710">IF($A710="","",IF(J710="","",_xlfn.XLOOKUP($D710&amp;"_"&amp;$AE710,符文权重!$A:$A&amp;"_"&amp;符文权重!$C:$C,符文权重!$D:$D)*$Y710/SUMIFS($Y:$Y,J:J,J710,$D:$D,$D710,$AE:$AE,$AE710)/SUMIF(符文权重!$A:$A,$D710,符文权重!$D:$D)))</f>
        <v/>
      </c>
      <c r="Q710" s="51" t="str" cm="1">
        <f t="array" ref="Q710">IF($A710="","",IF(K710="","",_xlfn.XLOOKUP($D710&amp;"_"&amp;$AE710,符文权重!$A:$A&amp;"_"&amp;符文权重!$C:$C,符文权重!$D:$D)*$Y710/SUMIFS($Y:$Y,K:K,K710,$D:$D,$D710,$AE:$AE,$AE710)/SUMIF(符文权重!$A:$A,$D710,符文权重!$D:$D)))</f>
        <v/>
      </c>
      <c r="R710" s="51" t="str" cm="1">
        <f t="array" ref="R710">IF($A710="","",IF(L710="","",_xlfn.XLOOKUP($D710&amp;"_"&amp;$AE710,符文权重!$A:$A&amp;"_"&amp;符文权重!$C:$C,符文权重!$D:$D)*$Y710/SUMIFS($Y:$Y,L:L,L710,$D:$D,$D710,$AE:$AE,$AE710)/SUMIF(符文权重!$A:$A,$D710,符文权重!$D:$D)))</f>
        <v/>
      </c>
      <c r="S710" s="35" t="s">
        <v>344</v>
      </c>
      <c r="T710" s="35" t="s">
        <v>906</v>
      </c>
      <c r="U710" s="35" t="s">
        <v>426</v>
      </c>
      <c r="V710" s="35" t="s">
        <v>911</v>
      </c>
      <c r="X710" s="35" t="s">
        <v>656</v>
      </c>
      <c r="Y710" s="35">
        <v>100</v>
      </c>
      <c r="AA710" s="35" t="s">
        <v>189</v>
      </c>
      <c r="AB710" s="42" t="str">
        <f t="shared" si="266"/>
        <v>唐小僧[符咒]消失时爆炸，造成&lt;color=#54b76b&gt;36%&lt;/color&gt;伤害</v>
      </c>
      <c r="AC710" s="35">
        <v>5301269</v>
      </c>
      <c r="AD710" s="35" t="s">
        <v>660</v>
      </c>
      <c r="AE710" s="35">
        <v>4</v>
      </c>
      <c r="AH710" s="35">
        <v>1</v>
      </c>
      <c r="AI710" s="36"/>
      <c r="AJ710" s="35" t="s">
        <v>912</v>
      </c>
      <c r="AK710" s="36"/>
      <c r="AL710" s="35">
        <v>4</v>
      </c>
    </row>
    <row r="711" s="25" customFormat="1" hidden="1" customHeight="1" spans="1:38">
      <c r="A711" s="35">
        <v>5510407</v>
      </c>
      <c r="B711" s="35" t="s">
        <v>905</v>
      </c>
      <c r="C711" s="35">
        <v>5301269</v>
      </c>
      <c r="D711" s="35">
        <v>7</v>
      </c>
      <c r="E711" s="35"/>
      <c r="F711" s="35" t="s">
        <v>211</v>
      </c>
      <c r="G711" s="36" t="str">
        <f t="shared" ref="G711:G774" si="267">IF(LEFT(F711,2)="[1",1,"")</f>
        <v/>
      </c>
      <c r="H711" s="36">
        <f>IFERROR(IF(--MID($F711,2*COUNTIF($G711:G711,"&gt;"&amp;0)+2,1)=H$1,H$1,""),"")</f>
        <v>2</v>
      </c>
      <c r="I711" s="36" t="str">
        <f>IFERROR(IF(--MID($F711,2*COUNTIF($G711:H711,"&gt;"&amp;0)+2,1)=I$1,I$1,""),"")</f>
        <v/>
      </c>
      <c r="J711" s="36" t="str">
        <f>IFERROR(IF(--MID($F711,2*COUNTIF($G711:I711,"&gt;"&amp;0)+2,1)=J$1,J$1,""),"")</f>
        <v/>
      </c>
      <c r="K711" s="36" t="str">
        <f>IFERROR(IF(--MID($F711,2*COUNTIF($G711:J711,"&gt;"&amp;0)+2,1)=K$1,K$1,""),"")</f>
        <v/>
      </c>
      <c r="L711" s="36" t="str">
        <f>IFERROR(IF(--MID($F711,2*COUNTIF($G711:K711,"&gt;"&amp;0)+2,1)=L$1,L$1,""),"")</f>
        <v/>
      </c>
      <c r="M711" s="51" t="str" cm="1">
        <f t="array" ref="M711">IF($A711="","",IF(G711="","",_xlfn.XLOOKUP($D711&amp;"_"&amp;$AE711,符文权重!$A:$A&amp;"_"&amp;符文权重!$C:$C,符文权重!$D:$D)*$Y711/SUMIFS($Y:$Y,G:G,G711,$D:$D,$D711,$AE:$AE,$AE711)/SUMIF(符文权重!$A:$A,$D711,符文权重!$D:$D)))</f>
        <v/>
      </c>
      <c r="N711" s="51" cm="1">
        <f t="array" ref="N711">IF($A711="","",IF(H711="","",_xlfn.XLOOKUP($D711&amp;"_"&amp;$AE711,符文权重!$A:$A&amp;"_"&amp;符文权重!$C:$C,符文权重!$D:$D)*$Y711/SUMIFS($Y:$Y,H:H,H711,$D:$D,$D711,$AE:$AE,$AE711)/SUMIF(符文权重!$A:$A,$D711,符文权重!$D:$D)))</f>
        <v>0.00841666666666667</v>
      </c>
      <c r="O711" s="51" t="str" cm="1">
        <f t="array" ref="O711">IF($A711="","",IF(I711="","",_xlfn.XLOOKUP($D711&amp;"_"&amp;$AE711,符文权重!$A:$A&amp;"_"&amp;符文权重!$C:$C,符文权重!$D:$D)*$Y711/SUMIFS($Y:$Y,I:I,I711,$D:$D,$D711,$AE:$AE,$AE711)/SUMIF(符文权重!$A:$A,$D711,符文权重!$D:$D)))</f>
        <v/>
      </c>
      <c r="P711" s="51" t="str" cm="1">
        <f t="array" ref="P711">IF($A711="","",IF(J711="","",_xlfn.XLOOKUP($D711&amp;"_"&amp;$AE711,符文权重!$A:$A&amp;"_"&amp;符文权重!$C:$C,符文权重!$D:$D)*$Y711/SUMIFS($Y:$Y,J:J,J711,$D:$D,$D711,$AE:$AE,$AE711)/SUMIF(符文权重!$A:$A,$D711,符文权重!$D:$D)))</f>
        <v/>
      </c>
      <c r="Q711" s="51" t="str" cm="1">
        <f t="array" ref="Q711">IF($A711="","",IF(K711="","",_xlfn.XLOOKUP($D711&amp;"_"&amp;$AE711,符文权重!$A:$A&amp;"_"&amp;符文权重!$C:$C,符文权重!$D:$D)*$Y711/SUMIFS($Y:$Y,K:K,K711,$D:$D,$D711,$AE:$AE,$AE711)/SUMIF(符文权重!$A:$A,$D711,符文权重!$D:$D)))</f>
        <v/>
      </c>
      <c r="R711" s="51" t="str" cm="1">
        <f t="array" ref="R711">IF($A711="","",IF(L711="","",_xlfn.XLOOKUP($D711&amp;"_"&amp;$AE711,符文权重!$A:$A&amp;"_"&amp;符文权重!$C:$C,符文权重!$D:$D)*$Y711/SUMIFS($Y:$Y,L:L,L711,$D:$D,$D711,$AE:$AE,$AE711)/SUMIF(符文权重!$A:$A,$D711,符文权重!$D:$D)))</f>
        <v/>
      </c>
      <c r="S711" s="35" t="s">
        <v>344</v>
      </c>
      <c r="T711" s="35" t="s">
        <v>906</v>
      </c>
      <c r="U711" s="35" t="s">
        <v>429</v>
      </c>
      <c r="V711" s="35" t="s">
        <v>913</v>
      </c>
      <c r="X711" s="35" t="s">
        <v>795</v>
      </c>
      <c r="Y711" s="35">
        <v>100</v>
      </c>
      <c r="AA711" s="35" t="s">
        <v>191</v>
      </c>
      <c r="AB711" s="42" t="str">
        <f t="shared" si="266"/>
        <v>唐小僧[符咒]消失时爆炸，造成&lt;color=#54b76b&gt;45%&lt;/color&gt;伤害</v>
      </c>
      <c r="AC711" s="35">
        <v>5301269</v>
      </c>
      <c r="AD711" s="35" t="s">
        <v>474</v>
      </c>
      <c r="AE711" s="35">
        <v>4</v>
      </c>
      <c r="AH711" s="35">
        <v>1</v>
      </c>
      <c r="AI711" s="36"/>
      <c r="AJ711" s="35" t="s">
        <v>914</v>
      </c>
      <c r="AK711" s="36"/>
      <c r="AL711" s="35">
        <v>4</v>
      </c>
    </row>
    <row r="712" s="25" customFormat="1" hidden="1" customHeight="1" spans="1:38">
      <c r="A712" s="35">
        <v>5510414</v>
      </c>
      <c r="B712" s="55" t="s">
        <v>905</v>
      </c>
      <c r="C712" s="35">
        <v>5301270</v>
      </c>
      <c r="D712" s="36">
        <v>4</v>
      </c>
      <c r="E712" s="36"/>
      <c r="F712" s="35" t="s">
        <v>193</v>
      </c>
      <c r="G712" s="36" t="str">
        <f t="shared" si="267"/>
        <v/>
      </c>
      <c r="H712" s="36" t="str">
        <f>IFERROR(IF(--MID($F712,2*COUNTIF($G712:G712,"&gt;"&amp;0)+2,1)=H$1,H$1,""),"")</f>
        <v/>
      </c>
      <c r="I712" s="36">
        <f>IFERROR(IF(--MID($F712,2*COUNTIF($G712:H712,"&gt;"&amp;0)+2,1)=I$1,I$1,""),"")</f>
        <v>3</v>
      </c>
      <c r="J712" s="36" t="str">
        <f>IFERROR(IF(--MID($F712,2*COUNTIF($G712:I712,"&gt;"&amp;0)+2,1)=J$1,J$1,""),"")</f>
        <v/>
      </c>
      <c r="K712" s="36" t="str">
        <f>IFERROR(IF(--MID($F712,2*COUNTIF($G712:J712,"&gt;"&amp;0)+2,1)=K$1,K$1,""),"")</f>
        <v/>
      </c>
      <c r="L712" s="36" t="str">
        <f>IFERROR(IF(--MID($F712,2*COUNTIF($G712:K712,"&gt;"&amp;0)+2,1)=L$1,L$1,""),"")</f>
        <v/>
      </c>
      <c r="M712" s="51" t="str" cm="1">
        <f t="array" ref="M712">IF($A712="","",IF(G712="","",_xlfn.XLOOKUP($D712&amp;"_"&amp;$AE712,符文权重!$A:$A&amp;"_"&amp;符文权重!$C:$C,符文权重!$D:$D)*$Y712/SUMIFS($Y:$Y,G:G,G712,$D:$D,$D712,$AE:$AE,$AE712)/SUMIF(符文权重!$A:$A,$D712,符文权重!$D:$D)))</f>
        <v/>
      </c>
      <c r="N712" s="51" t="str" cm="1">
        <f t="array" ref="N712">IF($A712="","",IF(H712="","",_xlfn.XLOOKUP($D712&amp;"_"&amp;$AE712,符文权重!$A:$A&amp;"_"&amp;符文权重!$C:$C,符文权重!$D:$D)*$Y712/SUMIFS($Y:$Y,H:H,H712,$D:$D,$D712,$AE:$AE,$AE712)/SUMIF(符文权重!$A:$A,$D712,符文权重!$D:$D)))</f>
        <v/>
      </c>
      <c r="O712" s="51" cm="1">
        <f t="array" ref="O712">IF($A712="","",IF(I712="","",_xlfn.XLOOKUP($D712&amp;"_"&amp;$AE712,符文权重!$A:$A&amp;"_"&amp;符文权重!$C:$C,符文权重!$D:$D)*$Y712/SUMIFS($Y:$Y,I:I,I712,$D:$D,$D712,$AE:$AE,$AE712)/SUMIF(符文权重!$A:$A,$D712,符文权重!$D:$D)))</f>
        <v>0.0035035035035035</v>
      </c>
      <c r="P712" s="51" t="str" cm="1">
        <f t="array" ref="P712">IF($A712="","",IF(J712="","",_xlfn.XLOOKUP($D712&amp;"_"&amp;$AE712,符文权重!$A:$A&amp;"_"&amp;符文权重!$C:$C,符文权重!$D:$D)*$Y712/SUMIFS($Y:$Y,J:J,J712,$D:$D,$D712,$AE:$AE,$AE712)/SUMIF(符文权重!$A:$A,$D712,符文权重!$D:$D)))</f>
        <v/>
      </c>
      <c r="Q712" s="51" t="str" cm="1">
        <f t="array" ref="Q712">IF($A712="","",IF(K712="","",_xlfn.XLOOKUP($D712&amp;"_"&amp;$AE712,符文权重!$A:$A&amp;"_"&amp;符文权重!$C:$C,符文权重!$D:$D)*$Y712/SUMIFS($Y:$Y,K:K,K712,$D:$D,$D712,$AE:$AE,$AE712)/SUMIF(符文权重!$A:$A,$D712,符文权重!$D:$D)))</f>
        <v/>
      </c>
      <c r="R712" s="51" t="str" cm="1">
        <f t="array" ref="R712">IF($A712="","",IF(L712="","",_xlfn.XLOOKUP($D712&amp;"_"&amp;$AE712,符文权重!$A:$A&amp;"_"&amp;符文权重!$C:$C,符文权重!$D:$D)*$Y712/SUMIFS($Y:$Y,L:L,L712,$D:$D,$D712,$AE:$AE,$AE712)/SUMIF(符文权重!$A:$A,$D712,符文权重!$D:$D)))</f>
        <v/>
      </c>
      <c r="S712" s="36" t="s">
        <v>344</v>
      </c>
      <c r="T712" s="36" t="s">
        <v>906</v>
      </c>
      <c r="U712" s="36" t="s">
        <v>420</v>
      </c>
      <c r="V712" s="25" t="s">
        <v>915</v>
      </c>
      <c r="W712" s="36"/>
      <c r="X712" s="35" t="s">
        <v>595</v>
      </c>
      <c r="Y712" s="35">
        <v>100</v>
      </c>
      <c r="Z712" s="35"/>
      <c r="AA712" s="36" t="s">
        <v>185</v>
      </c>
      <c r="AB712" s="42" t="str">
        <f t="shared" si="266"/>
        <v>唐小僧攻击被&lt;color=#54b76b&gt;[控制]&lt;/color&gt;的目标时，暴击率&lt;color=#54b76b&gt;+8%&lt;/color&gt;</v>
      </c>
      <c r="AC712" s="35">
        <v>5301270</v>
      </c>
      <c r="AD712" s="36" t="s">
        <v>419</v>
      </c>
      <c r="AE712" s="36">
        <v>8</v>
      </c>
      <c r="AF712" s="36"/>
      <c r="AG712" s="36"/>
      <c r="AH712" s="36">
        <v>1</v>
      </c>
      <c r="AI712" s="36"/>
      <c r="AJ712" s="36" t="s">
        <v>916</v>
      </c>
      <c r="AK712" s="36"/>
      <c r="AL712" s="35">
        <v>4</v>
      </c>
    </row>
    <row r="713" s="25" customFormat="1" hidden="1" customHeight="1" spans="1:38">
      <c r="A713" s="35">
        <v>5510415</v>
      </c>
      <c r="B713" s="35" t="s">
        <v>905</v>
      </c>
      <c r="C713" s="35">
        <v>5301270</v>
      </c>
      <c r="D713" s="35">
        <v>5</v>
      </c>
      <c r="E713" s="35"/>
      <c r="F713" s="35" t="s">
        <v>193</v>
      </c>
      <c r="G713" s="36" t="str">
        <f t="shared" si="267"/>
        <v/>
      </c>
      <c r="H713" s="36" t="str">
        <f>IFERROR(IF(--MID($F713,2*COUNTIF($G713:G713,"&gt;"&amp;0)+2,1)=H$1,H$1,""),"")</f>
        <v/>
      </c>
      <c r="I713" s="36">
        <f>IFERROR(IF(--MID($F713,2*COUNTIF($G713:H713,"&gt;"&amp;0)+2,1)=I$1,I$1,""),"")</f>
        <v>3</v>
      </c>
      <c r="J713" s="36" t="str">
        <f>IFERROR(IF(--MID($F713,2*COUNTIF($G713:I713,"&gt;"&amp;0)+2,1)=J$1,J$1,""),"")</f>
        <v/>
      </c>
      <c r="K713" s="36" t="str">
        <f>IFERROR(IF(--MID($F713,2*COUNTIF($G713:J713,"&gt;"&amp;0)+2,1)=K$1,K$1,""),"")</f>
        <v/>
      </c>
      <c r="L713" s="36" t="str">
        <f>IFERROR(IF(--MID($F713,2*COUNTIF($G713:K713,"&gt;"&amp;0)+2,1)=L$1,L$1,""),"")</f>
        <v/>
      </c>
      <c r="M713" s="51" t="str" cm="1">
        <f t="array" ref="M713">IF($A713="","",IF(G713="","",_xlfn.XLOOKUP($D713&amp;"_"&amp;$AE713,符文权重!$A:$A&amp;"_"&amp;符文权重!$C:$C,符文权重!$D:$D)*$Y713/SUMIFS($Y:$Y,G:G,G713,$D:$D,$D713,$AE:$AE,$AE713)/SUMIF(符文权重!$A:$A,$D713,符文权重!$D:$D)))</f>
        <v/>
      </c>
      <c r="N713" s="51" t="str" cm="1">
        <f t="array" ref="N713">IF($A713="","",IF(H713="","",_xlfn.XLOOKUP($D713&amp;"_"&amp;$AE713,符文权重!$A:$A&amp;"_"&amp;符文权重!$C:$C,符文权重!$D:$D)*$Y713/SUMIFS($Y:$Y,H:H,H713,$D:$D,$D713,$AE:$AE,$AE713)/SUMIF(符文权重!$A:$A,$D713,符文权重!$D:$D)))</f>
        <v/>
      </c>
      <c r="O713" s="51" cm="1">
        <f t="array" ref="O713">IF($A713="","",IF(I713="","",_xlfn.XLOOKUP($D713&amp;"_"&amp;$AE713,符文权重!$A:$A&amp;"_"&amp;符文权重!$C:$C,符文权重!$D:$D)*$Y713/SUMIFS($Y:$Y,I:I,I713,$D:$D,$D713,$AE:$AE,$AE713)/SUMIF(符文权重!$A:$A,$D713,符文权重!$D:$D)))</f>
        <v>0.00721428571428571</v>
      </c>
      <c r="P713" s="51" t="str" cm="1">
        <f t="array" ref="P713">IF($A713="","",IF(J713="","",_xlfn.XLOOKUP($D713&amp;"_"&amp;$AE713,符文权重!$A:$A&amp;"_"&amp;符文权重!$C:$C,符文权重!$D:$D)*$Y713/SUMIFS($Y:$Y,J:J,J713,$D:$D,$D713,$AE:$AE,$AE713)/SUMIF(符文权重!$A:$A,$D713,符文权重!$D:$D)))</f>
        <v/>
      </c>
      <c r="Q713" s="51" t="str" cm="1">
        <f t="array" ref="Q713">IF($A713="","",IF(K713="","",_xlfn.XLOOKUP($D713&amp;"_"&amp;$AE713,符文权重!$A:$A&amp;"_"&amp;符文权重!$C:$C,符文权重!$D:$D)*$Y713/SUMIFS($Y:$Y,K:K,K713,$D:$D,$D713,$AE:$AE,$AE713)/SUMIF(符文权重!$A:$A,$D713,符文权重!$D:$D)))</f>
        <v/>
      </c>
      <c r="R713" s="51" t="str" cm="1">
        <f t="array" ref="R713">IF($A713="","",IF(L713="","",_xlfn.XLOOKUP($D713&amp;"_"&amp;$AE713,符文权重!$A:$A&amp;"_"&amp;符文权重!$C:$C,符文权重!$D:$D)*$Y713/SUMIFS($Y:$Y,L:L,L713,$D:$D,$D713,$AE:$AE,$AE713)/SUMIF(符文权重!$A:$A,$D713,符文权重!$D:$D)))</f>
        <v/>
      </c>
      <c r="S713" s="35" t="s">
        <v>344</v>
      </c>
      <c r="T713" s="35" t="s">
        <v>906</v>
      </c>
      <c r="U713" s="35" t="s">
        <v>423</v>
      </c>
      <c r="V713" s="35" t="s">
        <v>917</v>
      </c>
      <c r="X713" s="35" t="s">
        <v>790</v>
      </c>
      <c r="Y713" s="35">
        <v>100</v>
      </c>
      <c r="AA713" s="35" t="s">
        <v>187</v>
      </c>
      <c r="AB713" s="42" t="str">
        <f t="shared" si="266"/>
        <v>唐小僧攻击被&lt;color=#54b76b&gt;[控制]&lt;/color&gt;的目标时，暴击率&lt;color=#54b76b&gt;+10%&lt;/color&gt;</v>
      </c>
      <c r="AC713" s="35">
        <v>5301270</v>
      </c>
      <c r="AD713" s="35" t="s">
        <v>422</v>
      </c>
      <c r="AE713" s="35">
        <v>4</v>
      </c>
      <c r="AH713" s="35">
        <v>1</v>
      </c>
      <c r="AI713" s="36"/>
      <c r="AJ713" s="35" t="s">
        <v>918</v>
      </c>
      <c r="AK713" s="36"/>
      <c r="AL713" s="35">
        <v>4</v>
      </c>
    </row>
    <row r="714" s="25" customFormat="1" hidden="1" customHeight="1" spans="1:38">
      <c r="A714" s="35">
        <v>5510416</v>
      </c>
      <c r="B714" s="35" t="s">
        <v>905</v>
      </c>
      <c r="C714" s="35">
        <v>5301270</v>
      </c>
      <c r="D714" s="35">
        <v>6</v>
      </c>
      <c r="E714" s="35"/>
      <c r="F714" s="35" t="s">
        <v>193</v>
      </c>
      <c r="G714" s="36" t="str">
        <f t="shared" si="267"/>
        <v/>
      </c>
      <c r="H714" s="36" t="str">
        <f>IFERROR(IF(--MID($F714,2*COUNTIF($G714:G714,"&gt;"&amp;0)+2,1)=H$1,H$1,""),"")</f>
        <v/>
      </c>
      <c r="I714" s="36">
        <f>IFERROR(IF(--MID($F714,2*COUNTIF($G714:H714,"&gt;"&amp;0)+2,1)=I$1,I$1,""),"")</f>
        <v>3</v>
      </c>
      <c r="J714" s="36" t="str">
        <f>IFERROR(IF(--MID($F714,2*COUNTIF($G714:I714,"&gt;"&amp;0)+2,1)=J$1,J$1,""),"")</f>
        <v/>
      </c>
      <c r="K714" s="36" t="str">
        <f>IFERROR(IF(--MID($F714,2*COUNTIF($G714:J714,"&gt;"&amp;0)+2,1)=K$1,K$1,""),"")</f>
        <v/>
      </c>
      <c r="L714" s="36" t="str">
        <f>IFERROR(IF(--MID($F714,2*COUNTIF($G714:K714,"&gt;"&amp;0)+2,1)=L$1,L$1,""),"")</f>
        <v/>
      </c>
      <c r="M714" s="51" t="str" cm="1">
        <f t="array" ref="M714">IF($A714="","",IF(G714="","",_xlfn.XLOOKUP($D714&amp;"_"&amp;$AE714,符文权重!$A:$A&amp;"_"&amp;符文权重!$C:$C,符文权重!$D:$D)*$Y714/SUMIFS($Y:$Y,G:G,G714,$D:$D,$D714,$AE:$AE,$AE714)/SUMIF(符文权重!$A:$A,$D714,符文权重!$D:$D)))</f>
        <v/>
      </c>
      <c r="N714" s="51" t="str" cm="1">
        <f t="array" ref="N714">IF($A714="","",IF(H714="","",_xlfn.XLOOKUP($D714&amp;"_"&amp;$AE714,符文权重!$A:$A&amp;"_"&amp;符文权重!$C:$C,符文权重!$D:$D)*$Y714/SUMIFS($Y:$Y,H:H,H714,$D:$D,$D714,$AE:$AE,$AE714)/SUMIF(符文权重!$A:$A,$D714,符文权重!$D:$D)))</f>
        <v/>
      </c>
      <c r="O714" s="51" cm="1">
        <f t="array" ref="O714">IF($A714="","",IF(I714="","",_xlfn.XLOOKUP($D714&amp;"_"&amp;$AE714,符文权重!$A:$A&amp;"_"&amp;符文权重!$C:$C,符文权重!$D:$D)*$Y714/SUMIFS($Y:$Y,I:I,I714,$D:$D,$D714,$AE:$AE,$AE714)/SUMIF(符文权重!$A:$A,$D714,符文权重!$D:$D)))</f>
        <v>0.00721428571428571</v>
      </c>
      <c r="P714" s="51" t="str" cm="1">
        <f t="array" ref="P714">IF($A714="","",IF(J714="","",_xlfn.XLOOKUP($D714&amp;"_"&amp;$AE714,符文权重!$A:$A&amp;"_"&amp;符文权重!$C:$C,符文权重!$D:$D)*$Y714/SUMIFS($Y:$Y,J:J,J714,$D:$D,$D714,$AE:$AE,$AE714)/SUMIF(符文权重!$A:$A,$D714,符文权重!$D:$D)))</f>
        <v/>
      </c>
      <c r="Q714" s="51" t="str" cm="1">
        <f t="array" ref="Q714">IF($A714="","",IF(K714="","",_xlfn.XLOOKUP($D714&amp;"_"&amp;$AE714,符文权重!$A:$A&amp;"_"&amp;符文权重!$C:$C,符文权重!$D:$D)*$Y714/SUMIFS($Y:$Y,K:K,K714,$D:$D,$D714,$AE:$AE,$AE714)/SUMIF(符文权重!$A:$A,$D714,符文权重!$D:$D)))</f>
        <v/>
      </c>
      <c r="R714" s="51" t="str" cm="1">
        <f t="array" ref="R714">IF($A714="","",IF(L714="","",_xlfn.XLOOKUP($D714&amp;"_"&amp;$AE714,符文权重!$A:$A&amp;"_"&amp;符文权重!$C:$C,符文权重!$D:$D)*$Y714/SUMIFS($Y:$Y,L:L,L714,$D:$D,$D714,$AE:$AE,$AE714)/SUMIF(符文权重!$A:$A,$D714,符文权重!$D:$D)))</f>
        <v/>
      </c>
      <c r="S714" s="35" t="s">
        <v>344</v>
      </c>
      <c r="T714" s="35" t="s">
        <v>906</v>
      </c>
      <c r="U714" s="35" t="s">
        <v>426</v>
      </c>
      <c r="V714" s="35" t="s">
        <v>919</v>
      </c>
      <c r="X714" s="35" t="s">
        <v>656</v>
      </c>
      <c r="Y714" s="35">
        <v>100</v>
      </c>
      <c r="AA714" s="35" t="s">
        <v>189</v>
      </c>
      <c r="AB714" s="42" t="str">
        <f t="shared" si="266"/>
        <v>唐小僧攻击被&lt;color=#54b76b&gt;[控制]&lt;/color&gt;的目标时，暴击率&lt;color=#54b76b&gt;+12%&lt;/color&gt;</v>
      </c>
      <c r="AC714" s="35">
        <v>5301270</v>
      </c>
      <c r="AD714" s="35" t="s">
        <v>492</v>
      </c>
      <c r="AE714" s="35">
        <v>4</v>
      </c>
      <c r="AH714" s="35">
        <v>1</v>
      </c>
      <c r="AJ714" s="35" t="s">
        <v>920</v>
      </c>
      <c r="AL714" s="35">
        <v>4</v>
      </c>
    </row>
    <row r="715" s="25" customFormat="1" hidden="1" customHeight="1" spans="1:38">
      <c r="A715" s="35">
        <v>5510417</v>
      </c>
      <c r="B715" s="35" t="s">
        <v>905</v>
      </c>
      <c r="C715" s="35">
        <v>5301270</v>
      </c>
      <c r="D715" s="35">
        <v>7</v>
      </c>
      <c r="E715" s="35"/>
      <c r="F715" s="35" t="s">
        <v>193</v>
      </c>
      <c r="G715" s="36" t="str">
        <f t="shared" si="267"/>
        <v/>
      </c>
      <c r="H715" s="36" t="str">
        <f>IFERROR(IF(--MID($F715,2*COUNTIF($G715:G715,"&gt;"&amp;0)+2,1)=H$1,H$1,""),"")</f>
        <v/>
      </c>
      <c r="I715" s="36">
        <f>IFERROR(IF(--MID($F715,2*COUNTIF($G715:H715,"&gt;"&amp;0)+2,1)=I$1,I$1,""),"")</f>
        <v>3</v>
      </c>
      <c r="J715" s="36" t="str">
        <f>IFERROR(IF(--MID($F715,2*COUNTIF($G715:I715,"&gt;"&amp;0)+2,1)=J$1,J$1,""),"")</f>
        <v/>
      </c>
      <c r="K715" s="36" t="str">
        <f>IFERROR(IF(--MID($F715,2*COUNTIF($G715:J715,"&gt;"&amp;0)+2,1)=K$1,K$1,""),"")</f>
        <v/>
      </c>
      <c r="L715" s="36" t="str">
        <f>IFERROR(IF(--MID($F715,2*COUNTIF($G715:K715,"&gt;"&amp;0)+2,1)=L$1,L$1,""),"")</f>
        <v/>
      </c>
      <c r="M715" s="51" t="str" cm="1">
        <f t="array" ref="M715">IF($A715="","",IF(G715="","",_xlfn.XLOOKUP($D715&amp;"_"&amp;$AE715,符文权重!$A:$A&amp;"_"&amp;符文权重!$C:$C,符文权重!$D:$D)*$Y715/SUMIFS($Y:$Y,G:G,G715,$D:$D,$D715,$AE:$AE,$AE715)/SUMIF(符文权重!$A:$A,$D715,符文权重!$D:$D)))</f>
        <v/>
      </c>
      <c r="N715" s="51" t="str" cm="1">
        <f t="array" ref="N715">IF($A715="","",IF(H715="","",_xlfn.XLOOKUP($D715&amp;"_"&amp;$AE715,符文权重!$A:$A&amp;"_"&amp;符文权重!$C:$C,符文权重!$D:$D)*$Y715/SUMIFS($Y:$Y,H:H,H715,$D:$D,$D715,$AE:$AE,$AE715)/SUMIF(符文权重!$A:$A,$D715,符文权重!$D:$D)))</f>
        <v/>
      </c>
      <c r="O715" s="51" cm="1">
        <f t="array" ref="O715">IF($A715="","",IF(I715="","",_xlfn.XLOOKUP($D715&amp;"_"&amp;$AE715,符文权重!$A:$A&amp;"_"&amp;符文权重!$C:$C,符文权重!$D:$D)*$Y715/SUMIFS($Y:$Y,I:I,I715,$D:$D,$D715,$AE:$AE,$AE715)/SUMIF(符文权重!$A:$A,$D715,符文权重!$D:$D)))</f>
        <v>0.00721428571428571</v>
      </c>
      <c r="P715" s="51" t="str" cm="1">
        <f t="array" ref="P715">IF($A715="","",IF(J715="","",_xlfn.XLOOKUP($D715&amp;"_"&amp;$AE715,符文权重!$A:$A&amp;"_"&amp;符文权重!$C:$C,符文权重!$D:$D)*$Y715/SUMIFS($Y:$Y,J:J,J715,$D:$D,$D715,$AE:$AE,$AE715)/SUMIF(符文权重!$A:$A,$D715,符文权重!$D:$D)))</f>
        <v/>
      </c>
      <c r="Q715" s="51" t="str" cm="1">
        <f t="array" ref="Q715">IF($A715="","",IF(K715="","",_xlfn.XLOOKUP($D715&amp;"_"&amp;$AE715,符文权重!$A:$A&amp;"_"&amp;符文权重!$C:$C,符文权重!$D:$D)*$Y715/SUMIFS($Y:$Y,K:K,K715,$D:$D,$D715,$AE:$AE,$AE715)/SUMIF(符文权重!$A:$A,$D715,符文权重!$D:$D)))</f>
        <v/>
      </c>
      <c r="R715" s="51" t="str" cm="1">
        <f t="array" ref="R715">IF($A715="","",IF(L715="","",_xlfn.XLOOKUP($D715&amp;"_"&amp;$AE715,符文权重!$A:$A&amp;"_"&amp;符文权重!$C:$C,符文权重!$D:$D)*$Y715/SUMIFS($Y:$Y,L:L,L715,$D:$D,$D715,$AE:$AE,$AE715)/SUMIF(符文权重!$A:$A,$D715,符文权重!$D:$D)))</f>
        <v/>
      </c>
      <c r="S715" s="35" t="s">
        <v>344</v>
      </c>
      <c r="T715" s="35" t="s">
        <v>906</v>
      </c>
      <c r="U715" s="35" t="s">
        <v>429</v>
      </c>
      <c r="V715" s="35" t="s">
        <v>921</v>
      </c>
      <c r="X715" s="35" t="s">
        <v>795</v>
      </c>
      <c r="Y715" s="35">
        <v>100</v>
      </c>
      <c r="AA715" s="35" t="s">
        <v>191</v>
      </c>
      <c r="AB715" s="42" t="str">
        <f t="shared" si="266"/>
        <v>唐小僧攻击被&lt;color=#54b76b&gt;[控制]&lt;/color&gt;的目标时，暴击率&lt;color=#54b76b&gt;+14%&lt;/color&gt;</v>
      </c>
      <c r="AC715" s="35">
        <v>5301270</v>
      </c>
      <c r="AD715" s="35" t="s">
        <v>854</v>
      </c>
      <c r="AE715" s="35">
        <v>4</v>
      </c>
      <c r="AH715" s="35">
        <v>1</v>
      </c>
      <c r="AI715" s="36"/>
      <c r="AJ715" s="35" t="s">
        <v>922</v>
      </c>
      <c r="AK715" s="36"/>
      <c r="AL715" s="35">
        <v>4</v>
      </c>
    </row>
    <row r="716" s="25" customFormat="1" hidden="1" customHeight="1" spans="1:38">
      <c r="A716" s="35">
        <v>5510424</v>
      </c>
      <c r="B716" s="55" t="s">
        <v>905</v>
      </c>
      <c r="C716" s="35">
        <v>5301271</v>
      </c>
      <c r="D716" s="36">
        <v>4</v>
      </c>
      <c r="E716" s="36"/>
      <c r="F716" s="35" t="s">
        <v>404</v>
      </c>
      <c r="G716" s="36" t="str">
        <f t="shared" si="267"/>
        <v/>
      </c>
      <c r="H716" s="36" t="str">
        <f>IFERROR(IF(--MID($F716,2*COUNTIF($G716:G716,"&gt;"&amp;0)+2,1)=H$1,H$1,""),"")</f>
        <v/>
      </c>
      <c r="I716" s="36" t="str">
        <f>IFERROR(IF(--MID($F716,2*COUNTIF($G716:H716,"&gt;"&amp;0)+2,1)=I$1,I$1,""),"")</f>
        <v/>
      </c>
      <c r="J716" s="36">
        <f>IFERROR(IF(--MID($F716,2*COUNTIF($G716:I716,"&gt;"&amp;0)+2,1)=J$1,J$1,""),"")</f>
        <v>4</v>
      </c>
      <c r="K716" s="36" t="str">
        <f>IFERROR(IF(--MID($F716,2*COUNTIF($G716:J716,"&gt;"&amp;0)+2,1)=K$1,K$1,""),"")</f>
        <v/>
      </c>
      <c r="L716" s="36" t="str">
        <f>IFERROR(IF(--MID($F716,2*COUNTIF($G716:K716,"&gt;"&amp;0)+2,1)=L$1,L$1,""),"")</f>
        <v/>
      </c>
      <c r="M716" s="51" t="str" cm="1">
        <f t="array" ref="M716">IF($A716="","",IF(G716="","",_xlfn.XLOOKUP($D716&amp;"_"&amp;$AE716,符文权重!$A:$A&amp;"_"&amp;符文权重!$C:$C,符文权重!$D:$D)*$Y716/SUMIFS($Y:$Y,G:G,G716,$D:$D,$D716,$AE:$AE,$AE716)/SUMIF(符文权重!$A:$A,$D716,符文权重!$D:$D)))</f>
        <v/>
      </c>
      <c r="N716" s="51" t="str" cm="1">
        <f t="array" ref="N716">IF($A716="","",IF(H716="","",_xlfn.XLOOKUP($D716&amp;"_"&amp;$AE716,符文权重!$A:$A&amp;"_"&amp;符文权重!$C:$C,符文权重!$D:$D)*$Y716/SUMIFS($Y:$Y,H:H,H716,$D:$D,$D716,$AE:$AE,$AE716)/SUMIF(符文权重!$A:$A,$D716,符文权重!$D:$D)))</f>
        <v/>
      </c>
      <c r="O716" s="51" t="str" cm="1">
        <f t="array" ref="O716">IF($A716="","",IF(I716="","",_xlfn.XLOOKUP($D716&amp;"_"&amp;$AE716,符文权重!$A:$A&amp;"_"&amp;符文权重!$C:$C,符文权重!$D:$D)*$Y716/SUMIFS($Y:$Y,I:I,I716,$D:$D,$D716,$AE:$AE,$AE716)/SUMIF(符文权重!$A:$A,$D716,符文权重!$D:$D)))</f>
        <v/>
      </c>
      <c r="P716" s="51" cm="1">
        <f t="array" ref="P716">IF($A716="","",IF(J716="","",_xlfn.XLOOKUP($D716&amp;"_"&amp;$AE716,符文权重!$A:$A&amp;"_"&amp;符文权重!$C:$C,符文权重!$D:$D)*$Y716/SUMIFS($Y:$Y,J:J,J716,$D:$D,$D716,$AE:$AE,$AE716)/SUMIF(符文权重!$A:$A,$D716,符文权重!$D:$D)))</f>
        <v>0.00262762762762763</v>
      </c>
      <c r="Q716" s="51" t="str" cm="1">
        <f t="array" ref="Q716">IF($A716="","",IF(K716="","",_xlfn.XLOOKUP($D716&amp;"_"&amp;$AE716,符文权重!$A:$A&amp;"_"&amp;符文权重!$C:$C,符文权重!$D:$D)*$Y716/SUMIFS($Y:$Y,K:K,K716,$D:$D,$D716,$AE:$AE,$AE716)/SUMIF(符文权重!$A:$A,$D716,符文权重!$D:$D)))</f>
        <v/>
      </c>
      <c r="R716" s="51" t="str" cm="1">
        <f t="array" ref="R716">IF($A716="","",IF(L716="","",_xlfn.XLOOKUP($D716&amp;"_"&amp;$AE716,符文权重!$A:$A&amp;"_"&amp;符文权重!$C:$C,符文权重!$D:$D)*$Y716/SUMIFS($Y:$Y,L:L,L716,$D:$D,$D716,$AE:$AE,$AE716)/SUMIF(符文权重!$A:$A,$D716,符文权重!$D:$D)))</f>
        <v/>
      </c>
      <c r="S716" s="36" t="s">
        <v>344</v>
      </c>
      <c r="T716" s="36" t="s">
        <v>906</v>
      </c>
      <c r="U716" s="36" t="s">
        <v>420</v>
      </c>
      <c r="V716" s="25" t="s">
        <v>923</v>
      </c>
      <c r="W716" s="36"/>
      <c r="X716" s="35" t="s">
        <v>595</v>
      </c>
      <c r="Y716" s="35">
        <v>100</v>
      </c>
      <c r="Z716" s="35"/>
      <c r="AA716" s="36" t="s">
        <v>185</v>
      </c>
      <c r="AB716" s="42" t="str">
        <f t="shared" si="266"/>
        <v>唐小僧[木鱼]释放时&lt;color=#54b76b&gt;20%&lt;/color&gt;几率数量&lt;color=#54b76b&gt;+1&lt;/color&gt;</v>
      </c>
      <c r="AC716" s="35">
        <v>5301271</v>
      </c>
      <c r="AD716" s="36" t="s">
        <v>428</v>
      </c>
      <c r="AE716" s="36">
        <v>8</v>
      </c>
      <c r="AF716" s="36"/>
      <c r="AG716" s="36"/>
      <c r="AH716" s="36">
        <v>1</v>
      </c>
      <c r="AI716" s="36"/>
      <c r="AJ716" s="36" t="s">
        <v>924</v>
      </c>
      <c r="AK716" s="36"/>
      <c r="AL716" s="35">
        <v>4</v>
      </c>
    </row>
    <row r="717" s="25" customFormat="1" hidden="1" customHeight="1" spans="1:38">
      <c r="A717" s="35">
        <v>5510425</v>
      </c>
      <c r="B717" s="35" t="s">
        <v>905</v>
      </c>
      <c r="C717" s="35">
        <v>5301271</v>
      </c>
      <c r="D717" s="35">
        <v>5</v>
      </c>
      <c r="E717" s="35"/>
      <c r="F717" s="35" t="s">
        <v>404</v>
      </c>
      <c r="G717" s="36" t="str">
        <f t="shared" si="267"/>
        <v/>
      </c>
      <c r="H717" s="36" t="str">
        <f>IFERROR(IF(--MID($F717,2*COUNTIF($G717:G717,"&gt;"&amp;0)+2,1)=H$1,H$1,""),"")</f>
        <v/>
      </c>
      <c r="I717" s="36" t="str">
        <f>IFERROR(IF(--MID($F717,2*COUNTIF($G717:H717,"&gt;"&amp;0)+2,1)=I$1,I$1,""),"")</f>
        <v/>
      </c>
      <c r="J717" s="36">
        <f>IFERROR(IF(--MID($F717,2*COUNTIF($G717:I717,"&gt;"&amp;0)+2,1)=J$1,J$1,""),"")</f>
        <v>4</v>
      </c>
      <c r="K717" s="36" t="str">
        <f>IFERROR(IF(--MID($F717,2*COUNTIF($G717:J717,"&gt;"&amp;0)+2,1)=K$1,K$1,""),"")</f>
        <v/>
      </c>
      <c r="L717" s="36" t="str">
        <f>IFERROR(IF(--MID($F717,2*COUNTIF($G717:K717,"&gt;"&amp;0)+2,1)=L$1,L$1,""),"")</f>
        <v/>
      </c>
      <c r="M717" s="51" t="str" cm="1">
        <f t="array" ref="M717">IF($A717="","",IF(G717="","",_xlfn.XLOOKUP($D717&amp;"_"&amp;$AE717,符文权重!$A:$A&amp;"_"&amp;符文权重!$C:$C,符文权重!$D:$D)*$Y717/SUMIFS($Y:$Y,G:G,G717,$D:$D,$D717,$AE:$AE,$AE717)/SUMIF(符文权重!$A:$A,$D717,符文权重!$D:$D)))</f>
        <v/>
      </c>
      <c r="N717" s="51" t="str" cm="1">
        <f t="array" ref="N717">IF($A717="","",IF(H717="","",_xlfn.XLOOKUP($D717&amp;"_"&amp;$AE717,符文权重!$A:$A&amp;"_"&amp;符文权重!$C:$C,符文权重!$D:$D)*$Y717/SUMIFS($Y:$Y,H:H,H717,$D:$D,$D717,$AE:$AE,$AE717)/SUMIF(符文权重!$A:$A,$D717,符文权重!$D:$D)))</f>
        <v/>
      </c>
      <c r="O717" s="51" t="str" cm="1">
        <f t="array" ref="O717">IF($A717="","",IF(I717="","",_xlfn.XLOOKUP($D717&amp;"_"&amp;$AE717,符文权重!$A:$A&amp;"_"&amp;符文权重!$C:$C,符文权重!$D:$D)*$Y717/SUMIFS($Y:$Y,I:I,I717,$D:$D,$D717,$AE:$AE,$AE717)/SUMIF(符文权重!$A:$A,$D717,符文权重!$D:$D)))</f>
        <v/>
      </c>
      <c r="P717" s="51" cm="1">
        <f t="array" ref="P717">IF($A717="","",IF(J717="","",_xlfn.XLOOKUP($D717&amp;"_"&amp;$AE717,符文权重!$A:$A&amp;"_"&amp;符文权重!$C:$C,符文权重!$D:$D)*$Y717/SUMIFS($Y:$Y,J:J,J717,$D:$D,$D717,$AE:$AE,$AE717)/SUMIF(符文权重!$A:$A,$D717,符文权重!$D:$D)))</f>
        <v>0.0063125</v>
      </c>
      <c r="Q717" s="51" t="str" cm="1">
        <f t="array" ref="Q717">IF($A717="","",IF(K717="","",_xlfn.XLOOKUP($D717&amp;"_"&amp;$AE717,符文权重!$A:$A&amp;"_"&amp;符文权重!$C:$C,符文权重!$D:$D)*$Y717/SUMIFS($Y:$Y,K:K,K717,$D:$D,$D717,$AE:$AE,$AE717)/SUMIF(符文权重!$A:$A,$D717,符文权重!$D:$D)))</f>
        <v/>
      </c>
      <c r="R717" s="51" t="str" cm="1">
        <f t="array" ref="R717">IF($A717="","",IF(L717="","",_xlfn.XLOOKUP($D717&amp;"_"&amp;$AE717,符文权重!$A:$A&amp;"_"&amp;符文权重!$C:$C,符文权重!$D:$D)*$Y717/SUMIFS($Y:$Y,L:L,L717,$D:$D,$D717,$AE:$AE,$AE717)/SUMIF(符文权重!$A:$A,$D717,符文权重!$D:$D)))</f>
        <v/>
      </c>
      <c r="S717" s="35" t="s">
        <v>344</v>
      </c>
      <c r="T717" s="35" t="s">
        <v>906</v>
      </c>
      <c r="U717" s="35" t="s">
        <v>423</v>
      </c>
      <c r="V717" s="35" t="s">
        <v>925</v>
      </c>
      <c r="X717" s="35" t="s">
        <v>790</v>
      </c>
      <c r="Y717" s="35">
        <v>100</v>
      </c>
      <c r="AA717" s="35" t="s">
        <v>187</v>
      </c>
      <c r="AB717" s="42" t="str">
        <f t="shared" si="266"/>
        <v>唐小僧[木鱼]释放时&lt;color=#54b76b&gt;28%&lt;/color&gt;几率数量&lt;color=#54b76b&gt;+1&lt;/color&gt;</v>
      </c>
      <c r="AC717" s="35">
        <v>5301271</v>
      </c>
      <c r="AD717" s="35" t="s">
        <v>808</v>
      </c>
      <c r="AE717" s="35">
        <v>4</v>
      </c>
      <c r="AH717" s="35">
        <v>1</v>
      </c>
      <c r="AI717" s="36"/>
      <c r="AJ717" s="35" t="s">
        <v>926</v>
      </c>
      <c r="AK717" s="36"/>
      <c r="AL717" s="35">
        <v>4</v>
      </c>
    </row>
    <row r="718" s="25" customFormat="1" hidden="1" customHeight="1" spans="1:38">
      <c r="A718" s="35">
        <v>5510426</v>
      </c>
      <c r="B718" s="35" t="s">
        <v>905</v>
      </c>
      <c r="C718" s="35">
        <v>5301271</v>
      </c>
      <c r="D718" s="35">
        <v>6</v>
      </c>
      <c r="E718" s="35"/>
      <c r="F718" s="35" t="s">
        <v>404</v>
      </c>
      <c r="G718" s="36" t="str">
        <f t="shared" si="267"/>
        <v/>
      </c>
      <c r="H718" s="36" t="str">
        <f>IFERROR(IF(--MID($F718,2*COUNTIF($G718:G718,"&gt;"&amp;0)+2,1)=H$1,H$1,""),"")</f>
        <v/>
      </c>
      <c r="I718" s="36" t="str">
        <f>IFERROR(IF(--MID($F718,2*COUNTIF($G718:H718,"&gt;"&amp;0)+2,1)=I$1,I$1,""),"")</f>
        <v/>
      </c>
      <c r="J718" s="36">
        <f>IFERROR(IF(--MID($F718,2*COUNTIF($G718:I718,"&gt;"&amp;0)+2,1)=J$1,J$1,""),"")</f>
        <v>4</v>
      </c>
      <c r="K718" s="36" t="str">
        <f>IFERROR(IF(--MID($F718,2*COUNTIF($G718:J718,"&gt;"&amp;0)+2,1)=K$1,K$1,""),"")</f>
        <v/>
      </c>
      <c r="L718" s="36" t="str">
        <f>IFERROR(IF(--MID($F718,2*COUNTIF($G718:K718,"&gt;"&amp;0)+2,1)=L$1,L$1,""),"")</f>
        <v/>
      </c>
      <c r="M718" s="51" t="str" cm="1">
        <f t="array" ref="M718">IF($A718="","",IF(G718="","",_xlfn.XLOOKUP($D718&amp;"_"&amp;$AE718,符文权重!$A:$A&amp;"_"&amp;符文权重!$C:$C,符文权重!$D:$D)*$Y718/SUMIFS($Y:$Y,G:G,G718,$D:$D,$D718,$AE:$AE,$AE718)/SUMIF(符文权重!$A:$A,$D718,符文权重!$D:$D)))</f>
        <v/>
      </c>
      <c r="N718" s="51" t="str" cm="1">
        <f t="array" ref="N718">IF($A718="","",IF(H718="","",_xlfn.XLOOKUP($D718&amp;"_"&amp;$AE718,符文权重!$A:$A&amp;"_"&amp;符文权重!$C:$C,符文权重!$D:$D)*$Y718/SUMIFS($Y:$Y,H:H,H718,$D:$D,$D718,$AE:$AE,$AE718)/SUMIF(符文权重!$A:$A,$D718,符文权重!$D:$D)))</f>
        <v/>
      </c>
      <c r="O718" s="51" t="str" cm="1">
        <f t="array" ref="O718">IF($A718="","",IF(I718="","",_xlfn.XLOOKUP($D718&amp;"_"&amp;$AE718,符文权重!$A:$A&amp;"_"&amp;符文权重!$C:$C,符文权重!$D:$D)*$Y718/SUMIFS($Y:$Y,I:I,I718,$D:$D,$D718,$AE:$AE,$AE718)/SUMIF(符文权重!$A:$A,$D718,符文权重!$D:$D)))</f>
        <v/>
      </c>
      <c r="P718" s="51" cm="1">
        <f t="array" ref="P718">IF($A718="","",IF(J718="","",_xlfn.XLOOKUP($D718&amp;"_"&amp;$AE718,符文权重!$A:$A&amp;"_"&amp;符文权重!$C:$C,符文权重!$D:$D)*$Y718/SUMIFS($Y:$Y,J:J,J718,$D:$D,$D718,$AE:$AE,$AE718)/SUMIF(符文权重!$A:$A,$D718,符文权重!$D:$D)))</f>
        <v>0.0063125</v>
      </c>
      <c r="Q718" s="51" t="str" cm="1">
        <f t="array" ref="Q718">IF($A718="","",IF(K718="","",_xlfn.XLOOKUP($D718&amp;"_"&amp;$AE718,符文权重!$A:$A&amp;"_"&amp;符文权重!$C:$C,符文权重!$D:$D)*$Y718/SUMIFS($Y:$Y,K:K,K718,$D:$D,$D718,$AE:$AE,$AE718)/SUMIF(符文权重!$A:$A,$D718,符文权重!$D:$D)))</f>
        <v/>
      </c>
      <c r="R718" s="51" t="str" cm="1">
        <f t="array" ref="R718">IF($A718="","",IF(L718="","",_xlfn.XLOOKUP($D718&amp;"_"&amp;$AE718,符文权重!$A:$A&amp;"_"&amp;符文权重!$C:$C,符文权重!$D:$D)*$Y718/SUMIFS($Y:$Y,L:L,L718,$D:$D,$D718,$AE:$AE,$AE718)/SUMIF(符文权重!$A:$A,$D718,符文权重!$D:$D)))</f>
        <v/>
      </c>
      <c r="S718" s="35" t="s">
        <v>344</v>
      </c>
      <c r="T718" s="35" t="s">
        <v>906</v>
      </c>
      <c r="U718" s="35" t="s">
        <v>426</v>
      </c>
      <c r="V718" s="35" t="s">
        <v>927</v>
      </c>
      <c r="X718" s="35" t="s">
        <v>656</v>
      </c>
      <c r="Y718" s="35">
        <v>100</v>
      </c>
      <c r="AA718" s="35" t="s">
        <v>189</v>
      </c>
      <c r="AB718" s="42" t="str">
        <f t="shared" si="266"/>
        <v>唐小僧[木鱼]释放时&lt;color=#54b76b&gt;35%&lt;/color&gt;几率数量&lt;color=#54b76b&gt;+1&lt;/color&gt;</v>
      </c>
      <c r="AC718" s="35">
        <v>5301271</v>
      </c>
      <c r="AD718" s="35" t="s">
        <v>447</v>
      </c>
      <c r="AE718" s="35">
        <v>4</v>
      </c>
      <c r="AH718" s="35">
        <v>1</v>
      </c>
      <c r="AI718" s="36"/>
      <c r="AJ718" s="35" t="s">
        <v>928</v>
      </c>
      <c r="AK718" s="36"/>
      <c r="AL718" s="35">
        <v>4</v>
      </c>
    </row>
    <row r="719" s="25" customFormat="1" hidden="1" customHeight="1" spans="1:38">
      <c r="A719" s="35">
        <v>5510427</v>
      </c>
      <c r="B719" s="35" t="s">
        <v>905</v>
      </c>
      <c r="C719" s="35">
        <v>5301271</v>
      </c>
      <c r="D719" s="35">
        <v>7</v>
      </c>
      <c r="E719" s="35"/>
      <c r="F719" s="35" t="s">
        <v>404</v>
      </c>
      <c r="G719" s="36" t="str">
        <f t="shared" si="267"/>
        <v/>
      </c>
      <c r="H719" s="36" t="str">
        <f>IFERROR(IF(--MID($F719,2*COUNTIF($G719:G719,"&gt;"&amp;0)+2,1)=H$1,H$1,""),"")</f>
        <v/>
      </c>
      <c r="I719" s="36" t="str">
        <f>IFERROR(IF(--MID($F719,2*COUNTIF($G719:H719,"&gt;"&amp;0)+2,1)=I$1,I$1,""),"")</f>
        <v/>
      </c>
      <c r="J719" s="36">
        <f>IFERROR(IF(--MID($F719,2*COUNTIF($G719:I719,"&gt;"&amp;0)+2,1)=J$1,J$1,""),"")</f>
        <v>4</v>
      </c>
      <c r="K719" s="36" t="str">
        <f>IFERROR(IF(--MID($F719,2*COUNTIF($G719:J719,"&gt;"&amp;0)+2,1)=K$1,K$1,""),"")</f>
        <v/>
      </c>
      <c r="L719" s="36" t="str">
        <f>IFERROR(IF(--MID($F719,2*COUNTIF($G719:K719,"&gt;"&amp;0)+2,1)=L$1,L$1,""),"")</f>
        <v/>
      </c>
      <c r="M719" s="51" t="str" cm="1">
        <f t="array" ref="M719">IF($A719="","",IF(G719="","",_xlfn.XLOOKUP($D719&amp;"_"&amp;$AE719,符文权重!$A:$A&amp;"_"&amp;符文权重!$C:$C,符文权重!$D:$D)*$Y719/SUMIFS($Y:$Y,G:G,G719,$D:$D,$D719,$AE:$AE,$AE719)/SUMIF(符文权重!$A:$A,$D719,符文权重!$D:$D)))</f>
        <v/>
      </c>
      <c r="N719" s="51" t="str" cm="1">
        <f t="array" ref="N719">IF($A719="","",IF(H719="","",_xlfn.XLOOKUP($D719&amp;"_"&amp;$AE719,符文权重!$A:$A&amp;"_"&amp;符文权重!$C:$C,符文权重!$D:$D)*$Y719/SUMIFS($Y:$Y,H:H,H719,$D:$D,$D719,$AE:$AE,$AE719)/SUMIF(符文权重!$A:$A,$D719,符文权重!$D:$D)))</f>
        <v/>
      </c>
      <c r="O719" s="51" t="str" cm="1">
        <f t="array" ref="O719">IF($A719="","",IF(I719="","",_xlfn.XLOOKUP($D719&amp;"_"&amp;$AE719,符文权重!$A:$A&amp;"_"&amp;符文权重!$C:$C,符文权重!$D:$D)*$Y719/SUMIFS($Y:$Y,I:I,I719,$D:$D,$D719,$AE:$AE,$AE719)/SUMIF(符文权重!$A:$A,$D719,符文权重!$D:$D)))</f>
        <v/>
      </c>
      <c r="P719" s="51" cm="1">
        <f t="array" ref="P719">IF($A719="","",IF(J719="","",_xlfn.XLOOKUP($D719&amp;"_"&amp;$AE719,符文权重!$A:$A&amp;"_"&amp;符文权重!$C:$C,符文权重!$D:$D)*$Y719/SUMIFS($Y:$Y,J:J,J719,$D:$D,$D719,$AE:$AE,$AE719)/SUMIF(符文权重!$A:$A,$D719,符文权重!$D:$D)))</f>
        <v>0.0063125</v>
      </c>
      <c r="Q719" s="51" t="str" cm="1">
        <f t="array" ref="Q719">IF($A719="","",IF(K719="","",_xlfn.XLOOKUP($D719&amp;"_"&amp;$AE719,符文权重!$A:$A&amp;"_"&amp;符文权重!$C:$C,符文权重!$D:$D)*$Y719/SUMIFS($Y:$Y,K:K,K719,$D:$D,$D719,$AE:$AE,$AE719)/SUMIF(符文权重!$A:$A,$D719,符文权重!$D:$D)))</f>
        <v/>
      </c>
      <c r="R719" s="51" t="str" cm="1">
        <f t="array" ref="R719">IF($A719="","",IF(L719="","",_xlfn.XLOOKUP($D719&amp;"_"&amp;$AE719,符文权重!$A:$A&amp;"_"&amp;符文权重!$C:$C,符文权重!$D:$D)*$Y719/SUMIFS($Y:$Y,L:L,L719,$D:$D,$D719,$AE:$AE,$AE719)/SUMIF(符文权重!$A:$A,$D719,符文权重!$D:$D)))</f>
        <v/>
      </c>
      <c r="S719" s="35" t="s">
        <v>344</v>
      </c>
      <c r="T719" s="35" t="s">
        <v>906</v>
      </c>
      <c r="U719" s="35" t="s">
        <v>429</v>
      </c>
      <c r="V719" s="35" t="s">
        <v>929</v>
      </c>
      <c r="X719" s="35" t="s">
        <v>795</v>
      </c>
      <c r="Y719" s="35">
        <v>100</v>
      </c>
      <c r="AA719" s="35" t="s">
        <v>191</v>
      </c>
      <c r="AB719" s="42" t="str">
        <f t="shared" si="266"/>
        <v>唐小僧[木鱼]释放时&lt;color=#54b76b&gt;45%&lt;/color&gt;几率数量&lt;color=#54b76b&gt;+1&lt;/color&gt;</v>
      </c>
      <c r="AC719" s="35">
        <v>5301271</v>
      </c>
      <c r="AD719" s="35" t="s">
        <v>474</v>
      </c>
      <c r="AE719" s="35">
        <v>4</v>
      </c>
      <c r="AH719" s="35">
        <v>1</v>
      </c>
      <c r="AJ719" s="35" t="s">
        <v>930</v>
      </c>
      <c r="AL719" s="35">
        <v>4</v>
      </c>
    </row>
    <row r="720" s="25" customFormat="1" hidden="1" customHeight="1" spans="1:38">
      <c r="A720" s="35">
        <v>5510434</v>
      </c>
      <c r="B720" s="34" t="s">
        <v>931</v>
      </c>
      <c r="C720" s="35">
        <v>5301273</v>
      </c>
      <c r="D720" s="36">
        <v>4</v>
      </c>
      <c r="E720" s="36"/>
      <c r="F720" s="35" t="s">
        <v>220</v>
      </c>
      <c r="G720" s="36" t="str">
        <f t="shared" si="267"/>
        <v/>
      </c>
      <c r="H720" s="36" t="str">
        <f>IFERROR(IF(--MID($F720,2*COUNTIF($G720:G720,"&gt;"&amp;0)+2,1)=H$1,H$1,""),"")</f>
        <v/>
      </c>
      <c r="I720" s="36" t="str">
        <f>IFERROR(IF(--MID($F720,2*COUNTIF($G720:H720,"&gt;"&amp;0)+2,1)=I$1,I$1,""),"")</f>
        <v/>
      </c>
      <c r="J720" s="36" t="str">
        <f>IFERROR(IF(--MID($F720,2*COUNTIF($G720:I720,"&gt;"&amp;0)+2,1)=J$1,J$1,""),"")</f>
        <v/>
      </c>
      <c r="K720" s="36" t="str">
        <f>IFERROR(IF(--MID($F720,2*COUNTIF($G720:J720,"&gt;"&amp;0)+2,1)=K$1,K$1,""),"")</f>
        <v/>
      </c>
      <c r="L720" s="36">
        <f>IFERROR(IF(--MID($F720,2*COUNTIF($G720:K720,"&gt;"&amp;0)+2,1)=L$1,L$1,""),"")</f>
        <v>6</v>
      </c>
      <c r="M720" s="51" t="str" cm="1">
        <f t="array" ref="M720">IF($A720="","",IF(G720="","",_xlfn.XLOOKUP($D720&amp;"_"&amp;$AE720,符文权重!$A:$A&amp;"_"&amp;符文权重!$C:$C,符文权重!$D:$D)*$Y720/SUMIFS($Y:$Y,G:G,G720,$D:$D,$D720,$AE:$AE,$AE720)/SUMIF(符文权重!$A:$A,$D720,符文权重!$D:$D)))</f>
        <v/>
      </c>
      <c r="N720" s="51" t="str" cm="1">
        <f t="array" ref="N720">IF($A720="","",IF(H720="","",_xlfn.XLOOKUP($D720&amp;"_"&amp;$AE720,符文权重!$A:$A&amp;"_"&amp;符文权重!$C:$C,符文权重!$D:$D)*$Y720/SUMIFS($Y:$Y,H:H,H720,$D:$D,$D720,$AE:$AE,$AE720)/SUMIF(符文权重!$A:$A,$D720,符文权重!$D:$D)))</f>
        <v/>
      </c>
      <c r="O720" s="51" t="str" cm="1">
        <f t="array" ref="O720">IF($A720="","",IF(I720="","",_xlfn.XLOOKUP($D720&amp;"_"&amp;$AE720,符文权重!$A:$A&amp;"_"&amp;符文权重!$C:$C,符文权重!$D:$D)*$Y720/SUMIFS($Y:$Y,I:I,I720,$D:$D,$D720,$AE:$AE,$AE720)/SUMIF(符文权重!$A:$A,$D720,符文权重!$D:$D)))</f>
        <v/>
      </c>
      <c r="P720" s="51" t="str" cm="1">
        <f t="array" ref="P720">IF($A720="","",IF(J720="","",_xlfn.XLOOKUP($D720&amp;"_"&amp;$AE720,符文权重!$A:$A&amp;"_"&amp;符文权重!$C:$C,符文权重!$D:$D)*$Y720/SUMIFS($Y:$Y,J:J,J720,$D:$D,$D720,$AE:$AE,$AE720)/SUMIF(符文权重!$A:$A,$D720,符文权重!$D:$D)))</f>
        <v/>
      </c>
      <c r="Q720" s="51" t="str" cm="1">
        <f t="array" ref="Q720">IF($A720="","",IF(K720="","",_xlfn.XLOOKUP($D720&amp;"_"&amp;$AE720,符文权重!$A:$A&amp;"_"&amp;符文权重!$C:$C,符文权重!$D:$D)*$Y720/SUMIFS($Y:$Y,K:K,K720,$D:$D,$D720,$AE:$AE,$AE720)/SUMIF(符文权重!$A:$A,$D720,符文权重!$D:$D)))</f>
        <v/>
      </c>
      <c r="R720" s="51" cm="1">
        <f t="array" ref="R720">IF($A720="","",IF(L720="","",_xlfn.XLOOKUP($D720&amp;"_"&amp;$AE720,符文权重!$A:$A&amp;"_"&amp;符文权重!$C:$C,符文权重!$D:$D)*$Y720/SUMIFS($Y:$Y,L:L,L720,$D:$D,$D720,$AE:$AE,$AE720)/SUMIF(符文权重!$A:$A,$D720,符文权重!$D:$D)))</f>
        <v>0.00262762762762763</v>
      </c>
      <c r="S720" s="36" t="s">
        <v>344</v>
      </c>
      <c r="T720" s="36" t="s">
        <v>932</v>
      </c>
      <c r="U720" s="36" t="s">
        <v>420</v>
      </c>
      <c r="V720" s="25" t="s">
        <v>933</v>
      </c>
      <c r="W720" s="36"/>
      <c r="X720" s="35" t="s">
        <v>817</v>
      </c>
      <c r="Y720" s="35">
        <v>100</v>
      </c>
      <c r="Z720" s="35"/>
      <c r="AA720" s="36" t="s">
        <v>185</v>
      </c>
      <c r="AB720" s="42" t="str">
        <f t="shared" si="266"/>
        <v>蜘蛛女皇的地刺叠加&lt;color=#54b76b&gt;1层&lt;/color&gt;中毒</v>
      </c>
      <c r="AC720" s="35">
        <v>5301273</v>
      </c>
      <c r="AD720" s="36" t="s">
        <v>428</v>
      </c>
      <c r="AE720" s="36">
        <v>8</v>
      </c>
      <c r="AF720" s="36"/>
      <c r="AG720" s="36"/>
      <c r="AH720" s="36">
        <v>1</v>
      </c>
      <c r="AI720" s="36"/>
      <c r="AJ720" s="36" t="s">
        <v>934</v>
      </c>
      <c r="AK720" s="36"/>
      <c r="AL720" s="35">
        <v>4</v>
      </c>
    </row>
    <row r="721" s="25" customFormat="1" hidden="1" customHeight="1" spans="1:38">
      <c r="A721" s="35">
        <v>5510435</v>
      </c>
      <c r="B721" s="35" t="s">
        <v>931</v>
      </c>
      <c r="C721" s="35">
        <v>5301273</v>
      </c>
      <c r="D721" s="35">
        <v>5</v>
      </c>
      <c r="E721" s="35"/>
      <c r="F721" s="35" t="s">
        <v>220</v>
      </c>
      <c r="G721" s="36" t="str">
        <f t="shared" si="267"/>
        <v/>
      </c>
      <c r="H721" s="36" t="str">
        <f>IFERROR(IF(--MID($F721,2*COUNTIF($G721:G721,"&gt;"&amp;0)+2,1)=H$1,H$1,""),"")</f>
        <v/>
      </c>
      <c r="I721" s="36" t="str">
        <f>IFERROR(IF(--MID($F721,2*COUNTIF($G721:H721,"&gt;"&amp;0)+2,1)=I$1,I$1,""),"")</f>
        <v/>
      </c>
      <c r="J721" s="36" t="str">
        <f>IFERROR(IF(--MID($F721,2*COUNTIF($G721:I721,"&gt;"&amp;0)+2,1)=J$1,J$1,""),"")</f>
        <v/>
      </c>
      <c r="K721" s="36" t="str">
        <f>IFERROR(IF(--MID($F721,2*COUNTIF($G721:J721,"&gt;"&amp;0)+2,1)=K$1,K$1,""),"")</f>
        <v/>
      </c>
      <c r="L721" s="36">
        <f>IFERROR(IF(--MID($F721,2*COUNTIF($G721:K721,"&gt;"&amp;0)+2,1)=L$1,L$1,""),"")</f>
        <v>6</v>
      </c>
      <c r="M721" s="51" t="str" cm="1">
        <f t="array" ref="M721">IF($A721="","",IF(G721="","",_xlfn.XLOOKUP($D721&amp;"_"&amp;$AE721,符文权重!$A:$A&amp;"_"&amp;符文权重!$C:$C,符文权重!$D:$D)*$Y721/SUMIFS($Y:$Y,G:G,G721,$D:$D,$D721,$AE:$AE,$AE721)/SUMIF(符文权重!$A:$A,$D721,符文权重!$D:$D)))</f>
        <v/>
      </c>
      <c r="N721" s="51" t="str" cm="1">
        <f t="array" ref="N721">IF($A721="","",IF(H721="","",_xlfn.XLOOKUP($D721&amp;"_"&amp;$AE721,符文权重!$A:$A&amp;"_"&amp;符文权重!$C:$C,符文权重!$D:$D)*$Y721/SUMIFS($Y:$Y,H:H,H721,$D:$D,$D721,$AE:$AE,$AE721)/SUMIF(符文权重!$A:$A,$D721,符文权重!$D:$D)))</f>
        <v/>
      </c>
      <c r="O721" s="51" t="str" cm="1">
        <f t="array" ref="O721">IF($A721="","",IF(I721="","",_xlfn.XLOOKUP($D721&amp;"_"&amp;$AE721,符文权重!$A:$A&amp;"_"&amp;符文权重!$C:$C,符文权重!$D:$D)*$Y721/SUMIFS($Y:$Y,I:I,I721,$D:$D,$D721,$AE:$AE,$AE721)/SUMIF(符文权重!$A:$A,$D721,符文权重!$D:$D)))</f>
        <v/>
      </c>
      <c r="P721" s="51" t="str" cm="1">
        <f t="array" ref="P721">IF($A721="","",IF(J721="","",_xlfn.XLOOKUP($D721&amp;"_"&amp;$AE721,符文权重!$A:$A&amp;"_"&amp;符文权重!$C:$C,符文权重!$D:$D)*$Y721/SUMIFS($Y:$Y,J:J,J721,$D:$D,$D721,$AE:$AE,$AE721)/SUMIF(符文权重!$A:$A,$D721,符文权重!$D:$D)))</f>
        <v/>
      </c>
      <c r="Q721" s="51" t="str" cm="1">
        <f t="array" ref="Q721">IF($A721="","",IF(K721="","",_xlfn.XLOOKUP($D721&amp;"_"&amp;$AE721,符文权重!$A:$A&amp;"_"&amp;符文权重!$C:$C,符文权重!$D:$D)*$Y721/SUMIFS($Y:$Y,K:K,K721,$D:$D,$D721,$AE:$AE,$AE721)/SUMIF(符文权重!$A:$A,$D721,符文权重!$D:$D)))</f>
        <v/>
      </c>
      <c r="R721" s="51" cm="1">
        <f t="array" ref="R721">IF($A721="","",IF(L721="","",_xlfn.XLOOKUP($D721&amp;"_"&amp;$AE721,符文权重!$A:$A&amp;"_"&amp;符文权重!$C:$C,符文权重!$D:$D)*$Y721/SUMIFS($Y:$Y,L:L,L721,$D:$D,$D721,$AE:$AE,$AE721)/SUMIF(符文权重!$A:$A,$D721,符文权重!$D:$D)))</f>
        <v>0.0063125</v>
      </c>
      <c r="S721" s="35" t="s">
        <v>344</v>
      </c>
      <c r="T721" s="35" t="s">
        <v>932</v>
      </c>
      <c r="U721" s="35" t="s">
        <v>423</v>
      </c>
      <c r="V721" s="35" t="s">
        <v>935</v>
      </c>
      <c r="X721" s="35" t="s">
        <v>820</v>
      </c>
      <c r="Y721" s="35">
        <v>100</v>
      </c>
      <c r="AA721" s="35" t="s">
        <v>187</v>
      </c>
      <c r="AB721" s="42" t="str">
        <f t="shared" si="266"/>
        <v>蜘蛛女皇的地刺叠加&lt;color=#54b76b&gt;1层&lt;/color&gt;中毒（&lt;color=#54b76b&gt;40%&lt;/color&gt;概率2层）</v>
      </c>
      <c r="AC721" s="35">
        <v>53012731</v>
      </c>
      <c r="AD721" s="35" t="s">
        <v>487</v>
      </c>
      <c r="AE721" s="35">
        <v>4</v>
      </c>
      <c r="AH721" s="35">
        <v>1</v>
      </c>
      <c r="AI721" s="36"/>
      <c r="AJ721" s="35" t="s">
        <v>936</v>
      </c>
      <c r="AK721" s="36"/>
      <c r="AL721" s="35">
        <v>4</v>
      </c>
    </row>
    <row r="722" s="25" customFormat="1" hidden="1" customHeight="1" spans="1:38">
      <c r="A722" s="35">
        <v>5510436</v>
      </c>
      <c r="B722" s="35" t="s">
        <v>931</v>
      </c>
      <c r="C722" s="35">
        <v>5301273</v>
      </c>
      <c r="D722" s="35">
        <v>6</v>
      </c>
      <c r="E722" s="35"/>
      <c r="F722" s="35" t="s">
        <v>220</v>
      </c>
      <c r="G722" s="36" t="str">
        <f t="shared" si="267"/>
        <v/>
      </c>
      <c r="H722" s="36" t="str">
        <f>IFERROR(IF(--MID($F722,2*COUNTIF($G722:G722,"&gt;"&amp;0)+2,1)=H$1,H$1,""),"")</f>
        <v/>
      </c>
      <c r="I722" s="36" t="str">
        <f>IFERROR(IF(--MID($F722,2*COUNTIF($G722:H722,"&gt;"&amp;0)+2,1)=I$1,I$1,""),"")</f>
        <v/>
      </c>
      <c r="J722" s="36" t="str">
        <f>IFERROR(IF(--MID($F722,2*COUNTIF($G722:I722,"&gt;"&amp;0)+2,1)=J$1,J$1,""),"")</f>
        <v/>
      </c>
      <c r="K722" s="36" t="str">
        <f>IFERROR(IF(--MID($F722,2*COUNTIF($G722:J722,"&gt;"&amp;0)+2,1)=K$1,K$1,""),"")</f>
        <v/>
      </c>
      <c r="L722" s="36">
        <f>IFERROR(IF(--MID($F722,2*COUNTIF($G722:K722,"&gt;"&amp;0)+2,1)=L$1,L$1,""),"")</f>
        <v>6</v>
      </c>
      <c r="M722" s="51" t="str" cm="1">
        <f t="array" ref="M722">IF($A722="","",IF(G722="","",_xlfn.XLOOKUP($D722&amp;"_"&amp;$AE722,符文权重!$A:$A&amp;"_"&amp;符文权重!$C:$C,符文权重!$D:$D)*$Y722/SUMIFS($Y:$Y,G:G,G722,$D:$D,$D722,$AE:$AE,$AE722)/SUMIF(符文权重!$A:$A,$D722,符文权重!$D:$D)))</f>
        <v/>
      </c>
      <c r="N722" s="51" t="str" cm="1">
        <f t="array" ref="N722">IF($A722="","",IF(H722="","",_xlfn.XLOOKUP($D722&amp;"_"&amp;$AE722,符文权重!$A:$A&amp;"_"&amp;符文权重!$C:$C,符文权重!$D:$D)*$Y722/SUMIFS($Y:$Y,H:H,H722,$D:$D,$D722,$AE:$AE,$AE722)/SUMIF(符文权重!$A:$A,$D722,符文权重!$D:$D)))</f>
        <v/>
      </c>
      <c r="O722" s="51" t="str" cm="1">
        <f t="array" ref="O722">IF($A722="","",IF(I722="","",_xlfn.XLOOKUP($D722&amp;"_"&amp;$AE722,符文权重!$A:$A&amp;"_"&amp;符文权重!$C:$C,符文权重!$D:$D)*$Y722/SUMIFS($Y:$Y,I:I,I722,$D:$D,$D722,$AE:$AE,$AE722)/SUMIF(符文权重!$A:$A,$D722,符文权重!$D:$D)))</f>
        <v/>
      </c>
      <c r="P722" s="51" t="str" cm="1">
        <f t="array" ref="P722">IF($A722="","",IF(J722="","",_xlfn.XLOOKUP($D722&amp;"_"&amp;$AE722,符文权重!$A:$A&amp;"_"&amp;符文权重!$C:$C,符文权重!$D:$D)*$Y722/SUMIFS($Y:$Y,J:J,J722,$D:$D,$D722,$AE:$AE,$AE722)/SUMIF(符文权重!$A:$A,$D722,符文权重!$D:$D)))</f>
        <v/>
      </c>
      <c r="Q722" s="51" t="str" cm="1">
        <f t="array" ref="Q722">IF($A722="","",IF(K722="","",_xlfn.XLOOKUP($D722&amp;"_"&amp;$AE722,符文权重!$A:$A&amp;"_"&amp;符文权重!$C:$C,符文权重!$D:$D)*$Y722/SUMIFS($Y:$Y,K:K,K722,$D:$D,$D722,$AE:$AE,$AE722)/SUMIF(符文权重!$A:$A,$D722,符文权重!$D:$D)))</f>
        <v/>
      </c>
      <c r="R722" s="51" cm="1">
        <f t="array" ref="R722">IF($A722="","",IF(L722="","",_xlfn.XLOOKUP($D722&amp;"_"&amp;$AE722,符文权重!$A:$A&amp;"_"&amp;符文权重!$C:$C,符文权重!$D:$D)*$Y722/SUMIFS($Y:$Y,L:L,L722,$D:$D,$D722,$AE:$AE,$AE722)/SUMIF(符文权重!$A:$A,$D722,符文权重!$D:$D)))</f>
        <v>0.0063125</v>
      </c>
      <c r="S722" s="35" t="s">
        <v>344</v>
      </c>
      <c r="T722" s="35" t="s">
        <v>932</v>
      </c>
      <c r="U722" s="35" t="s">
        <v>426</v>
      </c>
      <c r="V722" s="35" t="s">
        <v>937</v>
      </c>
      <c r="X722" s="35" t="s">
        <v>823</v>
      </c>
      <c r="Y722" s="35">
        <v>100</v>
      </c>
      <c r="AA722" s="35" t="s">
        <v>189</v>
      </c>
      <c r="AB722" s="42" t="str">
        <f t="shared" si="266"/>
        <v>蜘蛛女皇的地刺叠加&lt;color=#54b76b&gt;1层&lt;/color&gt;中毒（&lt;color=#54b76b&gt;70%&lt;/color&gt;概率2层）</v>
      </c>
      <c r="AC722" s="35">
        <v>53012732</v>
      </c>
      <c r="AD722" s="35" t="s">
        <v>447</v>
      </c>
      <c r="AE722" s="35">
        <v>4</v>
      </c>
      <c r="AH722" s="35">
        <v>1</v>
      </c>
      <c r="AI722" s="36"/>
      <c r="AJ722" s="35" t="s">
        <v>938</v>
      </c>
      <c r="AK722" s="36"/>
      <c r="AL722" s="35">
        <v>4</v>
      </c>
    </row>
    <row r="723" s="25" customFormat="1" hidden="1" customHeight="1" spans="1:38">
      <c r="A723" s="35">
        <v>5510437</v>
      </c>
      <c r="B723" s="35" t="s">
        <v>931</v>
      </c>
      <c r="C723" s="35">
        <v>5301273</v>
      </c>
      <c r="D723" s="35">
        <v>7</v>
      </c>
      <c r="E723" s="35"/>
      <c r="F723" s="35" t="s">
        <v>220</v>
      </c>
      <c r="G723" s="36" t="str">
        <f t="shared" si="267"/>
        <v/>
      </c>
      <c r="H723" s="36" t="str">
        <f>IFERROR(IF(--MID($F723,2*COUNTIF($G723:G723,"&gt;"&amp;0)+2,1)=H$1,H$1,""),"")</f>
        <v/>
      </c>
      <c r="I723" s="36" t="str">
        <f>IFERROR(IF(--MID($F723,2*COUNTIF($G723:H723,"&gt;"&amp;0)+2,1)=I$1,I$1,""),"")</f>
        <v/>
      </c>
      <c r="J723" s="36" t="str">
        <f>IFERROR(IF(--MID($F723,2*COUNTIF($G723:I723,"&gt;"&amp;0)+2,1)=J$1,J$1,""),"")</f>
        <v/>
      </c>
      <c r="K723" s="36" t="str">
        <f>IFERROR(IF(--MID($F723,2*COUNTIF($G723:J723,"&gt;"&amp;0)+2,1)=K$1,K$1,""),"")</f>
        <v/>
      </c>
      <c r="L723" s="36">
        <f>IFERROR(IF(--MID($F723,2*COUNTIF($G723:K723,"&gt;"&amp;0)+2,1)=L$1,L$1,""),"")</f>
        <v>6</v>
      </c>
      <c r="M723" s="51" t="str" cm="1">
        <f t="array" ref="M723">IF($A723="","",IF(G723="","",_xlfn.XLOOKUP($D723&amp;"_"&amp;$AE723,符文权重!$A:$A&amp;"_"&amp;符文权重!$C:$C,符文权重!$D:$D)*$Y723/SUMIFS($Y:$Y,G:G,G723,$D:$D,$D723,$AE:$AE,$AE723)/SUMIF(符文权重!$A:$A,$D723,符文权重!$D:$D)))</f>
        <v/>
      </c>
      <c r="N723" s="51" t="str" cm="1">
        <f t="array" ref="N723">IF($A723="","",IF(H723="","",_xlfn.XLOOKUP($D723&amp;"_"&amp;$AE723,符文权重!$A:$A&amp;"_"&amp;符文权重!$C:$C,符文权重!$D:$D)*$Y723/SUMIFS($Y:$Y,H:H,H723,$D:$D,$D723,$AE:$AE,$AE723)/SUMIF(符文权重!$A:$A,$D723,符文权重!$D:$D)))</f>
        <v/>
      </c>
      <c r="O723" s="51" t="str" cm="1">
        <f t="array" ref="O723">IF($A723="","",IF(I723="","",_xlfn.XLOOKUP($D723&amp;"_"&amp;$AE723,符文权重!$A:$A&amp;"_"&amp;符文权重!$C:$C,符文权重!$D:$D)*$Y723/SUMIFS($Y:$Y,I:I,I723,$D:$D,$D723,$AE:$AE,$AE723)/SUMIF(符文权重!$A:$A,$D723,符文权重!$D:$D)))</f>
        <v/>
      </c>
      <c r="P723" s="51" t="str" cm="1">
        <f t="array" ref="P723">IF($A723="","",IF(J723="","",_xlfn.XLOOKUP($D723&amp;"_"&amp;$AE723,符文权重!$A:$A&amp;"_"&amp;符文权重!$C:$C,符文权重!$D:$D)*$Y723/SUMIFS($Y:$Y,J:J,J723,$D:$D,$D723,$AE:$AE,$AE723)/SUMIF(符文权重!$A:$A,$D723,符文权重!$D:$D)))</f>
        <v/>
      </c>
      <c r="Q723" s="51" t="str" cm="1">
        <f t="array" ref="Q723">IF($A723="","",IF(K723="","",_xlfn.XLOOKUP($D723&amp;"_"&amp;$AE723,符文权重!$A:$A&amp;"_"&amp;符文权重!$C:$C,符文权重!$D:$D)*$Y723/SUMIFS($Y:$Y,K:K,K723,$D:$D,$D723,$AE:$AE,$AE723)/SUMIF(符文权重!$A:$A,$D723,符文权重!$D:$D)))</f>
        <v/>
      </c>
      <c r="R723" s="51" cm="1">
        <f t="array" ref="R723">IF($A723="","",IF(L723="","",_xlfn.XLOOKUP($D723&amp;"_"&amp;$AE723,符文权重!$A:$A&amp;"_"&amp;符文权重!$C:$C,符文权重!$D:$D)*$Y723/SUMIFS($Y:$Y,L:L,L723,$D:$D,$D723,$AE:$AE,$AE723)/SUMIF(符文权重!$A:$A,$D723,符文权重!$D:$D)))</f>
        <v>0.0063125</v>
      </c>
      <c r="S723" s="35" t="s">
        <v>344</v>
      </c>
      <c r="T723" s="35" t="s">
        <v>932</v>
      </c>
      <c r="U723" s="35" t="s">
        <v>429</v>
      </c>
      <c r="V723" s="35" t="s">
        <v>939</v>
      </c>
      <c r="X723" s="35" t="s">
        <v>826</v>
      </c>
      <c r="Y723" s="35">
        <v>100</v>
      </c>
      <c r="AA723" s="35" t="s">
        <v>191</v>
      </c>
      <c r="AB723" s="42" t="str">
        <f t="shared" si="266"/>
        <v>蜘蛛女皇的地刺叠加&lt;color=#54b76b&gt;2层&lt;/color&gt;中毒</v>
      </c>
      <c r="AC723" s="35">
        <v>53012733</v>
      </c>
      <c r="AD723" s="35" t="s">
        <v>497</v>
      </c>
      <c r="AE723" s="35">
        <v>4</v>
      </c>
      <c r="AH723" s="35">
        <v>1</v>
      </c>
      <c r="AI723" s="36"/>
      <c r="AJ723" s="35" t="s">
        <v>940</v>
      </c>
      <c r="AK723" s="36"/>
      <c r="AL723" s="35">
        <v>4</v>
      </c>
    </row>
    <row r="724" s="25" customFormat="1" hidden="1" customHeight="1" spans="1:38">
      <c r="A724" s="35">
        <v>5510444</v>
      </c>
      <c r="B724" s="34" t="s">
        <v>931</v>
      </c>
      <c r="C724" s="35">
        <v>5301274</v>
      </c>
      <c r="D724" s="36">
        <v>4</v>
      </c>
      <c r="E724" s="36"/>
      <c r="F724" s="35" t="s">
        <v>202</v>
      </c>
      <c r="G724" s="36">
        <f t="shared" si="267"/>
        <v>1</v>
      </c>
      <c r="H724" s="36" t="str">
        <f>IFERROR(IF(--MID($F724,2*COUNTIF($G724:G724,"&gt;"&amp;0)+2,1)=H$1,H$1,""),"")</f>
        <v/>
      </c>
      <c r="I724" s="36" t="str">
        <f>IFERROR(IF(--MID($F724,2*COUNTIF($G724:H724,"&gt;"&amp;0)+2,1)=I$1,I$1,""),"")</f>
        <v/>
      </c>
      <c r="J724" s="36" t="str">
        <f>IFERROR(IF(--MID($F724,2*COUNTIF($G724:I724,"&gt;"&amp;0)+2,1)=J$1,J$1,""),"")</f>
        <v/>
      </c>
      <c r="K724" s="36" t="str">
        <f>IFERROR(IF(--MID($F724,2*COUNTIF($G724:J724,"&gt;"&amp;0)+2,1)=K$1,K$1,""),"")</f>
        <v/>
      </c>
      <c r="L724" s="36" t="str">
        <f>IFERROR(IF(--MID($F724,2*COUNTIF($G724:K724,"&gt;"&amp;0)+2,1)=L$1,L$1,""),"")</f>
        <v/>
      </c>
      <c r="M724" s="51" cm="1">
        <f t="array" ref="M724">IF($A724="","",IF(G724="","",_xlfn.XLOOKUP($D724&amp;"_"&amp;$AE724,符文权重!$A:$A&amp;"_"&amp;符文权重!$C:$C,符文权重!$D:$D)*$Y724/SUMIFS($Y:$Y,G:G,G724,$D:$D,$D724,$AE:$AE,$AE724)/SUMIF(符文权重!$A:$A,$D724,符文权重!$D:$D)))</f>
        <v>0.0035035035035035</v>
      </c>
      <c r="N724" s="51" t="str" cm="1">
        <f t="array" ref="N724">IF($A724="","",IF(H724="","",_xlfn.XLOOKUP($D724&amp;"_"&amp;$AE724,符文权重!$A:$A&amp;"_"&amp;符文权重!$C:$C,符文权重!$D:$D)*$Y724/SUMIFS($Y:$Y,H:H,H724,$D:$D,$D724,$AE:$AE,$AE724)/SUMIF(符文权重!$A:$A,$D724,符文权重!$D:$D)))</f>
        <v/>
      </c>
      <c r="O724" s="51" t="str" cm="1">
        <f t="array" ref="O724">IF($A724="","",IF(I724="","",_xlfn.XLOOKUP($D724&amp;"_"&amp;$AE724,符文权重!$A:$A&amp;"_"&amp;符文权重!$C:$C,符文权重!$D:$D)*$Y724/SUMIFS($Y:$Y,I:I,I724,$D:$D,$D724,$AE:$AE,$AE724)/SUMIF(符文权重!$A:$A,$D724,符文权重!$D:$D)))</f>
        <v/>
      </c>
      <c r="P724" s="51" t="str" cm="1">
        <f t="array" ref="P724">IF($A724="","",IF(J724="","",_xlfn.XLOOKUP($D724&amp;"_"&amp;$AE724,符文权重!$A:$A&amp;"_"&amp;符文权重!$C:$C,符文权重!$D:$D)*$Y724/SUMIFS($Y:$Y,J:J,J724,$D:$D,$D724,$AE:$AE,$AE724)/SUMIF(符文权重!$A:$A,$D724,符文权重!$D:$D)))</f>
        <v/>
      </c>
      <c r="Q724" s="51" t="str" cm="1">
        <f t="array" ref="Q724">IF($A724="","",IF(K724="","",_xlfn.XLOOKUP($D724&amp;"_"&amp;$AE724,符文权重!$A:$A&amp;"_"&amp;符文权重!$C:$C,符文权重!$D:$D)*$Y724/SUMIFS($Y:$Y,K:K,K724,$D:$D,$D724,$AE:$AE,$AE724)/SUMIF(符文权重!$A:$A,$D724,符文权重!$D:$D)))</f>
        <v/>
      </c>
      <c r="R724" s="51" t="str" cm="1">
        <f t="array" ref="R724">IF($A724="","",IF(L724="","",_xlfn.XLOOKUP($D724&amp;"_"&amp;$AE724,符文权重!$A:$A&amp;"_"&amp;符文权重!$C:$C,符文权重!$D:$D)*$Y724/SUMIFS($Y:$Y,L:L,L724,$D:$D,$D724,$AE:$AE,$AE724)/SUMIF(符文权重!$A:$A,$D724,符文权重!$D:$D)))</f>
        <v/>
      </c>
      <c r="S724" s="36" t="s">
        <v>344</v>
      </c>
      <c r="T724" s="36" t="s">
        <v>932</v>
      </c>
      <c r="U724" s="36" t="s">
        <v>420</v>
      </c>
      <c r="V724" s="25" t="s">
        <v>941</v>
      </c>
      <c r="W724" s="36"/>
      <c r="X724" s="35" t="s">
        <v>817</v>
      </c>
      <c r="Y724" s="35">
        <v>100</v>
      </c>
      <c r="Z724" s="35"/>
      <c r="AA724" s="36" t="s">
        <v>185</v>
      </c>
      <c r="AB724" s="42" t="str">
        <f t="shared" si="266"/>
        <v>蜘蛛女皇对目标有&lt;color=#54b76b&gt;30%&lt;/color&gt;几率释放蜘蛛网，减速&lt;color=#54b76b&gt;30%&lt;/color&gt;，&lt;color=#54b76b&gt;2秒&lt;/color&gt;</v>
      </c>
      <c r="AC724" s="35">
        <v>5301274</v>
      </c>
      <c r="AD724" s="36" t="s">
        <v>487</v>
      </c>
      <c r="AE724" s="36">
        <v>8</v>
      </c>
      <c r="AF724" s="36"/>
      <c r="AG724" s="36"/>
      <c r="AH724" s="36">
        <v>1</v>
      </c>
      <c r="AJ724" s="36" t="s">
        <v>942</v>
      </c>
      <c r="AL724" s="35">
        <v>4</v>
      </c>
    </row>
    <row r="725" s="25" customFormat="1" hidden="1" customHeight="1" spans="1:38">
      <c r="A725" s="35">
        <v>5510445</v>
      </c>
      <c r="B725" s="35" t="s">
        <v>931</v>
      </c>
      <c r="C725" s="35">
        <v>5301274</v>
      </c>
      <c r="D725" s="35">
        <v>5</v>
      </c>
      <c r="E725" s="35"/>
      <c r="F725" s="35" t="s">
        <v>202</v>
      </c>
      <c r="G725" s="36">
        <f t="shared" si="267"/>
        <v>1</v>
      </c>
      <c r="H725" s="36" t="str">
        <f>IFERROR(IF(--MID($F725,2*COUNTIF($G725:G725,"&gt;"&amp;0)+2,1)=H$1,H$1,""),"")</f>
        <v/>
      </c>
      <c r="I725" s="36" t="str">
        <f>IFERROR(IF(--MID($F725,2*COUNTIF($G725:H725,"&gt;"&amp;0)+2,1)=I$1,I$1,""),"")</f>
        <v/>
      </c>
      <c r="J725" s="36" t="str">
        <f>IFERROR(IF(--MID($F725,2*COUNTIF($G725:I725,"&gt;"&amp;0)+2,1)=J$1,J$1,""),"")</f>
        <v/>
      </c>
      <c r="K725" s="36" t="str">
        <f>IFERROR(IF(--MID($F725,2*COUNTIF($G725:J725,"&gt;"&amp;0)+2,1)=K$1,K$1,""),"")</f>
        <v/>
      </c>
      <c r="L725" s="36" t="str">
        <f>IFERROR(IF(--MID($F725,2*COUNTIF($G725:K725,"&gt;"&amp;0)+2,1)=L$1,L$1,""),"")</f>
        <v/>
      </c>
      <c r="M725" s="51" cm="1">
        <f t="array" ref="M725">IF($A725="","",IF(G725="","",_xlfn.XLOOKUP($D725&amp;"_"&amp;$AE725,符文权重!$A:$A&amp;"_"&amp;符文权重!$C:$C,符文权重!$D:$D)*$Y725/SUMIFS($Y:$Y,G:G,G725,$D:$D,$D725,$AE:$AE,$AE725)/SUMIF(符文权重!$A:$A,$D725,符文权重!$D:$D)))</f>
        <v>0.00721428571428571</v>
      </c>
      <c r="N725" s="51" t="str" cm="1">
        <f t="array" ref="N725">IF($A725="","",IF(H725="","",_xlfn.XLOOKUP($D725&amp;"_"&amp;$AE725,符文权重!$A:$A&amp;"_"&amp;符文权重!$C:$C,符文权重!$D:$D)*$Y725/SUMIFS($Y:$Y,H:H,H725,$D:$D,$D725,$AE:$AE,$AE725)/SUMIF(符文权重!$A:$A,$D725,符文权重!$D:$D)))</f>
        <v/>
      </c>
      <c r="O725" s="51" t="str" cm="1">
        <f t="array" ref="O725">IF($A725="","",IF(I725="","",_xlfn.XLOOKUP($D725&amp;"_"&amp;$AE725,符文权重!$A:$A&amp;"_"&amp;符文权重!$C:$C,符文权重!$D:$D)*$Y725/SUMIFS($Y:$Y,I:I,I725,$D:$D,$D725,$AE:$AE,$AE725)/SUMIF(符文权重!$A:$A,$D725,符文权重!$D:$D)))</f>
        <v/>
      </c>
      <c r="P725" s="51" t="str" cm="1">
        <f t="array" ref="P725">IF($A725="","",IF(J725="","",_xlfn.XLOOKUP($D725&amp;"_"&amp;$AE725,符文权重!$A:$A&amp;"_"&amp;符文权重!$C:$C,符文权重!$D:$D)*$Y725/SUMIFS($Y:$Y,J:J,J725,$D:$D,$D725,$AE:$AE,$AE725)/SUMIF(符文权重!$A:$A,$D725,符文权重!$D:$D)))</f>
        <v/>
      </c>
      <c r="Q725" s="51" t="str" cm="1">
        <f t="array" ref="Q725">IF($A725="","",IF(K725="","",_xlfn.XLOOKUP($D725&amp;"_"&amp;$AE725,符文权重!$A:$A&amp;"_"&amp;符文权重!$C:$C,符文权重!$D:$D)*$Y725/SUMIFS($Y:$Y,K:K,K725,$D:$D,$D725,$AE:$AE,$AE725)/SUMIF(符文权重!$A:$A,$D725,符文权重!$D:$D)))</f>
        <v/>
      </c>
      <c r="R725" s="51" t="str" cm="1">
        <f t="array" ref="R725">IF($A725="","",IF(L725="","",_xlfn.XLOOKUP($D725&amp;"_"&amp;$AE725,符文权重!$A:$A&amp;"_"&amp;符文权重!$C:$C,符文权重!$D:$D)*$Y725/SUMIFS($Y:$Y,L:L,L725,$D:$D,$D725,$AE:$AE,$AE725)/SUMIF(符文权重!$A:$A,$D725,符文权重!$D:$D)))</f>
        <v/>
      </c>
      <c r="S725" s="35" t="s">
        <v>344</v>
      </c>
      <c r="T725" s="35" t="s">
        <v>932</v>
      </c>
      <c r="U725" s="35" t="s">
        <v>423</v>
      </c>
      <c r="V725" s="35" t="s">
        <v>943</v>
      </c>
      <c r="X725" s="35" t="s">
        <v>820</v>
      </c>
      <c r="Y725" s="35">
        <v>100</v>
      </c>
      <c r="AA725" s="35" t="s">
        <v>187</v>
      </c>
      <c r="AB725" s="42" t="str">
        <f t="shared" si="266"/>
        <v>蜘蛛女皇对目标有&lt;color=#54b76b&gt;30%&lt;/color&gt;几率释放蜘蛛网，减速&lt;color=#54b76b&gt;40%&lt;/color&gt;，&lt;color=#54b76b&gt;2秒&lt;/color&gt;</v>
      </c>
      <c r="AC725" s="35">
        <v>5301274</v>
      </c>
      <c r="AD725" s="35" t="s">
        <v>497</v>
      </c>
      <c r="AE725" s="35">
        <v>4</v>
      </c>
      <c r="AH725" s="35">
        <v>1</v>
      </c>
      <c r="AI725" s="36"/>
      <c r="AJ725" s="35" t="s">
        <v>944</v>
      </c>
      <c r="AK725" s="36"/>
      <c r="AL725" s="35">
        <v>4</v>
      </c>
    </row>
    <row r="726" s="25" customFormat="1" hidden="1" customHeight="1" spans="1:38">
      <c r="A726" s="35">
        <v>5510446</v>
      </c>
      <c r="B726" s="35" t="s">
        <v>931</v>
      </c>
      <c r="C726" s="35">
        <v>5301274</v>
      </c>
      <c r="D726" s="35">
        <v>6</v>
      </c>
      <c r="E726" s="35"/>
      <c r="F726" s="35" t="s">
        <v>202</v>
      </c>
      <c r="G726" s="36">
        <f t="shared" si="267"/>
        <v>1</v>
      </c>
      <c r="H726" s="36" t="str">
        <f>IFERROR(IF(--MID($F726,2*COUNTIF($G726:G726,"&gt;"&amp;0)+2,1)=H$1,H$1,""),"")</f>
        <v/>
      </c>
      <c r="I726" s="36" t="str">
        <f>IFERROR(IF(--MID($F726,2*COUNTIF($G726:H726,"&gt;"&amp;0)+2,1)=I$1,I$1,""),"")</f>
        <v/>
      </c>
      <c r="J726" s="36" t="str">
        <f>IFERROR(IF(--MID($F726,2*COUNTIF($G726:I726,"&gt;"&amp;0)+2,1)=J$1,J$1,""),"")</f>
        <v/>
      </c>
      <c r="K726" s="36" t="str">
        <f>IFERROR(IF(--MID($F726,2*COUNTIF($G726:J726,"&gt;"&amp;0)+2,1)=K$1,K$1,""),"")</f>
        <v/>
      </c>
      <c r="L726" s="36" t="str">
        <f>IFERROR(IF(--MID($F726,2*COUNTIF($G726:K726,"&gt;"&amp;0)+2,1)=L$1,L$1,""),"")</f>
        <v/>
      </c>
      <c r="M726" s="51" cm="1">
        <f t="array" ref="M726">IF($A726="","",IF(G726="","",_xlfn.XLOOKUP($D726&amp;"_"&amp;$AE726,符文权重!$A:$A&amp;"_"&amp;符文权重!$C:$C,符文权重!$D:$D)*$Y726/SUMIFS($Y:$Y,G:G,G726,$D:$D,$D726,$AE:$AE,$AE726)/SUMIF(符文权重!$A:$A,$D726,符文权重!$D:$D)))</f>
        <v>0.00721428571428571</v>
      </c>
      <c r="N726" s="51" t="str" cm="1">
        <f t="array" ref="N726">IF($A726="","",IF(H726="","",_xlfn.XLOOKUP($D726&amp;"_"&amp;$AE726,符文权重!$A:$A&amp;"_"&amp;符文权重!$C:$C,符文权重!$D:$D)*$Y726/SUMIFS($Y:$Y,H:H,H726,$D:$D,$D726,$AE:$AE,$AE726)/SUMIF(符文权重!$A:$A,$D726,符文权重!$D:$D)))</f>
        <v/>
      </c>
      <c r="O726" s="51" t="str" cm="1">
        <f t="array" ref="O726">IF($A726="","",IF(I726="","",_xlfn.XLOOKUP($D726&amp;"_"&amp;$AE726,符文权重!$A:$A&amp;"_"&amp;符文权重!$C:$C,符文权重!$D:$D)*$Y726/SUMIFS($Y:$Y,I:I,I726,$D:$D,$D726,$AE:$AE,$AE726)/SUMIF(符文权重!$A:$A,$D726,符文权重!$D:$D)))</f>
        <v/>
      </c>
      <c r="P726" s="51" t="str" cm="1">
        <f t="array" ref="P726">IF($A726="","",IF(J726="","",_xlfn.XLOOKUP($D726&amp;"_"&amp;$AE726,符文权重!$A:$A&amp;"_"&amp;符文权重!$C:$C,符文权重!$D:$D)*$Y726/SUMIFS($Y:$Y,J:J,J726,$D:$D,$D726,$AE:$AE,$AE726)/SUMIF(符文权重!$A:$A,$D726,符文权重!$D:$D)))</f>
        <v/>
      </c>
      <c r="Q726" s="51" t="str" cm="1">
        <f t="array" ref="Q726">IF($A726="","",IF(K726="","",_xlfn.XLOOKUP($D726&amp;"_"&amp;$AE726,符文权重!$A:$A&amp;"_"&amp;符文权重!$C:$C,符文权重!$D:$D)*$Y726/SUMIFS($Y:$Y,K:K,K726,$D:$D,$D726,$AE:$AE,$AE726)/SUMIF(符文权重!$A:$A,$D726,符文权重!$D:$D)))</f>
        <v/>
      </c>
      <c r="R726" s="51" t="str" cm="1">
        <f t="array" ref="R726">IF($A726="","",IF(L726="","",_xlfn.XLOOKUP($D726&amp;"_"&amp;$AE726,符文权重!$A:$A&amp;"_"&amp;符文权重!$C:$C,符文权重!$D:$D)*$Y726/SUMIFS($Y:$Y,L:L,L726,$D:$D,$D726,$AE:$AE,$AE726)/SUMIF(符文权重!$A:$A,$D726,符文权重!$D:$D)))</f>
        <v/>
      </c>
      <c r="S726" s="35" t="s">
        <v>344</v>
      </c>
      <c r="T726" s="35" t="s">
        <v>932</v>
      </c>
      <c r="U726" s="35" t="s">
        <v>426</v>
      </c>
      <c r="V726" s="35" t="s">
        <v>945</v>
      </c>
      <c r="X726" s="35" t="s">
        <v>823</v>
      </c>
      <c r="Y726" s="35">
        <v>100</v>
      </c>
      <c r="AA726" s="35" t="s">
        <v>189</v>
      </c>
      <c r="AB726" s="42" t="str">
        <f t="shared" si="266"/>
        <v>蜘蛛女皇对目标有&lt;color=#54b76b&gt;30%&lt;/color&gt;几率释放蜘蛛网，减速&lt;color=#54b76b&gt;50%&lt;/color&gt;，&lt;color=#54b76b&gt;2秒&lt;/color&gt;</v>
      </c>
      <c r="AC726" s="35">
        <v>5301274</v>
      </c>
      <c r="AD726" s="35" t="s">
        <v>596</v>
      </c>
      <c r="AE726" s="35">
        <v>4</v>
      </c>
      <c r="AH726" s="35">
        <v>1</v>
      </c>
      <c r="AI726" s="36"/>
      <c r="AJ726" s="35" t="s">
        <v>946</v>
      </c>
      <c r="AK726" s="36"/>
      <c r="AL726" s="35">
        <v>4</v>
      </c>
    </row>
    <row r="727" s="25" customFormat="1" hidden="1" customHeight="1" spans="1:38">
      <c r="A727" s="35">
        <v>5510447</v>
      </c>
      <c r="B727" s="35" t="s">
        <v>931</v>
      </c>
      <c r="C727" s="35">
        <v>5301274</v>
      </c>
      <c r="D727" s="35">
        <v>7</v>
      </c>
      <c r="E727" s="35"/>
      <c r="F727" s="35" t="s">
        <v>202</v>
      </c>
      <c r="G727" s="36">
        <f t="shared" si="267"/>
        <v>1</v>
      </c>
      <c r="H727" s="36" t="str">
        <f>IFERROR(IF(--MID($F727,2*COUNTIF($G727:G727,"&gt;"&amp;0)+2,1)=H$1,H$1,""),"")</f>
        <v/>
      </c>
      <c r="I727" s="36" t="str">
        <f>IFERROR(IF(--MID($F727,2*COUNTIF($G727:H727,"&gt;"&amp;0)+2,1)=I$1,I$1,""),"")</f>
        <v/>
      </c>
      <c r="J727" s="36" t="str">
        <f>IFERROR(IF(--MID($F727,2*COUNTIF($G727:I727,"&gt;"&amp;0)+2,1)=J$1,J$1,""),"")</f>
        <v/>
      </c>
      <c r="K727" s="36" t="str">
        <f>IFERROR(IF(--MID($F727,2*COUNTIF($G727:J727,"&gt;"&amp;0)+2,1)=K$1,K$1,""),"")</f>
        <v/>
      </c>
      <c r="L727" s="36" t="str">
        <f>IFERROR(IF(--MID($F727,2*COUNTIF($G727:K727,"&gt;"&amp;0)+2,1)=L$1,L$1,""),"")</f>
        <v/>
      </c>
      <c r="M727" s="51" cm="1">
        <f t="array" ref="M727">IF($A727="","",IF(G727="","",_xlfn.XLOOKUP($D727&amp;"_"&amp;$AE727,符文权重!$A:$A&amp;"_"&amp;符文权重!$C:$C,符文权重!$D:$D)*$Y727/SUMIFS($Y:$Y,G:G,G727,$D:$D,$D727,$AE:$AE,$AE727)/SUMIF(符文权重!$A:$A,$D727,符文权重!$D:$D)))</f>
        <v>0.00721428571428571</v>
      </c>
      <c r="N727" s="51" t="str" cm="1">
        <f t="array" ref="N727">IF($A727="","",IF(H727="","",_xlfn.XLOOKUP($D727&amp;"_"&amp;$AE727,符文权重!$A:$A&amp;"_"&amp;符文权重!$C:$C,符文权重!$D:$D)*$Y727/SUMIFS($Y:$Y,H:H,H727,$D:$D,$D727,$AE:$AE,$AE727)/SUMIF(符文权重!$A:$A,$D727,符文权重!$D:$D)))</f>
        <v/>
      </c>
      <c r="O727" s="51" t="str" cm="1">
        <f t="array" ref="O727">IF($A727="","",IF(I727="","",_xlfn.XLOOKUP($D727&amp;"_"&amp;$AE727,符文权重!$A:$A&amp;"_"&amp;符文权重!$C:$C,符文权重!$D:$D)*$Y727/SUMIFS($Y:$Y,I:I,I727,$D:$D,$D727,$AE:$AE,$AE727)/SUMIF(符文权重!$A:$A,$D727,符文权重!$D:$D)))</f>
        <v/>
      </c>
      <c r="P727" s="51" t="str" cm="1">
        <f t="array" ref="P727">IF($A727="","",IF(J727="","",_xlfn.XLOOKUP($D727&amp;"_"&amp;$AE727,符文权重!$A:$A&amp;"_"&amp;符文权重!$C:$C,符文权重!$D:$D)*$Y727/SUMIFS($Y:$Y,J:J,J727,$D:$D,$D727,$AE:$AE,$AE727)/SUMIF(符文权重!$A:$A,$D727,符文权重!$D:$D)))</f>
        <v/>
      </c>
      <c r="Q727" s="51" t="str" cm="1">
        <f t="array" ref="Q727">IF($A727="","",IF(K727="","",_xlfn.XLOOKUP($D727&amp;"_"&amp;$AE727,符文权重!$A:$A&amp;"_"&amp;符文权重!$C:$C,符文权重!$D:$D)*$Y727/SUMIFS($Y:$Y,K:K,K727,$D:$D,$D727,$AE:$AE,$AE727)/SUMIF(符文权重!$A:$A,$D727,符文权重!$D:$D)))</f>
        <v/>
      </c>
      <c r="R727" s="51" t="str" cm="1">
        <f t="array" ref="R727">IF($A727="","",IF(L727="","",_xlfn.XLOOKUP($D727&amp;"_"&amp;$AE727,符文权重!$A:$A&amp;"_"&amp;符文权重!$C:$C,符文权重!$D:$D)*$Y727/SUMIFS($Y:$Y,L:L,L727,$D:$D,$D727,$AE:$AE,$AE727)/SUMIF(符文权重!$A:$A,$D727,符文权重!$D:$D)))</f>
        <v/>
      </c>
      <c r="S727" s="35" t="s">
        <v>344</v>
      </c>
      <c r="T727" s="35" t="s">
        <v>932</v>
      </c>
      <c r="U727" s="35" t="s">
        <v>429</v>
      </c>
      <c r="V727" s="35" t="s">
        <v>947</v>
      </c>
      <c r="X727" s="35" t="s">
        <v>826</v>
      </c>
      <c r="Y727" s="35">
        <v>100</v>
      </c>
      <c r="AA727" s="35" t="s">
        <v>191</v>
      </c>
      <c r="AB727" s="42" t="str">
        <f t="shared" si="266"/>
        <v>蜘蛛女皇对目标有&lt;color=#54b76b&gt;30%&lt;/color&gt;几率释放蜘蛛网，减速&lt;color=#54b76b&gt;60%&lt;/color&gt;，&lt;color=#54b76b&gt;2秒&lt;/color&gt;</v>
      </c>
      <c r="AC727" s="35">
        <v>5301274</v>
      </c>
      <c r="AD727" s="35" t="s">
        <v>476</v>
      </c>
      <c r="AE727" s="35">
        <v>4</v>
      </c>
      <c r="AH727" s="35">
        <v>1</v>
      </c>
      <c r="AI727" s="36"/>
      <c r="AJ727" s="35" t="s">
        <v>948</v>
      </c>
      <c r="AK727" s="36"/>
      <c r="AL727" s="35">
        <v>4</v>
      </c>
    </row>
    <row r="728" s="25" customFormat="1" hidden="1" customHeight="1" spans="1:38">
      <c r="A728" s="35">
        <v>5510454</v>
      </c>
      <c r="B728" s="34" t="s">
        <v>931</v>
      </c>
      <c r="C728" s="35">
        <v>5301275</v>
      </c>
      <c r="D728" s="36">
        <v>4</v>
      </c>
      <c r="E728" s="36"/>
      <c r="F728" s="35" t="s">
        <v>211</v>
      </c>
      <c r="G728" s="36" t="str">
        <f t="shared" si="267"/>
        <v/>
      </c>
      <c r="H728" s="36">
        <f>IFERROR(IF(--MID($F728,2*COUNTIF($G728:G728,"&gt;"&amp;0)+2,1)=H$1,H$1,""),"")</f>
        <v>2</v>
      </c>
      <c r="I728" s="36" t="str">
        <f>IFERROR(IF(--MID($F728,2*COUNTIF($G728:H728,"&gt;"&amp;0)+2,1)=I$1,I$1,""),"")</f>
        <v/>
      </c>
      <c r="J728" s="36" t="str">
        <f>IFERROR(IF(--MID($F728,2*COUNTIF($G728:I728,"&gt;"&amp;0)+2,1)=J$1,J$1,""),"")</f>
        <v/>
      </c>
      <c r="K728" s="36" t="str">
        <f>IFERROR(IF(--MID($F728,2*COUNTIF($G728:J728,"&gt;"&amp;0)+2,1)=K$1,K$1,""),"")</f>
        <v/>
      </c>
      <c r="L728" s="36" t="str">
        <f>IFERROR(IF(--MID($F728,2*COUNTIF($G728:K728,"&gt;"&amp;0)+2,1)=L$1,L$1,""),"")</f>
        <v/>
      </c>
      <c r="M728" s="51" t="str" cm="1">
        <f t="array" ref="M728">IF($A728="","",IF(G728="","",_xlfn.XLOOKUP($D728&amp;"_"&amp;$AE728,符文权重!$A:$A&amp;"_"&amp;符文权重!$C:$C,符文权重!$D:$D)*$Y728/SUMIFS($Y:$Y,G:G,G728,$D:$D,$D728,$AE:$AE,$AE728)/SUMIF(符文权重!$A:$A,$D728,符文权重!$D:$D)))</f>
        <v/>
      </c>
      <c r="N728" s="51" cm="1">
        <f t="array" ref="N728">IF($A728="","",IF(H728="","",_xlfn.XLOOKUP($D728&amp;"_"&amp;$AE728,符文权重!$A:$A&amp;"_"&amp;符文权重!$C:$C,符文权重!$D:$D)*$Y728/SUMIFS($Y:$Y,H:H,H728,$D:$D,$D728,$AE:$AE,$AE728)/SUMIF(符文权重!$A:$A,$D728,符文权重!$D:$D)))</f>
        <v>0.0035035035035035</v>
      </c>
      <c r="O728" s="51" t="str" cm="1">
        <f t="array" ref="O728">IF($A728="","",IF(I728="","",_xlfn.XLOOKUP($D728&amp;"_"&amp;$AE728,符文权重!$A:$A&amp;"_"&amp;符文权重!$C:$C,符文权重!$D:$D)*$Y728/SUMIFS($Y:$Y,I:I,I728,$D:$D,$D728,$AE:$AE,$AE728)/SUMIF(符文权重!$A:$A,$D728,符文权重!$D:$D)))</f>
        <v/>
      </c>
      <c r="P728" s="51" t="str" cm="1">
        <f t="array" ref="P728">IF($A728="","",IF(J728="","",_xlfn.XLOOKUP($D728&amp;"_"&amp;$AE728,符文权重!$A:$A&amp;"_"&amp;符文权重!$C:$C,符文权重!$D:$D)*$Y728/SUMIFS($Y:$Y,J:J,J728,$D:$D,$D728,$AE:$AE,$AE728)/SUMIF(符文权重!$A:$A,$D728,符文权重!$D:$D)))</f>
        <v/>
      </c>
      <c r="Q728" s="51" t="str" cm="1">
        <f t="array" ref="Q728">IF($A728="","",IF(K728="","",_xlfn.XLOOKUP($D728&amp;"_"&amp;$AE728,符文权重!$A:$A&amp;"_"&amp;符文权重!$C:$C,符文权重!$D:$D)*$Y728/SUMIFS($Y:$Y,K:K,K728,$D:$D,$D728,$AE:$AE,$AE728)/SUMIF(符文权重!$A:$A,$D728,符文权重!$D:$D)))</f>
        <v/>
      </c>
      <c r="R728" s="51" t="str" cm="1">
        <f t="array" ref="R728">IF($A728="","",IF(L728="","",_xlfn.XLOOKUP($D728&amp;"_"&amp;$AE728,符文权重!$A:$A&amp;"_"&amp;符文权重!$C:$C,符文权重!$D:$D)*$Y728/SUMIFS($Y:$Y,L:L,L728,$D:$D,$D728,$AE:$AE,$AE728)/SUMIF(符文权重!$A:$A,$D728,符文权重!$D:$D)))</f>
        <v/>
      </c>
      <c r="S728" s="36" t="s">
        <v>344</v>
      </c>
      <c r="T728" s="36" t="s">
        <v>932</v>
      </c>
      <c r="U728" s="36" t="s">
        <v>420</v>
      </c>
      <c r="W728" s="36" t="s">
        <v>949</v>
      </c>
      <c r="X728" s="35" t="s">
        <v>817</v>
      </c>
      <c r="Y728" s="35">
        <v>100</v>
      </c>
      <c r="Z728" s="35"/>
      <c r="AA728" s="36" t="s">
        <v>185</v>
      </c>
      <c r="AB728" s="42" t="str">
        <f t="shared" si="266"/>
        <v>蜘蛛女皇的中毒伤害&lt;color=#54b76b&gt;+20%&lt;/color&gt;，忽视中毒抗性&lt;color=#54b76b&gt;+20%&lt;/color&gt;</v>
      </c>
      <c r="AC728" s="35">
        <v>5301275</v>
      </c>
      <c r="AD728" s="36" t="s">
        <v>428</v>
      </c>
      <c r="AE728" s="36">
        <v>8</v>
      </c>
      <c r="AF728" s="36"/>
      <c r="AG728" s="36"/>
      <c r="AH728" s="36">
        <v>1</v>
      </c>
      <c r="AI728" s="36"/>
      <c r="AJ728" s="42" t="s">
        <v>950</v>
      </c>
      <c r="AK728" s="36"/>
      <c r="AL728" s="35">
        <v>4</v>
      </c>
    </row>
    <row r="729" s="25" customFormat="1" hidden="1" customHeight="1" spans="1:38">
      <c r="A729" s="35">
        <v>5510455</v>
      </c>
      <c r="B729" s="36" t="s">
        <v>931</v>
      </c>
      <c r="C729" s="35">
        <v>5301275</v>
      </c>
      <c r="D729" s="35">
        <v>5</v>
      </c>
      <c r="E729" s="35"/>
      <c r="F729" s="35" t="s">
        <v>211</v>
      </c>
      <c r="G729" s="36" t="str">
        <f t="shared" si="267"/>
        <v/>
      </c>
      <c r="H729" s="36">
        <f>IFERROR(IF(--MID($F729,2*COUNTIF($G729:G729,"&gt;"&amp;0)+2,1)=H$1,H$1,""),"")</f>
        <v>2</v>
      </c>
      <c r="I729" s="36" t="str">
        <f>IFERROR(IF(--MID($F729,2*COUNTIF($G729:H729,"&gt;"&amp;0)+2,1)=I$1,I$1,""),"")</f>
        <v/>
      </c>
      <c r="J729" s="36" t="str">
        <f>IFERROR(IF(--MID($F729,2*COUNTIF($G729:I729,"&gt;"&amp;0)+2,1)=J$1,J$1,""),"")</f>
        <v/>
      </c>
      <c r="K729" s="36" t="str">
        <f>IFERROR(IF(--MID($F729,2*COUNTIF($G729:J729,"&gt;"&amp;0)+2,1)=K$1,K$1,""),"")</f>
        <v/>
      </c>
      <c r="L729" s="36" t="str">
        <f>IFERROR(IF(--MID($F729,2*COUNTIF($G729:K729,"&gt;"&amp;0)+2,1)=L$1,L$1,""),"")</f>
        <v/>
      </c>
      <c r="M729" s="51" t="str" cm="1">
        <f t="array" ref="M729">IF($A729="","",IF(G729="","",_xlfn.XLOOKUP($D729&amp;"_"&amp;$AE729,符文权重!$A:$A&amp;"_"&amp;符文权重!$C:$C,符文权重!$D:$D)*$Y729/SUMIFS($Y:$Y,G:G,G729,$D:$D,$D729,$AE:$AE,$AE729)/SUMIF(符文权重!$A:$A,$D729,符文权重!$D:$D)))</f>
        <v/>
      </c>
      <c r="N729" s="51" cm="1">
        <f t="array" ref="N729">IF($A729="","",IF(H729="","",_xlfn.XLOOKUP($D729&amp;"_"&amp;$AE729,符文权重!$A:$A&amp;"_"&amp;符文权重!$C:$C,符文权重!$D:$D)*$Y729/SUMIFS($Y:$Y,H:H,H729,$D:$D,$D729,$AE:$AE,$AE729)/SUMIF(符文权重!$A:$A,$D729,符文权重!$D:$D)))</f>
        <v>0.00841666666666667</v>
      </c>
      <c r="O729" s="51" t="str" cm="1">
        <f t="array" ref="O729">IF($A729="","",IF(I729="","",_xlfn.XLOOKUP($D729&amp;"_"&amp;$AE729,符文权重!$A:$A&amp;"_"&amp;符文权重!$C:$C,符文权重!$D:$D)*$Y729/SUMIFS($Y:$Y,I:I,I729,$D:$D,$D729,$AE:$AE,$AE729)/SUMIF(符文权重!$A:$A,$D729,符文权重!$D:$D)))</f>
        <v/>
      </c>
      <c r="P729" s="51" t="str" cm="1">
        <f t="array" ref="P729">IF($A729="","",IF(J729="","",_xlfn.XLOOKUP($D729&amp;"_"&amp;$AE729,符文权重!$A:$A&amp;"_"&amp;符文权重!$C:$C,符文权重!$D:$D)*$Y729/SUMIFS($Y:$Y,J:J,J729,$D:$D,$D729,$AE:$AE,$AE729)/SUMIF(符文权重!$A:$A,$D729,符文权重!$D:$D)))</f>
        <v/>
      </c>
      <c r="Q729" s="51" t="str" cm="1">
        <f t="array" ref="Q729">IF($A729="","",IF(K729="","",_xlfn.XLOOKUP($D729&amp;"_"&amp;$AE729,符文权重!$A:$A&amp;"_"&amp;符文权重!$C:$C,符文权重!$D:$D)*$Y729/SUMIFS($Y:$Y,K:K,K729,$D:$D,$D729,$AE:$AE,$AE729)/SUMIF(符文权重!$A:$A,$D729,符文权重!$D:$D)))</f>
        <v/>
      </c>
      <c r="R729" s="51" t="str" cm="1">
        <f t="array" ref="R729">IF($A729="","",IF(L729="","",_xlfn.XLOOKUP($D729&amp;"_"&amp;$AE729,符文权重!$A:$A&amp;"_"&amp;符文权重!$C:$C,符文权重!$D:$D)*$Y729/SUMIFS($Y:$Y,L:L,L729,$D:$D,$D729,$AE:$AE,$AE729)/SUMIF(符文权重!$A:$A,$D729,符文权重!$D:$D)))</f>
        <v/>
      </c>
      <c r="S729" s="35" t="s">
        <v>344</v>
      </c>
      <c r="T729" s="35" t="s">
        <v>932</v>
      </c>
      <c r="U729" s="35" t="s">
        <v>423</v>
      </c>
      <c r="V729" s="35"/>
      <c r="W729" s="36" t="s">
        <v>951</v>
      </c>
      <c r="X729" s="35" t="s">
        <v>820</v>
      </c>
      <c r="Y729" s="35">
        <v>100</v>
      </c>
      <c r="Z729" s="35"/>
      <c r="AA729" s="35" t="s">
        <v>187</v>
      </c>
      <c r="AB729" s="42" t="str">
        <f t="shared" si="266"/>
        <v>蜘蛛女皇的中毒伤害&lt;color=#54b76b&gt;+28%&lt;/color&gt;，忽视中毒抗性&lt;color=#54b76b&gt;+20%&lt;/color&gt;</v>
      </c>
      <c r="AC729" s="35">
        <v>5301275</v>
      </c>
      <c r="AD729" s="35" t="s">
        <v>808</v>
      </c>
      <c r="AE729" s="35">
        <v>4</v>
      </c>
      <c r="AF729" s="35"/>
      <c r="AG729" s="35"/>
      <c r="AH729" s="35">
        <v>1</v>
      </c>
      <c r="AI729" s="36"/>
      <c r="AJ729" s="35" t="s">
        <v>952</v>
      </c>
      <c r="AK729" s="36"/>
      <c r="AL729" s="35">
        <v>4</v>
      </c>
    </row>
    <row r="730" s="25" customFormat="1" hidden="1" customHeight="1" spans="1:38">
      <c r="A730" s="35">
        <v>5510456</v>
      </c>
      <c r="B730" s="36" t="s">
        <v>931</v>
      </c>
      <c r="C730" s="35">
        <v>5301275</v>
      </c>
      <c r="D730" s="35">
        <v>6</v>
      </c>
      <c r="E730" s="35"/>
      <c r="F730" s="35" t="s">
        <v>211</v>
      </c>
      <c r="G730" s="36" t="str">
        <f t="shared" si="267"/>
        <v/>
      </c>
      <c r="H730" s="36">
        <f>IFERROR(IF(--MID($F730,2*COUNTIF($G730:G730,"&gt;"&amp;0)+2,1)=H$1,H$1,""),"")</f>
        <v>2</v>
      </c>
      <c r="I730" s="36" t="str">
        <f>IFERROR(IF(--MID($F730,2*COUNTIF($G730:H730,"&gt;"&amp;0)+2,1)=I$1,I$1,""),"")</f>
        <v/>
      </c>
      <c r="J730" s="36" t="str">
        <f>IFERROR(IF(--MID($F730,2*COUNTIF($G730:I730,"&gt;"&amp;0)+2,1)=J$1,J$1,""),"")</f>
        <v/>
      </c>
      <c r="K730" s="36" t="str">
        <f>IFERROR(IF(--MID($F730,2*COUNTIF($G730:J730,"&gt;"&amp;0)+2,1)=K$1,K$1,""),"")</f>
        <v/>
      </c>
      <c r="L730" s="36" t="str">
        <f>IFERROR(IF(--MID($F730,2*COUNTIF($G730:K730,"&gt;"&amp;0)+2,1)=L$1,L$1,""),"")</f>
        <v/>
      </c>
      <c r="M730" s="51" t="str" cm="1">
        <f t="array" ref="M730">IF($A730="","",IF(G730="","",_xlfn.XLOOKUP($D730&amp;"_"&amp;$AE730,符文权重!$A:$A&amp;"_"&amp;符文权重!$C:$C,符文权重!$D:$D)*$Y730/SUMIFS($Y:$Y,G:G,G730,$D:$D,$D730,$AE:$AE,$AE730)/SUMIF(符文权重!$A:$A,$D730,符文权重!$D:$D)))</f>
        <v/>
      </c>
      <c r="N730" s="51" cm="1">
        <f t="array" ref="N730">IF($A730="","",IF(H730="","",_xlfn.XLOOKUP($D730&amp;"_"&amp;$AE730,符文权重!$A:$A&amp;"_"&amp;符文权重!$C:$C,符文权重!$D:$D)*$Y730/SUMIFS($Y:$Y,H:H,H730,$D:$D,$D730,$AE:$AE,$AE730)/SUMIF(符文权重!$A:$A,$D730,符文权重!$D:$D)))</f>
        <v>0.00841666666666667</v>
      </c>
      <c r="O730" s="51" t="str" cm="1">
        <f t="array" ref="O730">IF($A730="","",IF(I730="","",_xlfn.XLOOKUP($D730&amp;"_"&amp;$AE730,符文权重!$A:$A&amp;"_"&amp;符文权重!$C:$C,符文权重!$D:$D)*$Y730/SUMIFS($Y:$Y,I:I,I730,$D:$D,$D730,$AE:$AE,$AE730)/SUMIF(符文权重!$A:$A,$D730,符文权重!$D:$D)))</f>
        <v/>
      </c>
      <c r="P730" s="51" t="str" cm="1">
        <f t="array" ref="P730">IF($A730="","",IF(J730="","",_xlfn.XLOOKUP($D730&amp;"_"&amp;$AE730,符文权重!$A:$A&amp;"_"&amp;符文权重!$C:$C,符文权重!$D:$D)*$Y730/SUMIFS($Y:$Y,J:J,J730,$D:$D,$D730,$AE:$AE,$AE730)/SUMIF(符文权重!$A:$A,$D730,符文权重!$D:$D)))</f>
        <v/>
      </c>
      <c r="Q730" s="51" t="str" cm="1">
        <f t="array" ref="Q730">IF($A730="","",IF(K730="","",_xlfn.XLOOKUP($D730&amp;"_"&amp;$AE730,符文权重!$A:$A&amp;"_"&amp;符文权重!$C:$C,符文权重!$D:$D)*$Y730/SUMIFS($Y:$Y,K:K,K730,$D:$D,$D730,$AE:$AE,$AE730)/SUMIF(符文权重!$A:$A,$D730,符文权重!$D:$D)))</f>
        <v/>
      </c>
      <c r="R730" s="51" t="str" cm="1">
        <f t="array" ref="R730">IF($A730="","",IF(L730="","",_xlfn.XLOOKUP($D730&amp;"_"&amp;$AE730,符文权重!$A:$A&amp;"_"&amp;符文权重!$C:$C,符文权重!$D:$D)*$Y730/SUMIFS($Y:$Y,L:L,L730,$D:$D,$D730,$AE:$AE,$AE730)/SUMIF(符文权重!$A:$A,$D730,符文权重!$D:$D)))</f>
        <v/>
      </c>
      <c r="S730" s="35" t="s">
        <v>344</v>
      </c>
      <c r="T730" s="35" t="s">
        <v>932</v>
      </c>
      <c r="U730" s="35" t="s">
        <v>426</v>
      </c>
      <c r="V730" s="35"/>
      <c r="W730" s="36" t="s">
        <v>953</v>
      </c>
      <c r="X730" s="35" t="s">
        <v>823</v>
      </c>
      <c r="Y730" s="35">
        <v>100</v>
      </c>
      <c r="Z730" s="35"/>
      <c r="AA730" s="35" t="s">
        <v>189</v>
      </c>
      <c r="AB730" s="42" t="str">
        <f t="shared" ref="AB730:AB792" si="268">SUBSTITUTE(AJ730,"%s",AK730)</f>
        <v>蜘蛛女皇的中毒伤害&lt;color=#54b76b&gt;+36%&lt;/color&gt;，忽视中毒抗性&lt;color=#54b76b&gt;+20%&lt;/color&gt;</v>
      </c>
      <c r="AC730" s="35">
        <v>5301275</v>
      </c>
      <c r="AD730" s="35" t="s">
        <v>660</v>
      </c>
      <c r="AE730" s="35">
        <v>4</v>
      </c>
      <c r="AF730" s="35"/>
      <c r="AG730" s="35"/>
      <c r="AH730" s="35">
        <v>1</v>
      </c>
      <c r="AJ730" s="35" t="s">
        <v>954</v>
      </c>
      <c r="AL730" s="35">
        <v>4</v>
      </c>
    </row>
    <row r="731" s="25" customFormat="1" hidden="1" customHeight="1" spans="1:38">
      <c r="A731" s="35">
        <v>5510457</v>
      </c>
      <c r="B731" s="36" t="s">
        <v>931</v>
      </c>
      <c r="C731" s="35">
        <v>5301275</v>
      </c>
      <c r="D731" s="35">
        <v>7</v>
      </c>
      <c r="E731" s="35"/>
      <c r="F731" s="35" t="s">
        <v>211</v>
      </c>
      <c r="G731" s="36" t="str">
        <f t="shared" si="267"/>
        <v/>
      </c>
      <c r="H731" s="36">
        <f>IFERROR(IF(--MID($F731,2*COUNTIF($G731:G731,"&gt;"&amp;0)+2,1)=H$1,H$1,""),"")</f>
        <v>2</v>
      </c>
      <c r="I731" s="36" t="str">
        <f>IFERROR(IF(--MID($F731,2*COUNTIF($G731:H731,"&gt;"&amp;0)+2,1)=I$1,I$1,""),"")</f>
        <v/>
      </c>
      <c r="J731" s="36" t="str">
        <f>IFERROR(IF(--MID($F731,2*COUNTIF($G731:I731,"&gt;"&amp;0)+2,1)=J$1,J$1,""),"")</f>
        <v/>
      </c>
      <c r="K731" s="36" t="str">
        <f>IFERROR(IF(--MID($F731,2*COUNTIF($G731:J731,"&gt;"&amp;0)+2,1)=K$1,K$1,""),"")</f>
        <v/>
      </c>
      <c r="L731" s="36" t="str">
        <f>IFERROR(IF(--MID($F731,2*COUNTIF($G731:K731,"&gt;"&amp;0)+2,1)=L$1,L$1,""),"")</f>
        <v/>
      </c>
      <c r="M731" s="51" t="str" cm="1">
        <f t="array" ref="M731">IF($A731="","",IF(G731="","",_xlfn.XLOOKUP($D731&amp;"_"&amp;$AE731,符文权重!$A:$A&amp;"_"&amp;符文权重!$C:$C,符文权重!$D:$D)*$Y731/SUMIFS($Y:$Y,G:G,G731,$D:$D,$D731,$AE:$AE,$AE731)/SUMIF(符文权重!$A:$A,$D731,符文权重!$D:$D)))</f>
        <v/>
      </c>
      <c r="N731" s="51" cm="1">
        <f t="array" ref="N731">IF($A731="","",IF(H731="","",_xlfn.XLOOKUP($D731&amp;"_"&amp;$AE731,符文权重!$A:$A&amp;"_"&amp;符文权重!$C:$C,符文权重!$D:$D)*$Y731/SUMIFS($Y:$Y,H:H,H731,$D:$D,$D731,$AE:$AE,$AE731)/SUMIF(符文权重!$A:$A,$D731,符文权重!$D:$D)))</f>
        <v>0.00841666666666667</v>
      </c>
      <c r="O731" s="51" t="str" cm="1">
        <f t="array" ref="O731">IF($A731="","",IF(I731="","",_xlfn.XLOOKUP($D731&amp;"_"&amp;$AE731,符文权重!$A:$A&amp;"_"&amp;符文权重!$C:$C,符文权重!$D:$D)*$Y731/SUMIFS($Y:$Y,I:I,I731,$D:$D,$D731,$AE:$AE,$AE731)/SUMIF(符文权重!$A:$A,$D731,符文权重!$D:$D)))</f>
        <v/>
      </c>
      <c r="P731" s="51" t="str" cm="1">
        <f t="array" ref="P731">IF($A731="","",IF(J731="","",_xlfn.XLOOKUP($D731&amp;"_"&amp;$AE731,符文权重!$A:$A&amp;"_"&amp;符文权重!$C:$C,符文权重!$D:$D)*$Y731/SUMIFS($Y:$Y,J:J,J731,$D:$D,$D731,$AE:$AE,$AE731)/SUMIF(符文权重!$A:$A,$D731,符文权重!$D:$D)))</f>
        <v/>
      </c>
      <c r="Q731" s="51" t="str" cm="1">
        <f t="array" ref="Q731">IF($A731="","",IF(K731="","",_xlfn.XLOOKUP($D731&amp;"_"&amp;$AE731,符文权重!$A:$A&amp;"_"&amp;符文权重!$C:$C,符文权重!$D:$D)*$Y731/SUMIFS($Y:$Y,K:K,K731,$D:$D,$D731,$AE:$AE,$AE731)/SUMIF(符文权重!$A:$A,$D731,符文权重!$D:$D)))</f>
        <v/>
      </c>
      <c r="R731" s="51" t="str" cm="1">
        <f t="array" ref="R731">IF($A731="","",IF(L731="","",_xlfn.XLOOKUP($D731&amp;"_"&amp;$AE731,符文权重!$A:$A&amp;"_"&amp;符文权重!$C:$C,符文权重!$D:$D)*$Y731/SUMIFS($Y:$Y,L:L,L731,$D:$D,$D731,$AE:$AE,$AE731)/SUMIF(符文权重!$A:$A,$D731,符文权重!$D:$D)))</f>
        <v/>
      </c>
      <c r="S731" s="35" t="s">
        <v>344</v>
      </c>
      <c r="T731" s="35" t="s">
        <v>932</v>
      </c>
      <c r="U731" s="35" t="s">
        <v>429</v>
      </c>
      <c r="V731" s="35"/>
      <c r="W731" s="36" t="s">
        <v>955</v>
      </c>
      <c r="X731" s="35" t="s">
        <v>826</v>
      </c>
      <c r="Y731" s="35">
        <v>100</v>
      </c>
      <c r="Z731" s="35"/>
      <c r="AA731" s="35" t="s">
        <v>191</v>
      </c>
      <c r="AB731" s="42" t="str">
        <f t="shared" si="268"/>
        <v>蜘蛛女皇的中毒伤害&lt;color=#54b76b&gt;+45%&lt;/color&gt;，忽视中毒抗性&lt;color=#54b76b&gt;+20%&lt;/color&gt;</v>
      </c>
      <c r="AC731" s="35">
        <v>5301275</v>
      </c>
      <c r="AD731" s="35" t="s">
        <v>474</v>
      </c>
      <c r="AE731" s="35">
        <v>4</v>
      </c>
      <c r="AF731" s="35"/>
      <c r="AG731" s="35"/>
      <c r="AH731" s="35">
        <v>1</v>
      </c>
      <c r="AI731" s="36"/>
      <c r="AJ731" s="35" t="s">
        <v>956</v>
      </c>
      <c r="AK731" s="36"/>
      <c r="AL731" s="35">
        <v>4</v>
      </c>
    </row>
    <row r="732" s="25" customFormat="1" hidden="1" customHeight="1" spans="1:38">
      <c r="A732" s="35"/>
      <c r="B732" s="49" t="s">
        <v>957</v>
      </c>
      <c r="C732" s="35"/>
      <c r="D732" s="35"/>
      <c r="E732" s="35"/>
      <c r="F732" s="35"/>
      <c r="G732" s="36" t="str">
        <f t="shared" si="267"/>
        <v/>
      </c>
      <c r="H732" s="36" t="str">
        <f>IFERROR(IF(--MID($F732,2*COUNTIF($G732:G732,"&gt;"&amp;0)+2,1)=H$1,H$1,""),"")</f>
        <v/>
      </c>
      <c r="I732" s="36" t="str">
        <f>IFERROR(IF(--MID($F732,2*COUNTIF($G732:H732,"&gt;"&amp;0)+2,1)=I$1,I$1,""),"")</f>
        <v/>
      </c>
      <c r="J732" s="36" t="str">
        <f>IFERROR(IF(--MID($F732,2*COUNTIF($G732:I732,"&gt;"&amp;0)+2,1)=J$1,J$1,""),"")</f>
        <v/>
      </c>
      <c r="K732" s="36" t="str">
        <f>IFERROR(IF(--MID($F732,2*COUNTIF($G732:J732,"&gt;"&amp;0)+2,1)=K$1,K$1,""),"")</f>
        <v/>
      </c>
      <c r="L732" s="36" t="str">
        <f>IFERROR(IF(--MID($F732,2*COUNTIF($G732:K732,"&gt;"&amp;0)+2,1)=L$1,L$1,""),"")</f>
        <v/>
      </c>
      <c r="M732" s="51" t="str" cm="1">
        <f t="array" ref="M732">IF($A732="","",IF(G732="","",_xlfn.XLOOKUP($D732&amp;"_"&amp;$AE732,符文权重!$A:$A&amp;"_"&amp;符文权重!$C:$C,符文权重!$D:$D)*$Y732/SUMIFS($Y:$Y,G:G,G732,$D:$D,$D732,$AE:$AE,$AE732)/SUMIF(符文权重!$A:$A,$D732,符文权重!$D:$D)))</f>
        <v/>
      </c>
      <c r="N732" s="36" t="str" cm="1">
        <f t="array" ref="N732">IF($A732="","",IF(H732="","",_xlfn.XLOOKUP($D732&amp;"_"&amp;$AE732,符文权重!$A:$A&amp;"_"&amp;符文权重!$C:$C,符文权重!$D:$D)*$Y732/SUMIFS($Y:$Y,H:H,H732,$D:$D,$D$6,$AE:$AE,$AE$6)))</f>
        <v/>
      </c>
      <c r="O732" s="36" t="str" cm="1">
        <f t="array" ref="O732">IF($A732="","",IF(I732="","",_xlfn.XLOOKUP($D732&amp;"_"&amp;$AE732,符文权重!$A:$A&amp;"_"&amp;符文权重!$C:$C,符文权重!$D:$D)*$Y732/SUMIFS($Y:$Y,I:I,I732,$D:$D,$D$6,$AE:$AE,$AE$6)))</f>
        <v/>
      </c>
      <c r="P732" s="36" t="str" cm="1">
        <f t="array" ref="P732">IF($A732="","",IF(J732="","",_xlfn.XLOOKUP($D732&amp;"_"&amp;$AE732,符文权重!$A:$A&amp;"_"&amp;符文权重!$C:$C,符文权重!$D:$D)*$Y732/SUMIFS($Y:$Y,J:J,J732,$D:$D,$D$6,$AE:$AE,$AE$6)))</f>
        <v/>
      </c>
      <c r="Q732" s="36" t="str" cm="1">
        <f t="array" ref="Q732">IF($A732="","",IF(K732="","",_xlfn.XLOOKUP($D732&amp;"_"&amp;$AE732,符文权重!$A:$A&amp;"_"&amp;符文权重!$C:$C,符文权重!$D:$D)*$Y732/SUMIFS($Y:$Y,K:K,K732,$D:$D,$D$6,$AE:$AE,$AE$6)))</f>
        <v/>
      </c>
      <c r="R732" s="36" t="str" cm="1">
        <f t="array" ref="R732">IF($A732="","",IF(L732="","",_xlfn.XLOOKUP($D732&amp;"_"&amp;$AE732,符文权重!$A:$A&amp;"_"&amp;符文权重!$C:$C,符文权重!$D:$D)*$Y732/SUMIFS($Y:$Y,L:L,L732,$D:$D,$D$6,$AE:$AE,$AE$6)))</f>
        <v/>
      </c>
      <c r="S732" s="35" t="s">
        <v>178</v>
      </c>
      <c r="T732" s="35" t="s">
        <v>178</v>
      </c>
      <c r="U732" s="35" t="s">
        <v>178</v>
      </c>
      <c r="V732" s="35"/>
      <c r="W732" s="36"/>
      <c r="X732" s="35" t="s">
        <v>178</v>
      </c>
      <c r="Y732" s="35"/>
      <c r="Z732" s="35"/>
      <c r="AA732" s="35" t="s">
        <v>178</v>
      </c>
      <c r="AB732" s="42" t="str">
        <f t="shared" si="268"/>
        <v/>
      </c>
      <c r="AC732" s="35"/>
      <c r="AD732" s="35"/>
      <c r="AE732" s="35" t="s">
        <v>178</v>
      </c>
      <c r="AF732" s="35"/>
      <c r="AG732" s="35"/>
      <c r="AH732" s="35" t="s">
        <v>178</v>
      </c>
      <c r="AI732" s="36"/>
      <c r="AJ732" s="35"/>
      <c r="AK732" s="36"/>
      <c r="AL732" s="35"/>
    </row>
    <row r="733" hidden="1" customHeight="1" spans="1:38">
      <c r="A733" s="35">
        <v>5510464</v>
      </c>
      <c r="B733" s="34" t="s">
        <v>958</v>
      </c>
      <c r="C733" s="35">
        <v>5301277</v>
      </c>
      <c r="D733" s="36">
        <v>4</v>
      </c>
      <c r="E733" s="36"/>
      <c r="F733" s="35" t="s">
        <v>404</v>
      </c>
      <c r="G733" s="36" t="str">
        <f t="shared" si="267"/>
        <v/>
      </c>
      <c r="H733" s="36" t="str">
        <f>IFERROR(IF(--MID($F733,2*COUNTIF($G733:G733,"&gt;"&amp;0)+2,1)=H$1,H$1,""),"")</f>
        <v/>
      </c>
      <c r="I733" s="36" t="str">
        <f>IFERROR(IF(--MID($F733,2*COUNTIF($G733:H733,"&gt;"&amp;0)+2,1)=I$1,I$1,""),"")</f>
        <v/>
      </c>
      <c r="J733" s="36">
        <f>IFERROR(IF(--MID($F733,2*COUNTIF($G733:I733,"&gt;"&amp;0)+2,1)=J$1,J$1,""),"")</f>
        <v>4</v>
      </c>
      <c r="K733" s="36" t="str">
        <f>IFERROR(IF(--MID($F733,2*COUNTIF($G733:J733,"&gt;"&amp;0)+2,1)=K$1,K$1,""),"")</f>
        <v/>
      </c>
      <c r="L733" s="36" t="str">
        <f>IFERROR(IF(--MID($F733,2*COUNTIF($G733:K733,"&gt;"&amp;0)+2,1)=L$1,L$1,""),"")</f>
        <v/>
      </c>
      <c r="M733" s="36" t="e" cm="1">
        <f t="array" ref="M733">IF(A733="","",_xlfn.XLOOKUP(D733&amp;"_"&amp;AE733,符文权重!A:A&amp;"_"&amp;符文权重!C:C,符文权重!D:D))</f>
        <v>#N/A</v>
      </c>
      <c r="N733" s="36"/>
      <c r="O733" s="36"/>
      <c r="P733" s="36"/>
      <c r="Q733" s="36"/>
      <c r="R733" s="36"/>
      <c r="S733" s="36" t="s">
        <v>344</v>
      </c>
      <c r="T733" s="36" t="s">
        <v>959</v>
      </c>
      <c r="U733" s="36" t="s">
        <v>420</v>
      </c>
      <c r="V733" s="25" t="s">
        <v>960</v>
      </c>
      <c r="X733" s="35" t="s">
        <v>817</v>
      </c>
      <c r="Y733" s="35">
        <v>100</v>
      </c>
      <c r="AA733" s="36" t="s">
        <v>185</v>
      </c>
      <c r="AB733" s="42" t="str">
        <f t="shared" si="268"/>
        <v>海拉释放奥义后，下次攻击&lt;color=#54b76b&gt;40%&lt;/color&gt;概率灵魂&lt;color=#54b76b&gt;+10&lt;/color&gt;层</v>
      </c>
      <c r="AC733" s="35">
        <v>5301277</v>
      </c>
      <c r="AD733" s="36" t="s">
        <v>497</v>
      </c>
      <c r="AE733" s="36">
        <v>100</v>
      </c>
      <c r="AF733" s="36"/>
      <c r="AG733" s="36">
        <v>1</v>
      </c>
      <c r="AH733" s="36">
        <v>0</v>
      </c>
      <c r="AI733" s="35"/>
      <c r="AJ733" s="36" t="s">
        <v>961</v>
      </c>
      <c r="AL733" s="35">
        <v>8</v>
      </c>
    </row>
    <row r="734" s="25" customFormat="1" hidden="1" customHeight="1" spans="1:38">
      <c r="A734" s="35">
        <v>5510465</v>
      </c>
      <c r="B734" s="35" t="s">
        <v>958</v>
      </c>
      <c r="C734" s="35">
        <v>5301277</v>
      </c>
      <c r="D734" s="35">
        <v>5</v>
      </c>
      <c r="E734" s="35"/>
      <c r="F734" s="35" t="s">
        <v>404</v>
      </c>
      <c r="G734" s="36" t="str">
        <f t="shared" si="267"/>
        <v/>
      </c>
      <c r="H734" s="36" t="str">
        <f>IFERROR(IF(--MID($F734,2*COUNTIF($G734:G734,"&gt;"&amp;0)+2,1)=H$1,H$1,""),"")</f>
        <v/>
      </c>
      <c r="I734" s="36" t="str">
        <f>IFERROR(IF(--MID($F734,2*COUNTIF($G734:H734,"&gt;"&amp;0)+2,1)=I$1,I$1,""),"")</f>
        <v/>
      </c>
      <c r="J734" s="36">
        <f>IFERROR(IF(--MID($F734,2*COUNTIF($G734:I734,"&gt;"&amp;0)+2,1)=J$1,J$1,""),"")</f>
        <v>4</v>
      </c>
      <c r="K734" s="36" t="str">
        <f>IFERROR(IF(--MID($F734,2*COUNTIF($G734:J734,"&gt;"&amp;0)+2,1)=K$1,K$1,""),"")</f>
        <v/>
      </c>
      <c r="L734" s="36" t="str">
        <f>IFERROR(IF(--MID($F734,2*COUNTIF($G734:K734,"&gt;"&amp;0)+2,1)=L$1,L$1,""),"")</f>
        <v/>
      </c>
      <c r="M734" s="51" t="str" cm="1">
        <f t="array" ref="M734">IF($A734="","",IF(G734="","",_xlfn.XLOOKUP($D734&amp;"_"&amp;$AE734,符文权重!$A:$A&amp;"_"&amp;符文权重!$C:$C,符文权重!$D:$D)*$Y734/SUMIFS($Y:$Y,G:G,G734,$D:$D,$D734,$AE:$AE,$AE734)/SUMIF(符文权重!$A:$A,$D734,符文权重!$D:$D)))</f>
        <v/>
      </c>
      <c r="N734" s="51" t="str" cm="1">
        <f t="array" ref="N734">IF($A734="","",IF(H734="","",_xlfn.XLOOKUP($D734&amp;"_"&amp;$AE734,符文权重!$A:$A&amp;"_"&amp;符文权重!$C:$C,符文权重!$D:$D)*$Y734/SUMIFS($Y:$Y,H:H,H734,$D:$D,$D734,$AE:$AE,$AE734)/SUMIF(符文权重!$A:$A,$D734,符文权重!$D:$D)))</f>
        <v/>
      </c>
      <c r="O734" s="51" t="str" cm="1">
        <f t="array" ref="O734">IF($A734="","",IF(I734="","",_xlfn.XLOOKUP($D734&amp;"_"&amp;$AE734,符文权重!$A:$A&amp;"_"&amp;符文权重!$C:$C,符文权重!$D:$D)*$Y734/SUMIFS($Y:$Y,I:I,I734,$D:$D,$D734,$AE:$AE,$AE734)/SUMIF(符文权重!$A:$A,$D734,符文权重!$D:$D)))</f>
        <v/>
      </c>
      <c r="P734" s="51" cm="1">
        <f t="array" ref="P734">IF($A734="","",IF(J734="","",_xlfn.XLOOKUP($D734&amp;"_"&amp;$AE734,符文权重!$A:$A&amp;"_"&amp;符文权重!$C:$C,符文权重!$D:$D)*$Y734/SUMIFS($Y:$Y,J:J,J734,$D:$D,$D734,$AE:$AE,$AE734)/SUMIF(符文权重!$A:$A,$D734,符文权重!$D:$D)))</f>
        <v>0.00525</v>
      </c>
      <c r="Q734" s="51" t="str" cm="1">
        <f t="array" ref="Q734">IF($A734="","",IF(K734="","",_xlfn.XLOOKUP($D734&amp;"_"&amp;$AE734,符文权重!$A:$A&amp;"_"&amp;符文权重!$C:$C,符文权重!$D:$D)*$Y734/SUMIFS($Y:$Y,K:K,K734,$D:$D,$D734,$AE:$AE,$AE734)/SUMIF(符文权重!$A:$A,$D734,符文权重!$D:$D)))</f>
        <v/>
      </c>
      <c r="R734" s="51" t="str" cm="1">
        <f t="array" ref="R734">IF($A734="","",IF(L734="","",_xlfn.XLOOKUP($D734&amp;"_"&amp;$AE734,符文权重!$A:$A&amp;"_"&amp;符文权重!$C:$C,符文权重!$D:$D)*$Y734/SUMIFS($Y:$Y,L:L,L734,$D:$D,$D734,$AE:$AE,$AE734)/SUMIF(符文权重!$A:$A,$D734,符文权重!$D:$D)))</f>
        <v/>
      </c>
      <c r="S734" s="35" t="s">
        <v>344</v>
      </c>
      <c r="T734" s="35" t="s">
        <v>959</v>
      </c>
      <c r="U734" s="35" t="s">
        <v>423</v>
      </c>
      <c r="V734" s="35" t="s">
        <v>962</v>
      </c>
      <c r="X734" s="35" t="s">
        <v>820</v>
      </c>
      <c r="Y734" s="35">
        <v>100</v>
      </c>
      <c r="AA734" s="35" t="s">
        <v>187</v>
      </c>
      <c r="AB734" s="42" t="str">
        <f t="shared" si="268"/>
        <v>海拉释放强化普攻后，下次普攻有&lt;color=#54b76b&gt;25%&lt;/color&gt;概率灵魂&lt;color=#54b76b&gt;+30&lt;/color&gt;层灵魂</v>
      </c>
      <c r="AC734" s="35">
        <v>5301277</v>
      </c>
      <c r="AD734" s="35" t="s">
        <v>431</v>
      </c>
      <c r="AE734" s="35">
        <v>8</v>
      </c>
      <c r="AH734" s="35">
        <v>1</v>
      </c>
      <c r="AI734" s="36"/>
      <c r="AJ734" s="35" t="s">
        <v>963</v>
      </c>
      <c r="AK734" s="36"/>
      <c r="AL734" s="35">
        <v>8</v>
      </c>
    </row>
    <row r="735" s="25" customFormat="1" hidden="1" customHeight="1" spans="1:38">
      <c r="A735" s="35">
        <v>5510466</v>
      </c>
      <c r="B735" s="35" t="s">
        <v>958</v>
      </c>
      <c r="C735" s="35">
        <v>5301277</v>
      </c>
      <c r="D735" s="35">
        <v>6</v>
      </c>
      <c r="E735" s="35"/>
      <c r="F735" s="35" t="s">
        <v>404</v>
      </c>
      <c r="G735" s="36" t="str">
        <f t="shared" si="267"/>
        <v/>
      </c>
      <c r="H735" s="36" t="str">
        <f>IFERROR(IF(--MID($F735,2*COUNTIF($G735:G735,"&gt;"&amp;0)+2,1)=H$1,H$1,""),"")</f>
        <v/>
      </c>
      <c r="I735" s="36" t="str">
        <f>IFERROR(IF(--MID($F735,2*COUNTIF($G735:H735,"&gt;"&amp;0)+2,1)=I$1,I$1,""),"")</f>
        <v/>
      </c>
      <c r="J735" s="36">
        <f>IFERROR(IF(--MID($F735,2*COUNTIF($G735:I735,"&gt;"&amp;0)+2,1)=J$1,J$1,""),"")</f>
        <v>4</v>
      </c>
      <c r="K735" s="36" t="str">
        <f>IFERROR(IF(--MID($F735,2*COUNTIF($G735:J735,"&gt;"&amp;0)+2,1)=K$1,K$1,""),"")</f>
        <v/>
      </c>
      <c r="L735" s="36" t="str">
        <f>IFERROR(IF(--MID($F735,2*COUNTIF($G735:K735,"&gt;"&amp;0)+2,1)=L$1,L$1,""),"")</f>
        <v/>
      </c>
      <c r="M735" s="51" t="str" cm="1">
        <f t="array" ref="M735">IF($A735="","",IF(G735="","",_xlfn.XLOOKUP($D735&amp;"_"&amp;$AE735,符文权重!$A:$A&amp;"_"&amp;符文权重!$C:$C,符文权重!$D:$D)*$Y735/SUMIFS($Y:$Y,G:G,G735,$D:$D,$D735,$AE:$AE,$AE735)/SUMIF(符文权重!$A:$A,$D735,符文权重!$D:$D)))</f>
        <v/>
      </c>
      <c r="N735" s="51" t="str" cm="1">
        <f t="array" ref="N735">IF($A735="","",IF(H735="","",_xlfn.XLOOKUP($D735&amp;"_"&amp;$AE735,符文权重!$A:$A&amp;"_"&amp;符文权重!$C:$C,符文权重!$D:$D)*$Y735/SUMIFS($Y:$Y,H:H,H735,$D:$D,$D735,$AE:$AE,$AE735)/SUMIF(符文权重!$A:$A,$D735,符文权重!$D:$D)))</f>
        <v/>
      </c>
      <c r="O735" s="51" t="str" cm="1">
        <f t="array" ref="O735">IF($A735="","",IF(I735="","",_xlfn.XLOOKUP($D735&amp;"_"&amp;$AE735,符文权重!$A:$A&amp;"_"&amp;符文权重!$C:$C,符文权重!$D:$D)*$Y735/SUMIFS($Y:$Y,I:I,I735,$D:$D,$D735,$AE:$AE,$AE735)/SUMIF(符文权重!$A:$A,$D735,符文权重!$D:$D)))</f>
        <v/>
      </c>
      <c r="P735" s="51" cm="1">
        <f t="array" ref="P735">IF($A735="","",IF(J735="","",_xlfn.XLOOKUP($D735&amp;"_"&amp;$AE735,符文权重!$A:$A&amp;"_"&amp;符文权重!$C:$C,符文权重!$D:$D)*$Y735/SUMIFS($Y:$Y,J:J,J735,$D:$D,$D735,$AE:$AE,$AE735)/SUMIF(符文权重!$A:$A,$D735,符文权重!$D:$D)))</f>
        <v>0.00525</v>
      </c>
      <c r="Q735" s="51" t="str" cm="1">
        <f t="array" ref="Q735">IF($A735="","",IF(K735="","",_xlfn.XLOOKUP($D735&amp;"_"&amp;$AE735,符文权重!$A:$A&amp;"_"&amp;符文权重!$C:$C,符文权重!$D:$D)*$Y735/SUMIFS($Y:$Y,K:K,K735,$D:$D,$D735,$AE:$AE,$AE735)/SUMIF(符文权重!$A:$A,$D735,符文权重!$D:$D)))</f>
        <v/>
      </c>
      <c r="R735" s="51" t="str" cm="1">
        <f t="array" ref="R735">IF($A735="","",IF(L735="","",_xlfn.XLOOKUP($D735&amp;"_"&amp;$AE735,符文权重!$A:$A&amp;"_"&amp;符文权重!$C:$C,符文权重!$D:$D)*$Y735/SUMIFS($Y:$Y,L:L,L735,$D:$D,$D735,$AE:$AE,$AE735)/SUMIF(符文权重!$A:$A,$D735,符文权重!$D:$D)))</f>
        <v/>
      </c>
      <c r="S735" s="35" t="s">
        <v>344</v>
      </c>
      <c r="T735" s="35" t="s">
        <v>959</v>
      </c>
      <c r="U735" s="35" t="s">
        <v>426</v>
      </c>
      <c r="V735" s="35" t="s">
        <v>964</v>
      </c>
      <c r="X735" s="35" t="s">
        <v>823</v>
      </c>
      <c r="Y735" s="35">
        <v>100</v>
      </c>
      <c r="AA735" s="35" t="s">
        <v>189</v>
      </c>
      <c r="AB735" s="42" t="str">
        <f t="shared" si="268"/>
        <v>海拉释放强化普攻后，下次普攻有&lt;color=#54b76b&gt;30%&lt;/color&gt;概率灵魂&lt;color=#54b76b&gt;+30&lt;/color&gt;层灵魂</v>
      </c>
      <c r="AC735" s="35">
        <v>5301277</v>
      </c>
      <c r="AD735" s="35" t="s">
        <v>487</v>
      </c>
      <c r="AE735" s="35">
        <v>8</v>
      </c>
      <c r="AH735" s="35">
        <v>1</v>
      </c>
      <c r="AI735" s="36"/>
      <c r="AJ735" s="35" t="s">
        <v>965</v>
      </c>
      <c r="AK735" s="36"/>
      <c r="AL735" s="35">
        <v>8</v>
      </c>
    </row>
    <row r="736" s="25" customFormat="1" hidden="1" customHeight="1" spans="1:38">
      <c r="A736" s="35">
        <v>5510467</v>
      </c>
      <c r="B736" s="35" t="s">
        <v>958</v>
      </c>
      <c r="C736" s="35">
        <v>5301277</v>
      </c>
      <c r="D736" s="35">
        <v>7</v>
      </c>
      <c r="E736" s="35"/>
      <c r="F736" s="35" t="s">
        <v>404</v>
      </c>
      <c r="G736" s="36" t="str">
        <f t="shared" si="267"/>
        <v/>
      </c>
      <c r="H736" s="36" t="str">
        <f>IFERROR(IF(--MID($F736,2*COUNTIF($G736:G736,"&gt;"&amp;0)+2,1)=H$1,H$1,""),"")</f>
        <v/>
      </c>
      <c r="I736" s="36" t="str">
        <f>IFERROR(IF(--MID($F736,2*COUNTIF($G736:H736,"&gt;"&amp;0)+2,1)=I$1,I$1,""),"")</f>
        <v/>
      </c>
      <c r="J736" s="36">
        <f>IFERROR(IF(--MID($F736,2*COUNTIF($G736:I736,"&gt;"&amp;0)+2,1)=J$1,J$1,""),"")</f>
        <v>4</v>
      </c>
      <c r="K736" s="36" t="str">
        <f>IFERROR(IF(--MID($F736,2*COUNTIF($G736:J736,"&gt;"&amp;0)+2,1)=K$1,K$1,""),"")</f>
        <v/>
      </c>
      <c r="L736" s="36" t="str">
        <f>IFERROR(IF(--MID($F736,2*COUNTIF($G736:K736,"&gt;"&amp;0)+2,1)=L$1,L$1,""),"")</f>
        <v/>
      </c>
      <c r="M736" s="51" t="str" cm="1">
        <f t="array" ref="M736">IF($A736="","",IF(G736="","",_xlfn.XLOOKUP($D736&amp;"_"&amp;$AE736,符文权重!$A:$A&amp;"_"&amp;符文权重!$C:$C,符文权重!$D:$D)*$Y736/SUMIFS($Y:$Y,G:G,G736,$D:$D,$D736,$AE:$AE,$AE736)/SUMIF(符文权重!$A:$A,$D736,符文权重!$D:$D)))</f>
        <v/>
      </c>
      <c r="N736" s="51" t="str" cm="1">
        <f t="array" ref="N736">IF($A736="","",IF(H736="","",_xlfn.XLOOKUP($D736&amp;"_"&amp;$AE736,符文权重!$A:$A&amp;"_"&amp;符文权重!$C:$C,符文权重!$D:$D)*$Y736/SUMIFS($Y:$Y,H:H,H736,$D:$D,$D736,$AE:$AE,$AE736)/SUMIF(符文权重!$A:$A,$D736,符文权重!$D:$D)))</f>
        <v/>
      </c>
      <c r="O736" s="51" t="str" cm="1">
        <f t="array" ref="O736">IF($A736="","",IF(I736="","",_xlfn.XLOOKUP($D736&amp;"_"&amp;$AE736,符文权重!$A:$A&amp;"_"&amp;符文权重!$C:$C,符文权重!$D:$D)*$Y736/SUMIFS($Y:$Y,I:I,I736,$D:$D,$D736,$AE:$AE,$AE736)/SUMIF(符文权重!$A:$A,$D736,符文权重!$D:$D)))</f>
        <v/>
      </c>
      <c r="P736" s="51" cm="1">
        <f t="array" ref="P736">IF($A736="","",IF(J736="","",_xlfn.XLOOKUP($D736&amp;"_"&amp;$AE736,符文权重!$A:$A&amp;"_"&amp;符文权重!$C:$C,符文权重!$D:$D)*$Y736/SUMIFS($Y:$Y,J:J,J736,$D:$D,$D736,$AE:$AE,$AE736)/SUMIF(符文权重!$A:$A,$D736,符文权重!$D:$D)))</f>
        <v>0.00525</v>
      </c>
      <c r="Q736" s="51" t="str" cm="1">
        <f t="array" ref="Q736">IF($A736="","",IF(K736="","",_xlfn.XLOOKUP($D736&amp;"_"&amp;$AE736,符文权重!$A:$A&amp;"_"&amp;符文权重!$C:$C,符文权重!$D:$D)*$Y736/SUMIFS($Y:$Y,K:K,K736,$D:$D,$D736,$AE:$AE,$AE736)/SUMIF(符文权重!$A:$A,$D736,符文权重!$D:$D)))</f>
        <v/>
      </c>
      <c r="R736" s="51" t="str" cm="1">
        <f t="array" ref="R736">IF($A736="","",IF(L736="","",_xlfn.XLOOKUP($D736&amp;"_"&amp;$AE736,符文权重!$A:$A&amp;"_"&amp;符文权重!$C:$C,符文权重!$D:$D)*$Y736/SUMIFS($Y:$Y,L:L,L736,$D:$D,$D736,$AE:$AE,$AE736)/SUMIF(符文权重!$A:$A,$D736,符文权重!$D:$D)))</f>
        <v/>
      </c>
      <c r="S736" s="35" t="s">
        <v>344</v>
      </c>
      <c r="T736" s="35" t="s">
        <v>959</v>
      </c>
      <c r="U736" s="35" t="s">
        <v>429</v>
      </c>
      <c r="V736" s="35" t="s">
        <v>966</v>
      </c>
      <c r="X736" s="35" t="s">
        <v>826</v>
      </c>
      <c r="Y736" s="35">
        <v>100</v>
      </c>
      <c r="AA736" s="35" t="s">
        <v>191</v>
      </c>
      <c r="AB736" s="42" t="str">
        <f t="shared" si="268"/>
        <v>海拉释放强化普攻后，下次普攻有&lt;color=#54b76b&gt;35%&lt;/color&gt;概率灵魂&lt;color=#54b76b&gt;+30&lt;/color&gt;层灵魂</v>
      </c>
      <c r="AC736" s="35">
        <v>5301277</v>
      </c>
      <c r="AD736" s="35" t="s">
        <v>447</v>
      </c>
      <c r="AE736" s="35">
        <v>8</v>
      </c>
      <c r="AH736" s="35">
        <v>1</v>
      </c>
      <c r="AJ736" s="35" t="s">
        <v>967</v>
      </c>
      <c r="AL736" s="35">
        <v>8</v>
      </c>
    </row>
    <row r="737" hidden="1" customHeight="1" spans="1:38">
      <c r="A737" s="35">
        <v>5510474</v>
      </c>
      <c r="B737" s="34" t="s">
        <v>958</v>
      </c>
      <c r="C737" s="35">
        <v>5301278</v>
      </c>
      <c r="D737" s="36">
        <v>4</v>
      </c>
      <c r="E737" s="36"/>
      <c r="F737" s="35" t="s">
        <v>230</v>
      </c>
      <c r="G737" s="36" t="str">
        <f t="shared" si="267"/>
        <v/>
      </c>
      <c r="H737" s="36" t="str">
        <f>IFERROR(IF(--MID($F737,2*COUNTIF($G737:G737,"&gt;"&amp;0)+2,1)=H$1,H$1,""),"")</f>
        <v/>
      </c>
      <c r="I737" s="36" t="str">
        <f>IFERROR(IF(--MID($F737,2*COUNTIF($G737:H737,"&gt;"&amp;0)+2,1)=I$1,I$1,""),"")</f>
        <v/>
      </c>
      <c r="J737" s="36" t="str">
        <f>IFERROR(IF(--MID($F737,2*COUNTIF($G737:I737,"&gt;"&amp;0)+2,1)=J$1,J$1,""),"")</f>
        <v/>
      </c>
      <c r="K737" s="36">
        <f>IFERROR(IF(--MID($F737,2*COUNTIF($G737:J737,"&gt;"&amp;0)+2,1)=K$1,K$1,""),"")</f>
        <v>5</v>
      </c>
      <c r="L737" s="36" t="str">
        <f>IFERROR(IF(--MID($F737,2*COUNTIF($G737:K737,"&gt;"&amp;0)+2,1)=L$1,L$1,""),"")</f>
        <v/>
      </c>
      <c r="M737" s="36" t="e" cm="1">
        <f t="array" ref="M737">IF(A737="","",_xlfn.XLOOKUP(D737&amp;"_"&amp;AE737,符文权重!A:A&amp;"_"&amp;符文权重!C:C,符文权重!D:D))</f>
        <v>#N/A</v>
      </c>
      <c r="N737" s="36"/>
      <c r="O737" s="36"/>
      <c r="P737" s="36"/>
      <c r="Q737" s="36"/>
      <c r="R737" s="36"/>
      <c r="S737" s="36" t="s">
        <v>344</v>
      </c>
      <c r="T737" s="36" t="s">
        <v>959</v>
      </c>
      <c r="U737" s="36" t="s">
        <v>420</v>
      </c>
      <c r="V737" s="25" t="s">
        <v>968</v>
      </c>
      <c r="X737" s="35" t="s">
        <v>817</v>
      </c>
      <c r="Y737" s="35">
        <v>100</v>
      </c>
      <c r="AA737" s="36" t="s">
        <v>185</v>
      </c>
      <c r="AB737" s="42" t="str">
        <f t="shared" si="268"/>
        <v>海拉每获得1层灵魂，攻速&lt;color=#54b76b&gt;+3%&lt;/color&gt;</v>
      </c>
      <c r="AC737" s="35">
        <v>5301278</v>
      </c>
      <c r="AD737" s="36" t="s">
        <v>193</v>
      </c>
      <c r="AE737" s="36">
        <v>100</v>
      </c>
      <c r="AF737" s="36"/>
      <c r="AG737" s="36">
        <v>1</v>
      </c>
      <c r="AH737" s="36">
        <v>0</v>
      </c>
      <c r="AI737" s="35"/>
      <c r="AJ737" s="36" t="s">
        <v>969</v>
      </c>
      <c r="AL737" s="35">
        <v>8</v>
      </c>
    </row>
    <row r="738" s="25" customFormat="1" hidden="1" customHeight="1" spans="1:38">
      <c r="A738" s="35">
        <v>5510475</v>
      </c>
      <c r="B738" s="35" t="s">
        <v>958</v>
      </c>
      <c r="C738" s="35">
        <v>5301278</v>
      </c>
      <c r="D738" s="35">
        <v>5</v>
      </c>
      <c r="E738" s="35"/>
      <c r="F738" s="35" t="s">
        <v>230</v>
      </c>
      <c r="G738" s="36" t="str">
        <f t="shared" si="267"/>
        <v/>
      </c>
      <c r="H738" s="36" t="str">
        <f>IFERROR(IF(--MID($F738,2*COUNTIF($G738:G738,"&gt;"&amp;0)+2,1)=H$1,H$1,""),"")</f>
        <v/>
      </c>
      <c r="I738" s="36" t="str">
        <f>IFERROR(IF(--MID($F738,2*COUNTIF($G738:H738,"&gt;"&amp;0)+2,1)=I$1,I$1,""),"")</f>
        <v/>
      </c>
      <c r="J738" s="36" t="str">
        <f>IFERROR(IF(--MID($F738,2*COUNTIF($G738:I738,"&gt;"&amp;0)+2,1)=J$1,J$1,""),"")</f>
        <v/>
      </c>
      <c r="K738" s="36">
        <f>IFERROR(IF(--MID($F738,2*COUNTIF($G738:J738,"&gt;"&amp;0)+2,1)=K$1,K$1,""),"")</f>
        <v>5</v>
      </c>
      <c r="L738" s="36" t="str">
        <f>IFERROR(IF(--MID($F738,2*COUNTIF($G738:K738,"&gt;"&amp;0)+2,1)=L$1,L$1,""),"")</f>
        <v/>
      </c>
      <c r="M738" s="51" t="str" cm="1">
        <f t="array" ref="M738">IF($A738="","",IF(G738="","",_xlfn.XLOOKUP($D738&amp;"_"&amp;$AE738,符文权重!$A:$A&amp;"_"&amp;符文权重!$C:$C,符文权重!$D:$D)*$Y738/SUMIFS($Y:$Y,G:G,G738,$D:$D,$D738,$AE:$AE,$AE738)/SUMIF(符文权重!$A:$A,$D738,符文权重!$D:$D)))</f>
        <v/>
      </c>
      <c r="N738" s="51" t="str" cm="1">
        <f t="array" ref="N738">IF($A738="","",IF(H738="","",_xlfn.XLOOKUP($D738&amp;"_"&amp;$AE738,符文权重!$A:$A&amp;"_"&amp;符文权重!$C:$C,符文权重!$D:$D)*$Y738/SUMIFS($Y:$Y,H:H,H738,$D:$D,$D738,$AE:$AE,$AE738)/SUMIF(符文权重!$A:$A,$D738,符文权重!$D:$D)))</f>
        <v/>
      </c>
      <c r="O738" s="51" t="str" cm="1">
        <f t="array" ref="O738">IF($A738="","",IF(I738="","",_xlfn.XLOOKUP($D738&amp;"_"&amp;$AE738,符文权重!$A:$A&amp;"_"&amp;符文权重!$C:$C,符文权重!$D:$D)*$Y738/SUMIFS($Y:$Y,I:I,I738,$D:$D,$D738,$AE:$AE,$AE738)/SUMIF(符文权重!$A:$A,$D738,符文权重!$D:$D)))</f>
        <v/>
      </c>
      <c r="P738" s="51" t="str" cm="1">
        <f t="array" ref="P738">IF($A738="","",IF(J738="","",_xlfn.XLOOKUP($D738&amp;"_"&amp;$AE738,符文权重!$A:$A&amp;"_"&amp;符文权重!$C:$C,符文权重!$D:$D)*$Y738/SUMIFS($Y:$Y,J:J,J738,$D:$D,$D738,$AE:$AE,$AE738)/SUMIF(符文权重!$A:$A,$D738,符文权重!$D:$D)))</f>
        <v/>
      </c>
      <c r="Q738" s="51" cm="1">
        <f t="array" ref="Q738">IF($A738="","",IF(K738="","",_xlfn.XLOOKUP($D738&amp;"_"&amp;$AE738,符文权重!$A:$A&amp;"_"&amp;符文权重!$C:$C,符文权重!$D:$D)*$Y738/SUMIFS($Y:$Y,K:K,K738,$D:$D,$D738,$AE:$AE,$AE738)/SUMIF(符文权重!$A:$A,$D738,符文权重!$D:$D)))</f>
        <v>0.00525</v>
      </c>
      <c r="R738" s="51" t="str" cm="1">
        <f t="array" ref="R738">IF($A738="","",IF(L738="","",_xlfn.XLOOKUP($D738&amp;"_"&amp;$AE738,符文权重!$A:$A&amp;"_"&amp;符文权重!$C:$C,符文权重!$D:$D)*$Y738/SUMIFS($Y:$Y,L:L,L738,$D:$D,$D738,$AE:$AE,$AE738)/SUMIF(符文权重!$A:$A,$D738,符文权重!$D:$D)))</f>
        <v/>
      </c>
      <c r="S738" s="35" t="s">
        <v>344</v>
      </c>
      <c r="T738" s="35" t="s">
        <v>959</v>
      </c>
      <c r="U738" s="35" t="s">
        <v>423</v>
      </c>
      <c r="V738" s="35" t="s">
        <v>970</v>
      </c>
      <c r="X738" s="35" t="s">
        <v>820</v>
      </c>
      <c r="Y738" s="35">
        <v>100</v>
      </c>
      <c r="AA738" s="35" t="s">
        <v>187</v>
      </c>
      <c r="AB738" s="42" t="str">
        <f t="shared" si="268"/>
        <v>海拉每获得1层灵魂，攻速&lt;color=#54b76b&gt;+4%&lt;/color&gt;</v>
      </c>
      <c r="AC738" s="35">
        <v>5301278</v>
      </c>
      <c r="AD738" s="35" t="s">
        <v>404</v>
      </c>
      <c r="AE738" s="35">
        <v>8</v>
      </c>
      <c r="AH738" s="35">
        <v>1</v>
      </c>
      <c r="AI738" s="36"/>
      <c r="AJ738" s="35" t="s">
        <v>971</v>
      </c>
      <c r="AK738" s="36"/>
      <c r="AL738" s="35">
        <v>8</v>
      </c>
    </row>
    <row r="739" s="25" customFormat="1" hidden="1" customHeight="1" spans="1:38">
      <c r="A739" s="35">
        <v>5510476</v>
      </c>
      <c r="B739" s="35" t="s">
        <v>958</v>
      </c>
      <c r="C739" s="35">
        <v>5301278</v>
      </c>
      <c r="D739" s="35">
        <v>6</v>
      </c>
      <c r="E739" s="35"/>
      <c r="F739" s="35" t="s">
        <v>230</v>
      </c>
      <c r="G739" s="36" t="str">
        <f t="shared" si="267"/>
        <v/>
      </c>
      <c r="H739" s="36" t="str">
        <f>IFERROR(IF(--MID($F739,2*COUNTIF($G739:G739,"&gt;"&amp;0)+2,1)=H$1,H$1,""),"")</f>
        <v/>
      </c>
      <c r="I739" s="36" t="str">
        <f>IFERROR(IF(--MID($F739,2*COUNTIF($G739:H739,"&gt;"&amp;0)+2,1)=I$1,I$1,""),"")</f>
        <v/>
      </c>
      <c r="J739" s="36" t="str">
        <f>IFERROR(IF(--MID($F739,2*COUNTIF($G739:I739,"&gt;"&amp;0)+2,1)=J$1,J$1,""),"")</f>
        <v/>
      </c>
      <c r="K739" s="36">
        <f>IFERROR(IF(--MID($F739,2*COUNTIF($G739:J739,"&gt;"&amp;0)+2,1)=K$1,K$1,""),"")</f>
        <v>5</v>
      </c>
      <c r="L739" s="36" t="str">
        <f>IFERROR(IF(--MID($F739,2*COUNTIF($G739:K739,"&gt;"&amp;0)+2,1)=L$1,L$1,""),"")</f>
        <v/>
      </c>
      <c r="M739" s="51" t="str" cm="1">
        <f t="array" ref="M739">IF($A739="","",IF(G739="","",_xlfn.XLOOKUP($D739&amp;"_"&amp;$AE739,符文权重!$A:$A&amp;"_"&amp;符文权重!$C:$C,符文权重!$D:$D)*$Y739/SUMIFS($Y:$Y,G:G,G739,$D:$D,$D739,$AE:$AE,$AE739)/SUMIF(符文权重!$A:$A,$D739,符文权重!$D:$D)))</f>
        <v/>
      </c>
      <c r="N739" s="51" t="str" cm="1">
        <f t="array" ref="N739">IF($A739="","",IF(H739="","",_xlfn.XLOOKUP($D739&amp;"_"&amp;$AE739,符文权重!$A:$A&amp;"_"&amp;符文权重!$C:$C,符文权重!$D:$D)*$Y739/SUMIFS($Y:$Y,H:H,H739,$D:$D,$D739,$AE:$AE,$AE739)/SUMIF(符文权重!$A:$A,$D739,符文权重!$D:$D)))</f>
        <v/>
      </c>
      <c r="O739" s="51" t="str" cm="1">
        <f t="array" ref="O739">IF($A739="","",IF(I739="","",_xlfn.XLOOKUP($D739&amp;"_"&amp;$AE739,符文权重!$A:$A&amp;"_"&amp;符文权重!$C:$C,符文权重!$D:$D)*$Y739/SUMIFS($Y:$Y,I:I,I739,$D:$D,$D739,$AE:$AE,$AE739)/SUMIF(符文权重!$A:$A,$D739,符文权重!$D:$D)))</f>
        <v/>
      </c>
      <c r="P739" s="51" t="str" cm="1">
        <f t="array" ref="P739">IF($A739="","",IF(J739="","",_xlfn.XLOOKUP($D739&amp;"_"&amp;$AE739,符文权重!$A:$A&amp;"_"&amp;符文权重!$C:$C,符文权重!$D:$D)*$Y739/SUMIFS($Y:$Y,J:J,J739,$D:$D,$D739,$AE:$AE,$AE739)/SUMIF(符文权重!$A:$A,$D739,符文权重!$D:$D)))</f>
        <v/>
      </c>
      <c r="Q739" s="51" cm="1">
        <f t="array" ref="Q739">IF($A739="","",IF(K739="","",_xlfn.XLOOKUP($D739&amp;"_"&amp;$AE739,符文权重!$A:$A&amp;"_"&amp;符文权重!$C:$C,符文权重!$D:$D)*$Y739/SUMIFS($Y:$Y,K:K,K739,$D:$D,$D739,$AE:$AE,$AE739)/SUMIF(符文权重!$A:$A,$D739,符文权重!$D:$D)))</f>
        <v>0.00525</v>
      </c>
      <c r="R739" s="51" t="str" cm="1">
        <f t="array" ref="R739">IF($A739="","",IF(L739="","",_xlfn.XLOOKUP($D739&amp;"_"&amp;$AE739,符文权重!$A:$A&amp;"_"&amp;符文权重!$C:$C,符文权重!$D:$D)*$Y739/SUMIFS($Y:$Y,L:L,L739,$D:$D,$D739,$AE:$AE,$AE739)/SUMIF(符文权重!$A:$A,$D739,符文权重!$D:$D)))</f>
        <v/>
      </c>
      <c r="S739" s="35" t="s">
        <v>344</v>
      </c>
      <c r="T739" s="35" t="s">
        <v>959</v>
      </c>
      <c r="U739" s="35" t="s">
        <v>426</v>
      </c>
      <c r="V739" s="35" t="s">
        <v>972</v>
      </c>
      <c r="X739" s="35" t="s">
        <v>823</v>
      </c>
      <c r="Y739" s="35">
        <v>100</v>
      </c>
      <c r="AA739" s="35" t="s">
        <v>189</v>
      </c>
      <c r="AB739" s="42" t="str">
        <f t="shared" si="268"/>
        <v>海拉每获得1层灵魂，攻速&lt;color=#54b76b&gt;+6%&lt;/color&gt;</v>
      </c>
      <c r="AC739" s="35">
        <v>5301278</v>
      </c>
      <c r="AD739" s="35" t="s">
        <v>220</v>
      </c>
      <c r="AE739" s="35">
        <v>8</v>
      </c>
      <c r="AH739" s="35">
        <v>1</v>
      </c>
      <c r="AI739" s="36"/>
      <c r="AJ739" s="35" t="s">
        <v>973</v>
      </c>
      <c r="AK739" s="36"/>
      <c r="AL739" s="35">
        <v>8</v>
      </c>
    </row>
    <row r="740" s="25" customFormat="1" hidden="1" customHeight="1" spans="1:38">
      <c r="A740" s="35">
        <v>5510477</v>
      </c>
      <c r="B740" s="35" t="s">
        <v>958</v>
      </c>
      <c r="C740" s="35">
        <v>5301278</v>
      </c>
      <c r="D740" s="35">
        <v>7</v>
      </c>
      <c r="E740" s="35"/>
      <c r="F740" s="35" t="s">
        <v>230</v>
      </c>
      <c r="G740" s="36" t="str">
        <f t="shared" si="267"/>
        <v/>
      </c>
      <c r="H740" s="36" t="str">
        <f>IFERROR(IF(--MID($F740,2*COUNTIF($G740:G740,"&gt;"&amp;0)+2,1)=H$1,H$1,""),"")</f>
        <v/>
      </c>
      <c r="I740" s="36" t="str">
        <f>IFERROR(IF(--MID($F740,2*COUNTIF($G740:H740,"&gt;"&amp;0)+2,1)=I$1,I$1,""),"")</f>
        <v/>
      </c>
      <c r="J740" s="36" t="str">
        <f>IFERROR(IF(--MID($F740,2*COUNTIF($G740:I740,"&gt;"&amp;0)+2,1)=J$1,J$1,""),"")</f>
        <v/>
      </c>
      <c r="K740" s="36">
        <f>IFERROR(IF(--MID($F740,2*COUNTIF($G740:J740,"&gt;"&amp;0)+2,1)=K$1,K$1,""),"")</f>
        <v>5</v>
      </c>
      <c r="L740" s="36" t="str">
        <f>IFERROR(IF(--MID($F740,2*COUNTIF($G740:K740,"&gt;"&amp;0)+2,1)=L$1,L$1,""),"")</f>
        <v/>
      </c>
      <c r="M740" s="51" t="str" cm="1">
        <f t="array" ref="M740">IF($A740="","",IF(G740="","",_xlfn.XLOOKUP($D740&amp;"_"&amp;$AE740,符文权重!$A:$A&amp;"_"&amp;符文权重!$C:$C,符文权重!$D:$D)*$Y740/SUMIFS($Y:$Y,G:G,G740,$D:$D,$D740,$AE:$AE,$AE740)/SUMIF(符文权重!$A:$A,$D740,符文权重!$D:$D)))</f>
        <v/>
      </c>
      <c r="N740" s="51" t="str" cm="1">
        <f t="array" ref="N740">IF($A740="","",IF(H740="","",_xlfn.XLOOKUP($D740&amp;"_"&amp;$AE740,符文权重!$A:$A&amp;"_"&amp;符文权重!$C:$C,符文权重!$D:$D)*$Y740/SUMIFS($Y:$Y,H:H,H740,$D:$D,$D740,$AE:$AE,$AE740)/SUMIF(符文权重!$A:$A,$D740,符文权重!$D:$D)))</f>
        <v/>
      </c>
      <c r="O740" s="51" t="str" cm="1">
        <f t="array" ref="O740">IF($A740="","",IF(I740="","",_xlfn.XLOOKUP($D740&amp;"_"&amp;$AE740,符文权重!$A:$A&amp;"_"&amp;符文权重!$C:$C,符文权重!$D:$D)*$Y740/SUMIFS($Y:$Y,I:I,I740,$D:$D,$D740,$AE:$AE,$AE740)/SUMIF(符文权重!$A:$A,$D740,符文权重!$D:$D)))</f>
        <v/>
      </c>
      <c r="P740" s="51" t="str" cm="1">
        <f t="array" ref="P740">IF($A740="","",IF(J740="","",_xlfn.XLOOKUP($D740&amp;"_"&amp;$AE740,符文权重!$A:$A&amp;"_"&amp;符文权重!$C:$C,符文权重!$D:$D)*$Y740/SUMIFS($Y:$Y,J:J,J740,$D:$D,$D740,$AE:$AE,$AE740)/SUMIF(符文权重!$A:$A,$D740,符文权重!$D:$D)))</f>
        <v/>
      </c>
      <c r="Q740" s="51" cm="1">
        <f t="array" ref="Q740">IF($A740="","",IF(K740="","",_xlfn.XLOOKUP($D740&amp;"_"&amp;$AE740,符文权重!$A:$A&amp;"_"&amp;符文权重!$C:$C,符文权重!$D:$D)*$Y740/SUMIFS($Y:$Y,K:K,K740,$D:$D,$D740,$AE:$AE,$AE740)/SUMIF(符文权重!$A:$A,$D740,符文权重!$D:$D)))</f>
        <v>0.00525</v>
      </c>
      <c r="R740" s="51" t="str" cm="1">
        <f t="array" ref="R740">IF($A740="","",IF(L740="","",_xlfn.XLOOKUP($D740&amp;"_"&amp;$AE740,符文权重!$A:$A&amp;"_"&amp;符文权重!$C:$C,符文权重!$D:$D)*$Y740/SUMIFS($Y:$Y,L:L,L740,$D:$D,$D740,$AE:$AE,$AE740)/SUMIF(符文权重!$A:$A,$D740,符文权重!$D:$D)))</f>
        <v/>
      </c>
      <c r="S740" s="35" t="s">
        <v>344</v>
      </c>
      <c r="T740" s="35" t="s">
        <v>959</v>
      </c>
      <c r="U740" s="35" t="s">
        <v>429</v>
      </c>
      <c r="V740" s="35" t="s">
        <v>974</v>
      </c>
      <c r="X740" s="35" t="s">
        <v>826</v>
      </c>
      <c r="Y740" s="35">
        <v>100</v>
      </c>
      <c r="AA740" s="35" t="s">
        <v>191</v>
      </c>
      <c r="AB740" s="42" t="str">
        <f t="shared" si="268"/>
        <v>海拉每获得1层灵魂，攻速&lt;color=#54b76b&gt;+8%&lt;/color&gt;</v>
      </c>
      <c r="AC740" s="35">
        <v>5301278</v>
      </c>
      <c r="AD740" s="35" t="s">
        <v>419</v>
      </c>
      <c r="AE740" s="35">
        <v>8</v>
      </c>
      <c r="AH740" s="35">
        <v>1</v>
      </c>
      <c r="AI740" s="36"/>
      <c r="AJ740" s="35" t="s">
        <v>975</v>
      </c>
      <c r="AK740" s="36"/>
      <c r="AL740" s="35">
        <v>8</v>
      </c>
    </row>
    <row r="741" hidden="1" customHeight="1" spans="1:38">
      <c r="A741" s="35">
        <v>5510484</v>
      </c>
      <c r="B741" s="34" t="s">
        <v>958</v>
      </c>
      <c r="C741" s="35">
        <v>5301279</v>
      </c>
      <c r="D741" s="36">
        <v>4</v>
      </c>
      <c r="E741" s="36"/>
      <c r="F741" s="35" t="s">
        <v>220</v>
      </c>
      <c r="G741" s="36" t="str">
        <f t="shared" si="267"/>
        <v/>
      </c>
      <c r="H741" s="36" t="str">
        <f>IFERROR(IF(--MID($F741,2*COUNTIF($G741:G741,"&gt;"&amp;0)+2,1)=H$1,H$1,""),"")</f>
        <v/>
      </c>
      <c r="I741" s="36" t="str">
        <f>IFERROR(IF(--MID($F741,2*COUNTIF($G741:H741,"&gt;"&amp;0)+2,1)=I$1,I$1,""),"")</f>
        <v/>
      </c>
      <c r="J741" s="36" t="str">
        <f>IFERROR(IF(--MID($F741,2*COUNTIF($G741:I741,"&gt;"&amp;0)+2,1)=J$1,J$1,""),"")</f>
        <v/>
      </c>
      <c r="K741" s="36" t="str">
        <f>IFERROR(IF(--MID($F741,2*COUNTIF($G741:J741,"&gt;"&amp;0)+2,1)=K$1,K$1,""),"")</f>
        <v/>
      </c>
      <c r="L741" s="36">
        <f>IFERROR(IF(--MID($F741,2*COUNTIF($G741:K741,"&gt;"&amp;0)+2,1)=L$1,L$1,""),"")</f>
        <v>6</v>
      </c>
      <c r="M741" s="36" t="e" cm="1">
        <f t="array" ref="M741">IF(A741="","",_xlfn.XLOOKUP(D741&amp;"_"&amp;AE741,符文权重!A:A&amp;"_"&amp;符文权重!C:C,符文权重!D:D))</f>
        <v>#N/A</v>
      </c>
      <c r="N741" s="36"/>
      <c r="O741" s="36"/>
      <c r="P741" s="36"/>
      <c r="Q741" s="36"/>
      <c r="R741" s="36"/>
      <c r="S741" s="36" t="s">
        <v>344</v>
      </c>
      <c r="T741" s="36" t="s">
        <v>959</v>
      </c>
      <c r="U741" s="36" t="s">
        <v>420</v>
      </c>
      <c r="V741" s="25" t="s">
        <v>976</v>
      </c>
      <c r="X741" s="35" t="s">
        <v>817</v>
      </c>
      <c r="Y741" s="35">
        <v>100</v>
      </c>
      <c r="AA741" s="36" t="s">
        <v>185</v>
      </c>
      <c r="AB741" s="42" t="str">
        <f t="shared" si="268"/>
        <v>海拉每层【灵魂】伤害加成效果提升&lt;color=#54b76b&gt;80%&lt;/color&gt;</v>
      </c>
      <c r="AC741" s="35">
        <v>5301279</v>
      </c>
      <c r="AD741" s="36" t="s">
        <v>458</v>
      </c>
      <c r="AE741" s="36">
        <v>100</v>
      </c>
      <c r="AF741" s="36"/>
      <c r="AG741" s="36">
        <v>1</v>
      </c>
      <c r="AH741" s="36">
        <v>0</v>
      </c>
      <c r="AI741" s="35"/>
      <c r="AJ741" s="36" t="s">
        <v>977</v>
      </c>
      <c r="AL741" s="35">
        <v>8</v>
      </c>
    </row>
    <row r="742" s="25" customFormat="1" hidden="1" customHeight="1" spans="1:38">
      <c r="A742" s="35">
        <v>5510485</v>
      </c>
      <c r="B742" s="35" t="s">
        <v>958</v>
      </c>
      <c r="C742" s="35">
        <v>5301279</v>
      </c>
      <c r="D742" s="35">
        <v>5</v>
      </c>
      <c r="E742" s="35"/>
      <c r="F742" s="35" t="s">
        <v>220</v>
      </c>
      <c r="G742" s="36" t="str">
        <f t="shared" si="267"/>
        <v/>
      </c>
      <c r="H742" s="36" t="str">
        <f>IFERROR(IF(--MID($F742,2*COUNTIF($G742:G742,"&gt;"&amp;0)+2,1)=H$1,H$1,""),"")</f>
        <v/>
      </c>
      <c r="I742" s="36" t="str">
        <f>IFERROR(IF(--MID($F742,2*COUNTIF($G742:H742,"&gt;"&amp;0)+2,1)=I$1,I$1,""),"")</f>
        <v/>
      </c>
      <c r="J742" s="36" t="str">
        <f>IFERROR(IF(--MID($F742,2*COUNTIF($G742:I742,"&gt;"&amp;0)+2,1)=J$1,J$1,""),"")</f>
        <v/>
      </c>
      <c r="K742" s="36" t="str">
        <f>IFERROR(IF(--MID($F742,2*COUNTIF($G742:J742,"&gt;"&amp;0)+2,1)=K$1,K$1,""),"")</f>
        <v/>
      </c>
      <c r="L742" s="36">
        <f>IFERROR(IF(--MID($F742,2*COUNTIF($G742:K742,"&gt;"&amp;0)+2,1)=L$1,L$1,""),"")</f>
        <v>6</v>
      </c>
      <c r="M742" s="51" t="str" cm="1">
        <f t="array" ref="M742">IF($A742="","",IF(G742="","",_xlfn.XLOOKUP($D742&amp;"_"&amp;$AE742,符文权重!$A:$A&amp;"_"&amp;符文权重!$C:$C,符文权重!$D:$D)*$Y742/SUMIFS($Y:$Y,G:G,G742,$D:$D,$D742,$AE:$AE,$AE742)/SUMIF(符文权重!$A:$A,$D742,符文权重!$D:$D)))</f>
        <v/>
      </c>
      <c r="N742" s="51" t="str" cm="1">
        <f t="array" ref="N742">IF($A742="","",IF(H742="","",_xlfn.XLOOKUP($D742&amp;"_"&amp;$AE742,符文权重!$A:$A&amp;"_"&amp;符文权重!$C:$C,符文权重!$D:$D)*$Y742/SUMIFS($Y:$Y,H:H,H742,$D:$D,$D742,$AE:$AE,$AE742)/SUMIF(符文权重!$A:$A,$D742,符文权重!$D:$D)))</f>
        <v/>
      </c>
      <c r="O742" s="51" t="str" cm="1">
        <f t="array" ref="O742">IF($A742="","",IF(I742="","",_xlfn.XLOOKUP($D742&amp;"_"&amp;$AE742,符文权重!$A:$A&amp;"_"&amp;符文权重!$C:$C,符文权重!$D:$D)*$Y742/SUMIFS($Y:$Y,I:I,I742,$D:$D,$D742,$AE:$AE,$AE742)/SUMIF(符文权重!$A:$A,$D742,符文权重!$D:$D)))</f>
        <v/>
      </c>
      <c r="P742" s="51" t="str" cm="1">
        <f t="array" ref="P742">IF($A742="","",IF(J742="","",_xlfn.XLOOKUP($D742&amp;"_"&amp;$AE742,符文权重!$A:$A&amp;"_"&amp;符文权重!$C:$C,符文权重!$D:$D)*$Y742/SUMIFS($Y:$Y,J:J,J742,$D:$D,$D742,$AE:$AE,$AE742)/SUMIF(符文权重!$A:$A,$D742,符文权重!$D:$D)))</f>
        <v/>
      </c>
      <c r="Q742" s="51" t="str" cm="1">
        <f t="array" ref="Q742">IF($A742="","",IF(K742="","",_xlfn.XLOOKUP($D742&amp;"_"&amp;$AE742,符文权重!$A:$A&amp;"_"&amp;符文权重!$C:$C,符文权重!$D:$D)*$Y742/SUMIFS($Y:$Y,K:K,K742,$D:$D,$D742,$AE:$AE,$AE742)/SUMIF(符文权重!$A:$A,$D742,符文权重!$D:$D)))</f>
        <v/>
      </c>
      <c r="R742" s="51" cm="1">
        <f t="array" ref="R742">IF($A742="","",IF(L742="","",_xlfn.XLOOKUP($D742&amp;"_"&amp;$AE742,符文权重!$A:$A&amp;"_"&amp;符文权重!$C:$C,符文权重!$D:$D)*$Y742/SUMIFS($Y:$Y,L:L,L742,$D:$D,$D742,$AE:$AE,$AE742)/SUMIF(符文权重!$A:$A,$D742,符文权重!$D:$D)))</f>
        <v>0.0035</v>
      </c>
      <c r="S742" s="35" t="s">
        <v>344</v>
      </c>
      <c r="T742" s="35" t="s">
        <v>959</v>
      </c>
      <c r="U742" s="35" t="s">
        <v>423</v>
      </c>
      <c r="V742" s="35" t="s">
        <v>978</v>
      </c>
      <c r="X742" s="35" t="s">
        <v>820</v>
      </c>
      <c r="Y742" s="35">
        <v>100</v>
      </c>
      <c r="AA742" s="35" t="s">
        <v>187</v>
      </c>
      <c r="AB742" s="42" t="str">
        <f t="shared" si="268"/>
        <v>海拉每层[灵魂]使伤害&lt;color=#54b76b&gt;+2%&lt;/color&gt;</v>
      </c>
      <c r="AC742" s="35">
        <v>5301279</v>
      </c>
      <c r="AD742" s="35" t="s">
        <v>211</v>
      </c>
      <c r="AE742" s="35">
        <v>8</v>
      </c>
      <c r="AH742" s="35">
        <v>1</v>
      </c>
      <c r="AI742" s="36"/>
      <c r="AJ742" s="35" t="s">
        <v>979</v>
      </c>
      <c r="AK742" s="36"/>
      <c r="AL742" s="35">
        <v>8</v>
      </c>
    </row>
    <row r="743" s="25" customFormat="1" hidden="1" customHeight="1" spans="1:38">
      <c r="A743" s="35">
        <v>5510486</v>
      </c>
      <c r="B743" s="35" t="s">
        <v>958</v>
      </c>
      <c r="C743" s="35">
        <v>5301279</v>
      </c>
      <c r="D743" s="35">
        <v>6</v>
      </c>
      <c r="E743" s="35"/>
      <c r="F743" s="35" t="s">
        <v>220</v>
      </c>
      <c r="G743" s="36" t="str">
        <f t="shared" si="267"/>
        <v/>
      </c>
      <c r="H743" s="36" t="str">
        <f>IFERROR(IF(--MID($F743,2*COUNTIF($G743:G743,"&gt;"&amp;0)+2,1)=H$1,H$1,""),"")</f>
        <v/>
      </c>
      <c r="I743" s="36" t="str">
        <f>IFERROR(IF(--MID($F743,2*COUNTIF($G743:H743,"&gt;"&amp;0)+2,1)=I$1,I$1,""),"")</f>
        <v/>
      </c>
      <c r="J743" s="36" t="str">
        <f>IFERROR(IF(--MID($F743,2*COUNTIF($G743:I743,"&gt;"&amp;0)+2,1)=J$1,J$1,""),"")</f>
        <v/>
      </c>
      <c r="K743" s="36" t="str">
        <f>IFERROR(IF(--MID($F743,2*COUNTIF($G743:J743,"&gt;"&amp;0)+2,1)=K$1,K$1,""),"")</f>
        <v/>
      </c>
      <c r="L743" s="36">
        <f>IFERROR(IF(--MID($F743,2*COUNTIF($G743:K743,"&gt;"&amp;0)+2,1)=L$1,L$1,""),"")</f>
        <v>6</v>
      </c>
      <c r="M743" s="51" t="str" cm="1">
        <f t="array" ref="M743">IF($A743="","",IF(G743="","",_xlfn.XLOOKUP($D743&amp;"_"&amp;$AE743,符文权重!$A:$A&amp;"_"&amp;符文权重!$C:$C,符文权重!$D:$D)*$Y743/SUMIFS($Y:$Y,G:G,G743,$D:$D,$D743,$AE:$AE,$AE743)/SUMIF(符文权重!$A:$A,$D743,符文权重!$D:$D)))</f>
        <v/>
      </c>
      <c r="N743" s="51" t="str" cm="1">
        <f t="array" ref="N743">IF($A743="","",IF(H743="","",_xlfn.XLOOKUP($D743&amp;"_"&amp;$AE743,符文权重!$A:$A&amp;"_"&amp;符文权重!$C:$C,符文权重!$D:$D)*$Y743/SUMIFS($Y:$Y,H:H,H743,$D:$D,$D743,$AE:$AE,$AE743)/SUMIF(符文权重!$A:$A,$D743,符文权重!$D:$D)))</f>
        <v/>
      </c>
      <c r="O743" s="51" t="str" cm="1">
        <f t="array" ref="O743">IF($A743="","",IF(I743="","",_xlfn.XLOOKUP($D743&amp;"_"&amp;$AE743,符文权重!$A:$A&amp;"_"&amp;符文权重!$C:$C,符文权重!$D:$D)*$Y743/SUMIFS($Y:$Y,I:I,I743,$D:$D,$D743,$AE:$AE,$AE743)/SUMIF(符文权重!$A:$A,$D743,符文权重!$D:$D)))</f>
        <v/>
      </c>
      <c r="P743" s="51" t="str" cm="1">
        <f t="array" ref="P743">IF($A743="","",IF(J743="","",_xlfn.XLOOKUP($D743&amp;"_"&amp;$AE743,符文权重!$A:$A&amp;"_"&amp;符文权重!$C:$C,符文权重!$D:$D)*$Y743/SUMIFS($Y:$Y,J:J,J743,$D:$D,$D743,$AE:$AE,$AE743)/SUMIF(符文权重!$A:$A,$D743,符文权重!$D:$D)))</f>
        <v/>
      </c>
      <c r="Q743" s="51" t="str" cm="1">
        <f t="array" ref="Q743">IF($A743="","",IF(K743="","",_xlfn.XLOOKUP($D743&amp;"_"&amp;$AE743,符文权重!$A:$A&amp;"_"&amp;符文权重!$C:$C,符文权重!$D:$D)*$Y743/SUMIFS($Y:$Y,K:K,K743,$D:$D,$D743,$AE:$AE,$AE743)/SUMIF(符文权重!$A:$A,$D743,符文权重!$D:$D)))</f>
        <v/>
      </c>
      <c r="R743" s="51" cm="1">
        <f t="array" ref="R743">IF($A743="","",IF(L743="","",_xlfn.XLOOKUP($D743&amp;"_"&amp;$AE743,符文权重!$A:$A&amp;"_"&amp;符文权重!$C:$C,符文权重!$D:$D)*$Y743/SUMIFS($Y:$Y,L:L,L743,$D:$D,$D743,$AE:$AE,$AE743)/SUMIF(符文权重!$A:$A,$D743,符文权重!$D:$D)))</f>
        <v>0.0035</v>
      </c>
      <c r="S743" s="35" t="s">
        <v>344</v>
      </c>
      <c r="T743" s="35" t="s">
        <v>959</v>
      </c>
      <c r="U743" s="35" t="s">
        <v>426</v>
      </c>
      <c r="V743" s="35" t="s">
        <v>980</v>
      </c>
      <c r="X743" s="35" t="s">
        <v>823</v>
      </c>
      <c r="Y743" s="35">
        <v>100</v>
      </c>
      <c r="AA743" s="35" t="s">
        <v>189</v>
      </c>
      <c r="AB743" s="42" t="str">
        <f t="shared" si="268"/>
        <v>海拉每层[灵魂]使伤害&lt;color=#54b76b&gt;+2.5%&lt;/color&gt;</v>
      </c>
      <c r="AC743" s="35">
        <v>5301279</v>
      </c>
      <c r="AD743" s="35" t="s">
        <v>981</v>
      </c>
      <c r="AE743" s="35">
        <v>8</v>
      </c>
      <c r="AH743" s="35">
        <v>1</v>
      </c>
      <c r="AI743" s="36"/>
      <c r="AJ743" s="35" t="s">
        <v>982</v>
      </c>
      <c r="AK743" s="36"/>
      <c r="AL743" s="35">
        <v>8</v>
      </c>
    </row>
    <row r="744" s="25" customFormat="1" hidden="1" customHeight="1" spans="1:38">
      <c r="A744" s="35">
        <v>5510487</v>
      </c>
      <c r="B744" s="35" t="s">
        <v>958</v>
      </c>
      <c r="C744" s="35">
        <v>5301279</v>
      </c>
      <c r="D744" s="35">
        <v>7</v>
      </c>
      <c r="E744" s="35"/>
      <c r="F744" s="35" t="s">
        <v>220</v>
      </c>
      <c r="G744" s="36" t="str">
        <f t="shared" si="267"/>
        <v/>
      </c>
      <c r="H744" s="36" t="str">
        <f>IFERROR(IF(--MID($F744,2*COUNTIF($G744:G744,"&gt;"&amp;0)+2,1)=H$1,H$1,""),"")</f>
        <v/>
      </c>
      <c r="I744" s="36" t="str">
        <f>IFERROR(IF(--MID($F744,2*COUNTIF($G744:H744,"&gt;"&amp;0)+2,1)=I$1,I$1,""),"")</f>
        <v/>
      </c>
      <c r="J744" s="36" t="str">
        <f>IFERROR(IF(--MID($F744,2*COUNTIF($G744:I744,"&gt;"&amp;0)+2,1)=J$1,J$1,""),"")</f>
        <v/>
      </c>
      <c r="K744" s="36" t="str">
        <f>IFERROR(IF(--MID($F744,2*COUNTIF($G744:J744,"&gt;"&amp;0)+2,1)=K$1,K$1,""),"")</f>
        <v/>
      </c>
      <c r="L744" s="36">
        <f>IFERROR(IF(--MID($F744,2*COUNTIF($G744:K744,"&gt;"&amp;0)+2,1)=L$1,L$1,""),"")</f>
        <v>6</v>
      </c>
      <c r="M744" s="51" t="str" cm="1">
        <f t="array" ref="M744">IF($A744="","",IF(G744="","",_xlfn.XLOOKUP($D744&amp;"_"&amp;$AE744,符文权重!$A:$A&amp;"_"&amp;符文权重!$C:$C,符文权重!$D:$D)*$Y744/SUMIFS($Y:$Y,G:G,G744,$D:$D,$D744,$AE:$AE,$AE744)/SUMIF(符文权重!$A:$A,$D744,符文权重!$D:$D)))</f>
        <v/>
      </c>
      <c r="N744" s="51" t="str" cm="1">
        <f t="array" ref="N744">IF($A744="","",IF(H744="","",_xlfn.XLOOKUP($D744&amp;"_"&amp;$AE744,符文权重!$A:$A&amp;"_"&amp;符文权重!$C:$C,符文权重!$D:$D)*$Y744/SUMIFS($Y:$Y,H:H,H744,$D:$D,$D744,$AE:$AE,$AE744)/SUMIF(符文权重!$A:$A,$D744,符文权重!$D:$D)))</f>
        <v/>
      </c>
      <c r="O744" s="51" t="str" cm="1">
        <f t="array" ref="O744">IF($A744="","",IF(I744="","",_xlfn.XLOOKUP($D744&amp;"_"&amp;$AE744,符文权重!$A:$A&amp;"_"&amp;符文权重!$C:$C,符文权重!$D:$D)*$Y744/SUMIFS($Y:$Y,I:I,I744,$D:$D,$D744,$AE:$AE,$AE744)/SUMIF(符文权重!$A:$A,$D744,符文权重!$D:$D)))</f>
        <v/>
      </c>
      <c r="P744" s="51" t="str" cm="1">
        <f t="array" ref="P744">IF($A744="","",IF(J744="","",_xlfn.XLOOKUP($D744&amp;"_"&amp;$AE744,符文权重!$A:$A&amp;"_"&amp;符文权重!$C:$C,符文权重!$D:$D)*$Y744/SUMIFS($Y:$Y,J:J,J744,$D:$D,$D744,$AE:$AE,$AE744)/SUMIF(符文权重!$A:$A,$D744,符文权重!$D:$D)))</f>
        <v/>
      </c>
      <c r="Q744" s="51" t="str" cm="1">
        <f t="array" ref="Q744">IF($A744="","",IF(K744="","",_xlfn.XLOOKUP($D744&amp;"_"&amp;$AE744,符文权重!$A:$A&amp;"_"&amp;符文权重!$C:$C,符文权重!$D:$D)*$Y744/SUMIFS($Y:$Y,K:K,K744,$D:$D,$D744,$AE:$AE,$AE744)/SUMIF(符文权重!$A:$A,$D744,符文权重!$D:$D)))</f>
        <v/>
      </c>
      <c r="R744" s="51" cm="1">
        <f t="array" ref="R744">IF($A744="","",IF(L744="","",_xlfn.XLOOKUP($D744&amp;"_"&amp;$AE744,符文权重!$A:$A&amp;"_"&amp;符文权重!$C:$C,符文权重!$D:$D)*$Y744/SUMIFS($Y:$Y,L:L,L744,$D:$D,$D744,$AE:$AE,$AE744)/SUMIF(符文权重!$A:$A,$D744,符文权重!$D:$D)))</f>
        <v>0.0035</v>
      </c>
      <c r="S744" s="35" t="s">
        <v>344</v>
      </c>
      <c r="T744" s="35" t="s">
        <v>959</v>
      </c>
      <c r="U744" s="35" t="s">
        <v>429</v>
      </c>
      <c r="V744" s="35" t="s">
        <v>983</v>
      </c>
      <c r="X744" s="35" t="s">
        <v>826</v>
      </c>
      <c r="Y744" s="35">
        <v>100</v>
      </c>
      <c r="AA744" s="35" t="s">
        <v>191</v>
      </c>
      <c r="AB744" s="42" t="str">
        <f t="shared" si="268"/>
        <v>海拉每层[灵魂]使伤害&lt;color=#54b76b&gt;+3%&lt;/color&gt;</v>
      </c>
      <c r="AC744" s="35">
        <v>5301279</v>
      </c>
      <c r="AD744" s="35" t="s">
        <v>193</v>
      </c>
      <c r="AE744" s="35">
        <v>8</v>
      </c>
      <c r="AH744" s="35">
        <v>1</v>
      </c>
      <c r="AI744" s="36"/>
      <c r="AJ744" s="35" t="s">
        <v>984</v>
      </c>
      <c r="AK744" s="36"/>
      <c r="AL744" s="35">
        <v>8</v>
      </c>
    </row>
    <row r="745" hidden="1" customHeight="1" spans="1:38">
      <c r="A745" s="35">
        <v>5510494</v>
      </c>
      <c r="B745" s="34" t="s">
        <v>985</v>
      </c>
      <c r="C745" s="35">
        <v>5301281</v>
      </c>
      <c r="D745" s="36">
        <v>4</v>
      </c>
      <c r="E745" s="36"/>
      <c r="F745" s="35" t="s">
        <v>230</v>
      </c>
      <c r="G745" s="36" t="str">
        <f t="shared" si="267"/>
        <v/>
      </c>
      <c r="H745" s="36" t="str">
        <f>IFERROR(IF(--MID($F745,2*COUNTIF($G745:G745,"&gt;"&amp;0)+2,1)=H$1,H$1,""),"")</f>
        <v/>
      </c>
      <c r="I745" s="36" t="str">
        <f>IFERROR(IF(--MID($F745,2*COUNTIF($G745:H745,"&gt;"&amp;0)+2,1)=I$1,I$1,""),"")</f>
        <v/>
      </c>
      <c r="J745" s="36" t="str">
        <f>IFERROR(IF(--MID($F745,2*COUNTIF($G745:I745,"&gt;"&amp;0)+2,1)=J$1,J$1,""),"")</f>
        <v/>
      </c>
      <c r="K745" s="36">
        <f>IFERROR(IF(--MID($F745,2*COUNTIF($G745:J745,"&gt;"&amp;0)+2,1)=K$1,K$1,""),"")</f>
        <v>5</v>
      </c>
      <c r="L745" s="36" t="str">
        <f>IFERROR(IF(--MID($F745,2*COUNTIF($G745:K745,"&gt;"&amp;0)+2,1)=L$1,L$1,""),"")</f>
        <v/>
      </c>
      <c r="M745" s="36" t="e" cm="1">
        <f t="array" ref="M745">IF(A745="","",_xlfn.XLOOKUP(D745&amp;"_"&amp;AE745,符文权重!A:A&amp;"_"&amp;符文权重!C:C,符文权重!D:D))</f>
        <v>#N/A</v>
      </c>
      <c r="N745" s="36"/>
      <c r="O745" s="36"/>
      <c r="P745" s="36"/>
      <c r="Q745" s="36"/>
      <c r="R745" s="36"/>
      <c r="S745" s="36" t="s">
        <v>344</v>
      </c>
      <c r="T745" s="36" t="s">
        <v>986</v>
      </c>
      <c r="U745" s="36" t="s">
        <v>420</v>
      </c>
      <c r="V745" s="25" t="s">
        <v>987</v>
      </c>
      <c r="X745" s="35" t="s">
        <v>817</v>
      </c>
      <c r="Y745" s="35">
        <v>100</v>
      </c>
      <c r="AA745" s="36" t="s">
        <v>185</v>
      </c>
      <c r="AB745" s="42" t="str">
        <f t="shared" si="268"/>
        <v>后羿每次命中敌人有&lt;color=#54b76b&gt;25%&lt;/color&gt;几率分出一支射向怪物的箭</v>
      </c>
      <c r="AC745" s="35">
        <v>5301281</v>
      </c>
      <c r="AD745" s="36" t="s">
        <v>431</v>
      </c>
      <c r="AE745" s="36">
        <v>100</v>
      </c>
      <c r="AF745" s="36"/>
      <c r="AG745" s="36">
        <v>1</v>
      </c>
      <c r="AH745" s="36">
        <v>0</v>
      </c>
      <c r="AI745" s="35"/>
      <c r="AJ745" s="36" t="s">
        <v>988</v>
      </c>
      <c r="AL745" s="35">
        <v>8</v>
      </c>
    </row>
    <row r="746" s="25" customFormat="1" hidden="1" customHeight="1" spans="1:38">
      <c r="A746" s="35">
        <v>5510495</v>
      </c>
      <c r="B746" s="35" t="s">
        <v>985</v>
      </c>
      <c r="C746" s="35">
        <v>5301281</v>
      </c>
      <c r="D746" s="35">
        <v>5</v>
      </c>
      <c r="E746" s="35"/>
      <c r="F746" s="35" t="s">
        <v>230</v>
      </c>
      <c r="G746" s="36" t="str">
        <f t="shared" si="267"/>
        <v/>
      </c>
      <c r="H746" s="36" t="str">
        <f>IFERROR(IF(--MID($F746,2*COUNTIF($G746:G746,"&gt;"&amp;0)+2,1)=H$1,H$1,""),"")</f>
        <v/>
      </c>
      <c r="I746" s="36" t="str">
        <f>IFERROR(IF(--MID($F746,2*COUNTIF($G746:H746,"&gt;"&amp;0)+2,1)=I$1,I$1,""),"")</f>
        <v/>
      </c>
      <c r="J746" s="36" t="str">
        <f>IFERROR(IF(--MID($F746,2*COUNTIF($G746:I746,"&gt;"&amp;0)+2,1)=J$1,J$1,""),"")</f>
        <v/>
      </c>
      <c r="K746" s="36">
        <f>IFERROR(IF(--MID($F746,2*COUNTIF($G746:J746,"&gt;"&amp;0)+2,1)=K$1,K$1,""),"")</f>
        <v>5</v>
      </c>
      <c r="L746" s="36" t="str">
        <f>IFERROR(IF(--MID($F746,2*COUNTIF($G746:K746,"&gt;"&amp;0)+2,1)=L$1,L$1,""),"")</f>
        <v/>
      </c>
      <c r="M746" s="51" t="str" cm="1">
        <f t="array" ref="M746">IF($A746="","",IF(G746="","",_xlfn.XLOOKUP($D746&amp;"_"&amp;$AE746,符文权重!$A:$A&amp;"_"&amp;符文权重!$C:$C,符文权重!$D:$D)*$Y746/SUMIFS($Y:$Y,G:G,G746,$D:$D,$D746,$AE:$AE,$AE746)/SUMIF(符文权重!$A:$A,$D746,符文权重!$D:$D)))</f>
        <v/>
      </c>
      <c r="N746" s="51" t="str" cm="1">
        <f t="array" ref="N746">IF($A746="","",IF(H746="","",_xlfn.XLOOKUP($D746&amp;"_"&amp;$AE746,符文权重!$A:$A&amp;"_"&amp;符文权重!$C:$C,符文权重!$D:$D)*$Y746/SUMIFS($Y:$Y,H:H,H746,$D:$D,$D746,$AE:$AE,$AE746)/SUMIF(符文权重!$A:$A,$D746,符文权重!$D:$D)))</f>
        <v/>
      </c>
      <c r="O746" s="51" t="str" cm="1">
        <f t="array" ref="O746">IF($A746="","",IF(I746="","",_xlfn.XLOOKUP($D746&amp;"_"&amp;$AE746,符文权重!$A:$A&amp;"_"&amp;符文权重!$C:$C,符文权重!$D:$D)*$Y746/SUMIFS($Y:$Y,I:I,I746,$D:$D,$D746,$AE:$AE,$AE746)/SUMIF(符文权重!$A:$A,$D746,符文权重!$D:$D)))</f>
        <v/>
      </c>
      <c r="P746" s="51" t="str" cm="1">
        <f t="array" ref="P746">IF($A746="","",IF(J746="","",_xlfn.XLOOKUP($D746&amp;"_"&amp;$AE746,符文权重!$A:$A&amp;"_"&amp;符文权重!$C:$C,符文权重!$D:$D)*$Y746/SUMIFS($Y:$Y,J:J,J746,$D:$D,$D746,$AE:$AE,$AE746)/SUMIF(符文权重!$A:$A,$D746,符文权重!$D:$D)))</f>
        <v/>
      </c>
      <c r="Q746" s="51" cm="1">
        <f t="array" ref="Q746">IF($A746="","",IF(K746="","",_xlfn.XLOOKUP($D746&amp;"_"&amp;$AE746,符文权重!$A:$A&amp;"_"&amp;符文权重!$C:$C,符文权重!$D:$D)*$Y746/SUMIFS($Y:$Y,K:K,K746,$D:$D,$D746,$AE:$AE,$AE746)/SUMIF(符文权重!$A:$A,$D746,符文权重!$D:$D)))</f>
        <v>0.00525</v>
      </c>
      <c r="R746" s="51" t="str" cm="1">
        <f t="array" ref="R746">IF($A746="","",IF(L746="","",_xlfn.XLOOKUP($D746&amp;"_"&amp;$AE746,符文权重!$A:$A&amp;"_"&amp;符文权重!$C:$C,符文权重!$D:$D)*$Y746/SUMIFS($Y:$Y,L:L,L746,$D:$D,$D746,$AE:$AE,$AE746)/SUMIF(符文权重!$A:$A,$D746,符文权重!$D:$D)))</f>
        <v/>
      </c>
      <c r="S746" s="35" t="s">
        <v>344</v>
      </c>
      <c r="T746" s="35" t="s">
        <v>986</v>
      </c>
      <c r="U746" s="35" t="s">
        <v>423</v>
      </c>
      <c r="V746" s="35" t="s">
        <v>989</v>
      </c>
      <c r="X746" s="35" t="s">
        <v>820</v>
      </c>
      <c r="Y746" s="35">
        <v>100</v>
      </c>
      <c r="AA746" s="35" t="s">
        <v>187</v>
      </c>
      <c r="AB746" s="42" t="str">
        <f t="shared" si="268"/>
        <v>后羿每次命中敌人有&lt;color=#54b76b&gt;35%&lt;/color&gt;几率分出一支射向怪物的箭</v>
      </c>
      <c r="AC746" s="35">
        <v>5301281</v>
      </c>
      <c r="AD746" s="35" t="s">
        <v>447</v>
      </c>
      <c r="AE746" s="35">
        <v>8</v>
      </c>
      <c r="AH746" s="35">
        <v>1</v>
      </c>
      <c r="AI746" s="36"/>
      <c r="AJ746" s="35" t="s">
        <v>990</v>
      </c>
      <c r="AK746" s="36"/>
      <c r="AL746" s="35">
        <v>8</v>
      </c>
    </row>
    <row r="747" s="25" customFormat="1" hidden="1" customHeight="1" spans="1:38">
      <c r="A747" s="35">
        <v>5510496</v>
      </c>
      <c r="B747" s="35" t="s">
        <v>985</v>
      </c>
      <c r="C747" s="35">
        <v>5301281</v>
      </c>
      <c r="D747" s="35">
        <v>6</v>
      </c>
      <c r="E747" s="35"/>
      <c r="F747" s="35" t="s">
        <v>230</v>
      </c>
      <c r="G747" s="36" t="str">
        <f t="shared" si="267"/>
        <v/>
      </c>
      <c r="H747" s="36" t="str">
        <f>IFERROR(IF(--MID($F747,2*COUNTIF($G747:G747,"&gt;"&amp;0)+2,1)=H$1,H$1,""),"")</f>
        <v/>
      </c>
      <c r="I747" s="36" t="str">
        <f>IFERROR(IF(--MID($F747,2*COUNTIF($G747:H747,"&gt;"&amp;0)+2,1)=I$1,I$1,""),"")</f>
        <v/>
      </c>
      <c r="J747" s="36" t="str">
        <f>IFERROR(IF(--MID($F747,2*COUNTIF($G747:I747,"&gt;"&amp;0)+2,1)=J$1,J$1,""),"")</f>
        <v/>
      </c>
      <c r="K747" s="36">
        <f>IFERROR(IF(--MID($F747,2*COUNTIF($G747:J747,"&gt;"&amp;0)+2,1)=K$1,K$1,""),"")</f>
        <v>5</v>
      </c>
      <c r="L747" s="36" t="str">
        <f>IFERROR(IF(--MID($F747,2*COUNTIF($G747:K747,"&gt;"&amp;0)+2,1)=L$1,L$1,""),"")</f>
        <v/>
      </c>
      <c r="M747" s="51" t="str" cm="1">
        <f t="array" ref="M747">IF($A747="","",IF(G747="","",_xlfn.XLOOKUP($D747&amp;"_"&amp;$AE747,符文权重!$A:$A&amp;"_"&amp;符文权重!$C:$C,符文权重!$D:$D)*$Y747/SUMIFS($Y:$Y,G:G,G747,$D:$D,$D747,$AE:$AE,$AE747)/SUMIF(符文权重!$A:$A,$D747,符文权重!$D:$D)))</f>
        <v/>
      </c>
      <c r="N747" s="51" t="str" cm="1">
        <f t="array" ref="N747">IF($A747="","",IF(H747="","",_xlfn.XLOOKUP($D747&amp;"_"&amp;$AE747,符文权重!$A:$A&amp;"_"&amp;符文权重!$C:$C,符文权重!$D:$D)*$Y747/SUMIFS($Y:$Y,H:H,H747,$D:$D,$D747,$AE:$AE,$AE747)/SUMIF(符文权重!$A:$A,$D747,符文权重!$D:$D)))</f>
        <v/>
      </c>
      <c r="O747" s="51" t="str" cm="1">
        <f t="array" ref="O747">IF($A747="","",IF(I747="","",_xlfn.XLOOKUP($D747&amp;"_"&amp;$AE747,符文权重!$A:$A&amp;"_"&amp;符文权重!$C:$C,符文权重!$D:$D)*$Y747/SUMIFS($Y:$Y,I:I,I747,$D:$D,$D747,$AE:$AE,$AE747)/SUMIF(符文权重!$A:$A,$D747,符文权重!$D:$D)))</f>
        <v/>
      </c>
      <c r="P747" s="51" t="str" cm="1">
        <f t="array" ref="P747">IF($A747="","",IF(J747="","",_xlfn.XLOOKUP($D747&amp;"_"&amp;$AE747,符文权重!$A:$A&amp;"_"&amp;符文权重!$C:$C,符文权重!$D:$D)*$Y747/SUMIFS($Y:$Y,J:J,J747,$D:$D,$D747,$AE:$AE,$AE747)/SUMIF(符文权重!$A:$A,$D747,符文权重!$D:$D)))</f>
        <v/>
      </c>
      <c r="Q747" s="51" cm="1">
        <f t="array" ref="Q747">IF($A747="","",IF(K747="","",_xlfn.XLOOKUP($D747&amp;"_"&amp;$AE747,符文权重!$A:$A&amp;"_"&amp;符文权重!$C:$C,符文权重!$D:$D)*$Y747/SUMIFS($Y:$Y,K:K,K747,$D:$D,$D747,$AE:$AE,$AE747)/SUMIF(符文权重!$A:$A,$D747,符文权重!$D:$D)))</f>
        <v>0.00525</v>
      </c>
      <c r="R747" s="51" t="str" cm="1">
        <f t="array" ref="R747">IF($A747="","",IF(L747="","",_xlfn.XLOOKUP($D747&amp;"_"&amp;$AE747,符文权重!$A:$A&amp;"_"&amp;符文权重!$C:$C,符文权重!$D:$D)*$Y747/SUMIFS($Y:$Y,L:L,L747,$D:$D,$D747,$AE:$AE,$AE747)/SUMIF(符文权重!$A:$A,$D747,符文权重!$D:$D)))</f>
        <v/>
      </c>
      <c r="S747" s="35" t="s">
        <v>344</v>
      </c>
      <c r="T747" s="35" t="s">
        <v>986</v>
      </c>
      <c r="U747" s="35" t="s">
        <v>426</v>
      </c>
      <c r="V747" s="35" t="s">
        <v>991</v>
      </c>
      <c r="X747" s="35" t="s">
        <v>823</v>
      </c>
      <c r="Y747" s="35">
        <v>100</v>
      </c>
      <c r="AA747" s="35" t="s">
        <v>189</v>
      </c>
      <c r="AB747" s="42" t="str">
        <f t="shared" si="268"/>
        <v>后羿每次命中敌人有&lt;color=#54b76b&gt;50%&lt;/color&gt;几率分出一支射向怪物的箭</v>
      </c>
      <c r="AC747" s="35">
        <v>5301281</v>
      </c>
      <c r="AD747" s="35" t="s">
        <v>596</v>
      </c>
      <c r="AE747" s="35">
        <v>8</v>
      </c>
      <c r="AH747" s="35">
        <v>1</v>
      </c>
      <c r="AJ747" s="35" t="s">
        <v>992</v>
      </c>
      <c r="AL747" s="35">
        <v>8</v>
      </c>
    </row>
    <row r="748" s="25" customFormat="1" hidden="1" customHeight="1" spans="1:38">
      <c r="A748" s="35">
        <v>5510497</v>
      </c>
      <c r="B748" s="35" t="s">
        <v>985</v>
      </c>
      <c r="C748" s="35">
        <v>5301281</v>
      </c>
      <c r="D748" s="35">
        <v>7</v>
      </c>
      <c r="E748" s="35"/>
      <c r="F748" s="35" t="s">
        <v>230</v>
      </c>
      <c r="G748" s="36" t="str">
        <f t="shared" si="267"/>
        <v/>
      </c>
      <c r="H748" s="36" t="str">
        <f>IFERROR(IF(--MID($F748,2*COUNTIF($G748:G748,"&gt;"&amp;0)+2,1)=H$1,H$1,""),"")</f>
        <v/>
      </c>
      <c r="I748" s="36" t="str">
        <f>IFERROR(IF(--MID($F748,2*COUNTIF($G748:H748,"&gt;"&amp;0)+2,1)=I$1,I$1,""),"")</f>
        <v/>
      </c>
      <c r="J748" s="36" t="str">
        <f>IFERROR(IF(--MID($F748,2*COUNTIF($G748:I748,"&gt;"&amp;0)+2,1)=J$1,J$1,""),"")</f>
        <v/>
      </c>
      <c r="K748" s="36">
        <f>IFERROR(IF(--MID($F748,2*COUNTIF($G748:J748,"&gt;"&amp;0)+2,1)=K$1,K$1,""),"")</f>
        <v>5</v>
      </c>
      <c r="L748" s="36" t="str">
        <f>IFERROR(IF(--MID($F748,2*COUNTIF($G748:K748,"&gt;"&amp;0)+2,1)=L$1,L$1,""),"")</f>
        <v/>
      </c>
      <c r="M748" s="51" t="str" cm="1">
        <f t="array" ref="M748">IF($A748="","",IF(G748="","",_xlfn.XLOOKUP($D748&amp;"_"&amp;$AE748,符文权重!$A:$A&amp;"_"&amp;符文权重!$C:$C,符文权重!$D:$D)*$Y748/SUMIFS($Y:$Y,G:G,G748,$D:$D,$D748,$AE:$AE,$AE748)/SUMIF(符文权重!$A:$A,$D748,符文权重!$D:$D)))</f>
        <v/>
      </c>
      <c r="N748" s="51" t="str" cm="1">
        <f t="array" ref="N748">IF($A748="","",IF(H748="","",_xlfn.XLOOKUP($D748&amp;"_"&amp;$AE748,符文权重!$A:$A&amp;"_"&amp;符文权重!$C:$C,符文权重!$D:$D)*$Y748/SUMIFS($Y:$Y,H:H,H748,$D:$D,$D748,$AE:$AE,$AE748)/SUMIF(符文权重!$A:$A,$D748,符文权重!$D:$D)))</f>
        <v/>
      </c>
      <c r="O748" s="51" t="str" cm="1">
        <f t="array" ref="O748">IF($A748="","",IF(I748="","",_xlfn.XLOOKUP($D748&amp;"_"&amp;$AE748,符文权重!$A:$A&amp;"_"&amp;符文权重!$C:$C,符文权重!$D:$D)*$Y748/SUMIFS($Y:$Y,I:I,I748,$D:$D,$D748,$AE:$AE,$AE748)/SUMIF(符文权重!$A:$A,$D748,符文权重!$D:$D)))</f>
        <v/>
      </c>
      <c r="P748" s="51" t="str" cm="1">
        <f t="array" ref="P748">IF($A748="","",IF(J748="","",_xlfn.XLOOKUP($D748&amp;"_"&amp;$AE748,符文权重!$A:$A&amp;"_"&amp;符文权重!$C:$C,符文权重!$D:$D)*$Y748/SUMIFS($Y:$Y,J:J,J748,$D:$D,$D748,$AE:$AE,$AE748)/SUMIF(符文权重!$A:$A,$D748,符文权重!$D:$D)))</f>
        <v/>
      </c>
      <c r="Q748" s="51" cm="1">
        <f t="array" ref="Q748">IF($A748="","",IF(K748="","",_xlfn.XLOOKUP($D748&amp;"_"&amp;$AE748,符文权重!$A:$A&amp;"_"&amp;符文权重!$C:$C,符文权重!$D:$D)*$Y748/SUMIFS($Y:$Y,K:K,K748,$D:$D,$D748,$AE:$AE,$AE748)/SUMIF(符文权重!$A:$A,$D748,符文权重!$D:$D)))</f>
        <v>0.00525</v>
      </c>
      <c r="R748" s="51" t="str" cm="1">
        <f t="array" ref="R748">IF($A748="","",IF(L748="","",_xlfn.XLOOKUP($D748&amp;"_"&amp;$AE748,符文权重!$A:$A&amp;"_"&amp;符文权重!$C:$C,符文权重!$D:$D)*$Y748/SUMIFS($Y:$Y,L:L,L748,$D:$D,$D748,$AE:$AE,$AE748)/SUMIF(符文权重!$A:$A,$D748,符文权重!$D:$D)))</f>
        <v/>
      </c>
      <c r="S748" s="35" t="s">
        <v>344</v>
      </c>
      <c r="T748" s="35" t="s">
        <v>986</v>
      </c>
      <c r="U748" s="35" t="s">
        <v>429</v>
      </c>
      <c r="V748" s="35" t="s">
        <v>993</v>
      </c>
      <c r="X748" s="35" t="s">
        <v>826</v>
      </c>
      <c r="Y748" s="35">
        <v>100</v>
      </c>
      <c r="AA748" s="35" t="s">
        <v>191</v>
      </c>
      <c r="AB748" s="42" t="str">
        <f t="shared" si="268"/>
        <v>后羿每次命中敌人有&lt;color=#54b76b&gt;75%&lt;/color&gt;几率分出一支射向怪物的箭</v>
      </c>
      <c r="AC748" s="35">
        <v>5301281</v>
      </c>
      <c r="AD748" s="35" t="s">
        <v>500</v>
      </c>
      <c r="AE748" s="35">
        <v>8</v>
      </c>
      <c r="AH748" s="35">
        <v>1</v>
      </c>
      <c r="AI748" s="36"/>
      <c r="AJ748" s="35" t="s">
        <v>994</v>
      </c>
      <c r="AK748" s="36"/>
      <c r="AL748" s="35">
        <v>8</v>
      </c>
    </row>
    <row r="749" hidden="1" customHeight="1" spans="1:38">
      <c r="A749" s="35">
        <v>5510504</v>
      </c>
      <c r="B749" s="34" t="s">
        <v>985</v>
      </c>
      <c r="C749" s="35">
        <v>5301282</v>
      </c>
      <c r="D749" s="36">
        <v>4</v>
      </c>
      <c r="E749" s="36"/>
      <c r="F749" s="35" t="s">
        <v>220</v>
      </c>
      <c r="G749" s="36" t="str">
        <f t="shared" si="267"/>
        <v/>
      </c>
      <c r="H749" s="36" t="str">
        <f>IFERROR(IF(--MID($F749,2*COUNTIF($G749:G749,"&gt;"&amp;0)+2,1)=H$1,H$1,""),"")</f>
        <v/>
      </c>
      <c r="I749" s="36" t="str">
        <f>IFERROR(IF(--MID($F749,2*COUNTIF($G749:H749,"&gt;"&amp;0)+2,1)=I$1,I$1,""),"")</f>
        <v/>
      </c>
      <c r="J749" s="36" t="str">
        <f>IFERROR(IF(--MID($F749,2*COUNTIF($G749:I749,"&gt;"&amp;0)+2,1)=J$1,J$1,""),"")</f>
        <v/>
      </c>
      <c r="K749" s="36" t="str">
        <f>IFERROR(IF(--MID($F749,2*COUNTIF($G749:J749,"&gt;"&amp;0)+2,1)=K$1,K$1,""),"")</f>
        <v/>
      </c>
      <c r="L749" s="36">
        <f>IFERROR(IF(--MID($F749,2*COUNTIF($G749:K749,"&gt;"&amp;0)+2,1)=L$1,L$1,""),"")</f>
        <v>6</v>
      </c>
      <c r="M749" s="36" t="e" cm="1">
        <f t="array" ref="M749">IF(A749="","",_xlfn.XLOOKUP(D749&amp;"_"&amp;AE749,符文权重!A:A&amp;"_"&amp;符文权重!C:C,符文权重!D:D))</f>
        <v>#N/A</v>
      </c>
      <c r="N749" s="36"/>
      <c r="O749" s="36"/>
      <c r="P749" s="36"/>
      <c r="Q749" s="36"/>
      <c r="R749" s="36"/>
      <c r="S749" s="36" t="s">
        <v>344</v>
      </c>
      <c r="T749" s="36" t="s">
        <v>986</v>
      </c>
      <c r="U749" s="36" t="s">
        <v>420</v>
      </c>
      <c r="V749" s="25" t="s">
        <v>995</v>
      </c>
      <c r="X749" s="35" t="s">
        <v>817</v>
      </c>
      <c r="Y749" s="35">
        <v>100</v>
      </c>
      <c r="AA749" s="36" t="s">
        <v>185</v>
      </c>
      <c r="AB749" s="42" t="str">
        <f t="shared" si="268"/>
        <v>后羿充能后提高&lt;color=#54b76b&gt;250%&lt;/color&gt;攻速，持续3s</v>
      </c>
      <c r="AC749" s="35">
        <v>5301282</v>
      </c>
      <c r="AD749" s="36" t="s">
        <v>996</v>
      </c>
      <c r="AE749" s="36">
        <v>100</v>
      </c>
      <c r="AF749" s="36"/>
      <c r="AG749" s="36">
        <v>1</v>
      </c>
      <c r="AH749" s="36">
        <v>0</v>
      </c>
      <c r="AI749" s="35"/>
      <c r="AJ749" s="36" t="s">
        <v>997</v>
      </c>
      <c r="AL749" s="35">
        <v>8</v>
      </c>
    </row>
    <row r="750" s="25" customFormat="1" hidden="1" customHeight="1" spans="1:38">
      <c r="A750" s="35">
        <v>5510505</v>
      </c>
      <c r="B750" s="35" t="s">
        <v>985</v>
      </c>
      <c r="C750" s="35">
        <v>5301282</v>
      </c>
      <c r="D750" s="35">
        <v>5</v>
      </c>
      <c r="E750" s="35"/>
      <c r="F750" s="35" t="s">
        <v>220</v>
      </c>
      <c r="G750" s="36" t="str">
        <f t="shared" si="267"/>
        <v/>
      </c>
      <c r="H750" s="36" t="str">
        <f>IFERROR(IF(--MID($F750,2*COUNTIF($G750:G750,"&gt;"&amp;0)+2,1)=H$1,H$1,""),"")</f>
        <v/>
      </c>
      <c r="I750" s="36" t="str">
        <f>IFERROR(IF(--MID($F750,2*COUNTIF($G750:H750,"&gt;"&amp;0)+2,1)=I$1,I$1,""),"")</f>
        <v/>
      </c>
      <c r="J750" s="36" t="str">
        <f>IFERROR(IF(--MID($F750,2*COUNTIF($G750:I750,"&gt;"&amp;0)+2,1)=J$1,J$1,""),"")</f>
        <v/>
      </c>
      <c r="K750" s="36" t="str">
        <f>IFERROR(IF(--MID($F750,2*COUNTIF($G750:J750,"&gt;"&amp;0)+2,1)=K$1,K$1,""),"")</f>
        <v/>
      </c>
      <c r="L750" s="36">
        <f>IFERROR(IF(--MID($F750,2*COUNTIF($G750:K750,"&gt;"&amp;0)+2,1)=L$1,L$1,""),"")</f>
        <v>6</v>
      </c>
      <c r="M750" s="51" t="str" cm="1">
        <f t="array" ref="M750">IF($A750="","",IF(G750="","",_xlfn.XLOOKUP($D750&amp;"_"&amp;$AE750,符文权重!$A:$A&amp;"_"&amp;符文权重!$C:$C,符文权重!$D:$D)*$Y750/SUMIFS($Y:$Y,G:G,G750,$D:$D,$D750,$AE:$AE,$AE750)/SUMIF(符文权重!$A:$A,$D750,符文权重!$D:$D)))</f>
        <v/>
      </c>
      <c r="N750" s="51" t="str" cm="1">
        <f t="array" ref="N750">IF($A750="","",IF(H750="","",_xlfn.XLOOKUP($D750&amp;"_"&amp;$AE750,符文权重!$A:$A&amp;"_"&amp;符文权重!$C:$C,符文权重!$D:$D)*$Y750/SUMIFS($Y:$Y,H:H,H750,$D:$D,$D750,$AE:$AE,$AE750)/SUMIF(符文权重!$A:$A,$D750,符文权重!$D:$D)))</f>
        <v/>
      </c>
      <c r="O750" s="51" t="str" cm="1">
        <f t="array" ref="O750">IF($A750="","",IF(I750="","",_xlfn.XLOOKUP($D750&amp;"_"&amp;$AE750,符文权重!$A:$A&amp;"_"&amp;符文权重!$C:$C,符文权重!$D:$D)*$Y750/SUMIFS($Y:$Y,I:I,I750,$D:$D,$D750,$AE:$AE,$AE750)/SUMIF(符文权重!$A:$A,$D750,符文权重!$D:$D)))</f>
        <v/>
      </c>
      <c r="P750" s="51" t="str" cm="1">
        <f t="array" ref="P750">IF($A750="","",IF(J750="","",_xlfn.XLOOKUP($D750&amp;"_"&amp;$AE750,符文权重!$A:$A&amp;"_"&amp;符文权重!$C:$C,符文权重!$D:$D)*$Y750/SUMIFS($Y:$Y,J:J,J750,$D:$D,$D750,$AE:$AE,$AE750)/SUMIF(符文权重!$A:$A,$D750,符文权重!$D:$D)))</f>
        <v/>
      </c>
      <c r="Q750" s="51" t="str" cm="1">
        <f t="array" ref="Q750">IF($A750="","",IF(K750="","",_xlfn.XLOOKUP($D750&amp;"_"&amp;$AE750,符文权重!$A:$A&amp;"_"&amp;符文权重!$C:$C,符文权重!$D:$D)*$Y750/SUMIFS($Y:$Y,K:K,K750,$D:$D,$D750,$AE:$AE,$AE750)/SUMIF(符文权重!$A:$A,$D750,符文权重!$D:$D)))</f>
        <v/>
      </c>
      <c r="R750" s="51" cm="1">
        <f t="array" ref="R750">IF($A750="","",IF(L750="","",_xlfn.XLOOKUP($D750&amp;"_"&amp;$AE750,符文权重!$A:$A&amp;"_"&amp;符文权重!$C:$C,符文权重!$D:$D)*$Y750/SUMIFS($Y:$Y,L:L,L750,$D:$D,$D750,$AE:$AE,$AE750)/SUMIF(符文权重!$A:$A,$D750,符文权重!$D:$D)))</f>
        <v>0.0035</v>
      </c>
      <c r="S750" s="35" t="s">
        <v>344</v>
      </c>
      <c r="T750" s="35" t="s">
        <v>986</v>
      </c>
      <c r="U750" s="35" t="s">
        <v>423</v>
      </c>
      <c r="V750" s="35" t="s">
        <v>998</v>
      </c>
      <c r="X750" s="35" t="s">
        <v>820</v>
      </c>
      <c r="Y750" s="35">
        <v>100</v>
      </c>
      <c r="AA750" s="35" t="s">
        <v>187</v>
      </c>
      <c r="AB750" s="42" t="str">
        <f t="shared" si="268"/>
        <v>后羿充能后提高&lt;color=#54b76b&gt;350%&lt;/color&gt;攻速，持续3s</v>
      </c>
      <c r="AC750" s="35">
        <v>5301282</v>
      </c>
      <c r="AD750" s="35" t="s">
        <v>999</v>
      </c>
      <c r="AE750" s="35">
        <v>8</v>
      </c>
      <c r="AH750" s="35">
        <v>1</v>
      </c>
      <c r="AI750" s="36"/>
      <c r="AJ750" s="35" t="s">
        <v>1000</v>
      </c>
      <c r="AK750" s="36"/>
      <c r="AL750" s="35">
        <v>8</v>
      </c>
    </row>
    <row r="751" s="25" customFormat="1" hidden="1" customHeight="1" spans="1:38">
      <c r="A751" s="35">
        <v>5510506</v>
      </c>
      <c r="B751" s="35" t="s">
        <v>985</v>
      </c>
      <c r="C751" s="35">
        <v>5301282</v>
      </c>
      <c r="D751" s="35">
        <v>6</v>
      </c>
      <c r="E751" s="35"/>
      <c r="F751" s="35" t="s">
        <v>220</v>
      </c>
      <c r="G751" s="36" t="str">
        <f t="shared" si="267"/>
        <v/>
      </c>
      <c r="H751" s="36" t="str">
        <f>IFERROR(IF(--MID($F751,2*COUNTIF($G751:G751,"&gt;"&amp;0)+2,1)=H$1,H$1,""),"")</f>
        <v/>
      </c>
      <c r="I751" s="36" t="str">
        <f>IFERROR(IF(--MID($F751,2*COUNTIF($G751:H751,"&gt;"&amp;0)+2,1)=I$1,I$1,""),"")</f>
        <v/>
      </c>
      <c r="J751" s="36" t="str">
        <f>IFERROR(IF(--MID($F751,2*COUNTIF($G751:I751,"&gt;"&amp;0)+2,1)=J$1,J$1,""),"")</f>
        <v/>
      </c>
      <c r="K751" s="36" t="str">
        <f>IFERROR(IF(--MID($F751,2*COUNTIF($G751:J751,"&gt;"&amp;0)+2,1)=K$1,K$1,""),"")</f>
        <v/>
      </c>
      <c r="L751" s="36">
        <f>IFERROR(IF(--MID($F751,2*COUNTIF($G751:K751,"&gt;"&amp;0)+2,1)=L$1,L$1,""),"")</f>
        <v>6</v>
      </c>
      <c r="M751" s="51" t="str" cm="1">
        <f t="array" ref="M751">IF($A751="","",IF(G751="","",_xlfn.XLOOKUP($D751&amp;"_"&amp;$AE751,符文权重!$A:$A&amp;"_"&amp;符文权重!$C:$C,符文权重!$D:$D)*$Y751/SUMIFS($Y:$Y,G:G,G751,$D:$D,$D751,$AE:$AE,$AE751)/SUMIF(符文权重!$A:$A,$D751,符文权重!$D:$D)))</f>
        <v/>
      </c>
      <c r="N751" s="51" t="str" cm="1">
        <f t="array" ref="N751">IF($A751="","",IF(H751="","",_xlfn.XLOOKUP($D751&amp;"_"&amp;$AE751,符文权重!$A:$A&amp;"_"&amp;符文权重!$C:$C,符文权重!$D:$D)*$Y751/SUMIFS($Y:$Y,H:H,H751,$D:$D,$D751,$AE:$AE,$AE751)/SUMIF(符文权重!$A:$A,$D751,符文权重!$D:$D)))</f>
        <v/>
      </c>
      <c r="O751" s="51" t="str" cm="1">
        <f t="array" ref="O751">IF($A751="","",IF(I751="","",_xlfn.XLOOKUP($D751&amp;"_"&amp;$AE751,符文权重!$A:$A&amp;"_"&amp;符文权重!$C:$C,符文权重!$D:$D)*$Y751/SUMIFS($Y:$Y,I:I,I751,$D:$D,$D751,$AE:$AE,$AE751)/SUMIF(符文权重!$A:$A,$D751,符文权重!$D:$D)))</f>
        <v/>
      </c>
      <c r="P751" s="51" t="str" cm="1">
        <f t="array" ref="P751">IF($A751="","",IF(J751="","",_xlfn.XLOOKUP($D751&amp;"_"&amp;$AE751,符文权重!$A:$A&amp;"_"&amp;符文权重!$C:$C,符文权重!$D:$D)*$Y751/SUMIFS($Y:$Y,J:J,J751,$D:$D,$D751,$AE:$AE,$AE751)/SUMIF(符文权重!$A:$A,$D751,符文权重!$D:$D)))</f>
        <v/>
      </c>
      <c r="Q751" s="51" t="str" cm="1">
        <f t="array" ref="Q751">IF($A751="","",IF(K751="","",_xlfn.XLOOKUP($D751&amp;"_"&amp;$AE751,符文权重!$A:$A&amp;"_"&amp;符文权重!$C:$C,符文权重!$D:$D)*$Y751/SUMIFS($Y:$Y,K:K,K751,$D:$D,$D751,$AE:$AE,$AE751)/SUMIF(符文权重!$A:$A,$D751,符文权重!$D:$D)))</f>
        <v/>
      </c>
      <c r="R751" s="51" cm="1">
        <f t="array" ref="R751">IF($A751="","",IF(L751="","",_xlfn.XLOOKUP($D751&amp;"_"&amp;$AE751,符文权重!$A:$A&amp;"_"&amp;符文权重!$C:$C,符文权重!$D:$D)*$Y751/SUMIFS($Y:$Y,L:L,L751,$D:$D,$D751,$AE:$AE,$AE751)/SUMIF(符文权重!$A:$A,$D751,符文权重!$D:$D)))</f>
        <v>0.0035</v>
      </c>
      <c r="S751" s="35" t="s">
        <v>344</v>
      </c>
      <c r="T751" s="35" t="s">
        <v>986</v>
      </c>
      <c r="U751" s="35" t="s">
        <v>426</v>
      </c>
      <c r="V751" s="35" t="s">
        <v>1001</v>
      </c>
      <c r="X751" s="35" t="s">
        <v>823</v>
      </c>
      <c r="Y751" s="35">
        <v>100</v>
      </c>
      <c r="AA751" s="35" t="s">
        <v>189</v>
      </c>
      <c r="AB751" s="42" t="str">
        <f t="shared" si="268"/>
        <v>后羿充能后提高&lt;color=#54b76b&gt;450%&lt;/color&gt;攻速，持续3s</v>
      </c>
      <c r="AC751" s="35">
        <v>5301282</v>
      </c>
      <c r="AD751" s="35" t="s">
        <v>1002</v>
      </c>
      <c r="AE751" s="35">
        <v>8</v>
      </c>
      <c r="AH751" s="35">
        <v>1</v>
      </c>
      <c r="AI751" s="36"/>
      <c r="AJ751" s="35" t="s">
        <v>1003</v>
      </c>
      <c r="AK751" s="36"/>
      <c r="AL751" s="35">
        <v>8</v>
      </c>
    </row>
    <row r="752" s="25" customFormat="1" hidden="1" customHeight="1" spans="1:38">
      <c r="A752" s="35">
        <v>5510507</v>
      </c>
      <c r="B752" s="35" t="s">
        <v>985</v>
      </c>
      <c r="C752" s="35">
        <v>5301282</v>
      </c>
      <c r="D752" s="35">
        <v>7</v>
      </c>
      <c r="E752" s="35"/>
      <c r="F752" s="35" t="s">
        <v>220</v>
      </c>
      <c r="G752" s="36" t="str">
        <f t="shared" si="267"/>
        <v/>
      </c>
      <c r="H752" s="36" t="str">
        <f>IFERROR(IF(--MID($F752,2*COUNTIF($G752:G752,"&gt;"&amp;0)+2,1)=H$1,H$1,""),"")</f>
        <v/>
      </c>
      <c r="I752" s="36" t="str">
        <f>IFERROR(IF(--MID($F752,2*COUNTIF($G752:H752,"&gt;"&amp;0)+2,1)=I$1,I$1,""),"")</f>
        <v/>
      </c>
      <c r="J752" s="36" t="str">
        <f>IFERROR(IF(--MID($F752,2*COUNTIF($G752:I752,"&gt;"&amp;0)+2,1)=J$1,J$1,""),"")</f>
        <v/>
      </c>
      <c r="K752" s="36" t="str">
        <f>IFERROR(IF(--MID($F752,2*COUNTIF($G752:J752,"&gt;"&amp;0)+2,1)=K$1,K$1,""),"")</f>
        <v/>
      </c>
      <c r="L752" s="36">
        <f>IFERROR(IF(--MID($F752,2*COUNTIF($G752:K752,"&gt;"&amp;0)+2,1)=L$1,L$1,""),"")</f>
        <v>6</v>
      </c>
      <c r="M752" s="51" t="str" cm="1">
        <f t="array" ref="M752">IF($A752="","",IF(G752="","",_xlfn.XLOOKUP($D752&amp;"_"&amp;$AE752,符文权重!$A:$A&amp;"_"&amp;符文权重!$C:$C,符文权重!$D:$D)*$Y752/SUMIFS($Y:$Y,G:G,G752,$D:$D,$D752,$AE:$AE,$AE752)/SUMIF(符文权重!$A:$A,$D752,符文权重!$D:$D)))</f>
        <v/>
      </c>
      <c r="N752" s="51" t="str" cm="1">
        <f t="array" ref="N752">IF($A752="","",IF(H752="","",_xlfn.XLOOKUP($D752&amp;"_"&amp;$AE752,符文权重!$A:$A&amp;"_"&amp;符文权重!$C:$C,符文权重!$D:$D)*$Y752/SUMIFS($Y:$Y,H:H,H752,$D:$D,$D752,$AE:$AE,$AE752)/SUMIF(符文权重!$A:$A,$D752,符文权重!$D:$D)))</f>
        <v/>
      </c>
      <c r="O752" s="51" t="str" cm="1">
        <f t="array" ref="O752">IF($A752="","",IF(I752="","",_xlfn.XLOOKUP($D752&amp;"_"&amp;$AE752,符文权重!$A:$A&amp;"_"&amp;符文权重!$C:$C,符文权重!$D:$D)*$Y752/SUMIFS($Y:$Y,I:I,I752,$D:$D,$D752,$AE:$AE,$AE752)/SUMIF(符文权重!$A:$A,$D752,符文权重!$D:$D)))</f>
        <v/>
      </c>
      <c r="P752" s="51" t="str" cm="1">
        <f t="array" ref="P752">IF($A752="","",IF(J752="","",_xlfn.XLOOKUP($D752&amp;"_"&amp;$AE752,符文权重!$A:$A&amp;"_"&amp;符文权重!$C:$C,符文权重!$D:$D)*$Y752/SUMIFS($Y:$Y,J:J,J752,$D:$D,$D752,$AE:$AE,$AE752)/SUMIF(符文权重!$A:$A,$D752,符文权重!$D:$D)))</f>
        <v/>
      </c>
      <c r="Q752" s="51" t="str" cm="1">
        <f t="array" ref="Q752">IF($A752="","",IF(K752="","",_xlfn.XLOOKUP($D752&amp;"_"&amp;$AE752,符文权重!$A:$A&amp;"_"&amp;符文权重!$C:$C,符文权重!$D:$D)*$Y752/SUMIFS($Y:$Y,K:K,K752,$D:$D,$D752,$AE:$AE,$AE752)/SUMIF(符文权重!$A:$A,$D752,符文权重!$D:$D)))</f>
        <v/>
      </c>
      <c r="R752" s="51" cm="1">
        <f t="array" ref="R752">IF($A752="","",IF(L752="","",_xlfn.XLOOKUP($D752&amp;"_"&amp;$AE752,符文权重!$A:$A&amp;"_"&amp;符文权重!$C:$C,符文权重!$D:$D)*$Y752/SUMIFS($Y:$Y,L:L,L752,$D:$D,$D752,$AE:$AE,$AE752)/SUMIF(符文权重!$A:$A,$D752,符文权重!$D:$D)))</f>
        <v>0.0035</v>
      </c>
      <c r="S752" s="35" t="s">
        <v>344</v>
      </c>
      <c r="T752" s="35" t="s">
        <v>986</v>
      </c>
      <c r="U752" s="35" t="s">
        <v>429</v>
      </c>
      <c r="V752" s="35" t="s">
        <v>1004</v>
      </c>
      <c r="X752" s="35" t="s">
        <v>826</v>
      </c>
      <c r="Y752" s="35">
        <v>100</v>
      </c>
      <c r="AA752" s="35" t="s">
        <v>191</v>
      </c>
      <c r="AB752" s="42" t="str">
        <f t="shared" si="268"/>
        <v>后羿充能后提高&lt;color=#54b76b&gt;550%&lt;/color&gt;攻速，持续3s</v>
      </c>
      <c r="AC752" s="35">
        <v>5301282</v>
      </c>
      <c r="AD752" s="35" t="s">
        <v>1005</v>
      </c>
      <c r="AE752" s="35">
        <v>8</v>
      </c>
      <c r="AH752" s="35">
        <v>1</v>
      </c>
      <c r="AJ752" s="35" t="s">
        <v>1006</v>
      </c>
      <c r="AL752" s="35">
        <v>8</v>
      </c>
    </row>
    <row r="753" hidden="1" customHeight="1" spans="1:38">
      <c r="A753" s="35">
        <v>5510514</v>
      </c>
      <c r="B753" s="34" t="s">
        <v>985</v>
      </c>
      <c r="C753" s="35">
        <v>5301283</v>
      </c>
      <c r="D753" s="36">
        <v>4</v>
      </c>
      <c r="E753" s="36"/>
      <c r="F753" s="35" t="s">
        <v>202</v>
      </c>
      <c r="G753" s="36">
        <f t="shared" si="267"/>
        <v>1</v>
      </c>
      <c r="H753" s="36" t="str">
        <f>IFERROR(IF(--MID($F753,2*COUNTIF($G753:G753,"&gt;"&amp;0)+2,1)=H$1,H$1,""),"")</f>
        <v/>
      </c>
      <c r="I753" s="36" t="str">
        <f>IFERROR(IF(--MID($F753,2*COUNTIF($G753:H753,"&gt;"&amp;0)+2,1)=I$1,I$1,""),"")</f>
        <v/>
      </c>
      <c r="J753" s="36" t="str">
        <f>IFERROR(IF(--MID($F753,2*COUNTIF($G753:I753,"&gt;"&amp;0)+2,1)=J$1,J$1,""),"")</f>
        <v/>
      </c>
      <c r="K753" s="36" t="str">
        <f>IFERROR(IF(--MID($F753,2*COUNTIF($G753:J753,"&gt;"&amp;0)+2,1)=K$1,K$1,""),"")</f>
        <v/>
      </c>
      <c r="L753" s="36" t="str">
        <f>IFERROR(IF(--MID($F753,2*COUNTIF($G753:K753,"&gt;"&amp;0)+2,1)=L$1,L$1,""),"")</f>
        <v/>
      </c>
      <c r="M753" s="36" t="e" cm="1">
        <f t="array" ref="M753">IF(A753="","",_xlfn.XLOOKUP(D753&amp;"_"&amp;AE753,符文权重!A:A&amp;"_"&amp;符文权重!C:C,符文权重!D:D))</f>
        <v>#N/A</v>
      </c>
      <c r="N753" s="36"/>
      <c r="O753" s="36"/>
      <c r="P753" s="36"/>
      <c r="Q753" s="36"/>
      <c r="R753" s="36"/>
      <c r="S753" s="36" t="s">
        <v>344</v>
      </c>
      <c r="T753" s="36" t="s">
        <v>986</v>
      </c>
      <c r="U753" s="36" t="s">
        <v>420</v>
      </c>
      <c r="V753" s="25" t="s">
        <v>1007</v>
      </c>
      <c r="X753" s="35" t="s">
        <v>817</v>
      </c>
      <c r="Y753" s="35">
        <v>100</v>
      </c>
      <c r="AA753" s="36" t="s">
        <v>185</v>
      </c>
      <c r="AB753" s="42" t="str">
        <f t="shared" si="268"/>
        <v>后羿添加喉咙上火标记时&lt;color=#54b76b&gt;50%&lt;/color&gt;几率立即叠满</v>
      </c>
      <c r="AC753" s="35">
        <v>5301283</v>
      </c>
      <c r="AD753" s="36" t="s">
        <v>596</v>
      </c>
      <c r="AE753" s="36">
        <v>100</v>
      </c>
      <c r="AF753" s="36"/>
      <c r="AG753" s="36">
        <v>1</v>
      </c>
      <c r="AH753" s="36">
        <v>0</v>
      </c>
      <c r="AI753" s="35"/>
      <c r="AJ753" s="36" t="s">
        <v>1008</v>
      </c>
      <c r="AL753" s="35">
        <v>8</v>
      </c>
    </row>
    <row r="754" s="25" customFormat="1" hidden="1" customHeight="1" spans="1:38">
      <c r="A754" s="35">
        <v>5510515</v>
      </c>
      <c r="B754" s="35" t="s">
        <v>985</v>
      </c>
      <c r="C754" s="35">
        <v>5301283</v>
      </c>
      <c r="D754" s="35">
        <v>5</v>
      </c>
      <c r="E754" s="35"/>
      <c r="F754" s="35" t="s">
        <v>202</v>
      </c>
      <c r="G754" s="36">
        <f t="shared" si="267"/>
        <v>1</v>
      </c>
      <c r="H754" s="36" t="str">
        <f>IFERROR(IF(--MID($F754,2*COUNTIF($G754:G754,"&gt;"&amp;0)+2,1)=H$1,H$1,""),"")</f>
        <v/>
      </c>
      <c r="I754" s="36" t="str">
        <f>IFERROR(IF(--MID($F754,2*COUNTIF($G754:H754,"&gt;"&amp;0)+2,1)=I$1,I$1,""),"")</f>
        <v/>
      </c>
      <c r="J754" s="36" t="str">
        <f>IFERROR(IF(--MID($F754,2*COUNTIF($G754:I754,"&gt;"&amp;0)+2,1)=J$1,J$1,""),"")</f>
        <v/>
      </c>
      <c r="K754" s="36" t="str">
        <f>IFERROR(IF(--MID($F754,2*COUNTIF($G754:J754,"&gt;"&amp;0)+2,1)=K$1,K$1,""),"")</f>
        <v/>
      </c>
      <c r="L754" s="36" t="str">
        <f>IFERROR(IF(--MID($F754,2*COUNTIF($G754:K754,"&gt;"&amp;0)+2,1)=L$1,L$1,""),"")</f>
        <v/>
      </c>
      <c r="M754" s="51" cm="1">
        <f t="array" ref="M754">IF($A754="","",IF(G754="","",_xlfn.XLOOKUP($D754&amp;"_"&amp;$AE754,符文权重!$A:$A&amp;"_"&amp;符文权重!$C:$C,符文权重!$D:$D)*$Y754/SUMIFS($Y:$Y,G:G,G754,$D:$D,$D754,$AE:$AE,$AE754)/SUMIF(符文权重!$A:$A,$D754,符文权重!$D:$D)))</f>
        <v>0.00525</v>
      </c>
      <c r="N754" s="51" t="str" cm="1">
        <f t="array" ref="N754">IF($A754="","",IF(H754="","",_xlfn.XLOOKUP($D754&amp;"_"&amp;$AE754,符文权重!$A:$A&amp;"_"&amp;符文权重!$C:$C,符文权重!$D:$D)*$Y754/SUMIFS($Y:$Y,H:H,H754,$D:$D,$D754,$AE:$AE,$AE754)/SUMIF(符文权重!$A:$A,$D754,符文权重!$D:$D)))</f>
        <v/>
      </c>
      <c r="O754" s="51" t="str" cm="1">
        <f t="array" ref="O754">IF($A754="","",IF(I754="","",_xlfn.XLOOKUP($D754&amp;"_"&amp;$AE754,符文权重!$A:$A&amp;"_"&amp;符文权重!$C:$C,符文权重!$D:$D)*$Y754/SUMIFS($Y:$Y,I:I,I754,$D:$D,$D754,$AE:$AE,$AE754)/SUMIF(符文权重!$A:$A,$D754,符文权重!$D:$D)))</f>
        <v/>
      </c>
      <c r="P754" s="51" t="str" cm="1">
        <f t="array" ref="P754">IF($A754="","",IF(J754="","",_xlfn.XLOOKUP($D754&amp;"_"&amp;$AE754,符文权重!$A:$A&amp;"_"&amp;符文权重!$C:$C,符文权重!$D:$D)*$Y754/SUMIFS($Y:$Y,J:J,J754,$D:$D,$D754,$AE:$AE,$AE754)/SUMIF(符文权重!$A:$A,$D754,符文权重!$D:$D)))</f>
        <v/>
      </c>
      <c r="Q754" s="51" t="str" cm="1">
        <f t="array" ref="Q754">IF($A754="","",IF(K754="","",_xlfn.XLOOKUP($D754&amp;"_"&amp;$AE754,符文权重!$A:$A&amp;"_"&amp;符文权重!$C:$C,符文权重!$D:$D)*$Y754/SUMIFS($Y:$Y,K:K,K754,$D:$D,$D754,$AE:$AE,$AE754)/SUMIF(符文权重!$A:$A,$D754,符文权重!$D:$D)))</f>
        <v/>
      </c>
      <c r="R754" s="51" t="str" cm="1">
        <f t="array" ref="R754">IF($A754="","",IF(L754="","",_xlfn.XLOOKUP($D754&amp;"_"&amp;$AE754,符文权重!$A:$A&amp;"_"&amp;符文权重!$C:$C,符文权重!$D:$D)*$Y754/SUMIFS($Y:$Y,L:L,L754,$D:$D,$D754,$AE:$AE,$AE754)/SUMIF(符文权重!$A:$A,$D754,符文权重!$D:$D)))</f>
        <v/>
      </c>
      <c r="S754" s="35" t="s">
        <v>344</v>
      </c>
      <c r="T754" s="35" t="s">
        <v>986</v>
      </c>
      <c r="U754" s="35" t="s">
        <v>423</v>
      </c>
      <c r="V754" s="35" t="s">
        <v>1009</v>
      </c>
      <c r="X754" s="35" t="s">
        <v>820</v>
      </c>
      <c r="Y754" s="35">
        <v>100</v>
      </c>
      <c r="AA754" s="35" t="s">
        <v>187</v>
      </c>
      <c r="AB754" s="42" t="str">
        <f t="shared" si="268"/>
        <v>后羿添加喉咙上火标记时&lt;color=#54b76b&gt;70%&lt;/color&gt;几率立即叠满</v>
      </c>
      <c r="AC754" s="35">
        <v>5301283</v>
      </c>
      <c r="AD754" s="35" t="s">
        <v>600</v>
      </c>
      <c r="AE754" s="35">
        <v>8</v>
      </c>
      <c r="AH754" s="35">
        <v>1</v>
      </c>
      <c r="AI754" s="36"/>
      <c r="AJ754" s="35" t="s">
        <v>1010</v>
      </c>
      <c r="AK754" s="36"/>
      <c r="AL754" s="35">
        <v>8</v>
      </c>
    </row>
    <row r="755" s="25" customFormat="1" hidden="1" customHeight="1" spans="1:38">
      <c r="A755" s="35">
        <v>5510516</v>
      </c>
      <c r="B755" s="35" t="s">
        <v>985</v>
      </c>
      <c r="C755" s="35">
        <v>5301283</v>
      </c>
      <c r="D755" s="35">
        <v>6</v>
      </c>
      <c r="E755" s="35"/>
      <c r="F755" s="35" t="s">
        <v>202</v>
      </c>
      <c r="G755" s="36">
        <f t="shared" si="267"/>
        <v>1</v>
      </c>
      <c r="H755" s="36" t="str">
        <f>IFERROR(IF(--MID($F755,2*COUNTIF($G755:G755,"&gt;"&amp;0)+2,1)=H$1,H$1,""),"")</f>
        <v/>
      </c>
      <c r="I755" s="36" t="str">
        <f>IFERROR(IF(--MID($F755,2*COUNTIF($G755:H755,"&gt;"&amp;0)+2,1)=I$1,I$1,""),"")</f>
        <v/>
      </c>
      <c r="J755" s="36" t="str">
        <f>IFERROR(IF(--MID($F755,2*COUNTIF($G755:I755,"&gt;"&amp;0)+2,1)=J$1,J$1,""),"")</f>
        <v/>
      </c>
      <c r="K755" s="36" t="str">
        <f>IFERROR(IF(--MID($F755,2*COUNTIF($G755:J755,"&gt;"&amp;0)+2,1)=K$1,K$1,""),"")</f>
        <v/>
      </c>
      <c r="L755" s="36" t="str">
        <f>IFERROR(IF(--MID($F755,2*COUNTIF($G755:K755,"&gt;"&amp;0)+2,1)=L$1,L$1,""),"")</f>
        <v/>
      </c>
      <c r="M755" s="51" cm="1">
        <f t="array" ref="M755">IF($A755="","",IF(G755="","",_xlfn.XLOOKUP($D755&amp;"_"&amp;$AE755,符文权重!$A:$A&amp;"_"&amp;符文权重!$C:$C,符文权重!$D:$D)*$Y755/SUMIFS($Y:$Y,G:G,G755,$D:$D,$D755,$AE:$AE,$AE755)/SUMIF(符文权重!$A:$A,$D755,符文权重!$D:$D)))</f>
        <v>0.00525</v>
      </c>
      <c r="N755" s="51" t="str" cm="1">
        <f t="array" ref="N755">IF($A755="","",IF(H755="","",_xlfn.XLOOKUP($D755&amp;"_"&amp;$AE755,符文权重!$A:$A&amp;"_"&amp;符文权重!$C:$C,符文权重!$D:$D)*$Y755/SUMIFS($Y:$Y,H:H,H755,$D:$D,$D755,$AE:$AE,$AE755)/SUMIF(符文权重!$A:$A,$D755,符文权重!$D:$D)))</f>
        <v/>
      </c>
      <c r="O755" s="51" t="str" cm="1">
        <f t="array" ref="O755">IF($A755="","",IF(I755="","",_xlfn.XLOOKUP($D755&amp;"_"&amp;$AE755,符文权重!$A:$A&amp;"_"&amp;符文权重!$C:$C,符文权重!$D:$D)*$Y755/SUMIFS($Y:$Y,I:I,I755,$D:$D,$D755,$AE:$AE,$AE755)/SUMIF(符文权重!$A:$A,$D755,符文权重!$D:$D)))</f>
        <v/>
      </c>
      <c r="P755" s="51" t="str" cm="1">
        <f t="array" ref="P755">IF($A755="","",IF(J755="","",_xlfn.XLOOKUP($D755&amp;"_"&amp;$AE755,符文权重!$A:$A&amp;"_"&amp;符文权重!$C:$C,符文权重!$D:$D)*$Y755/SUMIFS($Y:$Y,J:J,J755,$D:$D,$D755,$AE:$AE,$AE755)/SUMIF(符文权重!$A:$A,$D755,符文权重!$D:$D)))</f>
        <v/>
      </c>
      <c r="Q755" s="51" t="str" cm="1">
        <f t="array" ref="Q755">IF($A755="","",IF(K755="","",_xlfn.XLOOKUP($D755&amp;"_"&amp;$AE755,符文权重!$A:$A&amp;"_"&amp;符文权重!$C:$C,符文权重!$D:$D)*$Y755/SUMIFS($Y:$Y,K:K,K755,$D:$D,$D755,$AE:$AE,$AE755)/SUMIF(符文权重!$A:$A,$D755,符文权重!$D:$D)))</f>
        <v/>
      </c>
      <c r="R755" s="51" t="str" cm="1">
        <f t="array" ref="R755">IF($A755="","",IF(L755="","",_xlfn.XLOOKUP($D755&amp;"_"&amp;$AE755,符文权重!$A:$A&amp;"_"&amp;符文权重!$C:$C,符文权重!$D:$D)*$Y755/SUMIFS($Y:$Y,L:L,L755,$D:$D,$D755,$AE:$AE,$AE755)/SUMIF(符文权重!$A:$A,$D755,符文权重!$D:$D)))</f>
        <v/>
      </c>
      <c r="S755" s="35" t="s">
        <v>344</v>
      </c>
      <c r="T755" s="35" t="s">
        <v>986</v>
      </c>
      <c r="U755" s="35" t="s">
        <v>426</v>
      </c>
      <c r="V755" s="35" t="s">
        <v>1011</v>
      </c>
      <c r="X755" s="35" t="s">
        <v>823</v>
      </c>
      <c r="Y755" s="35">
        <v>100</v>
      </c>
      <c r="AA755" s="35" t="s">
        <v>189</v>
      </c>
      <c r="AB755" s="42" t="str">
        <f t="shared" si="268"/>
        <v>后羿添加喉咙上火标记时&lt;color=#54b76b&gt;85%&lt;/color&gt;几率立即叠满</v>
      </c>
      <c r="AC755" s="35">
        <v>5301283</v>
      </c>
      <c r="AD755" s="35" t="s">
        <v>1012</v>
      </c>
      <c r="AE755" s="35">
        <v>8</v>
      </c>
      <c r="AH755" s="35">
        <v>1</v>
      </c>
      <c r="AI755" s="36"/>
      <c r="AJ755" s="35" t="s">
        <v>1013</v>
      </c>
      <c r="AK755" s="36"/>
      <c r="AL755" s="35">
        <v>8</v>
      </c>
    </row>
    <row r="756" s="25" customFormat="1" hidden="1" customHeight="1" spans="1:38">
      <c r="A756" s="35">
        <v>5510517</v>
      </c>
      <c r="B756" s="35" t="s">
        <v>985</v>
      </c>
      <c r="C756" s="35">
        <v>5301283</v>
      </c>
      <c r="D756" s="35">
        <v>7</v>
      </c>
      <c r="E756" s="35"/>
      <c r="F756" s="35" t="s">
        <v>202</v>
      </c>
      <c r="G756" s="36">
        <f t="shared" si="267"/>
        <v>1</v>
      </c>
      <c r="H756" s="36" t="str">
        <f>IFERROR(IF(--MID($F756,2*COUNTIF($G756:G756,"&gt;"&amp;0)+2,1)=H$1,H$1,""),"")</f>
        <v/>
      </c>
      <c r="I756" s="36" t="str">
        <f>IFERROR(IF(--MID($F756,2*COUNTIF($G756:H756,"&gt;"&amp;0)+2,1)=I$1,I$1,""),"")</f>
        <v/>
      </c>
      <c r="J756" s="36" t="str">
        <f>IFERROR(IF(--MID($F756,2*COUNTIF($G756:I756,"&gt;"&amp;0)+2,1)=J$1,J$1,""),"")</f>
        <v/>
      </c>
      <c r="K756" s="36" t="str">
        <f>IFERROR(IF(--MID($F756,2*COUNTIF($G756:J756,"&gt;"&amp;0)+2,1)=K$1,K$1,""),"")</f>
        <v/>
      </c>
      <c r="L756" s="36" t="str">
        <f>IFERROR(IF(--MID($F756,2*COUNTIF($G756:K756,"&gt;"&amp;0)+2,1)=L$1,L$1,""),"")</f>
        <v/>
      </c>
      <c r="M756" s="51" cm="1">
        <f t="array" ref="M756">IF($A756="","",IF(G756="","",_xlfn.XLOOKUP($D756&amp;"_"&amp;$AE756,符文权重!$A:$A&amp;"_"&amp;符文权重!$C:$C,符文权重!$D:$D)*$Y756/SUMIFS($Y:$Y,G:G,G756,$D:$D,$D756,$AE:$AE,$AE756)/SUMIF(符文权重!$A:$A,$D756,符文权重!$D:$D)))</f>
        <v>0.00525</v>
      </c>
      <c r="N756" s="51" t="str" cm="1">
        <f t="array" ref="N756">IF($A756="","",IF(H756="","",_xlfn.XLOOKUP($D756&amp;"_"&amp;$AE756,符文权重!$A:$A&amp;"_"&amp;符文权重!$C:$C,符文权重!$D:$D)*$Y756/SUMIFS($Y:$Y,H:H,H756,$D:$D,$D756,$AE:$AE,$AE756)/SUMIF(符文权重!$A:$A,$D756,符文权重!$D:$D)))</f>
        <v/>
      </c>
      <c r="O756" s="51" t="str" cm="1">
        <f t="array" ref="O756">IF($A756="","",IF(I756="","",_xlfn.XLOOKUP($D756&amp;"_"&amp;$AE756,符文权重!$A:$A&amp;"_"&amp;符文权重!$C:$C,符文权重!$D:$D)*$Y756/SUMIFS($Y:$Y,I:I,I756,$D:$D,$D756,$AE:$AE,$AE756)/SUMIF(符文权重!$A:$A,$D756,符文权重!$D:$D)))</f>
        <v/>
      </c>
      <c r="P756" s="51" t="str" cm="1">
        <f t="array" ref="P756">IF($A756="","",IF(J756="","",_xlfn.XLOOKUP($D756&amp;"_"&amp;$AE756,符文权重!$A:$A&amp;"_"&amp;符文权重!$C:$C,符文权重!$D:$D)*$Y756/SUMIFS($Y:$Y,J:J,J756,$D:$D,$D756,$AE:$AE,$AE756)/SUMIF(符文权重!$A:$A,$D756,符文权重!$D:$D)))</f>
        <v/>
      </c>
      <c r="Q756" s="51" t="str" cm="1">
        <f t="array" ref="Q756">IF($A756="","",IF(K756="","",_xlfn.XLOOKUP($D756&amp;"_"&amp;$AE756,符文权重!$A:$A&amp;"_"&amp;符文权重!$C:$C,符文权重!$D:$D)*$Y756/SUMIFS($Y:$Y,K:K,K756,$D:$D,$D756,$AE:$AE,$AE756)/SUMIF(符文权重!$A:$A,$D756,符文权重!$D:$D)))</f>
        <v/>
      </c>
      <c r="R756" s="51" t="str" cm="1">
        <f t="array" ref="R756">IF($A756="","",IF(L756="","",_xlfn.XLOOKUP($D756&amp;"_"&amp;$AE756,符文权重!$A:$A&amp;"_"&amp;符文权重!$C:$C,符文权重!$D:$D)*$Y756/SUMIFS($Y:$Y,L:L,L756,$D:$D,$D756,$AE:$AE,$AE756)/SUMIF(符文权重!$A:$A,$D756,符文权重!$D:$D)))</f>
        <v/>
      </c>
      <c r="S756" s="35" t="s">
        <v>344</v>
      </c>
      <c r="T756" s="35" t="s">
        <v>986</v>
      </c>
      <c r="U756" s="35" t="s">
        <v>429</v>
      </c>
      <c r="V756" s="35" t="s">
        <v>1014</v>
      </c>
      <c r="X756" s="35" t="s">
        <v>826</v>
      </c>
      <c r="Y756" s="35">
        <v>100</v>
      </c>
      <c r="AA756" s="35" t="s">
        <v>191</v>
      </c>
      <c r="AB756" s="42" t="str">
        <f t="shared" si="268"/>
        <v>后羿添加喉咙上火标记时&lt;color=#54b76b&gt;100%&lt;/color&gt;几率立即叠满</v>
      </c>
      <c r="AC756" s="35">
        <v>5301283</v>
      </c>
      <c r="AD756" s="35" t="s">
        <v>898</v>
      </c>
      <c r="AE756" s="35">
        <v>8</v>
      </c>
      <c r="AH756" s="35">
        <v>1</v>
      </c>
      <c r="AI756" s="36"/>
      <c r="AJ756" s="35" t="s">
        <v>1015</v>
      </c>
      <c r="AK756" s="36"/>
      <c r="AL756" s="35">
        <v>8</v>
      </c>
    </row>
    <row r="757" hidden="1" customHeight="1" spans="1:38">
      <c r="A757" s="35">
        <v>5510524</v>
      </c>
      <c r="B757" s="35" t="s">
        <v>1016</v>
      </c>
      <c r="C757" s="35">
        <v>5301285</v>
      </c>
      <c r="D757" s="36">
        <v>4</v>
      </c>
      <c r="E757" s="36"/>
      <c r="F757" s="35" t="s">
        <v>220</v>
      </c>
      <c r="G757" s="36" t="str">
        <f t="shared" si="267"/>
        <v/>
      </c>
      <c r="H757" s="36" t="str">
        <f>IFERROR(IF(--MID($F757,2*COUNTIF($G757:G757,"&gt;"&amp;0)+2,1)=H$1,H$1,""),"")</f>
        <v/>
      </c>
      <c r="I757" s="36" t="str">
        <f>IFERROR(IF(--MID($F757,2*COUNTIF($G757:H757,"&gt;"&amp;0)+2,1)=I$1,I$1,""),"")</f>
        <v/>
      </c>
      <c r="J757" s="36" t="str">
        <f>IFERROR(IF(--MID($F757,2*COUNTIF($G757:I757,"&gt;"&amp;0)+2,1)=J$1,J$1,""),"")</f>
        <v/>
      </c>
      <c r="K757" s="36" t="str">
        <f>IFERROR(IF(--MID($F757,2*COUNTIF($G757:J757,"&gt;"&amp;0)+2,1)=K$1,K$1,""),"")</f>
        <v/>
      </c>
      <c r="L757" s="36">
        <f>IFERROR(IF(--MID($F757,2*COUNTIF($G757:K757,"&gt;"&amp;0)+2,1)=L$1,L$1,""),"")</f>
        <v>6</v>
      </c>
      <c r="M757" s="36" t="e" cm="1">
        <f t="array" ref="M757">IF(A757="","",_xlfn.XLOOKUP(D757&amp;"_"&amp;AE757,符文权重!A:A&amp;"_"&amp;符文权重!C:C,符文权重!D:D))</f>
        <v>#N/A</v>
      </c>
      <c r="N757" s="36"/>
      <c r="O757" s="36"/>
      <c r="P757" s="36"/>
      <c r="Q757" s="36"/>
      <c r="R757" s="36"/>
      <c r="S757" s="36" t="s">
        <v>344</v>
      </c>
      <c r="T757" s="36" t="s">
        <v>1017</v>
      </c>
      <c r="U757" s="36" t="s">
        <v>420</v>
      </c>
      <c r="V757" s="25" t="s">
        <v>1018</v>
      </c>
      <c r="X757" s="35" t="s">
        <v>817</v>
      </c>
      <c r="Y757" s="35">
        <v>100</v>
      </c>
      <c r="AA757" s="36" t="s">
        <v>185</v>
      </c>
      <c r="AB757" s="42" t="str">
        <f t="shared" si="268"/>
        <v>诸葛奥义会对怪物追击最大生命值&lt;color=#54b76b&gt;6%&lt;/color&gt;的血量伤害（不超过1200%攻击力）</v>
      </c>
      <c r="AC757" s="35">
        <v>53012851</v>
      </c>
      <c r="AD757" s="36" t="s">
        <v>220</v>
      </c>
      <c r="AE757" s="36">
        <v>100</v>
      </c>
      <c r="AF757" s="36"/>
      <c r="AG757" s="36">
        <v>1</v>
      </c>
      <c r="AH757" s="36">
        <v>0</v>
      </c>
      <c r="AI757" s="35"/>
      <c r="AJ757" s="36" t="s">
        <v>1019</v>
      </c>
      <c r="AL757" s="35">
        <v>8</v>
      </c>
    </row>
    <row r="758" s="25" customFormat="1" hidden="1" customHeight="1" spans="1:38">
      <c r="A758" s="35">
        <v>5510525</v>
      </c>
      <c r="B758" s="35" t="s">
        <v>1016</v>
      </c>
      <c r="C758" s="35">
        <v>5301285</v>
      </c>
      <c r="D758" s="35">
        <v>5</v>
      </c>
      <c r="E758" s="35"/>
      <c r="F758" s="35" t="s">
        <v>220</v>
      </c>
      <c r="G758" s="36" t="str">
        <f t="shared" si="267"/>
        <v/>
      </c>
      <c r="H758" s="36" t="str">
        <f>IFERROR(IF(--MID($F758,2*COUNTIF($G758:G758,"&gt;"&amp;0)+2,1)=H$1,H$1,""),"")</f>
        <v/>
      </c>
      <c r="I758" s="36" t="str">
        <f>IFERROR(IF(--MID($F758,2*COUNTIF($G758:H758,"&gt;"&amp;0)+2,1)=I$1,I$1,""),"")</f>
        <v/>
      </c>
      <c r="J758" s="36" t="str">
        <f>IFERROR(IF(--MID($F758,2*COUNTIF($G758:I758,"&gt;"&amp;0)+2,1)=J$1,J$1,""),"")</f>
        <v/>
      </c>
      <c r="K758" s="36" t="str">
        <f>IFERROR(IF(--MID($F758,2*COUNTIF($G758:J758,"&gt;"&amp;0)+2,1)=K$1,K$1,""),"")</f>
        <v/>
      </c>
      <c r="L758" s="36">
        <f>IFERROR(IF(--MID($F758,2*COUNTIF($G758:K758,"&gt;"&amp;0)+2,1)=L$1,L$1,""),"")</f>
        <v>6</v>
      </c>
      <c r="M758" s="51" t="str" cm="1">
        <f t="array" ref="M758">IF($A758="","",IF(G758="","",_xlfn.XLOOKUP($D758&amp;"_"&amp;$AE758,符文权重!$A:$A&amp;"_"&amp;符文权重!$C:$C,符文权重!$D:$D)*$Y758/SUMIFS($Y:$Y,G:G,G758,$D:$D,$D758,$AE:$AE,$AE758)/SUMIF(符文权重!$A:$A,$D758,符文权重!$D:$D)))</f>
        <v/>
      </c>
      <c r="N758" s="51" t="str" cm="1">
        <f t="array" ref="N758">IF($A758="","",IF(H758="","",_xlfn.XLOOKUP($D758&amp;"_"&amp;$AE758,符文权重!$A:$A&amp;"_"&amp;符文权重!$C:$C,符文权重!$D:$D)*$Y758/SUMIFS($Y:$Y,H:H,H758,$D:$D,$D758,$AE:$AE,$AE758)/SUMIF(符文权重!$A:$A,$D758,符文权重!$D:$D)))</f>
        <v/>
      </c>
      <c r="O758" s="51" t="str" cm="1">
        <f t="array" ref="O758">IF($A758="","",IF(I758="","",_xlfn.XLOOKUP($D758&amp;"_"&amp;$AE758,符文权重!$A:$A&amp;"_"&amp;符文权重!$C:$C,符文权重!$D:$D)*$Y758/SUMIFS($Y:$Y,I:I,I758,$D:$D,$D758,$AE:$AE,$AE758)/SUMIF(符文权重!$A:$A,$D758,符文权重!$D:$D)))</f>
        <v/>
      </c>
      <c r="P758" s="51" t="str" cm="1">
        <f t="array" ref="P758">IF($A758="","",IF(J758="","",_xlfn.XLOOKUP($D758&amp;"_"&amp;$AE758,符文权重!$A:$A&amp;"_"&amp;符文权重!$C:$C,符文权重!$D:$D)*$Y758/SUMIFS($Y:$Y,J:J,J758,$D:$D,$D758,$AE:$AE,$AE758)/SUMIF(符文权重!$A:$A,$D758,符文权重!$D:$D)))</f>
        <v/>
      </c>
      <c r="Q758" s="51" t="str" cm="1">
        <f t="array" ref="Q758">IF($A758="","",IF(K758="","",_xlfn.XLOOKUP($D758&amp;"_"&amp;$AE758,符文权重!$A:$A&amp;"_"&amp;符文权重!$C:$C,符文权重!$D:$D)*$Y758/SUMIFS($Y:$Y,K:K,K758,$D:$D,$D758,$AE:$AE,$AE758)/SUMIF(符文权重!$A:$A,$D758,符文权重!$D:$D)))</f>
        <v/>
      </c>
      <c r="R758" s="51" cm="1">
        <f t="array" ref="R758">IF($A758="","",IF(L758="","",_xlfn.XLOOKUP($D758&amp;"_"&amp;$AE758,符文权重!$A:$A&amp;"_"&amp;符文权重!$C:$C,符文权重!$D:$D)*$Y758/SUMIFS($Y:$Y,L:L,L758,$D:$D,$D758,$AE:$AE,$AE758)/SUMIF(符文权重!$A:$A,$D758,符文权重!$D:$D)))</f>
        <v>0.0035</v>
      </c>
      <c r="S758" s="35" t="s">
        <v>344</v>
      </c>
      <c r="T758" s="35" t="s">
        <v>1017</v>
      </c>
      <c r="U758" s="35" t="s">
        <v>423</v>
      </c>
      <c r="V758" s="35" t="s">
        <v>1020</v>
      </c>
      <c r="X758" s="35" t="s">
        <v>820</v>
      </c>
      <c r="Y758" s="35">
        <v>100</v>
      </c>
      <c r="AA758" s="35" t="s">
        <v>187</v>
      </c>
      <c r="AB758" s="42" t="str">
        <f t="shared" si="268"/>
        <v>诸葛奥义会对怪物追击最大生命值&lt;color=#54b76b&gt;8%&lt;/color&gt;的血量伤害（不超过1600%攻击力）</v>
      </c>
      <c r="AC758" s="35">
        <v>53012852</v>
      </c>
      <c r="AD758" s="35" t="s">
        <v>419</v>
      </c>
      <c r="AE758" s="35">
        <v>8</v>
      </c>
      <c r="AH758" s="35">
        <v>1</v>
      </c>
      <c r="AI758" s="36"/>
      <c r="AJ758" s="35" t="s">
        <v>1021</v>
      </c>
      <c r="AK758" s="36"/>
      <c r="AL758" s="35">
        <v>8</v>
      </c>
    </row>
    <row r="759" s="25" customFormat="1" hidden="1" customHeight="1" spans="1:38">
      <c r="A759" s="35">
        <v>5510526</v>
      </c>
      <c r="B759" s="35" t="s">
        <v>1016</v>
      </c>
      <c r="C759" s="35">
        <v>5301285</v>
      </c>
      <c r="D759" s="35">
        <v>6</v>
      </c>
      <c r="E759" s="35"/>
      <c r="F759" s="35" t="s">
        <v>220</v>
      </c>
      <c r="G759" s="36" t="str">
        <f t="shared" si="267"/>
        <v/>
      </c>
      <c r="H759" s="36" t="str">
        <f>IFERROR(IF(--MID($F759,2*COUNTIF($G759:G759,"&gt;"&amp;0)+2,1)=H$1,H$1,""),"")</f>
        <v/>
      </c>
      <c r="I759" s="36" t="str">
        <f>IFERROR(IF(--MID($F759,2*COUNTIF($G759:H759,"&gt;"&amp;0)+2,1)=I$1,I$1,""),"")</f>
        <v/>
      </c>
      <c r="J759" s="36" t="str">
        <f>IFERROR(IF(--MID($F759,2*COUNTIF($G759:I759,"&gt;"&amp;0)+2,1)=J$1,J$1,""),"")</f>
        <v/>
      </c>
      <c r="K759" s="36" t="str">
        <f>IFERROR(IF(--MID($F759,2*COUNTIF($G759:J759,"&gt;"&amp;0)+2,1)=K$1,K$1,""),"")</f>
        <v/>
      </c>
      <c r="L759" s="36">
        <f>IFERROR(IF(--MID($F759,2*COUNTIF($G759:K759,"&gt;"&amp;0)+2,1)=L$1,L$1,""),"")</f>
        <v>6</v>
      </c>
      <c r="M759" s="51" t="str" cm="1">
        <f t="array" ref="M759">IF($A759="","",IF(G759="","",_xlfn.XLOOKUP($D759&amp;"_"&amp;$AE759,符文权重!$A:$A&amp;"_"&amp;符文权重!$C:$C,符文权重!$D:$D)*$Y759/SUMIFS($Y:$Y,G:G,G759,$D:$D,$D759,$AE:$AE,$AE759)/SUMIF(符文权重!$A:$A,$D759,符文权重!$D:$D)))</f>
        <v/>
      </c>
      <c r="N759" s="51" t="str" cm="1">
        <f t="array" ref="N759">IF($A759="","",IF(H759="","",_xlfn.XLOOKUP($D759&amp;"_"&amp;$AE759,符文权重!$A:$A&amp;"_"&amp;符文权重!$C:$C,符文权重!$D:$D)*$Y759/SUMIFS($Y:$Y,H:H,H759,$D:$D,$D759,$AE:$AE,$AE759)/SUMIF(符文权重!$A:$A,$D759,符文权重!$D:$D)))</f>
        <v/>
      </c>
      <c r="O759" s="51" t="str" cm="1">
        <f t="array" ref="O759">IF($A759="","",IF(I759="","",_xlfn.XLOOKUP($D759&amp;"_"&amp;$AE759,符文权重!$A:$A&amp;"_"&amp;符文权重!$C:$C,符文权重!$D:$D)*$Y759/SUMIFS($Y:$Y,I:I,I759,$D:$D,$D759,$AE:$AE,$AE759)/SUMIF(符文权重!$A:$A,$D759,符文权重!$D:$D)))</f>
        <v/>
      </c>
      <c r="P759" s="51" t="str" cm="1">
        <f t="array" ref="P759">IF($A759="","",IF(J759="","",_xlfn.XLOOKUP($D759&amp;"_"&amp;$AE759,符文权重!$A:$A&amp;"_"&amp;符文权重!$C:$C,符文权重!$D:$D)*$Y759/SUMIFS($Y:$Y,J:J,J759,$D:$D,$D759,$AE:$AE,$AE759)/SUMIF(符文权重!$A:$A,$D759,符文权重!$D:$D)))</f>
        <v/>
      </c>
      <c r="Q759" s="51" t="str" cm="1">
        <f t="array" ref="Q759">IF($A759="","",IF(K759="","",_xlfn.XLOOKUP($D759&amp;"_"&amp;$AE759,符文权重!$A:$A&amp;"_"&amp;符文权重!$C:$C,符文权重!$D:$D)*$Y759/SUMIFS($Y:$Y,K:K,K759,$D:$D,$D759,$AE:$AE,$AE759)/SUMIF(符文权重!$A:$A,$D759,符文权重!$D:$D)))</f>
        <v/>
      </c>
      <c r="R759" s="51" cm="1">
        <f t="array" ref="R759">IF($A759="","",IF(L759="","",_xlfn.XLOOKUP($D759&amp;"_"&amp;$AE759,符文权重!$A:$A&amp;"_"&amp;符文权重!$C:$C,符文权重!$D:$D)*$Y759/SUMIFS($Y:$Y,L:L,L759,$D:$D,$D759,$AE:$AE,$AE759)/SUMIF(符文权重!$A:$A,$D759,符文权重!$D:$D)))</f>
        <v>0.0035</v>
      </c>
      <c r="S759" s="35" t="s">
        <v>344</v>
      </c>
      <c r="T759" s="35" t="s">
        <v>1017</v>
      </c>
      <c r="U759" s="35" t="s">
        <v>426</v>
      </c>
      <c r="V759" s="35" t="s">
        <v>1022</v>
      </c>
      <c r="X759" s="35" t="s">
        <v>823</v>
      </c>
      <c r="Y759" s="35">
        <v>100</v>
      </c>
      <c r="AA759" s="35" t="s">
        <v>189</v>
      </c>
      <c r="AB759" s="42" t="str">
        <f t="shared" si="268"/>
        <v>诸葛奥义会对怪物追击最大生命值&lt;color=#54b76b&gt;10%&lt;/color&gt;的血量伤害（不超过2000%攻击力）</v>
      </c>
      <c r="AC759" s="35">
        <v>53012853</v>
      </c>
      <c r="AD759" s="35" t="s">
        <v>422</v>
      </c>
      <c r="AE759" s="35">
        <v>8</v>
      </c>
      <c r="AH759" s="35">
        <v>1</v>
      </c>
      <c r="AI759" s="36"/>
      <c r="AJ759" s="35" t="s">
        <v>1023</v>
      </c>
      <c r="AK759" s="36"/>
      <c r="AL759" s="35">
        <v>8</v>
      </c>
    </row>
    <row r="760" s="25" customFormat="1" hidden="1" customHeight="1" spans="1:38">
      <c r="A760" s="35">
        <v>5510527</v>
      </c>
      <c r="B760" s="35" t="s">
        <v>1016</v>
      </c>
      <c r="C760" s="35">
        <v>5301285</v>
      </c>
      <c r="D760" s="35">
        <v>7</v>
      </c>
      <c r="E760" s="35"/>
      <c r="F760" s="35" t="s">
        <v>220</v>
      </c>
      <c r="G760" s="36" t="str">
        <f t="shared" si="267"/>
        <v/>
      </c>
      <c r="H760" s="36" t="str">
        <f>IFERROR(IF(--MID($F760,2*COUNTIF($G760:G760,"&gt;"&amp;0)+2,1)=H$1,H$1,""),"")</f>
        <v/>
      </c>
      <c r="I760" s="36" t="str">
        <f>IFERROR(IF(--MID($F760,2*COUNTIF($G760:H760,"&gt;"&amp;0)+2,1)=I$1,I$1,""),"")</f>
        <v/>
      </c>
      <c r="J760" s="36" t="str">
        <f>IFERROR(IF(--MID($F760,2*COUNTIF($G760:I760,"&gt;"&amp;0)+2,1)=J$1,J$1,""),"")</f>
        <v/>
      </c>
      <c r="K760" s="36" t="str">
        <f>IFERROR(IF(--MID($F760,2*COUNTIF($G760:J760,"&gt;"&amp;0)+2,1)=K$1,K$1,""),"")</f>
        <v/>
      </c>
      <c r="L760" s="36">
        <f>IFERROR(IF(--MID($F760,2*COUNTIF($G760:K760,"&gt;"&amp;0)+2,1)=L$1,L$1,""),"")</f>
        <v>6</v>
      </c>
      <c r="M760" s="51" t="str" cm="1">
        <f t="array" ref="M760">IF($A760="","",IF(G760="","",_xlfn.XLOOKUP($D760&amp;"_"&amp;$AE760,符文权重!$A:$A&amp;"_"&amp;符文权重!$C:$C,符文权重!$D:$D)*$Y760/SUMIFS($Y:$Y,G:G,G760,$D:$D,$D760,$AE:$AE,$AE760)/SUMIF(符文权重!$A:$A,$D760,符文权重!$D:$D)))</f>
        <v/>
      </c>
      <c r="N760" s="51" t="str" cm="1">
        <f t="array" ref="N760">IF($A760="","",IF(H760="","",_xlfn.XLOOKUP($D760&amp;"_"&amp;$AE760,符文权重!$A:$A&amp;"_"&amp;符文权重!$C:$C,符文权重!$D:$D)*$Y760/SUMIFS($Y:$Y,H:H,H760,$D:$D,$D760,$AE:$AE,$AE760)/SUMIF(符文权重!$A:$A,$D760,符文权重!$D:$D)))</f>
        <v/>
      </c>
      <c r="O760" s="51" t="str" cm="1">
        <f t="array" ref="O760">IF($A760="","",IF(I760="","",_xlfn.XLOOKUP($D760&amp;"_"&amp;$AE760,符文权重!$A:$A&amp;"_"&amp;符文权重!$C:$C,符文权重!$D:$D)*$Y760/SUMIFS($Y:$Y,I:I,I760,$D:$D,$D760,$AE:$AE,$AE760)/SUMIF(符文权重!$A:$A,$D760,符文权重!$D:$D)))</f>
        <v/>
      </c>
      <c r="P760" s="51" t="str" cm="1">
        <f t="array" ref="P760">IF($A760="","",IF(J760="","",_xlfn.XLOOKUP($D760&amp;"_"&amp;$AE760,符文权重!$A:$A&amp;"_"&amp;符文权重!$C:$C,符文权重!$D:$D)*$Y760/SUMIFS($Y:$Y,J:J,J760,$D:$D,$D760,$AE:$AE,$AE760)/SUMIF(符文权重!$A:$A,$D760,符文权重!$D:$D)))</f>
        <v/>
      </c>
      <c r="Q760" s="51" t="str" cm="1">
        <f t="array" ref="Q760">IF($A760="","",IF(K760="","",_xlfn.XLOOKUP($D760&amp;"_"&amp;$AE760,符文权重!$A:$A&amp;"_"&amp;符文权重!$C:$C,符文权重!$D:$D)*$Y760/SUMIFS($Y:$Y,K:K,K760,$D:$D,$D760,$AE:$AE,$AE760)/SUMIF(符文权重!$A:$A,$D760,符文权重!$D:$D)))</f>
        <v/>
      </c>
      <c r="R760" s="51" cm="1">
        <f t="array" ref="R760">IF($A760="","",IF(L760="","",_xlfn.XLOOKUP($D760&amp;"_"&amp;$AE760,符文权重!$A:$A&amp;"_"&amp;符文权重!$C:$C,符文权重!$D:$D)*$Y760/SUMIFS($Y:$Y,L:L,L760,$D:$D,$D760,$AE:$AE,$AE760)/SUMIF(符文权重!$A:$A,$D760,符文权重!$D:$D)))</f>
        <v>0.0035</v>
      </c>
      <c r="S760" s="35" t="s">
        <v>344</v>
      </c>
      <c r="T760" s="35" t="s">
        <v>1017</v>
      </c>
      <c r="U760" s="35" t="s">
        <v>429</v>
      </c>
      <c r="V760" s="35" t="s">
        <v>1024</v>
      </c>
      <c r="X760" s="35" t="s">
        <v>826</v>
      </c>
      <c r="Y760" s="35">
        <v>100</v>
      </c>
      <c r="AA760" s="35" t="s">
        <v>191</v>
      </c>
      <c r="AB760" s="42" t="str">
        <f t="shared" si="268"/>
        <v>诸葛奥义会对怪物追击最大生命值&lt;color=#54b76b&gt;12%&lt;/color&gt;的血量伤害（不超过2500%攻击力）</v>
      </c>
      <c r="AC760" s="35">
        <v>53012854</v>
      </c>
      <c r="AD760" s="35" t="s">
        <v>492</v>
      </c>
      <c r="AE760" s="35">
        <v>8</v>
      </c>
      <c r="AH760" s="35">
        <v>1</v>
      </c>
      <c r="AI760" s="36"/>
      <c r="AJ760" s="35" t="s">
        <v>1025</v>
      </c>
      <c r="AK760" s="36"/>
      <c r="AL760" s="35">
        <v>8</v>
      </c>
    </row>
    <row r="761" hidden="1" customHeight="1" spans="1:38">
      <c r="A761" s="35">
        <v>5510534</v>
      </c>
      <c r="B761" s="35" t="s">
        <v>1016</v>
      </c>
      <c r="C761" s="35">
        <v>5301286</v>
      </c>
      <c r="D761" s="36">
        <v>4</v>
      </c>
      <c r="E761" s="36"/>
      <c r="F761" s="35" t="s">
        <v>202</v>
      </c>
      <c r="G761" s="36">
        <f t="shared" si="267"/>
        <v>1</v>
      </c>
      <c r="H761" s="36" t="str">
        <f>IFERROR(IF(--MID($F761,2*COUNTIF($G761:G761,"&gt;"&amp;0)+2,1)=H$1,H$1,""),"")</f>
        <v/>
      </c>
      <c r="I761" s="36" t="str">
        <f>IFERROR(IF(--MID($F761,2*COUNTIF($G761:H761,"&gt;"&amp;0)+2,1)=I$1,I$1,""),"")</f>
        <v/>
      </c>
      <c r="J761" s="36" t="str">
        <f>IFERROR(IF(--MID($F761,2*COUNTIF($G761:I761,"&gt;"&amp;0)+2,1)=J$1,J$1,""),"")</f>
        <v/>
      </c>
      <c r="K761" s="36" t="str">
        <f>IFERROR(IF(--MID($F761,2*COUNTIF($G761:J761,"&gt;"&amp;0)+2,1)=K$1,K$1,""),"")</f>
        <v/>
      </c>
      <c r="L761" s="36" t="str">
        <f>IFERROR(IF(--MID($F761,2*COUNTIF($G761:K761,"&gt;"&amp;0)+2,1)=L$1,L$1,""),"")</f>
        <v/>
      </c>
      <c r="M761" s="36" t="e" cm="1">
        <f t="array" ref="M761">IF(A761="","",_xlfn.XLOOKUP(D761&amp;"_"&amp;AE761,符文权重!A:A&amp;"_"&amp;符文权重!C:C,符文权重!D:D))</f>
        <v>#N/A</v>
      </c>
      <c r="N761" s="36"/>
      <c r="O761" s="36"/>
      <c r="P761" s="36"/>
      <c r="Q761" s="36"/>
      <c r="R761" s="36"/>
      <c r="S761" s="36" t="s">
        <v>344</v>
      </c>
      <c r="T761" s="36" t="s">
        <v>1017</v>
      </c>
      <c r="U761" s="36" t="s">
        <v>420</v>
      </c>
      <c r="V761" s="25" t="s">
        <v>1026</v>
      </c>
      <c r="X761" s="35" t="s">
        <v>817</v>
      </c>
      <c r="Y761" s="35">
        <v>100</v>
      </c>
      <c r="AA761" s="36" t="s">
        <v>185</v>
      </c>
      <c r="AB761" s="42" t="str">
        <f t="shared" si="268"/>
        <v>诸葛龙卷的暴击伤害在80%~&lt;color=#54b76b&gt;155%&lt;/color&gt;之间波动</v>
      </c>
      <c r="AC761" s="35">
        <v>5301286</v>
      </c>
      <c r="AD761" s="36" t="s">
        <v>1027</v>
      </c>
      <c r="AE761" s="36">
        <v>100</v>
      </c>
      <c r="AF761" s="36"/>
      <c r="AG761" s="36">
        <v>1</v>
      </c>
      <c r="AH761" s="36">
        <v>0</v>
      </c>
      <c r="AI761" s="35"/>
      <c r="AJ761" s="36" t="s">
        <v>1028</v>
      </c>
      <c r="AL761" s="35">
        <v>8</v>
      </c>
    </row>
    <row r="762" hidden="1" customHeight="1" spans="1:38">
      <c r="A762" s="35">
        <v>5510535</v>
      </c>
      <c r="B762" s="35" t="s">
        <v>1016</v>
      </c>
      <c r="C762" s="35">
        <v>5301286</v>
      </c>
      <c r="D762" s="35">
        <v>5</v>
      </c>
      <c r="E762" s="35"/>
      <c r="F762" s="35" t="s">
        <v>202</v>
      </c>
      <c r="G762" s="36">
        <f t="shared" si="267"/>
        <v>1</v>
      </c>
      <c r="H762" s="36" t="str">
        <f>IFERROR(IF(--MID($F762,2*COUNTIF($G762:G762,"&gt;"&amp;0)+2,1)=H$1,H$1,""),"")</f>
        <v/>
      </c>
      <c r="I762" s="36" t="str">
        <f>IFERROR(IF(--MID($F762,2*COUNTIF($G762:H762,"&gt;"&amp;0)+2,1)=I$1,I$1,""),"")</f>
        <v/>
      </c>
      <c r="J762" s="36" t="str">
        <f>IFERROR(IF(--MID($F762,2*COUNTIF($G762:I762,"&gt;"&amp;0)+2,1)=J$1,J$1,""),"")</f>
        <v/>
      </c>
      <c r="K762" s="36" t="str">
        <f>IFERROR(IF(--MID($F762,2*COUNTIF($G762:J762,"&gt;"&amp;0)+2,1)=K$1,K$1,""),"")</f>
        <v/>
      </c>
      <c r="L762" s="36" t="str">
        <f>IFERROR(IF(--MID($F762,2*COUNTIF($G762:K762,"&gt;"&amp;0)+2,1)=L$1,L$1,""),"")</f>
        <v/>
      </c>
      <c r="M762" s="51" cm="1">
        <f t="array" ref="M762">IF($A762="","",IF(G762="","",_xlfn.XLOOKUP($D762&amp;"_"&amp;$AE762,符文权重!$A:$A&amp;"_"&amp;符文权重!$C:$C,符文权重!$D:$D)*$Y762/SUMIFS($Y:$Y,G:G,G762,$D:$D,$D762,$AE:$AE,$AE762)/SUMIF(符文权重!$A:$A,$D762,符文权重!$D:$D)))</f>
        <v>0.00525</v>
      </c>
      <c r="N762" s="51" t="str" cm="1">
        <f t="array" ref="N762">IF($A762="","",IF(H762="","",_xlfn.XLOOKUP($D762&amp;"_"&amp;$AE762,符文权重!$A:$A&amp;"_"&amp;符文权重!$C:$C,符文权重!$D:$D)*$Y762/SUMIFS($Y:$Y,H:H,H762,$D:$D,$D762,$AE:$AE,$AE762)/SUMIF(符文权重!$A:$A,$D762,符文权重!$D:$D)))</f>
        <v/>
      </c>
      <c r="O762" s="51" t="str" cm="1">
        <f t="array" ref="O762">IF($A762="","",IF(I762="","",_xlfn.XLOOKUP($D762&amp;"_"&amp;$AE762,符文权重!$A:$A&amp;"_"&amp;符文权重!$C:$C,符文权重!$D:$D)*$Y762/SUMIFS($Y:$Y,I:I,I762,$D:$D,$D762,$AE:$AE,$AE762)/SUMIF(符文权重!$A:$A,$D762,符文权重!$D:$D)))</f>
        <v/>
      </c>
      <c r="P762" s="51" t="str" cm="1">
        <f t="array" ref="P762">IF($A762="","",IF(J762="","",_xlfn.XLOOKUP($D762&amp;"_"&amp;$AE762,符文权重!$A:$A&amp;"_"&amp;符文权重!$C:$C,符文权重!$D:$D)*$Y762/SUMIFS($Y:$Y,J:J,J762,$D:$D,$D762,$AE:$AE,$AE762)/SUMIF(符文权重!$A:$A,$D762,符文权重!$D:$D)))</f>
        <v/>
      </c>
      <c r="Q762" s="51" t="str" cm="1">
        <f t="array" ref="Q762">IF($A762="","",IF(K762="","",_xlfn.XLOOKUP($D762&amp;"_"&amp;$AE762,符文权重!$A:$A&amp;"_"&amp;符文权重!$C:$C,符文权重!$D:$D)*$Y762/SUMIFS($Y:$Y,K:K,K762,$D:$D,$D762,$AE:$AE,$AE762)/SUMIF(符文权重!$A:$A,$D762,符文权重!$D:$D)))</f>
        <v/>
      </c>
      <c r="R762" s="51" t="str" cm="1">
        <f t="array" ref="R762">IF($A762="","",IF(L762="","",_xlfn.XLOOKUP($D762&amp;"_"&amp;$AE762,符文权重!$A:$A&amp;"_"&amp;符文权重!$C:$C,符文权重!$D:$D)*$Y762/SUMIFS($Y:$Y,L:L,L762,$D:$D,$D762,$AE:$AE,$AE762)/SUMIF(符文权重!$A:$A,$D762,符文权重!$D:$D)))</f>
        <v/>
      </c>
      <c r="S762" s="35" t="s">
        <v>344</v>
      </c>
      <c r="T762" s="35" t="s">
        <v>1017</v>
      </c>
      <c r="U762" s="35" t="s">
        <v>423</v>
      </c>
      <c r="V762" s="35" t="s">
        <v>1029</v>
      </c>
      <c r="W762" s="76"/>
      <c r="X762" s="35" t="s">
        <v>820</v>
      </c>
      <c r="Y762" s="35">
        <v>100</v>
      </c>
      <c r="Z762" s="76"/>
      <c r="AA762" s="35" t="s">
        <v>187</v>
      </c>
      <c r="AB762" s="42" t="str">
        <f t="shared" si="268"/>
        <v>诸葛龙卷的暴击伤害在80%~&lt;color=#54b76b&gt;165%&lt;/color&gt;之间波动</v>
      </c>
      <c r="AC762" s="35">
        <v>5301286</v>
      </c>
      <c r="AD762" s="35" t="s">
        <v>1030</v>
      </c>
      <c r="AE762" s="35">
        <v>8</v>
      </c>
      <c r="AF762" s="76"/>
      <c r="AG762" s="76"/>
      <c r="AH762" s="35">
        <v>1</v>
      </c>
      <c r="AI762" s="36"/>
      <c r="AJ762" s="35" t="s">
        <v>1031</v>
      </c>
      <c r="AK762" s="36"/>
      <c r="AL762" s="35">
        <v>8</v>
      </c>
    </row>
    <row r="763" hidden="1" customHeight="1" spans="1:38">
      <c r="A763" s="35">
        <v>5510536</v>
      </c>
      <c r="B763" s="35" t="s">
        <v>1016</v>
      </c>
      <c r="C763" s="35">
        <v>5301286</v>
      </c>
      <c r="D763" s="35">
        <v>6</v>
      </c>
      <c r="E763" s="35"/>
      <c r="F763" s="35" t="s">
        <v>202</v>
      </c>
      <c r="G763" s="36">
        <f t="shared" si="267"/>
        <v>1</v>
      </c>
      <c r="H763" s="36" t="str">
        <f>IFERROR(IF(--MID($F763,2*COUNTIF($G763:G763,"&gt;"&amp;0)+2,1)=H$1,H$1,""),"")</f>
        <v/>
      </c>
      <c r="I763" s="36" t="str">
        <f>IFERROR(IF(--MID($F763,2*COUNTIF($G763:H763,"&gt;"&amp;0)+2,1)=I$1,I$1,""),"")</f>
        <v/>
      </c>
      <c r="J763" s="36" t="str">
        <f>IFERROR(IF(--MID($F763,2*COUNTIF($G763:I763,"&gt;"&amp;0)+2,1)=J$1,J$1,""),"")</f>
        <v/>
      </c>
      <c r="K763" s="36" t="str">
        <f>IFERROR(IF(--MID($F763,2*COUNTIF($G763:J763,"&gt;"&amp;0)+2,1)=K$1,K$1,""),"")</f>
        <v/>
      </c>
      <c r="L763" s="36" t="str">
        <f>IFERROR(IF(--MID($F763,2*COUNTIF($G763:K763,"&gt;"&amp;0)+2,1)=L$1,L$1,""),"")</f>
        <v/>
      </c>
      <c r="M763" s="51" cm="1">
        <f t="array" ref="M763">IF($A763="","",IF(G763="","",_xlfn.XLOOKUP($D763&amp;"_"&amp;$AE763,符文权重!$A:$A&amp;"_"&amp;符文权重!$C:$C,符文权重!$D:$D)*$Y763/SUMIFS($Y:$Y,G:G,G763,$D:$D,$D763,$AE:$AE,$AE763)/SUMIF(符文权重!$A:$A,$D763,符文权重!$D:$D)))</f>
        <v>0.00525</v>
      </c>
      <c r="N763" s="51" t="str" cm="1">
        <f t="array" ref="N763">IF($A763="","",IF(H763="","",_xlfn.XLOOKUP($D763&amp;"_"&amp;$AE763,符文权重!$A:$A&amp;"_"&amp;符文权重!$C:$C,符文权重!$D:$D)*$Y763/SUMIFS($Y:$Y,H:H,H763,$D:$D,$D763,$AE:$AE,$AE763)/SUMIF(符文权重!$A:$A,$D763,符文权重!$D:$D)))</f>
        <v/>
      </c>
      <c r="O763" s="51" t="str" cm="1">
        <f t="array" ref="O763">IF($A763="","",IF(I763="","",_xlfn.XLOOKUP($D763&amp;"_"&amp;$AE763,符文权重!$A:$A&amp;"_"&amp;符文权重!$C:$C,符文权重!$D:$D)*$Y763/SUMIFS($Y:$Y,I:I,I763,$D:$D,$D763,$AE:$AE,$AE763)/SUMIF(符文权重!$A:$A,$D763,符文权重!$D:$D)))</f>
        <v/>
      </c>
      <c r="P763" s="51" t="str" cm="1">
        <f t="array" ref="P763">IF($A763="","",IF(J763="","",_xlfn.XLOOKUP($D763&amp;"_"&amp;$AE763,符文权重!$A:$A&amp;"_"&amp;符文权重!$C:$C,符文权重!$D:$D)*$Y763/SUMIFS($Y:$Y,J:J,J763,$D:$D,$D763,$AE:$AE,$AE763)/SUMIF(符文权重!$A:$A,$D763,符文权重!$D:$D)))</f>
        <v/>
      </c>
      <c r="Q763" s="51" t="str" cm="1">
        <f t="array" ref="Q763">IF($A763="","",IF(K763="","",_xlfn.XLOOKUP($D763&amp;"_"&amp;$AE763,符文权重!$A:$A&amp;"_"&amp;符文权重!$C:$C,符文权重!$D:$D)*$Y763/SUMIFS($Y:$Y,K:K,K763,$D:$D,$D763,$AE:$AE,$AE763)/SUMIF(符文权重!$A:$A,$D763,符文权重!$D:$D)))</f>
        <v/>
      </c>
      <c r="R763" s="51" t="str" cm="1">
        <f t="array" ref="R763">IF($A763="","",IF(L763="","",_xlfn.XLOOKUP($D763&amp;"_"&amp;$AE763,符文权重!$A:$A&amp;"_"&amp;符文权重!$C:$C,符文权重!$D:$D)*$Y763/SUMIFS($Y:$Y,L:L,L763,$D:$D,$D763,$AE:$AE,$AE763)/SUMIF(符文权重!$A:$A,$D763,符文权重!$D:$D)))</f>
        <v/>
      </c>
      <c r="S763" s="35" t="s">
        <v>344</v>
      </c>
      <c r="T763" s="35" t="s">
        <v>1017</v>
      </c>
      <c r="U763" s="35" t="s">
        <v>426</v>
      </c>
      <c r="V763" s="35" t="s">
        <v>1032</v>
      </c>
      <c r="W763" s="35"/>
      <c r="X763" s="35" t="s">
        <v>823</v>
      </c>
      <c r="Y763" s="35">
        <v>100</v>
      </c>
      <c r="AA763" s="35" t="s">
        <v>189</v>
      </c>
      <c r="AB763" s="42" t="str">
        <f t="shared" si="268"/>
        <v>诸葛龙卷的暴击伤害在80%~&lt;color=#54b76b&gt;175%&lt;/color&gt;之间波动</v>
      </c>
      <c r="AC763" s="35">
        <v>5301286</v>
      </c>
      <c r="AD763" s="35" t="s">
        <v>1033</v>
      </c>
      <c r="AE763" s="35">
        <v>8</v>
      </c>
      <c r="AH763" s="35">
        <v>1</v>
      </c>
      <c r="AI763" s="35"/>
      <c r="AJ763" s="35" t="s">
        <v>1034</v>
      </c>
      <c r="AL763" s="35">
        <v>8</v>
      </c>
    </row>
    <row r="764" hidden="1" customHeight="1" spans="1:38">
      <c r="A764" s="35">
        <v>5510537</v>
      </c>
      <c r="B764" s="35" t="s">
        <v>1016</v>
      </c>
      <c r="C764" s="35">
        <v>5301286</v>
      </c>
      <c r="D764" s="35">
        <v>7</v>
      </c>
      <c r="E764" s="35"/>
      <c r="F764" s="35" t="s">
        <v>202</v>
      </c>
      <c r="G764" s="36">
        <f t="shared" si="267"/>
        <v>1</v>
      </c>
      <c r="H764" s="36" t="str">
        <f>IFERROR(IF(--MID($F764,2*COUNTIF($G764:G764,"&gt;"&amp;0)+2,1)=H$1,H$1,""),"")</f>
        <v/>
      </c>
      <c r="I764" s="36" t="str">
        <f>IFERROR(IF(--MID($F764,2*COUNTIF($G764:H764,"&gt;"&amp;0)+2,1)=I$1,I$1,""),"")</f>
        <v/>
      </c>
      <c r="J764" s="36" t="str">
        <f>IFERROR(IF(--MID($F764,2*COUNTIF($G764:I764,"&gt;"&amp;0)+2,1)=J$1,J$1,""),"")</f>
        <v/>
      </c>
      <c r="K764" s="36" t="str">
        <f>IFERROR(IF(--MID($F764,2*COUNTIF($G764:J764,"&gt;"&amp;0)+2,1)=K$1,K$1,""),"")</f>
        <v/>
      </c>
      <c r="L764" s="36" t="str">
        <f>IFERROR(IF(--MID($F764,2*COUNTIF($G764:K764,"&gt;"&amp;0)+2,1)=L$1,L$1,""),"")</f>
        <v/>
      </c>
      <c r="M764" s="51" cm="1">
        <f t="array" ref="M764">IF($A764="","",IF(G764="","",_xlfn.XLOOKUP($D764&amp;"_"&amp;$AE764,符文权重!$A:$A&amp;"_"&amp;符文权重!$C:$C,符文权重!$D:$D)*$Y764/SUMIFS($Y:$Y,G:G,G764,$D:$D,$D764,$AE:$AE,$AE764)/SUMIF(符文权重!$A:$A,$D764,符文权重!$D:$D)))</f>
        <v>0.00525</v>
      </c>
      <c r="N764" s="51" t="str" cm="1">
        <f t="array" ref="N764">IF($A764="","",IF(H764="","",_xlfn.XLOOKUP($D764&amp;"_"&amp;$AE764,符文权重!$A:$A&amp;"_"&amp;符文权重!$C:$C,符文权重!$D:$D)*$Y764/SUMIFS($Y:$Y,H:H,H764,$D:$D,$D764,$AE:$AE,$AE764)/SUMIF(符文权重!$A:$A,$D764,符文权重!$D:$D)))</f>
        <v/>
      </c>
      <c r="O764" s="51" t="str" cm="1">
        <f t="array" ref="O764">IF($A764="","",IF(I764="","",_xlfn.XLOOKUP($D764&amp;"_"&amp;$AE764,符文权重!$A:$A&amp;"_"&amp;符文权重!$C:$C,符文权重!$D:$D)*$Y764/SUMIFS($Y:$Y,I:I,I764,$D:$D,$D764,$AE:$AE,$AE764)/SUMIF(符文权重!$A:$A,$D764,符文权重!$D:$D)))</f>
        <v/>
      </c>
      <c r="P764" s="51" t="str" cm="1">
        <f t="array" ref="P764">IF($A764="","",IF(J764="","",_xlfn.XLOOKUP($D764&amp;"_"&amp;$AE764,符文权重!$A:$A&amp;"_"&amp;符文权重!$C:$C,符文权重!$D:$D)*$Y764/SUMIFS($Y:$Y,J:J,J764,$D:$D,$D764,$AE:$AE,$AE764)/SUMIF(符文权重!$A:$A,$D764,符文权重!$D:$D)))</f>
        <v/>
      </c>
      <c r="Q764" s="51" t="str" cm="1">
        <f t="array" ref="Q764">IF($A764="","",IF(K764="","",_xlfn.XLOOKUP($D764&amp;"_"&amp;$AE764,符文权重!$A:$A&amp;"_"&amp;符文权重!$C:$C,符文权重!$D:$D)*$Y764/SUMIFS($Y:$Y,K:K,K764,$D:$D,$D764,$AE:$AE,$AE764)/SUMIF(符文权重!$A:$A,$D764,符文权重!$D:$D)))</f>
        <v/>
      </c>
      <c r="R764" s="51" t="str" cm="1">
        <f t="array" ref="R764">IF($A764="","",IF(L764="","",_xlfn.XLOOKUP($D764&amp;"_"&amp;$AE764,符文权重!$A:$A&amp;"_"&amp;符文权重!$C:$C,符文权重!$D:$D)*$Y764/SUMIFS($Y:$Y,L:L,L764,$D:$D,$D764,$AE:$AE,$AE764)/SUMIF(符文权重!$A:$A,$D764,符文权重!$D:$D)))</f>
        <v/>
      </c>
      <c r="S764" s="35" t="s">
        <v>344</v>
      </c>
      <c r="T764" s="35" t="s">
        <v>1017</v>
      </c>
      <c r="U764" s="35" t="s">
        <v>429</v>
      </c>
      <c r="V764" s="35" t="s">
        <v>1035</v>
      </c>
      <c r="W764" s="35"/>
      <c r="X764" s="35" t="s">
        <v>826</v>
      </c>
      <c r="Y764" s="35">
        <v>100</v>
      </c>
      <c r="AA764" s="35" t="s">
        <v>191</v>
      </c>
      <c r="AB764" s="42" t="str">
        <f t="shared" si="268"/>
        <v>诸葛龙卷的暴击伤害在80%~&lt;color=#54b76b&gt;185%&lt;/color&gt;之间波动</v>
      </c>
      <c r="AC764" s="35">
        <v>5301286</v>
      </c>
      <c r="AD764" s="35" t="s">
        <v>1036</v>
      </c>
      <c r="AE764" s="35">
        <v>8</v>
      </c>
      <c r="AH764" s="35">
        <v>1</v>
      </c>
      <c r="AI764" s="36"/>
      <c r="AJ764" s="35" t="s">
        <v>1037</v>
      </c>
      <c r="AK764" s="36"/>
      <c r="AL764" s="35">
        <v>8</v>
      </c>
    </row>
    <row r="765" hidden="1" customHeight="1" spans="1:38">
      <c r="A765" s="35">
        <v>5510544</v>
      </c>
      <c r="B765" s="35" t="s">
        <v>1016</v>
      </c>
      <c r="C765" s="35">
        <v>5301287</v>
      </c>
      <c r="D765" s="36">
        <v>4</v>
      </c>
      <c r="E765" s="36"/>
      <c r="F765" s="35" t="s">
        <v>211</v>
      </c>
      <c r="G765" s="36" t="str">
        <f t="shared" si="267"/>
        <v/>
      </c>
      <c r="H765" s="36">
        <f>IFERROR(IF(--MID($F765,2*COUNTIF($G765:G765,"&gt;"&amp;0)+2,1)=H$1,H$1,""),"")</f>
        <v>2</v>
      </c>
      <c r="I765" s="36" t="str">
        <f>IFERROR(IF(--MID($F765,2*COUNTIF($G765:H765,"&gt;"&amp;0)+2,1)=I$1,I$1,""),"")</f>
        <v/>
      </c>
      <c r="J765" s="36" t="str">
        <f>IFERROR(IF(--MID($F765,2*COUNTIF($G765:I765,"&gt;"&amp;0)+2,1)=J$1,J$1,""),"")</f>
        <v/>
      </c>
      <c r="K765" s="36" t="str">
        <f>IFERROR(IF(--MID($F765,2*COUNTIF($G765:J765,"&gt;"&amp;0)+2,1)=K$1,K$1,""),"")</f>
        <v/>
      </c>
      <c r="L765" s="36" t="str">
        <f>IFERROR(IF(--MID($F765,2*COUNTIF($G765:K765,"&gt;"&amp;0)+2,1)=L$1,L$1,""),"")</f>
        <v/>
      </c>
      <c r="M765" s="36" t="e" cm="1">
        <f t="array" ref="M765">IF(A765="","",_xlfn.XLOOKUP(D765&amp;"_"&amp;AE765,符文权重!A:A&amp;"_"&amp;符文权重!C:C,符文权重!D:D))</f>
        <v>#N/A</v>
      </c>
      <c r="N765" s="36"/>
      <c r="O765" s="36"/>
      <c r="P765" s="36"/>
      <c r="Q765" s="36"/>
      <c r="R765" s="36"/>
      <c r="S765" s="36" t="s">
        <v>344</v>
      </c>
      <c r="T765" s="36" t="s">
        <v>1017</v>
      </c>
      <c r="U765" s="36" t="s">
        <v>420</v>
      </c>
      <c r="V765" s="25" t="s">
        <v>1038</v>
      </c>
      <c r="X765" s="35" t="s">
        <v>817</v>
      </c>
      <c r="Y765" s="35">
        <v>100</v>
      </c>
      <c r="AA765" s="36" t="s">
        <v>185</v>
      </c>
      <c r="AB765" s="42" t="str">
        <f t="shared" si="268"/>
        <v>诸葛奥义每击杀1个敌人会延长下次奥义持续时间&lt;color=#54b76b&gt;0.07&lt;/color&gt;秒，上限3秒</v>
      </c>
      <c r="AC765" s="35">
        <v>53042871</v>
      </c>
      <c r="AD765" s="36" t="s">
        <v>1039</v>
      </c>
      <c r="AE765" s="36">
        <v>100</v>
      </c>
      <c r="AF765" s="36"/>
      <c r="AG765" s="36">
        <v>1</v>
      </c>
      <c r="AH765" s="36">
        <v>0</v>
      </c>
      <c r="AI765" s="35"/>
      <c r="AJ765" s="36" t="s">
        <v>1040</v>
      </c>
      <c r="AL765" s="35">
        <v>8</v>
      </c>
    </row>
    <row r="766" hidden="1" customHeight="1" spans="1:38">
      <c r="A766" s="35">
        <v>5510545</v>
      </c>
      <c r="B766" s="35" t="s">
        <v>1016</v>
      </c>
      <c r="C766" s="35">
        <v>5301287</v>
      </c>
      <c r="D766" s="35">
        <v>5</v>
      </c>
      <c r="E766" s="35"/>
      <c r="F766" s="35" t="s">
        <v>211</v>
      </c>
      <c r="G766" s="36" t="str">
        <f t="shared" si="267"/>
        <v/>
      </c>
      <c r="H766" s="36">
        <f>IFERROR(IF(--MID($F766,2*COUNTIF($G766:G766,"&gt;"&amp;0)+2,1)=H$1,H$1,""),"")</f>
        <v>2</v>
      </c>
      <c r="I766" s="36" t="str">
        <f>IFERROR(IF(--MID($F766,2*COUNTIF($G766:H766,"&gt;"&amp;0)+2,1)=I$1,I$1,""),"")</f>
        <v/>
      </c>
      <c r="J766" s="36" t="str">
        <f>IFERROR(IF(--MID($F766,2*COUNTIF($G766:I766,"&gt;"&amp;0)+2,1)=J$1,J$1,""),"")</f>
        <v/>
      </c>
      <c r="K766" s="36" t="str">
        <f>IFERROR(IF(--MID($F766,2*COUNTIF($G766:J766,"&gt;"&amp;0)+2,1)=K$1,K$1,""),"")</f>
        <v/>
      </c>
      <c r="L766" s="36" t="str">
        <f>IFERROR(IF(--MID($F766,2*COUNTIF($G766:K766,"&gt;"&amp;0)+2,1)=L$1,L$1,""),"")</f>
        <v/>
      </c>
      <c r="M766" s="51" t="str" cm="1">
        <f t="array" ref="M766">IF($A766="","",IF(G766="","",_xlfn.XLOOKUP($D766&amp;"_"&amp;$AE766,符文权重!$A:$A&amp;"_"&amp;符文权重!$C:$C,符文权重!$D:$D)*$Y766/SUMIFS($Y:$Y,G:G,G766,$D:$D,$D766,$AE:$AE,$AE766)/SUMIF(符文权重!$A:$A,$D766,符文权重!$D:$D)))</f>
        <v/>
      </c>
      <c r="N766" s="51" cm="1">
        <f t="array" ref="N766">IF($A766="","",IF(H766="","",_xlfn.XLOOKUP($D766&amp;"_"&amp;$AE766,符文权重!$A:$A&amp;"_"&amp;符文权重!$C:$C,符文权重!$D:$D)*$Y766/SUMIFS($Y:$Y,H:H,H766,$D:$D,$D766,$AE:$AE,$AE766)/SUMIF(符文权重!$A:$A,$D766,符文权重!$D:$D)))</f>
        <v>0.00525</v>
      </c>
      <c r="O766" s="51" t="str" cm="1">
        <f t="array" ref="O766">IF($A766="","",IF(I766="","",_xlfn.XLOOKUP($D766&amp;"_"&amp;$AE766,符文权重!$A:$A&amp;"_"&amp;符文权重!$C:$C,符文权重!$D:$D)*$Y766/SUMIFS($Y:$Y,I:I,I766,$D:$D,$D766,$AE:$AE,$AE766)/SUMIF(符文权重!$A:$A,$D766,符文权重!$D:$D)))</f>
        <v/>
      </c>
      <c r="P766" s="51" t="str" cm="1">
        <f t="array" ref="P766">IF($A766="","",IF(J766="","",_xlfn.XLOOKUP($D766&amp;"_"&amp;$AE766,符文权重!$A:$A&amp;"_"&amp;符文权重!$C:$C,符文权重!$D:$D)*$Y766/SUMIFS($Y:$Y,J:J,J766,$D:$D,$D766,$AE:$AE,$AE766)/SUMIF(符文权重!$A:$A,$D766,符文权重!$D:$D)))</f>
        <v/>
      </c>
      <c r="Q766" s="51" t="str" cm="1">
        <f t="array" ref="Q766">IF($A766="","",IF(K766="","",_xlfn.XLOOKUP($D766&amp;"_"&amp;$AE766,符文权重!$A:$A&amp;"_"&amp;符文权重!$C:$C,符文权重!$D:$D)*$Y766/SUMIFS($Y:$Y,K:K,K766,$D:$D,$D766,$AE:$AE,$AE766)/SUMIF(符文权重!$A:$A,$D766,符文权重!$D:$D)))</f>
        <v/>
      </c>
      <c r="R766" s="51" t="str" cm="1">
        <f t="array" ref="R766">IF($A766="","",IF(L766="","",_xlfn.XLOOKUP($D766&amp;"_"&amp;$AE766,符文权重!$A:$A&amp;"_"&amp;符文权重!$C:$C,符文权重!$D:$D)*$Y766/SUMIFS($Y:$Y,L:L,L766,$D:$D,$D766,$AE:$AE,$AE766)/SUMIF(符文权重!$A:$A,$D766,符文权重!$D:$D)))</f>
        <v/>
      </c>
      <c r="S766" s="35" t="s">
        <v>344</v>
      </c>
      <c r="T766" s="35" t="s">
        <v>1017</v>
      </c>
      <c r="U766" s="35" t="s">
        <v>423</v>
      </c>
      <c r="V766" s="35" t="s">
        <v>1041</v>
      </c>
      <c r="W766" s="35"/>
      <c r="X766" s="35" t="s">
        <v>820</v>
      </c>
      <c r="Y766" s="35">
        <v>100</v>
      </c>
      <c r="AA766" s="35" t="s">
        <v>187</v>
      </c>
      <c r="AB766" s="42" t="str">
        <f t="shared" si="268"/>
        <v>诸葛奥义每击杀1个敌人会延长下次奥义持续时间&lt;color=#54b76b&gt;0.1&lt;/color&gt;秒，上限3.5秒</v>
      </c>
      <c r="AC766" s="35">
        <v>53052872</v>
      </c>
      <c r="AD766" s="35" t="s">
        <v>1042</v>
      </c>
      <c r="AE766" s="35">
        <v>8</v>
      </c>
      <c r="AH766" s="35">
        <v>1</v>
      </c>
      <c r="AI766" s="36"/>
      <c r="AJ766" s="35" t="s">
        <v>1043</v>
      </c>
      <c r="AK766" s="36"/>
      <c r="AL766" s="35">
        <v>8</v>
      </c>
    </row>
    <row r="767" hidden="1" customHeight="1" spans="1:38">
      <c r="A767" s="35">
        <v>5510546</v>
      </c>
      <c r="B767" s="35" t="s">
        <v>1016</v>
      </c>
      <c r="C767" s="35">
        <v>5301287</v>
      </c>
      <c r="D767" s="35">
        <v>6</v>
      </c>
      <c r="E767" s="35"/>
      <c r="F767" s="35" t="s">
        <v>211</v>
      </c>
      <c r="G767" s="36" t="str">
        <f t="shared" si="267"/>
        <v/>
      </c>
      <c r="H767" s="36">
        <f>IFERROR(IF(--MID($F767,2*COUNTIF($G767:G767,"&gt;"&amp;0)+2,1)=H$1,H$1,""),"")</f>
        <v>2</v>
      </c>
      <c r="I767" s="36" t="str">
        <f>IFERROR(IF(--MID($F767,2*COUNTIF($G767:H767,"&gt;"&amp;0)+2,1)=I$1,I$1,""),"")</f>
        <v/>
      </c>
      <c r="J767" s="36" t="str">
        <f>IFERROR(IF(--MID($F767,2*COUNTIF($G767:I767,"&gt;"&amp;0)+2,1)=J$1,J$1,""),"")</f>
        <v/>
      </c>
      <c r="K767" s="36" t="str">
        <f>IFERROR(IF(--MID($F767,2*COUNTIF($G767:J767,"&gt;"&amp;0)+2,1)=K$1,K$1,""),"")</f>
        <v/>
      </c>
      <c r="L767" s="36" t="str">
        <f>IFERROR(IF(--MID($F767,2*COUNTIF($G767:K767,"&gt;"&amp;0)+2,1)=L$1,L$1,""),"")</f>
        <v/>
      </c>
      <c r="M767" s="51" t="str" cm="1">
        <f t="array" ref="M767">IF($A767="","",IF(G767="","",_xlfn.XLOOKUP($D767&amp;"_"&amp;$AE767,符文权重!$A:$A&amp;"_"&amp;符文权重!$C:$C,符文权重!$D:$D)*$Y767/SUMIFS($Y:$Y,G:G,G767,$D:$D,$D767,$AE:$AE,$AE767)/SUMIF(符文权重!$A:$A,$D767,符文权重!$D:$D)))</f>
        <v/>
      </c>
      <c r="N767" s="51" cm="1">
        <f t="array" ref="N767">IF($A767="","",IF(H767="","",_xlfn.XLOOKUP($D767&amp;"_"&amp;$AE767,符文权重!$A:$A&amp;"_"&amp;符文权重!$C:$C,符文权重!$D:$D)*$Y767/SUMIFS($Y:$Y,H:H,H767,$D:$D,$D767,$AE:$AE,$AE767)/SUMIF(符文权重!$A:$A,$D767,符文权重!$D:$D)))</f>
        <v>0.00525</v>
      </c>
      <c r="O767" s="51" t="str" cm="1">
        <f t="array" ref="O767">IF($A767="","",IF(I767="","",_xlfn.XLOOKUP($D767&amp;"_"&amp;$AE767,符文权重!$A:$A&amp;"_"&amp;符文权重!$C:$C,符文权重!$D:$D)*$Y767/SUMIFS($Y:$Y,I:I,I767,$D:$D,$D767,$AE:$AE,$AE767)/SUMIF(符文权重!$A:$A,$D767,符文权重!$D:$D)))</f>
        <v/>
      </c>
      <c r="P767" s="51" t="str" cm="1">
        <f t="array" ref="P767">IF($A767="","",IF(J767="","",_xlfn.XLOOKUP($D767&amp;"_"&amp;$AE767,符文权重!$A:$A&amp;"_"&amp;符文权重!$C:$C,符文权重!$D:$D)*$Y767/SUMIFS($Y:$Y,J:J,J767,$D:$D,$D767,$AE:$AE,$AE767)/SUMIF(符文权重!$A:$A,$D767,符文权重!$D:$D)))</f>
        <v/>
      </c>
      <c r="Q767" s="51" t="str" cm="1">
        <f t="array" ref="Q767">IF($A767="","",IF(K767="","",_xlfn.XLOOKUP($D767&amp;"_"&amp;$AE767,符文权重!$A:$A&amp;"_"&amp;符文权重!$C:$C,符文权重!$D:$D)*$Y767/SUMIFS($Y:$Y,K:K,K767,$D:$D,$D767,$AE:$AE,$AE767)/SUMIF(符文权重!$A:$A,$D767,符文权重!$D:$D)))</f>
        <v/>
      </c>
      <c r="R767" s="51" t="str" cm="1">
        <f t="array" ref="R767">IF($A767="","",IF(L767="","",_xlfn.XLOOKUP($D767&amp;"_"&amp;$AE767,符文权重!$A:$A&amp;"_"&amp;符文权重!$C:$C,符文权重!$D:$D)*$Y767/SUMIFS($Y:$Y,L:L,L767,$D:$D,$D767,$AE:$AE,$AE767)/SUMIF(符文权重!$A:$A,$D767,符文权重!$D:$D)))</f>
        <v/>
      </c>
      <c r="S767" s="35" t="s">
        <v>344</v>
      </c>
      <c r="T767" s="35" t="s">
        <v>1017</v>
      </c>
      <c r="U767" s="35" t="s">
        <v>426</v>
      </c>
      <c r="V767" s="35" t="s">
        <v>1044</v>
      </c>
      <c r="W767" s="76"/>
      <c r="X767" s="35" t="s">
        <v>823</v>
      </c>
      <c r="Y767" s="35">
        <v>100</v>
      </c>
      <c r="Z767" s="76"/>
      <c r="AA767" s="35" t="s">
        <v>189</v>
      </c>
      <c r="AB767" s="42" t="str">
        <f t="shared" si="268"/>
        <v>诸葛奥义每击杀1个敌人会延长下次奥义持续时间&lt;color=#54b76b&gt;0.13&lt;/color&gt;秒，上限4秒</v>
      </c>
      <c r="AC767" s="35">
        <v>53062873</v>
      </c>
      <c r="AD767" s="35" t="s">
        <v>1045</v>
      </c>
      <c r="AE767" s="35">
        <v>8</v>
      </c>
      <c r="AF767" s="76"/>
      <c r="AG767" s="76"/>
      <c r="AH767" s="35">
        <v>1</v>
      </c>
      <c r="AI767" s="36"/>
      <c r="AJ767" s="35" t="s">
        <v>1046</v>
      </c>
      <c r="AK767" s="36"/>
      <c r="AL767" s="35">
        <v>8</v>
      </c>
    </row>
    <row r="768" hidden="1" customHeight="1" spans="1:38">
      <c r="A768" s="35">
        <v>5510547</v>
      </c>
      <c r="B768" s="35" t="s">
        <v>1016</v>
      </c>
      <c r="C768" s="35">
        <v>5301287</v>
      </c>
      <c r="D768" s="35">
        <v>7</v>
      </c>
      <c r="E768" s="35"/>
      <c r="F768" s="35" t="s">
        <v>211</v>
      </c>
      <c r="G768" s="36" t="str">
        <f t="shared" si="267"/>
        <v/>
      </c>
      <c r="H768" s="36">
        <f>IFERROR(IF(--MID($F768,2*COUNTIF($G768:G768,"&gt;"&amp;0)+2,1)=H$1,H$1,""),"")</f>
        <v>2</v>
      </c>
      <c r="I768" s="36" t="str">
        <f>IFERROR(IF(--MID($F768,2*COUNTIF($G768:H768,"&gt;"&amp;0)+2,1)=I$1,I$1,""),"")</f>
        <v/>
      </c>
      <c r="J768" s="36" t="str">
        <f>IFERROR(IF(--MID($F768,2*COUNTIF($G768:I768,"&gt;"&amp;0)+2,1)=J$1,J$1,""),"")</f>
        <v/>
      </c>
      <c r="K768" s="36" t="str">
        <f>IFERROR(IF(--MID($F768,2*COUNTIF($G768:J768,"&gt;"&amp;0)+2,1)=K$1,K$1,""),"")</f>
        <v/>
      </c>
      <c r="L768" s="36" t="str">
        <f>IFERROR(IF(--MID($F768,2*COUNTIF($G768:K768,"&gt;"&amp;0)+2,1)=L$1,L$1,""),"")</f>
        <v/>
      </c>
      <c r="M768" s="51" t="str" cm="1">
        <f t="array" ref="M768">IF($A768="","",IF(G768="","",_xlfn.XLOOKUP($D768&amp;"_"&amp;$AE768,符文权重!$A:$A&amp;"_"&amp;符文权重!$C:$C,符文权重!$D:$D)*$Y768/SUMIFS($Y:$Y,G:G,G768,$D:$D,$D768,$AE:$AE,$AE768)/SUMIF(符文权重!$A:$A,$D768,符文权重!$D:$D)))</f>
        <v/>
      </c>
      <c r="N768" s="51" cm="1">
        <f t="array" ref="N768">IF($A768="","",IF(H768="","",_xlfn.XLOOKUP($D768&amp;"_"&amp;$AE768,符文权重!$A:$A&amp;"_"&amp;符文权重!$C:$C,符文权重!$D:$D)*$Y768/SUMIFS($Y:$Y,H:H,H768,$D:$D,$D768,$AE:$AE,$AE768)/SUMIF(符文权重!$A:$A,$D768,符文权重!$D:$D)))</f>
        <v>0.00525</v>
      </c>
      <c r="O768" s="51" t="str" cm="1">
        <f t="array" ref="O768">IF($A768="","",IF(I768="","",_xlfn.XLOOKUP($D768&amp;"_"&amp;$AE768,符文权重!$A:$A&amp;"_"&amp;符文权重!$C:$C,符文权重!$D:$D)*$Y768/SUMIFS($Y:$Y,I:I,I768,$D:$D,$D768,$AE:$AE,$AE768)/SUMIF(符文权重!$A:$A,$D768,符文权重!$D:$D)))</f>
        <v/>
      </c>
      <c r="P768" s="51" t="str" cm="1">
        <f t="array" ref="P768">IF($A768="","",IF(J768="","",_xlfn.XLOOKUP($D768&amp;"_"&amp;$AE768,符文权重!$A:$A&amp;"_"&amp;符文权重!$C:$C,符文权重!$D:$D)*$Y768/SUMIFS($Y:$Y,J:J,J768,$D:$D,$D768,$AE:$AE,$AE768)/SUMIF(符文权重!$A:$A,$D768,符文权重!$D:$D)))</f>
        <v/>
      </c>
      <c r="Q768" s="51" t="str" cm="1">
        <f t="array" ref="Q768">IF($A768="","",IF(K768="","",_xlfn.XLOOKUP($D768&amp;"_"&amp;$AE768,符文权重!$A:$A&amp;"_"&amp;符文权重!$C:$C,符文权重!$D:$D)*$Y768/SUMIFS($Y:$Y,K:K,K768,$D:$D,$D768,$AE:$AE,$AE768)/SUMIF(符文权重!$A:$A,$D768,符文权重!$D:$D)))</f>
        <v/>
      </c>
      <c r="R768" s="51" t="str" cm="1">
        <f t="array" ref="R768">IF($A768="","",IF(L768="","",_xlfn.XLOOKUP($D768&amp;"_"&amp;$AE768,符文权重!$A:$A&amp;"_"&amp;符文权重!$C:$C,符文权重!$D:$D)*$Y768/SUMIFS($Y:$Y,L:L,L768,$D:$D,$D768,$AE:$AE,$AE768)/SUMIF(符文权重!$A:$A,$D768,符文权重!$D:$D)))</f>
        <v/>
      </c>
      <c r="S768" s="35" t="s">
        <v>344</v>
      </c>
      <c r="T768" s="35" t="s">
        <v>1017</v>
      </c>
      <c r="U768" s="35" t="s">
        <v>429</v>
      </c>
      <c r="V768" s="35" t="s">
        <v>1047</v>
      </c>
      <c r="W768" s="35"/>
      <c r="X768" s="35" t="s">
        <v>826</v>
      </c>
      <c r="Y768" s="35">
        <v>100</v>
      </c>
      <c r="AA768" s="35" t="s">
        <v>191</v>
      </c>
      <c r="AB768" s="42" t="str">
        <f t="shared" si="268"/>
        <v>诸葛奥义每击杀1个敌人会延长下次奥义持续时间&lt;color=#54b76b&gt;0.16&lt;/color&gt;秒，上限5秒</v>
      </c>
      <c r="AC768" s="35">
        <v>53072874</v>
      </c>
      <c r="AD768" s="35" t="s">
        <v>1048</v>
      </c>
      <c r="AE768" s="35">
        <v>8</v>
      </c>
      <c r="AH768" s="35">
        <v>1</v>
      </c>
      <c r="AI768" s="35"/>
      <c r="AJ768" s="35" t="s">
        <v>1049</v>
      </c>
      <c r="AL768" s="35">
        <v>8</v>
      </c>
    </row>
    <row r="769" hidden="1" customHeight="1" spans="1:38">
      <c r="A769" s="35">
        <v>5510554</v>
      </c>
      <c r="B769" s="35" t="s">
        <v>67</v>
      </c>
      <c r="C769" s="35">
        <v>5301294</v>
      </c>
      <c r="D769" s="35">
        <v>4</v>
      </c>
      <c r="E769" s="35"/>
      <c r="F769" s="35" t="s">
        <v>211</v>
      </c>
      <c r="G769" s="36" t="str">
        <f t="shared" si="267"/>
        <v/>
      </c>
      <c r="H769" s="36">
        <f>IFERROR(IF(--MID($F769,2*COUNTIF($G769:G769,"&gt;"&amp;0)+2,1)=H$1,H$1,""),"")</f>
        <v>2</v>
      </c>
      <c r="I769" s="36" t="str">
        <f>IFERROR(IF(--MID($F769,2*COUNTIF($G769:H769,"&gt;"&amp;0)+2,1)=I$1,I$1,""),"")</f>
        <v/>
      </c>
      <c r="J769" s="36" t="str">
        <f>IFERROR(IF(--MID($F769,2*COUNTIF($G769:I769,"&gt;"&amp;0)+2,1)=J$1,J$1,""),"")</f>
        <v/>
      </c>
      <c r="K769" s="36" t="str">
        <f>IFERROR(IF(--MID($F769,2*COUNTIF($G769:J769,"&gt;"&amp;0)+2,1)=K$1,K$1,""),"")</f>
        <v/>
      </c>
      <c r="L769" s="36" t="str">
        <f>IFERROR(IF(--MID($F769,2*COUNTIF($G769:K769,"&gt;"&amp;0)+2,1)=L$1,L$1,""),"")</f>
        <v/>
      </c>
      <c r="M769" s="36" t="e" cm="1">
        <f t="array" ref="M769">IF(A769="","",_xlfn.XLOOKUP(D769&amp;"_"&amp;AE769,符文权重!A:A&amp;"_"&amp;符文权重!C:C,符文权重!D:D))</f>
        <v>#N/A</v>
      </c>
      <c r="N769" s="36"/>
      <c r="O769" s="36"/>
      <c r="P769" s="36"/>
      <c r="Q769" s="36"/>
      <c r="R769" s="36"/>
      <c r="S769" s="35" t="s">
        <v>344</v>
      </c>
      <c r="T769" s="35" t="s">
        <v>1050</v>
      </c>
      <c r="U769" s="35" t="s">
        <v>423</v>
      </c>
      <c r="V769" s="35" t="s">
        <v>1051</v>
      </c>
      <c r="W769" s="35"/>
      <c r="X769" s="35" t="s">
        <v>820</v>
      </c>
      <c r="Y769" s="35">
        <v>100</v>
      </c>
      <c r="AA769" s="36" t="s">
        <v>185</v>
      </c>
      <c r="AB769" s="42" t="str">
        <f t="shared" si="268"/>
        <v>我爱沙守鹤击杀敌人，恢复自身&lt;color=#31921E&gt;0.5%&lt;/color&gt;最大生命，持续时间&lt;color=#31921E&gt;+0.5&lt;/color&gt;秒，最多增加&lt;color=#31921E&gt;2.5&lt;/color&gt;秒</v>
      </c>
      <c r="AC769" s="35">
        <v>5304294</v>
      </c>
      <c r="AD769" s="35" t="s">
        <v>487</v>
      </c>
      <c r="AE769" s="35">
        <v>100</v>
      </c>
      <c r="AG769" s="35">
        <v>1</v>
      </c>
      <c r="AH769" s="35">
        <v>1</v>
      </c>
      <c r="AI769" s="36"/>
      <c r="AJ769" s="35" t="s">
        <v>1052</v>
      </c>
      <c r="AK769" s="36"/>
      <c r="AL769" s="35">
        <v>8</v>
      </c>
    </row>
    <row r="770" hidden="1" customHeight="1" spans="1:38">
      <c r="A770" s="35">
        <v>5510555</v>
      </c>
      <c r="B770" s="35" t="s">
        <v>67</v>
      </c>
      <c r="C770" s="35">
        <v>5301294</v>
      </c>
      <c r="D770" s="35">
        <v>5</v>
      </c>
      <c r="E770" s="35"/>
      <c r="F770" s="35" t="s">
        <v>211</v>
      </c>
      <c r="G770" s="36" t="str">
        <f t="shared" si="267"/>
        <v/>
      </c>
      <c r="H770" s="36">
        <f>IFERROR(IF(--MID($F770,2*COUNTIF($G770:G770,"&gt;"&amp;0)+2,1)=H$1,H$1,""),"")</f>
        <v>2</v>
      </c>
      <c r="I770" s="36" t="str">
        <f>IFERROR(IF(--MID($F770,2*COUNTIF($G770:H770,"&gt;"&amp;0)+2,1)=I$1,I$1,""),"")</f>
        <v/>
      </c>
      <c r="J770" s="36" t="str">
        <f>IFERROR(IF(--MID($F770,2*COUNTIF($G770:I770,"&gt;"&amp;0)+2,1)=J$1,J$1,""),"")</f>
        <v/>
      </c>
      <c r="K770" s="36" t="str">
        <f>IFERROR(IF(--MID($F770,2*COUNTIF($G770:J770,"&gt;"&amp;0)+2,1)=K$1,K$1,""),"")</f>
        <v/>
      </c>
      <c r="L770" s="36" t="str">
        <f>IFERROR(IF(--MID($F770,2*COUNTIF($G770:K770,"&gt;"&amp;0)+2,1)=L$1,L$1,""),"")</f>
        <v/>
      </c>
      <c r="M770" s="51" t="str" cm="1">
        <f t="array" ref="M770">IF($A770="","",IF(G770="","",_xlfn.XLOOKUP($D770&amp;"_"&amp;$AE770,符文权重!$A:$A&amp;"_"&amp;符文权重!$C:$C,符文权重!$D:$D)*$Y770/SUMIFS($Y:$Y,G:G,G770,$D:$D,$D770,$AE:$AE,$AE770)/SUMIF(符文权重!$A:$A,$D770,符文权重!$D:$D)))</f>
        <v/>
      </c>
      <c r="N770" s="51" cm="1">
        <f t="array" ref="N770">IF($A770="","",IF(H770="","",_xlfn.XLOOKUP($D770&amp;"_"&amp;$AE770,符文权重!$A:$A&amp;"_"&amp;符文权重!$C:$C,符文权重!$D:$D)*$Y770/SUMIFS($Y:$Y,H:H,H770,$D:$D,$D770,$AE:$AE,$AE770)/SUMIF(符文权重!$A:$A,$D770,符文权重!$D:$D)))</f>
        <v>0.00525</v>
      </c>
      <c r="O770" s="51" t="str" cm="1">
        <f t="array" ref="O770">IF($A770="","",IF(I770="","",_xlfn.XLOOKUP($D770&amp;"_"&amp;$AE770,符文权重!$A:$A&amp;"_"&amp;符文权重!$C:$C,符文权重!$D:$D)*$Y770/SUMIFS($Y:$Y,I:I,I770,$D:$D,$D770,$AE:$AE,$AE770)/SUMIF(符文权重!$A:$A,$D770,符文权重!$D:$D)))</f>
        <v/>
      </c>
      <c r="P770" s="51" t="str" cm="1">
        <f t="array" ref="P770">IF($A770="","",IF(J770="","",_xlfn.XLOOKUP($D770&amp;"_"&amp;$AE770,符文权重!$A:$A&amp;"_"&amp;符文权重!$C:$C,符文权重!$D:$D)*$Y770/SUMIFS($Y:$Y,J:J,J770,$D:$D,$D770,$AE:$AE,$AE770)/SUMIF(符文权重!$A:$A,$D770,符文权重!$D:$D)))</f>
        <v/>
      </c>
      <c r="Q770" s="51" t="str" cm="1">
        <f t="array" ref="Q770">IF($A770="","",IF(K770="","",_xlfn.XLOOKUP($D770&amp;"_"&amp;$AE770,符文权重!$A:$A&amp;"_"&amp;符文权重!$C:$C,符文权重!$D:$D)*$Y770/SUMIFS($Y:$Y,K:K,K770,$D:$D,$D770,$AE:$AE,$AE770)/SUMIF(符文权重!$A:$A,$D770,符文权重!$D:$D)))</f>
        <v/>
      </c>
      <c r="R770" s="51" t="str" cm="1">
        <f t="array" ref="R770">IF($A770="","",IF(L770="","",_xlfn.XLOOKUP($D770&amp;"_"&amp;$AE770,符文权重!$A:$A&amp;"_"&amp;符文权重!$C:$C,符文权重!$D:$D)*$Y770/SUMIFS($Y:$Y,L:L,L770,$D:$D,$D770,$AE:$AE,$AE770)/SUMIF(符文权重!$A:$A,$D770,符文权重!$D:$D)))</f>
        <v/>
      </c>
      <c r="S770" s="35" t="s">
        <v>344</v>
      </c>
      <c r="T770" s="35" t="s">
        <v>1050</v>
      </c>
      <c r="U770" s="35" t="s">
        <v>423</v>
      </c>
      <c r="V770" s="35" t="s">
        <v>1053</v>
      </c>
      <c r="W770" s="35"/>
      <c r="X770" s="35" t="s">
        <v>820</v>
      </c>
      <c r="Y770" s="35">
        <v>100</v>
      </c>
      <c r="AA770" s="35" t="s">
        <v>187</v>
      </c>
      <c r="AB770" s="42" t="str">
        <f t="shared" si="268"/>
        <v>我爱沙守鹤击杀敌人，恢复自身&lt;color=#31921E&gt;1%&lt;/color&gt;最大生命，持续时间&lt;color=#31921E&gt;+0.5&lt;/color&gt;秒，最多增加&lt;color=#31921E&gt;5&lt;/color&gt;秒</v>
      </c>
      <c r="AC770" s="35">
        <v>5305294</v>
      </c>
      <c r="AD770" s="35" t="s">
        <v>487</v>
      </c>
      <c r="AE770" s="35">
        <v>8</v>
      </c>
      <c r="AH770" s="35">
        <v>1</v>
      </c>
      <c r="AI770" s="36"/>
      <c r="AJ770" s="35" t="s">
        <v>1054</v>
      </c>
      <c r="AK770" s="36"/>
      <c r="AL770" s="35">
        <v>8</v>
      </c>
    </row>
    <row r="771" hidden="1" customHeight="1" spans="1:38">
      <c r="A771" s="35">
        <v>5510556</v>
      </c>
      <c r="B771" s="35" t="s">
        <v>67</v>
      </c>
      <c r="C771" s="35">
        <v>5301294</v>
      </c>
      <c r="D771" s="35">
        <v>6</v>
      </c>
      <c r="E771" s="35"/>
      <c r="F771" s="35" t="s">
        <v>211</v>
      </c>
      <c r="G771" s="36" t="str">
        <f t="shared" si="267"/>
        <v/>
      </c>
      <c r="H771" s="36">
        <f>IFERROR(IF(--MID($F771,2*COUNTIF($G771:G771,"&gt;"&amp;0)+2,1)=H$1,H$1,""),"")</f>
        <v>2</v>
      </c>
      <c r="I771" s="36" t="str">
        <f>IFERROR(IF(--MID($F771,2*COUNTIF($G771:H771,"&gt;"&amp;0)+2,1)=I$1,I$1,""),"")</f>
        <v/>
      </c>
      <c r="J771" s="36" t="str">
        <f>IFERROR(IF(--MID($F771,2*COUNTIF($G771:I771,"&gt;"&amp;0)+2,1)=J$1,J$1,""),"")</f>
        <v/>
      </c>
      <c r="K771" s="36" t="str">
        <f>IFERROR(IF(--MID($F771,2*COUNTIF($G771:J771,"&gt;"&amp;0)+2,1)=K$1,K$1,""),"")</f>
        <v/>
      </c>
      <c r="L771" s="36" t="str">
        <f>IFERROR(IF(--MID($F771,2*COUNTIF($G771:K771,"&gt;"&amp;0)+2,1)=L$1,L$1,""),"")</f>
        <v/>
      </c>
      <c r="M771" s="51" t="str" cm="1">
        <f t="array" ref="M771">IF($A771="","",IF(G771="","",_xlfn.XLOOKUP($D771&amp;"_"&amp;$AE771,符文权重!$A:$A&amp;"_"&amp;符文权重!$C:$C,符文权重!$D:$D)*$Y771/SUMIFS($Y:$Y,G:G,G771,$D:$D,$D771,$AE:$AE,$AE771)/SUMIF(符文权重!$A:$A,$D771,符文权重!$D:$D)))</f>
        <v/>
      </c>
      <c r="N771" s="51" cm="1">
        <f t="array" ref="N771">IF($A771="","",IF(H771="","",_xlfn.XLOOKUP($D771&amp;"_"&amp;$AE771,符文权重!$A:$A&amp;"_"&amp;符文权重!$C:$C,符文权重!$D:$D)*$Y771/SUMIFS($Y:$Y,H:H,H771,$D:$D,$D771,$AE:$AE,$AE771)/SUMIF(符文权重!$A:$A,$D771,符文权重!$D:$D)))</f>
        <v>0.00525</v>
      </c>
      <c r="O771" s="51" t="str" cm="1">
        <f t="array" ref="O771">IF($A771="","",IF(I771="","",_xlfn.XLOOKUP($D771&amp;"_"&amp;$AE771,符文权重!$A:$A&amp;"_"&amp;符文权重!$C:$C,符文权重!$D:$D)*$Y771/SUMIFS($Y:$Y,I:I,I771,$D:$D,$D771,$AE:$AE,$AE771)/SUMIF(符文权重!$A:$A,$D771,符文权重!$D:$D)))</f>
        <v/>
      </c>
      <c r="P771" s="51" t="str" cm="1">
        <f t="array" ref="P771">IF($A771="","",IF(J771="","",_xlfn.XLOOKUP($D771&amp;"_"&amp;$AE771,符文权重!$A:$A&amp;"_"&amp;符文权重!$C:$C,符文权重!$D:$D)*$Y771/SUMIFS($Y:$Y,J:J,J771,$D:$D,$D771,$AE:$AE,$AE771)/SUMIF(符文权重!$A:$A,$D771,符文权重!$D:$D)))</f>
        <v/>
      </c>
      <c r="Q771" s="51" t="str" cm="1">
        <f t="array" ref="Q771">IF($A771="","",IF(K771="","",_xlfn.XLOOKUP($D771&amp;"_"&amp;$AE771,符文权重!$A:$A&amp;"_"&amp;符文权重!$C:$C,符文权重!$D:$D)*$Y771/SUMIFS($Y:$Y,K:K,K771,$D:$D,$D771,$AE:$AE,$AE771)/SUMIF(符文权重!$A:$A,$D771,符文权重!$D:$D)))</f>
        <v/>
      </c>
      <c r="R771" s="51" t="str" cm="1">
        <f t="array" ref="R771">IF($A771="","",IF(L771="","",_xlfn.XLOOKUP($D771&amp;"_"&amp;$AE771,符文权重!$A:$A&amp;"_"&amp;符文权重!$C:$C,符文权重!$D:$D)*$Y771/SUMIFS($Y:$Y,L:L,L771,$D:$D,$D771,$AE:$AE,$AE771)/SUMIF(符文权重!$A:$A,$D771,符文权重!$D:$D)))</f>
        <v/>
      </c>
      <c r="S771" s="35" t="s">
        <v>344</v>
      </c>
      <c r="T771" s="35" t="s">
        <v>1050</v>
      </c>
      <c r="U771" s="35" t="s">
        <v>426</v>
      </c>
      <c r="V771" s="35" t="s">
        <v>1055</v>
      </c>
      <c r="W771" s="35"/>
      <c r="X771" s="35" t="s">
        <v>823</v>
      </c>
      <c r="Y771" s="35">
        <v>100</v>
      </c>
      <c r="AA771" s="35" t="s">
        <v>189</v>
      </c>
      <c r="AB771" s="42" t="str">
        <f t="shared" si="268"/>
        <v>我爱沙守鹤击杀敌人，恢复自身&lt;color=#31921E&gt;1%&lt;/color&gt;最大生命，持续时间&lt;color=#31921E&gt;1&lt;/color&gt;秒，最多增加&lt;color=#31921E&gt;8&lt;/color&gt;秒</v>
      </c>
      <c r="AC771" s="35">
        <v>5306294</v>
      </c>
      <c r="AD771" s="35" t="s">
        <v>497</v>
      </c>
      <c r="AE771" s="35">
        <v>8</v>
      </c>
      <c r="AH771" s="35">
        <v>1</v>
      </c>
      <c r="AI771" s="36"/>
      <c r="AJ771" s="35" t="s">
        <v>1056</v>
      </c>
      <c r="AK771" s="36"/>
      <c r="AL771" s="35">
        <v>8</v>
      </c>
    </row>
    <row r="772" hidden="1" customHeight="1" spans="1:38">
      <c r="A772" s="35">
        <v>5510557</v>
      </c>
      <c r="B772" s="35" t="s">
        <v>67</v>
      </c>
      <c r="C772" s="35">
        <v>5301294</v>
      </c>
      <c r="D772" s="35">
        <v>7</v>
      </c>
      <c r="E772" s="35"/>
      <c r="F772" s="35" t="s">
        <v>211</v>
      </c>
      <c r="G772" s="36" t="str">
        <f t="shared" si="267"/>
        <v/>
      </c>
      <c r="H772" s="36">
        <f>IFERROR(IF(--MID($F772,2*COUNTIF($G772:G772,"&gt;"&amp;0)+2,1)=H$1,H$1,""),"")</f>
        <v>2</v>
      </c>
      <c r="I772" s="36" t="str">
        <f>IFERROR(IF(--MID($F772,2*COUNTIF($G772:H772,"&gt;"&amp;0)+2,1)=I$1,I$1,""),"")</f>
        <v/>
      </c>
      <c r="J772" s="36" t="str">
        <f>IFERROR(IF(--MID($F772,2*COUNTIF($G772:I772,"&gt;"&amp;0)+2,1)=J$1,J$1,""),"")</f>
        <v/>
      </c>
      <c r="K772" s="36" t="str">
        <f>IFERROR(IF(--MID($F772,2*COUNTIF($G772:J772,"&gt;"&amp;0)+2,1)=K$1,K$1,""),"")</f>
        <v/>
      </c>
      <c r="L772" s="36" t="str">
        <f>IFERROR(IF(--MID($F772,2*COUNTIF($G772:K772,"&gt;"&amp;0)+2,1)=L$1,L$1,""),"")</f>
        <v/>
      </c>
      <c r="M772" s="51" t="str" cm="1">
        <f t="array" ref="M772">IF($A772="","",IF(G772="","",_xlfn.XLOOKUP($D772&amp;"_"&amp;$AE772,符文权重!$A:$A&amp;"_"&amp;符文权重!$C:$C,符文权重!$D:$D)*$Y772/SUMIFS($Y:$Y,G:G,G772,$D:$D,$D772,$AE:$AE,$AE772)/SUMIF(符文权重!$A:$A,$D772,符文权重!$D:$D)))</f>
        <v/>
      </c>
      <c r="N772" s="51" cm="1">
        <f t="array" ref="N772">IF($A772="","",IF(H772="","",_xlfn.XLOOKUP($D772&amp;"_"&amp;$AE772,符文权重!$A:$A&amp;"_"&amp;符文权重!$C:$C,符文权重!$D:$D)*$Y772/SUMIFS($Y:$Y,H:H,H772,$D:$D,$D772,$AE:$AE,$AE772)/SUMIF(符文权重!$A:$A,$D772,符文权重!$D:$D)))</f>
        <v>0.00525</v>
      </c>
      <c r="O772" s="51" t="str" cm="1">
        <f t="array" ref="O772">IF($A772="","",IF(I772="","",_xlfn.XLOOKUP($D772&amp;"_"&amp;$AE772,符文权重!$A:$A&amp;"_"&amp;符文权重!$C:$C,符文权重!$D:$D)*$Y772/SUMIFS($Y:$Y,I:I,I772,$D:$D,$D772,$AE:$AE,$AE772)/SUMIF(符文权重!$A:$A,$D772,符文权重!$D:$D)))</f>
        <v/>
      </c>
      <c r="P772" s="51" t="str" cm="1">
        <f t="array" ref="P772">IF($A772="","",IF(J772="","",_xlfn.XLOOKUP($D772&amp;"_"&amp;$AE772,符文权重!$A:$A&amp;"_"&amp;符文权重!$C:$C,符文权重!$D:$D)*$Y772/SUMIFS($Y:$Y,J:J,J772,$D:$D,$D772,$AE:$AE,$AE772)/SUMIF(符文权重!$A:$A,$D772,符文权重!$D:$D)))</f>
        <v/>
      </c>
      <c r="Q772" s="51" t="str" cm="1">
        <f t="array" ref="Q772">IF($A772="","",IF(K772="","",_xlfn.XLOOKUP($D772&amp;"_"&amp;$AE772,符文权重!$A:$A&amp;"_"&amp;符文权重!$C:$C,符文权重!$D:$D)*$Y772/SUMIFS($Y:$Y,K:K,K772,$D:$D,$D772,$AE:$AE,$AE772)/SUMIF(符文权重!$A:$A,$D772,符文权重!$D:$D)))</f>
        <v/>
      </c>
      <c r="R772" s="51" t="str" cm="1">
        <f t="array" ref="R772">IF($A772="","",IF(L772="","",_xlfn.XLOOKUP($D772&amp;"_"&amp;$AE772,符文权重!$A:$A&amp;"_"&amp;符文权重!$C:$C,符文权重!$D:$D)*$Y772/SUMIFS($Y:$Y,L:L,L772,$D:$D,$D772,$AE:$AE,$AE772)/SUMIF(符文权重!$A:$A,$D772,符文权重!$D:$D)))</f>
        <v/>
      </c>
      <c r="S772" s="35" t="s">
        <v>344</v>
      </c>
      <c r="T772" s="35" t="s">
        <v>1050</v>
      </c>
      <c r="U772" s="35" t="s">
        <v>429</v>
      </c>
      <c r="V772" s="35" t="s">
        <v>1057</v>
      </c>
      <c r="W772" s="76"/>
      <c r="X772" s="35" t="s">
        <v>826</v>
      </c>
      <c r="Y772" s="35">
        <v>100</v>
      </c>
      <c r="Z772" s="76"/>
      <c r="AA772" s="35" t="s">
        <v>191</v>
      </c>
      <c r="AB772" s="42" t="str">
        <f t="shared" si="268"/>
        <v>我爱沙守鹤击杀敌人，恢复自身&lt;color=#31921E&gt;1.5%&lt;/color&gt;最大生命，持续时间&lt;color=#31921E&gt;1&lt;/color&gt;秒，最多增加&lt;color=#31921E&gt;10&lt;/color&gt;秒</v>
      </c>
      <c r="AC772" s="35">
        <v>5307294</v>
      </c>
      <c r="AD772" s="35" t="s">
        <v>596</v>
      </c>
      <c r="AE772" s="35">
        <v>8</v>
      </c>
      <c r="AF772" s="76"/>
      <c r="AG772" s="76"/>
      <c r="AH772" s="35">
        <v>1</v>
      </c>
      <c r="AI772" s="36"/>
      <c r="AJ772" s="35" t="s">
        <v>1058</v>
      </c>
      <c r="AK772" s="36"/>
      <c r="AL772" s="35">
        <v>8</v>
      </c>
    </row>
    <row r="773" hidden="1" customHeight="1" spans="1:38">
      <c r="A773" s="35">
        <v>5510564</v>
      </c>
      <c r="B773" s="35" t="s">
        <v>67</v>
      </c>
      <c r="C773" s="35">
        <v>5301295</v>
      </c>
      <c r="D773" s="35">
        <v>4</v>
      </c>
      <c r="E773" s="35"/>
      <c r="F773" s="35" t="s">
        <v>193</v>
      </c>
      <c r="G773" s="36" t="str">
        <f t="shared" si="267"/>
        <v/>
      </c>
      <c r="H773" s="36" t="str">
        <f>IFERROR(IF(--MID($F773,2*COUNTIF($G773:G773,"&gt;"&amp;0)+2,1)=H$1,H$1,""),"")</f>
        <v/>
      </c>
      <c r="I773" s="36">
        <f>IFERROR(IF(--MID($F773,2*COUNTIF($G773:H773,"&gt;"&amp;0)+2,1)=I$1,I$1,""),"")</f>
        <v>3</v>
      </c>
      <c r="J773" s="36" t="str">
        <f>IFERROR(IF(--MID($F773,2*COUNTIF($G773:I773,"&gt;"&amp;0)+2,1)=J$1,J$1,""),"")</f>
        <v/>
      </c>
      <c r="K773" s="36" t="str">
        <f>IFERROR(IF(--MID($F773,2*COUNTIF($G773:J773,"&gt;"&amp;0)+2,1)=K$1,K$1,""),"")</f>
        <v/>
      </c>
      <c r="L773" s="36" t="str">
        <f>IFERROR(IF(--MID($F773,2*COUNTIF($G773:K773,"&gt;"&amp;0)+2,1)=L$1,L$1,""),"")</f>
        <v/>
      </c>
      <c r="M773" s="36" t="e" cm="1">
        <f t="array" ref="M773">IF(A773="","",_xlfn.XLOOKUP(D773&amp;"_"&amp;AE773,符文权重!A:A&amp;"_"&amp;符文权重!C:C,符文权重!D:D))</f>
        <v>#N/A</v>
      </c>
      <c r="N773" s="36"/>
      <c r="O773" s="36"/>
      <c r="P773" s="36"/>
      <c r="Q773" s="36"/>
      <c r="R773" s="36"/>
      <c r="S773" s="35" t="s">
        <v>344</v>
      </c>
      <c r="T773" s="35" t="s">
        <v>1050</v>
      </c>
      <c r="U773" s="35" t="s">
        <v>423</v>
      </c>
      <c r="V773" s="35" t="s">
        <v>1059</v>
      </c>
      <c r="W773" s="76"/>
      <c r="X773" s="35" t="s">
        <v>820</v>
      </c>
      <c r="Y773" s="35">
        <v>100</v>
      </c>
      <c r="Z773" s="76"/>
      <c r="AA773" s="36" t="s">
        <v>185</v>
      </c>
      <c r="AB773" s="42" t="str">
        <f t="shared" si="268"/>
        <v>我爱沙陷流之沙的护盾效果&lt;color=#31921E&gt;+25%&lt;/color&gt;</v>
      </c>
      <c r="AC773" s="35">
        <v>5301295</v>
      </c>
      <c r="AD773" s="35" t="s">
        <v>431</v>
      </c>
      <c r="AE773" s="35">
        <v>100</v>
      </c>
      <c r="AF773" s="76"/>
      <c r="AG773" s="77">
        <v>1</v>
      </c>
      <c r="AH773" s="35">
        <v>1</v>
      </c>
      <c r="AI773" s="36"/>
      <c r="AJ773" s="35" t="s">
        <v>1060</v>
      </c>
      <c r="AK773" s="36"/>
      <c r="AL773" s="35">
        <v>8</v>
      </c>
    </row>
    <row r="774" hidden="1" customHeight="1" spans="1:38">
      <c r="A774" s="35">
        <v>5510565</v>
      </c>
      <c r="B774" s="35" t="s">
        <v>67</v>
      </c>
      <c r="C774" s="35">
        <v>5301295</v>
      </c>
      <c r="D774" s="35">
        <v>5</v>
      </c>
      <c r="E774" s="35"/>
      <c r="F774" s="35" t="s">
        <v>193</v>
      </c>
      <c r="G774" s="36" t="str">
        <f t="shared" si="267"/>
        <v/>
      </c>
      <c r="H774" s="36" t="str">
        <f>IFERROR(IF(--MID($F774,2*COUNTIF($G774:G774,"&gt;"&amp;0)+2,1)=H$1,H$1,""),"")</f>
        <v/>
      </c>
      <c r="I774" s="36">
        <f>IFERROR(IF(--MID($F774,2*COUNTIF($G774:H774,"&gt;"&amp;0)+2,1)=I$1,I$1,""),"")</f>
        <v>3</v>
      </c>
      <c r="J774" s="36" t="str">
        <f>IFERROR(IF(--MID($F774,2*COUNTIF($G774:I774,"&gt;"&amp;0)+2,1)=J$1,J$1,""),"")</f>
        <v/>
      </c>
      <c r="K774" s="36" t="str">
        <f>IFERROR(IF(--MID($F774,2*COUNTIF($G774:J774,"&gt;"&amp;0)+2,1)=K$1,K$1,""),"")</f>
        <v/>
      </c>
      <c r="L774" s="36" t="str">
        <f>IFERROR(IF(--MID($F774,2*COUNTIF($G774:K774,"&gt;"&amp;0)+2,1)=L$1,L$1,""),"")</f>
        <v/>
      </c>
      <c r="M774" s="51" t="str" cm="1">
        <f t="array" ref="M774">IF($A774="","",IF(G774="","",_xlfn.XLOOKUP($D774&amp;"_"&amp;$AE774,符文权重!$A:$A&amp;"_"&amp;符文权重!$C:$C,符文权重!$D:$D)*$Y774/SUMIFS($Y:$Y,G:G,G774,$D:$D,$D774,$AE:$AE,$AE774)/SUMIF(符文权重!$A:$A,$D774,符文权重!$D:$D)))</f>
        <v/>
      </c>
      <c r="N774" s="51" t="str" cm="1">
        <f t="array" ref="N774">IF($A774="","",IF(H774="","",_xlfn.XLOOKUP($D774&amp;"_"&amp;$AE774,符文权重!$A:$A&amp;"_"&amp;符文权重!$C:$C,符文权重!$D:$D)*$Y774/SUMIFS($Y:$Y,H:H,H774,$D:$D,$D774,$AE:$AE,$AE774)/SUMIF(符文权重!$A:$A,$D774,符文权重!$D:$D)))</f>
        <v/>
      </c>
      <c r="O774" s="51" cm="1">
        <f t="array" ref="O774">IF($A774="","",IF(I774="","",_xlfn.XLOOKUP($D774&amp;"_"&amp;$AE774,符文权重!$A:$A&amp;"_"&amp;符文权重!$C:$C,符文权重!$D:$D)*$Y774/SUMIFS($Y:$Y,I:I,I774,$D:$D,$D774,$AE:$AE,$AE774)/SUMIF(符文权重!$A:$A,$D774,符文权重!$D:$D)))</f>
        <v>0.0105</v>
      </c>
      <c r="P774" s="51" t="str" cm="1">
        <f t="array" ref="P774">IF($A774="","",IF(J774="","",_xlfn.XLOOKUP($D774&amp;"_"&amp;$AE774,符文权重!$A:$A&amp;"_"&amp;符文权重!$C:$C,符文权重!$D:$D)*$Y774/SUMIFS($Y:$Y,J:J,J774,$D:$D,$D774,$AE:$AE,$AE774)/SUMIF(符文权重!$A:$A,$D774,符文权重!$D:$D)))</f>
        <v/>
      </c>
      <c r="Q774" s="51" t="str" cm="1">
        <f t="array" ref="Q774">IF($A774="","",IF(K774="","",_xlfn.XLOOKUP($D774&amp;"_"&amp;$AE774,符文权重!$A:$A&amp;"_"&amp;符文权重!$C:$C,符文权重!$D:$D)*$Y774/SUMIFS($Y:$Y,K:K,K774,$D:$D,$D774,$AE:$AE,$AE774)/SUMIF(符文权重!$A:$A,$D774,符文权重!$D:$D)))</f>
        <v/>
      </c>
      <c r="R774" s="51" t="str" cm="1">
        <f t="array" ref="R774">IF($A774="","",IF(L774="","",_xlfn.XLOOKUP($D774&amp;"_"&amp;$AE774,符文权重!$A:$A&amp;"_"&amp;符文权重!$C:$C,符文权重!$D:$D)*$Y774/SUMIFS($Y:$Y,L:L,L774,$D:$D,$D774,$AE:$AE,$AE774)/SUMIF(符文权重!$A:$A,$D774,符文权重!$D:$D)))</f>
        <v/>
      </c>
      <c r="S774" s="35" t="s">
        <v>344</v>
      </c>
      <c r="T774" s="35" t="s">
        <v>1050</v>
      </c>
      <c r="U774" s="35" t="s">
        <v>423</v>
      </c>
      <c r="V774" s="35" t="s">
        <v>1061</v>
      </c>
      <c r="W774" s="76"/>
      <c r="X774" s="35" t="s">
        <v>820</v>
      </c>
      <c r="Y774" s="35">
        <v>100</v>
      </c>
      <c r="Z774" s="76"/>
      <c r="AA774" s="35" t="s">
        <v>187</v>
      </c>
      <c r="AB774" s="42" t="str">
        <f t="shared" si="268"/>
        <v>我爱沙陷流之沙的护盾效果&lt;color=#31921E&gt;+35%&lt;/color&gt;</v>
      </c>
      <c r="AC774" s="35">
        <v>5301295</v>
      </c>
      <c r="AD774" s="35" t="s">
        <v>447</v>
      </c>
      <c r="AE774" s="35">
        <v>8</v>
      </c>
      <c r="AF774" s="76"/>
      <c r="AG774" s="76"/>
      <c r="AH774" s="35">
        <v>1</v>
      </c>
      <c r="AI774" s="36"/>
      <c r="AJ774" s="35" t="s">
        <v>1062</v>
      </c>
      <c r="AK774" s="36"/>
      <c r="AL774" s="35">
        <v>8</v>
      </c>
    </row>
    <row r="775" hidden="1" customHeight="1" spans="1:38">
      <c r="A775" s="35">
        <v>5510566</v>
      </c>
      <c r="B775" s="35" t="s">
        <v>67</v>
      </c>
      <c r="C775" s="35">
        <v>5301295</v>
      </c>
      <c r="D775" s="35">
        <v>6</v>
      </c>
      <c r="E775" s="35"/>
      <c r="F775" s="35" t="s">
        <v>193</v>
      </c>
      <c r="G775" s="36" t="str">
        <f t="shared" ref="G775:G780" si="269">IF(LEFT(F775,2)="[1",1,"")</f>
        <v/>
      </c>
      <c r="H775" s="36" t="str">
        <f>IFERROR(IF(--MID($F775,2*COUNTIF($G775:G775,"&gt;"&amp;0)+2,1)=H$1,H$1,""),"")</f>
        <v/>
      </c>
      <c r="I775" s="36">
        <f>IFERROR(IF(--MID($F775,2*COUNTIF($G775:H775,"&gt;"&amp;0)+2,1)=I$1,I$1,""),"")</f>
        <v>3</v>
      </c>
      <c r="J775" s="36" t="str">
        <f>IFERROR(IF(--MID($F775,2*COUNTIF($G775:I775,"&gt;"&amp;0)+2,1)=J$1,J$1,""),"")</f>
        <v/>
      </c>
      <c r="K775" s="36" t="str">
        <f>IFERROR(IF(--MID($F775,2*COUNTIF($G775:J775,"&gt;"&amp;0)+2,1)=K$1,K$1,""),"")</f>
        <v/>
      </c>
      <c r="L775" s="36" t="str">
        <f>IFERROR(IF(--MID($F775,2*COUNTIF($G775:K775,"&gt;"&amp;0)+2,1)=L$1,L$1,""),"")</f>
        <v/>
      </c>
      <c r="M775" s="51" t="str" cm="1">
        <f t="array" ref="M775">IF($A775="","",IF(G775="","",_xlfn.XLOOKUP($D775&amp;"_"&amp;$AE775,符文权重!$A:$A&amp;"_"&amp;符文权重!$C:$C,符文权重!$D:$D)*$Y775/SUMIFS($Y:$Y,G:G,G775,$D:$D,$D775,$AE:$AE,$AE775)/SUMIF(符文权重!$A:$A,$D775,符文权重!$D:$D)))</f>
        <v/>
      </c>
      <c r="N775" s="51" t="str" cm="1">
        <f t="array" ref="N775">IF($A775="","",IF(H775="","",_xlfn.XLOOKUP($D775&amp;"_"&amp;$AE775,符文权重!$A:$A&amp;"_"&amp;符文权重!$C:$C,符文权重!$D:$D)*$Y775/SUMIFS($Y:$Y,H:H,H775,$D:$D,$D775,$AE:$AE,$AE775)/SUMIF(符文权重!$A:$A,$D775,符文权重!$D:$D)))</f>
        <v/>
      </c>
      <c r="O775" s="51" cm="1">
        <f t="array" ref="O775">IF($A775="","",IF(I775="","",_xlfn.XLOOKUP($D775&amp;"_"&amp;$AE775,符文权重!$A:$A&amp;"_"&amp;符文权重!$C:$C,符文权重!$D:$D)*$Y775/SUMIFS($Y:$Y,I:I,I775,$D:$D,$D775,$AE:$AE,$AE775)/SUMIF(符文权重!$A:$A,$D775,符文权重!$D:$D)))</f>
        <v>0.0105</v>
      </c>
      <c r="P775" s="51" t="str" cm="1">
        <f t="array" ref="P775">IF($A775="","",IF(J775="","",_xlfn.XLOOKUP($D775&amp;"_"&amp;$AE775,符文权重!$A:$A&amp;"_"&amp;符文权重!$C:$C,符文权重!$D:$D)*$Y775/SUMIFS($Y:$Y,J:J,J775,$D:$D,$D775,$AE:$AE,$AE775)/SUMIF(符文权重!$A:$A,$D775,符文权重!$D:$D)))</f>
        <v/>
      </c>
      <c r="Q775" s="51" t="str" cm="1">
        <f t="array" ref="Q775">IF($A775="","",IF(K775="","",_xlfn.XLOOKUP($D775&amp;"_"&amp;$AE775,符文权重!$A:$A&amp;"_"&amp;符文权重!$C:$C,符文权重!$D:$D)*$Y775/SUMIFS($Y:$Y,K:K,K775,$D:$D,$D775,$AE:$AE,$AE775)/SUMIF(符文权重!$A:$A,$D775,符文权重!$D:$D)))</f>
        <v/>
      </c>
      <c r="R775" s="51" t="str" cm="1">
        <f t="array" ref="R775">IF($A775="","",IF(L775="","",_xlfn.XLOOKUP($D775&amp;"_"&amp;$AE775,符文权重!$A:$A&amp;"_"&amp;符文权重!$C:$C,符文权重!$D:$D)*$Y775/SUMIFS($Y:$Y,L:L,L775,$D:$D,$D775,$AE:$AE,$AE775)/SUMIF(符文权重!$A:$A,$D775,符文权重!$D:$D)))</f>
        <v/>
      </c>
      <c r="S775" s="35" t="s">
        <v>344</v>
      </c>
      <c r="T775" s="35" t="s">
        <v>1050</v>
      </c>
      <c r="U775" s="35" t="s">
        <v>426</v>
      </c>
      <c r="V775" s="35" t="s">
        <v>1063</v>
      </c>
      <c r="W775" s="76"/>
      <c r="X775" s="35" t="s">
        <v>823</v>
      </c>
      <c r="Y775" s="35">
        <v>100</v>
      </c>
      <c r="Z775" s="76"/>
      <c r="AA775" s="35" t="s">
        <v>189</v>
      </c>
      <c r="AB775" s="42" t="str">
        <f t="shared" si="268"/>
        <v>我爱沙陷流之沙的护盾效果&lt;color=#31921E&gt;+45%&lt;/color&gt;</v>
      </c>
      <c r="AC775" s="35">
        <v>5301295</v>
      </c>
      <c r="AD775" s="35" t="s">
        <v>474</v>
      </c>
      <c r="AE775" s="35">
        <v>8</v>
      </c>
      <c r="AF775" s="76"/>
      <c r="AG775" s="76"/>
      <c r="AH775" s="35">
        <v>1</v>
      </c>
      <c r="AI775" s="36"/>
      <c r="AJ775" s="35" t="s">
        <v>1064</v>
      </c>
      <c r="AK775" s="36"/>
      <c r="AL775" s="35">
        <v>8</v>
      </c>
    </row>
    <row r="776" hidden="1" customHeight="1" spans="1:38">
      <c r="A776" s="35">
        <v>5510567</v>
      </c>
      <c r="B776" s="35" t="s">
        <v>67</v>
      </c>
      <c r="C776" s="35">
        <v>5301295</v>
      </c>
      <c r="D776" s="35">
        <v>7</v>
      </c>
      <c r="E776" s="35"/>
      <c r="F776" s="35" t="s">
        <v>193</v>
      </c>
      <c r="G776" s="36" t="str">
        <f t="shared" si="269"/>
        <v/>
      </c>
      <c r="H776" s="36" t="str">
        <f>IFERROR(IF(--MID($F776,2*COUNTIF($G776:G776,"&gt;"&amp;0)+2,1)=H$1,H$1,""),"")</f>
        <v/>
      </c>
      <c r="I776" s="36">
        <f>IFERROR(IF(--MID($F776,2*COUNTIF($G776:H776,"&gt;"&amp;0)+2,1)=I$1,I$1,""),"")</f>
        <v>3</v>
      </c>
      <c r="J776" s="36" t="str">
        <f>IFERROR(IF(--MID($F776,2*COUNTIF($G776:I776,"&gt;"&amp;0)+2,1)=J$1,J$1,""),"")</f>
        <v/>
      </c>
      <c r="K776" s="36" t="str">
        <f>IFERROR(IF(--MID($F776,2*COUNTIF($G776:J776,"&gt;"&amp;0)+2,1)=K$1,K$1,""),"")</f>
        <v/>
      </c>
      <c r="L776" s="36" t="str">
        <f>IFERROR(IF(--MID($F776,2*COUNTIF($G776:K776,"&gt;"&amp;0)+2,1)=L$1,L$1,""),"")</f>
        <v/>
      </c>
      <c r="M776" s="51" t="str" cm="1">
        <f t="array" ref="M776">IF($A776="","",IF(G776="","",_xlfn.XLOOKUP($D776&amp;"_"&amp;$AE776,符文权重!$A:$A&amp;"_"&amp;符文权重!$C:$C,符文权重!$D:$D)*$Y776/SUMIFS($Y:$Y,G:G,G776,$D:$D,$D776,$AE:$AE,$AE776)/SUMIF(符文权重!$A:$A,$D776,符文权重!$D:$D)))</f>
        <v/>
      </c>
      <c r="N776" s="51" t="str" cm="1">
        <f t="array" ref="N776">IF($A776="","",IF(H776="","",_xlfn.XLOOKUP($D776&amp;"_"&amp;$AE776,符文权重!$A:$A&amp;"_"&amp;符文权重!$C:$C,符文权重!$D:$D)*$Y776/SUMIFS($Y:$Y,H:H,H776,$D:$D,$D776,$AE:$AE,$AE776)/SUMIF(符文权重!$A:$A,$D776,符文权重!$D:$D)))</f>
        <v/>
      </c>
      <c r="O776" s="51" cm="1">
        <f t="array" ref="O776">IF($A776="","",IF(I776="","",_xlfn.XLOOKUP($D776&amp;"_"&amp;$AE776,符文权重!$A:$A&amp;"_"&amp;符文权重!$C:$C,符文权重!$D:$D)*$Y776/SUMIFS($Y:$Y,I:I,I776,$D:$D,$D776,$AE:$AE,$AE776)/SUMIF(符文权重!$A:$A,$D776,符文权重!$D:$D)))</f>
        <v>0.0105</v>
      </c>
      <c r="P776" s="51" t="str" cm="1">
        <f t="array" ref="P776">IF($A776="","",IF(J776="","",_xlfn.XLOOKUP($D776&amp;"_"&amp;$AE776,符文权重!$A:$A&amp;"_"&amp;符文权重!$C:$C,符文权重!$D:$D)*$Y776/SUMIFS($Y:$Y,J:J,J776,$D:$D,$D776,$AE:$AE,$AE776)/SUMIF(符文权重!$A:$A,$D776,符文权重!$D:$D)))</f>
        <v/>
      </c>
      <c r="Q776" s="51" t="str" cm="1">
        <f t="array" ref="Q776">IF($A776="","",IF(K776="","",_xlfn.XLOOKUP($D776&amp;"_"&amp;$AE776,符文权重!$A:$A&amp;"_"&amp;符文权重!$C:$C,符文权重!$D:$D)*$Y776/SUMIFS($Y:$Y,K:K,K776,$D:$D,$D776,$AE:$AE,$AE776)/SUMIF(符文权重!$A:$A,$D776,符文权重!$D:$D)))</f>
        <v/>
      </c>
      <c r="R776" s="51" t="str" cm="1">
        <f t="array" ref="R776">IF($A776="","",IF(L776="","",_xlfn.XLOOKUP($D776&amp;"_"&amp;$AE776,符文权重!$A:$A&amp;"_"&amp;符文权重!$C:$C,符文权重!$D:$D)*$Y776/SUMIFS($Y:$Y,L:L,L776,$D:$D,$D776,$AE:$AE,$AE776)/SUMIF(符文权重!$A:$A,$D776,符文权重!$D:$D)))</f>
        <v/>
      </c>
      <c r="S776" s="35" t="s">
        <v>344</v>
      </c>
      <c r="T776" s="35" t="s">
        <v>1050</v>
      </c>
      <c r="U776" s="35" t="s">
        <v>429</v>
      </c>
      <c r="V776" s="35" t="s">
        <v>1065</v>
      </c>
      <c r="W776" s="76"/>
      <c r="X776" s="35" t="s">
        <v>826</v>
      </c>
      <c r="Y776" s="35">
        <v>100</v>
      </c>
      <c r="Z776" s="76"/>
      <c r="AA776" s="35" t="s">
        <v>191</v>
      </c>
      <c r="AB776" s="42" t="str">
        <f t="shared" si="268"/>
        <v>我爱沙陷流之沙的护盾效果&lt;color=#31921E&gt;+55%&lt;/color&gt;</v>
      </c>
      <c r="AC776" s="35">
        <v>5301295</v>
      </c>
      <c r="AD776" s="35" t="s">
        <v>451</v>
      </c>
      <c r="AE776" s="35">
        <v>8</v>
      </c>
      <c r="AF776" s="76"/>
      <c r="AG776" s="76"/>
      <c r="AH776" s="35">
        <v>1</v>
      </c>
      <c r="AI776" s="36"/>
      <c r="AJ776" s="35" t="s">
        <v>1066</v>
      </c>
      <c r="AK776" s="36"/>
      <c r="AL776" s="35">
        <v>8</v>
      </c>
    </row>
    <row r="777" hidden="1" customHeight="1" spans="1:38">
      <c r="A777" s="35">
        <v>5510574</v>
      </c>
      <c r="B777" s="35" t="s">
        <v>67</v>
      </c>
      <c r="C777" s="35">
        <v>5301296</v>
      </c>
      <c r="D777" s="35">
        <v>4</v>
      </c>
      <c r="E777" s="35"/>
      <c r="F777" s="35" t="s">
        <v>404</v>
      </c>
      <c r="G777" s="36" t="str">
        <f t="shared" si="269"/>
        <v/>
      </c>
      <c r="H777" s="36" t="str">
        <f>IFERROR(IF(--MID($F777,2*COUNTIF($G777:G777,"&gt;"&amp;0)+2,1)=H$1,H$1,""),"")</f>
        <v/>
      </c>
      <c r="I777" s="36" t="str">
        <f>IFERROR(IF(--MID($F777,2*COUNTIF($G777:H777,"&gt;"&amp;0)+2,1)=I$1,I$1,""),"")</f>
        <v/>
      </c>
      <c r="J777" s="36">
        <f>IFERROR(IF(--MID($F777,2*COUNTIF($G777:I777,"&gt;"&amp;0)+2,1)=J$1,J$1,""),"")</f>
        <v>4</v>
      </c>
      <c r="K777" s="36" t="str">
        <f>IFERROR(IF(--MID($F777,2*COUNTIF($G777:J777,"&gt;"&amp;0)+2,1)=K$1,K$1,""),"")</f>
        <v/>
      </c>
      <c r="L777" s="36" t="str">
        <f>IFERROR(IF(--MID($F777,2*COUNTIF($G777:K777,"&gt;"&amp;0)+2,1)=L$1,L$1,""),"")</f>
        <v/>
      </c>
      <c r="M777" s="36" t="e" cm="1">
        <f t="array" ref="M777">IF(A777="","",_xlfn.XLOOKUP(D777&amp;"_"&amp;AE777,符文权重!A:A&amp;"_"&amp;符文权重!C:C,符文权重!D:D))</f>
        <v>#N/A</v>
      </c>
      <c r="N777" s="36"/>
      <c r="O777" s="36"/>
      <c r="P777" s="36"/>
      <c r="Q777" s="36"/>
      <c r="R777" s="36"/>
      <c r="S777" s="35" t="s">
        <v>344</v>
      </c>
      <c r="T777" s="35" t="s">
        <v>1050</v>
      </c>
      <c r="U777" s="35" t="s">
        <v>423</v>
      </c>
      <c r="V777" s="35" t="s">
        <v>1067</v>
      </c>
      <c r="W777" s="76"/>
      <c r="X777" s="35" t="s">
        <v>820</v>
      </c>
      <c r="Y777" s="35">
        <v>100</v>
      </c>
      <c r="Z777" s="76"/>
      <c r="AA777" s="36" t="s">
        <v>185</v>
      </c>
      <c r="AB777" s="42" t="str">
        <f t="shared" si="268"/>
        <v>我爱沙陷流之沙的沙环伤害&lt;color=#31921E&gt;+25%&lt;/color&gt;</v>
      </c>
      <c r="AC777" s="35">
        <v>5301296</v>
      </c>
      <c r="AD777" s="35" t="s">
        <v>431</v>
      </c>
      <c r="AE777" s="35">
        <v>100</v>
      </c>
      <c r="AF777" s="76"/>
      <c r="AG777" s="77">
        <v>1</v>
      </c>
      <c r="AH777" s="35">
        <v>1</v>
      </c>
      <c r="AI777" s="36"/>
      <c r="AJ777" s="35" t="s">
        <v>1068</v>
      </c>
      <c r="AK777" s="36"/>
      <c r="AL777" s="35">
        <v>8</v>
      </c>
    </row>
    <row r="778" hidden="1" customHeight="1" spans="1:38">
      <c r="A778" s="35">
        <v>5510575</v>
      </c>
      <c r="B778" s="35" t="s">
        <v>67</v>
      </c>
      <c r="C778" s="35">
        <v>5301296</v>
      </c>
      <c r="D778" s="35">
        <v>5</v>
      </c>
      <c r="E778" s="35"/>
      <c r="F778" s="35" t="s">
        <v>404</v>
      </c>
      <c r="G778" s="36" t="str">
        <f t="shared" si="269"/>
        <v/>
      </c>
      <c r="H778" s="36" t="str">
        <f>IFERROR(IF(--MID($F778,2*COUNTIF($G778:G778,"&gt;"&amp;0)+2,1)=H$1,H$1,""),"")</f>
        <v/>
      </c>
      <c r="I778" s="36" t="str">
        <f>IFERROR(IF(--MID($F778,2*COUNTIF($G778:H778,"&gt;"&amp;0)+2,1)=I$1,I$1,""),"")</f>
        <v/>
      </c>
      <c r="J778" s="36">
        <f>IFERROR(IF(--MID($F778,2*COUNTIF($G778:I778,"&gt;"&amp;0)+2,1)=J$1,J$1,""),"")</f>
        <v>4</v>
      </c>
      <c r="K778" s="36" t="str">
        <f>IFERROR(IF(--MID($F778,2*COUNTIF($G778:J778,"&gt;"&amp;0)+2,1)=K$1,K$1,""),"")</f>
        <v/>
      </c>
      <c r="L778" s="36" t="str">
        <f>IFERROR(IF(--MID($F778,2*COUNTIF($G778:K778,"&gt;"&amp;0)+2,1)=L$1,L$1,""),"")</f>
        <v/>
      </c>
      <c r="M778" s="51" t="str" cm="1">
        <f t="array" ref="M778">IF($A778="","",IF(G778="","",_xlfn.XLOOKUP($D778&amp;"_"&amp;$AE778,符文权重!$A:$A&amp;"_"&amp;符文权重!$C:$C,符文权重!$D:$D)*$Y778/SUMIFS($Y:$Y,G:G,G778,$D:$D,$D778,$AE:$AE,$AE778)/SUMIF(符文权重!$A:$A,$D778,符文权重!$D:$D)))</f>
        <v/>
      </c>
      <c r="N778" s="51" t="str" cm="1">
        <f t="array" ref="N778">IF($A778="","",IF(H778="","",_xlfn.XLOOKUP($D778&amp;"_"&amp;$AE778,符文权重!$A:$A&amp;"_"&amp;符文权重!$C:$C,符文权重!$D:$D)*$Y778/SUMIFS($Y:$Y,H:H,H778,$D:$D,$D778,$AE:$AE,$AE778)/SUMIF(符文权重!$A:$A,$D778,符文权重!$D:$D)))</f>
        <v/>
      </c>
      <c r="O778" s="51" t="str" cm="1">
        <f t="array" ref="O778">IF($A778="","",IF(I778="","",_xlfn.XLOOKUP($D778&amp;"_"&amp;$AE778,符文权重!$A:$A&amp;"_"&amp;符文权重!$C:$C,符文权重!$D:$D)*$Y778/SUMIFS($Y:$Y,I:I,I778,$D:$D,$D778,$AE:$AE,$AE778)/SUMIF(符文权重!$A:$A,$D778,符文权重!$D:$D)))</f>
        <v/>
      </c>
      <c r="P778" s="51" cm="1">
        <f t="array" ref="P778">IF($A778="","",IF(J778="","",_xlfn.XLOOKUP($D778&amp;"_"&amp;$AE778,符文权重!$A:$A&amp;"_"&amp;符文权重!$C:$C,符文权重!$D:$D)*$Y778/SUMIFS($Y:$Y,J:J,J778,$D:$D,$D778,$AE:$AE,$AE778)/SUMIF(符文权重!$A:$A,$D778,符文权重!$D:$D)))</f>
        <v>0.00525</v>
      </c>
      <c r="Q778" s="51" t="str" cm="1">
        <f t="array" ref="Q778">IF($A778="","",IF(K778="","",_xlfn.XLOOKUP($D778&amp;"_"&amp;$AE778,符文权重!$A:$A&amp;"_"&amp;符文权重!$C:$C,符文权重!$D:$D)*$Y778/SUMIFS($Y:$Y,K:K,K778,$D:$D,$D778,$AE:$AE,$AE778)/SUMIF(符文权重!$A:$A,$D778,符文权重!$D:$D)))</f>
        <v/>
      </c>
      <c r="R778" s="51" t="str" cm="1">
        <f t="array" ref="R778">IF($A778="","",IF(L778="","",_xlfn.XLOOKUP($D778&amp;"_"&amp;$AE778,符文权重!$A:$A&amp;"_"&amp;符文权重!$C:$C,符文权重!$D:$D)*$Y778/SUMIFS($Y:$Y,L:L,L778,$D:$D,$D778,$AE:$AE,$AE778)/SUMIF(符文权重!$A:$A,$D778,符文权重!$D:$D)))</f>
        <v/>
      </c>
      <c r="S778" s="35" t="s">
        <v>344</v>
      </c>
      <c r="T778" s="35" t="s">
        <v>1050</v>
      </c>
      <c r="U778" s="35" t="s">
        <v>423</v>
      </c>
      <c r="V778" s="35" t="s">
        <v>1069</v>
      </c>
      <c r="W778" s="76"/>
      <c r="X778" s="35" t="s">
        <v>820</v>
      </c>
      <c r="Y778" s="35">
        <v>100</v>
      </c>
      <c r="Z778" s="76"/>
      <c r="AA778" s="35" t="s">
        <v>187</v>
      </c>
      <c r="AB778" s="42" t="str">
        <f t="shared" si="268"/>
        <v>我爱沙陷流之沙的沙环伤害&lt;color=#31921E&gt;+35%&lt;/color&gt;</v>
      </c>
      <c r="AC778" s="35">
        <v>5301296</v>
      </c>
      <c r="AD778" s="35" t="s">
        <v>447</v>
      </c>
      <c r="AE778" s="35">
        <v>8</v>
      </c>
      <c r="AF778" s="76"/>
      <c r="AG778" s="76"/>
      <c r="AH778" s="35">
        <v>1</v>
      </c>
      <c r="AI778" s="36"/>
      <c r="AJ778" s="35" t="s">
        <v>1070</v>
      </c>
      <c r="AK778" s="36"/>
      <c r="AL778" s="35">
        <v>8</v>
      </c>
    </row>
    <row r="779" hidden="1" customHeight="1" spans="1:38">
      <c r="A779" s="35">
        <v>5510576</v>
      </c>
      <c r="B779" s="35" t="s">
        <v>67</v>
      </c>
      <c r="C779" s="35">
        <v>5301296</v>
      </c>
      <c r="D779" s="35">
        <v>6</v>
      </c>
      <c r="E779" s="35"/>
      <c r="F779" s="35" t="s">
        <v>404</v>
      </c>
      <c r="G779" s="36" t="str">
        <f t="shared" si="269"/>
        <v/>
      </c>
      <c r="H779" s="36" t="str">
        <f>IFERROR(IF(--MID($F779,2*COUNTIF($G779:G779,"&gt;"&amp;0)+2,1)=H$1,H$1,""),"")</f>
        <v/>
      </c>
      <c r="I779" s="36" t="str">
        <f>IFERROR(IF(--MID($F779,2*COUNTIF($G779:H779,"&gt;"&amp;0)+2,1)=I$1,I$1,""),"")</f>
        <v/>
      </c>
      <c r="J779" s="36">
        <f>IFERROR(IF(--MID($F779,2*COUNTIF($G779:I779,"&gt;"&amp;0)+2,1)=J$1,J$1,""),"")</f>
        <v>4</v>
      </c>
      <c r="K779" s="36" t="str">
        <f>IFERROR(IF(--MID($F779,2*COUNTIF($G779:J779,"&gt;"&amp;0)+2,1)=K$1,K$1,""),"")</f>
        <v/>
      </c>
      <c r="L779" s="36" t="str">
        <f>IFERROR(IF(--MID($F779,2*COUNTIF($G779:K779,"&gt;"&amp;0)+2,1)=L$1,L$1,""),"")</f>
        <v/>
      </c>
      <c r="M779" s="51" t="str" cm="1">
        <f t="array" ref="M779">IF($A779="","",IF(G779="","",_xlfn.XLOOKUP($D779&amp;"_"&amp;$AE779,符文权重!$A:$A&amp;"_"&amp;符文权重!$C:$C,符文权重!$D:$D)*$Y779/SUMIFS($Y:$Y,G:G,G779,$D:$D,$D779,$AE:$AE,$AE779)/SUMIF(符文权重!$A:$A,$D779,符文权重!$D:$D)))</f>
        <v/>
      </c>
      <c r="N779" s="51" t="str" cm="1">
        <f t="array" ref="N779">IF($A779="","",IF(H779="","",_xlfn.XLOOKUP($D779&amp;"_"&amp;$AE779,符文权重!$A:$A&amp;"_"&amp;符文权重!$C:$C,符文权重!$D:$D)*$Y779/SUMIFS($Y:$Y,H:H,H779,$D:$D,$D779,$AE:$AE,$AE779)/SUMIF(符文权重!$A:$A,$D779,符文权重!$D:$D)))</f>
        <v/>
      </c>
      <c r="O779" s="51" t="str" cm="1">
        <f t="array" ref="O779">IF($A779="","",IF(I779="","",_xlfn.XLOOKUP($D779&amp;"_"&amp;$AE779,符文权重!$A:$A&amp;"_"&amp;符文权重!$C:$C,符文权重!$D:$D)*$Y779/SUMIFS($Y:$Y,I:I,I779,$D:$D,$D779,$AE:$AE,$AE779)/SUMIF(符文权重!$A:$A,$D779,符文权重!$D:$D)))</f>
        <v/>
      </c>
      <c r="P779" s="51" cm="1">
        <f t="array" ref="P779">IF($A779="","",IF(J779="","",_xlfn.XLOOKUP($D779&amp;"_"&amp;$AE779,符文权重!$A:$A&amp;"_"&amp;符文权重!$C:$C,符文权重!$D:$D)*$Y779/SUMIFS($Y:$Y,J:J,J779,$D:$D,$D779,$AE:$AE,$AE779)/SUMIF(符文权重!$A:$A,$D779,符文权重!$D:$D)))</f>
        <v>0.00525</v>
      </c>
      <c r="Q779" s="51" t="str" cm="1">
        <f t="array" ref="Q779">IF($A779="","",IF(K779="","",_xlfn.XLOOKUP($D779&amp;"_"&amp;$AE779,符文权重!$A:$A&amp;"_"&amp;符文权重!$C:$C,符文权重!$D:$D)*$Y779/SUMIFS($Y:$Y,K:K,K779,$D:$D,$D779,$AE:$AE,$AE779)/SUMIF(符文权重!$A:$A,$D779,符文权重!$D:$D)))</f>
        <v/>
      </c>
      <c r="R779" s="51" t="str" cm="1">
        <f t="array" ref="R779">IF($A779="","",IF(L779="","",_xlfn.XLOOKUP($D779&amp;"_"&amp;$AE779,符文权重!$A:$A&amp;"_"&amp;符文权重!$C:$C,符文权重!$D:$D)*$Y779/SUMIFS($Y:$Y,L:L,L779,$D:$D,$D779,$AE:$AE,$AE779)/SUMIF(符文权重!$A:$A,$D779,符文权重!$D:$D)))</f>
        <v/>
      </c>
      <c r="S779" s="35" t="s">
        <v>344</v>
      </c>
      <c r="T779" s="35" t="s">
        <v>1050</v>
      </c>
      <c r="U779" s="35" t="s">
        <v>426</v>
      </c>
      <c r="V779" s="35" t="s">
        <v>1071</v>
      </c>
      <c r="W779" s="35"/>
      <c r="X779" s="35" t="s">
        <v>823</v>
      </c>
      <c r="Y779" s="35">
        <v>100</v>
      </c>
      <c r="AA779" s="35" t="s">
        <v>189</v>
      </c>
      <c r="AB779" s="42" t="str">
        <f t="shared" si="268"/>
        <v>我爱沙陷流之沙的沙环伤害&lt;color=#31921E&gt;+45%&lt;/color&gt;</v>
      </c>
      <c r="AC779" s="35">
        <v>5301296</v>
      </c>
      <c r="AD779" s="35" t="s">
        <v>474</v>
      </c>
      <c r="AE779" s="35">
        <v>8</v>
      </c>
      <c r="AH779" s="35">
        <v>1</v>
      </c>
      <c r="AI779" s="36"/>
      <c r="AJ779" s="35" t="s">
        <v>1072</v>
      </c>
      <c r="AK779" s="36"/>
      <c r="AL779" s="35">
        <v>8</v>
      </c>
    </row>
    <row r="780" hidden="1" customHeight="1" spans="1:38">
      <c r="A780" s="35">
        <v>5510577</v>
      </c>
      <c r="B780" s="35" t="s">
        <v>67</v>
      </c>
      <c r="C780" s="35">
        <v>5301296</v>
      </c>
      <c r="D780" s="35">
        <v>7</v>
      </c>
      <c r="E780" s="35"/>
      <c r="F780" s="35" t="s">
        <v>404</v>
      </c>
      <c r="G780" s="36" t="str">
        <f t="shared" si="269"/>
        <v/>
      </c>
      <c r="H780" s="36" t="str">
        <f>IFERROR(IF(--MID($F780,2*COUNTIF($G780:G780,"&gt;"&amp;0)+2,1)=H$1,H$1,""),"")</f>
        <v/>
      </c>
      <c r="I780" s="36" t="str">
        <f>IFERROR(IF(--MID($F780,2*COUNTIF($G780:H780,"&gt;"&amp;0)+2,1)=I$1,I$1,""),"")</f>
        <v/>
      </c>
      <c r="J780" s="36">
        <f>IFERROR(IF(--MID($F780,2*COUNTIF($G780:I780,"&gt;"&amp;0)+2,1)=J$1,J$1,""),"")</f>
        <v>4</v>
      </c>
      <c r="K780" s="36" t="str">
        <f>IFERROR(IF(--MID($F780,2*COUNTIF($G780:J780,"&gt;"&amp;0)+2,1)=K$1,K$1,""),"")</f>
        <v/>
      </c>
      <c r="L780" s="36" t="str">
        <f>IFERROR(IF(--MID($F780,2*COUNTIF($G780:K780,"&gt;"&amp;0)+2,1)=L$1,L$1,""),"")</f>
        <v/>
      </c>
      <c r="M780" s="51" t="str" cm="1">
        <f t="array" ref="M780">IF($A780="","",IF(G780="","",_xlfn.XLOOKUP($D780&amp;"_"&amp;$AE780,符文权重!$A:$A&amp;"_"&amp;符文权重!$C:$C,符文权重!$D:$D)*$Y780/SUMIFS($Y:$Y,G:G,G780,$D:$D,$D780,$AE:$AE,$AE780)/SUMIF(符文权重!$A:$A,$D780,符文权重!$D:$D)))</f>
        <v/>
      </c>
      <c r="N780" s="51" t="str" cm="1">
        <f t="array" ref="N780">IF($A780="","",IF(H780="","",_xlfn.XLOOKUP($D780&amp;"_"&amp;$AE780,符文权重!$A:$A&amp;"_"&amp;符文权重!$C:$C,符文权重!$D:$D)*$Y780/SUMIFS($Y:$Y,H:H,H780,$D:$D,$D780,$AE:$AE,$AE780)/SUMIF(符文权重!$A:$A,$D780,符文权重!$D:$D)))</f>
        <v/>
      </c>
      <c r="O780" s="51" t="str" cm="1">
        <f t="array" ref="O780">IF($A780="","",IF(I780="","",_xlfn.XLOOKUP($D780&amp;"_"&amp;$AE780,符文权重!$A:$A&amp;"_"&amp;符文权重!$C:$C,符文权重!$D:$D)*$Y780/SUMIFS($Y:$Y,I:I,I780,$D:$D,$D780,$AE:$AE,$AE780)/SUMIF(符文权重!$A:$A,$D780,符文权重!$D:$D)))</f>
        <v/>
      </c>
      <c r="P780" s="51" cm="1">
        <f t="array" ref="P780">IF($A780="","",IF(J780="","",_xlfn.XLOOKUP($D780&amp;"_"&amp;$AE780,符文权重!$A:$A&amp;"_"&amp;符文权重!$C:$C,符文权重!$D:$D)*$Y780/SUMIFS($Y:$Y,J:J,J780,$D:$D,$D780,$AE:$AE,$AE780)/SUMIF(符文权重!$A:$A,$D780,符文权重!$D:$D)))</f>
        <v>0.00525</v>
      </c>
      <c r="Q780" s="51" t="str" cm="1">
        <f t="array" ref="Q780">IF($A780="","",IF(K780="","",_xlfn.XLOOKUP($D780&amp;"_"&amp;$AE780,符文权重!$A:$A&amp;"_"&amp;符文权重!$C:$C,符文权重!$D:$D)*$Y780/SUMIFS($Y:$Y,K:K,K780,$D:$D,$D780,$AE:$AE,$AE780)/SUMIF(符文权重!$A:$A,$D780,符文权重!$D:$D)))</f>
        <v/>
      </c>
      <c r="R780" s="51" t="str" cm="1">
        <f t="array" ref="R780">IF($A780="","",IF(L780="","",_xlfn.XLOOKUP($D780&amp;"_"&amp;$AE780,符文权重!$A:$A&amp;"_"&amp;符文权重!$C:$C,符文权重!$D:$D)*$Y780/SUMIFS($Y:$Y,L:L,L780,$D:$D,$D780,$AE:$AE,$AE780)/SUMIF(符文权重!$A:$A,$D780,符文权重!$D:$D)))</f>
        <v/>
      </c>
      <c r="S780" s="35" t="s">
        <v>344</v>
      </c>
      <c r="T780" s="35" t="s">
        <v>1050</v>
      </c>
      <c r="U780" s="35" t="s">
        <v>429</v>
      </c>
      <c r="V780" s="35" t="s">
        <v>1073</v>
      </c>
      <c r="W780" s="35"/>
      <c r="X780" s="35" t="s">
        <v>826</v>
      </c>
      <c r="Y780" s="35">
        <v>100</v>
      </c>
      <c r="AA780" s="35" t="s">
        <v>191</v>
      </c>
      <c r="AB780" s="42" t="str">
        <f t="shared" si="268"/>
        <v>我爱沙陷流之沙的沙环伤害&lt;color=#31921E&gt;+55%&lt;/color&gt;</v>
      </c>
      <c r="AC780" s="35">
        <v>5301296</v>
      </c>
      <c r="AD780" s="35" t="s">
        <v>451</v>
      </c>
      <c r="AE780" s="35">
        <v>8</v>
      </c>
      <c r="AH780" s="35">
        <v>1</v>
      </c>
      <c r="AI780" s="36"/>
      <c r="AJ780" s="35" t="s">
        <v>1074</v>
      </c>
      <c r="AK780" s="36"/>
      <c r="AL780" s="35">
        <v>8</v>
      </c>
    </row>
    <row r="781" hidden="1" customHeight="1" spans="1:38">
      <c r="A781" s="35">
        <v>5510584</v>
      </c>
      <c r="B781" s="35" t="s">
        <v>1075</v>
      </c>
      <c r="C781" s="35">
        <v>5301289</v>
      </c>
      <c r="D781" s="35">
        <v>4</v>
      </c>
      <c r="E781" s="35"/>
      <c r="F781" s="35" t="s">
        <v>193</v>
      </c>
      <c r="G781" s="36" t="str">
        <f t="shared" ref="G781:G844" si="270">IF(LEFT(F781,2)="[1",1,"")</f>
        <v/>
      </c>
      <c r="H781" s="36" t="str">
        <f>IFERROR(IF(--MID($F781,2*COUNTIF($G781:G781,"&gt;"&amp;0)+2,1)=H$1,H$1,""),"")</f>
        <v/>
      </c>
      <c r="I781" s="36">
        <f>IFERROR(IF(--MID($F781,2*COUNTIF($G781:H781,"&gt;"&amp;0)+2,1)=I$1,I$1,""),"")</f>
        <v>3</v>
      </c>
      <c r="J781" s="36" t="str">
        <f>IFERROR(IF(--MID($F781,2*COUNTIF($G781:I781,"&gt;"&amp;0)+2,1)=J$1,J$1,""),"")</f>
        <v/>
      </c>
      <c r="K781" s="36" t="str">
        <f>IFERROR(IF(--MID($F781,2*COUNTIF($G781:J781,"&gt;"&amp;0)+2,1)=K$1,K$1,""),"")</f>
        <v/>
      </c>
      <c r="L781" s="36" t="str">
        <f>IFERROR(IF(--MID($F781,2*COUNTIF($G781:K781,"&gt;"&amp;0)+2,1)=L$1,L$1,""),"")</f>
        <v/>
      </c>
      <c r="M781" s="36" t="e" cm="1">
        <f t="array" ref="M781">IF(A781="","",_xlfn.XLOOKUP(D781&amp;"_"&amp;AE781,符文权重!A:A&amp;"_"&amp;符文权重!C:C,符文权重!D:D))</f>
        <v>#N/A</v>
      </c>
      <c r="N781" s="36"/>
      <c r="O781" s="36"/>
      <c r="P781" s="36"/>
      <c r="Q781" s="36"/>
      <c r="R781" s="36"/>
      <c r="S781" s="35" t="s">
        <v>344</v>
      </c>
      <c r="T781" s="35" t="s">
        <v>1076</v>
      </c>
      <c r="U781" s="35" t="s">
        <v>423</v>
      </c>
      <c r="V781" s="35" t="s">
        <v>1077</v>
      </c>
      <c r="W781" s="35"/>
      <c r="X781" s="35" t="s">
        <v>820</v>
      </c>
      <c r="Y781" s="35">
        <v>100</v>
      </c>
      <c r="AA781" s="36" t="s">
        <v>185</v>
      </c>
      <c r="AB781" s="42" t="str">
        <f t="shared" si="268"/>
        <v>妲己狂热粉丝解除魅惑时, 会受到妲己&lt;color=#54b76b&gt;1200%&lt;/color&gt;攻击力的伤害</v>
      </c>
      <c r="AC781" s="35">
        <v>5301289</v>
      </c>
      <c r="AD781" s="35" t="s">
        <v>1078</v>
      </c>
      <c r="AE781" s="35">
        <v>100</v>
      </c>
      <c r="AG781" s="35">
        <v>1</v>
      </c>
      <c r="AH781" s="35">
        <v>1</v>
      </c>
      <c r="AI781" s="36"/>
      <c r="AJ781" s="35" t="s">
        <v>1079</v>
      </c>
      <c r="AK781" s="36"/>
      <c r="AL781" s="35">
        <v>8</v>
      </c>
    </row>
    <row r="782" hidden="1" customHeight="1" spans="1:38">
      <c r="A782" s="35">
        <v>5510585</v>
      </c>
      <c r="B782" s="35" t="s">
        <v>1075</v>
      </c>
      <c r="C782" s="35">
        <v>5301289</v>
      </c>
      <c r="D782" s="35">
        <v>5</v>
      </c>
      <c r="E782" s="35"/>
      <c r="F782" s="35" t="s">
        <v>193</v>
      </c>
      <c r="G782" s="36" t="str">
        <f t="shared" si="270"/>
        <v/>
      </c>
      <c r="H782" s="36" t="str">
        <f>IFERROR(IF(--MID($F782,2*COUNTIF($G782:G782,"&gt;"&amp;0)+2,1)=H$1,H$1,""),"")</f>
        <v/>
      </c>
      <c r="I782" s="36">
        <f>IFERROR(IF(--MID($F782,2*COUNTIF($G782:H782,"&gt;"&amp;0)+2,1)=I$1,I$1,""),"")</f>
        <v>3</v>
      </c>
      <c r="J782" s="36" t="str">
        <f>IFERROR(IF(--MID($F782,2*COUNTIF($G782:I782,"&gt;"&amp;0)+2,1)=J$1,J$1,""),"")</f>
        <v/>
      </c>
      <c r="K782" s="36" t="str">
        <f>IFERROR(IF(--MID($F782,2*COUNTIF($G782:J782,"&gt;"&amp;0)+2,1)=K$1,K$1,""),"")</f>
        <v/>
      </c>
      <c r="L782" s="36" t="str">
        <f>IFERROR(IF(--MID($F782,2*COUNTIF($G782:K782,"&gt;"&amp;0)+2,1)=L$1,L$1,""),"")</f>
        <v/>
      </c>
      <c r="M782" s="36" t="e" cm="1">
        <f t="array" ref="M782">IF(A782="","",_xlfn.XLOOKUP(D782&amp;"_"&amp;AE782,符文权重!A:A&amp;"_"&amp;符文权重!C:C,符文权重!D:D))</f>
        <v>#N/A</v>
      </c>
      <c r="N782" s="36"/>
      <c r="O782" s="36"/>
      <c r="P782" s="36"/>
      <c r="Q782" s="36"/>
      <c r="R782" s="36"/>
      <c r="S782" s="35" t="s">
        <v>344</v>
      </c>
      <c r="T782" s="35" t="s">
        <v>1076</v>
      </c>
      <c r="U782" s="35" t="s">
        <v>423</v>
      </c>
      <c r="V782" s="35" t="s">
        <v>1080</v>
      </c>
      <c r="W782" s="35"/>
      <c r="X782" s="35" t="s">
        <v>820</v>
      </c>
      <c r="Y782" s="35">
        <v>100</v>
      </c>
      <c r="AA782" s="35" t="s">
        <v>187</v>
      </c>
      <c r="AB782" s="42" t="str">
        <f t="shared" si="268"/>
        <v>妲己狂热粉丝解除魅惑时, 会受到妲己&lt;color=#54b76b&gt;1600%&lt;/color&gt;攻击力的伤害</v>
      </c>
      <c r="AC782" s="35">
        <v>5301289</v>
      </c>
      <c r="AD782" s="35" t="s">
        <v>1081</v>
      </c>
      <c r="AE782" s="35">
        <v>100</v>
      </c>
      <c r="AG782" s="35">
        <v>1</v>
      </c>
      <c r="AH782" s="35">
        <v>1</v>
      </c>
      <c r="AI782" s="36"/>
      <c r="AJ782" s="35" t="s">
        <v>1082</v>
      </c>
      <c r="AK782" s="36"/>
      <c r="AL782" s="35">
        <v>8</v>
      </c>
    </row>
    <row r="783" hidden="1" customHeight="1" spans="1:38">
      <c r="A783" s="35">
        <v>5510586</v>
      </c>
      <c r="B783" s="35" t="s">
        <v>1075</v>
      </c>
      <c r="C783" s="35">
        <v>5301289</v>
      </c>
      <c r="D783" s="35">
        <v>6</v>
      </c>
      <c r="E783" s="35"/>
      <c r="F783" s="35" t="s">
        <v>193</v>
      </c>
      <c r="G783" s="36" t="str">
        <f t="shared" si="270"/>
        <v/>
      </c>
      <c r="H783" s="36" t="str">
        <f>IFERROR(IF(--MID($F783,2*COUNTIF($G783:G783,"&gt;"&amp;0)+2,1)=H$1,H$1,""),"")</f>
        <v/>
      </c>
      <c r="I783" s="36">
        <f>IFERROR(IF(--MID($F783,2*COUNTIF($G783:H783,"&gt;"&amp;0)+2,1)=I$1,I$1,""),"")</f>
        <v>3</v>
      </c>
      <c r="J783" s="36" t="str">
        <f>IFERROR(IF(--MID($F783,2*COUNTIF($G783:I783,"&gt;"&amp;0)+2,1)=J$1,J$1,""),"")</f>
        <v/>
      </c>
      <c r="K783" s="36" t="str">
        <f>IFERROR(IF(--MID($F783,2*COUNTIF($G783:J783,"&gt;"&amp;0)+2,1)=K$1,K$1,""),"")</f>
        <v/>
      </c>
      <c r="L783" s="36" t="str">
        <f>IFERROR(IF(--MID($F783,2*COUNTIF($G783:K783,"&gt;"&amp;0)+2,1)=L$1,L$1,""),"")</f>
        <v/>
      </c>
      <c r="M783" s="36" t="e" cm="1">
        <f t="array" ref="M783">IF(A783="","",_xlfn.XLOOKUP(D783&amp;"_"&amp;AE783,符文权重!A:A&amp;"_"&amp;符文权重!C:C,符文权重!D:D))</f>
        <v>#N/A</v>
      </c>
      <c r="N783" s="36"/>
      <c r="O783" s="36"/>
      <c r="P783" s="36"/>
      <c r="Q783" s="36"/>
      <c r="R783" s="36"/>
      <c r="S783" s="35" t="s">
        <v>344</v>
      </c>
      <c r="T783" s="35" t="s">
        <v>1076</v>
      </c>
      <c r="U783" s="35" t="s">
        <v>426</v>
      </c>
      <c r="V783" s="35" t="s">
        <v>1083</v>
      </c>
      <c r="W783" s="76"/>
      <c r="X783" s="35" t="s">
        <v>823</v>
      </c>
      <c r="Y783" s="35">
        <v>100</v>
      </c>
      <c r="Z783" s="76"/>
      <c r="AA783" s="35" t="s">
        <v>189</v>
      </c>
      <c r="AB783" s="42" t="str">
        <f t="shared" si="268"/>
        <v>妲己狂热粉丝解除魅惑时, 会受到妲己&lt;color=#54b76b&gt;2000%&lt;/color&gt;攻击力的伤害</v>
      </c>
      <c r="AC783" s="35">
        <v>5301289</v>
      </c>
      <c r="AD783" s="35" t="s">
        <v>1084</v>
      </c>
      <c r="AE783" s="35">
        <v>100</v>
      </c>
      <c r="AF783" s="76"/>
      <c r="AG783" s="35">
        <v>1</v>
      </c>
      <c r="AH783" s="35">
        <v>1</v>
      </c>
      <c r="AI783" s="36"/>
      <c r="AJ783" s="35" t="s">
        <v>1085</v>
      </c>
      <c r="AK783" s="36"/>
      <c r="AL783" s="35">
        <v>8</v>
      </c>
    </row>
    <row r="784" hidden="1" customHeight="1" spans="1:38">
      <c r="A784" s="35">
        <v>5510587</v>
      </c>
      <c r="B784" s="35" t="s">
        <v>1075</v>
      </c>
      <c r="C784" s="35">
        <v>5301289</v>
      </c>
      <c r="D784" s="35">
        <v>7</v>
      </c>
      <c r="E784" s="35"/>
      <c r="F784" s="35" t="s">
        <v>193</v>
      </c>
      <c r="G784" s="36" t="str">
        <f t="shared" si="270"/>
        <v/>
      </c>
      <c r="H784" s="36" t="str">
        <f>IFERROR(IF(--MID($F784,2*COUNTIF($G784:G784,"&gt;"&amp;0)+2,1)=H$1,H$1,""),"")</f>
        <v/>
      </c>
      <c r="I784" s="36">
        <f>IFERROR(IF(--MID($F784,2*COUNTIF($G784:H784,"&gt;"&amp;0)+2,1)=I$1,I$1,""),"")</f>
        <v>3</v>
      </c>
      <c r="J784" s="36" t="str">
        <f>IFERROR(IF(--MID($F784,2*COUNTIF($G784:I784,"&gt;"&amp;0)+2,1)=J$1,J$1,""),"")</f>
        <v/>
      </c>
      <c r="K784" s="36" t="str">
        <f>IFERROR(IF(--MID($F784,2*COUNTIF($G784:J784,"&gt;"&amp;0)+2,1)=K$1,K$1,""),"")</f>
        <v/>
      </c>
      <c r="L784" s="36" t="str">
        <f>IFERROR(IF(--MID($F784,2*COUNTIF($G784:K784,"&gt;"&amp;0)+2,1)=L$1,L$1,""),"")</f>
        <v/>
      </c>
      <c r="M784" s="36" t="e" cm="1">
        <f t="array" ref="M784">IF(A784="","",_xlfn.XLOOKUP(D784&amp;"_"&amp;AE784,符文权重!A:A&amp;"_"&amp;符文权重!C:C,符文权重!D:D))</f>
        <v>#N/A</v>
      </c>
      <c r="N784" s="36"/>
      <c r="O784" s="36"/>
      <c r="P784" s="36"/>
      <c r="Q784" s="36"/>
      <c r="R784" s="36"/>
      <c r="S784" s="35" t="s">
        <v>344</v>
      </c>
      <c r="T784" s="35" t="s">
        <v>1076</v>
      </c>
      <c r="U784" s="35" t="s">
        <v>429</v>
      </c>
      <c r="V784" s="35" t="s">
        <v>1086</v>
      </c>
      <c r="W784" s="35"/>
      <c r="X784" s="35" t="s">
        <v>826</v>
      </c>
      <c r="Y784" s="35">
        <v>100</v>
      </c>
      <c r="AA784" s="35" t="s">
        <v>191</v>
      </c>
      <c r="AB784" s="42" t="str">
        <f t="shared" si="268"/>
        <v>妲己狂热粉丝解除魅惑时, 会受到妲己&lt;color=#54b76b&gt;2400%&lt;/color&gt;攻击力的伤害</v>
      </c>
      <c r="AC784" s="35">
        <v>5301289</v>
      </c>
      <c r="AD784" s="35" t="s">
        <v>1087</v>
      </c>
      <c r="AE784" s="35">
        <v>100</v>
      </c>
      <c r="AG784" s="35">
        <v>1</v>
      </c>
      <c r="AH784" s="35">
        <v>1</v>
      </c>
      <c r="AI784" s="36"/>
      <c r="AJ784" s="35" t="s">
        <v>1088</v>
      </c>
      <c r="AK784" s="36"/>
      <c r="AL784" s="35">
        <v>8</v>
      </c>
    </row>
    <row r="785" hidden="1" customHeight="1" spans="1:38">
      <c r="A785" s="35">
        <v>5510594</v>
      </c>
      <c r="B785" s="35" t="s">
        <v>1075</v>
      </c>
      <c r="C785" s="35">
        <v>5301290</v>
      </c>
      <c r="D785" s="35">
        <v>4</v>
      </c>
      <c r="E785" s="35"/>
      <c r="F785" s="35" t="s">
        <v>404</v>
      </c>
      <c r="G785" s="36" t="str">
        <f t="shared" si="270"/>
        <v/>
      </c>
      <c r="H785" s="36" t="str">
        <f>IFERROR(IF(--MID($F785,2*COUNTIF($G785:G785,"&gt;"&amp;0)+2,1)=H$1,H$1,""),"")</f>
        <v/>
      </c>
      <c r="I785" s="36" t="str">
        <f>IFERROR(IF(--MID($F785,2*COUNTIF($G785:H785,"&gt;"&amp;0)+2,1)=I$1,I$1,""),"")</f>
        <v/>
      </c>
      <c r="J785" s="36">
        <f>IFERROR(IF(--MID($F785,2*COUNTIF($G785:I785,"&gt;"&amp;0)+2,1)=J$1,J$1,""),"")</f>
        <v>4</v>
      </c>
      <c r="K785" s="36" t="str">
        <f>IFERROR(IF(--MID($F785,2*COUNTIF($G785:J785,"&gt;"&amp;0)+2,1)=K$1,K$1,""),"")</f>
        <v/>
      </c>
      <c r="L785" s="36" t="str">
        <f>IFERROR(IF(--MID($F785,2*COUNTIF($G785:K785,"&gt;"&amp;0)+2,1)=L$1,L$1,""),"")</f>
        <v/>
      </c>
      <c r="M785" s="36" t="e" cm="1">
        <f t="array" ref="M785">IF(A785="","",_xlfn.XLOOKUP(D785&amp;"_"&amp;AE785,符文权重!A:A&amp;"_"&amp;符文权重!C:C,符文权重!D:D))</f>
        <v>#N/A</v>
      </c>
      <c r="N785" s="36"/>
      <c r="O785" s="36"/>
      <c r="P785" s="36"/>
      <c r="Q785" s="36"/>
      <c r="R785" s="36"/>
      <c r="S785" s="35" t="s">
        <v>344</v>
      </c>
      <c r="T785" s="35" t="s">
        <v>1076</v>
      </c>
      <c r="U785" s="35" t="s">
        <v>423</v>
      </c>
      <c r="V785" s="35" t="s">
        <v>1089</v>
      </c>
      <c r="W785" s="35"/>
      <c r="X785" s="35" t="s">
        <v>820</v>
      </c>
      <c r="Y785" s="35">
        <v>100</v>
      </c>
      <c r="AA785" s="36" t="s">
        <v>185</v>
      </c>
      <c r="AB785" s="42" t="str">
        <f t="shared" si="268"/>
        <v>妲己每次普攻有&lt;color=#54b76b&gt;25%&lt;/color&gt;概率使下次普攻直接变成强化狐火</v>
      </c>
      <c r="AC785" s="35">
        <v>5301290</v>
      </c>
      <c r="AD785" s="35" t="s">
        <v>431</v>
      </c>
      <c r="AE785" s="35">
        <v>100</v>
      </c>
      <c r="AG785" s="35">
        <v>1</v>
      </c>
      <c r="AH785" s="35">
        <v>1</v>
      </c>
      <c r="AI785" s="36"/>
      <c r="AJ785" s="35" t="s">
        <v>1090</v>
      </c>
      <c r="AK785" s="36"/>
      <c r="AL785" s="35">
        <v>8</v>
      </c>
    </row>
    <row r="786" hidden="1" customHeight="1" spans="1:38">
      <c r="A786" s="35">
        <v>5510595</v>
      </c>
      <c r="B786" s="35" t="s">
        <v>1075</v>
      </c>
      <c r="C786" s="35">
        <v>5301290</v>
      </c>
      <c r="D786" s="35">
        <v>5</v>
      </c>
      <c r="E786" s="35"/>
      <c r="F786" s="35" t="s">
        <v>404</v>
      </c>
      <c r="G786" s="36" t="str">
        <f t="shared" si="270"/>
        <v/>
      </c>
      <c r="H786" s="36" t="str">
        <f>IFERROR(IF(--MID($F786,2*COUNTIF($G786:G786,"&gt;"&amp;0)+2,1)=H$1,H$1,""),"")</f>
        <v/>
      </c>
      <c r="I786" s="36" t="str">
        <f>IFERROR(IF(--MID($F786,2*COUNTIF($G786:H786,"&gt;"&amp;0)+2,1)=I$1,I$1,""),"")</f>
        <v/>
      </c>
      <c r="J786" s="36">
        <f>IFERROR(IF(--MID($F786,2*COUNTIF($G786:I786,"&gt;"&amp;0)+2,1)=J$1,J$1,""),"")</f>
        <v>4</v>
      </c>
      <c r="K786" s="36" t="str">
        <f>IFERROR(IF(--MID($F786,2*COUNTIF($G786:J786,"&gt;"&amp;0)+2,1)=K$1,K$1,""),"")</f>
        <v/>
      </c>
      <c r="L786" s="36" t="str">
        <f>IFERROR(IF(--MID($F786,2*COUNTIF($G786:K786,"&gt;"&amp;0)+2,1)=L$1,L$1,""),"")</f>
        <v/>
      </c>
      <c r="M786" s="36" t="e" cm="1">
        <f t="array" ref="M786">IF(A786="","",_xlfn.XLOOKUP(D786&amp;"_"&amp;AE786,符文权重!A:A&amp;"_"&amp;符文权重!C:C,符文权重!D:D))</f>
        <v>#N/A</v>
      </c>
      <c r="N786" s="36"/>
      <c r="O786" s="36"/>
      <c r="P786" s="36"/>
      <c r="Q786" s="36"/>
      <c r="R786" s="36"/>
      <c r="S786" s="35" t="s">
        <v>344</v>
      </c>
      <c r="T786" s="35" t="s">
        <v>1076</v>
      </c>
      <c r="U786" s="35" t="s">
        <v>423</v>
      </c>
      <c r="V786" s="35" t="s">
        <v>1091</v>
      </c>
      <c r="W786" s="35"/>
      <c r="X786" s="35" t="s">
        <v>820</v>
      </c>
      <c r="Y786" s="35">
        <v>100</v>
      </c>
      <c r="AA786" s="35" t="s">
        <v>187</v>
      </c>
      <c r="AB786" s="42" t="str">
        <f t="shared" si="268"/>
        <v>妲己每次普攻有&lt;color=#54b76b&gt;35%&lt;/color&gt;概率使下次普攻直接变成强化狐火</v>
      </c>
      <c r="AC786" s="35">
        <v>5301290</v>
      </c>
      <c r="AD786" s="35" t="s">
        <v>447</v>
      </c>
      <c r="AE786" s="35">
        <v>100</v>
      </c>
      <c r="AG786" s="35">
        <v>1</v>
      </c>
      <c r="AH786" s="35">
        <v>1</v>
      </c>
      <c r="AI786" s="36"/>
      <c r="AJ786" s="35" t="s">
        <v>1092</v>
      </c>
      <c r="AK786" s="36"/>
      <c r="AL786" s="35">
        <v>8</v>
      </c>
    </row>
    <row r="787" hidden="1" customHeight="1" spans="1:38">
      <c r="A787" s="35">
        <v>5510596</v>
      </c>
      <c r="B787" s="35" t="s">
        <v>1075</v>
      </c>
      <c r="C787" s="35">
        <v>5301290</v>
      </c>
      <c r="D787" s="35">
        <v>6</v>
      </c>
      <c r="E787" s="35"/>
      <c r="F787" s="35" t="s">
        <v>404</v>
      </c>
      <c r="G787" s="36" t="str">
        <f t="shared" si="270"/>
        <v/>
      </c>
      <c r="H787" s="36" t="str">
        <f>IFERROR(IF(--MID($F787,2*COUNTIF($G787:G787,"&gt;"&amp;0)+2,1)=H$1,H$1,""),"")</f>
        <v/>
      </c>
      <c r="I787" s="36" t="str">
        <f>IFERROR(IF(--MID($F787,2*COUNTIF($G787:H787,"&gt;"&amp;0)+2,1)=I$1,I$1,""),"")</f>
        <v/>
      </c>
      <c r="J787" s="36">
        <f>IFERROR(IF(--MID($F787,2*COUNTIF($G787:I787,"&gt;"&amp;0)+2,1)=J$1,J$1,""),"")</f>
        <v>4</v>
      </c>
      <c r="K787" s="36" t="str">
        <f>IFERROR(IF(--MID($F787,2*COUNTIF($G787:J787,"&gt;"&amp;0)+2,1)=K$1,K$1,""),"")</f>
        <v/>
      </c>
      <c r="L787" s="36" t="str">
        <f>IFERROR(IF(--MID($F787,2*COUNTIF($G787:K787,"&gt;"&amp;0)+2,1)=L$1,L$1,""),"")</f>
        <v/>
      </c>
      <c r="M787" s="36" t="e" cm="1">
        <f t="array" ref="M787">IF(A787="","",_xlfn.XLOOKUP(D787&amp;"_"&amp;AE787,符文权重!A:A&amp;"_"&amp;符文权重!C:C,符文权重!D:D))</f>
        <v>#N/A</v>
      </c>
      <c r="N787" s="36"/>
      <c r="O787" s="36"/>
      <c r="P787" s="36"/>
      <c r="Q787" s="36"/>
      <c r="R787" s="36"/>
      <c r="S787" s="35" t="s">
        <v>344</v>
      </c>
      <c r="T787" s="35" t="s">
        <v>1076</v>
      </c>
      <c r="U787" s="35" t="s">
        <v>426</v>
      </c>
      <c r="V787" s="35" t="s">
        <v>1093</v>
      </c>
      <c r="W787" s="35"/>
      <c r="X787" s="35" t="s">
        <v>823</v>
      </c>
      <c r="Y787" s="35">
        <v>100</v>
      </c>
      <c r="AA787" s="35" t="s">
        <v>189</v>
      </c>
      <c r="AB787" s="42" t="str">
        <f t="shared" si="268"/>
        <v>妲己每次普攻有&lt;color=#54b76b&gt;45%&lt;/color&gt;概率使下次普攻直接变成强化狐火</v>
      </c>
      <c r="AC787" s="35">
        <v>5301290</v>
      </c>
      <c r="AD787" s="35" t="s">
        <v>474</v>
      </c>
      <c r="AE787" s="35">
        <v>100</v>
      </c>
      <c r="AG787" s="35">
        <v>1</v>
      </c>
      <c r="AH787" s="35">
        <v>1</v>
      </c>
      <c r="AI787" s="36"/>
      <c r="AJ787" s="35" t="s">
        <v>1094</v>
      </c>
      <c r="AK787" s="36"/>
      <c r="AL787" s="35">
        <v>8</v>
      </c>
    </row>
    <row r="788" hidden="1" customHeight="1" spans="1:38">
      <c r="A788" s="35">
        <v>5510597</v>
      </c>
      <c r="B788" s="35" t="s">
        <v>1075</v>
      </c>
      <c r="C788" s="35">
        <v>5301290</v>
      </c>
      <c r="D788" s="35">
        <v>7</v>
      </c>
      <c r="E788" s="35"/>
      <c r="F788" s="35" t="s">
        <v>404</v>
      </c>
      <c r="G788" s="36" t="str">
        <f t="shared" si="270"/>
        <v/>
      </c>
      <c r="H788" s="36" t="str">
        <f>IFERROR(IF(--MID($F788,2*COUNTIF($G788:G788,"&gt;"&amp;0)+2,1)=H$1,H$1,""),"")</f>
        <v/>
      </c>
      <c r="I788" s="36" t="str">
        <f>IFERROR(IF(--MID($F788,2*COUNTIF($G788:H788,"&gt;"&amp;0)+2,1)=I$1,I$1,""),"")</f>
        <v/>
      </c>
      <c r="J788" s="36">
        <f>IFERROR(IF(--MID($F788,2*COUNTIF($G788:I788,"&gt;"&amp;0)+2,1)=J$1,J$1,""),"")</f>
        <v>4</v>
      </c>
      <c r="K788" s="36" t="str">
        <f>IFERROR(IF(--MID($F788,2*COUNTIF($G788:J788,"&gt;"&amp;0)+2,1)=K$1,K$1,""),"")</f>
        <v/>
      </c>
      <c r="L788" s="36" t="str">
        <f>IFERROR(IF(--MID($F788,2*COUNTIF($G788:K788,"&gt;"&amp;0)+2,1)=L$1,L$1,""),"")</f>
        <v/>
      </c>
      <c r="M788" s="36" t="e" cm="1">
        <f t="array" ref="M788">IF(A788="","",_xlfn.XLOOKUP(D788&amp;"_"&amp;AE788,符文权重!A:A&amp;"_"&amp;符文权重!C:C,符文权重!D:D))</f>
        <v>#N/A</v>
      </c>
      <c r="N788" s="36"/>
      <c r="O788" s="36"/>
      <c r="P788" s="36"/>
      <c r="Q788" s="36"/>
      <c r="R788" s="36"/>
      <c r="S788" s="35" t="s">
        <v>344</v>
      </c>
      <c r="T788" s="35" t="s">
        <v>1076</v>
      </c>
      <c r="U788" s="35" t="s">
        <v>429</v>
      </c>
      <c r="V788" s="35" t="s">
        <v>1095</v>
      </c>
      <c r="W788" s="76"/>
      <c r="X788" s="35" t="s">
        <v>826</v>
      </c>
      <c r="Y788" s="35">
        <v>100</v>
      </c>
      <c r="Z788" s="76"/>
      <c r="AA788" s="35" t="s">
        <v>191</v>
      </c>
      <c r="AB788" s="42" t="str">
        <f t="shared" si="268"/>
        <v>妲己每次普攻有&lt;color=#54b76b&gt;55%&lt;/color&gt;概率使下次普攻直接变成强化狐火</v>
      </c>
      <c r="AC788" s="35">
        <v>5301290</v>
      </c>
      <c r="AD788" s="35" t="s">
        <v>451</v>
      </c>
      <c r="AE788" s="35">
        <v>100</v>
      </c>
      <c r="AF788" s="76"/>
      <c r="AG788" s="35">
        <v>1</v>
      </c>
      <c r="AH788" s="35">
        <v>1</v>
      </c>
      <c r="AI788" s="36"/>
      <c r="AJ788" s="35" t="s">
        <v>1096</v>
      </c>
      <c r="AK788" s="36"/>
      <c r="AL788" s="35">
        <v>8</v>
      </c>
    </row>
    <row r="789" hidden="1" customHeight="1" spans="1:38">
      <c r="A789" s="35">
        <v>5510604</v>
      </c>
      <c r="B789" s="35" t="s">
        <v>1075</v>
      </c>
      <c r="C789" s="35">
        <v>5301291</v>
      </c>
      <c r="D789" s="35">
        <v>4</v>
      </c>
      <c r="E789" s="35"/>
      <c r="F789" s="35" t="s">
        <v>230</v>
      </c>
      <c r="G789" s="36" t="str">
        <f t="shared" si="270"/>
        <v/>
      </c>
      <c r="H789" s="36" t="str">
        <f>IFERROR(IF(--MID($F789,2*COUNTIF($G789:G789,"&gt;"&amp;0)+2,1)=H$1,H$1,""),"")</f>
        <v/>
      </c>
      <c r="I789" s="36" t="str">
        <f>IFERROR(IF(--MID($F789,2*COUNTIF($G789:H789,"&gt;"&amp;0)+2,1)=I$1,I$1,""),"")</f>
        <v/>
      </c>
      <c r="J789" s="36" t="str">
        <f>IFERROR(IF(--MID($F789,2*COUNTIF($G789:I789,"&gt;"&amp;0)+2,1)=J$1,J$1,""),"")</f>
        <v/>
      </c>
      <c r="K789" s="36">
        <f>IFERROR(IF(--MID($F789,2*COUNTIF($G789:J789,"&gt;"&amp;0)+2,1)=K$1,K$1,""),"")</f>
        <v>5</v>
      </c>
      <c r="L789" s="36" t="str">
        <f>IFERROR(IF(--MID($F789,2*COUNTIF($G789:K789,"&gt;"&amp;0)+2,1)=L$1,L$1,""),"")</f>
        <v/>
      </c>
      <c r="M789" s="36" t="e" cm="1">
        <f t="array" ref="M789">IF(A789="","",_xlfn.XLOOKUP(D789&amp;"_"&amp;AE789,符文权重!A:A&amp;"_"&amp;符文权重!C:C,符文权重!D:D))</f>
        <v>#N/A</v>
      </c>
      <c r="N789" s="36"/>
      <c r="O789" s="36"/>
      <c r="P789" s="36"/>
      <c r="Q789" s="36"/>
      <c r="R789" s="36"/>
      <c r="S789" s="35" t="s">
        <v>344</v>
      </c>
      <c r="T789" s="35" t="s">
        <v>1076</v>
      </c>
      <c r="U789" s="35" t="s">
        <v>423</v>
      </c>
      <c r="V789" s="35" t="s">
        <v>1097</v>
      </c>
      <c r="W789" s="35"/>
      <c r="X789" s="35" t="s">
        <v>820</v>
      </c>
      <c r="Y789" s="35">
        <v>100</v>
      </c>
      <c r="AA789" s="36" t="s">
        <v>185</v>
      </c>
      <c r="AB789" s="42" t="str">
        <f t="shared" si="268"/>
        <v>妲己狐火持续时间&lt;color=#54b76b&gt;+1&lt;/color&gt;秒,若狐火击杀敌人则有&lt;color=#54b76b&gt;55%&lt;/color&gt;概率使本次狐火弹射+&lt;color=#54b76b&gt;1&lt;/color&gt;</v>
      </c>
      <c r="AC789" s="35">
        <v>5301291</v>
      </c>
      <c r="AD789" s="35" t="s">
        <v>202</v>
      </c>
      <c r="AE789" s="35">
        <v>100</v>
      </c>
      <c r="AG789" s="35">
        <v>1</v>
      </c>
      <c r="AH789" s="35">
        <v>1</v>
      </c>
      <c r="AI789" s="36"/>
      <c r="AJ789" s="35" t="s">
        <v>1098</v>
      </c>
      <c r="AK789" s="36"/>
      <c r="AL789" s="35">
        <v>8</v>
      </c>
    </row>
    <row r="790" hidden="1" customHeight="1" spans="1:38">
      <c r="A790" s="35">
        <v>5510605</v>
      </c>
      <c r="B790" s="35" t="s">
        <v>1075</v>
      </c>
      <c r="C790" s="35">
        <v>5301291</v>
      </c>
      <c r="D790" s="35">
        <v>5</v>
      </c>
      <c r="E790" s="35"/>
      <c r="F790" s="35" t="s">
        <v>230</v>
      </c>
      <c r="G790" s="36" t="str">
        <f t="shared" si="270"/>
        <v/>
      </c>
      <c r="H790" s="36" t="str">
        <f>IFERROR(IF(--MID($F790,2*COUNTIF($G790:G790,"&gt;"&amp;0)+2,1)=H$1,H$1,""),"")</f>
        <v/>
      </c>
      <c r="I790" s="36" t="str">
        <f>IFERROR(IF(--MID($F790,2*COUNTIF($G790:H790,"&gt;"&amp;0)+2,1)=I$1,I$1,""),"")</f>
        <v/>
      </c>
      <c r="J790" s="36" t="str">
        <f>IFERROR(IF(--MID($F790,2*COUNTIF($G790:I790,"&gt;"&amp;0)+2,1)=J$1,J$1,""),"")</f>
        <v/>
      </c>
      <c r="K790" s="36">
        <f>IFERROR(IF(--MID($F790,2*COUNTIF($G790:J790,"&gt;"&amp;0)+2,1)=K$1,K$1,""),"")</f>
        <v>5</v>
      </c>
      <c r="L790" s="36" t="str">
        <f>IFERROR(IF(--MID($F790,2*COUNTIF($G790:K790,"&gt;"&amp;0)+2,1)=L$1,L$1,""),"")</f>
        <v/>
      </c>
      <c r="M790" s="36" t="e" cm="1">
        <f t="array" ref="M790">IF(A790="","",_xlfn.XLOOKUP(D790&amp;"_"&amp;AE790,符文权重!A:A&amp;"_"&amp;符文权重!C:C,符文权重!D:D))</f>
        <v>#N/A</v>
      </c>
      <c r="N790" s="36"/>
      <c r="O790" s="36"/>
      <c r="P790" s="36"/>
      <c r="Q790" s="36"/>
      <c r="R790" s="36"/>
      <c r="S790" s="35" t="s">
        <v>344</v>
      </c>
      <c r="T790" s="35" t="s">
        <v>1076</v>
      </c>
      <c r="U790" s="35" t="s">
        <v>423</v>
      </c>
      <c r="V790" s="35" t="s">
        <v>1099</v>
      </c>
      <c r="W790" s="35"/>
      <c r="X790" s="35" t="s">
        <v>820</v>
      </c>
      <c r="Y790" s="35">
        <v>100</v>
      </c>
      <c r="AA790" s="35" t="s">
        <v>187</v>
      </c>
      <c r="AB790" s="42" t="str">
        <f t="shared" si="268"/>
        <v>妲己狐火持续时间&lt;color=#54b76b&gt;+1&lt;/color&gt;秒,若狐火击杀敌人则有&lt;color=#54b76b&gt;70%&lt;/color&gt;概率使本次狐火弹射+&lt;color=#54b76b&gt;1&lt;/color&gt;</v>
      </c>
      <c r="AC790" s="35">
        <v>5301291</v>
      </c>
      <c r="AD790" s="35" t="s">
        <v>202</v>
      </c>
      <c r="AE790" s="35">
        <v>100</v>
      </c>
      <c r="AG790" s="35">
        <v>1</v>
      </c>
      <c r="AH790" s="35">
        <v>1</v>
      </c>
      <c r="AI790" s="36"/>
      <c r="AJ790" s="35" t="s">
        <v>1100</v>
      </c>
      <c r="AK790" s="36"/>
      <c r="AL790" s="35">
        <v>8</v>
      </c>
    </row>
    <row r="791" hidden="1" customHeight="1" spans="1:38">
      <c r="A791" s="35">
        <v>5510606</v>
      </c>
      <c r="B791" s="35" t="s">
        <v>1075</v>
      </c>
      <c r="C791" s="35">
        <v>5301291</v>
      </c>
      <c r="D791" s="35">
        <v>6</v>
      </c>
      <c r="E791" s="35"/>
      <c r="F791" s="35" t="s">
        <v>230</v>
      </c>
      <c r="G791" s="36" t="str">
        <f t="shared" si="270"/>
        <v/>
      </c>
      <c r="H791" s="36" t="str">
        <f>IFERROR(IF(--MID($F791,2*COUNTIF($G791:G791,"&gt;"&amp;0)+2,1)=H$1,H$1,""),"")</f>
        <v/>
      </c>
      <c r="I791" s="36" t="str">
        <f>IFERROR(IF(--MID($F791,2*COUNTIF($G791:H791,"&gt;"&amp;0)+2,1)=I$1,I$1,""),"")</f>
        <v/>
      </c>
      <c r="J791" s="36" t="str">
        <f>IFERROR(IF(--MID($F791,2*COUNTIF($G791:I791,"&gt;"&amp;0)+2,1)=J$1,J$1,""),"")</f>
        <v/>
      </c>
      <c r="K791" s="36">
        <f>IFERROR(IF(--MID($F791,2*COUNTIF($G791:J791,"&gt;"&amp;0)+2,1)=K$1,K$1,""),"")</f>
        <v>5</v>
      </c>
      <c r="L791" s="36" t="str">
        <f>IFERROR(IF(--MID($F791,2*COUNTIF($G791:K791,"&gt;"&amp;0)+2,1)=L$1,L$1,""),"")</f>
        <v/>
      </c>
      <c r="M791" s="36" t="e" cm="1">
        <f t="array" ref="M791">IF(A791="","",_xlfn.XLOOKUP(D791&amp;"_"&amp;AE791,符文权重!A:A&amp;"_"&amp;符文权重!C:C,符文权重!D:D))</f>
        <v>#N/A</v>
      </c>
      <c r="N791" s="36"/>
      <c r="O791" s="36"/>
      <c r="P791" s="36"/>
      <c r="Q791" s="36"/>
      <c r="R791" s="36"/>
      <c r="S791" s="35" t="s">
        <v>344</v>
      </c>
      <c r="T791" s="35" t="s">
        <v>1076</v>
      </c>
      <c r="U791" s="35" t="s">
        <v>426</v>
      </c>
      <c r="V791" s="35" t="s">
        <v>1101</v>
      </c>
      <c r="W791" s="35"/>
      <c r="X791" s="35" t="s">
        <v>823</v>
      </c>
      <c r="Y791" s="35">
        <v>100</v>
      </c>
      <c r="AA791" s="35" t="s">
        <v>189</v>
      </c>
      <c r="AB791" s="42" t="str">
        <f t="shared" si="268"/>
        <v>妲己狐火持续时间&lt;color=#54b76b&gt;+2&lt;/color&gt;秒,若狐火击杀敌人则有&lt;color=#54b76b&gt;85%&lt;/color&gt;概率使本次狐火弹射+&lt;color=#54b76b&gt;1&lt;/color&gt;</v>
      </c>
      <c r="AC791" s="35">
        <v>5301291</v>
      </c>
      <c r="AD791" s="35" t="s">
        <v>211</v>
      </c>
      <c r="AE791" s="35">
        <v>100</v>
      </c>
      <c r="AG791" s="35">
        <v>1</v>
      </c>
      <c r="AH791" s="35">
        <v>1</v>
      </c>
      <c r="AI791" s="36"/>
      <c r="AJ791" s="35" t="s">
        <v>1102</v>
      </c>
      <c r="AK791" s="36"/>
      <c r="AL791" s="35">
        <v>8</v>
      </c>
    </row>
    <row r="792" hidden="1" customHeight="1" spans="1:38">
      <c r="A792" s="35">
        <v>5510607</v>
      </c>
      <c r="B792" s="35" t="s">
        <v>1075</v>
      </c>
      <c r="C792" s="35">
        <v>5301291</v>
      </c>
      <c r="D792" s="35">
        <v>7</v>
      </c>
      <c r="E792" s="35"/>
      <c r="F792" s="35" t="s">
        <v>230</v>
      </c>
      <c r="G792" s="36" t="str">
        <f t="shared" si="270"/>
        <v/>
      </c>
      <c r="H792" s="36" t="str">
        <f>IFERROR(IF(--MID($F792,2*COUNTIF($G792:G792,"&gt;"&amp;0)+2,1)=H$1,H$1,""),"")</f>
        <v/>
      </c>
      <c r="I792" s="36" t="str">
        <f>IFERROR(IF(--MID($F792,2*COUNTIF($G792:H792,"&gt;"&amp;0)+2,1)=I$1,I$1,""),"")</f>
        <v/>
      </c>
      <c r="J792" s="36" t="str">
        <f>IFERROR(IF(--MID($F792,2*COUNTIF($G792:I792,"&gt;"&amp;0)+2,1)=J$1,J$1,""),"")</f>
        <v/>
      </c>
      <c r="K792" s="36">
        <f>IFERROR(IF(--MID($F792,2*COUNTIF($G792:J792,"&gt;"&amp;0)+2,1)=K$1,K$1,""),"")</f>
        <v>5</v>
      </c>
      <c r="L792" s="36" t="str">
        <f>IFERROR(IF(--MID($F792,2*COUNTIF($G792:K792,"&gt;"&amp;0)+2,1)=L$1,L$1,""),"")</f>
        <v/>
      </c>
      <c r="M792" s="36" t="e" cm="1">
        <f t="array" ref="M792">IF(A792="","",_xlfn.XLOOKUP(D792&amp;"_"&amp;AE792,符文权重!A:A&amp;"_"&amp;符文权重!C:C,符文权重!D:D))</f>
        <v>#N/A</v>
      </c>
      <c r="N792" s="36"/>
      <c r="O792" s="36"/>
      <c r="P792" s="36"/>
      <c r="Q792" s="36"/>
      <c r="R792" s="36"/>
      <c r="S792" s="35" t="s">
        <v>344</v>
      </c>
      <c r="T792" s="35" t="s">
        <v>1076</v>
      </c>
      <c r="U792" s="35" t="s">
        <v>429</v>
      </c>
      <c r="V792" s="35" t="s">
        <v>1103</v>
      </c>
      <c r="W792" s="35"/>
      <c r="X792" s="35" t="s">
        <v>826</v>
      </c>
      <c r="Y792" s="35">
        <v>100</v>
      </c>
      <c r="AA792" s="35" t="s">
        <v>191</v>
      </c>
      <c r="AB792" s="42" t="str">
        <f t="shared" si="268"/>
        <v>妲己狐火持续时间&lt;color=#54b76b&gt;+3&lt;/color&gt;秒,若狐火击杀敌人则有&lt;color=#54b76b&gt;100%&lt;/color&gt;概率使本次狐火弹射+&lt;color=#54b76b&gt;1&lt;/color&gt;</v>
      </c>
      <c r="AC792" s="35">
        <v>5301291</v>
      </c>
      <c r="AD792" s="35" t="s">
        <v>193</v>
      </c>
      <c r="AE792" s="35">
        <v>100</v>
      </c>
      <c r="AG792" s="35">
        <v>1</v>
      </c>
      <c r="AH792" s="35">
        <v>1</v>
      </c>
      <c r="AI792" s="36"/>
      <c r="AJ792" s="35" t="s">
        <v>1104</v>
      </c>
      <c r="AK792" s="36"/>
      <c r="AL792" s="35">
        <v>8</v>
      </c>
    </row>
    <row r="793" s="25" customFormat="1" hidden="1" customHeight="1" spans="1:38">
      <c r="A793" s="33">
        <v>5301101</v>
      </c>
      <c r="B793" s="34"/>
      <c r="C793" s="35">
        <v>5301101</v>
      </c>
      <c r="D793" s="36">
        <v>1</v>
      </c>
      <c r="E793" s="36"/>
      <c r="F793" s="36" t="s">
        <v>174</v>
      </c>
      <c r="G793" s="36">
        <f t="shared" si="270"/>
        <v>1</v>
      </c>
      <c r="H793" s="36">
        <f>IFERROR(IF(--MID($F793,2*COUNTIF($G793:G793,"&gt;"&amp;0)+2,1)=H$1,H$1,""),"")</f>
        <v>2</v>
      </c>
      <c r="I793" s="36">
        <f>IFERROR(IF(--MID($F793,2*COUNTIF($G793:H793,"&gt;"&amp;0)+2,1)=I$1,I$1,""),"")</f>
        <v>3</v>
      </c>
      <c r="J793" s="36">
        <f>IFERROR(IF(--MID($F793,2*COUNTIF($G793:I793,"&gt;"&amp;0)+2,1)=J$1,J$1,""),"")</f>
        <v>4</v>
      </c>
      <c r="K793" s="36">
        <f>IFERROR(IF(--MID($F793,2*COUNTIF($G793:J793,"&gt;"&amp;0)+2,1)=K$1,K$1,""),"")</f>
        <v>5</v>
      </c>
      <c r="L793" s="36">
        <f>IFERROR(IF(--MID($F793,2*COUNTIF($G793:K793,"&gt;"&amp;0)+2,1)=L$1,L$1,""),"")</f>
        <v>6</v>
      </c>
      <c r="M793" s="36" t="e" cm="1">
        <f t="array" ref="M793">IF(A793="","",_xlfn.XLOOKUP(D793&amp;"_"&amp;AE793,符文权重!A:A&amp;"_"&amp;符文权重!C:C,符文权重!D:D))</f>
        <v>#N/A</v>
      </c>
      <c r="N793" s="36"/>
      <c r="O793" s="36"/>
      <c r="P793" s="36"/>
      <c r="Q793" s="36"/>
      <c r="R793" s="36"/>
      <c r="S793" s="36" t="s">
        <v>175</v>
      </c>
      <c r="T793" s="36"/>
      <c r="U793" s="36" t="s">
        <v>413</v>
      </c>
      <c r="W793" s="41" t="s">
        <v>176</v>
      </c>
      <c r="X793" s="35" t="s">
        <v>1105</v>
      </c>
      <c r="Y793" s="35">
        <v>100</v>
      </c>
      <c r="Z793" s="35"/>
      <c r="AA793" s="36" t="s">
        <v>177</v>
      </c>
      <c r="AB793" s="36" t="s">
        <v>1106</v>
      </c>
      <c r="AC793" s="78">
        <v>5501011</v>
      </c>
      <c r="AD793" s="36" t="s">
        <v>428</v>
      </c>
      <c r="AE793" s="36">
        <v>100</v>
      </c>
      <c r="AF793" s="36"/>
      <c r="AG793" s="79">
        <v>1</v>
      </c>
      <c r="AH793" s="36">
        <v>0</v>
      </c>
      <c r="AI793" s="33"/>
      <c r="AJ793" s="37"/>
      <c r="AK793" s="35"/>
      <c r="AL793" s="35"/>
    </row>
    <row r="794" s="25" customFormat="1" hidden="1" customHeight="1" spans="1:38">
      <c r="A794" s="33">
        <v>5302101</v>
      </c>
      <c r="B794" s="34"/>
      <c r="C794" s="35">
        <v>5301101</v>
      </c>
      <c r="D794" s="36">
        <v>2</v>
      </c>
      <c r="E794" s="36"/>
      <c r="F794" s="36" t="s">
        <v>174</v>
      </c>
      <c r="G794" s="36">
        <f t="shared" si="270"/>
        <v>1</v>
      </c>
      <c r="H794" s="36">
        <f>IFERROR(IF(--MID($F794,2*COUNTIF($G794:G794,"&gt;"&amp;0)+2,1)=H$1,H$1,""),"")</f>
        <v>2</v>
      </c>
      <c r="I794" s="36">
        <f>IFERROR(IF(--MID($F794,2*COUNTIF($G794:H794,"&gt;"&amp;0)+2,1)=I$1,I$1,""),"")</f>
        <v>3</v>
      </c>
      <c r="J794" s="36">
        <f>IFERROR(IF(--MID($F794,2*COUNTIF($G794:I794,"&gt;"&amp;0)+2,1)=J$1,J$1,""),"")</f>
        <v>4</v>
      </c>
      <c r="K794" s="36">
        <f>IFERROR(IF(--MID($F794,2*COUNTIF($G794:J794,"&gt;"&amp;0)+2,1)=K$1,K$1,""),"")</f>
        <v>5</v>
      </c>
      <c r="L794" s="36">
        <f>IFERROR(IF(--MID($F794,2*COUNTIF($G794:K794,"&gt;"&amp;0)+2,1)=L$1,L$1,""),"")</f>
        <v>6</v>
      </c>
      <c r="M794" s="36" t="e" cm="1">
        <f t="array" ref="M794">IF(A794="","",_xlfn.XLOOKUP(D794&amp;"_"&amp;AE794,符文权重!A:A&amp;"_"&amp;符文权重!C:C,符文权重!D:D))</f>
        <v>#N/A</v>
      </c>
      <c r="N794" s="36"/>
      <c r="O794" s="36"/>
      <c r="P794" s="36"/>
      <c r="Q794" s="36"/>
      <c r="R794" s="36"/>
      <c r="S794" s="36" t="s">
        <v>175</v>
      </c>
      <c r="T794" s="36"/>
      <c r="U794" s="36" t="s">
        <v>415</v>
      </c>
      <c r="W794" s="41" t="s">
        <v>180</v>
      </c>
      <c r="X794" s="35" t="s">
        <v>738</v>
      </c>
      <c r="Y794" s="35">
        <v>100</v>
      </c>
      <c r="Z794" s="35"/>
      <c r="AA794" s="36" t="s">
        <v>181</v>
      </c>
      <c r="AB794" s="36" t="s">
        <v>1107</v>
      </c>
      <c r="AC794" s="78">
        <v>5501011</v>
      </c>
      <c r="AD794" s="36" t="s">
        <v>487</v>
      </c>
      <c r="AE794" s="36">
        <v>100</v>
      </c>
      <c r="AF794" s="36" t="s">
        <v>178</v>
      </c>
      <c r="AG794" s="79">
        <v>1</v>
      </c>
      <c r="AH794" s="36">
        <v>0</v>
      </c>
      <c r="AI794" s="33"/>
      <c r="AJ794" s="37"/>
      <c r="AK794" s="35"/>
      <c r="AL794" s="35"/>
    </row>
    <row r="795" s="25" customFormat="1" hidden="1" customHeight="1" spans="1:38">
      <c r="A795" s="33">
        <v>5303101</v>
      </c>
      <c r="B795" s="34"/>
      <c r="C795" s="35">
        <v>5301101</v>
      </c>
      <c r="D795" s="36">
        <v>3</v>
      </c>
      <c r="E795" s="36"/>
      <c r="F795" s="36" t="s">
        <v>174</v>
      </c>
      <c r="G795" s="36">
        <f t="shared" si="270"/>
        <v>1</v>
      </c>
      <c r="H795" s="36">
        <f>IFERROR(IF(--MID($F795,2*COUNTIF($G795:G795,"&gt;"&amp;0)+2,1)=H$1,H$1,""),"")</f>
        <v>2</v>
      </c>
      <c r="I795" s="36">
        <f>IFERROR(IF(--MID($F795,2*COUNTIF($G795:H795,"&gt;"&amp;0)+2,1)=I$1,I$1,""),"")</f>
        <v>3</v>
      </c>
      <c r="J795" s="36">
        <f>IFERROR(IF(--MID($F795,2*COUNTIF($G795:I795,"&gt;"&amp;0)+2,1)=J$1,J$1,""),"")</f>
        <v>4</v>
      </c>
      <c r="K795" s="36">
        <f>IFERROR(IF(--MID($F795,2*COUNTIF($G795:J795,"&gt;"&amp;0)+2,1)=K$1,K$1,""),"")</f>
        <v>5</v>
      </c>
      <c r="L795" s="36">
        <f>IFERROR(IF(--MID($F795,2*COUNTIF($G795:K795,"&gt;"&amp;0)+2,1)=L$1,L$1,""),"")</f>
        <v>6</v>
      </c>
      <c r="M795" s="36" t="e" cm="1">
        <f t="array" ref="M795">IF(A795="","",_xlfn.XLOOKUP(D795&amp;"_"&amp;AE795,符文权重!A:A&amp;"_"&amp;符文权重!C:C,符文权重!D:D))</f>
        <v>#N/A</v>
      </c>
      <c r="N795" s="36"/>
      <c r="O795" s="36"/>
      <c r="P795" s="36"/>
      <c r="Q795" s="36"/>
      <c r="R795" s="36"/>
      <c r="S795" s="36" t="s">
        <v>175</v>
      </c>
      <c r="T795" s="36"/>
      <c r="U795" s="36" t="s">
        <v>417</v>
      </c>
      <c r="W795" s="36" t="s">
        <v>182</v>
      </c>
      <c r="X795" s="35" t="s">
        <v>741</v>
      </c>
      <c r="Y795" s="35">
        <v>100</v>
      </c>
      <c r="Z795" s="35"/>
      <c r="AA795" s="36" t="s">
        <v>183</v>
      </c>
      <c r="AB795" s="36" t="s">
        <v>1108</v>
      </c>
      <c r="AC795" s="78">
        <v>5501011</v>
      </c>
      <c r="AD795" s="36" t="s">
        <v>497</v>
      </c>
      <c r="AE795" s="36">
        <v>100</v>
      </c>
      <c r="AF795" s="36" t="s">
        <v>178</v>
      </c>
      <c r="AG795" s="79">
        <v>1</v>
      </c>
      <c r="AH795" s="36">
        <v>0</v>
      </c>
      <c r="AI795" s="33"/>
      <c r="AJ795" s="37"/>
      <c r="AK795" s="35"/>
      <c r="AL795" s="35"/>
    </row>
    <row r="796" s="25" customFormat="1" hidden="1" customHeight="1" spans="1:38">
      <c r="A796" s="33">
        <v>5304101</v>
      </c>
      <c r="B796" s="34"/>
      <c r="C796" s="35">
        <v>5301101</v>
      </c>
      <c r="D796" s="36">
        <v>4</v>
      </c>
      <c r="E796" s="36"/>
      <c r="F796" s="36" t="s">
        <v>174</v>
      </c>
      <c r="G796" s="36">
        <f t="shared" si="270"/>
        <v>1</v>
      </c>
      <c r="H796" s="36">
        <f>IFERROR(IF(--MID($F796,2*COUNTIF($G796:G796,"&gt;"&amp;0)+2,1)=H$1,H$1,""),"")</f>
        <v>2</v>
      </c>
      <c r="I796" s="36">
        <f>IFERROR(IF(--MID($F796,2*COUNTIF($G796:H796,"&gt;"&amp;0)+2,1)=I$1,I$1,""),"")</f>
        <v>3</v>
      </c>
      <c r="J796" s="36">
        <f>IFERROR(IF(--MID($F796,2*COUNTIF($G796:I796,"&gt;"&amp;0)+2,1)=J$1,J$1,""),"")</f>
        <v>4</v>
      </c>
      <c r="K796" s="36">
        <f>IFERROR(IF(--MID($F796,2*COUNTIF($G796:J796,"&gt;"&amp;0)+2,1)=K$1,K$1,""),"")</f>
        <v>5</v>
      </c>
      <c r="L796" s="36">
        <f>IFERROR(IF(--MID($F796,2*COUNTIF($G796:K796,"&gt;"&amp;0)+2,1)=L$1,L$1,""),"")</f>
        <v>6</v>
      </c>
      <c r="M796" s="36" t="e" cm="1">
        <f t="array" ref="M796">IF(A796="","",_xlfn.XLOOKUP(D796&amp;"_"&amp;AE796,符文权重!A:A&amp;"_"&amp;符文权重!C:C,符文权重!D:D))</f>
        <v>#N/A</v>
      </c>
      <c r="N796" s="36"/>
      <c r="O796" s="36"/>
      <c r="P796" s="36"/>
      <c r="Q796" s="36"/>
      <c r="R796" s="36"/>
      <c r="S796" s="36" t="s">
        <v>175</v>
      </c>
      <c r="T796" s="36"/>
      <c r="U796" s="36" t="s">
        <v>420</v>
      </c>
      <c r="W796" s="36" t="s">
        <v>184</v>
      </c>
      <c r="X796" s="35" t="s">
        <v>743</v>
      </c>
      <c r="Y796" s="35">
        <v>100</v>
      </c>
      <c r="Z796" s="35"/>
      <c r="AA796" s="36" t="s">
        <v>185</v>
      </c>
      <c r="AB796" s="36" t="s">
        <v>1109</v>
      </c>
      <c r="AC796" s="78">
        <v>5501011</v>
      </c>
      <c r="AD796" s="36" t="s">
        <v>596</v>
      </c>
      <c r="AE796" s="36">
        <v>100</v>
      </c>
      <c r="AF796" s="36" t="s">
        <v>178</v>
      </c>
      <c r="AG796" s="79">
        <v>1</v>
      </c>
      <c r="AH796" s="36">
        <v>0</v>
      </c>
      <c r="AI796" s="33"/>
      <c r="AJ796" s="37"/>
      <c r="AK796" s="35"/>
      <c r="AL796" s="35"/>
    </row>
    <row r="797" s="25" customFormat="1" hidden="1" customHeight="1" spans="1:38">
      <c r="A797" s="33">
        <v>5305101</v>
      </c>
      <c r="B797" s="34"/>
      <c r="C797" s="35">
        <v>5301101</v>
      </c>
      <c r="D797" s="36">
        <v>5</v>
      </c>
      <c r="E797" s="36"/>
      <c r="F797" s="36" t="s">
        <v>174</v>
      </c>
      <c r="G797" s="36">
        <f t="shared" si="270"/>
        <v>1</v>
      </c>
      <c r="H797" s="36">
        <f>IFERROR(IF(--MID($F797,2*COUNTIF($G797:G797,"&gt;"&amp;0)+2,1)=H$1,H$1,""),"")</f>
        <v>2</v>
      </c>
      <c r="I797" s="36">
        <f>IFERROR(IF(--MID($F797,2*COUNTIF($G797:H797,"&gt;"&amp;0)+2,1)=I$1,I$1,""),"")</f>
        <v>3</v>
      </c>
      <c r="J797" s="36">
        <f>IFERROR(IF(--MID($F797,2*COUNTIF($G797:I797,"&gt;"&amp;0)+2,1)=J$1,J$1,""),"")</f>
        <v>4</v>
      </c>
      <c r="K797" s="36">
        <f>IFERROR(IF(--MID($F797,2*COUNTIF($G797:J797,"&gt;"&amp;0)+2,1)=K$1,K$1,""),"")</f>
        <v>5</v>
      </c>
      <c r="L797" s="36">
        <f>IFERROR(IF(--MID($F797,2*COUNTIF($G797:K797,"&gt;"&amp;0)+2,1)=L$1,L$1,""),"")</f>
        <v>6</v>
      </c>
      <c r="M797" s="36" t="e" cm="1">
        <f t="array" ref="M797">IF(A797="","",_xlfn.XLOOKUP(D797&amp;"_"&amp;AE797,符文权重!A:A&amp;"_"&amp;符文权重!C:C,符文权重!D:D))</f>
        <v>#N/A</v>
      </c>
      <c r="N797" s="36"/>
      <c r="O797" s="36"/>
      <c r="P797" s="36"/>
      <c r="Q797" s="36"/>
      <c r="R797" s="36"/>
      <c r="S797" s="36" t="s">
        <v>175</v>
      </c>
      <c r="T797" s="36"/>
      <c r="U797" s="36" t="s">
        <v>423</v>
      </c>
      <c r="W797" s="36" t="s">
        <v>186</v>
      </c>
      <c r="X797" s="35" t="s">
        <v>1110</v>
      </c>
      <c r="Y797" s="35">
        <v>100</v>
      </c>
      <c r="Z797" s="35"/>
      <c r="AA797" s="36" t="s">
        <v>187</v>
      </c>
      <c r="AB797" s="36" t="s">
        <v>1111</v>
      </c>
      <c r="AC797" s="78">
        <v>5501011</v>
      </c>
      <c r="AD797" s="36" t="s">
        <v>1112</v>
      </c>
      <c r="AE797" s="36">
        <v>100</v>
      </c>
      <c r="AF797" s="36" t="s">
        <v>178</v>
      </c>
      <c r="AG797" s="79">
        <v>1</v>
      </c>
      <c r="AH797" s="36">
        <v>0</v>
      </c>
      <c r="AI797" s="33"/>
      <c r="AJ797" s="37"/>
      <c r="AK797" s="35"/>
      <c r="AL797" s="35"/>
    </row>
    <row r="798" s="25" customFormat="1" hidden="1" customHeight="1" spans="1:38">
      <c r="A798" s="33">
        <v>5306101</v>
      </c>
      <c r="B798" s="34"/>
      <c r="C798" s="35">
        <v>5301101</v>
      </c>
      <c r="D798" s="36">
        <v>6</v>
      </c>
      <c r="E798" s="36"/>
      <c r="F798" s="36" t="s">
        <v>174</v>
      </c>
      <c r="G798" s="36">
        <f t="shared" si="270"/>
        <v>1</v>
      </c>
      <c r="H798" s="36">
        <f>IFERROR(IF(--MID($F798,2*COUNTIF($G798:G798,"&gt;"&amp;0)+2,1)=H$1,H$1,""),"")</f>
        <v>2</v>
      </c>
      <c r="I798" s="36">
        <f>IFERROR(IF(--MID($F798,2*COUNTIF($G798:H798,"&gt;"&amp;0)+2,1)=I$1,I$1,""),"")</f>
        <v>3</v>
      </c>
      <c r="J798" s="36">
        <f>IFERROR(IF(--MID($F798,2*COUNTIF($G798:I798,"&gt;"&amp;0)+2,1)=J$1,J$1,""),"")</f>
        <v>4</v>
      </c>
      <c r="K798" s="36">
        <f>IFERROR(IF(--MID($F798,2*COUNTIF($G798:J798,"&gt;"&amp;0)+2,1)=K$1,K$1,""),"")</f>
        <v>5</v>
      </c>
      <c r="L798" s="36">
        <f>IFERROR(IF(--MID($F798,2*COUNTIF($G798:K798,"&gt;"&amp;0)+2,1)=L$1,L$1,""),"")</f>
        <v>6</v>
      </c>
      <c r="M798" s="36" t="e" cm="1">
        <f t="array" ref="M798">IF(A798="","",_xlfn.XLOOKUP(D798&amp;"_"&amp;AE798,符文权重!A:A&amp;"_"&amp;符文权重!C:C,符文权重!D:D))</f>
        <v>#N/A</v>
      </c>
      <c r="N798" s="36"/>
      <c r="O798" s="36"/>
      <c r="P798" s="36"/>
      <c r="Q798" s="36"/>
      <c r="R798" s="36"/>
      <c r="S798" s="36" t="s">
        <v>175</v>
      </c>
      <c r="T798" s="36"/>
      <c r="U798" s="36" t="s">
        <v>426</v>
      </c>
      <c r="W798" s="36" t="s">
        <v>188</v>
      </c>
      <c r="X798" s="35" t="s">
        <v>1113</v>
      </c>
      <c r="Y798" s="35">
        <v>100</v>
      </c>
      <c r="Z798" s="35"/>
      <c r="AA798" s="36" t="s">
        <v>189</v>
      </c>
      <c r="AB798" s="36" t="s">
        <v>1114</v>
      </c>
      <c r="AC798" s="78">
        <v>5501011</v>
      </c>
      <c r="AD798" s="36" t="s">
        <v>458</v>
      </c>
      <c r="AE798" s="36">
        <v>100</v>
      </c>
      <c r="AF798" s="36" t="s">
        <v>178</v>
      </c>
      <c r="AG798" s="79">
        <v>1</v>
      </c>
      <c r="AH798" s="36">
        <v>0</v>
      </c>
      <c r="AI798" s="33"/>
      <c r="AJ798" s="37"/>
      <c r="AK798" s="35"/>
      <c r="AL798" s="35"/>
    </row>
    <row r="799" s="25" customFormat="1" hidden="1" customHeight="1" spans="1:38">
      <c r="A799" s="33">
        <v>5307101</v>
      </c>
      <c r="B799" s="34"/>
      <c r="C799" s="35">
        <v>5301101</v>
      </c>
      <c r="D799" s="36">
        <v>7</v>
      </c>
      <c r="E799" s="36"/>
      <c r="F799" s="36" t="s">
        <v>174</v>
      </c>
      <c r="G799" s="36">
        <f t="shared" si="270"/>
        <v>1</v>
      </c>
      <c r="H799" s="36">
        <f>IFERROR(IF(--MID($F799,2*COUNTIF($G799:G799,"&gt;"&amp;0)+2,1)=H$1,H$1,""),"")</f>
        <v>2</v>
      </c>
      <c r="I799" s="36">
        <f>IFERROR(IF(--MID($F799,2*COUNTIF($G799:H799,"&gt;"&amp;0)+2,1)=I$1,I$1,""),"")</f>
        <v>3</v>
      </c>
      <c r="J799" s="36">
        <f>IFERROR(IF(--MID($F799,2*COUNTIF($G799:I799,"&gt;"&amp;0)+2,1)=J$1,J$1,""),"")</f>
        <v>4</v>
      </c>
      <c r="K799" s="36">
        <f>IFERROR(IF(--MID($F799,2*COUNTIF($G799:J799,"&gt;"&amp;0)+2,1)=K$1,K$1,""),"")</f>
        <v>5</v>
      </c>
      <c r="L799" s="36">
        <f>IFERROR(IF(--MID($F799,2*COUNTIF($G799:K799,"&gt;"&amp;0)+2,1)=L$1,L$1,""),"")</f>
        <v>6</v>
      </c>
      <c r="M799" s="36" t="e" cm="1">
        <f t="array" ref="M799">IF(A799="","",_xlfn.XLOOKUP(D799&amp;"_"&amp;AE799,符文权重!A:A&amp;"_"&amp;符文权重!C:C,符文权重!D:D))</f>
        <v>#N/A</v>
      </c>
      <c r="N799" s="36"/>
      <c r="O799" s="36"/>
      <c r="P799" s="36"/>
      <c r="Q799" s="36"/>
      <c r="R799" s="36"/>
      <c r="S799" s="36" t="s">
        <v>175</v>
      </c>
      <c r="T799" s="36"/>
      <c r="U799" s="36" t="s">
        <v>429</v>
      </c>
      <c r="W799" s="36" t="s">
        <v>190</v>
      </c>
      <c r="X799" s="35" t="s">
        <v>1115</v>
      </c>
      <c r="Y799" s="35">
        <v>100</v>
      </c>
      <c r="Z799" s="35"/>
      <c r="AA799" s="36" t="s">
        <v>191</v>
      </c>
      <c r="AB799" s="36" t="s">
        <v>1116</v>
      </c>
      <c r="AC799" s="78">
        <v>5501011</v>
      </c>
      <c r="AD799" s="36" t="s">
        <v>898</v>
      </c>
      <c r="AE799" s="36">
        <v>100</v>
      </c>
      <c r="AF799" s="36" t="s">
        <v>178</v>
      </c>
      <c r="AG799" s="79">
        <v>1</v>
      </c>
      <c r="AH799" s="36">
        <v>0</v>
      </c>
      <c r="AI799" s="33"/>
      <c r="AJ799" s="37"/>
      <c r="AK799" s="35"/>
      <c r="AL799" s="35"/>
    </row>
    <row r="800" s="25" customFormat="1" hidden="1" customHeight="1" spans="1:38">
      <c r="A800" s="33">
        <v>5301102</v>
      </c>
      <c r="B800" s="34"/>
      <c r="C800" s="35">
        <v>5301102</v>
      </c>
      <c r="D800" s="36">
        <v>1</v>
      </c>
      <c r="E800" s="36"/>
      <c r="F800" s="36" t="s">
        <v>174</v>
      </c>
      <c r="G800" s="36">
        <f t="shared" si="270"/>
        <v>1</v>
      </c>
      <c r="H800" s="36">
        <f>IFERROR(IF(--MID($F800,2*COUNTIF($G800:G800,"&gt;"&amp;0)+2,1)=H$1,H$1,""),"")</f>
        <v>2</v>
      </c>
      <c r="I800" s="36">
        <f>IFERROR(IF(--MID($F800,2*COUNTIF($G800:H800,"&gt;"&amp;0)+2,1)=I$1,I$1,""),"")</f>
        <v>3</v>
      </c>
      <c r="J800" s="36">
        <f>IFERROR(IF(--MID($F800,2*COUNTIF($G800:I800,"&gt;"&amp;0)+2,1)=J$1,J$1,""),"")</f>
        <v>4</v>
      </c>
      <c r="K800" s="36">
        <f>IFERROR(IF(--MID($F800,2*COUNTIF($G800:J800,"&gt;"&amp;0)+2,1)=K$1,K$1,""),"")</f>
        <v>5</v>
      </c>
      <c r="L800" s="36">
        <f>IFERROR(IF(--MID($F800,2*COUNTIF($G800:K800,"&gt;"&amp;0)+2,1)=L$1,L$1,""),"")</f>
        <v>6</v>
      </c>
      <c r="M800" s="36" t="e" cm="1">
        <f t="array" ref="M800">IF(A800="","",_xlfn.XLOOKUP(D800&amp;"_"&amp;AE800,符文权重!A:A&amp;"_"&amp;符文权重!C:C,符文权重!D:D))</f>
        <v>#N/A</v>
      </c>
      <c r="N800" s="36"/>
      <c r="O800" s="36"/>
      <c r="P800" s="36"/>
      <c r="Q800" s="36"/>
      <c r="R800" s="36"/>
      <c r="S800" s="36" t="s">
        <v>192</v>
      </c>
      <c r="T800" s="36" t="s">
        <v>193</v>
      </c>
      <c r="U800" s="36" t="s">
        <v>413</v>
      </c>
      <c r="W800" s="36" t="s">
        <v>194</v>
      </c>
      <c r="X800" s="35" t="s">
        <v>1105</v>
      </c>
      <c r="Y800" s="35">
        <v>100</v>
      </c>
      <c r="Z800" s="35"/>
      <c r="AA800" s="36" t="s">
        <v>177</v>
      </c>
      <c r="AB800" s="36" t="s">
        <v>1117</v>
      </c>
      <c r="AC800" s="78">
        <v>5501021</v>
      </c>
      <c r="AD800" s="36" t="s">
        <v>487</v>
      </c>
      <c r="AE800" s="36">
        <v>100</v>
      </c>
      <c r="AF800" s="36" t="s">
        <v>178</v>
      </c>
      <c r="AG800" s="79">
        <v>1</v>
      </c>
      <c r="AH800" s="36">
        <v>0</v>
      </c>
      <c r="AI800" s="33"/>
      <c r="AJ800" s="37"/>
      <c r="AK800" s="35"/>
      <c r="AL800" s="35"/>
    </row>
    <row r="801" s="25" customFormat="1" hidden="1" customHeight="1" spans="1:38">
      <c r="A801" s="33">
        <v>5302102</v>
      </c>
      <c r="B801" s="34"/>
      <c r="C801" s="35">
        <v>5301102</v>
      </c>
      <c r="D801" s="36">
        <v>2</v>
      </c>
      <c r="E801" s="36"/>
      <c r="F801" s="36" t="s">
        <v>174</v>
      </c>
      <c r="G801" s="36">
        <f t="shared" si="270"/>
        <v>1</v>
      </c>
      <c r="H801" s="36">
        <f>IFERROR(IF(--MID($F801,2*COUNTIF($G801:G801,"&gt;"&amp;0)+2,1)=H$1,H$1,""),"")</f>
        <v>2</v>
      </c>
      <c r="I801" s="36">
        <f>IFERROR(IF(--MID($F801,2*COUNTIF($G801:H801,"&gt;"&amp;0)+2,1)=I$1,I$1,""),"")</f>
        <v>3</v>
      </c>
      <c r="J801" s="36">
        <f>IFERROR(IF(--MID($F801,2*COUNTIF($G801:I801,"&gt;"&amp;0)+2,1)=J$1,J$1,""),"")</f>
        <v>4</v>
      </c>
      <c r="K801" s="36">
        <f>IFERROR(IF(--MID($F801,2*COUNTIF($G801:J801,"&gt;"&amp;0)+2,1)=K$1,K$1,""),"")</f>
        <v>5</v>
      </c>
      <c r="L801" s="36">
        <f>IFERROR(IF(--MID($F801,2*COUNTIF($G801:K801,"&gt;"&amp;0)+2,1)=L$1,L$1,""),"")</f>
        <v>6</v>
      </c>
      <c r="M801" s="36" t="e" cm="1">
        <f t="array" ref="M801">IF(A801="","",_xlfn.XLOOKUP(D801&amp;"_"&amp;AE801,符文权重!A:A&amp;"_"&amp;符文权重!C:C,符文权重!D:D))</f>
        <v>#N/A</v>
      </c>
      <c r="N801" s="36"/>
      <c r="O801" s="36"/>
      <c r="P801" s="36"/>
      <c r="Q801" s="36"/>
      <c r="R801" s="36"/>
      <c r="S801" s="36" t="s">
        <v>192</v>
      </c>
      <c r="T801" s="36" t="s">
        <v>193</v>
      </c>
      <c r="U801" s="36" t="s">
        <v>415</v>
      </c>
      <c r="W801" s="36" t="s">
        <v>196</v>
      </c>
      <c r="X801" s="35" t="s">
        <v>743</v>
      </c>
      <c r="Y801" s="35">
        <v>100</v>
      </c>
      <c r="Z801" s="35"/>
      <c r="AA801" s="36" t="s">
        <v>181</v>
      </c>
      <c r="AB801" s="80" t="s">
        <v>1118</v>
      </c>
      <c r="AC801" s="78">
        <v>5501021</v>
      </c>
      <c r="AD801" s="36" t="s">
        <v>497</v>
      </c>
      <c r="AE801" s="36">
        <v>100</v>
      </c>
      <c r="AF801" s="36" t="s">
        <v>178</v>
      </c>
      <c r="AG801" s="79">
        <v>1</v>
      </c>
      <c r="AH801" s="36">
        <v>0</v>
      </c>
      <c r="AI801" s="33"/>
      <c r="AJ801" s="37"/>
      <c r="AK801" s="35"/>
      <c r="AL801" s="35"/>
    </row>
    <row r="802" s="25" customFormat="1" hidden="1" customHeight="1" spans="1:38">
      <c r="A802" s="33">
        <v>5303102</v>
      </c>
      <c r="B802" s="34"/>
      <c r="C802" s="35">
        <v>5301102</v>
      </c>
      <c r="D802" s="36">
        <v>3</v>
      </c>
      <c r="E802" s="36"/>
      <c r="F802" s="36" t="s">
        <v>174</v>
      </c>
      <c r="G802" s="36">
        <f t="shared" si="270"/>
        <v>1</v>
      </c>
      <c r="H802" s="36">
        <f>IFERROR(IF(--MID($F802,2*COUNTIF($G802:G802,"&gt;"&amp;0)+2,1)=H$1,H$1,""),"")</f>
        <v>2</v>
      </c>
      <c r="I802" s="36">
        <f>IFERROR(IF(--MID($F802,2*COUNTIF($G802:H802,"&gt;"&amp;0)+2,1)=I$1,I$1,""),"")</f>
        <v>3</v>
      </c>
      <c r="J802" s="36">
        <f>IFERROR(IF(--MID($F802,2*COUNTIF($G802:I802,"&gt;"&amp;0)+2,1)=J$1,J$1,""),"")</f>
        <v>4</v>
      </c>
      <c r="K802" s="36">
        <f>IFERROR(IF(--MID($F802,2*COUNTIF($G802:J802,"&gt;"&amp;0)+2,1)=K$1,K$1,""),"")</f>
        <v>5</v>
      </c>
      <c r="L802" s="36">
        <f>IFERROR(IF(--MID($F802,2*COUNTIF($G802:K802,"&gt;"&amp;0)+2,1)=L$1,L$1,""),"")</f>
        <v>6</v>
      </c>
      <c r="M802" s="36" t="e" cm="1">
        <f t="array" ref="M802">IF(A802="","",_xlfn.XLOOKUP(D802&amp;"_"&amp;AE802,符文权重!A:A&amp;"_"&amp;符文权重!C:C,符文权重!D:D))</f>
        <v>#N/A</v>
      </c>
      <c r="N802" s="36"/>
      <c r="O802" s="36"/>
      <c r="P802" s="36"/>
      <c r="Q802" s="36"/>
      <c r="R802" s="36"/>
      <c r="S802" s="36" t="s">
        <v>192</v>
      </c>
      <c r="T802" s="36" t="s">
        <v>193</v>
      </c>
      <c r="U802" s="36" t="s">
        <v>417</v>
      </c>
      <c r="W802" s="36" t="s">
        <v>197</v>
      </c>
      <c r="X802" s="35" t="s">
        <v>743</v>
      </c>
      <c r="Y802" s="35">
        <v>100</v>
      </c>
      <c r="Z802" s="35"/>
      <c r="AA802" s="36" t="s">
        <v>183</v>
      </c>
      <c r="AB802" s="36" t="s">
        <v>1119</v>
      </c>
      <c r="AC802" s="78">
        <v>5501021</v>
      </c>
      <c r="AD802" s="36" t="s">
        <v>596</v>
      </c>
      <c r="AE802" s="36">
        <v>100</v>
      </c>
      <c r="AF802" s="36" t="s">
        <v>178</v>
      </c>
      <c r="AG802" s="79">
        <v>1</v>
      </c>
      <c r="AH802" s="36">
        <v>0</v>
      </c>
      <c r="AI802" s="33"/>
      <c r="AJ802" s="37"/>
      <c r="AK802" s="35"/>
      <c r="AL802" s="35"/>
    </row>
    <row r="803" s="25" customFormat="1" hidden="1" customHeight="1" spans="1:38">
      <c r="A803" s="33">
        <v>5304102</v>
      </c>
      <c r="B803" s="34"/>
      <c r="C803" s="35">
        <v>5301102</v>
      </c>
      <c r="D803" s="36">
        <v>4</v>
      </c>
      <c r="E803" s="36"/>
      <c r="F803" s="36" t="s">
        <v>174</v>
      </c>
      <c r="G803" s="36">
        <f t="shared" si="270"/>
        <v>1</v>
      </c>
      <c r="H803" s="36">
        <f>IFERROR(IF(--MID($F803,2*COUNTIF($G803:G803,"&gt;"&amp;0)+2,1)=H$1,H$1,""),"")</f>
        <v>2</v>
      </c>
      <c r="I803" s="36">
        <f>IFERROR(IF(--MID($F803,2*COUNTIF($G803:H803,"&gt;"&amp;0)+2,1)=I$1,I$1,""),"")</f>
        <v>3</v>
      </c>
      <c r="J803" s="36">
        <f>IFERROR(IF(--MID($F803,2*COUNTIF($G803:I803,"&gt;"&amp;0)+2,1)=J$1,J$1,""),"")</f>
        <v>4</v>
      </c>
      <c r="K803" s="36">
        <f>IFERROR(IF(--MID($F803,2*COUNTIF($G803:J803,"&gt;"&amp;0)+2,1)=K$1,K$1,""),"")</f>
        <v>5</v>
      </c>
      <c r="L803" s="36">
        <f>IFERROR(IF(--MID($F803,2*COUNTIF($G803:K803,"&gt;"&amp;0)+2,1)=L$1,L$1,""),"")</f>
        <v>6</v>
      </c>
      <c r="M803" s="36" t="e" cm="1">
        <f t="array" ref="M803">IF(A803="","",_xlfn.XLOOKUP(D803&amp;"_"&amp;AE803,符文权重!A:A&amp;"_"&amp;符文权重!C:C,符文权重!D:D))</f>
        <v>#N/A</v>
      </c>
      <c r="N803" s="36"/>
      <c r="O803" s="36"/>
      <c r="P803" s="36"/>
      <c r="Q803" s="36"/>
      <c r="R803" s="36"/>
      <c r="S803" s="36" t="s">
        <v>192</v>
      </c>
      <c r="T803" s="36" t="s">
        <v>193</v>
      </c>
      <c r="U803" s="36" t="s">
        <v>420</v>
      </c>
      <c r="W803" s="36" t="s">
        <v>198</v>
      </c>
      <c r="X803" s="35" t="s">
        <v>743</v>
      </c>
      <c r="Y803" s="35">
        <v>100</v>
      </c>
      <c r="Z803" s="35"/>
      <c r="AA803" s="36" t="s">
        <v>185</v>
      </c>
      <c r="AB803" s="36" t="s">
        <v>1120</v>
      </c>
      <c r="AC803" s="78">
        <v>5501021</v>
      </c>
      <c r="AD803" s="36" t="s">
        <v>500</v>
      </c>
      <c r="AE803" s="36">
        <v>100</v>
      </c>
      <c r="AF803" s="36" t="s">
        <v>178</v>
      </c>
      <c r="AG803" s="79">
        <v>1</v>
      </c>
      <c r="AH803" s="36">
        <v>0</v>
      </c>
      <c r="AI803" s="33"/>
      <c r="AJ803" s="37"/>
      <c r="AK803" s="35"/>
      <c r="AL803" s="35"/>
    </row>
    <row r="804" s="25" customFormat="1" hidden="1" customHeight="1" spans="1:38">
      <c r="A804" s="33">
        <v>5305102</v>
      </c>
      <c r="B804" s="34"/>
      <c r="C804" s="35">
        <v>5301102</v>
      </c>
      <c r="D804" s="36">
        <v>5</v>
      </c>
      <c r="E804" s="36"/>
      <c r="F804" s="36" t="s">
        <v>174</v>
      </c>
      <c r="G804" s="36">
        <f t="shared" si="270"/>
        <v>1</v>
      </c>
      <c r="H804" s="36">
        <f>IFERROR(IF(--MID($F804,2*COUNTIF($G804:G804,"&gt;"&amp;0)+2,1)=H$1,H$1,""),"")</f>
        <v>2</v>
      </c>
      <c r="I804" s="36">
        <f>IFERROR(IF(--MID($F804,2*COUNTIF($G804:H804,"&gt;"&amp;0)+2,1)=I$1,I$1,""),"")</f>
        <v>3</v>
      </c>
      <c r="J804" s="36">
        <f>IFERROR(IF(--MID($F804,2*COUNTIF($G804:I804,"&gt;"&amp;0)+2,1)=J$1,J$1,""),"")</f>
        <v>4</v>
      </c>
      <c r="K804" s="36">
        <f>IFERROR(IF(--MID($F804,2*COUNTIF($G804:J804,"&gt;"&amp;0)+2,1)=K$1,K$1,""),"")</f>
        <v>5</v>
      </c>
      <c r="L804" s="36">
        <f>IFERROR(IF(--MID($F804,2*COUNTIF($G804:K804,"&gt;"&amp;0)+2,1)=L$1,L$1,""),"")</f>
        <v>6</v>
      </c>
      <c r="M804" s="36" t="e" cm="1">
        <f t="array" ref="M804">IF(A804="","",_xlfn.XLOOKUP(D804&amp;"_"&amp;AE804,符文权重!A:A&amp;"_"&amp;符文权重!C:C,符文权重!D:D))</f>
        <v>#N/A</v>
      </c>
      <c r="N804" s="36"/>
      <c r="O804" s="36"/>
      <c r="P804" s="36"/>
      <c r="Q804" s="36"/>
      <c r="R804" s="36"/>
      <c r="S804" s="36" t="s">
        <v>192</v>
      </c>
      <c r="T804" s="36" t="s">
        <v>193</v>
      </c>
      <c r="U804" s="36" t="s">
        <v>423</v>
      </c>
      <c r="W804" s="36" t="s">
        <v>199</v>
      </c>
      <c r="X804" s="35" t="s">
        <v>1110</v>
      </c>
      <c r="Y804" s="35">
        <v>100</v>
      </c>
      <c r="Z804" s="35"/>
      <c r="AA804" s="36" t="s">
        <v>187</v>
      </c>
      <c r="AB804" s="36" t="s">
        <v>1121</v>
      </c>
      <c r="AC804" s="78">
        <v>5501021</v>
      </c>
      <c r="AD804" s="36" t="s">
        <v>1122</v>
      </c>
      <c r="AE804" s="36">
        <v>100</v>
      </c>
      <c r="AF804" s="36" t="s">
        <v>178</v>
      </c>
      <c r="AG804" s="79">
        <v>1</v>
      </c>
      <c r="AH804" s="36">
        <v>0</v>
      </c>
      <c r="AI804" s="33"/>
      <c r="AJ804" s="37"/>
      <c r="AK804" s="35"/>
      <c r="AL804" s="35"/>
    </row>
    <row r="805" s="25" customFormat="1" hidden="1" customHeight="1" spans="1:38">
      <c r="A805" s="33">
        <v>5306102</v>
      </c>
      <c r="B805" s="34"/>
      <c r="C805" s="35">
        <v>5301102</v>
      </c>
      <c r="D805" s="36">
        <v>6</v>
      </c>
      <c r="E805" s="36"/>
      <c r="F805" s="36" t="s">
        <v>174</v>
      </c>
      <c r="G805" s="36">
        <f t="shared" si="270"/>
        <v>1</v>
      </c>
      <c r="H805" s="36">
        <f>IFERROR(IF(--MID($F805,2*COUNTIF($G805:G805,"&gt;"&amp;0)+2,1)=H$1,H$1,""),"")</f>
        <v>2</v>
      </c>
      <c r="I805" s="36">
        <f>IFERROR(IF(--MID($F805,2*COUNTIF($G805:H805,"&gt;"&amp;0)+2,1)=I$1,I$1,""),"")</f>
        <v>3</v>
      </c>
      <c r="J805" s="36">
        <f>IFERROR(IF(--MID($F805,2*COUNTIF($G805:I805,"&gt;"&amp;0)+2,1)=J$1,J$1,""),"")</f>
        <v>4</v>
      </c>
      <c r="K805" s="36">
        <f>IFERROR(IF(--MID($F805,2*COUNTIF($G805:J805,"&gt;"&amp;0)+2,1)=K$1,K$1,""),"")</f>
        <v>5</v>
      </c>
      <c r="L805" s="36">
        <f>IFERROR(IF(--MID($F805,2*COUNTIF($G805:K805,"&gt;"&amp;0)+2,1)=L$1,L$1,""),"")</f>
        <v>6</v>
      </c>
      <c r="M805" s="36" t="e" cm="1">
        <f t="array" ref="M805">IF(A805="","",_xlfn.XLOOKUP(D805&amp;"_"&amp;AE805,符文权重!A:A&amp;"_"&amp;符文权重!C:C,符文权重!D:D))</f>
        <v>#N/A</v>
      </c>
      <c r="N805" s="36"/>
      <c r="O805" s="36"/>
      <c r="P805" s="36"/>
      <c r="Q805" s="36"/>
      <c r="R805" s="36"/>
      <c r="S805" s="36" t="s">
        <v>192</v>
      </c>
      <c r="T805" s="36" t="s">
        <v>193</v>
      </c>
      <c r="U805" s="36" t="s">
        <v>426</v>
      </c>
      <c r="W805" s="36" t="s">
        <v>200</v>
      </c>
      <c r="X805" s="35" t="s">
        <v>1113</v>
      </c>
      <c r="Y805" s="35">
        <v>100</v>
      </c>
      <c r="Z805" s="35"/>
      <c r="AA805" s="36" t="s">
        <v>189</v>
      </c>
      <c r="AB805" s="36" t="s">
        <v>1123</v>
      </c>
      <c r="AC805" s="78">
        <v>5501021</v>
      </c>
      <c r="AD805" s="36" t="s">
        <v>518</v>
      </c>
      <c r="AE805" s="36">
        <v>100</v>
      </c>
      <c r="AF805" s="36" t="s">
        <v>178</v>
      </c>
      <c r="AG805" s="79">
        <v>1</v>
      </c>
      <c r="AH805" s="36">
        <v>0</v>
      </c>
      <c r="AI805" s="33"/>
      <c r="AJ805" s="37"/>
      <c r="AK805" s="35"/>
      <c r="AL805" s="35"/>
    </row>
    <row r="806" s="25" customFormat="1" hidden="1" customHeight="1" spans="1:38">
      <c r="A806" s="33">
        <v>5307102</v>
      </c>
      <c r="B806" s="34"/>
      <c r="C806" s="35">
        <v>5301102</v>
      </c>
      <c r="D806" s="36">
        <v>7</v>
      </c>
      <c r="E806" s="36"/>
      <c r="F806" s="36" t="s">
        <v>174</v>
      </c>
      <c r="G806" s="36">
        <f t="shared" si="270"/>
        <v>1</v>
      </c>
      <c r="H806" s="36">
        <f>IFERROR(IF(--MID($F806,2*COUNTIF($G806:G806,"&gt;"&amp;0)+2,1)=H$1,H$1,""),"")</f>
        <v>2</v>
      </c>
      <c r="I806" s="36">
        <f>IFERROR(IF(--MID($F806,2*COUNTIF($G806:H806,"&gt;"&amp;0)+2,1)=I$1,I$1,""),"")</f>
        <v>3</v>
      </c>
      <c r="J806" s="36">
        <f>IFERROR(IF(--MID($F806,2*COUNTIF($G806:I806,"&gt;"&amp;0)+2,1)=J$1,J$1,""),"")</f>
        <v>4</v>
      </c>
      <c r="K806" s="36">
        <f>IFERROR(IF(--MID($F806,2*COUNTIF($G806:J806,"&gt;"&amp;0)+2,1)=K$1,K$1,""),"")</f>
        <v>5</v>
      </c>
      <c r="L806" s="36">
        <f>IFERROR(IF(--MID($F806,2*COUNTIF($G806:K806,"&gt;"&amp;0)+2,1)=L$1,L$1,""),"")</f>
        <v>6</v>
      </c>
      <c r="M806" s="36" t="e" cm="1">
        <f t="array" ref="M806">IF(A806="","",_xlfn.XLOOKUP(D806&amp;"_"&amp;AE806,符文权重!A:A&amp;"_"&amp;符文权重!C:C,符文权重!D:D))</f>
        <v>#N/A</v>
      </c>
      <c r="N806" s="36"/>
      <c r="O806" s="36"/>
      <c r="P806" s="36"/>
      <c r="Q806" s="36"/>
      <c r="R806" s="36"/>
      <c r="S806" s="36" t="s">
        <v>192</v>
      </c>
      <c r="T806" s="36" t="s">
        <v>193</v>
      </c>
      <c r="U806" s="36" t="s">
        <v>429</v>
      </c>
      <c r="W806" s="36" t="s">
        <v>201</v>
      </c>
      <c r="X806" s="35" t="s">
        <v>1115</v>
      </c>
      <c r="Y806" s="35">
        <v>100</v>
      </c>
      <c r="Z806" s="35"/>
      <c r="AA806" s="36" t="s">
        <v>191</v>
      </c>
      <c r="AB806" s="36" t="s">
        <v>1124</v>
      </c>
      <c r="AC806" s="78">
        <v>5501021</v>
      </c>
      <c r="AD806" s="36" t="s">
        <v>522</v>
      </c>
      <c r="AE806" s="36">
        <v>100</v>
      </c>
      <c r="AF806" s="36" t="s">
        <v>178</v>
      </c>
      <c r="AG806" s="79">
        <v>1</v>
      </c>
      <c r="AH806" s="36">
        <v>0</v>
      </c>
      <c r="AI806" s="33"/>
      <c r="AJ806" s="37"/>
      <c r="AK806" s="35"/>
      <c r="AL806" s="35"/>
    </row>
    <row r="807" s="25" customFormat="1" hidden="1" customHeight="1" spans="1:38">
      <c r="A807" s="33">
        <v>5301103</v>
      </c>
      <c r="B807" s="34"/>
      <c r="C807" s="35">
        <v>5301103</v>
      </c>
      <c r="D807" s="36">
        <v>1</v>
      </c>
      <c r="E807" s="36"/>
      <c r="F807" s="36" t="s">
        <v>174</v>
      </c>
      <c r="G807" s="36">
        <f t="shared" si="270"/>
        <v>1</v>
      </c>
      <c r="H807" s="36">
        <f>IFERROR(IF(--MID($F807,2*COUNTIF($G807:G807,"&gt;"&amp;0)+2,1)=H$1,H$1,""),"")</f>
        <v>2</v>
      </c>
      <c r="I807" s="36">
        <f>IFERROR(IF(--MID($F807,2*COUNTIF($G807:H807,"&gt;"&amp;0)+2,1)=I$1,I$1,""),"")</f>
        <v>3</v>
      </c>
      <c r="J807" s="36">
        <f>IFERROR(IF(--MID($F807,2*COUNTIF($G807:I807,"&gt;"&amp;0)+2,1)=J$1,J$1,""),"")</f>
        <v>4</v>
      </c>
      <c r="K807" s="36">
        <f>IFERROR(IF(--MID($F807,2*COUNTIF($G807:J807,"&gt;"&amp;0)+2,1)=K$1,K$1,""),"")</f>
        <v>5</v>
      </c>
      <c r="L807" s="36">
        <f>IFERROR(IF(--MID($F807,2*COUNTIF($G807:K807,"&gt;"&amp;0)+2,1)=L$1,L$1,""),"")</f>
        <v>6</v>
      </c>
      <c r="M807" s="36" t="e" cm="1">
        <f t="array" ref="M807">IF(A807="","",_xlfn.XLOOKUP(D807&amp;"_"&amp;AE807,符文权重!A:A&amp;"_"&amp;符文权重!C:C,符文权重!D:D))</f>
        <v>#N/A</v>
      </c>
      <c r="N807" s="36"/>
      <c r="O807" s="36"/>
      <c r="P807" s="36"/>
      <c r="Q807" s="36"/>
      <c r="R807" s="36"/>
      <c r="S807" s="36" t="s">
        <v>192</v>
      </c>
      <c r="T807" s="36" t="s">
        <v>202</v>
      </c>
      <c r="U807" s="36" t="s">
        <v>413</v>
      </c>
      <c r="W807" s="36" t="s">
        <v>203</v>
      </c>
      <c r="X807" s="35" t="s">
        <v>1105</v>
      </c>
      <c r="Y807" s="35">
        <v>100</v>
      </c>
      <c r="Z807" s="35"/>
      <c r="AA807" s="36" t="s">
        <v>177</v>
      </c>
      <c r="AB807" s="36" t="s">
        <v>1125</v>
      </c>
      <c r="AC807" s="78">
        <v>5501031</v>
      </c>
      <c r="AD807" s="36" t="s">
        <v>487</v>
      </c>
      <c r="AE807" s="36">
        <v>100</v>
      </c>
      <c r="AF807" s="36" t="s">
        <v>178</v>
      </c>
      <c r="AG807" s="79">
        <v>1</v>
      </c>
      <c r="AH807" s="36">
        <v>0</v>
      </c>
      <c r="AI807" s="33"/>
      <c r="AJ807" s="37"/>
      <c r="AK807" s="35"/>
      <c r="AL807" s="35"/>
    </row>
    <row r="808" s="25" customFormat="1" hidden="1" customHeight="1" spans="1:38">
      <c r="A808" s="33">
        <v>5302103</v>
      </c>
      <c r="B808" s="34"/>
      <c r="C808" s="35">
        <v>5301103</v>
      </c>
      <c r="D808" s="36">
        <v>2</v>
      </c>
      <c r="E808" s="36"/>
      <c r="F808" s="36" t="s">
        <v>174</v>
      </c>
      <c r="G808" s="36">
        <f t="shared" si="270"/>
        <v>1</v>
      </c>
      <c r="H808" s="36">
        <f>IFERROR(IF(--MID($F808,2*COUNTIF($G808:G808,"&gt;"&amp;0)+2,1)=H$1,H$1,""),"")</f>
        <v>2</v>
      </c>
      <c r="I808" s="36">
        <f>IFERROR(IF(--MID($F808,2*COUNTIF($G808:H808,"&gt;"&amp;0)+2,1)=I$1,I$1,""),"")</f>
        <v>3</v>
      </c>
      <c r="J808" s="36">
        <f>IFERROR(IF(--MID($F808,2*COUNTIF($G808:I808,"&gt;"&amp;0)+2,1)=J$1,J$1,""),"")</f>
        <v>4</v>
      </c>
      <c r="K808" s="36">
        <f>IFERROR(IF(--MID($F808,2*COUNTIF($G808:J808,"&gt;"&amp;0)+2,1)=K$1,K$1,""),"")</f>
        <v>5</v>
      </c>
      <c r="L808" s="36">
        <f>IFERROR(IF(--MID($F808,2*COUNTIF($G808:K808,"&gt;"&amp;0)+2,1)=L$1,L$1,""),"")</f>
        <v>6</v>
      </c>
      <c r="M808" s="36" t="e" cm="1">
        <f t="array" ref="M808">IF(A808="","",_xlfn.XLOOKUP(D808&amp;"_"&amp;AE808,符文权重!A:A&amp;"_"&amp;符文权重!C:C,符文权重!D:D))</f>
        <v>#N/A</v>
      </c>
      <c r="N808" s="36"/>
      <c r="O808" s="36"/>
      <c r="P808" s="36"/>
      <c r="Q808" s="36"/>
      <c r="R808" s="36"/>
      <c r="S808" s="36" t="s">
        <v>192</v>
      </c>
      <c r="T808" s="36" t="s">
        <v>202</v>
      </c>
      <c r="U808" s="36" t="s">
        <v>415</v>
      </c>
      <c r="W808" s="36" t="s">
        <v>205</v>
      </c>
      <c r="X808" s="35" t="s">
        <v>743</v>
      </c>
      <c r="Y808" s="35">
        <v>100</v>
      </c>
      <c r="Z808" s="35"/>
      <c r="AA808" s="36" t="s">
        <v>181</v>
      </c>
      <c r="AB808" s="80" t="s">
        <v>1126</v>
      </c>
      <c r="AC808" s="78">
        <v>5501031</v>
      </c>
      <c r="AD808" s="36" t="s">
        <v>497</v>
      </c>
      <c r="AE808" s="36">
        <v>100</v>
      </c>
      <c r="AF808" s="36" t="s">
        <v>178</v>
      </c>
      <c r="AG808" s="79">
        <v>1</v>
      </c>
      <c r="AH808" s="36">
        <v>0</v>
      </c>
      <c r="AI808" s="33"/>
      <c r="AJ808" s="37"/>
      <c r="AK808" s="35"/>
      <c r="AL808" s="35"/>
    </row>
    <row r="809" s="25" customFormat="1" hidden="1" customHeight="1" spans="1:38">
      <c r="A809" s="33">
        <v>5303103</v>
      </c>
      <c r="B809" s="34"/>
      <c r="C809" s="35">
        <v>5301103</v>
      </c>
      <c r="D809" s="36">
        <v>3</v>
      </c>
      <c r="E809" s="36"/>
      <c r="F809" s="36" t="s">
        <v>174</v>
      </c>
      <c r="G809" s="36">
        <f t="shared" si="270"/>
        <v>1</v>
      </c>
      <c r="H809" s="36">
        <f>IFERROR(IF(--MID($F809,2*COUNTIF($G809:G809,"&gt;"&amp;0)+2,1)=H$1,H$1,""),"")</f>
        <v>2</v>
      </c>
      <c r="I809" s="36">
        <f>IFERROR(IF(--MID($F809,2*COUNTIF($G809:H809,"&gt;"&amp;0)+2,1)=I$1,I$1,""),"")</f>
        <v>3</v>
      </c>
      <c r="J809" s="36">
        <f>IFERROR(IF(--MID($F809,2*COUNTIF($G809:I809,"&gt;"&amp;0)+2,1)=J$1,J$1,""),"")</f>
        <v>4</v>
      </c>
      <c r="K809" s="36">
        <f>IFERROR(IF(--MID($F809,2*COUNTIF($G809:J809,"&gt;"&amp;0)+2,1)=K$1,K$1,""),"")</f>
        <v>5</v>
      </c>
      <c r="L809" s="36">
        <f>IFERROR(IF(--MID($F809,2*COUNTIF($G809:K809,"&gt;"&amp;0)+2,1)=L$1,L$1,""),"")</f>
        <v>6</v>
      </c>
      <c r="M809" s="36" t="e" cm="1">
        <f t="array" ref="M809">IF(A809="","",_xlfn.XLOOKUP(D809&amp;"_"&amp;AE809,符文权重!A:A&amp;"_"&amp;符文权重!C:C,符文权重!D:D))</f>
        <v>#N/A</v>
      </c>
      <c r="N809" s="36"/>
      <c r="O809" s="36"/>
      <c r="P809" s="36"/>
      <c r="Q809" s="36"/>
      <c r="R809" s="36"/>
      <c r="S809" s="36" t="s">
        <v>192</v>
      </c>
      <c r="T809" s="36" t="s">
        <v>202</v>
      </c>
      <c r="U809" s="36" t="s">
        <v>417</v>
      </c>
      <c r="W809" s="36" t="s">
        <v>206</v>
      </c>
      <c r="X809" s="35" t="s">
        <v>743</v>
      </c>
      <c r="Y809" s="35">
        <v>100</v>
      </c>
      <c r="Z809" s="35"/>
      <c r="AA809" s="36" t="s">
        <v>183</v>
      </c>
      <c r="AB809" s="36" t="s">
        <v>1127</v>
      </c>
      <c r="AC809" s="78">
        <v>5501031</v>
      </c>
      <c r="AD809" s="36" t="s">
        <v>596</v>
      </c>
      <c r="AE809" s="36">
        <v>100</v>
      </c>
      <c r="AF809" s="36" t="s">
        <v>178</v>
      </c>
      <c r="AG809" s="79">
        <v>1</v>
      </c>
      <c r="AH809" s="36">
        <v>0</v>
      </c>
      <c r="AI809" s="33"/>
      <c r="AJ809" s="37"/>
      <c r="AK809" s="35"/>
      <c r="AL809" s="35"/>
    </row>
    <row r="810" s="25" customFormat="1" hidden="1" customHeight="1" spans="1:38">
      <c r="A810" s="33">
        <v>5304103</v>
      </c>
      <c r="B810" s="34"/>
      <c r="C810" s="35">
        <v>5301103</v>
      </c>
      <c r="D810" s="36">
        <v>4</v>
      </c>
      <c r="E810" s="36"/>
      <c r="F810" s="36" t="s">
        <v>174</v>
      </c>
      <c r="G810" s="36">
        <f t="shared" si="270"/>
        <v>1</v>
      </c>
      <c r="H810" s="36">
        <f>IFERROR(IF(--MID($F810,2*COUNTIF($G810:G810,"&gt;"&amp;0)+2,1)=H$1,H$1,""),"")</f>
        <v>2</v>
      </c>
      <c r="I810" s="36">
        <f>IFERROR(IF(--MID($F810,2*COUNTIF($G810:H810,"&gt;"&amp;0)+2,1)=I$1,I$1,""),"")</f>
        <v>3</v>
      </c>
      <c r="J810" s="36">
        <f>IFERROR(IF(--MID($F810,2*COUNTIF($G810:I810,"&gt;"&amp;0)+2,1)=J$1,J$1,""),"")</f>
        <v>4</v>
      </c>
      <c r="K810" s="36">
        <f>IFERROR(IF(--MID($F810,2*COUNTIF($G810:J810,"&gt;"&amp;0)+2,1)=K$1,K$1,""),"")</f>
        <v>5</v>
      </c>
      <c r="L810" s="36">
        <f>IFERROR(IF(--MID($F810,2*COUNTIF($G810:K810,"&gt;"&amp;0)+2,1)=L$1,L$1,""),"")</f>
        <v>6</v>
      </c>
      <c r="M810" s="36" t="e" cm="1">
        <f t="array" ref="M810">IF(A810="","",_xlfn.XLOOKUP(D810&amp;"_"&amp;AE810,符文权重!A:A&amp;"_"&amp;符文权重!C:C,符文权重!D:D))</f>
        <v>#N/A</v>
      </c>
      <c r="N810" s="36"/>
      <c r="O810" s="36"/>
      <c r="P810" s="36"/>
      <c r="Q810" s="36"/>
      <c r="R810" s="36"/>
      <c r="S810" s="36" t="s">
        <v>192</v>
      </c>
      <c r="T810" s="36" t="s">
        <v>202</v>
      </c>
      <c r="U810" s="36" t="s">
        <v>420</v>
      </c>
      <c r="W810" s="36" t="s">
        <v>207</v>
      </c>
      <c r="X810" s="35" t="s">
        <v>743</v>
      </c>
      <c r="Y810" s="35">
        <v>100</v>
      </c>
      <c r="Z810" s="35"/>
      <c r="AA810" s="36" t="s">
        <v>185</v>
      </c>
      <c r="AB810" s="36" t="s">
        <v>1128</v>
      </c>
      <c r="AC810" s="78">
        <v>5501031</v>
      </c>
      <c r="AD810" s="36" t="s">
        <v>500</v>
      </c>
      <c r="AE810" s="36">
        <v>100</v>
      </c>
      <c r="AF810" s="36" t="s">
        <v>178</v>
      </c>
      <c r="AG810" s="79">
        <v>1</v>
      </c>
      <c r="AH810" s="36">
        <v>0</v>
      </c>
      <c r="AI810" s="33"/>
      <c r="AJ810" s="37"/>
      <c r="AK810" s="35"/>
      <c r="AL810" s="35"/>
    </row>
    <row r="811" s="25" customFormat="1" hidden="1" customHeight="1" spans="1:38">
      <c r="A811" s="33">
        <v>5305103</v>
      </c>
      <c r="B811" s="34"/>
      <c r="C811" s="35">
        <v>5301103</v>
      </c>
      <c r="D811" s="36">
        <v>5</v>
      </c>
      <c r="E811" s="36"/>
      <c r="F811" s="36" t="s">
        <v>174</v>
      </c>
      <c r="G811" s="36">
        <f t="shared" si="270"/>
        <v>1</v>
      </c>
      <c r="H811" s="36">
        <f>IFERROR(IF(--MID($F811,2*COUNTIF($G811:G811,"&gt;"&amp;0)+2,1)=H$1,H$1,""),"")</f>
        <v>2</v>
      </c>
      <c r="I811" s="36">
        <f>IFERROR(IF(--MID($F811,2*COUNTIF($G811:H811,"&gt;"&amp;0)+2,1)=I$1,I$1,""),"")</f>
        <v>3</v>
      </c>
      <c r="J811" s="36">
        <f>IFERROR(IF(--MID($F811,2*COUNTIF($G811:I811,"&gt;"&amp;0)+2,1)=J$1,J$1,""),"")</f>
        <v>4</v>
      </c>
      <c r="K811" s="36">
        <f>IFERROR(IF(--MID($F811,2*COUNTIF($G811:J811,"&gt;"&amp;0)+2,1)=K$1,K$1,""),"")</f>
        <v>5</v>
      </c>
      <c r="L811" s="36">
        <f>IFERROR(IF(--MID($F811,2*COUNTIF($G811:K811,"&gt;"&amp;0)+2,1)=L$1,L$1,""),"")</f>
        <v>6</v>
      </c>
      <c r="M811" s="36" t="e" cm="1">
        <f t="array" ref="M811">IF(A811="","",_xlfn.XLOOKUP(D811&amp;"_"&amp;AE811,符文权重!A:A&amp;"_"&amp;符文权重!C:C,符文权重!D:D))</f>
        <v>#N/A</v>
      </c>
      <c r="N811" s="36"/>
      <c r="O811" s="36"/>
      <c r="P811" s="36"/>
      <c r="Q811" s="36"/>
      <c r="R811" s="36"/>
      <c r="S811" s="36" t="s">
        <v>192</v>
      </c>
      <c r="T811" s="36" t="s">
        <v>202</v>
      </c>
      <c r="U811" s="36" t="s">
        <v>423</v>
      </c>
      <c r="W811" s="36" t="s">
        <v>208</v>
      </c>
      <c r="X811" s="35" t="s">
        <v>1110</v>
      </c>
      <c r="Y811" s="35">
        <v>100</v>
      </c>
      <c r="Z811" s="35"/>
      <c r="AA811" s="36" t="s">
        <v>187</v>
      </c>
      <c r="AB811" s="36" t="s">
        <v>1129</v>
      </c>
      <c r="AC811" s="78">
        <v>5501031</v>
      </c>
      <c r="AD811" s="36" t="s">
        <v>1122</v>
      </c>
      <c r="AE811" s="36">
        <v>100</v>
      </c>
      <c r="AF811" s="36" t="s">
        <v>178</v>
      </c>
      <c r="AG811" s="79">
        <v>1</v>
      </c>
      <c r="AH811" s="36">
        <v>0</v>
      </c>
      <c r="AI811" s="33"/>
      <c r="AJ811" s="37"/>
      <c r="AK811" s="35"/>
      <c r="AL811" s="35"/>
    </row>
    <row r="812" s="25" customFormat="1" hidden="1" customHeight="1" spans="1:38">
      <c r="A812" s="33">
        <v>5306103</v>
      </c>
      <c r="B812" s="34"/>
      <c r="C812" s="35">
        <v>5301103</v>
      </c>
      <c r="D812" s="36">
        <v>6</v>
      </c>
      <c r="E812" s="36"/>
      <c r="F812" s="36" t="s">
        <v>174</v>
      </c>
      <c r="G812" s="36">
        <f t="shared" si="270"/>
        <v>1</v>
      </c>
      <c r="H812" s="36">
        <f>IFERROR(IF(--MID($F812,2*COUNTIF($G812:G812,"&gt;"&amp;0)+2,1)=H$1,H$1,""),"")</f>
        <v>2</v>
      </c>
      <c r="I812" s="36">
        <f>IFERROR(IF(--MID($F812,2*COUNTIF($G812:H812,"&gt;"&amp;0)+2,1)=I$1,I$1,""),"")</f>
        <v>3</v>
      </c>
      <c r="J812" s="36">
        <f>IFERROR(IF(--MID($F812,2*COUNTIF($G812:I812,"&gt;"&amp;0)+2,1)=J$1,J$1,""),"")</f>
        <v>4</v>
      </c>
      <c r="K812" s="36">
        <f>IFERROR(IF(--MID($F812,2*COUNTIF($G812:J812,"&gt;"&amp;0)+2,1)=K$1,K$1,""),"")</f>
        <v>5</v>
      </c>
      <c r="L812" s="36">
        <f>IFERROR(IF(--MID($F812,2*COUNTIF($G812:K812,"&gt;"&amp;0)+2,1)=L$1,L$1,""),"")</f>
        <v>6</v>
      </c>
      <c r="M812" s="36" t="e" cm="1">
        <f t="array" ref="M812">IF(A812="","",_xlfn.XLOOKUP(D812&amp;"_"&amp;AE812,符文权重!A:A&amp;"_"&amp;符文权重!C:C,符文权重!D:D))</f>
        <v>#N/A</v>
      </c>
      <c r="N812" s="36"/>
      <c r="O812" s="36"/>
      <c r="P812" s="36"/>
      <c r="Q812" s="36"/>
      <c r="R812" s="36"/>
      <c r="S812" s="36" t="s">
        <v>192</v>
      </c>
      <c r="T812" s="36" t="s">
        <v>202</v>
      </c>
      <c r="U812" s="36" t="s">
        <v>426</v>
      </c>
      <c r="W812" s="36" t="s">
        <v>209</v>
      </c>
      <c r="X812" s="35" t="s">
        <v>1113</v>
      </c>
      <c r="Y812" s="35">
        <v>100</v>
      </c>
      <c r="Z812" s="35"/>
      <c r="AA812" s="36" t="s">
        <v>189</v>
      </c>
      <c r="AB812" s="36" t="s">
        <v>1130</v>
      </c>
      <c r="AC812" s="78">
        <v>5501031</v>
      </c>
      <c r="AD812" s="36" t="s">
        <v>518</v>
      </c>
      <c r="AE812" s="36">
        <v>100</v>
      </c>
      <c r="AF812" s="36" t="s">
        <v>178</v>
      </c>
      <c r="AG812" s="79">
        <v>1</v>
      </c>
      <c r="AH812" s="36">
        <v>0</v>
      </c>
      <c r="AI812" s="33"/>
      <c r="AJ812" s="37"/>
      <c r="AK812" s="35"/>
      <c r="AL812" s="35"/>
    </row>
    <row r="813" s="25" customFormat="1" hidden="1" customHeight="1" spans="1:38">
      <c r="A813" s="33">
        <v>5307103</v>
      </c>
      <c r="B813" s="34"/>
      <c r="C813" s="35">
        <v>5301103</v>
      </c>
      <c r="D813" s="36">
        <v>7</v>
      </c>
      <c r="E813" s="36"/>
      <c r="F813" s="36" t="s">
        <v>174</v>
      </c>
      <c r="G813" s="36">
        <f t="shared" si="270"/>
        <v>1</v>
      </c>
      <c r="H813" s="36">
        <f>IFERROR(IF(--MID($F813,2*COUNTIF($G813:G813,"&gt;"&amp;0)+2,1)=H$1,H$1,""),"")</f>
        <v>2</v>
      </c>
      <c r="I813" s="36">
        <f>IFERROR(IF(--MID($F813,2*COUNTIF($G813:H813,"&gt;"&amp;0)+2,1)=I$1,I$1,""),"")</f>
        <v>3</v>
      </c>
      <c r="J813" s="36">
        <f>IFERROR(IF(--MID($F813,2*COUNTIF($G813:I813,"&gt;"&amp;0)+2,1)=J$1,J$1,""),"")</f>
        <v>4</v>
      </c>
      <c r="K813" s="36">
        <f>IFERROR(IF(--MID($F813,2*COUNTIF($G813:J813,"&gt;"&amp;0)+2,1)=K$1,K$1,""),"")</f>
        <v>5</v>
      </c>
      <c r="L813" s="36">
        <f>IFERROR(IF(--MID($F813,2*COUNTIF($G813:K813,"&gt;"&amp;0)+2,1)=L$1,L$1,""),"")</f>
        <v>6</v>
      </c>
      <c r="M813" s="36" t="e" cm="1">
        <f t="array" ref="M813">IF(A813="","",_xlfn.XLOOKUP(D813&amp;"_"&amp;AE813,符文权重!A:A&amp;"_"&amp;符文权重!C:C,符文权重!D:D))</f>
        <v>#N/A</v>
      </c>
      <c r="N813" s="36"/>
      <c r="O813" s="36"/>
      <c r="P813" s="36"/>
      <c r="Q813" s="36"/>
      <c r="R813" s="36"/>
      <c r="S813" s="36" t="s">
        <v>192</v>
      </c>
      <c r="T813" s="36" t="s">
        <v>202</v>
      </c>
      <c r="U813" s="36" t="s">
        <v>429</v>
      </c>
      <c r="W813" s="36" t="s">
        <v>210</v>
      </c>
      <c r="X813" s="35" t="s">
        <v>1115</v>
      </c>
      <c r="Y813" s="35">
        <v>100</v>
      </c>
      <c r="Z813" s="35"/>
      <c r="AA813" s="36" t="s">
        <v>191</v>
      </c>
      <c r="AB813" s="36" t="s">
        <v>1131</v>
      </c>
      <c r="AC813" s="78">
        <v>5501031</v>
      </c>
      <c r="AD813" s="36" t="s">
        <v>522</v>
      </c>
      <c r="AE813" s="36">
        <v>100</v>
      </c>
      <c r="AF813" s="36" t="s">
        <v>178</v>
      </c>
      <c r="AG813" s="79">
        <v>1</v>
      </c>
      <c r="AH813" s="36">
        <v>0</v>
      </c>
      <c r="AI813" s="33"/>
      <c r="AJ813" s="37"/>
      <c r="AK813" s="35"/>
      <c r="AL813" s="35"/>
    </row>
    <row r="814" s="25" customFormat="1" hidden="1" customHeight="1" spans="1:38">
      <c r="A814" s="33">
        <v>5301104</v>
      </c>
      <c r="B814" s="34"/>
      <c r="C814" s="35">
        <v>5301104</v>
      </c>
      <c r="D814" s="36">
        <v>1</v>
      </c>
      <c r="E814" s="36"/>
      <c r="F814" s="36" t="s">
        <v>174</v>
      </c>
      <c r="G814" s="36">
        <f t="shared" si="270"/>
        <v>1</v>
      </c>
      <c r="H814" s="36">
        <f>IFERROR(IF(--MID($F814,2*COUNTIF($G814:G814,"&gt;"&amp;0)+2,1)=H$1,H$1,""),"")</f>
        <v>2</v>
      </c>
      <c r="I814" s="36">
        <f>IFERROR(IF(--MID($F814,2*COUNTIF($G814:H814,"&gt;"&amp;0)+2,1)=I$1,I$1,""),"")</f>
        <v>3</v>
      </c>
      <c r="J814" s="36">
        <f>IFERROR(IF(--MID($F814,2*COUNTIF($G814:I814,"&gt;"&amp;0)+2,1)=J$1,J$1,""),"")</f>
        <v>4</v>
      </c>
      <c r="K814" s="36">
        <f>IFERROR(IF(--MID($F814,2*COUNTIF($G814:J814,"&gt;"&amp;0)+2,1)=K$1,K$1,""),"")</f>
        <v>5</v>
      </c>
      <c r="L814" s="36">
        <f>IFERROR(IF(--MID($F814,2*COUNTIF($G814:K814,"&gt;"&amp;0)+2,1)=L$1,L$1,""),"")</f>
        <v>6</v>
      </c>
      <c r="M814" s="36" t="e" cm="1">
        <f t="array" ref="M814">IF(A814="","",_xlfn.XLOOKUP(D814&amp;"_"&amp;AE814,符文权重!A:A&amp;"_"&amp;符文权重!C:C,符文权重!D:D))</f>
        <v>#N/A</v>
      </c>
      <c r="N814" s="36"/>
      <c r="O814" s="36"/>
      <c r="P814" s="36"/>
      <c r="Q814" s="36"/>
      <c r="R814" s="36"/>
      <c r="S814" s="36" t="s">
        <v>192</v>
      </c>
      <c r="T814" s="36" t="s">
        <v>211</v>
      </c>
      <c r="U814" s="36" t="s">
        <v>413</v>
      </c>
      <c r="W814" s="36" t="s">
        <v>212</v>
      </c>
      <c r="X814" s="35" t="s">
        <v>1105</v>
      </c>
      <c r="Y814" s="35">
        <v>100</v>
      </c>
      <c r="Z814" s="35"/>
      <c r="AA814" s="36" t="s">
        <v>177</v>
      </c>
      <c r="AB814" s="36" t="s">
        <v>1132</v>
      </c>
      <c r="AC814" s="78">
        <v>5501041</v>
      </c>
      <c r="AD814" s="36" t="s">
        <v>487</v>
      </c>
      <c r="AE814" s="36">
        <v>100</v>
      </c>
      <c r="AF814" s="36" t="s">
        <v>178</v>
      </c>
      <c r="AG814" s="79">
        <v>1</v>
      </c>
      <c r="AH814" s="36">
        <v>0</v>
      </c>
      <c r="AI814" s="33"/>
      <c r="AJ814" s="37"/>
      <c r="AK814" s="35"/>
      <c r="AL814" s="35"/>
    </row>
    <row r="815" s="25" customFormat="1" hidden="1" customHeight="1" spans="1:38">
      <c r="A815" s="33">
        <v>5302104</v>
      </c>
      <c r="B815" s="34"/>
      <c r="C815" s="35">
        <v>5301104</v>
      </c>
      <c r="D815" s="36">
        <v>2</v>
      </c>
      <c r="E815" s="36"/>
      <c r="F815" s="36" t="s">
        <v>174</v>
      </c>
      <c r="G815" s="36">
        <f t="shared" si="270"/>
        <v>1</v>
      </c>
      <c r="H815" s="36">
        <f>IFERROR(IF(--MID($F815,2*COUNTIF($G815:G815,"&gt;"&amp;0)+2,1)=H$1,H$1,""),"")</f>
        <v>2</v>
      </c>
      <c r="I815" s="36">
        <f>IFERROR(IF(--MID($F815,2*COUNTIF($G815:H815,"&gt;"&amp;0)+2,1)=I$1,I$1,""),"")</f>
        <v>3</v>
      </c>
      <c r="J815" s="36">
        <f>IFERROR(IF(--MID($F815,2*COUNTIF($G815:I815,"&gt;"&amp;0)+2,1)=J$1,J$1,""),"")</f>
        <v>4</v>
      </c>
      <c r="K815" s="36">
        <f>IFERROR(IF(--MID($F815,2*COUNTIF($G815:J815,"&gt;"&amp;0)+2,1)=K$1,K$1,""),"")</f>
        <v>5</v>
      </c>
      <c r="L815" s="36">
        <f>IFERROR(IF(--MID($F815,2*COUNTIF($G815:K815,"&gt;"&amp;0)+2,1)=L$1,L$1,""),"")</f>
        <v>6</v>
      </c>
      <c r="M815" s="36" t="e" cm="1">
        <f t="array" ref="M815">IF(A815="","",_xlfn.XLOOKUP(D815&amp;"_"&amp;AE815,符文权重!A:A&amp;"_"&amp;符文权重!C:C,符文权重!D:D))</f>
        <v>#N/A</v>
      </c>
      <c r="N815" s="36"/>
      <c r="O815" s="36"/>
      <c r="P815" s="36"/>
      <c r="Q815" s="36"/>
      <c r="R815" s="36"/>
      <c r="S815" s="36" t="s">
        <v>192</v>
      </c>
      <c r="T815" s="36" t="s">
        <v>211</v>
      </c>
      <c r="U815" s="36" t="s">
        <v>415</v>
      </c>
      <c r="W815" s="36" t="s">
        <v>214</v>
      </c>
      <c r="X815" s="35" t="s">
        <v>743</v>
      </c>
      <c r="Y815" s="35">
        <v>100</v>
      </c>
      <c r="Z815" s="35"/>
      <c r="AA815" s="36" t="s">
        <v>181</v>
      </c>
      <c r="AB815" s="80" t="s">
        <v>1133</v>
      </c>
      <c r="AC815" s="78">
        <v>5501041</v>
      </c>
      <c r="AD815" s="36" t="s">
        <v>497</v>
      </c>
      <c r="AE815" s="36">
        <v>100</v>
      </c>
      <c r="AF815" s="36" t="s">
        <v>178</v>
      </c>
      <c r="AG815" s="79">
        <v>1</v>
      </c>
      <c r="AH815" s="36">
        <v>0</v>
      </c>
      <c r="AI815" s="33"/>
      <c r="AJ815" s="37"/>
      <c r="AK815" s="35"/>
      <c r="AL815" s="35"/>
    </row>
    <row r="816" s="25" customFormat="1" hidden="1" customHeight="1" spans="1:38">
      <c r="A816" s="33">
        <v>5303104</v>
      </c>
      <c r="B816" s="34"/>
      <c r="C816" s="35">
        <v>5301104</v>
      </c>
      <c r="D816" s="36">
        <v>3</v>
      </c>
      <c r="E816" s="36"/>
      <c r="F816" s="36" t="s">
        <v>174</v>
      </c>
      <c r="G816" s="36">
        <f t="shared" si="270"/>
        <v>1</v>
      </c>
      <c r="H816" s="36">
        <f>IFERROR(IF(--MID($F816,2*COUNTIF($G816:G816,"&gt;"&amp;0)+2,1)=H$1,H$1,""),"")</f>
        <v>2</v>
      </c>
      <c r="I816" s="36">
        <f>IFERROR(IF(--MID($F816,2*COUNTIF($G816:H816,"&gt;"&amp;0)+2,1)=I$1,I$1,""),"")</f>
        <v>3</v>
      </c>
      <c r="J816" s="36">
        <f>IFERROR(IF(--MID($F816,2*COUNTIF($G816:I816,"&gt;"&amp;0)+2,1)=J$1,J$1,""),"")</f>
        <v>4</v>
      </c>
      <c r="K816" s="36">
        <f>IFERROR(IF(--MID($F816,2*COUNTIF($G816:J816,"&gt;"&amp;0)+2,1)=K$1,K$1,""),"")</f>
        <v>5</v>
      </c>
      <c r="L816" s="36">
        <f>IFERROR(IF(--MID($F816,2*COUNTIF($G816:K816,"&gt;"&amp;0)+2,1)=L$1,L$1,""),"")</f>
        <v>6</v>
      </c>
      <c r="M816" s="36" t="e" cm="1">
        <f t="array" ref="M816">IF(A816="","",_xlfn.XLOOKUP(D816&amp;"_"&amp;AE816,符文权重!A:A&amp;"_"&amp;符文权重!C:C,符文权重!D:D))</f>
        <v>#N/A</v>
      </c>
      <c r="N816" s="36"/>
      <c r="O816" s="36"/>
      <c r="P816" s="36"/>
      <c r="Q816" s="36"/>
      <c r="R816" s="36"/>
      <c r="S816" s="36" t="s">
        <v>192</v>
      </c>
      <c r="T816" s="36" t="s">
        <v>211</v>
      </c>
      <c r="U816" s="36" t="s">
        <v>417</v>
      </c>
      <c r="W816" s="36" t="s">
        <v>215</v>
      </c>
      <c r="X816" s="35" t="s">
        <v>743</v>
      </c>
      <c r="Y816" s="35">
        <v>100</v>
      </c>
      <c r="Z816" s="35"/>
      <c r="AA816" s="36" t="s">
        <v>183</v>
      </c>
      <c r="AB816" s="36" t="s">
        <v>1134</v>
      </c>
      <c r="AC816" s="78">
        <v>5501041</v>
      </c>
      <c r="AD816" s="36" t="s">
        <v>596</v>
      </c>
      <c r="AE816" s="36">
        <v>100</v>
      </c>
      <c r="AF816" s="36" t="s">
        <v>178</v>
      </c>
      <c r="AG816" s="79">
        <v>1</v>
      </c>
      <c r="AH816" s="36">
        <v>0</v>
      </c>
      <c r="AI816" s="33"/>
      <c r="AJ816" s="37"/>
      <c r="AK816" s="35"/>
      <c r="AL816" s="35"/>
    </row>
    <row r="817" s="25" customFormat="1" hidden="1" customHeight="1" spans="1:38">
      <c r="A817" s="33">
        <v>5304104</v>
      </c>
      <c r="B817" s="34"/>
      <c r="C817" s="35">
        <v>5301104</v>
      </c>
      <c r="D817" s="36">
        <v>4</v>
      </c>
      <c r="E817" s="36"/>
      <c r="F817" s="36" t="s">
        <v>174</v>
      </c>
      <c r="G817" s="36">
        <f t="shared" si="270"/>
        <v>1</v>
      </c>
      <c r="H817" s="36">
        <f>IFERROR(IF(--MID($F817,2*COUNTIF($G817:G817,"&gt;"&amp;0)+2,1)=H$1,H$1,""),"")</f>
        <v>2</v>
      </c>
      <c r="I817" s="36">
        <f>IFERROR(IF(--MID($F817,2*COUNTIF($G817:H817,"&gt;"&amp;0)+2,1)=I$1,I$1,""),"")</f>
        <v>3</v>
      </c>
      <c r="J817" s="36">
        <f>IFERROR(IF(--MID($F817,2*COUNTIF($G817:I817,"&gt;"&amp;0)+2,1)=J$1,J$1,""),"")</f>
        <v>4</v>
      </c>
      <c r="K817" s="36">
        <f>IFERROR(IF(--MID($F817,2*COUNTIF($G817:J817,"&gt;"&amp;0)+2,1)=K$1,K$1,""),"")</f>
        <v>5</v>
      </c>
      <c r="L817" s="36">
        <f>IFERROR(IF(--MID($F817,2*COUNTIF($G817:K817,"&gt;"&amp;0)+2,1)=L$1,L$1,""),"")</f>
        <v>6</v>
      </c>
      <c r="M817" s="36" t="e" cm="1">
        <f t="array" ref="M817">IF(A817="","",_xlfn.XLOOKUP(D817&amp;"_"&amp;AE817,符文权重!A:A&amp;"_"&amp;符文权重!C:C,符文权重!D:D))</f>
        <v>#N/A</v>
      </c>
      <c r="N817" s="36"/>
      <c r="O817" s="36"/>
      <c r="P817" s="36"/>
      <c r="Q817" s="36"/>
      <c r="R817" s="36"/>
      <c r="S817" s="36" t="s">
        <v>192</v>
      </c>
      <c r="T817" s="36" t="s">
        <v>211</v>
      </c>
      <c r="U817" s="36" t="s">
        <v>420</v>
      </c>
      <c r="W817" s="36" t="s">
        <v>216</v>
      </c>
      <c r="X817" s="35" t="s">
        <v>743</v>
      </c>
      <c r="Y817" s="35">
        <v>100</v>
      </c>
      <c r="Z817" s="35"/>
      <c r="AA817" s="36" t="s">
        <v>185</v>
      </c>
      <c r="AB817" s="36" t="s">
        <v>1135</v>
      </c>
      <c r="AC817" s="78">
        <v>5501041</v>
      </c>
      <c r="AD817" s="36" t="s">
        <v>500</v>
      </c>
      <c r="AE817" s="36">
        <v>100</v>
      </c>
      <c r="AF817" s="36" t="s">
        <v>178</v>
      </c>
      <c r="AG817" s="79">
        <v>1</v>
      </c>
      <c r="AH817" s="36">
        <v>0</v>
      </c>
      <c r="AI817" s="33"/>
      <c r="AJ817" s="37"/>
      <c r="AK817" s="35"/>
      <c r="AL817" s="35"/>
    </row>
    <row r="818" s="25" customFormat="1" hidden="1" customHeight="1" spans="1:38">
      <c r="A818" s="33">
        <v>5305104</v>
      </c>
      <c r="B818" s="34"/>
      <c r="C818" s="35">
        <v>5301104</v>
      </c>
      <c r="D818" s="36">
        <v>5</v>
      </c>
      <c r="E818" s="36"/>
      <c r="F818" s="36" t="s">
        <v>174</v>
      </c>
      <c r="G818" s="36">
        <f t="shared" si="270"/>
        <v>1</v>
      </c>
      <c r="H818" s="36">
        <f>IFERROR(IF(--MID($F818,2*COUNTIF($G818:G818,"&gt;"&amp;0)+2,1)=H$1,H$1,""),"")</f>
        <v>2</v>
      </c>
      <c r="I818" s="36">
        <f>IFERROR(IF(--MID($F818,2*COUNTIF($G818:H818,"&gt;"&amp;0)+2,1)=I$1,I$1,""),"")</f>
        <v>3</v>
      </c>
      <c r="J818" s="36">
        <f>IFERROR(IF(--MID($F818,2*COUNTIF($G818:I818,"&gt;"&amp;0)+2,1)=J$1,J$1,""),"")</f>
        <v>4</v>
      </c>
      <c r="K818" s="36">
        <f>IFERROR(IF(--MID($F818,2*COUNTIF($G818:J818,"&gt;"&amp;0)+2,1)=K$1,K$1,""),"")</f>
        <v>5</v>
      </c>
      <c r="L818" s="36">
        <f>IFERROR(IF(--MID($F818,2*COUNTIF($G818:K818,"&gt;"&amp;0)+2,1)=L$1,L$1,""),"")</f>
        <v>6</v>
      </c>
      <c r="M818" s="36" t="e" cm="1">
        <f t="array" ref="M818">IF(A818="","",_xlfn.XLOOKUP(D818&amp;"_"&amp;AE818,符文权重!A:A&amp;"_"&amp;符文权重!C:C,符文权重!D:D))</f>
        <v>#N/A</v>
      </c>
      <c r="N818" s="36"/>
      <c r="O818" s="36"/>
      <c r="P818" s="36"/>
      <c r="Q818" s="36"/>
      <c r="R818" s="36"/>
      <c r="S818" s="36" t="s">
        <v>192</v>
      </c>
      <c r="T818" s="36" t="s">
        <v>211</v>
      </c>
      <c r="U818" s="36" t="s">
        <v>423</v>
      </c>
      <c r="W818" s="36" t="s">
        <v>217</v>
      </c>
      <c r="X818" s="35" t="s">
        <v>1110</v>
      </c>
      <c r="Y818" s="35">
        <v>100</v>
      </c>
      <c r="Z818" s="35"/>
      <c r="AA818" s="36" t="s">
        <v>187</v>
      </c>
      <c r="AB818" s="36" t="s">
        <v>1136</v>
      </c>
      <c r="AC818" s="78">
        <v>5501041</v>
      </c>
      <c r="AD818" s="36" t="s">
        <v>1122</v>
      </c>
      <c r="AE818" s="36">
        <v>100</v>
      </c>
      <c r="AF818" s="36" t="s">
        <v>178</v>
      </c>
      <c r="AG818" s="79">
        <v>1</v>
      </c>
      <c r="AH818" s="36">
        <v>0</v>
      </c>
      <c r="AI818" s="33"/>
      <c r="AJ818" s="37"/>
      <c r="AK818" s="35"/>
      <c r="AL818" s="35"/>
    </row>
    <row r="819" s="25" customFormat="1" hidden="1" customHeight="1" spans="1:38">
      <c r="A819" s="33">
        <v>5306104</v>
      </c>
      <c r="B819" s="34"/>
      <c r="C819" s="35">
        <v>5301104</v>
      </c>
      <c r="D819" s="36">
        <v>6</v>
      </c>
      <c r="E819" s="36"/>
      <c r="F819" s="36" t="s">
        <v>174</v>
      </c>
      <c r="G819" s="36">
        <f t="shared" si="270"/>
        <v>1</v>
      </c>
      <c r="H819" s="36">
        <f>IFERROR(IF(--MID($F819,2*COUNTIF($G819:G819,"&gt;"&amp;0)+2,1)=H$1,H$1,""),"")</f>
        <v>2</v>
      </c>
      <c r="I819" s="36">
        <f>IFERROR(IF(--MID($F819,2*COUNTIF($G819:H819,"&gt;"&amp;0)+2,1)=I$1,I$1,""),"")</f>
        <v>3</v>
      </c>
      <c r="J819" s="36">
        <f>IFERROR(IF(--MID($F819,2*COUNTIF($G819:I819,"&gt;"&amp;0)+2,1)=J$1,J$1,""),"")</f>
        <v>4</v>
      </c>
      <c r="K819" s="36">
        <f>IFERROR(IF(--MID($F819,2*COUNTIF($G819:J819,"&gt;"&amp;0)+2,1)=K$1,K$1,""),"")</f>
        <v>5</v>
      </c>
      <c r="L819" s="36">
        <f>IFERROR(IF(--MID($F819,2*COUNTIF($G819:K819,"&gt;"&amp;0)+2,1)=L$1,L$1,""),"")</f>
        <v>6</v>
      </c>
      <c r="M819" s="36" t="e" cm="1">
        <f t="array" ref="M819">IF(A819="","",_xlfn.XLOOKUP(D819&amp;"_"&amp;AE819,符文权重!A:A&amp;"_"&amp;符文权重!C:C,符文权重!D:D))</f>
        <v>#N/A</v>
      </c>
      <c r="N819" s="36"/>
      <c r="O819" s="36"/>
      <c r="P819" s="36"/>
      <c r="Q819" s="36"/>
      <c r="R819" s="36"/>
      <c r="S819" s="36" t="s">
        <v>192</v>
      </c>
      <c r="T819" s="36" t="s">
        <v>211</v>
      </c>
      <c r="U819" s="36" t="s">
        <v>426</v>
      </c>
      <c r="W819" s="36" t="s">
        <v>218</v>
      </c>
      <c r="X819" s="35" t="s">
        <v>1113</v>
      </c>
      <c r="Y819" s="35">
        <v>100</v>
      </c>
      <c r="Z819" s="35"/>
      <c r="AA819" s="36" t="s">
        <v>189</v>
      </c>
      <c r="AB819" s="36" t="s">
        <v>1137</v>
      </c>
      <c r="AC819" s="78">
        <v>5501041</v>
      </c>
      <c r="AD819" s="36" t="s">
        <v>518</v>
      </c>
      <c r="AE819" s="36">
        <v>100</v>
      </c>
      <c r="AF819" s="36" t="s">
        <v>178</v>
      </c>
      <c r="AG819" s="79">
        <v>1</v>
      </c>
      <c r="AH819" s="36">
        <v>0</v>
      </c>
      <c r="AI819" s="33"/>
      <c r="AJ819" s="37"/>
      <c r="AK819" s="35"/>
      <c r="AL819" s="35"/>
    </row>
    <row r="820" s="25" customFormat="1" hidden="1" customHeight="1" spans="1:38">
      <c r="A820" s="33">
        <v>5307104</v>
      </c>
      <c r="B820" s="34"/>
      <c r="C820" s="35">
        <v>5301104</v>
      </c>
      <c r="D820" s="36">
        <v>7</v>
      </c>
      <c r="E820" s="36"/>
      <c r="F820" s="36" t="s">
        <v>174</v>
      </c>
      <c r="G820" s="36">
        <f t="shared" si="270"/>
        <v>1</v>
      </c>
      <c r="H820" s="36">
        <f>IFERROR(IF(--MID($F820,2*COUNTIF($G820:G820,"&gt;"&amp;0)+2,1)=H$1,H$1,""),"")</f>
        <v>2</v>
      </c>
      <c r="I820" s="36">
        <f>IFERROR(IF(--MID($F820,2*COUNTIF($G820:H820,"&gt;"&amp;0)+2,1)=I$1,I$1,""),"")</f>
        <v>3</v>
      </c>
      <c r="J820" s="36">
        <f>IFERROR(IF(--MID($F820,2*COUNTIF($G820:I820,"&gt;"&amp;0)+2,1)=J$1,J$1,""),"")</f>
        <v>4</v>
      </c>
      <c r="K820" s="36">
        <f>IFERROR(IF(--MID($F820,2*COUNTIF($G820:J820,"&gt;"&amp;0)+2,1)=K$1,K$1,""),"")</f>
        <v>5</v>
      </c>
      <c r="L820" s="36">
        <f>IFERROR(IF(--MID($F820,2*COUNTIF($G820:K820,"&gt;"&amp;0)+2,1)=L$1,L$1,""),"")</f>
        <v>6</v>
      </c>
      <c r="M820" s="36" t="e" cm="1">
        <f t="array" ref="M820">IF(A820="","",_xlfn.XLOOKUP(D820&amp;"_"&amp;AE820,符文权重!A:A&amp;"_"&amp;符文权重!C:C,符文权重!D:D))</f>
        <v>#N/A</v>
      </c>
      <c r="N820" s="36"/>
      <c r="O820" s="36"/>
      <c r="P820" s="36"/>
      <c r="Q820" s="36"/>
      <c r="R820" s="36"/>
      <c r="S820" s="36" t="s">
        <v>192</v>
      </c>
      <c r="T820" s="36" t="s">
        <v>211</v>
      </c>
      <c r="U820" s="36" t="s">
        <v>429</v>
      </c>
      <c r="W820" s="36" t="s">
        <v>219</v>
      </c>
      <c r="X820" s="35" t="s">
        <v>1115</v>
      </c>
      <c r="Y820" s="35">
        <v>100</v>
      </c>
      <c r="Z820" s="35"/>
      <c r="AA820" s="36" t="s">
        <v>191</v>
      </c>
      <c r="AB820" s="36" t="s">
        <v>1138</v>
      </c>
      <c r="AC820" s="78">
        <v>5501041</v>
      </c>
      <c r="AD820" s="36" t="s">
        <v>522</v>
      </c>
      <c r="AE820" s="36">
        <v>100</v>
      </c>
      <c r="AF820" s="36" t="s">
        <v>178</v>
      </c>
      <c r="AG820" s="79">
        <v>1</v>
      </c>
      <c r="AH820" s="36">
        <v>0</v>
      </c>
      <c r="AI820" s="33"/>
      <c r="AJ820" s="37"/>
      <c r="AK820" s="35"/>
      <c r="AL820" s="35"/>
    </row>
    <row r="821" s="25" customFormat="1" hidden="1" customHeight="1" spans="1:38">
      <c r="A821" s="33">
        <v>5301105</v>
      </c>
      <c r="B821" s="34"/>
      <c r="C821" s="35">
        <v>5301105</v>
      </c>
      <c r="D821" s="36">
        <v>1</v>
      </c>
      <c r="E821" s="36"/>
      <c r="F821" s="36" t="s">
        <v>174</v>
      </c>
      <c r="G821" s="36">
        <f t="shared" si="270"/>
        <v>1</v>
      </c>
      <c r="H821" s="36">
        <f>IFERROR(IF(--MID($F821,2*COUNTIF($G821:G821,"&gt;"&amp;0)+2,1)=H$1,H$1,""),"")</f>
        <v>2</v>
      </c>
      <c r="I821" s="36">
        <f>IFERROR(IF(--MID($F821,2*COUNTIF($G821:H821,"&gt;"&amp;0)+2,1)=I$1,I$1,""),"")</f>
        <v>3</v>
      </c>
      <c r="J821" s="36">
        <f>IFERROR(IF(--MID($F821,2*COUNTIF($G821:I821,"&gt;"&amp;0)+2,1)=J$1,J$1,""),"")</f>
        <v>4</v>
      </c>
      <c r="K821" s="36">
        <f>IFERROR(IF(--MID($F821,2*COUNTIF($G821:J821,"&gt;"&amp;0)+2,1)=K$1,K$1,""),"")</f>
        <v>5</v>
      </c>
      <c r="L821" s="36">
        <f>IFERROR(IF(--MID($F821,2*COUNTIF($G821:K821,"&gt;"&amp;0)+2,1)=L$1,L$1,""),"")</f>
        <v>6</v>
      </c>
      <c r="M821" s="36" t="e" cm="1">
        <f t="array" ref="M821">IF(A821="","",_xlfn.XLOOKUP(D821&amp;"_"&amp;AE821,符文权重!A:A&amp;"_"&amp;符文权重!C:C,符文权重!D:D))</f>
        <v>#N/A</v>
      </c>
      <c r="N821" s="36"/>
      <c r="O821" s="36"/>
      <c r="P821" s="36"/>
      <c r="Q821" s="36"/>
      <c r="R821" s="36"/>
      <c r="S821" s="36" t="s">
        <v>192</v>
      </c>
      <c r="T821" s="36" t="s">
        <v>220</v>
      </c>
      <c r="U821" s="36" t="s">
        <v>413</v>
      </c>
      <c r="W821" s="36" t="s">
        <v>221</v>
      </c>
      <c r="X821" s="35" t="s">
        <v>1105</v>
      </c>
      <c r="Y821" s="35">
        <v>100</v>
      </c>
      <c r="Z821" s="35"/>
      <c r="AA821" s="36" t="s">
        <v>177</v>
      </c>
      <c r="AB821" s="36" t="s">
        <v>1139</v>
      </c>
      <c r="AC821" s="78">
        <v>5501051</v>
      </c>
      <c r="AD821" s="36" t="s">
        <v>487</v>
      </c>
      <c r="AE821" s="36">
        <v>100</v>
      </c>
      <c r="AF821" s="36" t="s">
        <v>178</v>
      </c>
      <c r="AG821" s="79">
        <v>1</v>
      </c>
      <c r="AH821" s="36">
        <v>0</v>
      </c>
      <c r="AI821" s="33"/>
      <c r="AJ821" s="37"/>
      <c r="AK821" s="35"/>
      <c r="AL821" s="35"/>
    </row>
    <row r="822" s="25" customFormat="1" hidden="1" customHeight="1" spans="1:38">
      <c r="A822" s="33">
        <v>5302105</v>
      </c>
      <c r="B822" s="34"/>
      <c r="C822" s="35">
        <v>5301105</v>
      </c>
      <c r="D822" s="36">
        <v>2</v>
      </c>
      <c r="E822" s="36"/>
      <c r="F822" s="36" t="s">
        <v>174</v>
      </c>
      <c r="G822" s="36">
        <f t="shared" si="270"/>
        <v>1</v>
      </c>
      <c r="H822" s="36">
        <f>IFERROR(IF(--MID($F822,2*COUNTIF($G822:G822,"&gt;"&amp;0)+2,1)=H$1,H$1,""),"")</f>
        <v>2</v>
      </c>
      <c r="I822" s="36">
        <f>IFERROR(IF(--MID($F822,2*COUNTIF($G822:H822,"&gt;"&amp;0)+2,1)=I$1,I$1,""),"")</f>
        <v>3</v>
      </c>
      <c r="J822" s="36">
        <f>IFERROR(IF(--MID($F822,2*COUNTIF($G822:I822,"&gt;"&amp;0)+2,1)=J$1,J$1,""),"")</f>
        <v>4</v>
      </c>
      <c r="K822" s="36">
        <f>IFERROR(IF(--MID($F822,2*COUNTIF($G822:J822,"&gt;"&amp;0)+2,1)=K$1,K$1,""),"")</f>
        <v>5</v>
      </c>
      <c r="L822" s="36">
        <f>IFERROR(IF(--MID($F822,2*COUNTIF($G822:K822,"&gt;"&amp;0)+2,1)=L$1,L$1,""),"")</f>
        <v>6</v>
      </c>
      <c r="M822" s="36" t="e" cm="1">
        <f t="array" ref="M822">IF(A822="","",_xlfn.XLOOKUP(D822&amp;"_"&amp;AE822,符文权重!A:A&amp;"_"&amp;符文权重!C:C,符文权重!D:D))</f>
        <v>#N/A</v>
      </c>
      <c r="N822" s="36"/>
      <c r="O822" s="36"/>
      <c r="P822" s="36"/>
      <c r="Q822" s="36"/>
      <c r="R822" s="36"/>
      <c r="S822" s="36" t="s">
        <v>192</v>
      </c>
      <c r="T822" s="36" t="s">
        <v>220</v>
      </c>
      <c r="U822" s="36" t="s">
        <v>415</v>
      </c>
      <c r="W822" s="36" t="s">
        <v>223</v>
      </c>
      <c r="X822" s="35" t="s">
        <v>743</v>
      </c>
      <c r="Y822" s="35">
        <v>100</v>
      </c>
      <c r="Z822" s="35"/>
      <c r="AA822" s="36" t="s">
        <v>181</v>
      </c>
      <c r="AB822" s="80" t="s">
        <v>1140</v>
      </c>
      <c r="AC822" s="78">
        <v>5501051</v>
      </c>
      <c r="AD822" s="36" t="s">
        <v>497</v>
      </c>
      <c r="AE822" s="36">
        <v>100</v>
      </c>
      <c r="AF822" s="36" t="s">
        <v>178</v>
      </c>
      <c r="AG822" s="79">
        <v>1</v>
      </c>
      <c r="AH822" s="36">
        <v>0</v>
      </c>
      <c r="AI822" s="33"/>
      <c r="AJ822" s="37"/>
      <c r="AK822" s="35"/>
      <c r="AL822" s="35"/>
    </row>
    <row r="823" s="25" customFormat="1" hidden="1" customHeight="1" spans="1:38">
      <c r="A823" s="33">
        <v>5303105</v>
      </c>
      <c r="B823" s="34"/>
      <c r="C823" s="35">
        <v>5301105</v>
      </c>
      <c r="D823" s="36">
        <v>3</v>
      </c>
      <c r="E823" s="36"/>
      <c r="F823" s="36" t="s">
        <v>174</v>
      </c>
      <c r="G823" s="36">
        <f t="shared" si="270"/>
        <v>1</v>
      </c>
      <c r="H823" s="36">
        <f>IFERROR(IF(--MID($F823,2*COUNTIF($G823:G823,"&gt;"&amp;0)+2,1)=H$1,H$1,""),"")</f>
        <v>2</v>
      </c>
      <c r="I823" s="36">
        <f>IFERROR(IF(--MID($F823,2*COUNTIF($G823:H823,"&gt;"&amp;0)+2,1)=I$1,I$1,""),"")</f>
        <v>3</v>
      </c>
      <c r="J823" s="36">
        <f>IFERROR(IF(--MID($F823,2*COUNTIF($G823:I823,"&gt;"&amp;0)+2,1)=J$1,J$1,""),"")</f>
        <v>4</v>
      </c>
      <c r="K823" s="36">
        <f>IFERROR(IF(--MID($F823,2*COUNTIF($G823:J823,"&gt;"&amp;0)+2,1)=K$1,K$1,""),"")</f>
        <v>5</v>
      </c>
      <c r="L823" s="36">
        <f>IFERROR(IF(--MID($F823,2*COUNTIF($G823:K823,"&gt;"&amp;0)+2,1)=L$1,L$1,""),"")</f>
        <v>6</v>
      </c>
      <c r="M823" s="36" t="e" cm="1">
        <f t="array" ref="M823">IF(A823="","",_xlfn.XLOOKUP(D823&amp;"_"&amp;AE823,符文权重!A:A&amp;"_"&amp;符文权重!C:C,符文权重!D:D))</f>
        <v>#N/A</v>
      </c>
      <c r="N823" s="36"/>
      <c r="O823" s="36"/>
      <c r="P823" s="36"/>
      <c r="Q823" s="36"/>
      <c r="R823" s="36"/>
      <c r="S823" s="36" t="s">
        <v>192</v>
      </c>
      <c r="T823" s="36" t="s">
        <v>220</v>
      </c>
      <c r="U823" s="36" t="s">
        <v>417</v>
      </c>
      <c r="W823" s="36" t="s">
        <v>224</v>
      </c>
      <c r="X823" s="35" t="s">
        <v>743</v>
      </c>
      <c r="Y823" s="35">
        <v>100</v>
      </c>
      <c r="Z823" s="35"/>
      <c r="AA823" s="36" t="s">
        <v>183</v>
      </c>
      <c r="AB823" s="36" t="s">
        <v>1141</v>
      </c>
      <c r="AC823" s="78">
        <v>5501051</v>
      </c>
      <c r="AD823" s="36" t="s">
        <v>596</v>
      </c>
      <c r="AE823" s="36">
        <v>100</v>
      </c>
      <c r="AF823" s="36" t="s">
        <v>178</v>
      </c>
      <c r="AG823" s="79">
        <v>1</v>
      </c>
      <c r="AH823" s="36">
        <v>0</v>
      </c>
      <c r="AI823" s="33"/>
      <c r="AJ823" s="37"/>
      <c r="AK823" s="35"/>
      <c r="AL823" s="35"/>
    </row>
    <row r="824" s="25" customFormat="1" hidden="1" customHeight="1" spans="1:38">
      <c r="A824" s="33">
        <v>5304105</v>
      </c>
      <c r="B824" s="34"/>
      <c r="C824" s="35">
        <v>5301105</v>
      </c>
      <c r="D824" s="36">
        <v>4</v>
      </c>
      <c r="E824" s="36"/>
      <c r="F824" s="36" t="s">
        <v>174</v>
      </c>
      <c r="G824" s="36">
        <f t="shared" si="270"/>
        <v>1</v>
      </c>
      <c r="H824" s="36">
        <f>IFERROR(IF(--MID($F824,2*COUNTIF($G824:G824,"&gt;"&amp;0)+2,1)=H$1,H$1,""),"")</f>
        <v>2</v>
      </c>
      <c r="I824" s="36">
        <f>IFERROR(IF(--MID($F824,2*COUNTIF($G824:H824,"&gt;"&amp;0)+2,1)=I$1,I$1,""),"")</f>
        <v>3</v>
      </c>
      <c r="J824" s="36">
        <f>IFERROR(IF(--MID($F824,2*COUNTIF($G824:I824,"&gt;"&amp;0)+2,1)=J$1,J$1,""),"")</f>
        <v>4</v>
      </c>
      <c r="K824" s="36">
        <f>IFERROR(IF(--MID($F824,2*COUNTIF($G824:J824,"&gt;"&amp;0)+2,1)=K$1,K$1,""),"")</f>
        <v>5</v>
      </c>
      <c r="L824" s="36">
        <f>IFERROR(IF(--MID($F824,2*COUNTIF($G824:K824,"&gt;"&amp;0)+2,1)=L$1,L$1,""),"")</f>
        <v>6</v>
      </c>
      <c r="M824" s="36" t="e" cm="1">
        <f t="array" ref="M824">IF(A824="","",_xlfn.XLOOKUP(D824&amp;"_"&amp;AE824,符文权重!A:A&amp;"_"&amp;符文权重!C:C,符文权重!D:D))</f>
        <v>#N/A</v>
      </c>
      <c r="N824" s="36"/>
      <c r="O824" s="36"/>
      <c r="P824" s="36"/>
      <c r="Q824" s="36"/>
      <c r="R824" s="36"/>
      <c r="S824" s="36" t="s">
        <v>192</v>
      </c>
      <c r="T824" s="36" t="s">
        <v>220</v>
      </c>
      <c r="U824" s="36" t="s">
        <v>420</v>
      </c>
      <c r="W824" s="36" t="s">
        <v>225</v>
      </c>
      <c r="X824" s="35" t="s">
        <v>743</v>
      </c>
      <c r="Y824" s="35">
        <v>100</v>
      </c>
      <c r="Z824" s="35"/>
      <c r="AA824" s="36" t="s">
        <v>185</v>
      </c>
      <c r="AB824" s="36" t="s">
        <v>1142</v>
      </c>
      <c r="AC824" s="78">
        <v>5501051</v>
      </c>
      <c r="AD824" s="36" t="s">
        <v>500</v>
      </c>
      <c r="AE824" s="36">
        <v>100</v>
      </c>
      <c r="AF824" s="36" t="s">
        <v>178</v>
      </c>
      <c r="AG824" s="79">
        <v>1</v>
      </c>
      <c r="AH824" s="36">
        <v>0</v>
      </c>
      <c r="AI824" s="33"/>
      <c r="AJ824" s="37"/>
      <c r="AK824" s="35"/>
      <c r="AL824" s="35"/>
    </row>
    <row r="825" s="25" customFormat="1" hidden="1" customHeight="1" spans="1:38">
      <c r="A825" s="33">
        <v>5305105</v>
      </c>
      <c r="B825" s="34"/>
      <c r="C825" s="35">
        <v>5301105</v>
      </c>
      <c r="D825" s="36">
        <v>5</v>
      </c>
      <c r="E825" s="36"/>
      <c r="F825" s="36" t="s">
        <v>174</v>
      </c>
      <c r="G825" s="36">
        <f t="shared" si="270"/>
        <v>1</v>
      </c>
      <c r="H825" s="36">
        <f>IFERROR(IF(--MID($F825,2*COUNTIF($G825:G825,"&gt;"&amp;0)+2,1)=H$1,H$1,""),"")</f>
        <v>2</v>
      </c>
      <c r="I825" s="36">
        <f>IFERROR(IF(--MID($F825,2*COUNTIF($G825:H825,"&gt;"&amp;0)+2,1)=I$1,I$1,""),"")</f>
        <v>3</v>
      </c>
      <c r="J825" s="36">
        <f>IFERROR(IF(--MID($F825,2*COUNTIF($G825:I825,"&gt;"&amp;0)+2,1)=J$1,J$1,""),"")</f>
        <v>4</v>
      </c>
      <c r="K825" s="36">
        <f>IFERROR(IF(--MID($F825,2*COUNTIF($G825:J825,"&gt;"&amp;0)+2,1)=K$1,K$1,""),"")</f>
        <v>5</v>
      </c>
      <c r="L825" s="36">
        <f>IFERROR(IF(--MID($F825,2*COUNTIF($G825:K825,"&gt;"&amp;0)+2,1)=L$1,L$1,""),"")</f>
        <v>6</v>
      </c>
      <c r="M825" s="36" t="e" cm="1">
        <f t="array" ref="M825">IF(A825="","",_xlfn.XLOOKUP(D825&amp;"_"&amp;AE825,符文权重!A:A&amp;"_"&amp;符文权重!C:C,符文权重!D:D))</f>
        <v>#N/A</v>
      </c>
      <c r="N825" s="36"/>
      <c r="O825" s="36"/>
      <c r="P825" s="36"/>
      <c r="Q825" s="36"/>
      <c r="R825" s="36"/>
      <c r="S825" s="36" t="s">
        <v>192</v>
      </c>
      <c r="T825" s="36" t="s">
        <v>220</v>
      </c>
      <c r="U825" s="36" t="s">
        <v>423</v>
      </c>
      <c r="W825" s="36" t="s">
        <v>226</v>
      </c>
      <c r="X825" s="35" t="s">
        <v>1110</v>
      </c>
      <c r="Y825" s="35">
        <v>100</v>
      </c>
      <c r="Z825" s="35"/>
      <c r="AA825" s="36" t="s">
        <v>187</v>
      </c>
      <c r="AB825" s="36" t="s">
        <v>1143</v>
      </c>
      <c r="AC825" s="78">
        <v>5501051</v>
      </c>
      <c r="AD825" s="36" t="s">
        <v>1122</v>
      </c>
      <c r="AE825" s="36">
        <v>100</v>
      </c>
      <c r="AF825" s="36" t="s">
        <v>178</v>
      </c>
      <c r="AG825" s="79">
        <v>1</v>
      </c>
      <c r="AH825" s="36">
        <v>0</v>
      </c>
      <c r="AI825" s="33"/>
      <c r="AJ825" s="37"/>
      <c r="AK825" s="35"/>
      <c r="AL825" s="35"/>
    </row>
    <row r="826" s="25" customFormat="1" hidden="1" customHeight="1" spans="1:38">
      <c r="A826" s="33">
        <v>5306105</v>
      </c>
      <c r="B826" s="34"/>
      <c r="C826" s="35">
        <v>5301105</v>
      </c>
      <c r="D826" s="36">
        <v>6</v>
      </c>
      <c r="E826" s="36"/>
      <c r="F826" s="36" t="s">
        <v>174</v>
      </c>
      <c r="G826" s="36">
        <f t="shared" si="270"/>
        <v>1</v>
      </c>
      <c r="H826" s="36">
        <f>IFERROR(IF(--MID($F826,2*COUNTIF($G826:G826,"&gt;"&amp;0)+2,1)=H$1,H$1,""),"")</f>
        <v>2</v>
      </c>
      <c r="I826" s="36">
        <f>IFERROR(IF(--MID($F826,2*COUNTIF($G826:H826,"&gt;"&amp;0)+2,1)=I$1,I$1,""),"")</f>
        <v>3</v>
      </c>
      <c r="J826" s="36">
        <f>IFERROR(IF(--MID($F826,2*COUNTIF($G826:I826,"&gt;"&amp;0)+2,1)=J$1,J$1,""),"")</f>
        <v>4</v>
      </c>
      <c r="K826" s="36">
        <f>IFERROR(IF(--MID($F826,2*COUNTIF($G826:J826,"&gt;"&amp;0)+2,1)=K$1,K$1,""),"")</f>
        <v>5</v>
      </c>
      <c r="L826" s="36">
        <f>IFERROR(IF(--MID($F826,2*COUNTIF($G826:K826,"&gt;"&amp;0)+2,1)=L$1,L$1,""),"")</f>
        <v>6</v>
      </c>
      <c r="M826" s="36" t="e" cm="1">
        <f t="array" ref="M826">IF(A826="","",_xlfn.XLOOKUP(D826&amp;"_"&amp;AE826,符文权重!A:A&amp;"_"&amp;符文权重!C:C,符文权重!D:D))</f>
        <v>#N/A</v>
      </c>
      <c r="N826" s="36"/>
      <c r="O826" s="36"/>
      <c r="P826" s="36"/>
      <c r="Q826" s="36"/>
      <c r="R826" s="36"/>
      <c r="S826" s="36" t="s">
        <v>192</v>
      </c>
      <c r="T826" s="36" t="s">
        <v>220</v>
      </c>
      <c r="U826" s="36" t="s">
        <v>426</v>
      </c>
      <c r="W826" s="36" t="s">
        <v>227</v>
      </c>
      <c r="X826" s="35" t="s">
        <v>1113</v>
      </c>
      <c r="Y826" s="35">
        <v>100</v>
      </c>
      <c r="Z826" s="35"/>
      <c r="AA826" s="36" t="s">
        <v>189</v>
      </c>
      <c r="AB826" s="36" t="s">
        <v>1144</v>
      </c>
      <c r="AC826" s="78">
        <v>5501051</v>
      </c>
      <c r="AD826" s="36" t="s">
        <v>518</v>
      </c>
      <c r="AE826" s="36">
        <v>100</v>
      </c>
      <c r="AF826" s="36" t="s">
        <v>178</v>
      </c>
      <c r="AG826" s="79">
        <v>1</v>
      </c>
      <c r="AH826" s="36">
        <v>0</v>
      </c>
      <c r="AI826" s="33"/>
      <c r="AJ826" s="37"/>
      <c r="AK826" s="35"/>
      <c r="AL826" s="35"/>
    </row>
    <row r="827" s="25" customFormat="1" hidden="1" customHeight="1" spans="1:38">
      <c r="A827" s="33">
        <v>5307105</v>
      </c>
      <c r="B827" s="34"/>
      <c r="C827" s="35">
        <v>5301105</v>
      </c>
      <c r="D827" s="36">
        <v>7</v>
      </c>
      <c r="E827" s="36"/>
      <c r="F827" s="36" t="s">
        <v>174</v>
      </c>
      <c r="G827" s="36">
        <f t="shared" si="270"/>
        <v>1</v>
      </c>
      <c r="H827" s="36">
        <f>IFERROR(IF(--MID($F827,2*COUNTIF($G827:G827,"&gt;"&amp;0)+2,1)=H$1,H$1,""),"")</f>
        <v>2</v>
      </c>
      <c r="I827" s="36">
        <f>IFERROR(IF(--MID($F827,2*COUNTIF($G827:H827,"&gt;"&amp;0)+2,1)=I$1,I$1,""),"")</f>
        <v>3</v>
      </c>
      <c r="J827" s="36">
        <f>IFERROR(IF(--MID($F827,2*COUNTIF($G827:I827,"&gt;"&amp;0)+2,1)=J$1,J$1,""),"")</f>
        <v>4</v>
      </c>
      <c r="K827" s="36">
        <f>IFERROR(IF(--MID($F827,2*COUNTIF($G827:J827,"&gt;"&amp;0)+2,1)=K$1,K$1,""),"")</f>
        <v>5</v>
      </c>
      <c r="L827" s="36">
        <f>IFERROR(IF(--MID($F827,2*COUNTIF($G827:K827,"&gt;"&amp;0)+2,1)=L$1,L$1,""),"")</f>
        <v>6</v>
      </c>
      <c r="M827" s="36" t="e" cm="1">
        <f t="array" ref="M827">IF(A827="","",_xlfn.XLOOKUP(D827&amp;"_"&amp;AE827,符文权重!A:A&amp;"_"&amp;符文权重!C:C,符文权重!D:D))</f>
        <v>#N/A</v>
      </c>
      <c r="N827" s="36"/>
      <c r="O827" s="36"/>
      <c r="P827" s="36"/>
      <c r="Q827" s="36"/>
      <c r="R827" s="36"/>
      <c r="S827" s="36" t="s">
        <v>192</v>
      </c>
      <c r="T827" s="36" t="s">
        <v>220</v>
      </c>
      <c r="U827" s="36" t="s">
        <v>429</v>
      </c>
      <c r="W827" s="36" t="s">
        <v>228</v>
      </c>
      <c r="X827" s="35" t="s">
        <v>1115</v>
      </c>
      <c r="Y827" s="35">
        <v>100</v>
      </c>
      <c r="Z827" s="35"/>
      <c r="AA827" s="36" t="s">
        <v>191</v>
      </c>
      <c r="AB827" s="36" t="s">
        <v>1145</v>
      </c>
      <c r="AC827" s="78">
        <v>5501051</v>
      </c>
      <c r="AD827" s="36" t="s">
        <v>522</v>
      </c>
      <c r="AE827" s="36">
        <v>100</v>
      </c>
      <c r="AF827" s="36" t="s">
        <v>178</v>
      </c>
      <c r="AG827" s="79">
        <v>1</v>
      </c>
      <c r="AH827" s="36">
        <v>0</v>
      </c>
      <c r="AI827" s="33"/>
      <c r="AJ827" s="37"/>
      <c r="AK827" s="35"/>
      <c r="AL827" s="35"/>
    </row>
    <row r="828" s="25" customFormat="1" hidden="1" customHeight="1" spans="1:38">
      <c r="A828" s="33">
        <v>5301106</v>
      </c>
      <c r="B828" s="34"/>
      <c r="C828" s="35">
        <v>5301106</v>
      </c>
      <c r="D828" s="36">
        <v>1</v>
      </c>
      <c r="E828" s="36"/>
      <c r="F828" s="36" t="s">
        <v>174</v>
      </c>
      <c r="G828" s="36">
        <f t="shared" si="270"/>
        <v>1</v>
      </c>
      <c r="H828" s="36">
        <f>IFERROR(IF(--MID($F828,2*COUNTIF($G828:G828,"&gt;"&amp;0)+2,1)=H$1,H$1,""),"")</f>
        <v>2</v>
      </c>
      <c r="I828" s="36">
        <f>IFERROR(IF(--MID($F828,2*COUNTIF($G828:H828,"&gt;"&amp;0)+2,1)=I$1,I$1,""),"")</f>
        <v>3</v>
      </c>
      <c r="J828" s="36">
        <f>IFERROR(IF(--MID($F828,2*COUNTIF($G828:I828,"&gt;"&amp;0)+2,1)=J$1,J$1,""),"")</f>
        <v>4</v>
      </c>
      <c r="K828" s="36">
        <f>IFERROR(IF(--MID($F828,2*COUNTIF($G828:J828,"&gt;"&amp;0)+2,1)=K$1,K$1,""),"")</f>
        <v>5</v>
      </c>
      <c r="L828" s="36">
        <f>IFERROR(IF(--MID($F828,2*COUNTIF($G828:K828,"&gt;"&amp;0)+2,1)=L$1,L$1,""),"")</f>
        <v>6</v>
      </c>
      <c r="M828" s="36" t="e" cm="1">
        <f t="array" ref="M828">IF(A828="","",_xlfn.XLOOKUP(D828&amp;"_"&amp;AE828,符文权重!A:A&amp;"_"&amp;符文权重!C:C,符文权重!D:D))</f>
        <v>#N/A</v>
      </c>
      <c r="N828" s="36"/>
      <c r="O828" s="36"/>
      <c r="P828" s="36"/>
      <c r="Q828" s="36"/>
      <c r="R828" s="36"/>
      <c r="S828" s="36" t="s">
        <v>192</v>
      </c>
      <c r="T828" s="36" t="s">
        <v>230</v>
      </c>
      <c r="U828" s="36" t="s">
        <v>413</v>
      </c>
      <c r="W828" s="36" t="s">
        <v>231</v>
      </c>
      <c r="X828" s="35" t="s">
        <v>1105</v>
      </c>
      <c r="Y828" s="35">
        <v>100</v>
      </c>
      <c r="Z828" s="35"/>
      <c r="AA828" s="36" t="s">
        <v>177</v>
      </c>
      <c r="AB828" s="36" t="s">
        <v>1146</v>
      </c>
      <c r="AC828" s="78">
        <v>5501061</v>
      </c>
      <c r="AD828" s="36" t="s">
        <v>487</v>
      </c>
      <c r="AE828" s="36">
        <v>100</v>
      </c>
      <c r="AF828" s="36" t="s">
        <v>178</v>
      </c>
      <c r="AG828" s="79">
        <v>1</v>
      </c>
      <c r="AH828" s="36">
        <v>0</v>
      </c>
      <c r="AL828" s="35"/>
    </row>
    <row r="829" s="25" customFormat="1" hidden="1" customHeight="1" spans="1:38">
      <c r="A829" s="33">
        <v>5302106</v>
      </c>
      <c r="B829" s="34"/>
      <c r="C829" s="35">
        <v>5301106</v>
      </c>
      <c r="D829" s="36">
        <v>2</v>
      </c>
      <c r="E829" s="36"/>
      <c r="F829" s="36" t="s">
        <v>174</v>
      </c>
      <c r="G829" s="36">
        <f t="shared" si="270"/>
        <v>1</v>
      </c>
      <c r="H829" s="36">
        <f>IFERROR(IF(--MID($F829,2*COUNTIF($G829:G829,"&gt;"&amp;0)+2,1)=H$1,H$1,""),"")</f>
        <v>2</v>
      </c>
      <c r="I829" s="36">
        <f>IFERROR(IF(--MID($F829,2*COUNTIF($G829:H829,"&gt;"&amp;0)+2,1)=I$1,I$1,""),"")</f>
        <v>3</v>
      </c>
      <c r="J829" s="36">
        <f>IFERROR(IF(--MID($F829,2*COUNTIF($G829:I829,"&gt;"&amp;0)+2,1)=J$1,J$1,""),"")</f>
        <v>4</v>
      </c>
      <c r="K829" s="36">
        <f>IFERROR(IF(--MID($F829,2*COUNTIF($G829:J829,"&gt;"&amp;0)+2,1)=K$1,K$1,""),"")</f>
        <v>5</v>
      </c>
      <c r="L829" s="36">
        <f>IFERROR(IF(--MID($F829,2*COUNTIF($G829:K829,"&gt;"&amp;0)+2,1)=L$1,L$1,""),"")</f>
        <v>6</v>
      </c>
      <c r="M829" s="36" t="e" cm="1">
        <f t="array" ref="M829">IF(A829="","",_xlfn.XLOOKUP(D829&amp;"_"&amp;AE829,符文权重!A:A&amp;"_"&amp;符文权重!C:C,符文权重!D:D))</f>
        <v>#N/A</v>
      </c>
      <c r="N829" s="36"/>
      <c r="O829" s="36"/>
      <c r="P829" s="36"/>
      <c r="Q829" s="36"/>
      <c r="R829" s="36"/>
      <c r="S829" s="36" t="s">
        <v>192</v>
      </c>
      <c r="T829" s="36" t="s">
        <v>230</v>
      </c>
      <c r="U829" s="36" t="s">
        <v>415</v>
      </c>
      <c r="W829" s="36" t="s">
        <v>233</v>
      </c>
      <c r="X829" s="35" t="s">
        <v>743</v>
      </c>
      <c r="Y829" s="35">
        <v>100</v>
      </c>
      <c r="Z829" s="35"/>
      <c r="AA829" s="36" t="s">
        <v>181</v>
      </c>
      <c r="AB829" s="80" t="s">
        <v>1147</v>
      </c>
      <c r="AC829" s="78">
        <v>5501061</v>
      </c>
      <c r="AD829" s="36" t="s">
        <v>497</v>
      </c>
      <c r="AE829" s="36">
        <v>100</v>
      </c>
      <c r="AF829" s="36"/>
      <c r="AG829" s="79">
        <v>1</v>
      </c>
      <c r="AH829" s="36">
        <v>0</v>
      </c>
      <c r="AL829" s="35"/>
    </row>
    <row r="830" s="25" customFormat="1" hidden="1" customHeight="1" spans="1:38">
      <c r="A830" s="33">
        <v>5303106</v>
      </c>
      <c r="B830" s="34"/>
      <c r="C830" s="35">
        <v>5301106</v>
      </c>
      <c r="D830" s="36">
        <v>3</v>
      </c>
      <c r="E830" s="36"/>
      <c r="F830" s="36" t="s">
        <v>174</v>
      </c>
      <c r="G830" s="36">
        <f t="shared" si="270"/>
        <v>1</v>
      </c>
      <c r="H830" s="36">
        <f>IFERROR(IF(--MID($F830,2*COUNTIF($G830:G830,"&gt;"&amp;0)+2,1)=H$1,H$1,""),"")</f>
        <v>2</v>
      </c>
      <c r="I830" s="36">
        <f>IFERROR(IF(--MID($F830,2*COUNTIF($G830:H830,"&gt;"&amp;0)+2,1)=I$1,I$1,""),"")</f>
        <v>3</v>
      </c>
      <c r="J830" s="36">
        <f>IFERROR(IF(--MID($F830,2*COUNTIF($G830:I830,"&gt;"&amp;0)+2,1)=J$1,J$1,""),"")</f>
        <v>4</v>
      </c>
      <c r="K830" s="36">
        <f>IFERROR(IF(--MID($F830,2*COUNTIF($G830:J830,"&gt;"&amp;0)+2,1)=K$1,K$1,""),"")</f>
        <v>5</v>
      </c>
      <c r="L830" s="36">
        <f>IFERROR(IF(--MID($F830,2*COUNTIF($G830:K830,"&gt;"&amp;0)+2,1)=L$1,L$1,""),"")</f>
        <v>6</v>
      </c>
      <c r="M830" s="36" t="e" cm="1">
        <f t="array" ref="M830">IF(A830="","",_xlfn.XLOOKUP(D830&amp;"_"&amp;AE830,符文权重!A:A&amp;"_"&amp;符文权重!C:C,符文权重!D:D))</f>
        <v>#N/A</v>
      </c>
      <c r="N830" s="36"/>
      <c r="O830" s="36"/>
      <c r="P830" s="36"/>
      <c r="Q830" s="36"/>
      <c r="R830" s="36"/>
      <c r="S830" s="36" t="s">
        <v>192</v>
      </c>
      <c r="T830" s="36" t="s">
        <v>230</v>
      </c>
      <c r="U830" s="36" t="s">
        <v>417</v>
      </c>
      <c r="W830" s="36" t="s">
        <v>234</v>
      </c>
      <c r="X830" s="35" t="s">
        <v>743</v>
      </c>
      <c r="Y830" s="35">
        <v>100</v>
      </c>
      <c r="Z830" s="35"/>
      <c r="AA830" s="36" t="s">
        <v>183</v>
      </c>
      <c r="AB830" s="36" t="s">
        <v>1148</v>
      </c>
      <c r="AC830" s="78">
        <v>5501061</v>
      </c>
      <c r="AD830" s="36" t="s">
        <v>596</v>
      </c>
      <c r="AE830" s="36">
        <v>100</v>
      </c>
      <c r="AF830" s="36" t="s">
        <v>178</v>
      </c>
      <c r="AG830" s="79">
        <v>1</v>
      </c>
      <c r="AH830" s="36">
        <v>0</v>
      </c>
      <c r="AL830" s="35"/>
    </row>
    <row r="831" s="25" customFormat="1" hidden="1" customHeight="1" spans="1:38">
      <c r="A831" s="33">
        <v>5304106</v>
      </c>
      <c r="B831" s="34"/>
      <c r="C831" s="35">
        <v>5301106</v>
      </c>
      <c r="D831" s="36">
        <v>4</v>
      </c>
      <c r="E831" s="36"/>
      <c r="F831" s="36" t="s">
        <v>174</v>
      </c>
      <c r="G831" s="36">
        <f t="shared" si="270"/>
        <v>1</v>
      </c>
      <c r="H831" s="36">
        <f>IFERROR(IF(--MID($F831,2*COUNTIF($G831:G831,"&gt;"&amp;0)+2,1)=H$1,H$1,""),"")</f>
        <v>2</v>
      </c>
      <c r="I831" s="36">
        <f>IFERROR(IF(--MID($F831,2*COUNTIF($G831:H831,"&gt;"&amp;0)+2,1)=I$1,I$1,""),"")</f>
        <v>3</v>
      </c>
      <c r="J831" s="36">
        <f>IFERROR(IF(--MID($F831,2*COUNTIF($G831:I831,"&gt;"&amp;0)+2,1)=J$1,J$1,""),"")</f>
        <v>4</v>
      </c>
      <c r="K831" s="36">
        <f>IFERROR(IF(--MID($F831,2*COUNTIF($G831:J831,"&gt;"&amp;0)+2,1)=K$1,K$1,""),"")</f>
        <v>5</v>
      </c>
      <c r="L831" s="36">
        <f>IFERROR(IF(--MID($F831,2*COUNTIF($G831:K831,"&gt;"&amp;0)+2,1)=L$1,L$1,""),"")</f>
        <v>6</v>
      </c>
      <c r="M831" s="36" t="e" cm="1">
        <f t="array" ref="M831">IF(A831="","",_xlfn.XLOOKUP(D831&amp;"_"&amp;AE831,符文权重!A:A&amp;"_"&amp;符文权重!C:C,符文权重!D:D))</f>
        <v>#N/A</v>
      </c>
      <c r="N831" s="36"/>
      <c r="O831" s="36"/>
      <c r="P831" s="36"/>
      <c r="Q831" s="36"/>
      <c r="R831" s="36"/>
      <c r="S831" s="36" t="s">
        <v>192</v>
      </c>
      <c r="T831" s="36" t="s">
        <v>230</v>
      </c>
      <c r="U831" s="36" t="s">
        <v>420</v>
      </c>
      <c r="W831" s="36" t="s">
        <v>235</v>
      </c>
      <c r="X831" s="35" t="s">
        <v>743</v>
      </c>
      <c r="Y831" s="35">
        <v>100</v>
      </c>
      <c r="Z831" s="35"/>
      <c r="AA831" s="36" t="s">
        <v>185</v>
      </c>
      <c r="AB831" s="36" t="s">
        <v>1149</v>
      </c>
      <c r="AC831" s="78">
        <v>5501061</v>
      </c>
      <c r="AD831" s="36" t="s">
        <v>500</v>
      </c>
      <c r="AE831" s="36">
        <v>100</v>
      </c>
      <c r="AF831" s="36" t="s">
        <v>178</v>
      </c>
      <c r="AG831" s="79">
        <v>1</v>
      </c>
      <c r="AH831" s="36">
        <v>0</v>
      </c>
      <c r="AI831" s="33"/>
      <c r="AJ831" s="37"/>
      <c r="AK831" s="35"/>
      <c r="AL831" s="35"/>
    </row>
    <row r="832" s="25" customFormat="1" hidden="1" customHeight="1" spans="1:38">
      <c r="A832" s="33">
        <v>5305106</v>
      </c>
      <c r="B832" s="34"/>
      <c r="C832" s="35">
        <v>5301106</v>
      </c>
      <c r="D832" s="36">
        <v>5</v>
      </c>
      <c r="E832" s="36"/>
      <c r="F832" s="36" t="s">
        <v>174</v>
      </c>
      <c r="G832" s="36">
        <f t="shared" si="270"/>
        <v>1</v>
      </c>
      <c r="H832" s="36">
        <f>IFERROR(IF(--MID($F832,2*COUNTIF($G832:G832,"&gt;"&amp;0)+2,1)=H$1,H$1,""),"")</f>
        <v>2</v>
      </c>
      <c r="I832" s="36">
        <f>IFERROR(IF(--MID($F832,2*COUNTIF($G832:H832,"&gt;"&amp;0)+2,1)=I$1,I$1,""),"")</f>
        <v>3</v>
      </c>
      <c r="J832" s="36">
        <f>IFERROR(IF(--MID($F832,2*COUNTIF($G832:I832,"&gt;"&amp;0)+2,1)=J$1,J$1,""),"")</f>
        <v>4</v>
      </c>
      <c r="K832" s="36">
        <f>IFERROR(IF(--MID($F832,2*COUNTIF($G832:J832,"&gt;"&amp;0)+2,1)=K$1,K$1,""),"")</f>
        <v>5</v>
      </c>
      <c r="L832" s="36">
        <f>IFERROR(IF(--MID($F832,2*COUNTIF($G832:K832,"&gt;"&amp;0)+2,1)=L$1,L$1,""),"")</f>
        <v>6</v>
      </c>
      <c r="M832" s="36" t="e" cm="1">
        <f t="array" ref="M832">IF(A832="","",_xlfn.XLOOKUP(D832&amp;"_"&amp;AE832,符文权重!A:A&amp;"_"&amp;符文权重!C:C,符文权重!D:D))</f>
        <v>#N/A</v>
      </c>
      <c r="N832" s="36"/>
      <c r="O832" s="36"/>
      <c r="P832" s="36"/>
      <c r="Q832" s="36"/>
      <c r="R832" s="36"/>
      <c r="S832" s="36" t="s">
        <v>192</v>
      </c>
      <c r="T832" s="36" t="s">
        <v>230</v>
      </c>
      <c r="U832" s="36" t="s">
        <v>423</v>
      </c>
      <c r="W832" s="36" t="s">
        <v>236</v>
      </c>
      <c r="X832" s="35" t="s">
        <v>1110</v>
      </c>
      <c r="Y832" s="35">
        <v>100</v>
      </c>
      <c r="Z832" s="35"/>
      <c r="AA832" s="36" t="s">
        <v>187</v>
      </c>
      <c r="AB832" s="36" t="s">
        <v>1150</v>
      </c>
      <c r="AC832" s="78">
        <v>5501061</v>
      </c>
      <c r="AD832" s="36" t="s">
        <v>1122</v>
      </c>
      <c r="AE832" s="36">
        <v>100</v>
      </c>
      <c r="AF832" s="36" t="s">
        <v>178</v>
      </c>
      <c r="AG832" s="79">
        <v>1</v>
      </c>
      <c r="AH832" s="36">
        <v>0</v>
      </c>
      <c r="AI832" s="33"/>
      <c r="AJ832" s="37"/>
      <c r="AK832" s="35"/>
      <c r="AL832" s="35"/>
    </row>
    <row r="833" s="25" customFormat="1" hidden="1" customHeight="1" spans="1:38">
      <c r="A833" s="33">
        <v>5306106</v>
      </c>
      <c r="B833" s="34"/>
      <c r="C833" s="35">
        <v>5301106</v>
      </c>
      <c r="D833" s="36">
        <v>6</v>
      </c>
      <c r="E833" s="36"/>
      <c r="F833" s="36" t="s">
        <v>174</v>
      </c>
      <c r="G833" s="36">
        <f t="shared" si="270"/>
        <v>1</v>
      </c>
      <c r="H833" s="36">
        <f>IFERROR(IF(--MID($F833,2*COUNTIF($G833:G833,"&gt;"&amp;0)+2,1)=H$1,H$1,""),"")</f>
        <v>2</v>
      </c>
      <c r="I833" s="36">
        <f>IFERROR(IF(--MID($F833,2*COUNTIF($G833:H833,"&gt;"&amp;0)+2,1)=I$1,I$1,""),"")</f>
        <v>3</v>
      </c>
      <c r="J833" s="36">
        <f>IFERROR(IF(--MID($F833,2*COUNTIF($G833:I833,"&gt;"&amp;0)+2,1)=J$1,J$1,""),"")</f>
        <v>4</v>
      </c>
      <c r="K833" s="36">
        <f>IFERROR(IF(--MID($F833,2*COUNTIF($G833:J833,"&gt;"&amp;0)+2,1)=K$1,K$1,""),"")</f>
        <v>5</v>
      </c>
      <c r="L833" s="36">
        <f>IFERROR(IF(--MID($F833,2*COUNTIF($G833:K833,"&gt;"&amp;0)+2,1)=L$1,L$1,""),"")</f>
        <v>6</v>
      </c>
      <c r="M833" s="36" t="e" cm="1">
        <f t="array" ref="M833">IF(A833="","",_xlfn.XLOOKUP(D833&amp;"_"&amp;AE833,符文权重!A:A&amp;"_"&amp;符文权重!C:C,符文权重!D:D))</f>
        <v>#N/A</v>
      </c>
      <c r="N833" s="36"/>
      <c r="O833" s="36"/>
      <c r="P833" s="36"/>
      <c r="Q833" s="36"/>
      <c r="R833" s="36"/>
      <c r="S833" s="36" t="s">
        <v>192</v>
      </c>
      <c r="T833" s="36" t="s">
        <v>230</v>
      </c>
      <c r="U833" s="36" t="s">
        <v>426</v>
      </c>
      <c r="W833" s="36" t="s">
        <v>237</v>
      </c>
      <c r="X833" s="35" t="s">
        <v>1113</v>
      </c>
      <c r="Y833" s="35">
        <v>100</v>
      </c>
      <c r="Z833" s="35"/>
      <c r="AA833" s="36" t="s">
        <v>189</v>
      </c>
      <c r="AB833" s="36" t="s">
        <v>1151</v>
      </c>
      <c r="AC833" s="78">
        <v>5501061</v>
      </c>
      <c r="AD833" s="36" t="s">
        <v>518</v>
      </c>
      <c r="AE833" s="36">
        <v>100</v>
      </c>
      <c r="AF833" s="36" t="s">
        <v>178</v>
      </c>
      <c r="AG833" s="79">
        <v>1</v>
      </c>
      <c r="AH833" s="36">
        <v>0</v>
      </c>
      <c r="AI833" s="33"/>
      <c r="AJ833" s="37"/>
      <c r="AK833" s="35"/>
      <c r="AL833" s="35"/>
    </row>
    <row r="834" s="25" customFormat="1" hidden="1" customHeight="1" spans="1:38">
      <c r="A834" s="33">
        <v>5307106</v>
      </c>
      <c r="B834" s="34"/>
      <c r="C834" s="35">
        <v>5301106</v>
      </c>
      <c r="D834" s="36">
        <v>7</v>
      </c>
      <c r="E834" s="36"/>
      <c r="F834" s="36" t="s">
        <v>174</v>
      </c>
      <c r="G834" s="36">
        <f t="shared" si="270"/>
        <v>1</v>
      </c>
      <c r="H834" s="36">
        <f>IFERROR(IF(--MID($F834,2*COUNTIF($G834:G834,"&gt;"&amp;0)+2,1)=H$1,H$1,""),"")</f>
        <v>2</v>
      </c>
      <c r="I834" s="36">
        <f>IFERROR(IF(--MID($F834,2*COUNTIF($G834:H834,"&gt;"&amp;0)+2,1)=I$1,I$1,""),"")</f>
        <v>3</v>
      </c>
      <c r="J834" s="36">
        <f>IFERROR(IF(--MID($F834,2*COUNTIF($G834:I834,"&gt;"&amp;0)+2,1)=J$1,J$1,""),"")</f>
        <v>4</v>
      </c>
      <c r="K834" s="36">
        <f>IFERROR(IF(--MID($F834,2*COUNTIF($G834:J834,"&gt;"&amp;0)+2,1)=K$1,K$1,""),"")</f>
        <v>5</v>
      </c>
      <c r="L834" s="36">
        <f>IFERROR(IF(--MID($F834,2*COUNTIF($G834:K834,"&gt;"&amp;0)+2,1)=L$1,L$1,""),"")</f>
        <v>6</v>
      </c>
      <c r="M834" s="36" t="e" cm="1">
        <f t="array" ref="M834">IF(A834="","",_xlfn.XLOOKUP(D834&amp;"_"&amp;AE834,符文权重!A:A&amp;"_"&amp;符文权重!C:C,符文权重!D:D))</f>
        <v>#N/A</v>
      </c>
      <c r="N834" s="36"/>
      <c r="O834" s="36"/>
      <c r="P834" s="36"/>
      <c r="Q834" s="36"/>
      <c r="R834" s="36"/>
      <c r="S834" s="36" t="s">
        <v>192</v>
      </c>
      <c r="T834" s="36" t="s">
        <v>230</v>
      </c>
      <c r="U834" s="36" t="s">
        <v>429</v>
      </c>
      <c r="W834" s="36" t="s">
        <v>238</v>
      </c>
      <c r="X834" s="35" t="s">
        <v>1115</v>
      </c>
      <c r="Y834" s="35">
        <v>100</v>
      </c>
      <c r="Z834" s="35"/>
      <c r="AA834" s="36" t="s">
        <v>191</v>
      </c>
      <c r="AB834" s="36" t="s">
        <v>1152</v>
      </c>
      <c r="AC834" s="78">
        <v>5501061</v>
      </c>
      <c r="AD834" s="36" t="s">
        <v>522</v>
      </c>
      <c r="AE834" s="36">
        <v>100</v>
      </c>
      <c r="AF834" s="36" t="s">
        <v>178</v>
      </c>
      <c r="AG834" s="79">
        <v>1</v>
      </c>
      <c r="AH834" s="36">
        <v>0</v>
      </c>
      <c r="AI834" s="33"/>
      <c r="AJ834" s="37"/>
      <c r="AK834" s="35"/>
      <c r="AL834" s="35"/>
    </row>
    <row r="835" s="25" customFormat="1" hidden="1" customHeight="1" spans="1:38">
      <c r="A835" s="33">
        <v>53011061</v>
      </c>
      <c r="B835" s="34"/>
      <c r="C835" s="35">
        <v>53011061</v>
      </c>
      <c r="D835" s="36">
        <v>1</v>
      </c>
      <c r="E835" s="36"/>
      <c r="F835" s="36" t="s">
        <v>174</v>
      </c>
      <c r="G835" s="36">
        <f t="shared" si="270"/>
        <v>1</v>
      </c>
      <c r="H835" s="36">
        <f>IFERROR(IF(--MID($F835,2*COUNTIF($G835:G835,"&gt;"&amp;0)+2,1)=H$1,H$1,""),"")</f>
        <v>2</v>
      </c>
      <c r="I835" s="36">
        <f>IFERROR(IF(--MID($F835,2*COUNTIF($G835:H835,"&gt;"&amp;0)+2,1)=I$1,I$1,""),"")</f>
        <v>3</v>
      </c>
      <c r="J835" s="36">
        <f>IFERROR(IF(--MID($F835,2*COUNTIF($G835:I835,"&gt;"&amp;0)+2,1)=J$1,J$1,""),"")</f>
        <v>4</v>
      </c>
      <c r="K835" s="36">
        <f>IFERROR(IF(--MID($F835,2*COUNTIF($G835:J835,"&gt;"&amp;0)+2,1)=K$1,K$1,""),"")</f>
        <v>5</v>
      </c>
      <c r="L835" s="36">
        <f>IFERROR(IF(--MID($F835,2*COUNTIF($G835:K835,"&gt;"&amp;0)+2,1)=L$1,L$1,""),"")</f>
        <v>6</v>
      </c>
      <c r="M835" s="36" t="e" cm="1">
        <f t="array" ref="M835">IF(A835="","",_xlfn.XLOOKUP(D835&amp;"_"&amp;AE835,符文权重!A:A&amp;"_"&amp;符文权重!C:C,符文权重!D:D))</f>
        <v>#N/A</v>
      </c>
      <c r="N835" s="36"/>
      <c r="O835" s="36"/>
      <c r="P835" s="36"/>
      <c r="Q835" s="36"/>
      <c r="R835" s="36"/>
      <c r="S835" s="36" t="s">
        <v>192</v>
      </c>
      <c r="T835" s="36" t="s">
        <v>239</v>
      </c>
      <c r="U835" s="36" t="s">
        <v>413</v>
      </c>
      <c r="W835" s="36" t="s">
        <v>240</v>
      </c>
      <c r="X835" s="35" t="s">
        <v>1105</v>
      </c>
      <c r="Y835" s="35">
        <v>100</v>
      </c>
      <c r="Z835" s="35"/>
      <c r="AA835" s="36" t="s">
        <v>177</v>
      </c>
      <c r="AB835" s="36" t="s">
        <v>1153</v>
      </c>
      <c r="AC835" s="35">
        <v>5501071</v>
      </c>
      <c r="AD835" s="36" t="s">
        <v>487</v>
      </c>
      <c r="AE835" s="36">
        <v>100</v>
      </c>
      <c r="AF835" s="36" t="s">
        <v>178</v>
      </c>
      <c r="AG835" s="79">
        <v>1</v>
      </c>
      <c r="AH835" s="36">
        <v>0</v>
      </c>
      <c r="AL835" s="35"/>
    </row>
    <row r="836" s="25" customFormat="1" hidden="1" customHeight="1" spans="1:38">
      <c r="A836" s="33">
        <v>53021061</v>
      </c>
      <c r="B836" s="34"/>
      <c r="C836" s="35">
        <v>53011061</v>
      </c>
      <c r="D836" s="36">
        <v>2</v>
      </c>
      <c r="E836" s="36"/>
      <c r="F836" s="36" t="s">
        <v>174</v>
      </c>
      <c r="G836" s="36">
        <f t="shared" si="270"/>
        <v>1</v>
      </c>
      <c r="H836" s="36">
        <f>IFERROR(IF(--MID($F836,2*COUNTIF($G836:G836,"&gt;"&amp;0)+2,1)=H$1,H$1,""),"")</f>
        <v>2</v>
      </c>
      <c r="I836" s="36">
        <f>IFERROR(IF(--MID($F836,2*COUNTIF($G836:H836,"&gt;"&amp;0)+2,1)=I$1,I$1,""),"")</f>
        <v>3</v>
      </c>
      <c r="J836" s="36">
        <f>IFERROR(IF(--MID($F836,2*COUNTIF($G836:I836,"&gt;"&amp;0)+2,1)=J$1,J$1,""),"")</f>
        <v>4</v>
      </c>
      <c r="K836" s="36">
        <f>IFERROR(IF(--MID($F836,2*COUNTIF($G836:J836,"&gt;"&amp;0)+2,1)=K$1,K$1,""),"")</f>
        <v>5</v>
      </c>
      <c r="L836" s="36">
        <f>IFERROR(IF(--MID($F836,2*COUNTIF($G836:K836,"&gt;"&amp;0)+2,1)=L$1,L$1,""),"")</f>
        <v>6</v>
      </c>
      <c r="M836" s="36" t="e" cm="1">
        <f t="array" ref="M836">IF(A836="","",_xlfn.XLOOKUP(D836&amp;"_"&amp;AE836,符文权重!A:A&amp;"_"&amp;符文权重!C:C,符文权重!D:D))</f>
        <v>#N/A</v>
      </c>
      <c r="N836" s="36"/>
      <c r="O836" s="36"/>
      <c r="P836" s="36"/>
      <c r="Q836" s="36"/>
      <c r="R836" s="36"/>
      <c r="S836" s="36" t="s">
        <v>192</v>
      </c>
      <c r="T836" s="36" t="s">
        <v>239</v>
      </c>
      <c r="U836" s="36" t="s">
        <v>415</v>
      </c>
      <c r="W836" s="36" t="s">
        <v>242</v>
      </c>
      <c r="X836" s="35" t="s">
        <v>743</v>
      </c>
      <c r="Y836" s="35">
        <v>100</v>
      </c>
      <c r="Z836" s="35"/>
      <c r="AA836" s="36" t="s">
        <v>181</v>
      </c>
      <c r="AB836" s="80" t="s">
        <v>1154</v>
      </c>
      <c r="AC836" s="35">
        <v>5501071</v>
      </c>
      <c r="AD836" s="36" t="s">
        <v>497</v>
      </c>
      <c r="AE836" s="36">
        <v>100</v>
      </c>
      <c r="AF836" s="36"/>
      <c r="AG836" s="79">
        <v>1</v>
      </c>
      <c r="AH836" s="36">
        <v>0</v>
      </c>
      <c r="AL836" s="35"/>
    </row>
    <row r="837" s="25" customFormat="1" hidden="1" customHeight="1" spans="1:38">
      <c r="A837" s="33">
        <v>53031061</v>
      </c>
      <c r="B837" s="34"/>
      <c r="C837" s="35">
        <v>53011061</v>
      </c>
      <c r="D837" s="36">
        <v>3</v>
      </c>
      <c r="E837" s="36"/>
      <c r="F837" s="36" t="s">
        <v>174</v>
      </c>
      <c r="G837" s="36">
        <f t="shared" si="270"/>
        <v>1</v>
      </c>
      <c r="H837" s="36">
        <f>IFERROR(IF(--MID($F837,2*COUNTIF($G837:G837,"&gt;"&amp;0)+2,1)=H$1,H$1,""),"")</f>
        <v>2</v>
      </c>
      <c r="I837" s="36">
        <f>IFERROR(IF(--MID($F837,2*COUNTIF($G837:H837,"&gt;"&amp;0)+2,1)=I$1,I$1,""),"")</f>
        <v>3</v>
      </c>
      <c r="J837" s="36">
        <f>IFERROR(IF(--MID($F837,2*COUNTIF($G837:I837,"&gt;"&amp;0)+2,1)=J$1,J$1,""),"")</f>
        <v>4</v>
      </c>
      <c r="K837" s="36">
        <f>IFERROR(IF(--MID($F837,2*COUNTIF($G837:J837,"&gt;"&amp;0)+2,1)=K$1,K$1,""),"")</f>
        <v>5</v>
      </c>
      <c r="L837" s="36">
        <f>IFERROR(IF(--MID($F837,2*COUNTIF($G837:K837,"&gt;"&amp;0)+2,1)=L$1,L$1,""),"")</f>
        <v>6</v>
      </c>
      <c r="M837" s="36" t="e" cm="1">
        <f t="array" ref="M837">IF(A837="","",_xlfn.XLOOKUP(D837&amp;"_"&amp;AE837,符文权重!A:A&amp;"_"&amp;符文权重!C:C,符文权重!D:D))</f>
        <v>#N/A</v>
      </c>
      <c r="N837" s="36"/>
      <c r="O837" s="36"/>
      <c r="P837" s="36"/>
      <c r="Q837" s="36"/>
      <c r="R837" s="36"/>
      <c r="S837" s="36" t="s">
        <v>192</v>
      </c>
      <c r="T837" s="36" t="s">
        <v>239</v>
      </c>
      <c r="U837" s="36" t="s">
        <v>417</v>
      </c>
      <c r="W837" s="36" t="s">
        <v>243</v>
      </c>
      <c r="X837" s="35" t="s">
        <v>743</v>
      </c>
      <c r="Y837" s="35">
        <v>100</v>
      </c>
      <c r="Z837" s="35"/>
      <c r="AA837" s="36" t="s">
        <v>183</v>
      </c>
      <c r="AB837" s="36" t="s">
        <v>1155</v>
      </c>
      <c r="AC837" s="35">
        <v>5501071</v>
      </c>
      <c r="AD837" s="36" t="s">
        <v>596</v>
      </c>
      <c r="AE837" s="36">
        <v>100</v>
      </c>
      <c r="AF837" s="36" t="s">
        <v>178</v>
      </c>
      <c r="AG837" s="79">
        <v>1</v>
      </c>
      <c r="AH837" s="36">
        <v>0</v>
      </c>
      <c r="AL837" s="35"/>
    </row>
    <row r="838" s="25" customFormat="1" hidden="1" customHeight="1" spans="1:38">
      <c r="A838" s="33">
        <v>53041061</v>
      </c>
      <c r="B838" s="34"/>
      <c r="C838" s="35">
        <v>53011061</v>
      </c>
      <c r="D838" s="36">
        <v>4</v>
      </c>
      <c r="E838" s="36"/>
      <c r="F838" s="36" t="s">
        <v>174</v>
      </c>
      <c r="G838" s="36">
        <f t="shared" si="270"/>
        <v>1</v>
      </c>
      <c r="H838" s="36">
        <f>IFERROR(IF(--MID($F838,2*COUNTIF($G838:G838,"&gt;"&amp;0)+2,1)=H$1,H$1,""),"")</f>
        <v>2</v>
      </c>
      <c r="I838" s="36">
        <f>IFERROR(IF(--MID($F838,2*COUNTIF($G838:H838,"&gt;"&amp;0)+2,1)=I$1,I$1,""),"")</f>
        <v>3</v>
      </c>
      <c r="J838" s="36">
        <f>IFERROR(IF(--MID($F838,2*COUNTIF($G838:I838,"&gt;"&amp;0)+2,1)=J$1,J$1,""),"")</f>
        <v>4</v>
      </c>
      <c r="K838" s="36">
        <f>IFERROR(IF(--MID($F838,2*COUNTIF($G838:J838,"&gt;"&amp;0)+2,1)=K$1,K$1,""),"")</f>
        <v>5</v>
      </c>
      <c r="L838" s="36">
        <f>IFERROR(IF(--MID($F838,2*COUNTIF($G838:K838,"&gt;"&amp;0)+2,1)=L$1,L$1,""),"")</f>
        <v>6</v>
      </c>
      <c r="M838" s="36" t="e" cm="1">
        <f t="array" ref="M838">IF(A838="","",_xlfn.XLOOKUP(D838&amp;"_"&amp;AE838,符文权重!A:A&amp;"_"&amp;符文权重!C:C,符文权重!D:D))</f>
        <v>#N/A</v>
      </c>
      <c r="N838" s="36"/>
      <c r="O838" s="36"/>
      <c r="P838" s="36"/>
      <c r="Q838" s="36"/>
      <c r="R838" s="36"/>
      <c r="S838" s="36" t="s">
        <v>192</v>
      </c>
      <c r="T838" s="36" t="s">
        <v>239</v>
      </c>
      <c r="U838" s="36" t="s">
        <v>420</v>
      </c>
      <c r="W838" s="36" t="s">
        <v>244</v>
      </c>
      <c r="X838" s="35" t="s">
        <v>743</v>
      </c>
      <c r="Y838" s="35">
        <v>100</v>
      </c>
      <c r="Z838" s="35"/>
      <c r="AA838" s="36" t="s">
        <v>185</v>
      </c>
      <c r="AB838" s="36" t="s">
        <v>1156</v>
      </c>
      <c r="AC838" s="35">
        <v>5501071</v>
      </c>
      <c r="AD838" s="36" t="s">
        <v>500</v>
      </c>
      <c r="AE838" s="36">
        <v>100</v>
      </c>
      <c r="AF838" s="36" t="s">
        <v>178</v>
      </c>
      <c r="AG838" s="79">
        <v>1</v>
      </c>
      <c r="AH838" s="36">
        <v>0</v>
      </c>
      <c r="AI838" s="33"/>
      <c r="AJ838" s="37"/>
      <c r="AK838" s="35"/>
      <c r="AL838" s="35"/>
    </row>
    <row r="839" s="25" customFormat="1" hidden="1" customHeight="1" spans="1:38">
      <c r="A839" s="33">
        <v>53051061</v>
      </c>
      <c r="B839" s="34"/>
      <c r="C839" s="35">
        <v>53011061</v>
      </c>
      <c r="D839" s="36">
        <v>5</v>
      </c>
      <c r="E839" s="36"/>
      <c r="F839" s="36" t="s">
        <v>174</v>
      </c>
      <c r="G839" s="36">
        <f t="shared" si="270"/>
        <v>1</v>
      </c>
      <c r="H839" s="36">
        <f>IFERROR(IF(--MID($F839,2*COUNTIF($G839:G839,"&gt;"&amp;0)+2,1)=H$1,H$1,""),"")</f>
        <v>2</v>
      </c>
      <c r="I839" s="36">
        <f>IFERROR(IF(--MID($F839,2*COUNTIF($G839:H839,"&gt;"&amp;0)+2,1)=I$1,I$1,""),"")</f>
        <v>3</v>
      </c>
      <c r="J839" s="36">
        <f>IFERROR(IF(--MID($F839,2*COUNTIF($G839:I839,"&gt;"&amp;0)+2,1)=J$1,J$1,""),"")</f>
        <v>4</v>
      </c>
      <c r="K839" s="36">
        <f>IFERROR(IF(--MID($F839,2*COUNTIF($G839:J839,"&gt;"&amp;0)+2,1)=K$1,K$1,""),"")</f>
        <v>5</v>
      </c>
      <c r="L839" s="36">
        <f>IFERROR(IF(--MID($F839,2*COUNTIF($G839:K839,"&gt;"&amp;0)+2,1)=L$1,L$1,""),"")</f>
        <v>6</v>
      </c>
      <c r="M839" s="36" t="e" cm="1">
        <f t="array" ref="M839">IF(A839="","",_xlfn.XLOOKUP(D839&amp;"_"&amp;AE839,符文权重!A:A&amp;"_"&amp;符文权重!C:C,符文权重!D:D))</f>
        <v>#N/A</v>
      </c>
      <c r="N839" s="36"/>
      <c r="O839" s="36"/>
      <c r="P839" s="36"/>
      <c r="Q839" s="36"/>
      <c r="R839" s="36"/>
      <c r="S839" s="36" t="s">
        <v>192</v>
      </c>
      <c r="T839" s="36" t="s">
        <v>239</v>
      </c>
      <c r="U839" s="36" t="s">
        <v>423</v>
      </c>
      <c r="W839" s="36" t="s">
        <v>245</v>
      </c>
      <c r="X839" s="35" t="s">
        <v>1110</v>
      </c>
      <c r="Y839" s="35">
        <v>100</v>
      </c>
      <c r="Z839" s="35"/>
      <c r="AA839" s="36" t="s">
        <v>187</v>
      </c>
      <c r="AB839" s="36" t="s">
        <v>1157</v>
      </c>
      <c r="AC839" s="35">
        <v>5501071</v>
      </c>
      <c r="AD839" s="36" t="s">
        <v>1122</v>
      </c>
      <c r="AE839" s="36">
        <v>100</v>
      </c>
      <c r="AF839" s="36" t="s">
        <v>178</v>
      </c>
      <c r="AG839" s="79">
        <v>1</v>
      </c>
      <c r="AH839" s="36">
        <v>0</v>
      </c>
      <c r="AI839" s="33"/>
      <c r="AJ839" s="37"/>
      <c r="AK839" s="35"/>
      <c r="AL839" s="35"/>
    </row>
    <row r="840" s="25" customFormat="1" hidden="1" customHeight="1" spans="1:38">
      <c r="A840" s="33">
        <v>53061061</v>
      </c>
      <c r="B840" s="34"/>
      <c r="C840" s="35">
        <v>53011061</v>
      </c>
      <c r="D840" s="36">
        <v>6</v>
      </c>
      <c r="E840" s="36"/>
      <c r="F840" s="36" t="s">
        <v>174</v>
      </c>
      <c r="G840" s="36">
        <f t="shared" si="270"/>
        <v>1</v>
      </c>
      <c r="H840" s="36">
        <f>IFERROR(IF(--MID($F840,2*COUNTIF($G840:G840,"&gt;"&amp;0)+2,1)=H$1,H$1,""),"")</f>
        <v>2</v>
      </c>
      <c r="I840" s="36">
        <f>IFERROR(IF(--MID($F840,2*COUNTIF($G840:H840,"&gt;"&amp;0)+2,1)=I$1,I$1,""),"")</f>
        <v>3</v>
      </c>
      <c r="J840" s="36">
        <f>IFERROR(IF(--MID($F840,2*COUNTIF($G840:I840,"&gt;"&amp;0)+2,1)=J$1,J$1,""),"")</f>
        <v>4</v>
      </c>
      <c r="K840" s="36">
        <f>IFERROR(IF(--MID($F840,2*COUNTIF($G840:J840,"&gt;"&amp;0)+2,1)=K$1,K$1,""),"")</f>
        <v>5</v>
      </c>
      <c r="L840" s="36">
        <f>IFERROR(IF(--MID($F840,2*COUNTIF($G840:K840,"&gt;"&amp;0)+2,1)=L$1,L$1,""),"")</f>
        <v>6</v>
      </c>
      <c r="M840" s="36" t="e" cm="1">
        <f t="array" ref="M840">IF(A840="","",_xlfn.XLOOKUP(D840&amp;"_"&amp;AE840,符文权重!A:A&amp;"_"&amp;符文权重!C:C,符文权重!D:D))</f>
        <v>#N/A</v>
      </c>
      <c r="N840" s="36"/>
      <c r="O840" s="36"/>
      <c r="P840" s="36"/>
      <c r="Q840" s="36"/>
      <c r="R840" s="36"/>
      <c r="S840" s="36" t="s">
        <v>192</v>
      </c>
      <c r="T840" s="36" t="s">
        <v>239</v>
      </c>
      <c r="U840" s="36" t="s">
        <v>426</v>
      </c>
      <c r="W840" s="36" t="s">
        <v>246</v>
      </c>
      <c r="X840" s="35" t="s">
        <v>1113</v>
      </c>
      <c r="Y840" s="35">
        <v>100</v>
      </c>
      <c r="Z840" s="35"/>
      <c r="AA840" s="36" t="s">
        <v>189</v>
      </c>
      <c r="AB840" s="36" t="s">
        <v>1158</v>
      </c>
      <c r="AC840" s="35">
        <v>5501071</v>
      </c>
      <c r="AD840" s="36" t="s">
        <v>518</v>
      </c>
      <c r="AE840" s="36">
        <v>100</v>
      </c>
      <c r="AF840" s="36" t="s">
        <v>178</v>
      </c>
      <c r="AG840" s="79">
        <v>1</v>
      </c>
      <c r="AH840" s="36">
        <v>0</v>
      </c>
      <c r="AI840" s="33"/>
      <c r="AJ840" s="37"/>
      <c r="AK840" s="35"/>
      <c r="AL840" s="35"/>
    </row>
    <row r="841" s="25" customFormat="1" hidden="1" customHeight="1" spans="1:38">
      <c r="A841" s="33">
        <v>53071061</v>
      </c>
      <c r="B841" s="34"/>
      <c r="C841" s="35">
        <v>53011061</v>
      </c>
      <c r="D841" s="36">
        <v>7</v>
      </c>
      <c r="E841" s="36"/>
      <c r="F841" s="36" t="s">
        <v>174</v>
      </c>
      <c r="G841" s="36">
        <f t="shared" si="270"/>
        <v>1</v>
      </c>
      <c r="H841" s="36">
        <f>IFERROR(IF(--MID($F841,2*COUNTIF($G841:G841,"&gt;"&amp;0)+2,1)=H$1,H$1,""),"")</f>
        <v>2</v>
      </c>
      <c r="I841" s="36">
        <f>IFERROR(IF(--MID($F841,2*COUNTIF($G841:H841,"&gt;"&amp;0)+2,1)=I$1,I$1,""),"")</f>
        <v>3</v>
      </c>
      <c r="J841" s="36">
        <f>IFERROR(IF(--MID($F841,2*COUNTIF($G841:I841,"&gt;"&amp;0)+2,1)=J$1,J$1,""),"")</f>
        <v>4</v>
      </c>
      <c r="K841" s="36">
        <f>IFERROR(IF(--MID($F841,2*COUNTIF($G841:J841,"&gt;"&amp;0)+2,1)=K$1,K$1,""),"")</f>
        <v>5</v>
      </c>
      <c r="L841" s="36">
        <f>IFERROR(IF(--MID($F841,2*COUNTIF($G841:K841,"&gt;"&amp;0)+2,1)=L$1,L$1,""),"")</f>
        <v>6</v>
      </c>
      <c r="M841" s="36" t="e" cm="1">
        <f t="array" ref="M841">IF(A841="","",_xlfn.XLOOKUP(D841&amp;"_"&amp;AE841,符文权重!A:A&amp;"_"&amp;符文权重!C:C,符文权重!D:D))</f>
        <v>#N/A</v>
      </c>
      <c r="N841" s="36"/>
      <c r="O841" s="36"/>
      <c r="P841" s="36"/>
      <c r="Q841" s="36"/>
      <c r="R841" s="36"/>
      <c r="S841" s="36" t="s">
        <v>192</v>
      </c>
      <c r="T841" s="36" t="s">
        <v>239</v>
      </c>
      <c r="U841" s="36" t="s">
        <v>429</v>
      </c>
      <c r="W841" s="36" t="s">
        <v>247</v>
      </c>
      <c r="X841" s="35" t="s">
        <v>1115</v>
      </c>
      <c r="Y841" s="35">
        <v>100</v>
      </c>
      <c r="Z841" s="35"/>
      <c r="AA841" s="36" t="s">
        <v>191</v>
      </c>
      <c r="AB841" s="36" t="s">
        <v>1159</v>
      </c>
      <c r="AC841" s="35">
        <v>5501071</v>
      </c>
      <c r="AD841" s="36" t="s">
        <v>522</v>
      </c>
      <c r="AE841" s="36">
        <v>100</v>
      </c>
      <c r="AF841" s="36" t="s">
        <v>178</v>
      </c>
      <c r="AG841" s="79">
        <v>1</v>
      </c>
      <c r="AH841" s="36">
        <v>0</v>
      </c>
      <c r="AI841" s="33"/>
      <c r="AJ841" s="37"/>
      <c r="AK841" s="35"/>
      <c r="AL841" s="35"/>
    </row>
    <row r="842" s="25" customFormat="1" hidden="1" customHeight="1" spans="1:38">
      <c r="A842" s="33">
        <v>5303107</v>
      </c>
      <c r="B842" s="34"/>
      <c r="C842" s="35">
        <v>5301107</v>
      </c>
      <c r="D842" s="36">
        <v>3</v>
      </c>
      <c r="E842" s="36"/>
      <c r="F842" s="36" t="s">
        <v>174</v>
      </c>
      <c r="G842" s="36">
        <f t="shared" si="270"/>
        <v>1</v>
      </c>
      <c r="H842" s="36">
        <f>IFERROR(IF(--MID($F842,2*COUNTIF($G842:G842,"&gt;"&amp;0)+2,1)=H$1,H$1,""),"")</f>
        <v>2</v>
      </c>
      <c r="I842" s="36">
        <f>IFERROR(IF(--MID($F842,2*COUNTIF($G842:H842,"&gt;"&amp;0)+2,1)=I$1,I$1,""),"")</f>
        <v>3</v>
      </c>
      <c r="J842" s="36">
        <f>IFERROR(IF(--MID($F842,2*COUNTIF($G842:I842,"&gt;"&amp;0)+2,1)=J$1,J$1,""),"")</f>
        <v>4</v>
      </c>
      <c r="K842" s="36">
        <f>IFERROR(IF(--MID($F842,2*COUNTIF($G842:J842,"&gt;"&amp;0)+2,1)=K$1,K$1,""),"")</f>
        <v>5</v>
      </c>
      <c r="L842" s="36">
        <f>IFERROR(IF(--MID($F842,2*COUNTIF($G842:K842,"&gt;"&amp;0)+2,1)=L$1,L$1,""),"")</f>
        <v>6</v>
      </c>
      <c r="M842" s="36" t="e" cm="1">
        <f t="array" ref="M842">IF(A842="","",_xlfn.XLOOKUP(D842&amp;"_"&amp;AE842,符文权重!A:A&amp;"_"&amp;符文权重!C:C,符文权重!D:D))</f>
        <v>#N/A</v>
      </c>
      <c r="N842" s="36"/>
      <c r="O842" s="36"/>
      <c r="P842" s="36"/>
      <c r="Q842" s="36"/>
      <c r="R842" s="36"/>
      <c r="S842" s="36" t="s">
        <v>256</v>
      </c>
      <c r="T842" s="36"/>
      <c r="U842" s="36" t="s">
        <v>417</v>
      </c>
      <c r="V842" s="25" t="s">
        <v>1160</v>
      </c>
      <c r="W842" s="36"/>
      <c r="X842" s="35"/>
      <c r="Y842" s="35">
        <v>100</v>
      </c>
      <c r="Z842" s="35"/>
      <c r="AA842" s="36" t="s">
        <v>183</v>
      </c>
      <c r="AB842" s="36" t="s">
        <v>1161</v>
      </c>
      <c r="AC842" s="35">
        <v>5503011</v>
      </c>
      <c r="AD842" s="36" t="s">
        <v>428</v>
      </c>
      <c r="AE842" s="36">
        <v>100</v>
      </c>
      <c r="AF842" s="36"/>
      <c r="AG842" s="79">
        <v>1</v>
      </c>
      <c r="AH842" s="36">
        <v>0</v>
      </c>
      <c r="AI842" s="33"/>
      <c r="AJ842" s="37"/>
      <c r="AK842" s="35"/>
      <c r="AL842" s="35"/>
    </row>
    <row r="843" s="25" customFormat="1" hidden="1" customHeight="1" spans="1:38">
      <c r="A843" s="33">
        <v>5304107</v>
      </c>
      <c r="B843" s="34"/>
      <c r="C843" s="35">
        <v>5301107</v>
      </c>
      <c r="D843" s="36">
        <v>4</v>
      </c>
      <c r="E843" s="36"/>
      <c r="F843" s="36" t="s">
        <v>174</v>
      </c>
      <c r="G843" s="36">
        <f t="shared" si="270"/>
        <v>1</v>
      </c>
      <c r="H843" s="36">
        <f>IFERROR(IF(--MID($F843,2*COUNTIF($G843:G843,"&gt;"&amp;0)+2,1)=H$1,H$1,""),"")</f>
        <v>2</v>
      </c>
      <c r="I843" s="36">
        <f>IFERROR(IF(--MID($F843,2*COUNTIF($G843:H843,"&gt;"&amp;0)+2,1)=I$1,I$1,""),"")</f>
        <v>3</v>
      </c>
      <c r="J843" s="36">
        <f>IFERROR(IF(--MID($F843,2*COUNTIF($G843:I843,"&gt;"&amp;0)+2,1)=J$1,J$1,""),"")</f>
        <v>4</v>
      </c>
      <c r="K843" s="36">
        <f>IFERROR(IF(--MID($F843,2*COUNTIF($G843:J843,"&gt;"&amp;0)+2,1)=K$1,K$1,""),"")</f>
        <v>5</v>
      </c>
      <c r="L843" s="36">
        <f>IFERROR(IF(--MID($F843,2*COUNTIF($G843:K843,"&gt;"&amp;0)+2,1)=L$1,L$1,""),"")</f>
        <v>6</v>
      </c>
      <c r="M843" s="36" t="e" cm="1">
        <f t="array" ref="M843">IF(A843="","",_xlfn.XLOOKUP(D843&amp;"_"&amp;AE843,符文权重!A:A&amp;"_"&amp;符文权重!C:C,符文权重!D:D))</f>
        <v>#N/A</v>
      </c>
      <c r="N843" s="36"/>
      <c r="O843" s="36"/>
      <c r="P843" s="36"/>
      <c r="Q843" s="36"/>
      <c r="R843" s="36"/>
      <c r="S843" s="36" t="s">
        <v>256</v>
      </c>
      <c r="T843" s="36"/>
      <c r="U843" s="36" t="s">
        <v>420</v>
      </c>
      <c r="V843" s="25" t="s">
        <v>1162</v>
      </c>
      <c r="W843" s="36"/>
      <c r="X843" s="35"/>
      <c r="Y843" s="35">
        <v>100</v>
      </c>
      <c r="Z843" s="35"/>
      <c r="AA843" s="36" t="s">
        <v>185</v>
      </c>
      <c r="AB843" s="80" t="s">
        <v>1163</v>
      </c>
      <c r="AC843" s="35">
        <v>5503011</v>
      </c>
      <c r="AD843" s="36" t="s">
        <v>431</v>
      </c>
      <c r="AE843" s="36">
        <v>100</v>
      </c>
      <c r="AF843" s="36"/>
      <c r="AG843" s="79">
        <v>1</v>
      </c>
      <c r="AH843" s="36">
        <v>0</v>
      </c>
      <c r="AI843" s="33"/>
      <c r="AJ843" s="37"/>
      <c r="AK843" s="35"/>
      <c r="AL843" s="35"/>
    </row>
    <row r="844" s="25" customFormat="1" hidden="1" customHeight="1" spans="1:38">
      <c r="A844" s="33">
        <v>5305107</v>
      </c>
      <c r="B844" s="34"/>
      <c r="C844" s="35">
        <v>5301107</v>
      </c>
      <c r="D844" s="36">
        <v>5</v>
      </c>
      <c r="E844" s="36"/>
      <c r="F844" s="36" t="s">
        <v>174</v>
      </c>
      <c r="G844" s="36">
        <f t="shared" si="270"/>
        <v>1</v>
      </c>
      <c r="H844" s="36">
        <f>IFERROR(IF(--MID($F844,2*COUNTIF($G844:G844,"&gt;"&amp;0)+2,1)=H$1,H$1,""),"")</f>
        <v>2</v>
      </c>
      <c r="I844" s="36">
        <f>IFERROR(IF(--MID($F844,2*COUNTIF($G844:H844,"&gt;"&amp;0)+2,1)=I$1,I$1,""),"")</f>
        <v>3</v>
      </c>
      <c r="J844" s="36">
        <f>IFERROR(IF(--MID($F844,2*COUNTIF($G844:I844,"&gt;"&amp;0)+2,1)=J$1,J$1,""),"")</f>
        <v>4</v>
      </c>
      <c r="K844" s="36">
        <f>IFERROR(IF(--MID($F844,2*COUNTIF($G844:J844,"&gt;"&amp;0)+2,1)=K$1,K$1,""),"")</f>
        <v>5</v>
      </c>
      <c r="L844" s="36">
        <f>IFERROR(IF(--MID($F844,2*COUNTIF($G844:K844,"&gt;"&amp;0)+2,1)=L$1,L$1,""),"")</f>
        <v>6</v>
      </c>
      <c r="M844" s="36" t="e" cm="1">
        <f t="array" ref="M844">IF(A844="","",_xlfn.XLOOKUP(D844&amp;"_"&amp;AE844,符文权重!A:A&amp;"_"&amp;符文权重!C:C,符文权重!D:D))</f>
        <v>#N/A</v>
      </c>
      <c r="N844" s="36"/>
      <c r="O844" s="36"/>
      <c r="P844" s="36"/>
      <c r="Q844" s="36"/>
      <c r="R844" s="36"/>
      <c r="S844" s="36" t="s">
        <v>256</v>
      </c>
      <c r="T844" s="36"/>
      <c r="U844" s="36" t="s">
        <v>423</v>
      </c>
      <c r="V844" s="25" t="s">
        <v>1164</v>
      </c>
      <c r="W844" s="36"/>
      <c r="X844" s="35"/>
      <c r="Y844" s="35">
        <v>100</v>
      </c>
      <c r="Z844" s="35"/>
      <c r="AA844" s="36" t="s">
        <v>187</v>
      </c>
      <c r="AB844" s="36" t="s">
        <v>1165</v>
      </c>
      <c r="AC844" s="35">
        <v>5503011</v>
      </c>
      <c r="AD844" s="36" t="s">
        <v>487</v>
      </c>
      <c r="AE844" s="36">
        <v>100</v>
      </c>
      <c r="AF844" s="36"/>
      <c r="AG844" s="79">
        <v>1</v>
      </c>
      <c r="AH844" s="36">
        <v>0</v>
      </c>
      <c r="AI844" s="33"/>
      <c r="AJ844" s="37"/>
      <c r="AK844" s="35"/>
      <c r="AL844" s="35"/>
    </row>
    <row r="845" s="25" customFormat="1" hidden="1" customHeight="1" spans="1:38">
      <c r="A845" s="33">
        <v>5306107</v>
      </c>
      <c r="B845" s="34"/>
      <c r="C845" s="35">
        <v>5301107</v>
      </c>
      <c r="D845" s="36">
        <v>6</v>
      </c>
      <c r="E845" s="36"/>
      <c r="F845" s="36" t="s">
        <v>174</v>
      </c>
      <c r="G845" s="36">
        <f t="shared" ref="G845:G878" si="271">IF(LEFT(F845,2)="[1",1,"")</f>
        <v>1</v>
      </c>
      <c r="H845" s="36">
        <f>IFERROR(IF(--MID($F845,2*COUNTIF($G845:G845,"&gt;"&amp;0)+2,1)=H$1,H$1,""),"")</f>
        <v>2</v>
      </c>
      <c r="I845" s="36">
        <f>IFERROR(IF(--MID($F845,2*COUNTIF($G845:H845,"&gt;"&amp;0)+2,1)=I$1,I$1,""),"")</f>
        <v>3</v>
      </c>
      <c r="J845" s="36">
        <f>IFERROR(IF(--MID($F845,2*COUNTIF($G845:I845,"&gt;"&amp;0)+2,1)=J$1,J$1,""),"")</f>
        <v>4</v>
      </c>
      <c r="K845" s="36">
        <f>IFERROR(IF(--MID($F845,2*COUNTIF($G845:J845,"&gt;"&amp;0)+2,1)=K$1,K$1,""),"")</f>
        <v>5</v>
      </c>
      <c r="L845" s="36">
        <f>IFERROR(IF(--MID($F845,2*COUNTIF($G845:K845,"&gt;"&amp;0)+2,1)=L$1,L$1,""),"")</f>
        <v>6</v>
      </c>
      <c r="M845" s="36" t="e" cm="1">
        <f t="array" ref="M845">IF(A845="","",_xlfn.XLOOKUP(D845&amp;"_"&amp;AE845,符文权重!A:A&amp;"_"&amp;符文权重!C:C,符文权重!D:D))</f>
        <v>#N/A</v>
      </c>
      <c r="N845" s="36"/>
      <c r="O845" s="36"/>
      <c r="P845" s="36"/>
      <c r="Q845" s="36"/>
      <c r="R845" s="36"/>
      <c r="S845" s="36" t="s">
        <v>256</v>
      </c>
      <c r="T845" s="36"/>
      <c r="U845" s="36" t="s">
        <v>426</v>
      </c>
      <c r="V845" s="25" t="s">
        <v>1166</v>
      </c>
      <c r="W845" s="36"/>
      <c r="X845" s="35"/>
      <c r="Y845" s="35">
        <v>100</v>
      </c>
      <c r="Z845" s="35"/>
      <c r="AA845" s="36" t="s">
        <v>189</v>
      </c>
      <c r="AB845" s="36" t="s">
        <v>1167</v>
      </c>
      <c r="AC845" s="35">
        <v>5503011</v>
      </c>
      <c r="AD845" s="36" t="s">
        <v>447</v>
      </c>
      <c r="AE845" s="36">
        <v>100</v>
      </c>
      <c r="AF845" s="36"/>
      <c r="AG845" s="79">
        <v>1</v>
      </c>
      <c r="AH845" s="36">
        <v>0</v>
      </c>
      <c r="AI845" s="33"/>
      <c r="AJ845" s="37"/>
      <c r="AK845" s="35"/>
      <c r="AL845" s="35"/>
    </row>
    <row r="846" s="25" customFormat="1" hidden="1" customHeight="1" spans="1:38">
      <c r="A846" s="33">
        <v>5307107</v>
      </c>
      <c r="B846" s="34"/>
      <c r="C846" s="35">
        <v>5301107</v>
      </c>
      <c r="D846" s="36">
        <v>7</v>
      </c>
      <c r="E846" s="36"/>
      <c r="F846" s="36" t="s">
        <v>174</v>
      </c>
      <c r="G846" s="36">
        <f t="shared" si="271"/>
        <v>1</v>
      </c>
      <c r="H846" s="36">
        <f>IFERROR(IF(--MID($F846,2*COUNTIF($G846:G846,"&gt;"&amp;0)+2,1)=H$1,H$1,""),"")</f>
        <v>2</v>
      </c>
      <c r="I846" s="36">
        <f>IFERROR(IF(--MID($F846,2*COUNTIF($G846:H846,"&gt;"&amp;0)+2,1)=I$1,I$1,""),"")</f>
        <v>3</v>
      </c>
      <c r="J846" s="36">
        <f>IFERROR(IF(--MID($F846,2*COUNTIF($G846:I846,"&gt;"&amp;0)+2,1)=J$1,J$1,""),"")</f>
        <v>4</v>
      </c>
      <c r="K846" s="36">
        <f>IFERROR(IF(--MID($F846,2*COUNTIF($G846:J846,"&gt;"&amp;0)+2,1)=K$1,K$1,""),"")</f>
        <v>5</v>
      </c>
      <c r="L846" s="36">
        <f>IFERROR(IF(--MID($F846,2*COUNTIF($G846:K846,"&gt;"&amp;0)+2,1)=L$1,L$1,""),"")</f>
        <v>6</v>
      </c>
      <c r="M846" s="36" t="e" cm="1">
        <f t="array" ref="M846">IF(A846="","",_xlfn.XLOOKUP(D846&amp;"_"&amp;AE846,符文权重!A:A&amp;"_"&amp;符文权重!C:C,符文权重!D:D))</f>
        <v>#N/A</v>
      </c>
      <c r="N846" s="36"/>
      <c r="O846" s="36"/>
      <c r="P846" s="36"/>
      <c r="Q846" s="36"/>
      <c r="R846" s="36"/>
      <c r="S846" s="36" t="s">
        <v>256</v>
      </c>
      <c r="T846" s="36"/>
      <c r="U846" s="36" t="s">
        <v>429</v>
      </c>
      <c r="V846" s="25" t="s">
        <v>1168</v>
      </c>
      <c r="W846" s="36"/>
      <c r="X846" s="35"/>
      <c r="Y846" s="35">
        <v>100</v>
      </c>
      <c r="Z846" s="35"/>
      <c r="AA846" s="36" t="s">
        <v>191</v>
      </c>
      <c r="AB846" s="36" t="s">
        <v>1169</v>
      </c>
      <c r="AC846" s="35">
        <v>5503011</v>
      </c>
      <c r="AD846" s="36" t="s">
        <v>497</v>
      </c>
      <c r="AE846" s="36">
        <v>100</v>
      </c>
      <c r="AF846" s="36"/>
      <c r="AG846" s="79">
        <v>1</v>
      </c>
      <c r="AH846" s="36">
        <v>0</v>
      </c>
      <c r="AI846" s="33"/>
      <c r="AJ846" s="37"/>
      <c r="AK846" s="35"/>
      <c r="AL846" s="35"/>
    </row>
    <row r="847" s="25" customFormat="1" hidden="1" customHeight="1" spans="1:38">
      <c r="A847" s="33">
        <v>5302108</v>
      </c>
      <c r="B847" s="34"/>
      <c r="C847" s="35">
        <v>5301108</v>
      </c>
      <c r="D847" s="36">
        <v>2</v>
      </c>
      <c r="E847" s="36"/>
      <c r="F847" s="36" t="s">
        <v>174</v>
      </c>
      <c r="G847" s="36">
        <f t="shared" si="271"/>
        <v>1</v>
      </c>
      <c r="H847" s="36">
        <f>IFERROR(IF(--MID($F847,2*COUNTIF($G847:G847,"&gt;"&amp;0)+2,1)=H$1,H$1,""),"")</f>
        <v>2</v>
      </c>
      <c r="I847" s="36">
        <f>IFERROR(IF(--MID($F847,2*COUNTIF($G847:H847,"&gt;"&amp;0)+2,1)=I$1,I$1,""),"")</f>
        <v>3</v>
      </c>
      <c r="J847" s="36">
        <f>IFERROR(IF(--MID($F847,2*COUNTIF($G847:I847,"&gt;"&amp;0)+2,1)=J$1,J$1,""),"")</f>
        <v>4</v>
      </c>
      <c r="K847" s="36">
        <f>IFERROR(IF(--MID($F847,2*COUNTIF($G847:J847,"&gt;"&amp;0)+2,1)=K$1,K$1,""),"")</f>
        <v>5</v>
      </c>
      <c r="L847" s="36">
        <f>IFERROR(IF(--MID($F847,2*COUNTIF($G847:K847,"&gt;"&amp;0)+2,1)=L$1,L$1,""),"")</f>
        <v>6</v>
      </c>
      <c r="M847" s="36" t="e" cm="1">
        <f t="array" ref="M847">IF(A847="","",_xlfn.XLOOKUP(D847&amp;"_"&amp;AE847,符文权重!A:A&amp;"_"&amp;符文权重!C:C,符文权重!D:D))</f>
        <v>#N/A</v>
      </c>
      <c r="N847" s="36"/>
      <c r="O847" s="36"/>
      <c r="P847" s="36"/>
      <c r="Q847" s="36"/>
      <c r="R847" s="36"/>
      <c r="S847" s="36" t="s">
        <v>175</v>
      </c>
      <c r="T847" s="36"/>
      <c r="U847" s="36" t="s">
        <v>415</v>
      </c>
      <c r="W847" s="36" t="s">
        <v>250</v>
      </c>
      <c r="X847" s="35" t="s">
        <v>1170</v>
      </c>
      <c r="Y847" s="35">
        <v>100</v>
      </c>
      <c r="Z847" s="35"/>
      <c r="AA847" s="36" t="s">
        <v>181</v>
      </c>
      <c r="AB847" s="36" t="s">
        <v>1171</v>
      </c>
      <c r="AC847" s="35">
        <v>5501081</v>
      </c>
      <c r="AD847" s="36" t="s">
        <v>404</v>
      </c>
      <c r="AE847" s="36">
        <v>100</v>
      </c>
      <c r="AF847" s="36"/>
      <c r="AG847" s="79">
        <v>1</v>
      </c>
      <c r="AH847" s="36">
        <v>0</v>
      </c>
      <c r="AI847" s="33"/>
      <c r="AJ847" s="37"/>
      <c r="AK847" s="35"/>
      <c r="AL847" s="35"/>
    </row>
    <row r="848" s="25" customFormat="1" hidden="1" customHeight="1" spans="1:38">
      <c r="A848" s="33">
        <v>5303108</v>
      </c>
      <c r="B848" s="34"/>
      <c r="C848" s="35">
        <v>5301108</v>
      </c>
      <c r="D848" s="36">
        <v>3</v>
      </c>
      <c r="E848" s="36"/>
      <c r="F848" s="36" t="s">
        <v>174</v>
      </c>
      <c r="G848" s="36">
        <f t="shared" si="271"/>
        <v>1</v>
      </c>
      <c r="H848" s="36">
        <f>IFERROR(IF(--MID($F848,2*COUNTIF($G848:G848,"&gt;"&amp;0)+2,1)=H$1,H$1,""),"")</f>
        <v>2</v>
      </c>
      <c r="I848" s="36">
        <f>IFERROR(IF(--MID($F848,2*COUNTIF($G848:H848,"&gt;"&amp;0)+2,1)=I$1,I$1,""),"")</f>
        <v>3</v>
      </c>
      <c r="J848" s="36">
        <f>IFERROR(IF(--MID($F848,2*COUNTIF($G848:I848,"&gt;"&amp;0)+2,1)=J$1,J$1,""),"")</f>
        <v>4</v>
      </c>
      <c r="K848" s="36">
        <f>IFERROR(IF(--MID($F848,2*COUNTIF($G848:J848,"&gt;"&amp;0)+2,1)=K$1,K$1,""),"")</f>
        <v>5</v>
      </c>
      <c r="L848" s="36">
        <f>IFERROR(IF(--MID($F848,2*COUNTIF($G848:K848,"&gt;"&amp;0)+2,1)=L$1,L$1,""),"")</f>
        <v>6</v>
      </c>
      <c r="M848" s="36" t="e" cm="1">
        <f t="array" ref="M848">IF(A848="","",_xlfn.XLOOKUP(D848&amp;"_"&amp;AE848,符文权重!A:A&amp;"_"&amp;符文权重!C:C,符文权重!D:D))</f>
        <v>#N/A</v>
      </c>
      <c r="N848" s="36"/>
      <c r="O848" s="36"/>
      <c r="P848" s="36"/>
      <c r="Q848" s="36"/>
      <c r="R848" s="36"/>
      <c r="S848" s="36" t="s">
        <v>175</v>
      </c>
      <c r="T848" s="36"/>
      <c r="U848" s="36" t="s">
        <v>417</v>
      </c>
      <c r="W848" s="36" t="s">
        <v>251</v>
      </c>
      <c r="X848" s="35" t="s">
        <v>1172</v>
      </c>
      <c r="Y848" s="35">
        <v>100</v>
      </c>
      <c r="Z848" s="35"/>
      <c r="AA848" s="36" t="s">
        <v>183</v>
      </c>
      <c r="AB848" s="36" t="s">
        <v>1173</v>
      </c>
      <c r="AC848" s="35">
        <v>5501081</v>
      </c>
      <c r="AD848" s="36" t="s">
        <v>230</v>
      </c>
      <c r="AE848" s="36">
        <v>100</v>
      </c>
      <c r="AF848" s="36" t="s">
        <v>178</v>
      </c>
      <c r="AG848" s="79">
        <v>1</v>
      </c>
      <c r="AH848" s="36">
        <v>0</v>
      </c>
      <c r="AI848" s="33"/>
      <c r="AJ848" s="37"/>
      <c r="AK848" s="35"/>
      <c r="AL848" s="35"/>
    </row>
    <row r="849" s="25" customFormat="1" hidden="1" customHeight="1" spans="1:38">
      <c r="A849" s="33">
        <v>5304108</v>
      </c>
      <c r="B849" s="34"/>
      <c r="C849" s="35">
        <v>5301108</v>
      </c>
      <c r="D849" s="36">
        <v>4</v>
      </c>
      <c r="E849" s="36"/>
      <c r="F849" s="36" t="s">
        <v>174</v>
      </c>
      <c r="G849" s="36">
        <f t="shared" si="271"/>
        <v>1</v>
      </c>
      <c r="H849" s="36">
        <f>IFERROR(IF(--MID($F849,2*COUNTIF($G849:G849,"&gt;"&amp;0)+2,1)=H$1,H$1,""),"")</f>
        <v>2</v>
      </c>
      <c r="I849" s="36">
        <f>IFERROR(IF(--MID($F849,2*COUNTIF($G849:H849,"&gt;"&amp;0)+2,1)=I$1,I$1,""),"")</f>
        <v>3</v>
      </c>
      <c r="J849" s="36">
        <f>IFERROR(IF(--MID($F849,2*COUNTIF($G849:I849,"&gt;"&amp;0)+2,1)=J$1,J$1,""),"")</f>
        <v>4</v>
      </c>
      <c r="K849" s="36">
        <f>IFERROR(IF(--MID($F849,2*COUNTIF($G849:J849,"&gt;"&amp;0)+2,1)=K$1,K$1,""),"")</f>
        <v>5</v>
      </c>
      <c r="L849" s="36">
        <f>IFERROR(IF(--MID($F849,2*COUNTIF($G849:K849,"&gt;"&amp;0)+2,1)=L$1,L$1,""),"")</f>
        <v>6</v>
      </c>
      <c r="M849" s="36" t="e" cm="1">
        <f t="array" ref="M849">IF(A849="","",_xlfn.XLOOKUP(D849&amp;"_"&amp;AE849,符文权重!A:A&amp;"_"&amp;符文权重!C:C,符文权重!D:D))</f>
        <v>#N/A</v>
      </c>
      <c r="N849" s="36"/>
      <c r="O849" s="36"/>
      <c r="P849" s="36"/>
      <c r="Q849" s="36"/>
      <c r="R849" s="36"/>
      <c r="S849" s="36" t="s">
        <v>175</v>
      </c>
      <c r="T849" s="36"/>
      <c r="U849" s="36" t="s">
        <v>420</v>
      </c>
      <c r="W849" s="36" t="s">
        <v>252</v>
      </c>
      <c r="X849" s="35" t="s">
        <v>1174</v>
      </c>
      <c r="Y849" s="35">
        <v>100</v>
      </c>
      <c r="Z849" s="35"/>
      <c r="AA849" s="36" t="s">
        <v>185</v>
      </c>
      <c r="AB849" s="36" t="s">
        <v>1175</v>
      </c>
      <c r="AC849" s="35">
        <v>5501081</v>
      </c>
      <c r="AD849" s="36" t="s">
        <v>220</v>
      </c>
      <c r="AE849" s="36">
        <v>100</v>
      </c>
      <c r="AF849" s="36" t="s">
        <v>178</v>
      </c>
      <c r="AG849" s="79">
        <v>1</v>
      </c>
      <c r="AH849" s="36">
        <v>0</v>
      </c>
      <c r="AI849" s="33"/>
      <c r="AJ849" s="37"/>
      <c r="AK849" s="35"/>
      <c r="AL849" s="35"/>
    </row>
    <row r="850" s="25" customFormat="1" hidden="1" customHeight="1" spans="1:38">
      <c r="A850" s="33">
        <v>5305108</v>
      </c>
      <c r="B850" s="34"/>
      <c r="C850" s="35">
        <v>5301108</v>
      </c>
      <c r="D850" s="36">
        <v>5</v>
      </c>
      <c r="E850" s="36"/>
      <c r="F850" s="36" t="s">
        <v>174</v>
      </c>
      <c r="G850" s="36">
        <f t="shared" si="271"/>
        <v>1</v>
      </c>
      <c r="H850" s="36">
        <f>IFERROR(IF(--MID($F850,2*COUNTIF($G850:G850,"&gt;"&amp;0)+2,1)=H$1,H$1,""),"")</f>
        <v>2</v>
      </c>
      <c r="I850" s="36">
        <f>IFERROR(IF(--MID($F850,2*COUNTIF($G850:H850,"&gt;"&amp;0)+2,1)=I$1,I$1,""),"")</f>
        <v>3</v>
      </c>
      <c r="J850" s="36">
        <f>IFERROR(IF(--MID($F850,2*COUNTIF($G850:I850,"&gt;"&amp;0)+2,1)=J$1,J$1,""),"")</f>
        <v>4</v>
      </c>
      <c r="K850" s="36">
        <f>IFERROR(IF(--MID($F850,2*COUNTIF($G850:J850,"&gt;"&amp;0)+2,1)=K$1,K$1,""),"")</f>
        <v>5</v>
      </c>
      <c r="L850" s="36">
        <f>IFERROR(IF(--MID($F850,2*COUNTIF($G850:K850,"&gt;"&amp;0)+2,1)=L$1,L$1,""),"")</f>
        <v>6</v>
      </c>
      <c r="M850" s="36" t="e" cm="1">
        <f t="array" ref="M850">IF(A850="","",_xlfn.XLOOKUP(D850&amp;"_"&amp;AE850,符文权重!A:A&amp;"_"&amp;符文权重!C:C,符文权重!D:D))</f>
        <v>#N/A</v>
      </c>
      <c r="N850" s="36"/>
      <c r="O850" s="36"/>
      <c r="P850" s="36"/>
      <c r="Q850" s="36"/>
      <c r="R850" s="36"/>
      <c r="S850" s="36" t="s">
        <v>175</v>
      </c>
      <c r="T850" s="36"/>
      <c r="U850" s="36" t="s">
        <v>423</v>
      </c>
      <c r="W850" s="36" t="s">
        <v>253</v>
      </c>
      <c r="X850" s="35" t="s">
        <v>1176</v>
      </c>
      <c r="Y850" s="35">
        <v>100</v>
      </c>
      <c r="Z850" s="35"/>
      <c r="AA850" s="36" t="s">
        <v>187</v>
      </c>
      <c r="AB850" s="80" t="s">
        <v>1177</v>
      </c>
      <c r="AC850" s="35">
        <v>5501081</v>
      </c>
      <c r="AD850" s="36" t="s">
        <v>419</v>
      </c>
      <c r="AE850" s="36">
        <v>100</v>
      </c>
      <c r="AF850" s="36" t="s">
        <v>178</v>
      </c>
      <c r="AG850" s="79">
        <v>1</v>
      </c>
      <c r="AH850" s="36">
        <v>0</v>
      </c>
      <c r="AI850" s="33"/>
      <c r="AJ850" s="37"/>
      <c r="AK850" s="35"/>
      <c r="AL850" s="35"/>
    </row>
    <row r="851" s="25" customFormat="1" hidden="1" customHeight="1" spans="1:38">
      <c r="A851" s="33">
        <v>5306108</v>
      </c>
      <c r="B851" s="34"/>
      <c r="C851" s="35">
        <v>5301108</v>
      </c>
      <c r="D851" s="36">
        <v>6</v>
      </c>
      <c r="E851" s="36"/>
      <c r="F851" s="36" t="s">
        <v>174</v>
      </c>
      <c r="G851" s="36">
        <f t="shared" si="271"/>
        <v>1</v>
      </c>
      <c r="H851" s="36">
        <f>IFERROR(IF(--MID($F851,2*COUNTIF($G851:G851,"&gt;"&amp;0)+2,1)=H$1,H$1,""),"")</f>
        <v>2</v>
      </c>
      <c r="I851" s="36">
        <f>IFERROR(IF(--MID($F851,2*COUNTIF($G851:H851,"&gt;"&amp;0)+2,1)=I$1,I$1,""),"")</f>
        <v>3</v>
      </c>
      <c r="J851" s="36">
        <f>IFERROR(IF(--MID($F851,2*COUNTIF($G851:I851,"&gt;"&amp;0)+2,1)=J$1,J$1,""),"")</f>
        <v>4</v>
      </c>
      <c r="K851" s="36">
        <f>IFERROR(IF(--MID($F851,2*COUNTIF($G851:J851,"&gt;"&amp;0)+2,1)=K$1,K$1,""),"")</f>
        <v>5</v>
      </c>
      <c r="L851" s="36">
        <f>IFERROR(IF(--MID($F851,2*COUNTIF($G851:K851,"&gt;"&amp;0)+2,1)=L$1,L$1,""),"")</f>
        <v>6</v>
      </c>
      <c r="M851" s="36" t="e" cm="1">
        <f t="array" ref="M851">IF(A851="","",_xlfn.XLOOKUP(D851&amp;"_"&amp;AE851,符文权重!A:A&amp;"_"&amp;符文权重!C:C,符文权重!D:D))</f>
        <v>#N/A</v>
      </c>
      <c r="N851" s="36"/>
      <c r="O851" s="36"/>
      <c r="P851" s="36"/>
      <c r="Q851" s="36"/>
      <c r="R851" s="36"/>
      <c r="S851" s="36" t="s">
        <v>175</v>
      </c>
      <c r="T851" s="36"/>
      <c r="U851" s="36" t="s">
        <v>426</v>
      </c>
      <c r="W851" s="36" t="s">
        <v>254</v>
      </c>
      <c r="X851" s="35" t="s">
        <v>1178</v>
      </c>
      <c r="Y851" s="35">
        <v>100</v>
      </c>
      <c r="Z851" s="35"/>
      <c r="AA851" s="36" t="s">
        <v>189</v>
      </c>
      <c r="AB851" s="36" t="s">
        <v>1179</v>
      </c>
      <c r="AC851" s="35">
        <v>5501081</v>
      </c>
      <c r="AD851" s="36" t="s">
        <v>422</v>
      </c>
      <c r="AE851" s="36">
        <v>100</v>
      </c>
      <c r="AF851" s="36" t="s">
        <v>178</v>
      </c>
      <c r="AG851" s="79">
        <v>1</v>
      </c>
      <c r="AH851" s="36">
        <v>0</v>
      </c>
      <c r="AI851" s="33"/>
      <c r="AJ851" s="37"/>
      <c r="AK851" s="35"/>
      <c r="AL851" s="35"/>
    </row>
    <row r="852" s="25" customFormat="1" hidden="1" customHeight="1" spans="1:38">
      <c r="A852" s="33">
        <v>5307108</v>
      </c>
      <c r="B852" s="34"/>
      <c r="C852" s="35">
        <v>5301108</v>
      </c>
      <c r="D852" s="36">
        <v>7</v>
      </c>
      <c r="E852" s="36"/>
      <c r="F852" s="36" t="s">
        <v>174</v>
      </c>
      <c r="G852" s="36">
        <f t="shared" si="271"/>
        <v>1</v>
      </c>
      <c r="H852" s="36">
        <f>IFERROR(IF(--MID($F852,2*COUNTIF($G852:G852,"&gt;"&amp;0)+2,1)=H$1,H$1,""),"")</f>
        <v>2</v>
      </c>
      <c r="I852" s="36">
        <f>IFERROR(IF(--MID($F852,2*COUNTIF($G852:H852,"&gt;"&amp;0)+2,1)=I$1,I$1,""),"")</f>
        <v>3</v>
      </c>
      <c r="J852" s="36">
        <f>IFERROR(IF(--MID($F852,2*COUNTIF($G852:I852,"&gt;"&amp;0)+2,1)=J$1,J$1,""),"")</f>
        <v>4</v>
      </c>
      <c r="K852" s="36">
        <f>IFERROR(IF(--MID($F852,2*COUNTIF($G852:J852,"&gt;"&amp;0)+2,1)=K$1,K$1,""),"")</f>
        <v>5</v>
      </c>
      <c r="L852" s="36">
        <f>IFERROR(IF(--MID($F852,2*COUNTIF($G852:K852,"&gt;"&amp;0)+2,1)=L$1,L$1,""),"")</f>
        <v>6</v>
      </c>
      <c r="M852" s="36" t="e" cm="1">
        <f t="array" ref="M852">IF(A852="","",_xlfn.XLOOKUP(D852&amp;"_"&amp;AE852,符文权重!A:A&amp;"_"&amp;符文权重!C:C,符文权重!D:D))</f>
        <v>#N/A</v>
      </c>
      <c r="N852" s="36"/>
      <c r="O852" s="36"/>
      <c r="P852" s="36"/>
      <c r="Q852" s="36"/>
      <c r="R852" s="36"/>
      <c r="S852" s="36" t="s">
        <v>175</v>
      </c>
      <c r="T852" s="36"/>
      <c r="U852" s="36" t="s">
        <v>429</v>
      </c>
      <c r="W852" s="36" t="s">
        <v>255</v>
      </c>
      <c r="X852" s="35" t="s">
        <v>1180</v>
      </c>
      <c r="Y852" s="35">
        <v>100</v>
      </c>
      <c r="Z852" s="35"/>
      <c r="AA852" s="36" t="s">
        <v>191</v>
      </c>
      <c r="AB852" s="36" t="s">
        <v>1181</v>
      </c>
      <c r="AC852" s="35">
        <v>5501081</v>
      </c>
      <c r="AD852" s="36" t="s">
        <v>492</v>
      </c>
      <c r="AE852" s="36">
        <v>100</v>
      </c>
      <c r="AF852" s="36" t="s">
        <v>178</v>
      </c>
      <c r="AG852" s="79">
        <v>1</v>
      </c>
      <c r="AH852" s="36">
        <v>0</v>
      </c>
      <c r="AI852" s="33"/>
      <c r="AJ852" s="37"/>
      <c r="AK852" s="35"/>
      <c r="AL852" s="35"/>
    </row>
    <row r="853" s="25" customFormat="1" hidden="1" customHeight="1" spans="1:38">
      <c r="A853" s="33">
        <v>5301109</v>
      </c>
      <c r="B853" s="34"/>
      <c r="C853" s="35">
        <v>5301109</v>
      </c>
      <c r="D853" s="36">
        <v>1</v>
      </c>
      <c r="E853" s="36"/>
      <c r="F853" s="36" t="s">
        <v>174</v>
      </c>
      <c r="G853" s="36">
        <f t="shared" si="271"/>
        <v>1</v>
      </c>
      <c r="H853" s="36">
        <f>IFERROR(IF(--MID($F853,2*COUNTIF($G853:G853,"&gt;"&amp;0)+2,1)=H$1,H$1,""),"")</f>
        <v>2</v>
      </c>
      <c r="I853" s="36">
        <f>IFERROR(IF(--MID($F853,2*COUNTIF($G853:H853,"&gt;"&amp;0)+2,1)=I$1,I$1,""),"")</f>
        <v>3</v>
      </c>
      <c r="J853" s="36">
        <f>IFERROR(IF(--MID($F853,2*COUNTIF($G853:I853,"&gt;"&amp;0)+2,1)=J$1,J$1,""),"")</f>
        <v>4</v>
      </c>
      <c r="K853" s="36">
        <f>IFERROR(IF(--MID($F853,2*COUNTIF($G853:J853,"&gt;"&amp;0)+2,1)=K$1,K$1,""),"")</f>
        <v>5</v>
      </c>
      <c r="L853" s="36">
        <f>IFERROR(IF(--MID($F853,2*COUNTIF($G853:K853,"&gt;"&amp;0)+2,1)=L$1,L$1,""),"")</f>
        <v>6</v>
      </c>
      <c r="M853" s="36" t="e" cm="1">
        <f t="array" ref="M853">IF(A853="","",_xlfn.XLOOKUP(D853&amp;"_"&amp;AE853,符文权重!A:A&amp;"_"&amp;符文权重!C:C,符文权重!D:D))</f>
        <v>#N/A</v>
      </c>
      <c r="N853" s="36"/>
      <c r="O853" s="36"/>
      <c r="P853" s="36"/>
      <c r="Q853" s="36"/>
      <c r="R853" s="36"/>
      <c r="S853" s="36" t="s">
        <v>256</v>
      </c>
      <c r="T853" s="36"/>
      <c r="U853" s="36" t="s">
        <v>413</v>
      </c>
      <c r="W853" s="36" t="s">
        <v>257</v>
      </c>
      <c r="X853" s="35"/>
      <c r="Y853" s="35">
        <v>100</v>
      </c>
      <c r="Z853" s="35"/>
      <c r="AA853" s="36" t="s">
        <v>177</v>
      </c>
      <c r="AB853" s="36" t="s">
        <v>1182</v>
      </c>
      <c r="AC853" s="35">
        <v>5501091</v>
      </c>
      <c r="AD853" s="36" t="s">
        <v>422</v>
      </c>
      <c r="AE853" s="36">
        <v>100</v>
      </c>
      <c r="AF853" s="36"/>
      <c r="AG853" s="79">
        <v>1</v>
      </c>
      <c r="AH853" s="36">
        <v>0</v>
      </c>
      <c r="AI853" s="33"/>
      <c r="AJ853" s="37"/>
      <c r="AK853" s="35"/>
      <c r="AL853" s="35"/>
    </row>
    <row r="854" s="25" customFormat="1" hidden="1" customHeight="1" spans="1:38">
      <c r="A854" s="33">
        <v>5302109</v>
      </c>
      <c r="B854" s="34"/>
      <c r="C854" s="35">
        <v>5301109</v>
      </c>
      <c r="D854" s="36">
        <v>2</v>
      </c>
      <c r="E854" s="36"/>
      <c r="F854" s="36" t="s">
        <v>174</v>
      </c>
      <c r="G854" s="36">
        <f t="shared" si="271"/>
        <v>1</v>
      </c>
      <c r="H854" s="36">
        <f>IFERROR(IF(--MID($F854,2*COUNTIF($G854:G854,"&gt;"&amp;0)+2,1)=H$1,H$1,""),"")</f>
        <v>2</v>
      </c>
      <c r="I854" s="36">
        <f>IFERROR(IF(--MID($F854,2*COUNTIF($G854:H854,"&gt;"&amp;0)+2,1)=I$1,I$1,""),"")</f>
        <v>3</v>
      </c>
      <c r="J854" s="36">
        <f>IFERROR(IF(--MID($F854,2*COUNTIF($G854:I854,"&gt;"&amp;0)+2,1)=J$1,J$1,""),"")</f>
        <v>4</v>
      </c>
      <c r="K854" s="36">
        <f>IFERROR(IF(--MID($F854,2*COUNTIF($G854:J854,"&gt;"&amp;0)+2,1)=K$1,K$1,""),"")</f>
        <v>5</v>
      </c>
      <c r="L854" s="36">
        <f>IFERROR(IF(--MID($F854,2*COUNTIF($G854:K854,"&gt;"&amp;0)+2,1)=L$1,L$1,""),"")</f>
        <v>6</v>
      </c>
      <c r="M854" s="36" t="e" cm="1">
        <f t="array" ref="M854">IF(A854="","",_xlfn.XLOOKUP(D854&amp;"_"&amp;AE854,符文权重!A:A&amp;"_"&amp;符文权重!C:C,符文权重!D:D))</f>
        <v>#N/A</v>
      </c>
      <c r="N854" s="36"/>
      <c r="O854" s="36"/>
      <c r="P854" s="36"/>
      <c r="Q854" s="36"/>
      <c r="R854" s="36"/>
      <c r="S854" s="36" t="s">
        <v>256</v>
      </c>
      <c r="T854" s="36"/>
      <c r="U854" s="36" t="s">
        <v>415</v>
      </c>
      <c r="W854" s="36" t="s">
        <v>259</v>
      </c>
      <c r="X854" s="35"/>
      <c r="Y854" s="35">
        <v>100</v>
      </c>
      <c r="Z854" s="35"/>
      <c r="AA854" s="36" t="s">
        <v>181</v>
      </c>
      <c r="AB854" s="36" t="s">
        <v>1183</v>
      </c>
      <c r="AC854" s="35">
        <v>5501091</v>
      </c>
      <c r="AD854" s="36" t="s">
        <v>425</v>
      </c>
      <c r="AE854" s="36">
        <v>100</v>
      </c>
      <c r="AF854" s="36"/>
      <c r="AG854" s="79">
        <v>1</v>
      </c>
      <c r="AH854" s="36">
        <v>0</v>
      </c>
      <c r="AI854" s="33"/>
      <c r="AJ854" s="37"/>
      <c r="AK854" s="35"/>
      <c r="AL854" s="35"/>
    </row>
    <row r="855" s="25" customFormat="1" hidden="1" customHeight="1" spans="1:38">
      <c r="A855" s="33">
        <v>5303109</v>
      </c>
      <c r="B855" s="34"/>
      <c r="C855" s="35">
        <v>5301109</v>
      </c>
      <c r="D855" s="36">
        <v>3</v>
      </c>
      <c r="E855" s="36"/>
      <c r="F855" s="36" t="s">
        <v>174</v>
      </c>
      <c r="G855" s="36">
        <f t="shared" si="271"/>
        <v>1</v>
      </c>
      <c r="H855" s="36">
        <f>IFERROR(IF(--MID($F855,2*COUNTIF($G855:G855,"&gt;"&amp;0)+2,1)=H$1,H$1,""),"")</f>
        <v>2</v>
      </c>
      <c r="I855" s="36">
        <f>IFERROR(IF(--MID($F855,2*COUNTIF($G855:H855,"&gt;"&amp;0)+2,1)=I$1,I$1,""),"")</f>
        <v>3</v>
      </c>
      <c r="J855" s="36">
        <f>IFERROR(IF(--MID($F855,2*COUNTIF($G855:I855,"&gt;"&amp;0)+2,1)=J$1,J$1,""),"")</f>
        <v>4</v>
      </c>
      <c r="K855" s="36">
        <f>IFERROR(IF(--MID($F855,2*COUNTIF($G855:J855,"&gt;"&amp;0)+2,1)=K$1,K$1,""),"")</f>
        <v>5</v>
      </c>
      <c r="L855" s="36">
        <f>IFERROR(IF(--MID($F855,2*COUNTIF($G855:K855,"&gt;"&amp;0)+2,1)=L$1,L$1,""),"")</f>
        <v>6</v>
      </c>
      <c r="M855" s="36" t="e" cm="1">
        <f t="array" ref="M855">IF(A855="","",_xlfn.XLOOKUP(D855&amp;"_"&amp;AE855,符文权重!A:A&amp;"_"&amp;符文权重!C:C,符文权重!D:D))</f>
        <v>#N/A</v>
      </c>
      <c r="N855" s="36"/>
      <c r="O855" s="36"/>
      <c r="P855" s="36"/>
      <c r="Q855" s="36"/>
      <c r="R855" s="36"/>
      <c r="S855" s="36" t="s">
        <v>256</v>
      </c>
      <c r="T855" s="36"/>
      <c r="U855" s="36" t="s">
        <v>417</v>
      </c>
      <c r="W855" s="36" t="s">
        <v>260</v>
      </c>
      <c r="X855" s="35"/>
      <c r="Y855" s="35">
        <v>100</v>
      </c>
      <c r="Z855" s="35"/>
      <c r="AA855" s="36" t="s">
        <v>183</v>
      </c>
      <c r="AB855" s="36" t="s">
        <v>1184</v>
      </c>
      <c r="AC855" s="35">
        <v>5501091</v>
      </c>
      <c r="AD855" s="36" t="s">
        <v>428</v>
      </c>
      <c r="AE855" s="36">
        <v>100</v>
      </c>
      <c r="AF855" s="36" t="s">
        <v>178</v>
      </c>
      <c r="AG855" s="79">
        <v>1</v>
      </c>
      <c r="AH855" s="36">
        <v>0</v>
      </c>
      <c r="AI855" s="33"/>
      <c r="AJ855" s="37"/>
      <c r="AK855" s="35"/>
      <c r="AL855" s="35"/>
    </row>
    <row r="856" s="25" customFormat="1" hidden="1" customHeight="1" spans="1:38">
      <c r="A856" s="33">
        <v>5304109</v>
      </c>
      <c r="B856" s="34"/>
      <c r="C856" s="35">
        <v>5301109</v>
      </c>
      <c r="D856" s="36">
        <v>4</v>
      </c>
      <c r="E856" s="36"/>
      <c r="F856" s="36" t="s">
        <v>174</v>
      </c>
      <c r="G856" s="36">
        <f t="shared" si="271"/>
        <v>1</v>
      </c>
      <c r="H856" s="36">
        <f>IFERROR(IF(--MID($F856,2*COUNTIF($G856:G856,"&gt;"&amp;0)+2,1)=H$1,H$1,""),"")</f>
        <v>2</v>
      </c>
      <c r="I856" s="36">
        <f>IFERROR(IF(--MID($F856,2*COUNTIF($G856:H856,"&gt;"&amp;0)+2,1)=I$1,I$1,""),"")</f>
        <v>3</v>
      </c>
      <c r="J856" s="36">
        <f>IFERROR(IF(--MID($F856,2*COUNTIF($G856:I856,"&gt;"&amp;0)+2,1)=J$1,J$1,""),"")</f>
        <v>4</v>
      </c>
      <c r="K856" s="36">
        <f>IFERROR(IF(--MID($F856,2*COUNTIF($G856:J856,"&gt;"&amp;0)+2,1)=K$1,K$1,""),"")</f>
        <v>5</v>
      </c>
      <c r="L856" s="36">
        <f>IFERROR(IF(--MID($F856,2*COUNTIF($G856:K856,"&gt;"&amp;0)+2,1)=L$1,L$1,""),"")</f>
        <v>6</v>
      </c>
      <c r="M856" s="36" t="e" cm="1">
        <f t="array" ref="M856">IF(A856="","",_xlfn.XLOOKUP(D856&amp;"_"&amp;AE856,符文权重!A:A&amp;"_"&amp;符文权重!C:C,符文权重!D:D))</f>
        <v>#N/A</v>
      </c>
      <c r="N856" s="36"/>
      <c r="O856" s="36"/>
      <c r="P856" s="36"/>
      <c r="Q856" s="36"/>
      <c r="R856" s="36"/>
      <c r="S856" s="36" t="s">
        <v>256</v>
      </c>
      <c r="T856" s="36"/>
      <c r="U856" s="36" t="s">
        <v>420</v>
      </c>
      <c r="W856" s="36" t="s">
        <v>261</v>
      </c>
      <c r="X856" s="35"/>
      <c r="Y856" s="35">
        <v>100</v>
      </c>
      <c r="Z856" s="35"/>
      <c r="AA856" s="36" t="s">
        <v>185</v>
      </c>
      <c r="AB856" s="36" t="s">
        <v>1185</v>
      </c>
      <c r="AC856" s="35">
        <v>5501091</v>
      </c>
      <c r="AD856" s="36" t="s">
        <v>431</v>
      </c>
      <c r="AE856" s="36">
        <v>100</v>
      </c>
      <c r="AF856" s="36" t="s">
        <v>178</v>
      </c>
      <c r="AG856" s="79">
        <v>1</v>
      </c>
      <c r="AH856" s="36">
        <v>0</v>
      </c>
      <c r="AI856" s="33"/>
      <c r="AJ856" s="37"/>
      <c r="AK856" s="35"/>
      <c r="AL856" s="35"/>
    </row>
    <row r="857" s="25" customFormat="1" hidden="1" customHeight="1" spans="1:38">
      <c r="A857" s="33">
        <v>5305109</v>
      </c>
      <c r="B857" s="34"/>
      <c r="C857" s="35">
        <v>5301109</v>
      </c>
      <c r="D857" s="36">
        <v>5</v>
      </c>
      <c r="E857" s="36"/>
      <c r="F857" s="36" t="s">
        <v>174</v>
      </c>
      <c r="G857" s="36">
        <f t="shared" si="271"/>
        <v>1</v>
      </c>
      <c r="H857" s="36">
        <f>IFERROR(IF(--MID($F857,2*COUNTIF($G857:G857,"&gt;"&amp;0)+2,1)=H$1,H$1,""),"")</f>
        <v>2</v>
      </c>
      <c r="I857" s="36">
        <f>IFERROR(IF(--MID($F857,2*COUNTIF($G857:H857,"&gt;"&amp;0)+2,1)=I$1,I$1,""),"")</f>
        <v>3</v>
      </c>
      <c r="J857" s="36">
        <f>IFERROR(IF(--MID($F857,2*COUNTIF($G857:I857,"&gt;"&amp;0)+2,1)=J$1,J$1,""),"")</f>
        <v>4</v>
      </c>
      <c r="K857" s="36">
        <f>IFERROR(IF(--MID($F857,2*COUNTIF($G857:J857,"&gt;"&amp;0)+2,1)=K$1,K$1,""),"")</f>
        <v>5</v>
      </c>
      <c r="L857" s="36">
        <f>IFERROR(IF(--MID($F857,2*COUNTIF($G857:K857,"&gt;"&amp;0)+2,1)=L$1,L$1,""),"")</f>
        <v>6</v>
      </c>
      <c r="M857" s="36" t="e" cm="1">
        <f t="array" ref="M857">IF(A857="","",_xlfn.XLOOKUP(D857&amp;"_"&amp;AE857,符文权重!A:A&amp;"_"&amp;符文权重!C:C,符文权重!D:D))</f>
        <v>#N/A</v>
      </c>
      <c r="N857" s="36"/>
      <c r="O857" s="36"/>
      <c r="P857" s="36"/>
      <c r="Q857" s="36"/>
      <c r="R857" s="36"/>
      <c r="S857" s="36" t="s">
        <v>256</v>
      </c>
      <c r="T857" s="36"/>
      <c r="U857" s="36" t="s">
        <v>423</v>
      </c>
      <c r="W857" s="36" t="s">
        <v>262</v>
      </c>
      <c r="X857" s="35"/>
      <c r="Y857" s="35">
        <v>100</v>
      </c>
      <c r="Z857" s="35"/>
      <c r="AA857" s="36" t="s">
        <v>187</v>
      </c>
      <c r="AB857" s="80" t="s">
        <v>1186</v>
      </c>
      <c r="AC857" s="35">
        <v>5501091</v>
      </c>
      <c r="AD857" s="36" t="s">
        <v>472</v>
      </c>
      <c r="AE857" s="36">
        <v>100</v>
      </c>
      <c r="AF857" s="36" t="s">
        <v>178</v>
      </c>
      <c r="AG857" s="79">
        <v>1</v>
      </c>
      <c r="AH857" s="36">
        <v>0</v>
      </c>
      <c r="AI857" s="33"/>
      <c r="AJ857" s="37"/>
      <c r="AK857" s="35"/>
      <c r="AL857" s="35"/>
    </row>
    <row r="858" s="25" customFormat="1" hidden="1" customHeight="1" spans="1:38">
      <c r="A858" s="33">
        <v>5306109</v>
      </c>
      <c r="B858" s="34"/>
      <c r="C858" s="35">
        <v>5301109</v>
      </c>
      <c r="D858" s="36">
        <v>6</v>
      </c>
      <c r="E858" s="36"/>
      <c r="F858" s="36" t="s">
        <v>174</v>
      </c>
      <c r="G858" s="36">
        <f t="shared" si="271"/>
        <v>1</v>
      </c>
      <c r="H858" s="36">
        <f>IFERROR(IF(--MID($F858,2*COUNTIF($G858:G858,"&gt;"&amp;0)+2,1)=H$1,H$1,""),"")</f>
        <v>2</v>
      </c>
      <c r="I858" s="36">
        <f>IFERROR(IF(--MID($F858,2*COUNTIF($G858:H858,"&gt;"&amp;0)+2,1)=I$1,I$1,""),"")</f>
        <v>3</v>
      </c>
      <c r="J858" s="36">
        <f>IFERROR(IF(--MID($F858,2*COUNTIF($G858:I858,"&gt;"&amp;0)+2,1)=J$1,J$1,""),"")</f>
        <v>4</v>
      </c>
      <c r="K858" s="36">
        <f>IFERROR(IF(--MID($F858,2*COUNTIF($G858:J858,"&gt;"&amp;0)+2,1)=K$1,K$1,""),"")</f>
        <v>5</v>
      </c>
      <c r="L858" s="36">
        <f>IFERROR(IF(--MID($F858,2*COUNTIF($G858:K858,"&gt;"&amp;0)+2,1)=L$1,L$1,""),"")</f>
        <v>6</v>
      </c>
      <c r="M858" s="36" t="e" cm="1">
        <f t="array" ref="M858">IF(A858="","",_xlfn.XLOOKUP(D858&amp;"_"&amp;AE858,符文权重!A:A&amp;"_"&amp;符文权重!C:C,符文权重!D:D))</f>
        <v>#N/A</v>
      </c>
      <c r="N858" s="36"/>
      <c r="O858" s="36"/>
      <c r="P858" s="36"/>
      <c r="Q858" s="36"/>
      <c r="R858" s="36"/>
      <c r="S858" s="36" t="s">
        <v>256</v>
      </c>
      <c r="T858" s="36"/>
      <c r="U858" s="36" t="s">
        <v>426</v>
      </c>
      <c r="W858" s="36" t="s">
        <v>263</v>
      </c>
      <c r="X858" s="35"/>
      <c r="Y858" s="35">
        <v>100</v>
      </c>
      <c r="Z858" s="35"/>
      <c r="AA858" s="36" t="s">
        <v>189</v>
      </c>
      <c r="AB858" s="36" t="s">
        <v>1187</v>
      </c>
      <c r="AC858" s="35">
        <v>5501091</v>
      </c>
      <c r="AD858" s="36" t="s">
        <v>497</v>
      </c>
      <c r="AE858" s="36">
        <v>100</v>
      </c>
      <c r="AF858" s="36" t="s">
        <v>178</v>
      </c>
      <c r="AG858" s="79">
        <v>1</v>
      </c>
      <c r="AH858" s="36">
        <v>0</v>
      </c>
      <c r="AI858" s="33"/>
      <c r="AJ858" s="37"/>
      <c r="AK858" s="35"/>
      <c r="AL858" s="35"/>
    </row>
    <row r="859" s="25" customFormat="1" hidden="1" customHeight="1" spans="1:38">
      <c r="A859" s="33">
        <v>5307109</v>
      </c>
      <c r="B859" s="34"/>
      <c r="C859" s="35">
        <v>5301109</v>
      </c>
      <c r="D859" s="36">
        <v>7</v>
      </c>
      <c r="E859" s="36"/>
      <c r="F859" s="36" t="s">
        <v>174</v>
      </c>
      <c r="G859" s="36">
        <f t="shared" si="271"/>
        <v>1</v>
      </c>
      <c r="H859" s="36">
        <f>IFERROR(IF(--MID($F859,2*COUNTIF($G859:G859,"&gt;"&amp;0)+2,1)=H$1,H$1,""),"")</f>
        <v>2</v>
      </c>
      <c r="I859" s="36">
        <f>IFERROR(IF(--MID($F859,2*COUNTIF($G859:H859,"&gt;"&amp;0)+2,1)=I$1,I$1,""),"")</f>
        <v>3</v>
      </c>
      <c r="J859" s="36">
        <f>IFERROR(IF(--MID($F859,2*COUNTIF($G859:I859,"&gt;"&amp;0)+2,1)=J$1,J$1,""),"")</f>
        <v>4</v>
      </c>
      <c r="K859" s="36">
        <f>IFERROR(IF(--MID($F859,2*COUNTIF($G859:J859,"&gt;"&amp;0)+2,1)=K$1,K$1,""),"")</f>
        <v>5</v>
      </c>
      <c r="L859" s="36">
        <f>IFERROR(IF(--MID($F859,2*COUNTIF($G859:K859,"&gt;"&amp;0)+2,1)=L$1,L$1,""),"")</f>
        <v>6</v>
      </c>
      <c r="M859" s="36" t="e" cm="1">
        <f t="array" ref="M859">IF(A859="","",_xlfn.XLOOKUP(D859&amp;"_"&amp;AE859,符文权重!A:A&amp;"_"&amp;符文权重!C:C,符文权重!D:D))</f>
        <v>#N/A</v>
      </c>
      <c r="N859" s="36"/>
      <c r="O859" s="36"/>
      <c r="P859" s="36"/>
      <c r="Q859" s="36"/>
      <c r="R859" s="36"/>
      <c r="S859" s="36" t="s">
        <v>256</v>
      </c>
      <c r="T859" s="36"/>
      <c r="U859" s="36" t="s">
        <v>429</v>
      </c>
      <c r="W859" s="36" t="s">
        <v>264</v>
      </c>
      <c r="X859" s="35"/>
      <c r="Y859" s="35">
        <v>100</v>
      </c>
      <c r="Z859" s="35"/>
      <c r="AA859" s="36" t="s">
        <v>191</v>
      </c>
      <c r="AB859" s="36" t="s">
        <v>1188</v>
      </c>
      <c r="AC859" s="35">
        <v>5501091</v>
      </c>
      <c r="AD859" s="36" t="s">
        <v>596</v>
      </c>
      <c r="AE859" s="36">
        <v>100</v>
      </c>
      <c r="AF859" s="36" t="s">
        <v>178</v>
      </c>
      <c r="AG859" s="79">
        <v>1</v>
      </c>
      <c r="AH859" s="36">
        <v>0</v>
      </c>
      <c r="AI859" s="33"/>
      <c r="AJ859" s="37"/>
      <c r="AK859" s="35"/>
      <c r="AL859" s="35"/>
    </row>
    <row r="860" s="25" customFormat="1" hidden="1" customHeight="1" spans="1:38">
      <c r="A860" s="33">
        <v>5303110</v>
      </c>
      <c r="B860" s="34"/>
      <c r="C860" s="35">
        <v>5301110</v>
      </c>
      <c r="D860" s="36">
        <v>3</v>
      </c>
      <c r="E860" s="36"/>
      <c r="F860" s="36" t="s">
        <v>174</v>
      </c>
      <c r="G860" s="36">
        <f t="shared" si="271"/>
        <v>1</v>
      </c>
      <c r="H860" s="36">
        <f>IFERROR(IF(--MID($F860,2*COUNTIF($G860:G860,"&gt;"&amp;0)+2,1)=H$1,H$1,""),"")</f>
        <v>2</v>
      </c>
      <c r="I860" s="36">
        <f>IFERROR(IF(--MID($F860,2*COUNTIF($G860:H860,"&gt;"&amp;0)+2,1)=I$1,I$1,""),"")</f>
        <v>3</v>
      </c>
      <c r="J860" s="36">
        <f>IFERROR(IF(--MID($F860,2*COUNTIF($G860:I860,"&gt;"&amp;0)+2,1)=J$1,J$1,""),"")</f>
        <v>4</v>
      </c>
      <c r="K860" s="36">
        <f>IFERROR(IF(--MID($F860,2*COUNTIF($G860:J860,"&gt;"&amp;0)+2,1)=K$1,K$1,""),"")</f>
        <v>5</v>
      </c>
      <c r="L860" s="36">
        <f>IFERROR(IF(--MID($F860,2*COUNTIF($G860:K860,"&gt;"&amp;0)+2,1)=L$1,L$1,""),"")</f>
        <v>6</v>
      </c>
      <c r="M860" s="36" t="e" cm="1">
        <f t="array" ref="M860">IF(A860="","",_xlfn.XLOOKUP(D860&amp;"_"&amp;AE860,符文权重!A:A&amp;"_"&amp;符文权重!C:C,符文权重!D:D))</f>
        <v>#N/A</v>
      </c>
      <c r="N860" s="36"/>
      <c r="O860" s="36"/>
      <c r="P860" s="36"/>
      <c r="Q860" s="36"/>
      <c r="R860" s="36"/>
      <c r="S860" s="36" t="s">
        <v>256</v>
      </c>
      <c r="T860" s="36"/>
      <c r="U860" s="36" t="s">
        <v>417</v>
      </c>
      <c r="W860" s="36" t="s">
        <v>394</v>
      </c>
      <c r="X860" s="35"/>
      <c r="Y860" s="35">
        <v>100</v>
      </c>
      <c r="Z860" s="35"/>
      <c r="AA860" s="36" t="s">
        <v>183</v>
      </c>
      <c r="AB860" s="36" t="s">
        <v>1189</v>
      </c>
      <c r="AC860" s="35">
        <v>5504021</v>
      </c>
      <c r="AD860" s="36" t="s">
        <v>193</v>
      </c>
      <c r="AE860" s="36">
        <v>100</v>
      </c>
      <c r="AF860" s="36" t="s">
        <v>178</v>
      </c>
      <c r="AG860" s="79">
        <v>1</v>
      </c>
      <c r="AH860" s="36">
        <v>0</v>
      </c>
      <c r="AL860" s="35"/>
    </row>
    <row r="861" s="25" customFormat="1" hidden="1" customHeight="1" spans="1:38">
      <c r="A861" s="33">
        <v>5304110</v>
      </c>
      <c r="B861" s="34"/>
      <c r="C861" s="35">
        <v>5301110</v>
      </c>
      <c r="D861" s="36">
        <v>4</v>
      </c>
      <c r="E861" s="36"/>
      <c r="F861" s="36" t="s">
        <v>174</v>
      </c>
      <c r="G861" s="36">
        <f t="shared" si="271"/>
        <v>1</v>
      </c>
      <c r="H861" s="36">
        <f>IFERROR(IF(--MID($F861,2*COUNTIF($G861:G861,"&gt;"&amp;0)+2,1)=H$1,H$1,""),"")</f>
        <v>2</v>
      </c>
      <c r="I861" s="36">
        <f>IFERROR(IF(--MID($F861,2*COUNTIF($G861:H861,"&gt;"&amp;0)+2,1)=I$1,I$1,""),"")</f>
        <v>3</v>
      </c>
      <c r="J861" s="36">
        <f>IFERROR(IF(--MID($F861,2*COUNTIF($G861:I861,"&gt;"&amp;0)+2,1)=J$1,J$1,""),"")</f>
        <v>4</v>
      </c>
      <c r="K861" s="36">
        <f>IFERROR(IF(--MID($F861,2*COUNTIF($G861:J861,"&gt;"&amp;0)+2,1)=K$1,K$1,""),"")</f>
        <v>5</v>
      </c>
      <c r="L861" s="36">
        <f>IFERROR(IF(--MID($F861,2*COUNTIF($G861:K861,"&gt;"&amp;0)+2,1)=L$1,L$1,""),"")</f>
        <v>6</v>
      </c>
      <c r="M861" s="36" t="e" cm="1">
        <f t="array" ref="M861">IF(A861="","",_xlfn.XLOOKUP(D861&amp;"_"&amp;AE861,符文权重!A:A&amp;"_"&amp;符文权重!C:C,符文权重!D:D))</f>
        <v>#N/A</v>
      </c>
      <c r="N861" s="36"/>
      <c r="O861" s="36"/>
      <c r="P861" s="36"/>
      <c r="Q861" s="36"/>
      <c r="R861" s="36"/>
      <c r="S861" s="36" t="s">
        <v>256</v>
      </c>
      <c r="T861" s="36"/>
      <c r="U861" s="36" t="s">
        <v>420</v>
      </c>
      <c r="W861" s="36" t="s">
        <v>395</v>
      </c>
      <c r="X861" s="35"/>
      <c r="Y861" s="35">
        <v>100</v>
      </c>
      <c r="Z861" s="35"/>
      <c r="AA861" s="36" t="s">
        <v>185</v>
      </c>
      <c r="AB861" s="36" t="s">
        <v>1190</v>
      </c>
      <c r="AC861" s="35">
        <v>5504021</v>
      </c>
      <c r="AD861" s="36" t="s">
        <v>404</v>
      </c>
      <c r="AE861" s="36">
        <v>100</v>
      </c>
      <c r="AF861" s="36" t="s">
        <v>178</v>
      </c>
      <c r="AG861" s="79">
        <v>1</v>
      </c>
      <c r="AH861" s="36">
        <v>0</v>
      </c>
      <c r="AL861" s="35"/>
    </row>
    <row r="862" s="25" customFormat="1" hidden="1" customHeight="1" spans="1:38">
      <c r="A862" s="33">
        <v>5305110</v>
      </c>
      <c r="B862" s="34"/>
      <c r="C862" s="35">
        <v>5301110</v>
      </c>
      <c r="D862" s="36">
        <v>5</v>
      </c>
      <c r="E862" s="36"/>
      <c r="F862" s="36" t="s">
        <v>174</v>
      </c>
      <c r="G862" s="36">
        <f t="shared" si="271"/>
        <v>1</v>
      </c>
      <c r="H862" s="36">
        <f>IFERROR(IF(--MID($F862,2*COUNTIF($G862:G862,"&gt;"&amp;0)+2,1)=H$1,H$1,""),"")</f>
        <v>2</v>
      </c>
      <c r="I862" s="36">
        <f>IFERROR(IF(--MID($F862,2*COUNTIF($G862:H862,"&gt;"&amp;0)+2,1)=I$1,I$1,""),"")</f>
        <v>3</v>
      </c>
      <c r="J862" s="36">
        <f>IFERROR(IF(--MID($F862,2*COUNTIF($G862:I862,"&gt;"&amp;0)+2,1)=J$1,J$1,""),"")</f>
        <v>4</v>
      </c>
      <c r="K862" s="36">
        <f>IFERROR(IF(--MID($F862,2*COUNTIF($G862:J862,"&gt;"&amp;0)+2,1)=K$1,K$1,""),"")</f>
        <v>5</v>
      </c>
      <c r="L862" s="36">
        <f>IFERROR(IF(--MID($F862,2*COUNTIF($G862:K862,"&gt;"&amp;0)+2,1)=L$1,L$1,""),"")</f>
        <v>6</v>
      </c>
      <c r="M862" s="36" t="e" cm="1">
        <f t="array" ref="M862">IF(A862="","",_xlfn.XLOOKUP(D862&amp;"_"&amp;AE862,符文权重!A:A&amp;"_"&amp;符文权重!C:C,符文权重!D:D))</f>
        <v>#N/A</v>
      </c>
      <c r="N862" s="36"/>
      <c r="O862" s="36"/>
      <c r="P862" s="36"/>
      <c r="Q862" s="36"/>
      <c r="R862" s="36"/>
      <c r="S862" s="36" t="s">
        <v>256</v>
      </c>
      <c r="T862" s="36"/>
      <c r="U862" s="36" t="s">
        <v>423</v>
      </c>
      <c r="W862" s="36" t="s">
        <v>396</v>
      </c>
      <c r="X862" s="35"/>
      <c r="Y862" s="35">
        <v>100</v>
      </c>
      <c r="Z862" s="35"/>
      <c r="AA862" s="36" t="s">
        <v>187</v>
      </c>
      <c r="AB862" s="36" t="s">
        <v>1191</v>
      </c>
      <c r="AC862" s="35">
        <v>5504021</v>
      </c>
      <c r="AD862" s="36" t="s">
        <v>230</v>
      </c>
      <c r="AE862" s="36">
        <v>100</v>
      </c>
      <c r="AF862" s="36" t="s">
        <v>178</v>
      </c>
      <c r="AG862" s="79">
        <v>1</v>
      </c>
      <c r="AH862" s="36">
        <v>0</v>
      </c>
      <c r="AL862" s="35"/>
    </row>
    <row r="863" s="25" customFormat="1" hidden="1" customHeight="1" spans="1:38">
      <c r="A863" s="33">
        <v>5306110</v>
      </c>
      <c r="B863" s="34"/>
      <c r="C863" s="35">
        <v>5301110</v>
      </c>
      <c r="D863" s="36">
        <v>6</v>
      </c>
      <c r="E863" s="36"/>
      <c r="F863" s="36" t="s">
        <v>174</v>
      </c>
      <c r="G863" s="36">
        <f t="shared" si="271"/>
        <v>1</v>
      </c>
      <c r="H863" s="36">
        <f>IFERROR(IF(--MID($F863,2*COUNTIF($G863:G863,"&gt;"&amp;0)+2,1)=H$1,H$1,""),"")</f>
        <v>2</v>
      </c>
      <c r="I863" s="36">
        <f>IFERROR(IF(--MID($F863,2*COUNTIF($G863:H863,"&gt;"&amp;0)+2,1)=I$1,I$1,""),"")</f>
        <v>3</v>
      </c>
      <c r="J863" s="36">
        <f>IFERROR(IF(--MID($F863,2*COUNTIF($G863:I863,"&gt;"&amp;0)+2,1)=J$1,J$1,""),"")</f>
        <v>4</v>
      </c>
      <c r="K863" s="36">
        <f>IFERROR(IF(--MID($F863,2*COUNTIF($G863:J863,"&gt;"&amp;0)+2,1)=K$1,K$1,""),"")</f>
        <v>5</v>
      </c>
      <c r="L863" s="36">
        <f>IFERROR(IF(--MID($F863,2*COUNTIF($G863:K863,"&gt;"&amp;0)+2,1)=L$1,L$1,""),"")</f>
        <v>6</v>
      </c>
      <c r="M863" s="36" t="e" cm="1">
        <f t="array" ref="M863">IF(A863="","",_xlfn.XLOOKUP(D863&amp;"_"&amp;AE863,符文权重!A:A&amp;"_"&amp;符文权重!C:C,符文权重!D:D))</f>
        <v>#N/A</v>
      </c>
      <c r="N863" s="36"/>
      <c r="O863" s="36"/>
      <c r="P863" s="36"/>
      <c r="Q863" s="36"/>
      <c r="R863" s="36"/>
      <c r="S863" s="36" t="s">
        <v>256</v>
      </c>
      <c r="T863" s="36"/>
      <c r="U863" s="36" t="s">
        <v>426</v>
      </c>
      <c r="W863" s="36" t="s">
        <v>397</v>
      </c>
      <c r="X863" s="35"/>
      <c r="Y863" s="35">
        <v>100</v>
      </c>
      <c r="Z863" s="35"/>
      <c r="AA863" s="36" t="s">
        <v>189</v>
      </c>
      <c r="AB863" s="36" t="s">
        <v>1192</v>
      </c>
      <c r="AC863" s="35">
        <v>5504021</v>
      </c>
      <c r="AD863" s="36" t="s">
        <v>220</v>
      </c>
      <c r="AE863" s="36">
        <v>100</v>
      </c>
      <c r="AF863" s="36" t="s">
        <v>178</v>
      </c>
      <c r="AG863" s="79">
        <v>1</v>
      </c>
      <c r="AH863" s="36">
        <v>0</v>
      </c>
      <c r="AL863" s="35"/>
    </row>
    <row r="864" s="25" customFormat="1" hidden="1" customHeight="1" spans="1:38">
      <c r="A864" s="33">
        <v>5307110</v>
      </c>
      <c r="B864" s="34"/>
      <c r="C864" s="35">
        <v>5301110</v>
      </c>
      <c r="D864" s="36">
        <v>7</v>
      </c>
      <c r="E864" s="36"/>
      <c r="F864" s="36" t="s">
        <v>174</v>
      </c>
      <c r="G864" s="36">
        <f t="shared" si="271"/>
        <v>1</v>
      </c>
      <c r="H864" s="36">
        <f>IFERROR(IF(--MID($F864,2*COUNTIF($G864:G864,"&gt;"&amp;0)+2,1)=H$1,H$1,""),"")</f>
        <v>2</v>
      </c>
      <c r="I864" s="36">
        <f>IFERROR(IF(--MID($F864,2*COUNTIF($G864:H864,"&gt;"&amp;0)+2,1)=I$1,I$1,""),"")</f>
        <v>3</v>
      </c>
      <c r="J864" s="36">
        <f>IFERROR(IF(--MID($F864,2*COUNTIF($G864:I864,"&gt;"&amp;0)+2,1)=J$1,J$1,""),"")</f>
        <v>4</v>
      </c>
      <c r="K864" s="36">
        <f>IFERROR(IF(--MID($F864,2*COUNTIF($G864:J864,"&gt;"&amp;0)+2,1)=K$1,K$1,""),"")</f>
        <v>5</v>
      </c>
      <c r="L864" s="36">
        <f>IFERROR(IF(--MID($F864,2*COUNTIF($G864:K864,"&gt;"&amp;0)+2,1)=L$1,L$1,""),"")</f>
        <v>6</v>
      </c>
      <c r="M864" s="36" t="e" cm="1">
        <f t="array" ref="M864">IF(A864="","",_xlfn.XLOOKUP(D864&amp;"_"&amp;AE864,符文权重!A:A&amp;"_"&amp;符文权重!C:C,符文权重!D:D))</f>
        <v>#N/A</v>
      </c>
      <c r="N864" s="36"/>
      <c r="O864" s="36"/>
      <c r="P864" s="36"/>
      <c r="Q864" s="36"/>
      <c r="R864" s="36"/>
      <c r="S864" s="36" t="s">
        <v>256</v>
      </c>
      <c r="T864" s="36"/>
      <c r="U864" s="36" t="s">
        <v>429</v>
      </c>
      <c r="W864" s="36" t="s">
        <v>398</v>
      </c>
      <c r="X864" s="35"/>
      <c r="Y864" s="35">
        <v>100</v>
      </c>
      <c r="Z864" s="35"/>
      <c r="AA864" s="36" t="s">
        <v>191</v>
      </c>
      <c r="AB864" s="80" t="s">
        <v>1193</v>
      </c>
      <c r="AC864" s="35">
        <v>5504021</v>
      </c>
      <c r="AD864" s="36" t="s">
        <v>239</v>
      </c>
      <c r="AE864" s="36">
        <v>100</v>
      </c>
      <c r="AF864" s="36" t="s">
        <v>178</v>
      </c>
      <c r="AG864" s="79">
        <v>1</v>
      </c>
      <c r="AH864" s="36">
        <v>0</v>
      </c>
      <c r="AL864" s="35"/>
    </row>
    <row r="865" s="25" customFormat="1" hidden="1" customHeight="1" spans="1:38">
      <c r="A865" s="33">
        <v>5301111</v>
      </c>
      <c r="B865" s="34"/>
      <c r="C865" s="35">
        <v>5301111</v>
      </c>
      <c r="D865" s="36">
        <v>1</v>
      </c>
      <c r="E865" s="36"/>
      <c r="F865" s="36" t="s">
        <v>174</v>
      </c>
      <c r="G865" s="36">
        <f t="shared" si="271"/>
        <v>1</v>
      </c>
      <c r="H865" s="36">
        <f>IFERROR(IF(--MID($F865,2*COUNTIF($G865:G865,"&gt;"&amp;0)+2,1)=H$1,H$1,""),"")</f>
        <v>2</v>
      </c>
      <c r="I865" s="36">
        <f>IFERROR(IF(--MID($F865,2*COUNTIF($G865:H865,"&gt;"&amp;0)+2,1)=I$1,I$1,""),"")</f>
        <v>3</v>
      </c>
      <c r="J865" s="36">
        <f>IFERROR(IF(--MID($F865,2*COUNTIF($G865:I865,"&gt;"&amp;0)+2,1)=J$1,J$1,""),"")</f>
        <v>4</v>
      </c>
      <c r="K865" s="36">
        <f>IFERROR(IF(--MID($F865,2*COUNTIF($G865:J865,"&gt;"&amp;0)+2,1)=K$1,K$1,""),"")</f>
        <v>5</v>
      </c>
      <c r="L865" s="36">
        <f>IFERROR(IF(--MID($F865,2*COUNTIF($G865:K865,"&gt;"&amp;0)+2,1)=L$1,L$1,""),"")</f>
        <v>6</v>
      </c>
      <c r="M865" s="36" t="e" cm="1">
        <f t="array" ref="M865">IF(A865="","",_xlfn.XLOOKUP(D865&amp;"_"&amp;AE865,符文权重!A:A&amp;"_"&amp;符文权重!C:C,符文权重!D:D))</f>
        <v>#N/A</v>
      </c>
      <c r="N865" s="36"/>
      <c r="O865" s="36"/>
      <c r="P865" s="36"/>
      <c r="Q865" s="36"/>
      <c r="R865" s="36"/>
      <c r="S865" s="36" t="s">
        <v>192</v>
      </c>
      <c r="T865" s="36" t="s">
        <v>202</v>
      </c>
      <c r="U865" s="36" t="s">
        <v>413</v>
      </c>
      <c r="W865" s="36" t="s">
        <v>265</v>
      </c>
      <c r="X865" s="35" t="s">
        <v>1170</v>
      </c>
      <c r="Y865" s="35">
        <v>100</v>
      </c>
      <c r="Z865" s="35"/>
      <c r="AA865" s="36" t="s">
        <v>177</v>
      </c>
      <c r="AB865" s="36" t="s">
        <v>1194</v>
      </c>
      <c r="AC865" s="35">
        <v>5501101</v>
      </c>
      <c r="AD865" s="36" t="s">
        <v>404</v>
      </c>
      <c r="AE865" s="36">
        <v>100</v>
      </c>
      <c r="AF865" s="36"/>
      <c r="AG865" s="79">
        <v>1</v>
      </c>
      <c r="AH865" s="36">
        <v>0</v>
      </c>
      <c r="AI865" s="33"/>
      <c r="AJ865" s="37"/>
      <c r="AK865" s="35"/>
      <c r="AL865" s="35"/>
    </row>
    <row r="866" s="25" customFormat="1" hidden="1" customHeight="1" spans="1:38">
      <c r="A866" s="33">
        <v>5302111</v>
      </c>
      <c r="B866" s="34"/>
      <c r="C866" s="35">
        <v>5301111</v>
      </c>
      <c r="D866" s="36">
        <v>2</v>
      </c>
      <c r="E866" s="36"/>
      <c r="F866" s="36" t="s">
        <v>174</v>
      </c>
      <c r="G866" s="36">
        <f t="shared" si="271"/>
        <v>1</v>
      </c>
      <c r="H866" s="36">
        <f>IFERROR(IF(--MID($F866,2*COUNTIF($G866:G866,"&gt;"&amp;0)+2,1)=H$1,H$1,""),"")</f>
        <v>2</v>
      </c>
      <c r="I866" s="36">
        <f>IFERROR(IF(--MID($F866,2*COUNTIF($G866:H866,"&gt;"&amp;0)+2,1)=I$1,I$1,""),"")</f>
        <v>3</v>
      </c>
      <c r="J866" s="36">
        <f>IFERROR(IF(--MID($F866,2*COUNTIF($G866:I866,"&gt;"&amp;0)+2,1)=J$1,J$1,""),"")</f>
        <v>4</v>
      </c>
      <c r="K866" s="36">
        <f>IFERROR(IF(--MID($F866,2*COUNTIF($G866:J866,"&gt;"&amp;0)+2,1)=K$1,K$1,""),"")</f>
        <v>5</v>
      </c>
      <c r="L866" s="36">
        <f>IFERROR(IF(--MID($F866,2*COUNTIF($G866:K866,"&gt;"&amp;0)+2,1)=L$1,L$1,""),"")</f>
        <v>6</v>
      </c>
      <c r="M866" s="36" t="e" cm="1">
        <f t="array" ref="M866">IF(A866="","",_xlfn.XLOOKUP(D866&amp;"_"&amp;AE866,符文权重!A:A&amp;"_"&amp;符文权重!C:C,符文权重!D:D))</f>
        <v>#N/A</v>
      </c>
      <c r="N866" s="36"/>
      <c r="O866" s="36"/>
      <c r="P866" s="36"/>
      <c r="Q866" s="36"/>
      <c r="R866" s="36"/>
      <c r="S866" s="36" t="s">
        <v>192</v>
      </c>
      <c r="T866" s="36" t="s">
        <v>202</v>
      </c>
      <c r="U866" s="36" t="s">
        <v>415</v>
      </c>
      <c r="W866" s="36" t="s">
        <v>267</v>
      </c>
      <c r="X866" s="35" t="s">
        <v>1174</v>
      </c>
      <c r="Y866" s="35">
        <v>100</v>
      </c>
      <c r="Z866" s="35"/>
      <c r="AA866" s="36" t="s">
        <v>181</v>
      </c>
      <c r="AB866" s="36" t="s">
        <v>1195</v>
      </c>
      <c r="AC866" s="35">
        <v>5501101</v>
      </c>
      <c r="AD866" s="36" t="s">
        <v>220</v>
      </c>
      <c r="AE866" s="36">
        <v>100</v>
      </c>
      <c r="AF866" s="36"/>
      <c r="AG866" s="79">
        <v>1</v>
      </c>
      <c r="AH866" s="36">
        <v>0</v>
      </c>
      <c r="AI866" s="33"/>
      <c r="AJ866" s="37"/>
      <c r="AK866" s="35"/>
      <c r="AL866" s="35"/>
    </row>
    <row r="867" s="25" customFormat="1" hidden="1" customHeight="1" spans="1:38">
      <c r="A867" s="33">
        <v>5303111</v>
      </c>
      <c r="B867" s="34"/>
      <c r="C867" s="35">
        <v>5301111</v>
      </c>
      <c r="D867" s="36">
        <v>3</v>
      </c>
      <c r="E867" s="36"/>
      <c r="F867" s="36" t="s">
        <v>174</v>
      </c>
      <c r="G867" s="36">
        <f t="shared" si="271"/>
        <v>1</v>
      </c>
      <c r="H867" s="36">
        <f>IFERROR(IF(--MID($F867,2*COUNTIF($G867:G867,"&gt;"&amp;0)+2,1)=H$1,H$1,""),"")</f>
        <v>2</v>
      </c>
      <c r="I867" s="36">
        <f>IFERROR(IF(--MID($F867,2*COUNTIF($G867:H867,"&gt;"&amp;0)+2,1)=I$1,I$1,""),"")</f>
        <v>3</v>
      </c>
      <c r="J867" s="36">
        <f>IFERROR(IF(--MID($F867,2*COUNTIF($G867:I867,"&gt;"&amp;0)+2,1)=J$1,J$1,""),"")</f>
        <v>4</v>
      </c>
      <c r="K867" s="36">
        <f>IFERROR(IF(--MID($F867,2*COUNTIF($G867:J867,"&gt;"&amp;0)+2,1)=K$1,K$1,""),"")</f>
        <v>5</v>
      </c>
      <c r="L867" s="36">
        <f>IFERROR(IF(--MID($F867,2*COUNTIF($G867:K867,"&gt;"&amp;0)+2,1)=L$1,L$1,""),"")</f>
        <v>6</v>
      </c>
      <c r="M867" s="36" t="e" cm="1">
        <f t="array" ref="M867">IF(A867="","",_xlfn.XLOOKUP(D867&amp;"_"&amp;AE867,符文权重!A:A&amp;"_"&amp;符文权重!C:C,符文权重!D:D))</f>
        <v>#N/A</v>
      </c>
      <c r="N867" s="36"/>
      <c r="O867" s="36"/>
      <c r="P867" s="36"/>
      <c r="Q867" s="36"/>
      <c r="R867" s="36"/>
      <c r="S867" s="36" t="s">
        <v>192</v>
      </c>
      <c r="T867" s="36" t="s">
        <v>202</v>
      </c>
      <c r="U867" s="36" t="s">
        <v>417</v>
      </c>
      <c r="W867" s="36" t="s">
        <v>268</v>
      </c>
      <c r="X867" s="35" t="s">
        <v>1176</v>
      </c>
      <c r="Y867" s="35">
        <v>100</v>
      </c>
      <c r="Z867" s="35"/>
      <c r="AA867" s="36" t="s">
        <v>183</v>
      </c>
      <c r="AB867" s="36" t="s">
        <v>1196</v>
      </c>
      <c r="AC867" s="35">
        <v>5501101</v>
      </c>
      <c r="AD867" s="36" t="s">
        <v>419</v>
      </c>
      <c r="AE867" s="36">
        <v>100</v>
      </c>
      <c r="AF867" s="36" t="s">
        <v>178</v>
      </c>
      <c r="AG867" s="79">
        <v>1</v>
      </c>
      <c r="AH867" s="36">
        <v>0</v>
      </c>
      <c r="AI867" s="33"/>
      <c r="AJ867" s="37"/>
      <c r="AK867" s="35"/>
      <c r="AL867" s="35"/>
    </row>
    <row r="868" s="25" customFormat="1" hidden="1" customHeight="1" spans="1:38">
      <c r="A868" s="33">
        <v>5304111</v>
      </c>
      <c r="B868" s="34"/>
      <c r="C868" s="35">
        <v>5301111</v>
      </c>
      <c r="D868" s="36">
        <v>4</v>
      </c>
      <c r="E868" s="36"/>
      <c r="F868" s="36" t="s">
        <v>174</v>
      </c>
      <c r="G868" s="36">
        <f t="shared" si="271"/>
        <v>1</v>
      </c>
      <c r="H868" s="36">
        <f>IFERROR(IF(--MID($F868,2*COUNTIF($G868:G868,"&gt;"&amp;0)+2,1)=H$1,H$1,""),"")</f>
        <v>2</v>
      </c>
      <c r="I868" s="36">
        <f>IFERROR(IF(--MID($F868,2*COUNTIF($G868:H868,"&gt;"&amp;0)+2,1)=I$1,I$1,""),"")</f>
        <v>3</v>
      </c>
      <c r="J868" s="36">
        <f>IFERROR(IF(--MID($F868,2*COUNTIF($G868:I868,"&gt;"&amp;0)+2,1)=J$1,J$1,""),"")</f>
        <v>4</v>
      </c>
      <c r="K868" s="36">
        <f>IFERROR(IF(--MID($F868,2*COUNTIF($G868:J868,"&gt;"&amp;0)+2,1)=K$1,K$1,""),"")</f>
        <v>5</v>
      </c>
      <c r="L868" s="36">
        <f>IFERROR(IF(--MID($F868,2*COUNTIF($G868:K868,"&gt;"&amp;0)+2,1)=L$1,L$1,""),"")</f>
        <v>6</v>
      </c>
      <c r="M868" s="36" t="e" cm="1">
        <f t="array" ref="M868">IF(A868="","",_xlfn.XLOOKUP(D868&amp;"_"&amp;AE868,符文权重!A:A&amp;"_"&amp;符文权重!C:C,符文权重!D:D))</f>
        <v>#N/A</v>
      </c>
      <c r="N868" s="36"/>
      <c r="O868" s="36"/>
      <c r="P868" s="36"/>
      <c r="Q868" s="36"/>
      <c r="R868" s="36"/>
      <c r="S868" s="36" t="s">
        <v>192</v>
      </c>
      <c r="T868" s="36" t="s">
        <v>202</v>
      </c>
      <c r="U868" s="36" t="s">
        <v>420</v>
      </c>
      <c r="W868" s="36" t="s">
        <v>269</v>
      </c>
      <c r="X868" s="35" t="s">
        <v>1178</v>
      </c>
      <c r="Y868" s="35">
        <v>100</v>
      </c>
      <c r="Z868" s="35"/>
      <c r="AA868" s="36" t="s">
        <v>185</v>
      </c>
      <c r="AB868" s="36" t="s">
        <v>1197</v>
      </c>
      <c r="AC868" s="35">
        <v>5501101</v>
      </c>
      <c r="AD868" s="36" t="s">
        <v>422</v>
      </c>
      <c r="AE868" s="36">
        <v>100</v>
      </c>
      <c r="AF868" s="36" t="s">
        <v>178</v>
      </c>
      <c r="AG868" s="79">
        <v>1</v>
      </c>
      <c r="AH868" s="36">
        <v>0</v>
      </c>
      <c r="AI868" s="33"/>
      <c r="AJ868" s="37"/>
      <c r="AK868" s="35"/>
      <c r="AL868" s="35"/>
    </row>
    <row r="869" s="25" customFormat="1" hidden="1" customHeight="1" spans="1:38">
      <c r="A869" s="33">
        <v>5305111</v>
      </c>
      <c r="B869" s="34"/>
      <c r="C869" s="35">
        <v>5301111</v>
      </c>
      <c r="D869" s="36">
        <v>5</v>
      </c>
      <c r="E869" s="36"/>
      <c r="F869" s="36" t="s">
        <v>174</v>
      </c>
      <c r="G869" s="36">
        <f t="shared" si="271"/>
        <v>1</v>
      </c>
      <c r="H869" s="36">
        <f>IFERROR(IF(--MID($F869,2*COUNTIF($G869:G869,"&gt;"&amp;0)+2,1)=H$1,H$1,""),"")</f>
        <v>2</v>
      </c>
      <c r="I869" s="36">
        <f>IFERROR(IF(--MID($F869,2*COUNTIF($G869:H869,"&gt;"&amp;0)+2,1)=I$1,I$1,""),"")</f>
        <v>3</v>
      </c>
      <c r="J869" s="36">
        <f>IFERROR(IF(--MID($F869,2*COUNTIF($G869:I869,"&gt;"&amp;0)+2,1)=J$1,J$1,""),"")</f>
        <v>4</v>
      </c>
      <c r="K869" s="36">
        <f>IFERROR(IF(--MID($F869,2*COUNTIF($G869:J869,"&gt;"&amp;0)+2,1)=K$1,K$1,""),"")</f>
        <v>5</v>
      </c>
      <c r="L869" s="36">
        <f>IFERROR(IF(--MID($F869,2*COUNTIF($G869:K869,"&gt;"&amp;0)+2,1)=L$1,L$1,""),"")</f>
        <v>6</v>
      </c>
      <c r="M869" s="36" t="e" cm="1">
        <f t="array" ref="M869">IF(A869="","",_xlfn.XLOOKUP(D869&amp;"_"&amp;AE869,符文权重!A:A&amp;"_"&amp;符文权重!C:C,符文权重!D:D))</f>
        <v>#N/A</v>
      </c>
      <c r="N869" s="36"/>
      <c r="O869" s="36"/>
      <c r="P869" s="36"/>
      <c r="Q869" s="36"/>
      <c r="R869" s="36"/>
      <c r="S869" s="36" t="s">
        <v>192</v>
      </c>
      <c r="T869" s="36" t="s">
        <v>202</v>
      </c>
      <c r="U869" s="36" t="s">
        <v>423</v>
      </c>
      <c r="W869" s="36" t="s">
        <v>270</v>
      </c>
      <c r="X869" s="35" t="s">
        <v>1198</v>
      </c>
      <c r="Y869" s="35">
        <v>100</v>
      </c>
      <c r="Z869" s="35"/>
      <c r="AA869" s="36" t="s">
        <v>187</v>
      </c>
      <c r="AB869" s="36" t="s">
        <v>1199</v>
      </c>
      <c r="AC869" s="35">
        <v>5501101</v>
      </c>
      <c r="AD869" s="36" t="s">
        <v>1200</v>
      </c>
      <c r="AE869" s="36">
        <v>100</v>
      </c>
      <c r="AF869" s="36" t="s">
        <v>178</v>
      </c>
      <c r="AG869" s="79">
        <v>1</v>
      </c>
      <c r="AH869" s="36">
        <v>0</v>
      </c>
      <c r="AI869" s="33"/>
      <c r="AJ869" s="37"/>
      <c r="AK869" s="35"/>
      <c r="AL869" s="35"/>
    </row>
    <row r="870" s="25" customFormat="1" hidden="1" customHeight="1" spans="1:38">
      <c r="A870" s="33">
        <v>5306111</v>
      </c>
      <c r="B870" s="34"/>
      <c r="C870" s="35">
        <v>5301111</v>
      </c>
      <c r="D870" s="36">
        <v>6</v>
      </c>
      <c r="E870" s="36"/>
      <c r="F870" s="36" t="s">
        <v>174</v>
      </c>
      <c r="G870" s="36">
        <f t="shared" si="271"/>
        <v>1</v>
      </c>
      <c r="H870" s="36">
        <f>IFERROR(IF(--MID($F870,2*COUNTIF($G870:G870,"&gt;"&amp;0)+2,1)=H$1,H$1,""),"")</f>
        <v>2</v>
      </c>
      <c r="I870" s="36">
        <f>IFERROR(IF(--MID($F870,2*COUNTIF($G870:H870,"&gt;"&amp;0)+2,1)=I$1,I$1,""),"")</f>
        <v>3</v>
      </c>
      <c r="J870" s="36">
        <f>IFERROR(IF(--MID($F870,2*COUNTIF($G870:I870,"&gt;"&amp;0)+2,1)=J$1,J$1,""),"")</f>
        <v>4</v>
      </c>
      <c r="K870" s="36">
        <f>IFERROR(IF(--MID($F870,2*COUNTIF($G870:J870,"&gt;"&amp;0)+2,1)=K$1,K$1,""),"")</f>
        <v>5</v>
      </c>
      <c r="L870" s="36">
        <f>IFERROR(IF(--MID($F870,2*COUNTIF($G870:K870,"&gt;"&amp;0)+2,1)=L$1,L$1,""),"")</f>
        <v>6</v>
      </c>
      <c r="M870" s="36" t="e" cm="1">
        <f t="array" ref="M870">IF(A870="","",_xlfn.XLOOKUP(D870&amp;"_"&amp;AE870,符文权重!A:A&amp;"_"&amp;符文权重!C:C,符文权重!D:D))</f>
        <v>#N/A</v>
      </c>
      <c r="N870" s="36"/>
      <c r="O870" s="36"/>
      <c r="P870" s="36"/>
      <c r="Q870" s="36"/>
      <c r="R870" s="36"/>
      <c r="S870" s="36" t="s">
        <v>192</v>
      </c>
      <c r="T870" s="36" t="s">
        <v>202</v>
      </c>
      <c r="U870" s="36" t="s">
        <v>426</v>
      </c>
      <c r="W870" s="36" t="s">
        <v>271</v>
      </c>
      <c r="X870" s="35" t="s">
        <v>1201</v>
      </c>
      <c r="Y870" s="35">
        <v>100</v>
      </c>
      <c r="Z870" s="35"/>
      <c r="AA870" s="36" t="s">
        <v>189</v>
      </c>
      <c r="AB870" s="36" t="s">
        <v>1202</v>
      </c>
      <c r="AC870" s="35">
        <v>5501101</v>
      </c>
      <c r="AD870" s="36" t="s">
        <v>425</v>
      </c>
      <c r="AE870" s="36">
        <v>100</v>
      </c>
      <c r="AF870" s="36" t="s">
        <v>178</v>
      </c>
      <c r="AG870" s="79">
        <v>1</v>
      </c>
      <c r="AH870" s="36">
        <v>0</v>
      </c>
      <c r="AI870" s="33"/>
      <c r="AJ870" s="37"/>
      <c r="AK870" s="35"/>
      <c r="AL870" s="35"/>
    </row>
    <row r="871" s="25" customFormat="1" hidden="1" customHeight="1" spans="1:38">
      <c r="A871" s="33">
        <v>5307111</v>
      </c>
      <c r="B871" s="34"/>
      <c r="C871" s="35">
        <v>5301111</v>
      </c>
      <c r="D871" s="36">
        <v>7</v>
      </c>
      <c r="E871" s="36"/>
      <c r="F871" s="36" t="s">
        <v>174</v>
      </c>
      <c r="G871" s="36">
        <f t="shared" si="271"/>
        <v>1</v>
      </c>
      <c r="H871" s="36">
        <f>IFERROR(IF(--MID($F871,2*COUNTIF($G871:G871,"&gt;"&amp;0)+2,1)=H$1,H$1,""),"")</f>
        <v>2</v>
      </c>
      <c r="I871" s="36">
        <f>IFERROR(IF(--MID($F871,2*COUNTIF($G871:H871,"&gt;"&amp;0)+2,1)=I$1,I$1,""),"")</f>
        <v>3</v>
      </c>
      <c r="J871" s="36">
        <f>IFERROR(IF(--MID($F871,2*COUNTIF($G871:I871,"&gt;"&amp;0)+2,1)=J$1,J$1,""),"")</f>
        <v>4</v>
      </c>
      <c r="K871" s="36">
        <f>IFERROR(IF(--MID($F871,2*COUNTIF($G871:J871,"&gt;"&amp;0)+2,1)=K$1,K$1,""),"")</f>
        <v>5</v>
      </c>
      <c r="L871" s="36">
        <f>IFERROR(IF(--MID($F871,2*COUNTIF($G871:K871,"&gt;"&amp;0)+2,1)=L$1,L$1,""),"")</f>
        <v>6</v>
      </c>
      <c r="M871" s="36" t="e" cm="1">
        <f t="array" ref="M871">IF(A871="","",_xlfn.XLOOKUP(D871&amp;"_"&amp;AE871,符文权重!A:A&amp;"_"&amp;符文权重!C:C,符文权重!D:D))</f>
        <v>#N/A</v>
      </c>
      <c r="N871" s="36"/>
      <c r="O871" s="36"/>
      <c r="P871" s="36"/>
      <c r="Q871" s="36"/>
      <c r="R871" s="36"/>
      <c r="S871" s="36" t="s">
        <v>192</v>
      </c>
      <c r="T871" s="36" t="s">
        <v>202</v>
      </c>
      <c r="U871" s="36" t="s">
        <v>429</v>
      </c>
      <c r="W871" s="36" t="s">
        <v>272</v>
      </c>
      <c r="X871" s="35" t="s">
        <v>1203</v>
      </c>
      <c r="Y871" s="35">
        <v>100</v>
      </c>
      <c r="Z871" s="35"/>
      <c r="AA871" s="36" t="s">
        <v>191</v>
      </c>
      <c r="AB871" s="80" t="s">
        <v>1204</v>
      </c>
      <c r="AC871" s="35">
        <v>5501101</v>
      </c>
      <c r="AD871" s="36" t="s">
        <v>428</v>
      </c>
      <c r="AE871" s="36">
        <v>100</v>
      </c>
      <c r="AF871" s="36" t="s">
        <v>178</v>
      </c>
      <c r="AG871" s="79">
        <v>1</v>
      </c>
      <c r="AH871" s="36">
        <v>0</v>
      </c>
      <c r="AI871" s="33"/>
      <c r="AJ871" s="37"/>
      <c r="AK871" s="35"/>
      <c r="AL871" s="35"/>
    </row>
    <row r="872" s="25" customFormat="1" hidden="1" customHeight="1" spans="1:38">
      <c r="A872" s="33">
        <v>5301112</v>
      </c>
      <c r="B872" s="34"/>
      <c r="C872" s="35">
        <v>5301112</v>
      </c>
      <c r="D872" s="36">
        <v>1</v>
      </c>
      <c r="E872" s="36"/>
      <c r="F872" s="36" t="s">
        <v>174</v>
      </c>
      <c r="G872" s="36">
        <f t="shared" si="271"/>
        <v>1</v>
      </c>
      <c r="H872" s="36">
        <f>IFERROR(IF(--MID($F872,2*COUNTIF($G872:G872,"&gt;"&amp;0)+2,1)=H$1,H$1,""),"")</f>
        <v>2</v>
      </c>
      <c r="I872" s="36">
        <f>IFERROR(IF(--MID($F872,2*COUNTIF($G872:H872,"&gt;"&amp;0)+2,1)=I$1,I$1,""),"")</f>
        <v>3</v>
      </c>
      <c r="J872" s="36">
        <f>IFERROR(IF(--MID($F872,2*COUNTIF($G872:I872,"&gt;"&amp;0)+2,1)=J$1,J$1,""),"")</f>
        <v>4</v>
      </c>
      <c r="K872" s="36">
        <f>IFERROR(IF(--MID($F872,2*COUNTIF($G872:J872,"&gt;"&amp;0)+2,1)=K$1,K$1,""),"")</f>
        <v>5</v>
      </c>
      <c r="L872" s="36">
        <f>IFERROR(IF(--MID($F872,2*COUNTIF($G872:K872,"&gt;"&amp;0)+2,1)=L$1,L$1,""),"")</f>
        <v>6</v>
      </c>
      <c r="M872" s="36" t="e" cm="1">
        <f t="array" ref="M872">IF(A872="","",_xlfn.XLOOKUP(D872&amp;"_"&amp;AE872,符文权重!A:A&amp;"_"&amp;符文权重!C:C,符文权重!D:D))</f>
        <v>#N/A</v>
      </c>
      <c r="N872" s="36"/>
      <c r="O872" s="36"/>
      <c r="P872" s="36"/>
      <c r="Q872" s="36"/>
      <c r="R872" s="36"/>
      <c r="S872" s="36" t="s">
        <v>192</v>
      </c>
      <c r="T872" s="36" t="s">
        <v>193</v>
      </c>
      <c r="U872" s="36" t="s">
        <v>413</v>
      </c>
      <c r="W872" s="36" t="s">
        <v>273</v>
      </c>
      <c r="X872" s="35" t="s">
        <v>1170</v>
      </c>
      <c r="Y872" s="35">
        <v>100</v>
      </c>
      <c r="Z872" s="35"/>
      <c r="AA872" s="36" t="s">
        <v>177</v>
      </c>
      <c r="AB872" s="36" t="s">
        <v>1205</v>
      </c>
      <c r="AC872" s="35">
        <v>5501111</v>
      </c>
      <c r="AD872" s="36" t="s">
        <v>404</v>
      </c>
      <c r="AE872" s="36">
        <v>100</v>
      </c>
      <c r="AF872" s="36"/>
      <c r="AG872" s="79">
        <v>1</v>
      </c>
      <c r="AH872" s="36">
        <v>0</v>
      </c>
      <c r="AI872" s="33"/>
      <c r="AJ872" s="37"/>
      <c r="AK872" s="35"/>
      <c r="AL872" s="35"/>
    </row>
    <row r="873" s="25" customFormat="1" hidden="1" customHeight="1" spans="1:38">
      <c r="A873" s="33">
        <v>5302112</v>
      </c>
      <c r="B873" s="34"/>
      <c r="C873" s="35">
        <v>5301112</v>
      </c>
      <c r="D873" s="36">
        <v>2</v>
      </c>
      <c r="E873" s="36"/>
      <c r="F873" s="36" t="s">
        <v>174</v>
      </c>
      <c r="G873" s="36">
        <f t="shared" si="271"/>
        <v>1</v>
      </c>
      <c r="H873" s="36">
        <f>IFERROR(IF(--MID($F873,2*COUNTIF($G873:G873,"&gt;"&amp;0)+2,1)=H$1,H$1,""),"")</f>
        <v>2</v>
      </c>
      <c r="I873" s="36">
        <f>IFERROR(IF(--MID($F873,2*COUNTIF($G873:H873,"&gt;"&amp;0)+2,1)=I$1,I$1,""),"")</f>
        <v>3</v>
      </c>
      <c r="J873" s="36">
        <f>IFERROR(IF(--MID($F873,2*COUNTIF($G873:I873,"&gt;"&amp;0)+2,1)=J$1,J$1,""),"")</f>
        <v>4</v>
      </c>
      <c r="K873" s="36">
        <f>IFERROR(IF(--MID($F873,2*COUNTIF($G873:J873,"&gt;"&amp;0)+2,1)=K$1,K$1,""),"")</f>
        <v>5</v>
      </c>
      <c r="L873" s="36">
        <f>IFERROR(IF(--MID($F873,2*COUNTIF($G873:K873,"&gt;"&amp;0)+2,1)=L$1,L$1,""),"")</f>
        <v>6</v>
      </c>
      <c r="M873" s="36" t="e" cm="1">
        <f t="array" ref="M873">IF(A873="","",_xlfn.XLOOKUP(D873&amp;"_"&amp;AE873,符文权重!A:A&amp;"_"&amp;符文权重!C:C,符文权重!D:D))</f>
        <v>#N/A</v>
      </c>
      <c r="N873" s="36"/>
      <c r="O873" s="36"/>
      <c r="P873" s="36"/>
      <c r="Q873" s="36"/>
      <c r="R873" s="36"/>
      <c r="S873" s="36" t="s">
        <v>192</v>
      </c>
      <c r="T873" s="36" t="s">
        <v>193</v>
      </c>
      <c r="U873" s="36" t="s">
        <v>415</v>
      </c>
      <c r="W873" s="36" t="s">
        <v>275</v>
      </c>
      <c r="X873" s="35" t="s">
        <v>1174</v>
      </c>
      <c r="Y873" s="35">
        <v>100</v>
      </c>
      <c r="Z873" s="35"/>
      <c r="AA873" s="36" t="s">
        <v>181</v>
      </c>
      <c r="AB873" s="36" t="s">
        <v>1206</v>
      </c>
      <c r="AC873" s="35">
        <v>5501111</v>
      </c>
      <c r="AD873" s="36" t="s">
        <v>220</v>
      </c>
      <c r="AE873" s="36">
        <v>100</v>
      </c>
      <c r="AF873" s="36"/>
      <c r="AG873" s="79">
        <v>1</v>
      </c>
      <c r="AH873" s="36">
        <v>0</v>
      </c>
      <c r="AI873" s="33"/>
      <c r="AJ873" s="37"/>
      <c r="AK873" s="35"/>
      <c r="AL873" s="35"/>
    </row>
    <row r="874" s="25" customFormat="1" hidden="1" customHeight="1" spans="1:38">
      <c r="A874" s="33">
        <v>5303112</v>
      </c>
      <c r="B874" s="34"/>
      <c r="C874" s="35">
        <v>5301112</v>
      </c>
      <c r="D874" s="36">
        <v>3</v>
      </c>
      <c r="E874" s="36"/>
      <c r="F874" s="36" t="s">
        <v>174</v>
      </c>
      <c r="G874" s="36">
        <f t="shared" si="271"/>
        <v>1</v>
      </c>
      <c r="H874" s="36">
        <f>IFERROR(IF(--MID($F874,2*COUNTIF($G874:G874,"&gt;"&amp;0)+2,1)=H$1,H$1,""),"")</f>
        <v>2</v>
      </c>
      <c r="I874" s="36">
        <f>IFERROR(IF(--MID($F874,2*COUNTIF($G874:H874,"&gt;"&amp;0)+2,1)=I$1,I$1,""),"")</f>
        <v>3</v>
      </c>
      <c r="J874" s="36">
        <f>IFERROR(IF(--MID($F874,2*COUNTIF($G874:I874,"&gt;"&amp;0)+2,1)=J$1,J$1,""),"")</f>
        <v>4</v>
      </c>
      <c r="K874" s="36">
        <f>IFERROR(IF(--MID($F874,2*COUNTIF($G874:J874,"&gt;"&amp;0)+2,1)=K$1,K$1,""),"")</f>
        <v>5</v>
      </c>
      <c r="L874" s="36">
        <f>IFERROR(IF(--MID($F874,2*COUNTIF($G874:K874,"&gt;"&amp;0)+2,1)=L$1,L$1,""),"")</f>
        <v>6</v>
      </c>
      <c r="M874" s="36" t="e" cm="1">
        <f t="array" ref="M874">IF(A874="","",_xlfn.XLOOKUP(D874&amp;"_"&amp;AE874,符文权重!A:A&amp;"_"&amp;符文权重!C:C,符文权重!D:D))</f>
        <v>#N/A</v>
      </c>
      <c r="N874" s="36"/>
      <c r="O874" s="36"/>
      <c r="P874" s="36"/>
      <c r="Q874" s="36"/>
      <c r="R874" s="36"/>
      <c r="S874" s="36" t="s">
        <v>192</v>
      </c>
      <c r="T874" s="36" t="s">
        <v>193</v>
      </c>
      <c r="U874" s="36" t="s">
        <v>417</v>
      </c>
      <c r="W874" s="36" t="s">
        <v>276</v>
      </c>
      <c r="X874" s="35" t="s">
        <v>1176</v>
      </c>
      <c r="Y874" s="35">
        <v>100</v>
      </c>
      <c r="Z874" s="35"/>
      <c r="AA874" s="36" t="s">
        <v>183</v>
      </c>
      <c r="AB874" s="36" t="s">
        <v>1207</v>
      </c>
      <c r="AC874" s="35">
        <v>5501111</v>
      </c>
      <c r="AD874" s="36" t="s">
        <v>419</v>
      </c>
      <c r="AE874" s="36">
        <v>100</v>
      </c>
      <c r="AF874" s="36" t="s">
        <v>178</v>
      </c>
      <c r="AG874" s="79">
        <v>1</v>
      </c>
      <c r="AH874" s="36">
        <v>0</v>
      </c>
      <c r="AI874" s="33"/>
      <c r="AJ874" s="37"/>
      <c r="AK874" s="35"/>
      <c r="AL874" s="35"/>
    </row>
    <row r="875" s="25" customFormat="1" hidden="1" customHeight="1" spans="1:38">
      <c r="A875" s="33">
        <v>5304112</v>
      </c>
      <c r="B875" s="34"/>
      <c r="C875" s="35">
        <v>5301112</v>
      </c>
      <c r="D875" s="36">
        <v>4</v>
      </c>
      <c r="E875" s="36"/>
      <c r="F875" s="36" t="s">
        <v>174</v>
      </c>
      <c r="G875" s="36">
        <f t="shared" si="271"/>
        <v>1</v>
      </c>
      <c r="H875" s="36">
        <f>IFERROR(IF(--MID($F875,2*COUNTIF($G875:G875,"&gt;"&amp;0)+2,1)=H$1,H$1,""),"")</f>
        <v>2</v>
      </c>
      <c r="I875" s="36">
        <f>IFERROR(IF(--MID($F875,2*COUNTIF($G875:H875,"&gt;"&amp;0)+2,1)=I$1,I$1,""),"")</f>
        <v>3</v>
      </c>
      <c r="J875" s="36">
        <f>IFERROR(IF(--MID($F875,2*COUNTIF($G875:I875,"&gt;"&amp;0)+2,1)=J$1,J$1,""),"")</f>
        <v>4</v>
      </c>
      <c r="K875" s="36">
        <f>IFERROR(IF(--MID($F875,2*COUNTIF($G875:J875,"&gt;"&amp;0)+2,1)=K$1,K$1,""),"")</f>
        <v>5</v>
      </c>
      <c r="L875" s="36">
        <f>IFERROR(IF(--MID($F875,2*COUNTIF($G875:K875,"&gt;"&amp;0)+2,1)=L$1,L$1,""),"")</f>
        <v>6</v>
      </c>
      <c r="M875" s="36" t="e" cm="1">
        <f t="array" ref="M875">IF(A875="","",_xlfn.XLOOKUP(D875&amp;"_"&amp;AE875,符文权重!A:A&amp;"_"&amp;符文权重!C:C,符文权重!D:D))</f>
        <v>#N/A</v>
      </c>
      <c r="N875" s="36"/>
      <c r="O875" s="36"/>
      <c r="P875" s="36"/>
      <c r="Q875" s="36"/>
      <c r="R875" s="36"/>
      <c r="S875" s="36" t="s">
        <v>192</v>
      </c>
      <c r="T875" s="36" t="s">
        <v>193</v>
      </c>
      <c r="U875" s="36" t="s">
        <v>420</v>
      </c>
      <c r="W875" s="36" t="s">
        <v>277</v>
      </c>
      <c r="X875" s="35" t="s">
        <v>1178</v>
      </c>
      <c r="Y875" s="35">
        <v>100</v>
      </c>
      <c r="Z875" s="35"/>
      <c r="AA875" s="36" t="s">
        <v>185</v>
      </c>
      <c r="AB875" s="36" t="s">
        <v>1208</v>
      </c>
      <c r="AC875" s="35">
        <v>5501111</v>
      </c>
      <c r="AD875" s="36" t="s">
        <v>422</v>
      </c>
      <c r="AE875" s="36">
        <v>100</v>
      </c>
      <c r="AF875" s="36" t="s">
        <v>178</v>
      </c>
      <c r="AG875" s="79">
        <v>1</v>
      </c>
      <c r="AH875" s="36">
        <v>0</v>
      </c>
      <c r="AI875" s="33"/>
      <c r="AJ875" s="37"/>
      <c r="AK875" s="35"/>
      <c r="AL875" s="35"/>
    </row>
    <row r="876" s="25" customFormat="1" hidden="1" customHeight="1" spans="1:38">
      <c r="A876" s="33">
        <v>5305112</v>
      </c>
      <c r="B876" s="34"/>
      <c r="C876" s="35">
        <v>5301112</v>
      </c>
      <c r="D876" s="36">
        <v>5</v>
      </c>
      <c r="E876" s="36"/>
      <c r="F876" s="36" t="s">
        <v>174</v>
      </c>
      <c r="G876" s="36">
        <f t="shared" si="271"/>
        <v>1</v>
      </c>
      <c r="H876" s="36">
        <f>IFERROR(IF(--MID($F876,2*COUNTIF($G876:G876,"&gt;"&amp;0)+2,1)=H$1,H$1,""),"")</f>
        <v>2</v>
      </c>
      <c r="I876" s="36">
        <f>IFERROR(IF(--MID($F876,2*COUNTIF($G876:H876,"&gt;"&amp;0)+2,1)=I$1,I$1,""),"")</f>
        <v>3</v>
      </c>
      <c r="J876" s="36">
        <f>IFERROR(IF(--MID($F876,2*COUNTIF($G876:I876,"&gt;"&amp;0)+2,1)=J$1,J$1,""),"")</f>
        <v>4</v>
      </c>
      <c r="K876" s="36">
        <f>IFERROR(IF(--MID($F876,2*COUNTIF($G876:J876,"&gt;"&amp;0)+2,1)=K$1,K$1,""),"")</f>
        <v>5</v>
      </c>
      <c r="L876" s="36">
        <f>IFERROR(IF(--MID($F876,2*COUNTIF($G876:K876,"&gt;"&amp;0)+2,1)=L$1,L$1,""),"")</f>
        <v>6</v>
      </c>
      <c r="M876" s="36" t="e" cm="1">
        <f t="array" ref="M876">IF(A876="","",_xlfn.XLOOKUP(D876&amp;"_"&amp;AE876,符文权重!A:A&amp;"_"&amp;符文权重!C:C,符文权重!D:D))</f>
        <v>#N/A</v>
      </c>
      <c r="N876" s="36"/>
      <c r="O876" s="36"/>
      <c r="P876" s="36"/>
      <c r="Q876" s="36"/>
      <c r="R876" s="36"/>
      <c r="S876" s="36" t="s">
        <v>192</v>
      </c>
      <c r="T876" s="36" t="s">
        <v>193</v>
      </c>
      <c r="U876" s="36" t="s">
        <v>423</v>
      </c>
      <c r="W876" s="36" t="s">
        <v>278</v>
      </c>
      <c r="X876" s="35" t="s">
        <v>1198</v>
      </c>
      <c r="Y876" s="35">
        <v>100</v>
      </c>
      <c r="Z876" s="35"/>
      <c r="AA876" s="36" t="s">
        <v>187</v>
      </c>
      <c r="AB876" s="36" t="s">
        <v>1209</v>
      </c>
      <c r="AC876" s="35">
        <v>5501111</v>
      </c>
      <c r="AD876" s="36" t="s">
        <v>1200</v>
      </c>
      <c r="AE876" s="36">
        <v>100</v>
      </c>
      <c r="AF876" s="36" t="s">
        <v>178</v>
      </c>
      <c r="AG876" s="79">
        <v>1</v>
      </c>
      <c r="AH876" s="36">
        <v>0</v>
      </c>
      <c r="AI876" s="33"/>
      <c r="AJ876" s="37"/>
      <c r="AK876" s="35"/>
      <c r="AL876" s="35"/>
    </row>
    <row r="877" s="25" customFormat="1" hidden="1" customHeight="1" spans="1:38">
      <c r="A877" s="33">
        <v>5306112</v>
      </c>
      <c r="B877" s="34"/>
      <c r="C877" s="35">
        <v>5301112</v>
      </c>
      <c r="D877" s="36">
        <v>6</v>
      </c>
      <c r="E877" s="36"/>
      <c r="F877" s="36" t="s">
        <v>174</v>
      </c>
      <c r="G877" s="36">
        <f t="shared" si="271"/>
        <v>1</v>
      </c>
      <c r="H877" s="36">
        <f>IFERROR(IF(--MID($F877,2*COUNTIF($G877:G877,"&gt;"&amp;0)+2,1)=H$1,H$1,""),"")</f>
        <v>2</v>
      </c>
      <c r="I877" s="36">
        <f>IFERROR(IF(--MID($F877,2*COUNTIF($G877:H877,"&gt;"&amp;0)+2,1)=I$1,I$1,""),"")</f>
        <v>3</v>
      </c>
      <c r="J877" s="36">
        <f>IFERROR(IF(--MID($F877,2*COUNTIF($G877:I877,"&gt;"&amp;0)+2,1)=J$1,J$1,""),"")</f>
        <v>4</v>
      </c>
      <c r="K877" s="36">
        <f>IFERROR(IF(--MID($F877,2*COUNTIF($G877:J877,"&gt;"&amp;0)+2,1)=K$1,K$1,""),"")</f>
        <v>5</v>
      </c>
      <c r="L877" s="36">
        <f>IFERROR(IF(--MID($F877,2*COUNTIF($G877:K877,"&gt;"&amp;0)+2,1)=L$1,L$1,""),"")</f>
        <v>6</v>
      </c>
      <c r="M877" s="36" t="e" cm="1">
        <f t="array" ref="M877">IF(A877="","",_xlfn.XLOOKUP(D877&amp;"_"&amp;AE877,符文权重!A:A&amp;"_"&amp;符文权重!C:C,符文权重!D:D))</f>
        <v>#N/A</v>
      </c>
      <c r="N877" s="36"/>
      <c r="O877" s="36"/>
      <c r="P877" s="36"/>
      <c r="Q877" s="36"/>
      <c r="R877" s="36"/>
      <c r="S877" s="36" t="s">
        <v>192</v>
      </c>
      <c r="T877" s="36" t="s">
        <v>193</v>
      </c>
      <c r="U877" s="36" t="s">
        <v>426</v>
      </c>
      <c r="W877" s="36" t="s">
        <v>279</v>
      </c>
      <c r="X877" s="35" t="s">
        <v>1201</v>
      </c>
      <c r="Y877" s="35">
        <v>100</v>
      </c>
      <c r="Z877" s="35"/>
      <c r="AA877" s="36" t="s">
        <v>189</v>
      </c>
      <c r="AB877" s="36" t="s">
        <v>1210</v>
      </c>
      <c r="AC877" s="35">
        <v>5501111</v>
      </c>
      <c r="AD877" s="36" t="s">
        <v>425</v>
      </c>
      <c r="AE877" s="36">
        <v>100</v>
      </c>
      <c r="AF877" s="36" t="s">
        <v>178</v>
      </c>
      <c r="AG877" s="79">
        <v>1</v>
      </c>
      <c r="AH877" s="36">
        <v>0</v>
      </c>
      <c r="AI877" s="33"/>
      <c r="AJ877" s="37"/>
      <c r="AK877" s="35"/>
      <c r="AL877" s="35"/>
    </row>
    <row r="878" s="25" customFormat="1" hidden="1" customHeight="1" spans="1:38">
      <c r="A878" s="33">
        <v>5307112</v>
      </c>
      <c r="B878" s="34"/>
      <c r="C878" s="35">
        <v>5301112</v>
      </c>
      <c r="D878" s="36">
        <v>7</v>
      </c>
      <c r="E878" s="36"/>
      <c r="F878" s="36" t="s">
        <v>174</v>
      </c>
      <c r="G878" s="36">
        <f t="shared" si="271"/>
        <v>1</v>
      </c>
      <c r="H878" s="36">
        <f>IFERROR(IF(--MID($F878,2*COUNTIF($G878:G878,"&gt;"&amp;0)+2,1)=H$1,H$1,""),"")</f>
        <v>2</v>
      </c>
      <c r="I878" s="36">
        <f>IFERROR(IF(--MID($F878,2*COUNTIF($G878:H878,"&gt;"&amp;0)+2,1)=I$1,I$1,""),"")</f>
        <v>3</v>
      </c>
      <c r="J878" s="36">
        <f>IFERROR(IF(--MID($F878,2*COUNTIF($G878:I878,"&gt;"&amp;0)+2,1)=J$1,J$1,""),"")</f>
        <v>4</v>
      </c>
      <c r="K878" s="36">
        <f>IFERROR(IF(--MID($F878,2*COUNTIF($G878:J878,"&gt;"&amp;0)+2,1)=K$1,K$1,""),"")</f>
        <v>5</v>
      </c>
      <c r="L878" s="36">
        <f>IFERROR(IF(--MID($F878,2*COUNTIF($G878:K878,"&gt;"&amp;0)+2,1)=L$1,L$1,""),"")</f>
        <v>6</v>
      </c>
      <c r="M878" s="36" t="e" cm="1">
        <f t="array" ref="M878">IF(A878="","",_xlfn.XLOOKUP(D878&amp;"_"&amp;AE878,符文权重!A:A&amp;"_"&amp;符文权重!C:C,符文权重!D:D))</f>
        <v>#N/A</v>
      </c>
      <c r="N878" s="36"/>
      <c r="O878" s="36"/>
      <c r="P878" s="36"/>
      <c r="Q878" s="36"/>
      <c r="R878" s="36"/>
      <c r="S878" s="36" t="s">
        <v>192</v>
      </c>
      <c r="T878" s="36" t="s">
        <v>193</v>
      </c>
      <c r="U878" s="36" t="s">
        <v>429</v>
      </c>
      <c r="W878" s="36" t="s">
        <v>280</v>
      </c>
      <c r="X878" s="35" t="s">
        <v>1203</v>
      </c>
      <c r="Y878" s="35">
        <v>100</v>
      </c>
      <c r="Z878" s="35"/>
      <c r="AA878" s="36" t="s">
        <v>191</v>
      </c>
      <c r="AB878" s="80" t="s">
        <v>1211</v>
      </c>
      <c r="AC878" s="35">
        <v>5501111</v>
      </c>
      <c r="AD878" s="36" t="s">
        <v>428</v>
      </c>
      <c r="AE878" s="36">
        <v>100</v>
      </c>
      <c r="AF878" s="36" t="s">
        <v>178</v>
      </c>
      <c r="AG878" s="79">
        <v>1</v>
      </c>
      <c r="AH878" s="36">
        <v>0</v>
      </c>
      <c r="AI878" s="33"/>
      <c r="AJ878" s="37"/>
      <c r="AK878" s="35"/>
      <c r="AL878" s="35"/>
    </row>
    <row r="879" s="25" customFormat="1" hidden="1" customHeight="1" spans="1:38">
      <c r="A879" s="33">
        <v>5301113</v>
      </c>
      <c r="B879" s="34"/>
      <c r="C879" s="35">
        <v>5301113</v>
      </c>
      <c r="D879" s="36">
        <v>1</v>
      </c>
      <c r="E879" s="36"/>
      <c r="F879" s="36" t="s">
        <v>174</v>
      </c>
      <c r="G879" s="36">
        <f t="shared" ref="G879:G927" si="272">IF(LEFT(F879,2)="[1",1,"")</f>
        <v>1</v>
      </c>
      <c r="H879" s="36">
        <f>IFERROR(IF(--MID($F879,2*COUNTIF($G879:G879,"&gt;"&amp;0)+2,1)=H$1,H$1,""),"")</f>
        <v>2</v>
      </c>
      <c r="I879" s="36">
        <f>IFERROR(IF(--MID($F879,2*COUNTIF($G879:H879,"&gt;"&amp;0)+2,1)=I$1,I$1,""),"")</f>
        <v>3</v>
      </c>
      <c r="J879" s="36">
        <f>IFERROR(IF(--MID($F879,2*COUNTIF($G879:I879,"&gt;"&amp;0)+2,1)=J$1,J$1,""),"")</f>
        <v>4</v>
      </c>
      <c r="K879" s="36">
        <f>IFERROR(IF(--MID($F879,2*COUNTIF($G879:J879,"&gt;"&amp;0)+2,1)=K$1,K$1,""),"")</f>
        <v>5</v>
      </c>
      <c r="L879" s="36">
        <f>IFERROR(IF(--MID($F879,2*COUNTIF($G879:K879,"&gt;"&amp;0)+2,1)=L$1,L$1,""),"")</f>
        <v>6</v>
      </c>
      <c r="M879" s="36" t="e" cm="1">
        <f t="array" ref="M879">IF(A879="","",_xlfn.XLOOKUP(D879&amp;"_"&amp;AE879,符文权重!A:A&amp;"_"&amp;符文权重!C:C,符文权重!D:D))</f>
        <v>#N/A</v>
      </c>
      <c r="N879" s="36"/>
      <c r="O879" s="36"/>
      <c r="P879" s="36"/>
      <c r="Q879" s="36"/>
      <c r="R879" s="36"/>
      <c r="S879" s="36" t="s">
        <v>192</v>
      </c>
      <c r="T879" s="36" t="s">
        <v>211</v>
      </c>
      <c r="U879" s="36" t="s">
        <v>413</v>
      </c>
      <c r="W879" s="36" t="s">
        <v>281</v>
      </c>
      <c r="X879" s="35" t="s">
        <v>1170</v>
      </c>
      <c r="Y879" s="35">
        <v>100</v>
      </c>
      <c r="Z879" s="35"/>
      <c r="AA879" s="36" t="s">
        <v>177</v>
      </c>
      <c r="AB879" s="36" t="s">
        <v>1212</v>
      </c>
      <c r="AC879" s="35">
        <v>5501121</v>
      </c>
      <c r="AD879" s="36" t="s">
        <v>404</v>
      </c>
      <c r="AE879" s="36">
        <v>100</v>
      </c>
      <c r="AF879" s="36"/>
      <c r="AG879" s="79">
        <v>1</v>
      </c>
      <c r="AH879" s="36">
        <v>0</v>
      </c>
      <c r="AI879" s="33"/>
      <c r="AJ879" s="37"/>
      <c r="AK879" s="35"/>
      <c r="AL879" s="35"/>
    </row>
    <row r="880" s="25" customFormat="1" hidden="1" customHeight="1" spans="1:38">
      <c r="A880" s="33">
        <v>5302113</v>
      </c>
      <c r="B880" s="34"/>
      <c r="C880" s="35">
        <v>5301113</v>
      </c>
      <c r="D880" s="36">
        <v>2</v>
      </c>
      <c r="E880" s="36"/>
      <c r="F880" s="36" t="s">
        <v>174</v>
      </c>
      <c r="G880" s="36">
        <f t="shared" si="272"/>
        <v>1</v>
      </c>
      <c r="H880" s="36">
        <f>IFERROR(IF(--MID($F880,2*COUNTIF($G880:G880,"&gt;"&amp;0)+2,1)=H$1,H$1,""),"")</f>
        <v>2</v>
      </c>
      <c r="I880" s="36">
        <f>IFERROR(IF(--MID($F880,2*COUNTIF($G880:H880,"&gt;"&amp;0)+2,1)=I$1,I$1,""),"")</f>
        <v>3</v>
      </c>
      <c r="J880" s="36">
        <f>IFERROR(IF(--MID($F880,2*COUNTIF($G880:I880,"&gt;"&amp;0)+2,1)=J$1,J$1,""),"")</f>
        <v>4</v>
      </c>
      <c r="K880" s="36">
        <f>IFERROR(IF(--MID($F880,2*COUNTIF($G880:J880,"&gt;"&amp;0)+2,1)=K$1,K$1,""),"")</f>
        <v>5</v>
      </c>
      <c r="L880" s="36">
        <f>IFERROR(IF(--MID($F880,2*COUNTIF($G880:K880,"&gt;"&amp;0)+2,1)=L$1,L$1,""),"")</f>
        <v>6</v>
      </c>
      <c r="M880" s="36" t="e" cm="1">
        <f t="array" ref="M880">IF(A880="","",_xlfn.XLOOKUP(D880&amp;"_"&amp;AE880,符文权重!A:A&amp;"_"&amp;符文权重!C:C,符文权重!D:D))</f>
        <v>#N/A</v>
      </c>
      <c r="N880" s="36"/>
      <c r="O880" s="36"/>
      <c r="P880" s="36"/>
      <c r="Q880" s="36"/>
      <c r="R880" s="36"/>
      <c r="S880" s="36" t="s">
        <v>192</v>
      </c>
      <c r="T880" s="36" t="s">
        <v>211</v>
      </c>
      <c r="U880" s="36" t="s">
        <v>415</v>
      </c>
      <c r="W880" s="36" t="s">
        <v>283</v>
      </c>
      <c r="X880" s="35" t="s">
        <v>1174</v>
      </c>
      <c r="Y880" s="35">
        <v>100</v>
      </c>
      <c r="Z880" s="35"/>
      <c r="AA880" s="36" t="s">
        <v>181</v>
      </c>
      <c r="AB880" s="36" t="s">
        <v>1213</v>
      </c>
      <c r="AC880" s="35">
        <v>5501121</v>
      </c>
      <c r="AD880" s="36" t="s">
        <v>220</v>
      </c>
      <c r="AE880" s="36">
        <v>100</v>
      </c>
      <c r="AF880" s="36"/>
      <c r="AG880" s="79">
        <v>1</v>
      </c>
      <c r="AH880" s="36">
        <v>0</v>
      </c>
      <c r="AI880" s="33"/>
      <c r="AJ880" s="37"/>
      <c r="AK880" s="35"/>
      <c r="AL880" s="35"/>
    </row>
    <row r="881" s="25" customFormat="1" hidden="1" customHeight="1" spans="1:38">
      <c r="A881" s="33">
        <v>5303113</v>
      </c>
      <c r="B881" s="34"/>
      <c r="C881" s="35">
        <v>5301113</v>
      </c>
      <c r="D881" s="36">
        <v>3</v>
      </c>
      <c r="E881" s="36"/>
      <c r="F881" s="36" t="s">
        <v>174</v>
      </c>
      <c r="G881" s="36">
        <f t="shared" si="272"/>
        <v>1</v>
      </c>
      <c r="H881" s="36">
        <f>IFERROR(IF(--MID($F881,2*COUNTIF($G881:G881,"&gt;"&amp;0)+2,1)=H$1,H$1,""),"")</f>
        <v>2</v>
      </c>
      <c r="I881" s="36">
        <f>IFERROR(IF(--MID($F881,2*COUNTIF($G881:H881,"&gt;"&amp;0)+2,1)=I$1,I$1,""),"")</f>
        <v>3</v>
      </c>
      <c r="J881" s="36">
        <f>IFERROR(IF(--MID($F881,2*COUNTIF($G881:I881,"&gt;"&amp;0)+2,1)=J$1,J$1,""),"")</f>
        <v>4</v>
      </c>
      <c r="K881" s="36">
        <f>IFERROR(IF(--MID($F881,2*COUNTIF($G881:J881,"&gt;"&amp;0)+2,1)=K$1,K$1,""),"")</f>
        <v>5</v>
      </c>
      <c r="L881" s="36">
        <f>IFERROR(IF(--MID($F881,2*COUNTIF($G881:K881,"&gt;"&amp;0)+2,1)=L$1,L$1,""),"")</f>
        <v>6</v>
      </c>
      <c r="M881" s="36" t="e" cm="1">
        <f t="array" ref="M881">IF(A881="","",_xlfn.XLOOKUP(D881&amp;"_"&amp;AE881,符文权重!A:A&amp;"_"&amp;符文权重!C:C,符文权重!D:D))</f>
        <v>#N/A</v>
      </c>
      <c r="N881" s="36"/>
      <c r="O881" s="36"/>
      <c r="P881" s="36"/>
      <c r="Q881" s="36"/>
      <c r="R881" s="36"/>
      <c r="S881" s="36" t="s">
        <v>192</v>
      </c>
      <c r="T881" s="36" t="s">
        <v>211</v>
      </c>
      <c r="U881" s="36" t="s">
        <v>417</v>
      </c>
      <c r="W881" s="36" t="s">
        <v>284</v>
      </c>
      <c r="X881" s="35" t="s">
        <v>1176</v>
      </c>
      <c r="Y881" s="35">
        <v>100</v>
      </c>
      <c r="Z881" s="35"/>
      <c r="AA881" s="36" t="s">
        <v>183</v>
      </c>
      <c r="AB881" s="36" t="s">
        <v>1214</v>
      </c>
      <c r="AC881" s="35">
        <v>5501121</v>
      </c>
      <c r="AD881" s="36" t="s">
        <v>419</v>
      </c>
      <c r="AE881" s="36">
        <v>100</v>
      </c>
      <c r="AF881" s="36" t="s">
        <v>178</v>
      </c>
      <c r="AG881" s="79">
        <v>1</v>
      </c>
      <c r="AH881" s="36">
        <v>0</v>
      </c>
      <c r="AI881" s="33"/>
      <c r="AJ881" s="37"/>
      <c r="AK881" s="35"/>
      <c r="AL881" s="35"/>
    </row>
    <row r="882" s="25" customFormat="1" hidden="1" customHeight="1" spans="1:38">
      <c r="A882" s="33">
        <v>5304113</v>
      </c>
      <c r="B882" s="34"/>
      <c r="C882" s="35">
        <v>5301113</v>
      </c>
      <c r="D882" s="36">
        <v>4</v>
      </c>
      <c r="E882" s="36"/>
      <c r="F882" s="36" t="s">
        <v>174</v>
      </c>
      <c r="G882" s="36">
        <f t="shared" si="272"/>
        <v>1</v>
      </c>
      <c r="H882" s="36">
        <f>IFERROR(IF(--MID($F882,2*COUNTIF($G882:G882,"&gt;"&amp;0)+2,1)=H$1,H$1,""),"")</f>
        <v>2</v>
      </c>
      <c r="I882" s="36">
        <f>IFERROR(IF(--MID($F882,2*COUNTIF($G882:H882,"&gt;"&amp;0)+2,1)=I$1,I$1,""),"")</f>
        <v>3</v>
      </c>
      <c r="J882" s="36">
        <f>IFERROR(IF(--MID($F882,2*COUNTIF($G882:I882,"&gt;"&amp;0)+2,1)=J$1,J$1,""),"")</f>
        <v>4</v>
      </c>
      <c r="K882" s="36">
        <f>IFERROR(IF(--MID($F882,2*COUNTIF($G882:J882,"&gt;"&amp;0)+2,1)=K$1,K$1,""),"")</f>
        <v>5</v>
      </c>
      <c r="L882" s="36">
        <f>IFERROR(IF(--MID($F882,2*COUNTIF($G882:K882,"&gt;"&amp;0)+2,1)=L$1,L$1,""),"")</f>
        <v>6</v>
      </c>
      <c r="M882" s="36" t="e" cm="1">
        <f t="array" ref="M882">IF(A882="","",_xlfn.XLOOKUP(D882&amp;"_"&amp;AE882,符文权重!A:A&amp;"_"&amp;符文权重!C:C,符文权重!D:D))</f>
        <v>#N/A</v>
      </c>
      <c r="N882" s="36"/>
      <c r="O882" s="36"/>
      <c r="P882" s="36"/>
      <c r="Q882" s="36"/>
      <c r="R882" s="36"/>
      <c r="S882" s="36" t="s">
        <v>192</v>
      </c>
      <c r="T882" s="36" t="s">
        <v>211</v>
      </c>
      <c r="U882" s="36" t="s">
        <v>420</v>
      </c>
      <c r="W882" s="36" t="s">
        <v>285</v>
      </c>
      <c r="X882" s="35" t="s">
        <v>1178</v>
      </c>
      <c r="Y882" s="35">
        <v>100</v>
      </c>
      <c r="Z882" s="35"/>
      <c r="AA882" s="36" t="s">
        <v>185</v>
      </c>
      <c r="AB882" s="36" t="s">
        <v>1215</v>
      </c>
      <c r="AC882" s="35">
        <v>5501121</v>
      </c>
      <c r="AD882" s="36" t="s">
        <v>422</v>
      </c>
      <c r="AE882" s="36">
        <v>100</v>
      </c>
      <c r="AF882" s="36" t="s">
        <v>178</v>
      </c>
      <c r="AG882" s="79">
        <v>1</v>
      </c>
      <c r="AH882" s="36">
        <v>0</v>
      </c>
      <c r="AI882" s="33"/>
      <c r="AJ882" s="37"/>
      <c r="AK882" s="35"/>
      <c r="AL882" s="35"/>
    </row>
    <row r="883" s="25" customFormat="1" hidden="1" customHeight="1" spans="1:38">
      <c r="A883" s="33">
        <v>5305113</v>
      </c>
      <c r="B883" s="34"/>
      <c r="C883" s="35">
        <v>5301113</v>
      </c>
      <c r="D883" s="36">
        <v>5</v>
      </c>
      <c r="E883" s="36"/>
      <c r="F883" s="36" t="s">
        <v>174</v>
      </c>
      <c r="G883" s="36">
        <f t="shared" si="272"/>
        <v>1</v>
      </c>
      <c r="H883" s="36">
        <f>IFERROR(IF(--MID($F883,2*COUNTIF($G883:G883,"&gt;"&amp;0)+2,1)=H$1,H$1,""),"")</f>
        <v>2</v>
      </c>
      <c r="I883" s="36">
        <f>IFERROR(IF(--MID($F883,2*COUNTIF($G883:H883,"&gt;"&amp;0)+2,1)=I$1,I$1,""),"")</f>
        <v>3</v>
      </c>
      <c r="J883" s="36">
        <f>IFERROR(IF(--MID($F883,2*COUNTIF($G883:I883,"&gt;"&amp;0)+2,1)=J$1,J$1,""),"")</f>
        <v>4</v>
      </c>
      <c r="K883" s="36">
        <f>IFERROR(IF(--MID($F883,2*COUNTIF($G883:J883,"&gt;"&amp;0)+2,1)=K$1,K$1,""),"")</f>
        <v>5</v>
      </c>
      <c r="L883" s="36">
        <f>IFERROR(IF(--MID($F883,2*COUNTIF($G883:K883,"&gt;"&amp;0)+2,1)=L$1,L$1,""),"")</f>
        <v>6</v>
      </c>
      <c r="M883" s="36" t="e" cm="1">
        <f t="array" ref="M883">IF(A883="","",_xlfn.XLOOKUP(D883&amp;"_"&amp;AE883,符文权重!A:A&amp;"_"&amp;符文权重!C:C,符文权重!D:D))</f>
        <v>#N/A</v>
      </c>
      <c r="N883" s="36"/>
      <c r="O883" s="36"/>
      <c r="P883" s="36"/>
      <c r="Q883" s="36"/>
      <c r="R883" s="36"/>
      <c r="S883" s="36" t="s">
        <v>192</v>
      </c>
      <c r="T883" s="36" t="s">
        <v>211</v>
      </c>
      <c r="U883" s="36" t="s">
        <v>423</v>
      </c>
      <c r="W883" s="36" t="s">
        <v>286</v>
      </c>
      <c r="X883" s="35" t="s">
        <v>1198</v>
      </c>
      <c r="Y883" s="35">
        <v>100</v>
      </c>
      <c r="Z883" s="35"/>
      <c r="AA883" s="36" t="s">
        <v>187</v>
      </c>
      <c r="AB883" s="36" t="s">
        <v>1216</v>
      </c>
      <c r="AC883" s="35">
        <v>5501121</v>
      </c>
      <c r="AD883" s="36" t="s">
        <v>1200</v>
      </c>
      <c r="AE883" s="36">
        <v>100</v>
      </c>
      <c r="AF883" s="36" t="s">
        <v>178</v>
      </c>
      <c r="AG883" s="79">
        <v>1</v>
      </c>
      <c r="AH883" s="36">
        <v>0</v>
      </c>
      <c r="AI883" s="33"/>
      <c r="AJ883" s="37"/>
      <c r="AK883" s="35"/>
      <c r="AL883" s="35"/>
    </row>
    <row r="884" s="25" customFormat="1" hidden="1" customHeight="1" spans="1:38">
      <c r="A884" s="33">
        <v>5306113</v>
      </c>
      <c r="B884" s="34"/>
      <c r="C884" s="35">
        <v>5301113</v>
      </c>
      <c r="D884" s="36">
        <v>6</v>
      </c>
      <c r="E884" s="36"/>
      <c r="F884" s="36" t="s">
        <v>174</v>
      </c>
      <c r="G884" s="36">
        <f t="shared" si="272"/>
        <v>1</v>
      </c>
      <c r="H884" s="36">
        <f>IFERROR(IF(--MID($F884,2*COUNTIF($G884:G884,"&gt;"&amp;0)+2,1)=H$1,H$1,""),"")</f>
        <v>2</v>
      </c>
      <c r="I884" s="36">
        <f>IFERROR(IF(--MID($F884,2*COUNTIF($G884:H884,"&gt;"&amp;0)+2,1)=I$1,I$1,""),"")</f>
        <v>3</v>
      </c>
      <c r="J884" s="36">
        <f>IFERROR(IF(--MID($F884,2*COUNTIF($G884:I884,"&gt;"&amp;0)+2,1)=J$1,J$1,""),"")</f>
        <v>4</v>
      </c>
      <c r="K884" s="36">
        <f>IFERROR(IF(--MID($F884,2*COUNTIF($G884:J884,"&gt;"&amp;0)+2,1)=K$1,K$1,""),"")</f>
        <v>5</v>
      </c>
      <c r="L884" s="36">
        <f>IFERROR(IF(--MID($F884,2*COUNTIF($G884:K884,"&gt;"&amp;0)+2,1)=L$1,L$1,""),"")</f>
        <v>6</v>
      </c>
      <c r="M884" s="36" t="e" cm="1">
        <f t="array" ref="M884">IF(A884="","",_xlfn.XLOOKUP(D884&amp;"_"&amp;AE884,符文权重!A:A&amp;"_"&amp;符文权重!C:C,符文权重!D:D))</f>
        <v>#N/A</v>
      </c>
      <c r="N884" s="36"/>
      <c r="O884" s="36"/>
      <c r="P884" s="36"/>
      <c r="Q884" s="36"/>
      <c r="R884" s="36"/>
      <c r="S884" s="36" t="s">
        <v>192</v>
      </c>
      <c r="T884" s="36" t="s">
        <v>211</v>
      </c>
      <c r="U884" s="36" t="s">
        <v>426</v>
      </c>
      <c r="W884" s="36" t="s">
        <v>287</v>
      </c>
      <c r="X884" s="35" t="s">
        <v>1201</v>
      </c>
      <c r="Y884" s="35">
        <v>100</v>
      </c>
      <c r="Z884" s="35"/>
      <c r="AA884" s="36" t="s">
        <v>189</v>
      </c>
      <c r="AB884" s="36" t="s">
        <v>1217</v>
      </c>
      <c r="AC884" s="35">
        <v>5501121</v>
      </c>
      <c r="AD884" s="36" t="s">
        <v>425</v>
      </c>
      <c r="AE884" s="36">
        <v>100</v>
      </c>
      <c r="AF884" s="36" t="s">
        <v>178</v>
      </c>
      <c r="AG884" s="79">
        <v>1</v>
      </c>
      <c r="AH884" s="36">
        <v>0</v>
      </c>
      <c r="AI884" s="33"/>
      <c r="AJ884" s="37"/>
      <c r="AK884" s="35"/>
      <c r="AL884" s="35"/>
    </row>
    <row r="885" s="25" customFormat="1" hidden="1" customHeight="1" spans="1:38">
      <c r="A885" s="33">
        <v>5307113</v>
      </c>
      <c r="B885" s="34"/>
      <c r="C885" s="35">
        <v>5301113</v>
      </c>
      <c r="D885" s="36">
        <v>7</v>
      </c>
      <c r="E885" s="36"/>
      <c r="F885" s="36" t="s">
        <v>174</v>
      </c>
      <c r="G885" s="36">
        <f t="shared" si="272"/>
        <v>1</v>
      </c>
      <c r="H885" s="36">
        <f>IFERROR(IF(--MID($F885,2*COUNTIF($G885:G885,"&gt;"&amp;0)+2,1)=H$1,H$1,""),"")</f>
        <v>2</v>
      </c>
      <c r="I885" s="36">
        <f>IFERROR(IF(--MID($F885,2*COUNTIF($G885:H885,"&gt;"&amp;0)+2,1)=I$1,I$1,""),"")</f>
        <v>3</v>
      </c>
      <c r="J885" s="36">
        <f>IFERROR(IF(--MID($F885,2*COUNTIF($G885:I885,"&gt;"&amp;0)+2,1)=J$1,J$1,""),"")</f>
        <v>4</v>
      </c>
      <c r="K885" s="36">
        <f>IFERROR(IF(--MID($F885,2*COUNTIF($G885:J885,"&gt;"&amp;0)+2,1)=K$1,K$1,""),"")</f>
        <v>5</v>
      </c>
      <c r="L885" s="36">
        <f>IFERROR(IF(--MID($F885,2*COUNTIF($G885:K885,"&gt;"&amp;0)+2,1)=L$1,L$1,""),"")</f>
        <v>6</v>
      </c>
      <c r="M885" s="36" t="e" cm="1">
        <f t="array" ref="M885">IF(A885="","",_xlfn.XLOOKUP(D885&amp;"_"&amp;AE885,符文权重!A:A&amp;"_"&amp;符文权重!C:C,符文权重!D:D))</f>
        <v>#N/A</v>
      </c>
      <c r="N885" s="36"/>
      <c r="O885" s="36"/>
      <c r="P885" s="36"/>
      <c r="Q885" s="36"/>
      <c r="R885" s="36"/>
      <c r="S885" s="36" t="s">
        <v>192</v>
      </c>
      <c r="T885" s="36" t="s">
        <v>211</v>
      </c>
      <c r="U885" s="36" t="s">
        <v>429</v>
      </c>
      <c r="W885" s="36" t="s">
        <v>288</v>
      </c>
      <c r="X885" s="35" t="s">
        <v>1203</v>
      </c>
      <c r="Y885" s="35">
        <v>100</v>
      </c>
      <c r="Z885" s="35"/>
      <c r="AA885" s="36" t="s">
        <v>191</v>
      </c>
      <c r="AB885" s="80" t="s">
        <v>1218</v>
      </c>
      <c r="AC885" s="35">
        <v>5501121</v>
      </c>
      <c r="AD885" s="36" t="s">
        <v>428</v>
      </c>
      <c r="AE885" s="36">
        <v>100</v>
      </c>
      <c r="AF885" s="36" t="s">
        <v>178</v>
      </c>
      <c r="AG885" s="79">
        <v>1</v>
      </c>
      <c r="AH885" s="36">
        <v>0</v>
      </c>
      <c r="AI885" s="33"/>
      <c r="AJ885" s="37"/>
      <c r="AK885" s="35"/>
      <c r="AL885" s="35"/>
    </row>
    <row r="886" s="25" customFormat="1" hidden="1" customHeight="1" spans="1:38">
      <c r="A886" s="33">
        <v>5301114</v>
      </c>
      <c r="B886" s="34"/>
      <c r="C886" s="35">
        <v>5301114</v>
      </c>
      <c r="D886" s="36">
        <v>1</v>
      </c>
      <c r="E886" s="36"/>
      <c r="F886" s="36" t="s">
        <v>174</v>
      </c>
      <c r="G886" s="36">
        <f t="shared" si="272"/>
        <v>1</v>
      </c>
      <c r="H886" s="36">
        <f>IFERROR(IF(--MID($F886,2*COUNTIF($G886:G886,"&gt;"&amp;0)+2,1)=H$1,H$1,""),"")</f>
        <v>2</v>
      </c>
      <c r="I886" s="36">
        <f>IFERROR(IF(--MID($F886,2*COUNTIF($G886:H886,"&gt;"&amp;0)+2,1)=I$1,I$1,""),"")</f>
        <v>3</v>
      </c>
      <c r="J886" s="36">
        <f>IFERROR(IF(--MID($F886,2*COUNTIF($G886:I886,"&gt;"&amp;0)+2,1)=J$1,J$1,""),"")</f>
        <v>4</v>
      </c>
      <c r="K886" s="36">
        <f>IFERROR(IF(--MID($F886,2*COUNTIF($G886:J886,"&gt;"&amp;0)+2,1)=K$1,K$1,""),"")</f>
        <v>5</v>
      </c>
      <c r="L886" s="36">
        <f>IFERROR(IF(--MID($F886,2*COUNTIF($G886:K886,"&gt;"&amp;0)+2,1)=L$1,L$1,""),"")</f>
        <v>6</v>
      </c>
      <c r="M886" s="36" t="e" cm="1">
        <f t="array" ref="M886">IF(A886="","",_xlfn.XLOOKUP(D886&amp;"_"&amp;AE886,符文权重!A:A&amp;"_"&amp;符文权重!C:C,符文权重!D:D))</f>
        <v>#N/A</v>
      </c>
      <c r="N886" s="36"/>
      <c r="O886" s="36"/>
      <c r="P886" s="36"/>
      <c r="Q886" s="36"/>
      <c r="R886" s="36"/>
      <c r="S886" s="36" t="s">
        <v>192</v>
      </c>
      <c r="T886" s="36" t="s">
        <v>220</v>
      </c>
      <c r="U886" s="36" t="s">
        <v>413</v>
      </c>
      <c r="W886" s="36" t="s">
        <v>289</v>
      </c>
      <c r="X886" s="35" t="s">
        <v>1170</v>
      </c>
      <c r="Y886" s="35">
        <v>100</v>
      </c>
      <c r="Z886" s="35"/>
      <c r="AA886" s="36" t="s">
        <v>177</v>
      </c>
      <c r="AB886" s="36" t="s">
        <v>1219</v>
      </c>
      <c r="AC886" s="35">
        <v>5501131</v>
      </c>
      <c r="AD886" s="36" t="s">
        <v>404</v>
      </c>
      <c r="AE886" s="36">
        <v>100</v>
      </c>
      <c r="AF886" s="36"/>
      <c r="AG886" s="79">
        <v>1</v>
      </c>
      <c r="AH886" s="36">
        <v>0</v>
      </c>
      <c r="AI886" s="33"/>
      <c r="AJ886" s="37"/>
      <c r="AK886" s="35"/>
      <c r="AL886" s="35"/>
    </row>
    <row r="887" s="25" customFormat="1" hidden="1" customHeight="1" spans="1:38">
      <c r="A887" s="33">
        <v>5302114</v>
      </c>
      <c r="B887" s="34"/>
      <c r="C887" s="35">
        <v>5301114</v>
      </c>
      <c r="D887" s="36">
        <v>2</v>
      </c>
      <c r="E887" s="36"/>
      <c r="F887" s="36" t="s">
        <v>174</v>
      </c>
      <c r="G887" s="36">
        <f t="shared" si="272"/>
        <v>1</v>
      </c>
      <c r="H887" s="36">
        <f>IFERROR(IF(--MID($F887,2*COUNTIF($G887:G887,"&gt;"&amp;0)+2,1)=H$1,H$1,""),"")</f>
        <v>2</v>
      </c>
      <c r="I887" s="36">
        <f>IFERROR(IF(--MID($F887,2*COUNTIF($G887:H887,"&gt;"&amp;0)+2,1)=I$1,I$1,""),"")</f>
        <v>3</v>
      </c>
      <c r="J887" s="36">
        <f>IFERROR(IF(--MID($F887,2*COUNTIF($G887:I887,"&gt;"&amp;0)+2,1)=J$1,J$1,""),"")</f>
        <v>4</v>
      </c>
      <c r="K887" s="36">
        <f>IFERROR(IF(--MID($F887,2*COUNTIF($G887:J887,"&gt;"&amp;0)+2,1)=K$1,K$1,""),"")</f>
        <v>5</v>
      </c>
      <c r="L887" s="36">
        <f>IFERROR(IF(--MID($F887,2*COUNTIF($G887:K887,"&gt;"&amp;0)+2,1)=L$1,L$1,""),"")</f>
        <v>6</v>
      </c>
      <c r="M887" s="36" t="e" cm="1">
        <f t="array" ref="M887">IF(A887="","",_xlfn.XLOOKUP(D887&amp;"_"&amp;AE887,符文权重!A:A&amp;"_"&amp;符文权重!C:C,符文权重!D:D))</f>
        <v>#N/A</v>
      </c>
      <c r="N887" s="36"/>
      <c r="O887" s="36"/>
      <c r="P887" s="36"/>
      <c r="Q887" s="36"/>
      <c r="R887" s="36"/>
      <c r="S887" s="36" t="s">
        <v>192</v>
      </c>
      <c r="T887" s="36" t="s">
        <v>220</v>
      </c>
      <c r="U887" s="36" t="s">
        <v>415</v>
      </c>
      <c r="W887" s="36" t="s">
        <v>291</v>
      </c>
      <c r="X887" s="35" t="s">
        <v>1174</v>
      </c>
      <c r="Y887" s="35">
        <v>100</v>
      </c>
      <c r="Z887" s="35"/>
      <c r="AA887" s="36" t="s">
        <v>181</v>
      </c>
      <c r="AB887" s="36" t="s">
        <v>1220</v>
      </c>
      <c r="AC887" s="35">
        <v>5501131</v>
      </c>
      <c r="AD887" s="36" t="s">
        <v>220</v>
      </c>
      <c r="AE887" s="36">
        <v>100</v>
      </c>
      <c r="AF887" s="36"/>
      <c r="AG887" s="79">
        <v>1</v>
      </c>
      <c r="AH887" s="36">
        <v>0</v>
      </c>
      <c r="AI887" s="33"/>
      <c r="AJ887" s="37"/>
      <c r="AK887" s="35"/>
      <c r="AL887" s="35"/>
    </row>
    <row r="888" s="25" customFormat="1" hidden="1" customHeight="1" spans="1:38">
      <c r="A888" s="33">
        <v>5303114</v>
      </c>
      <c r="B888" s="34"/>
      <c r="C888" s="35">
        <v>5301114</v>
      </c>
      <c r="D888" s="36">
        <v>3</v>
      </c>
      <c r="E888" s="36"/>
      <c r="F888" s="36" t="s">
        <v>174</v>
      </c>
      <c r="G888" s="36">
        <f t="shared" si="272"/>
        <v>1</v>
      </c>
      <c r="H888" s="36">
        <f>IFERROR(IF(--MID($F888,2*COUNTIF($G888:G888,"&gt;"&amp;0)+2,1)=H$1,H$1,""),"")</f>
        <v>2</v>
      </c>
      <c r="I888" s="36">
        <f>IFERROR(IF(--MID($F888,2*COUNTIF($G888:H888,"&gt;"&amp;0)+2,1)=I$1,I$1,""),"")</f>
        <v>3</v>
      </c>
      <c r="J888" s="36">
        <f>IFERROR(IF(--MID($F888,2*COUNTIF($G888:I888,"&gt;"&amp;0)+2,1)=J$1,J$1,""),"")</f>
        <v>4</v>
      </c>
      <c r="K888" s="36">
        <f>IFERROR(IF(--MID($F888,2*COUNTIF($G888:J888,"&gt;"&amp;0)+2,1)=K$1,K$1,""),"")</f>
        <v>5</v>
      </c>
      <c r="L888" s="36">
        <f>IFERROR(IF(--MID($F888,2*COUNTIF($G888:K888,"&gt;"&amp;0)+2,1)=L$1,L$1,""),"")</f>
        <v>6</v>
      </c>
      <c r="M888" s="36" t="e" cm="1">
        <f t="array" ref="M888">IF(A888="","",_xlfn.XLOOKUP(D888&amp;"_"&amp;AE888,符文权重!A:A&amp;"_"&amp;符文权重!C:C,符文权重!D:D))</f>
        <v>#N/A</v>
      </c>
      <c r="N888" s="36"/>
      <c r="O888" s="36"/>
      <c r="P888" s="36"/>
      <c r="Q888" s="36"/>
      <c r="R888" s="36"/>
      <c r="S888" s="36" t="s">
        <v>192</v>
      </c>
      <c r="T888" s="36" t="s">
        <v>220</v>
      </c>
      <c r="U888" s="36" t="s">
        <v>417</v>
      </c>
      <c r="W888" s="36" t="s">
        <v>292</v>
      </c>
      <c r="X888" s="35" t="s">
        <v>1176</v>
      </c>
      <c r="Y888" s="35">
        <v>100</v>
      </c>
      <c r="Z888" s="35"/>
      <c r="AA888" s="36" t="s">
        <v>183</v>
      </c>
      <c r="AB888" s="36" t="s">
        <v>1221</v>
      </c>
      <c r="AC888" s="35">
        <v>5501131</v>
      </c>
      <c r="AD888" s="36" t="s">
        <v>419</v>
      </c>
      <c r="AE888" s="36">
        <v>100</v>
      </c>
      <c r="AF888" s="36" t="s">
        <v>178</v>
      </c>
      <c r="AG888" s="79">
        <v>1</v>
      </c>
      <c r="AH888" s="36">
        <v>0</v>
      </c>
      <c r="AI888" s="33"/>
      <c r="AJ888" s="37"/>
      <c r="AK888" s="35"/>
      <c r="AL888" s="35"/>
    </row>
    <row r="889" s="25" customFormat="1" hidden="1" customHeight="1" spans="1:38">
      <c r="A889" s="33">
        <v>5304114</v>
      </c>
      <c r="B889" s="34"/>
      <c r="C889" s="35">
        <v>5301114</v>
      </c>
      <c r="D889" s="36">
        <v>4</v>
      </c>
      <c r="E889" s="36"/>
      <c r="F889" s="36" t="s">
        <v>174</v>
      </c>
      <c r="G889" s="36">
        <f t="shared" si="272"/>
        <v>1</v>
      </c>
      <c r="H889" s="36">
        <f>IFERROR(IF(--MID($F889,2*COUNTIF($G889:G889,"&gt;"&amp;0)+2,1)=H$1,H$1,""),"")</f>
        <v>2</v>
      </c>
      <c r="I889" s="36">
        <f>IFERROR(IF(--MID($F889,2*COUNTIF($G889:H889,"&gt;"&amp;0)+2,1)=I$1,I$1,""),"")</f>
        <v>3</v>
      </c>
      <c r="J889" s="36">
        <f>IFERROR(IF(--MID($F889,2*COUNTIF($G889:I889,"&gt;"&amp;0)+2,1)=J$1,J$1,""),"")</f>
        <v>4</v>
      </c>
      <c r="K889" s="36">
        <f>IFERROR(IF(--MID($F889,2*COUNTIF($G889:J889,"&gt;"&amp;0)+2,1)=K$1,K$1,""),"")</f>
        <v>5</v>
      </c>
      <c r="L889" s="36">
        <f>IFERROR(IF(--MID($F889,2*COUNTIF($G889:K889,"&gt;"&amp;0)+2,1)=L$1,L$1,""),"")</f>
        <v>6</v>
      </c>
      <c r="M889" s="36" t="e" cm="1">
        <f t="array" ref="M889">IF(A889="","",_xlfn.XLOOKUP(D889&amp;"_"&amp;AE889,符文权重!A:A&amp;"_"&amp;符文权重!C:C,符文权重!D:D))</f>
        <v>#N/A</v>
      </c>
      <c r="N889" s="36"/>
      <c r="O889" s="36"/>
      <c r="P889" s="36"/>
      <c r="Q889" s="36"/>
      <c r="R889" s="36"/>
      <c r="S889" s="36" t="s">
        <v>192</v>
      </c>
      <c r="T889" s="36" t="s">
        <v>220</v>
      </c>
      <c r="U889" s="36" t="s">
        <v>420</v>
      </c>
      <c r="W889" s="36" t="s">
        <v>293</v>
      </c>
      <c r="X889" s="35" t="s">
        <v>1178</v>
      </c>
      <c r="Y889" s="35">
        <v>100</v>
      </c>
      <c r="Z889" s="35"/>
      <c r="AA889" s="36" t="s">
        <v>185</v>
      </c>
      <c r="AB889" s="36" t="s">
        <v>1222</v>
      </c>
      <c r="AC889" s="35">
        <v>5501131</v>
      </c>
      <c r="AD889" s="36" t="s">
        <v>422</v>
      </c>
      <c r="AE889" s="36">
        <v>100</v>
      </c>
      <c r="AF889" s="36" t="s">
        <v>178</v>
      </c>
      <c r="AG889" s="79">
        <v>1</v>
      </c>
      <c r="AH889" s="36">
        <v>0</v>
      </c>
      <c r="AI889" s="33"/>
      <c r="AJ889" s="37"/>
      <c r="AK889" s="35"/>
      <c r="AL889" s="35"/>
    </row>
    <row r="890" s="25" customFormat="1" hidden="1" customHeight="1" spans="1:38">
      <c r="A890" s="33">
        <v>5305114</v>
      </c>
      <c r="B890" s="34"/>
      <c r="C890" s="35">
        <v>5301114</v>
      </c>
      <c r="D890" s="36">
        <v>5</v>
      </c>
      <c r="E890" s="36"/>
      <c r="F890" s="36" t="s">
        <v>174</v>
      </c>
      <c r="G890" s="36">
        <f t="shared" si="272"/>
        <v>1</v>
      </c>
      <c r="H890" s="36">
        <f>IFERROR(IF(--MID($F890,2*COUNTIF($G890:G890,"&gt;"&amp;0)+2,1)=H$1,H$1,""),"")</f>
        <v>2</v>
      </c>
      <c r="I890" s="36">
        <f>IFERROR(IF(--MID($F890,2*COUNTIF($G890:H890,"&gt;"&amp;0)+2,1)=I$1,I$1,""),"")</f>
        <v>3</v>
      </c>
      <c r="J890" s="36">
        <f>IFERROR(IF(--MID($F890,2*COUNTIF($G890:I890,"&gt;"&amp;0)+2,1)=J$1,J$1,""),"")</f>
        <v>4</v>
      </c>
      <c r="K890" s="36">
        <f>IFERROR(IF(--MID($F890,2*COUNTIF($G890:J890,"&gt;"&amp;0)+2,1)=K$1,K$1,""),"")</f>
        <v>5</v>
      </c>
      <c r="L890" s="36">
        <f>IFERROR(IF(--MID($F890,2*COUNTIF($G890:K890,"&gt;"&amp;0)+2,1)=L$1,L$1,""),"")</f>
        <v>6</v>
      </c>
      <c r="M890" s="36" t="e" cm="1">
        <f t="array" ref="M890">IF(A890="","",_xlfn.XLOOKUP(D890&amp;"_"&amp;AE890,符文权重!A:A&amp;"_"&amp;符文权重!C:C,符文权重!D:D))</f>
        <v>#N/A</v>
      </c>
      <c r="N890" s="36"/>
      <c r="O890" s="36"/>
      <c r="P890" s="36"/>
      <c r="Q890" s="36"/>
      <c r="R890" s="36"/>
      <c r="S890" s="36" t="s">
        <v>192</v>
      </c>
      <c r="T890" s="36" t="s">
        <v>220</v>
      </c>
      <c r="U890" s="36" t="s">
        <v>423</v>
      </c>
      <c r="W890" s="36" t="s">
        <v>294</v>
      </c>
      <c r="X890" s="35" t="s">
        <v>1198</v>
      </c>
      <c r="Y890" s="35">
        <v>100</v>
      </c>
      <c r="Z890" s="35"/>
      <c r="AA890" s="36" t="s">
        <v>187</v>
      </c>
      <c r="AB890" s="36" t="s">
        <v>1223</v>
      </c>
      <c r="AC890" s="35">
        <v>5501131</v>
      </c>
      <c r="AD890" s="36" t="s">
        <v>1200</v>
      </c>
      <c r="AE890" s="36">
        <v>100</v>
      </c>
      <c r="AF890" s="36" t="s">
        <v>178</v>
      </c>
      <c r="AG890" s="79">
        <v>1</v>
      </c>
      <c r="AH890" s="36">
        <v>0</v>
      </c>
      <c r="AI890" s="33"/>
      <c r="AJ890" s="37"/>
      <c r="AK890" s="35"/>
      <c r="AL890" s="35"/>
    </row>
    <row r="891" s="25" customFormat="1" hidden="1" customHeight="1" spans="1:38">
      <c r="A891" s="33">
        <v>5306114</v>
      </c>
      <c r="B891" s="34"/>
      <c r="C891" s="35">
        <v>5301114</v>
      </c>
      <c r="D891" s="36">
        <v>6</v>
      </c>
      <c r="E891" s="36"/>
      <c r="F891" s="36" t="s">
        <v>174</v>
      </c>
      <c r="G891" s="36">
        <f t="shared" si="272"/>
        <v>1</v>
      </c>
      <c r="H891" s="36">
        <f>IFERROR(IF(--MID($F891,2*COUNTIF($G891:G891,"&gt;"&amp;0)+2,1)=H$1,H$1,""),"")</f>
        <v>2</v>
      </c>
      <c r="I891" s="36">
        <f>IFERROR(IF(--MID($F891,2*COUNTIF($G891:H891,"&gt;"&amp;0)+2,1)=I$1,I$1,""),"")</f>
        <v>3</v>
      </c>
      <c r="J891" s="36">
        <f>IFERROR(IF(--MID($F891,2*COUNTIF($G891:I891,"&gt;"&amp;0)+2,1)=J$1,J$1,""),"")</f>
        <v>4</v>
      </c>
      <c r="K891" s="36">
        <f>IFERROR(IF(--MID($F891,2*COUNTIF($G891:J891,"&gt;"&amp;0)+2,1)=K$1,K$1,""),"")</f>
        <v>5</v>
      </c>
      <c r="L891" s="36">
        <f>IFERROR(IF(--MID($F891,2*COUNTIF($G891:K891,"&gt;"&amp;0)+2,1)=L$1,L$1,""),"")</f>
        <v>6</v>
      </c>
      <c r="M891" s="36" t="e" cm="1">
        <f t="array" ref="M891">IF(A891="","",_xlfn.XLOOKUP(D891&amp;"_"&amp;AE891,符文权重!A:A&amp;"_"&amp;符文权重!C:C,符文权重!D:D))</f>
        <v>#N/A</v>
      </c>
      <c r="N891" s="36"/>
      <c r="O891" s="36"/>
      <c r="P891" s="36"/>
      <c r="Q891" s="36"/>
      <c r="R891" s="36"/>
      <c r="S891" s="36" t="s">
        <v>192</v>
      </c>
      <c r="T891" s="36" t="s">
        <v>220</v>
      </c>
      <c r="U891" s="36" t="s">
        <v>426</v>
      </c>
      <c r="W891" s="36" t="s">
        <v>295</v>
      </c>
      <c r="X891" s="35" t="s">
        <v>1201</v>
      </c>
      <c r="Y891" s="35">
        <v>100</v>
      </c>
      <c r="Z891" s="35"/>
      <c r="AA891" s="36" t="s">
        <v>189</v>
      </c>
      <c r="AB891" s="36" t="s">
        <v>1224</v>
      </c>
      <c r="AC891" s="35">
        <v>5501131</v>
      </c>
      <c r="AD891" s="36" t="s">
        <v>425</v>
      </c>
      <c r="AE891" s="36">
        <v>100</v>
      </c>
      <c r="AF891" s="36" t="s">
        <v>178</v>
      </c>
      <c r="AG891" s="79">
        <v>1</v>
      </c>
      <c r="AH891" s="36">
        <v>0</v>
      </c>
      <c r="AI891" s="33"/>
      <c r="AJ891" s="37"/>
      <c r="AK891" s="35"/>
      <c r="AL891" s="35"/>
    </row>
    <row r="892" s="25" customFormat="1" hidden="1" customHeight="1" spans="1:38">
      <c r="A892" s="33">
        <v>5307114</v>
      </c>
      <c r="B892" s="34"/>
      <c r="C892" s="35">
        <v>5301114</v>
      </c>
      <c r="D892" s="36">
        <v>7</v>
      </c>
      <c r="E892" s="36"/>
      <c r="F892" s="36" t="s">
        <v>174</v>
      </c>
      <c r="G892" s="36">
        <f t="shared" si="272"/>
        <v>1</v>
      </c>
      <c r="H892" s="36">
        <f>IFERROR(IF(--MID($F892,2*COUNTIF($G892:G892,"&gt;"&amp;0)+2,1)=H$1,H$1,""),"")</f>
        <v>2</v>
      </c>
      <c r="I892" s="36">
        <f>IFERROR(IF(--MID($F892,2*COUNTIF($G892:H892,"&gt;"&amp;0)+2,1)=I$1,I$1,""),"")</f>
        <v>3</v>
      </c>
      <c r="J892" s="36">
        <f>IFERROR(IF(--MID($F892,2*COUNTIF($G892:I892,"&gt;"&amp;0)+2,1)=J$1,J$1,""),"")</f>
        <v>4</v>
      </c>
      <c r="K892" s="36">
        <f>IFERROR(IF(--MID($F892,2*COUNTIF($G892:J892,"&gt;"&amp;0)+2,1)=K$1,K$1,""),"")</f>
        <v>5</v>
      </c>
      <c r="L892" s="36">
        <f>IFERROR(IF(--MID($F892,2*COUNTIF($G892:K892,"&gt;"&amp;0)+2,1)=L$1,L$1,""),"")</f>
        <v>6</v>
      </c>
      <c r="M892" s="36" t="e" cm="1">
        <f t="array" ref="M892">IF(A892="","",_xlfn.XLOOKUP(D892&amp;"_"&amp;AE892,符文权重!A:A&amp;"_"&amp;符文权重!C:C,符文权重!D:D))</f>
        <v>#N/A</v>
      </c>
      <c r="N892" s="36"/>
      <c r="O892" s="36"/>
      <c r="P892" s="36"/>
      <c r="Q892" s="36"/>
      <c r="R892" s="36"/>
      <c r="S892" s="36" t="s">
        <v>192</v>
      </c>
      <c r="T892" s="36" t="s">
        <v>220</v>
      </c>
      <c r="U892" s="36" t="s">
        <v>429</v>
      </c>
      <c r="W892" s="36" t="s">
        <v>296</v>
      </c>
      <c r="X892" s="35" t="s">
        <v>1203</v>
      </c>
      <c r="Y892" s="35">
        <v>100</v>
      </c>
      <c r="Z892" s="35"/>
      <c r="AA892" s="36" t="s">
        <v>191</v>
      </c>
      <c r="AB892" s="80" t="s">
        <v>1225</v>
      </c>
      <c r="AC892" s="35">
        <v>5501131</v>
      </c>
      <c r="AD892" s="36" t="s">
        <v>428</v>
      </c>
      <c r="AE892" s="36">
        <v>100</v>
      </c>
      <c r="AF892" s="36" t="s">
        <v>178</v>
      </c>
      <c r="AG892" s="79">
        <v>1</v>
      </c>
      <c r="AH892" s="36">
        <v>0</v>
      </c>
      <c r="AI892" s="33"/>
      <c r="AJ892" s="37"/>
      <c r="AK892" s="35"/>
      <c r="AL892" s="35"/>
    </row>
    <row r="893" s="25" customFormat="1" hidden="1" customHeight="1" spans="1:38">
      <c r="A893" s="33">
        <v>5301115</v>
      </c>
      <c r="B893" s="34"/>
      <c r="C893" s="35">
        <v>5301115</v>
      </c>
      <c r="D893" s="36">
        <v>1</v>
      </c>
      <c r="E893" s="36"/>
      <c r="F893" s="36" t="s">
        <v>174</v>
      </c>
      <c r="G893" s="36">
        <f t="shared" si="272"/>
        <v>1</v>
      </c>
      <c r="H893" s="36">
        <f>IFERROR(IF(--MID($F893,2*COUNTIF($G893:G893,"&gt;"&amp;0)+2,1)=H$1,H$1,""),"")</f>
        <v>2</v>
      </c>
      <c r="I893" s="36">
        <f>IFERROR(IF(--MID($F893,2*COUNTIF($G893:H893,"&gt;"&amp;0)+2,1)=I$1,I$1,""),"")</f>
        <v>3</v>
      </c>
      <c r="J893" s="36">
        <f>IFERROR(IF(--MID($F893,2*COUNTIF($G893:I893,"&gt;"&amp;0)+2,1)=J$1,J$1,""),"")</f>
        <v>4</v>
      </c>
      <c r="K893" s="36">
        <f>IFERROR(IF(--MID($F893,2*COUNTIF($G893:J893,"&gt;"&amp;0)+2,1)=K$1,K$1,""),"")</f>
        <v>5</v>
      </c>
      <c r="L893" s="36">
        <f>IFERROR(IF(--MID($F893,2*COUNTIF($G893:K893,"&gt;"&amp;0)+2,1)=L$1,L$1,""),"")</f>
        <v>6</v>
      </c>
      <c r="M893" s="36" t="e" cm="1">
        <f t="array" ref="M893">IF(A893="","",_xlfn.XLOOKUP(D893&amp;"_"&amp;AE893,符文权重!A:A&amp;"_"&amp;符文权重!C:C,符文权重!D:D))</f>
        <v>#N/A</v>
      </c>
      <c r="N893" s="36"/>
      <c r="O893" s="36"/>
      <c r="P893" s="36"/>
      <c r="Q893" s="36"/>
      <c r="R893" s="36"/>
      <c r="S893" s="36" t="s">
        <v>192</v>
      </c>
      <c r="T893" s="36" t="s">
        <v>230</v>
      </c>
      <c r="U893" s="36" t="s">
        <v>413</v>
      </c>
      <c r="W893" s="36" t="s">
        <v>297</v>
      </c>
      <c r="X893" s="35" t="s">
        <v>1170</v>
      </c>
      <c r="Y893" s="35">
        <v>100</v>
      </c>
      <c r="Z893" s="35"/>
      <c r="AA893" s="36" t="s">
        <v>177</v>
      </c>
      <c r="AB893" s="36" t="s">
        <v>1226</v>
      </c>
      <c r="AC893" s="35">
        <v>5501141</v>
      </c>
      <c r="AD893" s="36" t="s">
        <v>404</v>
      </c>
      <c r="AE893" s="36">
        <v>100</v>
      </c>
      <c r="AF893" s="36" t="s">
        <v>178</v>
      </c>
      <c r="AG893" s="79">
        <v>1</v>
      </c>
      <c r="AH893" s="36">
        <v>0</v>
      </c>
      <c r="AL893" s="35"/>
    </row>
    <row r="894" s="25" customFormat="1" hidden="1" customHeight="1" spans="1:38">
      <c r="A894" s="33">
        <v>5302115</v>
      </c>
      <c r="B894" s="34"/>
      <c r="C894" s="35">
        <v>5301115</v>
      </c>
      <c r="D894" s="36">
        <v>2</v>
      </c>
      <c r="E894" s="36"/>
      <c r="F894" s="36" t="s">
        <v>174</v>
      </c>
      <c r="G894" s="36">
        <f t="shared" si="272"/>
        <v>1</v>
      </c>
      <c r="H894" s="36">
        <f>IFERROR(IF(--MID($F894,2*COUNTIF($G894:G894,"&gt;"&amp;0)+2,1)=H$1,H$1,""),"")</f>
        <v>2</v>
      </c>
      <c r="I894" s="36">
        <f>IFERROR(IF(--MID($F894,2*COUNTIF($G894:H894,"&gt;"&amp;0)+2,1)=I$1,I$1,""),"")</f>
        <v>3</v>
      </c>
      <c r="J894" s="36">
        <f>IFERROR(IF(--MID($F894,2*COUNTIF($G894:I894,"&gt;"&amp;0)+2,1)=J$1,J$1,""),"")</f>
        <v>4</v>
      </c>
      <c r="K894" s="36">
        <f>IFERROR(IF(--MID($F894,2*COUNTIF($G894:J894,"&gt;"&amp;0)+2,1)=K$1,K$1,""),"")</f>
        <v>5</v>
      </c>
      <c r="L894" s="36">
        <f>IFERROR(IF(--MID($F894,2*COUNTIF($G894:K894,"&gt;"&amp;0)+2,1)=L$1,L$1,""),"")</f>
        <v>6</v>
      </c>
      <c r="M894" s="36" t="e" cm="1">
        <f t="array" ref="M894">IF(A894="","",_xlfn.XLOOKUP(D894&amp;"_"&amp;AE894,符文权重!A:A&amp;"_"&amp;符文权重!C:C,符文权重!D:D))</f>
        <v>#N/A</v>
      </c>
      <c r="N894" s="36"/>
      <c r="O894" s="36"/>
      <c r="P894" s="36"/>
      <c r="Q894" s="36"/>
      <c r="R894" s="36"/>
      <c r="S894" s="36" t="s">
        <v>192</v>
      </c>
      <c r="T894" s="36" t="s">
        <v>230</v>
      </c>
      <c r="U894" s="36" t="s">
        <v>415</v>
      </c>
      <c r="W894" s="36" t="s">
        <v>299</v>
      </c>
      <c r="X894" s="35" t="s">
        <v>1174</v>
      </c>
      <c r="Y894" s="35">
        <v>100</v>
      </c>
      <c r="Z894" s="35"/>
      <c r="AA894" s="36" t="s">
        <v>181</v>
      </c>
      <c r="AB894" s="36" t="s">
        <v>1227</v>
      </c>
      <c r="AC894" s="35">
        <v>5501141</v>
      </c>
      <c r="AD894" s="36" t="s">
        <v>220</v>
      </c>
      <c r="AE894" s="36">
        <v>100</v>
      </c>
      <c r="AF894" s="36" t="s">
        <v>178</v>
      </c>
      <c r="AG894" s="79">
        <v>1</v>
      </c>
      <c r="AH894" s="36">
        <v>0</v>
      </c>
      <c r="AL894" s="35"/>
    </row>
    <row r="895" s="25" customFormat="1" hidden="1" customHeight="1" spans="1:38">
      <c r="A895" s="33">
        <v>5303115</v>
      </c>
      <c r="B895" s="34"/>
      <c r="C895" s="35">
        <v>5301115</v>
      </c>
      <c r="D895" s="36">
        <v>3</v>
      </c>
      <c r="E895" s="36"/>
      <c r="F895" s="36" t="s">
        <v>174</v>
      </c>
      <c r="G895" s="36">
        <f t="shared" si="272"/>
        <v>1</v>
      </c>
      <c r="H895" s="36">
        <f>IFERROR(IF(--MID($F895,2*COUNTIF($G895:G895,"&gt;"&amp;0)+2,1)=H$1,H$1,""),"")</f>
        <v>2</v>
      </c>
      <c r="I895" s="36">
        <f>IFERROR(IF(--MID($F895,2*COUNTIF($G895:H895,"&gt;"&amp;0)+2,1)=I$1,I$1,""),"")</f>
        <v>3</v>
      </c>
      <c r="J895" s="36">
        <f>IFERROR(IF(--MID($F895,2*COUNTIF($G895:I895,"&gt;"&amp;0)+2,1)=J$1,J$1,""),"")</f>
        <v>4</v>
      </c>
      <c r="K895" s="36">
        <f>IFERROR(IF(--MID($F895,2*COUNTIF($G895:J895,"&gt;"&amp;0)+2,1)=K$1,K$1,""),"")</f>
        <v>5</v>
      </c>
      <c r="L895" s="36">
        <f>IFERROR(IF(--MID($F895,2*COUNTIF($G895:K895,"&gt;"&amp;0)+2,1)=L$1,L$1,""),"")</f>
        <v>6</v>
      </c>
      <c r="M895" s="36" t="e" cm="1">
        <f t="array" ref="M895">IF(A895="","",_xlfn.XLOOKUP(D895&amp;"_"&amp;AE895,符文权重!A:A&amp;"_"&amp;符文权重!C:C,符文权重!D:D))</f>
        <v>#N/A</v>
      </c>
      <c r="N895" s="36"/>
      <c r="O895" s="36"/>
      <c r="P895" s="36"/>
      <c r="Q895" s="36"/>
      <c r="R895" s="36"/>
      <c r="S895" s="36" t="s">
        <v>192</v>
      </c>
      <c r="T895" s="36" t="s">
        <v>230</v>
      </c>
      <c r="U895" s="36" t="s">
        <v>417</v>
      </c>
      <c r="W895" s="36" t="s">
        <v>300</v>
      </c>
      <c r="X895" s="35" t="s">
        <v>1176</v>
      </c>
      <c r="Y895" s="35">
        <v>100</v>
      </c>
      <c r="Z895" s="35"/>
      <c r="AA895" s="36" t="s">
        <v>183</v>
      </c>
      <c r="AB895" s="36" t="s">
        <v>1228</v>
      </c>
      <c r="AC895" s="35">
        <v>5501141</v>
      </c>
      <c r="AD895" s="36" t="s">
        <v>419</v>
      </c>
      <c r="AE895" s="36">
        <v>100</v>
      </c>
      <c r="AF895" s="36" t="s">
        <v>178</v>
      </c>
      <c r="AG895" s="79">
        <v>1</v>
      </c>
      <c r="AH895" s="36">
        <v>0</v>
      </c>
      <c r="AL895" s="35"/>
    </row>
    <row r="896" s="25" customFormat="1" hidden="1" customHeight="1" spans="1:38">
      <c r="A896" s="33">
        <v>5304115</v>
      </c>
      <c r="B896" s="34"/>
      <c r="C896" s="35">
        <v>5301115</v>
      </c>
      <c r="D896" s="36">
        <v>4</v>
      </c>
      <c r="E896" s="36"/>
      <c r="F896" s="36" t="s">
        <v>174</v>
      </c>
      <c r="G896" s="36">
        <f t="shared" si="272"/>
        <v>1</v>
      </c>
      <c r="H896" s="36">
        <f>IFERROR(IF(--MID($F896,2*COUNTIF($G896:G896,"&gt;"&amp;0)+2,1)=H$1,H$1,""),"")</f>
        <v>2</v>
      </c>
      <c r="I896" s="36">
        <f>IFERROR(IF(--MID($F896,2*COUNTIF($G896:H896,"&gt;"&amp;0)+2,1)=I$1,I$1,""),"")</f>
        <v>3</v>
      </c>
      <c r="J896" s="36">
        <f>IFERROR(IF(--MID($F896,2*COUNTIF($G896:I896,"&gt;"&amp;0)+2,1)=J$1,J$1,""),"")</f>
        <v>4</v>
      </c>
      <c r="K896" s="36">
        <f>IFERROR(IF(--MID($F896,2*COUNTIF($G896:J896,"&gt;"&amp;0)+2,1)=K$1,K$1,""),"")</f>
        <v>5</v>
      </c>
      <c r="L896" s="36">
        <f>IFERROR(IF(--MID($F896,2*COUNTIF($G896:K896,"&gt;"&amp;0)+2,1)=L$1,L$1,""),"")</f>
        <v>6</v>
      </c>
      <c r="M896" s="36" t="e" cm="1">
        <f t="array" ref="M896">IF(A896="","",_xlfn.XLOOKUP(D896&amp;"_"&amp;AE896,符文权重!A:A&amp;"_"&amp;符文权重!C:C,符文权重!D:D))</f>
        <v>#N/A</v>
      </c>
      <c r="N896" s="36"/>
      <c r="O896" s="36"/>
      <c r="P896" s="36"/>
      <c r="Q896" s="36"/>
      <c r="R896" s="36"/>
      <c r="S896" s="36" t="s">
        <v>192</v>
      </c>
      <c r="T896" s="36" t="s">
        <v>230</v>
      </c>
      <c r="U896" s="36" t="s">
        <v>420</v>
      </c>
      <c r="W896" s="36" t="s">
        <v>301</v>
      </c>
      <c r="X896" s="35" t="s">
        <v>1178</v>
      </c>
      <c r="Y896" s="35">
        <v>100</v>
      </c>
      <c r="Z896" s="35"/>
      <c r="AA896" s="36" t="s">
        <v>185</v>
      </c>
      <c r="AB896" s="36" t="s">
        <v>1229</v>
      </c>
      <c r="AC896" s="35">
        <v>5501141</v>
      </c>
      <c r="AD896" s="36" t="s">
        <v>422</v>
      </c>
      <c r="AE896" s="36">
        <v>100</v>
      </c>
      <c r="AF896" s="36" t="s">
        <v>178</v>
      </c>
      <c r="AG896" s="79">
        <v>1</v>
      </c>
      <c r="AH896" s="36">
        <v>0</v>
      </c>
      <c r="AI896" s="33"/>
      <c r="AJ896" s="37"/>
      <c r="AK896" s="35"/>
      <c r="AL896" s="35"/>
    </row>
    <row r="897" s="25" customFormat="1" hidden="1" customHeight="1" spans="1:38">
      <c r="A897" s="33">
        <v>5305115</v>
      </c>
      <c r="B897" s="34"/>
      <c r="C897" s="35">
        <v>5301115</v>
      </c>
      <c r="D897" s="36">
        <v>5</v>
      </c>
      <c r="E897" s="36"/>
      <c r="F897" s="36" t="s">
        <v>174</v>
      </c>
      <c r="G897" s="36">
        <f t="shared" si="272"/>
        <v>1</v>
      </c>
      <c r="H897" s="36">
        <f>IFERROR(IF(--MID($F897,2*COUNTIF($G897:G897,"&gt;"&amp;0)+2,1)=H$1,H$1,""),"")</f>
        <v>2</v>
      </c>
      <c r="I897" s="36">
        <f>IFERROR(IF(--MID($F897,2*COUNTIF($G897:H897,"&gt;"&amp;0)+2,1)=I$1,I$1,""),"")</f>
        <v>3</v>
      </c>
      <c r="J897" s="36">
        <f>IFERROR(IF(--MID($F897,2*COUNTIF($G897:I897,"&gt;"&amp;0)+2,1)=J$1,J$1,""),"")</f>
        <v>4</v>
      </c>
      <c r="K897" s="36">
        <f>IFERROR(IF(--MID($F897,2*COUNTIF($G897:J897,"&gt;"&amp;0)+2,1)=K$1,K$1,""),"")</f>
        <v>5</v>
      </c>
      <c r="L897" s="36">
        <f>IFERROR(IF(--MID($F897,2*COUNTIF($G897:K897,"&gt;"&amp;0)+2,1)=L$1,L$1,""),"")</f>
        <v>6</v>
      </c>
      <c r="M897" s="36" t="e" cm="1">
        <f t="array" ref="M897">IF(A897="","",_xlfn.XLOOKUP(D897&amp;"_"&amp;AE897,符文权重!A:A&amp;"_"&amp;符文权重!C:C,符文权重!D:D))</f>
        <v>#N/A</v>
      </c>
      <c r="N897" s="36"/>
      <c r="O897" s="36"/>
      <c r="P897" s="36"/>
      <c r="Q897" s="36"/>
      <c r="R897" s="36"/>
      <c r="S897" s="36" t="s">
        <v>192</v>
      </c>
      <c r="T897" s="36" t="s">
        <v>230</v>
      </c>
      <c r="U897" s="36" t="s">
        <v>423</v>
      </c>
      <c r="W897" s="36" t="s">
        <v>302</v>
      </c>
      <c r="X897" s="35" t="s">
        <v>1198</v>
      </c>
      <c r="Y897" s="35">
        <v>100</v>
      </c>
      <c r="Z897" s="35"/>
      <c r="AA897" s="36" t="s">
        <v>187</v>
      </c>
      <c r="AB897" s="36" t="s">
        <v>1230</v>
      </c>
      <c r="AC897" s="35">
        <v>5501141</v>
      </c>
      <c r="AD897" s="36" t="s">
        <v>1200</v>
      </c>
      <c r="AE897" s="36">
        <v>100</v>
      </c>
      <c r="AF897" s="36" t="s">
        <v>178</v>
      </c>
      <c r="AG897" s="79">
        <v>1</v>
      </c>
      <c r="AH897" s="36">
        <v>0</v>
      </c>
      <c r="AI897" s="33"/>
      <c r="AJ897" s="37"/>
      <c r="AK897" s="35"/>
      <c r="AL897" s="35"/>
    </row>
    <row r="898" s="25" customFormat="1" hidden="1" customHeight="1" spans="1:38">
      <c r="A898" s="33">
        <v>5306115</v>
      </c>
      <c r="B898" s="34"/>
      <c r="C898" s="35">
        <v>5301115</v>
      </c>
      <c r="D898" s="36">
        <v>6</v>
      </c>
      <c r="E898" s="36"/>
      <c r="F898" s="36" t="s">
        <v>174</v>
      </c>
      <c r="G898" s="36">
        <f t="shared" si="272"/>
        <v>1</v>
      </c>
      <c r="H898" s="36">
        <f>IFERROR(IF(--MID($F898,2*COUNTIF($G898:G898,"&gt;"&amp;0)+2,1)=H$1,H$1,""),"")</f>
        <v>2</v>
      </c>
      <c r="I898" s="36">
        <f>IFERROR(IF(--MID($F898,2*COUNTIF($G898:H898,"&gt;"&amp;0)+2,1)=I$1,I$1,""),"")</f>
        <v>3</v>
      </c>
      <c r="J898" s="36">
        <f>IFERROR(IF(--MID($F898,2*COUNTIF($G898:I898,"&gt;"&amp;0)+2,1)=J$1,J$1,""),"")</f>
        <v>4</v>
      </c>
      <c r="K898" s="36">
        <f>IFERROR(IF(--MID($F898,2*COUNTIF($G898:J898,"&gt;"&amp;0)+2,1)=K$1,K$1,""),"")</f>
        <v>5</v>
      </c>
      <c r="L898" s="36">
        <f>IFERROR(IF(--MID($F898,2*COUNTIF($G898:K898,"&gt;"&amp;0)+2,1)=L$1,L$1,""),"")</f>
        <v>6</v>
      </c>
      <c r="M898" s="36" t="e" cm="1">
        <f t="array" ref="M898">IF(A898="","",_xlfn.XLOOKUP(D898&amp;"_"&amp;AE898,符文权重!A:A&amp;"_"&amp;符文权重!C:C,符文权重!D:D))</f>
        <v>#N/A</v>
      </c>
      <c r="N898" s="36"/>
      <c r="O898" s="36"/>
      <c r="P898" s="36"/>
      <c r="Q898" s="36"/>
      <c r="R898" s="36"/>
      <c r="S898" s="36" t="s">
        <v>192</v>
      </c>
      <c r="T898" s="36" t="s">
        <v>230</v>
      </c>
      <c r="U898" s="36" t="s">
        <v>426</v>
      </c>
      <c r="W898" s="36" t="s">
        <v>303</v>
      </c>
      <c r="X898" s="35" t="s">
        <v>1201</v>
      </c>
      <c r="Y898" s="35">
        <v>100</v>
      </c>
      <c r="Z898" s="35"/>
      <c r="AA898" s="36" t="s">
        <v>189</v>
      </c>
      <c r="AB898" s="36" t="s">
        <v>1231</v>
      </c>
      <c r="AC898" s="35">
        <v>5501141</v>
      </c>
      <c r="AD898" s="36" t="s">
        <v>425</v>
      </c>
      <c r="AE898" s="36">
        <v>100</v>
      </c>
      <c r="AF898" s="36" t="s">
        <v>178</v>
      </c>
      <c r="AG898" s="79">
        <v>1</v>
      </c>
      <c r="AH898" s="36">
        <v>0</v>
      </c>
      <c r="AI898" s="33"/>
      <c r="AJ898" s="37"/>
      <c r="AK898" s="35"/>
      <c r="AL898" s="35"/>
    </row>
    <row r="899" s="25" customFormat="1" hidden="1" customHeight="1" spans="1:38">
      <c r="A899" s="33">
        <v>5307115</v>
      </c>
      <c r="B899" s="34"/>
      <c r="C899" s="35">
        <v>5301115</v>
      </c>
      <c r="D899" s="36">
        <v>7</v>
      </c>
      <c r="E899" s="36"/>
      <c r="F899" s="36" t="s">
        <v>174</v>
      </c>
      <c r="G899" s="36">
        <f t="shared" si="272"/>
        <v>1</v>
      </c>
      <c r="H899" s="36">
        <f>IFERROR(IF(--MID($F899,2*COUNTIF($G899:G899,"&gt;"&amp;0)+2,1)=H$1,H$1,""),"")</f>
        <v>2</v>
      </c>
      <c r="I899" s="36">
        <f>IFERROR(IF(--MID($F899,2*COUNTIF($G899:H899,"&gt;"&amp;0)+2,1)=I$1,I$1,""),"")</f>
        <v>3</v>
      </c>
      <c r="J899" s="36">
        <f>IFERROR(IF(--MID($F899,2*COUNTIF($G899:I899,"&gt;"&amp;0)+2,1)=J$1,J$1,""),"")</f>
        <v>4</v>
      </c>
      <c r="K899" s="36">
        <f>IFERROR(IF(--MID($F899,2*COUNTIF($G899:J899,"&gt;"&amp;0)+2,1)=K$1,K$1,""),"")</f>
        <v>5</v>
      </c>
      <c r="L899" s="36">
        <f>IFERROR(IF(--MID($F899,2*COUNTIF($G899:K899,"&gt;"&amp;0)+2,1)=L$1,L$1,""),"")</f>
        <v>6</v>
      </c>
      <c r="M899" s="36" t="e" cm="1">
        <f t="array" ref="M899">IF(A899="","",_xlfn.XLOOKUP(D899&amp;"_"&amp;AE899,符文权重!A:A&amp;"_"&amp;符文权重!C:C,符文权重!D:D))</f>
        <v>#N/A</v>
      </c>
      <c r="N899" s="36"/>
      <c r="O899" s="36"/>
      <c r="P899" s="36"/>
      <c r="Q899" s="36"/>
      <c r="R899" s="36"/>
      <c r="S899" s="36" t="s">
        <v>192</v>
      </c>
      <c r="T899" s="36" t="s">
        <v>230</v>
      </c>
      <c r="U899" s="36" t="s">
        <v>429</v>
      </c>
      <c r="W899" s="36" t="s">
        <v>304</v>
      </c>
      <c r="X899" s="35" t="s">
        <v>1203</v>
      </c>
      <c r="Y899" s="35">
        <v>100</v>
      </c>
      <c r="Z899" s="35"/>
      <c r="AA899" s="36" t="s">
        <v>191</v>
      </c>
      <c r="AB899" s="80" t="s">
        <v>1232</v>
      </c>
      <c r="AC899" s="35">
        <v>5501141</v>
      </c>
      <c r="AD899" s="36" t="s">
        <v>428</v>
      </c>
      <c r="AE899" s="36">
        <v>100</v>
      </c>
      <c r="AF899" s="36" t="s">
        <v>178</v>
      </c>
      <c r="AG899" s="79">
        <v>1</v>
      </c>
      <c r="AH899" s="36">
        <v>0</v>
      </c>
      <c r="AI899" s="33"/>
      <c r="AJ899" s="37"/>
      <c r="AK899" s="35"/>
      <c r="AL899" s="35"/>
    </row>
    <row r="900" s="25" customFormat="1" hidden="1" customHeight="1" spans="1:38">
      <c r="A900" s="33">
        <v>53011151</v>
      </c>
      <c r="B900" s="34"/>
      <c r="C900" s="35">
        <v>53011151</v>
      </c>
      <c r="D900" s="36">
        <v>1</v>
      </c>
      <c r="E900" s="36"/>
      <c r="F900" s="36" t="s">
        <v>174</v>
      </c>
      <c r="G900" s="36">
        <f t="shared" si="272"/>
        <v>1</v>
      </c>
      <c r="H900" s="36">
        <f>IFERROR(IF(--MID($F900,2*COUNTIF($G900:G900,"&gt;"&amp;0)+2,1)=H$1,H$1,""),"")</f>
        <v>2</v>
      </c>
      <c r="I900" s="36">
        <f>IFERROR(IF(--MID($F900,2*COUNTIF($G900:H900,"&gt;"&amp;0)+2,1)=I$1,I$1,""),"")</f>
        <v>3</v>
      </c>
      <c r="J900" s="36">
        <f>IFERROR(IF(--MID($F900,2*COUNTIF($G900:I900,"&gt;"&amp;0)+2,1)=J$1,J$1,""),"")</f>
        <v>4</v>
      </c>
      <c r="K900" s="36">
        <f>IFERROR(IF(--MID($F900,2*COUNTIF($G900:J900,"&gt;"&amp;0)+2,1)=K$1,K$1,""),"")</f>
        <v>5</v>
      </c>
      <c r="L900" s="36">
        <f>IFERROR(IF(--MID($F900,2*COUNTIF($G900:K900,"&gt;"&amp;0)+2,1)=L$1,L$1,""),"")</f>
        <v>6</v>
      </c>
      <c r="M900" s="36" t="e" cm="1">
        <f t="array" ref="M900">IF(A900="","",_xlfn.XLOOKUP(D900&amp;"_"&amp;AE900,符文权重!A:A&amp;"_"&amp;符文权重!C:C,符文权重!D:D))</f>
        <v>#N/A</v>
      </c>
      <c r="N900" s="36"/>
      <c r="O900" s="36"/>
      <c r="P900" s="36"/>
      <c r="Q900" s="36"/>
      <c r="R900" s="36"/>
      <c r="S900" s="36" t="s">
        <v>192</v>
      </c>
      <c r="T900" s="36" t="s">
        <v>239</v>
      </c>
      <c r="U900" s="36" t="s">
        <v>413</v>
      </c>
      <c r="W900" s="36" t="s">
        <v>305</v>
      </c>
      <c r="X900" s="35" t="s">
        <v>1170</v>
      </c>
      <c r="Y900" s="35">
        <v>100</v>
      </c>
      <c r="Z900" s="35"/>
      <c r="AA900" s="36" t="s">
        <v>177</v>
      </c>
      <c r="AB900" s="36" t="s">
        <v>1233</v>
      </c>
      <c r="AC900" s="35">
        <v>5501151</v>
      </c>
      <c r="AD900" s="36" t="s">
        <v>404</v>
      </c>
      <c r="AE900" s="36">
        <v>100</v>
      </c>
      <c r="AF900" s="36" t="s">
        <v>178</v>
      </c>
      <c r="AG900" s="79">
        <v>1</v>
      </c>
      <c r="AH900" s="36">
        <v>0</v>
      </c>
      <c r="AL900" s="35"/>
    </row>
    <row r="901" s="25" customFormat="1" hidden="1" customHeight="1" spans="1:38">
      <c r="A901" s="33">
        <v>53021151</v>
      </c>
      <c r="B901" s="34"/>
      <c r="C901" s="35">
        <v>53011151</v>
      </c>
      <c r="D901" s="36">
        <v>2</v>
      </c>
      <c r="E901" s="36"/>
      <c r="F901" s="36" t="s">
        <v>174</v>
      </c>
      <c r="G901" s="36">
        <f t="shared" si="272"/>
        <v>1</v>
      </c>
      <c r="H901" s="36">
        <f>IFERROR(IF(--MID($F901,2*COUNTIF($G901:G901,"&gt;"&amp;0)+2,1)=H$1,H$1,""),"")</f>
        <v>2</v>
      </c>
      <c r="I901" s="36">
        <f>IFERROR(IF(--MID($F901,2*COUNTIF($G901:H901,"&gt;"&amp;0)+2,1)=I$1,I$1,""),"")</f>
        <v>3</v>
      </c>
      <c r="J901" s="36">
        <f>IFERROR(IF(--MID($F901,2*COUNTIF($G901:I901,"&gt;"&amp;0)+2,1)=J$1,J$1,""),"")</f>
        <v>4</v>
      </c>
      <c r="K901" s="36">
        <f>IFERROR(IF(--MID($F901,2*COUNTIF($G901:J901,"&gt;"&amp;0)+2,1)=K$1,K$1,""),"")</f>
        <v>5</v>
      </c>
      <c r="L901" s="36">
        <f>IFERROR(IF(--MID($F901,2*COUNTIF($G901:K901,"&gt;"&amp;0)+2,1)=L$1,L$1,""),"")</f>
        <v>6</v>
      </c>
      <c r="M901" s="36" t="e" cm="1">
        <f t="array" ref="M901">IF(A901="","",_xlfn.XLOOKUP(D901&amp;"_"&amp;AE901,符文权重!A:A&amp;"_"&amp;符文权重!C:C,符文权重!D:D))</f>
        <v>#N/A</v>
      </c>
      <c r="N901" s="36"/>
      <c r="O901" s="36"/>
      <c r="P901" s="36"/>
      <c r="Q901" s="36"/>
      <c r="R901" s="36"/>
      <c r="S901" s="36" t="s">
        <v>192</v>
      </c>
      <c r="T901" s="36" t="s">
        <v>239</v>
      </c>
      <c r="U901" s="36" t="s">
        <v>415</v>
      </c>
      <c r="W901" s="36" t="s">
        <v>307</v>
      </c>
      <c r="X901" s="35" t="s">
        <v>1174</v>
      </c>
      <c r="Y901" s="35">
        <v>100</v>
      </c>
      <c r="Z901" s="35"/>
      <c r="AA901" s="36" t="s">
        <v>181</v>
      </c>
      <c r="AB901" s="36" t="s">
        <v>1234</v>
      </c>
      <c r="AC901" s="35">
        <v>5501151</v>
      </c>
      <c r="AD901" s="36" t="s">
        <v>220</v>
      </c>
      <c r="AE901" s="36">
        <v>100</v>
      </c>
      <c r="AF901" s="36" t="s">
        <v>178</v>
      </c>
      <c r="AG901" s="79">
        <v>1</v>
      </c>
      <c r="AH901" s="36">
        <v>0</v>
      </c>
      <c r="AL901" s="35"/>
    </row>
    <row r="902" s="25" customFormat="1" hidden="1" customHeight="1" spans="1:38">
      <c r="A902" s="33">
        <v>53031151</v>
      </c>
      <c r="B902" s="34"/>
      <c r="C902" s="35">
        <v>53011151</v>
      </c>
      <c r="D902" s="36">
        <v>3</v>
      </c>
      <c r="E902" s="36"/>
      <c r="F902" s="36" t="s">
        <v>174</v>
      </c>
      <c r="G902" s="36">
        <f t="shared" si="272"/>
        <v>1</v>
      </c>
      <c r="H902" s="36">
        <f>IFERROR(IF(--MID($F902,2*COUNTIF($G902:G902,"&gt;"&amp;0)+2,1)=H$1,H$1,""),"")</f>
        <v>2</v>
      </c>
      <c r="I902" s="36">
        <f>IFERROR(IF(--MID($F902,2*COUNTIF($G902:H902,"&gt;"&amp;0)+2,1)=I$1,I$1,""),"")</f>
        <v>3</v>
      </c>
      <c r="J902" s="36">
        <f>IFERROR(IF(--MID($F902,2*COUNTIF($G902:I902,"&gt;"&amp;0)+2,1)=J$1,J$1,""),"")</f>
        <v>4</v>
      </c>
      <c r="K902" s="36">
        <f>IFERROR(IF(--MID($F902,2*COUNTIF($G902:J902,"&gt;"&amp;0)+2,1)=K$1,K$1,""),"")</f>
        <v>5</v>
      </c>
      <c r="L902" s="36">
        <f>IFERROR(IF(--MID($F902,2*COUNTIF($G902:K902,"&gt;"&amp;0)+2,1)=L$1,L$1,""),"")</f>
        <v>6</v>
      </c>
      <c r="M902" s="36" t="e" cm="1">
        <f t="array" ref="M902">IF(A902="","",_xlfn.XLOOKUP(D902&amp;"_"&amp;AE902,符文权重!A:A&amp;"_"&amp;符文权重!C:C,符文权重!D:D))</f>
        <v>#N/A</v>
      </c>
      <c r="N902" s="36"/>
      <c r="O902" s="36"/>
      <c r="P902" s="36"/>
      <c r="Q902" s="36"/>
      <c r="R902" s="36"/>
      <c r="S902" s="36" t="s">
        <v>192</v>
      </c>
      <c r="T902" s="36" t="s">
        <v>239</v>
      </c>
      <c r="U902" s="36" t="s">
        <v>417</v>
      </c>
      <c r="W902" s="36" t="s">
        <v>308</v>
      </c>
      <c r="X902" s="35" t="s">
        <v>1176</v>
      </c>
      <c r="Y902" s="35">
        <v>100</v>
      </c>
      <c r="Z902" s="35"/>
      <c r="AA902" s="36" t="s">
        <v>183</v>
      </c>
      <c r="AB902" s="36" t="s">
        <v>1235</v>
      </c>
      <c r="AC902" s="35">
        <v>5501151</v>
      </c>
      <c r="AD902" s="36" t="s">
        <v>419</v>
      </c>
      <c r="AE902" s="36">
        <v>100</v>
      </c>
      <c r="AF902" s="36" t="s">
        <v>178</v>
      </c>
      <c r="AG902" s="79">
        <v>1</v>
      </c>
      <c r="AH902" s="36">
        <v>0</v>
      </c>
      <c r="AL902" s="35"/>
    </row>
    <row r="903" s="25" customFormat="1" hidden="1" customHeight="1" spans="1:38">
      <c r="A903" s="33">
        <v>53041151</v>
      </c>
      <c r="B903" s="34"/>
      <c r="C903" s="35">
        <v>53011151</v>
      </c>
      <c r="D903" s="36">
        <v>4</v>
      </c>
      <c r="E903" s="36"/>
      <c r="F903" s="36" t="s">
        <v>174</v>
      </c>
      <c r="G903" s="36">
        <f t="shared" si="272"/>
        <v>1</v>
      </c>
      <c r="H903" s="36">
        <f>IFERROR(IF(--MID($F903,2*COUNTIF($G903:G903,"&gt;"&amp;0)+2,1)=H$1,H$1,""),"")</f>
        <v>2</v>
      </c>
      <c r="I903" s="36">
        <f>IFERROR(IF(--MID($F903,2*COUNTIF($G903:H903,"&gt;"&amp;0)+2,1)=I$1,I$1,""),"")</f>
        <v>3</v>
      </c>
      <c r="J903" s="36">
        <f>IFERROR(IF(--MID($F903,2*COUNTIF($G903:I903,"&gt;"&amp;0)+2,1)=J$1,J$1,""),"")</f>
        <v>4</v>
      </c>
      <c r="K903" s="36">
        <f>IFERROR(IF(--MID($F903,2*COUNTIF($G903:J903,"&gt;"&amp;0)+2,1)=K$1,K$1,""),"")</f>
        <v>5</v>
      </c>
      <c r="L903" s="36">
        <f>IFERROR(IF(--MID($F903,2*COUNTIF($G903:K903,"&gt;"&amp;0)+2,1)=L$1,L$1,""),"")</f>
        <v>6</v>
      </c>
      <c r="M903" s="36" t="e" cm="1">
        <f t="array" ref="M903">IF(A903="","",_xlfn.XLOOKUP(D903&amp;"_"&amp;AE903,符文权重!A:A&amp;"_"&amp;符文权重!C:C,符文权重!D:D))</f>
        <v>#N/A</v>
      </c>
      <c r="N903" s="36"/>
      <c r="O903" s="36"/>
      <c r="P903" s="36"/>
      <c r="Q903" s="36"/>
      <c r="R903" s="36"/>
      <c r="S903" s="36" t="s">
        <v>192</v>
      </c>
      <c r="T903" s="36" t="s">
        <v>239</v>
      </c>
      <c r="U903" s="36" t="s">
        <v>420</v>
      </c>
      <c r="W903" s="36" t="s">
        <v>309</v>
      </c>
      <c r="X903" s="35" t="s">
        <v>1178</v>
      </c>
      <c r="Y903" s="35">
        <v>100</v>
      </c>
      <c r="Z903" s="35"/>
      <c r="AA903" s="36" t="s">
        <v>185</v>
      </c>
      <c r="AB903" s="36" t="s">
        <v>1236</v>
      </c>
      <c r="AC903" s="35">
        <v>5501151</v>
      </c>
      <c r="AD903" s="36" t="s">
        <v>422</v>
      </c>
      <c r="AE903" s="36">
        <v>100</v>
      </c>
      <c r="AF903" s="36" t="s">
        <v>178</v>
      </c>
      <c r="AG903" s="79">
        <v>1</v>
      </c>
      <c r="AH903" s="36">
        <v>0</v>
      </c>
      <c r="AI903" s="33"/>
      <c r="AJ903" s="37"/>
      <c r="AK903" s="35"/>
      <c r="AL903" s="35"/>
    </row>
    <row r="904" s="25" customFormat="1" hidden="1" customHeight="1" spans="1:38">
      <c r="A904" s="33">
        <v>53051151</v>
      </c>
      <c r="B904" s="34"/>
      <c r="C904" s="35">
        <v>53011151</v>
      </c>
      <c r="D904" s="36">
        <v>5</v>
      </c>
      <c r="E904" s="36"/>
      <c r="F904" s="36" t="s">
        <v>174</v>
      </c>
      <c r="G904" s="36">
        <f t="shared" si="272"/>
        <v>1</v>
      </c>
      <c r="H904" s="36">
        <f>IFERROR(IF(--MID($F904,2*COUNTIF($G904:G904,"&gt;"&amp;0)+2,1)=H$1,H$1,""),"")</f>
        <v>2</v>
      </c>
      <c r="I904" s="36">
        <f>IFERROR(IF(--MID($F904,2*COUNTIF($G904:H904,"&gt;"&amp;0)+2,1)=I$1,I$1,""),"")</f>
        <v>3</v>
      </c>
      <c r="J904" s="36">
        <f>IFERROR(IF(--MID($F904,2*COUNTIF($G904:I904,"&gt;"&amp;0)+2,1)=J$1,J$1,""),"")</f>
        <v>4</v>
      </c>
      <c r="K904" s="36">
        <f>IFERROR(IF(--MID($F904,2*COUNTIF($G904:J904,"&gt;"&amp;0)+2,1)=K$1,K$1,""),"")</f>
        <v>5</v>
      </c>
      <c r="L904" s="36">
        <f>IFERROR(IF(--MID($F904,2*COUNTIF($G904:K904,"&gt;"&amp;0)+2,1)=L$1,L$1,""),"")</f>
        <v>6</v>
      </c>
      <c r="M904" s="36" t="e" cm="1">
        <f t="array" ref="M904">IF(A904="","",_xlfn.XLOOKUP(D904&amp;"_"&amp;AE904,符文权重!A:A&amp;"_"&amp;符文权重!C:C,符文权重!D:D))</f>
        <v>#N/A</v>
      </c>
      <c r="N904" s="36"/>
      <c r="O904" s="36"/>
      <c r="P904" s="36"/>
      <c r="Q904" s="36"/>
      <c r="R904" s="36"/>
      <c r="S904" s="36" t="s">
        <v>192</v>
      </c>
      <c r="T904" s="36" t="s">
        <v>239</v>
      </c>
      <c r="U904" s="36" t="s">
        <v>423</v>
      </c>
      <c r="W904" s="36" t="s">
        <v>310</v>
      </c>
      <c r="X904" s="35" t="s">
        <v>1198</v>
      </c>
      <c r="Y904" s="35">
        <v>100</v>
      </c>
      <c r="Z904" s="35"/>
      <c r="AA904" s="36" t="s">
        <v>187</v>
      </c>
      <c r="AB904" s="36" t="s">
        <v>1237</v>
      </c>
      <c r="AC904" s="35">
        <v>5501151</v>
      </c>
      <c r="AD904" s="36" t="s">
        <v>1200</v>
      </c>
      <c r="AE904" s="36">
        <v>100</v>
      </c>
      <c r="AF904" s="36" t="s">
        <v>178</v>
      </c>
      <c r="AG904" s="79">
        <v>1</v>
      </c>
      <c r="AH904" s="36">
        <v>0</v>
      </c>
      <c r="AI904" s="33"/>
      <c r="AJ904" s="37"/>
      <c r="AK904" s="35"/>
      <c r="AL904" s="35"/>
    </row>
    <row r="905" s="25" customFormat="1" hidden="1" customHeight="1" spans="1:38">
      <c r="A905" s="33">
        <v>53061151</v>
      </c>
      <c r="B905" s="34"/>
      <c r="C905" s="35">
        <v>53011151</v>
      </c>
      <c r="D905" s="36">
        <v>6</v>
      </c>
      <c r="E905" s="36"/>
      <c r="F905" s="36" t="s">
        <v>174</v>
      </c>
      <c r="G905" s="36">
        <f t="shared" si="272"/>
        <v>1</v>
      </c>
      <c r="H905" s="36">
        <f>IFERROR(IF(--MID($F905,2*COUNTIF($G905:G905,"&gt;"&amp;0)+2,1)=H$1,H$1,""),"")</f>
        <v>2</v>
      </c>
      <c r="I905" s="36">
        <f>IFERROR(IF(--MID($F905,2*COUNTIF($G905:H905,"&gt;"&amp;0)+2,1)=I$1,I$1,""),"")</f>
        <v>3</v>
      </c>
      <c r="J905" s="36">
        <f>IFERROR(IF(--MID($F905,2*COUNTIF($G905:I905,"&gt;"&amp;0)+2,1)=J$1,J$1,""),"")</f>
        <v>4</v>
      </c>
      <c r="K905" s="36">
        <f>IFERROR(IF(--MID($F905,2*COUNTIF($G905:J905,"&gt;"&amp;0)+2,1)=K$1,K$1,""),"")</f>
        <v>5</v>
      </c>
      <c r="L905" s="36">
        <f>IFERROR(IF(--MID($F905,2*COUNTIF($G905:K905,"&gt;"&amp;0)+2,1)=L$1,L$1,""),"")</f>
        <v>6</v>
      </c>
      <c r="M905" s="36" t="e" cm="1">
        <f t="array" ref="M905">IF(A905="","",_xlfn.XLOOKUP(D905&amp;"_"&amp;AE905,符文权重!A:A&amp;"_"&amp;符文权重!C:C,符文权重!D:D))</f>
        <v>#N/A</v>
      </c>
      <c r="N905" s="36"/>
      <c r="O905" s="36"/>
      <c r="P905" s="36"/>
      <c r="Q905" s="36"/>
      <c r="R905" s="36"/>
      <c r="S905" s="36" t="s">
        <v>192</v>
      </c>
      <c r="T905" s="36" t="s">
        <v>239</v>
      </c>
      <c r="U905" s="36" t="s">
        <v>426</v>
      </c>
      <c r="W905" s="36" t="s">
        <v>311</v>
      </c>
      <c r="X905" s="35" t="s">
        <v>1201</v>
      </c>
      <c r="Y905" s="35">
        <v>100</v>
      </c>
      <c r="Z905" s="35"/>
      <c r="AA905" s="36" t="s">
        <v>189</v>
      </c>
      <c r="AB905" s="36" t="s">
        <v>1238</v>
      </c>
      <c r="AC905" s="35">
        <v>5501151</v>
      </c>
      <c r="AD905" s="36" t="s">
        <v>425</v>
      </c>
      <c r="AE905" s="36">
        <v>100</v>
      </c>
      <c r="AF905" s="36" t="s">
        <v>178</v>
      </c>
      <c r="AG905" s="79">
        <v>1</v>
      </c>
      <c r="AH905" s="36">
        <v>0</v>
      </c>
      <c r="AI905" s="33"/>
      <c r="AJ905" s="37"/>
      <c r="AK905" s="35"/>
      <c r="AL905" s="35"/>
    </row>
    <row r="906" s="25" customFormat="1" hidden="1" customHeight="1" spans="1:38">
      <c r="A906" s="33">
        <v>53071151</v>
      </c>
      <c r="B906" s="34"/>
      <c r="C906" s="35">
        <v>53011151</v>
      </c>
      <c r="D906" s="36">
        <v>7</v>
      </c>
      <c r="E906" s="36"/>
      <c r="F906" s="36" t="s">
        <v>174</v>
      </c>
      <c r="G906" s="36">
        <f t="shared" si="272"/>
        <v>1</v>
      </c>
      <c r="H906" s="36">
        <f>IFERROR(IF(--MID($F906,2*COUNTIF($G906:G906,"&gt;"&amp;0)+2,1)=H$1,H$1,""),"")</f>
        <v>2</v>
      </c>
      <c r="I906" s="36">
        <f>IFERROR(IF(--MID($F906,2*COUNTIF($G906:H906,"&gt;"&amp;0)+2,1)=I$1,I$1,""),"")</f>
        <v>3</v>
      </c>
      <c r="J906" s="36">
        <f>IFERROR(IF(--MID($F906,2*COUNTIF($G906:I906,"&gt;"&amp;0)+2,1)=J$1,J$1,""),"")</f>
        <v>4</v>
      </c>
      <c r="K906" s="36">
        <f>IFERROR(IF(--MID($F906,2*COUNTIF($G906:J906,"&gt;"&amp;0)+2,1)=K$1,K$1,""),"")</f>
        <v>5</v>
      </c>
      <c r="L906" s="36">
        <f>IFERROR(IF(--MID($F906,2*COUNTIF($G906:K906,"&gt;"&amp;0)+2,1)=L$1,L$1,""),"")</f>
        <v>6</v>
      </c>
      <c r="M906" s="36" t="e" cm="1">
        <f t="array" ref="M906">IF(A906="","",_xlfn.XLOOKUP(D906&amp;"_"&amp;AE906,符文权重!A:A&amp;"_"&amp;符文权重!C:C,符文权重!D:D))</f>
        <v>#N/A</v>
      </c>
      <c r="N906" s="36"/>
      <c r="O906" s="36"/>
      <c r="P906" s="36"/>
      <c r="Q906" s="36"/>
      <c r="R906" s="36"/>
      <c r="S906" s="36" t="s">
        <v>192</v>
      </c>
      <c r="T906" s="36" t="s">
        <v>239</v>
      </c>
      <c r="U906" s="36" t="s">
        <v>429</v>
      </c>
      <c r="W906" s="36" t="s">
        <v>312</v>
      </c>
      <c r="X906" s="35" t="s">
        <v>1203</v>
      </c>
      <c r="Y906" s="35">
        <v>100</v>
      </c>
      <c r="Z906" s="35"/>
      <c r="AA906" s="36" t="s">
        <v>191</v>
      </c>
      <c r="AB906" s="80" t="s">
        <v>1239</v>
      </c>
      <c r="AC906" s="35">
        <v>5501151</v>
      </c>
      <c r="AD906" s="36" t="s">
        <v>428</v>
      </c>
      <c r="AE906" s="36">
        <v>100</v>
      </c>
      <c r="AF906" s="36" t="s">
        <v>178</v>
      </c>
      <c r="AG906" s="79">
        <v>1</v>
      </c>
      <c r="AH906" s="36">
        <v>0</v>
      </c>
      <c r="AI906" s="33"/>
      <c r="AJ906" s="37"/>
      <c r="AK906" s="35"/>
      <c r="AL906" s="35"/>
    </row>
    <row r="907" s="25" customFormat="1" hidden="1" customHeight="1" spans="1:38">
      <c r="A907" s="33">
        <v>5301117</v>
      </c>
      <c r="B907" s="34"/>
      <c r="C907" s="35">
        <v>5301117</v>
      </c>
      <c r="D907" s="36">
        <v>1</v>
      </c>
      <c r="E907" s="36"/>
      <c r="F907" s="36" t="s">
        <v>174</v>
      </c>
      <c r="G907" s="36">
        <f t="shared" si="272"/>
        <v>1</v>
      </c>
      <c r="H907" s="36">
        <f>IFERROR(IF(--MID($F907,2*COUNTIF($G907:G907,"&gt;"&amp;0)+2,1)=H$1,H$1,""),"")</f>
        <v>2</v>
      </c>
      <c r="I907" s="36">
        <f>IFERROR(IF(--MID($F907,2*COUNTIF($G907:H907,"&gt;"&amp;0)+2,1)=I$1,I$1,""),"")</f>
        <v>3</v>
      </c>
      <c r="J907" s="36">
        <f>IFERROR(IF(--MID($F907,2*COUNTIF($G907:I907,"&gt;"&amp;0)+2,1)=J$1,J$1,""),"")</f>
        <v>4</v>
      </c>
      <c r="K907" s="36">
        <f>IFERROR(IF(--MID($F907,2*COUNTIF($G907:J907,"&gt;"&amp;0)+2,1)=K$1,K$1,""),"")</f>
        <v>5</v>
      </c>
      <c r="L907" s="36">
        <f>IFERROR(IF(--MID($F907,2*COUNTIF($G907:K907,"&gt;"&amp;0)+2,1)=L$1,L$1,""),"")</f>
        <v>6</v>
      </c>
      <c r="M907" s="36" t="e" cm="1">
        <f t="array" ref="M907">IF(A907="","",_xlfn.XLOOKUP(D907&amp;"_"&amp;AE907,符文权重!A:A&amp;"_"&amp;符文权重!C:C,符文权重!D:D))</f>
        <v>#N/A</v>
      </c>
      <c r="N907" s="36"/>
      <c r="O907" s="36"/>
      <c r="P907" s="36"/>
      <c r="Q907" s="36"/>
      <c r="R907" s="36"/>
      <c r="S907" s="36" t="s">
        <v>175</v>
      </c>
      <c r="T907" s="36"/>
      <c r="U907" s="36" t="s">
        <v>413</v>
      </c>
      <c r="W907" s="36" t="s">
        <v>314</v>
      </c>
      <c r="X907" s="35" t="s">
        <v>1240</v>
      </c>
      <c r="Y907" s="35">
        <v>100</v>
      </c>
      <c r="Z907" s="35"/>
      <c r="AA907" s="36" t="s">
        <v>177</v>
      </c>
      <c r="AB907" s="36" t="s">
        <v>1241</v>
      </c>
      <c r="AC907" s="35">
        <v>5501161</v>
      </c>
      <c r="AD907" s="36" t="s">
        <v>422</v>
      </c>
      <c r="AE907" s="36">
        <v>100</v>
      </c>
      <c r="AF907" s="36" t="s">
        <v>178</v>
      </c>
      <c r="AG907" s="79">
        <v>1</v>
      </c>
      <c r="AH907" s="36">
        <v>0</v>
      </c>
      <c r="AI907" s="33"/>
      <c r="AJ907" s="37"/>
      <c r="AK907" s="35"/>
      <c r="AL907" s="35"/>
    </row>
    <row r="908" s="25" customFormat="1" hidden="1" customHeight="1" spans="1:38">
      <c r="A908" s="33">
        <v>5302117</v>
      </c>
      <c r="B908" s="34"/>
      <c r="C908" s="35">
        <v>5301117</v>
      </c>
      <c r="D908" s="36">
        <v>2</v>
      </c>
      <c r="E908" s="36"/>
      <c r="F908" s="36" t="s">
        <v>174</v>
      </c>
      <c r="G908" s="36">
        <f t="shared" si="272"/>
        <v>1</v>
      </c>
      <c r="H908" s="36">
        <f>IFERROR(IF(--MID($F908,2*COUNTIF($G908:G908,"&gt;"&amp;0)+2,1)=H$1,H$1,""),"")</f>
        <v>2</v>
      </c>
      <c r="I908" s="36">
        <f>IFERROR(IF(--MID($F908,2*COUNTIF($G908:H908,"&gt;"&amp;0)+2,1)=I$1,I$1,""),"")</f>
        <v>3</v>
      </c>
      <c r="J908" s="36">
        <f>IFERROR(IF(--MID($F908,2*COUNTIF($G908:I908,"&gt;"&amp;0)+2,1)=J$1,J$1,""),"")</f>
        <v>4</v>
      </c>
      <c r="K908" s="36">
        <f>IFERROR(IF(--MID($F908,2*COUNTIF($G908:J908,"&gt;"&amp;0)+2,1)=K$1,K$1,""),"")</f>
        <v>5</v>
      </c>
      <c r="L908" s="36">
        <f>IFERROR(IF(--MID($F908,2*COUNTIF($G908:K908,"&gt;"&amp;0)+2,1)=L$1,L$1,""),"")</f>
        <v>6</v>
      </c>
      <c r="M908" s="36" t="e" cm="1">
        <f t="array" ref="M908">IF(A908="","",_xlfn.XLOOKUP(D908&amp;"_"&amp;AE908,符文权重!A:A&amp;"_"&amp;符文权重!C:C,符文权重!D:D))</f>
        <v>#N/A</v>
      </c>
      <c r="N908" s="36"/>
      <c r="O908" s="36"/>
      <c r="P908" s="36"/>
      <c r="Q908" s="36"/>
      <c r="R908" s="36"/>
      <c r="S908" s="36" t="s">
        <v>175</v>
      </c>
      <c r="T908" s="36"/>
      <c r="U908" s="36" t="s">
        <v>415</v>
      </c>
      <c r="W908" s="36" t="s">
        <v>315</v>
      </c>
      <c r="X908" s="35" t="s">
        <v>1242</v>
      </c>
      <c r="Y908" s="35">
        <v>100</v>
      </c>
      <c r="Z908" s="35"/>
      <c r="AA908" s="36" t="s">
        <v>181</v>
      </c>
      <c r="AB908" s="36" t="s">
        <v>1243</v>
      </c>
      <c r="AC908" s="35">
        <v>5501161</v>
      </c>
      <c r="AD908" s="36" t="s">
        <v>425</v>
      </c>
      <c r="AE908" s="36">
        <v>100</v>
      </c>
      <c r="AF908" s="36" t="s">
        <v>178</v>
      </c>
      <c r="AG908" s="79">
        <v>1</v>
      </c>
      <c r="AH908" s="36">
        <v>0</v>
      </c>
      <c r="AI908" s="33"/>
      <c r="AJ908" s="37"/>
      <c r="AK908" s="35"/>
      <c r="AL908" s="35"/>
    </row>
    <row r="909" s="25" customFormat="1" hidden="1" customHeight="1" spans="1:38">
      <c r="A909" s="33">
        <v>5303117</v>
      </c>
      <c r="B909" s="34"/>
      <c r="C909" s="35">
        <v>5301117</v>
      </c>
      <c r="D909" s="36">
        <v>3</v>
      </c>
      <c r="E909" s="36"/>
      <c r="F909" s="36" t="s">
        <v>174</v>
      </c>
      <c r="G909" s="36">
        <f t="shared" si="272"/>
        <v>1</v>
      </c>
      <c r="H909" s="36">
        <f>IFERROR(IF(--MID($F909,2*COUNTIF($G909:G909,"&gt;"&amp;0)+2,1)=H$1,H$1,""),"")</f>
        <v>2</v>
      </c>
      <c r="I909" s="36">
        <f>IFERROR(IF(--MID($F909,2*COUNTIF($G909:H909,"&gt;"&amp;0)+2,1)=I$1,I$1,""),"")</f>
        <v>3</v>
      </c>
      <c r="J909" s="36">
        <f>IFERROR(IF(--MID($F909,2*COUNTIF($G909:I909,"&gt;"&amp;0)+2,1)=J$1,J$1,""),"")</f>
        <v>4</v>
      </c>
      <c r="K909" s="36">
        <f>IFERROR(IF(--MID($F909,2*COUNTIF($G909:J909,"&gt;"&amp;0)+2,1)=K$1,K$1,""),"")</f>
        <v>5</v>
      </c>
      <c r="L909" s="36">
        <f>IFERROR(IF(--MID($F909,2*COUNTIF($G909:K909,"&gt;"&amp;0)+2,1)=L$1,L$1,""),"")</f>
        <v>6</v>
      </c>
      <c r="M909" s="36" t="e" cm="1">
        <f t="array" ref="M909">IF(A909="","",_xlfn.XLOOKUP(D909&amp;"_"&amp;AE909,符文权重!A:A&amp;"_"&amp;符文权重!C:C,符文权重!D:D))</f>
        <v>#N/A</v>
      </c>
      <c r="N909" s="36"/>
      <c r="O909" s="36"/>
      <c r="P909" s="36"/>
      <c r="Q909" s="36"/>
      <c r="R909" s="36"/>
      <c r="S909" s="36" t="s">
        <v>175</v>
      </c>
      <c r="T909" s="36"/>
      <c r="U909" s="36" t="s">
        <v>417</v>
      </c>
      <c r="W909" s="36" t="s">
        <v>316</v>
      </c>
      <c r="X909" s="35" t="s">
        <v>1244</v>
      </c>
      <c r="Y909" s="35">
        <v>100</v>
      </c>
      <c r="Z909" s="35"/>
      <c r="AA909" s="36" t="s">
        <v>183</v>
      </c>
      <c r="AB909" s="36" t="s">
        <v>1245</v>
      </c>
      <c r="AC909" s="35">
        <v>5501161</v>
      </c>
      <c r="AD909" s="36" t="s">
        <v>428</v>
      </c>
      <c r="AE909" s="36">
        <v>100</v>
      </c>
      <c r="AF909" s="36" t="s">
        <v>178</v>
      </c>
      <c r="AG909" s="79">
        <v>1</v>
      </c>
      <c r="AH909" s="36">
        <v>0</v>
      </c>
      <c r="AI909" s="33"/>
      <c r="AJ909" s="37"/>
      <c r="AK909" s="35"/>
      <c r="AL909" s="35"/>
    </row>
    <row r="910" s="25" customFormat="1" hidden="1" customHeight="1" spans="1:38">
      <c r="A910" s="33">
        <v>5304117</v>
      </c>
      <c r="B910" s="34"/>
      <c r="C910" s="35">
        <v>5301117</v>
      </c>
      <c r="D910" s="36">
        <v>4</v>
      </c>
      <c r="E910" s="36"/>
      <c r="F910" s="36" t="s">
        <v>174</v>
      </c>
      <c r="G910" s="36">
        <f t="shared" si="272"/>
        <v>1</v>
      </c>
      <c r="H910" s="36">
        <f>IFERROR(IF(--MID($F910,2*COUNTIF($G910:G910,"&gt;"&amp;0)+2,1)=H$1,H$1,""),"")</f>
        <v>2</v>
      </c>
      <c r="I910" s="36">
        <f>IFERROR(IF(--MID($F910,2*COUNTIF($G910:H910,"&gt;"&amp;0)+2,1)=I$1,I$1,""),"")</f>
        <v>3</v>
      </c>
      <c r="J910" s="36">
        <f>IFERROR(IF(--MID($F910,2*COUNTIF($G910:I910,"&gt;"&amp;0)+2,1)=J$1,J$1,""),"")</f>
        <v>4</v>
      </c>
      <c r="K910" s="36">
        <f>IFERROR(IF(--MID($F910,2*COUNTIF($G910:J910,"&gt;"&amp;0)+2,1)=K$1,K$1,""),"")</f>
        <v>5</v>
      </c>
      <c r="L910" s="36">
        <f>IFERROR(IF(--MID($F910,2*COUNTIF($G910:K910,"&gt;"&amp;0)+2,1)=L$1,L$1,""),"")</f>
        <v>6</v>
      </c>
      <c r="M910" s="36" t="e" cm="1">
        <f t="array" ref="M910">IF(A910="","",_xlfn.XLOOKUP(D910&amp;"_"&amp;AE910,符文权重!A:A&amp;"_"&amp;符文权重!C:C,符文权重!D:D))</f>
        <v>#N/A</v>
      </c>
      <c r="N910" s="36"/>
      <c r="O910" s="36"/>
      <c r="P910" s="36"/>
      <c r="Q910" s="36"/>
      <c r="R910" s="36"/>
      <c r="S910" s="36" t="s">
        <v>175</v>
      </c>
      <c r="T910" s="36"/>
      <c r="U910" s="36" t="s">
        <v>420</v>
      </c>
      <c r="W910" s="36" t="s">
        <v>317</v>
      </c>
      <c r="X910" s="35" t="s">
        <v>1246</v>
      </c>
      <c r="Y910" s="35">
        <v>100</v>
      </c>
      <c r="Z910" s="35"/>
      <c r="AA910" s="36" t="s">
        <v>185</v>
      </c>
      <c r="AB910" s="36" t="s">
        <v>1247</v>
      </c>
      <c r="AC910" s="35">
        <v>5501161</v>
      </c>
      <c r="AD910" s="36" t="s">
        <v>431</v>
      </c>
      <c r="AE910" s="36">
        <v>100</v>
      </c>
      <c r="AF910" s="36" t="s">
        <v>178</v>
      </c>
      <c r="AG910" s="79">
        <v>1</v>
      </c>
      <c r="AH910" s="36">
        <v>0</v>
      </c>
      <c r="AI910" s="33"/>
      <c r="AJ910" s="37"/>
      <c r="AK910" s="35"/>
      <c r="AL910" s="35"/>
    </row>
    <row r="911" s="25" customFormat="1" hidden="1" customHeight="1" spans="1:38">
      <c r="A911" s="33">
        <v>5305117</v>
      </c>
      <c r="B911" s="34"/>
      <c r="C911" s="35">
        <v>5301117</v>
      </c>
      <c r="D911" s="36">
        <v>5</v>
      </c>
      <c r="E911" s="36"/>
      <c r="F911" s="36" t="s">
        <v>174</v>
      </c>
      <c r="G911" s="36">
        <f t="shared" si="272"/>
        <v>1</v>
      </c>
      <c r="H911" s="36">
        <f>IFERROR(IF(--MID($F911,2*COUNTIF($G911:G911,"&gt;"&amp;0)+2,1)=H$1,H$1,""),"")</f>
        <v>2</v>
      </c>
      <c r="I911" s="36">
        <f>IFERROR(IF(--MID($F911,2*COUNTIF($G911:H911,"&gt;"&amp;0)+2,1)=I$1,I$1,""),"")</f>
        <v>3</v>
      </c>
      <c r="J911" s="36">
        <f>IFERROR(IF(--MID($F911,2*COUNTIF($G911:I911,"&gt;"&amp;0)+2,1)=J$1,J$1,""),"")</f>
        <v>4</v>
      </c>
      <c r="K911" s="36">
        <f>IFERROR(IF(--MID($F911,2*COUNTIF($G911:J911,"&gt;"&amp;0)+2,1)=K$1,K$1,""),"")</f>
        <v>5</v>
      </c>
      <c r="L911" s="36">
        <f>IFERROR(IF(--MID($F911,2*COUNTIF($G911:K911,"&gt;"&amp;0)+2,1)=L$1,L$1,""),"")</f>
        <v>6</v>
      </c>
      <c r="M911" s="36" t="e" cm="1">
        <f t="array" ref="M911">IF(A911="","",_xlfn.XLOOKUP(D911&amp;"_"&amp;AE911,符文权重!A:A&amp;"_"&amp;符文权重!C:C,符文权重!D:D))</f>
        <v>#N/A</v>
      </c>
      <c r="N911" s="36"/>
      <c r="O911" s="36"/>
      <c r="P911" s="36"/>
      <c r="Q911" s="36"/>
      <c r="R911" s="36"/>
      <c r="S911" s="36" t="s">
        <v>175</v>
      </c>
      <c r="T911" s="36"/>
      <c r="U911" s="36" t="s">
        <v>423</v>
      </c>
      <c r="W911" s="36" t="s">
        <v>318</v>
      </c>
      <c r="X911" s="35" t="s">
        <v>1248</v>
      </c>
      <c r="Y911" s="35">
        <v>100</v>
      </c>
      <c r="Z911" s="35"/>
      <c r="AA911" s="36" t="s">
        <v>187</v>
      </c>
      <c r="AB911" s="36" t="s">
        <v>1249</v>
      </c>
      <c r="AC911" s="35">
        <v>5501161</v>
      </c>
      <c r="AD911" s="36" t="s">
        <v>472</v>
      </c>
      <c r="AE911" s="36">
        <v>100</v>
      </c>
      <c r="AF911" s="36" t="s">
        <v>178</v>
      </c>
      <c r="AG911" s="79">
        <v>1</v>
      </c>
      <c r="AH911" s="36">
        <v>0</v>
      </c>
      <c r="AI911" s="33"/>
      <c r="AJ911" s="37"/>
      <c r="AK911" s="35"/>
      <c r="AL911" s="35"/>
    </row>
    <row r="912" s="25" customFormat="1" hidden="1" customHeight="1" spans="1:38">
      <c r="A912" s="33">
        <v>5306117</v>
      </c>
      <c r="B912" s="34"/>
      <c r="C912" s="35">
        <v>5301117</v>
      </c>
      <c r="D912" s="36">
        <v>6</v>
      </c>
      <c r="E912" s="36"/>
      <c r="F912" s="36" t="s">
        <v>174</v>
      </c>
      <c r="G912" s="36">
        <f t="shared" si="272"/>
        <v>1</v>
      </c>
      <c r="H912" s="36">
        <f>IFERROR(IF(--MID($F912,2*COUNTIF($G912:G912,"&gt;"&amp;0)+2,1)=H$1,H$1,""),"")</f>
        <v>2</v>
      </c>
      <c r="I912" s="36">
        <f>IFERROR(IF(--MID($F912,2*COUNTIF($G912:H912,"&gt;"&amp;0)+2,1)=I$1,I$1,""),"")</f>
        <v>3</v>
      </c>
      <c r="J912" s="36">
        <f>IFERROR(IF(--MID($F912,2*COUNTIF($G912:I912,"&gt;"&amp;0)+2,1)=J$1,J$1,""),"")</f>
        <v>4</v>
      </c>
      <c r="K912" s="36">
        <f>IFERROR(IF(--MID($F912,2*COUNTIF($G912:J912,"&gt;"&amp;0)+2,1)=K$1,K$1,""),"")</f>
        <v>5</v>
      </c>
      <c r="L912" s="36">
        <f>IFERROR(IF(--MID($F912,2*COUNTIF($G912:K912,"&gt;"&amp;0)+2,1)=L$1,L$1,""),"")</f>
        <v>6</v>
      </c>
      <c r="M912" s="36" t="e" cm="1">
        <f t="array" ref="M912">IF(A912="","",_xlfn.XLOOKUP(D912&amp;"_"&amp;AE912,符文权重!A:A&amp;"_"&amp;符文权重!C:C,符文权重!D:D))</f>
        <v>#N/A</v>
      </c>
      <c r="N912" s="36"/>
      <c r="O912" s="36"/>
      <c r="P912" s="36"/>
      <c r="Q912" s="36"/>
      <c r="R912" s="36"/>
      <c r="S912" s="36" t="s">
        <v>175</v>
      </c>
      <c r="T912" s="36"/>
      <c r="U912" s="36" t="s">
        <v>426</v>
      </c>
      <c r="W912" s="36" t="s">
        <v>319</v>
      </c>
      <c r="X912" s="35" t="s">
        <v>1250</v>
      </c>
      <c r="Y912" s="35">
        <v>100</v>
      </c>
      <c r="Z912" s="35"/>
      <c r="AA912" s="36" t="s">
        <v>189</v>
      </c>
      <c r="AB912" s="36" t="s">
        <v>1251</v>
      </c>
      <c r="AC912" s="35">
        <v>5501161</v>
      </c>
      <c r="AD912" s="36" t="s">
        <v>497</v>
      </c>
      <c r="AE912" s="36">
        <v>100</v>
      </c>
      <c r="AF912" s="36" t="s">
        <v>178</v>
      </c>
      <c r="AG912" s="79">
        <v>1</v>
      </c>
      <c r="AH912" s="36">
        <v>0</v>
      </c>
      <c r="AI912" s="33"/>
      <c r="AJ912" s="37"/>
      <c r="AK912" s="35"/>
      <c r="AL912" s="35"/>
    </row>
    <row r="913" s="25" customFormat="1" hidden="1" customHeight="1" spans="1:38">
      <c r="A913" s="33">
        <v>5307117</v>
      </c>
      <c r="B913" s="34"/>
      <c r="C913" s="35">
        <v>5301117</v>
      </c>
      <c r="D913" s="36">
        <v>7</v>
      </c>
      <c r="E913" s="36"/>
      <c r="F913" s="36" t="s">
        <v>174</v>
      </c>
      <c r="G913" s="36">
        <f t="shared" si="272"/>
        <v>1</v>
      </c>
      <c r="H913" s="36">
        <f>IFERROR(IF(--MID($F913,2*COUNTIF($G913:G913,"&gt;"&amp;0)+2,1)=H$1,H$1,""),"")</f>
        <v>2</v>
      </c>
      <c r="I913" s="36">
        <f>IFERROR(IF(--MID($F913,2*COUNTIF($G913:H913,"&gt;"&amp;0)+2,1)=I$1,I$1,""),"")</f>
        <v>3</v>
      </c>
      <c r="J913" s="36">
        <f>IFERROR(IF(--MID($F913,2*COUNTIF($G913:I913,"&gt;"&amp;0)+2,1)=J$1,J$1,""),"")</f>
        <v>4</v>
      </c>
      <c r="K913" s="36">
        <f>IFERROR(IF(--MID($F913,2*COUNTIF($G913:J913,"&gt;"&amp;0)+2,1)=K$1,K$1,""),"")</f>
        <v>5</v>
      </c>
      <c r="L913" s="36">
        <f>IFERROR(IF(--MID($F913,2*COUNTIF($G913:K913,"&gt;"&amp;0)+2,1)=L$1,L$1,""),"")</f>
        <v>6</v>
      </c>
      <c r="M913" s="36" t="e" cm="1">
        <f t="array" ref="M913">IF(A913="","",_xlfn.XLOOKUP(D913&amp;"_"&amp;AE913,符文权重!A:A&amp;"_"&amp;符文权重!C:C,符文权重!D:D))</f>
        <v>#N/A</v>
      </c>
      <c r="N913" s="36"/>
      <c r="O913" s="36"/>
      <c r="P913" s="36"/>
      <c r="Q913" s="36"/>
      <c r="R913" s="36"/>
      <c r="S913" s="36" t="s">
        <v>175</v>
      </c>
      <c r="T913" s="36"/>
      <c r="U913" s="36" t="s">
        <v>429</v>
      </c>
      <c r="W913" s="36" t="s">
        <v>320</v>
      </c>
      <c r="X913" s="35" t="s">
        <v>1252</v>
      </c>
      <c r="Y913" s="35">
        <v>100</v>
      </c>
      <c r="Z913" s="35"/>
      <c r="AA913" s="36" t="s">
        <v>191</v>
      </c>
      <c r="AB913" s="80" t="s">
        <v>1253</v>
      </c>
      <c r="AC913" s="35">
        <v>5501161</v>
      </c>
      <c r="AD913" s="36" t="s">
        <v>596</v>
      </c>
      <c r="AE913" s="36">
        <v>100</v>
      </c>
      <c r="AF913" s="36" t="s">
        <v>178</v>
      </c>
      <c r="AG913" s="79">
        <v>1</v>
      </c>
      <c r="AH913" s="36">
        <v>0</v>
      </c>
      <c r="AI913" s="33"/>
      <c r="AJ913" s="37"/>
      <c r="AK913" s="35"/>
      <c r="AL913" s="35"/>
    </row>
    <row r="914" s="25" customFormat="1" hidden="1" customHeight="1" spans="1:38">
      <c r="A914" s="33">
        <v>5301118</v>
      </c>
      <c r="B914" s="34"/>
      <c r="C914" s="35">
        <v>5301118</v>
      </c>
      <c r="D914" s="36">
        <v>1</v>
      </c>
      <c r="E914" s="36"/>
      <c r="F914" s="36" t="s">
        <v>174</v>
      </c>
      <c r="G914" s="36">
        <f t="shared" si="272"/>
        <v>1</v>
      </c>
      <c r="H914" s="36">
        <f>IFERROR(IF(--MID($F914,2*COUNTIF($G914:G914,"&gt;"&amp;0)+2,1)=H$1,H$1,""),"")</f>
        <v>2</v>
      </c>
      <c r="I914" s="36">
        <f>IFERROR(IF(--MID($F914,2*COUNTIF($G914:H914,"&gt;"&amp;0)+2,1)=I$1,I$1,""),"")</f>
        <v>3</v>
      </c>
      <c r="J914" s="36">
        <f>IFERROR(IF(--MID($F914,2*COUNTIF($G914:I914,"&gt;"&amp;0)+2,1)=J$1,J$1,""),"")</f>
        <v>4</v>
      </c>
      <c r="K914" s="36">
        <f>IFERROR(IF(--MID($F914,2*COUNTIF($G914:J914,"&gt;"&amp;0)+2,1)=K$1,K$1,""),"")</f>
        <v>5</v>
      </c>
      <c r="L914" s="36">
        <f>IFERROR(IF(--MID($F914,2*COUNTIF($G914:K914,"&gt;"&amp;0)+2,1)=L$1,L$1,""),"")</f>
        <v>6</v>
      </c>
      <c r="M914" s="36" t="e" cm="1">
        <f t="array" ref="M914">IF(A914="","",_xlfn.XLOOKUP(D914&amp;"_"&amp;AE914,符文权重!A:A&amp;"_"&amp;符文权重!C:C,符文权重!D:D))</f>
        <v>#N/A</v>
      </c>
      <c r="N914" s="36"/>
      <c r="O914" s="36"/>
      <c r="P914" s="36"/>
      <c r="Q914" s="36"/>
      <c r="R914" s="36"/>
      <c r="S914" s="36" t="s">
        <v>175</v>
      </c>
      <c r="T914" s="36"/>
      <c r="U914" s="36" t="s">
        <v>413</v>
      </c>
      <c r="W914" s="36" t="s">
        <v>322</v>
      </c>
      <c r="X914" s="35" t="s">
        <v>1240</v>
      </c>
      <c r="Y914" s="35">
        <v>100</v>
      </c>
      <c r="Z914" s="35"/>
      <c r="AA914" s="36" t="s">
        <v>177</v>
      </c>
      <c r="AB914" s="36" t="s">
        <v>1254</v>
      </c>
      <c r="AC914" s="35">
        <v>5501171</v>
      </c>
      <c r="AD914" s="36" t="s">
        <v>422</v>
      </c>
      <c r="AE914" s="36">
        <v>100</v>
      </c>
      <c r="AF914" s="36"/>
      <c r="AG914" s="79">
        <v>1</v>
      </c>
      <c r="AH914" s="36">
        <v>0</v>
      </c>
      <c r="AI914" s="33"/>
      <c r="AJ914" s="37"/>
      <c r="AK914" s="35"/>
      <c r="AL914" s="35"/>
    </row>
    <row r="915" s="25" customFormat="1" hidden="1" customHeight="1" spans="1:38">
      <c r="A915" s="33">
        <v>5302118</v>
      </c>
      <c r="B915" s="34"/>
      <c r="C915" s="35">
        <v>5301118</v>
      </c>
      <c r="D915" s="36">
        <v>2</v>
      </c>
      <c r="E915" s="36"/>
      <c r="F915" s="36" t="s">
        <v>174</v>
      </c>
      <c r="G915" s="36">
        <f t="shared" si="272"/>
        <v>1</v>
      </c>
      <c r="H915" s="36">
        <f>IFERROR(IF(--MID($F915,2*COUNTIF($G915:G915,"&gt;"&amp;0)+2,1)=H$1,H$1,""),"")</f>
        <v>2</v>
      </c>
      <c r="I915" s="36">
        <f>IFERROR(IF(--MID($F915,2*COUNTIF($G915:H915,"&gt;"&amp;0)+2,1)=I$1,I$1,""),"")</f>
        <v>3</v>
      </c>
      <c r="J915" s="36">
        <f>IFERROR(IF(--MID($F915,2*COUNTIF($G915:I915,"&gt;"&amp;0)+2,1)=J$1,J$1,""),"")</f>
        <v>4</v>
      </c>
      <c r="K915" s="36">
        <f>IFERROR(IF(--MID($F915,2*COUNTIF($G915:J915,"&gt;"&amp;0)+2,1)=K$1,K$1,""),"")</f>
        <v>5</v>
      </c>
      <c r="L915" s="36">
        <f>IFERROR(IF(--MID($F915,2*COUNTIF($G915:K915,"&gt;"&amp;0)+2,1)=L$1,L$1,""),"")</f>
        <v>6</v>
      </c>
      <c r="M915" s="36" t="e" cm="1">
        <f t="array" ref="M915">IF(A915="","",_xlfn.XLOOKUP(D915&amp;"_"&amp;AE915,符文权重!A:A&amp;"_"&amp;符文权重!C:C,符文权重!D:D))</f>
        <v>#N/A</v>
      </c>
      <c r="N915" s="36"/>
      <c r="O915" s="36"/>
      <c r="P915" s="36"/>
      <c r="Q915" s="36"/>
      <c r="R915" s="36"/>
      <c r="S915" s="36" t="s">
        <v>175</v>
      </c>
      <c r="T915" s="36"/>
      <c r="U915" s="36" t="s">
        <v>415</v>
      </c>
      <c r="W915" s="36" t="s">
        <v>323</v>
      </c>
      <c r="X915" s="35" t="s">
        <v>1242</v>
      </c>
      <c r="Y915" s="35">
        <v>100</v>
      </c>
      <c r="Z915" s="35"/>
      <c r="AA915" s="36" t="s">
        <v>181</v>
      </c>
      <c r="AB915" s="36" t="s">
        <v>1255</v>
      </c>
      <c r="AC915" s="35">
        <v>5501171</v>
      </c>
      <c r="AD915" s="36" t="s">
        <v>425</v>
      </c>
      <c r="AE915" s="36">
        <v>100</v>
      </c>
      <c r="AF915" s="36"/>
      <c r="AG915" s="79">
        <v>1</v>
      </c>
      <c r="AH915" s="36">
        <v>0</v>
      </c>
      <c r="AI915" s="33"/>
      <c r="AJ915" s="37"/>
      <c r="AK915" s="35"/>
      <c r="AL915" s="35"/>
    </row>
    <row r="916" s="25" customFormat="1" hidden="1" customHeight="1" spans="1:38">
      <c r="A916" s="33">
        <v>5303118</v>
      </c>
      <c r="B916" s="34"/>
      <c r="C916" s="35">
        <v>5301118</v>
      </c>
      <c r="D916" s="36">
        <v>3</v>
      </c>
      <c r="E916" s="36"/>
      <c r="F916" s="36" t="s">
        <v>174</v>
      </c>
      <c r="G916" s="36">
        <f t="shared" si="272"/>
        <v>1</v>
      </c>
      <c r="H916" s="36">
        <f>IFERROR(IF(--MID($F916,2*COUNTIF($G916:G916,"&gt;"&amp;0)+2,1)=H$1,H$1,""),"")</f>
        <v>2</v>
      </c>
      <c r="I916" s="36">
        <f>IFERROR(IF(--MID($F916,2*COUNTIF($G916:H916,"&gt;"&amp;0)+2,1)=I$1,I$1,""),"")</f>
        <v>3</v>
      </c>
      <c r="J916" s="36">
        <f>IFERROR(IF(--MID($F916,2*COUNTIF($G916:I916,"&gt;"&amp;0)+2,1)=J$1,J$1,""),"")</f>
        <v>4</v>
      </c>
      <c r="K916" s="36">
        <f>IFERROR(IF(--MID($F916,2*COUNTIF($G916:J916,"&gt;"&amp;0)+2,1)=K$1,K$1,""),"")</f>
        <v>5</v>
      </c>
      <c r="L916" s="36">
        <f>IFERROR(IF(--MID($F916,2*COUNTIF($G916:K916,"&gt;"&amp;0)+2,1)=L$1,L$1,""),"")</f>
        <v>6</v>
      </c>
      <c r="M916" s="36" t="e" cm="1">
        <f t="array" ref="M916">IF(A916="","",_xlfn.XLOOKUP(D916&amp;"_"&amp;AE916,符文权重!A:A&amp;"_"&amp;符文权重!C:C,符文权重!D:D))</f>
        <v>#N/A</v>
      </c>
      <c r="N916" s="36"/>
      <c r="O916" s="36"/>
      <c r="P916" s="36"/>
      <c r="Q916" s="36"/>
      <c r="R916" s="36"/>
      <c r="S916" s="36" t="s">
        <v>175</v>
      </c>
      <c r="T916" s="36"/>
      <c r="U916" s="36" t="s">
        <v>417</v>
      </c>
      <c r="W916" s="36" t="s">
        <v>324</v>
      </c>
      <c r="X916" s="35" t="s">
        <v>1244</v>
      </c>
      <c r="Y916" s="35">
        <v>100</v>
      </c>
      <c r="Z916" s="35"/>
      <c r="AA916" s="36" t="s">
        <v>183</v>
      </c>
      <c r="AB916" s="36" t="s">
        <v>1256</v>
      </c>
      <c r="AC916" s="35">
        <v>5501171</v>
      </c>
      <c r="AD916" s="36" t="s">
        <v>428</v>
      </c>
      <c r="AE916" s="36">
        <v>100</v>
      </c>
      <c r="AF916" s="36"/>
      <c r="AG916" s="79">
        <v>1</v>
      </c>
      <c r="AH916" s="36">
        <v>0</v>
      </c>
      <c r="AI916" s="33"/>
      <c r="AJ916" s="37"/>
      <c r="AK916" s="35"/>
      <c r="AL916" s="35"/>
    </row>
    <row r="917" s="25" customFormat="1" hidden="1" customHeight="1" spans="1:38">
      <c r="A917" s="33">
        <v>5304118</v>
      </c>
      <c r="B917" s="34"/>
      <c r="C917" s="35">
        <v>5301118</v>
      </c>
      <c r="D917" s="36">
        <v>4</v>
      </c>
      <c r="E917" s="36"/>
      <c r="F917" s="36" t="s">
        <v>174</v>
      </c>
      <c r="G917" s="36">
        <f t="shared" si="272"/>
        <v>1</v>
      </c>
      <c r="H917" s="36">
        <f>IFERROR(IF(--MID($F917,2*COUNTIF($G917:G917,"&gt;"&amp;0)+2,1)=H$1,H$1,""),"")</f>
        <v>2</v>
      </c>
      <c r="I917" s="36">
        <f>IFERROR(IF(--MID($F917,2*COUNTIF($G917:H917,"&gt;"&amp;0)+2,1)=I$1,I$1,""),"")</f>
        <v>3</v>
      </c>
      <c r="J917" s="36">
        <f>IFERROR(IF(--MID($F917,2*COUNTIF($G917:I917,"&gt;"&amp;0)+2,1)=J$1,J$1,""),"")</f>
        <v>4</v>
      </c>
      <c r="K917" s="36">
        <f>IFERROR(IF(--MID($F917,2*COUNTIF($G917:J917,"&gt;"&amp;0)+2,1)=K$1,K$1,""),"")</f>
        <v>5</v>
      </c>
      <c r="L917" s="36">
        <f>IFERROR(IF(--MID($F917,2*COUNTIF($G917:K917,"&gt;"&amp;0)+2,1)=L$1,L$1,""),"")</f>
        <v>6</v>
      </c>
      <c r="M917" s="36" t="e" cm="1">
        <f t="array" ref="M917">IF(A917="","",_xlfn.XLOOKUP(D917&amp;"_"&amp;AE917,符文权重!A:A&amp;"_"&amp;符文权重!C:C,符文权重!D:D))</f>
        <v>#N/A</v>
      </c>
      <c r="N917" s="36"/>
      <c r="O917" s="36"/>
      <c r="P917" s="36"/>
      <c r="Q917" s="36"/>
      <c r="R917" s="36"/>
      <c r="S917" s="36" t="s">
        <v>175</v>
      </c>
      <c r="T917" s="36"/>
      <c r="U917" s="36" t="s">
        <v>420</v>
      </c>
      <c r="W917" s="36" t="s">
        <v>325</v>
      </c>
      <c r="X917" s="35" t="s">
        <v>1246</v>
      </c>
      <c r="Y917" s="35">
        <v>100</v>
      </c>
      <c r="Z917" s="35"/>
      <c r="AA917" s="36" t="s">
        <v>185</v>
      </c>
      <c r="AB917" s="36" t="s">
        <v>1257</v>
      </c>
      <c r="AC917" s="35">
        <v>5501171</v>
      </c>
      <c r="AD917" s="36" t="s">
        <v>431</v>
      </c>
      <c r="AE917" s="36">
        <v>100</v>
      </c>
      <c r="AF917" s="36"/>
      <c r="AG917" s="79">
        <v>1</v>
      </c>
      <c r="AH917" s="36">
        <v>0</v>
      </c>
      <c r="AI917" s="33"/>
      <c r="AJ917" s="37"/>
      <c r="AK917" s="35"/>
      <c r="AL917" s="35"/>
    </row>
    <row r="918" s="25" customFormat="1" hidden="1" customHeight="1" spans="1:38">
      <c r="A918" s="33">
        <v>5305118</v>
      </c>
      <c r="B918" s="34"/>
      <c r="C918" s="35">
        <v>5301118</v>
      </c>
      <c r="D918" s="36">
        <v>5</v>
      </c>
      <c r="E918" s="36"/>
      <c r="F918" s="36" t="s">
        <v>174</v>
      </c>
      <c r="G918" s="36">
        <f t="shared" si="272"/>
        <v>1</v>
      </c>
      <c r="H918" s="36">
        <f>IFERROR(IF(--MID($F918,2*COUNTIF($G918:G918,"&gt;"&amp;0)+2,1)=H$1,H$1,""),"")</f>
        <v>2</v>
      </c>
      <c r="I918" s="36">
        <f>IFERROR(IF(--MID($F918,2*COUNTIF($G918:H918,"&gt;"&amp;0)+2,1)=I$1,I$1,""),"")</f>
        <v>3</v>
      </c>
      <c r="J918" s="36">
        <f>IFERROR(IF(--MID($F918,2*COUNTIF($G918:I918,"&gt;"&amp;0)+2,1)=J$1,J$1,""),"")</f>
        <v>4</v>
      </c>
      <c r="K918" s="36">
        <f>IFERROR(IF(--MID($F918,2*COUNTIF($G918:J918,"&gt;"&amp;0)+2,1)=K$1,K$1,""),"")</f>
        <v>5</v>
      </c>
      <c r="L918" s="36">
        <f>IFERROR(IF(--MID($F918,2*COUNTIF($G918:K918,"&gt;"&amp;0)+2,1)=L$1,L$1,""),"")</f>
        <v>6</v>
      </c>
      <c r="M918" s="36" t="e" cm="1">
        <f t="array" ref="M918">IF(A918="","",_xlfn.XLOOKUP(D918&amp;"_"&amp;AE918,符文权重!A:A&amp;"_"&amp;符文权重!C:C,符文权重!D:D))</f>
        <v>#N/A</v>
      </c>
      <c r="N918" s="36"/>
      <c r="O918" s="36"/>
      <c r="P918" s="36"/>
      <c r="Q918" s="36"/>
      <c r="R918" s="36"/>
      <c r="S918" s="36" t="s">
        <v>175</v>
      </c>
      <c r="T918" s="36"/>
      <c r="U918" s="36" t="s">
        <v>423</v>
      </c>
      <c r="W918" s="36" t="s">
        <v>326</v>
      </c>
      <c r="X918" s="35" t="s">
        <v>1248</v>
      </c>
      <c r="Y918" s="35">
        <v>100</v>
      </c>
      <c r="Z918" s="35"/>
      <c r="AA918" s="36" t="s">
        <v>187</v>
      </c>
      <c r="AB918" s="36" t="s">
        <v>1258</v>
      </c>
      <c r="AC918" s="35">
        <v>5501171</v>
      </c>
      <c r="AD918" s="36" t="s">
        <v>472</v>
      </c>
      <c r="AE918" s="36">
        <v>100</v>
      </c>
      <c r="AF918" s="36"/>
      <c r="AG918" s="79">
        <v>1</v>
      </c>
      <c r="AH918" s="36">
        <v>0</v>
      </c>
      <c r="AI918" s="33"/>
      <c r="AJ918" s="37"/>
      <c r="AK918" s="35"/>
      <c r="AL918" s="35"/>
    </row>
    <row r="919" s="25" customFormat="1" hidden="1" customHeight="1" spans="1:38">
      <c r="A919" s="33">
        <v>5306118</v>
      </c>
      <c r="B919" s="34"/>
      <c r="C919" s="35">
        <v>5301118</v>
      </c>
      <c r="D919" s="36">
        <v>6</v>
      </c>
      <c r="E919" s="36"/>
      <c r="F919" s="36" t="s">
        <v>174</v>
      </c>
      <c r="G919" s="36">
        <f t="shared" si="272"/>
        <v>1</v>
      </c>
      <c r="H919" s="36">
        <f>IFERROR(IF(--MID($F919,2*COUNTIF($G919:G919,"&gt;"&amp;0)+2,1)=H$1,H$1,""),"")</f>
        <v>2</v>
      </c>
      <c r="I919" s="36">
        <f>IFERROR(IF(--MID($F919,2*COUNTIF($G919:H919,"&gt;"&amp;0)+2,1)=I$1,I$1,""),"")</f>
        <v>3</v>
      </c>
      <c r="J919" s="36">
        <f>IFERROR(IF(--MID($F919,2*COUNTIF($G919:I919,"&gt;"&amp;0)+2,1)=J$1,J$1,""),"")</f>
        <v>4</v>
      </c>
      <c r="K919" s="36">
        <f>IFERROR(IF(--MID($F919,2*COUNTIF($G919:J919,"&gt;"&amp;0)+2,1)=K$1,K$1,""),"")</f>
        <v>5</v>
      </c>
      <c r="L919" s="36">
        <f>IFERROR(IF(--MID($F919,2*COUNTIF($G919:K919,"&gt;"&amp;0)+2,1)=L$1,L$1,""),"")</f>
        <v>6</v>
      </c>
      <c r="M919" s="36" t="e" cm="1">
        <f t="array" ref="M919">IF(A919="","",_xlfn.XLOOKUP(D919&amp;"_"&amp;AE919,符文权重!A:A&amp;"_"&amp;符文权重!C:C,符文权重!D:D))</f>
        <v>#N/A</v>
      </c>
      <c r="N919" s="36"/>
      <c r="O919" s="36"/>
      <c r="P919" s="36"/>
      <c r="Q919" s="36"/>
      <c r="R919" s="36"/>
      <c r="S919" s="36" t="s">
        <v>175</v>
      </c>
      <c r="T919" s="36"/>
      <c r="U919" s="36" t="s">
        <v>426</v>
      </c>
      <c r="W919" s="36" t="s">
        <v>327</v>
      </c>
      <c r="X919" s="35" t="s">
        <v>1250</v>
      </c>
      <c r="Y919" s="35">
        <v>100</v>
      </c>
      <c r="Z919" s="35"/>
      <c r="AA919" s="36" t="s">
        <v>189</v>
      </c>
      <c r="AB919" s="80" t="s">
        <v>1259</v>
      </c>
      <c r="AC919" s="35">
        <v>5501171</v>
      </c>
      <c r="AD919" s="36" t="s">
        <v>497</v>
      </c>
      <c r="AE919" s="36">
        <v>100</v>
      </c>
      <c r="AF919" s="36"/>
      <c r="AG919" s="79">
        <v>1</v>
      </c>
      <c r="AH919" s="36">
        <v>0</v>
      </c>
      <c r="AI919" s="33"/>
      <c r="AJ919" s="37"/>
      <c r="AK919" s="35"/>
      <c r="AL919" s="35"/>
    </row>
    <row r="920" s="25" customFormat="1" hidden="1" customHeight="1" spans="1:38">
      <c r="A920" s="33">
        <v>5307118</v>
      </c>
      <c r="B920" s="34"/>
      <c r="C920" s="35">
        <v>5301118</v>
      </c>
      <c r="D920" s="36">
        <v>7</v>
      </c>
      <c r="E920" s="36"/>
      <c r="F920" s="36" t="s">
        <v>174</v>
      </c>
      <c r="G920" s="36">
        <f t="shared" si="272"/>
        <v>1</v>
      </c>
      <c r="H920" s="36">
        <f>IFERROR(IF(--MID($F920,2*COUNTIF($G920:G920,"&gt;"&amp;0)+2,1)=H$1,H$1,""),"")</f>
        <v>2</v>
      </c>
      <c r="I920" s="36">
        <f>IFERROR(IF(--MID($F920,2*COUNTIF($G920:H920,"&gt;"&amp;0)+2,1)=I$1,I$1,""),"")</f>
        <v>3</v>
      </c>
      <c r="J920" s="36">
        <f>IFERROR(IF(--MID($F920,2*COUNTIF($G920:I920,"&gt;"&amp;0)+2,1)=J$1,J$1,""),"")</f>
        <v>4</v>
      </c>
      <c r="K920" s="36">
        <f>IFERROR(IF(--MID($F920,2*COUNTIF($G920:J920,"&gt;"&amp;0)+2,1)=K$1,K$1,""),"")</f>
        <v>5</v>
      </c>
      <c r="L920" s="36">
        <f>IFERROR(IF(--MID($F920,2*COUNTIF($G920:K920,"&gt;"&amp;0)+2,1)=L$1,L$1,""),"")</f>
        <v>6</v>
      </c>
      <c r="M920" s="36" t="e" cm="1">
        <f t="array" ref="M920">IF(A920="","",_xlfn.XLOOKUP(D920&amp;"_"&amp;AE920,符文权重!A:A&amp;"_"&amp;符文权重!C:C,符文权重!D:D))</f>
        <v>#N/A</v>
      </c>
      <c r="N920" s="36"/>
      <c r="O920" s="36"/>
      <c r="P920" s="36"/>
      <c r="Q920" s="36"/>
      <c r="R920" s="36"/>
      <c r="S920" s="36" t="s">
        <v>175</v>
      </c>
      <c r="T920" s="36"/>
      <c r="U920" s="36" t="s">
        <v>429</v>
      </c>
      <c r="W920" s="36" t="s">
        <v>328</v>
      </c>
      <c r="X920" s="35" t="s">
        <v>1252</v>
      </c>
      <c r="Y920" s="35">
        <v>100</v>
      </c>
      <c r="Z920" s="35"/>
      <c r="AA920" s="36" t="s">
        <v>191</v>
      </c>
      <c r="AB920" s="36" t="s">
        <v>1260</v>
      </c>
      <c r="AC920" s="35">
        <v>5501171</v>
      </c>
      <c r="AD920" s="36" t="s">
        <v>596</v>
      </c>
      <c r="AE920" s="36">
        <v>100</v>
      </c>
      <c r="AF920" s="36"/>
      <c r="AG920" s="79">
        <v>1</v>
      </c>
      <c r="AH920" s="36">
        <v>0</v>
      </c>
      <c r="AI920" s="33"/>
      <c r="AJ920" s="37"/>
      <c r="AK920" s="35"/>
      <c r="AL920" s="35"/>
    </row>
    <row r="921" s="25" customFormat="1" hidden="1" customHeight="1" spans="1:38">
      <c r="A921" s="33">
        <v>5301119</v>
      </c>
      <c r="B921" s="34"/>
      <c r="C921" s="35">
        <v>5301119</v>
      </c>
      <c r="D921" s="36">
        <v>1</v>
      </c>
      <c r="E921" s="36"/>
      <c r="F921" s="36" t="s">
        <v>174</v>
      </c>
      <c r="G921" s="36">
        <f t="shared" si="272"/>
        <v>1</v>
      </c>
      <c r="H921" s="36">
        <f>IFERROR(IF(--MID($F921,2*COUNTIF($G921:G921,"&gt;"&amp;0)+2,1)=H$1,H$1,""),"")</f>
        <v>2</v>
      </c>
      <c r="I921" s="36">
        <f>IFERROR(IF(--MID($F921,2*COUNTIF($G921:H921,"&gt;"&amp;0)+2,1)=I$1,I$1,""),"")</f>
        <v>3</v>
      </c>
      <c r="J921" s="36">
        <f>IFERROR(IF(--MID($F921,2*COUNTIF($G921:I921,"&gt;"&amp;0)+2,1)=J$1,J$1,""),"")</f>
        <v>4</v>
      </c>
      <c r="K921" s="36">
        <f>IFERROR(IF(--MID($F921,2*COUNTIF($G921:J921,"&gt;"&amp;0)+2,1)=K$1,K$1,""),"")</f>
        <v>5</v>
      </c>
      <c r="L921" s="36">
        <f>IFERROR(IF(--MID($F921,2*COUNTIF($G921:K921,"&gt;"&amp;0)+2,1)=L$1,L$1,""),"")</f>
        <v>6</v>
      </c>
      <c r="M921" s="36" t="e" cm="1">
        <f t="array" ref="M921">IF(A921="","",_xlfn.XLOOKUP(D921&amp;"_"&amp;AE921,符文权重!A:A&amp;"_"&amp;符文权重!C:C,符文权重!D:D))</f>
        <v>#N/A</v>
      </c>
      <c r="N921" s="36"/>
      <c r="O921" s="36"/>
      <c r="P921" s="36"/>
      <c r="Q921" s="36"/>
      <c r="R921" s="36"/>
      <c r="S921" s="36" t="s">
        <v>175</v>
      </c>
      <c r="T921" s="36"/>
      <c r="U921" s="36" t="s">
        <v>413</v>
      </c>
      <c r="W921" s="36" t="s">
        <v>330</v>
      </c>
      <c r="X921" s="35" t="s">
        <v>1240</v>
      </c>
      <c r="Y921" s="35">
        <v>100</v>
      </c>
      <c r="Z921" s="35"/>
      <c r="AA921" s="36" t="s">
        <v>177</v>
      </c>
      <c r="AB921" s="36" t="s">
        <v>1261</v>
      </c>
      <c r="AC921" s="35">
        <v>5501181</v>
      </c>
      <c r="AD921" s="36" t="s">
        <v>422</v>
      </c>
      <c r="AE921" s="36">
        <v>100</v>
      </c>
      <c r="AF921" s="36" t="s">
        <v>178</v>
      </c>
      <c r="AG921" s="79">
        <v>1</v>
      </c>
      <c r="AH921" s="36">
        <v>0</v>
      </c>
      <c r="AI921" s="33"/>
      <c r="AJ921" s="37"/>
      <c r="AK921" s="35"/>
      <c r="AL921" s="35"/>
    </row>
    <row r="922" s="25" customFormat="1" hidden="1" customHeight="1" spans="1:38">
      <c r="A922" s="33">
        <v>5302119</v>
      </c>
      <c r="B922" s="34"/>
      <c r="C922" s="35">
        <v>5301119</v>
      </c>
      <c r="D922" s="36">
        <v>2</v>
      </c>
      <c r="E922" s="36"/>
      <c r="F922" s="36" t="s">
        <v>174</v>
      </c>
      <c r="G922" s="36">
        <f t="shared" si="272"/>
        <v>1</v>
      </c>
      <c r="H922" s="36">
        <f>IFERROR(IF(--MID($F922,2*COUNTIF($G922:G922,"&gt;"&amp;0)+2,1)=H$1,H$1,""),"")</f>
        <v>2</v>
      </c>
      <c r="I922" s="36">
        <f>IFERROR(IF(--MID($F922,2*COUNTIF($G922:H922,"&gt;"&amp;0)+2,1)=I$1,I$1,""),"")</f>
        <v>3</v>
      </c>
      <c r="J922" s="36">
        <f>IFERROR(IF(--MID($F922,2*COUNTIF($G922:I922,"&gt;"&amp;0)+2,1)=J$1,J$1,""),"")</f>
        <v>4</v>
      </c>
      <c r="K922" s="36">
        <f>IFERROR(IF(--MID($F922,2*COUNTIF($G922:J922,"&gt;"&amp;0)+2,1)=K$1,K$1,""),"")</f>
        <v>5</v>
      </c>
      <c r="L922" s="36">
        <f>IFERROR(IF(--MID($F922,2*COUNTIF($G922:K922,"&gt;"&amp;0)+2,1)=L$1,L$1,""),"")</f>
        <v>6</v>
      </c>
      <c r="M922" s="36" t="e" cm="1">
        <f t="array" ref="M922">IF(A922="","",_xlfn.XLOOKUP(D922&amp;"_"&amp;AE922,符文权重!A:A&amp;"_"&amp;符文权重!C:C,符文权重!D:D))</f>
        <v>#N/A</v>
      </c>
      <c r="N922" s="36"/>
      <c r="O922" s="36"/>
      <c r="P922" s="36"/>
      <c r="Q922" s="36"/>
      <c r="R922" s="36"/>
      <c r="S922" s="36" t="s">
        <v>175</v>
      </c>
      <c r="T922" s="36"/>
      <c r="U922" s="36" t="s">
        <v>415</v>
      </c>
      <c r="W922" s="36" t="s">
        <v>331</v>
      </c>
      <c r="X922" s="35" t="s">
        <v>1242</v>
      </c>
      <c r="Y922" s="35">
        <v>100</v>
      </c>
      <c r="Z922" s="35"/>
      <c r="AA922" s="36" t="s">
        <v>181</v>
      </c>
      <c r="AB922" s="36" t="s">
        <v>1262</v>
      </c>
      <c r="AC922" s="35">
        <v>5501181</v>
      </c>
      <c r="AD922" s="36" t="s">
        <v>425</v>
      </c>
      <c r="AE922" s="36">
        <v>100</v>
      </c>
      <c r="AF922" s="36" t="s">
        <v>178</v>
      </c>
      <c r="AG922" s="79">
        <v>1</v>
      </c>
      <c r="AH922" s="36">
        <v>0</v>
      </c>
      <c r="AI922" s="33"/>
      <c r="AJ922" s="37"/>
      <c r="AK922" s="35"/>
      <c r="AL922" s="35"/>
    </row>
    <row r="923" s="25" customFormat="1" hidden="1" customHeight="1" spans="1:38">
      <c r="A923" s="33">
        <v>5303119</v>
      </c>
      <c r="B923" s="34"/>
      <c r="C923" s="35">
        <v>5301119</v>
      </c>
      <c r="D923" s="36">
        <v>3</v>
      </c>
      <c r="E923" s="36"/>
      <c r="F923" s="36" t="s">
        <v>174</v>
      </c>
      <c r="G923" s="36">
        <f t="shared" si="272"/>
        <v>1</v>
      </c>
      <c r="H923" s="36">
        <f>IFERROR(IF(--MID($F923,2*COUNTIF($G923:G923,"&gt;"&amp;0)+2,1)=H$1,H$1,""),"")</f>
        <v>2</v>
      </c>
      <c r="I923" s="36">
        <f>IFERROR(IF(--MID($F923,2*COUNTIF($G923:H923,"&gt;"&amp;0)+2,1)=I$1,I$1,""),"")</f>
        <v>3</v>
      </c>
      <c r="J923" s="36">
        <f>IFERROR(IF(--MID($F923,2*COUNTIF($G923:I923,"&gt;"&amp;0)+2,1)=J$1,J$1,""),"")</f>
        <v>4</v>
      </c>
      <c r="K923" s="36">
        <f>IFERROR(IF(--MID($F923,2*COUNTIF($G923:J923,"&gt;"&amp;0)+2,1)=K$1,K$1,""),"")</f>
        <v>5</v>
      </c>
      <c r="L923" s="36">
        <f>IFERROR(IF(--MID($F923,2*COUNTIF($G923:K923,"&gt;"&amp;0)+2,1)=L$1,L$1,""),"")</f>
        <v>6</v>
      </c>
      <c r="M923" s="36" t="e" cm="1">
        <f t="array" ref="M923">IF(A923="","",_xlfn.XLOOKUP(D923&amp;"_"&amp;AE923,符文权重!A:A&amp;"_"&amp;符文权重!C:C,符文权重!D:D))</f>
        <v>#N/A</v>
      </c>
      <c r="N923" s="36"/>
      <c r="O923" s="36"/>
      <c r="P923" s="36"/>
      <c r="Q923" s="36"/>
      <c r="R923" s="36"/>
      <c r="S923" s="36" t="s">
        <v>175</v>
      </c>
      <c r="T923" s="36"/>
      <c r="U923" s="36" t="s">
        <v>417</v>
      </c>
      <c r="W923" s="36" t="s">
        <v>332</v>
      </c>
      <c r="X923" s="35" t="s">
        <v>1244</v>
      </c>
      <c r="Y923" s="35">
        <v>100</v>
      </c>
      <c r="Z923" s="35"/>
      <c r="AA923" s="36" t="s">
        <v>183</v>
      </c>
      <c r="AB923" s="36" t="s">
        <v>1263</v>
      </c>
      <c r="AC923" s="35">
        <v>5501181</v>
      </c>
      <c r="AD923" s="36" t="s">
        <v>428</v>
      </c>
      <c r="AE923" s="36">
        <v>100</v>
      </c>
      <c r="AF923" s="36" t="s">
        <v>178</v>
      </c>
      <c r="AG923" s="79">
        <v>1</v>
      </c>
      <c r="AH923" s="36">
        <v>0</v>
      </c>
      <c r="AI923" s="33"/>
      <c r="AJ923" s="37"/>
      <c r="AK923" s="35"/>
      <c r="AL923" s="35"/>
    </row>
    <row r="924" s="25" customFormat="1" hidden="1" customHeight="1" spans="1:38">
      <c r="A924" s="33">
        <v>5304119</v>
      </c>
      <c r="B924" s="34"/>
      <c r="C924" s="35">
        <v>5301119</v>
      </c>
      <c r="D924" s="36">
        <v>4</v>
      </c>
      <c r="E924" s="36"/>
      <c r="F924" s="36" t="s">
        <v>174</v>
      </c>
      <c r="G924" s="36">
        <f t="shared" si="272"/>
        <v>1</v>
      </c>
      <c r="H924" s="36">
        <f>IFERROR(IF(--MID($F924,2*COUNTIF($G924:G924,"&gt;"&amp;0)+2,1)=H$1,H$1,""),"")</f>
        <v>2</v>
      </c>
      <c r="I924" s="36">
        <f>IFERROR(IF(--MID($F924,2*COUNTIF($G924:H924,"&gt;"&amp;0)+2,1)=I$1,I$1,""),"")</f>
        <v>3</v>
      </c>
      <c r="J924" s="36">
        <f>IFERROR(IF(--MID($F924,2*COUNTIF($G924:I924,"&gt;"&amp;0)+2,1)=J$1,J$1,""),"")</f>
        <v>4</v>
      </c>
      <c r="K924" s="36">
        <f>IFERROR(IF(--MID($F924,2*COUNTIF($G924:J924,"&gt;"&amp;0)+2,1)=K$1,K$1,""),"")</f>
        <v>5</v>
      </c>
      <c r="L924" s="36">
        <f>IFERROR(IF(--MID($F924,2*COUNTIF($G924:K924,"&gt;"&amp;0)+2,1)=L$1,L$1,""),"")</f>
        <v>6</v>
      </c>
      <c r="M924" s="36" t="e" cm="1">
        <f t="array" ref="M924">IF(A924="","",_xlfn.XLOOKUP(D924&amp;"_"&amp;AE924,符文权重!A:A&amp;"_"&amp;符文权重!C:C,符文权重!D:D))</f>
        <v>#N/A</v>
      </c>
      <c r="N924" s="36"/>
      <c r="O924" s="36"/>
      <c r="P924" s="36"/>
      <c r="Q924" s="36"/>
      <c r="R924" s="36"/>
      <c r="S924" s="36" t="s">
        <v>175</v>
      </c>
      <c r="T924" s="36"/>
      <c r="U924" s="36" t="s">
        <v>420</v>
      </c>
      <c r="W924" s="36" t="s">
        <v>333</v>
      </c>
      <c r="X924" s="35" t="s">
        <v>1246</v>
      </c>
      <c r="Y924" s="35">
        <v>100</v>
      </c>
      <c r="Z924" s="35"/>
      <c r="AA924" s="36" t="s">
        <v>185</v>
      </c>
      <c r="AB924" s="36" t="s">
        <v>1264</v>
      </c>
      <c r="AC924" s="35">
        <v>5501181</v>
      </c>
      <c r="AD924" s="36" t="s">
        <v>431</v>
      </c>
      <c r="AE924" s="36">
        <v>100</v>
      </c>
      <c r="AF924" s="36" t="s">
        <v>178</v>
      </c>
      <c r="AG924" s="79">
        <v>1</v>
      </c>
      <c r="AH924" s="36">
        <v>0</v>
      </c>
      <c r="AI924" s="33"/>
      <c r="AJ924" s="37"/>
      <c r="AK924" s="35"/>
      <c r="AL924" s="35"/>
    </row>
    <row r="925" s="25" customFormat="1" hidden="1" customHeight="1" spans="1:38">
      <c r="A925" s="33">
        <v>5305119</v>
      </c>
      <c r="B925" s="34"/>
      <c r="C925" s="35">
        <v>5301119</v>
      </c>
      <c r="D925" s="36">
        <v>5</v>
      </c>
      <c r="E925" s="36"/>
      <c r="F925" s="36" t="s">
        <v>174</v>
      </c>
      <c r="G925" s="36">
        <f t="shared" si="272"/>
        <v>1</v>
      </c>
      <c r="H925" s="36">
        <f>IFERROR(IF(--MID($F925,2*COUNTIF($G925:G925,"&gt;"&amp;0)+2,1)=H$1,H$1,""),"")</f>
        <v>2</v>
      </c>
      <c r="I925" s="36">
        <f>IFERROR(IF(--MID($F925,2*COUNTIF($G925:H925,"&gt;"&amp;0)+2,1)=I$1,I$1,""),"")</f>
        <v>3</v>
      </c>
      <c r="J925" s="36">
        <f>IFERROR(IF(--MID($F925,2*COUNTIF($G925:I925,"&gt;"&amp;0)+2,1)=J$1,J$1,""),"")</f>
        <v>4</v>
      </c>
      <c r="K925" s="36">
        <f>IFERROR(IF(--MID($F925,2*COUNTIF($G925:J925,"&gt;"&amp;0)+2,1)=K$1,K$1,""),"")</f>
        <v>5</v>
      </c>
      <c r="L925" s="36">
        <f>IFERROR(IF(--MID($F925,2*COUNTIF($G925:K925,"&gt;"&amp;0)+2,1)=L$1,L$1,""),"")</f>
        <v>6</v>
      </c>
      <c r="M925" s="36" t="e" cm="1">
        <f t="array" ref="M925">IF(A925="","",_xlfn.XLOOKUP(D925&amp;"_"&amp;AE925,符文权重!A:A&amp;"_"&amp;符文权重!C:C,符文权重!D:D))</f>
        <v>#N/A</v>
      </c>
      <c r="N925" s="36"/>
      <c r="O925" s="36"/>
      <c r="P925" s="36"/>
      <c r="Q925" s="36"/>
      <c r="R925" s="36"/>
      <c r="S925" s="36" t="s">
        <v>175</v>
      </c>
      <c r="T925" s="36"/>
      <c r="U925" s="36" t="s">
        <v>423</v>
      </c>
      <c r="W925" s="36" t="s">
        <v>334</v>
      </c>
      <c r="X925" s="35" t="s">
        <v>1248</v>
      </c>
      <c r="Y925" s="35">
        <v>100</v>
      </c>
      <c r="Z925" s="35"/>
      <c r="AA925" s="36" t="s">
        <v>187</v>
      </c>
      <c r="AB925" s="80" t="s">
        <v>1265</v>
      </c>
      <c r="AC925" s="35">
        <v>5501181</v>
      </c>
      <c r="AD925" s="36" t="s">
        <v>472</v>
      </c>
      <c r="AE925" s="36">
        <v>100</v>
      </c>
      <c r="AF925" s="36" t="s">
        <v>178</v>
      </c>
      <c r="AG925" s="79">
        <v>1</v>
      </c>
      <c r="AH925" s="36">
        <v>0</v>
      </c>
      <c r="AI925" s="33"/>
      <c r="AJ925" s="37"/>
      <c r="AK925" s="35"/>
      <c r="AL925" s="35"/>
    </row>
    <row r="926" s="25" customFormat="1" hidden="1" customHeight="1" spans="1:38">
      <c r="A926" s="33">
        <v>5306119</v>
      </c>
      <c r="B926" s="34"/>
      <c r="C926" s="35">
        <v>5301119</v>
      </c>
      <c r="D926" s="36">
        <v>6</v>
      </c>
      <c r="E926" s="36"/>
      <c r="F926" s="36" t="s">
        <v>174</v>
      </c>
      <c r="G926" s="36">
        <f t="shared" si="272"/>
        <v>1</v>
      </c>
      <c r="H926" s="36">
        <f>IFERROR(IF(--MID($F926,2*COUNTIF($G926:G926,"&gt;"&amp;0)+2,1)=H$1,H$1,""),"")</f>
        <v>2</v>
      </c>
      <c r="I926" s="36">
        <f>IFERROR(IF(--MID($F926,2*COUNTIF($G926:H926,"&gt;"&amp;0)+2,1)=I$1,I$1,""),"")</f>
        <v>3</v>
      </c>
      <c r="J926" s="36">
        <f>IFERROR(IF(--MID($F926,2*COUNTIF($G926:I926,"&gt;"&amp;0)+2,1)=J$1,J$1,""),"")</f>
        <v>4</v>
      </c>
      <c r="K926" s="36">
        <f>IFERROR(IF(--MID($F926,2*COUNTIF($G926:J926,"&gt;"&amp;0)+2,1)=K$1,K$1,""),"")</f>
        <v>5</v>
      </c>
      <c r="L926" s="36">
        <f>IFERROR(IF(--MID($F926,2*COUNTIF($G926:K926,"&gt;"&amp;0)+2,1)=L$1,L$1,""),"")</f>
        <v>6</v>
      </c>
      <c r="M926" s="36" t="e" cm="1">
        <f t="array" ref="M926">IF(A926="","",_xlfn.XLOOKUP(D926&amp;"_"&amp;AE926,符文权重!A:A&amp;"_"&amp;符文权重!C:C,符文权重!D:D))</f>
        <v>#N/A</v>
      </c>
      <c r="N926" s="36"/>
      <c r="O926" s="36"/>
      <c r="P926" s="36"/>
      <c r="Q926" s="36"/>
      <c r="R926" s="36"/>
      <c r="S926" s="36" t="s">
        <v>175</v>
      </c>
      <c r="T926" s="36"/>
      <c r="U926" s="36" t="s">
        <v>426</v>
      </c>
      <c r="W926" s="36" t="s">
        <v>335</v>
      </c>
      <c r="X926" s="35" t="s">
        <v>1250</v>
      </c>
      <c r="Y926" s="35">
        <v>100</v>
      </c>
      <c r="Z926" s="35"/>
      <c r="AA926" s="36" t="s">
        <v>189</v>
      </c>
      <c r="AB926" s="36" t="s">
        <v>1266</v>
      </c>
      <c r="AC926" s="35">
        <v>5501181</v>
      </c>
      <c r="AD926" s="36" t="s">
        <v>497</v>
      </c>
      <c r="AE926" s="36">
        <v>100</v>
      </c>
      <c r="AF926" s="36" t="s">
        <v>178</v>
      </c>
      <c r="AG926" s="79">
        <v>1</v>
      </c>
      <c r="AH926" s="36">
        <v>0</v>
      </c>
      <c r="AI926" s="33"/>
      <c r="AJ926" s="37"/>
      <c r="AK926" s="35"/>
      <c r="AL926" s="35"/>
    </row>
    <row r="927" s="25" customFormat="1" hidden="1" customHeight="1" spans="1:38">
      <c r="A927" s="33">
        <v>5307119</v>
      </c>
      <c r="B927" s="34"/>
      <c r="C927" s="35">
        <v>5301119</v>
      </c>
      <c r="D927" s="36">
        <v>7</v>
      </c>
      <c r="E927" s="36"/>
      <c r="F927" s="36" t="s">
        <v>174</v>
      </c>
      <c r="G927" s="36">
        <f t="shared" si="272"/>
        <v>1</v>
      </c>
      <c r="H927" s="36">
        <f>IFERROR(IF(--MID($F927,2*COUNTIF($G927:G927,"&gt;"&amp;0)+2,1)=H$1,H$1,""),"")</f>
        <v>2</v>
      </c>
      <c r="I927" s="36">
        <f>IFERROR(IF(--MID($F927,2*COUNTIF($G927:H927,"&gt;"&amp;0)+2,1)=I$1,I$1,""),"")</f>
        <v>3</v>
      </c>
      <c r="J927" s="36">
        <f>IFERROR(IF(--MID($F927,2*COUNTIF($G927:I927,"&gt;"&amp;0)+2,1)=J$1,J$1,""),"")</f>
        <v>4</v>
      </c>
      <c r="K927" s="36">
        <f>IFERROR(IF(--MID($F927,2*COUNTIF($G927:J927,"&gt;"&amp;0)+2,1)=K$1,K$1,""),"")</f>
        <v>5</v>
      </c>
      <c r="L927" s="36">
        <f>IFERROR(IF(--MID($F927,2*COUNTIF($G927:K927,"&gt;"&amp;0)+2,1)=L$1,L$1,""),"")</f>
        <v>6</v>
      </c>
      <c r="M927" s="36" t="e" cm="1">
        <f t="array" ref="M927">IF(A927="","",_xlfn.XLOOKUP(D927&amp;"_"&amp;AE927,符文权重!A:A&amp;"_"&amp;符文权重!C:C,符文权重!D:D))</f>
        <v>#N/A</v>
      </c>
      <c r="N927" s="36"/>
      <c r="O927" s="36"/>
      <c r="P927" s="36"/>
      <c r="Q927" s="36"/>
      <c r="R927" s="36"/>
      <c r="S927" s="36" t="s">
        <v>175</v>
      </c>
      <c r="T927" s="36"/>
      <c r="U927" s="36" t="s">
        <v>429</v>
      </c>
      <c r="W927" s="36" t="s">
        <v>336</v>
      </c>
      <c r="X927" s="35" t="s">
        <v>1252</v>
      </c>
      <c r="Y927" s="35">
        <v>100</v>
      </c>
      <c r="Z927" s="35"/>
      <c r="AA927" s="36" t="s">
        <v>191</v>
      </c>
      <c r="AB927" s="36" t="s">
        <v>1267</v>
      </c>
      <c r="AC927" s="35">
        <v>5501181</v>
      </c>
      <c r="AD927" s="36" t="s">
        <v>596</v>
      </c>
      <c r="AE927" s="36">
        <v>100</v>
      </c>
      <c r="AF927" s="36" t="s">
        <v>178</v>
      </c>
      <c r="AG927" s="79">
        <v>1</v>
      </c>
      <c r="AH927" s="36">
        <v>0</v>
      </c>
      <c r="AI927" s="33"/>
      <c r="AJ927" s="37"/>
      <c r="AK927" s="35"/>
      <c r="AL927" s="35"/>
    </row>
    <row r="928" s="25" customFormat="1" hidden="1" customHeight="1" spans="1:38">
      <c r="A928" s="33">
        <v>5301120</v>
      </c>
      <c r="B928" s="34"/>
      <c r="C928" s="35">
        <v>5301120</v>
      </c>
      <c r="D928" s="36">
        <v>1</v>
      </c>
      <c r="E928" s="36"/>
      <c r="F928" s="36" t="s">
        <v>174</v>
      </c>
      <c r="G928" s="36">
        <f t="shared" ref="G928:G979" si="273">IF(LEFT(F928,2)="[1",1,"")</f>
        <v>1</v>
      </c>
      <c r="H928" s="36">
        <f>IFERROR(IF(--MID($F928,2*COUNTIF($G928:G928,"&gt;"&amp;0)+2,1)=H$1,H$1,""),"")</f>
        <v>2</v>
      </c>
      <c r="I928" s="36">
        <f>IFERROR(IF(--MID($F928,2*COUNTIF($G928:H928,"&gt;"&amp;0)+2,1)=I$1,I$1,""),"")</f>
        <v>3</v>
      </c>
      <c r="J928" s="36">
        <f>IFERROR(IF(--MID($F928,2*COUNTIF($G928:I928,"&gt;"&amp;0)+2,1)=J$1,J$1,""),"")</f>
        <v>4</v>
      </c>
      <c r="K928" s="36">
        <f>IFERROR(IF(--MID($F928,2*COUNTIF($G928:J928,"&gt;"&amp;0)+2,1)=K$1,K$1,""),"")</f>
        <v>5</v>
      </c>
      <c r="L928" s="36">
        <f>IFERROR(IF(--MID($F928,2*COUNTIF($G928:K928,"&gt;"&amp;0)+2,1)=L$1,L$1,""),"")</f>
        <v>6</v>
      </c>
      <c r="M928" s="36" t="e" cm="1">
        <f t="array" ref="M928">IF(A928="","",_xlfn.XLOOKUP(D928&amp;"_"&amp;AE928,符文权重!A:A&amp;"_"&amp;符文权重!C:C,符文权重!D:D))</f>
        <v>#N/A</v>
      </c>
      <c r="N928" s="36"/>
      <c r="O928" s="36"/>
      <c r="P928" s="36"/>
      <c r="Q928" s="36"/>
      <c r="R928" s="36"/>
      <c r="S928" s="36" t="s">
        <v>175</v>
      </c>
      <c r="T928" s="36"/>
      <c r="U928" s="36" t="s">
        <v>413</v>
      </c>
      <c r="V928" s="25" t="s">
        <v>1268</v>
      </c>
      <c r="W928" s="36"/>
      <c r="X928" s="35" t="s">
        <v>1269</v>
      </c>
      <c r="Y928" s="35">
        <v>100</v>
      </c>
      <c r="Z928" s="35"/>
      <c r="AA928" s="36" t="s">
        <v>177</v>
      </c>
      <c r="AB928" s="36" t="s">
        <v>1270</v>
      </c>
      <c r="AC928" s="35">
        <v>5502011</v>
      </c>
      <c r="AD928" s="36" t="s">
        <v>422</v>
      </c>
      <c r="AE928" s="36">
        <v>100</v>
      </c>
      <c r="AF928" s="36" t="s">
        <v>178</v>
      </c>
      <c r="AG928" s="79">
        <v>1</v>
      </c>
      <c r="AH928" s="36">
        <v>0</v>
      </c>
      <c r="AI928" s="33"/>
      <c r="AJ928" s="37"/>
      <c r="AK928" s="35"/>
      <c r="AL928" s="35"/>
    </row>
    <row r="929" s="25" customFormat="1" hidden="1" customHeight="1" spans="1:38">
      <c r="A929" s="33">
        <v>5302120</v>
      </c>
      <c r="B929" s="34"/>
      <c r="C929" s="35">
        <v>5301120</v>
      </c>
      <c r="D929" s="36">
        <v>2</v>
      </c>
      <c r="E929" s="36"/>
      <c r="F929" s="36" t="s">
        <v>174</v>
      </c>
      <c r="G929" s="36">
        <f t="shared" si="273"/>
        <v>1</v>
      </c>
      <c r="H929" s="36">
        <f>IFERROR(IF(--MID($F929,2*COUNTIF($G929:G929,"&gt;"&amp;0)+2,1)=H$1,H$1,""),"")</f>
        <v>2</v>
      </c>
      <c r="I929" s="36">
        <f>IFERROR(IF(--MID($F929,2*COUNTIF($G929:H929,"&gt;"&amp;0)+2,1)=I$1,I$1,""),"")</f>
        <v>3</v>
      </c>
      <c r="J929" s="36">
        <f>IFERROR(IF(--MID($F929,2*COUNTIF($G929:I929,"&gt;"&amp;0)+2,1)=J$1,J$1,""),"")</f>
        <v>4</v>
      </c>
      <c r="K929" s="36">
        <f>IFERROR(IF(--MID($F929,2*COUNTIF($G929:J929,"&gt;"&amp;0)+2,1)=K$1,K$1,""),"")</f>
        <v>5</v>
      </c>
      <c r="L929" s="36">
        <f>IFERROR(IF(--MID($F929,2*COUNTIF($G929:K929,"&gt;"&amp;0)+2,1)=L$1,L$1,""),"")</f>
        <v>6</v>
      </c>
      <c r="M929" s="36" t="e" cm="1">
        <f t="array" ref="M929">IF(A929="","",_xlfn.XLOOKUP(D929&amp;"_"&amp;AE929,符文权重!A:A&amp;"_"&amp;符文权重!C:C,符文权重!D:D))</f>
        <v>#N/A</v>
      </c>
      <c r="N929" s="36"/>
      <c r="O929" s="36"/>
      <c r="P929" s="36"/>
      <c r="Q929" s="36"/>
      <c r="R929" s="36"/>
      <c r="S929" s="36" t="s">
        <v>175</v>
      </c>
      <c r="T929" s="36"/>
      <c r="U929" s="36" t="s">
        <v>415</v>
      </c>
      <c r="V929" s="25" t="s">
        <v>1271</v>
      </c>
      <c r="W929" s="36"/>
      <c r="X929" s="35" t="s">
        <v>1240</v>
      </c>
      <c r="Y929" s="35">
        <v>100</v>
      </c>
      <c r="Z929" s="35"/>
      <c r="AA929" s="36" t="s">
        <v>181</v>
      </c>
      <c r="AB929" s="36" t="s">
        <v>1272</v>
      </c>
      <c r="AC929" s="35">
        <v>5502011</v>
      </c>
      <c r="AD929" s="36" t="s">
        <v>425</v>
      </c>
      <c r="AE929" s="36">
        <v>100</v>
      </c>
      <c r="AF929" s="36" t="s">
        <v>178</v>
      </c>
      <c r="AG929" s="79">
        <v>1</v>
      </c>
      <c r="AH929" s="36">
        <v>0</v>
      </c>
      <c r="AI929" s="33"/>
      <c r="AJ929" s="37"/>
      <c r="AK929" s="35"/>
      <c r="AL929" s="35"/>
    </row>
    <row r="930" s="25" customFormat="1" hidden="1" customHeight="1" spans="1:38">
      <c r="A930" s="33">
        <v>5303120</v>
      </c>
      <c r="B930" s="34"/>
      <c r="C930" s="35">
        <v>5301120</v>
      </c>
      <c r="D930" s="36">
        <v>3</v>
      </c>
      <c r="E930" s="36"/>
      <c r="F930" s="36" t="s">
        <v>174</v>
      </c>
      <c r="G930" s="36">
        <f t="shared" si="273"/>
        <v>1</v>
      </c>
      <c r="H930" s="36">
        <f>IFERROR(IF(--MID($F930,2*COUNTIF($G930:G930,"&gt;"&amp;0)+2,1)=H$1,H$1,""),"")</f>
        <v>2</v>
      </c>
      <c r="I930" s="36">
        <f>IFERROR(IF(--MID($F930,2*COUNTIF($G930:H930,"&gt;"&amp;0)+2,1)=I$1,I$1,""),"")</f>
        <v>3</v>
      </c>
      <c r="J930" s="36">
        <f>IFERROR(IF(--MID($F930,2*COUNTIF($G930:I930,"&gt;"&amp;0)+2,1)=J$1,J$1,""),"")</f>
        <v>4</v>
      </c>
      <c r="K930" s="36">
        <f>IFERROR(IF(--MID($F930,2*COUNTIF($G930:J930,"&gt;"&amp;0)+2,1)=K$1,K$1,""),"")</f>
        <v>5</v>
      </c>
      <c r="L930" s="36">
        <f>IFERROR(IF(--MID($F930,2*COUNTIF($G930:K930,"&gt;"&amp;0)+2,1)=L$1,L$1,""),"")</f>
        <v>6</v>
      </c>
      <c r="M930" s="36" t="e" cm="1">
        <f t="array" ref="M930">IF(A930="","",_xlfn.XLOOKUP(D930&amp;"_"&amp;AE930,符文权重!A:A&amp;"_"&amp;符文权重!C:C,符文权重!D:D))</f>
        <v>#N/A</v>
      </c>
      <c r="N930" s="36"/>
      <c r="O930" s="36"/>
      <c r="P930" s="36"/>
      <c r="Q930" s="36"/>
      <c r="R930" s="36"/>
      <c r="S930" s="36" t="s">
        <v>175</v>
      </c>
      <c r="T930" s="36"/>
      <c r="U930" s="36" t="s">
        <v>417</v>
      </c>
      <c r="V930" s="25" t="s">
        <v>1273</v>
      </c>
      <c r="W930" s="36"/>
      <c r="X930" s="35" t="s">
        <v>1274</v>
      </c>
      <c r="Y930" s="35">
        <v>100</v>
      </c>
      <c r="Z930" s="35"/>
      <c r="AA930" s="36" t="s">
        <v>183</v>
      </c>
      <c r="AB930" s="36" t="s">
        <v>1275</v>
      </c>
      <c r="AC930" s="35">
        <v>5502011</v>
      </c>
      <c r="AD930" s="36" t="s">
        <v>428</v>
      </c>
      <c r="AE930" s="36">
        <v>100</v>
      </c>
      <c r="AF930" s="36" t="s">
        <v>178</v>
      </c>
      <c r="AG930" s="79">
        <v>1</v>
      </c>
      <c r="AH930" s="36">
        <v>0</v>
      </c>
      <c r="AI930" s="33"/>
      <c r="AJ930" s="37"/>
      <c r="AK930" s="35"/>
      <c r="AL930" s="35"/>
    </row>
    <row r="931" s="25" customFormat="1" hidden="1" customHeight="1" spans="1:38">
      <c r="A931" s="33">
        <v>5304120</v>
      </c>
      <c r="B931" s="34"/>
      <c r="C931" s="35">
        <v>5301120</v>
      </c>
      <c r="D931" s="36">
        <v>4</v>
      </c>
      <c r="E931" s="36"/>
      <c r="F931" s="36" t="s">
        <v>174</v>
      </c>
      <c r="G931" s="36">
        <f t="shared" si="273"/>
        <v>1</v>
      </c>
      <c r="H931" s="36">
        <f>IFERROR(IF(--MID($F931,2*COUNTIF($G931:G931,"&gt;"&amp;0)+2,1)=H$1,H$1,""),"")</f>
        <v>2</v>
      </c>
      <c r="I931" s="36">
        <f>IFERROR(IF(--MID($F931,2*COUNTIF($G931:H931,"&gt;"&amp;0)+2,1)=I$1,I$1,""),"")</f>
        <v>3</v>
      </c>
      <c r="J931" s="36">
        <f>IFERROR(IF(--MID($F931,2*COUNTIF($G931:I931,"&gt;"&amp;0)+2,1)=J$1,J$1,""),"")</f>
        <v>4</v>
      </c>
      <c r="K931" s="36">
        <f>IFERROR(IF(--MID($F931,2*COUNTIF($G931:J931,"&gt;"&amp;0)+2,1)=K$1,K$1,""),"")</f>
        <v>5</v>
      </c>
      <c r="L931" s="36">
        <f>IFERROR(IF(--MID($F931,2*COUNTIF($G931:K931,"&gt;"&amp;0)+2,1)=L$1,L$1,""),"")</f>
        <v>6</v>
      </c>
      <c r="M931" s="36" t="e" cm="1">
        <f t="array" ref="M931">IF(A931="","",_xlfn.XLOOKUP(D931&amp;"_"&amp;AE931,符文权重!A:A&amp;"_"&amp;符文权重!C:C,符文权重!D:D))</f>
        <v>#N/A</v>
      </c>
      <c r="N931" s="36"/>
      <c r="O931" s="36"/>
      <c r="P931" s="36"/>
      <c r="Q931" s="36"/>
      <c r="R931" s="36"/>
      <c r="S931" s="36" t="s">
        <v>175</v>
      </c>
      <c r="T931" s="36"/>
      <c r="U931" s="36" t="s">
        <v>420</v>
      </c>
      <c r="V931" s="25" t="s">
        <v>1276</v>
      </c>
      <c r="W931" s="36"/>
      <c r="X931" s="35" t="s">
        <v>1277</v>
      </c>
      <c r="Y931" s="35">
        <v>100</v>
      </c>
      <c r="Z931" s="35"/>
      <c r="AA931" s="36" t="s">
        <v>185</v>
      </c>
      <c r="AB931" s="80" t="s">
        <v>1278</v>
      </c>
      <c r="AC931" s="35">
        <v>5502011</v>
      </c>
      <c r="AD931" s="36" t="s">
        <v>431</v>
      </c>
      <c r="AE931" s="36">
        <v>100</v>
      </c>
      <c r="AF931" s="36" t="s">
        <v>178</v>
      </c>
      <c r="AG931" s="79">
        <v>1</v>
      </c>
      <c r="AH931" s="36">
        <v>0</v>
      </c>
      <c r="AI931" s="33"/>
      <c r="AJ931" s="37"/>
      <c r="AK931" s="35"/>
      <c r="AL931" s="35"/>
    </row>
    <row r="932" s="25" customFormat="1" hidden="1" customHeight="1" spans="1:38">
      <c r="A932" s="33">
        <v>5305120</v>
      </c>
      <c r="B932" s="34"/>
      <c r="C932" s="35">
        <v>5301120</v>
      </c>
      <c r="D932" s="36">
        <v>5</v>
      </c>
      <c r="E932" s="36"/>
      <c r="F932" s="36" t="s">
        <v>174</v>
      </c>
      <c r="G932" s="36">
        <f t="shared" si="273"/>
        <v>1</v>
      </c>
      <c r="H932" s="36">
        <f>IFERROR(IF(--MID($F932,2*COUNTIF($G932:G932,"&gt;"&amp;0)+2,1)=H$1,H$1,""),"")</f>
        <v>2</v>
      </c>
      <c r="I932" s="36">
        <f>IFERROR(IF(--MID($F932,2*COUNTIF($G932:H932,"&gt;"&amp;0)+2,1)=I$1,I$1,""),"")</f>
        <v>3</v>
      </c>
      <c r="J932" s="36">
        <f>IFERROR(IF(--MID($F932,2*COUNTIF($G932:I932,"&gt;"&amp;0)+2,1)=J$1,J$1,""),"")</f>
        <v>4</v>
      </c>
      <c r="K932" s="36">
        <f>IFERROR(IF(--MID($F932,2*COUNTIF($G932:J932,"&gt;"&amp;0)+2,1)=K$1,K$1,""),"")</f>
        <v>5</v>
      </c>
      <c r="L932" s="36">
        <f>IFERROR(IF(--MID($F932,2*COUNTIF($G932:K932,"&gt;"&amp;0)+2,1)=L$1,L$1,""),"")</f>
        <v>6</v>
      </c>
      <c r="M932" s="36" t="e" cm="1">
        <f t="array" ref="M932">IF(A932="","",_xlfn.XLOOKUP(D932&amp;"_"&amp;AE932,符文权重!A:A&amp;"_"&amp;符文权重!C:C,符文权重!D:D))</f>
        <v>#N/A</v>
      </c>
      <c r="N932" s="36"/>
      <c r="O932" s="36"/>
      <c r="P932" s="36"/>
      <c r="Q932" s="36"/>
      <c r="R932" s="36"/>
      <c r="S932" s="36" t="s">
        <v>175</v>
      </c>
      <c r="T932" s="36"/>
      <c r="U932" s="36" t="s">
        <v>423</v>
      </c>
      <c r="V932" s="25" t="s">
        <v>1279</v>
      </c>
      <c r="W932" s="36"/>
      <c r="X932" s="35" t="s">
        <v>1280</v>
      </c>
      <c r="Y932" s="35">
        <v>100</v>
      </c>
      <c r="Z932" s="35"/>
      <c r="AA932" s="36" t="s">
        <v>187</v>
      </c>
      <c r="AB932" s="36" t="s">
        <v>1281</v>
      </c>
      <c r="AC932" s="35">
        <v>5502011</v>
      </c>
      <c r="AD932" s="36" t="s">
        <v>472</v>
      </c>
      <c r="AE932" s="36">
        <v>100</v>
      </c>
      <c r="AF932" s="36" t="s">
        <v>178</v>
      </c>
      <c r="AG932" s="79">
        <v>1</v>
      </c>
      <c r="AH932" s="36">
        <v>0</v>
      </c>
      <c r="AI932" s="33"/>
      <c r="AJ932" s="37"/>
      <c r="AK932" s="35"/>
      <c r="AL932" s="35"/>
    </row>
    <row r="933" s="25" customFormat="1" hidden="1" customHeight="1" spans="1:38">
      <c r="A933" s="33">
        <v>5306120</v>
      </c>
      <c r="B933" s="34"/>
      <c r="C933" s="35">
        <v>5301120</v>
      </c>
      <c r="D933" s="36">
        <v>6</v>
      </c>
      <c r="E933" s="36"/>
      <c r="F933" s="36" t="s">
        <v>174</v>
      </c>
      <c r="G933" s="36">
        <f t="shared" si="273"/>
        <v>1</v>
      </c>
      <c r="H933" s="36">
        <f>IFERROR(IF(--MID($F933,2*COUNTIF($G933:G933,"&gt;"&amp;0)+2,1)=H$1,H$1,""),"")</f>
        <v>2</v>
      </c>
      <c r="I933" s="36">
        <f>IFERROR(IF(--MID($F933,2*COUNTIF($G933:H933,"&gt;"&amp;0)+2,1)=I$1,I$1,""),"")</f>
        <v>3</v>
      </c>
      <c r="J933" s="36">
        <f>IFERROR(IF(--MID($F933,2*COUNTIF($G933:I933,"&gt;"&amp;0)+2,1)=J$1,J$1,""),"")</f>
        <v>4</v>
      </c>
      <c r="K933" s="36">
        <f>IFERROR(IF(--MID($F933,2*COUNTIF($G933:J933,"&gt;"&amp;0)+2,1)=K$1,K$1,""),"")</f>
        <v>5</v>
      </c>
      <c r="L933" s="36">
        <f>IFERROR(IF(--MID($F933,2*COUNTIF($G933:K933,"&gt;"&amp;0)+2,1)=L$1,L$1,""),"")</f>
        <v>6</v>
      </c>
      <c r="M933" s="36" t="e" cm="1">
        <f t="array" ref="M933">IF(A933="","",_xlfn.XLOOKUP(D933&amp;"_"&amp;AE933,符文权重!A:A&amp;"_"&amp;符文权重!C:C,符文权重!D:D))</f>
        <v>#N/A</v>
      </c>
      <c r="N933" s="36"/>
      <c r="O933" s="36"/>
      <c r="P933" s="36"/>
      <c r="Q933" s="36"/>
      <c r="R933" s="36"/>
      <c r="S933" s="36" t="s">
        <v>175</v>
      </c>
      <c r="T933" s="36"/>
      <c r="U933" s="36" t="s">
        <v>426</v>
      </c>
      <c r="V933" s="25" t="s">
        <v>1282</v>
      </c>
      <c r="W933" s="36"/>
      <c r="X933" s="35" t="s">
        <v>1283</v>
      </c>
      <c r="Y933" s="35">
        <v>100</v>
      </c>
      <c r="Z933" s="35"/>
      <c r="AA933" s="36" t="s">
        <v>189</v>
      </c>
      <c r="AB933" s="36" t="s">
        <v>1284</v>
      </c>
      <c r="AC933" s="35">
        <v>5502011</v>
      </c>
      <c r="AD933" s="36" t="s">
        <v>497</v>
      </c>
      <c r="AE933" s="36">
        <v>100</v>
      </c>
      <c r="AF933" s="36" t="s">
        <v>178</v>
      </c>
      <c r="AG933" s="79">
        <v>1</v>
      </c>
      <c r="AH933" s="36">
        <v>0</v>
      </c>
      <c r="AI933" s="33"/>
      <c r="AJ933" s="37"/>
      <c r="AK933" s="35"/>
      <c r="AL933" s="35"/>
    </row>
    <row r="934" s="25" customFormat="1" hidden="1" customHeight="1" spans="1:38">
      <c r="A934" s="33">
        <v>5307120</v>
      </c>
      <c r="B934" s="34"/>
      <c r="C934" s="35">
        <v>5301120</v>
      </c>
      <c r="D934" s="36">
        <v>7</v>
      </c>
      <c r="E934" s="36"/>
      <c r="F934" s="36" t="s">
        <v>174</v>
      </c>
      <c r="G934" s="36">
        <f t="shared" si="273"/>
        <v>1</v>
      </c>
      <c r="H934" s="36">
        <f>IFERROR(IF(--MID($F934,2*COUNTIF($G934:G934,"&gt;"&amp;0)+2,1)=H$1,H$1,""),"")</f>
        <v>2</v>
      </c>
      <c r="I934" s="36">
        <f>IFERROR(IF(--MID($F934,2*COUNTIF($G934:H934,"&gt;"&amp;0)+2,1)=I$1,I$1,""),"")</f>
        <v>3</v>
      </c>
      <c r="J934" s="36">
        <f>IFERROR(IF(--MID($F934,2*COUNTIF($G934:I934,"&gt;"&amp;0)+2,1)=J$1,J$1,""),"")</f>
        <v>4</v>
      </c>
      <c r="K934" s="36">
        <f>IFERROR(IF(--MID($F934,2*COUNTIF($G934:J934,"&gt;"&amp;0)+2,1)=K$1,K$1,""),"")</f>
        <v>5</v>
      </c>
      <c r="L934" s="36">
        <f>IFERROR(IF(--MID($F934,2*COUNTIF($G934:K934,"&gt;"&amp;0)+2,1)=L$1,L$1,""),"")</f>
        <v>6</v>
      </c>
      <c r="M934" s="36" t="e" cm="1">
        <f t="array" ref="M934">IF(A934="","",_xlfn.XLOOKUP(D934&amp;"_"&amp;AE934,符文权重!A:A&amp;"_"&amp;符文权重!C:C,符文权重!D:D))</f>
        <v>#N/A</v>
      </c>
      <c r="N934" s="36"/>
      <c r="O934" s="36"/>
      <c r="P934" s="36"/>
      <c r="Q934" s="36"/>
      <c r="R934" s="36"/>
      <c r="S934" s="36" t="s">
        <v>175</v>
      </c>
      <c r="T934" s="36"/>
      <c r="U934" s="36" t="s">
        <v>429</v>
      </c>
      <c r="V934" s="25" t="s">
        <v>1285</v>
      </c>
      <c r="W934" s="36"/>
      <c r="X934" s="35" t="s">
        <v>1286</v>
      </c>
      <c r="Y934" s="35">
        <v>100</v>
      </c>
      <c r="Z934" s="35"/>
      <c r="AA934" s="36" t="s">
        <v>191</v>
      </c>
      <c r="AB934" s="36" t="s">
        <v>1287</v>
      </c>
      <c r="AC934" s="35">
        <v>5502011</v>
      </c>
      <c r="AD934" s="36" t="s">
        <v>596</v>
      </c>
      <c r="AE934" s="36">
        <v>100</v>
      </c>
      <c r="AF934" s="36" t="s">
        <v>178</v>
      </c>
      <c r="AG934" s="79">
        <v>1</v>
      </c>
      <c r="AH934" s="36">
        <v>0</v>
      </c>
      <c r="AI934" s="33"/>
      <c r="AJ934" s="37"/>
      <c r="AK934" s="35"/>
      <c r="AL934" s="35"/>
    </row>
    <row r="935" s="25" customFormat="1" hidden="1" customHeight="1" spans="1:38">
      <c r="A935" s="33">
        <v>5303121</v>
      </c>
      <c r="B935" s="34"/>
      <c r="C935" s="35">
        <v>5301121</v>
      </c>
      <c r="D935" s="36">
        <v>3</v>
      </c>
      <c r="E935" s="36"/>
      <c r="F935" s="36" t="s">
        <v>174</v>
      </c>
      <c r="G935" s="36">
        <f t="shared" si="273"/>
        <v>1</v>
      </c>
      <c r="H935" s="36">
        <f>IFERROR(IF(--MID($F935,2*COUNTIF($G935:G935,"&gt;"&amp;0)+2,1)=H$1,H$1,""),"")</f>
        <v>2</v>
      </c>
      <c r="I935" s="36">
        <f>IFERROR(IF(--MID($F935,2*COUNTIF($G935:H935,"&gt;"&amp;0)+2,1)=I$1,I$1,""),"")</f>
        <v>3</v>
      </c>
      <c r="J935" s="36">
        <f>IFERROR(IF(--MID($F935,2*COUNTIF($G935:I935,"&gt;"&amp;0)+2,1)=J$1,J$1,""),"")</f>
        <v>4</v>
      </c>
      <c r="K935" s="36">
        <f>IFERROR(IF(--MID($F935,2*COUNTIF($G935:J935,"&gt;"&amp;0)+2,1)=K$1,K$1,""),"")</f>
        <v>5</v>
      </c>
      <c r="L935" s="36">
        <f>IFERROR(IF(--MID($F935,2*COUNTIF($G935:K935,"&gt;"&amp;0)+2,1)=L$1,L$1,""),"")</f>
        <v>6</v>
      </c>
      <c r="M935" s="36" t="e" cm="1">
        <f t="array" ref="M935">IF(A935="","",_xlfn.XLOOKUP(D935&amp;"_"&amp;AE935,符文权重!A:A&amp;"_"&amp;符文权重!C:C,符文权重!D:D))</f>
        <v>#N/A</v>
      </c>
      <c r="N935" s="36"/>
      <c r="O935" s="36"/>
      <c r="P935" s="36"/>
      <c r="Q935" s="36"/>
      <c r="R935" s="36"/>
      <c r="S935" s="36" t="s">
        <v>344</v>
      </c>
      <c r="T935" s="36"/>
      <c r="U935" s="36" t="s">
        <v>417</v>
      </c>
      <c r="W935" s="36" t="s">
        <v>1288</v>
      </c>
      <c r="X935" s="35"/>
      <c r="Y935" s="35">
        <v>100</v>
      </c>
      <c r="Z935" s="35"/>
      <c r="AA935" s="36" t="s">
        <v>183</v>
      </c>
      <c r="AB935" s="36" t="s">
        <v>1289</v>
      </c>
      <c r="AC935" s="35">
        <v>5301121</v>
      </c>
      <c r="AD935" s="36" t="s">
        <v>903</v>
      </c>
      <c r="AE935" s="36">
        <v>100</v>
      </c>
      <c r="AF935" s="36" t="s">
        <v>178</v>
      </c>
      <c r="AG935" s="79">
        <v>1</v>
      </c>
      <c r="AH935" s="36">
        <v>0</v>
      </c>
      <c r="AL935" s="35"/>
    </row>
    <row r="936" s="25" customFormat="1" hidden="1" customHeight="1" spans="1:38">
      <c r="A936" s="33">
        <v>5304121</v>
      </c>
      <c r="B936" s="34"/>
      <c r="C936" s="35">
        <v>5301121</v>
      </c>
      <c r="D936" s="36">
        <v>4</v>
      </c>
      <c r="E936" s="36"/>
      <c r="F936" s="36" t="s">
        <v>174</v>
      </c>
      <c r="G936" s="36">
        <f t="shared" si="273"/>
        <v>1</v>
      </c>
      <c r="H936" s="36">
        <f>IFERROR(IF(--MID($F936,2*COUNTIF($G936:G936,"&gt;"&amp;0)+2,1)=H$1,H$1,""),"")</f>
        <v>2</v>
      </c>
      <c r="I936" s="36">
        <f>IFERROR(IF(--MID($F936,2*COUNTIF($G936:H936,"&gt;"&amp;0)+2,1)=I$1,I$1,""),"")</f>
        <v>3</v>
      </c>
      <c r="J936" s="36">
        <f>IFERROR(IF(--MID($F936,2*COUNTIF($G936:I936,"&gt;"&amp;0)+2,1)=J$1,J$1,""),"")</f>
        <v>4</v>
      </c>
      <c r="K936" s="36">
        <f>IFERROR(IF(--MID($F936,2*COUNTIF($G936:J936,"&gt;"&amp;0)+2,1)=K$1,K$1,""),"")</f>
        <v>5</v>
      </c>
      <c r="L936" s="36">
        <f>IFERROR(IF(--MID($F936,2*COUNTIF($G936:K936,"&gt;"&amp;0)+2,1)=L$1,L$1,""),"")</f>
        <v>6</v>
      </c>
      <c r="M936" s="36" t="e" cm="1">
        <f t="array" ref="M936">IF(A936="","",_xlfn.XLOOKUP(D936&amp;"_"&amp;AE936,符文权重!A:A&amp;"_"&amp;符文权重!C:C,符文权重!D:D))</f>
        <v>#N/A</v>
      </c>
      <c r="N936" s="36"/>
      <c r="O936" s="36"/>
      <c r="P936" s="36"/>
      <c r="Q936" s="36"/>
      <c r="R936" s="36"/>
      <c r="S936" s="36" t="s">
        <v>344</v>
      </c>
      <c r="T936" s="36"/>
      <c r="U936" s="36" t="s">
        <v>420</v>
      </c>
      <c r="W936" s="36" t="s">
        <v>1290</v>
      </c>
      <c r="Y936" s="35">
        <v>100</v>
      </c>
      <c r="Z936" s="35"/>
      <c r="AA936" s="36" t="s">
        <v>185</v>
      </c>
      <c r="AB936" s="36" t="s">
        <v>1291</v>
      </c>
      <c r="AC936" s="35">
        <v>5301121</v>
      </c>
      <c r="AD936" s="36" t="s">
        <v>1292</v>
      </c>
      <c r="AE936" s="36">
        <v>100</v>
      </c>
      <c r="AF936" s="36" t="s">
        <v>178</v>
      </c>
      <c r="AG936" s="79">
        <v>1</v>
      </c>
      <c r="AH936" s="36">
        <v>0</v>
      </c>
      <c r="AL936" s="35"/>
    </row>
    <row r="937" s="25" customFormat="1" hidden="1" customHeight="1" spans="1:38">
      <c r="A937" s="33">
        <v>5305121</v>
      </c>
      <c r="B937" s="34"/>
      <c r="C937" s="35">
        <v>5301121</v>
      </c>
      <c r="D937" s="36">
        <v>5</v>
      </c>
      <c r="E937" s="36"/>
      <c r="F937" s="36" t="s">
        <v>174</v>
      </c>
      <c r="G937" s="36">
        <f t="shared" si="273"/>
        <v>1</v>
      </c>
      <c r="H937" s="36">
        <f>IFERROR(IF(--MID($F937,2*COUNTIF($G937:G937,"&gt;"&amp;0)+2,1)=H$1,H$1,""),"")</f>
        <v>2</v>
      </c>
      <c r="I937" s="36">
        <f>IFERROR(IF(--MID($F937,2*COUNTIF($G937:H937,"&gt;"&amp;0)+2,1)=I$1,I$1,""),"")</f>
        <v>3</v>
      </c>
      <c r="J937" s="36">
        <f>IFERROR(IF(--MID($F937,2*COUNTIF($G937:I937,"&gt;"&amp;0)+2,1)=J$1,J$1,""),"")</f>
        <v>4</v>
      </c>
      <c r="K937" s="36">
        <f>IFERROR(IF(--MID($F937,2*COUNTIF($G937:J937,"&gt;"&amp;0)+2,1)=K$1,K$1,""),"")</f>
        <v>5</v>
      </c>
      <c r="L937" s="36">
        <f>IFERROR(IF(--MID($F937,2*COUNTIF($G937:K937,"&gt;"&amp;0)+2,1)=L$1,L$1,""),"")</f>
        <v>6</v>
      </c>
      <c r="M937" s="36" t="e" cm="1">
        <f t="array" ref="M937">IF(A937="","",_xlfn.XLOOKUP(D937&amp;"_"&amp;AE937,符文权重!A:A&amp;"_"&amp;符文权重!C:C,符文权重!D:D))</f>
        <v>#N/A</v>
      </c>
      <c r="N937" s="36"/>
      <c r="O937" s="36"/>
      <c r="P937" s="36"/>
      <c r="Q937" s="36"/>
      <c r="R937" s="36"/>
      <c r="S937" s="36" t="s">
        <v>344</v>
      </c>
      <c r="T937" s="36"/>
      <c r="U937" s="36" t="s">
        <v>423</v>
      </c>
      <c r="W937" s="36" t="s">
        <v>1293</v>
      </c>
      <c r="X937" s="35"/>
      <c r="Y937" s="35">
        <v>100</v>
      </c>
      <c r="Z937" s="35"/>
      <c r="AA937" s="36" t="s">
        <v>187</v>
      </c>
      <c r="AB937" s="80" t="s">
        <v>1294</v>
      </c>
      <c r="AC937" s="35">
        <v>5301121</v>
      </c>
      <c r="AD937" s="36" t="s">
        <v>1295</v>
      </c>
      <c r="AE937" s="36">
        <v>100</v>
      </c>
      <c r="AF937" s="36" t="s">
        <v>178</v>
      </c>
      <c r="AG937" s="79">
        <v>1</v>
      </c>
      <c r="AH937" s="36">
        <v>0</v>
      </c>
      <c r="AL937" s="35"/>
    </row>
    <row r="938" s="25" customFormat="1" hidden="1" customHeight="1" spans="1:38">
      <c r="A938" s="33">
        <v>5306121</v>
      </c>
      <c r="B938" s="34"/>
      <c r="C938" s="35">
        <v>5301121</v>
      </c>
      <c r="D938" s="36">
        <v>6</v>
      </c>
      <c r="E938" s="36"/>
      <c r="F938" s="36" t="s">
        <v>174</v>
      </c>
      <c r="G938" s="36">
        <f t="shared" si="273"/>
        <v>1</v>
      </c>
      <c r="H938" s="36">
        <f>IFERROR(IF(--MID($F938,2*COUNTIF($G938:G938,"&gt;"&amp;0)+2,1)=H$1,H$1,""),"")</f>
        <v>2</v>
      </c>
      <c r="I938" s="36">
        <f>IFERROR(IF(--MID($F938,2*COUNTIF($G938:H938,"&gt;"&amp;0)+2,1)=I$1,I$1,""),"")</f>
        <v>3</v>
      </c>
      <c r="J938" s="36">
        <f>IFERROR(IF(--MID($F938,2*COUNTIF($G938:I938,"&gt;"&amp;0)+2,1)=J$1,J$1,""),"")</f>
        <v>4</v>
      </c>
      <c r="K938" s="36">
        <f>IFERROR(IF(--MID($F938,2*COUNTIF($G938:J938,"&gt;"&amp;0)+2,1)=K$1,K$1,""),"")</f>
        <v>5</v>
      </c>
      <c r="L938" s="36">
        <f>IFERROR(IF(--MID($F938,2*COUNTIF($G938:K938,"&gt;"&amp;0)+2,1)=L$1,L$1,""),"")</f>
        <v>6</v>
      </c>
      <c r="M938" s="36" t="e" cm="1">
        <f t="array" ref="M938">IF(A938="","",_xlfn.XLOOKUP(D938&amp;"_"&amp;AE938,符文权重!A:A&amp;"_"&amp;符文权重!C:C,符文权重!D:D))</f>
        <v>#N/A</v>
      </c>
      <c r="N938" s="36"/>
      <c r="O938" s="36"/>
      <c r="P938" s="36"/>
      <c r="Q938" s="36"/>
      <c r="R938" s="36"/>
      <c r="S938" s="36" t="s">
        <v>344</v>
      </c>
      <c r="T938" s="36"/>
      <c r="U938" s="36" t="s">
        <v>426</v>
      </c>
      <c r="W938" s="36" t="s">
        <v>1296</v>
      </c>
      <c r="X938" s="35"/>
      <c r="Y938" s="35">
        <v>100</v>
      </c>
      <c r="Z938" s="35"/>
      <c r="AA938" s="36" t="s">
        <v>189</v>
      </c>
      <c r="AB938" s="36" t="s">
        <v>1297</v>
      </c>
      <c r="AC938" s="35">
        <v>5301121</v>
      </c>
      <c r="AD938" s="36" t="s">
        <v>1298</v>
      </c>
      <c r="AE938" s="36">
        <v>100</v>
      </c>
      <c r="AF938" s="36" t="s">
        <v>178</v>
      </c>
      <c r="AG938" s="79">
        <v>1</v>
      </c>
      <c r="AH938" s="36">
        <v>0</v>
      </c>
      <c r="AL938" s="35"/>
    </row>
    <row r="939" s="25" customFormat="1" hidden="1" customHeight="1" spans="1:38">
      <c r="A939" s="33">
        <v>5307121</v>
      </c>
      <c r="B939" s="34"/>
      <c r="C939" s="35">
        <v>5301121</v>
      </c>
      <c r="D939" s="36">
        <v>7</v>
      </c>
      <c r="E939" s="36"/>
      <c r="F939" s="36" t="s">
        <v>174</v>
      </c>
      <c r="G939" s="36">
        <f t="shared" si="273"/>
        <v>1</v>
      </c>
      <c r="H939" s="36">
        <f>IFERROR(IF(--MID($F939,2*COUNTIF($G939:G939,"&gt;"&amp;0)+2,1)=H$1,H$1,""),"")</f>
        <v>2</v>
      </c>
      <c r="I939" s="36">
        <f>IFERROR(IF(--MID($F939,2*COUNTIF($G939:H939,"&gt;"&amp;0)+2,1)=I$1,I$1,""),"")</f>
        <v>3</v>
      </c>
      <c r="J939" s="36">
        <f>IFERROR(IF(--MID($F939,2*COUNTIF($G939:I939,"&gt;"&amp;0)+2,1)=J$1,J$1,""),"")</f>
        <v>4</v>
      </c>
      <c r="K939" s="36">
        <f>IFERROR(IF(--MID($F939,2*COUNTIF($G939:J939,"&gt;"&amp;0)+2,1)=K$1,K$1,""),"")</f>
        <v>5</v>
      </c>
      <c r="L939" s="36">
        <f>IFERROR(IF(--MID($F939,2*COUNTIF($G939:K939,"&gt;"&amp;0)+2,1)=L$1,L$1,""),"")</f>
        <v>6</v>
      </c>
      <c r="M939" s="36" t="e" cm="1">
        <f t="array" ref="M939">IF(A939="","",_xlfn.XLOOKUP(D939&amp;"_"&amp;AE939,符文权重!A:A&amp;"_"&amp;符文权重!C:C,符文权重!D:D))</f>
        <v>#N/A</v>
      </c>
      <c r="N939" s="36"/>
      <c r="O939" s="36"/>
      <c r="P939" s="36"/>
      <c r="Q939" s="36"/>
      <c r="R939" s="36"/>
      <c r="S939" s="36" t="s">
        <v>344</v>
      </c>
      <c r="T939" s="36"/>
      <c r="U939" s="36" t="s">
        <v>429</v>
      </c>
      <c r="W939" s="36" t="s">
        <v>1299</v>
      </c>
      <c r="X939" s="35"/>
      <c r="Y939" s="35">
        <v>100</v>
      </c>
      <c r="Z939" s="35"/>
      <c r="AA939" s="36" t="s">
        <v>191</v>
      </c>
      <c r="AB939" s="36" t="s">
        <v>1300</v>
      </c>
      <c r="AC939" s="35">
        <v>5301121</v>
      </c>
      <c r="AD939" s="36" t="s">
        <v>1301</v>
      </c>
      <c r="AE939" s="36">
        <v>100</v>
      </c>
      <c r="AF939" s="36" t="s">
        <v>178</v>
      </c>
      <c r="AG939" s="79">
        <v>1</v>
      </c>
      <c r="AH939" s="36">
        <v>0</v>
      </c>
      <c r="AL939" s="35"/>
    </row>
    <row r="940" s="25" customFormat="1" hidden="1" customHeight="1" spans="1:38">
      <c r="A940" s="33">
        <v>5302122</v>
      </c>
      <c r="B940" s="34"/>
      <c r="C940" s="35">
        <v>5301122</v>
      </c>
      <c r="D940" s="36">
        <v>2</v>
      </c>
      <c r="E940" s="36"/>
      <c r="F940" s="36" t="s">
        <v>174</v>
      </c>
      <c r="G940" s="36">
        <f t="shared" si="273"/>
        <v>1</v>
      </c>
      <c r="H940" s="36">
        <f>IFERROR(IF(--MID($F940,2*COUNTIF($G940:G940,"&gt;"&amp;0)+2,1)=H$1,H$1,""),"")</f>
        <v>2</v>
      </c>
      <c r="I940" s="36">
        <f>IFERROR(IF(--MID($F940,2*COUNTIF($G940:H940,"&gt;"&amp;0)+2,1)=I$1,I$1,""),"")</f>
        <v>3</v>
      </c>
      <c r="J940" s="36">
        <f>IFERROR(IF(--MID($F940,2*COUNTIF($G940:I940,"&gt;"&amp;0)+2,1)=J$1,J$1,""),"")</f>
        <v>4</v>
      </c>
      <c r="K940" s="36">
        <f>IFERROR(IF(--MID($F940,2*COUNTIF($G940:J940,"&gt;"&amp;0)+2,1)=K$1,K$1,""),"")</f>
        <v>5</v>
      </c>
      <c r="L940" s="36">
        <f>IFERROR(IF(--MID($F940,2*COUNTIF($G940:K940,"&gt;"&amp;0)+2,1)=L$1,L$1,""),"")</f>
        <v>6</v>
      </c>
      <c r="M940" s="36" t="e" cm="1">
        <f t="array" ref="M940">IF(A940="","",_xlfn.XLOOKUP(D940&amp;"_"&amp;AE940,符文权重!A:A&amp;"_"&amp;符文权重!C:C,符文权重!D:D))</f>
        <v>#N/A</v>
      </c>
      <c r="N940" s="36"/>
      <c r="O940" s="36"/>
      <c r="P940" s="36"/>
      <c r="Q940" s="36"/>
      <c r="R940" s="36"/>
      <c r="S940" s="36" t="s">
        <v>344</v>
      </c>
      <c r="T940" s="36"/>
      <c r="U940" s="36" t="s">
        <v>415</v>
      </c>
      <c r="V940" s="25" t="s">
        <v>1302</v>
      </c>
      <c r="W940" s="36"/>
      <c r="X940" s="35"/>
      <c r="Y940" s="35">
        <v>100</v>
      </c>
      <c r="Z940" s="35"/>
      <c r="AA940" s="36" t="s">
        <v>181</v>
      </c>
      <c r="AB940" s="36" t="s">
        <v>1303</v>
      </c>
      <c r="AC940" s="35">
        <v>5301122</v>
      </c>
      <c r="AD940" s="36" t="s">
        <v>193</v>
      </c>
      <c r="AE940" s="36">
        <v>100</v>
      </c>
      <c r="AF940" s="36"/>
      <c r="AG940" s="79">
        <v>1</v>
      </c>
      <c r="AH940" s="36">
        <v>0</v>
      </c>
      <c r="AL940" s="35"/>
    </row>
    <row r="941" s="25" customFormat="1" hidden="1" customHeight="1" spans="1:38">
      <c r="A941" s="33">
        <v>5303122</v>
      </c>
      <c r="B941" s="34"/>
      <c r="C941" s="35">
        <v>5301122</v>
      </c>
      <c r="D941" s="36">
        <v>3</v>
      </c>
      <c r="E941" s="36"/>
      <c r="F941" s="36" t="s">
        <v>174</v>
      </c>
      <c r="G941" s="36">
        <f t="shared" si="273"/>
        <v>1</v>
      </c>
      <c r="H941" s="36">
        <f>IFERROR(IF(--MID($F941,2*COUNTIF($G941:G941,"&gt;"&amp;0)+2,1)=H$1,H$1,""),"")</f>
        <v>2</v>
      </c>
      <c r="I941" s="36">
        <f>IFERROR(IF(--MID($F941,2*COUNTIF($G941:H941,"&gt;"&amp;0)+2,1)=I$1,I$1,""),"")</f>
        <v>3</v>
      </c>
      <c r="J941" s="36">
        <f>IFERROR(IF(--MID($F941,2*COUNTIF($G941:I941,"&gt;"&amp;0)+2,1)=J$1,J$1,""),"")</f>
        <v>4</v>
      </c>
      <c r="K941" s="36">
        <f>IFERROR(IF(--MID($F941,2*COUNTIF($G941:J941,"&gt;"&amp;0)+2,1)=K$1,K$1,""),"")</f>
        <v>5</v>
      </c>
      <c r="L941" s="36">
        <f>IFERROR(IF(--MID($F941,2*COUNTIF($G941:K941,"&gt;"&amp;0)+2,1)=L$1,L$1,""),"")</f>
        <v>6</v>
      </c>
      <c r="M941" s="36" t="e" cm="1">
        <f t="array" ref="M941">IF(A941="","",_xlfn.XLOOKUP(D941&amp;"_"&amp;AE941,符文权重!A:A&amp;"_"&amp;符文权重!C:C,符文权重!D:D))</f>
        <v>#N/A</v>
      </c>
      <c r="N941" s="36"/>
      <c r="O941" s="36"/>
      <c r="P941" s="36"/>
      <c r="Q941" s="36"/>
      <c r="R941" s="36"/>
      <c r="S941" s="36" t="s">
        <v>344</v>
      </c>
      <c r="T941" s="36"/>
      <c r="U941" s="36" t="s">
        <v>417</v>
      </c>
      <c r="V941" s="25" t="s">
        <v>1304</v>
      </c>
      <c r="W941" s="36"/>
      <c r="X941" s="35"/>
      <c r="Y941" s="35">
        <v>100</v>
      </c>
      <c r="Z941" s="35"/>
      <c r="AA941" s="36" t="s">
        <v>183</v>
      </c>
      <c r="AB941" s="36" t="s">
        <v>1305</v>
      </c>
      <c r="AC941" s="35">
        <v>5301122</v>
      </c>
      <c r="AD941" s="36" t="s">
        <v>1306</v>
      </c>
      <c r="AE941" s="36">
        <v>100</v>
      </c>
      <c r="AF941" s="36" t="s">
        <v>178</v>
      </c>
      <c r="AG941" s="79">
        <v>1</v>
      </c>
      <c r="AH941" s="36">
        <v>0</v>
      </c>
      <c r="AL941" s="35"/>
    </row>
    <row r="942" s="25" customFormat="1" hidden="1" customHeight="1" spans="1:38">
      <c r="A942" s="33">
        <v>5304122</v>
      </c>
      <c r="B942" s="34"/>
      <c r="C942" s="35">
        <v>5301122</v>
      </c>
      <c r="D942" s="36">
        <v>4</v>
      </c>
      <c r="E942" s="36"/>
      <c r="F942" s="36" t="s">
        <v>174</v>
      </c>
      <c r="G942" s="36">
        <f t="shared" si="273"/>
        <v>1</v>
      </c>
      <c r="H942" s="36">
        <f>IFERROR(IF(--MID($F942,2*COUNTIF($G942:G942,"&gt;"&amp;0)+2,1)=H$1,H$1,""),"")</f>
        <v>2</v>
      </c>
      <c r="I942" s="36">
        <f>IFERROR(IF(--MID($F942,2*COUNTIF($G942:H942,"&gt;"&amp;0)+2,1)=I$1,I$1,""),"")</f>
        <v>3</v>
      </c>
      <c r="J942" s="36">
        <f>IFERROR(IF(--MID($F942,2*COUNTIF($G942:I942,"&gt;"&amp;0)+2,1)=J$1,J$1,""),"")</f>
        <v>4</v>
      </c>
      <c r="K942" s="36">
        <f>IFERROR(IF(--MID($F942,2*COUNTIF($G942:J942,"&gt;"&amp;0)+2,1)=K$1,K$1,""),"")</f>
        <v>5</v>
      </c>
      <c r="L942" s="36">
        <f>IFERROR(IF(--MID($F942,2*COUNTIF($G942:K942,"&gt;"&amp;0)+2,1)=L$1,L$1,""),"")</f>
        <v>6</v>
      </c>
      <c r="M942" s="36" t="e" cm="1">
        <f t="array" ref="M942">IF(A942="","",_xlfn.XLOOKUP(D942&amp;"_"&amp;AE942,符文权重!A:A&amp;"_"&amp;符文权重!C:C,符文权重!D:D))</f>
        <v>#N/A</v>
      </c>
      <c r="N942" s="36"/>
      <c r="O942" s="36"/>
      <c r="P942" s="36"/>
      <c r="Q942" s="36"/>
      <c r="R942" s="36"/>
      <c r="S942" s="36" t="s">
        <v>344</v>
      </c>
      <c r="T942" s="36"/>
      <c r="U942" s="36" t="s">
        <v>420</v>
      </c>
      <c r="V942" s="25" t="s">
        <v>1307</v>
      </c>
      <c r="W942" s="36"/>
      <c r="X942" s="35"/>
      <c r="Y942" s="35">
        <v>100</v>
      </c>
      <c r="Z942" s="35"/>
      <c r="AA942" s="36" t="s">
        <v>185</v>
      </c>
      <c r="AB942" s="36" t="s">
        <v>1308</v>
      </c>
      <c r="AC942" s="35">
        <v>5301122</v>
      </c>
      <c r="AD942" s="36" t="s">
        <v>404</v>
      </c>
      <c r="AE942" s="36">
        <v>100</v>
      </c>
      <c r="AF942" s="36" t="s">
        <v>178</v>
      </c>
      <c r="AG942" s="79">
        <v>1</v>
      </c>
      <c r="AH942" s="36">
        <v>0</v>
      </c>
      <c r="AL942" s="35"/>
    </row>
    <row r="943" s="25" customFormat="1" hidden="1" customHeight="1" spans="1:38">
      <c r="A943" s="33">
        <v>5305122</v>
      </c>
      <c r="B943" s="34"/>
      <c r="C943" s="35">
        <v>5301122</v>
      </c>
      <c r="D943" s="36">
        <v>5</v>
      </c>
      <c r="E943" s="36"/>
      <c r="F943" s="36" t="s">
        <v>174</v>
      </c>
      <c r="G943" s="36">
        <f t="shared" si="273"/>
        <v>1</v>
      </c>
      <c r="H943" s="36">
        <f>IFERROR(IF(--MID($F943,2*COUNTIF($G943:G943,"&gt;"&amp;0)+2,1)=H$1,H$1,""),"")</f>
        <v>2</v>
      </c>
      <c r="I943" s="36">
        <f>IFERROR(IF(--MID($F943,2*COUNTIF($G943:H943,"&gt;"&amp;0)+2,1)=I$1,I$1,""),"")</f>
        <v>3</v>
      </c>
      <c r="J943" s="36">
        <f>IFERROR(IF(--MID($F943,2*COUNTIF($G943:I943,"&gt;"&amp;0)+2,1)=J$1,J$1,""),"")</f>
        <v>4</v>
      </c>
      <c r="K943" s="36">
        <f>IFERROR(IF(--MID($F943,2*COUNTIF($G943:J943,"&gt;"&amp;0)+2,1)=K$1,K$1,""),"")</f>
        <v>5</v>
      </c>
      <c r="L943" s="36">
        <f>IFERROR(IF(--MID($F943,2*COUNTIF($G943:K943,"&gt;"&amp;0)+2,1)=L$1,L$1,""),"")</f>
        <v>6</v>
      </c>
      <c r="M943" s="36" t="e" cm="1">
        <f t="array" ref="M943">IF(A943="","",_xlfn.XLOOKUP(D943&amp;"_"&amp;AE943,符文权重!A:A&amp;"_"&amp;符文权重!C:C,符文权重!D:D))</f>
        <v>#N/A</v>
      </c>
      <c r="N943" s="36"/>
      <c r="O943" s="36"/>
      <c r="P943" s="36"/>
      <c r="Q943" s="36"/>
      <c r="R943" s="36"/>
      <c r="S943" s="36" t="s">
        <v>344</v>
      </c>
      <c r="T943" s="36"/>
      <c r="U943" s="36" t="s">
        <v>423</v>
      </c>
      <c r="V943" s="25" t="s">
        <v>1309</v>
      </c>
      <c r="W943" s="36"/>
      <c r="X943" s="35"/>
      <c r="Y943" s="35">
        <v>100</v>
      </c>
      <c r="Z943" s="35"/>
      <c r="AA943" s="36" t="s">
        <v>187</v>
      </c>
      <c r="AB943" s="36" t="s">
        <v>1310</v>
      </c>
      <c r="AC943" s="35">
        <v>5301122</v>
      </c>
      <c r="AD943" s="36" t="s">
        <v>1311</v>
      </c>
      <c r="AE943" s="36">
        <v>100</v>
      </c>
      <c r="AF943" s="36" t="s">
        <v>178</v>
      </c>
      <c r="AG943" s="79">
        <v>1</v>
      </c>
      <c r="AH943" s="36">
        <v>0</v>
      </c>
      <c r="AL943" s="35"/>
    </row>
    <row r="944" s="25" customFormat="1" hidden="1" customHeight="1" spans="1:38">
      <c r="A944" s="33">
        <v>5306122</v>
      </c>
      <c r="B944" s="34"/>
      <c r="C944" s="35">
        <v>5301122</v>
      </c>
      <c r="D944" s="36">
        <v>6</v>
      </c>
      <c r="E944" s="36"/>
      <c r="F944" s="36" t="s">
        <v>174</v>
      </c>
      <c r="G944" s="36">
        <f t="shared" si="273"/>
        <v>1</v>
      </c>
      <c r="H944" s="36">
        <f>IFERROR(IF(--MID($F944,2*COUNTIF($G944:G944,"&gt;"&amp;0)+2,1)=H$1,H$1,""),"")</f>
        <v>2</v>
      </c>
      <c r="I944" s="36">
        <f>IFERROR(IF(--MID($F944,2*COUNTIF($G944:H944,"&gt;"&amp;0)+2,1)=I$1,I$1,""),"")</f>
        <v>3</v>
      </c>
      <c r="J944" s="36">
        <f>IFERROR(IF(--MID($F944,2*COUNTIF($G944:I944,"&gt;"&amp;0)+2,1)=J$1,J$1,""),"")</f>
        <v>4</v>
      </c>
      <c r="K944" s="36">
        <f>IFERROR(IF(--MID($F944,2*COUNTIF($G944:J944,"&gt;"&amp;0)+2,1)=K$1,K$1,""),"")</f>
        <v>5</v>
      </c>
      <c r="L944" s="36">
        <f>IFERROR(IF(--MID($F944,2*COUNTIF($G944:K944,"&gt;"&amp;0)+2,1)=L$1,L$1,""),"")</f>
        <v>6</v>
      </c>
      <c r="M944" s="36" t="e" cm="1">
        <f t="array" ref="M944">IF(A944="","",_xlfn.XLOOKUP(D944&amp;"_"&amp;AE944,符文权重!A:A&amp;"_"&amp;符文权重!C:C,符文权重!D:D))</f>
        <v>#N/A</v>
      </c>
      <c r="N944" s="36"/>
      <c r="O944" s="36"/>
      <c r="P944" s="36"/>
      <c r="Q944" s="36"/>
      <c r="R944" s="36"/>
      <c r="S944" s="36" t="s">
        <v>344</v>
      </c>
      <c r="T944" s="36"/>
      <c r="U944" s="36" t="s">
        <v>426</v>
      </c>
      <c r="V944" s="25" t="s">
        <v>1312</v>
      </c>
      <c r="W944" s="36"/>
      <c r="X944" s="35"/>
      <c r="Y944" s="35">
        <v>100</v>
      </c>
      <c r="Z944" s="35"/>
      <c r="AA944" s="36" t="s">
        <v>189</v>
      </c>
      <c r="AB944" s="36" t="s">
        <v>1313</v>
      </c>
      <c r="AC944" s="35">
        <v>5301122</v>
      </c>
      <c r="AD944" s="36" t="s">
        <v>230</v>
      </c>
      <c r="AE944" s="36">
        <v>100</v>
      </c>
      <c r="AF944" s="36" t="s">
        <v>178</v>
      </c>
      <c r="AG944" s="79">
        <v>1</v>
      </c>
      <c r="AH944" s="36">
        <v>0</v>
      </c>
      <c r="AL944" s="35"/>
    </row>
    <row r="945" s="25" customFormat="1" hidden="1" customHeight="1" spans="1:38">
      <c r="A945" s="33">
        <v>5307122</v>
      </c>
      <c r="B945" s="34"/>
      <c r="C945" s="35">
        <v>5301122</v>
      </c>
      <c r="D945" s="36">
        <v>7</v>
      </c>
      <c r="E945" s="36"/>
      <c r="F945" s="36" t="s">
        <v>174</v>
      </c>
      <c r="G945" s="36">
        <f t="shared" si="273"/>
        <v>1</v>
      </c>
      <c r="H945" s="36">
        <f>IFERROR(IF(--MID($F945,2*COUNTIF($G945:G945,"&gt;"&amp;0)+2,1)=H$1,H$1,""),"")</f>
        <v>2</v>
      </c>
      <c r="I945" s="36">
        <f>IFERROR(IF(--MID($F945,2*COUNTIF($G945:H945,"&gt;"&amp;0)+2,1)=I$1,I$1,""),"")</f>
        <v>3</v>
      </c>
      <c r="J945" s="36">
        <f>IFERROR(IF(--MID($F945,2*COUNTIF($G945:I945,"&gt;"&amp;0)+2,1)=J$1,J$1,""),"")</f>
        <v>4</v>
      </c>
      <c r="K945" s="36">
        <f>IFERROR(IF(--MID($F945,2*COUNTIF($G945:J945,"&gt;"&amp;0)+2,1)=K$1,K$1,""),"")</f>
        <v>5</v>
      </c>
      <c r="L945" s="36">
        <f>IFERROR(IF(--MID($F945,2*COUNTIF($G945:K945,"&gt;"&amp;0)+2,1)=L$1,L$1,""),"")</f>
        <v>6</v>
      </c>
      <c r="M945" s="36" t="e" cm="1">
        <f t="array" ref="M945">IF(A945="","",_xlfn.XLOOKUP(D945&amp;"_"&amp;AE945,符文权重!A:A&amp;"_"&amp;符文权重!C:C,符文权重!D:D))</f>
        <v>#N/A</v>
      </c>
      <c r="N945" s="36"/>
      <c r="O945" s="36"/>
      <c r="P945" s="36"/>
      <c r="Q945" s="36"/>
      <c r="R945" s="36"/>
      <c r="S945" s="36" t="s">
        <v>344</v>
      </c>
      <c r="T945" s="36"/>
      <c r="U945" s="36" t="s">
        <v>429</v>
      </c>
      <c r="V945" s="25" t="s">
        <v>1314</v>
      </c>
      <c r="W945" s="36"/>
      <c r="X945" s="35"/>
      <c r="Y945" s="35">
        <v>100</v>
      </c>
      <c r="Z945" s="35"/>
      <c r="AA945" s="36" t="s">
        <v>191</v>
      </c>
      <c r="AB945" s="36" t="s">
        <v>1315</v>
      </c>
      <c r="AC945" s="35">
        <v>5301122</v>
      </c>
      <c r="AD945" s="36" t="s">
        <v>220</v>
      </c>
      <c r="AE945" s="36">
        <v>100</v>
      </c>
      <c r="AF945" s="36" t="s">
        <v>178</v>
      </c>
      <c r="AG945" s="79">
        <v>1</v>
      </c>
      <c r="AH945" s="36">
        <v>0</v>
      </c>
      <c r="AL945" s="35"/>
    </row>
    <row r="946" s="25" customFormat="1" hidden="1" customHeight="1" spans="1:38">
      <c r="A946" s="33">
        <v>5301123</v>
      </c>
      <c r="B946" s="34"/>
      <c r="C946" s="35">
        <v>5301123</v>
      </c>
      <c r="D946" s="36">
        <v>1</v>
      </c>
      <c r="E946" s="36"/>
      <c r="F946" s="36" t="s">
        <v>1316</v>
      </c>
      <c r="G946" s="36" t="str">
        <f t="shared" si="273"/>
        <v/>
      </c>
      <c r="H946" s="36">
        <f>IFERROR(IF(--MID($F946,2*COUNTIF($G946:G946,"&gt;"&amp;0)+2,1)=H$1,H$1,""),"")</f>
        <v>2</v>
      </c>
      <c r="I946" s="36" t="str">
        <f>IFERROR(IF(--MID($F946,2*COUNTIF($G946:H946,"&gt;"&amp;0)+2,1)=I$1,I$1,""),"")</f>
        <v/>
      </c>
      <c r="J946" s="36" t="str">
        <f>IFERROR(IF(--MID($F946,2*COUNTIF($G946:I946,"&gt;"&amp;0)+2,1)=J$1,J$1,""),"")</f>
        <v/>
      </c>
      <c r="K946" s="36" t="str">
        <f>IFERROR(IF(--MID($F946,2*COUNTIF($G946:J946,"&gt;"&amp;0)+2,1)=K$1,K$1,""),"")</f>
        <v/>
      </c>
      <c r="L946" s="36">
        <f>IFERROR(IF(--MID($F946,2*COUNTIF($G946:K946,"&gt;"&amp;0)+2,1)=L$1,L$1,""),"")</f>
        <v>6</v>
      </c>
      <c r="M946" s="36" t="e" cm="1">
        <f t="array" ref="M946">IF(A946="","",_xlfn.XLOOKUP(D946&amp;"_"&amp;AE946,符文权重!A:A&amp;"_"&amp;符文权重!C:C,符文权重!D:D))</f>
        <v>#N/A</v>
      </c>
      <c r="N946" s="36"/>
      <c r="O946" s="36"/>
      <c r="P946" s="36"/>
      <c r="Q946" s="36"/>
      <c r="R946" s="36"/>
      <c r="S946" s="36" t="s">
        <v>344</v>
      </c>
      <c r="T946" s="36"/>
      <c r="U946" s="36" t="s">
        <v>413</v>
      </c>
      <c r="V946" s="25" t="s">
        <v>1317</v>
      </c>
      <c r="W946" s="36"/>
      <c r="X946" s="35" t="s">
        <v>1318</v>
      </c>
      <c r="Y946" s="35">
        <v>100</v>
      </c>
      <c r="Z946" s="35"/>
      <c r="AA946" s="36" t="s">
        <v>177</v>
      </c>
      <c r="AB946" s="36" t="s">
        <v>1319</v>
      </c>
      <c r="AC946" s="35">
        <v>5301123</v>
      </c>
      <c r="AD946" s="36" t="s">
        <v>422</v>
      </c>
      <c r="AE946" s="36">
        <v>100</v>
      </c>
      <c r="AF946" s="36"/>
      <c r="AG946" s="79">
        <v>1</v>
      </c>
      <c r="AH946" s="36">
        <v>0</v>
      </c>
      <c r="AL946" s="35"/>
    </row>
    <row r="947" s="25" customFormat="1" hidden="1" customHeight="1" spans="1:38">
      <c r="A947" s="33">
        <v>5302123</v>
      </c>
      <c r="B947" s="34"/>
      <c r="C947" s="35">
        <v>5301123</v>
      </c>
      <c r="D947" s="36">
        <v>2</v>
      </c>
      <c r="E947" s="36"/>
      <c r="F947" s="36" t="s">
        <v>1316</v>
      </c>
      <c r="G947" s="36" t="str">
        <f t="shared" si="273"/>
        <v/>
      </c>
      <c r="H947" s="36">
        <f>IFERROR(IF(--MID($F947,2*COUNTIF($G947:G947,"&gt;"&amp;0)+2,1)=H$1,H$1,""),"")</f>
        <v>2</v>
      </c>
      <c r="I947" s="36" t="str">
        <f>IFERROR(IF(--MID($F947,2*COUNTIF($G947:H947,"&gt;"&amp;0)+2,1)=I$1,I$1,""),"")</f>
        <v/>
      </c>
      <c r="J947" s="36" t="str">
        <f>IFERROR(IF(--MID($F947,2*COUNTIF($G947:I947,"&gt;"&amp;0)+2,1)=J$1,J$1,""),"")</f>
        <v/>
      </c>
      <c r="K947" s="36" t="str">
        <f>IFERROR(IF(--MID($F947,2*COUNTIF($G947:J947,"&gt;"&amp;0)+2,1)=K$1,K$1,""),"")</f>
        <v/>
      </c>
      <c r="L947" s="36">
        <f>IFERROR(IF(--MID($F947,2*COUNTIF($G947:K947,"&gt;"&amp;0)+2,1)=L$1,L$1,""),"")</f>
        <v>6</v>
      </c>
      <c r="M947" s="36" t="e" cm="1">
        <f t="array" ref="M947">IF(A947="","",_xlfn.XLOOKUP(D947&amp;"_"&amp;AE947,符文权重!A:A&amp;"_"&amp;符文权重!C:C,符文权重!D:D))</f>
        <v>#N/A</v>
      </c>
      <c r="N947" s="36"/>
      <c r="O947" s="36"/>
      <c r="P947" s="36"/>
      <c r="Q947" s="36"/>
      <c r="R947" s="36"/>
      <c r="S947" s="36" t="s">
        <v>344</v>
      </c>
      <c r="T947" s="36"/>
      <c r="U947" s="36" t="s">
        <v>415</v>
      </c>
      <c r="V947" s="25" t="s">
        <v>1320</v>
      </c>
      <c r="W947" s="36"/>
      <c r="X947" s="35" t="s">
        <v>1321</v>
      </c>
      <c r="Y947" s="35">
        <v>100</v>
      </c>
      <c r="Z947" s="35"/>
      <c r="AA947" s="36" t="s">
        <v>181</v>
      </c>
      <c r="AB947" s="36" t="s">
        <v>1322</v>
      </c>
      <c r="AC947" s="35">
        <v>5301123</v>
      </c>
      <c r="AD947" s="36" t="s">
        <v>428</v>
      </c>
      <c r="AE947" s="36">
        <v>100</v>
      </c>
      <c r="AF947" s="36"/>
      <c r="AG947" s="79">
        <v>1</v>
      </c>
      <c r="AH947" s="36">
        <v>0</v>
      </c>
      <c r="AL947" s="35"/>
    </row>
    <row r="948" s="25" customFormat="1" hidden="1" customHeight="1" spans="1:38">
      <c r="A948" s="33">
        <v>5303123</v>
      </c>
      <c r="B948" s="34"/>
      <c r="C948" s="35">
        <v>5301123</v>
      </c>
      <c r="D948" s="36">
        <v>3</v>
      </c>
      <c r="E948" s="36"/>
      <c r="F948" s="36" t="s">
        <v>1316</v>
      </c>
      <c r="G948" s="36" t="str">
        <f t="shared" si="273"/>
        <v/>
      </c>
      <c r="H948" s="36">
        <f>IFERROR(IF(--MID($F948,2*COUNTIF($G948:G948,"&gt;"&amp;0)+2,1)=H$1,H$1,""),"")</f>
        <v>2</v>
      </c>
      <c r="I948" s="36" t="str">
        <f>IFERROR(IF(--MID($F948,2*COUNTIF($G948:H948,"&gt;"&amp;0)+2,1)=I$1,I$1,""),"")</f>
        <v/>
      </c>
      <c r="J948" s="36" t="str">
        <f>IFERROR(IF(--MID($F948,2*COUNTIF($G948:I948,"&gt;"&amp;0)+2,1)=J$1,J$1,""),"")</f>
        <v/>
      </c>
      <c r="K948" s="36" t="str">
        <f>IFERROR(IF(--MID($F948,2*COUNTIF($G948:J948,"&gt;"&amp;0)+2,1)=K$1,K$1,""),"")</f>
        <v/>
      </c>
      <c r="L948" s="36">
        <f>IFERROR(IF(--MID($F948,2*COUNTIF($G948:K948,"&gt;"&amp;0)+2,1)=L$1,L$1,""),"")</f>
        <v>6</v>
      </c>
      <c r="M948" s="36" t="e" cm="1">
        <f t="array" ref="M948">IF(A948="","",_xlfn.XLOOKUP(D948&amp;"_"&amp;AE948,符文权重!A:A&amp;"_"&amp;符文权重!C:C,符文权重!D:D))</f>
        <v>#N/A</v>
      </c>
      <c r="N948" s="36"/>
      <c r="O948" s="36"/>
      <c r="P948" s="36"/>
      <c r="Q948" s="36"/>
      <c r="R948" s="36"/>
      <c r="S948" s="36" t="s">
        <v>344</v>
      </c>
      <c r="T948" s="36"/>
      <c r="U948" s="36" t="s">
        <v>417</v>
      </c>
      <c r="V948" s="25" t="s">
        <v>1323</v>
      </c>
      <c r="W948" s="36"/>
      <c r="X948" s="35" t="s">
        <v>1324</v>
      </c>
      <c r="Y948" s="35">
        <v>100</v>
      </c>
      <c r="Z948" s="35"/>
      <c r="AA948" s="36" t="s">
        <v>183</v>
      </c>
      <c r="AB948" s="36" t="s">
        <v>1325</v>
      </c>
      <c r="AC948" s="35">
        <v>5301123</v>
      </c>
      <c r="AD948" s="36" t="s">
        <v>487</v>
      </c>
      <c r="AE948" s="36">
        <v>100</v>
      </c>
      <c r="AF948" s="36"/>
      <c r="AG948" s="79">
        <v>1</v>
      </c>
      <c r="AH948" s="36">
        <v>0</v>
      </c>
      <c r="AL948" s="35"/>
    </row>
    <row r="949" s="25" customFormat="1" hidden="1" customHeight="1" spans="1:38">
      <c r="A949" s="33">
        <v>5304123</v>
      </c>
      <c r="B949" s="34"/>
      <c r="C949" s="35">
        <v>5301123</v>
      </c>
      <c r="D949" s="36">
        <v>4</v>
      </c>
      <c r="E949" s="36"/>
      <c r="F949" s="36" t="s">
        <v>1316</v>
      </c>
      <c r="G949" s="36" t="str">
        <f t="shared" si="273"/>
        <v/>
      </c>
      <c r="H949" s="36">
        <f>IFERROR(IF(--MID($F949,2*COUNTIF($G949:G949,"&gt;"&amp;0)+2,1)=H$1,H$1,""),"")</f>
        <v>2</v>
      </c>
      <c r="I949" s="36" t="str">
        <f>IFERROR(IF(--MID($F949,2*COUNTIF($G949:H949,"&gt;"&amp;0)+2,1)=I$1,I$1,""),"")</f>
        <v/>
      </c>
      <c r="J949" s="36" t="str">
        <f>IFERROR(IF(--MID($F949,2*COUNTIF($G949:I949,"&gt;"&amp;0)+2,1)=J$1,J$1,""),"")</f>
        <v/>
      </c>
      <c r="K949" s="36" t="str">
        <f>IFERROR(IF(--MID($F949,2*COUNTIF($G949:J949,"&gt;"&amp;0)+2,1)=K$1,K$1,""),"")</f>
        <v/>
      </c>
      <c r="L949" s="36">
        <f>IFERROR(IF(--MID($F949,2*COUNTIF($G949:K949,"&gt;"&amp;0)+2,1)=L$1,L$1,""),"")</f>
        <v>6</v>
      </c>
      <c r="M949" s="36" t="e" cm="1">
        <f t="array" ref="M949">IF(A949="","",_xlfn.XLOOKUP(D949&amp;"_"&amp;AE949,符文权重!A:A&amp;"_"&amp;符文权重!C:C,符文权重!D:D))</f>
        <v>#N/A</v>
      </c>
      <c r="N949" s="36"/>
      <c r="O949" s="36"/>
      <c r="P949" s="36"/>
      <c r="Q949" s="36"/>
      <c r="R949" s="36"/>
      <c r="S949" s="36" t="s">
        <v>344</v>
      </c>
      <c r="T949" s="36"/>
      <c r="U949" s="36" t="s">
        <v>420</v>
      </c>
      <c r="V949" s="25" t="s">
        <v>1326</v>
      </c>
      <c r="W949" s="36"/>
      <c r="X949" s="35" t="s">
        <v>1327</v>
      </c>
      <c r="Y949" s="35">
        <v>100</v>
      </c>
      <c r="Z949" s="35"/>
      <c r="AA949" s="36" t="s">
        <v>185</v>
      </c>
      <c r="AB949" s="80" t="s">
        <v>1328</v>
      </c>
      <c r="AC949" s="35">
        <v>5301123</v>
      </c>
      <c r="AD949" s="36" t="s">
        <v>497</v>
      </c>
      <c r="AE949" s="36">
        <v>100</v>
      </c>
      <c r="AF949" s="36"/>
      <c r="AG949" s="79">
        <v>1</v>
      </c>
      <c r="AH949" s="36">
        <v>0</v>
      </c>
      <c r="AL949" s="35"/>
    </row>
    <row r="950" s="25" customFormat="1" hidden="1" customHeight="1" spans="1:38">
      <c r="A950" s="33">
        <v>5305123</v>
      </c>
      <c r="B950" s="34"/>
      <c r="C950" s="35">
        <v>5301123</v>
      </c>
      <c r="D950" s="36">
        <v>5</v>
      </c>
      <c r="E950" s="36"/>
      <c r="F950" s="36" t="s">
        <v>1316</v>
      </c>
      <c r="G950" s="36" t="str">
        <f t="shared" si="273"/>
        <v/>
      </c>
      <c r="H950" s="36">
        <f>IFERROR(IF(--MID($F950,2*COUNTIF($G950:G950,"&gt;"&amp;0)+2,1)=H$1,H$1,""),"")</f>
        <v>2</v>
      </c>
      <c r="I950" s="36" t="str">
        <f>IFERROR(IF(--MID($F950,2*COUNTIF($G950:H950,"&gt;"&amp;0)+2,1)=I$1,I$1,""),"")</f>
        <v/>
      </c>
      <c r="J950" s="36" t="str">
        <f>IFERROR(IF(--MID($F950,2*COUNTIF($G950:I950,"&gt;"&amp;0)+2,1)=J$1,J$1,""),"")</f>
        <v/>
      </c>
      <c r="K950" s="36" t="str">
        <f>IFERROR(IF(--MID($F950,2*COUNTIF($G950:J950,"&gt;"&amp;0)+2,1)=K$1,K$1,""),"")</f>
        <v/>
      </c>
      <c r="L950" s="36">
        <f>IFERROR(IF(--MID($F950,2*COUNTIF($G950:K950,"&gt;"&amp;0)+2,1)=L$1,L$1,""),"")</f>
        <v>6</v>
      </c>
      <c r="M950" s="36" t="e" cm="1">
        <f t="array" ref="M950">IF(A950="","",_xlfn.XLOOKUP(D950&amp;"_"&amp;AE950,符文权重!A:A&amp;"_"&amp;符文权重!C:C,符文权重!D:D))</f>
        <v>#N/A</v>
      </c>
      <c r="N950" s="36"/>
      <c r="O950" s="36"/>
      <c r="P950" s="36"/>
      <c r="Q950" s="36"/>
      <c r="R950" s="36"/>
      <c r="S950" s="36" t="s">
        <v>344</v>
      </c>
      <c r="T950" s="36"/>
      <c r="U950" s="36" t="s">
        <v>423</v>
      </c>
      <c r="V950" s="25" t="s">
        <v>1329</v>
      </c>
      <c r="W950" s="36"/>
      <c r="X950" s="35" t="s">
        <v>1330</v>
      </c>
      <c r="Y950" s="35">
        <v>100</v>
      </c>
      <c r="Z950" s="35"/>
      <c r="AA950" s="36" t="s">
        <v>187</v>
      </c>
      <c r="AB950" s="36" t="s">
        <v>1331</v>
      </c>
      <c r="AC950" s="35">
        <v>5301123</v>
      </c>
      <c r="AD950" s="36" t="s">
        <v>596</v>
      </c>
      <c r="AE950" s="36">
        <v>100</v>
      </c>
      <c r="AF950" s="36"/>
      <c r="AG950" s="79">
        <v>1</v>
      </c>
      <c r="AH950" s="36">
        <v>0</v>
      </c>
      <c r="AL950" s="35"/>
    </row>
    <row r="951" s="25" customFormat="1" hidden="1" customHeight="1" spans="1:38">
      <c r="A951" s="33">
        <v>5306123</v>
      </c>
      <c r="B951" s="34"/>
      <c r="C951" s="35">
        <v>5301123</v>
      </c>
      <c r="D951" s="36">
        <v>6</v>
      </c>
      <c r="E951" s="36"/>
      <c r="F951" s="36" t="s">
        <v>1316</v>
      </c>
      <c r="G951" s="36" t="str">
        <f t="shared" si="273"/>
        <v/>
      </c>
      <c r="H951" s="36">
        <f>IFERROR(IF(--MID($F951,2*COUNTIF($G951:G951,"&gt;"&amp;0)+2,1)=H$1,H$1,""),"")</f>
        <v>2</v>
      </c>
      <c r="I951" s="36" t="str">
        <f>IFERROR(IF(--MID($F951,2*COUNTIF($G951:H951,"&gt;"&amp;0)+2,1)=I$1,I$1,""),"")</f>
        <v/>
      </c>
      <c r="J951" s="36" t="str">
        <f>IFERROR(IF(--MID($F951,2*COUNTIF($G951:I951,"&gt;"&amp;0)+2,1)=J$1,J$1,""),"")</f>
        <v/>
      </c>
      <c r="K951" s="36" t="str">
        <f>IFERROR(IF(--MID($F951,2*COUNTIF($G951:J951,"&gt;"&amp;0)+2,1)=K$1,K$1,""),"")</f>
        <v/>
      </c>
      <c r="L951" s="36">
        <f>IFERROR(IF(--MID($F951,2*COUNTIF($G951:K951,"&gt;"&amp;0)+2,1)=L$1,L$1,""),"")</f>
        <v>6</v>
      </c>
      <c r="M951" s="36" t="e" cm="1">
        <f t="array" ref="M951">IF(A951="","",_xlfn.XLOOKUP(D951&amp;"_"&amp;AE951,符文权重!A:A&amp;"_"&amp;符文权重!C:C,符文权重!D:D))</f>
        <v>#N/A</v>
      </c>
      <c r="N951" s="36"/>
      <c r="O951" s="36"/>
      <c r="P951" s="36"/>
      <c r="Q951" s="36"/>
      <c r="R951" s="36"/>
      <c r="S951" s="36" t="s">
        <v>344</v>
      </c>
      <c r="T951" s="36"/>
      <c r="U951" s="36" t="s">
        <v>426</v>
      </c>
      <c r="V951" s="25" t="s">
        <v>1332</v>
      </c>
      <c r="W951" s="36"/>
      <c r="X951" s="35" t="s">
        <v>1333</v>
      </c>
      <c r="Y951" s="35">
        <v>100</v>
      </c>
      <c r="Z951" s="35"/>
      <c r="AA951" s="36" t="s">
        <v>189</v>
      </c>
      <c r="AB951" s="36" t="s">
        <v>1334</v>
      </c>
      <c r="AC951" s="35">
        <v>5301123</v>
      </c>
      <c r="AD951" s="36" t="s">
        <v>476</v>
      </c>
      <c r="AE951" s="36">
        <v>100</v>
      </c>
      <c r="AF951" s="36"/>
      <c r="AG951" s="79">
        <v>1</v>
      </c>
      <c r="AH951" s="36">
        <v>0</v>
      </c>
      <c r="AL951" s="35"/>
    </row>
    <row r="952" s="25" customFormat="1" hidden="1" customHeight="1" spans="1:38">
      <c r="A952" s="33">
        <v>5307123</v>
      </c>
      <c r="B952" s="34"/>
      <c r="C952" s="35">
        <v>5301123</v>
      </c>
      <c r="D952" s="36">
        <v>7</v>
      </c>
      <c r="E952" s="36"/>
      <c r="F952" s="36" t="s">
        <v>1316</v>
      </c>
      <c r="G952" s="36" t="str">
        <f t="shared" si="273"/>
        <v/>
      </c>
      <c r="H952" s="36">
        <f>IFERROR(IF(--MID($F952,2*COUNTIF($G952:G952,"&gt;"&amp;0)+2,1)=H$1,H$1,""),"")</f>
        <v>2</v>
      </c>
      <c r="I952" s="36" t="str">
        <f>IFERROR(IF(--MID($F952,2*COUNTIF($G952:H952,"&gt;"&amp;0)+2,1)=I$1,I$1,""),"")</f>
        <v/>
      </c>
      <c r="J952" s="36" t="str">
        <f>IFERROR(IF(--MID($F952,2*COUNTIF($G952:I952,"&gt;"&amp;0)+2,1)=J$1,J$1,""),"")</f>
        <v/>
      </c>
      <c r="K952" s="36" t="str">
        <f>IFERROR(IF(--MID($F952,2*COUNTIF($G952:J952,"&gt;"&amp;0)+2,1)=K$1,K$1,""),"")</f>
        <v/>
      </c>
      <c r="L952" s="36">
        <f>IFERROR(IF(--MID($F952,2*COUNTIF($G952:K952,"&gt;"&amp;0)+2,1)=L$1,L$1,""),"")</f>
        <v>6</v>
      </c>
      <c r="M952" s="36" t="e" cm="1">
        <f t="array" ref="M952">IF(A952="","",_xlfn.XLOOKUP(D952&amp;"_"&amp;AE952,符文权重!A:A&amp;"_"&amp;符文权重!C:C,符文权重!D:D))</f>
        <v>#N/A</v>
      </c>
      <c r="N952" s="36"/>
      <c r="O952" s="36"/>
      <c r="P952" s="36"/>
      <c r="Q952" s="36"/>
      <c r="R952" s="36"/>
      <c r="S952" s="36" t="s">
        <v>344</v>
      </c>
      <c r="T952" s="36"/>
      <c r="U952" s="36" t="s">
        <v>429</v>
      </c>
      <c r="V952" s="25" t="s">
        <v>1335</v>
      </c>
      <c r="W952" s="36"/>
      <c r="X952" s="35" t="s">
        <v>1336</v>
      </c>
      <c r="Y952" s="35">
        <v>100</v>
      </c>
      <c r="Z952" s="35"/>
      <c r="AA952" s="36" t="s">
        <v>191</v>
      </c>
      <c r="AB952" s="36" t="s">
        <v>1337</v>
      </c>
      <c r="AC952" s="35">
        <v>5301123</v>
      </c>
      <c r="AD952" s="36" t="s">
        <v>600</v>
      </c>
      <c r="AE952" s="36">
        <v>100</v>
      </c>
      <c r="AF952" s="36"/>
      <c r="AG952" s="79">
        <v>1</v>
      </c>
      <c r="AH952" s="36">
        <v>0</v>
      </c>
      <c r="AL952" s="35"/>
    </row>
    <row r="953" hidden="1" customHeight="1" spans="1:38">
      <c r="A953" s="33">
        <v>5301124</v>
      </c>
      <c r="C953" s="35">
        <v>5301124</v>
      </c>
      <c r="D953" s="36">
        <v>1</v>
      </c>
      <c r="E953" s="36"/>
      <c r="F953" s="36" t="s">
        <v>174</v>
      </c>
      <c r="G953" s="36">
        <f t="shared" si="273"/>
        <v>1</v>
      </c>
      <c r="H953" s="36">
        <f>IFERROR(IF(--MID($F953,2*COUNTIF($G953:G953,"&gt;"&amp;0)+2,1)=H$1,H$1,""),"")</f>
        <v>2</v>
      </c>
      <c r="I953" s="36">
        <f>IFERROR(IF(--MID($F953,2*COUNTIF($G953:H953,"&gt;"&amp;0)+2,1)=I$1,I$1,""),"")</f>
        <v>3</v>
      </c>
      <c r="J953" s="36">
        <f>IFERROR(IF(--MID($F953,2*COUNTIF($G953:I953,"&gt;"&amp;0)+2,1)=J$1,J$1,""),"")</f>
        <v>4</v>
      </c>
      <c r="K953" s="36">
        <f>IFERROR(IF(--MID($F953,2*COUNTIF($G953:J953,"&gt;"&amp;0)+2,1)=K$1,K$1,""),"")</f>
        <v>5</v>
      </c>
      <c r="L953" s="36">
        <f>IFERROR(IF(--MID($F953,2*COUNTIF($G953:K953,"&gt;"&amp;0)+2,1)=L$1,L$1,""),"")</f>
        <v>6</v>
      </c>
      <c r="M953" s="36" t="e" cm="1">
        <f t="array" ref="M953">IF(A953="","",_xlfn.XLOOKUP(D953&amp;"_"&amp;AE953,符文权重!A:A&amp;"_"&amp;符文权重!C:C,符文权重!D:D))</f>
        <v>#N/A</v>
      </c>
      <c r="N953" s="36"/>
      <c r="O953" s="36"/>
      <c r="P953" s="36"/>
      <c r="Q953" s="36"/>
      <c r="R953" s="36"/>
      <c r="S953" s="36" t="s">
        <v>344</v>
      </c>
      <c r="T953" s="36"/>
      <c r="U953" s="36" t="s">
        <v>413</v>
      </c>
      <c r="V953" s="25"/>
      <c r="W953" s="36" t="s">
        <v>1338</v>
      </c>
      <c r="Y953" s="35">
        <v>100</v>
      </c>
      <c r="AA953" s="36" t="s">
        <v>177</v>
      </c>
      <c r="AB953" s="36" t="s">
        <v>1339</v>
      </c>
      <c r="AC953" s="35">
        <v>5301124</v>
      </c>
      <c r="AD953" s="36" t="s">
        <v>1306</v>
      </c>
      <c r="AE953" s="36">
        <v>100</v>
      </c>
      <c r="AF953" s="36"/>
      <c r="AG953" s="79">
        <v>1</v>
      </c>
      <c r="AH953" s="36">
        <v>0</v>
      </c>
      <c r="AI953" s="35"/>
      <c r="AJ953" s="35"/>
    </row>
    <row r="954" s="25" customFormat="1" hidden="1" customHeight="1" spans="1:38">
      <c r="A954" s="33">
        <v>5302124</v>
      </c>
      <c r="B954" s="34"/>
      <c r="C954" s="35">
        <v>5301124</v>
      </c>
      <c r="D954" s="36">
        <v>2</v>
      </c>
      <c r="E954" s="36"/>
      <c r="F954" s="36" t="s">
        <v>174</v>
      </c>
      <c r="G954" s="36">
        <f t="shared" si="273"/>
        <v>1</v>
      </c>
      <c r="H954" s="36">
        <f>IFERROR(IF(--MID($F954,2*COUNTIF($G954:G954,"&gt;"&amp;0)+2,1)=H$1,H$1,""),"")</f>
        <v>2</v>
      </c>
      <c r="I954" s="36">
        <f>IFERROR(IF(--MID($F954,2*COUNTIF($G954:H954,"&gt;"&amp;0)+2,1)=I$1,I$1,""),"")</f>
        <v>3</v>
      </c>
      <c r="J954" s="36">
        <f>IFERROR(IF(--MID($F954,2*COUNTIF($G954:I954,"&gt;"&amp;0)+2,1)=J$1,J$1,""),"")</f>
        <v>4</v>
      </c>
      <c r="K954" s="36">
        <f>IFERROR(IF(--MID($F954,2*COUNTIF($G954:J954,"&gt;"&amp;0)+2,1)=K$1,K$1,""),"")</f>
        <v>5</v>
      </c>
      <c r="L954" s="36">
        <f>IFERROR(IF(--MID($F954,2*COUNTIF($G954:K954,"&gt;"&amp;0)+2,1)=L$1,L$1,""),"")</f>
        <v>6</v>
      </c>
      <c r="M954" s="36" t="e" cm="1">
        <f t="array" ref="M954">IF(A954="","",_xlfn.XLOOKUP(D954&amp;"_"&amp;AE954,符文权重!A:A&amp;"_"&amp;符文权重!C:C,符文权重!D:D))</f>
        <v>#N/A</v>
      </c>
      <c r="N954" s="36"/>
      <c r="O954" s="36"/>
      <c r="P954" s="36"/>
      <c r="Q954" s="36"/>
      <c r="R954" s="36"/>
      <c r="S954" s="36" t="s">
        <v>344</v>
      </c>
      <c r="T954" s="36"/>
      <c r="U954" s="36" t="s">
        <v>415</v>
      </c>
      <c r="W954" s="36" t="s">
        <v>251</v>
      </c>
      <c r="X954" s="35"/>
      <c r="Y954" s="35">
        <v>100</v>
      </c>
      <c r="Z954" s="35"/>
      <c r="AA954" s="36" t="s">
        <v>181</v>
      </c>
      <c r="AB954" s="36" t="s">
        <v>1340</v>
      </c>
      <c r="AC954" s="35">
        <v>5301124</v>
      </c>
      <c r="AD954" s="36" t="s">
        <v>230</v>
      </c>
      <c r="AE954" s="36">
        <v>100</v>
      </c>
      <c r="AF954" s="36"/>
      <c r="AG954" s="79">
        <v>1</v>
      </c>
      <c r="AH954" s="36">
        <v>0</v>
      </c>
      <c r="AL954" s="35"/>
    </row>
    <row r="955" s="25" customFormat="1" hidden="1" customHeight="1" spans="1:38">
      <c r="A955" s="33">
        <v>5303124</v>
      </c>
      <c r="B955" s="34"/>
      <c r="C955" s="35">
        <v>5301124</v>
      </c>
      <c r="D955" s="36">
        <v>3</v>
      </c>
      <c r="E955" s="36"/>
      <c r="F955" s="36" t="s">
        <v>174</v>
      </c>
      <c r="G955" s="36">
        <f t="shared" si="273"/>
        <v>1</v>
      </c>
      <c r="H955" s="36">
        <f>IFERROR(IF(--MID($F955,2*COUNTIF($G955:G955,"&gt;"&amp;0)+2,1)=H$1,H$1,""),"")</f>
        <v>2</v>
      </c>
      <c r="I955" s="36">
        <f>IFERROR(IF(--MID($F955,2*COUNTIF($G955:H955,"&gt;"&amp;0)+2,1)=I$1,I$1,""),"")</f>
        <v>3</v>
      </c>
      <c r="J955" s="36">
        <f>IFERROR(IF(--MID($F955,2*COUNTIF($G955:I955,"&gt;"&amp;0)+2,1)=J$1,J$1,""),"")</f>
        <v>4</v>
      </c>
      <c r="K955" s="36">
        <f>IFERROR(IF(--MID($F955,2*COUNTIF($G955:J955,"&gt;"&amp;0)+2,1)=K$1,K$1,""),"")</f>
        <v>5</v>
      </c>
      <c r="L955" s="36">
        <f>IFERROR(IF(--MID($F955,2*COUNTIF($G955:K955,"&gt;"&amp;0)+2,1)=L$1,L$1,""),"")</f>
        <v>6</v>
      </c>
      <c r="M955" s="36" t="e" cm="1">
        <f t="array" ref="M955">IF(A955="","",_xlfn.XLOOKUP(D955&amp;"_"&amp;AE955,符文权重!A:A&amp;"_"&amp;符文权重!C:C,符文权重!D:D))</f>
        <v>#N/A</v>
      </c>
      <c r="N955" s="36"/>
      <c r="O955" s="36"/>
      <c r="P955" s="36"/>
      <c r="Q955" s="36"/>
      <c r="R955" s="36"/>
      <c r="S955" s="36" t="s">
        <v>344</v>
      </c>
      <c r="T955" s="36"/>
      <c r="U955" s="36" t="s">
        <v>417</v>
      </c>
      <c r="W955" s="36" t="s">
        <v>252</v>
      </c>
      <c r="X955" s="35"/>
      <c r="Y955" s="35">
        <v>100</v>
      </c>
      <c r="Z955" s="35"/>
      <c r="AA955" s="36" t="s">
        <v>183</v>
      </c>
      <c r="AB955" s="36" t="s">
        <v>1341</v>
      </c>
      <c r="AC955" s="35">
        <v>5301124</v>
      </c>
      <c r="AD955" s="36" t="s">
        <v>220</v>
      </c>
      <c r="AE955" s="36">
        <v>100</v>
      </c>
      <c r="AF955" s="36"/>
      <c r="AG955" s="79">
        <v>1</v>
      </c>
      <c r="AH955" s="36">
        <v>0</v>
      </c>
      <c r="AL955" s="35"/>
    </row>
    <row r="956" s="25" customFormat="1" hidden="1" customHeight="1" spans="1:38">
      <c r="A956" s="33">
        <v>5304124</v>
      </c>
      <c r="B956" s="34"/>
      <c r="C956" s="35">
        <v>5301124</v>
      </c>
      <c r="D956" s="36">
        <v>4</v>
      </c>
      <c r="E956" s="36"/>
      <c r="F956" s="36" t="s">
        <v>174</v>
      </c>
      <c r="G956" s="36">
        <f t="shared" si="273"/>
        <v>1</v>
      </c>
      <c r="H956" s="36">
        <f>IFERROR(IF(--MID($F956,2*COUNTIF($G956:G956,"&gt;"&amp;0)+2,1)=H$1,H$1,""),"")</f>
        <v>2</v>
      </c>
      <c r="I956" s="36">
        <f>IFERROR(IF(--MID($F956,2*COUNTIF($G956:H956,"&gt;"&amp;0)+2,1)=I$1,I$1,""),"")</f>
        <v>3</v>
      </c>
      <c r="J956" s="36">
        <f>IFERROR(IF(--MID($F956,2*COUNTIF($G956:I956,"&gt;"&amp;0)+2,1)=J$1,J$1,""),"")</f>
        <v>4</v>
      </c>
      <c r="K956" s="36">
        <f>IFERROR(IF(--MID($F956,2*COUNTIF($G956:J956,"&gt;"&amp;0)+2,1)=K$1,K$1,""),"")</f>
        <v>5</v>
      </c>
      <c r="L956" s="36">
        <f>IFERROR(IF(--MID($F956,2*COUNTIF($G956:K956,"&gt;"&amp;0)+2,1)=L$1,L$1,""),"")</f>
        <v>6</v>
      </c>
      <c r="M956" s="36" t="e" cm="1">
        <f t="array" ref="M956">IF(A956="","",_xlfn.XLOOKUP(D956&amp;"_"&amp;AE956,符文权重!A:A&amp;"_"&amp;符文权重!C:C,符文权重!D:D))</f>
        <v>#N/A</v>
      </c>
      <c r="N956" s="36"/>
      <c r="O956" s="36"/>
      <c r="P956" s="36"/>
      <c r="Q956" s="36"/>
      <c r="R956" s="36"/>
      <c r="S956" s="36" t="s">
        <v>344</v>
      </c>
      <c r="T956" s="36"/>
      <c r="U956" s="36" t="s">
        <v>420</v>
      </c>
      <c r="W956" s="36" t="s">
        <v>253</v>
      </c>
      <c r="X956" s="35"/>
      <c r="Y956" s="35">
        <v>100</v>
      </c>
      <c r="Z956" s="35"/>
      <c r="AA956" s="36" t="s">
        <v>185</v>
      </c>
      <c r="AB956" s="36" t="s">
        <v>1342</v>
      </c>
      <c r="AC956" s="35">
        <v>5301124</v>
      </c>
      <c r="AD956" s="36" t="s">
        <v>419</v>
      </c>
      <c r="AE956" s="36">
        <v>100</v>
      </c>
      <c r="AF956" s="36"/>
      <c r="AG956" s="79">
        <v>1</v>
      </c>
      <c r="AH956" s="36">
        <v>0</v>
      </c>
      <c r="AL956" s="35"/>
    </row>
    <row r="957" s="25" customFormat="1" hidden="1" customHeight="1" spans="1:38">
      <c r="A957" s="33">
        <v>5305124</v>
      </c>
      <c r="B957" s="34"/>
      <c r="C957" s="35">
        <v>5301124</v>
      </c>
      <c r="D957" s="36">
        <v>5</v>
      </c>
      <c r="E957" s="36"/>
      <c r="F957" s="36" t="s">
        <v>174</v>
      </c>
      <c r="G957" s="36">
        <f t="shared" si="273"/>
        <v>1</v>
      </c>
      <c r="H957" s="36">
        <f>IFERROR(IF(--MID($F957,2*COUNTIF($G957:G957,"&gt;"&amp;0)+2,1)=H$1,H$1,""),"")</f>
        <v>2</v>
      </c>
      <c r="I957" s="36">
        <f>IFERROR(IF(--MID($F957,2*COUNTIF($G957:H957,"&gt;"&amp;0)+2,1)=I$1,I$1,""),"")</f>
        <v>3</v>
      </c>
      <c r="J957" s="36">
        <f>IFERROR(IF(--MID($F957,2*COUNTIF($G957:I957,"&gt;"&amp;0)+2,1)=J$1,J$1,""),"")</f>
        <v>4</v>
      </c>
      <c r="K957" s="36">
        <f>IFERROR(IF(--MID($F957,2*COUNTIF($G957:J957,"&gt;"&amp;0)+2,1)=K$1,K$1,""),"")</f>
        <v>5</v>
      </c>
      <c r="L957" s="36">
        <f>IFERROR(IF(--MID($F957,2*COUNTIF($G957:K957,"&gt;"&amp;0)+2,1)=L$1,L$1,""),"")</f>
        <v>6</v>
      </c>
      <c r="M957" s="36" t="e" cm="1">
        <f t="array" ref="M957">IF(A957="","",_xlfn.XLOOKUP(D957&amp;"_"&amp;AE957,符文权重!A:A&amp;"_"&amp;符文权重!C:C,符文权重!D:D))</f>
        <v>#N/A</v>
      </c>
      <c r="N957" s="36"/>
      <c r="O957" s="36"/>
      <c r="P957" s="36"/>
      <c r="Q957" s="36"/>
      <c r="R957" s="36"/>
      <c r="S957" s="36" t="s">
        <v>344</v>
      </c>
      <c r="T957" s="36"/>
      <c r="U957" s="36" t="s">
        <v>423</v>
      </c>
      <c r="W957" s="36" t="s">
        <v>254</v>
      </c>
      <c r="X957" s="35"/>
      <c r="Y957" s="35">
        <v>100</v>
      </c>
      <c r="Z957" s="35"/>
      <c r="AA957" s="36" t="s">
        <v>187</v>
      </c>
      <c r="AB957" s="36" t="s">
        <v>1343</v>
      </c>
      <c r="AC957" s="35">
        <v>5301124</v>
      </c>
      <c r="AD957" s="36" t="s">
        <v>422</v>
      </c>
      <c r="AE957" s="36">
        <v>100</v>
      </c>
      <c r="AF957" s="36"/>
      <c r="AG957" s="79">
        <v>1</v>
      </c>
      <c r="AH957" s="36">
        <v>0</v>
      </c>
      <c r="AL957" s="35"/>
    </row>
    <row r="958" s="25" customFormat="1" hidden="1" customHeight="1" spans="1:38">
      <c r="A958" s="33">
        <v>5306124</v>
      </c>
      <c r="B958" s="34"/>
      <c r="C958" s="35">
        <v>5301124</v>
      </c>
      <c r="D958" s="36">
        <v>6</v>
      </c>
      <c r="E958" s="36"/>
      <c r="F958" s="36" t="s">
        <v>174</v>
      </c>
      <c r="G958" s="36">
        <f t="shared" si="273"/>
        <v>1</v>
      </c>
      <c r="H958" s="36">
        <f>IFERROR(IF(--MID($F958,2*COUNTIF($G958:G958,"&gt;"&amp;0)+2,1)=H$1,H$1,""),"")</f>
        <v>2</v>
      </c>
      <c r="I958" s="36">
        <f>IFERROR(IF(--MID($F958,2*COUNTIF($G958:H958,"&gt;"&amp;0)+2,1)=I$1,I$1,""),"")</f>
        <v>3</v>
      </c>
      <c r="J958" s="36">
        <f>IFERROR(IF(--MID($F958,2*COUNTIF($G958:I958,"&gt;"&amp;0)+2,1)=J$1,J$1,""),"")</f>
        <v>4</v>
      </c>
      <c r="K958" s="36">
        <f>IFERROR(IF(--MID($F958,2*COUNTIF($G958:J958,"&gt;"&amp;0)+2,1)=K$1,K$1,""),"")</f>
        <v>5</v>
      </c>
      <c r="L958" s="36">
        <f>IFERROR(IF(--MID($F958,2*COUNTIF($G958:K958,"&gt;"&amp;0)+2,1)=L$1,L$1,""),"")</f>
        <v>6</v>
      </c>
      <c r="M958" s="36" t="e" cm="1">
        <f t="array" ref="M958">IF(A958="","",_xlfn.XLOOKUP(D958&amp;"_"&amp;AE958,符文权重!A:A&amp;"_"&amp;符文权重!C:C,符文权重!D:D))</f>
        <v>#N/A</v>
      </c>
      <c r="N958" s="36"/>
      <c r="O958" s="36"/>
      <c r="P958" s="36"/>
      <c r="Q958" s="36"/>
      <c r="R958" s="36"/>
      <c r="S958" s="36" t="s">
        <v>344</v>
      </c>
      <c r="T958" s="36"/>
      <c r="U958" s="36" t="s">
        <v>426</v>
      </c>
      <c r="W958" s="36" t="s">
        <v>1344</v>
      </c>
      <c r="X958" s="35"/>
      <c r="Y958" s="35">
        <v>100</v>
      </c>
      <c r="Z958" s="35"/>
      <c r="AA958" s="36" t="s">
        <v>189</v>
      </c>
      <c r="AB958" s="36" t="s">
        <v>1345</v>
      </c>
      <c r="AC958" s="35">
        <v>5301124</v>
      </c>
      <c r="AD958" s="36" t="s">
        <v>1200</v>
      </c>
      <c r="AE958" s="36">
        <v>100</v>
      </c>
      <c r="AF958" s="36"/>
      <c r="AG958" s="79">
        <v>1</v>
      </c>
      <c r="AH958" s="36">
        <v>0</v>
      </c>
      <c r="AL958" s="35"/>
    </row>
    <row r="959" s="25" customFormat="1" hidden="1" customHeight="1" spans="1:38">
      <c r="A959" s="33">
        <v>5307124</v>
      </c>
      <c r="B959" s="34"/>
      <c r="C959" s="35">
        <v>5301124</v>
      </c>
      <c r="D959" s="36">
        <v>7</v>
      </c>
      <c r="E959" s="36"/>
      <c r="F959" s="36" t="s">
        <v>174</v>
      </c>
      <c r="G959" s="36">
        <f t="shared" si="273"/>
        <v>1</v>
      </c>
      <c r="H959" s="36">
        <f>IFERROR(IF(--MID($F959,2*COUNTIF($G959:G959,"&gt;"&amp;0)+2,1)=H$1,H$1,""),"")</f>
        <v>2</v>
      </c>
      <c r="I959" s="36">
        <f>IFERROR(IF(--MID($F959,2*COUNTIF($G959:H959,"&gt;"&amp;0)+2,1)=I$1,I$1,""),"")</f>
        <v>3</v>
      </c>
      <c r="J959" s="36">
        <f>IFERROR(IF(--MID($F959,2*COUNTIF($G959:I959,"&gt;"&amp;0)+2,1)=J$1,J$1,""),"")</f>
        <v>4</v>
      </c>
      <c r="K959" s="36">
        <f>IFERROR(IF(--MID($F959,2*COUNTIF($G959:J959,"&gt;"&amp;0)+2,1)=K$1,K$1,""),"")</f>
        <v>5</v>
      </c>
      <c r="L959" s="36">
        <f>IFERROR(IF(--MID($F959,2*COUNTIF($G959:K959,"&gt;"&amp;0)+2,1)=L$1,L$1,""),"")</f>
        <v>6</v>
      </c>
      <c r="M959" s="36" t="e" cm="1">
        <f t="array" ref="M959">IF(A959="","",_xlfn.XLOOKUP(D959&amp;"_"&amp;AE959,符文权重!A:A&amp;"_"&amp;符文权重!C:C,符文权重!D:D))</f>
        <v>#N/A</v>
      </c>
      <c r="N959" s="36"/>
      <c r="O959" s="36"/>
      <c r="P959" s="36"/>
      <c r="Q959" s="36"/>
      <c r="R959" s="36"/>
      <c r="S959" s="36" t="s">
        <v>344</v>
      </c>
      <c r="T959" s="36"/>
      <c r="U959" s="36" t="s">
        <v>429</v>
      </c>
      <c r="W959" s="36" t="s">
        <v>1346</v>
      </c>
      <c r="X959" s="35"/>
      <c r="Y959" s="35">
        <v>100</v>
      </c>
      <c r="Z959" s="35"/>
      <c r="AA959" s="36" t="s">
        <v>191</v>
      </c>
      <c r="AB959" s="36" t="s">
        <v>1347</v>
      </c>
      <c r="AC959" s="35">
        <v>5301124</v>
      </c>
      <c r="AD959" s="36" t="s">
        <v>425</v>
      </c>
      <c r="AE959" s="36">
        <v>100</v>
      </c>
      <c r="AF959" s="36"/>
      <c r="AG959" s="79">
        <v>1</v>
      </c>
      <c r="AH959" s="36">
        <v>0</v>
      </c>
      <c r="AL959" s="35"/>
    </row>
    <row r="960" s="25" customFormat="1" hidden="1" customHeight="1" spans="1:38">
      <c r="A960" s="33">
        <v>5303201</v>
      </c>
      <c r="B960" s="34"/>
      <c r="C960" s="35">
        <v>5301201</v>
      </c>
      <c r="D960" s="36">
        <v>3</v>
      </c>
      <c r="E960" s="36"/>
      <c r="F960" s="36" t="s">
        <v>174</v>
      </c>
      <c r="G960" s="36">
        <f t="shared" si="273"/>
        <v>1</v>
      </c>
      <c r="H960" s="36">
        <f>IFERROR(IF(--MID($F960,2*COUNTIF($G960:G960,"&gt;"&amp;0)+2,1)=H$1,H$1,""),"")</f>
        <v>2</v>
      </c>
      <c r="I960" s="36">
        <f>IFERROR(IF(--MID($F960,2*COUNTIF($G960:H960,"&gt;"&amp;0)+2,1)=I$1,I$1,""),"")</f>
        <v>3</v>
      </c>
      <c r="J960" s="36">
        <f>IFERROR(IF(--MID($F960,2*COUNTIF($G960:I960,"&gt;"&amp;0)+2,1)=J$1,J$1,""),"")</f>
        <v>4</v>
      </c>
      <c r="K960" s="36">
        <f>IFERROR(IF(--MID($F960,2*COUNTIF($G960:J960,"&gt;"&amp;0)+2,1)=K$1,K$1,""),"")</f>
        <v>5</v>
      </c>
      <c r="L960" s="36">
        <f>IFERROR(IF(--MID($F960,2*COUNTIF($G960:K960,"&gt;"&amp;0)+2,1)=L$1,L$1,""),"")</f>
        <v>6</v>
      </c>
      <c r="M960" s="36" t="e" cm="1">
        <f t="array" ref="M960">IF(A960="","",_xlfn.XLOOKUP(D960&amp;"_"&amp;AE960,符文权重!A:A&amp;"_"&amp;符文权重!C:C,符文权重!D:D))</f>
        <v>#N/A</v>
      </c>
      <c r="N960" s="36"/>
      <c r="O960" s="36"/>
      <c r="P960" s="36"/>
      <c r="Q960" s="36"/>
      <c r="R960" s="36"/>
      <c r="S960" s="36" t="s">
        <v>344</v>
      </c>
      <c r="T960" s="36"/>
      <c r="U960" s="36" t="s">
        <v>417</v>
      </c>
      <c r="V960" s="25" t="s">
        <v>1348</v>
      </c>
      <c r="W960" s="36"/>
      <c r="X960" s="35" t="s">
        <v>1178</v>
      </c>
      <c r="Y960" s="35">
        <v>100</v>
      </c>
      <c r="Z960" s="35"/>
      <c r="AA960" s="36" t="s">
        <v>183</v>
      </c>
      <c r="AB960" s="36" t="s">
        <v>1349</v>
      </c>
      <c r="AC960" s="35">
        <v>5301201</v>
      </c>
      <c r="AD960" s="36" t="s">
        <v>428</v>
      </c>
      <c r="AE960" s="36">
        <v>100</v>
      </c>
      <c r="AF960" s="36"/>
      <c r="AG960" s="79">
        <v>1</v>
      </c>
      <c r="AH960" s="36">
        <v>0</v>
      </c>
      <c r="AI960" s="33"/>
      <c r="AJ960" s="37"/>
      <c r="AK960" s="35"/>
      <c r="AL960" s="35"/>
    </row>
    <row r="961" s="25" customFormat="1" hidden="1" customHeight="1" spans="1:38">
      <c r="A961" s="33">
        <v>5304201</v>
      </c>
      <c r="B961" s="34"/>
      <c r="C961" s="35">
        <v>5301201</v>
      </c>
      <c r="D961" s="36">
        <v>4</v>
      </c>
      <c r="E961" s="36"/>
      <c r="F961" s="36" t="s">
        <v>174</v>
      </c>
      <c r="G961" s="36">
        <f t="shared" si="273"/>
        <v>1</v>
      </c>
      <c r="H961" s="36">
        <f>IFERROR(IF(--MID($F961,2*COUNTIF($G961:G961,"&gt;"&amp;0)+2,1)=H$1,H$1,""),"")</f>
        <v>2</v>
      </c>
      <c r="I961" s="36">
        <f>IFERROR(IF(--MID($F961,2*COUNTIF($G961:H961,"&gt;"&amp;0)+2,1)=I$1,I$1,""),"")</f>
        <v>3</v>
      </c>
      <c r="J961" s="36">
        <f>IFERROR(IF(--MID($F961,2*COUNTIF($G961:I961,"&gt;"&amp;0)+2,1)=J$1,J$1,""),"")</f>
        <v>4</v>
      </c>
      <c r="K961" s="36">
        <f>IFERROR(IF(--MID($F961,2*COUNTIF($G961:J961,"&gt;"&amp;0)+2,1)=K$1,K$1,""),"")</f>
        <v>5</v>
      </c>
      <c r="L961" s="36">
        <f>IFERROR(IF(--MID($F961,2*COUNTIF($G961:K961,"&gt;"&amp;0)+2,1)=L$1,L$1,""),"")</f>
        <v>6</v>
      </c>
      <c r="M961" s="36" t="e" cm="1">
        <f t="array" ref="M961">IF(A961="","",_xlfn.XLOOKUP(D961&amp;"_"&amp;AE961,符文权重!A:A&amp;"_"&amp;符文权重!C:C,符文权重!D:D))</f>
        <v>#N/A</v>
      </c>
      <c r="N961" s="36"/>
      <c r="O961" s="36"/>
      <c r="P961" s="36"/>
      <c r="Q961" s="36"/>
      <c r="R961" s="36"/>
      <c r="S961" s="36" t="s">
        <v>344</v>
      </c>
      <c r="T961" s="36"/>
      <c r="U961" s="36" t="s">
        <v>420</v>
      </c>
      <c r="V961" s="25" t="s">
        <v>1350</v>
      </c>
      <c r="W961" s="36"/>
      <c r="X961" s="35" t="s">
        <v>1198</v>
      </c>
      <c r="Y961" s="35">
        <v>100</v>
      </c>
      <c r="Z961" s="35"/>
      <c r="AA961" s="36" t="s">
        <v>185</v>
      </c>
      <c r="AB961" s="36" t="s">
        <v>1351</v>
      </c>
      <c r="AC961" s="35">
        <v>5301201</v>
      </c>
      <c r="AD961" s="36" t="s">
        <v>431</v>
      </c>
      <c r="AE961" s="36">
        <v>100</v>
      </c>
      <c r="AF961" s="36"/>
      <c r="AG961" s="79">
        <v>1</v>
      </c>
      <c r="AH961" s="36">
        <v>0</v>
      </c>
      <c r="AI961" s="33"/>
      <c r="AJ961" s="37"/>
      <c r="AK961" s="35"/>
      <c r="AL961" s="35"/>
    </row>
    <row r="962" s="25" customFormat="1" hidden="1" customHeight="1" spans="1:38">
      <c r="A962" s="33">
        <v>5305201</v>
      </c>
      <c r="B962" s="34"/>
      <c r="C962" s="35">
        <v>5301201</v>
      </c>
      <c r="D962" s="36">
        <v>5</v>
      </c>
      <c r="E962" s="36"/>
      <c r="F962" s="36" t="s">
        <v>174</v>
      </c>
      <c r="G962" s="36">
        <f t="shared" si="273"/>
        <v>1</v>
      </c>
      <c r="H962" s="36">
        <f>IFERROR(IF(--MID($F962,2*COUNTIF($G962:G962,"&gt;"&amp;0)+2,1)=H$1,H$1,""),"")</f>
        <v>2</v>
      </c>
      <c r="I962" s="36">
        <f>IFERROR(IF(--MID($F962,2*COUNTIF($G962:H962,"&gt;"&amp;0)+2,1)=I$1,I$1,""),"")</f>
        <v>3</v>
      </c>
      <c r="J962" s="36">
        <f>IFERROR(IF(--MID($F962,2*COUNTIF($G962:I962,"&gt;"&amp;0)+2,1)=J$1,J$1,""),"")</f>
        <v>4</v>
      </c>
      <c r="K962" s="36">
        <f>IFERROR(IF(--MID($F962,2*COUNTIF($G962:J962,"&gt;"&amp;0)+2,1)=K$1,K$1,""),"")</f>
        <v>5</v>
      </c>
      <c r="L962" s="36">
        <f>IFERROR(IF(--MID($F962,2*COUNTIF($G962:K962,"&gt;"&amp;0)+2,1)=L$1,L$1,""),"")</f>
        <v>6</v>
      </c>
      <c r="M962" s="36" t="e" cm="1">
        <f t="array" ref="M962">IF(A962="","",_xlfn.XLOOKUP(D962&amp;"_"&amp;AE962,符文权重!A:A&amp;"_"&amp;符文权重!C:C,符文权重!D:D))</f>
        <v>#N/A</v>
      </c>
      <c r="N962" s="36"/>
      <c r="O962" s="36"/>
      <c r="P962" s="36"/>
      <c r="Q962" s="36"/>
      <c r="R962" s="36"/>
      <c r="S962" s="36" t="s">
        <v>344</v>
      </c>
      <c r="T962" s="36"/>
      <c r="U962" s="36" t="s">
        <v>423</v>
      </c>
      <c r="V962" s="25" t="s">
        <v>1352</v>
      </c>
      <c r="W962" s="36"/>
      <c r="X962" s="35" t="s">
        <v>1353</v>
      </c>
      <c r="Y962" s="35">
        <v>100</v>
      </c>
      <c r="Z962" s="35"/>
      <c r="AA962" s="36" t="s">
        <v>187</v>
      </c>
      <c r="AB962" s="80" t="s">
        <v>1354</v>
      </c>
      <c r="AC962" s="35">
        <v>5301201</v>
      </c>
      <c r="AD962" s="36" t="s">
        <v>472</v>
      </c>
      <c r="AE962" s="36">
        <v>100</v>
      </c>
      <c r="AF962" s="36"/>
      <c r="AG962" s="79">
        <v>1</v>
      </c>
      <c r="AH962" s="36">
        <v>0</v>
      </c>
      <c r="AI962" s="33"/>
      <c r="AJ962" s="37"/>
      <c r="AK962" s="35"/>
      <c r="AL962" s="35"/>
    </row>
    <row r="963" s="25" customFormat="1" hidden="1" customHeight="1" spans="1:38">
      <c r="A963" s="33">
        <v>5306201</v>
      </c>
      <c r="B963" s="34"/>
      <c r="C963" s="35">
        <v>5301201</v>
      </c>
      <c r="D963" s="36">
        <v>6</v>
      </c>
      <c r="E963" s="36"/>
      <c r="F963" s="36" t="s">
        <v>174</v>
      </c>
      <c r="G963" s="36">
        <f t="shared" si="273"/>
        <v>1</v>
      </c>
      <c r="H963" s="36">
        <f>IFERROR(IF(--MID($F963,2*COUNTIF($G963:G963,"&gt;"&amp;0)+2,1)=H$1,H$1,""),"")</f>
        <v>2</v>
      </c>
      <c r="I963" s="36">
        <f>IFERROR(IF(--MID($F963,2*COUNTIF($G963:H963,"&gt;"&amp;0)+2,1)=I$1,I$1,""),"")</f>
        <v>3</v>
      </c>
      <c r="J963" s="36">
        <f>IFERROR(IF(--MID($F963,2*COUNTIF($G963:I963,"&gt;"&amp;0)+2,1)=J$1,J$1,""),"")</f>
        <v>4</v>
      </c>
      <c r="K963" s="36">
        <f>IFERROR(IF(--MID($F963,2*COUNTIF($G963:J963,"&gt;"&amp;0)+2,1)=K$1,K$1,""),"")</f>
        <v>5</v>
      </c>
      <c r="L963" s="36">
        <f>IFERROR(IF(--MID($F963,2*COUNTIF($G963:K963,"&gt;"&amp;0)+2,1)=L$1,L$1,""),"")</f>
        <v>6</v>
      </c>
      <c r="M963" s="36" t="e" cm="1">
        <f t="array" ref="M963">IF(A963="","",_xlfn.XLOOKUP(D963&amp;"_"&amp;AE963,符文权重!A:A&amp;"_"&amp;符文权重!C:C,符文权重!D:D))</f>
        <v>#N/A</v>
      </c>
      <c r="N963" s="36"/>
      <c r="O963" s="36"/>
      <c r="P963" s="36"/>
      <c r="Q963" s="36"/>
      <c r="R963" s="36"/>
      <c r="S963" s="36" t="s">
        <v>344</v>
      </c>
      <c r="T963" s="36"/>
      <c r="U963" s="36" t="s">
        <v>426</v>
      </c>
      <c r="V963" s="25" t="s">
        <v>1355</v>
      </c>
      <c r="W963" s="36"/>
      <c r="X963" s="35" t="s">
        <v>1203</v>
      </c>
      <c r="Y963" s="35">
        <v>100</v>
      </c>
      <c r="Z963" s="35"/>
      <c r="AA963" s="36" t="s">
        <v>189</v>
      </c>
      <c r="AB963" s="36" t="s">
        <v>1356</v>
      </c>
      <c r="AC963" s="35">
        <v>5301201</v>
      </c>
      <c r="AD963" s="36" t="s">
        <v>497</v>
      </c>
      <c r="AE963" s="36">
        <v>100</v>
      </c>
      <c r="AF963" s="36"/>
      <c r="AG963" s="79">
        <v>1</v>
      </c>
      <c r="AH963" s="36">
        <v>0</v>
      </c>
      <c r="AI963" s="33"/>
      <c r="AJ963" s="37"/>
      <c r="AK963" s="35"/>
      <c r="AL963" s="35"/>
    </row>
    <row r="964" s="25" customFormat="1" hidden="1" customHeight="1" spans="1:38">
      <c r="A964" s="33">
        <v>5307201</v>
      </c>
      <c r="B964" s="34"/>
      <c r="C964" s="35">
        <v>5301201</v>
      </c>
      <c r="D964" s="36">
        <v>7</v>
      </c>
      <c r="E964" s="36"/>
      <c r="F964" s="36" t="s">
        <v>174</v>
      </c>
      <c r="G964" s="36">
        <f t="shared" si="273"/>
        <v>1</v>
      </c>
      <c r="H964" s="36">
        <f>IFERROR(IF(--MID($F964,2*COUNTIF($G964:G964,"&gt;"&amp;0)+2,1)=H$1,H$1,""),"")</f>
        <v>2</v>
      </c>
      <c r="I964" s="36">
        <f>IFERROR(IF(--MID($F964,2*COUNTIF($G964:H964,"&gt;"&amp;0)+2,1)=I$1,I$1,""),"")</f>
        <v>3</v>
      </c>
      <c r="J964" s="36">
        <f>IFERROR(IF(--MID($F964,2*COUNTIF($G964:I964,"&gt;"&amp;0)+2,1)=J$1,J$1,""),"")</f>
        <v>4</v>
      </c>
      <c r="K964" s="36">
        <f>IFERROR(IF(--MID($F964,2*COUNTIF($G964:J964,"&gt;"&amp;0)+2,1)=K$1,K$1,""),"")</f>
        <v>5</v>
      </c>
      <c r="L964" s="36">
        <f>IFERROR(IF(--MID($F964,2*COUNTIF($G964:K964,"&gt;"&amp;0)+2,1)=L$1,L$1,""),"")</f>
        <v>6</v>
      </c>
      <c r="M964" s="36" t="e" cm="1">
        <f t="array" ref="M964">IF(A964="","",_xlfn.XLOOKUP(D964&amp;"_"&amp;AE964,符文权重!A:A&amp;"_"&amp;符文权重!C:C,符文权重!D:D))</f>
        <v>#N/A</v>
      </c>
      <c r="N964" s="36"/>
      <c r="O964" s="36"/>
      <c r="P964" s="36"/>
      <c r="Q964" s="36"/>
      <c r="R964" s="36"/>
      <c r="S964" s="36" t="s">
        <v>344</v>
      </c>
      <c r="T964" s="36"/>
      <c r="U964" s="36" t="s">
        <v>429</v>
      </c>
      <c r="V964" s="25" t="s">
        <v>1357</v>
      </c>
      <c r="W964" s="36"/>
      <c r="X964" s="35" t="s">
        <v>1358</v>
      </c>
      <c r="Y964" s="35">
        <v>100</v>
      </c>
      <c r="Z964" s="35"/>
      <c r="AA964" s="36" t="s">
        <v>191</v>
      </c>
      <c r="AB964" s="36" t="s">
        <v>1359</v>
      </c>
      <c r="AC964" s="35">
        <v>5301201</v>
      </c>
      <c r="AD964" s="36" t="s">
        <v>596</v>
      </c>
      <c r="AE964" s="36">
        <v>100</v>
      </c>
      <c r="AF964" s="36"/>
      <c r="AG964" s="79">
        <v>1</v>
      </c>
      <c r="AH964" s="36">
        <v>0</v>
      </c>
      <c r="AI964" s="33"/>
      <c r="AJ964" s="37"/>
      <c r="AK964" s="35"/>
      <c r="AL964" s="35"/>
    </row>
    <row r="965" s="25" customFormat="1" hidden="1" customHeight="1" spans="1:38">
      <c r="A965" s="33">
        <v>5303202</v>
      </c>
      <c r="B965" s="34" t="s">
        <v>1360</v>
      </c>
      <c r="C965" s="35">
        <v>5301202</v>
      </c>
      <c r="D965" s="36">
        <v>3</v>
      </c>
      <c r="E965" s="36"/>
      <c r="F965" s="36" t="s">
        <v>174</v>
      </c>
      <c r="G965" s="36">
        <f t="shared" si="273"/>
        <v>1</v>
      </c>
      <c r="H965" s="36">
        <f>IFERROR(IF(--MID($F965,2*COUNTIF($G965:G965,"&gt;"&amp;0)+2,1)=H$1,H$1,""),"")</f>
        <v>2</v>
      </c>
      <c r="I965" s="36">
        <f>IFERROR(IF(--MID($F965,2*COUNTIF($G965:H965,"&gt;"&amp;0)+2,1)=I$1,I$1,""),"")</f>
        <v>3</v>
      </c>
      <c r="J965" s="36">
        <f>IFERROR(IF(--MID($F965,2*COUNTIF($G965:I965,"&gt;"&amp;0)+2,1)=J$1,J$1,""),"")</f>
        <v>4</v>
      </c>
      <c r="K965" s="36">
        <f>IFERROR(IF(--MID($F965,2*COUNTIF($G965:J965,"&gt;"&amp;0)+2,1)=K$1,K$1,""),"")</f>
        <v>5</v>
      </c>
      <c r="L965" s="36">
        <f>IFERROR(IF(--MID($F965,2*COUNTIF($G965:K965,"&gt;"&amp;0)+2,1)=L$1,L$1,""),"")</f>
        <v>6</v>
      </c>
      <c r="M965" s="36" t="e" cm="1">
        <f t="array" ref="M965">IF(A965="","",_xlfn.XLOOKUP(D965&amp;"_"&amp;AE965,符文权重!A:A&amp;"_"&amp;符文权重!C:C,符文权重!D:D))</f>
        <v>#N/A</v>
      </c>
      <c r="N965" s="36"/>
      <c r="O965" s="36"/>
      <c r="P965" s="36"/>
      <c r="Q965" s="36"/>
      <c r="R965" s="36"/>
      <c r="S965" s="36" t="s">
        <v>344</v>
      </c>
      <c r="T965" s="36"/>
      <c r="U965" s="36" t="s">
        <v>417</v>
      </c>
      <c r="V965" s="25" t="s">
        <v>1361</v>
      </c>
      <c r="W965" s="36"/>
      <c r="X965" s="35" t="s">
        <v>1203</v>
      </c>
      <c r="Y965" s="35">
        <v>100</v>
      </c>
      <c r="Z965" s="32"/>
      <c r="AA965" s="36" t="s">
        <v>183</v>
      </c>
      <c r="AB965" s="81" t="s">
        <v>1362</v>
      </c>
      <c r="AC965" s="35">
        <v>5504011</v>
      </c>
      <c r="AD965" s="36" t="s">
        <v>428</v>
      </c>
      <c r="AE965" s="36">
        <v>100</v>
      </c>
      <c r="AF965" s="36"/>
      <c r="AG965" s="79">
        <v>1</v>
      </c>
      <c r="AH965" s="36">
        <v>0</v>
      </c>
      <c r="AL965" s="35"/>
    </row>
    <row r="966" s="25" customFormat="1" hidden="1" customHeight="1" spans="1:38">
      <c r="A966" s="33">
        <v>5304202</v>
      </c>
      <c r="B966" s="34"/>
      <c r="C966" s="35">
        <v>5301202</v>
      </c>
      <c r="D966" s="36">
        <v>4</v>
      </c>
      <c r="E966" s="36"/>
      <c r="F966" s="36" t="s">
        <v>174</v>
      </c>
      <c r="G966" s="36">
        <f t="shared" si="273"/>
        <v>1</v>
      </c>
      <c r="H966" s="36">
        <f>IFERROR(IF(--MID($F966,2*COUNTIF($G966:G966,"&gt;"&amp;0)+2,1)=H$1,H$1,""),"")</f>
        <v>2</v>
      </c>
      <c r="I966" s="36">
        <f>IFERROR(IF(--MID($F966,2*COUNTIF($G966:H966,"&gt;"&amp;0)+2,1)=I$1,I$1,""),"")</f>
        <v>3</v>
      </c>
      <c r="J966" s="36">
        <f>IFERROR(IF(--MID($F966,2*COUNTIF($G966:I966,"&gt;"&amp;0)+2,1)=J$1,J$1,""),"")</f>
        <v>4</v>
      </c>
      <c r="K966" s="36">
        <f>IFERROR(IF(--MID($F966,2*COUNTIF($G966:J966,"&gt;"&amp;0)+2,1)=K$1,K$1,""),"")</f>
        <v>5</v>
      </c>
      <c r="L966" s="36">
        <f>IFERROR(IF(--MID($F966,2*COUNTIF($G966:K966,"&gt;"&amp;0)+2,1)=L$1,L$1,""),"")</f>
        <v>6</v>
      </c>
      <c r="M966" s="36" t="e" cm="1">
        <f t="array" ref="M966">IF(A966="","",_xlfn.XLOOKUP(D966&amp;"_"&amp;AE966,符文权重!A:A&amp;"_"&amp;符文权重!C:C,符文权重!D:D))</f>
        <v>#N/A</v>
      </c>
      <c r="N966" s="36"/>
      <c r="O966" s="36"/>
      <c r="P966" s="36"/>
      <c r="Q966" s="36"/>
      <c r="R966" s="36"/>
      <c r="S966" s="36" t="s">
        <v>344</v>
      </c>
      <c r="T966" s="36"/>
      <c r="U966" s="36" t="s">
        <v>420</v>
      </c>
      <c r="V966" s="25" t="s">
        <v>1363</v>
      </c>
      <c r="W966" s="36"/>
      <c r="X966" s="35" t="s">
        <v>1358</v>
      </c>
      <c r="Y966" s="35">
        <v>100</v>
      </c>
      <c r="Z966" s="32"/>
      <c r="AA966" s="36" t="s">
        <v>185</v>
      </c>
      <c r="AB966" s="81" t="s">
        <v>1364</v>
      </c>
      <c r="AC966" s="35">
        <v>5504011</v>
      </c>
      <c r="AD966" s="36" t="s">
        <v>431</v>
      </c>
      <c r="AE966" s="36">
        <v>100</v>
      </c>
      <c r="AF966" s="36"/>
      <c r="AG966" s="79">
        <v>1</v>
      </c>
      <c r="AH966" s="36">
        <v>1</v>
      </c>
      <c r="AI966" s="33"/>
      <c r="AJ966" s="37"/>
      <c r="AK966" s="35"/>
      <c r="AL966" s="35"/>
    </row>
    <row r="967" s="25" customFormat="1" hidden="1" customHeight="1" spans="1:38">
      <c r="A967" s="33">
        <v>5305202</v>
      </c>
      <c r="B967" s="34"/>
      <c r="C967" s="35">
        <v>5301202</v>
      </c>
      <c r="D967" s="36">
        <v>5</v>
      </c>
      <c r="E967" s="36"/>
      <c r="F967" s="36" t="s">
        <v>174</v>
      </c>
      <c r="G967" s="36">
        <f t="shared" si="273"/>
        <v>1</v>
      </c>
      <c r="H967" s="36">
        <f>IFERROR(IF(--MID($F967,2*COUNTIF($G967:G967,"&gt;"&amp;0)+2,1)=H$1,H$1,""),"")</f>
        <v>2</v>
      </c>
      <c r="I967" s="36">
        <f>IFERROR(IF(--MID($F967,2*COUNTIF($G967:H967,"&gt;"&amp;0)+2,1)=I$1,I$1,""),"")</f>
        <v>3</v>
      </c>
      <c r="J967" s="36">
        <f>IFERROR(IF(--MID($F967,2*COUNTIF($G967:I967,"&gt;"&amp;0)+2,1)=J$1,J$1,""),"")</f>
        <v>4</v>
      </c>
      <c r="K967" s="36">
        <f>IFERROR(IF(--MID($F967,2*COUNTIF($G967:J967,"&gt;"&amp;0)+2,1)=K$1,K$1,""),"")</f>
        <v>5</v>
      </c>
      <c r="L967" s="36">
        <f>IFERROR(IF(--MID($F967,2*COUNTIF($G967:K967,"&gt;"&amp;0)+2,1)=L$1,L$1,""),"")</f>
        <v>6</v>
      </c>
      <c r="M967" s="36" t="e" cm="1">
        <f t="array" ref="M967">IF(A967="","",_xlfn.XLOOKUP(D967&amp;"_"&amp;AE967,符文权重!A:A&amp;"_"&amp;符文权重!C:C,符文权重!D:D))</f>
        <v>#N/A</v>
      </c>
      <c r="N967" s="36"/>
      <c r="O967" s="36"/>
      <c r="P967" s="36"/>
      <c r="Q967" s="36"/>
      <c r="R967" s="36"/>
      <c r="S967" s="36" t="s">
        <v>344</v>
      </c>
      <c r="T967" s="36"/>
      <c r="U967" s="36" t="s">
        <v>423</v>
      </c>
      <c r="V967" s="25" t="s">
        <v>1365</v>
      </c>
      <c r="W967" s="36"/>
      <c r="X967" s="35" t="s">
        <v>1366</v>
      </c>
      <c r="Y967" s="35">
        <v>100</v>
      </c>
      <c r="Z967" s="32"/>
      <c r="AA967" s="36" t="s">
        <v>187</v>
      </c>
      <c r="AB967" s="81" t="s">
        <v>1367</v>
      </c>
      <c r="AC967" s="35">
        <v>5504011</v>
      </c>
      <c r="AD967" s="36" t="s">
        <v>487</v>
      </c>
      <c r="AE967" s="36">
        <v>100</v>
      </c>
      <c r="AF967" s="36"/>
      <c r="AG967" s="79">
        <v>1</v>
      </c>
      <c r="AH967" s="36">
        <v>1</v>
      </c>
      <c r="AI967" s="33"/>
      <c r="AJ967" s="37"/>
      <c r="AK967" s="35"/>
      <c r="AL967" s="35"/>
    </row>
    <row r="968" s="25" customFormat="1" hidden="1" customHeight="1" spans="1:38">
      <c r="A968" s="33">
        <v>5306202</v>
      </c>
      <c r="B968" s="34"/>
      <c r="C968" s="35">
        <v>5301202</v>
      </c>
      <c r="D968" s="36">
        <v>6</v>
      </c>
      <c r="E968" s="36"/>
      <c r="F968" s="36" t="s">
        <v>174</v>
      </c>
      <c r="G968" s="36">
        <f t="shared" si="273"/>
        <v>1</v>
      </c>
      <c r="H968" s="36">
        <f>IFERROR(IF(--MID($F968,2*COUNTIF($G968:G968,"&gt;"&amp;0)+2,1)=H$1,H$1,""),"")</f>
        <v>2</v>
      </c>
      <c r="I968" s="36">
        <f>IFERROR(IF(--MID($F968,2*COUNTIF($G968:H968,"&gt;"&amp;0)+2,1)=I$1,I$1,""),"")</f>
        <v>3</v>
      </c>
      <c r="J968" s="36">
        <f>IFERROR(IF(--MID($F968,2*COUNTIF($G968:I968,"&gt;"&amp;0)+2,1)=J$1,J$1,""),"")</f>
        <v>4</v>
      </c>
      <c r="K968" s="36">
        <f>IFERROR(IF(--MID($F968,2*COUNTIF($G968:J968,"&gt;"&amp;0)+2,1)=K$1,K$1,""),"")</f>
        <v>5</v>
      </c>
      <c r="L968" s="36">
        <f>IFERROR(IF(--MID($F968,2*COUNTIF($G968:K968,"&gt;"&amp;0)+2,1)=L$1,L$1,""),"")</f>
        <v>6</v>
      </c>
      <c r="M968" s="36" t="e" cm="1">
        <f t="array" ref="M968">IF(A968="","",_xlfn.XLOOKUP(D968&amp;"_"&amp;AE968,符文权重!A:A&amp;"_"&amp;符文权重!C:C,符文权重!D:D))</f>
        <v>#N/A</v>
      </c>
      <c r="N968" s="36"/>
      <c r="O968" s="36"/>
      <c r="P968" s="36"/>
      <c r="Q968" s="36"/>
      <c r="R968" s="36"/>
      <c r="S968" s="36" t="s">
        <v>344</v>
      </c>
      <c r="T968" s="36"/>
      <c r="U968" s="36" t="s">
        <v>426</v>
      </c>
      <c r="V968" s="25" t="s">
        <v>1368</v>
      </c>
      <c r="W968" s="36"/>
      <c r="X968" s="35" t="s">
        <v>1369</v>
      </c>
      <c r="Y968" s="35">
        <v>100</v>
      </c>
      <c r="Z968" s="32"/>
      <c r="AA968" s="36" t="s">
        <v>189</v>
      </c>
      <c r="AB968" s="81" t="s">
        <v>1370</v>
      </c>
      <c r="AC968" s="35">
        <v>5504011</v>
      </c>
      <c r="AD968" s="36" t="s">
        <v>447</v>
      </c>
      <c r="AE968" s="36">
        <v>100</v>
      </c>
      <c r="AF968" s="36"/>
      <c r="AG968" s="79">
        <v>1</v>
      </c>
      <c r="AH968" s="36">
        <v>1</v>
      </c>
      <c r="AI968" s="33"/>
      <c r="AJ968" s="37"/>
      <c r="AK968" s="35"/>
      <c r="AL968" s="35"/>
    </row>
    <row r="969" s="25" customFormat="1" hidden="1" customHeight="1" spans="1:38">
      <c r="A969" s="33">
        <v>5307202</v>
      </c>
      <c r="B969" s="34"/>
      <c r="C969" s="35">
        <v>5301202</v>
      </c>
      <c r="D969" s="36">
        <v>7</v>
      </c>
      <c r="E969" s="36"/>
      <c r="F969" s="36" t="s">
        <v>174</v>
      </c>
      <c r="G969" s="36">
        <f t="shared" si="273"/>
        <v>1</v>
      </c>
      <c r="H969" s="36">
        <f>IFERROR(IF(--MID($F969,2*COUNTIF($G969:G969,"&gt;"&amp;0)+2,1)=H$1,H$1,""),"")</f>
        <v>2</v>
      </c>
      <c r="I969" s="36">
        <f>IFERROR(IF(--MID($F969,2*COUNTIF($G969:H969,"&gt;"&amp;0)+2,1)=I$1,I$1,""),"")</f>
        <v>3</v>
      </c>
      <c r="J969" s="36">
        <f>IFERROR(IF(--MID($F969,2*COUNTIF($G969:I969,"&gt;"&amp;0)+2,1)=J$1,J$1,""),"")</f>
        <v>4</v>
      </c>
      <c r="K969" s="36">
        <f>IFERROR(IF(--MID($F969,2*COUNTIF($G969:J969,"&gt;"&amp;0)+2,1)=K$1,K$1,""),"")</f>
        <v>5</v>
      </c>
      <c r="L969" s="36">
        <f>IFERROR(IF(--MID($F969,2*COUNTIF($G969:K969,"&gt;"&amp;0)+2,1)=L$1,L$1,""),"")</f>
        <v>6</v>
      </c>
      <c r="M969" s="36" t="e" cm="1">
        <f t="array" ref="M969">IF(A969="","",_xlfn.XLOOKUP(D969&amp;"_"&amp;AE969,符文权重!A:A&amp;"_"&amp;符文权重!C:C,符文权重!D:D))</f>
        <v>#N/A</v>
      </c>
      <c r="N969" s="36"/>
      <c r="O969" s="36"/>
      <c r="P969" s="36"/>
      <c r="Q969" s="36"/>
      <c r="R969" s="36"/>
      <c r="S969" s="36" t="s">
        <v>344</v>
      </c>
      <c r="T969" s="36"/>
      <c r="U969" s="36" t="s">
        <v>429</v>
      </c>
      <c r="V969" s="25" t="s">
        <v>1371</v>
      </c>
      <c r="W969" s="68"/>
      <c r="X969" s="35" t="s">
        <v>1372</v>
      </c>
      <c r="Y969" s="35">
        <v>100</v>
      </c>
      <c r="Z969" s="32"/>
      <c r="AA969" s="36" t="s">
        <v>191</v>
      </c>
      <c r="AB969" s="81" t="s">
        <v>1373</v>
      </c>
      <c r="AC969" s="35">
        <v>5504011</v>
      </c>
      <c r="AD969" s="36" t="s">
        <v>497</v>
      </c>
      <c r="AE969" s="36">
        <v>100</v>
      </c>
      <c r="AF969" s="36"/>
      <c r="AG969" s="79">
        <v>1</v>
      </c>
      <c r="AH969" s="36">
        <v>1</v>
      </c>
      <c r="AI969" s="33"/>
      <c r="AJ969" s="37"/>
      <c r="AK969" s="35"/>
      <c r="AL969" s="35"/>
    </row>
    <row r="970" s="25" customFormat="1" hidden="1" customHeight="1" spans="1:38">
      <c r="A970" s="33">
        <v>5303203</v>
      </c>
      <c r="B970" s="34"/>
      <c r="C970" s="35">
        <v>5301203</v>
      </c>
      <c r="D970" s="36">
        <v>3</v>
      </c>
      <c r="E970" s="36"/>
      <c r="F970" s="36" t="s">
        <v>1374</v>
      </c>
      <c r="G970" s="36">
        <f t="shared" si="273"/>
        <v>1</v>
      </c>
      <c r="H970" s="36">
        <f>IFERROR(IF(--MID($F970,2*COUNTIF($G970:G970,"&gt;"&amp;0)+2,1)=H$1,H$1,""),"")</f>
        <v>2</v>
      </c>
      <c r="I970" s="36">
        <f>IFERROR(IF(--MID($F970,2*COUNTIF($G970:H970,"&gt;"&amp;0)+2,1)=I$1,I$1,""),"")</f>
        <v>3</v>
      </c>
      <c r="J970" s="36" t="str">
        <f>IFERROR(IF(--MID($F970,2*COUNTIF($G970:I970,"&gt;"&amp;0)+2,1)=J$1,J$1,""),"")</f>
        <v/>
      </c>
      <c r="K970" s="36" t="str">
        <f>IFERROR(IF(--MID($F970,2*COUNTIF($G970:J970,"&gt;"&amp;0)+2,1)=K$1,K$1,""),"")</f>
        <v/>
      </c>
      <c r="L970" s="36" t="str">
        <f>IFERROR(IF(--MID($F970,2*COUNTIF($G970:K970,"&gt;"&amp;0)+2,1)=L$1,L$1,""),"")</f>
        <v/>
      </c>
      <c r="M970" s="36" t="e" cm="1">
        <f t="array" ref="M970">IF(A970="","",_xlfn.XLOOKUP(D970&amp;"_"&amp;AE970,符文权重!A:A&amp;"_"&amp;符文权重!C:C,符文权重!D:D))</f>
        <v>#N/A</v>
      </c>
      <c r="N970" s="36"/>
      <c r="O970" s="36"/>
      <c r="P970" s="36"/>
      <c r="Q970" s="36"/>
      <c r="R970" s="36"/>
      <c r="S970" s="36" t="s">
        <v>175</v>
      </c>
      <c r="T970" s="36"/>
      <c r="U970" s="36" t="s">
        <v>417</v>
      </c>
      <c r="V970" s="25" t="s">
        <v>1375</v>
      </c>
      <c r="W970" s="36"/>
      <c r="X970" s="35" t="s">
        <v>1244</v>
      </c>
      <c r="Y970" s="35">
        <v>100</v>
      </c>
      <c r="Z970" s="35"/>
      <c r="AA970" s="36" t="s">
        <v>183</v>
      </c>
      <c r="AB970" s="36" t="s">
        <v>1376</v>
      </c>
      <c r="AC970" s="35">
        <v>5503031</v>
      </c>
      <c r="AD970" s="36" t="s">
        <v>428</v>
      </c>
      <c r="AE970" s="36">
        <v>100</v>
      </c>
      <c r="AF970" s="36"/>
      <c r="AG970" s="79">
        <v>1</v>
      </c>
      <c r="AH970" s="36">
        <v>0</v>
      </c>
      <c r="AI970" s="33"/>
      <c r="AJ970" s="37"/>
      <c r="AK970" s="35"/>
      <c r="AL970" s="35"/>
    </row>
    <row r="971" s="25" customFormat="1" hidden="1" customHeight="1" spans="1:38">
      <c r="A971" s="33">
        <v>5304203</v>
      </c>
      <c r="B971" s="34"/>
      <c r="C971" s="35">
        <v>5301203</v>
      </c>
      <c r="D971" s="36">
        <v>4</v>
      </c>
      <c r="E971" s="36"/>
      <c r="F971" s="36" t="s">
        <v>1374</v>
      </c>
      <c r="G971" s="36">
        <f t="shared" si="273"/>
        <v>1</v>
      </c>
      <c r="H971" s="36">
        <f>IFERROR(IF(--MID($F971,2*COUNTIF($G971:G971,"&gt;"&amp;0)+2,1)=H$1,H$1,""),"")</f>
        <v>2</v>
      </c>
      <c r="I971" s="36">
        <f>IFERROR(IF(--MID($F971,2*COUNTIF($G971:H971,"&gt;"&amp;0)+2,1)=I$1,I$1,""),"")</f>
        <v>3</v>
      </c>
      <c r="J971" s="36" t="str">
        <f>IFERROR(IF(--MID($F971,2*COUNTIF($G971:I971,"&gt;"&amp;0)+2,1)=J$1,J$1,""),"")</f>
        <v/>
      </c>
      <c r="K971" s="36" t="str">
        <f>IFERROR(IF(--MID($F971,2*COUNTIF($G971:J971,"&gt;"&amp;0)+2,1)=K$1,K$1,""),"")</f>
        <v/>
      </c>
      <c r="L971" s="36" t="str">
        <f>IFERROR(IF(--MID($F971,2*COUNTIF($G971:K971,"&gt;"&amp;0)+2,1)=L$1,L$1,""),"")</f>
        <v/>
      </c>
      <c r="M971" s="36" t="e" cm="1">
        <f t="array" ref="M971">IF(A971="","",_xlfn.XLOOKUP(D971&amp;"_"&amp;AE971,符文权重!A:A&amp;"_"&amp;符文权重!C:C,符文权重!D:D))</f>
        <v>#N/A</v>
      </c>
      <c r="N971" s="36"/>
      <c r="O971" s="36"/>
      <c r="P971" s="36"/>
      <c r="Q971" s="36"/>
      <c r="R971" s="36"/>
      <c r="S971" s="36" t="s">
        <v>175</v>
      </c>
      <c r="T971" s="36"/>
      <c r="U971" s="36" t="s">
        <v>420</v>
      </c>
      <c r="V971" s="25" t="s">
        <v>1377</v>
      </c>
      <c r="W971" s="36"/>
      <c r="X971" s="35" t="s">
        <v>1246</v>
      </c>
      <c r="Y971" s="35">
        <v>100</v>
      </c>
      <c r="Z971" s="35"/>
      <c r="AA971" s="36" t="s">
        <v>185</v>
      </c>
      <c r="AB971" s="36" t="s">
        <v>1378</v>
      </c>
      <c r="AC971" s="35">
        <v>5503031</v>
      </c>
      <c r="AD971" s="36" t="s">
        <v>431</v>
      </c>
      <c r="AE971" s="36">
        <v>100</v>
      </c>
      <c r="AF971" s="36"/>
      <c r="AG971" s="79">
        <v>1</v>
      </c>
      <c r="AH971" s="36">
        <v>0</v>
      </c>
      <c r="AI971" s="33"/>
      <c r="AJ971" s="37"/>
      <c r="AK971" s="35"/>
      <c r="AL971" s="35"/>
    </row>
    <row r="972" s="25" customFormat="1" hidden="1" customHeight="1" spans="1:38">
      <c r="A972" s="33">
        <v>5305203</v>
      </c>
      <c r="B972" s="34"/>
      <c r="C972" s="35">
        <v>5301203</v>
      </c>
      <c r="D972" s="36">
        <v>5</v>
      </c>
      <c r="E972" s="36"/>
      <c r="F972" s="36" t="s">
        <v>1374</v>
      </c>
      <c r="G972" s="36">
        <f t="shared" si="273"/>
        <v>1</v>
      </c>
      <c r="H972" s="36">
        <f>IFERROR(IF(--MID($F972,2*COUNTIF($G972:G972,"&gt;"&amp;0)+2,1)=H$1,H$1,""),"")</f>
        <v>2</v>
      </c>
      <c r="I972" s="36">
        <f>IFERROR(IF(--MID($F972,2*COUNTIF($G972:H972,"&gt;"&amp;0)+2,1)=I$1,I$1,""),"")</f>
        <v>3</v>
      </c>
      <c r="J972" s="36" t="str">
        <f>IFERROR(IF(--MID($F972,2*COUNTIF($G972:I972,"&gt;"&amp;0)+2,1)=J$1,J$1,""),"")</f>
        <v/>
      </c>
      <c r="K972" s="36" t="str">
        <f>IFERROR(IF(--MID($F972,2*COUNTIF($G972:J972,"&gt;"&amp;0)+2,1)=K$1,K$1,""),"")</f>
        <v/>
      </c>
      <c r="L972" s="36" t="str">
        <f>IFERROR(IF(--MID($F972,2*COUNTIF($G972:K972,"&gt;"&amp;0)+2,1)=L$1,L$1,""),"")</f>
        <v/>
      </c>
      <c r="M972" s="36" t="e" cm="1">
        <f t="array" ref="M972">IF(A972="","",_xlfn.XLOOKUP(D972&amp;"_"&amp;AE972,符文权重!A:A&amp;"_"&amp;符文权重!C:C,符文权重!D:D))</f>
        <v>#N/A</v>
      </c>
      <c r="N972" s="36"/>
      <c r="O972" s="36"/>
      <c r="P972" s="36"/>
      <c r="Q972" s="36"/>
      <c r="R972" s="36"/>
      <c r="S972" s="36" t="s">
        <v>175</v>
      </c>
      <c r="T972" s="36"/>
      <c r="U972" s="36" t="s">
        <v>423</v>
      </c>
      <c r="V972" s="25" t="s">
        <v>1379</v>
      </c>
      <c r="W972" s="36"/>
      <c r="X972" s="35" t="s">
        <v>1248</v>
      </c>
      <c r="Y972" s="35">
        <v>100</v>
      </c>
      <c r="Z972" s="35"/>
      <c r="AA972" s="36" t="s">
        <v>187</v>
      </c>
      <c r="AB972" s="36" t="s">
        <v>1380</v>
      </c>
      <c r="AC972" s="35">
        <v>5503031</v>
      </c>
      <c r="AD972" s="36" t="s">
        <v>472</v>
      </c>
      <c r="AE972" s="36">
        <v>100</v>
      </c>
      <c r="AF972" s="36"/>
      <c r="AG972" s="79">
        <v>1</v>
      </c>
      <c r="AH972" s="36">
        <v>0</v>
      </c>
      <c r="AI972" s="33"/>
      <c r="AJ972" s="37"/>
      <c r="AK972" s="35"/>
      <c r="AL972" s="35"/>
    </row>
    <row r="973" s="25" customFormat="1" hidden="1" customHeight="1" spans="1:38">
      <c r="A973" s="33">
        <v>5306203</v>
      </c>
      <c r="B973" s="34"/>
      <c r="C973" s="35">
        <v>5301203</v>
      </c>
      <c r="D973" s="36">
        <v>6</v>
      </c>
      <c r="E973" s="36"/>
      <c r="F973" s="36" t="s">
        <v>1374</v>
      </c>
      <c r="G973" s="36">
        <f t="shared" si="273"/>
        <v>1</v>
      </c>
      <c r="H973" s="36">
        <f>IFERROR(IF(--MID($F973,2*COUNTIF($G973:G973,"&gt;"&amp;0)+2,1)=H$1,H$1,""),"")</f>
        <v>2</v>
      </c>
      <c r="I973" s="36">
        <f>IFERROR(IF(--MID($F973,2*COUNTIF($G973:H973,"&gt;"&amp;0)+2,1)=I$1,I$1,""),"")</f>
        <v>3</v>
      </c>
      <c r="J973" s="36" t="str">
        <f>IFERROR(IF(--MID($F973,2*COUNTIF($G973:I973,"&gt;"&amp;0)+2,1)=J$1,J$1,""),"")</f>
        <v/>
      </c>
      <c r="K973" s="36" t="str">
        <f>IFERROR(IF(--MID($F973,2*COUNTIF($G973:J973,"&gt;"&amp;0)+2,1)=K$1,K$1,""),"")</f>
        <v/>
      </c>
      <c r="L973" s="36" t="str">
        <f>IFERROR(IF(--MID($F973,2*COUNTIF($G973:K973,"&gt;"&amp;0)+2,1)=L$1,L$1,""),"")</f>
        <v/>
      </c>
      <c r="M973" s="36" t="e" cm="1">
        <f t="array" ref="M973">IF(A973="","",_xlfn.XLOOKUP(D973&amp;"_"&amp;AE973,符文权重!A:A&amp;"_"&amp;符文权重!C:C,符文权重!D:D))</f>
        <v>#N/A</v>
      </c>
      <c r="N973" s="36"/>
      <c r="O973" s="36"/>
      <c r="P973" s="36"/>
      <c r="Q973" s="36"/>
      <c r="R973" s="36"/>
      <c r="S973" s="36" t="s">
        <v>175</v>
      </c>
      <c r="T973" s="36"/>
      <c r="U973" s="36" t="s">
        <v>426</v>
      </c>
      <c r="V973" s="25" t="s">
        <v>1381</v>
      </c>
      <c r="W973" s="36"/>
      <c r="X973" s="35" t="s">
        <v>1250</v>
      </c>
      <c r="Y973" s="35">
        <v>100</v>
      </c>
      <c r="Z973" s="35"/>
      <c r="AA973" s="36" t="s">
        <v>189</v>
      </c>
      <c r="AB973" s="36" t="s">
        <v>1382</v>
      </c>
      <c r="AC973" s="35">
        <v>5503031</v>
      </c>
      <c r="AD973" s="36" t="s">
        <v>497</v>
      </c>
      <c r="AE973" s="36">
        <v>100</v>
      </c>
      <c r="AF973" s="36"/>
      <c r="AG973" s="79">
        <v>1</v>
      </c>
      <c r="AH973" s="36">
        <v>0</v>
      </c>
      <c r="AI973" s="33"/>
      <c r="AJ973" s="37"/>
      <c r="AK973" s="35"/>
      <c r="AL973" s="35"/>
    </row>
    <row r="974" s="25" customFormat="1" hidden="1" customHeight="1" spans="1:38">
      <c r="A974" s="33">
        <v>5307203</v>
      </c>
      <c r="B974" s="34"/>
      <c r="C974" s="35">
        <v>5301203</v>
      </c>
      <c r="D974" s="36">
        <v>7</v>
      </c>
      <c r="E974" s="36"/>
      <c r="F974" s="36" t="s">
        <v>1374</v>
      </c>
      <c r="G974" s="36">
        <f t="shared" si="273"/>
        <v>1</v>
      </c>
      <c r="H974" s="36">
        <f>IFERROR(IF(--MID($F974,2*COUNTIF($G974:G974,"&gt;"&amp;0)+2,1)=H$1,H$1,""),"")</f>
        <v>2</v>
      </c>
      <c r="I974" s="36">
        <f>IFERROR(IF(--MID($F974,2*COUNTIF($G974:H974,"&gt;"&amp;0)+2,1)=I$1,I$1,""),"")</f>
        <v>3</v>
      </c>
      <c r="J974" s="36" t="str">
        <f>IFERROR(IF(--MID($F974,2*COUNTIF($G974:I974,"&gt;"&amp;0)+2,1)=J$1,J$1,""),"")</f>
        <v/>
      </c>
      <c r="K974" s="36" t="str">
        <f>IFERROR(IF(--MID($F974,2*COUNTIF($G974:J974,"&gt;"&amp;0)+2,1)=K$1,K$1,""),"")</f>
        <v/>
      </c>
      <c r="L974" s="36" t="str">
        <f>IFERROR(IF(--MID($F974,2*COUNTIF($G974:K974,"&gt;"&amp;0)+2,1)=L$1,L$1,""),"")</f>
        <v/>
      </c>
      <c r="M974" s="36" t="e" cm="1">
        <f t="array" ref="M974">IF(A974="","",_xlfn.XLOOKUP(D974&amp;"_"&amp;AE974,符文权重!A:A&amp;"_"&amp;符文权重!C:C,符文权重!D:D))</f>
        <v>#N/A</v>
      </c>
      <c r="N974" s="36"/>
      <c r="O974" s="36"/>
      <c r="P974" s="36"/>
      <c r="Q974" s="36"/>
      <c r="R974" s="36"/>
      <c r="S974" s="36" t="s">
        <v>175</v>
      </c>
      <c r="T974" s="36"/>
      <c r="U974" s="36" t="s">
        <v>429</v>
      </c>
      <c r="V974" s="25" t="s">
        <v>1383</v>
      </c>
      <c r="W974" s="36"/>
      <c r="X974" s="35" t="s">
        <v>1252</v>
      </c>
      <c r="Y974" s="35">
        <v>100</v>
      </c>
      <c r="Z974" s="35"/>
      <c r="AA974" s="36" t="s">
        <v>191</v>
      </c>
      <c r="AB974" s="80" t="s">
        <v>1384</v>
      </c>
      <c r="AC974" s="35">
        <v>5503031</v>
      </c>
      <c r="AD974" s="36" t="s">
        <v>596</v>
      </c>
      <c r="AE974" s="36">
        <v>100</v>
      </c>
      <c r="AF974" s="36"/>
      <c r="AG974" s="79">
        <v>1</v>
      </c>
      <c r="AH974" s="36">
        <v>0</v>
      </c>
      <c r="AI974" s="33"/>
      <c r="AJ974" s="37"/>
      <c r="AK974" s="35"/>
      <c r="AL974" s="35"/>
    </row>
    <row r="975" s="25" customFormat="1" hidden="1" customHeight="1" spans="1:38">
      <c r="A975" s="33">
        <v>5303204</v>
      </c>
      <c r="B975" s="34"/>
      <c r="C975" s="35">
        <v>5301204</v>
      </c>
      <c r="D975" s="36">
        <v>3</v>
      </c>
      <c r="E975" s="36"/>
      <c r="F975" s="36" t="s">
        <v>1385</v>
      </c>
      <c r="G975" s="36" t="str">
        <f t="shared" si="273"/>
        <v/>
      </c>
      <c r="H975" s="36" t="str">
        <f>IFERROR(IF(--MID($F975,2*COUNTIF($G975:G975,"&gt;"&amp;0)+2,1)=H$1,H$1,""),"")</f>
        <v/>
      </c>
      <c r="I975" s="36">
        <f>IFERROR(IF(--MID($F975,2*COUNTIF($G975:H975,"&gt;"&amp;0)+2,1)=I$1,I$1,""),"")</f>
        <v>3</v>
      </c>
      <c r="J975" s="36" t="str">
        <f>IFERROR(IF(--MID($F975,2*COUNTIF($G975:I975,"&gt;"&amp;0)+2,1)=J$1,J$1,""),"")</f>
        <v/>
      </c>
      <c r="K975" s="36">
        <f>IFERROR(IF(--MID($F975,2*COUNTIF($G975:J975,"&gt;"&amp;0)+2,1)=K$1,K$1,""),"")</f>
        <v>5</v>
      </c>
      <c r="L975" s="36">
        <f>IFERROR(IF(--MID($F975,2*COUNTIF($G975:K975,"&gt;"&amp;0)+2,1)=L$1,L$1,""),"")</f>
        <v>6</v>
      </c>
      <c r="M975" s="36" t="e" cm="1">
        <f t="array" ref="M975">IF(A975="","",_xlfn.XLOOKUP(D975&amp;"_"&amp;AE975,符文权重!A:A&amp;"_"&amp;符文权重!C:C,符文权重!D:D))</f>
        <v>#N/A</v>
      </c>
      <c r="N975" s="36"/>
      <c r="O975" s="36"/>
      <c r="P975" s="36"/>
      <c r="Q975" s="36"/>
      <c r="R975" s="36"/>
      <c r="S975" s="36" t="s">
        <v>175</v>
      </c>
      <c r="T975" s="36"/>
      <c r="U975" s="36" t="s">
        <v>417</v>
      </c>
      <c r="V975" s="25" t="s">
        <v>1386</v>
      </c>
      <c r="W975" s="36"/>
      <c r="X975" s="35" t="s">
        <v>1244</v>
      </c>
      <c r="Y975" s="35">
        <v>100</v>
      </c>
      <c r="Z975" s="35"/>
      <c r="AA975" s="36" t="s">
        <v>183</v>
      </c>
      <c r="AB975" s="36" t="s">
        <v>1387</v>
      </c>
      <c r="AC975" s="35">
        <v>5502021</v>
      </c>
      <c r="AD975" s="36" t="s">
        <v>428</v>
      </c>
      <c r="AE975" s="36">
        <v>100</v>
      </c>
      <c r="AF975" s="36"/>
      <c r="AG975" s="79">
        <v>1</v>
      </c>
      <c r="AH975" s="36">
        <v>0</v>
      </c>
      <c r="AI975" s="33"/>
      <c r="AJ975" s="37"/>
      <c r="AK975" s="35"/>
      <c r="AL975" s="35"/>
    </row>
    <row r="976" s="25" customFormat="1" hidden="1" customHeight="1" spans="1:38">
      <c r="A976" s="33">
        <v>5304204</v>
      </c>
      <c r="B976" s="34"/>
      <c r="C976" s="35">
        <v>5301204</v>
      </c>
      <c r="D976" s="36">
        <v>4</v>
      </c>
      <c r="E976" s="36"/>
      <c r="F976" s="36" t="s">
        <v>1385</v>
      </c>
      <c r="G976" s="36" t="str">
        <f t="shared" si="273"/>
        <v/>
      </c>
      <c r="H976" s="36" t="str">
        <f>IFERROR(IF(--MID($F976,2*COUNTIF($G976:G976,"&gt;"&amp;0)+2,1)=H$1,H$1,""),"")</f>
        <v/>
      </c>
      <c r="I976" s="36">
        <f>IFERROR(IF(--MID($F976,2*COUNTIF($G976:H976,"&gt;"&amp;0)+2,1)=I$1,I$1,""),"")</f>
        <v>3</v>
      </c>
      <c r="J976" s="36" t="str">
        <f>IFERROR(IF(--MID($F976,2*COUNTIF($G976:I976,"&gt;"&amp;0)+2,1)=J$1,J$1,""),"")</f>
        <v/>
      </c>
      <c r="K976" s="36">
        <f>IFERROR(IF(--MID($F976,2*COUNTIF($G976:J976,"&gt;"&amp;0)+2,1)=K$1,K$1,""),"")</f>
        <v>5</v>
      </c>
      <c r="L976" s="36">
        <f>IFERROR(IF(--MID($F976,2*COUNTIF($G976:K976,"&gt;"&amp;0)+2,1)=L$1,L$1,""),"")</f>
        <v>6</v>
      </c>
      <c r="M976" s="36" t="e" cm="1">
        <f t="array" ref="M976">IF(A976="","",_xlfn.XLOOKUP(D976&amp;"_"&amp;AE976,符文权重!A:A&amp;"_"&amp;符文权重!C:C,符文权重!D:D))</f>
        <v>#N/A</v>
      </c>
      <c r="N976" s="36"/>
      <c r="O976" s="36"/>
      <c r="P976" s="36"/>
      <c r="Q976" s="36"/>
      <c r="R976" s="36"/>
      <c r="S976" s="36" t="s">
        <v>175</v>
      </c>
      <c r="T976" s="36"/>
      <c r="U976" s="36" t="s">
        <v>420</v>
      </c>
      <c r="V976" s="25" t="s">
        <v>1388</v>
      </c>
      <c r="W976" s="36"/>
      <c r="X976" s="35" t="s">
        <v>1246</v>
      </c>
      <c r="Y976" s="35">
        <v>100</v>
      </c>
      <c r="Z976" s="35"/>
      <c r="AA976" s="36" t="s">
        <v>185</v>
      </c>
      <c r="AB976" s="36" t="s">
        <v>1389</v>
      </c>
      <c r="AC976" s="35">
        <v>5502021</v>
      </c>
      <c r="AD976" s="36" t="s">
        <v>431</v>
      </c>
      <c r="AE976" s="36">
        <v>100</v>
      </c>
      <c r="AF976" s="36"/>
      <c r="AG976" s="79">
        <v>1</v>
      </c>
      <c r="AH976" s="36">
        <v>0</v>
      </c>
      <c r="AI976" s="33"/>
      <c r="AJ976" s="37"/>
      <c r="AK976" s="35"/>
      <c r="AL976" s="35"/>
    </row>
    <row r="977" s="25" customFormat="1" hidden="1" customHeight="1" spans="1:38">
      <c r="A977" s="33">
        <v>5305204</v>
      </c>
      <c r="B977" s="34"/>
      <c r="C977" s="35">
        <v>5301204</v>
      </c>
      <c r="D977" s="36">
        <v>5</v>
      </c>
      <c r="E977" s="36"/>
      <c r="F977" s="36" t="s">
        <v>1385</v>
      </c>
      <c r="G977" s="36" t="str">
        <f t="shared" si="273"/>
        <v/>
      </c>
      <c r="H977" s="36" t="str">
        <f>IFERROR(IF(--MID($F977,2*COUNTIF($G977:G977,"&gt;"&amp;0)+2,1)=H$1,H$1,""),"")</f>
        <v/>
      </c>
      <c r="I977" s="36">
        <f>IFERROR(IF(--MID($F977,2*COUNTIF($G977:H977,"&gt;"&amp;0)+2,1)=I$1,I$1,""),"")</f>
        <v>3</v>
      </c>
      <c r="J977" s="36" t="str">
        <f>IFERROR(IF(--MID($F977,2*COUNTIF($G977:I977,"&gt;"&amp;0)+2,1)=J$1,J$1,""),"")</f>
        <v/>
      </c>
      <c r="K977" s="36">
        <f>IFERROR(IF(--MID($F977,2*COUNTIF($G977:J977,"&gt;"&amp;0)+2,1)=K$1,K$1,""),"")</f>
        <v>5</v>
      </c>
      <c r="L977" s="36">
        <f>IFERROR(IF(--MID($F977,2*COUNTIF($G977:K977,"&gt;"&amp;0)+2,1)=L$1,L$1,""),"")</f>
        <v>6</v>
      </c>
      <c r="M977" s="36" t="e" cm="1">
        <f t="array" ref="M977">IF(A977="","",_xlfn.XLOOKUP(D977&amp;"_"&amp;AE977,符文权重!A:A&amp;"_"&amp;符文权重!C:C,符文权重!D:D))</f>
        <v>#N/A</v>
      </c>
      <c r="N977" s="36"/>
      <c r="O977" s="36"/>
      <c r="P977" s="36"/>
      <c r="Q977" s="36"/>
      <c r="R977" s="36"/>
      <c r="S977" s="36" t="s">
        <v>175</v>
      </c>
      <c r="T977" s="36"/>
      <c r="U977" s="36" t="s">
        <v>423</v>
      </c>
      <c r="V977" s="25" t="s">
        <v>1390</v>
      </c>
      <c r="W977" s="36"/>
      <c r="X977" s="35" t="s">
        <v>1248</v>
      </c>
      <c r="Y977" s="35">
        <v>100</v>
      </c>
      <c r="Z977" s="35"/>
      <c r="AA977" s="36" t="s">
        <v>187</v>
      </c>
      <c r="AB977" s="36" t="s">
        <v>1391</v>
      </c>
      <c r="AC977" s="35">
        <v>5502021</v>
      </c>
      <c r="AD977" s="36" t="s">
        <v>472</v>
      </c>
      <c r="AE977" s="36">
        <v>100</v>
      </c>
      <c r="AF977" s="36"/>
      <c r="AG977" s="79">
        <v>1</v>
      </c>
      <c r="AH977" s="36">
        <v>0</v>
      </c>
      <c r="AI977" s="33"/>
      <c r="AJ977" s="37"/>
      <c r="AK977" s="35"/>
      <c r="AL977" s="35"/>
    </row>
    <row r="978" s="25" customFormat="1" hidden="1" customHeight="1" spans="1:38">
      <c r="A978" s="33">
        <v>5306204</v>
      </c>
      <c r="B978" s="34"/>
      <c r="C978" s="35">
        <v>5301204</v>
      </c>
      <c r="D978" s="36">
        <v>6</v>
      </c>
      <c r="E978" s="36"/>
      <c r="F978" s="36" t="s">
        <v>1385</v>
      </c>
      <c r="G978" s="36" t="str">
        <f t="shared" si="273"/>
        <v/>
      </c>
      <c r="H978" s="36" t="str">
        <f>IFERROR(IF(--MID($F978,2*COUNTIF($G978:G978,"&gt;"&amp;0)+2,1)=H$1,H$1,""),"")</f>
        <v/>
      </c>
      <c r="I978" s="36">
        <f>IFERROR(IF(--MID($F978,2*COUNTIF($G978:H978,"&gt;"&amp;0)+2,1)=I$1,I$1,""),"")</f>
        <v>3</v>
      </c>
      <c r="J978" s="36" t="str">
        <f>IFERROR(IF(--MID($F978,2*COUNTIF($G978:I978,"&gt;"&amp;0)+2,1)=J$1,J$1,""),"")</f>
        <v/>
      </c>
      <c r="K978" s="36">
        <f>IFERROR(IF(--MID($F978,2*COUNTIF($G978:J978,"&gt;"&amp;0)+2,1)=K$1,K$1,""),"")</f>
        <v>5</v>
      </c>
      <c r="L978" s="36">
        <f>IFERROR(IF(--MID($F978,2*COUNTIF($G978:K978,"&gt;"&amp;0)+2,1)=L$1,L$1,""),"")</f>
        <v>6</v>
      </c>
      <c r="M978" s="36" t="e" cm="1">
        <f t="array" ref="M978">IF(A978="","",_xlfn.XLOOKUP(D978&amp;"_"&amp;AE978,符文权重!A:A&amp;"_"&amp;符文权重!C:C,符文权重!D:D))</f>
        <v>#N/A</v>
      </c>
      <c r="N978" s="36"/>
      <c r="O978" s="36"/>
      <c r="P978" s="36"/>
      <c r="Q978" s="36"/>
      <c r="R978" s="36"/>
      <c r="S978" s="36" t="s">
        <v>175</v>
      </c>
      <c r="T978" s="36"/>
      <c r="U978" s="36" t="s">
        <v>426</v>
      </c>
      <c r="V978" s="25" t="s">
        <v>1392</v>
      </c>
      <c r="W978" s="36"/>
      <c r="X978" s="35" t="s">
        <v>1250</v>
      </c>
      <c r="Y978" s="35">
        <v>100</v>
      </c>
      <c r="Z978" s="35"/>
      <c r="AA978" s="36" t="s">
        <v>189</v>
      </c>
      <c r="AB978" s="36" t="s">
        <v>1393</v>
      </c>
      <c r="AC978" s="35">
        <v>5502021</v>
      </c>
      <c r="AD978" s="36" t="s">
        <v>497</v>
      </c>
      <c r="AE978" s="36">
        <v>100</v>
      </c>
      <c r="AF978" s="36"/>
      <c r="AG978" s="79">
        <v>1</v>
      </c>
      <c r="AH978" s="36">
        <v>0</v>
      </c>
      <c r="AI978" s="33"/>
      <c r="AJ978" s="37"/>
      <c r="AK978" s="35"/>
      <c r="AL978" s="35"/>
    </row>
    <row r="979" s="25" customFormat="1" hidden="1" customHeight="1" spans="1:38">
      <c r="A979" s="33">
        <v>5307204</v>
      </c>
      <c r="B979" s="34"/>
      <c r="C979" s="35">
        <v>5301204</v>
      </c>
      <c r="D979" s="36">
        <v>7</v>
      </c>
      <c r="E979" s="36"/>
      <c r="F979" s="36" t="s">
        <v>1385</v>
      </c>
      <c r="G979" s="36" t="str">
        <f t="shared" si="273"/>
        <v/>
      </c>
      <c r="H979" s="36" t="str">
        <f>IFERROR(IF(--MID($F979,2*COUNTIF($G979:G979,"&gt;"&amp;0)+2,1)=H$1,H$1,""),"")</f>
        <v/>
      </c>
      <c r="I979" s="36">
        <f>IFERROR(IF(--MID($F979,2*COUNTIF($G979:H979,"&gt;"&amp;0)+2,1)=I$1,I$1,""),"")</f>
        <v>3</v>
      </c>
      <c r="J979" s="36" t="str">
        <f>IFERROR(IF(--MID($F979,2*COUNTIF($G979:I979,"&gt;"&amp;0)+2,1)=J$1,J$1,""),"")</f>
        <v/>
      </c>
      <c r="K979" s="36">
        <f>IFERROR(IF(--MID($F979,2*COUNTIF($G979:J979,"&gt;"&amp;0)+2,1)=K$1,K$1,""),"")</f>
        <v>5</v>
      </c>
      <c r="L979" s="36">
        <f>IFERROR(IF(--MID($F979,2*COUNTIF($G979:K979,"&gt;"&amp;0)+2,1)=L$1,L$1,""),"")</f>
        <v>6</v>
      </c>
      <c r="M979" s="36" t="e" cm="1">
        <f t="array" ref="M979">IF(A979="","",_xlfn.XLOOKUP(D979&amp;"_"&amp;AE979,符文权重!A:A&amp;"_"&amp;符文权重!C:C,符文权重!D:D))</f>
        <v>#N/A</v>
      </c>
      <c r="N979" s="36"/>
      <c r="O979" s="36"/>
      <c r="P979" s="36"/>
      <c r="Q979" s="36"/>
      <c r="R979" s="36"/>
      <c r="S979" s="36" t="s">
        <v>175</v>
      </c>
      <c r="T979" s="36"/>
      <c r="U979" s="36" t="s">
        <v>429</v>
      </c>
      <c r="V979" s="25" t="s">
        <v>1394</v>
      </c>
      <c r="W979" s="36"/>
      <c r="X979" s="35" t="s">
        <v>1252</v>
      </c>
      <c r="Y979" s="35">
        <v>100</v>
      </c>
      <c r="Z979" s="35"/>
      <c r="AA979" s="36" t="s">
        <v>191</v>
      </c>
      <c r="AB979" s="36" t="s">
        <v>1395</v>
      </c>
      <c r="AC979" s="35">
        <v>5502021</v>
      </c>
      <c r="AD979" s="36" t="s">
        <v>596</v>
      </c>
      <c r="AE979" s="36">
        <v>100</v>
      </c>
      <c r="AF979" s="36"/>
      <c r="AG979" s="79">
        <v>1</v>
      </c>
      <c r="AH979" s="36">
        <v>0</v>
      </c>
      <c r="AI979" s="33"/>
      <c r="AJ979" s="37"/>
      <c r="AK979" s="35"/>
      <c r="AL979" s="35"/>
    </row>
    <row r="980" s="25" customFormat="1" hidden="1" customHeight="1" spans="1:38">
      <c r="A980" s="33">
        <v>5302205</v>
      </c>
      <c r="B980" s="34"/>
      <c r="C980" s="35">
        <v>5301205</v>
      </c>
      <c r="D980" s="36">
        <v>2</v>
      </c>
      <c r="E980" s="36"/>
      <c r="F980" s="36" t="s">
        <v>174</v>
      </c>
      <c r="G980" s="36">
        <f t="shared" ref="G980:G1043" si="274">IF(LEFT(F980,2)="[1",1,"")</f>
        <v>1</v>
      </c>
      <c r="H980" s="36">
        <f>IFERROR(IF(--MID($F980,2*COUNTIF($G980:G980,"&gt;"&amp;0)+2,1)=H$1,H$1,""),"")</f>
        <v>2</v>
      </c>
      <c r="I980" s="36">
        <f>IFERROR(IF(--MID($F980,2*COUNTIF($G980:H980,"&gt;"&amp;0)+2,1)=I$1,I$1,""),"")</f>
        <v>3</v>
      </c>
      <c r="J980" s="36">
        <f>IFERROR(IF(--MID($F980,2*COUNTIF($G980:I980,"&gt;"&amp;0)+2,1)=J$1,J$1,""),"")</f>
        <v>4</v>
      </c>
      <c r="K980" s="36">
        <f>IFERROR(IF(--MID($F980,2*COUNTIF($G980:J980,"&gt;"&amp;0)+2,1)=K$1,K$1,""),"")</f>
        <v>5</v>
      </c>
      <c r="L980" s="36">
        <f>IFERROR(IF(--MID($F980,2*COUNTIF($G980:K980,"&gt;"&amp;0)+2,1)=L$1,L$1,""),"")</f>
        <v>6</v>
      </c>
      <c r="M980" s="36" t="e" cm="1">
        <f t="array" ref="M980">IF(A980="","",_xlfn.XLOOKUP(D980&amp;"_"&amp;AE980,符文权重!A:A&amp;"_"&amp;符文权重!C:C,符文权重!D:D))</f>
        <v>#N/A</v>
      </c>
      <c r="N980" s="36"/>
      <c r="O980" s="36"/>
      <c r="P980" s="36"/>
      <c r="Q980" s="36"/>
      <c r="R980" s="36"/>
      <c r="S980" s="36" t="s">
        <v>344</v>
      </c>
      <c r="T980" s="36"/>
      <c r="U980" s="36" t="s">
        <v>415</v>
      </c>
      <c r="V980" s="25" t="s">
        <v>1396</v>
      </c>
      <c r="W980" s="36"/>
      <c r="X980" s="35"/>
      <c r="Y980" s="35">
        <v>100</v>
      </c>
      <c r="Z980" s="35"/>
      <c r="AA980" s="36" t="s">
        <v>181</v>
      </c>
      <c r="AB980" s="36" t="s">
        <v>1397</v>
      </c>
      <c r="AC980" s="35">
        <v>5502031</v>
      </c>
      <c r="AD980" s="36" t="s">
        <v>202</v>
      </c>
      <c r="AE980" s="36">
        <v>100</v>
      </c>
      <c r="AF980" s="36"/>
      <c r="AG980" s="79">
        <v>1</v>
      </c>
      <c r="AH980" s="36">
        <v>0</v>
      </c>
      <c r="AL980" s="35"/>
    </row>
    <row r="981" s="25" customFormat="1" hidden="1" customHeight="1" spans="1:38">
      <c r="A981" s="33">
        <v>5303205</v>
      </c>
      <c r="B981" s="34"/>
      <c r="C981" s="35">
        <v>5301205</v>
      </c>
      <c r="D981" s="36">
        <v>3</v>
      </c>
      <c r="E981" s="36"/>
      <c r="F981" s="36" t="s">
        <v>174</v>
      </c>
      <c r="G981" s="36">
        <f t="shared" si="274"/>
        <v>1</v>
      </c>
      <c r="H981" s="36">
        <f>IFERROR(IF(--MID($F981,2*COUNTIF($G981:G981,"&gt;"&amp;0)+2,1)=H$1,H$1,""),"")</f>
        <v>2</v>
      </c>
      <c r="I981" s="36">
        <f>IFERROR(IF(--MID($F981,2*COUNTIF($G981:H981,"&gt;"&amp;0)+2,1)=I$1,I$1,""),"")</f>
        <v>3</v>
      </c>
      <c r="J981" s="36">
        <f>IFERROR(IF(--MID($F981,2*COUNTIF($G981:I981,"&gt;"&amp;0)+2,1)=J$1,J$1,""),"")</f>
        <v>4</v>
      </c>
      <c r="K981" s="36">
        <f>IFERROR(IF(--MID($F981,2*COUNTIF($G981:J981,"&gt;"&amp;0)+2,1)=K$1,K$1,""),"")</f>
        <v>5</v>
      </c>
      <c r="L981" s="36">
        <f>IFERROR(IF(--MID($F981,2*COUNTIF($G981:K981,"&gt;"&amp;0)+2,1)=L$1,L$1,""),"")</f>
        <v>6</v>
      </c>
      <c r="M981" s="36" t="e" cm="1">
        <f t="array" ref="M981">IF(A981="","",_xlfn.XLOOKUP(D981&amp;"_"&amp;AE981,符文权重!A:A&amp;"_"&amp;符文权重!C:C,符文权重!D:D))</f>
        <v>#N/A</v>
      </c>
      <c r="N981" s="36"/>
      <c r="O981" s="36"/>
      <c r="P981" s="36"/>
      <c r="Q981" s="36"/>
      <c r="R981" s="36"/>
      <c r="S981" s="36" t="s">
        <v>344</v>
      </c>
      <c r="T981" s="36"/>
      <c r="U981" s="36" t="s">
        <v>417</v>
      </c>
      <c r="V981" s="25" t="s">
        <v>1398</v>
      </c>
      <c r="W981" s="36"/>
      <c r="X981" s="35"/>
      <c r="Y981" s="35">
        <v>100</v>
      </c>
      <c r="Z981" s="35"/>
      <c r="AA981" s="36" t="s">
        <v>183</v>
      </c>
      <c r="AB981" s="36" t="s">
        <v>1399</v>
      </c>
      <c r="AC981" s="35">
        <v>5502031</v>
      </c>
      <c r="AD981" s="36" t="s">
        <v>193</v>
      </c>
      <c r="AE981" s="36">
        <v>100</v>
      </c>
      <c r="AF981" s="36"/>
      <c r="AG981" s="79">
        <v>1</v>
      </c>
      <c r="AH981" s="36">
        <v>0</v>
      </c>
      <c r="AL981" s="35"/>
    </row>
    <row r="982" s="25" customFormat="1" hidden="1" customHeight="1" spans="1:38">
      <c r="A982" s="33">
        <v>5304205</v>
      </c>
      <c r="B982" s="34"/>
      <c r="C982" s="35">
        <v>5301205</v>
      </c>
      <c r="D982" s="36">
        <v>4</v>
      </c>
      <c r="E982" s="36"/>
      <c r="F982" s="36" t="s">
        <v>174</v>
      </c>
      <c r="G982" s="36">
        <f t="shared" si="274"/>
        <v>1</v>
      </c>
      <c r="H982" s="36">
        <f>IFERROR(IF(--MID($F982,2*COUNTIF($G982:G982,"&gt;"&amp;0)+2,1)=H$1,H$1,""),"")</f>
        <v>2</v>
      </c>
      <c r="I982" s="36">
        <f>IFERROR(IF(--MID($F982,2*COUNTIF($G982:H982,"&gt;"&amp;0)+2,1)=I$1,I$1,""),"")</f>
        <v>3</v>
      </c>
      <c r="J982" s="36">
        <f>IFERROR(IF(--MID($F982,2*COUNTIF($G982:I982,"&gt;"&amp;0)+2,1)=J$1,J$1,""),"")</f>
        <v>4</v>
      </c>
      <c r="K982" s="36">
        <f>IFERROR(IF(--MID($F982,2*COUNTIF($G982:J982,"&gt;"&amp;0)+2,1)=K$1,K$1,""),"")</f>
        <v>5</v>
      </c>
      <c r="L982" s="36">
        <f>IFERROR(IF(--MID($F982,2*COUNTIF($G982:K982,"&gt;"&amp;0)+2,1)=L$1,L$1,""),"")</f>
        <v>6</v>
      </c>
      <c r="M982" s="36" t="e" cm="1">
        <f t="array" ref="M982">IF(A982="","",_xlfn.XLOOKUP(D982&amp;"_"&amp;AE982,符文权重!A:A&amp;"_"&amp;符文权重!C:C,符文权重!D:D))</f>
        <v>#N/A</v>
      </c>
      <c r="N982" s="36"/>
      <c r="O982" s="36"/>
      <c r="P982" s="36"/>
      <c r="Q982" s="36"/>
      <c r="R982" s="36"/>
      <c r="S982" s="36" t="s">
        <v>344</v>
      </c>
      <c r="T982" s="36"/>
      <c r="U982" s="36" t="s">
        <v>420</v>
      </c>
      <c r="V982" s="25" t="s">
        <v>1400</v>
      </c>
      <c r="W982" s="36"/>
      <c r="X982" s="35"/>
      <c r="Y982" s="35">
        <v>100</v>
      </c>
      <c r="Z982" s="35"/>
      <c r="AA982" s="36" t="s">
        <v>185</v>
      </c>
      <c r="AB982" s="36" t="s">
        <v>1401</v>
      </c>
      <c r="AC982" s="35">
        <v>5502031</v>
      </c>
      <c r="AD982" s="36" t="s">
        <v>230</v>
      </c>
      <c r="AE982" s="36">
        <v>100</v>
      </c>
      <c r="AF982" s="36"/>
      <c r="AG982" s="79">
        <v>1</v>
      </c>
      <c r="AH982" s="36">
        <v>0</v>
      </c>
      <c r="AL982" s="35"/>
    </row>
    <row r="983" s="25" customFormat="1" hidden="1" customHeight="1" spans="1:38">
      <c r="A983" s="33">
        <v>5305205</v>
      </c>
      <c r="B983" s="34"/>
      <c r="C983" s="35">
        <v>5301205</v>
      </c>
      <c r="D983" s="36">
        <v>5</v>
      </c>
      <c r="E983" s="36"/>
      <c r="F983" s="36" t="s">
        <v>174</v>
      </c>
      <c r="G983" s="36">
        <f t="shared" si="274"/>
        <v>1</v>
      </c>
      <c r="H983" s="36">
        <f>IFERROR(IF(--MID($F983,2*COUNTIF($G983:G983,"&gt;"&amp;0)+2,1)=H$1,H$1,""),"")</f>
        <v>2</v>
      </c>
      <c r="I983" s="36">
        <f>IFERROR(IF(--MID($F983,2*COUNTIF($G983:H983,"&gt;"&amp;0)+2,1)=I$1,I$1,""),"")</f>
        <v>3</v>
      </c>
      <c r="J983" s="36">
        <f>IFERROR(IF(--MID($F983,2*COUNTIF($G983:I983,"&gt;"&amp;0)+2,1)=J$1,J$1,""),"")</f>
        <v>4</v>
      </c>
      <c r="K983" s="36">
        <f>IFERROR(IF(--MID($F983,2*COUNTIF($G983:J983,"&gt;"&amp;0)+2,1)=K$1,K$1,""),"")</f>
        <v>5</v>
      </c>
      <c r="L983" s="36">
        <f>IFERROR(IF(--MID($F983,2*COUNTIF($G983:K983,"&gt;"&amp;0)+2,1)=L$1,L$1,""),"")</f>
        <v>6</v>
      </c>
      <c r="M983" s="36" t="e" cm="1">
        <f t="array" ref="M983">IF(A983="","",_xlfn.XLOOKUP(D983&amp;"_"&amp;AE983,符文权重!A:A&amp;"_"&amp;符文权重!C:C,符文权重!D:D))</f>
        <v>#N/A</v>
      </c>
      <c r="N983" s="36"/>
      <c r="O983" s="36"/>
      <c r="P983" s="36"/>
      <c r="Q983" s="36"/>
      <c r="R983" s="36"/>
      <c r="S983" s="36" t="s">
        <v>344</v>
      </c>
      <c r="T983" s="36"/>
      <c r="U983" s="36" t="s">
        <v>423</v>
      </c>
      <c r="V983" s="25" t="s">
        <v>1402</v>
      </c>
      <c r="W983" s="36"/>
      <c r="X983" s="35"/>
      <c r="Y983" s="35">
        <v>100</v>
      </c>
      <c r="Z983" s="35"/>
      <c r="AA983" s="36" t="s">
        <v>187</v>
      </c>
      <c r="AB983" s="36" t="s">
        <v>1403</v>
      </c>
      <c r="AC983" s="35">
        <v>5502031</v>
      </c>
      <c r="AD983" s="36" t="s">
        <v>220</v>
      </c>
      <c r="AE983" s="36">
        <v>100</v>
      </c>
      <c r="AF983" s="36"/>
      <c r="AG983" s="79">
        <v>1</v>
      </c>
      <c r="AH983" s="36">
        <v>0</v>
      </c>
      <c r="AL983" s="35"/>
    </row>
    <row r="984" s="25" customFormat="1" hidden="1" customHeight="1" spans="1:38">
      <c r="A984" s="33">
        <v>5306205</v>
      </c>
      <c r="B984" s="34"/>
      <c r="C984" s="35">
        <v>5301205</v>
      </c>
      <c r="D984" s="36">
        <v>6</v>
      </c>
      <c r="E984" s="36"/>
      <c r="F984" s="36" t="s">
        <v>174</v>
      </c>
      <c r="G984" s="36">
        <f t="shared" si="274"/>
        <v>1</v>
      </c>
      <c r="H984" s="36">
        <f>IFERROR(IF(--MID($F984,2*COUNTIF($G984:G984,"&gt;"&amp;0)+2,1)=H$1,H$1,""),"")</f>
        <v>2</v>
      </c>
      <c r="I984" s="36">
        <f>IFERROR(IF(--MID($F984,2*COUNTIF($G984:H984,"&gt;"&amp;0)+2,1)=I$1,I$1,""),"")</f>
        <v>3</v>
      </c>
      <c r="J984" s="36">
        <f>IFERROR(IF(--MID($F984,2*COUNTIF($G984:I984,"&gt;"&amp;0)+2,1)=J$1,J$1,""),"")</f>
        <v>4</v>
      </c>
      <c r="K984" s="36">
        <f>IFERROR(IF(--MID($F984,2*COUNTIF($G984:J984,"&gt;"&amp;0)+2,1)=K$1,K$1,""),"")</f>
        <v>5</v>
      </c>
      <c r="L984" s="36">
        <f>IFERROR(IF(--MID($F984,2*COUNTIF($G984:K984,"&gt;"&amp;0)+2,1)=L$1,L$1,""),"")</f>
        <v>6</v>
      </c>
      <c r="M984" s="36" t="e" cm="1">
        <f t="array" ref="M984">IF(A984="","",_xlfn.XLOOKUP(D984&amp;"_"&amp;AE984,符文权重!A:A&amp;"_"&amp;符文权重!C:C,符文权重!D:D))</f>
        <v>#N/A</v>
      </c>
      <c r="N984" s="36"/>
      <c r="O984" s="36"/>
      <c r="P984" s="36"/>
      <c r="Q984" s="36"/>
      <c r="R984" s="36"/>
      <c r="S984" s="36" t="s">
        <v>344</v>
      </c>
      <c r="T984" s="36"/>
      <c r="U984" s="36" t="s">
        <v>426</v>
      </c>
      <c r="V984" s="25" t="s">
        <v>1404</v>
      </c>
      <c r="W984" s="36"/>
      <c r="X984" s="35"/>
      <c r="Y984" s="35">
        <v>100</v>
      </c>
      <c r="Z984" s="35"/>
      <c r="AA984" s="36" t="s">
        <v>189</v>
      </c>
      <c r="AB984" s="36" t="s">
        <v>1405</v>
      </c>
      <c r="AC984" s="35">
        <v>5502031</v>
      </c>
      <c r="AD984" s="36" t="s">
        <v>239</v>
      </c>
      <c r="AE984" s="36">
        <v>100</v>
      </c>
      <c r="AF984" s="36"/>
      <c r="AG984" s="79">
        <v>1</v>
      </c>
      <c r="AH984" s="36">
        <v>0</v>
      </c>
      <c r="AL984" s="35"/>
    </row>
    <row r="985" s="25" customFormat="1" hidden="1" customHeight="1" spans="1:38">
      <c r="A985" s="33">
        <v>5307205</v>
      </c>
      <c r="B985" s="34"/>
      <c r="C985" s="35">
        <v>5301205</v>
      </c>
      <c r="D985" s="36">
        <v>7</v>
      </c>
      <c r="E985" s="36"/>
      <c r="F985" s="36" t="s">
        <v>174</v>
      </c>
      <c r="G985" s="36">
        <f t="shared" si="274"/>
        <v>1</v>
      </c>
      <c r="H985" s="36">
        <f>IFERROR(IF(--MID($F985,2*COUNTIF($G985:G985,"&gt;"&amp;0)+2,1)=H$1,H$1,""),"")</f>
        <v>2</v>
      </c>
      <c r="I985" s="36">
        <f>IFERROR(IF(--MID($F985,2*COUNTIF($G985:H985,"&gt;"&amp;0)+2,1)=I$1,I$1,""),"")</f>
        <v>3</v>
      </c>
      <c r="J985" s="36">
        <f>IFERROR(IF(--MID($F985,2*COUNTIF($G985:I985,"&gt;"&amp;0)+2,1)=J$1,J$1,""),"")</f>
        <v>4</v>
      </c>
      <c r="K985" s="36">
        <f>IFERROR(IF(--MID($F985,2*COUNTIF($G985:J985,"&gt;"&amp;0)+2,1)=K$1,K$1,""),"")</f>
        <v>5</v>
      </c>
      <c r="L985" s="36">
        <f>IFERROR(IF(--MID($F985,2*COUNTIF($G985:K985,"&gt;"&amp;0)+2,1)=L$1,L$1,""),"")</f>
        <v>6</v>
      </c>
      <c r="M985" s="36" t="e" cm="1">
        <f t="array" ref="M985">IF(A985="","",_xlfn.XLOOKUP(D985&amp;"_"&amp;AE985,符文权重!A:A&amp;"_"&amp;符文权重!C:C,符文权重!D:D))</f>
        <v>#N/A</v>
      </c>
      <c r="N985" s="36"/>
      <c r="O985" s="36"/>
      <c r="P985" s="36"/>
      <c r="Q985" s="36"/>
      <c r="R985" s="36"/>
      <c r="S985" s="36" t="s">
        <v>344</v>
      </c>
      <c r="T985" s="36"/>
      <c r="U985" s="36" t="s">
        <v>429</v>
      </c>
      <c r="V985" s="25" t="s">
        <v>1406</v>
      </c>
      <c r="W985" s="36"/>
      <c r="X985" s="35"/>
      <c r="Y985" s="35">
        <v>100</v>
      </c>
      <c r="Z985" s="35"/>
      <c r="AA985" s="36" t="s">
        <v>191</v>
      </c>
      <c r="AB985" s="36" t="s">
        <v>1407</v>
      </c>
      <c r="AC985" s="35">
        <v>5502031</v>
      </c>
      <c r="AD985" s="36" t="s">
        <v>419</v>
      </c>
      <c r="AE985" s="36">
        <v>100</v>
      </c>
      <c r="AF985" s="36"/>
      <c r="AG985" s="79">
        <v>1</v>
      </c>
      <c r="AH985" s="36">
        <v>0</v>
      </c>
      <c r="AL985" s="35"/>
    </row>
    <row r="986" s="25" customFormat="1" hidden="1" customHeight="1" spans="1:38">
      <c r="A986" s="33">
        <v>53022051</v>
      </c>
      <c r="B986" s="34"/>
      <c r="C986" s="35">
        <v>5301205</v>
      </c>
      <c r="D986" s="36">
        <v>2</v>
      </c>
      <c r="E986" s="36"/>
      <c r="F986" s="36" t="s">
        <v>174</v>
      </c>
      <c r="G986" s="36">
        <f t="shared" si="274"/>
        <v>1</v>
      </c>
      <c r="H986" s="36">
        <f>IFERROR(IF(--MID($F986,2*COUNTIF($G986:G986,"&gt;"&amp;0)+2,1)=H$1,H$1,""),"")</f>
        <v>2</v>
      </c>
      <c r="I986" s="36">
        <f>IFERROR(IF(--MID($F986,2*COUNTIF($G986:H986,"&gt;"&amp;0)+2,1)=I$1,I$1,""),"")</f>
        <v>3</v>
      </c>
      <c r="J986" s="36">
        <f>IFERROR(IF(--MID($F986,2*COUNTIF($G986:I986,"&gt;"&amp;0)+2,1)=J$1,J$1,""),"")</f>
        <v>4</v>
      </c>
      <c r="K986" s="36">
        <f>IFERROR(IF(--MID($F986,2*COUNTIF($G986:J986,"&gt;"&amp;0)+2,1)=K$1,K$1,""),"")</f>
        <v>5</v>
      </c>
      <c r="L986" s="36">
        <f>IFERROR(IF(--MID($F986,2*COUNTIF($G986:K986,"&gt;"&amp;0)+2,1)=L$1,L$1,""),"")</f>
        <v>6</v>
      </c>
      <c r="M986" s="36" t="e" cm="1">
        <f t="array" ref="M986">IF(A986="","",_xlfn.XLOOKUP(D986&amp;"_"&amp;AE986,符文权重!A:A&amp;"_"&amp;符文权重!C:C,符文权重!D:D))</f>
        <v>#N/A</v>
      </c>
      <c r="N986" s="36"/>
      <c r="O986" s="36"/>
      <c r="P986" s="36"/>
      <c r="Q986" s="36"/>
      <c r="R986" s="36"/>
      <c r="S986" s="36" t="s">
        <v>344</v>
      </c>
      <c r="T986" s="36"/>
      <c r="U986" s="36" t="s">
        <v>415</v>
      </c>
      <c r="V986" s="25" t="s">
        <v>1396</v>
      </c>
      <c r="W986" s="36"/>
      <c r="X986" s="35"/>
      <c r="Y986" s="35">
        <v>100</v>
      </c>
      <c r="Z986" s="35"/>
      <c r="AA986" s="36" t="s">
        <v>181</v>
      </c>
      <c r="AB986" s="36" t="s">
        <v>1397</v>
      </c>
      <c r="AC986" s="35">
        <v>5502031</v>
      </c>
      <c r="AD986" s="36" t="s">
        <v>202</v>
      </c>
      <c r="AE986" s="36">
        <v>100</v>
      </c>
      <c r="AF986" s="36"/>
      <c r="AG986" s="79">
        <v>1</v>
      </c>
      <c r="AH986" s="36">
        <v>0</v>
      </c>
      <c r="AL986" s="35"/>
    </row>
    <row r="987" s="25" customFormat="1" hidden="1" customHeight="1" spans="1:38">
      <c r="A987" s="33">
        <v>53032051</v>
      </c>
      <c r="B987" s="34"/>
      <c r="C987" s="35">
        <v>5301205</v>
      </c>
      <c r="D987" s="36">
        <v>3</v>
      </c>
      <c r="E987" s="36"/>
      <c r="F987" s="36" t="s">
        <v>174</v>
      </c>
      <c r="G987" s="36">
        <f t="shared" si="274"/>
        <v>1</v>
      </c>
      <c r="H987" s="36">
        <f>IFERROR(IF(--MID($F987,2*COUNTIF($G987:G987,"&gt;"&amp;0)+2,1)=H$1,H$1,""),"")</f>
        <v>2</v>
      </c>
      <c r="I987" s="36">
        <f>IFERROR(IF(--MID($F987,2*COUNTIF($G987:H987,"&gt;"&amp;0)+2,1)=I$1,I$1,""),"")</f>
        <v>3</v>
      </c>
      <c r="J987" s="36">
        <f>IFERROR(IF(--MID($F987,2*COUNTIF($G987:I987,"&gt;"&amp;0)+2,1)=J$1,J$1,""),"")</f>
        <v>4</v>
      </c>
      <c r="K987" s="36">
        <f>IFERROR(IF(--MID($F987,2*COUNTIF($G987:J987,"&gt;"&amp;0)+2,1)=K$1,K$1,""),"")</f>
        <v>5</v>
      </c>
      <c r="L987" s="36">
        <f>IFERROR(IF(--MID($F987,2*COUNTIF($G987:K987,"&gt;"&amp;0)+2,1)=L$1,L$1,""),"")</f>
        <v>6</v>
      </c>
      <c r="M987" s="36" t="e" cm="1">
        <f t="array" ref="M987">IF(A987="","",_xlfn.XLOOKUP(D987&amp;"_"&amp;AE987,符文权重!A:A&amp;"_"&amp;符文权重!C:C,符文权重!D:D))</f>
        <v>#N/A</v>
      </c>
      <c r="N987" s="36"/>
      <c r="O987" s="36"/>
      <c r="P987" s="36"/>
      <c r="Q987" s="36"/>
      <c r="R987" s="36"/>
      <c r="S987" s="36" t="s">
        <v>344</v>
      </c>
      <c r="T987" s="36"/>
      <c r="U987" s="36" t="s">
        <v>417</v>
      </c>
      <c r="V987" s="25" t="s">
        <v>1398</v>
      </c>
      <c r="W987" s="36"/>
      <c r="X987" s="35"/>
      <c r="Y987" s="35">
        <v>100</v>
      </c>
      <c r="Z987" s="35"/>
      <c r="AA987" s="36" t="s">
        <v>183</v>
      </c>
      <c r="AB987" s="36" t="s">
        <v>1399</v>
      </c>
      <c r="AC987" s="35">
        <v>5502031</v>
      </c>
      <c r="AD987" s="36" t="s">
        <v>193</v>
      </c>
      <c r="AE987" s="36">
        <v>100</v>
      </c>
      <c r="AF987" s="36"/>
      <c r="AG987" s="79">
        <v>1</v>
      </c>
      <c r="AH987" s="36">
        <v>0</v>
      </c>
      <c r="AL987" s="35"/>
    </row>
    <row r="988" s="25" customFormat="1" hidden="1" customHeight="1" spans="1:38">
      <c r="A988" s="33">
        <v>53042051</v>
      </c>
      <c r="B988" s="34"/>
      <c r="C988" s="35">
        <v>5301205</v>
      </c>
      <c r="D988" s="36">
        <v>4</v>
      </c>
      <c r="E988" s="36"/>
      <c r="F988" s="36" t="s">
        <v>174</v>
      </c>
      <c r="G988" s="36">
        <f t="shared" si="274"/>
        <v>1</v>
      </c>
      <c r="H988" s="36">
        <f>IFERROR(IF(--MID($F988,2*COUNTIF($G988:G988,"&gt;"&amp;0)+2,1)=H$1,H$1,""),"")</f>
        <v>2</v>
      </c>
      <c r="I988" s="36">
        <f>IFERROR(IF(--MID($F988,2*COUNTIF($G988:H988,"&gt;"&amp;0)+2,1)=I$1,I$1,""),"")</f>
        <v>3</v>
      </c>
      <c r="J988" s="36">
        <f>IFERROR(IF(--MID($F988,2*COUNTIF($G988:I988,"&gt;"&amp;0)+2,1)=J$1,J$1,""),"")</f>
        <v>4</v>
      </c>
      <c r="K988" s="36">
        <f>IFERROR(IF(--MID($F988,2*COUNTIF($G988:J988,"&gt;"&amp;0)+2,1)=K$1,K$1,""),"")</f>
        <v>5</v>
      </c>
      <c r="L988" s="36">
        <f>IFERROR(IF(--MID($F988,2*COUNTIF($G988:K988,"&gt;"&amp;0)+2,1)=L$1,L$1,""),"")</f>
        <v>6</v>
      </c>
      <c r="M988" s="36" t="e" cm="1">
        <f t="array" ref="M988">IF(A988="","",_xlfn.XLOOKUP(D988&amp;"_"&amp;AE988,符文权重!A:A&amp;"_"&amp;符文权重!C:C,符文权重!D:D))</f>
        <v>#N/A</v>
      </c>
      <c r="N988" s="36"/>
      <c r="O988" s="36"/>
      <c r="P988" s="36"/>
      <c r="Q988" s="36"/>
      <c r="R988" s="36"/>
      <c r="S988" s="36" t="s">
        <v>344</v>
      </c>
      <c r="T988" s="36"/>
      <c r="U988" s="36" t="s">
        <v>420</v>
      </c>
      <c r="V988" s="25" t="s">
        <v>1400</v>
      </c>
      <c r="W988" s="36"/>
      <c r="X988" s="35"/>
      <c r="Y988" s="35">
        <v>100</v>
      </c>
      <c r="Z988" s="35"/>
      <c r="AA988" s="36" t="s">
        <v>185</v>
      </c>
      <c r="AB988" s="36" t="s">
        <v>1401</v>
      </c>
      <c r="AC988" s="35">
        <v>5502031</v>
      </c>
      <c r="AD988" s="36" t="s">
        <v>230</v>
      </c>
      <c r="AE988" s="36">
        <v>100</v>
      </c>
      <c r="AF988" s="36"/>
      <c r="AG988" s="79">
        <v>1</v>
      </c>
      <c r="AH988" s="36">
        <v>0</v>
      </c>
      <c r="AL988" s="35"/>
    </row>
    <row r="989" s="25" customFormat="1" hidden="1" customHeight="1" spans="1:38">
      <c r="A989" s="33">
        <v>53052051</v>
      </c>
      <c r="B989" s="34"/>
      <c r="C989" s="35">
        <v>5301205</v>
      </c>
      <c r="D989" s="36">
        <v>5</v>
      </c>
      <c r="E989" s="36"/>
      <c r="F989" s="36" t="s">
        <v>174</v>
      </c>
      <c r="G989" s="36">
        <f t="shared" si="274"/>
        <v>1</v>
      </c>
      <c r="H989" s="36">
        <f>IFERROR(IF(--MID($F989,2*COUNTIF($G989:G989,"&gt;"&amp;0)+2,1)=H$1,H$1,""),"")</f>
        <v>2</v>
      </c>
      <c r="I989" s="36">
        <f>IFERROR(IF(--MID($F989,2*COUNTIF($G989:H989,"&gt;"&amp;0)+2,1)=I$1,I$1,""),"")</f>
        <v>3</v>
      </c>
      <c r="J989" s="36">
        <f>IFERROR(IF(--MID($F989,2*COUNTIF($G989:I989,"&gt;"&amp;0)+2,1)=J$1,J$1,""),"")</f>
        <v>4</v>
      </c>
      <c r="K989" s="36">
        <f>IFERROR(IF(--MID($F989,2*COUNTIF($G989:J989,"&gt;"&amp;0)+2,1)=K$1,K$1,""),"")</f>
        <v>5</v>
      </c>
      <c r="L989" s="36">
        <f>IFERROR(IF(--MID($F989,2*COUNTIF($G989:K989,"&gt;"&amp;0)+2,1)=L$1,L$1,""),"")</f>
        <v>6</v>
      </c>
      <c r="M989" s="36" t="e" cm="1">
        <f t="array" ref="M989">IF(A989="","",_xlfn.XLOOKUP(D989&amp;"_"&amp;AE989,符文权重!A:A&amp;"_"&amp;符文权重!C:C,符文权重!D:D))</f>
        <v>#N/A</v>
      </c>
      <c r="N989" s="36"/>
      <c r="O989" s="36"/>
      <c r="P989" s="36"/>
      <c r="Q989" s="36"/>
      <c r="R989" s="36"/>
      <c r="S989" s="36" t="s">
        <v>344</v>
      </c>
      <c r="T989" s="36"/>
      <c r="U989" s="36" t="s">
        <v>423</v>
      </c>
      <c r="V989" s="25" t="s">
        <v>1402</v>
      </c>
      <c r="W989" s="36"/>
      <c r="X989" s="35"/>
      <c r="Y989" s="35">
        <v>100</v>
      </c>
      <c r="Z989" s="35"/>
      <c r="AA989" s="36" t="s">
        <v>187</v>
      </c>
      <c r="AB989" s="36" t="s">
        <v>1403</v>
      </c>
      <c r="AC989" s="35">
        <v>5502031</v>
      </c>
      <c r="AD989" s="36" t="s">
        <v>220</v>
      </c>
      <c r="AE989" s="36">
        <v>100</v>
      </c>
      <c r="AF989" s="36"/>
      <c r="AG989" s="79">
        <v>1</v>
      </c>
      <c r="AH989" s="36">
        <v>0</v>
      </c>
      <c r="AL989" s="35"/>
    </row>
    <row r="990" s="25" customFormat="1" hidden="1" customHeight="1" spans="1:38">
      <c r="A990" s="33">
        <v>53062051</v>
      </c>
      <c r="B990" s="34"/>
      <c r="C990" s="35">
        <v>5301205</v>
      </c>
      <c r="D990" s="36">
        <v>6</v>
      </c>
      <c r="E990" s="36"/>
      <c r="F990" s="36" t="s">
        <v>174</v>
      </c>
      <c r="G990" s="36">
        <f t="shared" si="274"/>
        <v>1</v>
      </c>
      <c r="H990" s="36">
        <f>IFERROR(IF(--MID($F990,2*COUNTIF($G990:G990,"&gt;"&amp;0)+2,1)=H$1,H$1,""),"")</f>
        <v>2</v>
      </c>
      <c r="I990" s="36">
        <f>IFERROR(IF(--MID($F990,2*COUNTIF($G990:H990,"&gt;"&amp;0)+2,1)=I$1,I$1,""),"")</f>
        <v>3</v>
      </c>
      <c r="J990" s="36">
        <f>IFERROR(IF(--MID($F990,2*COUNTIF($G990:I990,"&gt;"&amp;0)+2,1)=J$1,J$1,""),"")</f>
        <v>4</v>
      </c>
      <c r="K990" s="36">
        <f>IFERROR(IF(--MID($F990,2*COUNTIF($G990:J990,"&gt;"&amp;0)+2,1)=K$1,K$1,""),"")</f>
        <v>5</v>
      </c>
      <c r="L990" s="36">
        <f>IFERROR(IF(--MID($F990,2*COUNTIF($G990:K990,"&gt;"&amp;0)+2,1)=L$1,L$1,""),"")</f>
        <v>6</v>
      </c>
      <c r="M990" s="36" t="e" cm="1">
        <f t="array" ref="M990">IF(A990="","",_xlfn.XLOOKUP(D990&amp;"_"&amp;AE990,符文权重!A:A&amp;"_"&amp;符文权重!C:C,符文权重!D:D))</f>
        <v>#N/A</v>
      </c>
      <c r="N990" s="36"/>
      <c r="O990" s="36"/>
      <c r="P990" s="36"/>
      <c r="Q990" s="36"/>
      <c r="R990" s="36"/>
      <c r="S990" s="36" t="s">
        <v>344</v>
      </c>
      <c r="T990" s="36"/>
      <c r="U990" s="36" t="s">
        <v>426</v>
      </c>
      <c r="V990" s="25" t="s">
        <v>1404</v>
      </c>
      <c r="W990" s="36"/>
      <c r="X990" s="35"/>
      <c r="Y990" s="35">
        <v>100</v>
      </c>
      <c r="Z990" s="35"/>
      <c r="AA990" s="36" t="s">
        <v>189</v>
      </c>
      <c r="AB990" s="36" t="s">
        <v>1405</v>
      </c>
      <c r="AC990" s="35">
        <v>5502031</v>
      </c>
      <c r="AD990" s="36" t="s">
        <v>239</v>
      </c>
      <c r="AE990" s="36">
        <v>100</v>
      </c>
      <c r="AF990" s="36"/>
      <c r="AG990" s="79">
        <v>1</v>
      </c>
      <c r="AH990" s="36">
        <v>0</v>
      </c>
      <c r="AL990" s="35"/>
    </row>
    <row r="991" s="25" customFormat="1" hidden="1" customHeight="1" spans="1:38">
      <c r="A991" s="33">
        <v>53072051</v>
      </c>
      <c r="B991" s="34"/>
      <c r="C991" s="35">
        <v>5301205</v>
      </c>
      <c r="D991" s="36">
        <v>7</v>
      </c>
      <c r="E991" s="36"/>
      <c r="F991" s="36" t="s">
        <v>174</v>
      </c>
      <c r="G991" s="36">
        <f t="shared" si="274"/>
        <v>1</v>
      </c>
      <c r="H991" s="36">
        <f>IFERROR(IF(--MID($F991,2*COUNTIF($G991:G991,"&gt;"&amp;0)+2,1)=H$1,H$1,""),"")</f>
        <v>2</v>
      </c>
      <c r="I991" s="36">
        <f>IFERROR(IF(--MID($F991,2*COUNTIF($G991:H991,"&gt;"&amp;0)+2,1)=I$1,I$1,""),"")</f>
        <v>3</v>
      </c>
      <c r="J991" s="36">
        <f>IFERROR(IF(--MID($F991,2*COUNTIF($G991:I991,"&gt;"&amp;0)+2,1)=J$1,J$1,""),"")</f>
        <v>4</v>
      </c>
      <c r="K991" s="36">
        <f>IFERROR(IF(--MID($F991,2*COUNTIF($G991:J991,"&gt;"&amp;0)+2,1)=K$1,K$1,""),"")</f>
        <v>5</v>
      </c>
      <c r="L991" s="36">
        <f>IFERROR(IF(--MID($F991,2*COUNTIF($G991:K991,"&gt;"&amp;0)+2,1)=L$1,L$1,""),"")</f>
        <v>6</v>
      </c>
      <c r="M991" s="36" t="e" cm="1">
        <f t="array" ref="M991">IF(A991="","",_xlfn.XLOOKUP(D991&amp;"_"&amp;AE991,符文权重!A:A&amp;"_"&amp;符文权重!C:C,符文权重!D:D))</f>
        <v>#N/A</v>
      </c>
      <c r="N991" s="36"/>
      <c r="O991" s="36"/>
      <c r="P991" s="36"/>
      <c r="Q991" s="36"/>
      <c r="R991" s="36"/>
      <c r="S991" s="36" t="s">
        <v>344</v>
      </c>
      <c r="T991" s="36"/>
      <c r="U991" s="36" t="s">
        <v>429</v>
      </c>
      <c r="V991" s="25" t="s">
        <v>1406</v>
      </c>
      <c r="W991" s="36"/>
      <c r="X991" s="35"/>
      <c r="Y991" s="35">
        <v>100</v>
      </c>
      <c r="Z991" s="35"/>
      <c r="AA991" s="36" t="s">
        <v>191</v>
      </c>
      <c r="AB991" s="36" t="s">
        <v>1407</v>
      </c>
      <c r="AC991" s="35">
        <v>5502031</v>
      </c>
      <c r="AD991" s="36" t="s">
        <v>419</v>
      </c>
      <c r="AE991" s="36">
        <v>100</v>
      </c>
      <c r="AF991" s="36"/>
      <c r="AG991" s="79">
        <v>1</v>
      </c>
      <c r="AH991" s="36">
        <v>0</v>
      </c>
      <c r="AL991" s="35"/>
    </row>
    <row r="992" s="25" customFormat="1" hidden="1" customHeight="1" spans="1:38">
      <c r="A992" s="33">
        <v>53022052</v>
      </c>
      <c r="B992" s="34"/>
      <c r="C992" s="35">
        <v>5301205</v>
      </c>
      <c r="D992" s="36">
        <v>2</v>
      </c>
      <c r="E992" s="36"/>
      <c r="F992" s="36" t="s">
        <v>1408</v>
      </c>
      <c r="G992" s="36" t="str">
        <f t="shared" si="274"/>
        <v/>
      </c>
      <c r="H992" s="36">
        <f>IFERROR(IF(--MID($F992,2*COUNTIF($G992:G992,"&gt;"&amp;0)+2,1)=H$1,H$1,""),"")</f>
        <v>2</v>
      </c>
      <c r="I992" s="36" t="str">
        <f>IFERROR(IF(--MID($F992,2*COUNTIF($G992:H992,"&gt;"&amp;0)+2,1)=I$1,I$1,""),"")</f>
        <v/>
      </c>
      <c r="J992" s="36" t="str">
        <f>IFERROR(IF(--MID($F992,2*COUNTIF($G992:I992,"&gt;"&amp;0)+2,1)=J$1,J$1,""),"")</f>
        <v/>
      </c>
      <c r="K992" s="36">
        <f>IFERROR(IF(--MID($F992,2*COUNTIF($G992:J992,"&gt;"&amp;0)+2,1)=K$1,K$1,""),"")</f>
        <v>5</v>
      </c>
      <c r="L992" s="36">
        <f>IFERROR(IF(--MID($F992,2*COUNTIF($G992:K992,"&gt;"&amp;0)+2,1)=L$1,L$1,""),"")</f>
        <v>6</v>
      </c>
      <c r="M992" s="36" t="e" cm="1">
        <f t="array" ref="M992">IF(A992="","",_xlfn.XLOOKUP(D992&amp;"_"&amp;AE992,符文权重!A:A&amp;"_"&amp;符文权重!C:C,符文权重!D:D))</f>
        <v>#N/A</v>
      </c>
      <c r="N992" s="36"/>
      <c r="O992" s="36"/>
      <c r="P992" s="36"/>
      <c r="Q992" s="36"/>
      <c r="R992" s="36"/>
      <c r="S992" s="36" t="s">
        <v>344</v>
      </c>
      <c r="T992" s="36"/>
      <c r="U992" s="36" t="s">
        <v>415</v>
      </c>
      <c r="V992" s="25" t="s">
        <v>1396</v>
      </c>
      <c r="W992" s="36"/>
      <c r="X992" s="35"/>
      <c r="Y992" s="35">
        <v>100</v>
      </c>
      <c r="Z992" s="35"/>
      <c r="AA992" s="36" t="s">
        <v>181</v>
      </c>
      <c r="AB992" s="36" t="s">
        <v>1397</v>
      </c>
      <c r="AC992" s="35">
        <v>5502031</v>
      </c>
      <c r="AD992" s="36" t="s">
        <v>202</v>
      </c>
      <c r="AE992" s="36">
        <v>100</v>
      </c>
      <c r="AF992" s="36"/>
      <c r="AG992" s="79">
        <v>1</v>
      </c>
      <c r="AH992" s="36">
        <v>0</v>
      </c>
      <c r="AI992" s="33"/>
      <c r="AJ992" s="37"/>
      <c r="AK992" s="35"/>
      <c r="AL992" s="35"/>
    </row>
    <row r="993" s="25" customFormat="1" hidden="1" customHeight="1" spans="1:38">
      <c r="A993" s="33">
        <v>53032052</v>
      </c>
      <c r="B993" s="34"/>
      <c r="C993" s="35">
        <v>5301205</v>
      </c>
      <c r="D993" s="36">
        <v>3</v>
      </c>
      <c r="E993" s="36"/>
      <c r="F993" s="36" t="s">
        <v>1408</v>
      </c>
      <c r="G993" s="36" t="str">
        <f t="shared" si="274"/>
        <v/>
      </c>
      <c r="H993" s="36">
        <f>IFERROR(IF(--MID($F993,2*COUNTIF($G993:G993,"&gt;"&amp;0)+2,1)=H$1,H$1,""),"")</f>
        <v>2</v>
      </c>
      <c r="I993" s="36" t="str">
        <f>IFERROR(IF(--MID($F993,2*COUNTIF($G993:H993,"&gt;"&amp;0)+2,1)=I$1,I$1,""),"")</f>
        <v/>
      </c>
      <c r="J993" s="36" t="str">
        <f>IFERROR(IF(--MID($F993,2*COUNTIF($G993:I993,"&gt;"&amp;0)+2,1)=J$1,J$1,""),"")</f>
        <v/>
      </c>
      <c r="K993" s="36">
        <f>IFERROR(IF(--MID($F993,2*COUNTIF($G993:J993,"&gt;"&amp;0)+2,1)=K$1,K$1,""),"")</f>
        <v>5</v>
      </c>
      <c r="L993" s="36">
        <f>IFERROR(IF(--MID($F993,2*COUNTIF($G993:K993,"&gt;"&amp;0)+2,1)=L$1,L$1,""),"")</f>
        <v>6</v>
      </c>
      <c r="M993" s="36" t="e" cm="1">
        <f t="array" ref="M993">IF(A993="","",_xlfn.XLOOKUP(D993&amp;"_"&amp;AE993,符文权重!A:A&amp;"_"&amp;符文权重!C:C,符文权重!D:D))</f>
        <v>#N/A</v>
      </c>
      <c r="N993" s="36"/>
      <c r="O993" s="36"/>
      <c r="P993" s="36"/>
      <c r="Q993" s="36"/>
      <c r="R993" s="36"/>
      <c r="S993" s="36" t="s">
        <v>344</v>
      </c>
      <c r="T993" s="36"/>
      <c r="U993" s="36" t="s">
        <v>417</v>
      </c>
      <c r="V993" s="25" t="s">
        <v>1398</v>
      </c>
      <c r="W993" s="36"/>
      <c r="X993" s="35"/>
      <c r="Y993" s="35">
        <v>100</v>
      </c>
      <c r="Z993" s="35"/>
      <c r="AA993" s="36" t="s">
        <v>183</v>
      </c>
      <c r="AB993" s="36" t="s">
        <v>1399</v>
      </c>
      <c r="AC993" s="35">
        <v>5502031</v>
      </c>
      <c r="AD993" s="36" t="s">
        <v>193</v>
      </c>
      <c r="AE993" s="36">
        <v>100</v>
      </c>
      <c r="AF993" s="36"/>
      <c r="AG993" s="79">
        <v>1</v>
      </c>
      <c r="AH993" s="36">
        <v>0</v>
      </c>
      <c r="AI993" s="33"/>
      <c r="AJ993" s="37"/>
      <c r="AK993" s="35"/>
      <c r="AL993" s="35"/>
    </row>
    <row r="994" s="25" customFormat="1" hidden="1" customHeight="1" spans="1:38">
      <c r="A994" s="33">
        <v>53042052</v>
      </c>
      <c r="B994" s="34"/>
      <c r="C994" s="35">
        <v>5301205</v>
      </c>
      <c r="D994" s="36">
        <v>4</v>
      </c>
      <c r="E994" s="36"/>
      <c r="F994" s="36" t="s">
        <v>1408</v>
      </c>
      <c r="G994" s="36" t="str">
        <f t="shared" si="274"/>
        <v/>
      </c>
      <c r="H994" s="36">
        <f>IFERROR(IF(--MID($F994,2*COUNTIF($G994:G994,"&gt;"&amp;0)+2,1)=H$1,H$1,""),"")</f>
        <v>2</v>
      </c>
      <c r="I994" s="36" t="str">
        <f>IFERROR(IF(--MID($F994,2*COUNTIF($G994:H994,"&gt;"&amp;0)+2,1)=I$1,I$1,""),"")</f>
        <v/>
      </c>
      <c r="J994" s="36" t="str">
        <f>IFERROR(IF(--MID($F994,2*COUNTIF($G994:I994,"&gt;"&amp;0)+2,1)=J$1,J$1,""),"")</f>
        <v/>
      </c>
      <c r="K994" s="36">
        <f>IFERROR(IF(--MID($F994,2*COUNTIF($G994:J994,"&gt;"&amp;0)+2,1)=K$1,K$1,""),"")</f>
        <v>5</v>
      </c>
      <c r="L994" s="36">
        <f>IFERROR(IF(--MID($F994,2*COUNTIF($G994:K994,"&gt;"&amp;0)+2,1)=L$1,L$1,""),"")</f>
        <v>6</v>
      </c>
      <c r="M994" s="36" t="e" cm="1">
        <f t="array" ref="M994">IF(A994="","",_xlfn.XLOOKUP(D994&amp;"_"&amp;AE994,符文权重!A:A&amp;"_"&amp;符文权重!C:C,符文权重!D:D))</f>
        <v>#N/A</v>
      </c>
      <c r="N994" s="36"/>
      <c r="O994" s="36"/>
      <c r="P994" s="36"/>
      <c r="Q994" s="36"/>
      <c r="R994" s="36"/>
      <c r="S994" s="36" t="s">
        <v>344</v>
      </c>
      <c r="T994" s="36"/>
      <c r="U994" s="36" t="s">
        <v>420</v>
      </c>
      <c r="V994" s="25" t="s">
        <v>1400</v>
      </c>
      <c r="W994" s="36"/>
      <c r="X994" s="35"/>
      <c r="Y994" s="35">
        <v>100</v>
      </c>
      <c r="Z994" s="35"/>
      <c r="AA994" s="36" t="s">
        <v>185</v>
      </c>
      <c r="AB994" s="36" t="s">
        <v>1401</v>
      </c>
      <c r="AC994" s="35">
        <v>5502031</v>
      </c>
      <c r="AD994" s="36" t="s">
        <v>230</v>
      </c>
      <c r="AE994" s="36">
        <v>100</v>
      </c>
      <c r="AF994" s="36"/>
      <c r="AG994" s="79">
        <v>1</v>
      </c>
      <c r="AH994" s="36">
        <v>0</v>
      </c>
      <c r="AI994" s="33"/>
      <c r="AJ994" s="37"/>
      <c r="AK994" s="35"/>
      <c r="AL994" s="35"/>
    </row>
    <row r="995" s="25" customFormat="1" hidden="1" customHeight="1" spans="1:38">
      <c r="A995" s="33">
        <v>53052052</v>
      </c>
      <c r="B995" s="34"/>
      <c r="C995" s="35">
        <v>5301205</v>
      </c>
      <c r="D995" s="36">
        <v>5</v>
      </c>
      <c r="E995" s="36"/>
      <c r="F995" s="36" t="s">
        <v>1408</v>
      </c>
      <c r="G995" s="36" t="str">
        <f t="shared" si="274"/>
        <v/>
      </c>
      <c r="H995" s="36">
        <f>IFERROR(IF(--MID($F995,2*COUNTIF($G995:G995,"&gt;"&amp;0)+2,1)=H$1,H$1,""),"")</f>
        <v>2</v>
      </c>
      <c r="I995" s="36" t="str">
        <f>IFERROR(IF(--MID($F995,2*COUNTIF($G995:H995,"&gt;"&amp;0)+2,1)=I$1,I$1,""),"")</f>
        <v/>
      </c>
      <c r="J995" s="36" t="str">
        <f>IFERROR(IF(--MID($F995,2*COUNTIF($G995:I995,"&gt;"&amp;0)+2,1)=J$1,J$1,""),"")</f>
        <v/>
      </c>
      <c r="K995" s="36">
        <f>IFERROR(IF(--MID($F995,2*COUNTIF($G995:J995,"&gt;"&amp;0)+2,1)=K$1,K$1,""),"")</f>
        <v>5</v>
      </c>
      <c r="L995" s="36">
        <f>IFERROR(IF(--MID($F995,2*COUNTIF($G995:K995,"&gt;"&amp;0)+2,1)=L$1,L$1,""),"")</f>
        <v>6</v>
      </c>
      <c r="M995" s="36" t="e" cm="1">
        <f t="array" ref="M995">IF(A995="","",_xlfn.XLOOKUP(D995&amp;"_"&amp;AE995,符文权重!A:A&amp;"_"&amp;符文权重!C:C,符文权重!D:D))</f>
        <v>#N/A</v>
      </c>
      <c r="N995" s="36"/>
      <c r="O995" s="36"/>
      <c r="P995" s="36"/>
      <c r="Q995" s="36"/>
      <c r="R995" s="36"/>
      <c r="S995" s="36" t="s">
        <v>344</v>
      </c>
      <c r="T995" s="36"/>
      <c r="U995" s="36" t="s">
        <v>423</v>
      </c>
      <c r="V995" s="25" t="s">
        <v>1402</v>
      </c>
      <c r="W995" s="36"/>
      <c r="X995" s="35"/>
      <c r="Y995" s="35">
        <v>100</v>
      </c>
      <c r="Z995" s="35"/>
      <c r="AA995" s="36" t="s">
        <v>187</v>
      </c>
      <c r="AB995" s="36" t="s">
        <v>1403</v>
      </c>
      <c r="AC995" s="35">
        <v>5502031</v>
      </c>
      <c r="AD995" s="36" t="s">
        <v>220</v>
      </c>
      <c r="AE995" s="36">
        <v>100</v>
      </c>
      <c r="AF995" s="36"/>
      <c r="AG995" s="79">
        <v>1</v>
      </c>
      <c r="AH995" s="36">
        <v>0</v>
      </c>
      <c r="AI995" s="33"/>
      <c r="AJ995" s="37"/>
      <c r="AK995" s="35"/>
      <c r="AL995" s="35"/>
    </row>
    <row r="996" s="25" customFormat="1" hidden="1" customHeight="1" spans="1:38">
      <c r="A996" s="33">
        <v>53062052</v>
      </c>
      <c r="B996" s="34"/>
      <c r="C996" s="35">
        <v>5301205</v>
      </c>
      <c r="D996" s="36">
        <v>6</v>
      </c>
      <c r="E996" s="36"/>
      <c r="F996" s="36" t="s">
        <v>1408</v>
      </c>
      <c r="G996" s="36" t="str">
        <f t="shared" si="274"/>
        <v/>
      </c>
      <c r="H996" s="36">
        <f>IFERROR(IF(--MID($F996,2*COUNTIF($G996:G996,"&gt;"&amp;0)+2,1)=H$1,H$1,""),"")</f>
        <v>2</v>
      </c>
      <c r="I996" s="36" t="str">
        <f>IFERROR(IF(--MID($F996,2*COUNTIF($G996:H996,"&gt;"&amp;0)+2,1)=I$1,I$1,""),"")</f>
        <v/>
      </c>
      <c r="J996" s="36" t="str">
        <f>IFERROR(IF(--MID($F996,2*COUNTIF($G996:I996,"&gt;"&amp;0)+2,1)=J$1,J$1,""),"")</f>
        <v/>
      </c>
      <c r="K996" s="36">
        <f>IFERROR(IF(--MID($F996,2*COUNTIF($G996:J996,"&gt;"&amp;0)+2,1)=K$1,K$1,""),"")</f>
        <v>5</v>
      </c>
      <c r="L996" s="36">
        <f>IFERROR(IF(--MID($F996,2*COUNTIF($G996:K996,"&gt;"&amp;0)+2,1)=L$1,L$1,""),"")</f>
        <v>6</v>
      </c>
      <c r="M996" s="36" t="e" cm="1">
        <f t="array" ref="M996">IF(A996="","",_xlfn.XLOOKUP(D996&amp;"_"&amp;AE996,符文权重!A:A&amp;"_"&amp;符文权重!C:C,符文权重!D:D))</f>
        <v>#N/A</v>
      </c>
      <c r="N996" s="36"/>
      <c r="O996" s="36"/>
      <c r="P996" s="36"/>
      <c r="Q996" s="36"/>
      <c r="R996" s="36"/>
      <c r="S996" s="36" t="s">
        <v>344</v>
      </c>
      <c r="T996" s="36"/>
      <c r="U996" s="36" t="s">
        <v>426</v>
      </c>
      <c r="V996" s="25" t="s">
        <v>1404</v>
      </c>
      <c r="W996" s="36"/>
      <c r="X996" s="35"/>
      <c r="Y996" s="35">
        <v>100</v>
      </c>
      <c r="Z996" s="35"/>
      <c r="AA996" s="36" t="s">
        <v>189</v>
      </c>
      <c r="AB996" s="36" t="s">
        <v>1405</v>
      </c>
      <c r="AC996" s="35">
        <v>5502031</v>
      </c>
      <c r="AD996" s="36" t="s">
        <v>239</v>
      </c>
      <c r="AE996" s="36">
        <v>100</v>
      </c>
      <c r="AF996" s="36"/>
      <c r="AG996" s="79">
        <v>1</v>
      </c>
      <c r="AH996" s="36">
        <v>0</v>
      </c>
      <c r="AI996" s="33"/>
      <c r="AJ996" s="37"/>
      <c r="AK996" s="35"/>
      <c r="AL996" s="35"/>
    </row>
    <row r="997" s="25" customFormat="1" hidden="1" customHeight="1" spans="1:38">
      <c r="A997" s="33">
        <v>53072052</v>
      </c>
      <c r="B997" s="34"/>
      <c r="C997" s="35">
        <v>5301205</v>
      </c>
      <c r="D997" s="36">
        <v>7</v>
      </c>
      <c r="E997" s="36"/>
      <c r="F997" s="36" t="s">
        <v>1408</v>
      </c>
      <c r="G997" s="36" t="str">
        <f t="shared" si="274"/>
        <v/>
      </c>
      <c r="H997" s="36">
        <f>IFERROR(IF(--MID($F997,2*COUNTIF($G997:G997,"&gt;"&amp;0)+2,1)=H$1,H$1,""),"")</f>
        <v>2</v>
      </c>
      <c r="I997" s="36" t="str">
        <f>IFERROR(IF(--MID($F997,2*COUNTIF($G997:H997,"&gt;"&amp;0)+2,1)=I$1,I$1,""),"")</f>
        <v/>
      </c>
      <c r="J997" s="36" t="str">
        <f>IFERROR(IF(--MID($F997,2*COUNTIF($G997:I997,"&gt;"&amp;0)+2,1)=J$1,J$1,""),"")</f>
        <v/>
      </c>
      <c r="K997" s="36">
        <f>IFERROR(IF(--MID($F997,2*COUNTIF($G997:J997,"&gt;"&amp;0)+2,1)=K$1,K$1,""),"")</f>
        <v>5</v>
      </c>
      <c r="L997" s="36">
        <f>IFERROR(IF(--MID($F997,2*COUNTIF($G997:K997,"&gt;"&amp;0)+2,1)=L$1,L$1,""),"")</f>
        <v>6</v>
      </c>
      <c r="M997" s="36" t="e" cm="1">
        <f t="array" ref="M997">IF(A997="","",_xlfn.XLOOKUP(D997&amp;"_"&amp;AE997,符文权重!A:A&amp;"_"&amp;符文权重!C:C,符文权重!D:D))</f>
        <v>#N/A</v>
      </c>
      <c r="N997" s="36"/>
      <c r="O997" s="36"/>
      <c r="P997" s="36"/>
      <c r="Q997" s="36"/>
      <c r="R997" s="36"/>
      <c r="S997" s="36" t="s">
        <v>344</v>
      </c>
      <c r="T997" s="36"/>
      <c r="U997" s="36" t="s">
        <v>429</v>
      </c>
      <c r="V997" s="25" t="s">
        <v>1406</v>
      </c>
      <c r="W997" s="36"/>
      <c r="X997" s="35"/>
      <c r="Y997" s="35">
        <v>100</v>
      </c>
      <c r="Z997" s="35"/>
      <c r="AA997" s="36" t="s">
        <v>191</v>
      </c>
      <c r="AB997" s="36" t="s">
        <v>1407</v>
      </c>
      <c r="AC997" s="35">
        <v>5502031</v>
      </c>
      <c r="AD997" s="36" t="s">
        <v>419</v>
      </c>
      <c r="AE997" s="36">
        <v>100</v>
      </c>
      <c r="AF997" s="36"/>
      <c r="AG997" s="79">
        <v>1</v>
      </c>
      <c r="AH997" s="36">
        <v>0</v>
      </c>
      <c r="AI997" s="33"/>
      <c r="AJ997" s="37"/>
      <c r="AK997" s="35"/>
      <c r="AL997" s="35"/>
    </row>
    <row r="998" s="25" customFormat="1" hidden="1" customHeight="1" spans="1:38">
      <c r="A998" s="33">
        <v>5302206</v>
      </c>
      <c r="B998" s="34"/>
      <c r="C998" s="35">
        <v>5302206</v>
      </c>
      <c r="D998" s="36">
        <v>2</v>
      </c>
      <c r="E998" s="36"/>
      <c r="F998" s="36" t="s">
        <v>1409</v>
      </c>
      <c r="G998" s="36">
        <f t="shared" si="274"/>
        <v>1</v>
      </c>
      <c r="H998" s="36">
        <f>IFERROR(IF(--MID($F998,2*COUNTIF($G998:G998,"&gt;"&amp;0)+2,1)=H$1,H$1,""),"")</f>
        <v>2</v>
      </c>
      <c r="I998" s="36" t="str">
        <f>IFERROR(IF(--MID($F998,2*COUNTIF($G998:H998,"&gt;"&amp;0)+2,1)=I$1,I$1,""),"")</f>
        <v/>
      </c>
      <c r="J998" s="36">
        <f>IFERROR(IF(--MID($F998,2*COUNTIF($G998:I998,"&gt;"&amp;0)+2,1)=J$1,J$1,""),"")</f>
        <v>4</v>
      </c>
      <c r="K998" s="36" t="str">
        <f>IFERROR(IF(--MID($F998,2*COUNTIF($G998:J998,"&gt;"&amp;0)+2,1)=K$1,K$1,""),"")</f>
        <v/>
      </c>
      <c r="L998" s="36" t="str">
        <f>IFERROR(IF(--MID($F998,2*COUNTIF($G998:K998,"&gt;"&amp;0)+2,1)=L$1,L$1,""),"")</f>
        <v/>
      </c>
      <c r="M998" s="36" t="e" cm="1">
        <f t="array" ref="M998">IF(A998="","",_xlfn.XLOOKUP(D998&amp;"_"&amp;AE998,符文权重!A:A&amp;"_"&amp;符文权重!C:C,符文权重!D:D))</f>
        <v>#N/A</v>
      </c>
      <c r="N998" s="36"/>
      <c r="O998" s="36"/>
      <c r="P998" s="36"/>
      <c r="Q998" s="36"/>
      <c r="R998" s="36"/>
      <c r="S998" s="36" t="s">
        <v>175</v>
      </c>
      <c r="T998" s="36"/>
      <c r="U998" s="36" t="s">
        <v>415</v>
      </c>
      <c r="W998" s="36" t="s">
        <v>364</v>
      </c>
      <c r="X998" s="35" t="s">
        <v>1240</v>
      </c>
      <c r="Y998" s="35">
        <v>100</v>
      </c>
      <c r="Z998" s="35"/>
      <c r="AA998" s="36" t="s">
        <v>181</v>
      </c>
      <c r="AB998" s="36" t="s">
        <v>1410</v>
      </c>
      <c r="AC998" s="35">
        <v>5301206</v>
      </c>
      <c r="AD998" s="36" t="s">
        <v>425</v>
      </c>
      <c r="AE998" s="36">
        <v>100</v>
      </c>
      <c r="AF998" s="36"/>
      <c r="AG998" s="79">
        <v>1</v>
      </c>
      <c r="AH998" s="36">
        <v>0</v>
      </c>
      <c r="AI998" s="33"/>
      <c r="AJ998" s="37"/>
      <c r="AK998" s="35"/>
      <c r="AL998" s="35"/>
    </row>
    <row r="999" s="25" customFormat="1" hidden="1" customHeight="1" spans="1:38">
      <c r="A999" s="33">
        <v>5303206</v>
      </c>
      <c r="B999" s="34"/>
      <c r="C999" s="35">
        <v>5302206</v>
      </c>
      <c r="D999" s="36">
        <v>3</v>
      </c>
      <c r="E999" s="36"/>
      <c r="F999" s="36" t="s">
        <v>1409</v>
      </c>
      <c r="G999" s="36">
        <f t="shared" si="274"/>
        <v>1</v>
      </c>
      <c r="H999" s="36">
        <f>IFERROR(IF(--MID($F999,2*COUNTIF($G999:G999,"&gt;"&amp;0)+2,1)=H$1,H$1,""),"")</f>
        <v>2</v>
      </c>
      <c r="I999" s="36" t="str">
        <f>IFERROR(IF(--MID($F999,2*COUNTIF($G999:H999,"&gt;"&amp;0)+2,1)=I$1,I$1,""),"")</f>
        <v/>
      </c>
      <c r="J999" s="36">
        <f>IFERROR(IF(--MID($F999,2*COUNTIF($G999:I999,"&gt;"&amp;0)+2,1)=J$1,J$1,""),"")</f>
        <v>4</v>
      </c>
      <c r="K999" s="36" t="str">
        <f>IFERROR(IF(--MID($F999,2*COUNTIF($G999:J999,"&gt;"&amp;0)+2,1)=K$1,K$1,""),"")</f>
        <v/>
      </c>
      <c r="L999" s="36" t="str">
        <f>IFERROR(IF(--MID($F999,2*COUNTIF($G999:K999,"&gt;"&amp;0)+2,1)=L$1,L$1,""),"")</f>
        <v/>
      </c>
      <c r="M999" s="36" t="e" cm="1">
        <f t="array" ref="M999">IF(A999="","",_xlfn.XLOOKUP(D999&amp;"_"&amp;AE999,符文权重!A:A&amp;"_"&amp;符文权重!C:C,符文权重!D:D))</f>
        <v>#N/A</v>
      </c>
      <c r="N999" s="36"/>
      <c r="O999" s="36"/>
      <c r="P999" s="36"/>
      <c r="Q999" s="36"/>
      <c r="R999" s="36"/>
      <c r="S999" s="36" t="s">
        <v>175</v>
      </c>
      <c r="T999" s="36"/>
      <c r="U999" s="36" t="s">
        <v>417</v>
      </c>
      <c r="W999" s="36" t="s">
        <v>365</v>
      </c>
      <c r="X999" s="35" t="s">
        <v>1242</v>
      </c>
      <c r="Y999" s="35">
        <v>100</v>
      </c>
      <c r="Z999" s="35"/>
      <c r="AA999" s="36" t="s">
        <v>183</v>
      </c>
      <c r="AB999" s="80" t="s">
        <v>1411</v>
      </c>
      <c r="AC999" s="35">
        <v>5301206</v>
      </c>
      <c r="AD999" s="36" t="s">
        <v>428</v>
      </c>
      <c r="AE999" s="36">
        <v>100</v>
      </c>
      <c r="AF999" s="36"/>
      <c r="AG999" s="79">
        <v>1</v>
      </c>
      <c r="AH999" s="36">
        <v>0</v>
      </c>
      <c r="AI999" s="33"/>
      <c r="AJ999" s="37"/>
      <c r="AK999" s="35"/>
      <c r="AL999" s="35"/>
    </row>
    <row r="1000" s="25" customFormat="1" hidden="1" customHeight="1" spans="1:38">
      <c r="A1000" s="33">
        <v>5304206</v>
      </c>
      <c r="B1000" s="34"/>
      <c r="C1000" s="35">
        <v>5302206</v>
      </c>
      <c r="D1000" s="36">
        <v>4</v>
      </c>
      <c r="E1000" s="36"/>
      <c r="F1000" s="36" t="s">
        <v>1409</v>
      </c>
      <c r="G1000" s="36">
        <f t="shared" si="274"/>
        <v>1</v>
      </c>
      <c r="H1000" s="36">
        <f>IFERROR(IF(--MID($F1000,2*COUNTIF($G1000:G1000,"&gt;"&amp;0)+2,1)=H$1,H$1,""),"")</f>
        <v>2</v>
      </c>
      <c r="I1000" s="36" t="str">
        <f>IFERROR(IF(--MID($F1000,2*COUNTIF($G1000:H1000,"&gt;"&amp;0)+2,1)=I$1,I$1,""),"")</f>
        <v/>
      </c>
      <c r="J1000" s="36">
        <f>IFERROR(IF(--MID($F1000,2*COUNTIF($G1000:I1000,"&gt;"&amp;0)+2,1)=J$1,J$1,""),"")</f>
        <v>4</v>
      </c>
      <c r="K1000" s="36" t="str">
        <f>IFERROR(IF(--MID($F1000,2*COUNTIF($G1000:J1000,"&gt;"&amp;0)+2,1)=K$1,K$1,""),"")</f>
        <v/>
      </c>
      <c r="L1000" s="36" t="str">
        <f>IFERROR(IF(--MID($F1000,2*COUNTIF($G1000:K1000,"&gt;"&amp;0)+2,1)=L$1,L$1,""),"")</f>
        <v/>
      </c>
      <c r="M1000" s="36" t="e" cm="1">
        <f t="array" ref="M1000">IF(A1000="","",_xlfn.XLOOKUP(D1000&amp;"_"&amp;AE1000,符文权重!A:A&amp;"_"&amp;符文权重!C:C,符文权重!D:D))</f>
        <v>#N/A</v>
      </c>
      <c r="N1000" s="36"/>
      <c r="O1000" s="36"/>
      <c r="P1000" s="36"/>
      <c r="Q1000" s="36"/>
      <c r="R1000" s="36"/>
      <c r="S1000" s="36" t="s">
        <v>175</v>
      </c>
      <c r="T1000" s="36"/>
      <c r="U1000" s="36" t="s">
        <v>420</v>
      </c>
      <c r="W1000" s="36" t="s">
        <v>366</v>
      </c>
      <c r="X1000" s="35" t="s">
        <v>1244</v>
      </c>
      <c r="Y1000" s="35">
        <v>100</v>
      </c>
      <c r="Z1000" s="35"/>
      <c r="AA1000" s="36" t="s">
        <v>185</v>
      </c>
      <c r="AB1000" s="36" t="s">
        <v>1412</v>
      </c>
      <c r="AC1000" s="35">
        <v>5301206</v>
      </c>
      <c r="AD1000" s="36" t="s">
        <v>431</v>
      </c>
      <c r="AE1000" s="36">
        <v>100</v>
      </c>
      <c r="AF1000" s="36"/>
      <c r="AG1000" s="79">
        <v>1</v>
      </c>
      <c r="AH1000" s="36">
        <v>0</v>
      </c>
      <c r="AI1000" s="33"/>
      <c r="AJ1000" s="37"/>
      <c r="AK1000" s="35"/>
      <c r="AL1000" s="35"/>
    </row>
    <row r="1001" s="25" customFormat="1" hidden="1" customHeight="1" spans="1:38">
      <c r="A1001" s="33">
        <v>5305206</v>
      </c>
      <c r="B1001" s="34"/>
      <c r="C1001" s="35">
        <v>5302206</v>
      </c>
      <c r="D1001" s="36">
        <v>5</v>
      </c>
      <c r="E1001" s="36"/>
      <c r="F1001" s="36" t="s">
        <v>1409</v>
      </c>
      <c r="G1001" s="36">
        <f t="shared" si="274"/>
        <v>1</v>
      </c>
      <c r="H1001" s="36">
        <f>IFERROR(IF(--MID($F1001,2*COUNTIF($G1001:G1001,"&gt;"&amp;0)+2,1)=H$1,H$1,""),"")</f>
        <v>2</v>
      </c>
      <c r="I1001" s="36" t="str">
        <f>IFERROR(IF(--MID($F1001,2*COUNTIF($G1001:H1001,"&gt;"&amp;0)+2,1)=I$1,I$1,""),"")</f>
        <v/>
      </c>
      <c r="J1001" s="36">
        <f>IFERROR(IF(--MID($F1001,2*COUNTIF($G1001:I1001,"&gt;"&amp;0)+2,1)=J$1,J$1,""),"")</f>
        <v>4</v>
      </c>
      <c r="K1001" s="36" t="str">
        <f>IFERROR(IF(--MID($F1001,2*COUNTIF($G1001:J1001,"&gt;"&amp;0)+2,1)=K$1,K$1,""),"")</f>
        <v/>
      </c>
      <c r="L1001" s="36" t="str">
        <f>IFERROR(IF(--MID($F1001,2*COUNTIF($G1001:K1001,"&gt;"&amp;0)+2,1)=L$1,L$1,""),"")</f>
        <v/>
      </c>
      <c r="M1001" s="36" t="e" cm="1">
        <f t="array" ref="M1001">IF(A1001="","",_xlfn.XLOOKUP(D1001&amp;"_"&amp;AE1001,符文权重!A:A&amp;"_"&amp;符文权重!C:C,符文权重!D:D))</f>
        <v>#N/A</v>
      </c>
      <c r="N1001" s="36"/>
      <c r="O1001" s="36"/>
      <c r="P1001" s="36"/>
      <c r="Q1001" s="36"/>
      <c r="R1001" s="36"/>
      <c r="S1001" s="36" t="s">
        <v>175</v>
      </c>
      <c r="T1001" s="36"/>
      <c r="U1001" s="36" t="s">
        <v>423</v>
      </c>
      <c r="W1001" s="36" t="s">
        <v>367</v>
      </c>
      <c r="X1001" s="35" t="s">
        <v>1246</v>
      </c>
      <c r="Y1001" s="35">
        <v>100</v>
      </c>
      <c r="Z1001" s="35"/>
      <c r="AA1001" s="36" t="s">
        <v>187</v>
      </c>
      <c r="AB1001" s="36" t="s">
        <v>1413</v>
      </c>
      <c r="AC1001" s="35">
        <v>5301206</v>
      </c>
      <c r="AD1001" s="36" t="s">
        <v>472</v>
      </c>
      <c r="AE1001" s="36">
        <v>100</v>
      </c>
      <c r="AF1001" s="36"/>
      <c r="AG1001" s="79">
        <v>1</v>
      </c>
      <c r="AH1001" s="36">
        <v>0</v>
      </c>
      <c r="AI1001" s="33"/>
      <c r="AJ1001" s="37"/>
      <c r="AK1001" s="35"/>
      <c r="AL1001" s="35"/>
    </row>
    <row r="1002" s="25" customFormat="1" hidden="1" customHeight="1" spans="1:38">
      <c r="A1002" s="33">
        <v>5306206</v>
      </c>
      <c r="B1002" s="34"/>
      <c r="C1002" s="35">
        <v>5302206</v>
      </c>
      <c r="D1002" s="36">
        <v>6</v>
      </c>
      <c r="E1002" s="36"/>
      <c r="F1002" s="36" t="s">
        <v>1409</v>
      </c>
      <c r="G1002" s="36">
        <f t="shared" si="274"/>
        <v>1</v>
      </c>
      <c r="H1002" s="36">
        <f>IFERROR(IF(--MID($F1002,2*COUNTIF($G1002:G1002,"&gt;"&amp;0)+2,1)=H$1,H$1,""),"")</f>
        <v>2</v>
      </c>
      <c r="I1002" s="36" t="str">
        <f>IFERROR(IF(--MID($F1002,2*COUNTIF($G1002:H1002,"&gt;"&amp;0)+2,1)=I$1,I$1,""),"")</f>
        <v/>
      </c>
      <c r="J1002" s="36">
        <f>IFERROR(IF(--MID($F1002,2*COUNTIF($G1002:I1002,"&gt;"&amp;0)+2,1)=J$1,J$1,""),"")</f>
        <v>4</v>
      </c>
      <c r="K1002" s="36" t="str">
        <f>IFERROR(IF(--MID($F1002,2*COUNTIF($G1002:J1002,"&gt;"&amp;0)+2,1)=K$1,K$1,""),"")</f>
        <v/>
      </c>
      <c r="L1002" s="36" t="str">
        <f>IFERROR(IF(--MID($F1002,2*COUNTIF($G1002:K1002,"&gt;"&amp;0)+2,1)=L$1,L$1,""),"")</f>
        <v/>
      </c>
      <c r="M1002" s="36" t="e" cm="1">
        <f t="array" ref="M1002">IF(A1002="","",_xlfn.XLOOKUP(D1002&amp;"_"&amp;AE1002,符文权重!A:A&amp;"_"&amp;符文权重!C:C,符文权重!D:D))</f>
        <v>#N/A</v>
      </c>
      <c r="N1002" s="36"/>
      <c r="O1002" s="36"/>
      <c r="P1002" s="36"/>
      <c r="Q1002" s="36"/>
      <c r="R1002" s="36"/>
      <c r="S1002" s="36" t="s">
        <v>175</v>
      </c>
      <c r="T1002" s="36"/>
      <c r="U1002" s="36" t="s">
        <v>426</v>
      </c>
      <c r="W1002" s="36" t="s">
        <v>368</v>
      </c>
      <c r="X1002" s="35" t="s">
        <v>1414</v>
      </c>
      <c r="Y1002" s="35">
        <v>100</v>
      </c>
      <c r="Z1002" s="35"/>
      <c r="AA1002" s="36" t="s">
        <v>189</v>
      </c>
      <c r="AB1002" s="36" t="s">
        <v>1415</v>
      </c>
      <c r="AC1002" s="35">
        <v>5301206</v>
      </c>
      <c r="AD1002" s="36" t="s">
        <v>497</v>
      </c>
      <c r="AE1002" s="36">
        <v>100</v>
      </c>
      <c r="AF1002" s="36"/>
      <c r="AG1002" s="79">
        <v>1</v>
      </c>
      <c r="AH1002" s="36">
        <v>0</v>
      </c>
      <c r="AI1002" s="33"/>
      <c r="AJ1002" s="37"/>
      <c r="AK1002" s="35"/>
      <c r="AL1002" s="35"/>
    </row>
    <row r="1003" s="25" customFormat="1" hidden="1" customHeight="1" spans="1:38">
      <c r="A1003" s="33">
        <v>5307206</v>
      </c>
      <c r="B1003" s="34"/>
      <c r="C1003" s="35">
        <v>5302206</v>
      </c>
      <c r="D1003" s="36">
        <v>7</v>
      </c>
      <c r="E1003" s="36"/>
      <c r="F1003" s="36" t="s">
        <v>1409</v>
      </c>
      <c r="G1003" s="36">
        <f t="shared" si="274"/>
        <v>1</v>
      </c>
      <c r="H1003" s="36">
        <f>IFERROR(IF(--MID($F1003,2*COUNTIF($G1003:G1003,"&gt;"&amp;0)+2,1)=H$1,H$1,""),"")</f>
        <v>2</v>
      </c>
      <c r="I1003" s="36" t="str">
        <f>IFERROR(IF(--MID($F1003,2*COUNTIF($G1003:H1003,"&gt;"&amp;0)+2,1)=I$1,I$1,""),"")</f>
        <v/>
      </c>
      <c r="J1003" s="36">
        <f>IFERROR(IF(--MID($F1003,2*COUNTIF($G1003:I1003,"&gt;"&amp;0)+2,1)=J$1,J$1,""),"")</f>
        <v>4</v>
      </c>
      <c r="K1003" s="36" t="str">
        <f>IFERROR(IF(--MID($F1003,2*COUNTIF($G1003:J1003,"&gt;"&amp;0)+2,1)=K$1,K$1,""),"")</f>
        <v/>
      </c>
      <c r="L1003" s="36" t="str">
        <f>IFERROR(IF(--MID($F1003,2*COUNTIF($G1003:K1003,"&gt;"&amp;0)+2,1)=L$1,L$1,""),"")</f>
        <v/>
      </c>
      <c r="M1003" s="36" t="e" cm="1">
        <f t="array" ref="M1003">IF(A1003="","",_xlfn.XLOOKUP(D1003&amp;"_"&amp;AE1003,符文权重!A:A&amp;"_"&amp;符文权重!C:C,符文权重!D:D))</f>
        <v>#N/A</v>
      </c>
      <c r="N1003" s="36"/>
      <c r="O1003" s="36"/>
      <c r="P1003" s="36"/>
      <c r="Q1003" s="36"/>
      <c r="R1003" s="36"/>
      <c r="S1003" s="36" t="s">
        <v>175</v>
      </c>
      <c r="T1003" s="36"/>
      <c r="U1003" s="36" t="s">
        <v>429</v>
      </c>
      <c r="W1003" s="36" t="s">
        <v>369</v>
      </c>
      <c r="X1003" s="35" t="s">
        <v>1250</v>
      </c>
      <c r="Y1003" s="35">
        <v>100</v>
      </c>
      <c r="Z1003" s="35"/>
      <c r="AA1003" s="36" t="s">
        <v>191</v>
      </c>
      <c r="AB1003" s="36" t="s">
        <v>1416</v>
      </c>
      <c r="AC1003" s="35">
        <v>5301206</v>
      </c>
      <c r="AD1003" s="36" t="s">
        <v>596</v>
      </c>
      <c r="AE1003" s="36">
        <v>100</v>
      </c>
      <c r="AF1003" s="36"/>
      <c r="AG1003" s="79">
        <v>1</v>
      </c>
      <c r="AH1003" s="36">
        <v>0</v>
      </c>
      <c r="AI1003" s="33"/>
      <c r="AJ1003" s="37"/>
      <c r="AK1003" s="35"/>
      <c r="AL1003" s="35"/>
    </row>
    <row r="1004" s="25" customFormat="1" hidden="1" customHeight="1" spans="1:38">
      <c r="A1004" s="33">
        <v>5303207</v>
      </c>
      <c r="B1004" s="34"/>
      <c r="C1004" s="35">
        <v>5303207</v>
      </c>
      <c r="D1004" s="36">
        <v>3</v>
      </c>
      <c r="E1004" s="36"/>
      <c r="F1004" s="36" t="s">
        <v>1417</v>
      </c>
      <c r="G1004" s="36">
        <f t="shared" si="274"/>
        <v>1</v>
      </c>
      <c r="H1004" s="36">
        <f>IFERROR(IF(--MID($F1004,2*COUNTIF($G1004:G1004,"&gt;"&amp;0)+2,1)=H$1,H$1,""),"")</f>
        <v>2</v>
      </c>
      <c r="I1004" s="36" t="str">
        <f>IFERROR(IF(--MID($F1004,2*COUNTIF($G1004:H1004,"&gt;"&amp;0)+2,1)=I$1,I$1,""),"")</f>
        <v/>
      </c>
      <c r="J1004" s="36" t="str">
        <f>IFERROR(IF(--MID($F1004,2*COUNTIF($G1004:I1004,"&gt;"&amp;0)+2,1)=J$1,J$1,""),"")</f>
        <v/>
      </c>
      <c r="K1004" s="36">
        <f>IFERROR(IF(--MID($F1004,2*COUNTIF($G1004:J1004,"&gt;"&amp;0)+2,1)=K$1,K$1,""),"")</f>
        <v>5</v>
      </c>
      <c r="L1004" s="36" t="str">
        <f>IFERROR(IF(--MID($F1004,2*COUNTIF($G1004:K1004,"&gt;"&amp;0)+2,1)=L$1,L$1,""),"")</f>
        <v/>
      </c>
      <c r="M1004" s="36" t="e" cm="1">
        <f t="array" ref="M1004">IF(A1004="","",_xlfn.XLOOKUP(D1004&amp;"_"&amp;AE1004,符文权重!A:A&amp;"_"&amp;符文权重!C:C,符文权重!D:D))</f>
        <v>#N/A</v>
      </c>
      <c r="N1004" s="36"/>
      <c r="O1004" s="36"/>
      <c r="P1004" s="36"/>
      <c r="Q1004" s="36"/>
      <c r="R1004" s="36"/>
      <c r="S1004" s="36" t="s">
        <v>175</v>
      </c>
      <c r="T1004" s="36"/>
      <c r="U1004" s="36" t="s">
        <v>417</v>
      </c>
      <c r="W1004" s="36" t="s">
        <v>356</v>
      </c>
      <c r="X1004" s="35"/>
      <c r="Y1004" s="35"/>
      <c r="Z1004" s="35"/>
      <c r="AA1004" s="36" t="s">
        <v>183</v>
      </c>
      <c r="AB1004" s="36" t="s">
        <v>1418</v>
      </c>
      <c r="AC1004" s="35">
        <v>5503021</v>
      </c>
      <c r="AD1004" s="36" t="s">
        <v>487</v>
      </c>
      <c r="AE1004" s="36">
        <v>100</v>
      </c>
      <c r="AF1004" s="36"/>
      <c r="AG1004" s="79">
        <v>1</v>
      </c>
      <c r="AH1004" s="36">
        <v>0</v>
      </c>
      <c r="AL1004" s="35"/>
    </row>
    <row r="1005" s="25" customFormat="1" hidden="1" customHeight="1" spans="1:38">
      <c r="A1005" s="33">
        <v>5304207</v>
      </c>
      <c r="B1005" s="34"/>
      <c r="C1005" s="35">
        <v>5303207</v>
      </c>
      <c r="D1005" s="36">
        <v>4</v>
      </c>
      <c r="E1005" s="36"/>
      <c r="F1005" s="36" t="s">
        <v>1417</v>
      </c>
      <c r="G1005" s="36">
        <f t="shared" si="274"/>
        <v>1</v>
      </c>
      <c r="H1005" s="36">
        <f>IFERROR(IF(--MID($F1005,2*COUNTIF($G1005:G1005,"&gt;"&amp;0)+2,1)=H$1,H$1,""),"")</f>
        <v>2</v>
      </c>
      <c r="I1005" s="36" t="str">
        <f>IFERROR(IF(--MID($F1005,2*COUNTIF($G1005:H1005,"&gt;"&amp;0)+2,1)=I$1,I$1,""),"")</f>
        <v/>
      </c>
      <c r="J1005" s="36" t="str">
        <f>IFERROR(IF(--MID($F1005,2*COUNTIF($G1005:I1005,"&gt;"&amp;0)+2,1)=J$1,J$1,""),"")</f>
        <v/>
      </c>
      <c r="K1005" s="36">
        <f>IFERROR(IF(--MID($F1005,2*COUNTIF($G1005:J1005,"&gt;"&amp;0)+2,1)=K$1,K$1,""),"")</f>
        <v>5</v>
      </c>
      <c r="L1005" s="36" t="str">
        <f>IFERROR(IF(--MID($F1005,2*COUNTIF($G1005:K1005,"&gt;"&amp;0)+2,1)=L$1,L$1,""),"")</f>
        <v/>
      </c>
      <c r="M1005" s="36" t="e" cm="1">
        <f t="array" ref="M1005">IF(A1005="","",_xlfn.XLOOKUP(D1005&amp;"_"&amp;AE1005,符文权重!A:A&amp;"_"&amp;符文权重!C:C,符文权重!D:D))</f>
        <v>#N/A</v>
      </c>
      <c r="N1005" s="36"/>
      <c r="O1005" s="36"/>
      <c r="P1005" s="36"/>
      <c r="Q1005" s="36"/>
      <c r="R1005" s="36"/>
      <c r="S1005" s="36" t="s">
        <v>175</v>
      </c>
      <c r="T1005" s="36"/>
      <c r="U1005" s="36" t="s">
        <v>420</v>
      </c>
      <c r="W1005" s="36" t="s">
        <v>357</v>
      </c>
      <c r="X1005" s="35"/>
      <c r="Y1005" s="35"/>
      <c r="Z1005" s="35"/>
      <c r="AA1005" s="36" t="s">
        <v>185</v>
      </c>
      <c r="AB1005" s="36" t="s">
        <v>1419</v>
      </c>
      <c r="AC1005" s="35">
        <v>5503021</v>
      </c>
      <c r="AD1005" s="36" t="s">
        <v>497</v>
      </c>
      <c r="AE1005" s="36">
        <v>100</v>
      </c>
      <c r="AF1005" s="36"/>
      <c r="AG1005" s="79">
        <v>1</v>
      </c>
      <c r="AH1005" s="36">
        <v>0</v>
      </c>
      <c r="AL1005" s="35"/>
    </row>
    <row r="1006" s="25" customFormat="1" hidden="1" customHeight="1" spans="1:38">
      <c r="A1006" s="33">
        <v>5305207</v>
      </c>
      <c r="B1006" s="34"/>
      <c r="C1006" s="35">
        <v>5303207</v>
      </c>
      <c r="D1006" s="36">
        <v>5</v>
      </c>
      <c r="E1006" s="36"/>
      <c r="F1006" s="36" t="s">
        <v>1417</v>
      </c>
      <c r="G1006" s="36">
        <f t="shared" si="274"/>
        <v>1</v>
      </c>
      <c r="H1006" s="36">
        <f>IFERROR(IF(--MID($F1006,2*COUNTIF($G1006:G1006,"&gt;"&amp;0)+2,1)=H$1,H$1,""),"")</f>
        <v>2</v>
      </c>
      <c r="I1006" s="36" t="str">
        <f>IFERROR(IF(--MID($F1006,2*COUNTIF($G1006:H1006,"&gt;"&amp;0)+2,1)=I$1,I$1,""),"")</f>
        <v/>
      </c>
      <c r="J1006" s="36" t="str">
        <f>IFERROR(IF(--MID($F1006,2*COUNTIF($G1006:I1006,"&gt;"&amp;0)+2,1)=J$1,J$1,""),"")</f>
        <v/>
      </c>
      <c r="K1006" s="36">
        <f>IFERROR(IF(--MID($F1006,2*COUNTIF($G1006:J1006,"&gt;"&amp;0)+2,1)=K$1,K$1,""),"")</f>
        <v>5</v>
      </c>
      <c r="L1006" s="36" t="str">
        <f>IFERROR(IF(--MID($F1006,2*COUNTIF($G1006:K1006,"&gt;"&amp;0)+2,1)=L$1,L$1,""),"")</f>
        <v/>
      </c>
      <c r="M1006" s="36" t="e" cm="1">
        <f t="array" ref="M1006">IF(A1006="","",_xlfn.XLOOKUP(D1006&amp;"_"&amp;AE1006,符文权重!A:A&amp;"_"&amp;符文权重!C:C,符文权重!D:D))</f>
        <v>#N/A</v>
      </c>
      <c r="N1006" s="36"/>
      <c r="O1006" s="36"/>
      <c r="P1006" s="36"/>
      <c r="Q1006" s="36"/>
      <c r="R1006" s="36"/>
      <c r="S1006" s="36" t="s">
        <v>175</v>
      </c>
      <c r="T1006" s="36"/>
      <c r="U1006" s="36" t="s">
        <v>423</v>
      </c>
      <c r="W1006" s="36" t="s">
        <v>358</v>
      </c>
      <c r="X1006" s="35"/>
      <c r="Y1006" s="35"/>
      <c r="Z1006" s="35"/>
      <c r="AA1006" s="36" t="s">
        <v>187</v>
      </c>
      <c r="AB1006" s="36" t="s">
        <v>1420</v>
      </c>
      <c r="AC1006" s="35">
        <v>5503021</v>
      </c>
      <c r="AD1006" s="36" t="s">
        <v>596</v>
      </c>
      <c r="AE1006" s="36">
        <v>100</v>
      </c>
      <c r="AF1006" s="36"/>
      <c r="AG1006" s="79">
        <v>1</v>
      </c>
      <c r="AH1006" s="36">
        <v>0</v>
      </c>
      <c r="AL1006" s="35"/>
    </row>
    <row r="1007" s="25" customFormat="1" hidden="1" customHeight="1" spans="1:38">
      <c r="A1007" s="33">
        <v>5306207</v>
      </c>
      <c r="B1007" s="34"/>
      <c r="C1007" s="35">
        <v>5303207</v>
      </c>
      <c r="D1007" s="36">
        <v>6</v>
      </c>
      <c r="E1007" s="36"/>
      <c r="F1007" s="36" t="s">
        <v>1417</v>
      </c>
      <c r="G1007" s="36">
        <f t="shared" si="274"/>
        <v>1</v>
      </c>
      <c r="H1007" s="36">
        <f>IFERROR(IF(--MID($F1007,2*COUNTIF($G1007:G1007,"&gt;"&amp;0)+2,1)=H$1,H$1,""),"")</f>
        <v>2</v>
      </c>
      <c r="I1007" s="36" t="str">
        <f>IFERROR(IF(--MID($F1007,2*COUNTIF($G1007:H1007,"&gt;"&amp;0)+2,1)=I$1,I$1,""),"")</f>
        <v/>
      </c>
      <c r="J1007" s="36" t="str">
        <f>IFERROR(IF(--MID($F1007,2*COUNTIF($G1007:I1007,"&gt;"&amp;0)+2,1)=J$1,J$1,""),"")</f>
        <v/>
      </c>
      <c r="K1007" s="36">
        <f>IFERROR(IF(--MID($F1007,2*COUNTIF($G1007:J1007,"&gt;"&amp;0)+2,1)=K$1,K$1,""),"")</f>
        <v>5</v>
      </c>
      <c r="L1007" s="36" t="str">
        <f>IFERROR(IF(--MID($F1007,2*COUNTIF($G1007:K1007,"&gt;"&amp;0)+2,1)=L$1,L$1,""),"")</f>
        <v/>
      </c>
      <c r="M1007" s="36" t="e" cm="1">
        <f t="array" ref="M1007">IF(A1007="","",_xlfn.XLOOKUP(D1007&amp;"_"&amp;AE1007,符文权重!A:A&amp;"_"&amp;符文权重!C:C,符文权重!D:D))</f>
        <v>#N/A</v>
      </c>
      <c r="N1007" s="36"/>
      <c r="O1007" s="36"/>
      <c r="P1007" s="36"/>
      <c r="Q1007" s="36"/>
      <c r="R1007" s="36"/>
      <c r="S1007" s="36" t="s">
        <v>175</v>
      </c>
      <c r="T1007" s="36"/>
      <c r="U1007" s="36" t="s">
        <v>426</v>
      </c>
      <c r="W1007" s="36" t="s">
        <v>359</v>
      </c>
      <c r="X1007" s="35"/>
      <c r="Y1007" s="35"/>
      <c r="Z1007" s="35"/>
      <c r="AA1007" s="36" t="s">
        <v>189</v>
      </c>
      <c r="AB1007" s="36" t="s">
        <v>1421</v>
      </c>
      <c r="AC1007" s="35">
        <v>5503021</v>
      </c>
      <c r="AD1007" s="36" t="s">
        <v>476</v>
      </c>
      <c r="AE1007" s="36">
        <v>100</v>
      </c>
      <c r="AF1007" s="36"/>
      <c r="AG1007" s="79">
        <v>1</v>
      </c>
      <c r="AH1007" s="36">
        <v>0</v>
      </c>
      <c r="AL1007" s="35"/>
    </row>
    <row r="1008" s="25" customFormat="1" hidden="1" customHeight="1" spans="1:38">
      <c r="A1008" s="33">
        <v>5307207</v>
      </c>
      <c r="B1008" s="34"/>
      <c r="C1008" s="35">
        <v>5303207</v>
      </c>
      <c r="D1008" s="36">
        <v>7</v>
      </c>
      <c r="E1008" s="36"/>
      <c r="F1008" s="36" t="s">
        <v>1417</v>
      </c>
      <c r="G1008" s="36">
        <f t="shared" si="274"/>
        <v>1</v>
      </c>
      <c r="H1008" s="36">
        <f>IFERROR(IF(--MID($F1008,2*COUNTIF($G1008:G1008,"&gt;"&amp;0)+2,1)=H$1,H$1,""),"")</f>
        <v>2</v>
      </c>
      <c r="I1008" s="36" t="str">
        <f>IFERROR(IF(--MID($F1008,2*COUNTIF($G1008:H1008,"&gt;"&amp;0)+2,1)=I$1,I$1,""),"")</f>
        <v/>
      </c>
      <c r="J1008" s="36" t="str">
        <f>IFERROR(IF(--MID($F1008,2*COUNTIF($G1008:I1008,"&gt;"&amp;0)+2,1)=J$1,J$1,""),"")</f>
        <v/>
      </c>
      <c r="K1008" s="36">
        <f>IFERROR(IF(--MID($F1008,2*COUNTIF($G1008:J1008,"&gt;"&amp;0)+2,1)=K$1,K$1,""),"")</f>
        <v>5</v>
      </c>
      <c r="L1008" s="36" t="str">
        <f>IFERROR(IF(--MID($F1008,2*COUNTIF($G1008:K1008,"&gt;"&amp;0)+2,1)=L$1,L$1,""),"")</f>
        <v/>
      </c>
      <c r="M1008" s="36" t="e" cm="1">
        <f t="array" ref="M1008">IF(A1008="","",_xlfn.XLOOKUP(D1008&amp;"_"&amp;AE1008,符文权重!A:A&amp;"_"&amp;符文权重!C:C,符文权重!D:D))</f>
        <v>#N/A</v>
      </c>
      <c r="N1008" s="36"/>
      <c r="O1008" s="36"/>
      <c r="P1008" s="36"/>
      <c r="Q1008" s="36"/>
      <c r="R1008" s="36"/>
      <c r="S1008" s="36" t="s">
        <v>175</v>
      </c>
      <c r="T1008" s="36"/>
      <c r="U1008" s="36" t="s">
        <v>429</v>
      </c>
      <c r="W1008" s="36" t="s">
        <v>360</v>
      </c>
      <c r="X1008" s="35"/>
      <c r="Y1008" s="35"/>
      <c r="Z1008" s="35"/>
      <c r="AA1008" s="36" t="s">
        <v>191</v>
      </c>
      <c r="AB1008" s="36" t="s">
        <v>1422</v>
      </c>
      <c r="AC1008" s="35">
        <v>5503021</v>
      </c>
      <c r="AD1008" s="36" t="s">
        <v>600</v>
      </c>
      <c r="AE1008" s="36">
        <v>100</v>
      </c>
      <c r="AF1008" s="36"/>
      <c r="AG1008" s="79">
        <v>1</v>
      </c>
      <c r="AH1008" s="36">
        <v>0</v>
      </c>
      <c r="AL1008" s="35"/>
    </row>
    <row r="1009" s="25" customFormat="1" hidden="1" customHeight="1" spans="1:38">
      <c r="A1009" s="33">
        <v>5303208</v>
      </c>
      <c r="B1009" s="34"/>
      <c r="C1009" s="35">
        <v>5303208</v>
      </c>
      <c r="D1009" s="36">
        <v>3</v>
      </c>
      <c r="E1009" s="36"/>
      <c r="F1009" s="36" t="s">
        <v>1423</v>
      </c>
      <c r="G1009" s="36">
        <f t="shared" si="274"/>
        <v>1</v>
      </c>
      <c r="H1009" s="36" t="str">
        <f>IFERROR(IF(--MID($F1009,2*COUNTIF($G1009:G1009,"&gt;"&amp;0)+2,1)=H$1,H$1,""),"")</f>
        <v/>
      </c>
      <c r="I1009" s="36" t="str">
        <f>IFERROR(IF(--MID($F1009,2*COUNTIF($G1009:H1009,"&gt;"&amp;0)+2,1)=I$1,I$1,""),"")</f>
        <v/>
      </c>
      <c r="J1009" s="36">
        <f>IFERROR(IF(--MID($F1009,2*COUNTIF($G1009:I1009,"&gt;"&amp;0)+2,1)=J$1,J$1,""),"")</f>
        <v>4</v>
      </c>
      <c r="K1009" s="36" t="str">
        <f>IFERROR(IF(--MID($F1009,2*COUNTIF($G1009:J1009,"&gt;"&amp;0)+2,1)=K$1,K$1,""),"")</f>
        <v/>
      </c>
      <c r="L1009" s="36">
        <f>IFERROR(IF(--MID($F1009,2*COUNTIF($G1009:K1009,"&gt;"&amp;0)+2,1)=L$1,L$1,""),"")</f>
        <v>6</v>
      </c>
      <c r="M1009" s="36" t="e" cm="1">
        <f t="array" ref="M1009">IF(A1009="","",_xlfn.XLOOKUP(D1009&amp;"_"&amp;AE1009,符文权重!A:A&amp;"_"&amp;符文权重!C:C,符文权重!D:D))</f>
        <v>#N/A</v>
      </c>
      <c r="N1009" s="36"/>
      <c r="O1009" s="36"/>
      <c r="P1009" s="36"/>
      <c r="Q1009" s="36"/>
      <c r="R1009" s="36"/>
      <c r="S1009" s="36" t="s">
        <v>175</v>
      </c>
      <c r="T1009" s="36"/>
      <c r="U1009" s="36" t="s">
        <v>417</v>
      </c>
      <c r="W1009" s="36" t="s">
        <v>356</v>
      </c>
      <c r="X1009" s="35"/>
      <c r="Y1009" s="35"/>
      <c r="Z1009" s="35"/>
      <c r="AA1009" s="36" t="s">
        <v>183</v>
      </c>
      <c r="AB1009" s="36" t="s">
        <v>1418</v>
      </c>
      <c r="AC1009" s="35">
        <v>5503021</v>
      </c>
      <c r="AD1009" s="36" t="s">
        <v>487</v>
      </c>
      <c r="AE1009" s="36">
        <v>100</v>
      </c>
      <c r="AF1009" s="36"/>
      <c r="AG1009" s="79">
        <v>1</v>
      </c>
      <c r="AH1009" s="36">
        <v>0</v>
      </c>
      <c r="AI1009" s="33"/>
      <c r="AJ1009" s="37"/>
      <c r="AK1009" s="35"/>
      <c r="AL1009" s="35"/>
    </row>
    <row r="1010" s="25" customFormat="1" hidden="1" customHeight="1" spans="1:38">
      <c r="A1010" s="33">
        <v>5304208</v>
      </c>
      <c r="B1010" s="34"/>
      <c r="C1010" s="35">
        <v>5303208</v>
      </c>
      <c r="D1010" s="36">
        <v>4</v>
      </c>
      <c r="E1010" s="36"/>
      <c r="F1010" s="36" t="s">
        <v>1423</v>
      </c>
      <c r="G1010" s="36">
        <f t="shared" si="274"/>
        <v>1</v>
      </c>
      <c r="H1010" s="36" t="str">
        <f>IFERROR(IF(--MID($F1010,2*COUNTIF($G1010:G1010,"&gt;"&amp;0)+2,1)=H$1,H$1,""),"")</f>
        <v/>
      </c>
      <c r="I1010" s="36" t="str">
        <f>IFERROR(IF(--MID($F1010,2*COUNTIF($G1010:H1010,"&gt;"&amp;0)+2,1)=I$1,I$1,""),"")</f>
        <v/>
      </c>
      <c r="J1010" s="36">
        <f>IFERROR(IF(--MID($F1010,2*COUNTIF($G1010:I1010,"&gt;"&amp;0)+2,1)=J$1,J$1,""),"")</f>
        <v>4</v>
      </c>
      <c r="K1010" s="36" t="str">
        <f>IFERROR(IF(--MID($F1010,2*COUNTIF($G1010:J1010,"&gt;"&amp;0)+2,1)=K$1,K$1,""),"")</f>
        <v/>
      </c>
      <c r="L1010" s="36">
        <f>IFERROR(IF(--MID($F1010,2*COUNTIF($G1010:K1010,"&gt;"&amp;0)+2,1)=L$1,L$1,""),"")</f>
        <v>6</v>
      </c>
      <c r="M1010" s="36" t="e" cm="1">
        <f t="array" ref="M1010">IF(A1010="","",_xlfn.XLOOKUP(D1010&amp;"_"&amp;AE1010,符文权重!A:A&amp;"_"&amp;符文权重!C:C,符文权重!D:D))</f>
        <v>#N/A</v>
      </c>
      <c r="N1010" s="36"/>
      <c r="O1010" s="36"/>
      <c r="P1010" s="36"/>
      <c r="Q1010" s="36"/>
      <c r="R1010" s="36"/>
      <c r="S1010" s="36" t="s">
        <v>175</v>
      </c>
      <c r="T1010" s="36"/>
      <c r="U1010" s="36" t="s">
        <v>420</v>
      </c>
      <c r="W1010" s="36" t="s">
        <v>357</v>
      </c>
      <c r="X1010" s="35"/>
      <c r="Y1010" s="35"/>
      <c r="Z1010" s="35"/>
      <c r="AA1010" s="36" t="s">
        <v>185</v>
      </c>
      <c r="AB1010" s="36" t="s">
        <v>1419</v>
      </c>
      <c r="AC1010" s="35">
        <v>5503021</v>
      </c>
      <c r="AD1010" s="36" t="s">
        <v>497</v>
      </c>
      <c r="AE1010" s="36">
        <v>100</v>
      </c>
      <c r="AF1010" s="36"/>
      <c r="AG1010" s="79">
        <v>1</v>
      </c>
      <c r="AH1010" s="36">
        <v>0</v>
      </c>
      <c r="AI1010" s="33"/>
      <c r="AJ1010" s="37"/>
      <c r="AK1010" s="35"/>
      <c r="AL1010" s="35"/>
    </row>
    <row r="1011" s="25" customFormat="1" hidden="1" customHeight="1" spans="1:38">
      <c r="A1011" s="33">
        <v>5305208</v>
      </c>
      <c r="B1011" s="34"/>
      <c r="C1011" s="35">
        <v>5303208</v>
      </c>
      <c r="D1011" s="36">
        <v>5</v>
      </c>
      <c r="E1011" s="36"/>
      <c r="F1011" s="36" t="s">
        <v>1423</v>
      </c>
      <c r="G1011" s="36">
        <f t="shared" si="274"/>
        <v>1</v>
      </c>
      <c r="H1011" s="36" t="str">
        <f>IFERROR(IF(--MID($F1011,2*COUNTIF($G1011:G1011,"&gt;"&amp;0)+2,1)=H$1,H$1,""),"")</f>
        <v/>
      </c>
      <c r="I1011" s="36" t="str">
        <f>IFERROR(IF(--MID($F1011,2*COUNTIF($G1011:H1011,"&gt;"&amp;0)+2,1)=I$1,I$1,""),"")</f>
        <v/>
      </c>
      <c r="J1011" s="36">
        <f>IFERROR(IF(--MID($F1011,2*COUNTIF($G1011:I1011,"&gt;"&amp;0)+2,1)=J$1,J$1,""),"")</f>
        <v>4</v>
      </c>
      <c r="K1011" s="36" t="str">
        <f>IFERROR(IF(--MID($F1011,2*COUNTIF($G1011:J1011,"&gt;"&amp;0)+2,1)=K$1,K$1,""),"")</f>
        <v/>
      </c>
      <c r="L1011" s="36">
        <f>IFERROR(IF(--MID($F1011,2*COUNTIF($G1011:K1011,"&gt;"&amp;0)+2,1)=L$1,L$1,""),"")</f>
        <v>6</v>
      </c>
      <c r="M1011" s="36" t="e" cm="1">
        <f t="array" ref="M1011">IF(A1011="","",_xlfn.XLOOKUP(D1011&amp;"_"&amp;AE1011,符文权重!A:A&amp;"_"&amp;符文权重!C:C,符文权重!D:D))</f>
        <v>#N/A</v>
      </c>
      <c r="N1011" s="36"/>
      <c r="O1011" s="36"/>
      <c r="P1011" s="36"/>
      <c r="Q1011" s="36"/>
      <c r="R1011" s="36"/>
      <c r="S1011" s="36" t="s">
        <v>175</v>
      </c>
      <c r="T1011" s="36"/>
      <c r="U1011" s="36" t="s">
        <v>423</v>
      </c>
      <c r="W1011" s="36" t="s">
        <v>358</v>
      </c>
      <c r="X1011" s="35"/>
      <c r="Y1011" s="35"/>
      <c r="Z1011" s="35"/>
      <c r="AA1011" s="36" t="s">
        <v>187</v>
      </c>
      <c r="AB1011" s="36" t="s">
        <v>1420</v>
      </c>
      <c r="AC1011" s="35">
        <v>5503021</v>
      </c>
      <c r="AD1011" s="36" t="s">
        <v>596</v>
      </c>
      <c r="AE1011" s="36">
        <v>100</v>
      </c>
      <c r="AF1011" s="36"/>
      <c r="AG1011" s="79">
        <v>1</v>
      </c>
      <c r="AH1011" s="36">
        <v>0</v>
      </c>
      <c r="AI1011" s="33"/>
      <c r="AJ1011" s="37"/>
      <c r="AK1011" s="35"/>
      <c r="AL1011" s="35"/>
    </row>
    <row r="1012" s="25" customFormat="1" hidden="1" customHeight="1" spans="1:38">
      <c r="A1012" s="33">
        <v>5306208</v>
      </c>
      <c r="B1012" s="34"/>
      <c r="C1012" s="35">
        <v>5303208</v>
      </c>
      <c r="D1012" s="36">
        <v>6</v>
      </c>
      <c r="E1012" s="36"/>
      <c r="F1012" s="36" t="s">
        <v>1423</v>
      </c>
      <c r="G1012" s="36">
        <f t="shared" si="274"/>
        <v>1</v>
      </c>
      <c r="H1012" s="36" t="str">
        <f>IFERROR(IF(--MID($F1012,2*COUNTIF($G1012:G1012,"&gt;"&amp;0)+2,1)=H$1,H$1,""),"")</f>
        <v/>
      </c>
      <c r="I1012" s="36" t="str">
        <f>IFERROR(IF(--MID($F1012,2*COUNTIF($G1012:H1012,"&gt;"&amp;0)+2,1)=I$1,I$1,""),"")</f>
        <v/>
      </c>
      <c r="J1012" s="36">
        <f>IFERROR(IF(--MID($F1012,2*COUNTIF($G1012:I1012,"&gt;"&amp;0)+2,1)=J$1,J$1,""),"")</f>
        <v>4</v>
      </c>
      <c r="K1012" s="36" t="str">
        <f>IFERROR(IF(--MID($F1012,2*COUNTIF($G1012:J1012,"&gt;"&amp;0)+2,1)=K$1,K$1,""),"")</f>
        <v/>
      </c>
      <c r="L1012" s="36">
        <f>IFERROR(IF(--MID($F1012,2*COUNTIF($G1012:K1012,"&gt;"&amp;0)+2,1)=L$1,L$1,""),"")</f>
        <v>6</v>
      </c>
      <c r="M1012" s="36" t="e" cm="1">
        <f t="array" ref="M1012">IF(A1012="","",_xlfn.XLOOKUP(D1012&amp;"_"&amp;AE1012,符文权重!A:A&amp;"_"&amp;符文权重!C:C,符文权重!D:D))</f>
        <v>#N/A</v>
      </c>
      <c r="N1012" s="36"/>
      <c r="O1012" s="36"/>
      <c r="P1012" s="36"/>
      <c r="Q1012" s="36"/>
      <c r="R1012" s="36"/>
      <c r="S1012" s="36" t="s">
        <v>175</v>
      </c>
      <c r="T1012" s="36"/>
      <c r="U1012" s="36" t="s">
        <v>426</v>
      </c>
      <c r="W1012" s="36" t="s">
        <v>359</v>
      </c>
      <c r="X1012" s="35"/>
      <c r="Y1012" s="35"/>
      <c r="Z1012" s="35"/>
      <c r="AA1012" s="36" t="s">
        <v>189</v>
      </c>
      <c r="AB1012" s="36" t="s">
        <v>1421</v>
      </c>
      <c r="AC1012" s="35">
        <v>5503021</v>
      </c>
      <c r="AD1012" s="36" t="s">
        <v>476</v>
      </c>
      <c r="AE1012" s="36">
        <v>100</v>
      </c>
      <c r="AF1012" s="36"/>
      <c r="AG1012" s="79">
        <v>1</v>
      </c>
      <c r="AH1012" s="36">
        <v>0</v>
      </c>
      <c r="AI1012" s="33"/>
      <c r="AJ1012" s="37"/>
      <c r="AK1012" s="35"/>
      <c r="AL1012" s="35"/>
    </row>
    <row r="1013" s="25" customFormat="1" hidden="1" customHeight="1" spans="1:38">
      <c r="A1013" s="33">
        <v>5307208</v>
      </c>
      <c r="B1013" s="34"/>
      <c r="C1013" s="35">
        <v>5303208</v>
      </c>
      <c r="D1013" s="36">
        <v>7</v>
      </c>
      <c r="E1013" s="36"/>
      <c r="F1013" s="36" t="s">
        <v>1423</v>
      </c>
      <c r="G1013" s="36">
        <f t="shared" si="274"/>
        <v>1</v>
      </c>
      <c r="H1013" s="36" t="str">
        <f>IFERROR(IF(--MID($F1013,2*COUNTIF($G1013:G1013,"&gt;"&amp;0)+2,1)=H$1,H$1,""),"")</f>
        <v/>
      </c>
      <c r="I1013" s="36" t="str">
        <f>IFERROR(IF(--MID($F1013,2*COUNTIF($G1013:H1013,"&gt;"&amp;0)+2,1)=I$1,I$1,""),"")</f>
        <v/>
      </c>
      <c r="J1013" s="36">
        <f>IFERROR(IF(--MID($F1013,2*COUNTIF($G1013:I1013,"&gt;"&amp;0)+2,1)=J$1,J$1,""),"")</f>
        <v>4</v>
      </c>
      <c r="K1013" s="36" t="str">
        <f>IFERROR(IF(--MID($F1013,2*COUNTIF($G1013:J1013,"&gt;"&amp;0)+2,1)=K$1,K$1,""),"")</f>
        <v/>
      </c>
      <c r="L1013" s="36">
        <f>IFERROR(IF(--MID($F1013,2*COUNTIF($G1013:K1013,"&gt;"&amp;0)+2,1)=L$1,L$1,""),"")</f>
        <v>6</v>
      </c>
      <c r="M1013" s="36" t="e" cm="1">
        <f t="array" ref="M1013">IF(A1013="","",_xlfn.XLOOKUP(D1013&amp;"_"&amp;AE1013,符文权重!A:A&amp;"_"&amp;符文权重!C:C,符文权重!D:D))</f>
        <v>#N/A</v>
      </c>
      <c r="N1013" s="36"/>
      <c r="O1013" s="36"/>
      <c r="P1013" s="36"/>
      <c r="Q1013" s="36"/>
      <c r="R1013" s="36"/>
      <c r="S1013" s="36" t="s">
        <v>175</v>
      </c>
      <c r="T1013" s="36"/>
      <c r="U1013" s="36" t="s">
        <v>429</v>
      </c>
      <c r="W1013" s="36" t="s">
        <v>360</v>
      </c>
      <c r="X1013" s="35"/>
      <c r="Y1013" s="35"/>
      <c r="Z1013" s="35"/>
      <c r="AA1013" s="36" t="s">
        <v>191</v>
      </c>
      <c r="AB1013" s="36" t="s">
        <v>1422</v>
      </c>
      <c r="AC1013" s="35">
        <v>5503021</v>
      </c>
      <c r="AD1013" s="36" t="s">
        <v>600</v>
      </c>
      <c r="AE1013" s="36">
        <v>100</v>
      </c>
      <c r="AF1013" s="36"/>
      <c r="AG1013" s="79">
        <v>1</v>
      </c>
      <c r="AH1013" s="36">
        <v>0</v>
      </c>
      <c r="AI1013" s="33"/>
      <c r="AJ1013" s="37"/>
      <c r="AK1013" s="35"/>
      <c r="AL1013" s="35"/>
    </row>
    <row r="1014" s="25" customFormat="1" hidden="1" customHeight="1" spans="1:38">
      <c r="A1014" s="33">
        <v>5301210</v>
      </c>
      <c r="B1014" s="34"/>
      <c r="C1014" s="35">
        <v>5301210</v>
      </c>
      <c r="D1014" s="36">
        <v>1</v>
      </c>
      <c r="E1014" s="36"/>
      <c r="F1014" s="36" t="s">
        <v>1424</v>
      </c>
      <c r="G1014" s="36">
        <f t="shared" si="274"/>
        <v>1</v>
      </c>
      <c r="H1014" s="36" t="str">
        <f>IFERROR(IF(--MID($F1014,2*COUNTIF($G1014:G1014,"&gt;"&amp;0)+2,1)=H$1,H$1,""),"")</f>
        <v/>
      </c>
      <c r="I1014" s="36">
        <f>IFERROR(IF(--MID($F1014,2*COUNTIF($G1014:H1014,"&gt;"&amp;0)+2,1)=I$1,I$1,""),"")</f>
        <v>3</v>
      </c>
      <c r="J1014" s="36">
        <f>IFERROR(IF(--MID($F1014,2*COUNTIF($G1014:I1014,"&gt;"&amp;0)+2,1)=J$1,J$1,""),"")</f>
        <v>4</v>
      </c>
      <c r="K1014" s="36" t="str">
        <f>IFERROR(IF(--MID($F1014,2*COUNTIF($G1014:J1014,"&gt;"&amp;0)+2,1)=K$1,K$1,""),"")</f>
        <v/>
      </c>
      <c r="L1014" s="36" t="str">
        <f>IFERROR(IF(--MID($F1014,2*COUNTIF($G1014:K1014,"&gt;"&amp;0)+2,1)=L$1,L$1,""),"")</f>
        <v/>
      </c>
      <c r="M1014" s="36" t="e" cm="1">
        <f t="array" ref="M1014">IF(A1014="","",_xlfn.XLOOKUP(D1014&amp;"_"&amp;AE1014,符文权重!A:A&amp;"_"&amp;符文权重!C:C,符文权重!D:D))</f>
        <v>#N/A</v>
      </c>
      <c r="N1014" s="36"/>
      <c r="O1014" s="36"/>
      <c r="P1014" s="36"/>
      <c r="Q1014" s="36"/>
      <c r="R1014" s="36"/>
      <c r="S1014" s="36" t="s">
        <v>175</v>
      </c>
      <c r="T1014" s="36"/>
      <c r="U1014" s="36" t="s">
        <v>413</v>
      </c>
      <c r="V1014" s="25" t="s">
        <v>1425</v>
      </c>
      <c r="W1014" s="36"/>
      <c r="X1014" s="35" t="s">
        <v>1426</v>
      </c>
      <c r="Y1014" s="35"/>
      <c r="Z1014" s="35"/>
      <c r="AA1014" s="36" t="s">
        <v>177</v>
      </c>
      <c r="AB1014" s="36" t="s">
        <v>1427</v>
      </c>
      <c r="AC1014" s="35">
        <v>5502041</v>
      </c>
      <c r="AD1014" s="36" t="s">
        <v>422</v>
      </c>
      <c r="AE1014" s="36">
        <v>100</v>
      </c>
      <c r="AF1014" s="36"/>
      <c r="AG1014" s="79">
        <v>1</v>
      </c>
      <c r="AH1014" s="36">
        <v>0</v>
      </c>
      <c r="AI1014" s="33"/>
      <c r="AJ1014" s="37"/>
      <c r="AK1014" s="35"/>
      <c r="AL1014" s="35"/>
    </row>
    <row r="1015" s="25" customFormat="1" hidden="1" customHeight="1" spans="1:38">
      <c r="A1015" s="33">
        <v>5302210</v>
      </c>
      <c r="B1015" s="34"/>
      <c r="C1015" s="35">
        <v>5301210</v>
      </c>
      <c r="D1015" s="36">
        <v>2</v>
      </c>
      <c r="E1015" s="36"/>
      <c r="F1015" s="36" t="s">
        <v>1424</v>
      </c>
      <c r="G1015" s="36">
        <f t="shared" si="274"/>
        <v>1</v>
      </c>
      <c r="H1015" s="36" t="str">
        <f>IFERROR(IF(--MID($F1015,2*COUNTIF($G1015:G1015,"&gt;"&amp;0)+2,1)=H$1,H$1,""),"")</f>
        <v/>
      </c>
      <c r="I1015" s="36">
        <f>IFERROR(IF(--MID($F1015,2*COUNTIF($G1015:H1015,"&gt;"&amp;0)+2,1)=I$1,I$1,""),"")</f>
        <v>3</v>
      </c>
      <c r="J1015" s="36">
        <f>IFERROR(IF(--MID($F1015,2*COUNTIF($G1015:I1015,"&gt;"&amp;0)+2,1)=J$1,J$1,""),"")</f>
        <v>4</v>
      </c>
      <c r="K1015" s="36" t="str">
        <f>IFERROR(IF(--MID($F1015,2*COUNTIF($G1015:J1015,"&gt;"&amp;0)+2,1)=K$1,K$1,""),"")</f>
        <v/>
      </c>
      <c r="L1015" s="36" t="str">
        <f>IFERROR(IF(--MID($F1015,2*COUNTIF($G1015:K1015,"&gt;"&amp;0)+2,1)=L$1,L$1,""),"")</f>
        <v/>
      </c>
      <c r="M1015" s="36" t="e" cm="1">
        <f t="array" ref="M1015">IF(A1015="","",_xlfn.XLOOKUP(D1015&amp;"_"&amp;AE1015,符文权重!A:A&amp;"_"&amp;符文权重!C:C,符文权重!D:D))</f>
        <v>#N/A</v>
      </c>
      <c r="N1015" s="36"/>
      <c r="O1015" s="36"/>
      <c r="P1015" s="36"/>
      <c r="Q1015" s="36"/>
      <c r="R1015" s="36"/>
      <c r="S1015" s="36" t="s">
        <v>175</v>
      </c>
      <c r="T1015" s="36"/>
      <c r="U1015" s="36" t="s">
        <v>415</v>
      </c>
      <c r="V1015" s="25" t="s">
        <v>1428</v>
      </c>
      <c r="W1015" s="36"/>
      <c r="X1015" s="35" t="s">
        <v>1429</v>
      </c>
      <c r="Y1015" s="35"/>
      <c r="Z1015" s="35"/>
      <c r="AA1015" s="36" t="s">
        <v>181</v>
      </c>
      <c r="AB1015" s="36" t="s">
        <v>1430</v>
      </c>
      <c r="AC1015" s="35">
        <v>5502041</v>
      </c>
      <c r="AD1015" s="36" t="s">
        <v>425</v>
      </c>
      <c r="AE1015" s="36">
        <v>100</v>
      </c>
      <c r="AF1015" s="36"/>
      <c r="AG1015" s="79">
        <v>1</v>
      </c>
      <c r="AH1015" s="36">
        <v>0</v>
      </c>
      <c r="AI1015" s="33"/>
      <c r="AJ1015" s="37"/>
      <c r="AK1015" s="35"/>
      <c r="AL1015" s="35"/>
    </row>
    <row r="1016" s="25" customFormat="1" hidden="1" customHeight="1" spans="1:38">
      <c r="A1016" s="33">
        <v>5303210</v>
      </c>
      <c r="B1016" s="34"/>
      <c r="C1016" s="35">
        <v>5301210</v>
      </c>
      <c r="D1016" s="36">
        <v>3</v>
      </c>
      <c r="E1016" s="36"/>
      <c r="F1016" s="36" t="s">
        <v>1424</v>
      </c>
      <c r="G1016" s="36">
        <f t="shared" si="274"/>
        <v>1</v>
      </c>
      <c r="H1016" s="36" t="str">
        <f>IFERROR(IF(--MID($F1016,2*COUNTIF($G1016:G1016,"&gt;"&amp;0)+2,1)=H$1,H$1,""),"")</f>
        <v/>
      </c>
      <c r="I1016" s="36">
        <f>IFERROR(IF(--MID($F1016,2*COUNTIF($G1016:H1016,"&gt;"&amp;0)+2,1)=I$1,I$1,""),"")</f>
        <v>3</v>
      </c>
      <c r="J1016" s="36">
        <f>IFERROR(IF(--MID($F1016,2*COUNTIF($G1016:I1016,"&gt;"&amp;0)+2,1)=J$1,J$1,""),"")</f>
        <v>4</v>
      </c>
      <c r="K1016" s="36" t="str">
        <f>IFERROR(IF(--MID($F1016,2*COUNTIF($G1016:J1016,"&gt;"&amp;0)+2,1)=K$1,K$1,""),"")</f>
        <v/>
      </c>
      <c r="L1016" s="36" t="str">
        <f>IFERROR(IF(--MID($F1016,2*COUNTIF($G1016:K1016,"&gt;"&amp;0)+2,1)=L$1,L$1,""),"")</f>
        <v/>
      </c>
      <c r="M1016" s="36" t="e" cm="1">
        <f t="array" ref="M1016">IF(A1016="","",_xlfn.XLOOKUP(D1016&amp;"_"&amp;AE1016,符文权重!A:A&amp;"_"&amp;符文权重!C:C,符文权重!D:D))</f>
        <v>#N/A</v>
      </c>
      <c r="N1016" s="36"/>
      <c r="O1016" s="36"/>
      <c r="P1016" s="36"/>
      <c r="Q1016" s="36"/>
      <c r="R1016" s="36"/>
      <c r="S1016" s="36" t="s">
        <v>175</v>
      </c>
      <c r="T1016" s="36"/>
      <c r="U1016" s="36" t="s">
        <v>417</v>
      </c>
      <c r="V1016" s="25" t="s">
        <v>1431</v>
      </c>
      <c r="W1016" s="36"/>
      <c r="X1016" s="35" t="s">
        <v>1432</v>
      </c>
      <c r="Y1016" s="35"/>
      <c r="Z1016" s="35"/>
      <c r="AA1016" s="36" t="s">
        <v>183</v>
      </c>
      <c r="AB1016" s="36" t="s">
        <v>1433</v>
      </c>
      <c r="AC1016" s="35">
        <v>5502041</v>
      </c>
      <c r="AD1016" s="36" t="s">
        <v>431</v>
      </c>
      <c r="AE1016" s="36">
        <v>100</v>
      </c>
      <c r="AF1016" s="36"/>
      <c r="AG1016" s="79">
        <v>1</v>
      </c>
      <c r="AH1016" s="36">
        <v>0</v>
      </c>
      <c r="AI1016" s="33"/>
      <c r="AJ1016" s="37"/>
      <c r="AK1016" s="35"/>
      <c r="AL1016" s="35"/>
    </row>
    <row r="1017" s="25" customFormat="1" hidden="1" customHeight="1" spans="1:38">
      <c r="A1017" s="33">
        <v>5304210</v>
      </c>
      <c r="B1017" s="34"/>
      <c r="C1017" s="35">
        <v>5301210</v>
      </c>
      <c r="D1017" s="36">
        <v>4</v>
      </c>
      <c r="E1017" s="36"/>
      <c r="F1017" s="36" t="s">
        <v>1424</v>
      </c>
      <c r="G1017" s="36">
        <f t="shared" si="274"/>
        <v>1</v>
      </c>
      <c r="H1017" s="36" t="str">
        <f>IFERROR(IF(--MID($F1017,2*COUNTIF($G1017:G1017,"&gt;"&amp;0)+2,1)=H$1,H$1,""),"")</f>
        <v/>
      </c>
      <c r="I1017" s="36">
        <f>IFERROR(IF(--MID($F1017,2*COUNTIF($G1017:H1017,"&gt;"&amp;0)+2,1)=I$1,I$1,""),"")</f>
        <v>3</v>
      </c>
      <c r="J1017" s="36">
        <f>IFERROR(IF(--MID($F1017,2*COUNTIF($G1017:I1017,"&gt;"&amp;0)+2,1)=J$1,J$1,""),"")</f>
        <v>4</v>
      </c>
      <c r="K1017" s="36" t="str">
        <f>IFERROR(IF(--MID($F1017,2*COUNTIF($G1017:J1017,"&gt;"&amp;0)+2,1)=K$1,K$1,""),"")</f>
        <v/>
      </c>
      <c r="L1017" s="36" t="str">
        <f>IFERROR(IF(--MID($F1017,2*COUNTIF($G1017:K1017,"&gt;"&amp;0)+2,1)=L$1,L$1,""),"")</f>
        <v/>
      </c>
      <c r="M1017" s="36" t="e" cm="1">
        <f t="array" ref="M1017">IF(A1017="","",_xlfn.XLOOKUP(D1017&amp;"_"&amp;AE1017,符文权重!A:A&amp;"_"&amp;符文权重!C:C,符文权重!D:D))</f>
        <v>#N/A</v>
      </c>
      <c r="N1017" s="36"/>
      <c r="O1017" s="36"/>
      <c r="P1017" s="36"/>
      <c r="Q1017" s="36"/>
      <c r="R1017" s="36"/>
      <c r="S1017" s="36" t="s">
        <v>175</v>
      </c>
      <c r="T1017" s="36"/>
      <c r="U1017" s="36" t="s">
        <v>420</v>
      </c>
      <c r="V1017" s="25" t="s">
        <v>1434</v>
      </c>
      <c r="W1017" s="36"/>
      <c r="X1017" s="35" t="s">
        <v>1435</v>
      </c>
      <c r="Y1017" s="35"/>
      <c r="Z1017" s="35"/>
      <c r="AA1017" s="36" t="s">
        <v>185</v>
      </c>
      <c r="AB1017" s="36" t="s">
        <v>1436</v>
      </c>
      <c r="AC1017" s="35">
        <v>5502041</v>
      </c>
      <c r="AD1017" s="36" t="s">
        <v>487</v>
      </c>
      <c r="AE1017" s="36">
        <v>100</v>
      </c>
      <c r="AF1017" s="36"/>
      <c r="AG1017" s="79">
        <v>1</v>
      </c>
      <c r="AH1017" s="36">
        <v>0</v>
      </c>
      <c r="AI1017" s="33"/>
      <c r="AJ1017" s="37"/>
      <c r="AK1017" s="35"/>
      <c r="AL1017" s="35"/>
    </row>
    <row r="1018" s="25" customFormat="1" hidden="1" customHeight="1" spans="1:38">
      <c r="A1018" s="33">
        <v>5305210</v>
      </c>
      <c r="B1018" s="34"/>
      <c r="C1018" s="35">
        <v>5301210</v>
      </c>
      <c r="D1018" s="36">
        <v>5</v>
      </c>
      <c r="E1018" s="36"/>
      <c r="F1018" s="36" t="s">
        <v>1424</v>
      </c>
      <c r="G1018" s="36">
        <f t="shared" si="274"/>
        <v>1</v>
      </c>
      <c r="H1018" s="36" t="str">
        <f>IFERROR(IF(--MID($F1018,2*COUNTIF($G1018:G1018,"&gt;"&amp;0)+2,1)=H$1,H$1,""),"")</f>
        <v/>
      </c>
      <c r="I1018" s="36">
        <f>IFERROR(IF(--MID($F1018,2*COUNTIF($G1018:H1018,"&gt;"&amp;0)+2,1)=I$1,I$1,""),"")</f>
        <v>3</v>
      </c>
      <c r="J1018" s="36">
        <f>IFERROR(IF(--MID($F1018,2*COUNTIF($G1018:I1018,"&gt;"&amp;0)+2,1)=J$1,J$1,""),"")</f>
        <v>4</v>
      </c>
      <c r="K1018" s="36" t="str">
        <f>IFERROR(IF(--MID($F1018,2*COUNTIF($G1018:J1018,"&gt;"&amp;0)+2,1)=K$1,K$1,""),"")</f>
        <v/>
      </c>
      <c r="L1018" s="36" t="str">
        <f>IFERROR(IF(--MID($F1018,2*COUNTIF($G1018:K1018,"&gt;"&amp;0)+2,1)=L$1,L$1,""),"")</f>
        <v/>
      </c>
      <c r="M1018" s="36" t="e" cm="1">
        <f t="array" ref="M1018">IF(A1018="","",_xlfn.XLOOKUP(D1018&amp;"_"&amp;AE1018,符文权重!A:A&amp;"_"&amp;符文权重!C:C,符文权重!D:D))</f>
        <v>#N/A</v>
      </c>
      <c r="N1018" s="36"/>
      <c r="O1018" s="36"/>
      <c r="P1018" s="36"/>
      <c r="Q1018" s="36"/>
      <c r="R1018" s="36"/>
      <c r="S1018" s="36" t="s">
        <v>175</v>
      </c>
      <c r="T1018" s="36"/>
      <c r="U1018" s="36" t="s">
        <v>423</v>
      </c>
      <c r="V1018" s="25" t="s">
        <v>1437</v>
      </c>
      <c r="W1018" s="36"/>
      <c r="X1018" s="35" t="s">
        <v>1438</v>
      </c>
      <c r="Y1018" s="35"/>
      <c r="Z1018" s="35"/>
      <c r="AA1018" s="36" t="s">
        <v>187</v>
      </c>
      <c r="AB1018" s="36" t="s">
        <v>1439</v>
      </c>
      <c r="AC1018" s="35">
        <v>5502041</v>
      </c>
      <c r="AD1018" s="36" t="s">
        <v>660</v>
      </c>
      <c r="AE1018" s="36">
        <v>100</v>
      </c>
      <c r="AF1018" s="36"/>
      <c r="AG1018" s="79">
        <v>1</v>
      </c>
      <c r="AH1018" s="36">
        <v>0</v>
      </c>
      <c r="AI1018" s="33"/>
      <c r="AJ1018" s="37"/>
      <c r="AK1018" s="35"/>
      <c r="AL1018" s="35"/>
    </row>
    <row r="1019" s="25" customFormat="1" hidden="1" customHeight="1" spans="1:38">
      <c r="A1019" s="33">
        <v>5306210</v>
      </c>
      <c r="B1019" s="34"/>
      <c r="C1019" s="35">
        <v>5301210</v>
      </c>
      <c r="D1019" s="36">
        <v>6</v>
      </c>
      <c r="E1019" s="36"/>
      <c r="F1019" s="36" t="s">
        <v>1424</v>
      </c>
      <c r="G1019" s="36">
        <f t="shared" si="274"/>
        <v>1</v>
      </c>
      <c r="H1019" s="36" t="str">
        <f>IFERROR(IF(--MID($F1019,2*COUNTIF($G1019:G1019,"&gt;"&amp;0)+2,1)=H$1,H$1,""),"")</f>
        <v/>
      </c>
      <c r="I1019" s="36">
        <f>IFERROR(IF(--MID($F1019,2*COUNTIF($G1019:H1019,"&gt;"&amp;0)+2,1)=I$1,I$1,""),"")</f>
        <v>3</v>
      </c>
      <c r="J1019" s="36">
        <f>IFERROR(IF(--MID($F1019,2*COUNTIF($G1019:I1019,"&gt;"&amp;0)+2,1)=J$1,J$1,""),"")</f>
        <v>4</v>
      </c>
      <c r="K1019" s="36" t="str">
        <f>IFERROR(IF(--MID($F1019,2*COUNTIF($G1019:J1019,"&gt;"&amp;0)+2,1)=K$1,K$1,""),"")</f>
        <v/>
      </c>
      <c r="L1019" s="36" t="str">
        <f>IFERROR(IF(--MID($F1019,2*COUNTIF($G1019:K1019,"&gt;"&amp;0)+2,1)=L$1,L$1,""),"")</f>
        <v/>
      </c>
      <c r="M1019" s="36" t="e" cm="1">
        <f t="array" ref="M1019">IF(A1019="","",_xlfn.XLOOKUP(D1019&amp;"_"&amp;AE1019,符文权重!A:A&amp;"_"&amp;符文权重!C:C,符文权重!D:D))</f>
        <v>#N/A</v>
      </c>
      <c r="N1019" s="36"/>
      <c r="O1019" s="36"/>
      <c r="P1019" s="36"/>
      <c r="Q1019" s="36"/>
      <c r="R1019" s="36"/>
      <c r="S1019" s="36" t="s">
        <v>175</v>
      </c>
      <c r="T1019" s="36"/>
      <c r="U1019" s="36" t="s">
        <v>426</v>
      </c>
      <c r="V1019" s="25" t="s">
        <v>1440</v>
      </c>
      <c r="W1019" s="36"/>
      <c r="X1019" s="35" t="s">
        <v>1441</v>
      </c>
      <c r="Y1019" s="35"/>
      <c r="Z1019" s="35"/>
      <c r="AA1019" s="36" t="s">
        <v>189</v>
      </c>
      <c r="AB1019" s="36" t="s">
        <v>1442</v>
      </c>
      <c r="AC1019" s="35">
        <v>5502041</v>
      </c>
      <c r="AD1019" s="36" t="s">
        <v>474</v>
      </c>
      <c r="AE1019" s="36">
        <v>100</v>
      </c>
      <c r="AF1019" s="36"/>
      <c r="AG1019" s="79">
        <v>1</v>
      </c>
      <c r="AH1019" s="36">
        <v>0</v>
      </c>
      <c r="AI1019" s="33"/>
      <c r="AJ1019" s="37"/>
      <c r="AK1019" s="35"/>
      <c r="AL1019" s="35"/>
    </row>
    <row r="1020" s="25" customFormat="1" hidden="1" customHeight="1" spans="1:38">
      <c r="A1020" s="33">
        <v>5307210</v>
      </c>
      <c r="B1020" s="34"/>
      <c r="C1020" s="35">
        <v>5301210</v>
      </c>
      <c r="D1020" s="36">
        <v>7</v>
      </c>
      <c r="E1020" s="36"/>
      <c r="F1020" s="36" t="s">
        <v>1424</v>
      </c>
      <c r="G1020" s="36">
        <f t="shared" si="274"/>
        <v>1</v>
      </c>
      <c r="H1020" s="36" t="str">
        <f>IFERROR(IF(--MID($F1020,2*COUNTIF($G1020:G1020,"&gt;"&amp;0)+2,1)=H$1,H$1,""),"")</f>
        <v/>
      </c>
      <c r="I1020" s="36">
        <f>IFERROR(IF(--MID($F1020,2*COUNTIF($G1020:H1020,"&gt;"&amp;0)+2,1)=I$1,I$1,""),"")</f>
        <v>3</v>
      </c>
      <c r="J1020" s="36">
        <f>IFERROR(IF(--MID($F1020,2*COUNTIF($G1020:I1020,"&gt;"&amp;0)+2,1)=J$1,J$1,""),"")</f>
        <v>4</v>
      </c>
      <c r="K1020" s="36" t="str">
        <f>IFERROR(IF(--MID($F1020,2*COUNTIF($G1020:J1020,"&gt;"&amp;0)+2,1)=K$1,K$1,""),"")</f>
        <v/>
      </c>
      <c r="L1020" s="36" t="str">
        <f>IFERROR(IF(--MID($F1020,2*COUNTIF($G1020:K1020,"&gt;"&amp;0)+2,1)=L$1,L$1,""),"")</f>
        <v/>
      </c>
      <c r="M1020" s="36" t="e" cm="1">
        <f t="array" ref="M1020">IF(A1020="","",_xlfn.XLOOKUP(D1020&amp;"_"&amp;AE1020,符文权重!A:A&amp;"_"&amp;符文权重!C:C,符文权重!D:D))</f>
        <v>#N/A</v>
      </c>
      <c r="N1020" s="36"/>
      <c r="O1020" s="36"/>
      <c r="P1020" s="36"/>
      <c r="Q1020" s="36"/>
      <c r="R1020" s="36"/>
      <c r="S1020" s="36" t="s">
        <v>175</v>
      </c>
      <c r="T1020" s="36"/>
      <c r="U1020" s="36" t="s">
        <v>429</v>
      </c>
      <c r="V1020" s="25" t="s">
        <v>1443</v>
      </c>
      <c r="W1020" s="36"/>
      <c r="X1020" s="35" t="s">
        <v>1444</v>
      </c>
      <c r="Y1020" s="35"/>
      <c r="Z1020" s="35"/>
      <c r="AA1020" s="36" t="s">
        <v>191</v>
      </c>
      <c r="AB1020" s="36" t="s">
        <v>1445</v>
      </c>
      <c r="AC1020" s="35">
        <v>5502041</v>
      </c>
      <c r="AD1020" s="36" t="s">
        <v>451</v>
      </c>
      <c r="AE1020" s="36">
        <v>100</v>
      </c>
      <c r="AF1020" s="36"/>
      <c r="AG1020" s="79">
        <v>1</v>
      </c>
      <c r="AH1020" s="36">
        <v>0</v>
      </c>
      <c r="AI1020" s="33"/>
      <c r="AJ1020" s="37"/>
      <c r="AK1020" s="35"/>
      <c r="AL1020" s="35"/>
    </row>
    <row r="1021" s="25" customFormat="1" hidden="1" customHeight="1" spans="1:38">
      <c r="A1021" s="33">
        <v>5305211</v>
      </c>
      <c r="B1021" s="34"/>
      <c r="C1021" s="35">
        <v>5301211</v>
      </c>
      <c r="D1021" s="36">
        <v>5</v>
      </c>
      <c r="E1021" s="36"/>
      <c r="F1021" s="36" t="s">
        <v>1446</v>
      </c>
      <c r="G1021" s="36">
        <f t="shared" si="274"/>
        <v>1</v>
      </c>
      <c r="H1021" s="36">
        <f>IFERROR(IF(--MID($F1021,2*COUNTIF($G1021:G1021,"&gt;"&amp;0)+2,1)=H$1,H$1,""),"")</f>
        <v>2</v>
      </c>
      <c r="I1021" s="36" t="str">
        <f>IFERROR(IF(--MID($F1021,2*COUNTIF($G1021:H1021,"&gt;"&amp;0)+2,1)=I$1,I$1,""),"")</f>
        <v/>
      </c>
      <c r="J1021" s="36" t="str">
        <f>IFERROR(IF(--MID($F1021,2*COUNTIF($G1021:I1021,"&gt;"&amp;0)+2,1)=J$1,J$1,""),"")</f>
        <v/>
      </c>
      <c r="K1021" s="36" t="str">
        <f>IFERROR(IF(--MID($F1021,2*COUNTIF($G1021:J1021,"&gt;"&amp;0)+2,1)=K$1,K$1,""),"")</f>
        <v/>
      </c>
      <c r="L1021" s="36" t="str">
        <f>IFERROR(IF(--MID($F1021,2*COUNTIF($G1021:K1021,"&gt;"&amp;0)+2,1)=L$1,L$1,""),"")</f>
        <v/>
      </c>
      <c r="M1021" s="36" t="e" cm="1">
        <f t="array" ref="M1021">IF(A1021="","",_xlfn.XLOOKUP(D1021&amp;"_"&amp;AE1021,符文权重!A:A&amp;"_"&amp;符文权重!C:C,符文权重!D:D))</f>
        <v>#N/A</v>
      </c>
      <c r="N1021" s="36"/>
      <c r="O1021" s="36"/>
      <c r="P1021" s="36"/>
      <c r="Q1021" s="36"/>
      <c r="R1021" s="36"/>
      <c r="S1021" s="36" t="s">
        <v>256</v>
      </c>
      <c r="T1021" s="36"/>
      <c r="U1021" s="36" t="s">
        <v>423</v>
      </c>
      <c r="V1021" s="25" t="s">
        <v>1447</v>
      </c>
      <c r="W1021" s="36"/>
      <c r="X1021" s="35"/>
      <c r="Y1021" s="35">
        <v>100</v>
      </c>
      <c r="Z1021" s="35"/>
      <c r="AA1021" s="36" t="s">
        <v>187</v>
      </c>
      <c r="AB1021" s="36" t="s">
        <v>1448</v>
      </c>
      <c r="AC1021" s="35">
        <v>5503051</v>
      </c>
      <c r="AD1021" s="36" t="s">
        <v>422</v>
      </c>
      <c r="AE1021" s="36">
        <v>100</v>
      </c>
      <c r="AF1021" s="36"/>
      <c r="AG1021" s="79">
        <v>1</v>
      </c>
      <c r="AH1021" s="36">
        <v>0</v>
      </c>
      <c r="AI1021" s="33"/>
      <c r="AJ1021" s="37"/>
      <c r="AK1021" s="35"/>
      <c r="AL1021" s="35"/>
    </row>
    <row r="1022" s="25" customFormat="1" hidden="1" customHeight="1" spans="1:38">
      <c r="A1022" s="33">
        <v>5306211</v>
      </c>
      <c r="B1022" s="34"/>
      <c r="C1022" s="35">
        <v>5301211</v>
      </c>
      <c r="D1022" s="36">
        <v>6</v>
      </c>
      <c r="E1022" s="36"/>
      <c r="F1022" s="36" t="s">
        <v>1446</v>
      </c>
      <c r="G1022" s="36">
        <f t="shared" si="274"/>
        <v>1</v>
      </c>
      <c r="H1022" s="36">
        <f>IFERROR(IF(--MID($F1022,2*COUNTIF($G1022:G1022,"&gt;"&amp;0)+2,1)=H$1,H$1,""),"")</f>
        <v>2</v>
      </c>
      <c r="I1022" s="36" t="str">
        <f>IFERROR(IF(--MID($F1022,2*COUNTIF($G1022:H1022,"&gt;"&amp;0)+2,1)=I$1,I$1,""),"")</f>
        <v/>
      </c>
      <c r="J1022" s="36" t="str">
        <f>IFERROR(IF(--MID($F1022,2*COUNTIF($G1022:I1022,"&gt;"&amp;0)+2,1)=J$1,J$1,""),"")</f>
        <v/>
      </c>
      <c r="K1022" s="36" t="str">
        <f>IFERROR(IF(--MID($F1022,2*COUNTIF($G1022:J1022,"&gt;"&amp;0)+2,1)=K$1,K$1,""),"")</f>
        <v/>
      </c>
      <c r="L1022" s="36" t="str">
        <f>IFERROR(IF(--MID($F1022,2*COUNTIF($G1022:K1022,"&gt;"&amp;0)+2,1)=L$1,L$1,""),"")</f>
        <v/>
      </c>
      <c r="M1022" s="36" t="e" cm="1">
        <f t="array" ref="M1022">IF(A1022="","",_xlfn.XLOOKUP(D1022&amp;"_"&amp;AE1022,符文权重!A:A&amp;"_"&amp;符文权重!C:C,符文权重!D:D))</f>
        <v>#N/A</v>
      </c>
      <c r="N1022" s="36"/>
      <c r="O1022" s="36"/>
      <c r="P1022" s="36"/>
      <c r="Q1022" s="36"/>
      <c r="R1022" s="36"/>
      <c r="S1022" s="36" t="s">
        <v>256</v>
      </c>
      <c r="T1022" s="36"/>
      <c r="U1022" s="36" t="s">
        <v>426</v>
      </c>
      <c r="V1022" s="25" t="s">
        <v>1449</v>
      </c>
      <c r="W1022" s="36"/>
      <c r="X1022" s="35"/>
      <c r="Y1022" s="35">
        <v>100</v>
      </c>
      <c r="Z1022" s="35"/>
      <c r="AA1022" s="36" t="s">
        <v>189</v>
      </c>
      <c r="AB1022" s="36" t="s">
        <v>1450</v>
      </c>
      <c r="AC1022" s="35">
        <v>5503051</v>
      </c>
      <c r="AD1022" s="36" t="s">
        <v>428</v>
      </c>
      <c r="AE1022" s="36">
        <v>100</v>
      </c>
      <c r="AF1022" s="36"/>
      <c r="AG1022" s="79">
        <v>1</v>
      </c>
      <c r="AH1022" s="36">
        <v>0</v>
      </c>
      <c r="AI1022" s="33"/>
      <c r="AJ1022" s="37"/>
      <c r="AK1022" s="35"/>
      <c r="AL1022" s="35"/>
    </row>
    <row r="1023" s="25" customFormat="1" hidden="1" customHeight="1" spans="1:38">
      <c r="A1023" s="33">
        <v>5307211</v>
      </c>
      <c r="B1023" s="34"/>
      <c r="C1023" s="35">
        <v>5301211</v>
      </c>
      <c r="D1023" s="36">
        <v>7</v>
      </c>
      <c r="E1023" s="36"/>
      <c r="F1023" s="36" t="s">
        <v>1446</v>
      </c>
      <c r="G1023" s="36">
        <f t="shared" si="274"/>
        <v>1</v>
      </c>
      <c r="H1023" s="36">
        <f>IFERROR(IF(--MID($F1023,2*COUNTIF($G1023:G1023,"&gt;"&amp;0)+2,1)=H$1,H$1,""),"")</f>
        <v>2</v>
      </c>
      <c r="I1023" s="36" t="str">
        <f>IFERROR(IF(--MID($F1023,2*COUNTIF($G1023:H1023,"&gt;"&amp;0)+2,1)=I$1,I$1,""),"")</f>
        <v/>
      </c>
      <c r="J1023" s="36" t="str">
        <f>IFERROR(IF(--MID($F1023,2*COUNTIF($G1023:I1023,"&gt;"&amp;0)+2,1)=J$1,J$1,""),"")</f>
        <v/>
      </c>
      <c r="K1023" s="36" t="str">
        <f>IFERROR(IF(--MID($F1023,2*COUNTIF($G1023:J1023,"&gt;"&amp;0)+2,1)=K$1,K$1,""),"")</f>
        <v/>
      </c>
      <c r="L1023" s="36" t="str">
        <f>IFERROR(IF(--MID($F1023,2*COUNTIF($G1023:K1023,"&gt;"&amp;0)+2,1)=L$1,L$1,""),"")</f>
        <v/>
      </c>
      <c r="M1023" s="36" t="e" cm="1">
        <f t="array" ref="M1023">IF(A1023="","",_xlfn.XLOOKUP(D1023&amp;"_"&amp;AE1023,符文权重!A:A&amp;"_"&amp;符文权重!C:C,符文权重!D:D))</f>
        <v>#N/A</v>
      </c>
      <c r="N1023" s="36"/>
      <c r="O1023" s="36"/>
      <c r="P1023" s="36"/>
      <c r="Q1023" s="36"/>
      <c r="R1023" s="36"/>
      <c r="S1023" s="36" t="s">
        <v>256</v>
      </c>
      <c r="T1023" s="36"/>
      <c r="U1023" s="36" t="s">
        <v>429</v>
      </c>
      <c r="V1023" s="25" t="s">
        <v>1451</v>
      </c>
      <c r="W1023" s="36"/>
      <c r="X1023" s="35"/>
      <c r="Y1023" s="35">
        <v>100</v>
      </c>
      <c r="Z1023" s="35"/>
      <c r="AA1023" s="36" t="s">
        <v>191</v>
      </c>
      <c r="AB1023" s="36" t="s">
        <v>1452</v>
      </c>
      <c r="AC1023" s="35">
        <v>5503051</v>
      </c>
      <c r="AD1023" s="36" t="s">
        <v>487</v>
      </c>
      <c r="AE1023" s="36">
        <v>100</v>
      </c>
      <c r="AF1023" s="36"/>
      <c r="AG1023" s="79">
        <v>1</v>
      </c>
      <c r="AH1023" s="36">
        <v>0</v>
      </c>
      <c r="AI1023" s="33"/>
      <c r="AJ1023" s="37"/>
      <c r="AK1023" s="35"/>
      <c r="AL1023" s="35"/>
    </row>
    <row r="1024" s="25" customFormat="1" hidden="1" customHeight="1" spans="1:38">
      <c r="A1024" s="33">
        <v>5305214</v>
      </c>
      <c r="B1024" s="34"/>
      <c r="C1024" s="35">
        <v>5301214</v>
      </c>
      <c r="D1024" s="36">
        <v>5</v>
      </c>
      <c r="E1024" s="36"/>
      <c r="F1024" s="36" t="s">
        <v>230</v>
      </c>
      <c r="G1024" s="36" t="str">
        <f t="shared" si="274"/>
        <v/>
      </c>
      <c r="H1024" s="36" t="str">
        <f>IFERROR(IF(--MID($F1024,2*COUNTIF($G1024:G1024,"&gt;"&amp;0)+2,1)=H$1,H$1,""),"")</f>
        <v/>
      </c>
      <c r="I1024" s="36" t="str">
        <f>IFERROR(IF(--MID($F1024,2*COUNTIF($G1024:H1024,"&gt;"&amp;0)+2,1)=I$1,I$1,""),"")</f>
        <v/>
      </c>
      <c r="J1024" s="36" t="str">
        <f>IFERROR(IF(--MID($F1024,2*COUNTIF($G1024:I1024,"&gt;"&amp;0)+2,1)=J$1,J$1,""),"")</f>
        <v/>
      </c>
      <c r="K1024" s="36">
        <f>IFERROR(IF(--MID($F1024,2*COUNTIF($G1024:J1024,"&gt;"&amp;0)+2,1)=K$1,K$1,""),"")</f>
        <v>5</v>
      </c>
      <c r="L1024" s="36" t="str">
        <f>IFERROR(IF(--MID($F1024,2*COUNTIF($G1024:K1024,"&gt;"&amp;0)+2,1)=L$1,L$1,""),"")</f>
        <v/>
      </c>
      <c r="M1024" s="36" t="e" cm="1">
        <f t="array" ref="M1024">IF(A1024="","",_xlfn.XLOOKUP(D1024&amp;"_"&amp;AE1024,符文权重!A:A&amp;"_"&amp;符文权重!C:C,符文权重!D:D))</f>
        <v>#N/A</v>
      </c>
      <c r="N1024" s="36"/>
      <c r="O1024" s="36"/>
      <c r="P1024" s="36"/>
      <c r="Q1024" s="36"/>
      <c r="R1024" s="36"/>
      <c r="S1024" s="36" t="s">
        <v>256</v>
      </c>
      <c r="T1024" s="36"/>
      <c r="U1024" s="36" t="s">
        <v>423</v>
      </c>
      <c r="V1024" s="25" t="s">
        <v>1453</v>
      </c>
      <c r="W1024" s="36"/>
      <c r="X1024" s="35" t="s">
        <v>1454</v>
      </c>
      <c r="Y1024" s="35">
        <v>100</v>
      </c>
      <c r="Z1024" s="35"/>
      <c r="AA1024" s="36" t="s">
        <v>187</v>
      </c>
      <c r="AB1024" s="36" t="s">
        <v>1455</v>
      </c>
      <c r="AC1024" s="35">
        <v>5301214</v>
      </c>
      <c r="AD1024" s="36" t="s">
        <v>193</v>
      </c>
      <c r="AE1024" s="36">
        <v>100</v>
      </c>
      <c r="AF1024" s="36"/>
      <c r="AG1024" s="79">
        <v>1</v>
      </c>
      <c r="AH1024" s="36">
        <v>0</v>
      </c>
      <c r="AI1024" s="33"/>
      <c r="AJ1024" s="37"/>
      <c r="AK1024" s="35"/>
      <c r="AL1024" s="35"/>
    </row>
    <row r="1025" s="25" customFormat="1" hidden="1" customHeight="1" spans="1:38">
      <c r="A1025" s="33">
        <v>5306214</v>
      </c>
      <c r="B1025" s="34"/>
      <c r="C1025" s="35">
        <v>5301214</v>
      </c>
      <c r="D1025" s="36">
        <v>6</v>
      </c>
      <c r="E1025" s="36"/>
      <c r="F1025" s="36" t="s">
        <v>230</v>
      </c>
      <c r="G1025" s="36" t="str">
        <f t="shared" si="274"/>
        <v/>
      </c>
      <c r="H1025" s="36" t="str">
        <f>IFERROR(IF(--MID($F1025,2*COUNTIF($G1025:G1025,"&gt;"&amp;0)+2,1)=H$1,H$1,""),"")</f>
        <v/>
      </c>
      <c r="I1025" s="36" t="str">
        <f>IFERROR(IF(--MID($F1025,2*COUNTIF($G1025:H1025,"&gt;"&amp;0)+2,1)=I$1,I$1,""),"")</f>
        <v/>
      </c>
      <c r="J1025" s="36" t="str">
        <f>IFERROR(IF(--MID($F1025,2*COUNTIF($G1025:I1025,"&gt;"&amp;0)+2,1)=J$1,J$1,""),"")</f>
        <v/>
      </c>
      <c r="K1025" s="36">
        <f>IFERROR(IF(--MID($F1025,2*COUNTIF($G1025:J1025,"&gt;"&amp;0)+2,1)=K$1,K$1,""),"")</f>
        <v>5</v>
      </c>
      <c r="L1025" s="36" t="str">
        <f>IFERROR(IF(--MID($F1025,2*COUNTIF($G1025:K1025,"&gt;"&amp;0)+2,1)=L$1,L$1,""),"")</f>
        <v/>
      </c>
      <c r="M1025" s="36" t="e" cm="1">
        <f t="array" ref="M1025">IF(A1025="","",_xlfn.XLOOKUP(D1025&amp;"_"&amp;AE1025,符文权重!A:A&amp;"_"&amp;符文权重!C:C,符文权重!D:D))</f>
        <v>#N/A</v>
      </c>
      <c r="N1025" s="36"/>
      <c r="O1025" s="36"/>
      <c r="P1025" s="36"/>
      <c r="Q1025" s="36"/>
      <c r="R1025" s="36"/>
      <c r="S1025" s="36" t="s">
        <v>256</v>
      </c>
      <c r="T1025" s="36"/>
      <c r="U1025" s="36" t="s">
        <v>426</v>
      </c>
      <c r="V1025" s="25" t="s">
        <v>1456</v>
      </c>
      <c r="W1025" s="36"/>
      <c r="X1025" s="35" t="s">
        <v>1457</v>
      </c>
      <c r="Y1025" s="35">
        <v>100</v>
      </c>
      <c r="Z1025" s="35"/>
      <c r="AA1025" s="36" t="s">
        <v>189</v>
      </c>
      <c r="AB1025" s="36" t="s">
        <v>1458</v>
      </c>
      <c r="AC1025" s="35">
        <v>5301214</v>
      </c>
      <c r="AD1025" s="36" t="s">
        <v>404</v>
      </c>
      <c r="AE1025" s="36">
        <v>100</v>
      </c>
      <c r="AF1025" s="36"/>
      <c r="AG1025" s="79">
        <v>1</v>
      </c>
      <c r="AH1025" s="36">
        <v>0</v>
      </c>
      <c r="AI1025" s="33"/>
      <c r="AJ1025" s="37"/>
      <c r="AK1025" s="35"/>
      <c r="AL1025" s="35"/>
    </row>
    <row r="1026" s="25" customFormat="1" hidden="1" customHeight="1" spans="1:38">
      <c r="A1026" s="33">
        <v>5307214</v>
      </c>
      <c r="B1026" s="34"/>
      <c r="C1026" s="35">
        <v>5301214</v>
      </c>
      <c r="D1026" s="36">
        <v>7</v>
      </c>
      <c r="E1026" s="36"/>
      <c r="F1026" s="36" t="s">
        <v>230</v>
      </c>
      <c r="G1026" s="36" t="str">
        <f t="shared" si="274"/>
        <v/>
      </c>
      <c r="H1026" s="36" t="str">
        <f>IFERROR(IF(--MID($F1026,2*COUNTIF($G1026:G1026,"&gt;"&amp;0)+2,1)=H$1,H$1,""),"")</f>
        <v/>
      </c>
      <c r="I1026" s="36" t="str">
        <f>IFERROR(IF(--MID($F1026,2*COUNTIF($G1026:H1026,"&gt;"&amp;0)+2,1)=I$1,I$1,""),"")</f>
        <v/>
      </c>
      <c r="J1026" s="36" t="str">
        <f>IFERROR(IF(--MID($F1026,2*COUNTIF($G1026:I1026,"&gt;"&amp;0)+2,1)=J$1,J$1,""),"")</f>
        <v/>
      </c>
      <c r="K1026" s="36">
        <f>IFERROR(IF(--MID($F1026,2*COUNTIF($G1026:J1026,"&gt;"&amp;0)+2,1)=K$1,K$1,""),"")</f>
        <v>5</v>
      </c>
      <c r="L1026" s="36" t="str">
        <f>IFERROR(IF(--MID($F1026,2*COUNTIF($G1026:K1026,"&gt;"&amp;0)+2,1)=L$1,L$1,""),"")</f>
        <v/>
      </c>
      <c r="M1026" s="36" t="e" cm="1">
        <f t="array" ref="M1026">IF(A1026="","",_xlfn.XLOOKUP(D1026&amp;"_"&amp;AE1026,符文权重!A:A&amp;"_"&amp;符文权重!C:C,符文权重!D:D))</f>
        <v>#N/A</v>
      </c>
      <c r="N1026" s="36"/>
      <c r="O1026" s="36"/>
      <c r="P1026" s="36"/>
      <c r="Q1026" s="36"/>
      <c r="R1026" s="36"/>
      <c r="S1026" s="36" t="s">
        <v>256</v>
      </c>
      <c r="T1026" s="36"/>
      <c r="U1026" s="36" t="s">
        <v>429</v>
      </c>
      <c r="V1026" s="25" t="s">
        <v>1459</v>
      </c>
      <c r="W1026" s="36"/>
      <c r="X1026" s="35" t="s">
        <v>1460</v>
      </c>
      <c r="Y1026" s="35">
        <v>100</v>
      </c>
      <c r="Z1026" s="35"/>
      <c r="AA1026" s="36" t="s">
        <v>191</v>
      </c>
      <c r="AB1026" s="80" t="s">
        <v>1461</v>
      </c>
      <c r="AC1026" s="35">
        <v>5301214</v>
      </c>
      <c r="AD1026" s="36" t="s">
        <v>230</v>
      </c>
      <c r="AE1026" s="36">
        <v>100</v>
      </c>
      <c r="AF1026" s="36"/>
      <c r="AG1026" s="79">
        <v>1</v>
      </c>
      <c r="AH1026" s="36">
        <v>0</v>
      </c>
      <c r="AI1026" s="33"/>
      <c r="AJ1026" s="37"/>
      <c r="AK1026" s="35"/>
      <c r="AL1026" s="35"/>
    </row>
    <row r="1027" s="25" customFormat="1" hidden="1" customHeight="1" spans="1:38">
      <c r="A1027" s="33">
        <v>5305215</v>
      </c>
      <c r="B1027" s="34"/>
      <c r="C1027" s="35">
        <v>5301215</v>
      </c>
      <c r="D1027" s="36">
        <v>5</v>
      </c>
      <c r="E1027" s="36"/>
      <c r="F1027" s="36" t="s">
        <v>211</v>
      </c>
      <c r="G1027" s="36" t="str">
        <f t="shared" si="274"/>
        <v/>
      </c>
      <c r="H1027" s="36">
        <f>IFERROR(IF(--MID($F1027,2*COUNTIF($G1027:G1027,"&gt;"&amp;0)+2,1)=H$1,H$1,""),"")</f>
        <v>2</v>
      </c>
      <c r="I1027" s="36" t="str">
        <f>IFERROR(IF(--MID($F1027,2*COUNTIF($G1027:H1027,"&gt;"&amp;0)+2,1)=I$1,I$1,""),"")</f>
        <v/>
      </c>
      <c r="J1027" s="36" t="str">
        <f>IFERROR(IF(--MID($F1027,2*COUNTIF($G1027:I1027,"&gt;"&amp;0)+2,1)=J$1,J$1,""),"")</f>
        <v/>
      </c>
      <c r="K1027" s="36" t="str">
        <f>IFERROR(IF(--MID($F1027,2*COUNTIF($G1027:J1027,"&gt;"&amp;0)+2,1)=K$1,K$1,""),"")</f>
        <v/>
      </c>
      <c r="L1027" s="36" t="str">
        <f>IFERROR(IF(--MID($F1027,2*COUNTIF($G1027:K1027,"&gt;"&amp;0)+2,1)=L$1,L$1,""),"")</f>
        <v/>
      </c>
      <c r="M1027" s="36" t="e" cm="1">
        <f t="array" ref="M1027">IF(A1027="","",_xlfn.XLOOKUP(D1027&amp;"_"&amp;AE1027,符文权重!A:A&amp;"_"&amp;符文权重!C:C,符文权重!D:D))</f>
        <v>#N/A</v>
      </c>
      <c r="N1027" s="36"/>
      <c r="O1027" s="36"/>
      <c r="P1027" s="36"/>
      <c r="Q1027" s="36"/>
      <c r="R1027" s="36"/>
      <c r="S1027" s="36" t="s">
        <v>256</v>
      </c>
      <c r="T1027" s="36"/>
      <c r="U1027" s="36" t="s">
        <v>423</v>
      </c>
      <c r="V1027" s="25" t="s">
        <v>1462</v>
      </c>
      <c r="W1027" s="36"/>
      <c r="X1027" s="35" t="s">
        <v>1454</v>
      </c>
      <c r="Y1027" s="35">
        <v>100</v>
      </c>
      <c r="Z1027" s="35"/>
      <c r="AA1027" s="36" t="s">
        <v>187</v>
      </c>
      <c r="AB1027" s="36" t="s">
        <v>1463</v>
      </c>
      <c r="AC1027" s="35">
        <v>5301215</v>
      </c>
      <c r="AD1027" s="36" t="s">
        <v>1464</v>
      </c>
      <c r="AE1027" s="36">
        <v>100</v>
      </c>
      <c r="AF1027" s="36"/>
      <c r="AG1027" s="79">
        <v>1</v>
      </c>
      <c r="AH1027" s="36">
        <v>0</v>
      </c>
      <c r="AL1027" s="35"/>
    </row>
    <row r="1028" s="25" customFormat="1" hidden="1" customHeight="1" spans="1:38">
      <c r="A1028" s="33">
        <v>5306215</v>
      </c>
      <c r="B1028" s="34"/>
      <c r="C1028" s="35">
        <v>5301215</v>
      </c>
      <c r="D1028" s="36">
        <v>6</v>
      </c>
      <c r="E1028" s="36"/>
      <c r="F1028" s="36" t="s">
        <v>211</v>
      </c>
      <c r="G1028" s="36" t="str">
        <f t="shared" si="274"/>
        <v/>
      </c>
      <c r="H1028" s="36">
        <f>IFERROR(IF(--MID($F1028,2*COUNTIF($G1028:G1028,"&gt;"&amp;0)+2,1)=H$1,H$1,""),"")</f>
        <v>2</v>
      </c>
      <c r="I1028" s="36" t="str">
        <f>IFERROR(IF(--MID($F1028,2*COUNTIF($G1028:H1028,"&gt;"&amp;0)+2,1)=I$1,I$1,""),"")</f>
        <v/>
      </c>
      <c r="J1028" s="36" t="str">
        <f>IFERROR(IF(--MID($F1028,2*COUNTIF($G1028:I1028,"&gt;"&amp;0)+2,1)=J$1,J$1,""),"")</f>
        <v/>
      </c>
      <c r="K1028" s="36" t="str">
        <f>IFERROR(IF(--MID($F1028,2*COUNTIF($G1028:J1028,"&gt;"&amp;0)+2,1)=K$1,K$1,""),"")</f>
        <v/>
      </c>
      <c r="L1028" s="36" t="str">
        <f>IFERROR(IF(--MID($F1028,2*COUNTIF($G1028:K1028,"&gt;"&amp;0)+2,1)=L$1,L$1,""),"")</f>
        <v/>
      </c>
      <c r="M1028" s="36" t="e" cm="1">
        <f t="array" ref="M1028">IF(A1028="","",_xlfn.XLOOKUP(D1028&amp;"_"&amp;AE1028,符文权重!A:A&amp;"_"&amp;符文权重!C:C,符文权重!D:D))</f>
        <v>#N/A</v>
      </c>
      <c r="N1028" s="36"/>
      <c r="O1028" s="36"/>
      <c r="P1028" s="36"/>
      <c r="Q1028" s="36"/>
      <c r="R1028" s="36"/>
      <c r="S1028" s="36" t="s">
        <v>256</v>
      </c>
      <c r="T1028" s="36"/>
      <c r="U1028" s="36" t="s">
        <v>426</v>
      </c>
      <c r="V1028" s="25" t="s">
        <v>1465</v>
      </c>
      <c r="W1028" s="36"/>
      <c r="X1028" s="35" t="s">
        <v>1457</v>
      </c>
      <c r="Y1028" s="35">
        <v>100</v>
      </c>
      <c r="Z1028" s="35"/>
      <c r="AA1028" s="36" t="s">
        <v>189</v>
      </c>
      <c r="AB1028" s="36" t="s">
        <v>1466</v>
      </c>
      <c r="AC1028" s="35">
        <v>5301215</v>
      </c>
      <c r="AD1028" s="36" t="s">
        <v>193</v>
      </c>
      <c r="AE1028" s="36">
        <v>100</v>
      </c>
      <c r="AF1028" s="36"/>
      <c r="AG1028" s="79">
        <v>1</v>
      </c>
      <c r="AH1028" s="36">
        <v>0</v>
      </c>
      <c r="AL1028" s="35"/>
    </row>
    <row r="1029" s="25" customFormat="1" hidden="1" customHeight="1" spans="1:38">
      <c r="A1029" s="33">
        <v>5307215</v>
      </c>
      <c r="B1029" s="34"/>
      <c r="C1029" s="35">
        <v>5301215</v>
      </c>
      <c r="D1029" s="36">
        <v>7</v>
      </c>
      <c r="E1029" s="36"/>
      <c r="F1029" s="36" t="s">
        <v>211</v>
      </c>
      <c r="G1029" s="36" t="str">
        <f t="shared" si="274"/>
        <v/>
      </c>
      <c r="H1029" s="36">
        <f>IFERROR(IF(--MID($F1029,2*COUNTIF($G1029:G1029,"&gt;"&amp;0)+2,1)=H$1,H$1,""),"")</f>
        <v>2</v>
      </c>
      <c r="I1029" s="36" t="str">
        <f>IFERROR(IF(--MID($F1029,2*COUNTIF($G1029:H1029,"&gt;"&amp;0)+2,1)=I$1,I$1,""),"")</f>
        <v/>
      </c>
      <c r="J1029" s="36" t="str">
        <f>IFERROR(IF(--MID($F1029,2*COUNTIF($G1029:I1029,"&gt;"&amp;0)+2,1)=J$1,J$1,""),"")</f>
        <v/>
      </c>
      <c r="K1029" s="36" t="str">
        <f>IFERROR(IF(--MID($F1029,2*COUNTIF($G1029:J1029,"&gt;"&amp;0)+2,1)=K$1,K$1,""),"")</f>
        <v/>
      </c>
      <c r="L1029" s="36" t="str">
        <f>IFERROR(IF(--MID($F1029,2*COUNTIF($G1029:K1029,"&gt;"&amp;0)+2,1)=L$1,L$1,""),"")</f>
        <v/>
      </c>
      <c r="M1029" s="36" t="e" cm="1">
        <f t="array" ref="M1029">IF(A1029="","",_xlfn.XLOOKUP(D1029&amp;"_"&amp;AE1029,符文权重!A:A&amp;"_"&amp;符文权重!C:C,符文权重!D:D))</f>
        <v>#N/A</v>
      </c>
      <c r="N1029" s="36"/>
      <c r="O1029" s="36"/>
      <c r="P1029" s="36"/>
      <c r="Q1029" s="36"/>
      <c r="R1029" s="36"/>
      <c r="S1029" s="36" t="s">
        <v>256</v>
      </c>
      <c r="T1029" s="36"/>
      <c r="U1029" s="36" t="s">
        <v>429</v>
      </c>
      <c r="V1029" s="25" t="s">
        <v>1467</v>
      </c>
      <c r="W1029" s="36"/>
      <c r="X1029" s="35" t="s">
        <v>1460</v>
      </c>
      <c r="Y1029" s="35">
        <v>100</v>
      </c>
      <c r="Z1029" s="35"/>
      <c r="AA1029" s="36" t="s">
        <v>191</v>
      </c>
      <c r="AB1029" s="36" t="s">
        <v>1468</v>
      </c>
      <c r="AC1029" s="35">
        <v>5301215</v>
      </c>
      <c r="AD1029" s="36" t="s">
        <v>404</v>
      </c>
      <c r="AE1029" s="36">
        <v>100</v>
      </c>
      <c r="AF1029" s="36"/>
      <c r="AG1029" s="79">
        <v>1</v>
      </c>
      <c r="AH1029" s="36">
        <v>0</v>
      </c>
      <c r="AL1029" s="35"/>
    </row>
    <row r="1030" s="25" customFormat="1" hidden="1" customHeight="1" spans="1:38">
      <c r="A1030" s="33">
        <v>5305216</v>
      </c>
      <c r="B1030" s="34"/>
      <c r="C1030" s="35">
        <v>5301215</v>
      </c>
      <c r="D1030" s="36">
        <v>5</v>
      </c>
      <c r="E1030" s="36"/>
      <c r="F1030" s="36" t="s">
        <v>220</v>
      </c>
      <c r="G1030" s="36" t="str">
        <f t="shared" si="274"/>
        <v/>
      </c>
      <c r="H1030" s="36" t="str">
        <f>IFERROR(IF(--MID($F1030,2*COUNTIF($G1030:G1030,"&gt;"&amp;0)+2,1)=H$1,H$1,""),"")</f>
        <v/>
      </c>
      <c r="I1030" s="36" t="str">
        <f>IFERROR(IF(--MID($F1030,2*COUNTIF($G1030:H1030,"&gt;"&amp;0)+2,1)=I$1,I$1,""),"")</f>
        <v/>
      </c>
      <c r="J1030" s="36" t="str">
        <f>IFERROR(IF(--MID($F1030,2*COUNTIF($G1030:I1030,"&gt;"&amp;0)+2,1)=J$1,J$1,""),"")</f>
        <v/>
      </c>
      <c r="K1030" s="36" t="str">
        <f>IFERROR(IF(--MID($F1030,2*COUNTIF($G1030:J1030,"&gt;"&amp;0)+2,1)=K$1,K$1,""),"")</f>
        <v/>
      </c>
      <c r="L1030" s="36">
        <f>IFERROR(IF(--MID($F1030,2*COUNTIF($G1030:K1030,"&gt;"&amp;0)+2,1)=L$1,L$1,""),"")</f>
        <v>6</v>
      </c>
      <c r="M1030" s="36" t="e" cm="1">
        <f t="array" ref="M1030">IF(A1030="","",_xlfn.XLOOKUP(D1030&amp;"_"&amp;AE1030,符文权重!A:A&amp;"_"&amp;符文权重!C:C,符文权重!D:D))</f>
        <v>#N/A</v>
      </c>
      <c r="N1030" s="36"/>
      <c r="O1030" s="36"/>
      <c r="P1030" s="36"/>
      <c r="Q1030" s="36"/>
      <c r="R1030" s="36"/>
      <c r="S1030" s="36" t="s">
        <v>256</v>
      </c>
      <c r="T1030" s="36"/>
      <c r="U1030" s="36" t="s">
        <v>423</v>
      </c>
      <c r="V1030" s="25" t="s">
        <v>1462</v>
      </c>
      <c r="W1030" s="36"/>
      <c r="X1030" s="35" t="s">
        <v>1454</v>
      </c>
      <c r="Y1030" s="35">
        <v>100</v>
      </c>
      <c r="Z1030" s="35"/>
      <c r="AA1030" s="36" t="s">
        <v>187</v>
      </c>
      <c r="AB1030" s="36" t="s">
        <v>1463</v>
      </c>
      <c r="AC1030" s="35">
        <v>5301215</v>
      </c>
      <c r="AD1030" s="36" t="s">
        <v>1464</v>
      </c>
      <c r="AE1030" s="36">
        <v>100</v>
      </c>
      <c r="AF1030" s="36"/>
      <c r="AG1030" s="79">
        <v>1</v>
      </c>
      <c r="AH1030" s="36">
        <v>0</v>
      </c>
      <c r="AI1030" s="33"/>
      <c r="AJ1030" s="37"/>
      <c r="AK1030" s="35"/>
      <c r="AL1030" s="35"/>
    </row>
    <row r="1031" s="25" customFormat="1" hidden="1" customHeight="1" spans="1:38">
      <c r="A1031" s="33">
        <v>5306216</v>
      </c>
      <c r="B1031" s="34"/>
      <c r="C1031" s="35">
        <v>5301215</v>
      </c>
      <c r="D1031" s="36">
        <v>6</v>
      </c>
      <c r="E1031" s="36"/>
      <c r="F1031" s="36" t="s">
        <v>220</v>
      </c>
      <c r="G1031" s="36" t="str">
        <f t="shared" si="274"/>
        <v/>
      </c>
      <c r="H1031" s="36" t="str">
        <f>IFERROR(IF(--MID($F1031,2*COUNTIF($G1031:G1031,"&gt;"&amp;0)+2,1)=H$1,H$1,""),"")</f>
        <v/>
      </c>
      <c r="I1031" s="36" t="str">
        <f>IFERROR(IF(--MID($F1031,2*COUNTIF($G1031:H1031,"&gt;"&amp;0)+2,1)=I$1,I$1,""),"")</f>
        <v/>
      </c>
      <c r="J1031" s="36" t="str">
        <f>IFERROR(IF(--MID($F1031,2*COUNTIF($G1031:I1031,"&gt;"&amp;0)+2,1)=J$1,J$1,""),"")</f>
        <v/>
      </c>
      <c r="K1031" s="36" t="str">
        <f>IFERROR(IF(--MID($F1031,2*COUNTIF($G1031:J1031,"&gt;"&amp;0)+2,1)=K$1,K$1,""),"")</f>
        <v/>
      </c>
      <c r="L1031" s="36">
        <f>IFERROR(IF(--MID($F1031,2*COUNTIF($G1031:K1031,"&gt;"&amp;0)+2,1)=L$1,L$1,""),"")</f>
        <v>6</v>
      </c>
      <c r="M1031" s="36" t="e" cm="1">
        <f t="array" ref="M1031">IF(A1031="","",_xlfn.XLOOKUP(D1031&amp;"_"&amp;AE1031,符文权重!A:A&amp;"_"&amp;符文权重!C:C,符文权重!D:D))</f>
        <v>#N/A</v>
      </c>
      <c r="N1031" s="36"/>
      <c r="O1031" s="36"/>
      <c r="P1031" s="36"/>
      <c r="Q1031" s="36"/>
      <c r="R1031" s="36"/>
      <c r="S1031" s="36" t="s">
        <v>256</v>
      </c>
      <c r="T1031" s="36"/>
      <c r="U1031" s="36" t="s">
        <v>426</v>
      </c>
      <c r="V1031" s="25" t="s">
        <v>1465</v>
      </c>
      <c r="W1031" s="36"/>
      <c r="X1031" s="35" t="s">
        <v>1457</v>
      </c>
      <c r="Y1031" s="35">
        <v>100</v>
      </c>
      <c r="Z1031" s="35"/>
      <c r="AA1031" s="36" t="s">
        <v>189</v>
      </c>
      <c r="AB1031" s="36" t="s">
        <v>1466</v>
      </c>
      <c r="AC1031" s="35">
        <v>5301215</v>
      </c>
      <c r="AD1031" s="36" t="s">
        <v>193</v>
      </c>
      <c r="AE1031" s="36">
        <v>100</v>
      </c>
      <c r="AF1031" s="36"/>
      <c r="AG1031" s="79">
        <v>1</v>
      </c>
      <c r="AH1031" s="36">
        <v>0</v>
      </c>
      <c r="AI1031" s="33"/>
      <c r="AJ1031" s="37"/>
      <c r="AK1031" s="35"/>
      <c r="AL1031" s="35"/>
    </row>
    <row r="1032" s="25" customFormat="1" hidden="1" customHeight="1" spans="1:38">
      <c r="A1032" s="33">
        <v>5307216</v>
      </c>
      <c r="B1032" s="34"/>
      <c r="C1032" s="35">
        <v>5301215</v>
      </c>
      <c r="D1032" s="36">
        <v>7</v>
      </c>
      <c r="E1032" s="36"/>
      <c r="F1032" s="36" t="s">
        <v>220</v>
      </c>
      <c r="G1032" s="36" t="str">
        <f t="shared" si="274"/>
        <v/>
      </c>
      <c r="H1032" s="36" t="str">
        <f>IFERROR(IF(--MID($F1032,2*COUNTIF($G1032:G1032,"&gt;"&amp;0)+2,1)=H$1,H$1,""),"")</f>
        <v/>
      </c>
      <c r="I1032" s="36" t="str">
        <f>IFERROR(IF(--MID($F1032,2*COUNTIF($G1032:H1032,"&gt;"&amp;0)+2,1)=I$1,I$1,""),"")</f>
        <v/>
      </c>
      <c r="J1032" s="36" t="str">
        <f>IFERROR(IF(--MID($F1032,2*COUNTIF($G1032:I1032,"&gt;"&amp;0)+2,1)=J$1,J$1,""),"")</f>
        <v/>
      </c>
      <c r="K1032" s="36" t="str">
        <f>IFERROR(IF(--MID($F1032,2*COUNTIF($G1032:J1032,"&gt;"&amp;0)+2,1)=K$1,K$1,""),"")</f>
        <v/>
      </c>
      <c r="L1032" s="36">
        <f>IFERROR(IF(--MID($F1032,2*COUNTIF($G1032:K1032,"&gt;"&amp;0)+2,1)=L$1,L$1,""),"")</f>
        <v>6</v>
      </c>
      <c r="M1032" s="36" t="e" cm="1">
        <f t="array" ref="M1032">IF(A1032="","",_xlfn.XLOOKUP(D1032&amp;"_"&amp;AE1032,符文权重!A:A&amp;"_"&amp;符文权重!C:C,符文权重!D:D))</f>
        <v>#N/A</v>
      </c>
      <c r="N1032" s="36"/>
      <c r="O1032" s="36"/>
      <c r="P1032" s="36"/>
      <c r="Q1032" s="36"/>
      <c r="R1032" s="36"/>
      <c r="S1032" s="36" t="s">
        <v>256</v>
      </c>
      <c r="T1032" s="36"/>
      <c r="U1032" s="36" t="s">
        <v>429</v>
      </c>
      <c r="V1032" s="25" t="s">
        <v>1467</v>
      </c>
      <c r="W1032" s="36"/>
      <c r="X1032" s="35" t="s">
        <v>1460</v>
      </c>
      <c r="Y1032" s="35">
        <v>100</v>
      </c>
      <c r="Z1032" s="35"/>
      <c r="AA1032" s="36" t="s">
        <v>191</v>
      </c>
      <c r="AB1032" s="36" t="s">
        <v>1468</v>
      </c>
      <c r="AC1032" s="35">
        <v>5301215</v>
      </c>
      <c r="AD1032" s="36" t="s">
        <v>404</v>
      </c>
      <c r="AE1032" s="36">
        <v>100</v>
      </c>
      <c r="AF1032" s="36"/>
      <c r="AG1032" s="79">
        <v>1</v>
      </c>
      <c r="AH1032" s="36">
        <v>0</v>
      </c>
      <c r="AI1032" s="33"/>
      <c r="AJ1032" s="37"/>
      <c r="AK1032" s="35"/>
      <c r="AL1032" s="35"/>
    </row>
    <row r="1033" s="25" customFormat="1" hidden="1" customHeight="1" spans="1:38">
      <c r="A1033" s="33">
        <v>5301220</v>
      </c>
      <c r="B1033" s="34"/>
      <c r="C1033" s="35">
        <v>5301220</v>
      </c>
      <c r="D1033" s="36">
        <v>1</v>
      </c>
      <c r="E1033" s="36"/>
      <c r="F1033" s="36" t="s">
        <v>404</v>
      </c>
      <c r="G1033" s="36" t="str">
        <f t="shared" si="274"/>
        <v/>
      </c>
      <c r="H1033" s="36" t="str">
        <f>IFERROR(IF(--MID($F1033,2*COUNTIF($G1033:G1033,"&gt;"&amp;0)+2,1)=H$1,H$1,""),"")</f>
        <v/>
      </c>
      <c r="I1033" s="36" t="str">
        <f>IFERROR(IF(--MID($F1033,2*COUNTIF($G1033:H1033,"&gt;"&amp;0)+2,1)=I$1,I$1,""),"")</f>
        <v/>
      </c>
      <c r="J1033" s="36">
        <f>IFERROR(IF(--MID($F1033,2*COUNTIF($G1033:I1033,"&gt;"&amp;0)+2,1)=J$1,J$1,""),"")</f>
        <v>4</v>
      </c>
      <c r="K1033" s="36" t="str">
        <f>IFERROR(IF(--MID($F1033,2*COUNTIF($G1033:J1033,"&gt;"&amp;0)+2,1)=K$1,K$1,""),"")</f>
        <v/>
      </c>
      <c r="L1033" s="36" t="str">
        <f>IFERROR(IF(--MID($F1033,2*COUNTIF($G1033:K1033,"&gt;"&amp;0)+2,1)=L$1,L$1,""),"")</f>
        <v/>
      </c>
      <c r="M1033" s="36" t="e" cm="1">
        <f t="array" ref="M1033">IF(A1033="","",_xlfn.XLOOKUP(D1033&amp;"_"&amp;AE1033,符文权重!A:A&amp;"_"&amp;符文权重!C:C,符文权重!D:D))</f>
        <v>#N/A</v>
      </c>
      <c r="N1033" s="36"/>
      <c r="O1033" s="36"/>
      <c r="P1033" s="36"/>
      <c r="Q1033" s="36"/>
      <c r="R1033" s="36"/>
      <c r="S1033" s="36" t="s">
        <v>344</v>
      </c>
      <c r="T1033" s="36" t="s">
        <v>593</v>
      </c>
      <c r="U1033" s="36" t="s">
        <v>413</v>
      </c>
      <c r="V1033" s="25" t="s">
        <v>594</v>
      </c>
      <c r="W1033" s="36"/>
      <c r="X1033" s="35" t="s">
        <v>595</v>
      </c>
      <c r="Y1033" s="35">
        <v>100</v>
      </c>
      <c r="Z1033" s="35"/>
      <c r="AA1033" s="36" t="s">
        <v>177</v>
      </c>
      <c r="AB1033" s="36" t="s">
        <v>597</v>
      </c>
      <c r="AC1033" s="35">
        <v>5301220</v>
      </c>
      <c r="AD1033" s="36" t="s">
        <v>596</v>
      </c>
      <c r="AE1033" s="36">
        <v>100</v>
      </c>
      <c r="AF1033" s="36"/>
      <c r="AG1033" s="79">
        <v>1</v>
      </c>
      <c r="AH1033" s="36">
        <v>0</v>
      </c>
      <c r="AI1033" s="33"/>
      <c r="AJ1033" s="37"/>
      <c r="AK1033" s="35"/>
      <c r="AL1033" s="35"/>
    </row>
    <row r="1034" s="25" customFormat="1" hidden="1" customHeight="1" spans="1:38">
      <c r="A1034" s="33">
        <v>5302220</v>
      </c>
      <c r="B1034" s="34"/>
      <c r="C1034" s="35">
        <v>5301220</v>
      </c>
      <c r="D1034" s="36">
        <v>2</v>
      </c>
      <c r="E1034" s="36"/>
      <c r="F1034" s="36" t="s">
        <v>404</v>
      </c>
      <c r="G1034" s="36" t="str">
        <f t="shared" si="274"/>
        <v/>
      </c>
      <c r="H1034" s="36" t="str">
        <f>IFERROR(IF(--MID($F1034,2*COUNTIF($G1034:G1034,"&gt;"&amp;0)+2,1)=H$1,H$1,""),"")</f>
        <v/>
      </c>
      <c r="I1034" s="36" t="str">
        <f>IFERROR(IF(--MID($F1034,2*COUNTIF($G1034:H1034,"&gt;"&amp;0)+2,1)=I$1,I$1,""),"")</f>
        <v/>
      </c>
      <c r="J1034" s="36">
        <f>IFERROR(IF(--MID($F1034,2*COUNTIF($G1034:I1034,"&gt;"&amp;0)+2,1)=J$1,J$1,""),"")</f>
        <v>4</v>
      </c>
      <c r="K1034" s="36" t="str">
        <f>IFERROR(IF(--MID($F1034,2*COUNTIF($G1034:J1034,"&gt;"&amp;0)+2,1)=K$1,K$1,""),"")</f>
        <v/>
      </c>
      <c r="L1034" s="36" t="str">
        <f>IFERROR(IF(--MID($F1034,2*COUNTIF($G1034:K1034,"&gt;"&amp;0)+2,1)=L$1,L$1,""),"")</f>
        <v/>
      </c>
      <c r="M1034" s="36" t="e" cm="1">
        <f t="array" ref="M1034">IF(A1034="","",_xlfn.XLOOKUP(D1034&amp;"_"&amp;AE1034,符文权重!A:A&amp;"_"&amp;符文权重!C:C,符文权重!D:D))</f>
        <v>#N/A</v>
      </c>
      <c r="N1034" s="36"/>
      <c r="O1034" s="36"/>
      <c r="P1034" s="36"/>
      <c r="Q1034" s="36"/>
      <c r="R1034" s="36"/>
      <c r="S1034" s="36" t="s">
        <v>344</v>
      </c>
      <c r="T1034" s="36" t="s">
        <v>593</v>
      </c>
      <c r="U1034" s="36" t="s">
        <v>415</v>
      </c>
      <c r="V1034" s="25" t="s">
        <v>598</v>
      </c>
      <c r="W1034" s="36"/>
      <c r="X1034" s="35" t="s">
        <v>599</v>
      </c>
      <c r="Y1034" s="35">
        <v>100</v>
      </c>
      <c r="Z1034" s="35"/>
      <c r="AA1034" s="36" t="s">
        <v>181</v>
      </c>
      <c r="AB1034" s="36" t="s">
        <v>601</v>
      </c>
      <c r="AC1034" s="35">
        <v>5301220</v>
      </c>
      <c r="AD1034" s="36" t="s">
        <v>600</v>
      </c>
      <c r="AE1034" s="36">
        <v>100</v>
      </c>
      <c r="AF1034" s="36"/>
      <c r="AG1034" s="79">
        <v>1</v>
      </c>
      <c r="AH1034" s="36">
        <v>0</v>
      </c>
      <c r="AI1034" s="33"/>
      <c r="AJ1034" s="37"/>
      <c r="AK1034" s="35"/>
      <c r="AL1034" s="35"/>
    </row>
    <row r="1035" s="25" customFormat="1" hidden="1" customHeight="1" spans="1:38">
      <c r="A1035" s="33">
        <v>5301221</v>
      </c>
      <c r="B1035" s="34"/>
      <c r="C1035" s="35">
        <v>5301221</v>
      </c>
      <c r="D1035" s="36">
        <v>1</v>
      </c>
      <c r="E1035" s="36"/>
      <c r="F1035" s="36" t="s">
        <v>202</v>
      </c>
      <c r="G1035" s="36">
        <f t="shared" si="274"/>
        <v>1</v>
      </c>
      <c r="H1035" s="36" t="str">
        <f>IFERROR(IF(--MID($F1035,2*COUNTIF($G1035:G1035,"&gt;"&amp;0)+2,1)=H$1,H$1,""),"")</f>
        <v/>
      </c>
      <c r="I1035" s="36" t="str">
        <f>IFERROR(IF(--MID($F1035,2*COUNTIF($G1035:H1035,"&gt;"&amp;0)+2,1)=I$1,I$1,""),"")</f>
        <v/>
      </c>
      <c r="J1035" s="36" t="str">
        <f>IFERROR(IF(--MID($F1035,2*COUNTIF($G1035:I1035,"&gt;"&amp;0)+2,1)=J$1,J$1,""),"")</f>
        <v/>
      </c>
      <c r="K1035" s="36" t="str">
        <f>IFERROR(IF(--MID($F1035,2*COUNTIF($G1035:J1035,"&gt;"&amp;0)+2,1)=K$1,K$1,""),"")</f>
        <v/>
      </c>
      <c r="L1035" s="36" t="str">
        <f>IFERROR(IF(--MID($F1035,2*COUNTIF($G1035:K1035,"&gt;"&amp;0)+2,1)=L$1,L$1,""),"")</f>
        <v/>
      </c>
      <c r="M1035" s="36" t="e" cm="1">
        <f t="array" ref="M1035">IF(A1035="","",_xlfn.XLOOKUP(D1035&amp;"_"&amp;AE1035,符文权重!A:A&amp;"_"&amp;符文权重!C:C,符文权重!D:D))</f>
        <v>#N/A</v>
      </c>
      <c r="N1035" s="36"/>
      <c r="O1035" s="36"/>
      <c r="P1035" s="36"/>
      <c r="Q1035" s="36"/>
      <c r="R1035" s="36"/>
      <c r="S1035" s="36" t="s">
        <v>344</v>
      </c>
      <c r="T1035" s="36" t="s">
        <v>593</v>
      </c>
      <c r="U1035" s="36" t="s">
        <v>413</v>
      </c>
      <c r="V1035" s="25" t="s">
        <v>602</v>
      </c>
      <c r="W1035" s="36"/>
      <c r="X1035" s="35" t="s">
        <v>595</v>
      </c>
      <c r="Y1035" s="35">
        <v>100</v>
      </c>
      <c r="Z1035" s="35"/>
      <c r="AA1035" s="36" t="s">
        <v>177</v>
      </c>
      <c r="AB1035" s="36" t="s">
        <v>603</v>
      </c>
      <c r="AC1035" s="35">
        <v>5301221</v>
      </c>
      <c r="AD1035" s="36" t="s">
        <v>428</v>
      </c>
      <c r="AE1035" s="36">
        <v>100</v>
      </c>
      <c r="AF1035" s="36"/>
      <c r="AG1035" s="79">
        <v>1</v>
      </c>
      <c r="AH1035" s="36">
        <v>0</v>
      </c>
      <c r="AI1035" s="33"/>
      <c r="AJ1035" s="37"/>
      <c r="AK1035" s="35"/>
      <c r="AL1035" s="35"/>
    </row>
    <row r="1036" s="25" customFormat="1" hidden="1" customHeight="1" spans="1:38">
      <c r="A1036" s="33">
        <v>5302221</v>
      </c>
      <c r="B1036" s="34"/>
      <c r="C1036" s="35">
        <v>5301221</v>
      </c>
      <c r="D1036" s="36">
        <v>2</v>
      </c>
      <c r="E1036" s="36"/>
      <c r="F1036" s="36" t="s">
        <v>202</v>
      </c>
      <c r="G1036" s="36">
        <f t="shared" si="274"/>
        <v>1</v>
      </c>
      <c r="H1036" s="36" t="str">
        <f>IFERROR(IF(--MID($F1036,2*COUNTIF($G1036:G1036,"&gt;"&amp;0)+2,1)=H$1,H$1,""),"")</f>
        <v/>
      </c>
      <c r="I1036" s="36" t="str">
        <f>IFERROR(IF(--MID($F1036,2*COUNTIF($G1036:H1036,"&gt;"&amp;0)+2,1)=I$1,I$1,""),"")</f>
        <v/>
      </c>
      <c r="J1036" s="36" t="str">
        <f>IFERROR(IF(--MID($F1036,2*COUNTIF($G1036:I1036,"&gt;"&amp;0)+2,1)=J$1,J$1,""),"")</f>
        <v/>
      </c>
      <c r="K1036" s="36" t="str">
        <f>IFERROR(IF(--MID($F1036,2*COUNTIF($G1036:J1036,"&gt;"&amp;0)+2,1)=K$1,K$1,""),"")</f>
        <v/>
      </c>
      <c r="L1036" s="36" t="str">
        <f>IFERROR(IF(--MID($F1036,2*COUNTIF($G1036:K1036,"&gt;"&amp;0)+2,1)=L$1,L$1,""),"")</f>
        <v/>
      </c>
      <c r="M1036" s="36" t="e" cm="1">
        <f t="array" ref="M1036">IF(A1036="","",_xlfn.XLOOKUP(D1036&amp;"_"&amp;AE1036,符文权重!A:A&amp;"_"&amp;符文权重!C:C,符文权重!D:D))</f>
        <v>#N/A</v>
      </c>
      <c r="N1036" s="36"/>
      <c r="O1036" s="36"/>
      <c r="P1036" s="36"/>
      <c r="Q1036" s="36"/>
      <c r="R1036" s="36"/>
      <c r="S1036" s="36" t="s">
        <v>344</v>
      </c>
      <c r="T1036" s="36" t="s">
        <v>593</v>
      </c>
      <c r="U1036" s="36" t="s">
        <v>415</v>
      </c>
      <c r="V1036" s="25" t="s">
        <v>604</v>
      </c>
      <c r="W1036" s="36"/>
      <c r="X1036" s="35" t="s">
        <v>599</v>
      </c>
      <c r="Y1036" s="35">
        <v>100</v>
      </c>
      <c r="Z1036" s="35"/>
      <c r="AA1036" s="36" t="s">
        <v>181</v>
      </c>
      <c r="AB1036" s="36" t="s">
        <v>605</v>
      </c>
      <c r="AC1036" s="35">
        <v>5301221</v>
      </c>
      <c r="AD1036" s="36" t="s">
        <v>422</v>
      </c>
      <c r="AE1036" s="36">
        <v>100</v>
      </c>
      <c r="AF1036" s="36"/>
      <c r="AG1036" s="79">
        <v>1</v>
      </c>
      <c r="AH1036" s="36">
        <v>0</v>
      </c>
      <c r="AI1036" s="33"/>
      <c r="AJ1036" s="37"/>
      <c r="AK1036" s="35"/>
      <c r="AL1036" s="35"/>
    </row>
    <row r="1037" s="25" customFormat="1" hidden="1" customHeight="1" spans="1:38">
      <c r="A1037" s="33">
        <v>5301223</v>
      </c>
      <c r="B1037" s="34"/>
      <c r="C1037" s="35">
        <v>5301223</v>
      </c>
      <c r="D1037" s="36">
        <v>1</v>
      </c>
      <c r="E1037" s="36"/>
      <c r="F1037" s="36" t="s">
        <v>220</v>
      </c>
      <c r="G1037" s="36" t="str">
        <f t="shared" si="274"/>
        <v/>
      </c>
      <c r="H1037" s="36" t="str">
        <f>IFERROR(IF(--MID($F1037,2*COUNTIF($G1037:G1037,"&gt;"&amp;0)+2,1)=H$1,H$1,""),"")</f>
        <v/>
      </c>
      <c r="I1037" s="36" t="str">
        <f>IFERROR(IF(--MID($F1037,2*COUNTIF($G1037:H1037,"&gt;"&amp;0)+2,1)=I$1,I$1,""),"")</f>
        <v/>
      </c>
      <c r="J1037" s="36" t="str">
        <f>IFERROR(IF(--MID($F1037,2*COUNTIF($G1037:I1037,"&gt;"&amp;0)+2,1)=J$1,J$1,""),"")</f>
        <v/>
      </c>
      <c r="K1037" s="36" t="str">
        <f>IFERROR(IF(--MID($F1037,2*COUNTIF($G1037:J1037,"&gt;"&amp;0)+2,1)=K$1,K$1,""),"")</f>
        <v/>
      </c>
      <c r="L1037" s="36">
        <f>IFERROR(IF(--MID($F1037,2*COUNTIF($G1037:K1037,"&gt;"&amp;0)+2,1)=L$1,L$1,""),"")</f>
        <v>6</v>
      </c>
      <c r="M1037" s="36" t="e" cm="1">
        <f t="array" ref="M1037">IF(A1037="","",_xlfn.XLOOKUP(D1037&amp;"_"&amp;AE1037,符文权重!A:A&amp;"_"&amp;符文权重!C:C,符文权重!D:D))</f>
        <v>#N/A</v>
      </c>
      <c r="N1037" s="36"/>
      <c r="O1037" s="36"/>
      <c r="P1037" s="36"/>
      <c r="Q1037" s="36"/>
      <c r="R1037" s="36"/>
      <c r="S1037" s="36" t="s">
        <v>344</v>
      </c>
      <c r="T1037" s="36" t="s">
        <v>606</v>
      </c>
      <c r="U1037" s="36" t="s">
        <v>413</v>
      </c>
      <c r="V1037" s="25" t="s">
        <v>607</v>
      </c>
      <c r="W1037" s="36"/>
      <c r="X1037" s="35" t="s">
        <v>595</v>
      </c>
      <c r="Y1037" s="35">
        <v>100</v>
      </c>
      <c r="Z1037" s="35"/>
      <c r="AA1037" s="36" t="s">
        <v>177</v>
      </c>
      <c r="AB1037" s="36" t="s">
        <v>608</v>
      </c>
      <c r="AC1037" s="35">
        <v>5301223</v>
      </c>
      <c r="AD1037" s="36" t="s">
        <v>425</v>
      </c>
      <c r="AE1037" s="36">
        <v>100</v>
      </c>
      <c r="AF1037" s="36"/>
      <c r="AG1037" s="79">
        <v>1</v>
      </c>
      <c r="AH1037" s="36">
        <v>0</v>
      </c>
      <c r="AI1037" s="33"/>
      <c r="AJ1037" s="37"/>
      <c r="AK1037" s="35"/>
      <c r="AL1037" s="35"/>
    </row>
    <row r="1038" s="25" customFormat="1" hidden="1" customHeight="1" spans="1:38">
      <c r="A1038" s="33">
        <v>5302223</v>
      </c>
      <c r="B1038" s="34"/>
      <c r="C1038" s="35">
        <v>5301223</v>
      </c>
      <c r="D1038" s="36">
        <v>2</v>
      </c>
      <c r="E1038" s="36"/>
      <c r="F1038" s="36" t="s">
        <v>220</v>
      </c>
      <c r="G1038" s="36" t="str">
        <f t="shared" si="274"/>
        <v/>
      </c>
      <c r="H1038" s="36" t="str">
        <f>IFERROR(IF(--MID($F1038,2*COUNTIF($G1038:G1038,"&gt;"&amp;0)+2,1)=H$1,H$1,""),"")</f>
        <v/>
      </c>
      <c r="I1038" s="36" t="str">
        <f>IFERROR(IF(--MID($F1038,2*COUNTIF($G1038:H1038,"&gt;"&amp;0)+2,1)=I$1,I$1,""),"")</f>
        <v/>
      </c>
      <c r="J1038" s="36" t="str">
        <f>IFERROR(IF(--MID($F1038,2*COUNTIF($G1038:I1038,"&gt;"&amp;0)+2,1)=J$1,J$1,""),"")</f>
        <v/>
      </c>
      <c r="K1038" s="36" t="str">
        <f>IFERROR(IF(--MID($F1038,2*COUNTIF($G1038:J1038,"&gt;"&amp;0)+2,1)=K$1,K$1,""),"")</f>
        <v/>
      </c>
      <c r="L1038" s="36">
        <f>IFERROR(IF(--MID($F1038,2*COUNTIF($G1038:K1038,"&gt;"&amp;0)+2,1)=L$1,L$1,""),"")</f>
        <v>6</v>
      </c>
      <c r="M1038" s="36" t="e" cm="1">
        <f t="array" ref="M1038">IF(A1038="","",_xlfn.XLOOKUP(D1038&amp;"_"&amp;AE1038,符文权重!A:A&amp;"_"&amp;符文权重!C:C,符文权重!D:D))</f>
        <v>#N/A</v>
      </c>
      <c r="N1038" s="36"/>
      <c r="O1038" s="36"/>
      <c r="P1038" s="36"/>
      <c r="Q1038" s="36"/>
      <c r="R1038" s="36"/>
      <c r="S1038" s="36" t="s">
        <v>344</v>
      </c>
      <c r="T1038" s="36" t="s">
        <v>606</v>
      </c>
      <c r="U1038" s="36" t="s">
        <v>415</v>
      </c>
      <c r="V1038" s="25" t="s">
        <v>609</v>
      </c>
      <c r="W1038" s="36"/>
      <c r="X1038" s="35" t="s">
        <v>599</v>
      </c>
      <c r="Y1038" s="35">
        <v>100</v>
      </c>
      <c r="Z1038" s="35"/>
      <c r="AA1038" s="36" t="s">
        <v>181</v>
      </c>
      <c r="AB1038" s="36" t="s">
        <v>610</v>
      </c>
      <c r="AC1038" s="35">
        <v>5301223</v>
      </c>
      <c r="AD1038" s="36" t="s">
        <v>428</v>
      </c>
      <c r="AE1038" s="36">
        <v>100</v>
      </c>
      <c r="AF1038" s="36"/>
      <c r="AG1038" s="79">
        <v>1</v>
      </c>
      <c r="AH1038" s="36">
        <v>0</v>
      </c>
      <c r="AI1038" s="33"/>
      <c r="AJ1038" s="37"/>
      <c r="AK1038" s="35"/>
      <c r="AL1038" s="35"/>
    </row>
    <row r="1039" s="25" customFormat="1" hidden="1" customHeight="1" spans="1:38">
      <c r="A1039" s="33">
        <v>5301224</v>
      </c>
      <c r="B1039" s="34"/>
      <c r="C1039" s="35">
        <v>5301224</v>
      </c>
      <c r="D1039" s="36">
        <v>1</v>
      </c>
      <c r="E1039" s="36"/>
      <c r="F1039" s="36" t="s">
        <v>193</v>
      </c>
      <c r="G1039" s="36" t="str">
        <f t="shared" si="274"/>
        <v/>
      </c>
      <c r="H1039" s="36" t="str">
        <f>IFERROR(IF(--MID($F1039,2*COUNTIF($G1039:G1039,"&gt;"&amp;0)+2,1)=H$1,H$1,""),"")</f>
        <v/>
      </c>
      <c r="I1039" s="36">
        <f>IFERROR(IF(--MID($F1039,2*COUNTIF($G1039:H1039,"&gt;"&amp;0)+2,1)=I$1,I$1,""),"")</f>
        <v>3</v>
      </c>
      <c r="J1039" s="36" t="str">
        <f>IFERROR(IF(--MID($F1039,2*COUNTIF($G1039:I1039,"&gt;"&amp;0)+2,1)=J$1,J$1,""),"")</f>
        <v/>
      </c>
      <c r="K1039" s="36" t="str">
        <f>IFERROR(IF(--MID($F1039,2*COUNTIF($G1039:J1039,"&gt;"&amp;0)+2,1)=K$1,K$1,""),"")</f>
        <v/>
      </c>
      <c r="L1039" s="36" t="str">
        <f>IFERROR(IF(--MID($F1039,2*COUNTIF($G1039:K1039,"&gt;"&amp;0)+2,1)=L$1,L$1,""),"")</f>
        <v/>
      </c>
      <c r="M1039" s="36" t="e" cm="1">
        <f t="array" ref="M1039">IF(A1039="","",_xlfn.XLOOKUP(D1039&amp;"_"&amp;AE1039,符文权重!A:A&amp;"_"&amp;符文权重!C:C,符文权重!D:D))</f>
        <v>#N/A</v>
      </c>
      <c r="N1039" s="36"/>
      <c r="O1039" s="36"/>
      <c r="P1039" s="36"/>
      <c r="Q1039" s="36"/>
      <c r="R1039" s="36"/>
      <c r="S1039" s="36" t="s">
        <v>344</v>
      </c>
      <c r="T1039" s="36" t="s">
        <v>606</v>
      </c>
      <c r="U1039" s="36" t="s">
        <v>413</v>
      </c>
      <c r="V1039" s="25" t="s">
        <v>611</v>
      </c>
      <c r="W1039" s="36"/>
      <c r="X1039" s="35" t="s">
        <v>595</v>
      </c>
      <c r="Y1039" s="35">
        <v>100</v>
      </c>
      <c r="Z1039" s="35"/>
      <c r="AA1039" s="36" t="s">
        <v>177</v>
      </c>
      <c r="AB1039" s="36" t="s">
        <v>612</v>
      </c>
      <c r="AC1039" s="35">
        <v>5301224</v>
      </c>
      <c r="AD1039" s="36" t="s">
        <v>428</v>
      </c>
      <c r="AE1039" s="36">
        <v>100</v>
      </c>
      <c r="AF1039" s="36"/>
      <c r="AG1039" s="79">
        <v>1</v>
      </c>
      <c r="AH1039" s="36">
        <v>0</v>
      </c>
      <c r="AI1039" s="33"/>
      <c r="AJ1039" s="37"/>
      <c r="AK1039" s="35"/>
      <c r="AL1039" s="35"/>
    </row>
    <row r="1040" s="25" customFormat="1" hidden="1" customHeight="1" spans="1:38">
      <c r="A1040" s="33">
        <v>5302224</v>
      </c>
      <c r="B1040" s="34"/>
      <c r="C1040" s="35">
        <v>5301224</v>
      </c>
      <c r="D1040" s="36">
        <v>2</v>
      </c>
      <c r="E1040" s="36"/>
      <c r="F1040" s="36" t="s">
        <v>193</v>
      </c>
      <c r="G1040" s="36" t="str">
        <f t="shared" si="274"/>
        <v/>
      </c>
      <c r="H1040" s="36" t="str">
        <f>IFERROR(IF(--MID($F1040,2*COUNTIF($G1040:G1040,"&gt;"&amp;0)+2,1)=H$1,H$1,""),"")</f>
        <v/>
      </c>
      <c r="I1040" s="36">
        <f>IFERROR(IF(--MID($F1040,2*COUNTIF($G1040:H1040,"&gt;"&amp;0)+2,1)=I$1,I$1,""),"")</f>
        <v>3</v>
      </c>
      <c r="J1040" s="36" t="str">
        <f>IFERROR(IF(--MID($F1040,2*COUNTIF($G1040:I1040,"&gt;"&amp;0)+2,1)=J$1,J$1,""),"")</f>
        <v/>
      </c>
      <c r="K1040" s="36" t="str">
        <f>IFERROR(IF(--MID($F1040,2*COUNTIF($G1040:J1040,"&gt;"&amp;0)+2,1)=K$1,K$1,""),"")</f>
        <v/>
      </c>
      <c r="L1040" s="36" t="str">
        <f>IFERROR(IF(--MID($F1040,2*COUNTIF($G1040:K1040,"&gt;"&amp;0)+2,1)=L$1,L$1,""),"")</f>
        <v/>
      </c>
      <c r="M1040" s="36" t="e" cm="1">
        <f t="array" ref="M1040">IF(A1040="","",_xlfn.XLOOKUP(D1040&amp;"_"&amp;AE1040,符文权重!A:A&amp;"_"&amp;符文权重!C:C,符文权重!D:D))</f>
        <v>#N/A</v>
      </c>
      <c r="N1040" s="36"/>
      <c r="O1040" s="36"/>
      <c r="P1040" s="36"/>
      <c r="Q1040" s="36"/>
      <c r="R1040" s="36"/>
      <c r="S1040" s="36" t="s">
        <v>344</v>
      </c>
      <c r="T1040" s="36" t="s">
        <v>606</v>
      </c>
      <c r="U1040" s="36" t="s">
        <v>415</v>
      </c>
      <c r="V1040" s="25" t="s">
        <v>613</v>
      </c>
      <c r="W1040" s="36"/>
      <c r="X1040" s="35" t="s">
        <v>599</v>
      </c>
      <c r="Y1040" s="35">
        <v>100</v>
      </c>
      <c r="Z1040" s="35"/>
      <c r="AA1040" s="36" t="s">
        <v>181</v>
      </c>
      <c r="AB1040" s="36" t="s">
        <v>614</v>
      </c>
      <c r="AC1040" s="35">
        <v>5301224</v>
      </c>
      <c r="AD1040" s="36" t="s">
        <v>425</v>
      </c>
      <c r="AE1040" s="36">
        <v>100</v>
      </c>
      <c r="AF1040" s="36"/>
      <c r="AG1040" s="79">
        <v>1</v>
      </c>
      <c r="AH1040" s="36">
        <v>0</v>
      </c>
      <c r="AI1040" s="33"/>
      <c r="AJ1040" s="37"/>
      <c r="AK1040" s="35"/>
      <c r="AL1040" s="35"/>
    </row>
    <row r="1041" s="25" customFormat="1" hidden="1" customHeight="1" spans="1:38">
      <c r="A1041" s="33">
        <v>5301226</v>
      </c>
      <c r="B1041" s="34"/>
      <c r="C1041" s="35">
        <v>5301226</v>
      </c>
      <c r="D1041" s="36">
        <v>1</v>
      </c>
      <c r="E1041" s="36"/>
      <c r="F1041" s="36" t="s">
        <v>230</v>
      </c>
      <c r="G1041" s="36" t="str">
        <f t="shared" si="274"/>
        <v/>
      </c>
      <c r="H1041" s="36" t="str">
        <f>IFERROR(IF(--MID($F1041,2*COUNTIF($G1041:G1041,"&gt;"&amp;0)+2,1)=H$1,H$1,""),"")</f>
        <v/>
      </c>
      <c r="I1041" s="36" t="str">
        <f>IFERROR(IF(--MID($F1041,2*COUNTIF($G1041:H1041,"&gt;"&amp;0)+2,1)=I$1,I$1,""),"")</f>
        <v/>
      </c>
      <c r="J1041" s="36" t="str">
        <f>IFERROR(IF(--MID($F1041,2*COUNTIF($G1041:I1041,"&gt;"&amp;0)+2,1)=J$1,J$1,""),"")</f>
        <v/>
      </c>
      <c r="K1041" s="36">
        <f>IFERROR(IF(--MID($F1041,2*COUNTIF($G1041:J1041,"&gt;"&amp;0)+2,1)=K$1,K$1,""),"")</f>
        <v>5</v>
      </c>
      <c r="L1041" s="36" t="str">
        <f>IFERROR(IF(--MID($F1041,2*COUNTIF($G1041:K1041,"&gt;"&amp;0)+2,1)=L$1,L$1,""),"")</f>
        <v/>
      </c>
      <c r="M1041" s="36" t="e" cm="1">
        <f t="array" ref="M1041">IF(A1041="","",_xlfn.XLOOKUP(D1041&amp;"_"&amp;AE1041,符文权重!A:A&amp;"_"&amp;符文权重!C:C,符文权重!D:D))</f>
        <v>#N/A</v>
      </c>
      <c r="N1041" s="36"/>
      <c r="O1041" s="36"/>
      <c r="P1041" s="36"/>
      <c r="Q1041" s="36"/>
      <c r="R1041" s="36"/>
      <c r="S1041" s="36" t="s">
        <v>344</v>
      </c>
      <c r="T1041" s="36" t="s">
        <v>615</v>
      </c>
      <c r="U1041" s="36" t="s">
        <v>413</v>
      </c>
      <c r="V1041" s="25" t="s">
        <v>616</v>
      </c>
      <c r="W1041" s="36"/>
      <c r="X1041" s="35" t="s">
        <v>617</v>
      </c>
      <c r="Y1041" s="35">
        <v>100</v>
      </c>
      <c r="Z1041" s="35"/>
      <c r="AA1041" s="36" t="s">
        <v>177</v>
      </c>
      <c r="AB1041" s="80" t="s">
        <v>618</v>
      </c>
      <c r="AC1041" s="35">
        <v>5301226</v>
      </c>
      <c r="AD1041" s="36" t="s">
        <v>425</v>
      </c>
      <c r="AE1041" s="36">
        <v>100</v>
      </c>
      <c r="AF1041" s="36"/>
      <c r="AG1041" s="79">
        <v>1</v>
      </c>
      <c r="AH1041" s="36">
        <v>0</v>
      </c>
      <c r="AI1041" s="33"/>
      <c r="AJ1041" s="37"/>
      <c r="AK1041" s="35"/>
      <c r="AL1041" s="35"/>
    </row>
    <row r="1042" s="25" customFormat="1" hidden="1" customHeight="1" spans="1:38">
      <c r="A1042" s="33">
        <v>5302226</v>
      </c>
      <c r="B1042" s="34"/>
      <c r="C1042" s="35">
        <v>5301226</v>
      </c>
      <c r="D1042" s="36">
        <v>2</v>
      </c>
      <c r="E1042" s="36"/>
      <c r="F1042" s="36" t="s">
        <v>230</v>
      </c>
      <c r="G1042" s="36" t="str">
        <f t="shared" si="274"/>
        <v/>
      </c>
      <c r="H1042" s="36" t="str">
        <f>IFERROR(IF(--MID($F1042,2*COUNTIF($G1042:G1042,"&gt;"&amp;0)+2,1)=H$1,H$1,""),"")</f>
        <v/>
      </c>
      <c r="I1042" s="36" t="str">
        <f>IFERROR(IF(--MID($F1042,2*COUNTIF($G1042:H1042,"&gt;"&amp;0)+2,1)=I$1,I$1,""),"")</f>
        <v/>
      </c>
      <c r="J1042" s="36" t="str">
        <f>IFERROR(IF(--MID($F1042,2*COUNTIF($G1042:I1042,"&gt;"&amp;0)+2,1)=J$1,J$1,""),"")</f>
        <v/>
      </c>
      <c r="K1042" s="36">
        <f>IFERROR(IF(--MID($F1042,2*COUNTIF($G1042:J1042,"&gt;"&amp;0)+2,1)=K$1,K$1,""),"")</f>
        <v>5</v>
      </c>
      <c r="L1042" s="36" t="str">
        <f>IFERROR(IF(--MID($F1042,2*COUNTIF($G1042:K1042,"&gt;"&amp;0)+2,1)=L$1,L$1,""),"")</f>
        <v/>
      </c>
      <c r="M1042" s="36" t="e" cm="1">
        <f t="array" ref="M1042">IF(A1042="","",_xlfn.XLOOKUP(D1042&amp;"_"&amp;AE1042,符文权重!A:A&amp;"_"&amp;符文权重!C:C,符文权重!D:D))</f>
        <v>#N/A</v>
      </c>
      <c r="N1042" s="36"/>
      <c r="O1042" s="36"/>
      <c r="P1042" s="36"/>
      <c r="Q1042" s="36"/>
      <c r="R1042" s="36"/>
      <c r="S1042" s="36" t="s">
        <v>344</v>
      </c>
      <c r="T1042" s="36" t="s">
        <v>615</v>
      </c>
      <c r="U1042" s="36" t="s">
        <v>415</v>
      </c>
      <c r="V1042" s="25" t="s">
        <v>619</v>
      </c>
      <c r="W1042" s="36"/>
      <c r="X1042" s="35" t="s">
        <v>620</v>
      </c>
      <c r="Y1042" s="35">
        <v>100</v>
      </c>
      <c r="Z1042" s="35"/>
      <c r="AA1042" s="36" t="s">
        <v>181</v>
      </c>
      <c r="AB1042" s="80" t="s">
        <v>621</v>
      </c>
      <c r="AC1042" s="35">
        <v>5301226</v>
      </c>
      <c r="AD1042" s="36" t="s">
        <v>428</v>
      </c>
      <c r="AE1042" s="36">
        <v>100</v>
      </c>
      <c r="AF1042" s="36"/>
      <c r="AG1042" s="79">
        <v>1</v>
      </c>
      <c r="AH1042" s="36">
        <v>0</v>
      </c>
      <c r="AI1042" s="33"/>
      <c r="AJ1042" s="37"/>
      <c r="AK1042" s="35"/>
      <c r="AL1042" s="35"/>
    </row>
    <row r="1043" s="25" customFormat="1" hidden="1" customHeight="1" spans="1:38">
      <c r="A1043" s="33">
        <v>5301227</v>
      </c>
      <c r="B1043" s="34"/>
      <c r="C1043" s="35">
        <v>5301227</v>
      </c>
      <c r="D1043" s="36">
        <v>1</v>
      </c>
      <c r="E1043" s="36"/>
      <c r="F1043" s="36" t="s">
        <v>211</v>
      </c>
      <c r="G1043" s="36" t="str">
        <f t="shared" si="274"/>
        <v/>
      </c>
      <c r="H1043" s="36">
        <f>IFERROR(IF(--MID($F1043,2*COUNTIF($G1043:G1043,"&gt;"&amp;0)+2,1)=H$1,H$1,""),"")</f>
        <v>2</v>
      </c>
      <c r="I1043" s="36" t="str">
        <f>IFERROR(IF(--MID($F1043,2*COUNTIF($G1043:H1043,"&gt;"&amp;0)+2,1)=I$1,I$1,""),"")</f>
        <v/>
      </c>
      <c r="J1043" s="36" t="str">
        <f>IFERROR(IF(--MID($F1043,2*COUNTIF($G1043:I1043,"&gt;"&amp;0)+2,1)=J$1,J$1,""),"")</f>
        <v/>
      </c>
      <c r="K1043" s="36" t="str">
        <f>IFERROR(IF(--MID($F1043,2*COUNTIF($G1043:J1043,"&gt;"&amp;0)+2,1)=K$1,K$1,""),"")</f>
        <v/>
      </c>
      <c r="L1043" s="36" t="str">
        <f>IFERROR(IF(--MID($F1043,2*COUNTIF($G1043:K1043,"&gt;"&amp;0)+2,1)=L$1,L$1,""),"")</f>
        <v/>
      </c>
      <c r="M1043" s="36" t="e" cm="1">
        <f t="array" ref="M1043">IF(A1043="","",_xlfn.XLOOKUP(D1043&amp;"_"&amp;AE1043,符文权重!A:A&amp;"_"&amp;符文权重!C:C,符文权重!D:D))</f>
        <v>#N/A</v>
      </c>
      <c r="N1043" s="36"/>
      <c r="O1043" s="36"/>
      <c r="P1043" s="36"/>
      <c r="Q1043" s="36"/>
      <c r="R1043" s="36"/>
      <c r="S1043" s="36" t="s">
        <v>344</v>
      </c>
      <c r="T1043" s="36" t="s">
        <v>615</v>
      </c>
      <c r="U1043" s="36" t="s">
        <v>413</v>
      </c>
      <c r="V1043" s="25" t="s">
        <v>622</v>
      </c>
      <c r="W1043" s="36"/>
      <c r="X1043" s="35" t="s">
        <v>617</v>
      </c>
      <c r="Y1043" s="35">
        <v>100</v>
      </c>
      <c r="Z1043" s="35"/>
      <c r="AA1043" s="36" t="s">
        <v>177</v>
      </c>
      <c r="AB1043" s="36" t="s">
        <v>623</v>
      </c>
      <c r="AC1043" s="35">
        <v>5301227</v>
      </c>
      <c r="AD1043" s="36" t="s">
        <v>202</v>
      </c>
      <c r="AE1043" s="36">
        <v>100</v>
      </c>
      <c r="AF1043" s="36"/>
      <c r="AG1043" s="79">
        <v>1</v>
      </c>
      <c r="AH1043" s="36">
        <v>0</v>
      </c>
      <c r="AI1043" s="33"/>
      <c r="AJ1043" s="37"/>
      <c r="AK1043" s="35"/>
      <c r="AL1043" s="35"/>
    </row>
    <row r="1044" s="25" customFormat="1" hidden="1" customHeight="1" spans="1:38">
      <c r="A1044" s="33">
        <v>5302227</v>
      </c>
      <c r="B1044" s="34"/>
      <c r="C1044" s="35">
        <v>5301227</v>
      </c>
      <c r="D1044" s="36">
        <v>2</v>
      </c>
      <c r="E1044" s="36"/>
      <c r="F1044" s="36" t="s">
        <v>211</v>
      </c>
      <c r="G1044" s="36" t="str">
        <f t="shared" ref="G1044:G1107" si="275">IF(LEFT(F1044,2)="[1",1,"")</f>
        <v/>
      </c>
      <c r="H1044" s="36">
        <f>IFERROR(IF(--MID($F1044,2*COUNTIF($G1044:G1044,"&gt;"&amp;0)+2,1)=H$1,H$1,""),"")</f>
        <v>2</v>
      </c>
      <c r="I1044" s="36" t="str">
        <f>IFERROR(IF(--MID($F1044,2*COUNTIF($G1044:H1044,"&gt;"&amp;0)+2,1)=I$1,I$1,""),"")</f>
        <v/>
      </c>
      <c r="J1044" s="36" t="str">
        <f>IFERROR(IF(--MID($F1044,2*COUNTIF($G1044:I1044,"&gt;"&amp;0)+2,1)=J$1,J$1,""),"")</f>
        <v/>
      </c>
      <c r="K1044" s="36" t="str">
        <f>IFERROR(IF(--MID($F1044,2*COUNTIF($G1044:J1044,"&gt;"&amp;0)+2,1)=K$1,K$1,""),"")</f>
        <v/>
      </c>
      <c r="L1044" s="36" t="str">
        <f>IFERROR(IF(--MID($F1044,2*COUNTIF($G1044:K1044,"&gt;"&amp;0)+2,1)=L$1,L$1,""),"")</f>
        <v/>
      </c>
      <c r="M1044" s="36" t="e" cm="1">
        <f t="array" ref="M1044">IF(A1044="","",_xlfn.XLOOKUP(D1044&amp;"_"&amp;AE1044,符文权重!A:A&amp;"_"&amp;符文权重!C:C,符文权重!D:D))</f>
        <v>#N/A</v>
      </c>
      <c r="N1044" s="36"/>
      <c r="O1044" s="36"/>
      <c r="P1044" s="36"/>
      <c r="Q1044" s="36"/>
      <c r="R1044" s="36"/>
      <c r="S1044" s="36" t="s">
        <v>344</v>
      </c>
      <c r="T1044" s="36" t="s">
        <v>615</v>
      </c>
      <c r="U1044" s="36" t="s">
        <v>415</v>
      </c>
      <c r="V1044" s="25" t="s">
        <v>624</v>
      </c>
      <c r="W1044" s="36"/>
      <c r="X1044" s="35" t="s">
        <v>620</v>
      </c>
      <c r="Y1044" s="35">
        <v>100</v>
      </c>
      <c r="Z1044" s="35"/>
      <c r="AA1044" s="36" t="s">
        <v>181</v>
      </c>
      <c r="AB1044" s="36" t="s">
        <v>626</v>
      </c>
      <c r="AC1044" s="35">
        <v>5301227</v>
      </c>
      <c r="AD1044" s="36" t="s">
        <v>625</v>
      </c>
      <c r="AE1044" s="36">
        <v>100</v>
      </c>
      <c r="AF1044" s="36"/>
      <c r="AG1044" s="79">
        <v>1</v>
      </c>
      <c r="AH1044" s="36">
        <v>0</v>
      </c>
      <c r="AI1044" s="33"/>
      <c r="AJ1044" s="37"/>
      <c r="AK1044" s="35"/>
      <c r="AL1044" s="35"/>
    </row>
    <row r="1045" s="25" customFormat="1" hidden="1" customHeight="1" spans="1:38">
      <c r="A1045" s="33">
        <v>5302229</v>
      </c>
      <c r="B1045" s="34"/>
      <c r="C1045" s="35">
        <v>5301229</v>
      </c>
      <c r="D1045" s="36">
        <v>2</v>
      </c>
      <c r="E1045" s="36"/>
      <c r="F1045" s="36" t="s">
        <v>211</v>
      </c>
      <c r="G1045" s="36" t="str">
        <f t="shared" si="275"/>
        <v/>
      </c>
      <c r="H1045" s="36">
        <f>IFERROR(IF(--MID($F1045,2*COUNTIF($G1045:G1045,"&gt;"&amp;0)+2,1)=H$1,H$1,""),"")</f>
        <v>2</v>
      </c>
      <c r="I1045" s="36" t="str">
        <f>IFERROR(IF(--MID($F1045,2*COUNTIF($G1045:H1045,"&gt;"&amp;0)+2,1)=I$1,I$1,""),"")</f>
        <v/>
      </c>
      <c r="J1045" s="36" t="str">
        <f>IFERROR(IF(--MID($F1045,2*COUNTIF($G1045:I1045,"&gt;"&amp;0)+2,1)=J$1,J$1,""),"")</f>
        <v/>
      </c>
      <c r="K1045" s="36" t="str">
        <f>IFERROR(IF(--MID($F1045,2*COUNTIF($G1045:J1045,"&gt;"&amp;0)+2,1)=K$1,K$1,""),"")</f>
        <v/>
      </c>
      <c r="L1045" s="36" t="str">
        <f>IFERROR(IF(--MID($F1045,2*COUNTIF($G1045:K1045,"&gt;"&amp;0)+2,1)=L$1,L$1,""),"")</f>
        <v/>
      </c>
      <c r="M1045" s="36" t="e" cm="1">
        <f t="array" ref="M1045">IF(A1045="","",_xlfn.XLOOKUP(D1045&amp;"_"&amp;AE1045,符文权重!A:A&amp;"_"&amp;符文权重!C:C,符文权重!D:D))</f>
        <v>#N/A</v>
      </c>
      <c r="N1045" s="36"/>
      <c r="O1045" s="36"/>
      <c r="P1045" s="36"/>
      <c r="Q1045" s="36"/>
      <c r="R1045" s="36"/>
      <c r="S1045" s="36" t="s">
        <v>344</v>
      </c>
      <c r="T1045" s="36" t="s">
        <v>628</v>
      </c>
      <c r="U1045" s="36" t="s">
        <v>415</v>
      </c>
      <c r="V1045" s="25" t="s">
        <v>629</v>
      </c>
      <c r="W1045" s="36"/>
      <c r="X1045" s="35" t="s">
        <v>630</v>
      </c>
      <c r="Y1045" s="35">
        <v>100</v>
      </c>
      <c r="Z1045" s="35"/>
      <c r="AA1045" s="36" t="s">
        <v>181</v>
      </c>
      <c r="AB1045" s="36" t="s">
        <v>631</v>
      </c>
      <c r="AC1045" s="35">
        <v>5301229</v>
      </c>
      <c r="AD1045" s="36" t="s">
        <v>193</v>
      </c>
      <c r="AE1045" s="36">
        <v>100</v>
      </c>
      <c r="AF1045" s="36"/>
      <c r="AG1045" s="79">
        <v>1</v>
      </c>
      <c r="AH1045" s="36">
        <v>0</v>
      </c>
      <c r="AL1045" s="35"/>
    </row>
    <row r="1046" s="25" customFormat="1" hidden="1" customHeight="1" spans="1:38">
      <c r="A1046" s="33">
        <v>5303229</v>
      </c>
      <c r="B1046" s="34"/>
      <c r="C1046" s="35">
        <v>5301229</v>
      </c>
      <c r="D1046" s="36">
        <v>3</v>
      </c>
      <c r="E1046" s="36"/>
      <c r="F1046" s="36" t="s">
        <v>211</v>
      </c>
      <c r="G1046" s="36" t="str">
        <f t="shared" si="275"/>
        <v/>
      </c>
      <c r="H1046" s="36">
        <f>IFERROR(IF(--MID($F1046,2*COUNTIF($G1046:G1046,"&gt;"&amp;0)+2,1)=H$1,H$1,""),"")</f>
        <v>2</v>
      </c>
      <c r="I1046" s="36" t="str">
        <f>IFERROR(IF(--MID($F1046,2*COUNTIF($G1046:H1046,"&gt;"&amp;0)+2,1)=I$1,I$1,""),"")</f>
        <v/>
      </c>
      <c r="J1046" s="36" t="str">
        <f>IFERROR(IF(--MID($F1046,2*COUNTIF($G1046:I1046,"&gt;"&amp;0)+2,1)=J$1,J$1,""),"")</f>
        <v/>
      </c>
      <c r="K1046" s="36" t="str">
        <f>IFERROR(IF(--MID($F1046,2*COUNTIF($G1046:J1046,"&gt;"&amp;0)+2,1)=K$1,K$1,""),"")</f>
        <v/>
      </c>
      <c r="L1046" s="36" t="str">
        <f>IFERROR(IF(--MID($F1046,2*COUNTIF($G1046:K1046,"&gt;"&amp;0)+2,1)=L$1,L$1,""),"")</f>
        <v/>
      </c>
      <c r="M1046" s="36" t="e" cm="1">
        <f t="array" ref="M1046">IF(A1046="","",_xlfn.XLOOKUP(D1046&amp;"_"&amp;AE1046,符文权重!A:A&amp;"_"&amp;符文权重!C:C,符文权重!D:D))</f>
        <v>#N/A</v>
      </c>
      <c r="N1046" s="36"/>
      <c r="O1046" s="36"/>
      <c r="P1046" s="36"/>
      <c r="Q1046" s="36"/>
      <c r="R1046" s="36"/>
      <c r="S1046" s="36" t="s">
        <v>344</v>
      </c>
      <c r="T1046" s="36" t="s">
        <v>628</v>
      </c>
      <c r="U1046" s="36" t="s">
        <v>417</v>
      </c>
      <c r="V1046" s="25" t="s">
        <v>632</v>
      </c>
      <c r="W1046" s="36"/>
      <c r="X1046" s="35" t="s">
        <v>633</v>
      </c>
      <c r="Y1046" s="35">
        <v>100</v>
      </c>
      <c r="Z1046" s="35"/>
      <c r="AA1046" s="36" t="s">
        <v>183</v>
      </c>
      <c r="AB1046" s="36" t="s">
        <v>634</v>
      </c>
      <c r="AC1046" s="35">
        <v>5301229</v>
      </c>
      <c r="AD1046" s="36" t="s">
        <v>404</v>
      </c>
      <c r="AE1046" s="36">
        <v>100</v>
      </c>
      <c r="AF1046" s="36"/>
      <c r="AG1046" s="79">
        <v>1</v>
      </c>
      <c r="AH1046" s="36">
        <v>0</v>
      </c>
      <c r="AI1046" s="33"/>
      <c r="AJ1046" s="37"/>
      <c r="AK1046" s="35"/>
      <c r="AL1046" s="35"/>
    </row>
    <row r="1047" s="25" customFormat="1" hidden="1" customHeight="1" spans="1:38">
      <c r="A1047" s="33">
        <v>5304229</v>
      </c>
      <c r="B1047" s="34"/>
      <c r="C1047" s="35">
        <v>5301229</v>
      </c>
      <c r="D1047" s="36">
        <v>4</v>
      </c>
      <c r="E1047" s="36"/>
      <c r="F1047" s="36" t="s">
        <v>211</v>
      </c>
      <c r="G1047" s="36" t="str">
        <f t="shared" si="275"/>
        <v/>
      </c>
      <c r="H1047" s="36">
        <f>IFERROR(IF(--MID($F1047,2*COUNTIF($G1047:G1047,"&gt;"&amp;0)+2,1)=H$1,H$1,""),"")</f>
        <v>2</v>
      </c>
      <c r="I1047" s="36" t="str">
        <f>IFERROR(IF(--MID($F1047,2*COUNTIF($G1047:H1047,"&gt;"&amp;0)+2,1)=I$1,I$1,""),"")</f>
        <v/>
      </c>
      <c r="J1047" s="36" t="str">
        <f>IFERROR(IF(--MID($F1047,2*COUNTIF($G1047:I1047,"&gt;"&amp;0)+2,1)=J$1,J$1,""),"")</f>
        <v/>
      </c>
      <c r="K1047" s="36" t="str">
        <f>IFERROR(IF(--MID($F1047,2*COUNTIF($G1047:J1047,"&gt;"&amp;0)+2,1)=K$1,K$1,""),"")</f>
        <v/>
      </c>
      <c r="L1047" s="36" t="str">
        <f>IFERROR(IF(--MID($F1047,2*COUNTIF($G1047:K1047,"&gt;"&amp;0)+2,1)=L$1,L$1,""),"")</f>
        <v/>
      </c>
      <c r="M1047" s="36" t="e" cm="1">
        <f t="array" ref="M1047">IF(A1047="","",_xlfn.XLOOKUP(D1047&amp;"_"&amp;AE1047,符文权重!A:A&amp;"_"&amp;符文权重!C:C,符文权重!D:D))</f>
        <v>#N/A</v>
      </c>
      <c r="N1047" s="36"/>
      <c r="O1047" s="36"/>
      <c r="P1047" s="36"/>
      <c r="Q1047" s="36"/>
      <c r="R1047" s="36"/>
      <c r="S1047" s="36" t="s">
        <v>344</v>
      </c>
      <c r="T1047" s="36" t="s">
        <v>628</v>
      </c>
      <c r="U1047" s="36" t="s">
        <v>420</v>
      </c>
      <c r="V1047" s="25" t="s">
        <v>635</v>
      </c>
      <c r="W1047" s="36"/>
      <c r="X1047" s="35" t="s">
        <v>636</v>
      </c>
      <c r="Y1047" s="35">
        <v>100</v>
      </c>
      <c r="Z1047" s="35"/>
      <c r="AA1047" s="36" t="s">
        <v>185</v>
      </c>
      <c r="AB1047" s="36" t="s">
        <v>637</v>
      </c>
      <c r="AC1047" s="35">
        <v>5301229</v>
      </c>
      <c r="AD1047" s="36" t="s">
        <v>230</v>
      </c>
      <c r="AE1047" s="36">
        <v>100</v>
      </c>
      <c r="AF1047" s="36"/>
      <c r="AG1047" s="79">
        <v>1</v>
      </c>
      <c r="AH1047" s="36">
        <v>0</v>
      </c>
      <c r="AI1047" s="33"/>
      <c r="AJ1047" s="37"/>
      <c r="AK1047" s="35"/>
      <c r="AL1047" s="35"/>
    </row>
    <row r="1048" s="25" customFormat="1" hidden="1" customHeight="1" spans="1:38">
      <c r="A1048" s="33">
        <v>5302230</v>
      </c>
      <c r="B1048" s="34"/>
      <c r="C1048" s="35">
        <v>5301230</v>
      </c>
      <c r="D1048" s="36">
        <v>2</v>
      </c>
      <c r="E1048" s="36"/>
      <c r="F1048" s="36" t="s">
        <v>193</v>
      </c>
      <c r="G1048" s="36" t="str">
        <f t="shared" si="275"/>
        <v/>
      </c>
      <c r="H1048" s="36" t="str">
        <f>IFERROR(IF(--MID($F1048,2*COUNTIF($G1048:G1048,"&gt;"&amp;0)+2,1)=H$1,H$1,""),"")</f>
        <v/>
      </c>
      <c r="I1048" s="36">
        <f>IFERROR(IF(--MID($F1048,2*COUNTIF($G1048:H1048,"&gt;"&amp;0)+2,1)=I$1,I$1,""),"")</f>
        <v>3</v>
      </c>
      <c r="J1048" s="36" t="str">
        <f>IFERROR(IF(--MID($F1048,2*COUNTIF($G1048:I1048,"&gt;"&amp;0)+2,1)=J$1,J$1,""),"")</f>
        <v/>
      </c>
      <c r="K1048" s="36" t="str">
        <f>IFERROR(IF(--MID($F1048,2*COUNTIF($G1048:J1048,"&gt;"&amp;0)+2,1)=K$1,K$1,""),"")</f>
        <v/>
      </c>
      <c r="L1048" s="36" t="str">
        <f>IFERROR(IF(--MID($F1048,2*COUNTIF($G1048:K1048,"&gt;"&amp;0)+2,1)=L$1,L$1,""),"")</f>
        <v/>
      </c>
      <c r="M1048" s="36" t="e" cm="1">
        <f t="array" ref="M1048">IF(A1048="","",_xlfn.XLOOKUP(D1048&amp;"_"&amp;AE1048,符文权重!A:A&amp;"_"&amp;符文权重!C:C,符文权重!D:D))</f>
        <v>#N/A</v>
      </c>
      <c r="N1048" s="36"/>
      <c r="O1048" s="36"/>
      <c r="P1048" s="36"/>
      <c r="Q1048" s="36"/>
      <c r="R1048" s="36"/>
      <c r="S1048" s="36" t="s">
        <v>344</v>
      </c>
      <c r="T1048" s="36" t="s">
        <v>628</v>
      </c>
      <c r="U1048" s="36" t="s">
        <v>415</v>
      </c>
      <c r="W1048" s="36" t="s">
        <v>638</v>
      </c>
      <c r="X1048" s="35" t="s">
        <v>630</v>
      </c>
      <c r="Y1048" s="35">
        <v>100</v>
      </c>
      <c r="Z1048" s="35"/>
      <c r="AA1048" s="36" t="s">
        <v>181</v>
      </c>
      <c r="AB1048" s="36" t="s">
        <v>639</v>
      </c>
      <c r="AC1048" s="35">
        <v>5301230</v>
      </c>
      <c r="AD1048" s="36" t="s">
        <v>428</v>
      </c>
      <c r="AE1048" s="36">
        <v>100</v>
      </c>
      <c r="AF1048" s="36"/>
      <c r="AG1048" s="79">
        <v>1</v>
      </c>
      <c r="AH1048" s="36">
        <v>0</v>
      </c>
      <c r="AL1048" s="35"/>
    </row>
    <row r="1049" s="25" customFormat="1" hidden="1" customHeight="1" spans="1:38">
      <c r="A1049" s="33">
        <v>5303230</v>
      </c>
      <c r="B1049" s="34"/>
      <c r="C1049" s="35">
        <v>5301230</v>
      </c>
      <c r="D1049" s="36">
        <v>3</v>
      </c>
      <c r="E1049" s="36"/>
      <c r="F1049" s="36" t="s">
        <v>193</v>
      </c>
      <c r="G1049" s="36" t="str">
        <f t="shared" si="275"/>
        <v/>
      </c>
      <c r="H1049" s="36" t="str">
        <f>IFERROR(IF(--MID($F1049,2*COUNTIF($G1049:G1049,"&gt;"&amp;0)+2,1)=H$1,H$1,""),"")</f>
        <v/>
      </c>
      <c r="I1049" s="36">
        <f>IFERROR(IF(--MID($F1049,2*COUNTIF($G1049:H1049,"&gt;"&amp;0)+2,1)=I$1,I$1,""),"")</f>
        <v>3</v>
      </c>
      <c r="J1049" s="36" t="str">
        <f>IFERROR(IF(--MID($F1049,2*COUNTIF($G1049:I1049,"&gt;"&amp;0)+2,1)=J$1,J$1,""),"")</f>
        <v/>
      </c>
      <c r="K1049" s="36" t="str">
        <f>IFERROR(IF(--MID($F1049,2*COUNTIF($G1049:J1049,"&gt;"&amp;0)+2,1)=K$1,K$1,""),"")</f>
        <v/>
      </c>
      <c r="L1049" s="36" t="str">
        <f>IFERROR(IF(--MID($F1049,2*COUNTIF($G1049:K1049,"&gt;"&amp;0)+2,1)=L$1,L$1,""),"")</f>
        <v/>
      </c>
      <c r="M1049" s="36" t="e" cm="1">
        <f t="array" ref="M1049">IF(A1049="","",_xlfn.XLOOKUP(D1049&amp;"_"&amp;AE1049,符文权重!A:A&amp;"_"&amp;符文权重!C:C,符文权重!D:D))</f>
        <v>#N/A</v>
      </c>
      <c r="N1049" s="36"/>
      <c r="O1049" s="36"/>
      <c r="P1049" s="36"/>
      <c r="Q1049" s="36"/>
      <c r="R1049" s="36"/>
      <c r="S1049" s="36" t="s">
        <v>344</v>
      </c>
      <c r="T1049" s="36" t="s">
        <v>628</v>
      </c>
      <c r="U1049" s="36" t="s">
        <v>417</v>
      </c>
      <c r="W1049" s="36" t="s">
        <v>640</v>
      </c>
      <c r="X1049" s="35" t="s">
        <v>633</v>
      </c>
      <c r="Y1049" s="35">
        <v>100</v>
      </c>
      <c r="Z1049" s="35"/>
      <c r="AA1049" s="36" t="s">
        <v>183</v>
      </c>
      <c r="AB1049" s="80" t="s">
        <v>641</v>
      </c>
      <c r="AC1049" s="35">
        <v>5301230</v>
      </c>
      <c r="AD1049" s="36" t="s">
        <v>431</v>
      </c>
      <c r="AE1049" s="36">
        <v>100</v>
      </c>
      <c r="AF1049" s="36"/>
      <c r="AG1049" s="79">
        <v>1</v>
      </c>
      <c r="AH1049" s="36">
        <v>0</v>
      </c>
      <c r="AI1049" s="33"/>
      <c r="AJ1049" s="37"/>
      <c r="AK1049" s="35"/>
      <c r="AL1049" s="35"/>
    </row>
    <row r="1050" s="25" customFormat="1" hidden="1" customHeight="1" spans="1:38">
      <c r="A1050" s="33">
        <v>5304230</v>
      </c>
      <c r="B1050" s="34"/>
      <c r="C1050" s="35">
        <v>5301230</v>
      </c>
      <c r="D1050" s="36">
        <v>4</v>
      </c>
      <c r="E1050" s="36"/>
      <c r="F1050" s="36" t="s">
        <v>193</v>
      </c>
      <c r="G1050" s="36" t="str">
        <f t="shared" si="275"/>
        <v/>
      </c>
      <c r="H1050" s="36" t="str">
        <f>IFERROR(IF(--MID($F1050,2*COUNTIF($G1050:G1050,"&gt;"&amp;0)+2,1)=H$1,H$1,""),"")</f>
        <v/>
      </c>
      <c r="I1050" s="36">
        <f>IFERROR(IF(--MID($F1050,2*COUNTIF($G1050:H1050,"&gt;"&amp;0)+2,1)=I$1,I$1,""),"")</f>
        <v>3</v>
      </c>
      <c r="J1050" s="36" t="str">
        <f>IFERROR(IF(--MID($F1050,2*COUNTIF($G1050:I1050,"&gt;"&amp;0)+2,1)=J$1,J$1,""),"")</f>
        <v/>
      </c>
      <c r="K1050" s="36" t="str">
        <f>IFERROR(IF(--MID($F1050,2*COUNTIF($G1050:J1050,"&gt;"&amp;0)+2,1)=K$1,K$1,""),"")</f>
        <v/>
      </c>
      <c r="L1050" s="36" t="str">
        <f>IFERROR(IF(--MID($F1050,2*COUNTIF($G1050:K1050,"&gt;"&amp;0)+2,1)=L$1,L$1,""),"")</f>
        <v/>
      </c>
      <c r="M1050" s="36" t="e" cm="1">
        <f t="array" ref="M1050">IF(A1050="","",_xlfn.XLOOKUP(D1050&amp;"_"&amp;AE1050,符文权重!A:A&amp;"_"&amp;符文权重!C:C,符文权重!D:D))</f>
        <v>#N/A</v>
      </c>
      <c r="N1050" s="36"/>
      <c r="O1050" s="36"/>
      <c r="P1050" s="36"/>
      <c r="Q1050" s="36"/>
      <c r="R1050" s="36"/>
      <c r="S1050" s="36" t="s">
        <v>344</v>
      </c>
      <c r="T1050" s="36" t="s">
        <v>628</v>
      </c>
      <c r="U1050" s="36" t="s">
        <v>420</v>
      </c>
      <c r="W1050" s="36" t="s">
        <v>642</v>
      </c>
      <c r="X1050" s="35" t="s">
        <v>636</v>
      </c>
      <c r="Y1050" s="35">
        <v>100</v>
      </c>
      <c r="Z1050" s="35"/>
      <c r="AA1050" s="36" t="s">
        <v>185</v>
      </c>
      <c r="AB1050" s="36" t="s">
        <v>643</v>
      </c>
      <c r="AC1050" s="35">
        <v>5301230</v>
      </c>
      <c r="AD1050" s="36" t="s">
        <v>487</v>
      </c>
      <c r="AE1050" s="36">
        <v>100</v>
      </c>
      <c r="AF1050" s="36"/>
      <c r="AG1050" s="79">
        <v>1</v>
      </c>
      <c r="AH1050" s="36">
        <v>0</v>
      </c>
      <c r="AI1050" s="33"/>
      <c r="AJ1050" s="37"/>
      <c r="AK1050" s="35"/>
      <c r="AL1050" s="35"/>
    </row>
    <row r="1051" s="25" customFormat="1" hidden="1" customHeight="1" spans="1:38">
      <c r="A1051" s="33">
        <v>5302231</v>
      </c>
      <c r="B1051" s="34"/>
      <c r="C1051" s="35">
        <v>5301231</v>
      </c>
      <c r="D1051" s="36">
        <v>2</v>
      </c>
      <c r="E1051" s="36"/>
      <c r="F1051" s="36" t="s">
        <v>220</v>
      </c>
      <c r="G1051" s="36" t="str">
        <f t="shared" si="275"/>
        <v/>
      </c>
      <c r="H1051" s="36" t="str">
        <f>IFERROR(IF(--MID($F1051,2*COUNTIF($G1051:G1051,"&gt;"&amp;0)+2,1)=H$1,H$1,""),"")</f>
        <v/>
      </c>
      <c r="I1051" s="36" t="str">
        <f>IFERROR(IF(--MID($F1051,2*COUNTIF($G1051:H1051,"&gt;"&amp;0)+2,1)=I$1,I$1,""),"")</f>
        <v/>
      </c>
      <c r="J1051" s="36" t="str">
        <f>IFERROR(IF(--MID($F1051,2*COUNTIF($G1051:I1051,"&gt;"&amp;0)+2,1)=J$1,J$1,""),"")</f>
        <v/>
      </c>
      <c r="K1051" s="36" t="str">
        <f>IFERROR(IF(--MID($F1051,2*COUNTIF($G1051:J1051,"&gt;"&amp;0)+2,1)=K$1,K$1,""),"")</f>
        <v/>
      </c>
      <c r="L1051" s="36">
        <f>IFERROR(IF(--MID($F1051,2*COUNTIF($G1051:K1051,"&gt;"&amp;0)+2,1)=L$1,L$1,""),"")</f>
        <v>6</v>
      </c>
      <c r="M1051" s="36" t="e" cm="1">
        <f t="array" ref="M1051">IF(A1051="","",_xlfn.XLOOKUP(D1051&amp;"_"&amp;AE1051,符文权重!A:A&amp;"_"&amp;符文权重!C:C,符文权重!D:D))</f>
        <v>#N/A</v>
      </c>
      <c r="N1051" s="36"/>
      <c r="O1051" s="36"/>
      <c r="P1051" s="36"/>
      <c r="Q1051" s="36"/>
      <c r="R1051" s="36"/>
      <c r="S1051" s="36" t="s">
        <v>344</v>
      </c>
      <c r="T1051" s="36" t="s">
        <v>628</v>
      </c>
      <c r="U1051" s="36" t="s">
        <v>415</v>
      </c>
      <c r="V1051" s="25" t="s">
        <v>644</v>
      </c>
      <c r="W1051" s="36"/>
      <c r="X1051" s="35" t="s">
        <v>630</v>
      </c>
      <c r="Y1051" s="35">
        <v>100</v>
      </c>
      <c r="Z1051" s="35"/>
      <c r="AA1051" s="36" t="s">
        <v>181</v>
      </c>
      <c r="AB1051" s="36" t="s">
        <v>645</v>
      </c>
      <c r="AC1051" s="35">
        <v>5301231</v>
      </c>
      <c r="AD1051" s="36" t="s">
        <v>492</v>
      </c>
      <c r="AE1051" s="36">
        <v>100</v>
      </c>
      <c r="AF1051" s="36"/>
      <c r="AG1051" s="79">
        <v>1</v>
      </c>
      <c r="AH1051" s="36">
        <v>0</v>
      </c>
      <c r="AL1051" s="35"/>
    </row>
    <row r="1052" s="25" customFormat="1" hidden="1" customHeight="1" spans="1:38">
      <c r="A1052" s="33">
        <v>5303231</v>
      </c>
      <c r="B1052" s="34"/>
      <c r="C1052" s="35">
        <v>5301231</v>
      </c>
      <c r="D1052" s="36">
        <v>3</v>
      </c>
      <c r="E1052" s="36"/>
      <c r="F1052" s="36" t="s">
        <v>220</v>
      </c>
      <c r="G1052" s="36" t="str">
        <f t="shared" si="275"/>
        <v/>
      </c>
      <c r="H1052" s="36" t="str">
        <f>IFERROR(IF(--MID($F1052,2*COUNTIF($G1052:G1052,"&gt;"&amp;0)+2,1)=H$1,H$1,""),"")</f>
        <v/>
      </c>
      <c r="I1052" s="36" t="str">
        <f>IFERROR(IF(--MID($F1052,2*COUNTIF($G1052:H1052,"&gt;"&amp;0)+2,1)=I$1,I$1,""),"")</f>
        <v/>
      </c>
      <c r="J1052" s="36" t="str">
        <f>IFERROR(IF(--MID($F1052,2*COUNTIF($G1052:I1052,"&gt;"&amp;0)+2,1)=J$1,J$1,""),"")</f>
        <v/>
      </c>
      <c r="K1052" s="36" t="str">
        <f>IFERROR(IF(--MID($F1052,2*COUNTIF($G1052:J1052,"&gt;"&amp;0)+2,1)=K$1,K$1,""),"")</f>
        <v/>
      </c>
      <c r="L1052" s="36">
        <f>IFERROR(IF(--MID($F1052,2*COUNTIF($G1052:K1052,"&gt;"&amp;0)+2,1)=L$1,L$1,""),"")</f>
        <v>6</v>
      </c>
      <c r="M1052" s="36" t="e" cm="1">
        <f t="array" ref="M1052">IF(A1052="","",_xlfn.XLOOKUP(D1052&amp;"_"&amp;AE1052,符文权重!A:A&amp;"_"&amp;符文权重!C:C,符文权重!D:D))</f>
        <v>#N/A</v>
      </c>
      <c r="N1052" s="36"/>
      <c r="O1052" s="36"/>
      <c r="P1052" s="36"/>
      <c r="Q1052" s="36"/>
      <c r="R1052" s="36"/>
      <c r="S1052" s="36" t="s">
        <v>344</v>
      </c>
      <c r="T1052" s="36" t="s">
        <v>628</v>
      </c>
      <c r="U1052" s="36" t="s">
        <v>417</v>
      </c>
      <c r="V1052" s="25" t="s">
        <v>646</v>
      </c>
      <c r="W1052" s="36"/>
      <c r="X1052" s="35" t="s">
        <v>633</v>
      </c>
      <c r="Y1052" s="35">
        <v>100</v>
      </c>
      <c r="Z1052" s="35"/>
      <c r="AA1052" s="36" t="s">
        <v>183</v>
      </c>
      <c r="AB1052" s="36" t="s">
        <v>647</v>
      </c>
      <c r="AC1052" s="35">
        <v>5301231</v>
      </c>
      <c r="AD1052" s="36" t="s">
        <v>494</v>
      </c>
      <c r="AE1052" s="36">
        <v>100</v>
      </c>
      <c r="AF1052" s="36"/>
      <c r="AG1052" s="79">
        <v>1</v>
      </c>
      <c r="AH1052" s="36">
        <v>0</v>
      </c>
      <c r="AI1052" s="33"/>
      <c r="AJ1052" s="37"/>
      <c r="AK1052" s="35"/>
      <c r="AL1052" s="35"/>
    </row>
    <row r="1053" s="25" customFormat="1" hidden="1" customHeight="1" spans="1:38">
      <c r="A1053" s="33">
        <v>5304231</v>
      </c>
      <c r="B1053" s="34"/>
      <c r="C1053" s="35">
        <v>5301231</v>
      </c>
      <c r="D1053" s="36">
        <v>4</v>
      </c>
      <c r="E1053" s="36"/>
      <c r="F1053" s="36" t="s">
        <v>220</v>
      </c>
      <c r="G1053" s="36" t="str">
        <f t="shared" si="275"/>
        <v/>
      </c>
      <c r="H1053" s="36" t="str">
        <f>IFERROR(IF(--MID($F1053,2*COUNTIF($G1053:G1053,"&gt;"&amp;0)+2,1)=H$1,H$1,""),"")</f>
        <v/>
      </c>
      <c r="I1053" s="36" t="str">
        <f>IFERROR(IF(--MID($F1053,2*COUNTIF($G1053:H1053,"&gt;"&amp;0)+2,1)=I$1,I$1,""),"")</f>
        <v/>
      </c>
      <c r="J1053" s="36" t="str">
        <f>IFERROR(IF(--MID($F1053,2*COUNTIF($G1053:I1053,"&gt;"&amp;0)+2,1)=J$1,J$1,""),"")</f>
        <v/>
      </c>
      <c r="K1053" s="36" t="str">
        <f>IFERROR(IF(--MID($F1053,2*COUNTIF($G1053:J1053,"&gt;"&amp;0)+2,1)=K$1,K$1,""),"")</f>
        <v/>
      </c>
      <c r="L1053" s="36">
        <f>IFERROR(IF(--MID($F1053,2*COUNTIF($G1053:K1053,"&gt;"&amp;0)+2,1)=L$1,L$1,""),"")</f>
        <v>6</v>
      </c>
      <c r="M1053" s="36" t="e" cm="1">
        <f t="array" ref="M1053">IF(A1053="","",_xlfn.XLOOKUP(D1053&amp;"_"&amp;AE1053,符文权重!A:A&amp;"_"&amp;符文权重!C:C,符文权重!D:D))</f>
        <v>#N/A</v>
      </c>
      <c r="N1053" s="36"/>
      <c r="O1053" s="36"/>
      <c r="P1053" s="36"/>
      <c r="Q1053" s="36"/>
      <c r="R1053" s="36"/>
      <c r="S1053" s="36" t="s">
        <v>344</v>
      </c>
      <c r="T1053" s="36" t="s">
        <v>628</v>
      </c>
      <c r="U1053" s="36" t="s">
        <v>420</v>
      </c>
      <c r="V1053" s="25" t="s">
        <v>648</v>
      </c>
      <c r="W1053" s="36"/>
      <c r="X1053" s="35" t="s">
        <v>636</v>
      </c>
      <c r="Y1053" s="35">
        <v>100</v>
      </c>
      <c r="Z1053" s="35"/>
      <c r="AA1053" s="36" t="s">
        <v>185</v>
      </c>
      <c r="AB1053" s="36" t="s">
        <v>650</v>
      </c>
      <c r="AC1053" s="35">
        <v>5301231</v>
      </c>
      <c r="AD1053" s="36" t="s">
        <v>649</v>
      </c>
      <c r="AE1053" s="36">
        <v>100</v>
      </c>
      <c r="AF1053" s="36"/>
      <c r="AG1053" s="79">
        <v>1</v>
      </c>
      <c r="AH1053" s="36">
        <v>0</v>
      </c>
      <c r="AI1053" s="33"/>
      <c r="AJ1053" s="37"/>
      <c r="AK1053" s="35"/>
      <c r="AL1053" s="35"/>
    </row>
    <row r="1054" s="25" customFormat="1" hidden="1" customHeight="1" spans="1:38">
      <c r="A1054" s="33">
        <v>5302233</v>
      </c>
      <c r="B1054" s="34"/>
      <c r="C1054" s="35">
        <v>5301233</v>
      </c>
      <c r="D1054" s="36">
        <v>2</v>
      </c>
      <c r="E1054" s="36"/>
      <c r="F1054" s="36" t="s">
        <v>202</v>
      </c>
      <c r="G1054" s="36">
        <f t="shared" si="275"/>
        <v>1</v>
      </c>
      <c r="H1054" s="36" t="str">
        <f>IFERROR(IF(--MID($F1054,2*COUNTIF($G1054:G1054,"&gt;"&amp;0)+2,1)=H$1,H$1,""),"")</f>
        <v/>
      </c>
      <c r="I1054" s="36" t="str">
        <f>IFERROR(IF(--MID($F1054,2*COUNTIF($G1054:H1054,"&gt;"&amp;0)+2,1)=I$1,I$1,""),"")</f>
        <v/>
      </c>
      <c r="J1054" s="36" t="str">
        <f>IFERROR(IF(--MID($F1054,2*COUNTIF($G1054:I1054,"&gt;"&amp;0)+2,1)=J$1,J$1,""),"")</f>
        <v/>
      </c>
      <c r="K1054" s="36" t="str">
        <f>IFERROR(IF(--MID($F1054,2*COUNTIF($G1054:J1054,"&gt;"&amp;0)+2,1)=K$1,K$1,""),"")</f>
        <v/>
      </c>
      <c r="L1054" s="36" t="str">
        <f>IFERROR(IF(--MID($F1054,2*COUNTIF($G1054:K1054,"&gt;"&amp;0)+2,1)=L$1,L$1,""),"")</f>
        <v/>
      </c>
      <c r="M1054" s="36" t="e" cm="1">
        <f t="array" ref="M1054">IF(A1054="","",_xlfn.XLOOKUP(D1054&amp;"_"&amp;AE1054,符文权重!A:A&amp;"_"&amp;符文权重!C:C,符文权重!D:D))</f>
        <v>#N/A</v>
      </c>
      <c r="N1054" s="36"/>
      <c r="O1054" s="36"/>
      <c r="P1054" s="36"/>
      <c r="Q1054" s="36"/>
      <c r="R1054" s="36"/>
      <c r="S1054" s="36" t="s">
        <v>344</v>
      </c>
      <c r="T1054" s="36" t="s">
        <v>652</v>
      </c>
      <c r="U1054" s="36" t="s">
        <v>415</v>
      </c>
      <c r="V1054" s="25" t="s">
        <v>653</v>
      </c>
      <c r="W1054" s="36"/>
      <c r="X1054" s="35" t="s">
        <v>636</v>
      </c>
      <c r="Y1054" s="35">
        <v>100</v>
      </c>
      <c r="Z1054" s="35"/>
      <c r="AA1054" s="36" t="s">
        <v>181</v>
      </c>
      <c r="AB1054" s="36" t="s">
        <v>654</v>
      </c>
      <c r="AC1054" s="35">
        <v>5301233</v>
      </c>
      <c r="AD1054" s="36" t="s">
        <v>474</v>
      </c>
      <c r="AE1054" s="36">
        <v>100</v>
      </c>
      <c r="AF1054" s="36"/>
      <c r="AG1054" s="79">
        <v>1</v>
      </c>
      <c r="AH1054" s="36">
        <v>0</v>
      </c>
      <c r="AL1054" s="35"/>
    </row>
    <row r="1055" s="25" customFormat="1" hidden="1" customHeight="1" spans="1:38">
      <c r="A1055" s="33">
        <v>5303233</v>
      </c>
      <c r="B1055" s="34"/>
      <c r="C1055" s="35">
        <v>5301233</v>
      </c>
      <c r="D1055" s="36">
        <v>3</v>
      </c>
      <c r="E1055" s="36"/>
      <c r="F1055" s="36" t="s">
        <v>202</v>
      </c>
      <c r="G1055" s="36">
        <f t="shared" si="275"/>
        <v>1</v>
      </c>
      <c r="H1055" s="36" t="str">
        <f>IFERROR(IF(--MID($F1055,2*COUNTIF($G1055:G1055,"&gt;"&amp;0)+2,1)=H$1,H$1,""),"")</f>
        <v/>
      </c>
      <c r="I1055" s="36" t="str">
        <f>IFERROR(IF(--MID($F1055,2*COUNTIF($G1055:H1055,"&gt;"&amp;0)+2,1)=I$1,I$1,""),"")</f>
        <v/>
      </c>
      <c r="J1055" s="36" t="str">
        <f>IFERROR(IF(--MID($F1055,2*COUNTIF($G1055:I1055,"&gt;"&amp;0)+2,1)=J$1,J$1,""),"")</f>
        <v/>
      </c>
      <c r="K1055" s="36" t="str">
        <f>IFERROR(IF(--MID($F1055,2*COUNTIF($G1055:J1055,"&gt;"&amp;0)+2,1)=K$1,K$1,""),"")</f>
        <v/>
      </c>
      <c r="L1055" s="36" t="str">
        <f>IFERROR(IF(--MID($F1055,2*COUNTIF($G1055:K1055,"&gt;"&amp;0)+2,1)=L$1,L$1,""),"")</f>
        <v/>
      </c>
      <c r="M1055" s="36" t="e" cm="1">
        <f t="array" ref="M1055">IF(A1055="","",_xlfn.XLOOKUP(D1055&amp;"_"&amp;AE1055,符文权重!A:A&amp;"_"&amp;符文权重!C:C,符文权重!D:D))</f>
        <v>#N/A</v>
      </c>
      <c r="N1055" s="36"/>
      <c r="O1055" s="36"/>
      <c r="P1055" s="36"/>
      <c r="Q1055" s="36"/>
      <c r="R1055" s="36"/>
      <c r="S1055" s="36" t="s">
        <v>344</v>
      </c>
      <c r="T1055" s="36" t="s">
        <v>652</v>
      </c>
      <c r="U1055" s="36" t="s">
        <v>417</v>
      </c>
      <c r="V1055" s="25" t="s">
        <v>655</v>
      </c>
      <c r="W1055" s="36"/>
      <c r="X1055" s="35" t="s">
        <v>656</v>
      </c>
      <c r="Y1055" s="35">
        <v>100</v>
      </c>
      <c r="Z1055" s="35"/>
      <c r="AA1055" s="36" t="s">
        <v>183</v>
      </c>
      <c r="AB1055" s="36" t="s">
        <v>657</v>
      </c>
      <c r="AC1055" s="35">
        <v>5301233</v>
      </c>
      <c r="AD1055" s="36" t="s">
        <v>497</v>
      </c>
      <c r="AE1055" s="36">
        <v>100</v>
      </c>
      <c r="AF1055" s="36"/>
      <c r="AG1055" s="79">
        <v>1</v>
      </c>
      <c r="AH1055" s="36">
        <v>0</v>
      </c>
      <c r="AI1055" s="33"/>
      <c r="AJ1055" s="37"/>
      <c r="AK1055" s="35"/>
      <c r="AL1055" s="35"/>
    </row>
    <row r="1056" s="25" customFormat="1" hidden="1" customHeight="1" spans="1:38">
      <c r="A1056" s="33">
        <v>5304233</v>
      </c>
      <c r="B1056" s="34"/>
      <c r="C1056" s="35">
        <v>5301233</v>
      </c>
      <c r="D1056" s="36">
        <v>4</v>
      </c>
      <c r="E1056" s="36"/>
      <c r="F1056" s="36" t="s">
        <v>202</v>
      </c>
      <c r="G1056" s="36">
        <f t="shared" si="275"/>
        <v>1</v>
      </c>
      <c r="H1056" s="36" t="str">
        <f>IFERROR(IF(--MID($F1056,2*COUNTIF($G1056:G1056,"&gt;"&amp;0)+2,1)=H$1,H$1,""),"")</f>
        <v/>
      </c>
      <c r="I1056" s="36" t="str">
        <f>IFERROR(IF(--MID($F1056,2*COUNTIF($G1056:H1056,"&gt;"&amp;0)+2,1)=I$1,I$1,""),"")</f>
        <v/>
      </c>
      <c r="J1056" s="36" t="str">
        <f>IFERROR(IF(--MID($F1056,2*COUNTIF($G1056:I1056,"&gt;"&amp;0)+2,1)=J$1,J$1,""),"")</f>
        <v/>
      </c>
      <c r="K1056" s="36" t="str">
        <f>IFERROR(IF(--MID($F1056,2*COUNTIF($G1056:J1056,"&gt;"&amp;0)+2,1)=K$1,K$1,""),"")</f>
        <v/>
      </c>
      <c r="L1056" s="36" t="str">
        <f>IFERROR(IF(--MID($F1056,2*COUNTIF($G1056:K1056,"&gt;"&amp;0)+2,1)=L$1,L$1,""),"")</f>
        <v/>
      </c>
      <c r="M1056" s="36" t="e" cm="1">
        <f t="array" ref="M1056">IF(A1056="","",_xlfn.XLOOKUP(D1056&amp;"_"&amp;AE1056,符文权重!A:A&amp;"_"&amp;符文权重!C:C,符文权重!D:D))</f>
        <v>#N/A</v>
      </c>
      <c r="N1056" s="36"/>
      <c r="O1056" s="36"/>
      <c r="P1056" s="36"/>
      <c r="Q1056" s="36"/>
      <c r="R1056" s="36"/>
      <c r="S1056" s="36" t="s">
        <v>344</v>
      </c>
      <c r="T1056" s="36" t="s">
        <v>652</v>
      </c>
      <c r="U1056" s="36" t="s">
        <v>420</v>
      </c>
      <c r="V1056" s="25" t="s">
        <v>658</v>
      </c>
      <c r="W1056" s="36"/>
      <c r="X1056" s="35" t="s">
        <v>659</v>
      </c>
      <c r="Y1056" s="35">
        <v>100</v>
      </c>
      <c r="Z1056" s="35"/>
      <c r="AA1056" s="36" t="s">
        <v>185</v>
      </c>
      <c r="AB1056" s="36" t="s">
        <v>661</v>
      </c>
      <c r="AC1056" s="35">
        <v>5301233</v>
      </c>
      <c r="AD1056" s="36" t="s">
        <v>660</v>
      </c>
      <c r="AE1056" s="36">
        <v>100</v>
      </c>
      <c r="AF1056" s="36"/>
      <c r="AG1056" s="79">
        <v>1</v>
      </c>
      <c r="AH1056" s="36">
        <v>0</v>
      </c>
      <c r="AI1056" s="33"/>
      <c r="AJ1056" s="37"/>
      <c r="AK1056" s="35"/>
      <c r="AL1056" s="35"/>
    </row>
    <row r="1057" s="25" customFormat="1" hidden="1" customHeight="1" spans="1:38">
      <c r="A1057" s="33">
        <v>5302234</v>
      </c>
      <c r="B1057" s="34"/>
      <c r="C1057" s="35">
        <v>5301234</v>
      </c>
      <c r="D1057" s="36">
        <v>2</v>
      </c>
      <c r="E1057" s="36"/>
      <c r="F1057" s="36" t="s">
        <v>404</v>
      </c>
      <c r="G1057" s="36" t="str">
        <f t="shared" si="275"/>
        <v/>
      </c>
      <c r="H1057" s="36" t="str">
        <f>IFERROR(IF(--MID($F1057,2*COUNTIF($G1057:G1057,"&gt;"&amp;0)+2,1)=H$1,H$1,""),"")</f>
        <v/>
      </c>
      <c r="I1057" s="36" t="str">
        <f>IFERROR(IF(--MID($F1057,2*COUNTIF($G1057:H1057,"&gt;"&amp;0)+2,1)=I$1,I$1,""),"")</f>
        <v/>
      </c>
      <c r="J1057" s="36">
        <f>IFERROR(IF(--MID($F1057,2*COUNTIF($G1057:I1057,"&gt;"&amp;0)+2,1)=J$1,J$1,""),"")</f>
        <v>4</v>
      </c>
      <c r="K1057" s="36" t="str">
        <f>IFERROR(IF(--MID($F1057,2*COUNTIF($G1057:J1057,"&gt;"&amp;0)+2,1)=K$1,K$1,""),"")</f>
        <v/>
      </c>
      <c r="L1057" s="36" t="str">
        <f>IFERROR(IF(--MID($F1057,2*COUNTIF($G1057:K1057,"&gt;"&amp;0)+2,1)=L$1,L$1,""),"")</f>
        <v/>
      </c>
      <c r="M1057" s="36" t="e" cm="1">
        <f t="array" ref="M1057">IF(A1057="","",_xlfn.XLOOKUP(D1057&amp;"_"&amp;AE1057,符文权重!A:A&amp;"_"&amp;符文权重!C:C,符文权重!D:D))</f>
        <v>#N/A</v>
      </c>
      <c r="N1057" s="36"/>
      <c r="O1057" s="36"/>
      <c r="P1057" s="36"/>
      <c r="Q1057" s="36"/>
      <c r="R1057" s="36"/>
      <c r="S1057" s="36" t="s">
        <v>344</v>
      </c>
      <c r="T1057" s="36" t="s">
        <v>652</v>
      </c>
      <c r="U1057" s="36" t="s">
        <v>415</v>
      </c>
      <c r="W1057" s="36" t="s">
        <v>662</v>
      </c>
      <c r="X1057" s="35" t="s">
        <v>636</v>
      </c>
      <c r="Y1057" s="35">
        <v>100</v>
      </c>
      <c r="Z1057" s="35"/>
      <c r="AA1057" s="36" t="s">
        <v>181</v>
      </c>
      <c r="AB1057" s="80" t="s">
        <v>663</v>
      </c>
      <c r="AC1057" s="35">
        <v>5301234</v>
      </c>
      <c r="AD1057" s="36" t="s">
        <v>431</v>
      </c>
      <c r="AE1057" s="36">
        <v>100</v>
      </c>
      <c r="AF1057" s="36"/>
      <c r="AG1057" s="79">
        <v>1</v>
      </c>
      <c r="AH1057" s="36">
        <v>0</v>
      </c>
      <c r="AL1057" s="35"/>
    </row>
    <row r="1058" s="25" customFormat="1" hidden="1" customHeight="1" spans="1:38">
      <c r="A1058" s="33">
        <v>5303234</v>
      </c>
      <c r="B1058" s="34"/>
      <c r="C1058" s="35">
        <v>5301234</v>
      </c>
      <c r="D1058" s="36">
        <v>3</v>
      </c>
      <c r="E1058" s="36"/>
      <c r="F1058" s="36" t="s">
        <v>404</v>
      </c>
      <c r="G1058" s="36" t="str">
        <f t="shared" si="275"/>
        <v/>
      </c>
      <c r="H1058" s="36" t="str">
        <f>IFERROR(IF(--MID($F1058,2*COUNTIF($G1058:G1058,"&gt;"&amp;0)+2,1)=H$1,H$1,""),"")</f>
        <v/>
      </c>
      <c r="I1058" s="36" t="str">
        <f>IFERROR(IF(--MID($F1058,2*COUNTIF($G1058:H1058,"&gt;"&amp;0)+2,1)=I$1,I$1,""),"")</f>
        <v/>
      </c>
      <c r="J1058" s="36">
        <f>IFERROR(IF(--MID($F1058,2*COUNTIF($G1058:I1058,"&gt;"&amp;0)+2,1)=J$1,J$1,""),"")</f>
        <v>4</v>
      </c>
      <c r="K1058" s="36" t="str">
        <f>IFERROR(IF(--MID($F1058,2*COUNTIF($G1058:J1058,"&gt;"&amp;0)+2,1)=K$1,K$1,""),"")</f>
        <v/>
      </c>
      <c r="L1058" s="36" t="str">
        <f>IFERROR(IF(--MID($F1058,2*COUNTIF($G1058:K1058,"&gt;"&amp;0)+2,1)=L$1,L$1,""),"")</f>
        <v/>
      </c>
      <c r="M1058" s="36" t="e" cm="1">
        <f t="array" ref="M1058">IF(A1058="","",_xlfn.XLOOKUP(D1058&amp;"_"&amp;AE1058,符文权重!A:A&amp;"_"&amp;符文权重!C:C,符文权重!D:D))</f>
        <v>#N/A</v>
      </c>
      <c r="N1058" s="36"/>
      <c r="O1058" s="36"/>
      <c r="P1058" s="36"/>
      <c r="Q1058" s="36"/>
      <c r="R1058" s="36"/>
      <c r="S1058" s="36" t="s">
        <v>344</v>
      </c>
      <c r="T1058" s="36" t="s">
        <v>652</v>
      </c>
      <c r="U1058" s="36" t="s">
        <v>417</v>
      </c>
      <c r="W1058" s="36" t="s">
        <v>664</v>
      </c>
      <c r="X1058" s="35" t="s">
        <v>656</v>
      </c>
      <c r="Y1058" s="35">
        <v>100</v>
      </c>
      <c r="Z1058" s="35"/>
      <c r="AA1058" s="36" t="s">
        <v>183</v>
      </c>
      <c r="AB1058" s="80" t="s">
        <v>665</v>
      </c>
      <c r="AC1058" s="35">
        <v>5301234</v>
      </c>
      <c r="AD1058" s="36" t="s">
        <v>660</v>
      </c>
      <c r="AE1058" s="36">
        <v>100</v>
      </c>
      <c r="AF1058" s="36"/>
      <c r="AG1058" s="79">
        <v>1</v>
      </c>
      <c r="AH1058" s="36">
        <v>0</v>
      </c>
      <c r="AI1058" s="33"/>
      <c r="AJ1058" s="37"/>
      <c r="AK1058" s="35"/>
      <c r="AL1058" s="35"/>
    </row>
    <row r="1059" s="25" customFormat="1" hidden="1" customHeight="1" spans="1:38">
      <c r="A1059" s="33">
        <v>5304234</v>
      </c>
      <c r="B1059" s="34"/>
      <c r="C1059" s="35">
        <v>5301234</v>
      </c>
      <c r="D1059" s="36">
        <v>4</v>
      </c>
      <c r="E1059" s="36"/>
      <c r="F1059" s="36" t="s">
        <v>404</v>
      </c>
      <c r="G1059" s="36" t="str">
        <f t="shared" si="275"/>
        <v/>
      </c>
      <c r="H1059" s="36" t="str">
        <f>IFERROR(IF(--MID($F1059,2*COUNTIF($G1059:G1059,"&gt;"&amp;0)+2,1)=H$1,H$1,""),"")</f>
        <v/>
      </c>
      <c r="I1059" s="36" t="str">
        <f>IFERROR(IF(--MID($F1059,2*COUNTIF($G1059:H1059,"&gt;"&amp;0)+2,1)=I$1,I$1,""),"")</f>
        <v/>
      </c>
      <c r="J1059" s="36">
        <f>IFERROR(IF(--MID($F1059,2*COUNTIF($G1059:I1059,"&gt;"&amp;0)+2,1)=J$1,J$1,""),"")</f>
        <v>4</v>
      </c>
      <c r="K1059" s="36" t="str">
        <f>IFERROR(IF(--MID($F1059,2*COUNTIF($G1059:J1059,"&gt;"&amp;0)+2,1)=K$1,K$1,""),"")</f>
        <v/>
      </c>
      <c r="L1059" s="36" t="str">
        <f>IFERROR(IF(--MID($F1059,2*COUNTIF($G1059:K1059,"&gt;"&amp;0)+2,1)=L$1,L$1,""),"")</f>
        <v/>
      </c>
      <c r="M1059" s="36" t="e" cm="1">
        <f t="array" ref="M1059">IF(A1059="","",_xlfn.XLOOKUP(D1059&amp;"_"&amp;AE1059,符文权重!A:A&amp;"_"&amp;符文权重!C:C,符文权重!D:D))</f>
        <v>#N/A</v>
      </c>
      <c r="N1059" s="36"/>
      <c r="O1059" s="36"/>
      <c r="P1059" s="36"/>
      <c r="Q1059" s="36"/>
      <c r="R1059" s="36"/>
      <c r="S1059" s="36" t="s">
        <v>344</v>
      </c>
      <c r="T1059" s="36" t="s">
        <v>652</v>
      </c>
      <c r="U1059" s="36" t="s">
        <v>420</v>
      </c>
      <c r="W1059" s="36" t="s">
        <v>666</v>
      </c>
      <c r="X1059" s="35" t="s">
        <v>659</v>
      </c>
      <c r="Y1059" s="35">
        <v>100</v>
      </c>
      <c r="Z1059" s="35"/>
      <c r="AA1059" s="36" t="s">
        <v>185</v>
      </c>
      <c r="AB1059" s="80" t="s">
        <v>668</v>
      </c>
      <c r="AC1059" s="35">
        <v>5301234</v>
      </c>
      <c r="AD1059" s="36" t="s">
        <v>667</v>
      </c>
      <c r="AE1059" s="36">
        <v>100</v>
      </c>
      <c r="AF1059" s="36"/>
      <c r="AG1059" s="79">
        <v>1</v>
      </c>
      <c r="AH1059" s="36">
        <v>0</v>
      </c>
      <c r="AI1059" s="33"/>
      <c r="AJ1059" s="37"/>
      <c r="AK1059" s="35"/>
      <c r="AL1059" s="35"/>
    </row>
    <row r="1060" s="25" customFormat="1" hidden="1" customHeight="1" spans="1:38">
      <c r="A1060" s="33">
        <v>5302235</v>
      </c>
      <c r="B1060" s="34"/>
      <c r="C1060" s="35">
        <v>5301235</v>
      </c>
      <c r="D1060" s="36">
        <v>2</v>
      </c>
      <c r="E1060" s="36"/>
      <c r="F1060" s="36" t="s">
        <v>220</v>
      </c>
      <c r="G1060" s="36" t="str">
        <f t="shared" si="275"/>
        <v/>
      </c>
      <c r="H1060" s="36" t="str">
        <f>IFERROR(IF(--MID($F1060,2*COUNTIF($G1060:G1060,"&gt;"&amp;0)+2,1)=H$1,H$1,""),"")</f>
        <v/>
      </c>
      <c r="I1060" s="36" t="str">
        <f>IFERROR(IF(--MID($F1060,2*COUNTIF($G1060:H1060,"&gt;"&amp;0)+2,1)=I$1,I$1,""),"")</f>
        <v/>
      </c>
      <c r="J1060" s="36" t="str">
        <f>IFERROR(IF(--MID($F1060,2*COUNTIF($G1060:I1060,"&gt;"&amp;0)+2,1)=J$1,J$1,""),"")</f>
        <v/>
      </c>
      <c r="K1060" s="36" t="str">
        <f>IFERROR(IF(--MID($F1060,2*COUNTIF($G1060:J1060,"&gt;"&amp;0)+2,1)=K$1,K$1,""),"")</f>
        <v/>
      </c>
      <c r="L1060" s="36">
        <f>IFERROR(IF(--MID($F1060,2*COUNTIF($G1060:K1060,"&gt;"&amp;0)+2,1)=L$1,L$1,""),"")</f>
        <v>6</v>
      </c>
      <c r="M1060" s="36" t="e" cm="1">
        <f t="array" ref="M1060">IF(A1060="","",_xlfn.XLOOKUP(D1060&amp;"_"&amp;AE1060,符文权重!A:A&amp;"_"&amp;符文权重!C:C,符文权重!D:D))</f>
        <v>#N/A</v>
      </c>
      <c r="N1060" s="36"/>
      <c r="O1060" s="36"/>
      <c r="P1060" s="36"/>
      <c r="Q1060" s="36"/>
      <c r="R1060" s="36"/>
      <c r="S1060" s="36" t="s">
        <v>344</v>
      </c>
      <c r="T1060" s="36" t="s">
        <v>652</v>
      </c>
      <c r="U1060" s="36" t="s">
        <v>415</v>
      </c>
      <c r="V1060" s="25" t="s">
        <v>669</v>
      </c>
      <c r="W1060" s="36"/>
      <c r="X1060" s="35" t="s">
        <v>636</v>
      </c>
      <c r="Y1060" s="35">
        <v>100</v>
      </c>
      <c r="Z1060" s="35"/>
      <c r="AA1060" s="36" t="s">
        <v>181</v>
      </c>
      <c r="AB1060" s="36" t="s">
        <v>670</v>
      </c>
      <c r="AC1060" s="35">
        <v>5301235</v>
      </c>
      <c r="AD1060" s="36" t="s">
        <v>428</v>
      </c>
      <c r="AE1060" s="36">
        <v>100</v>
      </c>
      <c r="AF1060" s="36"/>
      <c r="AG1060" s="79">
        <v>1</v>
      </c>
      <c r="AH1060" s="36">
        <v>0</v>
      </c>
      <c r="AL1060" s="35"/>
    </row>
    <row r="1061" s="25" customFormat="1" hidden="1" customHeight="1" spans="1:38">
      <c r="A1061" s="33">
        <v>5303235</v>
      </c>
      <c r="B1061" s="34"/>
      <c r="C1061" s="35">
        <v>5301235</v>
      </c>
      <c r="D1061" s="36">
        <v>3</v>
      </c>
      <c r="E1061" s="36"/>
      <c r="F1061" s="36" t="s">
        <v>220</v>
      </c>
      <c r="G1061" s="36" t="str">
        <f t="shared" si="275"/>
        <v/>
      </c>
      <c r="H1061" s="36" t="str">
        <f>IFERROR(IF(--MID($F1061,2*COUNTIF($G1061:G1061,"&gt;"&amp;0)+2,1)=H$1,H$1,""),"")</f>
        <v/>
      </c>
      <c r="I1061" s="36" t="str">
        <f>IFERROR(IF(--MID($F1061,2*COUNTIF($G1061:H1061,"&gt;"&amp;0)+2,1)=I$1,I$1,""),"")</f>
        <v/>
      </c>
      <c r="J1061" s="36" t="str">
        <f>IFERROR(IF(--MID($F1061,2*COUNTIF($G1061:I1061,"&gt;"&amp;0)+2,1)=J$1,J$1,""),"")</f>
        <v/>
      </c>
      <c r="K1061" s="36" t="str">
        <f>IFERROR(IF(--MID($F1061,2*COUNTIF($G1061:J1061,"&gt;"&amp;0)+2,1)=K$1,K$1,""),"")</f>
        <v/>
      </c>
      <c r="L1061" s="36">
        <f>IFERROR(IF(--MID($F1061,2*COUNTIF($G1061:K1061,"&gt;"&amp;0)+2,1)=L$1,L$1,""),"")</f>
        <v>6</v>
      </c>
      <c r="M1061" s="36" t="e" cm="1">
        <f t="array" ref="M1061">IF(A1061="","",_xlfn.XLOOKUP(D1061&amp;"_"&amp;AE1061,符文权重!A:A&amp;"_"&amp;符文权重!C:C,符文权重!D:D))</f>
        <v>#N/A</v>
      </c>
      <c r="N1061" s="36"/>
      <c r="O1061" s="36"/>
      <c r="P1061" s="36"/>
      <c r="Q1061" s="36"/>
      <c r="R1061" s="36"/>
      <c r="S1061" s="36" t="s">
        <v>344</v>
      </c>
      <c r="T1061" s="36" t="s">
        <v>652</v>
      </c>
      <c r="U1061" s="36" t="s">
        <v>417</v>
      </c>
      <c r="V1061" s="25" t="s">
        <v>671</v>
      </c>
      <c r="W1061" s="36"/>
      <c r="X1061" s="35" t="s">
        <v>656</v>
      </c>
      <c r="Y1061" s="35">
        <v>100</v>
      </c>
      <c r="Z1061" s="35"/>
      <c r="AA1061" s="36" t="s">
        <v>183</v>
      </c>
      <c r="AB1061" s="36" t="s">
        <v>672</v>
      </c>
      <c r="AC1061" s="35">
        <v>5301235</v>
      </c>
      <c r="AD1061" s="36" t="s">
        <v>487</v>
      </c>
      <c r="AE1061" s="36">
        <v>100</v>
      </c>
      <c r="AF1061" s="36"/>
      <c r="AG1061" s="79">
        <v>1</v>
      </c>
      <c r="AH1061" s="36">
        <v>0</v>
      </c>
      <c r="AI1061" s="33"/>
      <c r="AJ1061" s="37"/>
      <c r="AK1061" s="35"/>
      <c r="AL1061" s="35"/>
    </row>
    <row r="1062" s="25" customFormat="1" hidden="1" customHeight="1" spans="1:38">
      <c r="A1062" s="33">
        <v>5304235</v>
      </c>
      <c r="B1062" s="34"/>
      <c r="C1062" s="35">
        <v>5301235</v>
      </c>
      <c r="D1062" s="36">
        <v>4</v>
      </c>
      <c r="E1062" s="36"/>
      <c r="F1062" s="36" t="s">
        <v>220</v>
      </c>
      <c r="G1062" s="36" t="str">
        <f t="shared" si="275"/>
        <v/>
      </c>
      <c r="H1062" s="36" t="str">
        <f>IFERROR(IF(--MID($F1062,2*COUNTIF($G1062:G1062,"&gt;"&amp;0)+2,1)=H$1,H$1,""),"")</f>
        <v/>
      </c>
      <c r="I1062" s="36" t="str">
        <f>IFERROR(IF(--MID($F1062,2*COUNTIF($G1062:H1062,"&gt;"&amp;0)+2,1)=I$1,I$1,""),"")</f>
        <v/>
      </c>
      <c r="J1062" s="36" t="str">
        <f>IFERROR(IF(--MID($F1062,2*COUNTIF($G1062:I1062,"&gt;"&amp;0)+2,1)=J$1,J$1,""),"")</f>
        <v/>
      </c>
      <c r="K1062" s="36" t="str">
        <f>IFERROR(IF(--MID($F1062,2*COUNTIF($G1062:J1062,"&gt;"&amp;0)+2,1)=K$1,K$1,""),"")</f>
        <v/>
      </c>
      <c r="L1062" s="36">
        <f>IFERROR(IF(--MID($F1062,2*COUNTIF($G1062:K1062,"&gt;"&amp;0)+2,1)=L$1,L$1,""),"")</f>
        <v>6</v>
      </c>
      <c r="M1062" s="36" t="e" cm="1">
        <f t="array" ref="M1062">IF(A1062="","",_xlfn.XLOOKUP(D1062&amp;"_"&amp;AE1062,符文权重!A:A&amp;"_"&amp;符文权重!C:C,符文权重!D:D))</f>
        <v>#N/A</v>
      </c>
      <c r="N1062" s="36"/>
      <c r="O1062" s="36"/>
      <c r="P1062" s="36"/>
      <c r="Q1062" s="36"/>
      <c r="R1062" s="36"/>
      <c r="S1062" s="36" t="s">
        <v>344</v>
      </c>
      <c r="T1062" s="36" t="s">
        <v>652</v>
      </c>
      <c r="U1062" s="36" t="s">
        <v>420</v>
      </c>
      <c r="V1062" s="25" t="s">
        <v>673</v>
      </c>
      <c r="W1062" s="36"/>
      <c r="X1062" s="35" t="s">
        <v>659</v>
      </c>
      <c r="Y1062" s="35">
        <v>100</v>
      </c>
      <c r="Z1062" s="35"/>
      <c r="AA1062" s="36" t="s">
        <v>185</v>
      </c>
      <c r="AB1062" s="80" t="s">
        <v>674</v>
      </c>
      <c r="AC1062" s="35">
        <v>5301235</v>
      </c>
      <c r="AD1062" s="36" t="s">
        <v>497</v>
      </c>
      <c r="AE1062" s="36">
        <v>100</v>
      </c>
      <c r="AF1062" s="36"/>
      <c r="AG1062" s="79">
        <v>1</v>
      </c>
      <c r="AH1062" s="36">
        <v>0</v>
      </c>
      <c r="AI1062" s="33"/>
      <c r="AJ1062" s="37"/>
      <c r="AK1062" s="35"/>
      <c r="AL1062" s="35"/>
    </row>
    <row r="1063" s="25" customFormat="1" hidden="1" customHeight="1" spans="1:38">
      <c r="A1063" s="33">
        <v>5302237</v>
      </c>
      <c r="B1063" s="34"/>
      <c r="C1063" s="35">
        <v>5301237</v>
      </c>
      <c r="D1063" s="36">
        <v>2</v>
      </c>
      <c r="E1063" s="36"/>
      <c r="F1063" s="36" t="s">
        <v>202</v>
      </c>
      <c r="G1063" s="36">
        <f t="shared" si="275"/>
        <v>1</v>
      </c>
      <c r="H1063" s="36" t="str">
        <f>IFERROR(IF(--MID($F1063,2*COUNTIF($G1063:G1063,"&gt;"&amp;0)+2,1)=H$1,H$1,""),"")</f>
        <v/>
      </c>
      <c r="I1063" s="36" t="str">
        <f>IFERROR(IF(--MID($F1063,2*COUNTIF($G1063:H1063,"&gt;"&amp;0)+2,1)=I$1,I$1,""),"")</f>
        <v/>
      </c>
      <c r="J1063" s="36" t="str">
        <f>IFERROR(IF(--MID($F1063,2*COUNTIF($G1063:I1063,"&gt;"&amp;0)+2,1)=J$1,J$1,""),"")</f>
        <v/>
      </c>
      <c r="K1063" s="36" t="str">
        <f>IFERROR(IF(--MID($F1063,2*COUNTIF($G1063:J1063,"&gt;"&amp;0)+2,1)=K$1,K$1,""),"")</f>
        <v/>
      </c>
      <c r="L1063" s="36" t="str">
        <f>IFERROR(IF(--MID($F1063,2*COUNTIF($G1063:K1063,"&gt;"&amp;0)+2,1)=L$1,L$1,""),"")</f>
        <v/>
      </c>
      <c r="M1063" s="36" t="e" cm="1">
        <f t="array" ref="M1063">IF(A1063="","",_xlfn.XLOOKUP(D1063&amp;"_"&amp;AE1063,符文权重!A:A&amp;"_"&amp;符文权重!C:C,符文权重!D:D))</f>
        <v>#N/A</v>
      </c>
      <c r="N1063" s="36"/>
      <c r="O1063" s="36"/>
      <c r="P1063" s="36"/>
      <c r="Q1063" s="36"/>
      <c r="R1063" s="36"/>
      <c r="S1063" s="36" t="s">
        <v>344</v>
      </c>
      <c r="T1063" s="36" t="s">
        <v>675</v>
      </c>
      <c r="U1063" s="36" t="s">
        <v>415</v>
      </c>
      <c r="W1063" s="36" t="s">
        <v>676</v>
      </c>
      <c r="X1063" s="35" t="s">
        <v>636</v>
      </c>
      <c r="Y1063" s="35">
        <v>100</v>
      </c>
      <c r="Z1063" s="35"/>
      <c r="AA1063" s="36" t="s">
        <v>181</v>
      </c>
      <c r="AB1063" s="42" t="s">
        <v>677</v>
      </c>
      <c r="AC1063" s="35">
        <v>5301237</v>
      </c>
      <c r="AD1063" s="36" t="s">
        <v>193</v>
      </c>
      <c r="AE1063" s="36">
        <v>100</v>
      </c>
      <c r="AF1063" s="36"/>
      <c r="AG1063" s="79">
        <v>1</v>
      </c>
      <c r="AH1063" s="36">
        <v>0</v>
      </c>
      <c r="AL1063" s="35"/>
    </row>
    <row r="1064" s="25" customFormat="1" hidden="1" customHeight="1" spans="1:38">
      <c r="A1064" s="33">
        <v>5303237</v>
      </c>
      <c r="B1064" s="34"/>
      <c r="C1064" s="35">
        <v>5301237</v>
      </c>
      <c r="D1064" s="36">
        <v>3</v>
      </c>
      <c r="E1064" s="36"/>
      <c r="F1064" s="36" t="s">
        <v>202</v>
      </c>
      <c r="G1064" s="36">
        <f t="shared" si="275"/>
        <v>1</v>
      </c>
      <c r="H1064" s="36" t="str">
        <f>IFERROR(IF(--MID($F1064,2*COUNTIF($G1064:G1064,"&gt;"&amp;0)+2,1)=H$1,H$1,""),"")</f>
        <v/>
      </c>
      <c r="I1064" s="36" t="str">
        <f>IFERROR(IF(--MID($F1064,2*COUNTIF($G1064:H1064,"&gt;"&amp;0)+2,1)=I$1,I$1,""),"")</f>
        <v/>
      </c>
      <c r="J1064" s="36" t="str">
        <f>IFERROR(IF(--MID($F1064,2*COUNTIF($G1064:I1064,"&gt;"&amp;0)+2,1)=J$1,J$1,""),"")</f>
        <v/>
      </c>
      <c r="K1064" s="36" t="str">
        <f>IFERROR(IF(--MID($F1064,2*COUNTIF($G1064:J1064,"&gt;"&amp;0)+2,1)=K$1,K$1,""),"")</f>
        <v/>
      </c>
      <c r="L1064" s="36" t="str">
        <f>IFERROR(IF(--MID($F1064,2*COUNTIF($G1064:K1064,"&gt;"&amp;0)+2,1)=L$1,L$1,""),"")</f>
        <v/>
      </c>
      <c r="M1064" s="36" t="e" cm="1">
        <f t="array" ref="M1064">IF(A1064="","",_xlfn.XLOOKUP(D1064&amp;"_"&amp;AE1064,符文权重!A:A&amp;"_"&amp;符文权重!C:C,符文权重!D:D))</f>
        <v>#N/A</v>
      </c>
      <c r="N1064" s="36"/>
      <c r="O1064" s="36"/>
      <c r="P1064" s="36"/>
      <c r="Q1064" s="36"/>
      <c r="R1064" s="36"/>
      <c r="S1064" s="36" t="s">
        <v>344</v>
      </c>
      <c r="T1064" s="36" t="s">
        <v>675</v>
      </c>
      <c r="U1064" s="36" t="s">
        <v>417</v>
      </c>
      <c r="W1064" s="36" t="s">
        <v>678</v>
      </c>
      <c r="X1064" s="35" t="s">
        <v>656</v>
      </c>
      <c r="Y1064" s="35">
        <v>100</v>
      </c>
      <c r="Z1064" s="35"/>
      <c r="AA1064" s="36" t="s">
        <v>183</v>
      </c>
      <c r="AB1064" s="42" t="s">
        <v>679</v>
      </c>
      <c r="AC1064" s="35">
        <v>5301237</v>
      </c>
      <c r="AD1064" s="36" t="s">
        <v>230</v>
      </c>
      <c r="AE1064" s="36">
        <v>100</v>
      </c>
      <c r="AF1064" s="36"/>
      <c r="AG1064" s="79">
        <v>1</v>
      </c>
      <c r="AH1064" s="36">
        <v>0</v>
      </c>
      <c r="AI1064" s="33"/>
      <c r="AJ1064" s="37"/>
      <c r="AK1064" s="35"/>
      <c r="AL1064" s="35"/>
    </row>
    <row r="1065" s="25" customFormat="1" hidden="1" customHeight="1" spans="1:38">
      <c r="A1065" s="33">
        <v>5304237</v>
      </c>
      <c r="B1065" s="34"/>
      <c r="C1065" s="35">
        <v>5301237</v>
      </c>
      <c r="D1065" s="36">
        <v>4</v>
      </c>
      <c r="E1065" s="36"/>
      <c r="F1065" s="36" t="s">
        <v>202</v>
      </c>
      <c r="G1065" s="36">
        <f t="shared" si="275"/>
        <v>1</v>
      </c>
      <c r="H1065" s="36" t="str">
        <f>IFERROR(IF(--MID($F1065,2*COUNTIF($G1065:G1065,"&gt;"&amp;0)+2,1)=H$1,H$1,""),"")</f>
        <v/>
      </c>
      <c r="I1065" s="36" t="str">
        <f>IFERROR(IF(--MID($F1065,2*COUNTIF($G1065:H1065,"&gt;"&amp;0)+2,1)=I$1,I$1,""),"")</f>
        <v/>
      </c>
      <c r="J1065" s="36" t="str">
        <f>IFERROR(IF(--MID($F1065,2*COUNTIF($G1065:I1065,"&gt;"&amp;0)+2,1)=J$1,J$1,""),"")</f>
        <v/>
      </c>
      <c r="K1065" s="36" t="str">
        <f>IFERROR(IF(--MID($F1065,2*COUNTIF($G1065:J1065,"&gt;"&amp;0)+2,1)=K$1,K$1,""),"")</f>
        <v/>
      </c>
      <c r="L1065" s="36" t="str">
        <f>IFERROR(IF(--MID($F1065,2*COUNTIF($G1065:K1065,"&gt;"&amp;0)+2,1)=L$1,L$1,""),"")</f>
        <v/>
      </c>
      <c r="M1065" s="36" t="e" cm="1">
        <f t="array" ref="M1065">IF(A1065="","",_xlfn.XLOOKUP(D1065&amp;"_"&amp;AE1065,符文权重!A:A&amp;"_"&amp;符文权重!C:C,符文权重!D:D))</f>
        <v>#N/A</v>
      </c>
      <c r="N1065" s="36"/>
      <c r="O1065" s="36"/>
      <c r="P1065" s="36"/>
      <c r="Q1065" s="36"/>
      <c r="R1065" s="36"/>
      <c r="S1065" s="36" t="s">
        <v>344</v>
      </c>
      <c r="T1065" s="36" t="s">
        <v>675</v>
      </c>
      <c r="U1065" s="36" t="s">
        <v>420</v>
      </c>
      <c r="W1065" s="36" t="s">
        <v>680</v>
      </c>
      <c r="X1065" s="35" t="s">
        <v>659</v>
      </c>
      <c r="Y1065" s="35">
        <v>100</v>
      </c>
      <c r="Z1065" s="35"/>
      <c r="AA1065" s="36" t="s">
        <v>185</v>
      </c>
      <c r="AB1065" s="42" t="s">
        <v>681</v>
      </c>
      <c r="AC1065" s="35">
        <v>5301237</v>
      </c>
      <c r="AD1065" s="36" t="s">
        <v>239</v>
      </c>
      <c r="AE1065" s="36">
        <v>100</v>
      </c>
      <c r="AF1065" s="36"/>
      <c r="AG1065" s="79">
        <v>1</v>
      </c>
      <c r="AH1065" s="36">
        <v>0</v>
      </c>
      <c r="AI1065" s="33"/>
      <c r="AJ1065" s="37"/>
      <c r="AK1065" s="35"/>
      <c r="AL1065" s="35"/>
    </row>
    <row r="1066" s="25" customFormat="1" hidden="1" customHeight="1" spans="1:38">
      <c r="A1066" s="33">
        <v>5302238</v>
      </c>
      <c r="B1066" s="34"/>
      <c r="C1066" s="35">
        <v>5301238</v>
      </c>
      <c r="D1066" s="36">
        <v>2</v>
      </c>
      <c r="E1066" s="36"/>
      <c r="F1066" s="36" t="s">
        <v>193</v>
      </c>
      <c r="G1066" s="36" t="str">
        <f t="shared" si="275"/>
        <v/>
      </c>
      <c r="H1066" s="36" t="str">
        <f>IFERROR(IF(--MID($F1066,2*COUNTIF($G1066:G1066,"&gt;"&amp;0)+2,1)=H$1,H$1,""),"")</f>
        <v/>
      </c>
      <c r="I1066" s="36">
        <f>IFERROR(IF(--MID($F1066,2*COUNTIF($G1066:H1066,"&gt;"&amp;0)+2,1)=I$1,I$1,""),"")</f>
        <v>3</v>
      </c>
      <c r="J1066" s="36" t="str">
        <f>IFERROR(IF(--MID($F1066,2*COUNTIF($G1066:I1066,"&gt;"&amp;0)+2,1)=J$1,J$1,""),"")</f>
        <v/>
      </c>
      <c r="K1066" s="36" t="str">
        <f>IFERROR(IF(--MID($F1066,2*COUNTIF($G1066:J1066,"&gt;"&amp;0)+2,1)=K$1,K$1,""),"")</f>
        <v/>
      </c>
      <c r="L1066" s="36" t="str">
        <f>IFERROR(IF(--MID($F1066,2*COUNTIF($G1066:K1066,"&gt;"&amp;0)+2,1)=L$1,L$1,""),"")</f>
        <v/>
      </c>
      <c r="M1066" s="36" t="e" cm="1">
        <f t="array" ref="M1066">IF(A1066="","",_xlfn.XLOOKUP(D1066&amp;"_"&amp;AE1066,符文权重!A:A&amp;"_"&amp;符文权重!C:C,符文权重!D:D))</f>
        <v>#N/A</v>
      </c>
      <c r="N1066" s="36"/>
      <c r="O1066" s="36"/>
      <c r="P1066" s="36"/>
      <c r="Q1066" s="36"/>
      <c r="R1066" s="36"/>
      <c r="S1066" s="36" t="s">
        <v>344</v>
      </c>
      <c r="T1066" s="36" t="s">
        <v>675</v>
      </c>
      <c r="U1066" s="36" t="s">
        <v>415</v>
      </c>
      <c r="V1066" s="25" t="s">
        <v>682</v>
      </c>
      <c r="W1066" s="36"/>
      <c r="X1066" s="35" t="s">
        <v>636</v>
      </c>
      <c r="Y1066" s="35">
        <v>100</v>
      </c>
      <c r="Z1066" s="35"/>
      <c r="AA1066" s="36" t="s">
        <v>181</v>
      </c>
      <c r="AB1066" s="42" t="s">
        <v>683</v>
      </c>
      <c r="AC1066" s="35">
        <v>5301238</v>
      </c>
      <c r="AD1066" s="36" t="s">
        <v>425</v>
      </c>
      <c r="AE1066" s="36">
        <v>100</v>
      </c>
      <c r="AF1066" s="36"/>
      <c r="AG1066" s="79">
        <v>1</v>
      </c>
      <c r="AH1066" s="36">
        <v>0</v>
      </c>
      <c r="AL1066" s="35"/>
    </row>
    <row r="1067" s="25" customFormat="1" hidden="1" customHeight="1" spans="1:38">
      <c r="A1067" s="33">
        <v>5303238</v>
      </c>
      <c r="B1067" s="34"/>
      <c r="C1067" s="35">
        <v>5301238</v>
      </c>
      <c r="D1067" s="36">
        <v>3</v>
      </c>
      <c r="E1067" s="36"/>
      <c r="F1067" s="36" t="s">
        <v>193</v>
      </c>
      <c r="G1067" s="36" t="str">
        <f t="shared" si="275"/>
        <v/>
      </c>
      <c r="H1067" s="36" t="str">
        <f>IFERROR(IF(--MID($F1067,2*COUNTIF($G1067:G1067,"&gt;"&amp;0)+2,1)=H$1,H$1,""),"")</f>
        <v/>
      </c>
      <c r="I1067" s="36">
        <f>IFERROR(IF(--MID($F1067,2*COUNTIF($G1067:H1067,"&gt;"&amp;0)+2,1)=I$1,I$1,""),"")</f>
        <v>3</v>
      </c>
      <c r="J1067" s="36" t="str">
        <f>IFERROR(IF(--MID($F1067,2*COUNTIF($G1067:I1067,"&gt;"&amp;0)+2,1)=J$1,J$1,""),"")</f>
        <v/>
      </c>
      <c r="K1067" s="36" t="str">
        <f>IFERROR(IF(--MID($F1067,2*COUNTIF($G1067:J1067,"&gt;"&amp;0)+2,1)=K$1,K$1,""),"")</f>
        <v/>
      </c>
      <c r="L1067" s="36" t="str">
        <f>IFERROR(IF(--MID($F1067,2*COUNTIF($G1067:K1067,"&gt;"&amp;0)+2,1)=L$1,L$1,""),"")</f>
        <v/>
      </c>
      <c r="M1067" s="36" t="e" cm="1">
        <f t="array" ref="M1067">IF(A1067="","",_xlfn.XLOOKUP(D1067&amp;"_"&amp;AE1067,符文权重!A:A&amp;"_"&amp;符文权重!C:C,符文权重!D:D))</f>
        <v>#N/A</v>
      </c>
      <c r="N1067" s="36"/>
      <c r="O1067" s="36"/>
      <c r="P1067" s="36"/>
      <c r="Q1067" s="36"/>
      <c r="R1067" s="36"/>
      <c r="S1067" s="36" t="s">
        <v>344</v>
      </c>
      <c r="T1067" s="36" t="s">
        <v>675</v>
      </c>
      <c r="U1067" s="36" t="s">
        <v>417</v>
      </c>
      <c r="V1067" s="25" t="s">
        <v>684</v>
      </c>
      <c r="W1067" s="36"/>
      <c r="X1067" s="35" t="s">
        <v>656</v>
      </c>
      <c r="Y1067" s="35">
        <v>100</v>
      </c>
      <c r="Z1067" s="35"/>
      <c r="AA1067" s="36" t="s">
        <v>183</v>
      </c>
      <c r="AB1067" s="42" t="s">
        <v>686</v>
      </c>
      <c r="AC1067" s="35">
        <v>5301238</v>
      </c>
      <c r="AD1067" s="36" t="s">
        <v>685</v>
      </c>
      <c r="AE1067" s="36">
        <v>100</v>
      </c>
      <c r="AF1067" s="36"/>
      <c r="AG1067" s="79">
        <v>1</v>
      </c>
      <c r="AH1067" s="36">
        <v>0</v>
      </c>
      <c r="AI1067" s="33"/>
      <c r="AJ1067" s="37"/>
      <c r="AK1067" s="35"/>
      <c r="AL1067" s="35"/>
    </row>
    <row r="1068" s="25" customFormat="1" hidden="1" customHeight="1" spans="1:38">
      <c r="A1068" s="33">
        <v>5304238</v>
      </c>
      <c r="B1068" s="34"/>
      <c r="C1068" s="35">
        <v>5301238</v>
      </c>
      <c r="D1068" s="36">
        <v>4</v>
      </c>
      <c r="E1068" s="36"/>
      <c r="F1068" s="36" t="s">
        <v>193</v>
      </c>
      <c r="G1068" s="36" t="str">
        <f t="shared" si="275"/>
        <v/>
      </c>
      <c r="H1068" s="36" t="str">
        <f>IFERROR(IF(--MID($F1068,2*COUNTIF($G1068:G1068,"&gt;"&amp;0)+2,1)=H$1,H$1,""),"")</f>
        <v/>
      </c>
      <c r="I1068" s="36">
        <f>IFERROR(IF(--MID($F1068,2*COUNTIF($G1068:H1068,"&gt;"&amp;0)+2,1)=I$1,I$1,""),"")</f>
        <v>3</v>
      </c>
      <c r="J1068" s="36" t="str">
        <f>IFERROR(IF(--MID($F1068,2*COUNTIF($G1068:I1068,"&gt;"&amp;0)+2,1)=J$1,J$1,""),"")</f>
        <v/>
      </c>
      <c r="K1068" s="36" t="str">
        <f>IFERROR(IF(--MID($F1068,2*COUNTIF($G1068:J1068,"&gt;"&amp;0)+2,1)=K$1,K$1,""),"")</f>
        <v/>
      </c>
      <c r="L1068" s="36" t="str">
        <f>IFERROR(IF(--MID($F1068,2*COUNTIF($G1068:K1068,"&gt;"&amp;0)+2,1)=L$1,L$1,""),"")</f>
        <v/>
      </c>
      <c r="M1068" s="36" t="e" cm="1">
        <f t="array" ref="M1068">IF(A1068="","",_xlfn.XLOOKUP(D1068&amp;"_"&amp;AE1068,符文权重!A:A&amp;"_"&amp;符文权重!C:C,符文权重!D:D))</f>
        <v>#N/A</v>
      </c>
      <c r="N1068" s="36"/>
      <c r="O1068" s="36"/>
      <c r="P1068" s="36"/>
      <c r="Q1068" s="36"/>
      <c r="R1068" s="36"/>
      <c r="S1068" s="36" t="s">
        <v>344</v>
      </c>
      <c r="T1068" s="36" t="s">
        <v>675</v>
      </c>
      <c r="U1068" s="36" t="s">
        <v>420</v>
      </c>
      <c r="V1068" s="25" t="s">
        <v>687</v>
      </c>
      <c r="W1068" s="36"/>
      <c r="X1068" s="35" t="s">
        <v>659</v>
      </c>
      <c r="Y1068" s="35">
        <v>100</v>
      </c>
      <c r="Z1068" s="35"/>
      <c r="AA1068" s="36" t="s">
        <v>185</v>
      </c>
      <c r="AB1068" s="42" t="s">
        <v>688</v>
      </c>
      <c r="AC1068" s="35">
        <v>5301238</v>
      </c>
      <c r="AD1068" s="36" t="s">
        <v>487</v>
      </c>
      <c r="AE1068" s="36">
        <v>100</v>
      </c>
      <c r="AF1068" s="36"/>
      <c r="AG1068" s="79">
        <v>1</v>
      </c>
      <c r="AH1068" s="36">
        <v>0</v>
      </c>
      <c r="AI1068" s="33"/>
      <c r="AJ1068" s="37"/>
      <c r="AK1068" s="35"/>
      <c r="AL1068" s="35"/>
    </row>
    <row r="1069" s="29" customFormat="1" hidden="1" customHeight="1" spans="1:38">
      <c r="A1069" s="82">
        <v>5302239</v>
      </c>
      <c r="B1069" s="34"/>
      <c r="C1069" s="31">
        <v>5301239</v>
      </c>
      <c r="D1069" s="79">
        <v>2</v>
      </c>
      <c r="E1069" s="79"/>
      <c r="F1069" s="79" t="s">
        <v>230</v>
      </c>
      <c r="G1069" s="36" t="str">
        <f t="shared" si="275"/>
        <v/>
      </c>
      <c r="H1069" s="36" t="str">
        <f>IFERROR(IF(--MID($F1069,2*COUNTIF($G1069:G1069,"&gt;"&amp;0)+2,1)=H$1,H$1,""),"")</f>
        <v/>
      </c>
      <c r="I1069" s="36" t="str">
        <f>IFERROR(IF(--MID($F1069,2*COUNTIF($G1069:H1069,"&gt;"&amp;0)+2,1)=I$1,I$1,""),"")</f>
        <v/>
      </c>
      <c r="J1069" s="36" t="str">
        <f>IFERROR(IF(--MID($F1069,2*COUNTIF($G1069:I1069,"&gt;"&amp;0)+2,1)=J$1,J$1,""),"")</f>
        <v/>
      </c>
      <c r="K1069" s="36">
        <f>IFERROR(IF(--MID($F1069,2*COUNTIF($G1069:J1069,"&gt;"&amp;0)+2,1)=K$1,K$1,""),"")</f>
        <v>5</v>
      </c>
      <c r="L1069" s="36" t="str">
        <f>IFERROR(IF(--MID($F1069,2*COUNTIF($G1069:K1069,"&gt;"&amp;0)+2,1)=L$1,L$1,""),"")</f>
        <v/>
      </c>
      <c r="M1069" s="36" t="e" cm="1">
        <f t="array" ref="M1069">IF(A1069="","",_xlfn.XLOOKUP(D1069&amp;"_"&amp;AE1069,符文权重!A:A&amp;"_"&amp;符文权重!C:C,符文权重!D:D))</f>
        <v>#N/A</v>
      </c>
      <c r="N1069" s="36"/>
      <c r="O1069" s="36"/>
      <c r="P1069" s="36"/>
      <c r="Q1069" s="36"/>
      <c r="R1069" s="36"/>
      <c r="S1069" s="36" t="s">
        <v>344</v>
      </c>
      <c r="T1069" s="36" t="s">
        <v>675</v>
      </c>
      <c r="U1069" s="36" t="s">
        <v>415</v>
      </c>
      <c r="V1069" s="29" t="s">
        <v>689</v>
      </c>
      <c r="W1069" s="79"/>
      <c r="X1069" s="35" t="s">
        <v>636</v>
      </c>
      <c r="Y1069" s="35">
        <v>100</v>
      </c>
      <c r="Z1069" s="31"/>
      <c r="AA1069" s="36" t="s">
        <v>181</v>
      </c>
      <c r="AB1069" s="83" t="s">
        <v>690</v>
      </c>
      <c r="AC1069" s="31">
        <v>5301239</v>
      </c>
      <c r="AD1069" s="79" t="s">
        <v>431</v>
      </c>
      <c r="AE1069" s="36">
        <v>100</v>
      </c>
      <c r="AF1069" s="79"/>
      <c r="AG1069" s="79">
        <v>1</v>
      </c>
      <c r="AH1069" s="36">
        <v>0</v>
      </c>
      <c r="AL1069" s="35"/>
    </row>
    <row r="1070" s="29" customFormat="1" hidden="1" customHeight="1" spans="1:38">
      <c r="A1070" s="82">
        <v>5303239</v>
      </c>
      <c r="B1070" s="34"/>
      <c r="C1070" s="31">
        <v>5301239</v>
      </c>
      <c r="D1070" s="79">
        <v>3</v>
      </c>
      <c r="E1070" s="79"/>
      <c r="F1070" s="79" t="s">
        <v>230</v>
      </c>
      <c r="G1070" s="36" t="str">
        <f t="shared" si="275"/>
        <v/>
      </c>
      <c r="H1070" s="36" t="str">
        <f>IFERROR(IF(--MID($F1070,2*COUNTIF($G1070:G1070,"&gt;"&amp;0)+2,1)=H$1,H$1,""),"")</f>
        <v/>
      </c>
      <c r="I1070" s="36" t="str">
        <f>IFERROR(IF(--MID($F1070,2*COUNTIF($G1070:H1070,"&gt;"&amp;0)+2,1)=I$1,I$1,""),"")</f>
        <v/>
      </c>
      <c r="J1070" s="36" t="str">
        <f>IFERROR(IF(--MID($F1070,2*COUNTIF($G1070:I1070,"&gt;"&amp;0)+2,1)=J$1,J$1,""),"")</f>
        <v/>
      </c>
      <c r="K1070" s="36">
        <f>IFERROR(IF(--MID($F1070,2*COUNTIF($G1070:J1070,"&gt;"&amp;0)+2,1)=K$1,K$1,""),"")</f>
        <v>5</v>
      </c>
      <c r="L1070" s="36" t="str">
        <f>IFERROR(IF(--MID($F1070,2*COUNTIF($G1070:K1070,"&gt;"&amp;0)+2,1)=L$1,L$1,""),"")</f>
        <v/>
      </c>
      <c r="M1070" s="36" t="e" cm="1">
        <f t="array" ref="M1070">IF(A1070="","",_xlfn.XLOOKUP(D1070&amp;"_"&amp;AE1070,符文权重!A:A&amp;"_"&amp;符文权重!C:C,符文权重!D:D))</f>
        <v>#N/A</v>
      </c>
      <c r="N1070" s="36"/>
      <c r="O1070" s="36"/>
      <c r="P1070" s="36"/>
      <c r="Q1070" s="36"/>
      <c r="R1070" s="36"/>
      <c r="S1070" s="36" t="s">
        <v>344</v>
      </c>
      <c r="T1070" s="36" t="s">
        <v>675</v>
      </c>
      <c r="U1070" s="36" t="s">
        <v>417</v>
      </c>
      <c r="V1070" s="29" t="s">
        <v>691</v>
      </c>
      <c r="W1070" s="79"/>
      <c r="X1070" s="35" t="s">
        <v>656</v>
      </c>
      <c r="Y1070" s="35">
        <v>100</v>
      </c>
      <c r="Z1070" s="31"/>
      <c r="AA1070" s="36" t="s">
        <v>183</v>
      </c>
      <c r="AB1070" s="83" t="s">
        <v>692</v>
      </c>
      <c r="AC1070" s="31">
        <v>5301239</v>
      </c>
      <c r="AD1070" s="79" t="s">
        <v>447</v>
      </c>
      <c r="AE1070" s="36">
        <v>100</v>
      </c>
      <c r="AF1070" s="79"/>
      <c r="AG1070" s="79">
        <v>1</v>
      </c>
      <c r="AH1070" s="36">
        <v>0</v>
      </c>
      <c r="AI1070" s="82"/>
      <c r="AJ1070" s="84"/>
      <c r="AK1070" s="31"/>
      <c r="AL1070" s="35"/>
    </row>
    <row r="1071" s="29" customFormat="1" hidden="1" customHeight="1" spans="1:38">
      <c r="A1071" s="82">
        <v>5304239</v>
      </c>
      <c r="B1071" s="34"/>
      <c r="C1071" s="31">
        <v>5301239</v>
      </c>
      <c r="D1071" s="79">
        <v>4</v>
      </c>
      <c r="E1071" s="79"/>
      <c r="F1071" s="79" t="s">
        <v>230</v>
      </c>
      <c r="G1071" s="36" t="str">
        <f t="shared" si="275"/>
        <v/>
      </c>
      <c r="H1071" s="36" t="str">
        <f>IFERROR(IF(--MID($F1071,2*COUNTIF($G1071:G1071,"&gt;"&amp;0)+2,1)=H$1,H$1,""),"")</f>
        <v/>
      </c>
      <c r="I1071" s="36" t="str">
        <f>IFERROR(IF(--MID($F1071,2*COUNTIF($G1071:H1071,"&gt;"&amp;0)+2,1)=I$1,I$1,""),"")</f>
        <v/>
      </c>
      <c r="J1071" s="36" t="str">
        <f>IFERROR(IF(--MID($F1071,2*COUNTIF($G1071:I1071,"&gt;"&amp;0)+2,1)=J$1,J$1,""),"")</f>
        <v/>
      </c>
      <c r="K1071" s="36">
        <f>IFERROR(IF(--MID($F1071,2*COUNTIF($G1071:J1071,"&gt;"&amp;0)+2,1)=K$1,K$1,""),"")</f>
        <v>5</v>
      </c>
      <c r="L1071" s="36" t="str">
        <f>IFERROR(IF(--MID($F1071,2*COUNTIF($G1071:K1071,"&gt;"&amp;0)+2,1)=L$1,L$1,""),"")</f>
        <v/>
      </c>
      <c r="M1071" s="36" t="e" cm="1">
        <f t="array" ref="M1071">IF(A1071="","",_xlfn.XLOOKUP(D1071&amp;"_"&amp;AE1071,符文权重!A:A&amp;"_"&amp;符文权重!C:C,符文权重!D:D))</f>
        <v>#N/A</v>
      </c>
      <c r="N1071" s="36"/>
      <c r="O1071" s="36"/>
      <c r="P1071" s="36"/>
      <c r="Q1071" s="36"/>
      <c r="R1071" s="36"/>
      <c r="S1071" s="36" t="s">
        <v>344</v>
      </c>
      <c r="T1071" s="36" t="s">
        <v>675</v>
      </c>
      <c r="U1071" s="36" t="s">
        <v>420</v>
      </c>
      <c r="V1071" s="29" t="s">
        <v>693</v>
      </c>
      <c r="W1071" s="79"/>
      <c r="X1071" s="35" t="s">
        <v>659</v>
      </c>
      <c r="Y1071" s="35">
        <v>100</v>
      </c>
      <c r="Z1071" s="31"/>
      <c r="AA1071" s="36" t="s">
        <v>185</v>
      </c>
      <c r="AB1071" s="83" t="s">
        <v>694</v>
      </c>
      <c r="AC1071" s="31">
        <v>5301239</v>
      </c>
      <c r="AD1071" s="79" t="s">
        <v>596</v>
      </c>
      <c r="AE1071" s="36">
        <v>100</v>
      </c>
      <c r="AF1071" s="79"/>
      <c r="AG1071" s="79">
        <v>1</v>
      </c>
      <c r="AH1071" s="36">
        <v>0</v>
      </c>
      <c r="AI1071" s="82"/>
      <c r="AJ1071" s="84"/>
      <c r="AK1071" s="31"/>
      <c r="AL1071" s="35"/>
    </row>
    <row r="1072" s="25" customFormat="1" hidden="1" customHeight="1" spans="1:38">
      <c r="A1072" s="33">
        <v>5302241</v>
      </c>
      <c r="B1072" s="34"/>
      <c r="C1072" s="35">
        <v>5301241</v>
      </c>
      <c r="D1072" s="36">
        <v>2</v>
      </c>
      <c r="E1072" s="36"/>
      <c r="F1072" s="36" t="s">
        <v>211</v>
      </c>
      <c r="G1072" s="36" t="str">
        <f t="shared" si="275"/>
        <v/>
      </c>
      <c r="H1072" s="36">
        <f>IFERROR(IF(--MID($F1072,2*COUNTIF($G1072:G1072,"&gt;"&amp;0)+2,1)=H$1,H$1,""),"")</f>
        <v>2</v>
      </c>
      <c r="I1072" s="36" t="str">
        <f>IFERROR(IF(--MID($F1072,2*COUNTIF($G1072:H1072,"&gt;"&amp;0)+2,1)=I$1,I$1,""),"")</f>
        <v/>
      </c>
      <c r="J1072" s="36" t="str">
        <f>IFERROR(IF(--MID($F1072,2*COUNTIF($G1072:I1072,"&gt;"&amp;0)+2,1)=J$1,J$1,""),"")</f>
        <v/>
      </c>
      <c r="K1072" s="36" t="str">
        <f>IFERROR(IF(--MID($F1072,2*COUNTIF($G1072:J1072,"&gt;"&amp;0)+2,1)=K$1,K$1,""),"")</f>
        <v/>
      </c>
      <c r="L1072" s="36" t="str">
        <f>IFERROR(IF(--MID($F1072,2*COUNTIF($G1072:K1072,"&gt;"&amp;0)+2,1)=L$1,L$1,""),"")</f>
        <v/>
      </c>
      <c r="M1072" s="36" t="e" cm="1">
        <f t="array" ref="M1072">IF(A1072="","",_xlfn.XLOOKUP(D1072&amp;"_"&amp;AE1072,符文权重!A:A&amp;"_"&amp;符文权重!C:C,符文权重!D:D))</f>
        <v>#N/A</v>
      </c>
      <c r="N1072" s="36"/>
      <c r="O1072" s="36"/>
      <c r="P1072" s="36"/>
      <c r="Q1072" s="36"/>
      <c r="R1072" s="36"/>
      <c r="S1072" s="36" t="s">
        <v>344</v>
      </c>
      <c r="T1072" s="36" t="s">
        <v>695</v>
      </c>
      <c r="U1072" s="36" t="s">
        <v>415</v>
      </c>
      <c r="W1072" s="36" t="s">
        <v>696</v>
      </c>
      <c r="X1072" s="35" t="s">
        <v>636</v>
      </c>
      <c r="Y1072" s="35">
        <v>100</v>
      </c>
      <c r="Z1072" s="35"/>
      <c r="AA1072" s="36" t="s">
        <v>181</v>
      </c>
      <c r="AB1072" s="36" t="s">
        <v>697</v>
      </c>
      <c r="AC1072" s="35">
        <v>5301241</v>
      </c>
      <c r="AD1072" s="36" t="s">
        <v>425</v>
      </c>
      <c r="AE1072" s="36">
        <v>100</v>
      </c>
      <c r="AF1072" s="36"/>
      <c r="AG1072" s="79">
        <v>1</v>
      </c>
      <c r="AH1072" s="36">
        <v>0</v>
      </c>
      <c r="AL1072" s="35"/>
    </row>
    <row r="1073" s="25" customFormat="1" hidden="1" customHeight="1" spans="1:38">
      <c r="A1073" s="33">
        <v>5303241</v>
      </c>
      <c r="B1073" s="34"/>
      <c r="C1073" s="35">
        <v>5301241</v>
      </c>
      <c r="D1073" s="36">
        <v>3</v>
      </c>
      <c r="E1073" s="36"/>
      <c r="F1073" s="36" t="s">
        <v>211</v>
      </c>
      <c r="G1073" s="36" t="str">
        <f t="shared" si="275"/>
        <v/>
      </c>
      <c r="H1073" s="36">
        <f>IFERROR(IF(--MID($F1073,2*COUNTIF($G1073:G1073,"&gt;"&amp;0)+2,1)=H$1,H$1,""),"")</f>
        <v>2</v>
      </c>
      <c r="I1073" s="36" t="str">
        <f>IFERROR(IF(--MID($F1073,2*COUNTIF($G1073:H1073,"&gt;"&amp;0)+2,1)=I$1,I$1,""),"")</f>
        <v/>
      </c>
      <c r="J1073" s="36" t="str">
        <f>IFERROR(IF(--MID($F1073,2*COUNTIF($G1073:I1073,"&gt;"&amp;0)+2,1)=J$1,J$1,""),"")</f>
        <v/>
      </c>
      <c r="K1073" s="36" t="str">
        <f>IFERROR(IF(--MID($F1073,2*COUNTIF($G1073:J1073,"&gt;"&amp;0)+2,1)=K$1,K$1,""),"")</f>
        <v/>
      </c>
      <c r="L1073" s="36" t="str">
        <f>IFERROR(IF(--MID($F1073,2*COUNTIF($G1073:K1073,"&gt;"&amp;0)+2,1)=L$1,L$1,""),"")</f>
        <v/>
      </c>
      <c r="M1073" s="36" t="e" cm="1">
        <f t="array" ref="M1073">IF(A1073="","",_xlfn.XLOOKUP(D1073&amp;"_"&amp;AE1073,符文权重!A:A&amp;"_"&amp;符文权重!C:C,符文权重!D:D))</f>
        <v>#N/A</v>
      </c>
      <c r="N1073" s="36"/>
      <c r="O1073" s="36"/>
      <c r="P1073" s="36"/>
      <c r="Q1073" s="36"/>
      <c r="R1073" s="36"/>
      <c r="S1073" s="36" t="s">
        <v>344</v>
      </c>
      <c r="T1073" s="36" t="s">
        <v>695</v>
      </c>
      <c r="U1073" s="36" t="s">
        <v>417</v>
      </c>
      <c r="W1073" s="36" t="s">
        <v>698</v>
      </c>
      <c r="X1073" s="35" t="s">
        <v>656</v>
      </c>
      <c r="Y1073" s="35">
        <v>100</v>
      </c>
      <c r="Z1073" s="35"/>
      <c r="AA1073" s="36" t="s">
        <v>183</v>
      </c>
      <c r="AB1073" s="36" t="s">
        <v>699</v>
      </c>
      <c r="AC1073" s="35">
        <v>5301241</v>
      </c>
      <c r="AD1073" s="36" t="s">
        <v>685</v>
      </c>
      <c r="AE1073" s="36">
        <v>100</v>
      </c>
      <c r="AF1073" s="36"/>
      <c r="AG1073" s="79">
        <v>1</v>
      </c>
      <c r="AH1073" s="36">
        <v>0</v>
      </c>
      <c r="AI1073" s="33"/>
      <c r="AJ1073" s="37"/>
      <c r="AK1073" s="35"/>
      <c r="AL1073" s="35"/>
    </row>
    <row r="1074" s="25" customFormat="1" hidden="1" customHeight="1" spans="1:38">
      <c r="A1074" s="33">
        <v>5304241</v>
      </c>
      <c r="B1074" s="34"/>
      <c r="C1074" s="35">
        <v>5301241</v>
      </c>
      <c r="D1074" s="36">
        <v>4</v>
      </c>
      <c r="E1074" s="36"/>
      <c r="F1074" s="36" t="s">
        <v>211</v>
      </c>
      <c r="G1074" s="36" t="str">
        <f t="shared" si="275"/>
        <v/>
      </c>
      <c r="H1074" s="36">
        <f>IFERROR(IF(--MID($F1074,2*COUNTIF($G1074:G1074,"&gt;"&amp;0)+2,1)=H$1,H$1,""),"")</f>
        <v>2</v>
      </c>
      <c r="I1074" s="36" t="str">
        <f>IFERROR(IF(--MID($F1074,2*COUNTIF($G1074:H1074,"&gt;"&amp;0)+2,1)=I$1,I$1,""),"")</f>
        <v/>
      </c>
      <c r="J1074" s="36" t="str">
        <f>IFERROR(IF(--MID($F1074,2*COUNTIF($G1074:I1074,"&gt;"&amp;0)+2,1)=J$1,J$1,""),"")</f>
        <v/>
      </c>
      <c r="K1074" s="36" t="str">
        <f>IFERROR(IF(--MID($F1074,2*COUNTIF($G1074:J1074,"&gt;"&amp;0)+2,1)=K$1,K$1,""),"")</f>
        <v/>
      </c>
      <c r="L1074" s="36" t="str">
        <f>IFERROR(IF(--MID($F1074,2*COUNTIF($G1074:K1074,"&gt;"&amp;0)+2,1)=L$1,L$1,""),"")</f>
        <v/>
      </c>
      <c r="M1074" s="36" t="e" cm="1">
        <f t="array" ref="M1074">IF(A1074="","",_xlfn.XLOOKUP(D1074&amp;"_"&amp;AE1074,符文权重!A:A&amp;"_"&amp;符文权重!C:C,符文权重!D:D))</f>
        <v>#N/A</v>
      </c>
      <c r="N1074" s="36"/>
      <c r="O1074" s="36"/>
      <c r="P1074" s="36"/>
      <c r="Q1074" s="36"/>
      <c r="R1074" s="36"/>
      <c r="S1074" s="36" t="s">
        <v>344</v>
      </c>
      <c r="T1074" s="36" t="s">
        <v>695</v>
      </c>
      <c r="U1074" s="36" t="s">
        <v>420</v>
      </c>
      <c r="W1074" s="36" t="s">
        <v>700</v>
      </c>
      <c r="X1074" s="35" t="s">
        <v>659</v>
      </c>
      <c r="Y1074" s="35">
        <v>100</v>
      </c>
      <c r="Z1074" s="35"/>
      <c r="AA1074" s="36" t="s">
        <v>185</v>
      </c>
      <c r="AB1074" s="36" t="s">
        <v>701</v>
      </c>
      <c r="AC1074" s="35">
        <v>5301241</v>
      </c>
      <c r="AD1074" s="36" t="s">
        <v>487</v>
      </c>
      <c r="AE1074" s="36">
        <v>100</v>
      </c>
      <c r="AF1074" s="36"/>
      <c r="AG1074" s="79">
        <v>1</v>
      </c>
      <c r="AH1074" s="36">
        <v>0</v>
      </c>
      <c r="AI1074" s="33"/>
      <c r="AJ1074" s="37"/>
      <c r="AK1074" s="35"/>
      <c r="AL1074" s="35"/>
    </row>
    <row r="1075" s="25" customFormat="1" hidden="1" customHeight="1" spans="1:38">
      <c r="A1075" s="33">
        <v>5302242</v>
      </c>
      <c r="B1075" s="34"/>
      <c r="C1075" s="35">
        <v>5301242</v>
      </c>
      <c r="D1075" s="36">
        <v>2</v>
      </c>
      <c r="E1075" s="36"/>
      <c r="F1075" s="36" t="s">
        <v>404</v>
      </c>
      <c r="G1075" s="36" t="str">
        <f t="shared" si="275"/>
        <v/>
      </c>
      <c r="H1075" s="36" t="str">
        <f>IFERROR(IF(--MID($F1075,2*COUNTIF($G1075:G1075,"&gt;"&amp;0)+2,1)=H$1,H$1,""),"")</f>
        <v/>
      </c>
      <c r="I1075" s="36" t="str">
        <f>IFERROR(IF(--MID($F1075,2*COUNTIF($G1075:H1075,"&gt;"&amp;0)+2,1)=I$1,I$1,""),"")</f>
        <v/>
      </c>
      <c r="J1075" s="36">
        <f>IFERROR(IF(--MID($F1075,2*COUNTIF($G1075:I1075,"&gt;"&amp;0)+2,1)=J$1,J$1,""),"")</f>
        <v>4</v>
      </c>
      <c r="K1075" s="36" t="str">
        <f>IFERROR(IF(--MID($F1075,2*COUNTIF($G1075:J1075,"&gt;"&amp;0)+2,1)=K$1,K$1,""),"")</f>
        <v/>
      </c>
      <c r="L1075" s="36" t="str">
        <f>IFERROR(IF(--MID($F1075,2*COUNTIF($G1075:K1075,"&gt;"&amp;0)+2,1)=L$1,L$1,""),"")</f>
        <v/>
      </c>
      <c r="M1075" s="36" t="e" cm="1">
        <f t="array" ref="M1075">IF(A1075="","",_xlfn.XLOOKUP(D1075&amp;"_"&amp;AE1075,符文权重!A:A&amp;"_"&amp;符文权重!C:C,符文权重!D:D))</f>
        <v>#N/A</v>
      </c>
      <c r="N1075" s="36"/>
      <c r="O1075" s="36"/>
      <c r="P1075" s="36"/>
      <c r="Q1075" s="36"/>
      <c r="R1075" s="36"/>
      <c r="S1075" s="36" t="s">
        <v>344</v>
      </c>
      <c r="T1075" s="36" t="s">
        <v>695</v>
      </c>
      <c r="U1075" s="36" t="s">
        <v>415</v>
      </c>
      <c r="V1075" s="25" t="s">
        <v>702</v>
      </c>
      <c r="W1075" s="36"/>
      <c r="X1075" s="35" t="s">
        <v>636</v>
      </c>
      <c r="Y1075" s="35">
        <v>100</v>
      </c>
      <c r="Z1075" s="35"/>
      <c r="AA1075" s="36" t="s">
        <v>181</v>
      </c>
      <c r="AB1075" s="36" t="s">
        <v>703</v>
      </c>
      <c r="AC1075" s="35">
        <v>5301242</v>
      </c>
      <c r="AD1075" s="36" t="s">
        <v>492</v>
      </c>
      <c r="AE1075" s="36">
        <v>100</v>
      </c>
      <c r="AF1075" s="36"/>
      <c r="AG1075" s="79">
        <v>1</v>
      </c>
      <c r="AH1075" s="36">
        <v>0</v>
      </c>
      <c r="AL1075" s="35"/>
    </row>
    <row r="1076" s="25" customFormat="1" hidden="1" customHeight="1" spans="1:38">
      <c r="A1076" s="33">
        <v>5303242</v>
      </c>
      <c r="B1076" s="34"/>
      <c r="C1076" s="35">
        <v>5301242</v>
      </c>
      <c r="D1076" s="36">
        <v>3</v>
      </c>
      <c r="E1076" s="36"/>
      <c r="F1076" s="36" t="s">
        <v>404</v>
      </c>
      <c r="G1076" s="36" t="str">
        <f t="shared" si="275"/>
        <v/>
      </c>
      <c r="H1076" s="36" t="str">
        <f>IFERROR(IF(--MID($F1076,2*COUNTIF($G1076:G1076,"&gt;"&amp;0)+2,1)=H$1,H$1,""),"")</f>
        <v/>
      </c>
      <c r="I1076" s="36" t="str">
        <f>IFERROR(IF(--MID($F1076,2*COUNTIF($G1076:H1076,"&gt;"&amp;0)+2,1)=I$1,I$1,""),"")</f>
        <v/>
      </c>
      <c r="J1076" s="36">
        <f>IFERROR(IF(--MID($F1076,2*COUNTIF($G1076:I1076,"&gt;"&amp;0)+2,1)=J$1,J$1,""),"")</f>
        <v>4</v>
      </c>
      <c r="K1076" s="36" t="str">
        <f>IFERROR(IF(--MID($F1076,2*COUNTIF($G1076:J1076,"&gt;"&amp;0)+2,1)=K$1,K$1,""),"")</f>
        <v/>
      </c>
      <c r="L1076" s="36" t="str">
        <f>IFERROR(IF(--MID($F1076,2*COUNTIF($G1076:K1076,"&gt;"&amp;0)+2,1)=L$1,L$1,""),"")</f>
        <v/>
      </c>
      <c r="M1076" s="36" t="e" cm="1">
        <f t="array" ref="M1076">IF(A1076="","",_xlfn.XLOOKUP(D1076&amp;"_"&amp;AE1076,符文权重!A:A&amp;"_"&amp;符文权重!C:C,符文权重!D:D))</f>
        <v>#N/A</v>
      </c>
      <c r="N1076" s="36"/>
      <c r="O1076" s="36"/>
      <c r="P1076" s="36"/>
      <c r="Q1076" s="36"/>
      <c r="R1076" s="36"/>
      <c r="S1076" s="36" t="s">
        <v>344</v>
      </c>
      <c r="T1076" s="36" t="s">
        <v>695</v>
      </c>
      <c r="U1076" s="36" t="s">
        <v>417</v>
      </c>
      <c r="V1076" s="25" t="s">
        <v>704</v>
      </c>
      <c r="W1076" s="36"/>
      <c r="X1076" s="35" t="s">
        <v>656</v>
      </c>
      <c r="Y1076" s="35">
        <v>100</v>
      </c>
      <c r="Z1076" s="35"/>
      <c r="AA1076" s="36" t="s">
        <v>183</v>
      </c>
      <c r="AB1076" s="36" t="s">
        <v>705</v>
      </c>
      <c r="AC1076" s="35">
        <v>5301242</v>
      </c>
      <c r="AD1076" s="36" t="s">
        <v>494</v>
      </c>
      <c r="AE1076" s="36">
        <v>100</v>
      </c>
      <c r="AF1076" s="36"/>
      <c r="AG1076" s="79">
        <v>1</v>
      </c>
      <c r="AH1076" s="36">
        <v>0</v>
      </c>
      <c r="AI1076" s="33"/>
      <c r="AJ1076" s="37"/>
      <c r="AK1076" s="35"/>
      <c r="AL1076" s="35"/>
    </row>
    <row r="1077" s="25" customFormat="1" hidden="1" customHeight="1" spans="1:38">
      <c r="A1077" s="33">
        <v>5304242</v>
      </c>
      <c r="B1077" s="34"/>
      <c r="C1077" s="35">
        <v>5301242</v>
      </c>
      <c r="D1077" s="36">
        <v>4</v>
      </c>
      <c r="E1077" s="36"/>
      <c r="F1077" s="36" t="s">
        <v>404</v>
      </c>
      <c r="G1077" s="36" t="str">
        <f t="shared" si="275"/>
        <v/>
      </c>
      <c r="H1077" s="36" t="str">
        <f>IFERROR(IF(--MID($F1077,2*COUNTIF($G1077:G1077,"&gt;"&amp;0)+2,1)=H$1,H$1,""),"")</f>
        <v/>
      </c>
      <c r="I1077" s="36" t="str">
        <f>IFERROR(IF(--MID($F1077,2*COUNTIF($G1077:H1077,"&gt;"&amp;0)+2,1)=I$1,I$1,""),"")</f>
        <v/>
      </c>
      <c r="J1077" s="36">
        <f>IFERROR(IF(--MID($F1077,2*COUNTIF($G1077:I1077,"&gt;"&amp;0)+2,1)=J$1,J$1,""),"")</f>
        <v>4</v>
      </c>
      <c r="K1077" s="36" t="str">
        <f>IFERROR(IF(--MID($F1077,2*COUNTIF($G1077:J1077,"&gt;"&amp;0)+2,1)=K$1,K$1,""),"")</f>
        <v/>
      </c>
      <c r="L1077" s="36" t="str">
        <f>IFERROR(IF(--MID($F1077,2*COUNTIF($G1077:K1077,"&gt;"&amp;0)+2,1)=L$1,L$1,""),"")</f>
        <v/>
      </c>
      <c r="M1077" s="36" t="e" cm="1">
        <f t="array" ref="M1077">IF(A1077="","",_xlfn.XLOOKUP(D1077&amp;"_"&amp;AE1077,符文权重!A:A&amp;"_"&amp;符文权重!C:C,符文权重!D:D))</f>
        <v>#N/A</v>
      </c>
      <c r="N1077" s="36"/>
      <c r="O1077" s="36"/>
      <c r="P1077" s="36"/>
      <c r="Q1077" s="36"/>
      <c r="R1077" s="36"/>
      <c r="S1077" s="36" t="s">
        <v>344</v>
      </c>
      <c r="T1077" s="36" t="s">
        <v>695</v>
      </c>
      <c r="U1077" s="36" t="s">
        <v>420</v>
      </c>
      <c r="V1077" s="25" t="s">
        <v>706</v>
      </c>
      <c r="W1077" s="36"/>
      <c r="X1077" s="35" t="s">
        <v>659</v>
      </c>
      <c r="Y1077" s="35">
        <v>100</v>
      </c>
      <c r="Z1077" s="35"/>
      <c r="AA1077" s="36" t="s">
        <v>185</v>
      </c>
      <c r="AB1077" s="36" t="s">
        <v>707</v>
      </c>
      <c r="AC1077" s="35">
        <v>5301242</v>
      </c>
      <c r="AD1077" s="36" t="s">
        <v>649</v>
      </c>
      <c r="AE1077" s="36">
        <v>100</v>
      </c>
      <c r="AF1077" s="36"/>
      <c r="AG1077" s="79">
        <v>1</v>
      </c>
      <c r="AH1077" s="36">
        <v>0</v>
      </c>
      <c r="AI1077" s="33"/>
      <c r="AJ1077" s="37"/>
      <c r="AK1077" s="35"/>
      <c r="AL1077" s="35"/>
    </row>
    <row r="1078" s="29" customFormat="1" hidden="1" customHeight="1" spans="1:38">
      <c r="A1078" s="82">
        <v>5302243</v>
      </c>
      <c r="B1078" s="34"/>
      <c r="C1078" s="31">
        <v>5301243</v>
      </c>
      <c r="D1078" s="79">
        <v>2</v>
      </c>
      <c r="E1078" s="79"/>
      <c r="F1078" s="79" t="s">
        <v>230</v>
      </c>
      <c r="G1078" s="36" t="str">
        <f t="shared" si="275"/>
        <v/>
      </c>
      <c r="H1078" s="36" t="str">
        <f>IFERROR(IF(--MID($F1078,2*COUNTIF($G1078:G1078,"&gt;"&amp;0)+2,1)=H$1,H$1,""),"")</f>
        <v/>
      </c>
      <c r="I1078" s="36" t="str">
        <f>IFERROR(IF(--MID($F1078,2*COUNTIF($G1078:H1078,"&gt;"&amp;0)+2,1)=I$1,I$1,""),"")</f>
        <v/>
      </c>
      <c r="J1078" s="36" t="str">
        <f>IFERROR(IF(--MID($F1078,2*COUNTIF($G1078:I1078,"&gt;"&amp;0)+2,1)=J$1,J$1,""),"")</f>
        <v/>
      </c>
      <c r="K1078" s="36">
        <f>IFERROR(IF(--MID($F1078,2*COUNTIF($G1078:J1078,"&gt;"&amp;0)+2,1)=K$1,K$1,""),"")</f>
        <v>5</v>
      </c>
      <c r="L1078" s="36" t="str">
        <f>IFERROR(IF(--MID($F1078,2*COUNTIF($G1078:K1078,"&gt;"&amp;0)+2,1)=L$1,L$1,""),"")</f>
        <v/>
      </c>
      <c r="M1078" s="36" t="e" cm="1">
        <f t="array" ref="M1078">IF(A1078="","",_xlfn.XLOOKUP(D1078&amp;"_"&amp;AE1078,符文权重!A:A&amp;"_"&amp;符文权重!C:C,符文权重!D:D))</f>
        <v>#N/A</v>
      </c>
      <c r="N1078" s="36"/>
      <c r="O1078" s="36"/>
      <c r="P1078" s="36"/>
      <c r="Q1078" s="36"/>
      <c r="R1078" s="36"/>
      <c r="S1078" s="36" t="s">
        <v>344</v>
      </c>
      <c r="T1078" s="36" t="s">
        <v>695</v>
      </c>
      <c r="U1078" s="36" t="s">
        <v>415</v>
      </c>
      <c r="V1078" s="29" t="s">
        <v>708</v>
      </c>
      <c r="W1078" s="79"/>
      <c r="X1078" s="35" t="s">
        <v>636</v>
      </c>
      <c r="Y1078" s="35">
        <v>100</v>
      </c>
      <c r="Z1078" s="31"/>
      <c r="AA1078" s="36" t="s">
        <v>181</v>
      </c>
      <c r="AB1078" s="79" t="s">
        <v>709</v>
      </c>
      <c r="AC1078" s="31">
        <v>5301243</v>
      </c>
      <c r="AD1078" s="79" t="s">
        <v>492</v>
      </c>
      <c r="AE1078" s="36">
        <v>100</v>
      </c>
      <c r="AF1078" s="79"/>
      <c r="AG1078" s="79">
        <v>1</v>
      </c>
      <c r="AH1078" s="36">
        <v>0</v>
      </c>
      <c r="AL1078" s="35"/>
    </row>
    <row r="1079" s="29" customFormat="1" hidden="1" customHeight="1" spans="1:38">
      <c r="A1079" s="82">
        <v>5303243</v>
      </c>
      <c r="B1079" s="34"/>
      <c r="C1079" s="31">
        <v>5301243</v>
      </c>
      <c r="D1079" s="79">
        <v>3</v>
      </c>
      <c r="E1079" s="79"/>
      <c r="F1079" s="79" t="s">
        <v>230</v>
      </c>
      <c r="G1079" s="36" t="str">
        <f t="shared" si="275"/>
        <v/>
      </c>
      <c r="H1079" s="36" t="str">
        <f>IFERROR(IF(--MID($F1079,2*COUNTIF($G1079:G1079,"&gt;"&amp;0)+2,1)=H$1,H$1,""),"")</f>
        <v/>
      </c>
      <c r="I1079" s="36" t="str">
        <f>IFERROR(IF(--MID($F1079,2*COUNTIF($G1079:H1079,"&gt;"&amp;0)+2,1)=I$1,I$1,""),"")</f>
        <v/>
      </c>
      <c r="J1079" s="36" t="str">
        <f>IFERROR(IF(--MID($F1079,2*COUNTIF($G1079:I1079,"&gt;"&amp;0)+2,1)=J$1,J$1,""),"")</f>
        <v/>
      </c>
      <c r="K1079" s="36">
        <f>IFERROR(IF(--MID($F1079,2*COUNTIF($G1079:J1079,"&gt;"&amp;0)+2,1)=K$1,K$1,""),"")</f>
        <v>5</v>
      </c>
      <c r="L1079" s="36" t="str">
        <f>IFERROR(IF(--MID($F1079,2*COUNTIF($G1079:K1079,"&gt;"&amp;0)+2,1)=L$1,L$1,""),"")</f>
        <v/>
      </c>
      <c r="M1079" s="36" t="e" cm="1">
        <f t="array" ref="M1079">IF(A1079="","",_xlfn.XLOOKUP(D1079&amp;"_"&amp;AE1079,符文权重!A:A&amp;"_"&amp;符文权重!C:C,符文权重!D:D))</f>
        <v>#N/A</v>
      </c>
      <c r="N1079" s="36"/>
      <c r="O1079" s="36"/>
      <c r="P1079" s="36"/>
      <c r="Q1079" s="36"/>
      <c r="R1079" s="36"/>
      <c r="S1079" s="36" t="s">
        <v>344</v>
      </c>
      <c r="T1079" s="36" t="s">
        <v>695</v>
      </c>
      <c r="U1079" s="36" t="s">
        <v>417</v>
      </c>
      <c r="V1079" s="29" t="s">
        <v>710</v>
      </c>
      <c r="W1079" s="79"/>
      <c r="X1079" s="35" t="s">
        <v>656</v>
      </c>
      <c r="Y1079" s="35">
        <v>100</v>
      </c>
      <c r="Z1079" s="31"/>
      <c r="AA1079" s="36" t="s">
        <v>183</v>
      </c>
      <c r="AB1079" s="79" t="s">
        <v>712</v>
      </c>
      <c r="AC1079" s="31">
        <v>5301243</v>
      </c>
      <c r="AD1079" s="79" t="s">
        <v>711</v>
      </c>
      <c r="AE1079" s="36">
        <v>100</v>
      </c>
      <c r="AF1079" s="79"/>
      <c r="AG1079" s="79">
        <v>1</v>
      </c>
      <c r="AH1079" s="36">
        <v>0</v>
      </c>
      <c r="AI1079" s="82"/>
      <c r="AJ1079" s="84"/>
      <c r="AK1079" s="31"/>
      <c r="AL1079" s="35"/>
    </row>
    <row r="1080" s="29" customFormat="1" hidden="1" customHeight="1" spans="1:38">
      <c r="A1080" s="82">
        <v>5304243</v>
      </c>
      <c r="B1080" s="34"/>
      <c r="C1080" s="31">
        <v>5301243</v>
      </c>
      <c r="D1080" s="79">
        <v>4</v>
      </c>
      <c r="E1080" s="79"/>
      <c r="F1080" s="79" t="s">
        <v>230</v>
      </c>
      <c r="G1080" s="36" t="str">
        <f t="shared" si="275"/>
        <v/>
      </c>
      <c r="H1080" s="36" t="str">
        <f>IFERROR(IF(--MID($F1080,2*COUNTIF($G1080:G1080,"&gt;"&amp;0)+2,1)=H$1,H$1,""),"")</f>
        <v/>
      </c>
      <c r="I1080" s="36" t="str">
        <f>IFERROR(IF(--MID($F1080,2*COUNTIF($G1080:H1080,"&gt;"&amp;0)+2,1)=I$1,I$1,""),"")</f>
        <v/>
      </c>
      <c r="J1080" s="36" t="str">
        <f>IFERROR(IF(--MID($F1080,2*COUNTIF($G1080:I1080,"&gt;"&amp;0)+2,1)=J$1,J$1,""),"")</f>
        <v/>
      </c>
      <c r="K1080" s="36">
        <f>IFERROR(IF(--MID($F1080,2*COUNTIF($G1080:J1080,"&gt;"&amp;0)+2,1)=K$1,K$1,""),"")</f>
        <v>5</v>
      </c>
      <c r="L1080" s="36" t="str">
        <f>IFERROR(IF(--MID($F1080,2*COUNTIF($G1080:K1080,"&gt;"&amp;0)+2,1)=L$1,L$1,""),"")</f>
        <v/>
      </c>
      <c r="M1080" s="36" t="e" cm="1">
        <f t="array" ref="M1080">IF(A1080="","",_xlfn.XLOOKUP(D1080&amp;"_"&amp;AE1080,符文权重!A:A&amp;"_"&amp;符文权重!C:C,符文权重!D:D))</f>
        <v>#N/A</v>
      </c>
      <c r="N1080" s="36"/>
      <c r="O1080" s="36"/>
      <c r="P1080" s="36"/>
      <c r="Q1080" s="36"/>
      <c r="R1080" s="36"/>
      <c r="S1080" s="36" t="s">
        <v>344</v>
      </c>
      <c r="T1080" s="36" t="s">
        <v>695</v>
      </c>
      <c r="U1080" s="36" t="s">
        <v>420</v>
      </c>
      <c r="V1080" s="29" t="s">
        <v>713</v>
      </c>
      <c r="W1080" s="79"/>
      <c r="X1080" s="35" t="s">
        <v>659</v>
      </c>
      <c r="Y1080" s="35">
        <v>100</v>
      </c>
      <c r="Z1080" s="31"/>
      <c r="AA1080" s="36" t="s">
        <v>185</v>
      </c>
      <c r="AB1080" s="79" t="s">
        <v>714</v>
      </c>
      <c r="AC1080" s="31">
        <v>5301243</v>
      </c>
      <c r="AD1080" s="79" t="s">
        <v>428</v>
      </c>
      <c r="AE1080" s="36">
        <v>100</v>
      </c>
      <c r="AF1080" s="79"/>
      <c r="AG1080" s="79">
        <v>1</v>
      </c>
      <c r="AH1080" s="36">
        <v>0</v>
      </c>
      <c r="AI1080" s="82"/>
      <c r="AJ1080" s="84"/>
      <c r="AK1080" s="31"/>
      <c r="AL1080" s="35"/>
    </row>
    <row r="1081" s="25" customFormat="1" hidden="1" customHeight="1" spans="1:38">
      <c r="A1081" s="33">
        <v>5302244</v>
      </c>
      <c r="B1081" s="34" t="s">
        <v>715</v>
      </c>
      <c r="C1081" s="35">
        <v>5301245</v>
      </c>
      <c r="D1081" s="36">
        <v>2</v>
      </c>
      <c r="E1081" s="36"/>
      <c r="F1081" s="36" t="s">
        <v>220</v>
      </c>
      <c r="G1081" s="36" t="str">
        <f t="shared" si="275"/>
        <v/>
      </c>
      <c r="H1081" s="36" t="str">
        <f>IFERROR(IF(--MID($F1081,2*COUNTIF($G1081:G1081,"&gt;"&amp;0)+2,1)=H$1,H$1,""),"")</f>
        <v/>
      </c>
      <c r="I1081" s="36" t="str">
        <f>IFERROR(IF(--MID($F1081,2*COUNTIF($G1081:H1081,"&gt;"&amp;0)+2,1)=I$1,I$1,""),"")</f>
        <v/>
      </c>
      <c r="J1081" s="36" t="str">
        <f>IFERROR(IF(--MID($F1081,2*COUNTIF($G1081:I1081,"&gt;"&amp;0)+2,1)=J$1,J$1,""),"")</f>
        <v/>
      </c>
      <c r="K1081" s="36" t="str">
        <f>IFERROR(IF(--MID($F1081,2*COUNTIF($G1081:J1081,"&gt;"&amp;0)+2,1)=K$1,K$1,""),"")</f>
        <v/>
      </c>
      <c r="L1081" s="36">
        <f>IFERROR(IF(--MID($F1081,2*COUNTIF($G1081:K1081,"&gt;"&amp;0)+2,1)=L$1,L$1,""),"")</f>
        <v>6</v>
      </c>
      <c r="M1081" s="36" t="e" cm="1">
        <f t="array" ref="M1081">IF(A1081="","",_xlfn.XLOOKUP(D1081&amp;"_"&amp;AE1081,符文权重!A:A&amp;"_"&amp;符文权重!C:C,符文权重!D:D))</f>
        <v>#N/A</v>
      </c>
      <c r="N1081" s="36"/>
      <c r="O1081" s="36"/>
      <c r="P1081" s="36"/>
      <c r="Q1081" s="36"/>
      <c r="R1081" s="36"/>
      <c r="S1081" s="36" t="s">
        <v>344</v>
      </c>
      <c r="T1081" s="36" t="s">
        <v>716</v>
      </c>
      <c r="U1081" s="36" t="s">
        <v>415</v>
      </c>
      <c r="V1081" s="25" t="s">
        <v>717</v>
      </c>
      <c r="W1081" s="36"/>
      <c r="X1081" s="35" t="s">
        <v>630</v>
      </c>
      <c r="Y1081" s="35">
        <v>100</v>
      </c>
      <c r="Z1081" s="35"/>
      <c r="AA1081" s="36" t="s">
        <v>181</v>
      </c>
      <c r="AB1081" s="36" t="s">
        <v>718</v>
      </c>
      <c r="AC1081" s="35">
        <v>5301245</v>
      </c>
      <c r="AD1081" s="36" t="s">
        <v>202</v>
      </c>
      <c r="AE1081" s="36">
        <v>100</v>
      </c>
      <c r="AF1081" s="36"/>
      <c r="AG1081" s="79">
        <v>1</v>
      </c>
      <c r="AH1081" s="36">
        <v>0</v>
      </c>
      <c r="AL1081" s="35"/>
    </row>
    <row r="1082" s="25" customFormat="1" hidden="1" customHeight="1" spans="1:38">
      <c r="A1082" s="33">
        <v>5303244</v>
      </c>
      <c r="B1082" s="34" t="s">
        <v>715</v>
      </c>
      <c r="C1082" s="35">
        <v>5301245</v>
      </c>
      <c r="D1082" s="36">
        <v>3</v>
      </c>
      <c r="E1082" s="36"/>
      <c r="F1082" s="36" t="s">
        <v>220</v>
      </c>
      <c r="G1082" s="36" t="str">
        <f t="shared" si="275"/>
        <v/>
      </c>
      <c r="H1082" s="36" t="str">
        <f>IFERROR(IF(--MID($F1082,2*COUNTIF($G1082:G1082,"&gt;"&amp;0)+2,1)=H$1,H$1,""),"")</f>
        <v/>
      </c>
      <c r="I1082" s="36" t="str">
        <f>IFERROR(IF(--MID($F1082,2*COUNTIF($G1082:H1082,"&gt;"&amp;0)+2,1)=I$1,I$1,""),"")</f>
        <v/>
      </c>
      <c r="J1082" s="36" t="str">
        <f>IFERROR(IF(--MID($F1082,2*COUNTIF($G1082:I1082,"&gt;"&amp;0)+2,1)=J$1,J$1,""),"")</f>
        <v/>
      </c>
      <c r="K1082" s="36" t="str">
        <f>IFERROR(IF(--MID($F1082,2*COUNTIF($G1082:J1082,"&gt;"&amp;0)+2,1)=K$1,K$1,""),"")</f>
        <v/>
      </c>
      <c r="L1082" s="36">
        <f>IFERROR(IF(--MID($F1082,2*COUNTIF($G1082:K1082,"&gt;"&amp;0)+2,1)=L$1,L$1,""),"")</f>
        <v>6</v>
      </c>
      <c r="M1082" s="36" t="e" cm="1">
        <f t="array" ref="M1082">IF(A1082="","",_xlfn.XLOOKUP(D1082&amp;"_"&amp;AE1082,符文权重!A:A&amp;"_"&amp;符文权重!C:C,符文权重!D:D))</f>
        <v>#N/A</v>
      </c>
      <c r="N1082" s="36"/>
      <c r="O1082" s="36"/>
      <c r="P1082" s="36"/>
      <c r="Q1082" s="36"/>
      <c r="R1082" s="36"/>
      <c r="S1082" s="36" t="s">
        <v>344</v>
      </c>
      <c r="T1082" s="36" t="s">
        <v>716</v>
      </c>
      <c r="U1082" s="36" t="s">
        <v>417</v>
      </c>
      <c r="V1082" s="25" t="s">
        <v>719</v>
      </c>
      <c r="W1082" s="36"/>
      <c r="X1082" s="35" t="s">
        <v>633</v>
      </c>
      <c r="Y1082" s="35">
        <v>100</v>
      </c>
      <c r="Z1082" s="35"/>
      <c r="AA1082" s="36" t="s">
        <v>183</v>
      </c>
      <c r="AB1082" s="36" t="s">
        <v>720</v>
      </c>
      <c r="AC1082" s="35">
        <v>5301245</v>
      </c>
      <c r="AD1082" s="36" t="s">
        <v>211</v>
      </c>
      <c r="AE1082" s="36">
        <v>100</v>
      </c>
      <c r="AF1082" s="36"/>
      <c r="AG1082" s="79">
        <v>1</v>
      </c>
      <c r="AH1082" s="36">
        <v>0</v>
      </c>
      <c r="AI1082" s="33"/>
      <c r="AJ1082" s="37"/>
      <c r="AK1082" s="35"/>
      <c r="AL1082" s="35"/>
    </row>
    <row r="1083" s="25" customFormat="1" hidden="1" customHeight="1" spans="1:38">
      <c r="A1083" s="33">
        <v>5304244</v>
      </c>
      <c r="B1083" s="34" t="s">
        <v>715</v>
      </c>
      <c r="C1083" s="35">
        <v>5301245</v>
      </c>
      <c r="D1083" s="36">
        <v>4</v>
      </c>
      <c r="E1083" s="36"/>
      <c r="F1083" s="36" t="s">
        <v>220</v>
      </c>
      <c r="G1083" s="36" t="str">
        <f t="shared" si="275"/>
        <v/>
      </c>
      <c r="H1083" s="36" t="str">
        <f>IFERROR(IF(--MID($F1083,2*COUNTIF($G1083:G1083,"&gt;"&amp;0)+2,1)=H$1,H$1,""),"")</f>
        <v/>
      </c>
      <c r="I1083" s="36" t="str">
        <f>IFERROR(IF(--MID($F1083,2*COUNTIF($G1083:H1083,"&gt;"&amp;0)+2,1)=I$1,I$1,""),"")</f>
        <v/>
      </c>
      <c r="J1083" s="36" t="str">
        <f>IFERROR(IF(--MID($F1083,2*COUNTIF($G1083:I1083,"&gt;"&amp;0)+2,1)=J$1,J$1,""),"")</f>
        <v/>
      </c>
      <c r="K1083" s="36" t="str">
        <f>IFERROR(IF(--MID($F1083,2*COUNTIF($G1083:J1083,"&gt;"&amp;0)+2,1)=K$1,K$1,""),"")</f>
        <v/>
      </c>
      <c r="L1083" s="36">
        <f>IFERROR(IF(--MID($F1083,2*COUNTIF($G1083:K1083,"&gt;"&amp;0)+2,1)=L$1,L$1,""),"")</f>
        <v>6</v>
      </c>
      <c r="M1083" s="36" t="e" cm="1">
        <f t="array" ref="M1083">IF(A1083="","",_xlfn.XLOOKUP(D1083&amp;"_"&amp;AE1083,符文权重!A:A&amp;"_"&amp;符文权重!C:C,符文权重!D:D))</f>
        <v>#N/A</v>
      </c>
      <c r="N1083" s="36"/>
      <c r="O1083" s="36"/>
      <c r="P1083" s="36"/>
      <c r="Q1083" s="36"/>
      <c r="R1083" s="36"/>
      <c r="S1083" s="36" t="s">
        <v>344</v>
      </c>
      <c r="T1083" s="36" t="s">
        <v>716</v>
      </c>
      <c r="U1083" s="36" t="s">
        <v>420</v>
      </c>
      <c r="V1083" s="25" t="s">
        <v>721</v>
      </c>
      <c r="W1083" s="36"/>
      <c r="X1083" s="35" t="s">
        <v>636</v>
      </c>
      <c r="Y1083" s="35">
        <v>100</v>
      </c>
      <c r="Z1083" s="35"/>
      <c r="AA1083" s="36" t="s">
        <v>185</v>
      </c>
      <c r="AB1083" s="36" t="s">
        <v>722</v>
      </c>
      <c r="AC1083" s="35">
        <v>5301245</v>
      </c>
      <c r="AD1083" s="36" t="s">
        <v>193</v>
      </c>
      <c r="AE1083" s="36">
        <v>100</v>
      </c>
      <c r="AF1083" s="36"/>
      <c r="AG1083" s="79">
        <v>1</v>
      </c>
      <c r="AH1083" s="36">
        <v>0</v>
      </c>
      <c r="AI1083" s="33"/>
      <c r="AJ1083" s="37"/>
      <c r="AK1083" s="35"/>
      <c r="AL1083" s="35"/>
    </row>
    <row r="1084" s="25" customFormat="1" hidden="1" customHeight="1" spans="1:38">
      <c r="A1084" s="33">
        <v>5302245</v>
      </c>
      <c r="B1084" s="34" t="s">
        <v>715</v>
      </c>
      <c r="C1084" s="35">
        <v>5301245</v>
      </c>
      <c r="D1084" s="36">
        <v>2</v>
      </c>
      <c r="E1084" s="36"/>
      <c r="F1084" s="36" t="s">
        <v>202</v>
      </c>
      <c r="G1084" s="36">
        <f t="shared" si="275"/>
        <v>1</v>
      </c>
      <c r="H1084" s="36" t="str">
        <f>IFERROR(IF(--MID($F1084,2*COUNTIF($G1084:G1084,"&gt;"&amp;0)+2,1)=H$1,H$1,""),"")</f>
        <v/>
      </c>
      <c r="I1084" s="36" t="str">
        <f>IFERROR(IF(--MID($F1084,2*COUNTIF($G1084:H1084,"&gt;"&amp;0)+2,1)=I$1,I$1,""),"")</f>
        <v/>
      </c>
      <c r="J1084" s="36" t="str">
        <f>IFERROR(IF(--MID($F1084,2*COUNTIF($G1084:I1084,"&gt;"&amp;0)+2,1)=J$1,J$1,""),"")</f>
        <v/>
      </c>
      <c r="K1084" s="36" t="str">
        <f>IFERROR(IF(--MID($F1084,2*COUNTIF($G1084:J1084,"&gt;"&amp;0)+2,1)=K$1,K$1,""),"")</f>
        <v/>
      </c>
      <c r="L1084" s="36" t="str">
        <f>IFERROR(IF(--MID($F1084,2*COUNTIF($G1084:K1084,"&gt;"&amp;0)+2,1)=L$1,L$1,""),"")</f>
        <v/>
      </c>
      <c r="M1084" s="36" t="e" cm="1">
        <f t="array" ref="M1084">IF(A1084="","",_xlfn.XLOOKUP(D1084&amp;"_"&amp;AE1084,符文权重!A:A&amp;"_"&amp;符文权重!C:C,符文权重!D:D))</f>
        <v>#N/A</v>
      </c>
      <c r="N1084" s="36"/>
      <c r="O1084" s="36"/>
      <c r="P1084" s="36"/>
      <c r="Q1084" s="36"/>
      <c r="R1084" s="36"/>
      <c r="S1084" s="36" t="s">
        <v>344</v>
      </c>
      <c r="T1084" s="36" t="s">
        <v>716</v>
      </c>
      <c r="U1084" s="36" t="s">
        <v>415</v>
      </c>
      <c r="V1084" s="25" t="s">
        <v>717</v>
      </c>
      <c r="W1084" s="36"/>
      <c r="X1084" s="35" t="s">
        <v>630</v>
      </c>
      <c r="Y1084" s="35">
        <v>100</v>
      </c>
      <c r="Z1084" s="35"/>
      <c r="AA1084" s="36" t="s">
        <v>181</v>
      </c>
      <c r="AB1084" s="36" t="s">
        <v>718</v>
      </c>
      <c r="AC1084" s="35">
        <v>5301245</v>
      </c>
      <c r="AD1084" s="36" t="s">
        <v>202</v>
      </c>
      <c r="AE1084" s="36">
        <v>100</v>
      </c>
      <c r="AF1084" s="36"/>
      <c r="AG1084" s="79">
        <v>1</v>
      </c>
      <c r="AH1084" s="36">
        <v>0</v>
      </c>
      <c r="AL1084" s="35"/>
    </row>
    <row r="1085" s="25" customFormat="1" hidden="1" customHeight="1" spans="1:38">
      <c r="A1085" s="33">
        <v>5303245</v>
      </c>
      <c r="B1085" s="34" t="s">
        <v>715</v>
      </c>
      <c r="C1085" s="35">
        <v>5301245</v>
      </c>
      <c r="D1085" s="36">
        <v>3</v>
      </c>
      <c r="E1085" s="36"/>
      <c r="F1085" s="36" t="s">
        <v>202</v>
      </c>
      <c r="G1085" s="36">
        <f t="shared" si="275"/>
        <v>1</v>
      </c>
      <c r="H1085" s="36" t="str">
        <f>IFERROR(IF(--MID($F1085,2*COUNTIF($G1085:G1085,"&gt;"&amp;0)+2,1)=H$1,H$1,""),"")</f>
        <v/>
      </c>
      <c r="I1085" s="36" t="str">
        <f>IFERROR(IF(--MID($F1085,2*COUNTIF($G1085:H1085,"&gt;"&amp;0)+2,1)=I$1,I$1,""),"")</f>
        <v/>
      </c>
      <c r="J1085" s="36" t="str">
        <f>IFERROR(IF(--MID($F1085,2*COUNTIF($G1085:I1085,"&gt;"&amp;0)+2,1)=J$1,J$1,""),"")</f>
        <v/>
      </c>
      <c r="K1085" s="36" t="str">
        <f>IFERROR(IF(--MID($F1085,2*COUNTIF($G1085:J1085,"&gt;"&amp;0)+2,1)=K$1,K$1,""),"")</f>
        <v/>
      </c>
      <c r="L1085" s="36" t="str">
        <f>IFERROR(IF(--MID($F1085,2*COUNTIF($G1085:K1085,"&gt;"&amp;0)+2,1)=L$1,L$1,""),"")</f>
        <v/>
      </c>
      <c r="M1085" s="36" t="e" cm="1">
        <f t="array" ref="M1085">IF(A1085="","",_xlfn.XLOOKUP(D1085&amp;"_"&amp;AE1085,符文权重!A:A&amp;"_"&amp;符文权重!C:C,符文权重!D:D))</f>
        <v>#N/A</v>
      </c>
      <c r="N1085" s="36"/>
      <c r="O1085" s="36"/>
      <c r="P1085" s="36"/>
      <c r="Q1085" s="36"/>
      <c r="R1085" s="36"/>
      <c r="S1085" s="36" t="s">
        <v>344</v>
      </c>
      <c r="T1085" s="36" t="s">
        <v>716</v>
      </c>
      <c r="U1085" s="36" t="s">
        <v>417</v>
      </c>
      <c r="V1085" s="25" t="s">
        <v>719</v>
      </c>
      <c r="W1085" s="36"/>
      <c r="X1085" s="35" t="s">
        <v>633</v>
      </c>
      <c r="Y1085" s="35">
        <v>100</v>
      </c>
      <c r="Z1085" s="35"/>
      <c r="AA1085" s="36" t="s">
        <v>183</v>
      </c>
      <c r="AB1085" s="36" t="s">
        <v>720</v>
      </c>
      <c r="AC1085" s="35">
        <v>5301245</v>
      </c>
      <c r="AD1085" s="36" t="s">
        <v>211</v>
      </c>
      <c r="AE1085" s="36">
        <v>100</v>
      </c>
      <c r="AF1085" s="36"/>
      <c r="AG1085" s="79">
        <v>1</v>
      </c>
      <c r="AH1085" s="36">
        <v>0</v>
      </c>
      <c r="AL1085" s="35"/>
    </row>
    <row r="1086" s="25" customFormat="1" hidden="1" customHeight="1" spans="1:38">
      <c r="A1086" s="33">
        <v>5304245</v>
      </c>
      <c r="B1086" s="34" t="s">
        <v>715</v>
      </c>
      <c r="C1086" s="35">
        <v>5301245</v>
      </c>
      <c r="D1086" s="36">
        <v>4</v>
      </c>
      <c r="E1086" s="36"/>
      <c r="F1086" s="36" t="s">
        <v>202</v>
      </c>
      <c r="G1086" s="36">
        <f t="shared" si="275"/>
        <v>1</v>
      </c>
      <c r="H1086" s="36" t="str">
        <f>IFERROR(IF(--MID($F1086,2*COUNTIF($G1086:G1086,"&gt;"&amp;0)+2,1)=H$1,H$1,""),"")</f>
        <v/>
      </c>
      <c r="I1086" s="36" t="str">
        <f>IFERROR(IF(--MID($F1086,2*COUNTIF($G1086:H1086,"&gt;"&amp;0)+2,1)=I$1,I$1,""),"")</f>
        <v/>
      </c>
      <c r="J1086" s="36" t="str">
        <f>IFERROR(IF(--MID($F1086,2*COUNTIF($G1086:I1086,"&gt;"&amp;0)+2,1)=J$1,J$1,""),"")</f>
        <v/>
      </c>
      <c r="K1086" s="36" t="str">
        <f>IFERROR(IF(--MID($F1086,2*COUNTIF($G1086:J1086,"&gt;"&amp;0)+2,1)=K$1,K$1,""),"")</f>
        <v/>
      </c>
      <c r="L1086" s="36" t="str">
        <f>IFERROR(IF(--MID($F1086,2*COUNTIF($G1086:K1086,"&gt;"&amp;0)+2,1)=L$1,L$1,""),"")</f>
        <v/>
      </c>
      <c r="M1086" s="36" t="e" cm="1">
        <f t="array" ref="M1086">IF(A1086="","",_xlfn.XLOOKUP(D1086&amp;"_"&amp;AE1086,符文权重!A:A&amp;"_"&amp;符文权重!C:C,符文权重!D:D))</f>
        <v>#N/A</v>
      </c>
      <c r="N1086" s="36"/>
      <c r="O1086" s="36"/>
      <c r="P1086" s="36"/>
      <c r="Q1086" s="36"/>
      <c r="R1086" s="36"/>
      <c r="S1086" s="36" t="s">
        <v>344</v>
      </c>
      <c r="T1086" s="36" t="s">
        <v>716</v>
      </c>
      <c r="U1086" s="36" t="s">
        <v>420</v>
      </c>
      <c r="V1086" s="25" t="s">
        <v>721</v>
      </c>
      <c r="W1086" s="36"/>
      <c r="X1086" s="35" t="s">
        <v>636</v>
      </c>
      <c r="Y1086" s="35">
        <v>100</v>
      </c>
      <c r="Z1086" s="35"/>
      <c r="AA1086" s="36" t="s">
        <v>185</v>
      </c>
      <c r="AB1086" s="36" t="s">
        <v>722</v>
      </c>
      <c r="AC1086" s="35">
        <v>5301245</v>
      </c>
      <c r="AD1086" s="36" t="s">
        <v>193</v>
      </c>
      <c r="AE1086" s="36">
        <v>100</v>
      </c>
      <c r="AF1086" s="36"/>
      <c r="AG1086" s="79">
        <v>1</v>
      </c>
      <c r="AH1086" s="36">
        <v>0</v>
      </c>
      <c r="AL1086" s="35"/>
    </row>
    <row r="1087" s="25" customFormat="1" hidden="1" customHeight="1" spans="1:38">
      <c r="A1087" s="33">
        <v>5302246</v>
      </c>
      <c r="B1087" s="34" t="s">
        <v>715</v>
      </c>
      <c r="C1087" s="35">
        <v>5301246</v>
      </c>
      <c r="D1087" s="36">
        <v>2</v>
      </c>
      <c r="E1087" s="36"/>
      <c r="F1087" s="36" t="s">
        <v>193</v>
      </c>
      <c r="G1087" s="36" t="str">
        <f t="shared" si="275"/>
        <v/>
      </c>
      <c r="H1087" s="36" t="str">
        <f>IFERROR(IF(--MID($F1087,2*COUNTIF($G1087:G1087,"&gt;"&amp;0)+2,1)=H$1,H$1,""),"")</f>
        <v/>
      </c>
      <c r="I1087" s="36">
        <f>IFERROR(IF(--MID($F1087,2*COUNTIF($G1087:H1087,"&gt;"&amp;0)+2,1)=I$1,I$1,""),"")</f>
        <v>3</v>
      </c>
      <c r="J1087" s="36" t="str">
        <f>IFERROR(IF(--MID($F1087,2*COUNTIF($G1087:I1087,"&gt;"&amp;0)+2,1)=J$1,J$1,""),"")</f>
        <v/>
      </c>
      <c r="K1087" s="36" t="str">
        <f>IFERROR(IF(--MID($F1087,2*COUNTIF($G1087:J1087,"&gt;"&amp;0)+2,1)=K$1,K$1,""),"")</f>
        <v/>
      </c>
      <c r="L1087" s="36" t="str">
        <f>IFERROR(IF(--MID($F1087,2*COUNTIF($G1087:K1087,"&gt;"&amp;0)+2,1)=L$1,L$1,""),"")</f>
        <v/>
      </c>
      <c r="M1087" s="36" t="e" cm="1">
        <f t="array" ref="M1087">IF(A1087="","",_xlfn.XLOOKUP(D1087&amp;"_"&amp;AE1087,符文权重!A:A&amp;"_"&amp;符文权重!C:C,符文权重!D:D))</f>
        <v>#N/A</v>
      </c>
      <c r="N1087" s="36"/>
      <c r="O1087" s="36"/>
      <c r="P1087" s="36"/>
      <c r="Q1087" s="36"/>
      <c r="R1087" s="36"/>
      <c r="S1087" s="36" t="s">
        <v>344</v>
      </c>
      <c r="T1087" s="36" t="s">
        <v>716</v>
      </c>
      <c r="U1087" s="36" t="s">
        <v>415</v>
      </c>
      <c r="V1087" s="25" t="s">
        <v>723</v>
      </c>
      <c r="W1087" s="36"/>
      <c r="X1087" s="35" t="s">
        <v>630</v>
      </c>
      <c r="Y1087" s="35">
        <v>100</v>
      </c>
      <c r="Z1087" s="35"/>
      <c r="AA1087" s="36" t="s">
        <v>181</v>
      </c>
      <c r="AB1087" s="36" t="s">
        <v>724</v>
      </c>
      <c r="AC1087" s="35">
        <v>5301246</v>
      </c>
      <c r="AD1087" s="36" t="s">
        <v>428</v>
      </c>
      <c r="AE1087" s="36">
        <v>100</v>
      </c>
      <c r="AF1087" s="36"/>
      <c r="AG1087" s="79">
        <v>1</v>
      </c>
      <c r="AH1087" s="36">
        <v>0</v>
      </c>
      <c r="AL1087" s="35"/>
    </row>
    <row r="1088" s="25" customFormat="1" hidden="1" customHeight="1" spans="1:38">
      <c r="A1088" s="33">
        <v>5303246</v>
      </c>
      <c r="B1088" s="34" t="s">
        <v>715</v>
      </c>
      <c r="C1088" s="35">
        <v>5301246</v>
      </c>
      <c r="D1088" s="36">
        <v>3</v>
      </c>
      <c r="E1088" s="36"/>
      <c r="F1088" s="36" t="s">
        <v>193</v>
      </c>
      <c r="G1088" s="36" t="str">
        <f t="shared" si="275"/>
        <v/>
      </c>
      <c r="H1088" s="36" t="str">
        <f>IFERROR(IF(--MID($F1088,2*COUNTIF($G1088:G1088,"&gt;"&amp;0)+2,1)=H$1,H$1,""),"")</f>
        <v/>
      </c>
      <c r="I1088" s="36">
        <f>IFERROR(IF(--MID($F1088,2*COUNTIF($G1088:H1088,"&gt;"&amp;0)+2,1)=I$1,I$1,""),"")</f>
        <v>3</v>
      </c>
      <c r="J1088" s="36" t="str">
        <f>IFERROR(IF(--MID($F1088,2*COUNTIF($G1088:I1088,"&gt;"&amp;0)+2,1)=J$1,J$1,""),"")</f>
        <v/>
      </c>
      <c r="K1088" s="36" t="str">
        <f>IFERROR(IF(--MID($F1088,2*COUNTIF($G1088:J1088,"&gt;"&amp;0)+2,1)=K$1,K$1,""),"")</f>
        <v/>
      </c>
      <c r="L1088" s="36" t="str">
        <f>IFERROR(IF(--MID($F1088,2*COUNTIF($G1088:K1088,"&gt;"&amp;0)+2,1)=L$1,L$1,""),"")</f>
        <v/>
      </c>
      <c r="M1088" s="36" t="e" cm="1">
        <f t="array" ref="M1088">IF(A1088="","",_xlfn.XLOOKUP(D1088&amp;"_"&amp;AE1088,符文权重!A:A&amp;"_"&amp;符文权重!C:C,符文权重!D:D))</f>
        <v>#N/A</v>
      </c>
      <c r="N1088" s="36"/>
      <c r="O1088" s="36"/>
      <c r="P1088" s="36"/>
      <c r="Q1088" s="36"/>
      <c r="R1088" s="36"/>
      <c r="S1088" s="36" t="s">
        <v>344</v>
      </c>
      <c r="T1088" s="36" t="s">
        <v>716</v>
      </c>
      <c r="U1088" s="36" t="s">
        <v>417</v>
      </c>
      <c r="V1088" s="25" t="s">
        <v>725</v>
      </c>
      <c r="W1088" s="36"/>
      <c r="X1088" s="35" t="s">
        <v>633</v>
      </c>
      <c r="Y1088" s="35">
        <v>100</v>
      </c>
      <c r="Z1088" s="35"/>
      <c r="AA1088" s="36" t="s">
        <v>183</v>
      </c>
      <c r="AB1088" s="36" t="s">
        <v>726</v>
      </c>
      <c r="AC1088" s="35">
        <v>5301246</v>
      </c>
      <c r="AD1088" s="36" t="s">
        <v>487</v>
      </c>
      <c r="AE1088" s="36">
        <v>100</v>
      </c>
      <c r="AF1088" s="36"/>
      <c r="AG1088" s="79">
        <v>1</v>
      </c>
      <c r="AH1088" s="36">
        <v>0</v>
      </c>
      <c r="AI1088" s="33"/>
      <c r="AJ1088" s="37"/>
      <c r="AK1088" s="35"/>
      <c r="AL1088" s="35"/>
    </row>
    <row r="1089" s="25" customFormat="1" hidden="1" customHeight="1" spans="1:38">
      <c r="A1089" s="33">
        <v>5304246</v>
      </c>
      <c r="B1089" s="34" t="s">
        <v>715</v>
      </c>
      <c r="C1089" s="35">
        <v>5301246</v>
      </c>
      <c r="D1089" s="36">
        <v>4</v>
      </c>
      <c r="E1089" s="36"/>
      <c r="F1089" s="36" t="s">
        <v>193</v>
      </c>
      <c r="G1089" s="36" t="str">
        <f t="shared" si="275"/>
        <v/>
      </c>
      <c r="H1089" s="36" t="str">
        <f>IFERROR(IF(--MID($F1089,2*COUNTIF($G1089:G1089,"&gt;"&amp;0)+2,1)=H$1,H$1,""),"")</f>
        <v/>
      </c>
      <c r="I1089" s="36">
        <f>IFERROR(IF(--MID($F1089,2*COUNTIF($G1089:H1089,"&gt;"&amp;0)+2,1)=I$1,I$1,""),"")</f>
        <v>3</v>
      </c>
      <c r="J1089" s="36" t="str">
        <f>IFERROR(IF(--MID($F1089,2*COUNTIF($G1089:I1089,"&gt;"&amp;0)+2,1)=J$1,J$1,""),"")</f>
        <v/>
      </c>
      <c r="K1089" s="36" t="str">
        <f>IFERROR(IF(--MID($F1089,2*COUNTIF($G1089:J1089,"&gt;"&amp;0)+2,1)=K$1,K$1,""),"")</f>
        <v/>
      </c>
      <c r="L1089" s="36" t="str">
        <f>IFERROR(IF(--MID($F1089,2*COUNTIF($G1089:K1089,"&gt;"&amp;0)+2,1)=L$1,L$1,""),"")</f>
        <v/>
      </c>
      <c r="M1089" s="36" t="e" cm="1">
        <f t="array" ref="M1089">IF(A1089="","",_xlfn.XLOOKUP(D1089&amp;"_"&amp;AE1089,符文权重!A:A&amp;"_"&amp;符文权重!C:C,符文权重!D:D))</f>
        <v>#N/A</v>
      </c>
      <c r="N1089" s="36"/>
      <c r="O1089" s="36"/>
      <c r="P1089" s="36"/>
      <c r="Q1089" s="36"/>
      <c r="R1089" s="36"/>
      <c r="S1089" s="36" t="s">
        <v>344</v>
      </c>
      <c r="T1089" s="36" t="s">
        <v>716</v>
      </c>
      <c r="U1089" s="36" t="s">
        <v>420</v>
      </c>
      <c r="V1089" s="25" t="s">
        <v>727</v>
      </c>
      <c r="W1089" s="36"/>
      <c r="X1089" s="35" t="s">
        <v>636</v>
      </c>
      <c r="Y1089" s="35">
        <v>100</v>
      </c>
      <c r="Z1089" s="35"/>
      <c r="AA1089" s="36" t="s">
        <v>185</v>
      </c>
      <c r="AB1089" s="36" t="s">
        <v>728</v>
      </c>
      <c r="AC1089" s="35">
        <v>5301246</v>
      </c>
      <c r="AD1089" s="36" t="s">
        <v>497</v>
      </c>
      <c r="AE1089" s="36">
        <v>100</v>
      </c>
      <c r="AF1089" s="36"/>
      <c r="AG1089" s="79">
        <v>1</v>
      </c>
      <c r="AH1089" s="36">
        <v>0</v>
      </c>
      <c r="AI1089" s="33"/>
      <c r="AJ1089" s="37"/>
      <c r="AK1089" s="35"/>
      <c r="AL1089" s="35"/>
    </row>
    <row r="1090" s="29" customFormat="1" hidden="1" customHeight="1" spans="1:38">
      <c r="A1090" s="31">
        <v>5302247</v>
      </c>
      <c r="B1090" s="34" t="s">
        <v>715</v>
      </c>
      <c r="C1090" s="31">
        <v>5301247</v>
      </c>
      <c r="D1090" s="79">
        <v>2</v>
      </c>
      <c r="E1090" s="79"/>
      <c r="F1090" s="79" t="s">
        <v>211</v>
      </c>
      <c r="G1090" s="36" t="str">
        <f t="shared" si="275"/>
        <v/>
      </c>
      <c r="H1090" s="36">
        <f>IFERROR(IF(--MID($F1090,2*COUNTIF($G1090:G1090,"&gt;"&amp;0)+2,1)=H$1,H$1,""),"")</f>
        <v>2</v>
      </c>
      <c r="I1090" s="36" t="str">
        <f>IFERROR(IF(--MID($F1090,2*COUNTIF($G1090:H1090,"&gt;"&amp;0)+2,1)=I$1,I$1,""),"")</f>
        <v/>
      </c>
      <c r="J1090" s="36" t="str">
        <f>IFERROR(IF(--MID($F1090,2*COUNTIF($G1090:I1090,"&gt;"&amp;0)+2,1)=J$1,J$1,""),"")</f>
        <v/>
      </c>
      <c r="K1090" s="36" t="str">
        <f>IFERROR(IF(--MID($F1090,2*COUNTIF($G1090:J1090,"&gt;"&amp;0)+2,1)=K$1,K$1,""),"")</f>
        <v/>
      </c>
      <c r="L1090" s="36" t="str">
        <f>IFERROR(IF(--MID($F1090,2*COUNTIF($G1090:K1090,"&gt;"&amp;0)+2,1)=L$1,L$1,""),"")</f>
        <v/>
      </c>
      <c r="M1090" s="36" t="e" cm="1">
        <f t="array" ref="M1090">IF(A1090="","",_xlfn.XLOOKUP(D1090&amp;"_"&amp;AE1090,符文权重!A:A&amp;"_"&amp;符文权重!C:C,符文权重!D:D))</f>
        <v>#N/A</v>
      </c>
      <c r="N1090" s="36"/>
      <c r="O1090" s="36"/>
      <c r="P1090" s="36"/>
      <c r="Q1090" s="36"/>
      <c r="R1090" s="36"/>
      <c r="S1090" s="36" t="s">
        <v>344</v>
      </c>
      <c r="T1090" s="36" t="s">
        <v>716</v>
      </c>
      <c r="U1090" s="36" t="s">
        <v>415</v>
      </c>
      <c r="V1090" s="29" t="s">
        <v>729</v>
      </c>
      <c r="W1090" s="79"/>
      <c r="X1090" s="35" t="s">
        <v>630</v>
      </c>
      <c r="Y1090" s="35">
        <v>100</v>
      </c>
      <c r="Z1090" s="31"/>
      <c r="AA1090" s="36" t="s">
        <v>181</v>
      </c>
      <c r="AB1090" s="79" t="s">
        <v>730</v>
      </c>
      <c r="AC1090" s="31">
        <v>5301247</v>
      </c>
      <c r="AD1090" s="79" t="s">
        <v>428</v>
      </c>
      <c r="AE1090" s="36">
        <v>100</v>
      </c>
      <c r="AF1090" s="79"/>
      <c r="AG1090" s="79">
        <v>1</v>
      </c>
      <c r="AH1090" s="36">
        <v>0</v>
      </c>
      <c r="AL1090" s="35"/>
    </row>
    <row r="1091" s="29" customFormat="1" hidden="1" customHeight="1" spans="1:38">
      <c r="A1091" s="31">
        <v>5303247</v>
      </c>
      <c r="B1091" s="34" t="s">
        <v>715</v>
      </c>
      <c r="C1091" s="31">
        <v>5301247</v>
      </c>
      <c r="D1091" s="79">
        <v>3</v>
      </c>
      <c r="E1091" s="79"/>
      <c r="F1091" s="79" t="s">
        <v>211</v>
      </c>
      <c r="G1091" s="36" t="str">
        <f t="shared" si="275"/>
        <v/>
      </c>
      <c r="H1091" s="36">
        <f>IFERROR(IF(--MID($F1091,2*COUNTIF($G1091:G1091,"&gt;"&amp;0)+2,1)=H$1,H$1,""),"")</f>
        <v>2</v>
      </c>
      <c r="I1091" s="36" t="str">
        <f>IFERROR(IF(--MID($F1091,2*COUNTIF($G1091:H1091,"&gt;"&amp;0)+2,1)=I$1,I$1,""),"")</f>
        <v/>
      </c>
      <c r="J1091" s="36" t="str">
        <f>IFERROR(IF(--MID($F1091,2*COUNTIF($G1091:I1091,"&gt;"&amp;0)+2,1)=J$1,J$1,""),"")</f>
        <v/>
      </c>
      <c r="K1091" s="36" t="str">
        <f>IFERROR(IF(--MID($F1091,2*COUNTIF($G1091:J1091,"&gt;"&amp;0)+2,1)=K$1,K$1,""),"")</f>
        <v/>
      </c>
      <c r="L1091" s="36" t="str">
        <f>IFERROR(IF(--MID($F1091,2*COUNTIF($G1091:K1091,"&gt;"&amp;0)+2,1)=L$1,L$1,""),"")</f>
        <v/>
      </c>
      <c r="M1091" s="36" t="e" cm="1">
        <f t="array" ref="M1091">IF(A1091="","",_xlfn.XLOOKUP(D1091&amp;"_"&amp;AE1091,符文权重!A:A&amp;"_"&amp;符文权重!C:C,符文权重!D:D))</f>
        <v>#N/A</v>
      </c>
      <c r="N1091" s="36"/>
      <c r="O1091" s="36"/>
      <c r="P1091" s="36"/>
      <c r="Q1091" s="36"/>
      <c r="R1091" s="36"/>
      <c r="S1091" s="36" t="s">
        <v>344</v>
      </c>
      <c r="T1091" s="36" t="s">
        <v>716</v>
      </c>
      <c r="U1091" s="36" t="s">
        <v>417</v>
      </c>
      <c r="V1091" s="29" t="s">
        <v>731</v>
      </c>
      <c r="W1091" s="79"/>
      <c r="X1091" s="35" t="s">
        <v>633</v>
      </c>
      <c r="Y1091" s="35">
        <v>100</v>
      </c>
      <c r="Z1091" s="31"/>
      <c r="AA1091" s="36" t="s">
        <v>183</v>
      </c>
      <c r="AB1091" s="79" t="s">
        <v>732</v>
      </c>
      <c r="AC1091" s="31">
        <v>5301247</v>
      </c>
      <c r="AD1091" s="79" t="s">
        <v>487</v>
      </c>
      <c r="AE1091" s="36">
        <v>100</v>
      </c>
      <c r="AF1091" s="79"/>
      <c r="AG1091" s="79">
        <v>1</v>
      </c>
      <c r="AH1091" s="36">
        <v>0</v>
      </c>
      <c r="AI1091" s="82"/>
      <c r="AJ1091" s="84"/>
      <c r="AK1091" s="31"/>
      <c r="AL1091" s="35"/>
    </row>
    <row r="1092" s="29" customFormat="1" hidden="1" customHeight="1" spans="1:38">
      <c r="A1092" s="31">
        <v>5304247</v>
      </c>
      <c r="B1092" s="34" t="s">
        <v>715</v>
      </c>
      <c r="C1092" s="31">
        <v>5301247</v>
      </c>
      <c r="D1092" s="79">
        <v>4</v>
      </c>
      <c r="E1092" s="79"/>
      <c r="F1092" s="79" t="s">
        <v>211</v>
      </c>
      <c r="G1092" s="36" t="str">
        <f t="shared" si="275"/>
        <v/>
      </c>
      <c r="H1092" s="36">
        <f>IFERROR(IF(--MID($F1092,2*COUNTIF($G1092:G1092,"&gt;"&amp;0)+2,1)=H$1,H$1,""),"")</f>
        <v>2</v>
      </c>
      <c r="I1092" s="36" t="str">
        <f>IFERROR(IF(--MID($F1092,2*COUNTIF($G1092:H1092,"&gt;"&amp;0)+2,1)=I$1,I$1,""),"")</f>
        <v/>
      </c>
      <c r="J1092" s="36" t="str">
        <f>IFERROR(IF(--MID($F1092,2*COUNTIF($G1092:I1092,"&gt;"&amp;0)+2,1)=J$1,J$1,""),"")</f>
        <v/>
      </c>
      <c r="K1092" s="36" t="str">
        <f>IFERROR(IF(--MID($F1092,2*COUNTIF($G1092:J1092,"&gt;"&amp;0)+2,1)=K$1,K$1,""),"")</f>
        <v/>
      </c>
      <c r="L1092" s="36" t="str">
        <f>IFERROR(IF(--MID($F1092,2*COUNTIF($G1092:K1092,"&gt;"&amp;0)+2,1)=L$1,L$1,""),"")</f>
        <v/>
      </c>
      <c r="M1092" s="36" t="e" cm="1">
        <f t="array" ref="M1092">IF(A1092="","",_xlfn.XLOOKUP(D1092&amp;"_"&amp;AE1092,符文权重!A:A&amp;"_"&amp;符文权重!C:C,符文权重!D:D))</f>
        <v>#N/A</v>
      </c>
      <c r="N1092" s="36"/>
      <c r="O1092" s="36"/>
      <c r="P1092" s="36"/>
      <c r="Q1092" s="36"/>
      <c r="R1092" s="36"/>
      <c r="S1092" s="36" t="s">
        <v>344</v>
      </c>
      <c r="T1092" s="36" t="s">
        <v>716</v>
      </c>
      <c r="U1092" s="36" t="s">
        <v>420</v>
      </c>
      <c r="V1092" s="29" t="s">
        <v>733</v>
      </c>
      <c r="W1092" s="79"/>
      <c r="X1092" s="35" t="s">
        <v>636</v>
      </c>
      <c r="Y1092" s="35">
        <v>100</v>
      </c>
      <c r="Z1092" s="31"/>
      <c r="AA1092" s="36" t="s">
        <v>185</v>
      </c>
      <c r="AB1092" s="79" t="s">
        <v>734</v>
      </c>
      <c r="AC1092" s="31">
        <v>5301247</v>
      </c>
      <c r="AD1092" s="79" t="s">
        <v>596</v>
      </c>
      <c r="AE1092" s="36">
        <v>100</v>
      </c>
      <c r="AF1092" s="79"/>
      <c r="AG1092" s="79">
        <v>1</v>
      </c>
      <c r="AH1092" s="36">
        <v>0</v>
      </c>
      <c r="AI1092" s="82"/>
      <c r="AJ1092" s="84"/>
      <c r="AK1092" s="31"/>
      <c r="AL1092" s="35"/>
    </row>
    <row r="1093" s="25" customFormat="1" hidden="1" customHeight="1" spans="1:38">
      <c r="A1093" s="33">
        <v>5302249</v>
      </c>
      <c r="B1093" s="34" t="s">
        <v>756</v>
      </c>
      <c r="C1093" s="35">
        <v>5301249</v>
      </c>
      <c r="D1093" s="36">
        <v>2</v>
      </c>
      <c r="E1093" s="36"/>
      <c r="F1093" s="36" t="s">
        <v>230</v>
      </c>
      <c r="G1093" s="36" t="str">
        <f t="shared" si="275"/>
        <v/>
      </c>
      <c r="H1093" s="36" t="str">
        <f>IFERROR(IF(--MID($F1093,2*COUNTIF($G1093:G1093,"&gt;"&amp;0)+2,1)=H$1,H$1,""),"")</f>
        <v/>
      </c>
      <c r="I1093" s="36" t="str">
        <f>IFERROR(IF(--MID($F1093,2*COUNTIF($G1093:H1093,"&gt;"&amp;0)+2,1)=I$1,I$1,""),"")</f>
        <v/>
      </c>
      <c r="J1093" s="36" t="str">
        <f>IFERROR(IF(--MID($F1093,2*COUNTIF($G1093:I1093,"&gt;"&amp;0)+2,1)=J$1,J$1,""),"")</f>
        <v/>
      </c>
      <c r="K1093" s="36">
        <f>IFERROR(IF(--MID($F1093,2*COUNTIF($G1093:J1093,"&gt;"&amp;0)+2,1)=K$1,K$1,""),"")</f>
        <v>5</v>
      </c>
      <c r="L1093" s="36" t="str">
        <f>IFERROR(IF(--MID($F1093,2*COUNTIF($G1093:K1093,"&gt;"&amp;0)+2,1)=L$1,L$1,""),"")</f>
        <v/>
      </c>
      <c r="M1093" s="36" t="e" cm="1">
        <f t="array" ref="M1093">IF(A1093="","",_xlfn.XLOOKUP(D1093&amp;"_"&amp;AE1093,符文权重!A:A&amp;"_"&amp;符文权重!C:C,符文权重!D:D))</f>
        <v>#N/A</v>
      </c>
      <c r="N1093" s="36"/>
      <c r="O1093" s="36"/>
      <c r="P1093" s="36"/>
      <c r="Q1093" s="36"/>
      <c r="R1093" s="36"/>
      <c r="S1093" s="36" t="s">
        <v>344</v>
      </c>
      <c r="T1093" s="36" t="s">
        <v>757</v>
      </c>
      <c r="U1093" s="36" t="s">
        <v>415</v>
      </c>
      <c r="V1093" s="25" t="s">
        <v>1469</v>
      </c>
      <c r="W1093" s="36"/>
      <c r="X1093" s="35" t="s">
        <v>636</v>
      </c>
      <c r="Y1093" s="35">
        <v>100</v>
      </c>
      <c r="Z1093" s="35"/>
      <c r="AA1093" s="36" t="s">
        <v>181</v>
      </c>
      <c r="AB1093" s="85" t="s">
        <v>1470</v>
      </c>
      <c r="AC1093" s="35">
        <v>5301249</v>
      </c>
      <c r="AD1093" s="36" t="s">
        <v>422</v>
      </c>
      <c r="AE1093" s="36">
        <v>100</v>
      </c>
      <c r="AF1093" s="36"/>
      <c r="AG1093" s="79">
        <v>1</v>
      </c>
      <c r="AH1093" s="36">
        <v>0</v>
      </c>
      <c r="AL1093" s="35"/>
    </row>
    <row r="1094" s="25" customFormat="1" hidden="1" customHeight="1" spans="1:38">
      <c r="A1094" s="33">
        <v>5303249</v>
      </c>
      <c r="B1094" s="34" t="s">
        <v>756</v>
      </c>
      <c r="C1094" s="35">
        <v>5301249</v>
      </c>
      <c r="D1094" s="36">
        <v>3</v>
      </c>
      <c r="E1094" s="36"/>
      <c r="F1094" s="36" t="s">
        <v>230</v>
      </c>
      <c r="G1094" s="36" t="str">
        <f t="shared" si="275"/>
        <v/>
      </c>
      <c r="H1094" s="36" t="str">
        <f>IFERROR(IF(--MID($F1094,2*COUNTIF($G1094:G1094,"&gt;"&amp;0)+2,1)=H$1,H$1,""),"")</f>
        <v/>
      </c>
      <c r="I1094" s="36" t="str">
        <f>IFERROR(IF(--MID($F1094,2*COUNTIF($G1094:H1094,"&gt;"&amp;0)+2,1)=I$1,I$1,""),"")</f>
        <v/>
      </c>
      <c r="J1094" s="36" t="str">
        <f>IFERROR(IF(--MID($F1094,2*COUNTIF($G1094:I1094,"&gt;"&amp;0)+2,1)=J$1,J$1,""),"")</f>
        <v/>
      </c>
      <c r="K1094" s="36">
        <f>IFERROR(IF(--MID($F1094,2*COUNTIF($G1094:J1094,"&gt;"&amp;0)+2,1)=K$1,K$1,""),"")</f>
        <v>5</v>
      </c>
      <c r="L1094" s="36" t="str">
        <f>IFERROR(IF(--MID($F1094,2*COUNTIF($G1094:K1094,"&gt;"&amp;0)+2,1)=L$1,L$1,""),"")</f>
        <v/>
      </c>
      <c r="M1094" s="36" t="e" cm="1">
        <f t="array" ref="M1094">IF(A1094="","",_xlfn.XLOOKUP(D1094&amp;"_"&amp;AE1094,符文权重!A:A&amp;"_"&amp;符文权重!C:C,符文权重!D:D))</f>
        <v>#N/A</v>
      </c>
      <c r="N1094" s="36"/>
      <c r="O1094" s="36"/>
      <c r="P1094" s="36"/>
      <c r="Q1094" s="36"/>
      <c r="R1094" s="36"/>
      <c r="S1094" s="36" t="s">
        <v>344</v>
      </c>
      <c r="T1094" s="36" t="s">
        <v>757</v>
      </c>
      <c r="U1094" s="36" t="s">
        <v>417</v>
      </c>
      <c r="V1094" s="25" t="s">
        <v>1471</v>
      </c>
      <c r="W1094" s="36"/>
      <c r="X1094" s="35" t="s">
        <v>656</v>
      </c>
      <c r="Y1094" s="35">
        <v>100</v>
      </c>
      <c r="Z1094" s="35"/>
      <c r="AA1094" s="36" t="s">
        <v>183</v>
      </c>
      <c r="AB1094" s="85" t="s">
        <v>1472</v>
      </c>
      <c r="AC1094" s="35">
        <v>5301249</v>
      </c>
      <c r="AD1094" s="36" t="s">
        <v>425</v>
      </c>
      <c r="AE1094" s="36">
        <v>100</v>
      </c>
      <c r="AF1094" s="36"/>
      <c r="AG1094" s="79">
        <v>1</v>
      </c>
      <c r="AH1094" s="36">
        <v>0</v>
      </c>
      <c r="AL1094" s="35"/>
    </row>
    <row r="1095" s="25" customFormat="1" hidden="1" customHeight="1" spans="1:38">
      <c r="A1095" s="33">
        <v>5304249</v>
      </c>
      <c r="B1095" s="34" t="s">
        <v>756</v>
      </c>
      <c r="C1095" s="35">
        <v>5301249</v>
      </c>
      <c r="D1095" s="36">
        <v>4</v>
      </c>
      <c r="E1095" s="36"/>
      <c r="F1095" s="36" t="s">
        <v>230</v>
      </c>
      <c r="G1095" s="36" t="str">
        <f t="shared" si="275"/>
        <v/>
      </c>
      <c r="H1095" s="36" t="str">
        <f>IFERROR(IF(--MID($F1095,2*COUNTIF($G1095:G1095,"&gt;"&amp;0)+2,1)=H$1,H$1,""),"")</f>
        <v/>
      </c>
      <c r="I1095" s="36" t="str">
        <f>IFERROR(IF(--MID($F1095,2*COUNTIF($G1095:H1095,"&gt;"&amp;0)+2,1)=I$1,I$1,""),"")</f>
        <v/>
      </c>
      <c r="J1095" s="36" t="str">
        <f>IFERROR(IF(--MID($F1095,2*COUNTIF($G1095:I1095,"&gt;"&amp;0)+2,1)=J$1,J$1,""),"")</f>
        <v/>
      </c>
      <c r="K1095" s="36">
        <f>IFERROR(IF(--MID($F1095,2*COUNTIF($G1095:J1095,"&gt;"&amp;0)+2,1)=K$1,K$1,""),"")</f>
        <v>5</v>
      </c>
      <c r="L1095" s="36" t="str">
        <f>IFERROR(IF(--MID($F1095,2*COUNTIF($G1095:K1095,"&gt;"&amp;0)+2,1)=L$1,L$1,""),"")</f>
        <v/>
      </c>
      <c r="M1095" s="36" t="e" cm="1">
        <f t="array" ref="M1095">IF(A1095="","",_xlfn.XLOOKUP(D1095&amp;"_"&amp;AE1095,符文权重!A:A&amp;"_"&amp;符文权重!C:C,符文权重!D:D))</f>
        <v>#N/A</v>
      </c>
      <c r="N1095" s="36"/>
      <c r="O1095" s="36"/>
      <c r="P1095" s="36"/>
      <c r="Q1095" s="36"/>
      <c r="R1095" s="36"/>
      <c r="S1095" s="36" t="s">
        <v>344</v>
      </c>
      <c r="T1095" s="36" t="s">
        <v>757</v>
      </c>
      <c r="U1095" s="36" t="s">
        <v>420</v>
      </c>
      <c r="V1095" s="25" t="s">
        <v>758</v>
      </c>
      <c r="W1095" s="36"/>
      <c r="X1095" s="35" t="s">
        <v>659</v>
      </c>
      <c r="Y1095" s="35">
        <v>100</v>
      </c>
      <c r="Z1095" s="35"/>
      <c r="AA1095" s="36" t="s">
        <v>185</v>
      </c>
      <c r="AB1095" s="85" t="s">
        <v>759</v>
      </c>
      <c r="AC1095" s="35">
        <v>5301249</v>
      </c>
      <c r="AD1095" s="36" t="s">
        <v>428</v>
      </c>
      <c r="AE1095" s="36">
        <v>100</v>
      </c>
      <c r="AF1095" s="36"/>
      <c r="AG1095" s="79">
        <v>1</v>
      </c>
      <c r="AH1095" s="36">
        <v>1</v>
      </c>
      <c r="AI1095" s="33"/>
      <c r="AJ1095" s="37"/>
      <c r="AK1095" s="35"/>
      <c r="AL1095" s="35"/>
    </row>
    <row r="1096" s="25" customFormat="1" hidden="1" customHeight="1" spans="1:38">
      <c r="A1096" s="33">
        <v>5305249</v>
      </c>
      <c r="B1096" s="34" t="s">
        <v>756</v>
      </c>
      <c r="C1096" s="35">
        <v>5301249</v>
      </c>
      <c r="D1096" s="36">
        <v>5</v>
      </c>
      <c r="E1096" s="36"/>
      <c r="F1096" s="36" t="s">
        <v>230</v>
      </c>
      <c r="G1096" s="36" t="str">
        <f t="shared" si="275"/>
        <v/>
      </c>
      <c r="H1096" s="36" t="str">
        <f>IFERROR(IF(--MID($F1096,2*COUNTIF($G1096:G1096,"&gt;"&amp;0)+2,1)=H$1,H$1,""),"")</f>
        <v/>
      </c>
      <c r="I1096" s="36" t="str">
        <f>IFERROR(IF(--MID($F1096,2*COUNTIF($G1096:H1096,"&gt;"&amp;0)+2,1)=I$1,I$1,""),"")</f>
        <v/>
      </c>
      <c r="J1096" s="36" t="str">
        <f>IFERROR(IF(--MID($F1096,2*COUNTIF($G1096:I1096,"&gt;"&amp;0)+2,1)=J$1,J$1,""),"")</f>
        <v/>
      </c>
      <c r="K1096" s="36">
        <f>IFERROR(IF(--MID($F1096,2*COUNTIF($G1096:J1096,"&gt;"&amp;0)+2,1)=K$1,K$1,""),"")</f>
        <v>5</v>
      </c>
      <c r="L1096" s="36" t="str">
        <f>IFERROR(IF(--MID($F1096,2*COUNTIF($G1096:K1096,"&gt;"&amp;0)+2,1)=L$1,L$1,""),"")</f>
        <v/>
      </c>
      <c r="M1096" s="36" t="e" cm="1">
        <f t="array" ref="M1096">IF(A1096="","",_xlfn.XLOOKUP(D1096&amp;"_"&amp;AE1096,符文权重!A:A&amp;"_"&amp;符文权重!C:C,符文权重!D:D))</f>
        <v>#N/A</v>
      </c>
      <c r="N1096" s="36"/>
      <c r="O1096" s="36"/>
      <c r="P1096" s="36"/>
      <c r="Q1096" s="36"/>
      <c r="R1096" s="36"/>
      <c r="S1096" s="36" t="s">
        <v>344</v>
      </c>
      <c r="T1096" s="36" t="s">
        <v>757</v>
      </c>
      <c r="U1096" s="36" t="s">
        <v>423</v>
      </c>
      <c r="V1096" s="25" t="s">
        <v>760</v>
      </c>
      <c r="W1096" s="36"/>
      <c r="X1096" s="35" t="s">
        <v>659</v>
      </c>
      <c r="Y1096" s="35">
        <v>100</v>
      </c>
      <c r="Z1096" s="35"/>
      <c r="AA1096" s="36" t="s">
        <v>187</v>
      </c>
      <c r="AB1096" s="85" t="s">
        <v>761</v>
      </c>
      <c r="AC1096" s="35">
        <v>5301249</v>
      </c>
      <c r="AD1096" s="36" t="s">
        <v>431</v>
      </c>
      <c r="AE1096" s="36">
        <v>100</v>
      </c>
      <c r="AF1096" s="36"/>
      <c r="AG1096" s="79">
        <v>1</v>
      </c>
      <c r="AH1096" s="36">
        <v>0</v>
      </c>
      <c r="AI1096" s="33"/>
      <c r="AJ1096" s="37"/>
      <c r="AK1096" s="35"/>
      <c r="AL1096" s="35"/>
    </row>
    <row r="1097" s="25" customFormat="1" hidden="1" customHeight="1" spans="1:38">
      <c r="A1097" s="33">
        <v>5306249</v>
      </c>
      <c r="B1097" s="34" t="s">
        <v>756</v>
      </c>
      <c r="C1097" s="35">
        <v>5301249</v>
      </c>
      <c r="D1097" s="36">
        <v>6</v>
      </c>
      <c r="E1097" s="36"/>
      <c r="F1097" s="36" t="s">
        <v>230</v>
      </c>
      <c r="G1097" s="36" t="str">
        <f t="shared" si="275"/>
        <v/>
      </c>
      <c r="H1097" s="36" t="str">
        <f>IFERROR(IF(--MID($F1097,2*COUNTIF($G1097:G1097,"&gt;"&amp;0)+2,1)=H$1,H$1,""),"")</f>
        <v/>
      </c>
      <c r="I1097" s="36" t="str">
        <f>IFERROR(IF(--MID($F1097,2*COUNTIF($G1097:H1097,"&gt;"&amp;0)+2,1)=I$1,I$1,""),"")</f>
        <v/>
      </c>
      <c r="J1097" s="36" t="str">
        <f>IFERROR(IF(--MID($F1097,2*COUNTIF($G1097:I1097,"&gt;"&amp;0)+2,1)=J$1,J$1,""),"")</f>
        <v/>
      </c>
      <c r="K1097" s="36">
        <f>IFERROR(IF(--MID($F1097,2*COUNTIF($G1097:J1097,"&gt;"&amp;0)+2,1)=K$1,K$1,""),"")</f>
        <v>5</v>
      </c>
      <c r="L1097" s="36" t="str">
        <f>IFERROR(IF(--MID($F1097,2*COUNTIF($G1097:K1097,"&gt;"&amp;0)+2,1)=L$1,L$1,""),"")</f>
        <v/>
      </c>
      <c r="M1097" s="36" t="e" cm="1">
        <f t="array" ref="M1097">IF(A1097="","",_xlfn.XLOOKUP(D1097&amp;"_"&amp;AE1097,符文权重!A:A&amp;"_"&amp;符文权重!C:C,符文权重!D:D))</f>
        <v>#N/A</v>
      </c>
      <c r="N1097" s="36"/>
      <c r="O1097" s="36"/>
      <c r="P1097" s="36"/>
      <c r="Q1097" s="36"/>
      <c r="R1097" s="36"/>
      <c r="S1097" s="36" t="s">
        <v>344</v>
      </c>
      <c r="T1097" s="36" t="s">
        <v>757</v>
      </c>
      <c r="U1097" s="36" t="s">
        <v>426</v>
      </c>
      <c r="V1097" s="25" t="s">
        <v>762</v>
      </c>
      <c r="W1097" s="36"/>
      <c r="X1097" s="35" t="s">
        <v>659</v>
      </c>
      <c r="Y1097" s="35">
        <v>100</v>
      </c>
      <c r="Z1097" s="35"/>
      <c r="AA1097" s="36" t="s">
        <v>189</v>
      </c>
      <c r="AB1097" s="85" t="s">
        <v>763</v>
      </c>
      <c r="AC1097" s="35">
        <v>5301249</v>
      </c>
      <c r="AD1097" s="36" t="s">
        <v>472</v>
      </c>
      <c r="AE1097" s="36">
        <v>100</v>
      </c>
      <c r="AF1097" s="36"/>
      <c r="AG1097" s="79">
        <v>1</v>
      </c>
      <c r="AH1097" s="36">
        <v>0</v>
      </c>
      <c r="AI1097" s="33"/>
      <c r="AJ1097" s="37"/>
      <c r="AK1097" s="35"/>
      <c r="AL1097" s="35"/>
    </row>
    <row r="1098" s="25" customFormat="1" hidden="1" customHeight="1" spans="1:38">
      <c r="A1098" s="33">
        <v>5307249</v>
      </c>
      <c r="B1098" s="34" t="s">
        <v>756</v>
      </c>
      <c r="C1098" s="35">
        <v>5301249</v>
      </c>
      <c r="D1098" s="36">
        <v>7</v>
      </c>
      <c r="E1098" s="36"/>
      <c r="F1098" s="36" t="s">
        <v>230</v>
      </c>
      <c r="G1098" s="36" t="str">
        <f t="shared" si="275"/>
        <v/>
      </c>
      <c r="H1098" s="36" t="str">
        <f>IFERROR(IF(--MID($F1098,2*COUNTIF($G1098:G1098,"&gt;"&amp;0)+2,1)=H$1,H$1,""),"")</f>
        <v/>
      </c>
      <c r="I1098" s="36" t="str">
        <f>IFERROR(IF(--MID($F1098,2*COUNTIF($G1098:H1098,"&gt;"&amp;0)+2,1)=I$1,I$1,""),"")</f>
        <v/>
      </c>
      <c r="J1098" s="36" t="str">
        <f>IFERROR(IF(--MID($F1098,2*COUNTIF($G1098:I1098,"&gt;"&amp;0)+2,1)=J$1,J$1,""),"")</f>
        <v/>
      </c>
      <c r="K1098" s="36">
        <f>IFERROR(IF(--MID($F1098,2*COUNTIF($G1098:J1098,"&gt;"&amp;0)+2,1)=K$1,K$1,""),"")</f>
        <v>5</v>
      </c>
      <c r="L1098" s="36" t="str">
        <f>IFERROR(IF(--MID($F1098,2*COUNTIF($G1098:K1098,"&gt;"&amp;0)+2,1)=L$1,L$1,""),"")</f>
        <v/>
      </c>
      <c r="M1098" s="36" t="e" cm="1">
        <f t="array" ref="M1098">IF(A1098="","",_xlfn.XLOOKUP(D1098&amp;"_"&amp;AE1098,符文权重!A:A&amp;"_"&amp;符文权重!C:C,符文权重!D:D))</f>
        <v>#N/A</v>
      </c>
      <c r="N1098" s="36"/>
      <c r="O1098" s="36"/>
      <c r="P1098" s="36"/>
      <c r="Q1098" s="36"/>
      <c r="R1098" s="36"/>
      <c r="S1098" s="36" t="s">
        <v>344</v>
      </c>
      <c r="T1098" s="36" t="s">
        <v>757</v>
      </c>
      <c r="U1098" s="36" t="s">
        <v>429</v>
      </c>
      <c r="V1098" s="25" t="s">
        <v>764</v>
      </c>
      <c r="W1098" s="36"/>
      <c r="X1098" s="35" t="s">
        <v>659</v>
      </c>
      <c r="Y1098" s="35">
        <v>100</v>
      </c>
      <c r="Z1098" s="35"/>
      <c r="AA1098" s="36" t="s">
        <v>191</v>
      </c>
      <c r="AB1098" s="85" t="s">
        <v>765</v>
      </c>
      <c r="AC1098" s="35">
        <v>5301249</v>
      </c>
      <c r="AD1098" s="36" t="s">
        <v>497</v>
      </c>
      <c r="AE1098" s="36">
        <v>100</v>
      </c>
      <c r="AF1098" s="36"/>
      <c r="AG1098" s="79">
        <v>1</v>
      </c>
      <c r="AH1098" s="36">
        <v>0</v>
      </c>
      <c r="AI1098" s="33"/>
      <c r="AJ1098" s="37"/>
      <c r="AK1098" s="35"/>
      <c r="AL1098" s="35"/>
    </row>
    <row r="1099" s="29" customFormat="1" hidden="1" customHeight="1" spans="1:38">
      <c r="A1099" s="82">
        <v>5302250</v>
      </c>
      <c r="B1099" s="34" t="s">
        <v>756</v>
      </c>
      <c r="C1099" s="31">
        <v>5301250</v>
      </c>
      <c r="D1099" s="79">
        <v>2</v>
      </c>
      <c r="E1099" s="79"/>
      <c r="F1099" s="79" t="s">
        <v>404</v>
      </c>
      <c r="G1099" s="36" t="str">
        <f t="shared" si="275"/>
        <v/>
      </c>
      <c r="H1099" s="36" t="str">
        <f>IFERROR(IF(--MID($F1099,2*COUNTIF($G1099:G1099,"&gt;"&amp;0)+2,1)=H$1,H$1,""),"")</f>
        <v/>
      </c>
      <c r="I1099" s="36" t="str">
        <f>IFERROR(IF(--MID($F1099,2*COUNTIF($G1099:H1099,"&gt;"&amp;0)+2,1)=I$1,I$1,""),"")</f>
        <v/>
      </c>
      <c r="J1099" s="36">
        <f>IFERROR(IF(--MID($F1099,2*COUNTIF($G1099:I1099,"&gt;"&amp;0)+2,1)=J$1,J$1,""),"")</f>
        <v>4</v>
      </c>
      <c r="K1099" s="36" t="str">
        <f>IFERROR(IF(--MID($F1099,2*COUNTIF($G1099:J1099,"&gt;"&amp;0)+2,1)=K$1,K$1,""),"")</f>
        <v/>
      </c>
      <c r="L1099" s="36" t="str">
        <f>IFERROR(IF(--MID($F1099,2*COUNTIF($G1099:K1099,"&gt;"&amp;0)+2,1)=L$1,L$1,""),"")</f>
        <v/>
      </c>
      <c r="M1099" s="36" t="e" cm="1">
        <f t="array" ref="M1099">IF(A1099="","",_xlfn.XLOOKUP(D1099&amp;"_"&amp;AE1099,符文权重!A:A&amp;"_"&amp;符文权重!C:C,符文权重!D:D))</f>
        <v>#N/A</v>
      </c>
      <c r="N1099" s="36"/>
      <c r="O1099" s="36"/>
      <c r="P1099" s="36"/>
      <c r="Q1099" s="36"/>
      <c r="R1099" s="36"/>
      <c r="S1099" s="36" t="s">
        <v>344</v>
      </c>
      <c r="T1099" s="36" t="s">
        <v>757</v>
      </c>
      <c r="U1099" s="36" t="s">
        <v>415</v>
      </c>
      <c r="V1099" s="29" t="s">
        <v>1473</v>
      </c>
      <c r="W1099" s="79"/>
      <c r="X1099" s="35" t="s">
        <v>636</v>
      </c>
      <c r="Y1099" s="35">
        <v>100</v>
      </c>
      <c r="Z1099" s="31"/>
      <c r="AA1099" s="36" t="s">
        <v>181</v>
      </c>
      <c r="AB1099" s="85" t="s">
        <v>1474</v>
      </c>
      <c r="AC1099" s="31">
        <v>5301250</v>
      </c>
      <c r="AD1099" s="79" t="s">
        <v>419</v>
      </c>
      <c r="AE1099" s="36">
        <v>100</v>
      </c>
      <c r="AF1099" s="36"/>
      <c r="AG1099" s="79">
        <v>1</v>
      </c>
      <c r="AH1099" s="36">
        <v>0</v>
      </c>
      <c r="AL1099" s="35"/>
    </row>
    <row r="1100" s="29" customFormat="1" hidden="1" customHeight="1" spans="1:38">
      <c r="A1100" s="82">
        <v>5303250</v>
      </c>
      <c r="B1100" s="34" t="s">
        <v>756</v>
      </c>
      <c r="C1100" s="31">
        <v>5301250</v>
      </c>
      <c r="D1100" s="79">
        <v>3</v>
      </c>
      <c r="E1100" s="79"/>
      <c r="F1100" s="79" t="s">
        <v>404</v>
      </c>
      <c r="G1100" s="36" t="str">
        <f t="shared" si="275"/>
        <v/>
      </c>
      <c r="H1100" s="36" t="str">
        <f>IFERROR(IF(--MID($F1100,2*COUNTIF($G1100:G1100,"&gt;"&amp;0)+2,1)=H$1,H$1,""),"")</f>
        <v/>
      </c>
      <c r="I1100" s="36" t="str">
        <f>IFERROR(IF(--MID($F1100,2*COUNTIF($G1100:H1100,"&gt;"&amp;0)+2,1)=I$1,I$1,""),"")</f>
        <v/>
      </c>
      <c r="J1100" s="36">
        <f>IFERROR(IF(--MID($F1100,2*COUNTIF($G1100:I1100,"&gt;"&amp;0)+2,1)=J$1,J$1,""),"")</f>
        <v>4</v>
      </c>
      <c r="K1100" s="36" t="str">
        <f>IFERROR(IF(--MID($F1100,2*COUNTIF($G1100:J1100,"&gt;"&amp;0)+2,1)=K$1,K$1,""),"")</f>
        <v/>
      </c>
      <c r="L1100" s="36" t="str">
        <f>IFERROR(IF(--MID($F1100,2*COUNTIF($G1100:K1100,"&gt;"&amp;0)+2,1)=L$1,L$1,""),"")</f>
        <v/>
      </c>
      <c r="M1100" s="36" t="e" cm="1">
        <f t="array" ref="M1100">IF(A1100="","",_xlfn.XLOOKUP(D1100&amp;"_"&amp;AE1100,符文权重!A:A&amp;"_"&amp;符文权重!C:C,符文权重!D:D))</f>
        <v>#N/A</v>
      </c>
      <c r="N1100" s="36"/>
      <c r="O1100" s="36"/>
      <c r="P1100" s="36"/>
      <c r="Q1100" s="36"/>
      <c r="R1100" s="36"/>
      <c r="S1100" s="36" t="s">
        <v>344</v>
      </c>
      <c r="T1100" s="36" t="s">
        <v>757</v>
      </c>
      <c r="U1100" s="36" t="s">
        <v>417</v>
      </c>
      <c r="V1100" s="29" t="s">
        <v>1475</v>
      </c>
      <c r="W1100" s="79"/>
      <c r="X1100" s="35" t="s">
        <v>656</v>
      </c>
      <c r="Y1100" s="35">
        <v>100</v>
      </c>
      <c r="Z1100" s="31"/>
      <c r="AA1100" s="36" t="s">
        <v>183</v>
      </c>
      <c r="AB1100" s="85" t="s">
        <v>1476</v>
      </c>
      <c r="AC1100" s="31">
        <v>5301250</v>
      </c>
      <c r="AD1100" s="79" t="s">
        <v>492</v>
      </c>
      <c r="AE1100" s="36">
        <v>100</v>
      </c>
      <c r="AF1100" s="36"/>
      <c r="AG1100" s="79">
        <v>1</v>
      </c>
      <c r="AH1100" s="36">
        <v>0</v>
      </c>
      <c r="AL1100" s="35"/>
    </row>
    <row r="1101" s="29" customFormat="1" hidden="1" customHeight="1" spans="1:38">
      <c r="A1101" s="82">
        <v>5304250</v>
      </c>
      <c r="B1101" s="34" t="s">
        <v>756</v>
      </c>
      <c r="C1101" s="31">
        <v>5301250</v>
      </c>
      <c r="D1101" s="79">
        <v>4</v>
      </c>
      <c r="E1101" s="79"/>
      <c r="F1101" s="79" t="s">
        <v>404</v>
      </c>
      <c r="G1101" s="36" t="str">
        <f t="shared" si="275"/>
        <v/>
      </c>
      <c r="H1101" s="36" t="str">
        <f>IFERROR(IF(--MID($F1101,2*COUNTIF($G1101:G1101,"&gt;"&amp;0)+2,1)=H$1,H$1,""),"")</f>
        <v/>
      </c>
      <c r="I1101" s="36" t="str">
        <f>IFERROR(IF(--MID($F1101,2*COUNTIF($G1101:H1101,"&gt;"&amp;0)+2,1)=I$1,I$1,""),"")</f>
        <v/>
      </c>
      <c r="J1101" s="36">
        <f>IFERROR(IF(--MID($F1101,2*COUNTIF($G1101:I1101,"&gt;"&amp;0)+2,1)=J$1,J$1,""),"")</f>
        <v>4</v>
      </c>
      <c r="K1101" s="36" t="str">
        <f>IFERROR(IF(--MID($F1101,2*COUNTIF($G1101:J1101,"&gt;"&amp;0)+2,1)=K$1,K$1,""),"")</f>
        <v/>
      </c>
      <c r="L1101" s="36" t="str">
        <f>IFERROR(IF(--MID($F1101,2*COUNTIF($G1101:K1101,"&gt;"&amp;0)+2,1)=L$1,L$1,""),"")</f>
        <v/>
      </c>
      <c r="M1101" s="36" t="e" cm="1">
        <f t="array" ref="M1101">IF(A1101="","",_xlfn.XLOOKUP(D1101&amp;"_"&amp;AE1101,符文权重!A:A&amp;"_"&amp;符文权重!C:C,符文权重!D:D))</f>
        <v>#N/A</v>
      </c>
      <c r="N1101" s="36"/>
      <c r="O1101" s="36"/>
      <c r="P1101" s="36"/>
      <c r="Q1101" s="36"/>
      <c r="R1101" s="36"/>
      <c r="S1101" s="36" t="s">
        <v>344</v>
      </c>
      <c r="T1101" s="36" t="s">
        <v>757</v>
      </c>
      <c r="U1101" s="36" t="s">
        <v>420</v>
      </c>
      <c r="V1101" s="29" t="s">
        <v>766</v>
      </c>
      <c r="W1101" s="79"/>
      <c r="X1101" s="35" t="s">
        <v>659</v>
      </c>
      <c r="Y1101" s="35">
        <v>100</v>
      </c>
      <c r="Z1101" s="31"/>
      <c r="AA1101" s="36" t="s">
        <v>185</v>
      </c>
      <c r="AB1101" s="85" t="s">
        <v>767</v>
      </c>
      <c r="AC1101" s="31">
        <v>5301250</v>
      </c>
      <c r="AD1101" s="79" t="s">
        <v>494</v>
      </c>
      <c r="AE1101" s="36">
        <v>100</v>
      </c>
      <c r="AF1101" s="36"/>
      <c r="AG1101" s="79">
        <v>1</v>
      </c>
      <c r="AH1101" s="36">
        <v>1</v>
      </c>
      <c r="AI1101" s="82"/>
      <c r="AJ1101" s="84"/>
      <c r="AK1101" s="31"/>
      <c r="AL1101" s="35"/>
    </row>
    <row r="1102" s="29" customFormat="1" hidden="1" customHeight="1" spans="1:38">
      <c r="A1102" s="82">
        <v>5305250</v>
      </c>
      <c r="B1102" s="34" t="s">
        <v>756</v>
      </c>
      <c r="C1102" s="31">
        <v>5301250</v>
      </c>
      <c r="D1102" s="79">
        <v>5</v>
      </c>
      <c r="E1102" s="79"/>
      <c r="F1102" s="79" t="s">
        <v>404</v>
      </c>
      <c r="G1102" s="36" t="str">
        <f t="shared" si="275"/>
        <v/>
      </c>
      <c r="H1102" s="36" t="str">
        <f>IFERROR(IF(--MID($F1102,2*COUNTIF($G1102:G1102,"&gt;"&amp;0)+2,1)=H$1,H$1,""),"")</f>
        <v/>
      </c>
      <c r="I1102" s="36" t="str">
        <f>IFERROR(IF(--MID($F1102,2*COUNTIF($G1102:H1102,"&gt;"&amp;0)+2,1)=I$1,I$1,""),"")</f>
        <v/>
      </c>
      <c r="J1102" s="36">
        <f>IFERROR(IF(--MID($F1102,2*COUNTIF($G1102:I1102,"&gt;"&amp;0)+2,1)=J$1,J$1,""),"")</f>
        <v>4</v>
      </c>
      <c r="K1102" s="36" t="str">
        <f>IFERROR(IF(--MID($F1102,2*COUNTIF($G1102:J1102,"&gt;"&amp;0)+2,1)=K$1,K$1,""),"")</f>
        <v/>
      </c>
      <c r="L1102" s="36" t="str">
        <f>IFERROR(IF(--MID($F1102,2*COUNTIF($G1102:K1102,"&gt;"&amp;0)+2,1)=L$1,L$1,""),"")</f>
        <v/>
      </c>
      <c r="M1102" s="36" t="e" cm="1">
        <f t="array" ref="M1102">IF(A1102="","",_xlfn.XLOOKUP(D1102&amp;"_"&amp;AE1102,符文权重!A:A&amp;"_"&amp;符文权重!C:C,符文权重!D:D))</f>
        <v>#N/A</v>
      </c>
      <c r="N1102" s="36"/>
      <c r="O1102" s="36"/>
      <c r="P1102" s="36"/>
      <c r="Q1102" s="36"/>
      <c r="R1102" s="36"/>
      <c r="S1102" s="36" t="s">
        <v>344</v>
      </c>
      <c r="T1102" s="36" t="s">
        <v>757</v>
      </c>
      <c r="U1102" s="36" t="s">
        <v>423</v>
      </c>
      <c r="V1102" s="29" t="s">
        <v>768</v>
      </c>
      <c r="W1102" s="79"/>
      <c r="X1102" s="35" t="s">
        <v>636</v>
      </c>
      <c r="Y1102" s="35">
        <v>100</v>
      </c>
      <c r="Z1102" s="31"/>
      <c r="AA1102" s="36" t="s">
        <v>187</v>
      </c>
      <c r="AB1102" s="85" t="s">
        <v>769</v>
      </c>
      <c r="AC1102" s="31">
        <v>5301250</v>
      </c>
      <c r="AD1102" s="79" t="s">
        <v>431</v>
      </c>
      <c r="AE1102" s="36">
        <v>100</v>
      </c>
      <c r="AF1102" s="36"/>
      <c r="AG1102" s="79">
        <v>1</v>
      </c>
      <c r="AH1102" s="36">
        <v>0</v>
      </c>
      <c r="AI1102" s="82"/>
      <c r="AJ1102" s="84"/>
      <c r="AK1102" s="31"/>
      <c r="AL1102" s="35"/>
    </row>
    <row r="1103" s="29" customFormat="1" hidden="1" customHeight="1" spans="1:38">
      <c r="A1103" s="82">
        <v>5306250</v>
      </c>
      <c r="B1103" s="34" t="s">
        <v>756</v>
      </c>
      <c r="C1103" s="31">
        <v>5301250</v>
      </c>
      <c r="D1103" s="79">
        <v>6</v>
      </c>
      <c r="E1103" s="79"/>
      <c r="F1103" s="79" t="s">
        <v>404</v>
      </c>
      <c r="G1103" s="36" t="str">
        <f t="shared" si="275"/>
        <v/>
      </c>
      <c r="H1103" s="36" t="str">
        <f>IFERROR(IF(--MID($F1103,2*COUNTIF($G1103:G1103,"&gt;"&amp;0)+2,1)=H$1,H$1,""),"")</f>
        <v/>
      </c>
      <c r="I1103" s="36" t="str">
        <f>IFERROR(IF(--MID($F1103,2*COUNTIF($G1103:H1103,"&gt;"&amp;0)+2,1)=I$1,I$1,""),"")</f>
        <v/>
      </c>
      <c r="J1103" s="36">
        <f>IFERROR(IF(--MID($F1103,2*COUNTIF($G1103:I1103,"&gt;"&amp;0)+2,1)=J$1,J$1,""),"")</f>
        <v>4</v>
      </c>
      <c r="K1103" s="36" t="str">
        <f>IFERROR(IF(--MID($F1103,2*COUNTIF($G1103:J1103,"&gt;"&amp;0)+2,1)=K$1,K$1,""),"")</f>
        <v/>
      </c>
      <c r="L1103" s="36" t="str">
        <f>IFERROR(IF(--MID($F1103,2*COUNTIF($G1103:K1103,"&gt;"&amp;0)+2,1)=L$1,L$1,""),"")</f>
        <v/>
      </c>
      <c r="M1103" s="36" t="e" cm="1">
        <f t="array" ref="M1103">IF(A1103="","",_xlfn.XLOOKUP(D1103&amp;"_"&amp;AE1103,符文权重!A:A&amp;"_"&amp;符文权重!C:C,符文权重!D:D))</f>
        <v>#N/A</v>
      </c>
      <c r="N1103" s="36"/>
      <c r="O1103" s="36"/>
      <c r="P1103" s="36"/>
      <c r="Q1103" s="36"/>
      <c r="R1103" s="36"/>
      <c r="S1103" s="36" t="s">
        <v>344</v>
      </c>
      <c r="T1103" s="36" t="s">
        <v>757</v>
      </c>
      <c r="U1103" s="36" t="s">
        <v>426</v>
      </c>
      <c r="V1103" s="29" t="s">
        <v>770</v>
      </c>
      <c r="W1103" s="79"/>
      <c r="X1103" s="35" t="s">
        <v>656</v>
      </c>
      <c r="Y1103" s="35">
        <v>100</v>
      </c>
      <c r="Z1103" s="31"/>
      <c r="AA1103" s="36" t="s">
        <v>189</v>
      </c>
      <c r="AB1103" s="85" t="s">
        <v>771</v>
      </c>
      <c r="AC1103" s="31">
        <v>5301250</v>
      </c>
      <c r="AD1103" s="79" t="s">
        <v>447</v>
      </c>
      <c r="AE1103" s="36">
        <v>100</v>
      </c>
      <c r="AF1103" s="36"/>
      <c r="AG1103" s="79">
        <v>1</v>
      </c>
      <c r="AH1103" s="36">
        <v>0</v>
      </c>
      <c r="AI1103" s="82"/>
      <c r="AJ1103" s="84"/>
      <c r="AK1103" s="31"/>
      <c r="AL1103" s="35"/>
    </row>
    <row r="1104" s="29" customFormat="1" hidden="1" customHeight="1" spans="1:38">
      <c r="A1104" s="82">
        <v>5307250</v>
      </c>
      <c r="B1104" s="34" t="s">
        <v>756</v>
      </c>
      <c r="C1104" s="31">
        <v>5301250</v>
      </c>
      <c r="D1104" s="79">
        <v>7</v>
      </c>
      <c r="E1104" s="79"/>
      <c r="F1104" s="79" t="s">
        <v>404</v>
      </c>
      <c r="G1104" s="36" t="str">
        <f t="shared" si="275"/>
        <v/>
      </c>
      <c r="H1104" s="36" t="str">
        <f>IFERROR(IF(--MID($F1104,2*COUNTIF($G1104:G1104,"&gt;"&amp;0)+2,1)=H$1,H$1,""),"")</f>
        <v/>
      </c>
      <c r="I1104" s="36" t="str">
        <f>IFERROR(IF(--MID($F1104,2*COUNTIF($G1104:H1104,"&gt;"&amp;0)+2,1)=I$1,I$1,""),"")</f>
        <v/>
      </c>
      <c r="J1104" s="36">
        <f>IFERROR(IF(--MID($F1104,2*COUNTIF($G1104:I1104,"&gt;"&amp;0)+2,1)=J$1,J$1,""),"")</f>
        <v>4</v>
      </c>
      <c r="K1104" s="36" t="str">
        <f>IFERROR(IF(--MID($F1104,2*COUNTIF($G1104:J1104,"&gt;"&amp;0)+2,1)=K$1,K$1,""),"")</f>
        <v/>
      </c>
      <c r="L1104" s="36" t="str">
        <f>IFERROR(IF(--MID($F1104,2*COUNTIF($G1104:K1104,"&gt;"&amp;0)+2,1)=L$1,L$1,""),"")</f>
        <v/>
      </c>
      <c r="M1104" s="36" t="e" cm="1">
        <f t="array" ref="M1104">IF(A1104="","",_xlfn.XLOOKUP(D1104&amp;"_"&amp;AE1104,符文权重!A:A&amp;"_"&amp;符文权重!C:C,符文权重!D:D))</f>
        <v>#N/A</v>
      </c>
      <c r="N1104" s="36"/>
      <c r="O1104" s="36"/>
      <c r="P1104" s="36"/>
      <c r="Q1104" s="36"/>
      <c r="R1104" s="36"/>
      <c r="S1104" s="36" t="s">
        <v>344</v>
      </c>
      <c r="T1104" s="36" t="s">
        <v>757</v>
      </c>
      <c r="U1104" s="36" t="s">
        <v>429</v>
      </c>
      <c r="V1104" s="29" t="s">
        <v>772</v>
      </c>
      <c r="W1104" s="79"/>
      <c r="X1104" s="35" t="s">
        <v>659</v>
      </c>
      <c r="Y1104" s="35">
        <v>100</v>
      </c>
      <c r="Z1104" s="31"/>
      <c r="AA1104" s="36" t="s">
        <v>191</v>
      </c>
      <c r="AB1104" s="85" t="s">
        <v>773</v>
      </c>
      <c r="AC1104" s="31">
        <v>5301250</v>
      </c>
      <c r="AD1104" s="79" t="s">
        <v>474</v>
      </c>
      <c r="AE1104" s="36">
        <v>100</v>
      </c>
      <c r="AF1104" s="36"/>
      <c r="AG1104" s="79">
        <v>1</v>
      </c>
      <c r="AH1104" s="36">
        <v>0</v>
      </c>
      <c r="AI1104" s="82"/>
      <c r="AJ1104" s="84"/>
      <c r="AK1104" s="31"/>
      <c r="AL1104" s="35"/>
    </row>
    <row r="1105" s="25" customFormat="1" hidden="1" customHeight="1" spans="1:38">
      <c r="A1105" s="33">
        <v>5302251</v>
      </c>
      <c r="B1105" s="34" t="s">
        <v>756</v>
      </c>
      <c r="C1105" s="35">
        <v>5301251</v>
      </c>
      <c r="D1105" s="36">
        <v>2</v>
      </c>
      <c r="E1105" s="36"/>
      <c r="F1105" s="36" t="s">
        <v>202</v>
      </c>
      <c r="G1105" s="36">
        <f t="shared" si="275"/>
        <v>1</v>
      </c>
      <c r="H1105" s="36" t="str">
        <f>IFERROR(IF(--MID($F1105,2*COUNTIF($G1105:G1105,"&gt;"&amp;0)+2,1)=H$1,H$1,""),"")</f>
        <v/>
      </c>
      <c r="I1105" s="36" t="str">
        <f>IFERROR(IF(--MID($F1105,2*COUNTIF($G1105:H1105,"&gt;"&amp;0)+2,1)=I$1,I$1,""),"")</f>
        <v/>
      </c>
      <c r="J1105" s="36" t="str">
        <f>IFERROR(IF(--MID($F1105,2*COUNTIF($G1105:I1105,"&gt;"&amp;0)+2,1)=J$1,J$1,""),"")</f>
        <v/>
      </c>
      <c r="K1105" s="36" t="str">
        <f>IFERROR(IF(--MID($F1105,2*COUNTIF($G1105:J1105,"&gt;"&amp;0)+2,1)=K$1,K$1,""),"")</f>
        <v/>
      </c>
      <c r="L1105" s="36" t="str">
        <f>IFERROR(IF(--MID($F1105,2*COUNTIF($G1105:K1105,"&gt;"&amp;0)+2,1)=L$1,L$1,""),"")</f>
        <v/>
      </c>
      <c r="M1105" s="36" t="e" cm="1">
        <f t="array" ref="M1105">IF(A1105="","",_xlfn.XLOOKUP(D1105&amp;"_"&amp;AE1105,符文权重!A:A&amp;"_"&amp;符文权重!C:C,符文权重!D:D))</f>
        <v>#N/A</v>
      </c>
      <c r="N1105" s="36"/>
      <c r="O1105" s="36"/>
      <c r="P1105" s="36"/>
      <c r="Q1105" s="36"/>
      <c r="R1105" s="36"/>
      <c r="S1105" s="36" t="s">
        <v>344</v>
      </c>
      <c r="T1105" s="36" t="s">
        <v>757</v>
      </c>
      <c r="U1105" s="36" t="s">
        <v>415</v>
      </c>
      <c r="V1105" s="25" t="s">
        <v>1477</v>
      </c>
      <c r="W1105" s="36" t="s">
        <v>1478</v>
      </c>
      <c r="X1105" s="35" t="s">
        <v>636</v>
      </c>
      <c r="Y1105" s="35">
        <v>100</v>
      </c>
      <c r="Z1105" s="35"/>
      <c r="AA1105" s="36" t="s">
        <v>181</v>
      </c>
      <c r="AB1105" s="85" t="s">
        <v>1479</v>
      </c>
      <c r="AC1105" s="35">
        <v>5301251</v>
      </c>
      <c r="AD1105" s="36" t="s">
        <v>193</v>
      </c>
      <c r="AE1105" s="36">
        <v>100</v>
      </c>
      <c r="AF1105" s="36"/>
      <c r="AG1105" s="79">
        <v>1</v>
      </c>
      <c r="AH1105" s="36">
        <v>0</v>
      </c>
      <c r="AL1105" s="35"/>
    </row>
    <row r="1106" s="25" customFormat="1" hidden="1" customHeight="1" spans="1:38">
      <c r="A1106" s="33">
        <v>5303251</v>
      </c>
      <c r="B1106" s="34" t="s">
        <v>756</v>
      </c>
      <c r="C1106" s="35">
        <v>5301251</v>
      </c>
      <c r="D1106" s="36">
        <v>3</v>
      </c>
      <c r="E1106" s="36"/>
      <c r="F1106" s="36" t="s">
        <v>202</v>
      </c>
      <c r="G1106" s="36">
        <f t="shared" si="275"/>
        <v>1</v>
      </c>
      <c r="H1106" s="36" t="str">
        <f>IFERROR(IF(--MID($F1106,2*COUNTIF($G1106:G1106,"&gt;"&amp;0)+2,1)=H$1,H$1,""),"")</f>
        <v/>
      </c>
      <c r="I1106" s="36" t="str">
        <f>IFERROR(IF(--MID($F1106,2*COUNTIF($G1106:H1106,"&gt;"&amp;0)+2,1)=I$1,I$1,""),"")</f>
        <v/>
      </c>
      <c r="J1106" s="36" t="str">
        <f>IFERROR(IF(--MID($F1106,2*COUNTIF($G1106:I1106,"&gt;"&amp;0)+2,1)=J$1,J$1,""),"")</f>
        <v/>
      </c>
      <c r="K1106" s="36" t="str">
        <f>IFERROR(IF(--MID($F1106,2*COUNTIF($G1106:J1106,"&gt;"&amp;0)+2,1)=K$1,K$1,""),"")</f>
        <v/>
      </c>
      <c r="L1106" s="36" t="str">
        <f>IFERROR(IF(--MID($F1106,2*COUNTIF($G1106:K1106,"&gt;"&amp;0)+2,1)=L$1,L$1,""),"")</f>
        <v/>
      </c>
      <c r="M1106" s="36" t="e" cm="1">
        <f t="array" ref="M1106">IF(A1106="","",_xlfn.XLOOKUP(D1106&amp;"_"&amp;AE1106,符文权重!A:A&amp;"_"&amp;符文权重!C:C,符文权重!D:D))</f>
        <v>#N/A</v>
      </c>
      <c r="N1106" s="36"/>
      <c r="O1106" s="36"/>
      <c r="P1106" s="36"/>
      <c r="Q1106" s="36"/>
      <c r="R1106" s="36"/>
      <c r="S1106" s="36" t="s">
        <v>344</v>
      </c>
      <c r="T1106" s="36" t="s">
        <v>757</v>
      </c>
      <c r="U1106" s="36" t="s">
        <v>417</v>
      </c>
      <c r="V1106" s="25" t="s">
        <v>1480</v>
      </c>
      <c r="W1106" s="36" t="s">
        <v>575</v>
      </c>
      <c r="X1106" s="35" t="s">
        <v>656</v>
      </c>
      <c r="Y1106" s="35">
        <v>100</v>
      </c>
      <c r="Z1106" s="35"/>
      <c r="AA1106" s="36" t="s">
        <v>183</v>
      </c>
      <c r="AB1106" s="85" t="s">
        <v>1481</v>
      </c>
      <c r="AC1106" s="35">
        <v>5301251</v>
      </c>
      <c r="AD1106" s="36" t="s">
        <v>230</v>
      </c>
      <c r="AE1106" s="36">
        <v>100</v>
      </c>
      <c r="AF1106" s="36"/>
      <c r="AG1106" s="79">
        <v>1</v>
      </c>
      <c r="AH1106" s="36">
        <v>0</v>
      </c>
      <c r="AL1106" s="35"/>
    </row>
    <row r="1107" s="25" customFormat="1" hidden="1" customHeight="1" spans="1:38">
      <c r="A1107" s="33">
        <v>5304251</v>
      </c>
      <c r="B1107" s="34" t="s">
        <v>756</v>
      </c>
      <c r="C1107" s="35">
        <v>5301251</v>
      </c>
      <c r="D1107" s="36">
        <v>4</v>
      </c>
      <c r="E1107" s="36"/>
      <c r="F1107" s="36" t="s">
        <v>202</v>
      </c>
      <c r="G1107" s="36">
        <f t="shared" si="275"/>
        <v>1</v>
      </c>
      <c r="H1107" s="36" t="str">
        <f>IFERROR(IF(--MID($F1107,2*COUNTIF($G1107:G1107,"&gt;"&amp;0)+2,1)=H$1,H$1,""),"")</f>
        <v/>
      </c>
      <c r="I1107" s="36" t="str">
        <f>IFERROR(IF(--MID($F1107,2*COUNTIF($G1107:H1107,"&gt;"&amp;0)+2,1)=I$1,I$1,""),"")</f>
        <v/>
      </c>
      <c r="J1107" s="36" t="str">
        <f>IFERROR(IF(--MID($F1107,2*COUNTIF($G1107:I1107,"&gt;"&amp;0)+2,1)=J$1,J$1,""),"")</f>
        <v/>
      </c>
      <c r="K1107" s="36" t="str">
        <f>IFERROR(IF(--MID($F1107,2*COUNTIF($G1107:J1107,"&gt;"&amp;0)+2,1)=K$1,K$1,""),"")</f>
        <v/>
      </c>
      <c r="L1107" s="36" t="str">
        <f>IFERROR(IF(--MID($F1107,2*COUNTIF($G1107:K1107,"&gt;"&amp;0)+2,1)=L$1,L$1,""),"")</f>
        <v/>
      </c>
      <c r="M1107" s="36" t="e" cm="1">
        <f t="array" ref="M1107">IF(A1107="","",_xlfn.XLOOKUP(D1107&amp;"_"&amp;AE1107,符文权重!A:A&amp;"_"&amp;符文权重!C:C,符文权重!D:D))</f>
        <v>#N/A</v>
      </c>
      <c r="N1107" s="36"/>
      <c r="O1107" s="36"/>
      <c r="P1107" s="36"/>
      <c r="Q1107" s="36"/>
      <c r="R1107" s="36"/>
      <c r="S1107" s="36" t="s">
        <v>344</v>
      </c>
      <c r="T1107" s="36" t="s">
        <v>757</v>
      </c>
      <c r="U1107" s="36" t="s">
        <v>420</v>
      </c>
      <c r="V1107" s="25" t="s">
        <v>774</v>
      </c>
      <c r="W1107" s="36" t="s">
        <v>775</v>
      </c>
      <c r="X1107" s="35" t="s">
        <v>659</v>
      </c>
      <c r="Y1107" s="35">
        <v>100</v>
      </c>
      <c r="Z1107" s="35"/>
      <c r="AA1107" s="36" t="s">
        <v>185</v>
      </c>
      <c r="AB1107" s="85" t="s">
        <v>776</v>
      </c>
      <c r="AC1107" s="35">
        <v>5301251</v>
      </c>
      <c r="AD1107" s="36" t="s">
        <v>419</v>
      </c>
      <c r="AE1107" s="36">
        <v>100</v>
      </c>
      <c r="AF1107" s="36"/>
      <c r="AG1107" s="79">
        <v>1</v>
      </c>
      <c r="AH1107" s="36">
        <v>1</v>
      </c>
      <c r="AI1107" s="33"/>
      <c r="AJ1107" s="37"/>
      <c r="AK1107" s="35"/>
      <c r="AL1107" s="35"/>
    </row>
    <row r="1108" s="25" customFormat="1" hidden="1" customHeight="1" spans="1:38">
      <c r="A1108" s="33">
        <v>5305251</v>
      </c>
      <c r="B1108" s="34" t="s">
        <v>756</v>
      </c>
      <c r="C1108" s="35">
        <v>5301251</v>
      </c>
      <c r="D1108" s="36">
        <v>5</v>
      </c>
      <c r="E1108" s="36"/>
      <c r="F1108" s="36" t="s">
        <v>202</v>
      </c>
      <c r="G1108" s="36">
        <f t="shared" ref="G1108:G1171" si="276">IF(LEFT(F1108,2)="[1",1,"")</f>
        <v>1</v>
      </c>
      <c r="H1108" s="36" t="str">
        <f>IFERROR(IF(--MID($F1108,2*COUNTIF($G1108:G1108,"&gt;"&amp;0)+2,1)=H$1,H$1,""),"")</f>
        <v/>
      </c>
      <c r="I1108" s="36" t="str">
        <f>IFERROR(IF(--MID($F1108,2*COUNTIF($G1108:H1108,"&gt;"&amp;0)+2,1)=I$1,I$1,""),"")</f>
        <v/>
      </c>
      <c r="J1108" s="36" t="str">
        <f>IFERROR(IF(--MID($F1108,2*COUNTIF($G1108:I1108,"&gt;"&amp;0)+2,1)=J$1,J$1,""),"")</f>
        <v/>
      </c>
      <c r="K1108" s="36" t="str">
        <f>IFERROR(IF(--MID($F1108,2*COUNTIF($G1108:J1108,"&gt;"&amp;0)+2,1)=K$1,K$1,""),"")</f>
        <v/>
      </c>
      <c r="L1108" s="36" t="str">
        <f>IFERROR(IF(--MID($F1108,2*COUNTIF($G1108:K1108,"&gt;"&amp;0)+2,1)=L$1,L$1,""),"")</f>
        <v/>
      </c>
      <c r="M1108" s="36" t="e" cm="1">
        <f t="array" ref="M1108">IF(A1108="","",_xlfn.XLOOKUP(D1108&amp;"_"&amp;AE1108,符文权重!A:A&amp;"_"&amp;符文权重!C:C,符文权重!D:D))</f>
        <v>#N/A</v>
      </c>
      <c r="N1108" s="36"/>
      <c r="O1108" s="36"/>
      <c r="P1108" s="36"/>
      <c r="Q1108" s="36"/>
      <c r="R1108" s="36"/>
      <c r="S1108" s="36" t="s">
        <v>344</v>
      </c>
      <c r="T1108" s="36" t="s">
        <v>757</v>
      </c>
      <c r="U1108" s="36" t="s">
        <v>423</v>
      </c>
      <c r="V1108" s="25" t="s">
        <v>777</v>
      </c>
      <c r="W1108" s="36" t="s">
        <v>443</v>
      </c>
      <c r="X1108" s="35" t="s">
        <v>636</v>
      </c>
      <c r="Y1108" s="35">
        <v>100</v>
      </c>
      <c r="Z1108" s="35"/>
      <c r="AA1108" s="36" t="s">
        <v>187</v>
      </c>
      <c r="AB1108" s="85" t="s">
        <v>778</v>
      </c>
      <c r="AC1108" s="35">
        <v>5301251</v>
      </c>
      <c r="AD1108" s="36" t="s">
        <v>425</v>
      </c>
      <c r="AE1108" s="36">
        <v>100</v>
      </c>
      <c r="AF1108" s="36"/>
      <c r="AG1108" s="79">
        <v>1</v>
      </c>
      <c r="AH1108" s="36">
        <v>0</v>
      </c>
      <c r="AI1108" s="33"/>
      <c r="AJ1108" s="37"/>
      <c r="AK1108" s="35"/>
      <c r="AL1108" s="35"/>
    </row>
    <row r="1109" s="25" customFormat="1" hidden="1" customHeight="1" spans="1:38">
      <c r="A1109" s="33">
        <v>5306251</v>
      </c>
      <c r="B1109" s="34" t="s">
        <v>756</v>
      </c>
      <c r="C1109" s="35">
        <v>5301251</v>
      </c>
      <c r="D1109" s="36">
        <v>6</v>
      </c>
      <c r="E1109" s="36"/>
      <c r="F1109" s="36" t="s">
        <v>202</v>
      </c>
      <c r="G1109" s="36">
        <f t="shared" si="276"/>
        <v>1</v>
      </c>
      <c r="H1109" s="36" t="str">
        <f>IFERROR(IF(--MID($F1109,2*COUNTIF($G1109:G1109,"&gt;"&amp;0)+2,1)=H$1,H$1,""),"")</f>
        <v/>
      </c>
      <c r="I1109" s="36" t="str">
        <f>IFERROR(IF(--MID($F1109,2*COUNTIF($G1109:H1109,"&gt;"&amp;0)+2,1)=I$1,I$1,""),"")</f>
        <v/>
      </c>
      <c r="J1109" s="36" t="str">
        <f>IFERROR(IF(--MID($F1109,2*COUNTIF($G1109:I1109,"&gt;"&amp;0)+2,1)=J$1,J$1,""),"")</f>
        <v/>
      </c>
      <c r="K1109" s="36" t="str">
        <f>IFERROR(IF(--MID($F1109,2*COUNTIF($G1109:J1109,"&gt;"&amp;0)+2,1)=K$1,K$1,""),"")</f>
        <v/>
      </c>
      <c r="L1109" s="36" t="str">
        <f>IFERROR(IF(--MID($F1109,2*COUNTIF($G1109:K1109,"&gt;"&amp;0)+2,1)=L$1,L$1,""),"")</f>
        <v/>
      </c>
      <c r="M1109" s="36" t="e" cm="1">
        <f t="array" ref="M1109">IF(A1109="","",_xlfn.XLOOKUP(D1109&amp;"_"&amp;AE1109,符文权重!A:A&amp;"_"&amp;符文权重!C:C,符文权重!D:D))</f>
        <v>#N/A</v>
      </c>
      <c r="N1109" s="36"/>
      <c r="O1109" s="36"/>
      <c r="P1109" s="36"/>
      <c r="Q1109" s="36"/>
      <c r="R1109" s="36"/>
      <c r="S1109" s="36" t="s">
        <v>344</v>
      </c>
      <c r="T1109" s="36" t="s">
        <v>757</v>
      </c>
      <c r="U1109" s="36" t="s">
        <v>426</v>
      </c>
      <c r="V1109" s="25" t="s">
        <v>779</v>
      </c>
      <c r="W1109" s="36" t="s">
        <v>780</v>
      </c>
      <c r="X1109" s="35" t="s">
        <v>656</v>
      </c>
      <c r="Y1109" s="35">
        <v>100</v>
      </c>
      <c r="Z1109" s="35"/>
      <c r="AA1109" s="36" t="s">
        <v>189</v>
      </c>
      <c r="AB1109" s="85" t="s">
        <v>781</v>
      </c>
      <c r="AC1109" s="35">
        <v>5301251</v>
      </c>
      <c r="AD1109" s="36" t="s">
        <v>487</v>
      </c>
      <c r="AE1109" s="36">
        <v>100</v>
      </c>
      <c r="AF1109" s="36"/>
      <c r="AG1109" s="79">
        <v>1</v>
      </c>
      <c r="AH1109" s="36">
        <v>0</v>
      </c>
      <c r="AI1109" s="33"/>
      <c r="AJ1109" s="37"/>
      <c r="AK1109" s="35"/>
      <c r="AL1109" s="35"/>
    </row>
    <row r="1110" s="25" customFormat="1" hidden="1" customHeight="1" spans="1:38">
      <c r="A1110" s="33">
        <v>5307251</v>
      </c>
      <c r="B1110" s="34" t="s">
        <v>756</v>
      </c>
      <c r="C1110" s="35">
        <v>5301251</v>
      </c>
      <c r="D1110" s="36">
        <v>7</v>
      </c>
      <c r="E1110" s="36"/>
      <c r="F1110" s="36" t="s">
        <v>202</v>
      </c>
      <c r="G1110" s="36">
        <f t="shared" si="276"/>
        <v>1</v>
      </c>
      <c r="H1110" s="36" t="str">
        <f>IFERROR(IF(--MID($F1110,2*COUNTIF($G1110:G1110,"&gt;"&amp;0)+2,1)=H$1,H$1,""),"")</f>
        <v/>
      </c>
      <c r="I1110" s="36" t="str">
        <f>IFERROR(IF(--MID($F1110,2*COUNTIF($G1110:H1110,"&gt;"&amp;0)+2,1)=I$1,I$1,""),"")</f>
        <v/>
      </c>
      <c r="J1110" s="36" t="str">
        <f>IFERROR(IF(--MID($F1110,2*COUNTIF($G1110:I1110,"&gt;"&amp;0)+2,1)=J$1,J$1,""),"")</f>
        <v/>
      </c>
      <c r="K1110" s="36" t="str">
        <f>IFERROR(IF(--MID($F1110,2*COUNTIF($G1110:J1110,"&gt;"&amp;0)+2,1)=K$1,K$1,""),"")</f>
        <v/>
      </c>
      <c r="L1110" s="36" t="str">
        <f>IFERROR(IF(--MID($F1110,2*COUNTIF($G1110:K1110,"&gt;"&amp;0)+2,1)=L$1,L$1,""),"")</f>
        <v/>
      </c>
      <c r="M1110" s="36" t="e" cm="1">
        <f t="array" ref="M1110">IF(A1110="","",_xlfn.XLOOKUP(D1110&amp;"_"&amp;AE1110,符文权重!A:A&amp;"_"&amp;符文权重!C:C,符文权重!D:D))</f>
        <v>#N/A</v>
      </c>
      <c r="N1110" s="36"/>
      <c r="O1110" s="36"/>
      <c r="P1110" s="36"/>
      <c r="Q1110" s="36"/>
      <c r="R1110" s="36"/>
      <c r="S1110" s="36" t="s">
        <v>344</v>
      </c>
      <c r="T1110" s="36" t="s">
        <v>757</v>
      </c>
      <c r="U1110" s="36" t="s">
        <v>429</v>
      </c>
      <c r="V1110" s="25" t="s">
        <v>782</v>
      </c>
      <c r="W1110" s="36" t="s">
        <v>783</v>
      </c>
      <c r="X1110" s="35" t="s">
        <v>659</v>
      </c>
      <c r="Y1110" s="35">
        <v>100</v>
      </c>
      <c r="Z1110" s="35"/>
      <c r="AA1110" s="36" t="s">
        <v>191</v>
      </c>
      <c r="AB1110" s="85" t="s">
        <v>784</v>
      </c>
      <c r="AC1110" s="35">
        <v>5301251</v>
      </c>
      <c r="AD1110" s="36" t="s">
        <v>474</v>
      </c>
      <c r="AE1110" s="36">
        <v>100</v>
      </c>
      <c r="AF1110" s="36"/>
      <c r="AG1110" s="79">
        <v>1</v>
      </c>
      <c r="AH1110" s="36">
        <v>0</v>
      </c>
      <c r="AI1110" s="33"/>
      <c r="AJ1110" s="37"/>
      <c r="AK1110" s="35"/>
      <c r="AL1110" s="35"/>
    </row>
    <row r="1111" s="30" customFormat="1" hidden="1" customHeight="1" spans="1:38">
      <c r="A1111" s="86">
        <v>5304253</v>
      </c>
      <c r="B1111" s="87" t="s">
        <v>785</v>
      </c>
      <c r="C1111" s="32">
        <v>5301253</v>
      </c>
      <c r="D1111" s="81">
        <v>4</v>
      </c>
      <c r="E1111" s="81"/>
      <c r="F1111" s="81" t="s">
        <v>202</v>
      </c>
      <c r="G1111" s="36">
        <f t="shared" si="276"/>
        <v>1</v>
      </c>
      <c r="H1111" s="36" t="str">
        <f>IFERROR(IF(--MID($F1111,2*COUNTIF($G1111:G1111,"&gt;"&amp;0)+2,1)=H$1,H$1,""),"")</f>
        <v/>
      </c>
      <c r="I1111" s="36" t="str">
        <f>IFERROR(IF(--MID($F1111,2*COUNTIF($G1111:H1111,"&gt;"&amp;0)+2,1)=I$1,I$1,""),"")</f>
        <v/>
      </c>
      <c r="J1111" s="36" t="str">
        <f>IFERROR(IF(--MID($F1111,2*COUNTIF($G1111:I1111,"&gt;"&amp;0)+2,1)=J$1,J$1,""),"")</f>
        <v/>
      </c>
      <c r="K1111" s="36" t="str">
        <f>IFERROR(IF(--MID($F1111,2*COUNTIF($G1111:J1111,"&gt;"&amp;0)+2,1)=K$1,K$1,""),"")</f>
        <v/>
      </c>
      <c r="L1111" s="36" t="str">
        <f>IFERROR(IF(--MID($F1111,2*COUNTIF($G1111:K1111,"&gt;"&amp;0)+2,1)=L$1,L$1,""),"")</f>
        <v/>
      </c>
      <c r="M1111" s="36" t="e" cm="1">
        <f t="array" ref="M1111">IF(A1111="","",_xlfn.XLOOKUP(D1111&amp;"_"&amp;AE1111,符文权重!A:A&amp;"_"&amp;符文权重!C:C,符文权重!D:D))</f>
        <v>#N/A</v>
      </c>
      <c r="N1111" s="36"/>
      <c r="O1111" s="36"/>
      <c r="P1111" s="36"/>
      <c r="Q1111" s="36"/>
      <c r="R1111" s="36"/>
      <c r="S1111" s="81" t="s">
        <v>344</v>
      </c>
      <c r="T1111" s="81" t="s">
        <v>786</v>
      </c>
      <c r="U1111" s="81" t="s">
        <v>420</v>
      </c>
      <c r="V1111" s="30" t="s">
        <v>787</v>
      </c>
      <c r="W1111" s="81"/>
      <c r="X1111" s="32" t="s">
        <v>595</v>
      </c>
      <c r="Y1111" s="35">
        <v>100</v>
      </c>
      <c r="Z1111" s="32"/>
      <c r="AA1111" s="36" t="s">
        <v>185</v>
      </c>
      <c r="AB1111" s="81" t="s">
        <v>788</v>
      </c>
      <c r="AC1111" s="32">
        <v>5301253</v>
      </c>
      <c r="AD1111" s="81" t="s">
        <v>487</v>
      </c>
      <c r="AE1111" s="36">
        <v>100</v>
      </c>
      <c r="AF1111" s="81"/>
      <c r="AG1111" s="79">
        <v>1</v>
      </c>
      <c r="AH1111" s="81">
        <v>1</v>
      </c>
      <c r="AI1111" s="86"/>
      <c r="AJ1111" s="88"/>
      <c r="AK1111" s="32"/>
      <c r="AL1111" s="35"/>
    </row>
    <row r="1112" s="30" customFormat="1" hidden="1" customHeight="1" spans="1:38">
      <c r="A1112" s="86">
        <v>5305253</v>
      </c>
      <c r="B1112" s="87" t="s">
        <v>785</v>
      </c>
      <c r="C1112" s="32">
        <v>5301253</v>
      </c>
      <c r="D1112" s="81">
        <v>5</v>
      </c>
      <c r="E1112" s="81"/>
      <c r="F1112" s="81" t="s">
        <v>202</v>
      </c>
      <c r="G1112" s="36">
        <f t="shared" si="276"/>
        <v>1</v>
      </c>
      <c r="H1112" s="36" t="str">
        <f>IFERROR(IF(--MID($F1112,2*COUNTIF($G1112:G1112,"&gt;"&amp;0)+2,1)=H$1,H$1,""),"")</f>
        <v/>
      </c>
      <c r="I1112" s="36" t="str">
        <f>IFERROR(IF(--MID($F1112,2*COUNTIF($G1112:H1112,"&gt;"&amp;0)+2,1)=I$1,I$1,""),"")</f>
        <v/>
      </c>
      <c r="J1112" s="36" t="str">
        <f>IFERROR(IF(--MID($F1112,2*COUNTIF($G1112:I1112,"&gt;"&amp;0)+2,1)=J$1,J$1,""),"")</f>
        <v/>
      </c>
      <c r="K1112" s="36" t="str">
        <f>IFERROR(IF(--MID($F1112,2*COUNTIF($G1112:J1112,"&gt;"&amp;0)+2,1)=K$1,K$1,""),"")</f>
        <v/>
      </c>
      <c r="L1112" s="36" t="str">
        <f>IFERROR(IF(--MID($F1112,2*COUNTIF($G1112:K1112,"&gt;"&amp;0)+2,1)=L$1,L$1,""),"")</f>
        <v/>
      </c>
      <c r="M1112" s="36" t="e" cm="1">
        <f t="array" ref="M1112">IF(A1112="","",_xlfn.XLOOKUP(D1112&amp;"_"&amp;AE1112,符文权重!A:A&amp;"_"&amp;符文权重!C:C,符文权重!D:D))</f>
        <v>#N/A</v>
      </c>
      <c r="N1112" s="36"/>
      <c r="O1112" s="36"/>
      <c r="P1112" s="36"/>
      <c r="Q1112" s="36"/>
      <c r="R1112" s="36"/>
      <c r="S1112" s="81" t="s">
        <v>344</v>
      </c>
      <c r="T1112" s="81" t="s">
        <v>786</v>
      </c>
      <c r="U1112" s="81" t="s">
        <v>423</v>
      </c>
      <c r="V1112" s="30" t="s">
        <v>789</v>
      </c>
      <c r="W1112" s="81"/>
      <c r="X1112" s="32" t="s">
        <v>790</v>
      </c>
      <c r="Y1112" s="35">
        <v>100</v>
      </c>
      <c r="Z1112" s="32"/>
      <c r="AA1112" s="36" t="s">
        <v>187</v>
      </c>
      <c r="AB1112" s="81" t="s">
        <v>791</v>
      </c>
      <c r="AC1112" s="32">
        <v>5301253</v>
      </c>
      <c r="AD1112" s="81" t="s">
        <v>497</v>
      </c>
      <c r="AE1112" s="36">
        <v>100</v>
      </c>
      <c r="AF1112" s="81"/>
      <c r="AG1112" s="79">
        <v>1</v>
      </c>
      <c r="AH1112" s="81">
        <v>0</v>
      </c>
      <c r="AI1112" s="86"/>
      <c r="AJ1112" s="88"/>
      <c r="AK1112" s="32"/>
      <c r="AL1112" s="35"/>
    </row>
    <row r="1113" s="30" customFormat="1" hidden="1" customHeight="1" spans="1:38">
      <c r="A1113" s="86">
        <v>5306253</v>
      </c>
      <c r="B1113" s="87" t="s">
        <v>785</v>
      </c>
      <c r="C1113" s="32">
        <v>5301253</v>
      </c>
      <c r="D1113" s="81">
        <v>6</v>
      </c>
      <c r="E1113" s="81"/>
      <c r="F1113" s="81" t="s">
        <v>202</v>
      </c>
      <c r="G1113" s="36">
        <f t="shared" si="276"/>
        <v>1</v>
      </c>
      <c r="H1113" s="36" t="str">
        <f>IFERROR(IF(--MID($F1113,2*COUNTIF($G1113:G1113,"&gt;"&amp;0)+2,1)=H$1,H$1,""),"")</f>
        <v/>
      </c>
      <c r="I1113" s="36" t="str">
        <f>IFERROR(IF(--MID($F1113,2*COUNTIF($G1113:H1113,"&gt;"&amp;0)+2,1)=I$1,I$1,""),"")</f>
        <v/>
      </c>
      <c r="J1113" s="36" t="str">
        <f>IFERROR(IF(--MID($F1113,2*COUNTIF($G1113:I1113,"&gt;"&amp;0)+2,1)=J$1,J$1,""),"")</f>
        <v/>
      </c>
      <c r="K1113" s="36" t="str">
        <f>IFERROR(IF(--MID($F1113,2*COUNTIF($G1113:J1113,"&gt;"&amp;0)+2,1)=K$1,K$1,""),"")</f>
        <v/>
      </c>
      <c r="L1113" s="36" t="str">
        <f>IFERROR(IF(--MID($F1113,2*COUNTIF($G1113:K1113,"&gt;"&amp;0)+2,1)=L$1,L$1,""),"")</f>
        <v/>
      </c>
      <c r="M1113" s="36" t="e" cm="1">
        <f t="array" ref="M1113">IF(A1113="","",_xlfn.XLOOKUP(D1113&amp;"_"&amp;AE1113,符文权重!A:A&amp;"_"&amp;符文权重!C:C,符文权重!D:D))</f>
        <v>#N/A</v>
      </c>
      <c r="N1113" s="36"/>
      <c r="O1113" s="36"/>
      <c r="P1113" s="36"/>
      <c r="Q1113" s="36"/>
      <c r="R1113" s="36"/>
      <c r="S1113" s="81" t="s">
        <v>344</v>
      </c>
      <c r="T1113" s="81" t="s">
        <v>786</v>
      </c>
      <c r="U1113" s="81" t="s">
        <v>426</v>
      </c>
      <c r="V1113" s="30" t="s">
        <v>792</v>
      </c>
      <c r="W1113" s="81"/>
      <c r="X1113" s="32" t="s">
        <v>656</v>
      </c>
      <c r="Y1113" s="35">
        <v>100</v>
      </c>
      <c r="Z1113" s="32"/>
      <c r="AA1113" s="36" t="s">
        <v>189</v>
      </c>
      <c r="AB1113" s="81" t="s">
        <v>793</v>
      </c>
      <c r="AC1113" s="32">
        <v>5301253</v>
      </c>
      <c r="AD1113" s="81" t="s">
        <v>596</v>
      </c>
      <c r="AE1113" s="36">
        <v>100</v>
      </c>
      <c r="AF1113" s="81"/>
      <c r="AG1113" s="79">
        <v>1</v>
      </c>
      <c r="AH1113" s="81">
        <v>0</v>
      </c>
      <c r="AI1113" s="86"/>
      <c r="AJ1113" s="88"/>
      <c r="AK1113" s="32"/>
      <c r="AL1113" s="35"/>
    </row>
    <row r="1114" s="30" customFormat="1" hidden="1" customHeight="1" spans="1:38">
      <c r="A1114" s="86">
        <v>5307253</v>
      </c>
      <c r="B1114" s="87" t="s">
        <v>785</v>
      </c>
      <c r="C1114" s="32">
        <v>5301253</v>
      </c>
      <c r="D1114" s="81">
        <v>7</v>
      </c>
      <c r="E1114" s="81"/>
      <c r="F1114" s="81" t="s">
        <v>202</v>
      </c>
      <c r="G1114" s="36">
        <f t="shared" si="276"/>
        <v>1</v>
      </c>
      <c r="H1114" s="36" t="str">
        <f>IFERROR(IF(--MID($F1114,2*COUNTIF($G1114:G1114,"&gt;"&amp;0)+2,1)=H$1,H$1,""),"")</f>
        <v/>
      </c>
      <c r="I1114" s="36" t="str">
        <f>IFERROR(IF(--MID($F1114,2*COUNTIF($G1114:H1114,"&gt;"&amp;0)+2,1)=I$1,I$1,""),"")</f>
        <v/>
      </c>
      <c r="J1114" s="36" t="str">
        <f>IFERROR(IF(--MID($F1114,2*COUNTIF($G1114:I1114,"&gt;"&amp;0)+2,1)=J$1,J$1,""),"")</f>
        <v/>
      </c>
      <c r="K1114" s="36" t="str">
        <f>IFERROR(IF(--MID($F1114,2*COUNTIF($G1114:J1114,"&gt;"&amp;0)+2,1)=K$1,K$1,""),"")</f>
        <v/>
      </c>
      <c r="L1114" s="36" t="str">
        <f>IFERROR(IF(--MID($F1114,2*COUNTIF($G1114:K1114,"&gt;"&amp;0)+2,1)=L$1,L$1,""),"")</f>
        <v/>
      </c>
      <c r="M1114" s="36" t="e" cm="1">
        <f t="array" ref="M1114">IF(A1114="","",_xlfn.XLOOKUP(D1114&amp;"_"&amp;AE1114,符文权重!A:A&amp;"_"&amp;符文权重!C:C,符文权重!D:D))</f>
        <v>#N/A</v>
      </c>
      <c r="N1114" s="36"/>
      <c r="O1114" s="36"/>
      <c r="P1114" s="36"/>
      <c r="Q1114" s="36"/>
      <c r="R1114" s="36"/>
      <c r="S1114" s="81" t="s">
        <v>344</v>
      </c>
      <c r="T1114" s="81" t="s">
        <v>786</v>
      </c>
      <c r="U1114" s="81" t="s">
        <v>429</v>
      </c>
      <c r="V1114" s="30" t="s">
        <v>794</v>
      </c>
      <c r="W1114" s="81"/>
      <c r="X1114" s="32" t="s">
        <v>795</v>
      </c>
      <c r="Y1114" s="35">
        <v>100</v>
      </c>
      <c r="Z1114" s="32"/>
      <c r="AA1114" s="36" t="s">
        <v>191</v>
      </c>
      <c r="AB1114" s="81" t="s">
        <v>796</v>
      </c>
      <c r="AC1114" s="32">
        <v>5301253</v>
      </c>
      <c r="AD1114" s="81" t="s">
        <v>476</v>
      </c>
      <c r="AE1114" s="36">
        <v>100</v>
      </c>
      <c r="AF1114" s="81"/>
      <c r="AG1114" s="79">
        <v>1</v>
      </c>
      <c r="AH1114" s="81">
        <v>0</v>
      </c>
      <c r="AI1114" s="86"/>
      <c r="AJ1114" s="88"/>
      <c r="AK1114" s="32"/>
      <c r="AL1114" s="35"/>
    </row>
    <row r="1115" s="30" customFormat="1" hidden="1" customHeight="1" spans="1:38">
      <c r="A1115" s="86">
        <v>5304254</v>
      </c>
      <c r="B1115" s="87" t="s">
        <v>785</v>
      </c>
      <c r="C1115" s="32">
        <v>5301254</v>
      </c>
      <c r="D1115" s="81">
        <v>4</v>
      </c>
      <c r="E1115" s="81"/>
      <c r="F1115" s="81" t="s">
        <v>211</v>
      </c>
      <c r="G1115" s="36" t="str">
        <f t="shared" si="276"/>
        <v/>
      </c>
      <c r="H1115" s="36">
        <f>IFERROR(IF(--MID($F1115,2*COUNTIF($G1115:G1115,"&gt;"&amp;0)+2,1)=H$1,H$1,""),"")</f>
        <v>2</v>
      </c>
      <c r="I1115" s="36" t="str">
        <f>IFERROR(IF(--MID($F1115,2*COUNTIF($G1115:H1115,"&gt;"&amp;0)+2,1)=I$1,I$1,""),"")</f>
        <v/>
      </c>
      <c r="J1115" s="36" t="str">
        <f>IFERROR(IF(--MID($F1115,2*COUNTIF($G1115:I1115,"&gt;"&amp;0)+2,1)=J$1,J$1,""),"")</f>
        <v/>
      </c>
      <c r="K1115" s="36" t="str">
        <f>IFERROR(IF(--MID($F1115,2*COUNTIF($G1115:J1115,"&gt;"&amp;0)+2,1)=K$1,K$1,""),"")</f>
        <v/>
      </c>
      <c r="L1115" s="36" t="str">
        <f>IFERROR(IF(--MID($F1115,2*COUNTIF($G1115:K1115,"&gt;"&amp;0)+2,1)=L$1,L$1,""),"")</f>
        <v/>
      </c>
      <c r="M1115" s="36" t="e" cm="1">
        <f t="array" ref="M1115">IF(A1115="","",_xlfn.XLOOKUP(D1115&amp;"_"&amp;AE1115,符文权重!A:A&amp;"_"&amp;符文权重!C:C,符文权重!D:D))</f>
        <v>#N/A</v>
      </c>
      <c r="N1115" s="36"/>
      <c r="O1115" s="36"/>
      <c r="P1115" s="36"/>
      <c r="Q1115" s="36"/>
      <c r="R1115" s="36"/>
      <c r="S1115" s="81" t="s">
        <v>344</v>
      </c>
      <c r="T1115" s="81" t="s">
        <v>786</v>
      </c>
      <c r="U1115" s="81" t="s">
        <v>420</v>
      </c>
      <c r="V1115" s="30" t="s">
        <v>797</v>
      </c>
      <c r="W1115" s="81"/>
      <c r="X1115" s="32" t="s">
        <v>595</v>
      </c>
      <c r="Y1115" s="35">
        <v>100</v>
      </c>
      <c r="Z1115" s="32"/>
      <c r="AA1115" s="36" t="s">
        <v>185</v>
      </c>
      <c r="AB1115" s="85" t="s">
        <v>798</v>
      </c>
      <c r="AC1115" s="32">
        <v>53012541</v>
      </c>
      <c r="AD1115" s="81" t="s">
        <v>211</v>
      </c>
      <c r="AE1115" s="36">
        <v>100</v>
      </c>
      <c r="AF1115" s="81"/>
      <c r="AG1115" s="79">
        <v>1</v>
      </c>
      <c r="AH1115" s="81">
        <v>1</v>
      </c>
      <c r="AI1115" s="86"/>
      <c r="AJ1115" s="88"/>
      <c r="AK1115" s="32"/>
      <c r="AL1115" s="35"/>
    </row>
    <row r="1116" s="30" customFormat="1" hidden="1" customHeight="1" spans="1:38">
      <c r="A1116" s="86">
        <v>5305254</v>
      </c>
      <c r="B1116" s="87" t="s">
        <v>785</v>
      </c>
      <c r="C1116" s="32">
        <v>5301254</v>
      </c>
      <c r="D1116" s="81">
        <v>5</v>
      </c>
      <c r="E1116" s="81"/>
      <c r="F1116" s="81" t="s">
        <v>211</v>
      </c>
      <c r="G1116" s="36" t="str">
        <f t="shared" si="276"/>
        <v/>
      </c>
      <c r="H1116" s="36">
        <f>IFERROR(IF(--MID($F1116,2*COUNTIF($G1116:G1116,"&gt;"&amp;0)+2,1)=H$1,H$1,""),"")</f>
        <v>2</v>
      </c>
      <c r="I1116" s="36" t="str">
        <f>IFERROR(IF(--MID($F1116,2*COUNTIF($G1116:H1116,"&gt;"&amp;0)+2,1)=I$1,I$1,""),"")</f>
        <v/>
      </c>
      <c r="J1116" s="36" t="str">
        <f>IFERROR(IF(--MID($F1116,2*COUNTIF($G1116:I1116,"&gt;"&amp;0)+2,1)=J$1,J$1,""),"")</f>
        <v/>
      </c>
      <c r="K1116" s="36" t="str">
        <f>IFERROR(IF(--MID($F1116,2*COUNTIF($G1116:J1116,"&gt;"&amp;0)+2,1)=K$1,K$1,""),"")</f>
        <v/>
      </c>
      <c r="L1116" s="36" t="str">
        <f>IFERROR(IF(--MID($F1116,2*COUNTIF($G1116:K1116,"&gt;"&amp;0)+2,1)=L$1,L$1,""),"")</f>
        <v/>
      </c>
      <c r="M1116" s="36" t="e" cm="1">
        <f t="array" ref="M1116">IF(A1116="","",_xlfn.XLOOKUP(D1116&amp;"_"&amp;AE1116,符文权重!A:A&amp;"_"&amp;符文权重!C:C,符文权重!D:D))</f>
        <v>#N/A</v>
      </c>
      <c r="N1116" s="36"/>
      <c r="O1116" s="36"/>
      <c r="P1116" s="36"/>
      <c r="Q1116" s="36"/>
      <c r="R1116" s="36"/>
      <c r="S1116" s="81" t="s">
        <v>344</v>
      </c>
      <c r="T1116" s="81" t="s">
        <v>786</v>
      </c>
      <c r="U1116" s="81" t="s">
        <v>423</v>
      </c>
      <c r="V1116" s="30" t="s">
        <v>799</v>
      </c>
      <c r="W1116" s="81"/>
      <c r="X1116" s="32" t="s">
        <v>790</v>
      </c>
      <c r="Y1116" s="35">
        <v>100</v>
      </c>
      <c r="Z1116" s="32"/>
      <c r="AA1116" s="36" t="s">
        <v>187</v>
      </c>
      <c r="AB1116" s="85" t="s">
        <v>800</v>
      </c>
      <c r="AC1116" s="32">
        <v>53012542</v>
      </c>
      <c r="AD1116" s="81" t="s">
        <v>193</v>
      </c>
      <c r="AE1116" s="36">
        <v>100</v>
      </c>
      <c r="AF1116" s="81"/>
      <c r="AG1116" s="79">
        <v>1</v>
      </c>
      <c r="AH1116" s="81">
        <v>0</v>
      </c>
      <c r="AI1116" s="86"/>
      <c r="AJ1116" s="88"/>
      <c r="AK1116" s="32"/>
      <c r="AL1116" s="35"/>
    </row>
    <row r="1117" s="30" customFormat="1" hidden="1" customHeight="1" spans="1:38">
      <c r="A1117" s="86">
        <v>5306254</v>
      </c>
      <c r="B1117" s="87" t="s">
        <v>785</v>
      </c>
      <c r="C1117" s="32">
        <v>5301254</v>
      </c>
      <c r="D1117" s="81">
        <v>6</v>
      </c>
      <c r="E1117" s="81"/>
      <c r="F1117" s="81" t="s">
        <v>211</v>
      </c>
      <c r="G1117" s="36" t="str">
        <f t="shared" si="276"/>
        <v/>
      </c>
      <c r="H1117" s="36">
        <f>IFERROR(IF(--MID($F1117,2*COUNTIF($G1117:G1117,"&gt;"&amp;0)+2,1)=H$1,H$1,""),"")</f>
        <v>2</v>
      </c>
      <c r="I1117" s="36" t="str">
        <f>IFERROR(IF(--MID($F1117,2*COUNTIF($G1117:H1117,"&gt;"&amp;0)+2,1)=I$1,I$1,""),"")</f>
        <v/>
      </c>
      <c r="J1117" s="36" t="str">
        <f>IFERROR(IF(--MID($F1117,2*COUNTIF($G1117:I1117,"&gt;"&amp;0)+2,1)=J$1,J$1,""),"")</f>
        <v/>
      </c>
      <c r="K1117" s="36" t="str">
        <f>IFERROR(IF(--MID($F1117,2*COUNTIF($G1117:J1117,"&gt;"&amp;0)+2,1)=K$1,K$1,""),"")</f>
        <v/>
      </c>
      <c r="L1117" s="36" t="str">
        <f>IFERROR(IF(--MID($F1117,2*COUNTIF($G1117:K1117,"&gt;"&amp;0)+2,1)=L$1,L$1,""),"")</f>
        <v/>
      </c>
      <c r="M1117" s="36" t="e" cm="1">
        <f t="array" ref="M1117">IF(A1117="","",_xlfn.XLOOKUP(D1117&amp;"_"&amp;AE1117,符文权重!A:A&amp;"_"&amp;符文权重!C:C,符文权重!D:D))</f>
        <v>#N/A</v>
      </c>
      <c r="N1117" s="36"/>
      <c r="O1117" s="36"/>
      <c r="P1117" s="36"/>
      <c r="Q1117" s="36"/>
      <c r="R1117" s="36"/>
      <c r="S1117" s="81" t="s">
        <v>344</v>
      </c>
      <c r="T1117" s="81" t="s">
        <v>786</v>
      </c>
      <c r="U1117" s="81" t="s">
        <v>426</v>
      </c>
      <c r="V1117" s="30" t="s">
        <v>801</v>
      </c>
      <c r="W1117" s="81"/>
      <c r="X1117" s="32" t="s">
        <v>656</v>
      </c>
      <c r="Y1117" s="35">
        <v>100</v>
      </c>
      <c r="Z1117" s="32"/>
      <c r="AA1117" s="36" t="s">
        <v>189</v>
      </c>
      <c r="AB1117" s="85" t="s">
        <v>802</v>
      </c>
      <c r="AC1117" s="32">
        <v>53012543</v>
      </c>
      <c r="AD1117" s="81" t="s">
        <v>404</v>
      </c>
      <c r="AE1117" s="36">
        <v>100</v>
      </c>
      <c r="AF1117" s="81"/>
      <c r="AG1117" s="79">
        <v>1</v>
      </c>
      <c r="AH1117" s="81">
        <v>0</v>
      </c>
      <c r="AI1117" s="86"/>
      <c r="AJ1117" s="88"/>
      <c r="AK1117" s="32"/>
      <c r="AL1117" s="35"/>
    </row>
    <row r="1118" s="30" customFormat="1" hidden="1" customHeight="1" spans="1:38">
      <c r="A1118" s="86">
        <v>5307254</v>
      </c>
      <c r="B1118" s="87" t="s">
        <v>785</v>
      </c>
      <c r="C1118" s="32">
        <v>5301254</v>
      </c>
      <c r="D1118" s="81">
        <v>7</v>
      </c>
      <c r="E1118" s="81"/>
      <c r="F1118" s="81" t="s">
        <v>211</v>
      </c>
      <c r="G1118" s="36" t="str">
        <f t="shared" si="276"/>
        <v/>
      </c>
      <c r="H1118" s="36">
        <f>IFERROR(IF(--MID($F1118,2*COUNTIF($G1118:G1118,"&gt;"&amp;0)+2,1)=H$1,H$1,""),"")</f>
        <v>2</v>
      </c>
      <c r="I1118" s="36" t="str">
        <f>IFERROR(IF(--MID($F1118,2*COUNTIF($G1118:H1118,"&gt;"&amp;0)+2,1)=I$1,I$1,""),"")</f>
        <v/>
      </c>
      <c r="J1118" s="36" t="str">
        <f>IFERROR(IF(--MID($F1118,2*COUNTIF($G1118:I1118,"&gt;"&amp;0)+2,1)=J$1,J$1,""),"")</f>
        <v/>
      </c>
      <c r="K1118" s="36" t="str">
        <f>IFERROR(IF(--MID($F1118,2*COUNTIF($G1118:J1118,"&gt;"&amp;0)+2,1)=K$1,K$1,""),"")</f>
        <v/>
      </c>
      <c r="L1118" s="36" t="str">
        <f>IFERROR(IF(--MID($F1118,2*COUNTIF($G1118:K1118,"&gt;"&amp;0)+2,1)=L$1,L$1,""),"")</f>
        <v/>
      </c>
      <c r="M1118" s="36" t="e" cm="1">
        <f t="array" ref="M1118">IF(A1118="","",_xlfn.XLOOKUP(D1118&amp;"_"&amp;AE1118,符文权重!A:A&amp;"_"&amp;符文权重!C:C,符文权重!D:D))</f>
        <v>#N/A</v>
      </c>
      <c r="N1118" s="36"/>
      <c r="O1118" s="36"/>
      <c r="P1118" s="36"/>
      <c r="Q1118" s="36"/>
      <c r="R1118" s="36"/>
      <c r="S1118" s="81" t="s">
        <v>344</v>
      </c>
      <c r="T1118" s="81" t="s">
        <v>786</v>
      </c>
      <c r="U1118" s="81" t="s">
        <v>429</v>
      </c>
      <c r="V1118" s="30" t="s">
        <v>803</v>
      </c>
      <c r="W1118" s="81"/>
      <c r="X1118" s="32" t="s">
        <v>795</v>
      </c>
      <c r="Y1118" s="35">
        <v>100</v>
      </c>
      <c r="Z1118" s="32"/>
      <c r="AA1118" s="36" t="s">
        <v>191</v>
      </c>
      <c r="AB1118" s="85" t="s">
        <v>804</v>
      </c>
      <c r="AC1118" s="32">
        <v>53012544</v>
      </c>
      <c r="AD1118" s="81" t="s">
        <v>230</v>
      </c>
      <c r="AE1118" s="36">
        <v>100</v>
      </c>
      <c r="AF1118" s="81"/>
      <c r="AG1118" s="79">
        <v>1</v>
      </c>
      <c r="AH1118" s="81">
        <v>0</v>
      </c>
      <c r="AI1118" s="86"/>
      <c r="AJ1118" s="88"/>
      <c r="AK1118" s="32"/>
      <c r="AL1118" s="35"/>
    </row>
    <row r="1119" s="25" customFormat="1" hidden="1" customHeight="1" spans="1:38">
      <c r="A1119" s="33">
        <v>5304255</v>
      </c>
      <c r="B1119" s="87" t="s">
        <v>785</v>
      </c>
      <c r="C1119" s="35">
        <v>5301255</v>
      </c>
      <c r="D1119" s="36">
        <v>4</v>
      </c>
      <c r="E1119" s="36"/>
      <c r="F1119" s="36" t="s">
        <v>193</v>
      </c>
      <c r="G1119" s="36" t="str">
        <f t="shared" si="276"/>
        <v/>
      </c>
      <c r="H1119" s="36" t="str">
        <f>IFERROR(IF(--MID($F1119,2*COUNTIF($G1119:G1119,"&gt;"&amp;0)+2,1)=H$1,H$1,""),"")</f>
        <v/>
      </c>
      <c r="I1119" s="36">
        <f>IFERROR(IF(--MID($F1119,2*COUNTIF($G1119:H1119,"&gt;"&amp;0)+2,1)=I$1,I$1,""),"")</f>
        <v>3</v>
      </c>
      <c r="J1119" s="36" t="str">
        <f>IFERROR(IF(--MID($F1119,2*COUNTIF($G1119:I1119,"&gt;"&amp;0)+2,1)=J$1,J$1,""),"")</f>
        <v/>
      </c>
      <c r="K1119" s="36" t="str">
        <f>IFERROR(IF(--MID($F1119,2*COUNTIF($G1119:J1119,"&gt;"&amp;0)+2,1)=K$1,K$1,""),"")</f>
        <v/>
      </c>
      <c r="L1119" s="36" t="str">
        <f>IFERROR(IF(--MID($F1119,2*COUNTIF($G1119:K1119,"&gt;"&amp;0)+2,1)=L$1,L$1,""),"")</f>
        <v/>
      </c>
      <c r="M1119" s="36" t="e" cm="1">
        <f t="array" ref="M1119">IF(A1119="","",_xlfn.XLOOKUP(D1119&amp;"_"&amp;AE1119,符文权重!A:A&amp;"_"&amp;符文权重!C:C,符文权重!D:D))</f>
        <v>#N/A</v>
      </c>
      <c r="N1119" s="36"/>
      <c r="O1119" s="36"/>
      <c r="P1119" s="36"/>
      <c r="Q1119" s="36"/>
      <c r="R1119" s="36"/>
      <c r="S1119" s="36" t="s">
        <v>344</v>
      </c>
      <c r="T1119" s="36" t="s">
        <v>786</v>
      </c>
      <c r="U1119" s="36" t="s">
        <v>420</v>
      </c>
      <c r="V1119" s="25" t="s">
        <v>805</v>
      </c>
      <c r="W1119" s="36"/>
      <c r="X1119" s="35" t="s">
        <v>595</v>
      </c>
      <c r="Y1119" s="35">
        <v>100</v>
      </c>
      <c r="Z1119" s="35"/>
      <c r="AA1119" s="36" t="s">
        <v>185</v>
      </c>
      <c r="AB1119" s="42" t="s">
        <v>806</v>
      </c>
      <c r="AC1119" s="35">
        <v>5301255</v>
      </c>
      <c r="AD1119" s="36" t="s">
        <v>428</v>
      </c>
      <c r="AE1119" s="36">
        <v>100</v>
      </c>
      <c r="AF1119" s="36"/>
      <c r="AG1119" s="79">
        <v>1</v>
      </c>
      <c r="AH1119" s="36">
        <v>1</v>
      </c>
      <c r="AI1119" s="33"/>
      <c r="AJ1119" s="37"/>
      <c r="AK1119" s="35"/>
      <c r="AL1119" s="35"/>
    </row>
    <row r="1120" s="25" customFormat="1" hidden="1" customHeight="1" spans="1:38">
      <c r="A1120" s="33">
        <v>5305255</v>
      </c>
      <c r="B1120" s="87" t="s">
        <v>785</v>
      </c>
      <c r="C1120" s="35">
        <v>5301255</v>
      </c>
      <c r="D1120" s="36">
        <v>5</v>
      </c>
      <c r="E1120" s="36"/>
      <c r="F1120" s="36" t="s">
        <v>193</v>
      </c>
      <c r="G1120" s="36" t="str">
        <f t="shared" si="276"/>
        <v/>
      </c>
      <c r="H1120" s="36" t="str">
        <f>IFERROR(IF(--MID($F1120,2*COUNTIF($G1120:G1120,"&gt;"&amp;0)+2,1)=H$1,H$1,""),"")</f>
        <v/>
      </c>
      <c r="I1120" s="36">
        <f>IFERROR(IF(--MID($F1120,2*COUNTIF($G1120:H1120,"&gt;"&amp;0)+2,1)=I$1,I$1,""),"")</f>
        <v>3</v>
      </c>
      <c r="J1120" s="36" t="str">
        <f>IFERROR(IF(--MID($F1120,2*COUNTIF($G1120:I1120,"&gt;"&amp;0)+2,1)=J$1,J$1,""),"")</f>
        <v/>
      </c>
      <c r="K1120" s="36" t="str">
        <f>IFERROR(IF(--MID($F1120,2*COUNTIF($G1120:J1120,"&gt;"&amp;0)+2,1)=K$1,K$1,""),"")</f>
        <v/>
      </c>
      <c r="L1120" s="36" t="str">
        <f>IFERROR(IF(--MID($F1120,2*COUNTIF($G1120:K1120,"&gt;"&amp;0)+2,1)=L$1,L$1,""),"")</f>
        <v/>
      </c>
      <c r="M1120" s="36" t="e" cm="1">
        <f t="array" ref="M1120">IF(A1120="","",_xlfn.XLOOKUP(D1120&amp;"_"&amp;AE1120,符文权重!A:A&amp;"_"&amp;符文权重!C:C,符文权重!D:D))</f>
        <v>#N/A</v>
      </c>
      <c r="N1120" s="36"/>
      <c r="O1120" s="36"/>
      <c r="P1120" s="36"/>
      <c r="Q1120" s="36"/>
      <c r="R1120" s="36"/>
      <c r="S1120" s="36" t="s">
        <v>344</v>
      </c>
      <c r="T1120" s="36" t="s">
        <v>786</v>
      </c>
      <c r="U1120" s="36" t="s">
        <v>423</v>
      </c>
      <c r="V1120" s="25" t="s">
        <v>807</v>
      </c>
      <c r="W1120" s="36"/>
      <c r="X1120" s="35" t="s">
        <v>790</v>
      </c>
      <c r="Y1120" s="35">
        <v>100</v>
      </c>
      <c r="Z1120" s="35"/>
      <c r="AA1120" s="36" t="s">
        <v>187</v>
      </c>
      <c r="AB1120" s="42" t="s">
        <v>809</v>
      </c>
      <c r="AC1120" s="35">
        <v>5301255</v>
      </c>
      <c r="AD1120" s="36" t="s">
        <v>808</v>
      </c>
      <c r="AE1120" s="36">
        <v>100</v>
      </c>
      <c r="AF1120" s="36"/>
      <c r="AG1120" s="79">
        <v>1</v>
      </c>
      <c r="AH1120" s="36">
        <v>0</v>
      </c>
      <c r="AI1120" s="33"/>
      <c r="AJ1120" s="37"/>
      <c r="AK1120" s="35"/>
      <c r="AL1120" s="35"/>
    </row>
    <row r="1121" s="25" customFormat="1" hidden="1" customHeight="1" spans="1:38">
      <c r="A1121" s="33">
        <v>5306255</v>
      </c>
      <c r="B1121" s="87" t="s">
        <v>785</v>
      </c>
      <c r="C1121" s="35">
        <v>5301255</v>
      </c>
      <c r="D1121" s="36">
        <v>6</v>
      </c>
      <c r="E1121" s="36"/>
      <c r="F1121" s="36" t="s">
        <v>193</v>
      </c>
      <c r="G1121" s="36" t="str">
        <f t="shared" si="276"/>
        <v/>
      </c>
      <c r="H1121" s="36" t="str">
        <f>IFERROR(IF(--MID($F1121,2*COUNTIF($G1121:G1121,"&gt;"&amp;0)+2,1)=H$1,H$1,""),"")</f>
        <v/>
      </c>
      <c r="I1121" s="36">
        <f>IFERROR(IF(--MID($F1121,2*COUNTIF($G1121:H1121,"&gt;"&amp;0)+2,1)=I$1,I$1,""),"")</f>
        <v>3</v>
      </c>
      <c r="J1121" s="36" t="str">
        <f>IFERROR(IF(--MID($F1121,2*COUNTIF($G1121:I1121,"&gt;"&amp;0)+2,1)=J$1,J$1,""),"")</f>
        <v/>
      </c>
      <c r="K1121" s="36" t="str">
        <f>IFERROR(IF(--MID($F1121,2*COUNTIF($G1121:J1121,"&gt;"&amp;0)+2,1)=K$1,K$1,""),"")</f>
        <v/>
      </c>
      <c r="L1121" s="36" t="str">
        <f>IFERROR(IF(--MID($F1121,2*COUNTIF($G1121:K1121,"&gt;"&amp;0)+2,1)=L$1,L$1,""),"")</f>
        <v/>
      </c>
      <c r="M1121" s="36" t="e" cm="1">
        <f t="array" ref="M1121">IF(A1121="","",_xlfn.XLOOKUP(D1121&amp;"_"&amp;AE1121,符文权重!A:A&amp;"_"&amp;符文权重!C:C,符文权重!D:D))</f>
        <v>#N/A</v>
      </c>
      <c r="N1121" s="36"/>
      <c r="O1121" s="36"/>
      <c r="P1121" s="36"/>
      <c r="Q1121" s="36"/>
      <c r="R1121" s="36"/>
      <c r="S1121" s="36" t="s">
        <v>344</v>
      </c>
      <c r="T1121" s="36" t="s">
        <v>786</v>
      </c>
      <c r="U1121" s="36" t="s">
        <v>426</v>
      </c>
      <c r="V1121" s="25" t="s">
        <v>810</v>
      </c>
      <c r="W1121" s="36"/>
      <c r="X1121" s="35" t="s">
        <v>656</v>
      </c>
      <c r="Y1121" s="35">
        <v>100</v>
      </c>
      <c r="Z1121" s="35"/>
      <c r="AA1121" s="36" t="s">
        <v>189</v>
      </c>
      <c r="AB1121" s="42" t="s">
        <v>811</v>
      </c>
      <c r="AC1121" s="35">
        <v>5301255</v>
      </c>
      <c r="AD1121" s="36" t="s">
        <v>660</v>
      </c>
      <c r="AE1121" s="36">
        <v>100</v>
      </c>
      <c r="AF1121" s="36"/>
      <c r="AG1121" s="79">
        <v>1</v>
      </c>
      <c r="AH1121" s="36">
        <v>0</v>
      </c>
      <c r="AI1121" s="33"/>
      <c r="AJ1121" s="37"/>
      <c r="AK1121" s="35"/>
      <c r="AL1121" s="35"/>
    </row>
    <row r="1122" s="25" customFormat="1" hidden="1" customHeight="1" spans="1:38">
      <c r="A1122" s="33">
        <v>5307255</v>
      </c>
      <c r="B1122" s="87" t="s">
        <v>785</v>
      </c>
      <c r="C1122" s="35">
        <v>5301255</v>
      </c>
      <c r="D1122" s="36">
        <v>7</v>
      </c>
      <c r="E1122" s="36"/>
      <c r="F1122" s="36" t="s">
        <v>193</v>
      </c>
      <c r="G1122" s="36" t="str">
        <f t="shared" si="276"/>
        <v/>
      </c>
      <c r="H1122" s="36" t="str">
        <f>IFERROR(IF(--MID($F1122,2*COUNTIF($G1122:G1122,"&gt;"&amp;0)+2,1)=H$1,H$1,""),"")</f>
        <v/>
      </c>
      <c r="I1122" s="36">
        <f>IFERROR(IF(--MID($F1122,2*COUNTIF($G1122:H1122,"&gt;"&amp;0)+2,1)=I$1,I$1,""),"")</f>
        <v>3</v>
      </c>
      <c r="J1122" s="36" t="str">
        <f>IFERROR(IF(--MID($F1122,2*COUNTIF($G1122:I1122,"&gt;"&amp;0)+2,1)=J$1,J$1,""),"")</f>
        <v/>
      </c>
      <c r="K1122" s="36" t="str">
        <f>IFERROR(IF(--MID($F1122,2*COUNTIF($G1122:J1122,"&gt;"&amp;0)+2,1)=K$1,K$1,""),"")</f>
        <v/>
      </c>
      <c r="L1122" s="36" t="str">
        <f>IFERROR(IF(--MID($F1122,2*COUNTIF($G1122:K1122,"&gt;"&amp;0)+2,1)=L$1,L$1,""),"")</f>
        <v/>
      </c>
      <c r="M1122" s="36" t="e" cm="1">
        <f t="array" ref="M1122">IF(A1122="","",_xlfn.XLOOKUP(D1122&amp;"_"&amp;AE1122,符文权重!A:A&amp;"_"&amp;符文权重!C:C,符文权重!D:D))</f>
        <v>#N/A</v>
      </c>
      <c r="N1122" s="36"/>
      <c r="O1122" s="36"/>
      <c r="P1122" s="36"/>
      <c r="Q1122" s="36"/>
      <c r="R1122" s="36"/>
      <c r="S1122" s="36" t="s">
        <v>344</v>
      </c>
      <c r="T1122" s="36" t="s">
        <v>786</v>
      </c>
      <c r="U1122" s="36" t="s">
        <v>429</v>
      </c>
      <c r="V1122" s="25" t="s">
        <v>812</v>
      </c>
      <c r="W1122" s="36"/>
      <c r="X1122" s="35" t="s">
        <v>795</v>
      </c>
      <c r="Y1122" s="35">
        <v>100</v>
      </c>
      <c r="Z1122" s="35"/>
      <c r="AA1122" s="36" t="s">
        <v>191</v>
      </c>
      <c r="AB1122" s="42" t="s">
        <v>813</v>
      </c>
      <c r="AC1122" s="35">
        <v>5301255</v>
      </c>
      <c r="AD1122" s="36" t="s">
        <v>474</v>
      </c>
      <c r="AE1122" s="36">
        <v>100</v>
      </c>
      <c r="AF1122" s="36"/>
      <c r="AG1122" s="79">
        <v>1</v>
      </c>
      <c r="AH1122" s="36">
        <v>0</v>
      </c>
      <c r="AI1122" s="33"/>
      <c r="AJ1122" s="37"/>
      <c r="AK1122" s="35"/>
      <c r="AL1122" s="35"/>
    </row>
    <row r="1123" s="29" customFormat="1" hidden="1" customHeight="1" spans="1:38">
      <c r="A1123" s="82">
        <v>5304257</v>
      </c>
      <c r="B1123" s="34" t="s">
        <v>814</v>
      </c>
      <c r="C1123" s="31">
        <v>5301257</v>
      </c>
      <c r="D1123" s="79">
        <v>4</v>
      </c>
      <c r="E1123" s="79"/>
      <c r="F1123" s="79" t="s">
        <v>211</v>
      </c>
      <c r="G1123" s="36" t="str">
        <f t="shared" si="276"/>
        <v/>
      </c>
      <c r="H1123" s="36">
        <f>IFERROR(IF(--MID($F1123,2*COUNTIF($G1123:G1123,"&gt;"&amp;0)+2,1)=H$1,H$1,""),"")</f>
        <v>2</v>
      </c>
      <c r="I1123" s="36" t="str">
        <f>IFERROR(IF(--MID($F1123,2*COUNTIF($G1123:H1123,"&gt;"&amp;0)+2,1)=I$1,I$1,""),"")</f>
        <v/>
      </c>
      <c r="J1123" s="36" t="str">
        <f>IFERROR(IF(--MID($F1123,2*COUNTIF($G1123:I1123,"&gt;"&amp;0)+2,1)=J$1,J$1,""),"")</f>
        <v/>
      </c>
      <c r="K1123" s="36" t="str">
        <f>IFERROR(IF(--MID($F1123,2*COUNTIF($G1123:J1123,"&gt;"&amp;0)+2,1)=K$1,K$1,""),"")</f>
        <v/>
      </c>
      <c r="L1123" s="36" t="str">
        <f>IFERROR(IF(--MID($F1123,2*COUNTIF($G1123:K1123,"&gt;"&amp;0)+2,1)=L$1,L$1,""),"")</f>
        <v/>
      </c>
      <c r="M1123" s="36" t="e" cm="1">
        <f t="array" ref="M1123">IF(A1123="","",_xlfn.XLOOKUP(D1123&amp;"_"&amp;AE1123,符文权重!A:A&amp;"_"&amp;符文权重!C:C,符文权重!D:D))</f>
        <v>#N/A</v>
      </c>
      <c r="N1123" s="36"/>
      <c r="O1123" s="36"/>
      <c r="P1123" s="36"/>
      <c r="Q1123" s="36"/>
      <c r="R1123" s="36"/>
      <c r="S1123" s="36" t="s">
        <v>344</v>
      </c>
      <c r="T1123" s="36" t="s">
        <v>815</v>
      </c>
      <c r="U1123" s="36" t="s">
        <v>420</v>
      </c>
      <c r="W1123" s="89" t="s">
        <v>816</v>
      </c>
      <c r="X1123" s="35" t="s">
        <v>817</v>
      </c>
      <c r="Y1123" s="35">
        <v>100</v>
      </c>
      <c r="Z1123" s="31"/>
      <c r="AA1123" s="36" t="s">
        <v>185</v>
      </c>
      <c r="AB1123" s="83" t="s">
        <v>818</v>
      </c>
      <c r="AC1123" s="31">
        <v>5301257</v>
      </c>
      <c r="AD1123" s="79" t="s">
        <v>422</v>
      </c>
      <c r="AE1123" s="36">
        <v>100</v>
      </c>
      <c r="AF1123" s="79"/>
      <c r="AG1123" s="79">
        <v>1</v>
      </c>
      <c r="AH1123" s="36">
        <v>1</v>
      </c>
      <c r="AI1123" s="82"/>
      <c r="AJ1123" s="84"/>
      <c r="AK1123" s="31"/>
      <c r="AL1123" s="35"/>
    </row>
    <row r="1124" s="29" customFormat="1" hidden="1" customHeight="1" spans="1:38">
      <c r="A1124" s="82">
        <v>5305257</v>
      </c>
      <c r="B1124" s="34" t="s">
        <v>814</v>
      </c>
      <c r="C1124" s="31">
        <v>5301257</v>
      </c>
      <c r="D1124" s="79">
        <v>5</v>
      </c>
      <c r="E1124" s="79"/>
      <c r="F1124" s="79" t="s">
        <v>211</v>
      </c>
      <c r="G1124" s="36" t="str">
        <f t="shared" si="276"/>
        <v/>
      </c>
      <c r="H1124" s="36">
        <f>IFERROR(IF(--MID($F1124,2*COUNTIF($G1124:G1124,"&gt;"&amp;0)+2,1)=H$1,H$1,""),"")</f>
        <v>2</v>
      </c>
      <c r="I1124" s="36" t="str">
        <f>IFERROR(IF(--MID($F1124,2*COUNTIF($G1124:H1124,"&gt;"&amp;0)+2,1)=I$1,I$1,""),"")</f>
        <v/>
      </c>
      <c r="J1124" s="36" t="str">
        <f>IFERROR(IF(--MID($F1124,2*COUNTIF($G1124:I1124,"&gt;"&amp;0)+2,1)=J$1,J$1,""),"")</f>
        <v/>
      </c>
      <c r="K1124" s="36" t="str">
        <f>IFERROR(IF(--MID($F1124,2*COUNTIF($G1124:J1124,"&gt;"&amp;0)+2,1)=K$1,K$1,""),"")</f>
        <v/>
      </c>
      <c r="L1124" s="36" t="str">
        <f>IFERROR(IF(--MID($F1124,2*COUNTIF($G1124:K1124,"&gt;"&amp;0)+2,1)=L$1,L$1,""),"")</f>
        <v/>
      </c>
      <c r="M1124" s="36" t="e" cm="1">
        <f t="array" ref="M1124">IF(A1124="","",_xlfn.XLOOKUP(D1124&amp;"_"&amp;AE1124,符文权重!A:A&amp;"_"&amp;符文权重!C:C,符文权重!D:D))</f>
        <v>#N/A</v>
      </c>
      <c r="N1124" s="36"/>
      <c r="O1124" s="36"/>
      <c r="P1124" s="36"/>
      <c r="Q1124" s="36"/>
      <c r="R1124" s="36"/>
      <c r="S1124" s="36" t="s">
        <v>344</v>
      </c>
      <c r="T1124" s="36" t="s">
        <v>815</v>
      </c>
      <c r="U1124" s="36" t="s">
        <v>423</v>
      </c>
      <c r="W1124" s="89" t="s">
        <v>819</v>
      </c>
      <c r="X1124" s="35" t="s">
        <v>820</v>
      </c>
      <c r="Y1124" s="35">
        <v>100</v>
      </c>
      <c r="Z1124" s="31"/>
      <c r="AA1124" s="36" t="s">
        <v>187</v>
      </c>
      <c r="AB1124" s="83" t="s">
        <v>821</v>
      </c>
      <c r="AC1124" s="31">
        <v>5301257</v>
      </c>
      <c r="AD1124" s="79" t="s">
        <v>425</v>
      </c>
      <c r="AE1124" s="36">
        <v>100</v>
      </c>
      <c r="AF1124" s="79"/>
      <c r="AG1124" s="79">
        <v>1</v>
      </c>
      <c r="AH1124" s="36">
        <v>0</v>
      </c>
      <c r="AI1124" s="82"/>
      <c r="AJ1124" s="84"/>
      <c r="AK1124" s="31"/>
      <c r="AL1124" s="35"/>
    </row>
    <row r="1125" s="29" customFormat="1" hidden="1" customHeight="1" spans="1:38">
      <c r="A1125" s="82">
        <v>5306257</v>
      </c>
      <c r="B1125" s="34" t="s">
        <v>814</v>
      </c>
      <c r="C1125" s="90">
        <v>5301257</v>
      </c>
      <c r="D1125" s="79">
        <v>6</v>
      </c>
      <c r="E1125" s="79"/>
      <c r="F1125" s="79" t="s">
        <v>211</v>
      </c>
      <c r="G1125" s="36" t="str">
        <f t="shared" si="276"/>
        <v/>
      </c>
      <c r="H1125" s="36">
        <f>IFERROR(IF(--MID($F1125,2*COUNTIF($G1125:G1125,"&gt;"&amp;0)+2,1)=H$1,H$1,""),"")</f>
        <v>2</v>
      </c>
      <c r="I1125" s="36" t="str">
        <f>IFERROR(IF(--MID($F1125,2*COUNTIF($G1125:H1125,"&gt;"&amp;0)+2,1)=I$1,I$1,""),"")</f>
        <v/>
      </c>
      <c r="J1125" s="36" t="str">
        <f>IFERROR(IF(--MID($F1125,2*COUNTIF($G1125:I1125,"&gt;"&amp;0)+2,1)=J$1,J$1,""),"")</f>
        <v/>
      </c>
      <c r="K1125" s="36" t="str">
        <f>IFERROR(IF(--MID($F1125,2*COUNTIF($G1125:J1125,"&gt;"&amp;0)+2,1)=K$1,K$1,""),"")</f>
        <v/>
      </c>
      <c r="L1125" s="36" t="str">
        <f>IFERROR(IF(--MID($F1125,2*COUNTIF($G1125:K1125,"&gt;"&amp;0)+2,1)=L$1,L$1,""),"")</f>
        <v/>
      </c>
      <c r="M1125" s="36" t="e" cm="1">
        <f t="array" ref="M1125">IF(A1125="","",_xlfn.XLOOKUP(D1125&amp;"_"&amp;AE1125,符文权重!A:A&amp;"_"&amp;符文权重!C:C,符文权重!D:D))</f>
        <v>#N/A</v>
      </c>
      <c r="N1125" s="36"/>
      <c r="O1125" s="36"/>
      <c r="P1125" s="36"/>
      <c r="Q1125" s="36"/>
      <c r="R1125" s="36"/>
      <c r="S1125" s="36" t="s">
        <v>344</v>
      </c>
      <c r="T1125" s="36" t="s">
        <v>815</v>
      </c>
      <c r="U1125" s="36" t="s">
        <v>426</v>
      </c>
      <c r="W1125" s="89" t="s">
        <v>822</v>
      </c>
      <c r="X1125" s="35" t="s">
        <v>823</v>
      </c>
      <c r="Y1125" s="35">
        <v>100</v>
      </c>
      <c r="Z1125" s="31"/>
      <c r="AA1125" s="36" t="s">
        <v>189</v>
      </c>
      <c r="AB1125" s="83" t="s">
        <v>824</v>
      </c>
      <c r="AC1125" s="31">
        <v>5301257</v>
      </c>
      <c r="AD1125" s="79" t="s">
        <v>428</v>
      </c>
      <c r="AE1125" s="36">
        <v>100</v>
      </c>
      <c r="AF1125" s="79"/>
      <c r="AG1125" s="79">
        <v>1</v>
      </c>
      <c r="AH1125" s="36">
        <v>0</v>
      </c>
      <c r="AI1125" s="82"/>
      <c r="AJ1125" s="84"/>
      <c r="AK1125" s="31"/>
      <c r="AL1125" s="35"/>
    </row>
    <row r="1126" s="29" customFormat="1" hidden="1" customHeight="1" spans="1:38">
      <c r="A1126" s="82">
        <v>5307257</v>
      </c>
      <c r="B1126" s="34" t="s">
        <v>814</v>
      </c>
      <c r="C1126" s="31">
        <v>5301257</v>
      </c>
      <c r="D1126" s="79">
        <v>7</v>
      </c>
      <c r="E1126" s="79"/>
      <c r="F1126" s="79" t="s">
        <v>211</v>
      </c>
      <c r="G1126" s="36" t="str">
        <f t="shared" si="276"/>
        <v/>
      </c>
      <c r="H1126" s="36">
        <f>IFERROR(IF(--MID($F1126,2*COUNTIF($G1126:G1126,"&gt;"&amp;0)+2,1)=H$1,H$1,""),"")</f>
        <v>2</v>
      </c>
      <c r="I1126" s="36" t="str">
        <f>IFERROR(IF(--MID($F1126,2*COUNTIF($G1126:H1126,"&gt;"&amp;0)+2,1)=I$1,I$1,""),"")</f>
        <v/>
      </c>
      <c r="J1126" s="36" t="str">
        <f>IFERROR(IF(--MID($F1126,2*COUNTIF($G1126:I1126,"&gt;"&amp;0)+2,1)=J$1,J$1,""),"")</f>
        <v/>
      </c>
      <c r="K1126" s="36" t="str">
        <f>IFERROR(IF(--MID($F1126,2*COUNTIF($G1126:J1126,"&gt;"&amp;0)+2,1)=K$1,K$1,""),"")</f>
        <v/>
      </c>
      <c r="L1126" s="36" t="str">
        <f>IFERROR(IF(--MID($F1126,2*COUNTIF($G1126:K1126,"&gt;"&amp;0)+2,1)=L$1,L$1,""),"")</f>
        <v/>
      </c>
      <c r="M1126" s="36" t="e" cm="1">
        <f t="array" ref="M1126">IF(A1126="","",_xlfn.XLOOKUP(D1126&amp;"_"&amp;AE1126,符文权重!A:A&amp;"_"&amp;符文权重!C:C,符文权重!D:D))</f>
        <v>#N/A</v>
      </c>
      <c r="N1126" s="36"/>
      <c r="O1126" s="36"/>
      <c r="P1126" s="36"/>
      <c r="Q1126" s="36"/>
      <c r="R1126" s="36"/>
      <c r="S1126" s="36" t="s">
        <v>344</v>
      </c>
      <c r="T1126" s="36" t="s">
        <v>815</v>
      </c>
      <c r="U1126" s="36" t="s">
        <v>429</v>
      </c>
      <c r="W1126" s="89" t="s">
        <v>825</v>
      </c>
      <c r="X1126" s="35" t="s">
        <v>826</v>
      </c>
      <c r="Y1126" s="35">
        <v>100</v>
      </c>
      <c r="Z1126" s="31"/>
      <c r="AA1126" s="36" t="s">
        <v>191</v>
      </c>
      <c r="AB1126" s="83" t="s">
        <v>827</v>
      </c>
      <c r="AC1126" s="31">
        <v>5301257</v>
      </c>
      <c r="AD1126" s="79" t="s">
        <v>487</v>
      </c>
      <c r="AE1126" s="36">
        <v>100</v>
      </c>
      <c r="AF1126" s="79"/>
      <c r="AG1126" s="79">
        <v>1</v>
      </c>
      <c r="AH1126" s="36">
        <v>0</v>
      </c>
      <c r="AI1126" s="82"/>
      <c r="AJ1126" s="84"/>
      <c r="AK1126" s="31"/>
      <c r="AL1126" s="35"/>
    </row>
    <row r="1127" s="29" customFormat="1" hidden="1" customHeight="1" spans="1:38">
      <c r="A1127" s="82">
        <v>5304258</v>
      </c>
      <c r="B1127" s="34" t="s">
        <v>814</v>
      </c>
      <c r="C1127" s="31">
        <v>5301258</v>
      </c>
      <c r="D1127" s="79">
        <v>4</v>
      </c>
      <c r="E1127" s="79"/>
      <c r="F1127" s="79" t="s">
        <v>193</v>
      </c>
      <c r="G1127" s="36" t="str">
        <f t="shared" si="276"/>
        <v/>
      </c>
      <c r="H1127" s="36" t="str">
        <f>IFERROR(IF(--MID($F1127,2*COUNTIF($G1127:G1127,"&gt;"&amp;0)+2,1)=H$1,H$1,""),"")</f>
        <v/>
      </c>
      <c r="I1127" s="36">
        <f>IFERROR(IF(--MID($F1127,2*COUNTIF($G1127:H1127,"&gt;"&amp;0)+2,1)=I$1,I$1,""),"")</f>
        <v>3</v>
      </c>
      <c r="J1127" s="36" t="str">
        <f>IFERROR(IF(--MID($F1127,2*COUNTIF($G1127:I1127,"&gt;"&amp;0)+2,1)=J$1,J$1,""),"")</f>
        <v/>
      </c>
      <c r="K1127" s="36" t="str">
        <f>IFERROR(IF(--MID($F1127,2*COUNTIF($G1127:J1127,"&gt;"&amp;0)+2,1)=K$1,K$1,""),"")</f>
        <v/>
      </c>
      <c r="L1127" s="36" t="str">
        <f>IFERROR(IF(--MID($F1127,2*COUNTIF($G1127:K1127,"&gt;"&amp;0)+2,1)=L$1,L$1,""),"")</f>
        <v/>
      </c>
      <c r="M1127" s="36" t="e" cm="1">
        <f t="array" ref="M1127">IF(A1127="","",_xlfn.XLOOKUP(D1127&amp;"_"&amp;AE1127,符文权重!A:A&amp;"_"&amp;符文权重!C:C,符文权重!D:D))</f>
        <v>#N/A</v>
      </c>
      <c r="N1127" s="36"/>
      <c r="O1127" s="36"/>
      <c r="P1127" s="36"/>
      <c r="Q1127" s="36"/>
      <c r="R1127" s="36"/>
      <c r="S1127" s="36" t="s">
        <v>344</v>
      </c>
      <c r="T1127" s="36" t="s">
        <v>815</v>
      </c>
      <c r="U1127" s="36" t="s">
        <v>420</v>
      </c>
      <c r="V1127" s="29" t="s">
        <v>828</v>
      </c>
      <c r="W1127" s="79" t="s">
        <v>829</v>
      </c>
      <c r="X1127" s="35" t="s">
        <v>817</v>
      </c>
      <c r="Y1127" s="35">
        <v>100</v>
      </c>
      <c r="Z1127" s="31"/>
      <c r="AA1127" s="36" t="s">
        <v>185</v>
      </c>
      <c r="AB1127" s="83" t="s">
        <v>830</v>
      </c>
      <c r="AC1127" s="31">
        <v>5301258</v>
      </c>
      <c r="AD1127" s="79" t="s">
        <v>596</v>
      </c>
      <c r="AE1127" s="36">
        <v>100</v>
      </c>
      <c r="AF1127" s="79"/>
      <c r="AG1127" s="79">
        <v>1</v>
      </c>
      <c r="AH1127" s="36">
        <v>1</v>
      </c>
      <c r="AI1127" s="82"/>
      <c r="AJ1127" s="84"/>
      <c r="AK1127" s="31"/>
      <c r="AL1127" s="35"/>
    </row>
    <row r="1128" s="29" customFormat="1" hidden="1" customHeight="1" spans="1:38">
      <c r="A1128" s="82">
        <v>5305258</v>
      </c>
      <c r="B1128" s="34" t="s">
        <v>814</v>
      </c>
      <c r="C1128" s="31">
        <v>5301258</v>
      </c>
      <c r="D1128" s="79">
        <v>5</v>
      </c>
      <c r="E1128" s="79"/>
      <c r="F1128" s="79" t="s">
        <v>193</v>
      </c>
      <c r="G1128" s="36" t="str">
        <f t="shared" si="276"/>
        <v/>
      </c>
      <c r="H1128" s="36" t="str">
        <f>IFERROR(IF(--MID($F1128,2*COUNTIF($G1128:G1128,"&gt;"&amp;0)+2,1)=H$1,H$1,""),"")</f>
        <v/>
      </c>
      <c r="I1128" s="36">
        <f>IFERROR(IF(--MID($F1128,2*COUNTIF($G1128:H1128,"&gt;"&amp;0)+2,1)=I$1,I$1,""),"")</f>
        <v>3</v>
      </c>
      <c r="J1128" s="36" t="str">
        <f>IFERROR(IF(--MID($F1128,2*COUNTIF($G1128:I1128,"&gt;"&amp;0)+2,1)=J$1,J$1,""),"")</f>
        <v/>
      </c>
      <c r="K1128" s="36" t="str">
        <f>IFERROR(IF(--MID($F1128,2*COUNTIF($G1128:J1128,"&gt;"&amp;0)+2,1)=K$1,K$1,""),"")</f>
        <v/>
      </c>
      <c r="L1128" s="36" t="str">
        <f>IFERROR(IF(--MID($F1128,2*COUNTIF($G1128:K1128,"&gt;"&amp;0)+2,1)=L$1,L$1,""),"")</f>
        <v/>
      </c>
      <c r="M1128" s="36" t="e" cm="1">
        <f t="array" ref="M1128">IF(A1128="","",_xlfn.XLOOKUP(D1128&amp;"_"&amp;AE1128,符文权重!A:A&amp;"_"&amp;符文权重!C:C,符文权重!D:D))</f>
        <v>#N/A</v>
      </c>
      <c r="N1128" s="36"/>
      <c r="O1128" s="36"/>
      <c r="P1128" s="36"/>
      <c r="Q1128" s="36"/>
      <c r="R1128" s="36"/>
      <c r="S1128" s="36" t="s">
        <v>344</v>
      </c>
      <c r="T1128" s="36" t="s">
        <v>815</v>
      </c>
      <c r="U1128" s="36" t="s">
        <v>423</v>
      </c>
      <c r="V1128" s="29" t="s">
        <v>831</v>
      </c>
      <c r="W1128" s="79" t="s">
        <v>829</v>
      </c>
      <c r="X1128" s="35" t="s">
        <v>820</v>
      </c>
      <c r="Y1128" s="35">
        <v>100</v>
      </c>
      <c r="Z1128" s="31"/>
      <c r="AA1128" s="36" t="s">
        <v>187</v>
      </c>
      <c r="AB1128" s="83" t="s">
        <v>832</v>
      </c>
      <c r="AC1128" s="31">
        <v>5301258</v>
      </c>
      <c r="AD1128" s="79" t="s">
        <v>476</v>
      </c>
      <c r="AE1128" s="36">
        <v>100</v>
      </c>
      <c r="AF1128" s="79"/>
      <c r="AG1128" s="79">
        <v>1</v>
      </c>
      <c r="AH1128" s="36">
        <v>0</v>
      </c>
      <c r="AI1128" s="82"/>
      <c r="AJ1128" s="84"/>
      <c r="AK1128" s="31"/>
      <c r="AL1128" s="35"/>
    </row>
    <row r="1129" s="29" customFormat="1" hidden="1" customHeight="1" spans="1:38">
      <c r="A1129" s="82">
        <v>5306258</v>
      </c>
      <c r="B1129" s="34" t="s">
        <v>814</v>
      </c>
      <c r="C1129" s="31">
        <v>5301258</v>
      </c>
      <c r="D1129" s="79">
        <v>6</v>
      </c>
      <c r="E1129" s="79"/>
      <c r="F1129" s="79" t="s">
        <v>193</v>
      </c>
      <c r="G1129" s="36" t="str">
        <f t="shared" si="276"/>
        <v/>
      </c>
      <c r="H1129" s="36" t="str">
        <f>IFERROR(IF(--MID($F1129,2*COUNTIF($G1129:G1129,"&gt;"&amp;0)+2,1)=H$1,H$1,""),"")</f>
        <v/>
      </c>
      <c r="I1129" s="36">
        <f>IFERROR(IF(--MID($F1129,2*COUNTIF($G1129:H1129,"&gt;"&amp;0)+2,1)=I$1,I$1,""),"")</f>
        <v>3</v>
      </c>
      <c r="J1129" s="36" t="str">
        <f>IFERROR(IF(--MID($F1129,2*COUNTIF($G1129:I1129,"&gt;"&amp;0)+2,1)=J$1,J$1,""),"")</f>
        <v/>
      </c>
      <c r="K1129" s="36" t="str">
        <f>IFERROR(IF(--MID($F1129,2*COUNTIF($G1129:J1129,"&gt;"&amp;0)+2,1)=K$1,K$1,""),"")</f>
        <v/>
      </c>
      <c r="L1129" s="36" t="str">
        <f>IFERROR(IF(--MID($F1129,2*COUNTIF($G1129:K1129,"&gt;"&amp;0)+2,1)=L$1,L$1,""),"")</f>
        <v/>
      </c>
      <c r="M1129" s="36" t="e" cm="1">
        <f t="array" ref="M1129">IF(A1129="","",_xlfn.XLOOKUP(D1129&amp;"_"&amp;AE1129,符文权重!A:A&amp;"_"&amp;符文权重!C:C,符文权重!D:D))</f>
        <v>#N/A</v>
      </c>
      <c r="N1129" s="36"/>
      <c r="O1129" s="36"/>
      <c r="P1129" s="36"/>
      <c r="Q1129" s="36"/>
      <c r="R1129" s="36"/>
      <c r="S1129" s="36" t="s">
        <v>344</v>
      </c>
      <c r="T1129" s="36" t="s">
        <v>815</v>
      </c>
      <c r="U1129" s="36" t="s">
        <v>426</v>
      </c>
      <c r="V1129" s="29" t="s">
        <v>833</v>
      </c>
      <c r="W1129" s="79" t="s">
        <v>829</v>
      </c>
      <c r="X1129" s="35" t="s">
        <v>823</v>
      </c>
      <c r="Y1129" s="35">
        <v>100</v>
      </c>
      <c r="Z1129" s="31"/>
      <c r="AA1129" s="36" t="s">
        <v>189</v>
      </c>
      <c r="AB1129" s="83" t="s">
        <v>834</v>
      </c>
      <c r="AC1129" s="31">
        <v>5301258</v>
      </c>
      <c r="AD1129" s="79" t="s">
        <v>600</v>
      </c>
      <c r="AE1129" s="36">
        <v>100</v>
      </c>
      <c r="AF1129" s="79"/>
      <c r="AG1129" s="79">
        <v>1</v>
      </c>
      <c r="AH1129" s="36">
        <v>0</v>
      </c>
      <c r="AI1129" s="82"/>
      <c r="AJ1129" s="84"/>
      <c r="AK1129" s="31"/>
      <c r="AL1129" s="35"/>
    </row>
    <row r="1130" s="29" customFormat="1" hidden="1" customHeight="1" spans="1:38">
      <c r="A1130" s="82">
        <v>5307258</v>
      </c>
      <c r="B1130" s="34" t="s">
        <v>814</v>
      </c>
      <c r="C1130" s="31">
        <v>5301258</v>
      </c>
      <c r="D1130" s="79">
        <v>7</v>
      </c>
      <c r="E1130" s="79"/>
      <c r="F1130" s="79" t="s">
        <v>193</v>
      </c>
      <c r="G1130" s="36" t="str">
        <f t="shared" si="276"/>
        <v/>
      </c>
      <c r="H1130" s="36" t="str">
        <f>IFERROR(IF(--MID($F1130,2*COUNTIF($G1130:G1130,"&gt;"&amp;0)+2,1)=H$1,H$1,""),"")</f>
        <v/>
      </c>
      <c r="I1130" s="36">
        <f>IFERROR(IF(--MID($F1130,2*COUNTIF($G1130:H1130,"&gt;"&amp;0)+2,1)=I$1,I$1,""),"")</f>
        <v>3</v>
      </c>
      <c r="J1130" s="36" t="str">
        <f>IFERROR(IF(--MID($F1130,2*COUNTIF($G1130:I1130,"&gt;"&amp;0)+2,1)=J$1,J$1,""),"")</f>
        <v/>
      </c>
      <c r="K1130" s="36" t="str">
        <f>IFERROR(IF(--MID($F1130,2*COUNTIF($G1130:J1130,"&gt;"&amp;0)+2,1)=K$1,K$1,""),"")</f>
        <v/>
      </c>
      <c r="L1130" s="36" t="str">
        <f>IFERROR(IF(--MID($F1130,2*COUNTIF($G1130:K1130,"&gt;"&amp;0)+2,1)=L$1,L$1,""),"")</f>
        <v/>
      </c>
      <c r="M1130" s="36" t="e" cm="1">
        <f t="array" ref="M1130">IF(A1130="","",_xlfn.XLOOKUP(D1130&amp;"_"&amp;AE1130,符文权重!A:A&amp;"_"&amp;符文权重!C:C,符文权重!D:D))</f>
        <v>#N/A</v>
      </c>
      <c r="N1130" s="36"/>
      <c r="O1130" s="36"/>
      <c r="P1130" s="36"/>
      <c r="Q1130" s="36"/>
      <c r="R1130" s="36"/>
      <c r="S1130" s="36" t="s">
        <v>344</v>
      </c>
      <c r="T1130" s="36" t="s">
        <v>815</v>
      </c>
      <c r="U1130" s="36" t="s">
        <v>429</v>
      </c>
      <c r="V1130" s="29" t="s">
        <v>835</v>
      </c>
      <c r="W1130" s="79" t="s">
        <v>829</v>
      </c>
      <c r="X1130" s="35" t="s">
        <v>826</v>
      </c>
      <c r="Y1130" s="35">
        <v>100</v>
      </c>
      <c r="Z1130" s="31"/>
      <c r="AA1130" s="36" t="s">
        <v>191</v>
      </c>
      <c r="AB1130" s="83" t="s">
        <v>836</v>
      </c>
      <c r="AC1130" s="31">
        <v>5301258</v>
      </c>
      <c r="AD1130" s="79" t="s">
        <v>458</v>
      </c>
      <c r="AE1130" s="36">
        <v>100</v>
      </c>
      <c r="AF1130" s="79"/>
      <c r="AG1130" s="79">
        <v>1</v>
      </c>
      <c r="AH1130" s="36">
        <v>0</v>
      </c>
      <c r="AI1130" s="82"/>
      <c r="AJ1130" s="84"/>
      <c r="AK1130" s="31"/>
      <c r="AL1130" s="35"/>
    </row>
    <row r="1131" s="29" customFormat="1" hidden="1" customHeight="1" spans="1:38">
      <c r="A1131" s="82">
        <v>5304259</v>
      </c>
      <c r="B1131" s="34" t="s">
        <v>814</v>
      </c>
      <c r="C1131" s="31">
        <v>5301259</v>
      </c>
      <c r="D1131" s="79">
        <v>4</v>
      </c>
      <c r="E1131" s="79"/>
      <c r="F1131" s="79" t="s">
        <v>404</v>
      </c>
      <c r="G1131" s="36" t="str">
        <f t="shared" si="276"/>
        <v/>
      </c>
      <c r="H1131" s="36" t="str">
        <f>IFERROR(IF(--MID($F1131,2*COUNTIF($G1131:G1131,"&gt;"&amp;0)+2,1)=H$1,H$1,""),"")</f>
        <v/>
      </c>
      <c r="I1131" s="36" t="str">
        <f>IFERROR(IF(--MID($F1131,2*COUNTIF($G1131:H1131,"&gt;"&amp;0)+2,1)=I$1,I$1,""),"")</f>
        <v/>
      </c>
      <c r="J1131" s="36">
        <f>IFERROR(IF(--MID($F1131,2*COUNTIF($G1131:I1131,"&gt;"&amp;0)+2,1)=J$1,J$1,""),"")</f>
        <v>4</v>
      </c>
      <c r="K1131" s="36" t="str">
        <f>IFERROR(IF(--MID($F1131,2*COUNTIF($G1131:J1131,"&gt;"&amp;0)+2,1)=K$1,K$1,""),"")</f>
        <v/>
      </c>
      <c r="L1131" s="36" t="str">
        <f>IFERROR(IF(--MID($F1131,2*COUNTIF($G1131:K1131,"&gt;"&amp;0)+2,1)=L$1,L$1,""),"")</f>
        <v/>
      </c>
      <c r="M1131" s="36" t="e" cm="1">
        <f t="array" ref="M1131">IF(A1131="","",_xlfn.XLOOKUP(D1131&amp;"_"&amp;AE1131,符文权重!A:A&amp;"_"&amp;符文权重!C:C,符文权重!D:D))</f>
        <v>#N/A</v>
      </c>
      <c r="N1131" s="36"/>
      <c r="O1131" s="36"/>
      <c r="P1131" s="36"/>
      <c r="Q1131" s="36"/>
      <c r="R1131" s="36"/>
      <c r="S1131" s="36" t="s">
        <v>344</v>
      </c>
      <c r="T1131" s="36" t="s">
        <v>815</v>
      </c>
      <c r="U1131" s="36" t="s">
        <v>420</v>
      </c>
      <c r="V1131" s="30" t="s">
        <v>837</v>
      </c>
      <c r="W1131" s="81"/>
      <c r="X1131" s="35" t="s">
        <v>817</v>
      </c>
      <c r="Y1131" s="35">
        <v>100</v>
      </c>
      <c r="Z1131" s="31"/>
      <c r="AA1131" s="36" t="s">
        <v>185</v>
      </c>
      <c r="AB1131" s="83" t="s">
        <v>838</v>
      </c>
      <c r="AC1131" s="31">
        <v>5301259</v>
      </c>
      <c r="AD1131" s="79" t="s">
        <v>487</v>
      </c>
      <c r="AE1131" s="36">
        <v>100</v>
      </c>
      <c r="AF1131" s="79"/>
      <c r="AG1131" s="79">
        <v>1</v>
      </c>
      <c r="AH1131" s="36">
        <v>1</v>
      </c>
      <c r="AI1131" s="82"/>
      <c r="AJ1131" s="84"/>
      <c r="AK1131" s="31"/>
      <c r="AL1131" s="35"/>
    </row>
    <row r="1132" s="29" customFormat="1" hidden="1" customHeight="1" spans="1:38">
      <c r="A1132" s="82">
        <v>5305259</v>
      </c>
      <c r="B1132" s="34" t="s">
        <v>814</v>
      </c>
      <c r="C1132" s="31">
        <v>5301259</v>
      </c>
      <c r="D1132" s="79">
        <v>5</v>
      </c>
      <c r="E1132" s="79"/>
      <c r="F1132" s="79" t="s">
        <v>404</v>
      </c>
      <c r="G1132" s="36" t="str">
        <f t="shared" si="276"/>
        <v/>
      </c>
      <c r="H1132" s="36" t="str">
        <f>IFERROR(IF(--MID($F1132,2*COUNTIF($G1132:G1132,"&gt;"&amp;0)+2,1)=H$1,H$1,""),"")</f>
        <v/>
      </c>
      <c r="I1132" s="36" t="str">
        <f>IFERROR(IF(--MID($F1132,2*COUNTIF($G1132:H1132,"&gt;"&amp;0)+2,1)=I$1,I$1,""),"")</f>
        <v/>
      </c>
      <c r="J1132" s="36">
        <f>IFERROR(IF(--MID($F1132,2*COUNTIF($G1132:I1132,"&gt;"&amp;0)+2,1)=J$1,J$1,""),"")</f>
        <v>4</v>
      </c>
      <c r="K1132" s="36" t="str">
        <f>IFERROR(IF(--MID($F1132,2*COUNTIF($G1132:J1132,"&gt;"&amp;0)+2,1)=K$1,K$1,""),"")</f>
        <v/>
      </c>
      <c r="L1132" s="36" t="str">
        <f>IFERROR(IF(--MID($F1132,2*COUNTIF($G1132:K1132,"&gt;"&amp;0)+2,1)=L$1,L$1,""),"")</f>
        <v/>
      </c>
      <c r="M1132" s="36" t="e" cm="1">
        <f t="array" ref="M1132">IF(A1132="","",_xlfn.XLOOKUP(D1132&amp;"_"&amp;AE1132,符文权重!A:A&amp;"_"&amp;符文权重!C:C,符文权重!D:D))</f>
        <v>#N/A</v>
      </c>
      <c r="N1132" s="36"/>
      <c r="O1132" s="36"/>
      <c r="P1132" s="36"/>
      <c r="Q1132" s="36"/>
      <c r="R1132" s="36"/>
      <c r="S1132" s="36" t="s">
        <v>344</v>
      </c>
      <c r="T1132" s="36" t="s">
        <v>815</v>
      </c>
      <c r="U1132" s="36" t="s">
        <v>423</v>
      </c>
      <c r="V1132" s="30" t="s">
        <v>839</v>
      </c>
      <c r="W1132" s="81"/>
      <c r="X1132" s="35" t="s">
        <v>820</v>
      </c>
      <c r="Y1132" s="35">
        <v>100</v>
      </c>
      <c r="Z1132" s="31"/>
      <c r="AA1132" s="36" t="s">
        <v>187</v>
      </c>
      <c r="AB1132" s="83" t="s">
        <v>840</v>
      </c>
      <c r="AC1132" s="31">
        <v>5301259</v>
      </c>
      <c r="AD1132" s="79" t="s">
        <v>497</v>
      </c>
      <c r="AE1132" s="36">
        <v>100</v>
      </c>
      <c r="AF1132" s="79"/>
      <c r="AG1132" s="79">
        <v>1</v>
      </c>
      <c r="AH1132" s="36">
        <v>0</v>
      </c>
      <c r="AI1132" s="82"/>
      <c r="AJ1132" s="84"/>
      <c r="AK1132" s="31"/>
      <c r="AL1132" s="35"/>
    </row>
    <row r="1133" s="29" customFormat="1" hidden="1" customHeight="1" spans="1:38">
      <c r="A1133" s="82">
        <v>5306259</v>
      </c>
      <c r="B1133" s="34" t="s">
        <v>814</v>
      </c>
      <c r="C1133" s="31">
        <v>5301259</v>
      </c>
      <c r="D1133" s="79">
        <v>6</v>
      </c>
      <c r="E1133" s="79"/>
      <c r="F1133" s="79" t="s">
        <v>404</v>
      </c>
      <c r="G1133" s="36" t="str">
        <f t="shared" si="276"/>
        <v/>
      </c>
      <c r="H1133" s="36" t="str">
        <f>IFERROR(IF(--MID($F1133,2*COUNTIF($G1133:G1133,"&gt;"&amp;0)+2,1)=H$1,H$1,""),"")</f>
        <v/>
      </c>
      <c r="I1133" s="36" t="str">
        <f>IFERROR(IF(--MID($F1133,2*COUNTIF($G1133:H1133,"&gt;"&amp;0)+2,1)=I$1,I$1,""),"")</f>
        <v/>
      </c>
      <c r="J1133" s="36">
        <f>IFERROR(IF(--MID($F1133,2*COUNTIF($G1133:I1133,"&gt;"&amp;0)+2,1)=J$1,J$1,""),"")</f>
        <v>4</v>
      </c>
      <c r="K1133" s="36" t="str">
        <f>IFERROR(IF(--MID($F1133,2*COUNTIF($G1133:J1133,"&gt;"&amp;0)+2,1)=K$1,K$1,""),"")</f>
        <v/>
      </c>
      <c r="L1133" s="36" t="str">
        <f>IFERROR(IF(--MID($F1133,2*COUNTIF($G1133:K1133,"&gt;"&amp;0)+2,1)=L$1,L$1,""),"")</f>
        <v/>
      </c>
      <c r="M1133" s="36" t="e" cm="1">
        <f t="array" ref="M1133">IF(A1133="","",_xlfn.XLOOKUP(D1133&amp;"_"&amp;AE1133,符文权重!A:A&amp;"_"&amp;符文权重!C:C,符文权重!D:D))</f>
        <v>#N/A</v>
      </c>
      <c r="N1133" s="36"/>
      <c r="O1133" s="36"/>
      <c r="P1133" s="36"/>
      <c r="Q1133" s="36"/>
      <c r="R1133" s="36"/>
      <c r="S1133" s="36" t="s">
        <v>344</v>
      </c>
      <c r="T1133" s="36" t="s">
        <v>815</v>
      </c>
      <c r="U1133" s="36" t="s">
        <v>426</v>
      </c>
      <c r="V1133" s="30" t="s">
        <v>841</v>
      </c>
      <c r="W1133" s="81"/>
      <c r="X1133" s="35" t="s">
        <v>823</v>
      </c>
      <c r="Y1133" s="35">
        <v>100</v>
      </c>
      <c r="Z1133" s="31"/>
      <c r="AA1133" s="36" t="s">
        <v>189</v>
      </c>
      <c r="AB1133" s="83" t="s">
        <v>842</v>
      </c>
      <c r="AC1133" s="31">
        <v>5301259</v>
      </c>
      <c r="AD1133" s="79" t="s">
        <v>596</v>
      </c>
      <c r="AE1133" s="36">
        <v>100</v>
      </c>
      <c r="AF1133" s="79"/>
      <c r="AG1133" s="79">
        <v>1</v>
      </c>
      <c r="AH1133" s="36">
        <v>0</v>
      </c>
      <c r="AI1133" s="82"/>
      <c r="AJ1133" s="84"/>
      <c r="AK1133" s="31"/>
      <c r="AL1133" s="35"/>
    </row>
    <row r="1134" s="29" customFormat="1" hidden="1" customHeight="1" spans="1:38">
      <c r="A1134" s="82">
        <v>5307259</v>
      </c>
      <c r="B1134" s="34" t="s">
        <v>814</v>
      </c>
      <c r="C1134" s="31">
        <v>5301259</v>
      </c>
      <c r="D1134" s="79">
        <v>7</v>
      </c>
      <c r="E1134" s="79"/>
      <c r="F1134" s="79" t="s">
        <v>404</v>
      </c>
      <c r="G1134" s="36" t="str">
        <f t="shared" si="276"/>
        <v/>
      </c>
      <c r="H1134" s="36" t="str">
        <f>IFERROR(IF(--MID($F1134,2*COUNTIF($G1134:G1134,"&gt;"&amp;0)+2,1)=H$1,H$1,""),"")</f>
        <v/>
      </c>
      <c r="I1134" s="36" t="str">
        <f>IFERROR(IF(--MID($F1134,2*COUNTIF($G1134:H1134,"&gt;"&amp;0)+2,1)=I$1,I$1,""),"")</f>
        <v/>
      </c>
      <c r="J1134" s="36">
        <f>IFERROR(IF(--MID($F1134,2*COUNTIF($G1134:I1134,"&gt;"&amp;0)+2,1)=J$1,J$1,""),"")</f>
        <v>4</v>
      </c>
      <c r="K1134" s="36" t="str">
        <f>IFERROR(IF(--MID($F1134,2*COUNTIF($G1134:J1134,"&gt;"&amp;0)+2,1)=K$1,K$1,""),"")</f>
        <v/>
      </c>
      <c r="L1134" s="36" t="str">
        <f>IFERROR(IF(--MID($F1134,2*COUNTIF($G1134:K1134,"&gt;"&amp;0)+2,1)=L$1,L$1,""),"")</f>
        <v/>
      </c>
      <c r="M1134" s="36" t="e" cm="1">
        <f t="array" ref="M1134">IF(A1134="","",_xlfn.XLOOKUP(D1134&amp;"_"&amp;AE1134,符文权重!A:A&amp;"_"&amp;符文权重!C:C,符文权重!D:D))</f>
        <v>#N/A</v>
      </c>
      <c r="N1134" s="36"/>
      <c r="O1134" s="36"/>
      <c r="P1134" s="36"/>
      <c r="Q1134" s="36"/>
      <c r="R1134" s="36"/>
      <c r="S1134" s="36" t="s">
        <v>344</v>
      </c>
      <c r="T1134" s="36" t="s">
        <v>815</v>
      </c>
      <c r="U1134" s="36" t="s">
        <v>429</v>
      </c>
      <c r="V1134" s="30" t="s">
        <v>843</v>
      </c>
      <c r="W1134" s="81"/>
      <c r="X1134" s="35" t="s">
        <v>826</v>
      </c>
      <c r="Y1134" s="35">
        <v>100</v>
      </c>
      <c r="Z1134" s="31"/>
      <c r="AA1134" s="36" t="s">
        <v>191</v>
      </c>
      <c r="AB1134" s="83" t="s">
        <v>844</v>
      </c>
      <c r="AC1134" s="31">
        <v>5301259</v>
      </c>
      <c r="AD1134" s="79" t="s">
        <v>476</v>
      </c>
      <c r="AE1134" s="36">
        <v>100</v>
      </c>
      <c r="AF1134" s="79"/>
      <c r="AG1134" s="79">
        <v>1</v>
      </c>
      <c r="AH1134" s="36">
        <v>0</v>
      </c>
      <c r="AI1134" s="82"/>
      <c r="AJ1134" s="84"/>
      <c r="AK1134" s="31"/>
      <c r="AL1134" s="35"/>
    </row>
    <row r="1135" s="29" customFormat="1" hidden="1" customHeight="1" spans="1:38">
      <c r="A1135" s="82">
        <v>5304261</v>
      </c>
      <c r="B1135" s="34" t="s">
        <v>845</v>
      </c>
      <c r="C1135" s="31">
        <v>5301261</v>
      </c>
      <c r="D1135" s="79">
        <v>4</v>
      </c>
      <c r="E1135" s="79"/>
      <c r="F1135" s="79" t="s">
        <v>193</v>
      </c>
      <c r="G1135" s="36" t="str">
        <f t="shared" si="276"/>
        <v/>
      </c>
      <c r="H1135" s="36" t="str">
        <f>IFERROR(IF(--MID($F1135,2*COUNTIF($G1135:G1135,"&gt;"&amp;0)+2,1)=H$1,H$1,""),"")</f>
        <v/>
      </c>
      <c r="I1135" s="36">
        <f>IFERROR(IF(--MID($F1135,2*COUNTIF($G1135:H1135,"&gt;"&amp;0)+2,1)=I$1,I$1,""),"")</f>
        <v>3</v>
      </c>
      <c r="J1135" s="36" t="str">
        <f>IFERROR(IF(--MID($F1135,2*COUNTIF($G1135:I1135,"&gt;"&amp;0)+2,1)=J$1,J$1,""),"")</f>
        <v/>
      </c>
      <c r="K1135" s="36" t="str">
        <f>IFERROR(IF(--MID($F1135,2*COUNTIF($G1135:J1135,"&gt;"&amp;0)+2,1)=K$1,K$1,""),"")</f>
        <v/>
      </c>
      <c r="L1135" s="36" t="str">
        <f>IFERROR(IF(--MID($F1135,2*COUNTIF($G1135:K1135,"&gt;"&amp;0)+2,1)=L$1,L$1,""),"")</f>
        <v/>
      </c>
      <c r="M1135" s="36" t="e" cm="1">
        <f t="array" ref="M1135">IF(A1135="","",_xlfn.XLOOKUP(D1135&amp;"_"&amp;AE1135,符文权重!A:A&amp;"_"&amp;符文权重!C:C,符文权重!D:D))</f>
        <v>#N/A</v>
      </c>
      <c r="N1135" s="36"/>
      <c r="O1135" s="36"/>
      <c r="P1135" s="36"/>
      <c r="Q1135" s="36"/>
      <c r="R1135" s="36"/>
      <c r="S1135" s="36" t="s">
        <v>344</v>
      </c>
      <c r="T1135" s="36" t="s">
        <v>846</v>
      </c>
      <c r="U1135" s="36" t="s">
        <v>420</v>
      </c>
      <c r="V1135" s="30" t="s">
        <v>847</v>
      </c>
      <c r="W1135" s="81"/>
      <c r="X1135" s="35" t="s">
        <v>817</v>
      </c>
      <c r="Y1135" s="35">
        <v>100</v>
      </c>
      <c r="Z1135" s="31"/>
      <c r="AA1135" s="36" t="s">
        <v>185</v>
      </c>
      <c r="AB1135" s="83" t="s">
        <v>848</v>
      </c>
      <c r="AC1135" s="31">
        <v>5301261</v>
      </c>
      <c r="AD1135" s="79" t="s">
        <v>419</v>
      </c>
      <c r="AE1135" s="36">
        <v>100</v>
      </c>
      <c r="AF1135" s="79"/>
      <c r="AG1135" s="79">
        <v>1</v>
      </c>
      <c r="AH1135" s="36">
        <v>1</v>
      </c>
      <c r="AI1135" s="82"/>
      <c r="AJ1135" s="84"/>
      <c r="AK1135" s="31"/>
      <c r="AL1135" s="35"/>
    </row>
    <row r="1136" s="29" customFormat="1" hidden="1" customHeight="1" spans="1:38">
      <c r="A1136" s="82">
        <v>5305261</v>
      </c>
      <c r="B1136" s="34" t="s">
        <v>845</v>
      </c>
      <c r="C1136" s="31">
        <v>5301261</v>
      </c>
      <c r="D1136" s="79">
        <v>5</v>
      </c>
      <c r="E1136" s="79"/>
      <c r="F1136" s="79" t="s">
        <v>193</v>
      </c>
      <c r="G1136" s="36" t="str">
        <f t="shared" si="276"/>
        <v/>
      </c>
      <c r="H1136" s="36" t="str">
        <f>IFERROR(IF(--MID($F1136,2*COUNTIF($G1136:G1136,"&gt;"&amp;0)+2,1)=H$1,H$1,""),"")</f>
        <v/>
      </c>
      <c r="I1136" s="36">
        <f>IFERROR(IF(--MID($F1136,2*COUNTIF($G1136:H1136,"&gt;"&amp;0)+2,1)=I$1,I$1,""),"")</f>
        <v>3</v>
      </c>
      <c r="J1136" s="36" t="str">
        <f>IFERROR(IF(--MID($F1136,2*COUNTIF($G1136:I1136,"&gt;"&amp;0)+2,1)=J$1,J$1,""),"")</f>
        <v/>
      </c>
      <c r="K1136" s="36" t="str">
        <f>IFERROR(IF(--MID($F1136,2*COUNTIF($G1136:J1136,"&gt;"&amp;0)+2,1)=K$1,K$1,""),"")</f>
        <v/>
      </c>
      <c r="L1136" s="36" t="str">
        <f>IFERROR(IF(--MID($F1136,2*COUNTIF($G1136:K1136,"&gt;"&amp;0)+2,1)=L$1,L$1,""),"")</f>
        <v/>
      </c>
      <c r="M1136" s="36" t="e" cm="1">
        <f t="array" ref="M1136">IF(A1136="","",_xlfn.XLOOKUP(D1136&amp;"_"&amp;AE1136,符文权重!A:A&amp;"_"&amp;符文权重!C:C,符文权重!D:D))</f>
        <v>#N/A</v>
      </c>
      <c r="N1136" s="36"/>
      <c r="O1136" s="36"/>
      <c r="P1136" s="36"/>
      <c r="Q1136" s="36"/>
      <c r="R1136" s="36"/>
      <c r="S1136" s="36" t="s">
        <v>344</v>
      </c>
      <c r="T1136" s="36" t="s">
        <v>846</v>
      </c>
      <c r="U1136" s="36" t="s">
        <v>423</v>
      </c>
      <c r="V1136" s="30" t="s">
        <v>849</v>
      </c>
      <c r="W1136" s="81"/>
      <c r="X1136" s="35" t="s">
        <v>820</v>
      </c>
      <c r="Y1136" s="35">
        <v>100</v>
      </c>
      <c r="Z1136" s="31"/>
      <c r="AA1136" s="36" t="s">
        <v>187</v>
      </c>
      <c r="AB1136" s="83" t="s">
        <v>850</v>
      </c>
      <c r="AC1136" s="31">
        <v>5301261</v>
      </c>
      <c r="AD1136" s="79" t="s">
        <v>422</v>
      </c>
      <c r="AE1136" s="36">
        <v>100</v>
      </c>
      <c r="AF1136" s="79"/>
      <c r="AG1136" s="79">
        <v>1</v>
      </c>
      <c r="AH1136" s="36">
        <v>0</v>
      </c>
      <c r="AI1136" s="82"/>
      <c r="AJ1136" s="84"/>
      <c r="AK1136" s="31"/>
      <c r="AL1136" s="35"/>
    </row>
    <row r="1137" s="29" customFormat="1" hidden="1" customHeight="1" spans="1:38">
      <c r="A1137" s="82">
        <v>5306261</v>
      </c>
      <c r="B1137" s="34" t="s">
        <v>845</v>
      </c>
      <c r="C1137" s="31">
        <v>5301261</v>
      </c>
      <c r="D1137" s="79">
        <v>6</v>
      </c>
      <c r="E1137" s="79"/>
      <c r="F1137" s="79" t="s">
        <v>193</v>
      </c>
      <c r="G1137" s="36" t="str">
        <f t="shared" si="276"/>
        <v/>
      </c>
      <c r="H1137" s="36" t="str">
        <f>IFERROR(IF(--MID($F1137,2*COUNTIF($G1137:G1137,"&gt;"&amp;0)+2,1)=H$1,H$1,""),"")</f>
        <v/>
      </c>
      <c r="I1137" s="36">
        <f>IFERROR(IF(--MID($F1137,2*COUNTIF($G1137:H1137,"&gt;"&amp;0)+2,1)=I$1,I$1,""),"")</f>
        <v>3</v>
      </c>
      <c r="J1137" s="36" t="str">
        <f>IFERROR(IF(--MID($F1137,2*COUNTIF($G1137:I1137,"&gt;"&amp;0)+2,1)=J$1,J$1,""),"")</f>
        <v/>
      </c>
      <c r="K1137" s="36" t="str">
        <f>IFERROR(IF(--MID($F1137,2*COUNTIF($G1137:J1137,"&gt;"&amp;0)+2,1)=K$1,K$1,""),"")</f>
        <v/>
      </c>
      <c r="L1137" s="36" t="str">
        <f>IFERROR(IF(--MID($F1137,2*COUNTIF($G1137:K1137,"&gt;"&amp;0)+2,1)=L$1,L$1,""),"")</f>
        <v/>
      </c>
      <c r="M1137" s="36" t="e" cm="1">
        <f t="array" ref="M1137">IF(A1137="","",_xlfn.XLOOKUP(D1137&amp;"_"&amp;AE1137,符文权重!A:A&amp;"_"&amp;符文权重!C:C,符文权重!D:D))</f>
        <v>#N/A</v>
      </c>
      <c r="N1137" s="36"/>
      <c r="O1137" s="36"/>
      <c r="P1137" s="36"/>
      <c r="Q1137" s="36"/>
      <c r="R1137" s="36"/>
      <c r="S1137" s="36" t="s">
        <v>344</v>
      </c>
      <c r="T1137" s="36" t="s">
        <v>846</v>
      </c>
      <c r="U1137" s="36" t="s">
        <v>426</v>
      </c>
      <c r="V1137" s="30" t="s">
        <v>851</v>
      </c>
      <c r="W1137" s="81"/>
      <c r="X1137" s="35" t="s">
        <v>823</v>
      </c>
      <c r="Y1137" s="35">
        <v>100</v>
      </c>
      <c r="Z1137" s="31"/>
      <c r="AA1137" s="36" t="s">
        <v>189</v>
      </c>
      <c r="AB1137" s="83" t="s">
        <v>852</v>
      </c>
      <c r="AC1137" s="31">
        <v>5301261</v>
      </c>
      <c r="AD1137" s="79" t="s">
        <v>492</v>
      </c>
      <c r="AE1137" s="36">
        <v>100</v>
      </c>
      <c r="AF1137" s="79"/>
      <c r="AG1137" s="79">
        <v>1</v>
      </c>
      <c r="AH1137" s="36">
        <v>0</v>
      </c>
      <c r="AI1137" s="82"/>
      <c r="AJ1137" s="84"/>
      <c r="AK1137" s="31"/>
      <c r="AL1137" s="35"/>
    </row>
    <row r="1138" s="29" customFormat="1" hidden="1" customHeight="1" spans="1:38">
      <c r="A1138" s="82">
        <v>5307261</v>
      </c>
      <c r="B1138" s="34" t="s">
        <v>845</v>
      </c>
      <c r="C1138" s="31">
        <v>5301261</v>
      </c>
      <c r="D1138" s="79">
        <v>7</v>
      </c>
      <c r="E1138" s="79"/>
      <c r="F1138" s="79" t="s">
        <v>193</v>
      </c>
      <c r="G1138" s="36" t="str">
        <f t="shared" si="276"/>
        <v/>
      </c>
      <c r="H1138" s="36" t="str">
        <f>IFERROR(IF(--MID($F1138,2*COUNTIF($G1138:G1138,"&gt;"&amp;0)+2,1)=H$1,H$1,""),"")</f>
        <v/>
      </c>
      <c r="I1138" s="36">
        <f>IFERROR(IF(--MID($F1138,2*COUNTIF($G1138:H1138,"&gt;"&amp;0)+2,1)=I$1,I$1,""),"")</f>
        <v>3</v>
      </c>
      <c r="J1138" s="36" t="str">
        <f>IFERROR(IF(--MID($F1138,2*COUNTIF($G1138:I1138,"&gt;"&amp;0)+2,1)=J$1,J$1,""),"")</f>
        <v/>
      </c>
      <c r="K1138" s="36" t="str">
        <f>IFERROR(IF(--MID($F1138,2*COUNTIF($G1138:J1138,"&gt;"&amp;0)+2,1)=K$1,K$1,""),"")</f>
        <v/>
      </c>
      <c r="L1138" s="36" t="str">
        <f>IFERROR(IF(--MID($F1138,2*COUNTIF($G1138:K1138,"&gt;"&amp;0)+2,1)=L$1,L$1,""),"")</f>
        <v/>
      </c>
      <c r="M1138" s="36" t="e" cm="1">
        <f t="array" ref="M1138">IF(A1138="","",_xlfn.XLOOKUP(D1138&amp;"_"&amp;AE1138,符文权重!A:A&amp;"_"&amp;符文权重!C:C,符文权重!D:D))</f>
        <v>#N/A</v>
      </c>
      <c r="N1138" s="36"/>
      <c r="O1138" s="36"/>
      <c r="P1138" s="36"/>
      <c r="Q1138" s="36"/>
      <c r="R1138" s="36"/>
      <c r="S1138" s="36" t="s">
        <v>344</v>
      </c>
      <c r="T1138" s="36" t="s">
        <v>846</v>
      </c>
      <c r="U1138" s="36" t="s">
        <v>429</v>
      </c>
      <c r="V1138" s="30" t="s">
        <v>853</v>
      </c>
      <c r="W1138" s="81"/>
      <c r="X1138" s="35" t="s">
        <v>826</v>
      </c>
      <c r="Y1138" s="35">
        <v>100</v>
      </c>
      <c r="Z1138" s="31"/>
      <c r="AA1138" s="36" t="s">
        <v>191</v>
      </c>
      <c r="AB1138" s="83" t="s">
        <v>855</v>
      </c>
      <c r="AC1138" s="31">
        <v>5301261</v>
      </c>
      <c r="AD1138" s="79" t="s">
        <v>854</v>
      </c>
      <c r="AE1138" s="36">
        <v>100</v>
      </c>
      <c r="AF1138" s="79"/>
      <c r="AG1138" s="79">
        <v>1</v>
      </c>
      <c r="AH1138" s="36">
        <v>0</v>
      </c>
      <c r="AI1138" s="82"/>
      <c r="AJ1138" s="84"/>
      <c r="AK1138" s="31"/>
      <c r="AL1138" s="35"/>
    </row>
    <row r="1139" s="29" customFormat="1" hidden="1" customHeight="1" spans="1:38">
      <c r="A1139" s="82">
        <v>5304262</v>
      </c>
      <c r="B1139" s="34" t="s">
        <v>845</v>
      </c>
      <c r="C1139" s="31">
        <v>5301262</v>
      </c>
      <c r="D1139" s="79">
        <v>4</v>
      </c>
      <c r="E1139" s="79"/>
      <c r="F1139" s="79" t="s">
        <v>404</v>
      </c>
      <c r="G1139" s="36" t="str">
        <f t="shared" si="276"/>
        <v/>
      </c>
      <c r="H1139" s="36" t="str">
        <f>IFERROR(IF(--MID($F1139,2*COUNTIF($G1139:G1139,"&gt;"&amp;0)+2,1)=H$1,H$1,""),"")</f>
        <v/>
      </c>
      <c r="I1139" s="36" t="str">
        <f>IFERROR(IF(--MID($F1139,2*COUNTIF($G1139:H1139,"&gt;"&amp;0)+2,1)=I$1,I$1,""),"")</f>
        <v/>
      </c>
      <c r="J1139" s="36">
        <f>IFERROR(IF(--MID($F1139,2*COUNTIF($G1139:I1139,"&gt;"&amp;0)+2,1)=J$1,J$1,""),"")</f>
        <v>4</v>
      </c>
      <c r="K1139" s="36" t="str">
        <f>IFERROR(IF(--MID($F1139,2*COUNTIF($G1139:J1139,"&gt;"&amp;0)+2,1)=K$1,K$1,""),"")</f>
        <v/>
      </c>
      <c r="L1139" s="36" t="str">
        <f>IFERROR(IF(--MID($F1139,2*COUNTIF($G1139:K1139,"&gt;"&amp;0)+2,1)=L$1,L$1,""),"")</f>
        <v/>
      </c>
      <c r="M1139" s="36" t="e" cm="1">
        <f t="array" ref="M1139">IF(A1139="","",_xlfn.XLOOKUP(D1139&amp;"_"&amp;AE1139,符文权重!A:A&amp;"_"&amp;符文权重!C:C,符文权重!D:D))</f>
        <v>#N/A</v>
      </c>
      <c r="N1139" s="36"/>
      <c r="O1139" s="36"/>
      <c r="P1139" s="36"/>
      <c r="Q1139" s="36"/>
      <c r="R1139" s="36"/>
      <c r="S1139" s="36" t="s">
        <v>344</v>
      </c>
      <c r="T1139" s="36" t="s">
        <v>846</v>
      </c>
      <c r="U1139" s="36" t="s">
        <v>420</v>
      </c>
      <c r="V1139" s="30" t="s">
        <v>856</v>
      </c>
      <c r="W1139" s="81"/>
      <c r="X1139" s="35" t="s">
        <v>817</v>
      </c>
      <c r="Y1139" s="35">
        <v>100</v>
      </c>
      <c r="Z1139" s="31"/>
      <c r="AA1139" s="36" t="s">
        <v>185</v>
      </c>
      <c r="AB1139" s="83" t="s">
        <v>857</v>
      </c>
      <c r="AC1139" s="31">
        <v>5301262</v>
      </c>
      <c r="AD1139" s="79" t="s">
        <v>239</v>
      </c>
      <c r="AE1139" s="36">
        <v>100</v>
      </c>
      <c r="AF1139" s="79"/>
      <c r="AG1139" s="79">
        <v>1</v>
      </c>
      <c r="AH1139" s="36">
        <v>1</v>
      </c>
      <c r="AI1139" s="82"/>
      <c r="AJ1139" s="84"/>
      <c r="AK1139" s="31"/>
      <c r="AL1139" s="35"/>
    </row>
    <row r="1140" s="29" customFormat="1" hidden="1" customHeight="1" spans="1:38">
      <c r="A1140" s="82">
        <v>5305262</v>
      </c>
      <c r="B1140" s="34" t="s">
        <v>845</v>
      </c>
      <c r="C1140" s="31">
        <v>5301262</v>
      </c>
      <c r="D1140" s="79">
        <v>5</v>
      </c>
      <c r="E1140" s="79"/>
      <c r="F1140" s="79" t="s">
        <v>404</v>
      </c>
      <c r="G1140" s="36" t="str">
        <f t="shared" si="276"/>
        <v/>
      </c>
      <c r="H1140" s="36" t="str">
        <f>IFERROR(IF(--MID($F1140,2*COUNTIF($G1140:G1140,"&gt;"&amp;0)+2,1)=H$1,H$1,""),"")</f>
        <v/>
      </c>
      <c r="I1140" s="36" t="str">
        <f>IFERROR(IF(--MID($F1140,2*COUNTIF($G1140:H1140,"&gt;"&amp;0)+2,1)=I$1,I$1,""),"")</f>
        <v/>
      </c>
      <c r="J1140" s="36">
        <f>IFERROR(IF(--MID($F1140,2*COUNTIF($G1140:I1140,"&gt;"&amp;0)+2,1)=J$1,J$1,""),"")</f>
        <v>4</v>
      </c>
      <c r="K1140" s="36" t="str">
        <f>IFERROR(IF(--MID($F1140,2*COUNTIF($G1140:J1140,"&gt;"&amp;0)+2,1)=K$1,K$1,""),"")</f>
        <v/>
      </c>
      <c r="L1140" s="36" t="str">
        <f>IFERROR(IF(--MID($F1140,2*COUNTIF($G1140:K1140,"&gt;"&amp;0)+2,1)=L$1,L$1,""),"")</f>
        <v/>
      </c>
      <c r="M1140" s="36" t="e" cm="1">
        <f t="array" ref="M1140">IF(A1140="","",_xlfn.XLOOKUP(D1140&amp;"_"&amp;AE1140,符文权重!A:A&amp;"_"&amp;符文权重!C:C,符文权重!D:D))</f>
        <v>#N/A</v>
      </c>
      <c r="N1140" s="36"/>
      <c r="O1140" s="36"/>
      <c r="P1140" s="36"/>
      <c r="Q1140" s="36"/>
      <c r="R1140" s="36"/>
      <c r="S1140" s="36" t="s">
        <v>344</v>
      </c>
      <c r="T1140" s="36" t="s">
        <v>846</v>
      </c>
      <c r="U1140" s="36" t="s">
        <v>423</v>
      </c>
      <c r="V1140" s="30" t="s">
        <v>858</v>
      </c>
      <c r="W1140" s="81"/>
      <c r="X1140" s="35" t="s">
        <v>820</v>
      </c>
      <c r="Y1140" s="35">
        <v>100</v>
      </c>
      <c r="Z1140" s="31"/>
      <c r="AA1140" s="36" t="s">
        <v>187</v>
      </c>
      <c r="AB1140" s="83" t="s">
        <v>859</v>
      </c>
      <c r="AC1140" s="31">
        <v>5301262</v>
      </c>
      <c r="AD1140" s="79" t="s">
        <v>422</v>
      </c>
      <c r="AE1140" s="36">
        <v>100</v>
      </c>
      <c r="AF1140" s="79"/>
      <c r="AG1140" s="79">
        <v>1</v>
      </c>
      <c r="AH1140" s="36">
        <v>0</v>
      </c>
      <c r="AI1140" s="82"/>
      <c r="AJ1140" s="84"/>
      <c r="AK1140" s="31"/>
      <c r="AL1140" s="35"/>
    </row>
    <row r="1141" s="29" customFormat="1" hidden="1" customHeight="1" spans="1:38">
      <c r="A1141" s="82">
        <v>5306262</v>
      </c>
      <c r="B1141" s="34" t="s">
        <v>845</v>
      </c>
      <c r="C1141" s="31">
        <v>5301262</v>
      </c>
      <c r="D1141" s="79">
        <v>6</v>
      </c>
      <c r="E1141" s="79"/>
      <c r="F1141" s="79" t="s">
        <v>404</v>
      </c>
      <c r="G1141" s="36" t="str">
        <f t="shared" si="276"/>
        <v/>
      </c>
      <c r="H1141" s="36" t="str">
        <f>IFERROR(IF(--MID($F1141,2*COUNTIF($G1141:G1141,"&gt;"&amp;0)+2,1)=H$1,H$1,""),"")</f>
        <v/>
      </c>
      <c r="I1141" s="36" t="str">
        <f>IFERROR(IF(--MID($F1141,2*COUNTIF($G1141:H1141,"&gt;"&amp;0)+2,1)=I$1,I$1,""),"")</f>
        <v/>
      </c>
      <c r="J1141" s="36">
        <f>IFERROR(IF(--MID($F1141,2*COUNTIF($G1141:I1141,"&gt;"&amp;0)+2,1)=J$1,J$1,""),"")</f>
        <v>4</v>
      </c>
      <c r="K1141" s="36" t="str">
        <f>IFERROR(IF(--MID($F1141,2*COUNTIF($G1141:J1141,"&gt;"&amp;0)+2,1)=K$1,K$1,""),"")</f>
        <v/>
      </c>
      <c r="L1141" s="36" t="str">
        <f>IFERROR(IF(--MID($F1141,2*COUNTIF($G1141:K1141,"&gt;"&amp;0)+2,1)=L$1,L$1,""),"")</f>
        <v/>
      </c>
      <c r="M1141" s="36" t="e" cm="1">
        <f t="array" ref="M1141">IF(A1141="","",_xlfn.XLOOKUP(D1141&amp;"_"&amp;AE1141,符文权重!A:A&amp;"_"&amp;符文权重!C:C,符文权重!D:D))</f>
        <v>#N/A</v>
      </c>
      <c r="N1141" s="36"/>
      <c r="O1141" s="36"/>
      <c r="P1141" s="36"/>
      <c r="Q1141" s="36"/>
      <c r="R1141" s="36"/>
      <c r="S1141" s="36" t="s">
        <v>344</v>
      </c>
      <c r="T1141" s="36" t="s">
        <v>846</v>
      </c>
      <c r="U1141" s="36" t="s">
        <v>426</v>
      </c>
      <c r="V1141" s="30" t="s">
        <v>860</v>
      </c>
      <c r="W1141" s="81"/>
      <c r="X1141" s="35" t="s">
        <v>823</v>
      </c>
      <c r="Y1141" s="35">
        <v>100</v>
      </c>
      <c r="Z1141" s="31"/>
      <c r="AA1141" s="36" t="s">
        <v>189</v>
      </c>
      <c r="AB1141" s="83" t="s">
        <v>862</v>
      </c>
      <c r="AC1141" s="31">
        <v>5301262</v>
      </c>
      <c r="AD1141" s="79" t="s">
        <v>861</v>
      </c>
      <c r="AE1141" s="36">
        <v>100</v>
      </c>
      <c r="AF1141" s="79"/>
      <c r="AG1141" s="79">
        <v>1</v>
      </c>
      <c r="AH1141" s="36">
        <v>0</v>
      </c>
      <c r="AI1141" s="82"/>
      <c r="AJ1141" s="84"/>
      <c r="AK1141" s="31"/>
      <c r="AL1141" s="35"/>
    </row>
    <row r="1142" s="29" customFormat="1" hidden="1" customHeight="1" spans="1:38">
      <c r="A1142" s="82">
        <v>5307262</v>
      </c>
      <c r="B1142" s="34" t="s">
        <v>845</v>
      </c>
      <c r="C1142" s="31">
        <v>5301262</v>
      </c>
      <c r="D1142" s="79">
        <v>7</v>
      </c>
      <c r="E1142" s="79"/>
      <c r="F1142" s="79" t="s">
        <v>404</v>
      </c>
      <c r="G1142" s="36" t="str">
        <f t="shared" si="276"/>
        <v/>
      </c>
      <c r="H1142" s="36" t="str">
        <f>IFERROR(IF(--MID($F1142,2*COUNTIF($G1142:G1142,"&gt;"&amp;0)+2,1)=H$1,H$1,""),"")</f>
        <v/>
      </c>
      <c r="I1142" s="36" t="str">
        <f>IFERROR(IF(--MID($F1142,2*COUNTIF($G1142:H1142,"&gt;"&amp;0)+2,1)=I$1,I$1,""),"")</f>
        <v/>
      </c>
      <c r="J1142" s="36">
        <f>IFERROR(IF(--MID($F1142,2*COUNTIF($G1142:I1142,"&gt;"&amp;0)+2,1)=J$1,J$1,""),"")</f>
        <v>4</v>
      </c>
      <c r="K1142" s="36" t="str">
        <f>IFERROR(IF(--MID($F1142,2*COUNTIF($G1142:J1142,"&gt;"&amp;0)+2,1)=K$1,K$1,""),"")</f>
        <v/>
      </c>
      <c r="L1142" s="36" t="str">
        <f>IFERROR(IF(--MID($F1142,2*COUNTIF($G1142:K1142,"&gt;"&amp;0)+2,1)=L$1,L$1,""),"")</f>
        <v/>
      </c>
      <c r="M1142" s="36" t="e" cm="1">
        <f t="array" ref="M1142">IF(A1142="","",_xlfn.XLOOKUP(D1142&amp;"_"&amp;AE1142,符文权重!A:A&amp;"_"&amp;符文权重!C:C,符文权重!D:D))</f>
        <v>#N/A</v>
      </c>
      <c r="N1142" s="36"/>
      <c r="O1142" s="36"/>
      <c r="P1142" s="36"/>
      <c r="Q1142" s="36"/>
      <c r="R1142" s="36"/>
      <c r="S1142" s="36" t="s">
        <v>344</v>
      </c>
      <c r="T1142" s="36" t="s">
        <v>846</v>
      </c>
      <c r="U1142" s="36" t="s">
        <v>429</v>
      </c>
      <c r="V1142" s="30" t="s">
        <v>863</v>
      </c>
      <c r="W1142" s="81"/>
      <c r="X1142" s="35" t="s">
        <v>826</v>
      </c>
      <c r="Y1142" s="35">
        <v>100</v>
      </c>
      <c r="Z1142" s="31"/>
      <c r="AA1142" s="36" t="s">
        <v>191</v>
      </c>
      <c r="AB1142" s="83" t="s">
        <v>864</v>
      </c>
      <c r="AC1142" s="31">
        <v>5301262</v>
      </c>
      <c r="AD1142" s="79" t="s">
        <v>711</v>
      </c>
      <c r="AE1142" s="36">
        <v>100</v>
      </c>
      <c r="AF1142" s="79"/>
      <c r="AG1142" s="79">
        <v>1</v>
      </c>
      <c r="AH1142" s="36">
        <v>0</v>
      </c>
      <c r="AI1142" s="82"/>
      <c r="AJ1142" s="84"/>
      <c r="AK1142" s="31"/>
      <c r="AL1142" s="35"/>
    </row>
    <row r="1143" s="29" customFormat="1" hidden="1" customHeight="1" spans="1:38">
      <c r="A1143" s="82">
        <v>5304263</v>
      </c>
      <c r="B1143" s="34" t="s">
        <v>845</v>
      </c>
      <c r="C1143" s="31">
        <v>5301263</v>
      </c>
      <c r="D1143" s="79">
        <v>4</v>
      </c>
      <c r="E1143" s="79"/>
      <c r="F1143" s="79" t="s">
        <v>230</v>
      </c>
      <c r="G1143" s="36" t="str">
        <f t="shared" si="276"/>
        <v/>
      </c>
      <c r="H1143" s="36" t="str">
        <f>IFERROR(IF(--MID($F1143,2*COUNTIF($G1143:G1143,"&gt;"&amp;0)+2,1)=H$1,H$1,""),"")</f>
        <v/>
      </c>
      <c r="I1143" s="36" t="str">
        <f>IFERROR(IF(--MID($F1143,2*COUNTIF($G1143:H1143,"&gt;"&amp;0)+2,1)=I$1,I$1,""),"")</f>
        <v/>
      </c>
      <c r="J1143" s="36" t="str">
        <f>IFERROR(IF(--MID($F1143,2*COUNTIF($G1143:I1143,"&gt;"&amp;0)+2,1)=J$1,J$1,""),"")</f>
        <v/>
      </c>
      <c r="K1143" s="36">
        <f>IFERROR(IF(--MID($F1143,2*COUNTIF($G1143:J1143,"&gt;"&amp;0)+2,1)=K$1,K$1,""),"")</f>
        <v>5</v>
      </c>
      <c r="L1143" s="36" t="str">
        <f>IFERROR(IF(--MID($F1143,2*COUNTIF($G1143:K1143,"&gt;"&amp;0)+2,1)=L$1,L$1,""),"")</f>
        <v/>
      </c>
      <c r="M1143" s="36" t="e" cm="1">
        <f t="array" ref="M1143">IF(A1143="","",_xlfn.XLOOKUP(D1143&amp;"_"&amp;AE1143,符文权重!A:A&amp;"_"&amp;符文权重!C:C,符文权重!D:D))</f>
        <v>#N/A</v>
      </c>
      <c r="N1143" s="36"/>
      <c r="O1143" s="36"/>
      <c r="P1143" s="36"/>
      <c r="Q1143" s="36"/>
      <c r="R1143" s="36"/>
      <c r="S1143" s="36" t="s">
        <v>344</v>
      </c>
      <c r="T1143" s="36" t="s">
        <v>846</v>
      </c>
      <c r="U1143" s="36" t="s">
        <v>420</v>
      </c>
      <c r="V1143" s="29" t="s">
        <v>865</v>
      </c>
      <c r="W1143" s="79"/>
      <c r="X1143" s="35" t="s">
        <v>817</v>
      </c>
      <c r="Y1143" s="35">
        <v>100</v>
      </c>
      <c r="Z1143" s="31"/>
      <c r="AA1143" s="36" t="s">
        <v>185</v>
      </c>
      <c r="AB1143" s="83" t="s">
        <v>867</v>
      </c>
      <c r="AC1143" s="31">
        <v>5301263</v>
      </c>
      <c r="AD1143" s="79" t="s">
        <v>866</v>
      </c>
      <c r="AE1143" s="36">
        <v>100</v>
      </c>
      <c r="AF1143" s="79"/>
      <c r="AG1143" s="79">
        <v>1</v>
      </c>
      <c r="AH1143" s="36">
        <v>1</v>
      </c>
      <c r="AI1143" s="82"/>
      <c r="AJ1143" s="84"/>
      <c r="AK1143" s="31"/>
      <c r="AL1143" s="35"/>
    </row>
    <row r="1144" s="29" customFormat="1" hidden="1" customHeight="1" spans="1:38">
      <c r="A1144" s="82">
        <v>5305263</v>
      </c>
      <c r="B1144" s="34" t="s">
        <v>845</v>
      </c>
      <c r="C1144" s="31">
        <v>5301263</v>
      </c>
      <c r="D1144" s="79">
        <v>5</v>
      </c>
      <c r="E1144" s="79"/>
      <c r="F1144" s="79" t="s">
        <v>230</v>
      </c>
      <c r="G1144" s="36" t="str">
        <f t="shared" si="276"/>
        <v/>
      </c>
      <c r="H1144" s="36" t="str">
        <f>IFERROR(IF(--MID($F1144,2*COUNTIF($G1144:G1144,"&gt;"&amp;0)+2,1)=H$1,H$1,""),"")</f>
        <v/>
      </c>
      <c r="I1144" s="36" t="str">
        <f>IFERROR(IF(--MID($F1144,2*COUNTIF($G1144:H1144,"&gt;"&amp;0)+2,1)=I$1,I$1,""),"")</f>
        <v/>
      </c>
      <c r="J1144" s="36" t="str">
        <f>IFERROR(IF(--MID($F1144,2*COUNTIF($G1144:I1144,"&gt;"&amp;0)+2,1)=J$1,J$1,""),"")</f>
        <v/>
      </c>
      <c r="K1144" s="36">
        <f>IFERROR(IF(--MID($F1144,2*COUNTIF($G1144:J1144,"&gt;"&amp;0)+2,1)=K$1,K$1,""),"")</f>
        <v>5</v>
      </c>
      <c r="L1144" s="36" t="str">
        <f>IFERROR(IF(--MID($F1144,2*COUNTIF($G1144:K1144,"&gt;"&amp;0)+2,1)=L$1,L$1,""),"")</f>
        <v/>
      </c>
      <c r="M1144" s="36" t="e" cm="1">
        <f t="array" ref="M1144">IF(A1144="","",_xlfn.XLOOKUP(D1144&amp;"_"&amp;AE1144,符文权重!A:A&amp;"_"&amp;符文权重!C:C,符文权重!D:D))</f>
        <v>#N/A</v>
      </c>
      <c r="N1144" s="36"/>
      <c r="O1144" s="36"/>
      <c r="P1144" s="36"/>
      <c r="Q1144" s="36"/>
      <c r="R1144" s="36"/>
      <c r="S1144" s="36" t="s">
        <v>344</v>
      </c>
      <c r="T1144" s="36" t="s">
        <v>846</v>
      </c>
      <c r="U1144" s="36" t="s">
        <v>423</v>
      </c>
      <c r="V1144" s="29" t="s">
        <v>868</v>
      </c>
      <c r="W1144" s="79"/>
      <c r="X1144" s="35" t="s">
        <v>820</v>
      </c>
      <c r="Y1144" s="35">
        <v>100</v>
      </c>
      <c r="Z1144" s="31"/>
      <c r="AA1144" s="36" t="s">
        <v>187</v>
      </c>
      <c r="AB1144" s="83" t="s">
        <v>870</v>
      </c>
      <c r="AC1144" s="31">
        <v>5301263</v>
      </c>
      <c r="AD1144" s="79" t="s">
        <v>869</v>
      </c>
      <c r="AE1144" s="36">
        <v>100</v>
      </c>
      <c r="AF1144" s="79"/>
      <c r="AG1144" s="79">
        <v>1</v>
      </c>
      <c r="AH1144" s="36">
        <v>0</v>
      </c>
      <c r="AI1144" s="82"/>
      <c r="AJ1144" s="84"/>
      <c r="AK1144" s="31"/>
      <c r="AL1144" s="35"/>
    </row>
    <row r="1145" s="29" customFormat="1" hidden="1" customHeight="1" spans="1:38">
      <c r="A1145" s="82">
        <v>5306263</v>
      </c>
      <c r="B1145" s="34" t="s">
        <v>845</v>
      </c>
      <c r="C1145" s="31">
        <v>5301263</v>
      </c>
      <c r="D1145" s="79">
        <v>6</v>
      </c>
      <c r="E1145" s="79"/>
      <c r="F1145" s="79" t="s">
        <v>230</v>
      </c>
      <c r="G1145" s="36" t="str">
        <f t="shared" si="276"/>
        <v/>
      </c>
      <c r="H1145" s="36" t="str">
        <f>IFERROR(IF(--MID($F1145,2*COUNTIF($G1145:G1145,"&gt;"&amp;0)+2,1)=H$1,H$1,""),"")</f>
        <v/>
      </c>
      <c r="I1145" s="36" t="str">
        <f>IFERROR(IF(--MID($F1145,2*COUNTIF($G1145:H1145,"&gt;"&amp;0)+2,1)=I$1,I$1,""),"")</f>
        <v/>
      </c>
      <c r="J1145" s="36" t="str">
        <f>IFERROR(IF(--MID($F1145,2*COUNTIF($G1145:I1145,"&gt;"&amp;0)+2,1)=J$1,J$1,""),"")</f>
        <v/>
      </c>
      <c r="K1145" s="36">
        <f>IFERROR(IF(--MID($F1145,2*COUNTIF($G1145:J1145,"&gt;"&amp;0)+2,1)=K$1,K$1,""),"")</f>
        <v>5</v>
      </c>
      <c r="L1145" s="36" t="str">
        <f>IFERROR(IF(--MID($F1145,2*COUNTIF($G1145:K1145,"&gt;"&amp;0)+2,1)=L$1,L$1,""),"")</f>
        <v/>
      </c>
      <c r="M1145" s="36" t="e" cm="1">
        <f t="array" ref="M1145">IF(A1145="","",_xlfn.XLOOKUP(D1145&amp;"_"&amp;AE1145,符文权重!A:A&amp;"_"&amp;符文权重!C:C,符文权重!D:D))</f>
        <v>#N/A</v>
      </c>
      <c r="N1145" s="36"/>
      <c r="O1145" s="36"/>
      <c r="P1145" s="36"/>
      <c r="Q1145" s="36"/>
      <c r="R1145" s="36"/>
      <c r="S1145" s="36" t="s">
        <v>344</v>
      </c>
      <c r="T1145" s="36" t="s">
        <v>846</v>
      </c>
      <c r="U1145" s="36" t="s">
        <v>426</v>
      </c>
      <c r="V1145" s="29" t="s">
        <v>871</v>
      </c>
      <c r="W1145" s="79"/>
      <c r="X1145" s="35" t="s">
        <v>823</v>
      </c>
      <c r="Y1145" s="35">
        <v>100</v>
      </c>
      <c r="Z1145" s="31"/>
      <c r="AA1145" s="36" t="s">
        <v>189</v>
      </c>
      <c r="AB1145" s="83" t="s">
        <v>873</v>
      </c>
      <c r="AC1145" s="31">
        <v>5301263</v>
      </c>
      <c r="AD1145" s="79" t="s">
        <v>872</v>
      </c>
      <c r="AE1145" s="36">
        <v>100</v>
      </c>
      <c r="AF1145" s="79"/>
      <c r="AG1145" s="79">
        <v>1</v>
      </c>
      <c r="AH1145" s="36">
        <v>0</v>
      </c>
      <c r="AI1145" s="82"/>
      <c r="AJ1145" s="84"/>
      <c r="AK1145" s="31"/>
      <c r="AL1145" s="35"/>
    </row>
    <row r="1146" s="29" customFormat="1" hidden="1" customHeight="1" spans="1:38">
      <c r="A1146" s="82">
        <v>5307263</v>
      </c>
      <c r="B1146" s="34" t="s">
        <v>845</v>
      </c>
      <c r="C1146" s="31">
        <v>5301263</v>
      </c>
      <c r="D1146" s="79">
        <v>7</v>
      </c>
      <c r="E1146" s="79"/>
      <c r="F1146" s="79" t="s">
        <v>230</v>
      </c>
      <c r="G1146" s="36" t="str">
        <f t="shared" si="276"/>
        <v/>
      </c>
      <c r="H1146" s="36" t="str">
        <f>IFERROR(IF(--MID($F1146,2*COUNTIF($G1146:G1146,"&gt;"&amp;0)+2,1)=H$1,H$1,""),"")</f>
        <v/>
      </c>
      <c r="I1146" s="36" t="str">
        <f>IFERROR(IF(--MID($F1146,2*COUNTIF($G1146:H1146,"&gt;"&amp;0)+2,1)=I$1,I$1,""),"")</f>
        <v/>
      </c>
      <c r="J1146" s="36" t="str">
        <f>IFERROR(IF(--MID($F1146,2*COUNTIF($G1146:I1146,"&gt;"&amp;0)+2,1)=J$1,J$1,""),"")</f>
        <v/>
      </c>
      <c r="K1146" s="36">
        <f>IFERROR(IF(--MID($F1146,2*COUNTIF($G1146:J1146,"&gt;"&amp;0)+2,1)=K$1,K$1,""),"")</f>
        <v>5</v>
      </c>
      <c r="L1146" s="36" t="str">
        <f>IFERROR(IF(--MID($F1146,2*COUNTIF($G1146:K1146,"&gt;"&amp;0)+2,1)=L$1,L$1,""),"")</f>
        <v/>
      </c>
      <c r="M1146" s="36" t="e" cm="1">
        <f t="array" ref="M1146">IF(A1146="","",_xlfn.XLOOKUP(D1146&amp;"_"&amp;AE1146,符文权重!A:A&amp;"_"&amp;符文权重!C:C,符文权重!D:D))</f>
        <v>#N/A</v>
      </c>
      <c r="N1146" s="36"/>
      <c r="O1146" s="36"/>
      <c r="P1146" s="36"/>
      <c r="Q1146" s="36"/>
      <c r="R1146" s="36"/>
      <c r="S1146" s="36" t="s">
        <v>344</v>
      </c>
      <c r="T1146" s="36" t="s">
        <v>846</v>
      </c>
      <c r="U1146" s="36" t="s">
        <v>429</v>
      </c>
      <c r="V1146" s="29" t="s">
        <v>874</v>
      </c>
      <c r="W1146" s="79"/>
      <c r="X1146" s="35" t="s">
        <v>826</v>
      </c>
      <c r="Y1146" s="35">
        <v>100</v>
      </c>
      <c r="Z1146" s="31"/>
      <c r="AA1146" s="36" t="s">
        <v>191</v>
      </c>
      <c r="AB1146" s="83" t="s">
        <v>876</v>
      </c>
      <c r="AC1146" s="31">
        <v>5301263</v>
      </c>
      <c r="AD1146" s="79" t="s">
        <v>875</v>
      </c>
      <c r="AE1146" s="36">
        <v>100</v>
      </c>
      <c r="AF1146" s="79"/>
      <c r="AG1146" s="79">
        <v>1</v>
      </c>
      <c r="AH1146" s="36">
        <v>0</v>
      </c>
      <c r="AI1146" s="82"/>
      <c r="AJ1146" s="84"/>
      <c r="AK1146" s="31"/>
      <c r="AL1146" s="35"/>
    </row>
    <row r="1147" s="25" customFormat="1" hidden="1" customHeight="1" spans="1:38">
      <c r="A1147" s="33">
        <v>5304265</v>
      </c>
      <c r="B1147" s="34" t="s">
        <v>877</v>
      </c>
      <c r="C1147" s="35">
        <v>5301265</v>
      </c>
      <c r="D1147" s="36">
        <v>4</v>
      </c>
      <c r="E1147" s="36"/>
      <c r="F1147" s="36" t="s">
        <v>404</v>
      </c>
      <c r="G1147" s="36" t="str">
        <f t="shared" si="276"/>
        <v/>
      </c>
      <c r="H1147" s="36" t="str">
        <f>IFERROR(IF(--MID($F1147,2*COUNTIF($G1147:G1147,"&gt;"&amp;0)+2,1)=H$1,H$1,""),"")</f>
        <v/>
      </c>
      <c r="I1147" s="36" t="str">
        <f>IFERROR(IF(--MID($F1147,2*COUNTIF($G1147:H1147,"&gt;"&amp;0)+2,1)=I$1,I$1,""),"")</f>
        <v/>
      </c>
      <c r="J1147" s="36">
        <f>IFERROR(IF(--MID($F1147,2*COUNTIF($G1147:I1147,"&gt;"&amp;0)+2,1)=J$1,J$1,""),"")</f>
        <v>4</v>
      </c>
      <c r="K1147" s="36" t="str">
        <f>IFERROR(IF(--MID($F1147,2*COUNTIF($G1147:J1147,"&gt;"&amp;0)+2,1)=K$1,K$1,""),"")</f>
        <v/>
      </c>
      <c r="L1147" s="36" t="str">
        <f>IFERROR(IF(--MID($F1147,2*COUNTIF($G1147:K1147,"&gt;"&amp;0)+2,1)=L$1,L$1,""),"")</f>
        <v/>
      </c>
      <c r="M1147" s="36" t="e" cm="1">
        <f t="array" ref="M1147">IF(A1147="","",_xlfn.XLOOKUP(D1147&amp;"_"&amp;AE1147,符文权重!A:A&amp;"_"&amp;符文权重!C:C,符文权重!D:D))</f>
        <v>#N/A</v>
      </c>
      <c r="N1147" s="36"/>
      <c r="O1147" s="36"/>
      <c r="P1147" s="36"/>
      <c r="Q1147" s="36"/>
      <c r="R1147" s="36"/>
      <c r="S1147" s="36" t="s">
        <v>344</v>
      </c>
      <c r="T1147" s="36" t="s">
        <v>878</v>
      </c>
      <c r="U1147" s="36" t="s">
        <v>420</v>
      </c>
      <c r="V1147" s="25" t="s">
        <v>879</v>
      </c>
      <c r="W1147" s="36"/>
      <c r="X1147" s="35" t="s">
        <v>595</v>
      </c>
      <c r="Y1147" s="35">
        <v>100</v>
      </c>
      <c r="Z1147" s="35"/>
      <c r="AA1147" s="36" t="s">
        <v>185</v>
      </c>
      <c r="AB1147" s="80" t="s">
        <v>880</v>
      </c>
      <c r="AC1147" s="35">
        <v>5301265</v>
      </c>
      <c r="AD1147" s="36" t="s">
        <v>202</v>
      </c>
      <c r="AE1147" s="36">
        <v>100</v>
      </c>
      <c r="AF1147" s="36"/>
      <c r="AG1147" s="79">
        <v>1</v>
      </c>
      <c r="AH1147" s="36">
        <v>1</v>
      </c>
      <c r="AI1147" s="33"/>
      <c r="AJ1147" s="37"/>
      <c r="AK1147" s="35"/>
      <c r="AL1147" s="35"/>
    </row>
    <row r="1148" s="25" customFormat="1" hidden="1" customHeight="1" spans="1:38">
      <c r="A1148" s="25">
        <v>5305265</v>
      </c>
      <c r="B1148" s="34" t="s">
        <v>877</v>
      </c>
      <c r="C1148" s="72">
        <v>5301265</v>
      </c>
      <c r="D1148" s="36">
        <v>5</v>
      </c>
      <c r="E1148" s="36"/>
      <c r="F1148" s="36" t="s">
        <v>404</v>
      </c>
      <c r="G1148" s="36" t="str">
        <f t="shared" si="276"/>
        <v/>
      </c>
      <c r="H1148" s="36" t="str">
        <f>IFERROR(IF(--MID($F1148,2*COUNTIF($G1148:G1148,"&gt;"&amp;0)+2,1)=H$1,H$1,""),"")</f>
        <v/>
      </c>
      <c r="I1148" s="36" t="str">
        <f>IFERROR(IF(--MID($F1148,2*COUNTIF($G1148:H1148,"&gt;"&amp;0)+2,1)=I$1,I$1,""),"")</f>
        <v/>
      </c>
      <c r="J1148" s="36">
        <f>IFERROR(IF(--MID($F1148,2*COUNTIF($G1148:I1148,"&gt;"&amp;0)+2,1)=J$1,J$1,""),"")</f>
        <v>4</v>
      </c>
      <c r="K1148" s="36" t="str">
        <f>IFERROR(IF(--MID($F1148,2*COUNTIF($G1148:J1148,"&gt;"&amp;0)+2,1)=K$1,K$1,""),"")</f>
        <v/>
      </c>
      <c r="L1148" s="36" t="str">
        <f>IFERROR(IF(--MID($F1148,2*COUNTIF($G1148:K1148,"&gt;"&amp;0)+2,1)=L$1,L$1,""),"")</f>
        <v/>
      </c>
      <c r="M1148" s="36" t="e" cm="1">
        <f t="array" ref="M1148">IF(A1148="","",_xlfn.XLOOKUP(D1148&amp;"_"&amp;AE1148,符文权重!A:A&amp;"_"&amp;符文权重!C:C,符文权重!D:D))</f>
        <v>#N/A</v>
      </c>
      <c r="N1148" s="36"/>
      <c r="O1148" s="36"/>
      <c r="P1148" s="36"/>
      <c r="Q1148" s="36"/>
      <c r="R1148" s="36"/>
      <c r="S1148" s="36" t="s">
        <v>344</v>
      </c>
      <c r="T1148" s="36" t="s">
        <v>878</v>
      </c>
      <c r="U1148" s="36" t="s">
        <v>423</v>
      </c>
      <c r="V1148" s="25" t="s">
        <v>881</v>
      </c>
      <c r="W1148" s="41"/>
      <c r="X1148" s="35" t="s">
        <v>790</v>
      </c>
      <c r="Y1148" s="35">
        <v>100</v>
      </c>
      <c r="Z1148" s="35"/>
      <c r="AA1148" s="36" t="s">
        <v>187</v>
      </c>
      <c r="AB1148" s="80" t="s">
        <v>882</v>
      </c>
      <c r="AC1148" s="25">
        <v>5301265</v>
      </c>
      <c r="AD1148" s="36" t="s">
        <v>193</v>
      </c>
      <c r="AE1148" s="36">
        <v>100</v>
      </c>
      <c r="AF1148" s="36"/>
      <c r="AG1148" s="79">
        <v>1</v>
      </c>
      <c r="AH1148" s="36">
        <v>0</v>
      </c>
      <c r="AI1148" s="33"/>
      <c r="AJ1148" s="37"/>
      <c r="AK1148" s="35"/>
      <c r="AL1148" s="35"/>
    </row>
    <row r="1149" s="25" customFormat="1" hidden="1" customHeight="1" spans="1:38">
      <c r="A1149" s="33">
        <v>5306265</v>
      </c>
      <c r="B1149" s="34" t="s">
        <v>877</v>
      </c>
      <c r="C1149" s="35">
        <v>5301265</v>
      </c>
      <c r="D1149" s="36">
        <v>6</v>
      </c>
      <c r="E1149" s="36"/>
      <c r="F1149" s="36" t="s">
        <v>404</v>
      </c>
      <c r="G1149" s="36" t="str">
        <f t="shared" si="276"/>
        <v/>
      </c>
      <c r="H1149" s="36" t="str">
        <f>IFERROR(IF(--MID($F1149,2*COUNTIF($G1149:G1149,"&gt;"&amp;0)+2,1)=H$1,H$1,""),"")</f>
        <v/>
      </c>
      <c r="I1149" s="36" t="str">
        <f>IFERROR(IF(--MID($F1149,2*COUNTIF($G1149:H1149,"&gt;"&amp;0)+2,1)=I$1,I$1,""),"")</f>
        <v/>
      </c>
      <c r="J1149" s="36">
        <f>IFERROR(IF(--MID($F1149,2*COUNTIF($G1149:I1149,"&gt;"&amp;0)+2,1)=J$1,J$1,""),"")</f>
        <v>4</v>
      </c>
      <c r="K1149" s="36" t="str">
        <f>IFERROR(IF(--MID($F1149,2*COUNTIF($G1149:J1149,"&gt;"&amp;0)+2,1)=K$1,K$1,""),"")</f>
        <v/>
      </c>
      <c r="L1149" s="36" t="str">
        <f>IFERROR(IF(--MID($F1149,2*COUNTIF($G1149:K1149,"&gt;"&amp;0)+2,1)=L$1,L$1,""),"")</f>
        <v/>
      </c>
      <c r="M1149" s="36" t="e" cm="1">
        <f t="array" ref="M1149">IF(A1149="","",_xlfn.XLOOKUP(D1149&amp;"_"&amp;AE1149,符文权重!A:A&amp;"_"&amp;符文权重!C:C,符文权重!D:D))</f>
        <v>#N/A</v>
      </c>
      <c r="N1149" s="36"/>
      <c r="O1149" s="36"/>
      <c r="P1149" s="36"/>
      <c r="Q1149" s="36"/>
      <c r="R1149" s="36"/>
      <c r="S1149" s="36" t="s">
        <v>344</v>
      </c>
      <c r="T1149" s="36" t="s">
        <v>878</v>
      </c>
      <c r="U1149" s="36" t="s">
        <v>426</v>
      </c>
      <c r="V1149" s="25" t="s">
        <v>883</v>
      </c>
      <c r="W1149" s="36"/>
      <c r="X1149" s="35" t="s">
        <v>656</v>
      </c>
      <c r="Y1149" s="35">
        <v>100</v>
      </c>
      <c r="Z1149" s="35"/>
      <c r="AA1149" s="36" t="s">
        <v>189</v>
      </c>
      <c r="AB1149" s="80" t="s">
        <v>884</v>
      </c>
      <c r="AC1149" s="35">
        <v>5301265</v>
      </c>
      <c r="AD1149" s="36" t="s">
        <v>230</v>
      </c>
      <c r="AE1149" s="36">
        <v>100</v>
      </c>
      <c r="AF1149" s="36"/>
      <c r="AG1149" s="79">
        <v>1</v>
      </c>
      <c r="AH1149" s="36">
        <v>0</v>
      </c>
      <c r="AI1149" s="33"/>
      <c r="AJ1149" s="37"/>
      <c r="AK1149" s="35"/>
      <c r="AL1149" s="35"/>
    </row>
    <row r="1150" s="25" customFormat="1" hidden="1" customHeight="1" spans="1:38">
      <c r="A1150" s="33">
        <v>5307265</v>
      </c>
      <c r="B1150" s="34" t="s">
        <v>877</v>
      </c>
      <c r="C1150" s="35">
        <v>5301265</v>
      </c>
      <c r="D1150" s="36">
        <v>7</v>
      </c>
      <c r="E1150" s="36"/>
      <c r="F1150" s="36" t="s">
        <v>404</v>
      </c>
      <c r="G1150" s="36" t="str">
        <f t="shared" si="276"/>
        <v/>
      </c>
      <c r="H1150" s="36" t="str">
        <f>IFERROR(IF(--MID($F1150,2*COUNTIF($G1150:G1150,"&gt;"&amp;0)+2,1)=H$1,H$1,""),"")</f>
        <v/>
      </c>
      <c r="I1150" s="36" t="str">
        <f>IFERROR(IF(--MID($F1150,2*COUNTIF($G1150:H1150,"&gt;"&amp;0)+2,1)=I$1,I$1,""),"")</f>
        <v/>
      </c>
      <c r="J1150" s="36">
        <f>IFERROR(IF(--MID($F1150,2*COUNTIF($G1150:I1150,"&gt;"&amp;0)+2,1)=J$1,J$1,""),"")</f>
        <v>4</v>
      </c>
      <c r="K1150" s="36" t="str">
        <f>IFERROR(IF(--MID($F1150,2*COUNTIF($G1150:J1150,"&gt;"&amp;0)+2,1)=K$1,K$1,""),"")</f>
        <v/>
      </c>
      <c r="L1150" s="36" t="str">
        <f>IFERROR(IF(--MID($F1150,2*COUNTIF($G1150:K1150,"&gt;"&amp;0)+2,1)=L$1,L$1,""),"")</f>
        <v/>
      </c>
      <c r="M1150" s="36" t="e" cm="1">
        <f t="array" ref="M1150">IF(A1150="","",_xlfn.XLOOKUP(D1150&amp;"_"&amp;AE1150,符文权重!A:A&amp;"_"&amp;符文权重!C:C,符文权重!D:D))</f>
        <v>#N/A</v>
      </c>
      <c r="N1150" s="36"/>
      <c r="O1150" s="36"/>
      <c r="P1150" s="36"/>
      <c r="Q1150" s="36"/>
      <c r="R1150" s="36"/>
      <c r="S1150" s="36" t="s">
        <v>344</v>
      </c>
      <c r="T1150" s="36" t="s">
        <v>878</v>
      </c>
      <c r="U1150" s="36" t="s">
        <v>429</v>
      </c>
      <c r="V1150" s="25" t="s">
        <v>885</v>
      </c>
      <c r="W1150" s="36"/>
      <c r="X1150" s="35" t="s">
        <v>795</v>
      </c>
      <c r="Y1150" s="35">
        <v>100</v>
      </c>
      <c r="Z1150" s="35"/>
      <c r="AA1150" s="36" t="s">
        <v>191</v>
      </c>
      <c r="AB1150" s="80" t="s">
        <v>886</v>
      </c>
      <c r="AC1150" s="35">
        <v>5301265</v>
      </c>
      <c r="AD1150" s="36" t="s">
        <v>239</v>
      </c>
      <c r="AE1150" s="36">
        <v>100</v>
      </c>
      <c r="AF1150" s="36"/>
      <c r="AG1150" s="79">
        <v>1</v>
      </c>
      <c r="AH1150" s="36">
        <v>0</v>
      </c>
      <c r="AI1150" s="33"/>
      <c r="AJ1150" s="37"/>
      <c r="AK1150" s="35"/>
      <c r="AL1150" s="35"/>
    </row>
    <row r="1151" s="25" customFormat="1" hidden="1" customHeight="1" spans="1:38">
      <c r="A1151" s="33">
        <v>5304266</v>
      </c>
      <c r="B1151" s="34" t="s">
        <v>877</v>
      </c>
      <c r="C1151" s="35">
        <v>5301266</v>
      </c>
      <c r="D1151" s="36">
        <v>4</v>
      </c>
      <c r="E1151" s="36"/>
      <c r="F1151" s="36" t="s">
        <v>230</v>
      </c>
      <c r="G1151" s="36" t="str">
        <f t="shared" si="276"/>
        <v/>
      </c>
      <c r="H1151" s="36" t="str">
        <f>IFERROR(IF(--MID($F1151,2*COUNTIF($G1151:G1151,"&gt;"&amp;0)+2,1)=H$1,H$1,""),"")</f>
        <v/>
      </c>
      <c r="I1151" s="36" t="str">
        <f>IFERROR(IF(--MID($F1151,2*COUNTIF($G1151:H1151,"&gt;"&amp;0)+2,1)=I$1,I$1,""),"")</f>
        <v/>
      </c>
      <c r="J1151" s="36" t="str">
        <f>IFERROR(IF(--MID($F1151,2*COUNTIF($G1151:I1151,"&gt;"&amp;0)+2,1)=J$1,J$1,""),"")</f>
        <v/>
      </c>
      <c r="K1151" s="36">
        <f>IFERROR(IF(--MID($F1151,2*COUNTIF($G1151:J1151,"&gt;"&amp;0)+2,1)=K$1,K$1,""),"")</f>
        <v>5</v>
      </c>
      <c r="L1151" s="36" t="str">
        <f>IFERROR(IF(--MID($F1151,2*COUNTIF($G1151:K1151,"&gt;"&amp;0)+2,1)=L$1,L$1,""),"")</f>
        <v/>
      </c>
      <c r="M1151" s="36" t="e" cm="1">
        <f t="array" ref="M1151">IF(A1151="","",_xlfn.XLOOKUP(D1151&amp;"_"&amp;AE1151,符文权重!A:A&amp;"_"&amp;符文权重!C:C,符文权重!D:D))</f>
        <v>#N/A</v>
      </c>
      <c r="N1151" s="36"/>
      <c r="O1151" s="36"/>
      <c r="P1151" s="36"/>
      <c r="Q1151" s="36"/>
      <c r="R1151" s="36"/>
      <c r="S1151" s="36" t="s">
        <v>344</v>
      </c>
      <c r="T1151" s="36" t="s">
        <v>878</v>
      </c>
      <c r="U1151" s="36" t="s">
        <v>420</v>
      </c>
      <c r="V1151" s="25" t="s">
        <v>887</v>
      </c>
      <c r="W1151" s="36"/>
      <c r="X1151" s="35" t="s">
        <v>595</v>
      </c>
      <c r="Y1151" s="35">
        <v>100</v>
      </c>
      <c r="Z1151" s="35"/>
      <c r="AA1151" s="36" t="s">
        <v>185</v>
      </c>
      <c r="AB1151" s="80" t="s">
        <v>888</v>
      </c>
      <c r="AC1151" s="35">
        <v>5301266</v>
      </c>
      <c r="AD1151" s="36" t="s">
        <v>425</v>
      </c>
      <c r="AE1151" s="36">
        <v>100</v>
      </c>
      <c r="AF1151" s="36"/>
      <c r="AG1151" s="79">
        <v>1</v>
      </c>
      <c r="AH1151" s="36">
        <v>1</v>
      </c>
      <c r="AI1151" s="33"/>
      <c r="AJ1151" s="37"/>
      <c r="AK1151" s="35"/>
      <c r="AL1151" s="35"/>
    </row>
    <row r="1152" s="25" customFormat="1" hidden="1" customHeight="1" spans="1:38">
      <c r="A1152" s="33">
        <v>5305266</v>
      </c>
      <c r="B1152" s="34" t="s">
        <v>877</v>
      </c>
      <c r="C1152" s="35">
        <v>5301266</v>
      </c>
      <c r="D1152" s="36">
        <v>5</v>
      </c>
      <c r="E1152" s="36"/>
      <c r="F1152" s="36" t="s">
        <v>230</v>
      </c>
      <c r="G1152" s="36" t="str">
        <f t="shared" si="276"/>
        <v/>
      </c>
      <c r="H1152" s="36" t="str">
        <f>IFERROR(IF(--MID($F1152,2*COUNTIF($G1152:G1152,"&gt;"&amp;0)+2,1)=H$1,H$1,""),"")</f>
        <v/>
      </c>
      <c r="I1152" s="36" t="str">
        <f>IFERROR(IF(--MID($F1152,2*COUNTIF($G1152:H1152,"&gt;"&amp;0)+2,1)=I$1,I$1,""),"")</f>
        <v/>
      </c>
      <c r="J1152" s="36" t="str">
        <f>IFERROR(IF(--MID($F1152,2*COUNTIF($G1152:I1152,"&gt;"&amp;0)+2,1)=J$1,J$1,""),"")</f>
        <v/>
      </c>
      <c r="K1152" s="36">
        <f>IFERROR(IF(--MID($F1152,2*COUNTIF($G1152:J1152,"&gt;"&amp;0)+2,1)=K$1,K$1,""),"")</f>
        <v>5</v>
      </c>
      <c r="L1152" s="36" t="str">
        <f>IFERROR(IF(--MID($F1152,2*COUNTIF($G1152:K1152,"&gt;"&amp;0)+2,1)=L$1,L$1,""),"")</f>
        <v/>
      </c>
      <c r="M1152" s="36" t="e" cm="1">
        <f t="array" ref="M1152">IF(A1152="","",_xlfn.XLOOKUP(D1152&amp;"_"&amp;AE1152,符文权重!A:A&amp;"_"&amp;符文权重!C:C,符文权重!D:D))</f>
        <v>#N/A</v>
      </c>
      <c r="N1152" s="36"/>
      <c r="O1152" s="36"/>
      <c r="P1152" s="36"/>
      <c r="Q1152" s="36"/>
      <c r="R1152" s="36"/>
      <c r="S1152" s="36" t="s">
        <v>344</v>
      </c>
      <c r="T1152" s="36" t="s">
        <v>878</v>
      </c>
      <c r="U1152" s="36" t="s">
        <v>423</v>
      </c>
      <c r="V1152" s="25" t="s">
        <v>889</v>
      </c>
      <c r="W1152" s="36"/>
      <c r="X1152" s="35" t="s">
        <v>790</v>
      </c>
      <c r="Y1152" s="35">
        <v>100</v>
      </c>
      <c r="Z1152" s="35"/>
      <c r="AA1152" s="36" t="s">
        <v>187</v>
      </c>
      <c r="AB1152" s="80" t="s">
        <v>890</v>
      </c>
      <c r="AC1152" s="35">
        <v>5301266</v>
      </c>
      <c r="AD1152" s="36" t="s">
        <v>487</v>
      </c>
      <c r="AE1152" s="36">
        <v>100</v>
      </c>
      <c r="AF1152" s="36"/>
      <c r="AG1152" s="79">
        <v>1</v>
      </c>
      <c r="AH1152" s="36">
        <v>0</v>
      </c>
      <c r="AI1152" s="33"/>
      <c r="AJ1152" s="37"/>
      <c r="AK1152" s="35"/>
      <c r="AL1152" s="35"/>
    </row>
    <row r="1153" s="25" customFormat="1" hidden="1" customHeight="1" spans="1:38">
      <c r="A1153" s="33">
        <v>5306266</v>
      </c>
      <c r="B1153" s="34" t="s">
        <v>877</v>
      </c>
      <c r="C1153" s="35">
        <v>5301266</v>
      </c>
      <c r="D1153" s="36">
        <v>6</v>
      </c>
      <c r="E1153" s="36"/>
      <c r="F1153" s="36" t="s">
        <v>230</v>
      </c>
      <c r="G1153" s="36" t="str">
        <f t="shared" si="276"/>
        <v/>
      </c>
      <c r="H1153" s="36" t="str">
        <f>IFERROR(IF(--MID($F1153,2*COUNTIF($G1153:G1153,"&gt;"&amp;0)+2,1)=H$1,H$1,""),"")</f>
        <v/>
      </c>
      <c r="I1153" s="36" t="str">
        <f>IFERROR(IF(--MID($F1153,2*COUNTIF($G1153:H1153,"&gt;"&amp;0)+2,1)=I$1,I$1,""),"")</f>
        <v/>
      </c>
      <c r="J1153" s="36" t="str">
        <f>IFERROR(IF(--MID($F1153,2*COUNTIF($G1153:I1153,"&gt;"&amp;0)+2,1)=J$1,J$1,""),"")</f>
        <v/>
      </c>
      <c r="K1153" s="36">
        <f>IFERROR(IF(--MID($F1153,2*COUNTIF($G1153:J1153,"&gt;"&amp;0)+2,1)=K$1,K$1,""),"")</f>
        <v>5</v>
      </c>
      <c r="L1153" s="36" t="str">
        <f>IFERROR(IF(--MID($F1153,2*COUNTIF($G1153:K1153,"&gt;"&amp;0)+2,1)=L$1,L$1,""),"")</f>
        <v/>
      </c>
      <c r="M1153" s="36" t="e" cm="1">
        <f t="array" ref="M1153">IF(A1153="","",_xlfn.XLOOKUP(D1153&amp;"_"&amp;AE1153,符文权重!A:A&amp;"_"&amp;符文权重!C:C,符文权重!D:D))</f>
        <v>#N/A</v>
      </c>
      <c r="N1153" s="36"/>
      <c r="O1153" s="36"/>
      <c r="P1153" s="36"/>
      <c r="Q1153" s="36"/>
      <c r="R1153" s="36"/>
      <c r="S1153" s="36" t="s">
        <v>344</v>
      </c>
      <c r="T1153" s="36" t="s">
        <v>878</v>
      </c>
      <c r="U1153" s="36" t="s">
        <v>426</v>
      </c>
      <c r="V1153" s="25" t="s">
        <v>891</v>
      </c>
      <c r="W1153" s="36"/>
      <c r="X1153" s="35" t="s">
        <v>656</v>
      </c>
      <c r="Y1153" s="35">
        <v>100</v>
      </c>
      <c r="Z1153" s="35"/>
      <c r="AA1153" s="36" t="s">
        <v>189</v>
      </c>
      <c r="AB1153" s="80" t="s">
        <v>892</v>
      </c>
      <c r="AC1153" s="35">
        <v>5301266</v>
      </c>
      <c r="AD1153" s="36" t="s">
        <v>474</v>
      </c>
      <c r="AE1153" s="36">
        <v>100</v>
      </c>
      <c r="AF1153" s="36"/>
      <c r="AG1153" s="79">
        <v>1</v>
      </c>
      <c r="AH1153" s="36">
        <v>0</v>
      </c>
      <c r="AI1153" s="33"/>
      <c r="AJ1153" s="37"/>
      <c r="AK1153" s="35"/>
      <c r="AL1153" s="35"/>
    </row>
    <row r="1154" s="25" customFormat="1" hidden="1" customHeight="1" spans="1:38">
      <c r="A1154" s="33">
        <v>5307266</v>
      </c>
      <c r="B1154" s="34" t="s">
        <v>877</v>
      </c>
      <c r="C1154" s="35">
        <v>5301266</v>
      </c>
      <c r="D1154" s="36">
        <v>7</v>
      </c>
      <c r="E1154" s="36"/>
      <c r="F1154" s="36" t="s">
        <v>230</v>
      </c>
      <c r="G1154" s="36" t="str">
        <f t="shared" si="276"/>
        <v/>
      </c>
      <c r="H1154" s="36" t="str">
        <f>IFERROR(IF(--MID($F1154,2*COUNTIF($G1154:G1154,"&gt;"&amp;0)+2,1)=H$1,H$1,""),"")</f>
        <v/>
      </c>
      <c r="I1154" s="36" t="str">
        <f>IFERROR(IF(--MID($F1154,2*COUNTIF($G1154:H1154,"&gt;"&amp;0)+2,1)=I$1,I$1,""),"")</f>
        <v/>
      </c>
      <c r="J1154" s="36" t="str">
        <f>IFERROR(IF(--MID($F1154,2*COUNTIF($G1154:I1154,"&gt;"&amp;0)+2,1)=J$1,J$1,""),"")</f>
        <v/>
      </c>
      <c r="K1154" s="36">
        <f>IFERROR(IF(--MID($F1154,2*COUNTIF($G1154:J1154,"&gt;"&amp;0)+2,1)=K$1,K$1,""),"")</f>
        <v>5</v>
      </c>
      <c r="L1154" s="36" t="str">
        <f>IFERROR(IF(--MID($F1154,2*COUNTIF($G1154:K1154,"&gt;"&amp;0)+2,1)=L$1,L$1,""),"")</f>
        <v/>
      </c>
      <c r="M1154" s="36" t="e" cm="1">
        <f t="array" ref="M1154">IF(A1154="","",_xlfn.XLOOKUP(D1154&amp;"_"&amp;AE1154,符文权重!A:A&amp;"_"&amp;符文权重!C:C,符文权重!D:D))</f>
        <v>#N/A</v>
      </c>
      <c r="N1154" s="36"/>
      <c r="O1154" s="36"/>
      <c r="P1154" s="36"/>
      <c r="Q1154" s="36"/>
      <c r="R1154" s="36"/>
      <c r="S1154" s="36" t="s">
        <v>344</v>
      </c>
      <c r="T1154" s="36" t="s">
        <v>878</v>
      </c>
      <c r="U1154" s="36" t="s">
        <v>429</v>
      </c>
      <c r="V1154" s="25" t="s">
        <v>893</v>
      </c>
      <c r="W1154" s="36"/>
      <c r="X1154" s="35" t="s">
        <v>795</v>
      </c>
      <c r="Y1154" s="35">
        <v>100</v>
      </c>
      <c r="Z1154" s="35"/>
      <c r="AA1154" s="36" t="s">
        <v>191</v>
      </c>
      <c r="AB1154" s="80" t="s">
        <v>894</v>
      </c>
      <c r="AC1154" s="35">
        <v>5301266</v>
      </c>
      <c r="AD1154" s="36" t="s">
        <v>476</v>
      </c>
      <c r="AE1154" s="36">
        <v>100</v>
      </c>
      <c r="AF1154" s="36"/>
      <c r="AG1154" s="79">
        <v>1</v>
      </c>
      <c r="AH1154" s="36">
        <v>0</v>
      </c>
      <c r="AI1154" s="33"/>
      <c r="AJ1154" s="37"/>
      <c r="AK1154" s="35"/>
      <c r="AL1154" s="35"/>
    </row>
    <row r="1155" s="25" customFormat="1" hidden="1" customHeight="1" spans="1:38">
      <c r="A1155" s="33">
        <v>5304267</v>
      </c>
      <c r="B1155" s="34" t="s">
        <v>877</v>
      </c>
      <c r="C1155" s="35">
        <v>5301267</v>
      </c>
      <c r="D1155" s="36">
        <v>4</v>
      </c>
      <c r="E1155" s="36"/>
      <c r="F1155" s="36" t="s">
        <v>220</v>
      </c>
      <c r="G1155" s="36" t="str">
        <f t="shared" si="276"/>
        <v/>
      </c>
      <c r="H1155" s="36" t="str">
        <f>IFERROR(IF(--MID($F1155,2*COUNTIF($G1155:G1155,"&gt;"&amp;0)+2,1)=H$1,H$1,""),"")</f>
        <v/>
      </c>
      <c r="I1155" s="36" t="str">
        <f>IFERROR(IF(--MID($F1155,2*COUNTIF($G1155:H1155,"&gt;"&amp;0)+2,1)=I$1,I$1,""),"")</f>
        <v/>
      </c>
      <c r="J1155" s="36" t="str">
        <f>IFERROR(IF(--MID($F1155,2*COUNTIF($G1155:I1155,"&gt;"&amp;0)+2,1)=J$1,J$1,""),"")</f>
        <v/>
      </c>
      <c r="K1155" s="36" t="str">
        <f>IFERROR(IF(--MID($F1155,2*COUNTIF($G1155:J1155,"&gt;"&amp;0)+2,1)=K$1,K$1,""),"")</f>
        <v/>
      </c>
      <c r="L1155" s="36">
        <f>IFERROR(IF(--MID($F1155,2*COUNTIF($G1155:K1155,"&gt;"&amp;0)+2,1)=L$1,L$1,""),"")</f>
        <v>6</v>
      </c>
      <c r="M1155" s="36" t="e" cm="1">
        <f t="array" ref="M1155">IF(A1155="","",_xlfn.XLOOKUP(D1155&amp;"_"&amp;AE1155,符文权重!A:A&amp;"_"&amp;符文权重!C:C,符文权重!D:D))</f>
        <v>#N/A</v>
      </c>
      <c r="N1155" s="36"/>
      <c r="O1155" s="36"/>
      <c r="P1155" s="36"/>
      <c r="Q1155" s="36"/>
      <c r="R1155" s="36"/>
      <c r="S1155" s="36" t="s">
        <v>344</v>
      </c>
      <c r="T1155" s="36" t="s">
        <v>878</v>
      </c>
      <c r="U1155" s="36" t="s">
        <v>420</v>
      </c>
      <c r="V1155" s="25" t="s">
        <v>895</v>
      </c>
      <c r="W1155" s="36"/>
      <c r="X1155" s="35" t="s">
        <v>595</v>
      </c>
      <c r="Y1155" s="35">
        <v>100</v>
      </c>
      <c r="Z1155" s="35"/>
      <c r="AA1155" s="36" t="s">
        <v>185</v>
      </c>
      <c r="AB1155" s="36" t="s">
        <v>896</v>
      </c>
      <c r="AC1155" s="35">
        <v>53012671</v>
      </c>
      <c r="AD1155" s="36" t="s">
        <v>596</v>
      </c>
      <c r="AE1155" s="36">
        <v>100</v>
      </c>
      <c r="AF1155" s="36"/>
      <c r="AG1155" s="79">
        <v>1</v>
      </c>
      <c r="AH1155" s="36">
        <v>1</v>
      </c>
      <c r="AI1155" s="33"/>
      <c r="AJ1155" s="37"/>
      <c r="AK1155" s="35"/>
      <c r="AL1155" s="35"/>
    </row>
    <row r="1156" s="25" customFormat="1" hidden="1" customHeight="1" spans="1:38">
      <c r="A1156" s="33">
        <v>5305267</v>
      </c>
      <c r="B1156" s="34" t="s">
        <v>877</v>
      </c>
      <c r="C1156" s="35">
        <v>5301267</v>
      </c>
      <c r="D1156" s="36">
        <v>5</v>
      </c>
      <c r="E1156" s="36"/>
      <c r="F1156" s="36" t="s">
        <v>220</v>
      </c>
      <c r="G1156" s="36" t="str">
        <f t="shared" si="276"/>
        <v/>
      </c>
      <c r="H1156" s="36" t="str">
        <f>IFERROR(IF(--MID($F1156,2*COUNTIF($G1156:G1156,"&gt;"&amp;0)+2,1)=H$1,H$1,""),"")</f>
        <v/>
      </c>
      <c r="I1156" s="36" t="str">
        <f>IFERROR(IF(--MID($F1156,2*COUNTIF($G1156:H1156,"&gt;"&amp;0)+2,1)=I$1,I$1,""),"")</f>
        <v/>
      </c>
      <c r="J1156" s="36" t="str">
        <f>IFERROR(IF(--MID($F1156,2*COUNTIF($G1156:I1156,"&gt;"&amp;0)+2,1)=J$1,J$1,""),"")</f>
        <v/>
      </c>
      <c r="K1156" s="36" t="str">
        <f>IFERROR(IF(--MID($F1156,2*COUNTIF($G1156:J1156,"&gt;"&amp;0)+2,1)=K$1,K$1,""),"")</f>
        <v/>
      </c>
      <c r="L1156" s="36">
        <f>IFERROR(IF(--MID($F1156,2*COUNTIF($G1156:K1156,"&gt;"&amp;0)+2,1)=L$1,L$1,""),"")</f>
        <v>6</v>
      </c>
      <c r="M1156" s="36" t="e" cm="1">
        <f t="array" ref="M1156">IF(A1156="","",_xlfn.XLOOKUP(D1156&amp;"_"&amp;AE1156,符文权重!A:A&amp;"_"&amp;符文权重!C:C,符文权重!D:D))</f>
        <v>#N/A</v>
      </c>
      <c r="N1156" s="36"/>
      <c r="O1156" s="36"/>
      <c r="P1156" s="36"/>
      <c r="Q1156" s="36"/>
      <c r="R1156" s="36"/>
      <c r="S1156" s="36" t="s">
        <v>344</v>
      </c>
      <c r="T1156" s="36" t="s">
        <v>878</v>
      </c>
      <c r="U1156" s="36" t="s">
        <v>423</v>
      </c>
      <c r="V1156" s="25" t="s">
        <v>897</v>
      </c>
      <c r="W1156" s="36"/>
      <c r="X1156" s="35" t="s">
        <v>790</v>
      </c>
      <c r="Y1156" s="35">
        <v>100</v>
      </c>
      <c r="Z1156" s="35"/>
      <c r="AA1156" s="36" t="s">
        <v>187</v>
      </c>
      <c r="AB1156" s="36" t="s">
        <v>899</v>
      </c>
      <c r="AC1156" s="35">
        <v>53012672</v>
      </c>
      <c r="AD1156" s="36" t="s">
        <v>898</v>
      </c>
      <c r="AE1156" s="36">
        <v>100</v>
      </c>
      <c r="AF1156" s="36"/>
      <c r="AG1156" s="79">
        <v>1</v>
      </c>
      <c r="AH1156" s="36">
        <v>0</v>
      </c>
      <c r="AI1156" s="33"/>
      <c r="AJ1156" s="37"/>
      <c r="AK1156" s="35"/>
      <c r="AL1156" s="35"/>
    </row>
    <row r="1157" s="25" customFormat="1" hidden="1" customHeight="1" spans="1:38">
      <c r="A1157" s="33">
        <v>5306267</v>
      </c>
      <c r="B1157" s="34" t="s">
        <v>877</v>
      </c>
      <c r="C1157" s="35">
        <v>5301267</v>
      </c>
      <c r="D1157" s="36">
        <v>6</v>
      </c>
      <c r="E1157" s="36"/>
      <c r="F1157" s="36" t="s">
        <v>220</v>
      </c>
      <c r="G1157" s="36" t="str">
        <f t="shared" si="276"/>
        <v/>
      </c>
      <c r="H1157" s="36" t="str">
        <f>IFERROR(IF(--MID($F1157,2*COUNTIF($G1157:G1157,"&gt;"&amp;0)+2,1)=H$1,H$1,""),"")</f>
        <v/>
      </c>
      <c r="I1157" s="36" t="str">
        <f>IFERROR(IF(--MID($F1157,2*COUNTIF($G1157:H1157,"&gt;"&amp;0)+2,1)=I$1,I$1,""),"")</f>
        <v/>
      </c>
      <c r="J1157" s="36" t="str">
        <f>IFERROR(IF(--MID($F1157,2*COUNTIF($G1157:I1157,"&gt;"&amp;0)+2,1)=J$1,J$1,""),"")</f>
        <v/>
      </c>
      <c r="K1157" s="36" t="str">
        <f>IFERROR(IF(--MID($F1157,2*COUNTIF($G1157:J1157,"&gt;"&amp;0)+2,1)=K$1,K$1,""),"")</f>
        <v/>
      </c>
      <c r="L1157" s="36">
        <f>IFERROR(IF(--MID($F1157,2*COUNTIF($G1157:K1157,"&gt;"&amp;0)+2,1)=L$1,L$1,""),"")</f>
        <v>6</v>
      </c>
      <c r="M1157" s="36" t="e" cm="1">
        <f t="array" ref="M1157">IF(A1157="","",_xlfn.XLOOKUP(D1157&amp;"_"&amp;AE1157,符文权重!A:A&amp;"_"&amp;符文权重!C:C,符文权重!D:D))</f>
        <v>#N/A</v>
      </c>
      <c r="N1157" s="36"/>
      <c r="O1157" s="36"/>
      <c r="P1157" s="36"/>
      <c r="Q1157" s="36"/>
      <c r="R1157" s="36"/>
      <c r="S1157" s="36" t="s">
        <v>344</v>
      </c>
      <c r="T1157" s="36" t="s">
        <v>878</v>
      </c>
      <c r="U1157" s="36" t="s">
        <v>426</v>
      </c>
      <c r="V1157" s="25" t="s">
        <v>900</v>
      </c>
      <c r="W1157" s="36"/>
      <c r="X1157" s="35" t="s">
        <v>656</v>
      </c>
      <c r="Y1157" s="35">
        <v>100</v>
      </c>
      <c r="Z1157" s="35"/>
      <c r="AA1157" s="36" t="s">
        <v>189</v>
      </c>
      <c r="AB1157" s="36" t="s">
        <v>901</v>
      </c>
      <c r="AC1157" s="35">
        <v>53012672</v>
      </c>
      <c r="AD1157" s="36" t="s">
        <v>462</v>
      </c>
      <c r="AE1157" s="36">
        <v>100</v>
      </c>
      <c r="AF1157" s="36"/>
      <c r="AG1157" s="79">
        <v>1</v>
      </c>
      <c r="AH1157" s="36">
        <v>0</v>
      </c>
      <c r="AI1157" s="33"/>
      <c r="AJ1157" s="37"/>
      <c r="AK1157" s="35"/>
      <c r="AL1157" s="35"/>
    </row>
    <row r="1158" s="25" customFormat="1" hidden="1" customHeight="1" spans="1:38">
      <c r="A1158" s="33">
        <v>5307267</v>
      </c>
      <c r="B1158" s="34" t="s">
        <v>877</v>
      </c>
      <c r="C1158" s="35">
        <v>5301267</v>
      </c>
      <c r="D1158" s="36">
        <v>7</v>
      </c>
      <c r="E1158" s="36"/>
      <c r="F1158" s="36" t="s">
        <v>220</v>
      </c>
      <c r="G1158" s="36" t="str">
        <f t="shared" si="276"/>
        <v/>
      </c>
      <c r="H1158" s="36" t="str">
        <f>IFERROR(IF(--MID($F1158,2*COUNTIF($G1158:G1158,"&gt;"&amp;0)+2,1)=H$1,H$1,""),"")</f>
        <v/>
      </c>
      <c r="I1158" s="36" t="str">
        <f>IFERROR(IF(--MID($F1158,2*COUNTIF($G1158:H1158,"&gt;"&amp;0)+2,1)=I$1,I$1,""),"")</f>
        <v/>
      </c>
      <c r="J1158" s="36" t="str">
        <f>IFERROR(IF(--MID($F1158,2*COUNTIF($G1158:I1158,"&gt;"&amp;0)+2,1)=J$1,J$1,""),"")</f>
        <v/>
      </c>
      <c r="K1158" s="36" t="str">
        <f>IFERROR(IF(--MID($F1158,2*COUNTIF($G1158:J1158,"&gt;"&amp;0)+2,1)=K$1,K$1,""),"")</f>
        <v/>
      </c>
      <c r="L1158" s="36">
        <f>IFERROR(IF(--MID($F1158,2*COUNTIF($G1158:K1158,"&gt;"&amp;0)+2,1)=L$1,L$1,""),"")</f>
        <v>6</v>
      </c>
      <c r="M1158" s="36" t="e" cm="1">
        <f t="array" ref="M1158">IF(A1158="","",_xlfn.XLOOKUP(D1158&amp;"_"&amp;AE1158,符文权重!A:A&amp;"_"&amp;符文权重!C:C,符文权重!D:D))</f>
        <v>#N/A</v>
      </c>
      <c r="N1158" s="36"/>
      <c r="O1158" s="36"/>
      <c r="P1158" s="36"/>
      <c r="Q1158" s="36"/>
      <c r="R1158" s="36"/>
      <c r="S1158" s="36" t="s">
        <v>344</v>
      </c>
      <c r="T1158" s="36" t="s">
        <v>878</v>
      </c>
      <c r="U1158" s="36" t="s">
        <v>429</v>
      </c>
      <c r="V1158" s="25" t="s">
        <v>902</v>
      </c>
      <c r="W1158" s="36"/>
      <c r="X1158" s="35" t="s">
        <v>795</v>
      </c>
      <c r="Y1158" s="35">
        <v>100</v>
      </c>
      <c r="Z1158" s="35"/>
      <c r="AA1158" s="36" t="s">
        <v>191</v>
      </c>
      <c r="AB1158" s="36" t="s">
        <v>904</v>
      </c>
      <c r="AC1158" s="35">
        <v>53012672</v>
      </c>
      <c r="AD1158" s="36" t="s">
        <v>903</v>
      </c>
      <c r="AE1158" s="36">
        <v>100</v>
      </c>
      <c r="AF1158" s="36"/>
      <c r="AG1158" s="79">
        <v>1</v>
      </c>
      <c r="AH1158" s="36">
        <v>0</v>
      </c>
      <c r="AI1158" s="33"/>
      <c r="AJ1158" s="37"/>
      <c r="AK1158" s="35"/>
      <c r="AL1158" s="35"/>
    </row>
    <row r="1159" s="25" customFormat="1" hidden="1" customHeight="1" spans="1:38">
      <c r="A1159" s="33">
        <v>5304269</v>
      </c>
      <c r="B1159" s="34" t="s">
        <v>905</v>
      </c>
      <c r="C1159" s="35">
        <v>5301269</v>
      </c>
      <c r="D1159" s="36">
        <v>4</v>
      </c>
      <c r="E1159" s="36"/>
      <c r="F1159" s="36" t="s">
        <v>220</v>
      </c>
      <c r="G1159" s="36" t="str">
        <f t="shared" si="276"/>
        <v/>
      </c>
      <c r="H1159" s="36" t="str">
        <f>IFERROR(IF(--MID($F1159,2*COUNTIF($G1159:G1159,"&gt;"&amp;0)+2,1)=H$1,H$1,""),"")</f>
        <v/>
      </c>
      <c r="I1159" s="36" t="str">
        <f>IFERROR(IF(--MID($F1159,2*COUNTIF($G1159:H1159,"&gt;"&amp;0)+2,1)=I$1,I$1,""),"")</f>
        <v/>
      </c>
      <c r="J1159" s="36" t="str">
        <f>IFERROR(IF(--MID($F1159,2*COUNTIF($G1159:I1159,"&gt;"&amp;0)+2,1)=J$1,J$1,""),"")</f>
        <v/>
      </c>
      <c r="K1159" s="36" t="str">
        <f>IFERROR(IF(--MID($F1159,2*COUNTIF($G1159:J1159,"&gt;"&amp;0)+2,1)=K$1,K$1,""),"")</f>
        <v/>
      </c>
      <c r="L1159" s="36">
        <f>IFERROR(IF(--MID($F1159,2*COUNTIF($G1159:K1159,"&gt;"&amp;0)+2,1)=L$1,L$1,""),"")</f>
        <v>6</v>
      </c>
      <c r="M1159" s="36" t="e" cm="1">
        <f t="array" ref="M1159">IF(A1159="","",_xlfn.XLOOKUP(D1159&amp;"_"&amp;AE1159,符文权重!A:A&amp;"_"&amp;符文权重!C:C,符文权重!D:D))</f>
        <v>#N/A</v>
      </c>
      <c r="N1159" s="36"/>
      <c r="O1159" s="36"/>
      <c r="P1159" s="36"/>
      <c r="Q1159" s="36"/>
      <c r="R1159" s="36"/>
      <c r="S1159" s="36" t="s">
        <v>344</v>
      </c>
      <c r="T1159" s="36" t="s">
        <v>906</v>
      </c>
      <c r="U1159" s="36" t="s">
        <v>420</v>
      </c>
      <c r="V1159" s="25" t="s">
        <v>907</v>
      </c>
      <c r="W1159" s="36"/>
      <c r="X1159" s="35" t="s">
        <v>595</v>
      </c>
      <c r="Y1159" s="35">
        <v>100</v>
      </c>
      <c r="Z1159" s="35"/>
      <c r="AA1159" s="36" t="s">
        <v>185</v>
      </c>
      <c r="AB1159" s="81" t="s">
        <v>908</v>
      </c>
      <c r="AC1159" s="35">
        <v>5301269</v>
      </c>
      <c r="AD1159" s="36" t="s">
        <v>428</v>
      </c>
      <c r="AE1159" s="36">
        <v>100</v>
      </c>
      <c r="AF1159" s="36"/>
      <c r="AG1159" s="79">
        <v>1</v>
      </c>
      <c r="AH1159" s="36">
        <v>1</v>
      </c>
      <c r="AI1159" s="33"/>
      <c r="AJ1159" s="37"/>
      <c r="AK1159" s="35"/>
      <c r="AL1159" s="35"/>
    </row>
    <row r="1160" s="25" customFormat="1" hidden="1" customHeight="1" spans="1:38">
      <c r="A1160" s="33">
        <v>5305269</v>
      </c>
      <c r="B1160" s="34" t="s">
        <v>905</v>
      </c>
      <c r="C1160" s="35">
        <v>5301269</v>
      </c>
      <c r="D1160" s="36">
        <v>5</v>
      </c>
      <c r="E1160" s="36"/>
      <c r="F1160" s="36" t="s">
        <v>220</v>
      </c>
      <c r="G1160" s="36" t="str">
        <f t="shared" si="276"/>
        <v/>
      </c>
      <c r="H1160" s="36" t="str">
        <f>IFERROR(IF(--MID($F1160,2*COUNTIF($G1160:G1160,"&gt;"&amp;0)+2,1)=H$1,H$1,""),"")</f>
        <v/>
      </c>
      <c r="I1160" s="36" t="str">
        <f>IFERROR(IF(--MID($F1160,2*COUNTIF($G1160:H1160,"&gt;"&amp;0)+2,1)=I$1,I$1,""),"")</f>
        <v/>
      </c>
      <c r="J1160" s="36" t="str">
        <f>IFERROR(IF(--MID($F1160,2*COUNTIF($G1160:I1160,"&gt;"&amp;0)+2,1)=J$1,J$1,""),"")</f>
        <v/>
      </c>
      <c r="K1160" s="36" t="str">
        <f>IFERROR(IF(--MID($F1160,2*COUNTIF($G1160:J1160,"&gt;"&amp;0)+2,1)=K$1,K$1,""),"")</f>
        <v/>
      </c>
      <c r="L1160" s="36">
        <f>IFERROR(IF(--MID($F1160,2*COUNTIF($G1160:K1160,"&gt;"&amp;0)+2,1)=L$1,L$1,""),"")</f>
        <v>6</v>
      </c>
      <c r="M1160" s="36" t="e" cm="1">
        <f t="array" ref="M1160">IF(A1160="","",_xlfn.XLOOKUP(D1160&amp;"_"&amp;AE1160,符文权重!A:A&amp;"_"&amp;符文权重!C:C,符文权重!D:D))</f>
        <v>#N/A</v>
      </c>
      <c r="N1160" s="36"/>
      <c r="O1160" s="36"/>
      <c r="P1160" s="36"/>
      <c r="Q1160" s="36"/>
      <c r="R1160" s="36"/>
      <c r="S1160" s="36" t="s">
        <v>344</v>
      </c>
      <c r="T1160" s="36" t="s">
        <v>906</v>
      </c>
      <c r="U1160" s="36" t="s">
        <v>423</v>
      </c>
      <c r="V1160" s="25" t="s">
        <v>909</v>
      </c>
      <c r="W1160" s="36"/>
      <c r="X1160" s="35" t="s">
        <v>790</v>
      </c>
      <c r="Y1160" s="35">
        <v>100</v>
      </c>
      <c r="Z1160" s="35"/>
      <c r="AA1160" s="36" t="s">
        <v>187</v>
      </c>
      <c r="AB1160" s="81" t="s">
        <v>910</v>
      </c>
      <c r="AC1160" s="35">
        <v>5301269</v>
      </c>
      <c r="AD1160" s="36" t="s">
        <v>808</v>
      </c>
      <c r="AE1160" s="36">
        <v>100</v>
      </c>
      <c r="AF1160" s="36"/>
      <c r="AG1160" s="79">
        <v>1</v>
      </c>
      <c r="AH1160" s="36">
        <v>0</v>
      </c>
      <c r="AI1160" s="33"/>
      <c r="AJ1160" s="37"/>
      <c r="AK1160" s="35"/>
      <c r="AL1160" s="35"/>
    </row>
    <row r="1161" s="25" customFormat="1" hidden="1" customHeight="1" spans="1:38">
      <c r="A1161" s="33">
        <v>5306269</v>
      </c>
      <c r="B1161" s="34" t="s">
        <v>905</v>
      </c>
      <c r="C1161" s="35">
        <v>5301269</v>
      </c>
      <c r="D1161" s="36">
        <v>6</v>
      </c>
      <c r="E1161" s="36"/>
      <c r="F1161" s="36" t="s">
        <v>220</v>
      </c>
      <c r="G1161" s="36" t="str">
        <f t="shared" si="276"/>
        <v/>
      </c>
      <c r="H1161" s="36" t="str">
        <f>IFERROR(IF(--MID($F1161,2*COUNTIF($G1161:G1161,"&gt;"&amp;0)+2,1)=H$1,H$1,""),"")</f>
        <v/>
      </c>
      <c r="I1161" s="36" t="str">
        <f>IFERROR(IF(--MID($F1161,2*COUNTIF($G1161:H1161,"&gt;"&amp;0)+2,1)=I$1,I$1,""),"")</f>
        <v/>
      </c>
      <c r="J1161" s="36" t="str">
        <f>IFERROR(IF(--MID($F1161,2*COUNTIF($G1161:I1161,"&gt;"&amp;0)+2,1)=J$1,J$1,""),"")</f>
        <v/>
      </c>
      <c r="K1161" s="36" t="str">
        <f>IFERROR(IF(--MID($F1161,2*COUNTIF($G1161:J1161,"&gt;"&amp;0)+2,1)=K$1,K$1,""),"")</f>
        <v/>
      </c>
      <c r="L1161" s="36">
        <f>IFERROR(IF(--MID($F1161,2*COUNTIF($G1161:K1161,"&gt;"&amp;0)+2,1)=L$1,L$1,""),"")</f>
        <v>6</v>
      </c>
      <c r="M1161" s="36" t="e" cm="1">
        <f t="array" ref="M1161">IF(A1161="","",_xlfn.XLOOKUP(D1161&amp;"_"&amp;AE1161,符文权重!A:A&amp;"_"&amp;符文权重!C:C,符文权重!D:D))</f>
        <v>#N/A</v>
      </c>
      <c r="N1161" s="36"/>
      <c r="O1161" s="36"/>
      <c r="P1161" s="36"/>
      <c r="Q1161" s="36"/>
      <c r="R1161" s="36"/>
      <c r="S1161" s="36" t="s">
        <v>344</v>
      </c>
      <c r="T1161" s="36" t="s">
        <v>906</v>
      </c>
      <c r="U1161" s="36" t="s">
        <v>426</v>
      </c>
      <c r="V1161" s="25" t="s">
        <v>911</v>
      </c>
      <c r="W1161" s="36"/>
      <c r="X1161" s="35" t="s">
        <v>656</v>
      </c>
      <c r="Y1161" s="35">
        <v>100</v>
      </c>
      <c r="Z1161" s="35"/>
      <c r="AA1161" s="36" t="s">
        <v>189</v>
      </c>
      <c r="AB1161" s="81" t="s">
        <v>912</v>
      </c>
      <c r="AC1161" s="35">
        <v>5301269</v>
      </c>
      <c r="AD1161" s="36" t="s">
        <v>660</v>
      </c>
      <c r="AE1161" s="36">
        <v>100</v>
      </c>
      <c r="AF1161" s="36"/>
      <c r="AG1161" s="79">
        <v>1</v>
      </c>
      <c r="AH1161" s="36">
        <v>0</v>
      </c>
      <c r="AI1161" s="33"/>
      <c r="AJ1161" s="37"/>
      <c r="AK1161" s="35"/>
      <c r="AL1161" s="35"/>
    </row>
    <row r="1162" s="25" customFormat="1" hidden="1" customHeight="1" spans="1:38">
      <c r="A1162" s="33">
        <v>5307269</v>
      </c>
      <c r="B1162" s="34" t="s">
        <v>905</v>
      </c>
      <c r="C1162" s="35">
        <v>5301269</v>
      </c>
      <c r="D1162" s="36">
        <v>7</v>
      </c>
      <c r="E1162" s="36"/>
      <c r="F1162" s="36" t="s">
        <v>220</v>
      </c>
      <c r="G1162" s="36" t="str">
        <f t="shared" si="276"/>
        <v/>
      </c>
      <c r="H1162" s="36" t="str">
        <f>IFERROR(IF(--MID($F1162,2*COUNTIF($G1162:G1162,"&gt;"&amp;0)+2,1)=H$1,H$1,""),"")</f>
        <v/>
      </c>
      <c r="I1162" s="36" t="str">
        <f>IFERROR(IF(--MID($F1162,2*COUNTIF($G1162:H1162,"&gt;"&amp;0)+2,1)=I$1,I$1,""),"")</f>
        <v/>
      </c>
      <c r="J1162" s="36" t="str">
        <f>IFERROR(IF(--MID($F1162,2*COUNTIF($G1162:I1162,"&gt;"&amp;0)+2,1)=J$1,J$1,""),"")</f>
        <v/>
      </c>
      <c r="K1162" s="36" t="str">
        <f>IFERROR(IF(--MID($F1162,2*COUNTIF($G1162:J1162,"&gt;"&amp;0)+2,1)=K$1,K$1,""),"")</f>
        <v/>
      </c>
      <c r="L1162" s="36">
        <f>IFERROR(IF(--MID($F1162,2*COUNTIF($G1162:K1162,"&gt;"&amp;0)+2,1)=L$1,L$1,""),"")</f>
        <v>6</v>
      </c>
      <c r="M1162" s="36" t="e" cm="1">
        <f t="array" ref="M1162">IF(A1162="","",_xlfn.XLOOKUP(D1162&amp;"_"&amp;AE1162,符文权重!A:A&amp;"_"&amp;符文权重!C:C,符文权重!D:D))</f>
        <v>#N/A</v>
      </c>
      <c r="N1162" s="36"/>
      <c r="O1162" s="36"/>
      <c r="P1162" s="36"/>
      <c r="Q1162" s="36"/>
      <c r="R1162" s="36"/>
      <c r="S1162" s="36" t="s">
        <v>344</v>
      </c>
      <c r="T1162" s="36" t="s">
        <v>906</v>
      </c>
      <c r="U1162" s="36" t="s">
        <v>429</v>
      </c>
      <c r="V1162" s="25" t="s">
        <v>913</v>
      </c>
      <c r="W1162" s="36"/>
      <c r="X1162" s="35" t="s">
        <v>795</v>
      </c>
      <c r="Y1162" s="35">
        <v>100</v>
      </c>
      <c r="Z1162" s="35"/>
      <c r="AA1162" s="36" t="s">
        <v>191</v>
      </c>
      <c r="AB1162" s="81" t="s">
        <v>914</v>
      </c>
      <c r="AC1162" s="35">
        <v>5301269</v>
      </c>
      <c r="AD1162" s="36" t="s">
        <v>474</v>
      </c>
      <c r="AE1162" s="36">
        <v>100</v>
      </c>
      <c r="AF1162" s="36"/>
      <c r="AG1162" s="79">
        <v>1</v>
      </c>
      <c r="AH1162" s="36">
        <v>0</v>
      </c>
      <c r="AI1162" s="33"/>
      <c r="AJ1162" s="37"/>
      <c r="AK1162" s="35"/>
      <c r="AL1162" s="35"/>
    </row>
    <row r="1163" s="29" customFormat="1" hidden="1" customHeight="1" spans="1:38">
      <c r="A1163" s="82">
        <v>5304270</v>
      </c>
      <c r="B1163" s="34" t="s">
        <v>905</v>
      </c>
      <c r="C1163" s="31">
        <v>5301270</v>
      </c>
      <c r="D1163" s="79">
        <v>4</v>
      </c>
      <c r="E1163" s="79"/>
      <c r="F1163" s="79" t="s">
        <v>230</v>
      </c>
      <c r="G1163" s="36" t="str">
        <f t="shared" si="276"/>
        <v/>
      </c>
      <c r="H1163" s="36" t="str">
        <f>IFERROR(IF(--MID($F1163,2*COUNTIF($G1163:G1163,"&gt;"&amp;0)+2,1)=H$1,H$1,""),"")</f>
        <v/>
      </c>
      <c r="I1163" s="36" t="str">
        <f>IFERROR(IF(--MID($F1163,2*COUNTIF($G1163:H1163,"&gt;"&amp;0)+2,1)=I$1,I$1,""),"")</f>
        <v/>
      </c>
      <c r="J1163" s="36" t="str">
        <f>IFERROR(IF(--MID($F1163,2*COUNTIF($G1163:I1163,"&gt;"&amp;0)+2,1)=J$1,J$1,""),"")</f>
        <v/>
      </c>
      <c r="K1163" s="36">
        <f>IFERROR(IF(--MID($F1163,2*COUNTIF($G1163:J1163,"&gt;"&amp;0)+2,1)=K$1,K$1,""),"")</f>
        <v>5</v>
      </c>
      <c r="L1163" s="36" t="str">
        <f>IFERROR(IF(--MID($F1163,2*COUNTIF($G1163:K1163,"&gt;"&amp;0)+2,1)=L$1,L$1,""),"")</f>
        <v/>
      </c>
      <c r="M1163" s="36" t="e" cm="1">
        <f t="array" ref="M1163">IF(A1163="","",_xlfn.XLOOKUP(D1163&amp;"_"&amp;AE1163,符文权重!A:A&amp;"_"&amp;符文权重!C:C,符文权重!D:D))</f>
        <v>#N/A</v>
      </c>
      <c r="N1163" s="36"/>
      <c r="O1163" s="36"/>
      <c r="P1163" s="36"/>
      <c r="Q1163" s="36"/>
      <c r="R1163" s="36"/>
      <c r="S1163" s="36" t="s">
        <v>344</v>
      </c>
      <c r="T1163" s="36" t="s">
        <v>906</v>
      </c>
      <c r="U1163" s="36" t="s">
        <v>420</v>
      </c>
      <c r="V1163" s="29" t="s">
        <v>915</v>
      </c>
      <c r="W1163" s="79"/>
      <c r="X1163" s="35" t="s">
        <v>595</v>
      </c>
      <c r="Y1163" s="35">
        <v>100</v>
      </c>
      <c r="Z1163" s="31"/>
      <c r="AA1163" s="36" t="s">
        <v>185</v>
      </c>
      <c r="AB1163" s="79" t="s">
        <v>916</v>
      </c>
      <c r="AC1163" s="31">
        <v>5301270</v>
      </c>
      <c r="AD1163" s="79" t="s">
        <v>419</v>
      </c>
      <c r="AE1163" s="36">
        <v>100</v>
      </c>
      <c r="AF1163" s="79"/>
      <c r="AG1163" s="79">
        <v>1</v>
      </c>
      <c r="AH1163" s="36">
        <v>1</v>
      </c>
      <c r="AI1163" s="82"/>
      <c r="AJ1163" s="84"/>
      <c r="AK1163" s="31"/>
      <c r="AL1163" s="35"/>
    </row>
    <row r="1164" s="29" customFormat="1" hidden="1" customHeight="1" spans="1:38">
      <c r="A1164" s="82">
        <v>5305270</v>
      </c>
      <c r="B1164" s="34" t="s">
        <v>905</v>
      </c>
      <c r="C1164" s="31">
        <v>5301270</v>
      </c>
      <c r="D1164" s="79">
        <v>5</v>
      </c>
      <c r="E1164" s="79"/>
      <c r="F1164" s="79" t="s">
        <v>230</v>
      </c>
      <c r="G1164" s="36" t="str">
        <f t="shared" si="276"/>
        <v/>
      </c>
      <c r="H1164" s="36" t="str">
        <f>IFERROR(IF(--MID($F1164,2*COUNTIF($G1164:G1164,"&gt;"&amp;0)+2,1)=H$1,H$1,""),"")</f>
        <v/>
      </c>
      <c r="I1164" s="36" t="str">
        <f>IFERROR(IF(--MID($F1164,2*COUNTIF($G1164:H1164,"&gt;"&amp;0)+2,1)=I$1,I$1,""),"")</f>
        <v/>
      </c>
      <c r="J1164" s="36" t="str">
        <f>IFERROR(IF(--MID($F1164,2*COUNTIF($G1164:I1164,"&gt;"&amp;0)+2,1)=J$1,J$1,""),"")</f>
        <v/>
      </c>
      <c r="K1164" s="36">
        <f>IFERROR(IF(--MID($F1164,2*COUNTIF($G1164:J1164,"&gt;"&amp;0)+2,1)=K$1,K$1,""),"")</f>
        <v>5</v>
      </c>
      <c r="L1164" s="36" t="str">
        <f>IFERROR(IF(--MID($F1164,2*COUNTIF($G1164:K1164,"&gt;"&amp;0)+2,1)=L$1,L$1,""),"")</f>
        <v/>
      </c>
      <c r="M1164" s="36" t="e" cm="1">
        <f t="array" ref="M1164">IF(A1164="","",_xlfn.XLOOKUP(D1164&amp;"_"&amp;AE1164,符文权重!A:A&amp;"_"&amp;符文权重!C:C,符文权重!D:D))</f>
        <v>#N/A</v>
      </c>
      <c r="N1164" s="36"/>
      <c r="O1164" s="36"/>
      <c r="P1164" s="36"/>
      <c r="Q1164" s="36"/>
      <c r="R1164" s="36"/>
      <c r="S1164" s="36" t="s">
        <v>344</v>
      </c>
      <c r="T1164" s="36" t="s">
        <v>906</v>
      </c>
      <c r="U1164" s="36" t="s">
        <v>423</v>
      </c>
      <c r="V1164" s="29" t="s">
        <v>917</v>
      </c>
      <c r="W1164" s="79"/>
      <c r="X1164" s="35" t="s">
        <v>790</v>
      </c>
      <c r="Y1164" s="35">
        <v>100</v>
      </c>
      <c r="Z1164" s="31"/>
      <c r="AA1164" s="36" t="s">
        <v>187</v>
      </c>
      <c r="AB1164" s="79" t="s">
        <v>918</v>
      </c>
      <c r="AC1164" s="31">
        <v>5301270</v>
      </c>
      <c r="AD1164" s="79" t="s">
        <v>422</v>
      </c>
      <c r="AE1164" s="36">
        <v>100</v>
      </c>
      <c r="AF1164" s="79"/>
      <c r="AG1164" s="79">
        <v>1</v>
      </c>
      <c r="AH1164" s="36">
        <v>0</v>
      </c>
      <c r="AI1164" s="82"/>
      <c r="AJ1164" s="84"/>
      <c r="AK1164" s="31"/>
      <c r="AL1164" s="35"/>
    </row>
    <row r="1165" s="29" customFormat="1" hidden="1" customHeight="1" spans="1:38">
      <c r="A1165" s="82">
        <v>5306270</v>
      </c>
      <c r="B1165" s="34" t="s">
        <v>905</v>
      </c>
      <c r="C1165" s="31">
        <v>5301270</v>
      </c>
      <c r="D1165" s="79">
        <v>6</v>
      </c>
      <c r="E1165" s="79"/>
      <c r="F1165" s="79" t="s">
        <v>230</v>
      </c>
      <c r="G1165" s="36" t="str">
        <f t="shared" si="276"/>
        <v/>
      </c>
      <c r="H1165" s="36" t="str">
        <f>IFERROR(IF(--MID($F1165,2*COUNTIF($G1165:G1165,"&gt;"&amp;0)+2,1)=H$1,H$1,""),"")</f>
        <v/>
      </c>
      <c r="I1165" s="36" t="str">
        <f>IFERROR(IF(--MID($F1165,2*COUNTIF($G1165:H1165,"&gt;"&amp;0)+2,1)=I$1,I$1,""),"")</f>
        <v/>
      </c>
      <c r="J1165" s="36" t="str">
        <f>IFERROR(IF(--MID($F1165,2*COUNTIF($G1165:I1165,"&gt;"&amp;0)+2,1)=J$1,J$1,""),"")</f>
        <v/>
      </c>
      <c r="K1165" s="36">
        <f>IFERROR(IF(--MID($F1165,2*COUNTIF($G1165:J1165,"&gt;"&amp;0)+2,1)=K$1,K$1,""),"")</f>
        <v>5</v>
      </c>
      <c r="L1165" s="36" t="str">
        <f>IFERROR(IF(--MID($F1165,2*COUNTIF($G1165:K1165,"&gt;"&amp;0)+2,1)=L$1,L$1,""),"")</f>
        <v/>
      </c>
      <c r="M1165" s="36" t="e" cm="1">
        <f t="array" ref="M1165">IF(A1165="","",_xlfn.XLOOKUP(D1165&amp;"_"&amp;AE1165,符文权重!A:A&amp;"_"&amp;符文权重!C:C,符文权重!D:D))</f>
        <v>#N/A</v>
      </c>
      <c r="N1165" s="36"/>
      <c r="O1165" s="36"/>
      <c r="P1165" s="36"/>
      <c r="Q1165" s="36"/>
      <c r="R1165" s="36"/>
      <c r="S1165" s="36" t="s">
        <v>344</v>
      </c>
      <c r="T1165" s="36" t="s">
        <v>906</v>
      </c>
      <c r="U1165" s="36" t="s">
        <v>426</v>
      </c>
      <c r="V1165" s="29" t="s">
        <v>919</v>
      </c>
      <c r="W1165" s="79"/>
      <c r="X1165" s="35" t="s">
        <v>656</v>
      </c>
      <c r="Y1165" s="35">
        <v>100</v>
      </c>
      <c r="Z1165" s="31"/>
      <c r="AA1165" s="36" t="s">
        <v>189</v>
      </c>
      <c r="AB1165" s="79" t="s">
        <v>920</v>
      </c>
      <c r="AC1165" s="31">
        <v>5301270</v>
      </c>
      <c r="AD1165" s="79" t="s">
        <v>492</v>
      </c>
      <c r="AE1165" s="36">
        <v>100</v>
      </c>
      <c r="AF1165" s="79"/>
      <c r="AG1165" s="79">
        <v>1</v>
      </c>
      <c r="AH1165" s="36">
        <v>0</v>
      </c>
      <c r="AI1165" s="82"/>
      <c r="AJ1165" s="84"/>
      <c r="AK1165" s="31"/>
      <c r="AL1165" s="35"/>
    </row>
    <row r="1166" s="29" customFormat="1" hidden="1" customHeight="1" spans="1:38">
      <c r="A1166" s="82">
        <v>5307270</v>
      </c>
      <c r="B1166" s="34" t="s">
        <v>905</v>
      </c>
      <c r="C1166" s="31">
        <v>5301270</v>
      </c>
      <c r="D1166" s="79">
        <v>7</v>
      </c>
      <c r="E1166" s="79"/>
      <c r="F1166" s="79" t="s">
        <v>230</v>
      </c>
      <c r="G1166" s="36" t="str">
        <f t="shared" si="276"/>
        <v/>
      </c>
      <c r="H1166" s="36" t="str">
        <f>IFERROR(IF(--MID($F1166,2*COUNTIF($G1166:G1166,"&gt;"&amp;0)+2,1)=H$1,H$1,""),"")</f>
        <v/>
      </c>
      <c r="I1166" s="36" t="str">
        <f>IFERROR(IF(--MID($F1166,2*COUNTIF($G1166:H1166,"&gt;"&amp;0)+2,1)=I$1,I$1,""),"")</f>
        <v/>
      </c>
      <c r="J1166" s="36" t="str">
        <f>IFERROR(IF(--MID($F1166,2*COUNTIF($G1166:I1166,"&gt;"&amp;0)+2,1)=J$1,J$1,""),"")</f>
        <v/>
      </c>
      <c r="K1166" s="36">
        <f>IFERROR(IF(--MID($F1166,2*COUNTIF($G1166:J1166,"&gt;"&amp;0)+2,1)=K$1,K$1,""),"")</f>
        <v>5</v>
      </c>
      <c r="L1166" s="36" t="str">
        <f>IFERROR(IF(--MID($F1166,2*COUNTIF($G1166:K1166,"&gt;"&amp;0)+2,1)=L$1,L$1,""),"")</f>
        <v/>
      </c>
      <c r="M1166" s="36" t="e" cm="1">
        <f t="array" ref="M1166">IF(A1166="","",_xlfn.XLOOKUP(D1166&amp;"_"&amp;AE1166,符文权重!A:A&amp;"_"&amp;符文权重!C:C,符文权重!D:D))</f>
        <v>#N/A</v>
      </c>
      <c r="N1166" s="36"/>
      <c r="O1166" s="36"/>
      <c r="P1166" s="36"/>
      <c r="Q1166" s="36"/>
      <c r="R1166" s="36"/>
      <c r="S1166" s="36" t="s">
        <v>344</v>
      </c>
      <c r="T1166" s="36" t="s">
        <v>906</v>
      </c>
      <c r="U1166" s="36" t="s">
        <v>429</v>
      </c>
      <c r="V1166" s="29" t="s">
        <v>921</v>
      </c>
      <c r="W1166" s="79"/>
      <c r="X1166" s="35" t="s">
        <v>795</v>
      </c>
      <c r="Y1166" s="35">
        <v>100</v>
      </c>
      <c r="Z1166" s="31"/>
      <c r="AA1166" s="36" t="s">
        <v>191</v>
      </c>
      <c r="AB1166" s="79" t="s">
        <v>922</v>
      </c>
      <c r="AC1166" s="31">
        <v>5301270</v>
      </c>
      <c r="AD1166" s="79" t="s">
        <v>854</v>
      </c>
      <c r="AE1166" s="36">
        <v>100</v>
      </c>
      <c r="AF1166" s="79"/>
      <c r="AG1166" s="79">
        <v>1</v>
      </c>
      <c r="AH1166" s="36">
        <v>0</v>
      </c>
      <c r="AI1166" s="82"/>
      <c r="AJ1166" s="84"/>
      <c r="AK1166" s="31"/>
      <c r="AL1166" s="35"/>
    </row>
    <row r="1167" s="29" customFormat="1" hidden="1" customHeight="1" spans="1:38">
      <c r="A1167" s="82">
        <v>5304271</v>
      </c>
      <c r="B1167" s="34" t="s">
        <v>905</v>
      </c>
      <c r="C1167" s="31">
        <v>5301271</v>
      </c>
      <c r="D1167" s="79">
        <v>4</v>
      </c>
      <c r="E1167" s="79"/>
      <c r="F1167" s="79" t="s">
        <v>211</v>
      </c>
      <c r="G1167" s="36" t="str">
        <f t="shared" si="276"/>
        <v/>
      </c>
      <c r="H1167" s="36">
        <f>IFERROR(IF(--MID($F1167,2*COUNTIF($G1167:G1167,"&gt;"&amp;0)+2,1)=H$1,H$1,""),"")</f>
        <v>2</v>
      </c>
      <c r="I1167" s="36" t="str">
        <f>IFERROR(IF(--MID($F1167,2*COUNTIF($G1167:H1167,"&gt;"&amp;0)+2,1)=I$1,I$1,""),"")</f>
        <v/>
      </c>
      <c r="J1167" s="36" t="str">
        <f>IFERROR(IF(--MID($F1167,2*COUNTIF($G1167:I1167,"&gt;"&amp;0)+2,1)=J$1,J$1,""),"")</f>
        <v/>
      </c>
      <c r="K1167" s="36" t="str">
        <f>IFERROR(IF(--MID($F1167,2*COUNTIF($G1167:J1167,"&gt;"&amp;0)+2,1)=K$1,K$1,""),"")</f>
        <v/>
      </c>
      <c r="L1167" s="36" t="str">
        <f>IFERROR(IF(--MID($F1167,2*COUNTIF($G1167:K1167,"&gt;"&amp;0)+2,1)=L$1,L$1,""),"")</f>
        <v/>
      </c>
      <c r="M1167" s="36" t="e" cm="1">
        <f t="array" ref="M1167">IF(A1167="","",_xlfn.XLOOKUP(D1167&amp;"_"&amp;AE1167,符文权重!A:A&amp;"_"&amp;符文权重!C:C,符文权重!D:D))</f>
        <v>#N/A</v>
      </c>
      <c r="N1167" s="36"/>
      <c r="O1167" s="36"/>
      <c r="P1167" s="36"/>
      <c r="Q1167" s="36"/>
      <c r="R1167" s="36"/>
      <c r="S1167" s="36" t="s">
        <v>344</v>
      </c>
      <c r="T1167" s="36" t="s">
        <v>906</v>
      </c>
      <c r="U1167" s="36" t="s">
        <v>420</v>
      </c>
      <c r="V1167" s="29" t="s">
        <v>923</v>
      </c>
      <c r="W1167" s="79"/>
      <c r="X1167" s="35" t="s">
        <v>595</v>
      </c>
      <c r="Y1167" s="35">
        <v>100</v>
      </c>
      <c r="Z1167" s="31"/>
      <c r="AA1167" s="36" t="s">
        <v>185</v>
      </c>
      <c r="AB1167" s="79" t="s">
        <v>924</v>
      </c>
      <c r="AC1167" s="31">
        <v>5301271</v>
      </c>
      <c r="AD1167" s="79" t="s">
        <v>428</v>
      </c>
      <c r="AE1167" s="36">
        <v>100</v>
      </c>
      <c r="AF1167" s="79"/>
      <c r="AG1167" s="79">
        <v>1</v>
      </c>
      <c r="AH1167" s="36">
        <v>1</v>
      </c>
      <c r="AI1167" s="82"/>
      <c r="AJ1167" s="84"/>
      <c r="AK1167" s="31"/>
      <c r="AL1167" s="35"/>
    </row>
    <row r="1168" s="29" customFormat="1" hidden="1" customHeight="1" spans="1:38">
      <c r="A1168" s="82">
        <v>5305271</v>
      </c>
      <c r="B1168" s="34" t="s">
        <v>905</v>
      </c>
      <c r="C1168" s="31">
        <v>5301271</v>
      </c>
      <c r="D1168" s="79">
        <v>5</v>
      </c>
      <c r="E1168" s="79"/>
      <c r="F1168" s="79" t="s">
        <v>211</v>
      </c>
      <c r="G1168" s="36" t="str">
        <f t="shared" si="276"/>
        <v/>
      </c>
      <c r="H1168" s="36">
        <f>IFERROR(IF(--MID($F1168,2*COUNTIF($G1168:G1168,"&gt;"&amp;0)+2,1)=H$1,H$1,""),"")</f>
        <v>2</v>
      </c>
      <c r="I1168" s="36" t="str">
        <f>IFERROR(IF(--MID($F1168,2*COUNTIF($G1168:H1168,"&gt;"&amp;0)+2,1)=I$1,I$1,""),"")</f>
        <v/>
      </c>
      <c r="J1168" s="36" t="str">
        <f>IFERROR(IF(--MID($F1168,2*COUNTIF($G1168:I1168,"&gt;"&amp;0)+2,1)=J$1,J$1,""),"")</f>
        <v/>
      </c>
      <c r="K1168" s="36" t="str">
        <f>IFERROR(IF(--MID($F1168,2*COUNTIF($G1168:J1168,"&gt;"&amp;0)+2,1)=K$1,K$1,""),"")</f>
        <v/>
      </c>
      <c r="L1168" s="36" t="str">
        <f>IFERROR(IF(--MID($F1168,2*COUNTIF($G1168:K1168,"&gt;"&amp;0)+2,1)=L$1,L$1,""),"")</f>
        <v/>
      </c>
      <c r="M1168" s="36" t="e" cm="1">
        <f t="array" ref="M1168">IF(A1168="","",_xlfn.XLOOKUP(D1168&amp;"_"&amp;AE1168,符文权重!A:A&amp;"_"&amp;符文权重!C:C,符文权重!D:D))</f>
        <v>#N/A</v>
      </c>
      <c r="N1168" s="36"/>
      <c r="O1168" s="36"/>
      <c r="P1168" s="36"/>
      <c r="Q1168" s="36"/>
      <c r="R1168" s="36"/>
      <c r="S1168" s="36" t="s">
        <v>344</v>
      </c>
      <c r="T1168" s="36" t="s">
        <v>906</v>
      </c>
      <c r="U1168" s="36" t="s">
        <v>423</v>
      </c>
      <c r="V1168" s="29" t="s">
        <v>925</v>
      </c>
      <c r="W1168" s="79"/>
      <c r="X1168" s="35" t="s">
        <v>790</v>
      </c>
      <c r="Y1168" s="35">
        <v>100</v>
      </c>
      <c r="Z1168" s="31"/>
      <c r="AA1168" s="36" t="s">
        <v>187</v>
      </c>
      <c r="AB1168" s="79" t="s">
        <v>926</v>
      </c>
      <c r="AC1168" s="31">
        <v>5301271</v>
      </c>
      <c r="AD1168" s="79" t="s">
        <v>808</v>
      </c>
      <c r="AE1168" s="36">
        <v>100</v>
      </c>
      <c r="AF1168" s="79"/>
      <c r="AG1168" s="79">
        <v>1</v>
      </c>
      <c r="AH1168" s="36">
        <v>0</v>
      </c>
      <c r="AI1168" s="82"/>
      <c r="AJ1168" s="84"/>
      <c r="AK1168" s="31"/>
      <c r="AL1168" s="35"/>
    </row>
    <row r="1169" s="29" customFormat="1" hidden="1" customHeight="1" spans="1:38">
      <c r="A1169" s="82">
        <v>5306271</v>
      </c>
      <c r="B1169" s="34" t="s">
        <v>905</v>
      </c>
      <c r="C1169" s="31">
        <v>5301271</v>
      </c>
      <c r="D1169" s="79">
        <v>6</v>
      </c>
      <c r="E1169" s="79"/>
      <c r="F1169" s="79" t="s">
        <v>211</v>
      </c>
      <c r="G1169" s="36" t="str">
        <f t="shared" si="276"/>
        <v/>
      </c>
      <c r="H1169" s="36">
        <f>IFERROR(IF(--MID($F1169,2*COUNTIF($G1169:G1169,"&gt;"&amp;0)+2,1)=H$1,H$1,""),"")</f>
        <v>2</v>
      </c>
      <c r="I1169" s="36" t="str">
        <f>IFERROR(IF(--MID($F1169,2*COUNTIF($G1169:H1169,"&gt;"&amp;0)+2,1)=I$1,I$1,""),"")</f>
        <v/>
      </c>
      <c r="J1169" s="36" t="str">
        <f>IFERROR(IF(--MID($F1169,2*COUNTIF($G1169:I1169,"&gt;"&amp;0)+2,1)=J$1,J$1,""),"")</f>
        <v/>
      </c>
      <c r="K1169" s="36" t="str">
        <f>IFERROR(IF(--MID($F1169,2*COUNTIF($G1169:J1169,"&gt;"&amp;0)+2,1)=K$1,K$1,""),"")</f>
        <v/>
      </c>
      <c r="L1169" s="36" t="str">
        <f>IFERROR(IF(--MID($F1169,2*COUNTIF($G1169:K1169,"&gt;"&amp;0)+2,1)=L$1,L$1,""),"")</f>
        <v/>
      </c>
      <c r="M1169" s="36" t="e" cm="1">
        <f t="array" ref="M1169">IF(A1169="","",_xlfn.XLOOKUP(D1169&amp;"_"&amp;AE1169,符文权重!A:A&amp;"_"&amp;符文权重!C:C,符文权重!D:D))</f>
        <v>#N/A</v>
      </c>
      <c r="N1169" s="36"/>
      <c r="O1169" s="36"/>
      <c r="P1169" s="36"/>
      <c r="Q1169" s="36"/>
      <c r="R1169" s="36"/>
      <c r="S1169" s="36" t="s">
        <v>344</v>
      </c>
      <c r="T1169" s="36" t="s">
        <v>906</v>
      </c>
      <c r="U1169" s="36" t="s">
        <v>426</v>
      </c>
      <c r="V1169" s="29" t="s">
        <v>927</v>
      </c>
      <c r="W1169" s="79"/>
      <c r="X1169" s="35" t="s">
        <v>656</v>
      </c>
      <c r="Y1169" s="35">
        <v>100</v>
      </c>
      <c r="Z1169" s="31"/>
      <c r="AA1169" s="36" t="s">
        <v>189</v>
      </c>
      <c r="AB1169" s="79" t="s">
        <v>928</v>
      </c>
      <c r="AC1169" s="31">
        <v>5301271</v>
      </c>
      <c r="AD1169" s="79" t="s">
        <v>447</v>
      </c>
      <c r="AE1169" s="36">
        <v>100</v>
      </c>
      <c r="AF1169" s="79"/>
      <c r="AG1169" s="79">
        <v>1</v>
      </c>
      <c r="AH1169" s="36">
        <v>0</v>
      </c>
      <c r="AI1169" s="82"/>
      <c r="AJ1169" s="84"/>
      <c r="AK1169" s="31"/>
      <c r="AL1169" s="35"/>
    </row>
    <row r="1170" s="29" customFormat="1" hidden="1" customHeight="1" spans="1:38">
      <c r="A1170" s="82">
        <v>5307271</v>
      </c>
      <c r="B1170" s="34" t="s">
        <v>905</v>
      </c>
      <c r="C1170" s="31">
        <v>5301271</v>
      </c>
      <c r="D1170" s="79">
        <v>7</v>
      </c>
      <c r="E1170" s="79"/>
      <c r="F1170" s="79" t="s">
        <v>211</v>
      </c>
      <c r="G1170" s="36" t="str">
        <f t="shared" si="276"/>
        <v/>
      </c>
      <c r="H1170" s="36">
        <f>IFERROR(IF(--MID($F1170,2*COUNTIF($G1170:G1170,"&gt;"&amp;0)+2,1)=H$1,H$1,""),"")</f>
        <v>2</v>
      </c>
      <c r="I1170" s="36" t="str">
        <f>IFERROR(IF(--MID($F1170,2*COUNTIF($G1170:H1170,"&gt;"&amp;0)+2,1)=I$1,I$1,""),"")</f>
        <v/>
      </c>
      <c r="J1170" s="36" t="str">
        <f>IFERROR(IF(--MID($F1170,2*COUNTIF($G1170:I1170,"&gt;"&amp;0)+2,1)=J$1,J$1,""),"")</f>
        <v/>
      </c>
      <c r="K1170" s="36" t="str">
        <f>IFERROR(IF(--MID($F1170,2*COUNTIF($G1170:J1170,"&gt;"&amp;0)+2,1)=K$1,K$1,""),"")</f>
        <v/>
      </c>
      <c r="L1170" s="36" t="str">
        <f>IFERROR(IF(--MID($F1170,2*COUNTIF($G1170:K1170,"&gt;"&amp;0)+2,1)=L$1,L$1,""),"")</f>
        <v/>
      </c>
      <c r="M1170" s="36" t="e" cm="1">
        <f t="array" ref="M1170">IF(A1170="","",_xlfn.XLOOKUP(D1170&amp;"_"&amp;AE1170,符文权重!A:A&amp;"_"&amp;符文权重!C:C,符文权重!D:D))</f>
        <v>#N/A</v>
      </c>
      <c r="N1170" s="36"/>
      <c r="O1170" s="36"/>
      <c r="P1170" s="36"/>
      <c r="Q1170" s="36"/>
      <c r="R1170" s="36"/>
      <c r="S1170" s="36" t="s">
        <v>344</v>
      </c>
      <c r="T1170" s="36" t="s">
        <v>906</v>
      </c>
      <c r="U1170" s="36" t="s">
        <v>429</v>
      </c>
      <c r="V1170" s="29" t="s">
        <v>929</v>
      </c>
      <c r="W1170" s="79"/>
      <c r="X1170" s="35" t="s">
        <v>795</v>
      </c>
      <c r="Y1170" s="35">
        <v>100</v>
      </c>
      <c r="Z1170" s="31"/>
      <c r="AA1170" s="36" t="s">
        <v>191</v>
      </c>
      <c r="AB1170" s="79" t="s">
        <v>930</v>
      </c>
      <c r="AC1170" s="31">
        <v>5301271</v>
      </c>
      <c r="AD1170" s="79" t="s">
        <v>474</v>
      </c>
      <c r="AE1170" s="36">
        <v>100</v>
      </c>
      <c r="AF1170" s="79"/>
      <c r="AG1170" s="79">
        <v>1</v>
      </c>
      <c r="AH1170" s="36">
        <v>0</v>
      </c>
      <c r="AI1170" s="82"/>
      <c r="AJ1170" s="84"/>
      <c r="AK1170" s="31"/>
      <c r="AL1170" s="35"/>
    </row>
    <row r="1171" s="31" customFormat="1" hidden="1" customHeight="1" spans="1:38">
      <c r="A1171" s="82">
        <v>5304273</v>
      </c>
      <c r="B1171" s="34" t="s">
        <v>931</v>
      </c>
      <c r="C1171" s="31">
        <v>5301273</v>
      </c>
      <c r="D1171" s="79">
        <v>4</v>
      </c>
      <c r="E1171" s="79"/>
      <c r="F1171" s="79" t="s">
        <v>202</v>
      </c>
      <c r="G1171" s="36">
        <f t="shared" si="276"/>
        <v>1</v>
      </c>
      <c r="H1171" s="36" t="str">
        <f>IFERROR(IF(--MID($F1171,2*COUNTIF($G1171:G1171,"&gt;"&amp;0)+2,1)=H$1,H$1,""),"")</f>
        <v/>
      </c>
      <c r="I1171" s="36" t="str">
        <f>IFERROR(IF(--MID($F1171,2*COUNTIF($G1171:H1171,"&gt;"&amp;0)+2,1)=I$1,I$1,""),"")</f>
        <v/>
      </c>
      <c r="J1171" s="36" t="str">
        <f>IFERROR(IF(--MID($F1171,2*COUNTIF($G1171:I1171,"&gt;"&amp;0)+2,1)=J$1,J$1,""),"")</f>
        <v/>
      </c>
      <c r="K1171" s="36" t="str">
        <f>IFERROR(IF(--MID($F1171,2*COUNTIF($G1171:J1171,"&gt;"&amp;0)+2,1)=K$1,K$1,""),"")</f>
        <v/>
      </c>
      <c r="L1171" s="36" t="str">
        <f>IFERROR(IF(--MID($F1171,2*COUNTIF($G1171:K1171,"&gt;"&amp;0)+2,1)=L$1,L$1,""),"")</f>
        <v/>
      </c>
      <c r="M1171" s="36" t="e" cm="1">
        <f t="array" ref="M1171">IF(A1171="","",_xlfn.XLOOKUP(D1171&amp;"_"&amp;AE1171,符文权重!A:A&amp;"_"&amp;符文权重!C:C,符文权重!D:D))</f>
        <v>#N/A</v>
      </c>
      <c r="N1171" s="36"/>
      <c r="O1171" s="36"/>
      <c r="P1171" s="36"/>
      <c r="Q1171" s="36"/>
      <c r="R1171" s="36"/>
      <c r="S1171" s="36" t="s">
        <v>344</v>
      </c>
      <c r="T1171" s="36" t="s">
        <v>932</v>
      </c>
      <c r="U1171" s="36" t="s">
        <v>420</v>
      </c>
      <c r="V1171" s="29" t="s">
        <v>933</v>
      </c>
      <c r="W1171" s="79"/>
      <c r="X1171" s="35" t="s">
        <v>817</v>
      </c>
      <c r="Y1171" s="35">
        <v>100</v>
      </c>
      <c r="AA1171" s="36" t="s">
        <v>185</v>
      </c>
      <c r="AB1171" s="79" t="s">
        <v>934</v>
      </c>
      <c r="AC1171" s="35">
        <v>5301273</v>
      </c>
      <c r="AD1171" s="79" t="s">
        <v>428</v>
      </c>
      <c r="AE1171" s="36">
        <v>100</v>
      </c>
      <c r="AF1171" s="79"/>
      <c r="AG1171" s="79">
        <v>1</v>
      </c>
      <c r="AH1171" s="36">
        <v>1</v>
      </c>
      <c r="AL1171" s="35"/>
    </row>
    <row r="1172" s="31" customFormat="1" hidden="1" customHeight="1" spans="1:38">
      <c r="A1172" s="82">
        <v>5305273</v>
      </c>
      <c r="B1172" s="34" t="s">
        <v>931</v>
      </c>
      <c r="C1172" s="31">
        <v>5301273</v>
      </c>
      <c r="D1172" s="79">
        <v>5</v>
      </c>
      <c r="E1172" s="79"/>
      <c r="F1172" s="79" t="s">
        <v>202</v>
      </c>
      <c r="G1172" s="36">
        <f t="shared" ref="G1172:G1218" si="277">IF(LEFT(F1172,2)="[1",1,"")</f>
        <v>1</v>
      </c>
      <c r="H1172" s="36" t="str">
        <f>IFERROR(IF(--MID($F1172,2*COUNTIF($G1172:G1172,"&gt;"&amp;0)+2,1)=H$1,H$1,""),"")</f>
        <v/>
      </c>
      <c r="I1172" s="36" t="str">
        <f>IFERROR(IF(--MID($F1172,2*COUNTIF($G1172:H1172,"&gt;"&amp;0)+2,1)=I$1,I$1,""),"")</f>
        <v/>
      </c>
      <c r="J1172" s="36" t="str">
        <f>IFERROR(IF(--MID($F1172,2*COUNTIF($G1172:I1172,"&gt;"&amp;0)+2,1)=J$1,J$1,""),"")</f>
        <v/>
      </c>
      <c r="K1172" s="36" t="str">
        <f>IFERROR(IF(--MID($F1172,2*COUNTIF($G1172:J1172,"&gt;"&amp;0)+2,1)=K$1,K$1,""),"")</f>
        <v/>
      </c>
      <c r="L1172" s="36" t="str">
        <f>IFERROR(IF(--MID($F1172,2*COUNTIF($G1172:K1172,"&gt;"&amp;0)+2,1)=L$1,L$1,""),"")</f>
        <v/>
      </c>
      <c r="M1172" s="36" t="e" cm="1">
        <f t="array" ref="M1172">IF(A1172="","",_xlfn.XLOOKUP(D1172&amp;"_"&amp;AE1172,符文权重!A:A&amp;"_"&amp;符文权重!C:C,符文权重!D:D))</f>
        <v>#N/A</v>
      </c>
      <c r="N1172" s="36"/>
      <c r="O1172" s="36"/>
      <c r="P1172" s="36"/>
      <c r="Q1172" s="36"/>
      <c r="R1172" s="36"/>
      <c r="S1172" s="36" t="s">
        <v>344</v>
      </c>
      <c r="T1172" s="36" t="s">
        <v>932</v>
      </c>
      <c r="U1172" s="36" t="s">
        <v>423</v>
      </c>
      <c r="V1172" s="29" t="s">
        <v>935</v>
      </c>
      <c r="W1172" s="79"/>
      <c r="X1172" s="35" t="s">
        <v>820</v>
      </c>
      <c r="Y1172" s="35">
        <v>100</v>
      </c>
      <c r="AA1172" s="36" t="s">
        <v>187</v>
      </c>
      <c r="AB1172" s="79" t="s">
        <v>936</v>
      </c>
      <c r="AC1172" s="35">
        <v>53012731</v>
      </c>
      <c r="AD1172" s="79" t="s">
        <v>487</v>
      </c>
      <c r="AE1172" s="36">
        <v>100</v>
      </c>
      <c r="AF1172" s="79"/>
      <c r="AG1172" s="79">
        <v>1</v>
      </c>
      <c r="AH1172" s="36">
        <v>0</v>
      </c>
      <c r="AI1172" s="82"/>
      <c r="AJ1172" s="84"/>
      <c r="AL1172" s="35"/>
    </row>
    <row r="1173" s="31" customFormat="1" hidden="1" customHeight="1" spans="1:38">
      <c r="A1173" s="82">
        <v>5306273</v>
      </c>
      <c r="B1173" s="34" t="s">
        <v>931</v>
      </c>
      <c r="C1173" s="31">
        <v>5301273</v>
      </c>
      <c r="D1173" s="79">
        <v>6</v>
      </c>
      <c r="E1173" s="79"/>
      <c r="F1173" s="79" t="s">
        <v>202</v>
      </c>
      <c r="G1173" s="36">
        <f t="shared" si="277"/>
        <v>1</v>
      </c>
      <c r="H1173" s="36" t="str">
        <f>IFERROR(IF(--MID($F1173,2*COUNTIF($G1173:G1173,"&gt;"&amp;0)+2,1)=H$1,H$1,""),"")</f>
        <v/>
      </c>
      <c r="I1173" s="36" t="str">
        <f>IFERROR(IF(--MID($F1173,2*COUNTIF($G1173:H1173,"&gt;"&amp;0)+2,1)=I$1,I$1,""),"")</f>
        <v/>
      </c>
      <c r="J1173" s="36" t="str">
        <f>IFERROR(IF(--MID($F1173,2*COUNTIF($G1173:I1173,"&gt;"&amp;0)+2,1)=J$1,J$1,""),"")</f>
        <v/>
      </c>
      <c r="K1173" s="36" t="str">
        <f>IFERROR(IF(--MID($F1173,2*COUNTIF($G1173:J1173,"&gt;"&amp;0)+2,1)=K$1,K$1,""),"")</f>
        <v/>
      </c>
      <c r="L1173" s="36" t="str">
        <f>IFERROR(IF(--MID($F1173,2*COUNTIF($G1173:K1173,"&gt;"&amp;0)+2,1)=L$1,L$1,""),"")</f>
        <v/>
      </c>
      <c r="M1173" s="36" t="e" cm="1">
        <f t="array" ref="M1173">IF(A1173="","",_xlfn.XLOOKUP(D1173&amp;"_"&amp;AE1173,符文权重!A:A&amp;"_"&amp;符文权重!C:C,符文权重!D:D))</f>
        <v>#N/A</v>
      </c>
      <c r="N1173" s="36"/>
      <c r="O1173" s="36"/>
      <c r="P1173" s="36"/>
      <c r="Q1173" s="36"/>
      <c r="R1173" s="36"/>
      <c r="S1173" s="36" t="s">
        <v>344</v>
      </c>
      <c r="T1173" s="36" t="s">
        <v>932</v>
      </c>
      <c r="U1173" s="36" t="s">
        <v>426</v>
      </c>
      <c r="V1173" s="29" t="s">
        <v>937</v>
      </c>
      <c r="W1173" s="79"/>
      <c r="X1173" s="35" t="s">
        <v>823</v>
      </c>
      <c r="Y1173" s="35">
        <v>100</v>
      </c>
      <c r="AA1173" s="36" t="s">
        <v>189</v>
      </c>
      <c r="AB1173" s="79" t="s">
        <v>938</v>
      </c>
      <c r="AC1173" s="35">
        <v>53012732</v>
      </c>
      <c r="AD1173" s="79" t="s">
        <v>447</v>
      </c>
      <c r="AE1173" s="36">
        <v>100</v>
      </c>
      <c r="AF1173" s="79"/>
      <c r="AG1173" s="79">
        <v>1</v>
      </c>
      <c r="AH1173" s="36">
        <v>0</v>
      </c>
      <c r="AI1173" s="82"/>
      <c r="AJ1173" s="84"/>
      <c r="AL1173" s="35"/>
    </row>
    <row r="1174" s="31" customFormat="1" hidden="1" customHeight="1" spans="1:38">
      <c r="A1174" s="82">
        <v>5307273</v>
      </c>
      <c r="B1174" s="34" t="s">
        <v>931</v>
      </c>
      <c r="C1174" s="31">
        <v>5301273</v>
      </c>
      <c r="D1174" s="79">
        <v>7</v>
      </c>
      <c r="E1174" s="79"/>
      <c r="F1174" s="79" t="s">
        <v>202</v>
      </c>
      <c r="G1174" s="36">
        <f t="shared" si="277"/>
        <v>1</v>
      </c>
      <c r="H1174" s="36" t="str">
        <f>IFERROR(IF(--MID($F1174,2*COUNTIF($G1174:G1174,"&gt;"&amp;0)+2,1)=H$1,H$1,""),"")</f>
        <v/>
      </c>
      <c r="I1174" s="36" t="str">
        <f>IFERROR(IF(--MID($F1174,2*COUNTIF($G1174:H1174,"&gt;"&amp;0)+2,1)=I$1,I$1,""),"")</f>
        <v/>
      </c>
      <c r="J1174" s="36" t="str">
        <f>IFERROR(IF(--MID($F1174,2*COUNTIF($G1174:I1174,"&gt;"&amp;0)+2,1)=J$1,J$1,""),"")</f>
        <v/>
      </c>
      <c r="K1174" s="36" t="str">
        <f>IFERROR(IF(--MID($F1174,2*COUNTIF($G1174:J1174,"&gt;"&amp;0)+2,1)=K$1,K$1,""),"")</f>
        <v/>
      </c>
      <c r="L1174" s="36" t="str">
        <f>IFERROR(IF(--MID($F1174,2*COUNTIF($G1174:K1174,"&gt;"&amp;0)+2,1)=L$1,L$1,""),"")</f>
        <v/>
      </c>
      <c r="M1174" s="36" t="e" cm="1">
        <f t="array" ref="M1174">IF(A1174="","",_xlfn.XLOOKUP(D1174&amp;"_"&amp;AE1174,符文权重!A:A&amp;"_"&amp;符文权重!C:C,符文权重!D:D))</f>
        <v>#N/A</v>
      </c>
      <c r="N1174" s="36"/>
      <c r="O1174" s="36"/>
      <c r="P1174" s="36"/>
      <c r="Q1174" s="36"/>
      <c r="R1174" s="36"/>
      <c r="S1174" s="36" t="s">
        <v>344</v>
      </c>
      <c r="T1174" s="36" t="s">
        <v>932</v>
      </c>
      <c r="U1174" s="36" t="s">
        <v>429</v>
      </c>
      <c r="V1174" s="29" t="s">
        <v>939</v>
      </c>
      <c r="W1174" s="79"/>
      <c r="X1174" s="35" t="s">
        <v>826</v>
      </c>
      <c r="Y1174" s="35">
        <v>100</v>
      </c>
      <c r="AA1174" s="36" t="s">
        <v>191</v>
      </c>
      <c r="AB1174" s="79" t="s">
        <v>940</v>
      </c>
      <c r="AC1174" s="35">
        <v>53012733</v>
      </c>
      <c r="AD1174" s="79" t="s">
        <v>497</v>
      </c>
      <c r="AE1174" s="36">
        <v>100</v>
      </c>
      <c r="AF1174" s="79"/>
      <c r="AG1174" s="79">
        <v>1</v>
      </c>
      <c r="AH1174" s="36">
        <v>0</v>
      </c>
      <c r="AI1174" s="82"/>
      <c r="AJ1174" s="84"/>
      <c r="AL1174" s="35"/>
    </row>
    <row r="1175" s="31" customFormat="1" hidden="1" customHeight="1" spans="1:38">
      <c r="A1175" s="82">
        <v>5304274</v>
      </c>
      <c r="B1175" s="34" t="s">
        <v>931</v>
      </c>
      <c r="C1175" s="31">
        <v>5301274</v>
      </c>
      <c r="D1175" s="79">
        <v>4</v>
      </c>
      <c r="E1175" s="79"/>
      <c r="F1175" s="79" t="s">
        <v>230</v>
      </c>
      <c r="G1175" s="36" t="str">
        <f t="shared" si="277"/>
        <v/>
      </c>
      <c r="H1175" s="36" t="str">
        <f>IFERROR(IF(--MID($F1175,2*COUNTIF($G1175:G1175,"&gt;"&amp;0)+2,1)=H$1,H$1,""),"")</f>
        <v/>
      </c>
      <c r="I1175" s="36" t="str">
        <f>IFERROR(IF(--MID($F1175,2*COUNTIF($G1175:H1175,"&gt;"&amp;0)+2,1)=I$1,I$1,""),"")</f>
        <v/>
      </c>
      <c r="J1175" s="36" t="str">
        <f>IFERROR(IF(--MID($F1175,2*COUNTIF($G1175:I1175,"&gt;"&amp;0)+2,1)=J$1,J$1,""),"")</f>
        <v/>
      </c>
      <c r="K1175" s="36">
        <f>IFERROR(IF(--MID($F1175,2*COUNTIF($G1175:J1175,"&gt;"&amp;0)+2,1)=K$1,K$1,""),"")</f>
        <v>5</v>
      </c>
      <c r="L1175" s="36" t="str">
        <f>IFERROR(IF(--MID($F1175,2*COUNTIF($G1175:K1175,"&gt;"&amp;0)+2,1)=L$1,L$1,""),"")</f>
        <v/>
      </c>
      <c r="M1175" s="36" t="e" cm="1">
        <f t="array" ref="M1175">IF(A1175="","",_xlfn.XLOOKUP(D1175&amp;"_"&amp;AE1175,符文权重!A:A&amp;"_"&amp;符文权重!C:C,符文权重!D:D))</f>
        <v>#N/A</v>
      </c>
      <c r="N1175" s="36"/>
      <c r="O1175" s="36"/>
      <c r="P1175" s="36"/>
      <c r="Q1175" s="36"/>
      <c r="R1175" s="36"/>
      <c r="S1175" s="36" t="s">
        <v>344</v>
      </c>
      <c r="T1175" s="36" t="s">
        <v>932</v>
      </c>
      <c r="U1175" s="36" t="s">
        <v>420</v>
      </c>
      <c r="V1175" s="29" t="s">
        <v>941</v>
      </c>
      <c r="W1175" s="79"/>
      <c r="X1175" s="35" t="s">
        <v>817</v>
      </c>
      <c r="Y1175" s="35">
        <v>100</v>
      </c>
      <c r="AA1175" s="36" t="s">
        <v>185</v>
      </c>
      <c r="AB1175" s="79" t="s">
        <v>942</v>
      </c>
      <c r="AC1175" s="31">
        <v>5301274</v>
      </c>
      <c r="AD1175" s="79" t="s">
        <v>487</v>
      </c>
      <c r="AE1175" s="36">
        <v>100</v>
      </c>
      <c r="AF1175" s="79"/>
      <c r="AG1175" s="79">
        <v>1</v>
      </c>
      <c r="AH1175" s="36">
        <v>1</v>
      </c>
      <c r="AL1175" s="35"/>
    </row>
    <row r="1176" s="31" customFormat="1" hidden="1" customHeight="1" spans="1:38">
      <c r="A1176" s="82">
        <v>5305274</v>
      </c>
      <c r="B1176" s="34" t="s">
        <v>931</v>
      </c>
      <c r="C1176" s="31">
        <v>5301274</v>
      </c>
      <c r="D1176" s="79">
        <v>5</v>
      </c>
      <c r="E1176" s="79"/>
      <c r="F1176" s="79" t="s">
        <v>230</v>
      </c>
      <c r="G1176" s="36" t="str">
        <f t="shared" si="277"/>
        <v/>
      </c>
      <c r="H1176" s="36" t="str">
        <f>IFERROR(IF(--MID($F1176,2*COUNTIF($G1176:G1176,"&gt;"&amp;0)+2,1)=H$1,H$1,""),"")</f>
        <v/>
      </c>
      <c r="I1176" s="36" t="str">
        <f>IFERROR(IF(--MID($F1176,2*COUNTIF($G1176:H1176,"&gt;"&amp;0)+2,1)=I$1,I$1,""),"")</f>
        <v/>
      </c>
      <c r="J1176" s="36" t="str">
        <f>IFERROR(IF(--MID($F1176,2*COUNTIF($G1176:I1176,"&gt;"&amp;0)+2,1)=J$1,J$1,""),"")</f>
        <v/>
      </c>
      <c r="K1176" s="36">
        <f>IFERROR(IF(--MID($F1176,2*COUNTIF($G1176:J1176,"&gt;"&amp;0)+2,1)=K$1,K$1,""),"")</f>
        <v>5</v>
      </c>
      <c r="L1176" s="36" t="str">
        <f>IFERROR(IF(--MID($F1176,2*COUNTIF($G1176:K1176,"&gt;"&amp;0)+2,1)=L$1,L$1,""),"")</f>
        <v/>
      </c>
      <c r="M1176" s="36" t="e" cm="1">
        <f t="array" ref="M1176">IF(A1176="","",_xlfn.XLOOKUP(D1176&amp;"_"&amp;AE1176,符文权重!A:A&amp;"_"&amp;符文权重!C:C,符文权重!D:D))</f>
        <v>#N/A</v>
      </c>
      <c r="N1176" s="36"/>
      <c r="O1176" s="36"/>
      <c r="P1176" s="36"/>
      <c r="Q1176" s="36"/>
      <c r="R1176" s="36"/>
      <c r="S1176" s="36" t="s">
        <v>344</v>
      </c>
      <c r="T1176" s="36" t="s">
        <v>932</v>
      </c>
      <c r="U1176" s="36" t="s">
        <v>423</v>
      </c>
      <c r="V1176" s="29" t="s">
        <v>943</v>
      </c>
      <c r="W1176" s="79"/>
      <c r="X1176" s="35" t="s">
        <v>820</v>
      </c>
      <c r="Y1176" s="35">
        <v>100</v>
      </c>
      <c r="AA1176" s="36" t="s">
        <v>187</v>
      </c>
      <c r="AB1176" s="79" t="s">
        <v>944</v>
      </c>
      <c r="AC1176" s="31">
        <v>5301274</v>
      </c>
      <c r="AD1176" s="79" t="s">
        <v>497</v>
      </c>
      <c r="AE1176" s="36">
        <v>100</v>
      </c>
      <c r="AF1176" s="79"/>
      <c r="AG1176" s="79">
        <v>1</v>
      </c>
      <c r="AH1176" s="36">
        <v>0</v>
      </c>
      <c r="AI1176" s="82"/>
      <c r="AJ1176" s="84"/>
      <c r="AL1176" s="35"/>
    </row>
    <row r="1177" s="31" customFormat="1" hidden="1" customHeight="1" spans="1:38">
      <c r="A1177" s="82">
        <v>5306274</v>
      </c>
      <c r="B1177" s="34" t="s">
        <v>931</v>
      </c>
      <c r="C1177" s="31">
        <v>5301274</v>
      </c>
      <c r="D1177" s="79">
        <v>6</v>
      </c>
      <c r="E1177" s="79"/>
      <c r="F1177" s="79" t="s">
        <v>230</v>
      </c>
      <c r="G1177" s="36" t="str">
        <f t="shared" si="277"/>
        <v/>
      </c>
      <c r="H1177" s="36" t="str">
        <f>IFERROR(IF(--MID($F1177,2*COUNTIF($G1177:G1177,"&gt;"&amp;0)+2,1)=H$1,H$1,""),"")</f>
        <v/>
      </c>
      <c r="I1177" s="36" t="str">
        <f>IFERROR(IF(--MID($F1177,2*COUNTIF($G1177:H1177,"&gt;"&amp;0)+2,1)=I$1,I$1,""),"")</f>
        <v/>
      </c>
      <c r="J1177" s="36" t="str">
        <f>IFERROR(IF(--MID($F1177,2*COUNTIF($G1177:I1177,"&gt;"&amp;0)+2,1)=J$1,J$1,""),"")</f>
        <v/>
      </c>
      <c r="K1177" s="36">
        <f>IFERROR(IF(--MID($F1177,2*COUNTIF($G1177:J1177,"&gt;"&amp;0)+2,1)=K$1,K$1,""),"")</f>
        <v>5</v>
      </c>
      <c r="L1177" s="36" t="str">
        <f>IFERROR(IF(--MID($F1177,2*COUNTIF($G1177:K1177,"&gt;"&amp;0)+2,1)=L$1,L$1,""),"")</f>
        <v/>
      </c>
      <c r="M1177" s="36" t="e" cm="1">
        <f t="array" ref="M1177">IF(A1177="","",_xlfn.XLOOKUP(D1177&amp;"_"&amp;AE1177,符文权重!A:A&amp;"_"&amp;符文权重!C:C,符文权重!D:D))</f>
        <v>#N/A</v>
      </c>
      <c r="N1177" s="36"/>
      <c r="O1177" s="36"/>
      <c r="P1177" s="36"/>
      <c r="Q1177" s="36"/>
      <c r="R1177" s="36"/>
      <c r="S1177" s="36" t="s">
        <v>344</v>
      </c>
      <c r="T1177" s="36" t="s">
        <v>932</v>
      </c>
      <c r="U1177" s="36" t="s">
        <v>426</v>
      </c>
      <c r="V1177" s="29" t="s">
        <v>945</v>
      </c>
      <c r="W1177" s="79"/>
      <c r="X1177" s="35" t="s">
        <v>823</v>
      </c>
      <c r="Y1177" s="35">
        <v>100</v>
      </c>
      <c r="AA1177" s="36" t="s">
        <v>189</v>
      </c>
      <c r="AB1177" s="79" t="s">
        <v>946</v>
      </c>
      <c r="AC1177" s="31">
        <v>5301274</v>
      </c>
      <c r="AD1177" s="79" t="s">
        <v>596</v>
      </c>
      <c r="AE1177" s="36">
        <v>100</v>
      </c>
      <c r="AF1177" s="79"/>
      <c r="AG1177" s="79">
        <v>1</v>
      </c>
      <c r="AH1177" s="36">
        <v>0</v>
      </c>
      <c r="AI1177" s="82"/>
      <c r="AJ1177" s="84"/>
      <c r="AL1177" s="35"/>
    </row>
    <row r="1178" s="31" customFormat="1" hidden="1" customHeight="1" spans="1:38">
      <c r="A1178" s="82">
        <v>5307274</v>
      </c>
      <c r="B1178" s="34" t="s">
        <v>931</v>
      </c>
      <c r="C1178" s="31">
        <v>5301274</v>
      </c>
      <c r="D1178" s="79">
        <v>7</v>
      </c>
      <c r="E1178" s="79"/>
      <c r="F1178" s="79" t="s">
        <v>230</v>
      </c>
      <c r="G1178" s="36" t="str">
        <f t="shared" si="277"/>
        <v/>
      </c>
      <c r="H1178" s="36" t="str">
        <f>IFERROR(IF(--MID($F1178,2*COUNTIF($G1178:G1178,"&gt;"&amp;0)+2,1)=H$1,H$1,""),"")</f>
        <v/>
      </c>
      <c r="I1178" s="36" t="str">
        <f>IFERROR(IF(--MID($F1178,2*COUNTIF($G1178:H1178,"&gt;"&amp;0)+2,1)=I$1,I$1,""),"")</f>
        <v/>
      </c>
      <c r="J1178" s="36" t="str">
        <f>IFERROR(IF(--MID($F1178,2*COUNTIF($G1178:I1178,"&gt;"&amp;0)+2,1)=J$1,J$1,""),"")</f>
        <v/>
      </c>
      <c r="K1178" s="36">
        <f>IFERROR(IF(--MID($F1178,2*COUNTIF($G1178:J1178,"&gt;"&amp;0)+2,1)=K$1,K$1,""),"")</f>
        <v>5</v>
      </c>
      <c r="L1178" s="36" t="str">
        <f>IFERROR(IF(--MID($F1178,2*COUNTIF($G1178:K1178,"&gt;"&amp;0)+2,1)=L$1,L$1,""),"")</f>
        <v/>
      </c>
      <c r="M1178" s="36" t="e" cm="1">
        <f t="array" ref="M1178">IF(A1178="","",_xlfn.XLOOKUP(D1178&amp;"_"&amp;AE1178,符文权重!A:A&amp;"_"&amp;符文权重!C:C,符文权重!D:D))</f>
        <v>#N/A</v>
      </c>
      <c r="N1178" s="36"/>
      <c r="O1178" s="36"/>
      <c r="P1178" s="36"/>
      <c r="Q1178" s="36"/>
      <c r="R1178" s="36"/>
      <c r="S1178" s="36" t="s">
        <v>344</v>
      </c>
      <c r="T1178" s="36" t="s">
        <v>932</v>
      </c>
      <c r="U1178" s="36" t="s">
        <v>429</v>
      </c>
      <c r="V1178" s="29" t="s">
        <v>947</v>
      </c>
      <c r="W1178" s="79"/>
      <c r="X1178" s="35" t="s">
        <v>826</v>
      </c>
      <c r="Y1178" s="35">
        <v>100</v>
      </c>
      <c r="AA1178" s="36" t="s">
        <v>191</v>
      </c>
      <c r="AB1178" s="79" t="s">
        <v>948</v>
      </c>
      <c r="AC1178" s="31">
        <v>5301274</v>
      </c>
      <c r="AD1178" s="79" t="s">
        <v>476</v>
      </c>
      <c r="AE1178" s="36">
        <v>100</v>
      </c>
      <c r="AF1178" s="79"/>
      <c r="AG1178" s="79">
        <v>1</v>
      </c>
      <c r="AH1178" s="36">
        <v>0</v>
      </c>
      <c r="AI1178" s="82"/>
      <c r="AJ1178" s="84"/>
      <c r="AL1178" s="35"/>
    </row>
    <row r="1179" hidden="1" customHeight="1" spans="1:38">
      <c r="A1179" s="33">
        <v>5304275</v>
      </c>
      <c r="B1179" s="34" t="s">
        <v>931</v>
      </c>
      <c r="C1179" s="35">
        <v>5301275</v>
      </c>
      <c r="D1179" s="36">
        <v>4</v>
      </c>
      <c r="E1179" s="36"/>
      <c r="F1179" s="36" t="s">
        <v>220</v>
      </c>
      <c r="G1179" s="36" t="str">
        <f t="shared" si="277"/>
        <v/>
      </c>
      <c r="H1179" s="36" t="str">
        <f>IFERROR(IF(--MID($F1179,2*COUNTIF($G1179:G1179,"&gt;"&amp;0)+2,1)=H$1,H$1,""),"")</f>
        <v/>
      </c>
      <c r="I1179" s="36" t="str">
        <f>IFERROR(IF(--MID($F1179,2*COUNTIF($G1179:H1179,"&gt;"&amp;0)+2,1)=I$1,I$1,""),"")</f>
        <v/>
      </c>
      <c r="J1179" s="36" t="str">
        <f>IFERROR(IF(--MID($F1179,2*COUNTIF($G1179:I1179,"&gt;"&amp;0)+2,1)=J$1,J$1,""),"")</f>
        <v/>
      </c>
      <c r="K1179" s="36" t="str">
        <f>IFERROR(IF(--MID($F1179,2*COUNTIF($G1179:J1179,"&gt;"&amp;0)+2,1)=K$1,K$1,""),"")</f>
        <v/>
      </c>
      <c r="L1179" s="36">
        <f>IFERROR(IF(--MID($F1179,2*COUNTIF($G1179:K1179,"&gt;"&amp;0)+2,1)=L$1,L$1,""),"")</f>
        <v>6</v>
      </c>
      <c r="M1179" s="36" t="e" cm="1">
        <f t="array" ref="M1179">IF(A1179="","",_xlfn.XLOOKUP(D1179&amp;"_"&amp;AE1179,符文权重!A:A&amp;"_"&amp;符文权重!C:C,符文权重!D:D))</f>
        <v>#N/A</v>
      </c>
      <c r="N1179" s="36"/>
      <c r="O1179" s="36"/>
      <c r="P1179" s="36"/>
      <c r="Q1179" s="36"/>
      <c r="R1179" s="36"/>
      <c r="S1179" s="36" t="s">
        <v>344</v>
      </c>
      <c r="T1179" s="36" t="s">
        <v>932</v>
      </c>
      <c r="U1179" s="36" t="s">
        <v>420</v>
      </c>
      <c r="V1179" s="25"/>
      <c r="W1179" s="36" t="s">
        <v>949</v>
      </c>
      <c r="X1179" s="35" t="s">
        <v>817</v>
      </c>
      <c r="Y1179" s="35">
        <v>100</v>
      </c>
      <c r="AA1179" s="36" t="s">
        <v>185</v>
      </c>
      <c r="AB1179" s="42" t="s">
        <v>950</v>
      </c>
      <c r="AC1179" s="35">
        <v>5301275</v>
      </c>
      <c r="AD1179" s="36" t="s">
        <v>428</v>
      </c>
      <c r="AE1179" s="36">
        <v>100</v>
      </c>
      <c r="AF1179" s="36"/>
      <c r="AG1179" s="79">
        <v>1</v>
      </c>
      <c r="AH1179" s="36">
        <v>1</v>
      </c>
      <c r="AI1179" s="35"/>
      <c r="AJ1179" s="35"/>
    </row>
    <row r="1180" hidden="1" customHeight="1" spans="1:38">
      <c r="A1180" s="33">
        <v>5305275</v>
      </c>
      <c r="B1180" s="34" t="s">
        <v>931</v>
      </c>
      <c r="C1180" s="35">
        <v>5301275</v>
      </c>
      <c r="D1180" s="36">
        <v>5</v>
      </c>
      <c r="E1180" s="36"/>
      <c r="F1180" s="36" t="s">
        <v>220</v>
      </c>
      <c r="G1180" s="36" t="str">
        <f t="shared" si="277"/>
        <v/>
      </c>
      <c r="H1180" s="36" t="str">
        <f>IFERROR(IF(--MID($F1180,2*COUNTIF($G1180:G1180,"&gt;"&amp;0)+2,1)=H$1,H$1,""),"")</f>
        <v/>
      </c>
      <c r="I1180" s="36" t="str">
        <f>IFERROR(IF(--MID($F1180,2*COUNTIF($G1180:H1180,"&gt;"&amp;0)+2,1)=I$1,I$1,""),"")</f>
        <v/>
      </c>
      <c r="J1180" s="36" t="str">
        <f>IFERROR(IF(--MID($F1180,2*COUNTIF($G1180:I1180,"&gt;"&amp;0)+2,1)=J$1,J$1,""),"")</f>
        <v/>
      </c>
      <c r="K1180" s="36" t="str">
        <f>IFERROR(IF(--MID($F1180,2*COUNTIF($G1180:J1180,"&gt;"&amp;0)+2,1)=K$1,K$1,""),"")</f>
        <v/>
      </c>
      <c r="L1180" s="36">
        <f>IFERROR(IF(--MID($F1180,2*COUNTIF($G1180:K1180,"&gt;"&amp;0)+2,1)=L$1,L$1,""),"")</f>
        <v>6</v>
      </c>
      <c r="M1180" s="36" t="e" cm="1">
        <f t="array" ref="M1180">IF(A1180="","",_xlfn.XLOOKUP(D1180&amp;"_"&amp;AE1180,符文权重!A:A&amp;"_"&amp;符文权重!C:C,符文权重!D:D))</f>
        <v>#N/A</v>
      </c>
      <c r="N1180" s="36"/>
      <c r="O1180" s="36"/>
      <c r="P1180" s="36"/>
      <c r="Q1180" s="36"/>
      <c r="R1180" s="36"/>
      <c r="S1180" s="36" t="s">
        <v>344</v>
      </c>
      <c r="T1180" s="36" t="s">
        <v>932</v>
      </c>
      <c r="U1180" s="36" t="s">
        <v>423</v>
      </c>
      <c r="V1180" s="25"/>
      <c r="W1180" s="36" t="s">
        <v>951</v>
      </c>
      <c r="X1180" s="35" t="s">
        <v>820</v>
      </c>
      <c r="Y1180" s="35">
        <v>100</v>
      </c>
      <c r="AA1180" s="36" t="s">
        <v>187</v>
      </c>
      <c r="AB1180" s="42" t="s">
        <v>952</v>
      </c>
      <c r="AC1180" s="35">
        <v>5301275</v>
      </c>
      <c r="AD1180" s="36" t="s">
        <v>808</v>
      </c>
      <c r="AE1180" s="36">
        <v>100</v>
      </c>
      <c r="AF1180" s="36"/>
      <c r="AG1180" s="79">
        <v>1</v>
      </c>
      <c r="AH1180" s="36">
        <v>0</v>
      </c>
    </row>
    <row r="1181" hidden="1" customHeight="1" spans="1:38">
      <c r="A1181" s="33">
        <v>5306275</v>
      </c>
      <c r="B1181" s="34" t="s">
        <v>931</v>
      </c>
      <c r="C1181" s="35">
        <v>5301275</v>
      </c>
      <c r="D1181" s="36">
        <v>6</v>
      </c>
      <c r="E1181" s="36"/>
      <c r="F1181" s="36" t="s">
        <v>220</v>
      </c>
      <c r="G1181" s="36" t="str">
        <f t="shared" si="277"/>
        <v/>
      </c>
      <c r="H1181" s="36" t="str">
        <f>IFERROR(IF(--MID($F1181,2*COUNTIF($G1181:G1181,"&gt;"&amp;0)+2,1)=H$1,H$1,""),"")</f>
        <v/>
      </c>
      <c r="I1181" s="36" t="str">
        <f>IFERROR(IF(--MID($F1181,2*COUNTIF($G1181:H1181,"&gt;"&amp;0)+2,1)=I$1,I$1,""),"")</f>
        <v/>
      </c>
      <c r="J1181" s="36" t="str">
        <f>IFERROR(IF(--MID($F1181,2*COUNTIF($G1181:I1181,"&gt;"&amp;0)+2,1)=J$1,J$1,""),"")</f>
        <v/>
      </c>
      <c r="K1181" s="36" t="str">
        <f>IFERROR(IF(--MID($F1181,2*COUNTIF($G1181:J1181,"&gt;"&amp;0)+2,1)=K$1,K$1,""),"")</f>
        <v/>
      </c>
      <c r="L1181" s="36">
        <f>IFERROR(IF(--MID($F1181,2*COUNTIF($G1181:K1181,"&gt;"&amp;0)+2,1)=L$1,L$1,""),"")</f>
        <v>6</v>
      </c>
      <c r="M1181" s="36" t="e" cm="1">
        <f t="array" ref="M1181">IF(A1181="","",_xlfn.XLOOKUP(D1181&amp;"_"&amp;AE1181,符文权重!A:A&amp;"_"&amp;符文权重!C:C,符文权重!D:D))</f>
        <v>#N/A</v>
      </c>
      <c r="N1181" s="36"/>
      <c r="O1181" s="36"/>
      <c r="P1181" s="36"/>
      <c r="Q1181" s="36"/>
      <c r="R1181" s="36"/>
      <c r="S1181" s="36" t="s">
        <v>344</v>
      </c>
      <c r="T1181" s="36" t="s">
        <v>932</v>
      </c>
      <c r="U1181" s="36" t="s">
        <v>426</v>
      </c>
      <c r="V1181" s="25"/>
      <c r="W1181" s="36" t="s">
        <v>953</v>
      </c>
      <c r="X1181" s="35" t="s">
        <v>823</v>
      </c>
      <c r="Y1181" s="35">
        <v>100</v>
      </c>
      <c r="AA1181" s="36" t="s">
        <v>189</v>
      </c>
      <c r="AB1181" s="42" t="s">
        <v>954</v>
      </c>
      <c r="AC1181" s="35">
        <v>5301275</v>
      </c>
      <c r="AD1181" s="36" t="s">
        <v>660</v>
      </c>
      <c r="AE1181" s="36">
        <v>100</v>
      </c>
      <c r="AF1181" s="36"/>
      <c r="AG1181" s="79">
        <v>1</v>
      </c>
      <c r="AH1181" s="36">
        <v>0</v>
      </c>
    </row>
    <row r="1182" hidden="1" customHeight="1" spans="1:38">
      <c r="A1182" s="33">
        <v>5307275</v>
      </c>
      <c r="B1182" s="34" t="s">
        <v>931</v>
      </c>
      <c r="C1182" s="35">
        <v>5301275</v>
      </c>
      <c r="D1182" s="36">
        <v>7</v>
      </c>
      <c r="E1182" s="36"/>
      <c r="F1182" s="36" t="s">
        <v>220</v>
      </c>
      <c r="G1182" s="36" t="str">
        <f t="shared" si="277"/>
        <v/>
      </c>
      <c r="H1182" s="36" t="str">
        <f>IFERROR(IF(--MID($F1182,2*COUNTIF($G1182:G1182,"&gt;"&amp;0)+2,1)=H$1,H$1,""),"")</f>
        <v/>
      </c>
      <c r="I1182" s="36" t="str">
        <f>IFERROR(IF(--MID($F1182,2*COUNTIF($G1182:H1182,"&gt;"&amp;0)+2,1)=I$1,I$1,""),"")</f>
        <v/>
      </c>
      <c r="J1182" s="36" t="str">
        <f>IFERROR(IF(--MID($F1182,2*COUNTIF($G1182:I1182,"&gt;"&amp;0)+2,1)=J$1,J$1,""),"")</f>
        <v/>
      </c>
      <c r="K1182" s="36" t="str">
        <f>IFERROR(IF(--MID($F1182,2*COUNTIF($G1182:J1182,"&gt;"&amp;0)+2,1)=K$1,K$1,""),"")</f>
        <v/>
      </c>
      <c r="L1182" s="36">
        <f>IFERROR(IF(--MID($F1182,2*COUNTIF($G1182:K1182,"&gt;"&amp;0)+2,1)=L$1,L$1,""),"")</f>
        <v>6</v>
      </c>
      <c r="M1182" s="36" t="e" cm="1">
        <f t="array" ref="M1182">IF(A1182="","",_xlfn.XLOOKUP(D1182&amp;"_"&amp;AE1182,符文权重!A:A&amp;"_"&amp;符文权重!C:C,符文权重!D:D))</f>
        <v>#N/A</v>
      </c>
      <c r="N1182" s="36"/>
      <c r="O1182" s="36"/>
      <c r="P1182" s="36"/>
      <c r="Q1182" s="36"/>
      <c r="R1182" s="36"/>
      <c r="S1182" s="36" t="s">
        <v>344</v>
      </c>
      <c r="T1182" s="36" t="s">
        <v>932</v>
      </c>
      <c r="U1182" s="36" t="s">
        <v>429</v>
      </c>
      <c r="V1182" s="25"/>
      <c r="W1182" s="36" t="s">
        <v>955</v>
      </c>
      <c r="X1182" s="35" t="s">
        <v>826</v>
      </c>
      <c r="Y1182" s="35">
        <v>100</v>
      </c>
      <c r="AA1182" s="36" t="s">
        <v>191</v>
      </c>
      <c r="AB1182" s="42" t="s">
        <v>956</v>
      </c>
      <c r="AC1182" s="35">
        <v>5301275</v>
      </c>
      <c r="AD1182" s="36" t="s">
        <v>474</v>
      </c>
      <c r="AE1182" s="36">
        <v>100</v>
      </c>
      <c r="AF1182" s="36"/>
      <c r="AG1182" s="79">
        <v>1</v>
      </c>
      <c r="AH1182" s="36">
        <v>0</v>
      </c>
    </row>
    <row r="1183" s="32" customFormat="1" hidden="1" customHeight="1" spans="1:38">
      <c r="A1183" s="32">
        <v>5304277</v>
      </c>
      <c r="B1183" s="87" t="s">
        <v>958</v>
      </c>
      <c r="C1183" s="32">
        <v>5301277</v>
      </c>
      <c r="D1183" s="81">
        <v>4</v>
      </c>
      <c r="E1183" s="81"/>
      <c r="F1183" s="81" t="s">
        <v>220</v>
      </c>
      <c r="G1183" s="36" t="str">
        <f t="shared" si="277"/>
        <v/>
      </c>
      <c r="H1183" s="36" t="str">
        <f>IFERROR(IF(--MID($F1183,2*COUNTIF($G1183:G1183,"&gt;"&amp;0)+2,1)=H$1,H$1,""),"")</f>
        <v/>
      </c>
      <c r="I1183" s="36" t="str">
        <f>IFERROR(IF(--MID($F1183,2*COUNTIF($G1183:H1183,"&gt;"&amp;0)+2,1)=I$1,I$1,""),"")</f>
        <v/>
      </c>
      <c r="J1183" s="36" t="str">
        <f>IFERROR(IF(--MID($F1183,2*COUNTIF($G1183:I1183,"&gt;"&amp;0)+2,1)=J$1,J$1,""),"")</f>
        <v/>
      </c>
      <c r="K1183" s="36" t="str">
        <f>IFERROR(IF(--MID($F1183,2*COUNTIF($G1183:J1183,"&gt;"&amp;0)+2,1)=K$1,K$1,""),"")</f>
        <v/>
      </c>
      <c r="L1183" s="36">
        <f>IFERROR(IF(--MID($F1183,2*COUNTIF($G1183:K1183,"&gt;"&amp;0)+2,1)=L$1,L$1,""),"")</f>
        <v>6</v>
      </c>
      <c r="M1183" s="36" t="e" cm="1">
        <f t="array" ref="M1183">IF(A1183="","",_xlfn.XLOOKUP(D1183&amp;"_"&amp;AE1183,符文权重!A:A&amp;"_"&amp;符文权重!C:C,符文权重!D:D))</f>
        <v>#N/A</v>
      </c>
      <c r="N1183" s="36"/>
      <c r="O1183" s="36"/>
      <c r="P1183" s="36"/>
      <c r="Q1183" s="36"/>
      <c r="R1183" s="36"/>
      <c r="S1183" s="81" t="s">
        <v>344</v>
      </c>
      <c r="T1183" s="81" t="s">
        <v>959</v>
      </c>
      <c r="U1183" s="81" t="s">
        <v>420</v>
      </c>
      <c r="V1183" s="30" t="s">
        <v>960</v>
      </c>
      <c r="W1183" s="81"/>
      <c r="X1183" s="32" t="s">
        <v>817</v>
      </c>
      <c r="Y1183" s="35">
        <v>100</v>
      </c>
      <c r="AA1183" s="36" t="s">
        <v>185</v>
      </c>
      <c r="AB1183" s="81" t="s">
        <v>1482</v>
      </c>
      <c r="AC1183" s="32">
        <v>5301277</v>
      </c>
      <c r="AD1183" s="81" t="s">
        <v>428</v>
      </c>
      <c r="AE1183" s="36">
        <v>100</v>
      </c>
      <c r="AF1183" s="81"/>
      <c r="AG1183" s="79">
        <v>1</v>
      </c>
      <c r="AH1183" s="81">
        <v>0</v>
      </c>
      <c r="AL1183" s="35"/>
    </row>
    <row r="1184" s="32" customFormat="1" hidden="1" customHeight="1" spans="1:38">
      <c r="A1184" s="32">
        <v>5305277</v>
      </c>
      <c r="B1184" s="87" t="s">
        <v>958</v>
      </c>
      <c r="C1184" s="32">
        <v>5301277</v>
      </c>
      <c r="D1184" s="81">
        <v>5</v>
      </c>
      <c r="E1184" s="81"/>
      <c r="F1184" s="81" t="s">
        <v>220</v>
      </c>
      <c r="G1184" s="36" t="str">
        <f t="shared" si="277"/>
        <v/>
      </c>
      <c r="H1184" s="36" t="str">
        <f>IFERROR(IF(--MID($F1184,2*COUNTIF($G1184:G1184,"&gt;"&amp;0)+2,1)=H$1,H$1,""),"")</f>
        <v/>
      </c>
      <c r="I1184" s="36" t="str">
        <f>IFERROR(IF(--MID($F1184,2*COUNTIF($G1184:H1184,"&gt;"&amp;0)+2,1)=I$1,I$1,""),"")</f>
        <v/>
      </c>
      <c r="J1184" s="36" t="str">
        <f>IFERROR(IF(--MID($F1184,2*COUNTIF($G1184:I1184,"&gt;"&amp;0)+2,1)=J$1,J$1,""),"")</f>
        <v/>
      </c>
      <c r="K1184" s="36" t="str">
        <f>IFERROR(IF(--MID($F1184,2*COUNTIF($G1184:J1184,"&gt;"&amp;0)+2,1)=K$1,K$1,""),"")</f>
        <v/>
      </c>
      <c r="L1184" s="36">
        <f>IFERROR(IF(--MID($F1184,2*COUNTIF($G1184:K1184,"&gt;"&amp;0)+2,1)=L$1,L$1,""),"")</f>
        <v>6</v>
      </c>
      <c r="M1184" s="36" t="e" cm="1">
        <f t="array" ref="M1184">IF(A1184="","",_xlfn.XLOOKUP(D1184&amp;"_"&amp;AE1184,符文权重!A:A&amp;"_"&amp;符文权重!C:C,符文权重!D:D))</f>
        <v>#N/A</v>
      </c>
      <c r="N1184" s="36"/>
      <c r="O1184" s="36"/>
      <c r="P1184" s="36"/>
      <c r="Q1184" s="36"/>
      <c r="R1184" s="36"/>
      <c r="S1184" s="81" t="s">
        <v>344</v>
      </c>
      <c r="T1184" s="81" t="s">
        <v>959</v>
      </c>
      <c r="U1184" s="81" t="s">
        <v>423</v>
      </c>
      <c r="V1184" s="30" t="s">
        <v>962</v>
      </c>
      <c r="W1184" s="81"/>
      <c r="X1184" s="32" t="s">
        <v>820</v>
      </c>
      <c r="Y1184" s="35">
        <v>100</v>
      </c>
      <c r="AA1184" s="36" t="s">
        <v>187</v>
      </c>
      <c r="AB1184" s="81" t="s">
        <v>963</v>
      </c>
      <c r="AC1184" s="32">
        <v>5301277</v>
      </c>
      <c r="AD1184" s="81" t="s">
        <v>431</v>
      </c>
      <c r="AE1184" s="36">
        <v>100</v>
      </c>
      <c r="AF1184" s="81"/>
      <c r="AG1184" s="79">
        <v>1</v>
      </c>
      <c r="AH1184" s="81">
        <v>1</v>
      </c>
      <c r="AI1184" s="86"/>
      <c r="AJ1184" s="88"/>
      <c r="AL1184" s="35"/>
    </row>
    <row r="1185" s="32" customFormat="1" hidden="1" customHeight="1" spans="1:38">
      <c r="A1185" s="32">
        <v>5306277</v>
      </c>
      <c r="B1185" s="87" t="s">
        <v>958</v>
      </c>
      <c r="C1185" s="32">
        <v>5301277</v>
      </c>
      <c r="D1185" s="81">
        <v>6</v>
      </c>
      <c r="E1185" s="81"/>
      <c r="F1185" s="81" t="s">
        <v>220</v>
      </c>
      <c r="G1185" s="36" t="str">
        <f t="shared" si="277"/>
        <v/>
      </c>
      <c r="H1185" s="36" t="str">
        <f>IFERROR(IF(--MID($F1185,2*COUNTIF($G1185:G1185,"&gt;"&amp;0)+2,1)=H$1,H$1,""),"")</f>
        <v/>
      </c>
      <c r="I1185" s="36" t="str">
        <f>IFERROR(IF(--MID($F1185,2*COUNTIF($G1185:H1185,"&gt;"&amp;0)+2,1)=I$1,I$1,""),"")</f>
        <v/>
      </c>
      <c r="J1185" s="36" t="str">
        <f>IFERROR(IF(--MID($F1185,2*COUNTIF($G1185:I1185,"&gt;"&amp;0)+2,1)=J$1,J$1,""),"")</f>
        <v/>
      </c>
      <c r="K1185" s="36" t="str">
        <f>IFERROR(IF(--MID($F1185,2*COUNTIF($G1185:J1185,"&gt;"&amp;0)+2,1)=K$1,K$1,""),"")</f>
        <v/>
      </c>
      <c r="L1185" s="36">
        <f>IFERROR(IF(--MID($F1185,2*COUNTIF($G1185:K1185,"&gt;"&amp;0)+2,1)=L$1,L$1,""),"")</f>
        <v>6</v>
      </c>
      <c r="M1185" s="36" t="e" cm="1">
        <f t="array" ref="M1185">IF(A1185="","",_xlfn.XLOOKUP(D1185&amp;"_"&amp;AE1185,符文权重!A:A&amp;"_"&amp;符文权重!C:C,符文权重!D:D))</f>
        <v>#N/A</v>
      </c>
      <c r="N1185" s="36"/>
      <c r="O1185" s="36"/>
      <c r="P1185" s="36"/>
      <c r="Q1185" s="36"/>
      <c r="R1185" s="36"/>
      <c r="S1185" s="81" t="s">
        <v>344</v>
      </c>
      <c r="T1185" s="81" t="s">
        <v>959</v>
      </c>
      <c r="U1185" s="81" t="s">
        <v>426</v>
      </c>
      <c r="V1185" s="30" t="s">
        <v>964</v>
      </c>
      <c r="W1185" s="81"/>
      <c r="X1185" s="32" t="s">
        <v>823</v>
      </c>
      <c r="Y1185" s="35">
        <v>100</v>
      </c>
      <c r="AA1185" s="36" t="s">
        <v>189</v>
      </c>
      <c r="AB1185" s="81" t="s">
        <v>965</v>
      </c>
      <c r="AC1185" s="32">
        <v>5301277</v>
      </c>
      <c r="AD1185" s="81" t="s">
        <v>487</v>
      </c>
      <c r="AE1185" s="36">
        <v>100</v>
      </c>
      <c r="AF1185" s="81"/>
      <c r="AG1185" s="79">
        <v>1</v>
      </c>
      <c r="AH1185" s="81">
        <v>1</v>
      </c>
      <c r="AI1185" s="86"/>
      <c r="AJ1185" s="88"/>
      <c r="AL1185" s="35"/>
    </row>
    <row r="1186" s="32" customFormat="1" hidden="1" customHeight="1" spans="1:38">
      <c r="A1186" s="32">
        <v>5307277</v>
      </c>
      <c r="B1186" s="87" t="s">
        <v>958</v>
      </c>
      <c r="C1186" s="32">
        <v>5301277</v>
      </c>
      <c r="D1186" s="81">
        <v>7</v>
      </c>
      <c r="E1186" s="81"/>
      <c r="F1186" s="81" t="s">
        <v>220</v>
      </c>
      <c r="G1186" s="36" t="str">
        <f t="shared" si="277"/>
        <v/>
      </c>
      <c r="H1186" s="36" t="str">
        <f>IFERROR(IF(--MID($F1186,2*COUNTIF($G1186:G1186,"&gt;"&amp;0)+2,1)=H$1,H$1,""),"")</f>
        <v/>
      </c>
      <c r="I1186" s="36" t="str">
        <f>IFERROR(IF(--MID($F1186,2*COUNTIF($G1186:H1186,"&gt;"&amp;0)+2,1)=I$1,I$1,""),"")</f>
        <v/>
      </c>
      <c r="J1186" s="36" t="str">
        <f>IFERROR(IF(--MID($F1186,2*COUNTIF($G1186:I1186,"&gt;"&amp;0)+2,1)=J$1,J$1,""),"")</f>
        <v/>
      </c>
      <c r="K1186" s="36" t="str">
        <f>IFERROR(IF(--MID($F1186,2*COUNTIF($G1186:J1186,"&gt;"&amp;0)+2,1)=K$1,K$1,""),"")</f>
        <v/>
      </c>
      <c r="L1186" s="36">
        <f>IFERROR(IF(--MID($F1186,2*COUNTIF($G1186:K1186,"&gt;"&amp;0)+2,1)=L$1,L$1,""),"")</f>
        <v>6</v>
      </c>
      <c r="M1186" s="36" t="e" cm="1">
        <f t="array" ref="M1186">IF(A1186="","",_xlfn.XLOOKUP(D1186&amp;"_"&amp;AE1186,符文权重!A:A&amp;"_"&amp;符文权重!C:C,符文权重!D:D))</f>
        <v>#N/A</v>
      </c>
      <c r="N1186" s="36"/>
      <c r="O1186" s="36"/>
      <c r="P1186" s="36"/>
      <c r="Q1186" s="36"/>
      <c r="R1186" s="36"/>
      <c r="S1186" s="81" t="s">
        <v>344</v>
      </c>
      <c r="T1186" s="81" t="s">
        <v>959</v>
      </c>
      <c r="U1186" s="81" t="s">
        <v>429</v>
      </c>
      <c r="V1186" s="30" t="s">
        <v>966</v>
      </c>
      <c r="W1186" s="81"/>
      <c r="X1186" s="32" t="s">
        <v>826</v>
      </c>
      <c r="Y1186" s="35">
        <v>100</v>
      </c>
      <c r="AA1186" s="36" t="s">
        <v>191</v>
      </c>
      <c r="AB1186" s="81" t="s">
        <v>967</v>
      </c>
      <c r="AC1186" s="32">
        <v>5301277</v>
      </c>
      <c r="AD1186" s="81" t="s">
        <v>447</v>
      </c>
      <c r="AE1186" s="36">
        <v>100</v>
      </c>
      <c r="AF1186" s="81"/>
      <c r="AG1186" s="79">
        <v>1</v>
      </c>
      <c r="AH1186" s="81">
        <v>1</v>
      </c>
      <c r="AI1186" s="86"/>
      <c r="AJ1186" s="88"/>
      <c r="AL1186" s="35"/>
    </row>
    <row r="1187" s="32" customFormat="1" hidden="1" customHeight="1" spans="1:38">
      <c r="A1187" s="32">
        <v>5304278</v>
      </c>
      <c r="B1187" s="87" t="s">
        <v>958</v>
      </c>
      <c r="C1187" s="32">
        <v>5301278</v>
      </c>
      <c r="D1187" s="81">
        <v>4</v>
      </c>
      <c r="E1187" s="81"/>
      <c r="F1187" s="81" t="s">
        <v>404</v>
      </c>
      <c r="G1187" s="36" t="str">
        <f t="shared" si="277"/>
        <v/>
      </c>
      <c r="H1187" s="36" t="str">
        <f>IFERROR(IF(--MID($F1187,2*COUNTIF($G1187:G1187,"&gt;"&amp;0)+2,1)=H$1,H$1,""),"")</f>
        <v/>
      </c>
      <c r="I1187" s="36" t="str">
        <f>IFERROR(IF(--MID($F1187,2*COUNTIF($G1187:H1187,"&gt;"&amp;0)+2,1)=I$1,I$1,""),"")</f>
        <v/>
      </c>
      <c r="J1187" s="36">
        <f>IFERROR(IF(--MID($F1187,2*COUNTIF($G1187:I1187,"&gt;"&amp;0)+2,1)=J$1,J$1,""),"")</f>
        <v>4</v>
      </c>
      <c r="K1187" s="36" t="str">
        <f>IFERROR(IF(--MID($F1187,2*COUNTIF($G1187:J1187,"&gt;"&amp;0)+2,1)=K$1,K$1,""),"")</f>
        <v/>
      </c>
      <c r="L1187" s="36" t="str">
        <f>IFERROR(IF(--MID($F1187,2*COUNTIF($G1187:K1187,"&gt;"&amp;0)+2,1)=L$1,L$1,""),"")</f>
        <v/>
      </c>
      <c r="M1187" s="36" t="e" cm="1">
        <f t="array" ref="M1187">IF(A1187="","",_xlfn.XLOOKUP(D1187&amp;"_"&amp;AE1187,符文权重!A:A&amp;"_"&amp;符文权重!C:C,符文权重!D:D))</f>
        <v>#N/A</v>
      </c>
      <c r="N1187" s="36"/>
      <c r="O1187" s="36"/>
      <c r="P1187" s="36"/>
      <c r="Q1187" s="36"/>
      <c r="R1187" s="36"/>
      <c r="S1187" s="81" t="s">
        <v>344</v>
      </c>
      <c r="T1187" s="81" t="s">
        <v>959</v>
      </c>
      <c r="U1187" s="81" t="s">
        <v>420</v>
      </c>
      <c r="V1187" s="30" t="s">
        <v>968</v>
      </c>
      <c r="W1187" s="81"/>
      <c r="X1187" s="32" t="s">
        <v>817</v>
      </c>
      <c r="Y1187" s="35">
        <v>100</v>
      </c>
      <c r="AA1187" s="36" t="s">
        <v>185</v>
      </c>
      <c r="AB1187" s="81" t="s">
        <v>969</v>
      </c>
      <c r="AC1187" s="32">
        <v>5301278</v>
      </c>
      <c r="AD1187" s="81" t="s">
        <v>193</v>
      </c>
      <c r="AE1187" s="36">
        <v>100</v>
      </c>
      <c r="AF1187" s="81"/>
      <c r="AG1187" s="79">
        <v>1</v>
      </c>
      <c r="AH1187" s="81">
        <v>0</v>
      </c>
      <c r="AL1187" s="35"/>
    </row>
    <row r="1188" s="32" customFormat="1" hidden="1" customHeight="1" spans="1:38">
      <c r="A1188" s="32">
        <v>5305278</v>
      </c>
      <c r="B1188" s="87" t="s">
        <v>958</v>
      </c>
      <c r="C1188" s="32">
        <v>5301278</v>
      </c>
      <c r="D1188" s="81">
        <v>5</v>
      </c>
      <c r="E1188" s="81"/>
      <c r="F1188" s="81" t="s">
        <v>404</v>
      </c>
      <c r="G1188" s="36" t="str">
        <f t="shared" si="277"/>
        <v/>
      </c>
      <c r="H1188" s="36" t="str">
        <f>IFERROR(IF(--MID($F1188,2*COUNTIF($G1188:G1188,"&gt;"&amp;0)+2,1)=H$1,H$1,""),"")</f>
        <v/>
      </c>
      <c r="I1188" s="36" t="str">
        <f>IFERROR(IF(--MID($F1188,2*COUNTIF($G1188:H1188,"&gt;"&amp;0)+2,1)=I$1,I$1,""),"")</f>
        <v/>
      </c>
      <c r="J1188" s="36">
        <f>IFERROR(IF(--MID($F1188,2*COUNTIF($G1188:I1188,"&gt;"&amp;0)+2,1)=J$1,J$1,""),"")</f>
        <v>4</v>
      </c>
      <c r="K1188" s="36" t="str">
        <f>IFERROR(IF(--MID($F1188,2*COUNTIF($G1188:J1188,"&gt;"&amp;0)+2,1)=K$1,K$1,""),"")</f>
        <v/>
      </c>
      <c r="L1188" s="36" t="str">
        <f>IFERROR(IF(--MID($F1188,2*COUNTIF($G1188:K1188,"&gt;"&amp;0)+2,1)=L$1,L$1,""),"")</f>
        <v/>
      </c>
      <c r="M1188" s="36" t="e" cm="1">
        <f t="array" ref="M1188">IF(A1188="","",_xlfn.XLOOKUP(D1188&amp;"_"&amp;AE1188,符文权重!A:A&amp;"_"&amp;符文权重!C:C,符文权重!D:D))</f>
        <v>#N/A</v>
      </c>
      <c r="N1188" s="36"/>
      <c r="O1188" s="36"/>
      <c r="P1188" s="36"/>
      <c r="Q1188" s="36"/>
      <c r="R1188" s="36"/>
      <c r="S1188" s="81" t="s">
        <v>344</v>
      </c>
      <c r="T1188" s="81" t="s">
        <v>959</v>
      </c>
      <c r="U1188" s="81" t="s">
        <v>423</v>
      </c>
      <c r="V1188" s="30" t="s">
        <v>970</v>
      </c>
      <c r="W1188" s="81"/>
      <c r="X1188" s="32" t="s">
        <v>820</v>
      </c>
      <c r="Y1188" s="35">
        <v>100</v>
      </c>
      <c r="AA1188" s="36" t="s">
        <v>187</v>
      </c>
      <c r="AB1188" s="81" t="s">
        <v>971</v>
      </c>
      <c r="AC1188" s="32">
        <v>5301278</v>
      </c>
      <c r="AD1188" s="81" t="s">
        <v>404</v>
      </c>
      <c r="AE1188" s="36">
        <v>100</v>
      </c>
      <c r="AF1188" s="81"/>
      <c r="AG1188" s="79">
        <v>1</v>
      </c>
      <c r="AH1188" s="81">
        <v>1</v>
      </c>
      <c r="AI1188" s="86"/>
      <c r="AJ1188" s="88"/>
      <c r="AL1188" s="35"/>
    </row>
    <row r="1189" s="32" customFormat="1" hidden="1" customHeight="1" spans="1:38">
      <c r="A1189" s="32">
        <v>5306278</v>
      </c>
      <c r="B1189" s="87" t="s">
        <v>958</v>
      </c>
      <c r="C1189" s="32">
        <v>5301278</v>
      </c>
      <c r="D1189" s="81">
        <v>6</v>
      </c>
      <c r="E1189" s="81"/>
      <c r="F1189" s="81" t="s">
        <v>404</v>
      </c>
      <c r="G1189" s="36" t="str">
        <f t="shared" si="277"/>
        <v/>
      </c>
      <c r="H1189" s="36" t="str">
        <f>IFERROR(IF(--MID($F1189,2*COUNTIF($G1189:G1189,"&gt;"&amp;0)+2,1)=H$1,H$1,""),"")</f>
        <v/>
      </c>
      <c r="I1189" s="36" t="str">
        <f>IFERROR(IF(--MID($F1189,2*COUNTIF($G1189:H1189,"&gt;"&amp;0)+2,1)=I$1,I$1,""),"")</f>
        <v/>
      </c>
      <c r="J1189" s="36">
        <f>IFERROR(IF(--MID($F1189,2*COUNTIF($G1189:I1189,"&gt;"&amp;0)+2,1)=J$1,J$1,""),"")</f>
        <v>4</v>
      </c>
      <c r="K1189" s="36" t="str">
        <f>IFERROR(IF(--MID($F1189,2*COUNTIF($G1189:J1189,"&gt;"&amp;0)+2,1)=K$1,K$1,""),"")</f>
        <v/>
      </c>
      <c r="L1189" s="36" t="str">
        <f>IFERROR(IF(--MID($F1189,2*COUNTIF($G1189:K1189,"&gt;"&amp;0)+2,1)=L$1,L$1,""),"")</f>
        <v/>
      </c>
      <c r="M1189" s="36" t="e" cm="1">
        <f t="array" ref="M1189">IF(A1189="","",_xlfn.XLOOKUP(D1189&amp;"_"&amp;AE1189,符文权重!A:A&amp;"_"&amp;符文权重!C:C,符文权重!D:D))</f>
        <v>#N/A</v>
      </c>
      <c r="N1189" s="36"/>
      <c r="O1189" s="36"/>
      <c r="P1189" s="36"/>
      <c r="Q1189" s="36"/>
      <c r="R1189" s="36"/>
      <c r="S1189" s="81" t="s">
        <v>344</v>
      </c>
      <c r="T1189" s="81" t="s">
        <v>959</v>
      </c>
      <c r="U1189" s="81" t="s">
        <v>426</v>
      </c>
      <c r="V1189" s="30" t="s">
        <v>972</v>
      </c>
      <c r="W1189" s="81"/>
      <c r="X1189" s="32" t="s">
        <v>823</v>
      </c>
      <c r="Y1189" s="35">
        <v>100</v>
      </c>
      <c r="AA1189" s="36" t="s">
        <v>189</v>
      </c>
      <c r="AB1189" s="81" t="s">
        <v>973</v>
      </c>
      <c r="AC1189" s="32">
        <v>5301278</v>
      </c>
      <c r="AD1189" s="81" t="s">
        <v>220</v>
      </c>
      <c r="AE1189" s="36">
        <v>100</v>
      </c>
      <c r="AF1189" s="81"/>
      <c r="AG1189" s="79">
        <v>1</v>
      </c>
      <c r="AH1189" s="81">
        <v>1</v>
      </c>
      <c r="AI1189" s="86"/>
      <c r="AJ1189" s="88"/>
      <c r="AL1189" s="35"/>
    </row>
    <row r="1190" s="32" customFormat="1" hidden="1" customHeight="1" spans="1:38">
      <c r="A1190" s="32">
        <v>5307278</v>
      </c>
      <c r="B1190" s="87" t="s">
        <v>958</v>
      </c>
      <c r="C1190" s="32">
        <v>5301278</v>
      </c>
      <c r="D1190" s="81">
        <v>7</v>
      </c>
      <c r="E1190" s="81"/>
      <c r="F1190" s="81" t="s">
        <v>404</v>
      </c>
      <c r="G1190" s="36" t="str">
        <f t="shared" si="277"/>
        <v/>
      </c>
      <c r="H1190" s="36" t="str">
        <f>IFERROR(IF(--MID($F1190,2*COUNTIF($G1190:G1190,"&gt;"&amp;0)+2,1)=H$1,H$1,""),"")</f>
        <v/>
      </c>
      <c r="I1190" s="36" t="str">
        <f>IFERROR(IF(--MID($F1190,2*COUNTIF($G1190:H1190,"&gt;"&amp;0)+2,1)=I$1,I$1,""),"")</f>
        <v/>
      </c>
      <c r="J1190" s="36">
        <f>IFERROR(IF(--MID($F1190,2*COUNTIF($G1190:I1190,"&gt;"&amp;0)+2,1)=J$1,J$1,""),"")</f>
        <v>4</v>
      </c>
      <c r="K1190" s="36" t="str">
        <f>IFERROR(IF(--MID($F1190,2*COUNTIF($G1190:J1190,"&gt;"&amp;0)+2,1)=K$1,K$1,""),"")</f>
        <v/>
      </c>
      <c r="L1190" s="36" t="str">
        <f>IFERROR(IF(--MID($F1190,2*COUNTIF($G1190:K1190,"&gt;"&amp;0)+2,1)=L$1,L$1,""),"")</f>
        <v/>
      </c>
      <c r="M1190" s="36" t="e" cm="1">
        <f t="array" ref="M1190">IF(A1190="","",_xlfn.XLOOKUP(D1190&amp;"_"&amp;AE1190,符文权重!A:A&amp;"_"&amp;符文权重!C:C,符文权重!D:D))</f>
        <v>#N/A</v>
      </c>
      <c r="N1190" s="36"/>
      <c r="O1190" s="36"/>
      <c r="P1190" s="36"/>
      <c r="Q1190" s="36"/>
      <c r="R1190" s="36"/>
      <c r="S1190" s="81" t="s">
        <v>344</v>
      </c>
      <c r="T1190" s="81" t="s">
        <v>959</v>
      </c>
      <c r="U1190" s="81" t="s">
        <v>429</v>
      </c>
      <c r="V1190" s="30" t="s">
        <v>974</v>
      </c>
      <c r="W1190" s="81"/>
      <c r="X1190" s="32" t="s">
        <v>826</v>
      </c>
      <c r="Y1190" s="35">
        <v>100</v>
      </c>
      <c r="AA1190" s="36" t="s">
        <v>191</v>
      </c>
      <c r="AB1190" s="81" t="s">
        <v>975</v>
      </c>
      <c r="AC1190" s="32">
        <v>5301278</v>
      </c>
      <c r="AD1190" s="81" t="s">
        <v>419</v>
      </c>
      <c r="AE1190" s="36">
        <v>100</v>
      </c>
      <c r="AF1190" s="81"/>
      <c r="AG1190" s="79">
        <v>1</v>
      </c>
      <c r="AH1190" s="81">
        <v>1</v>
      </c>
      <c r="AI1190" s="86"/>
      <c r="AJ1190" s="88"/>
      <c r="AL1190" s="35"/>
    </row>
    <row r="1191" s="32" customFormat="1" hidden="1" customHeight="1" spans="1:38">
      <c r="A1191" s="32">
        <v>5304279</v>
      </c>
      <c r="B1191" s="87" t="s">
        <v>958</v>
      </c>
      <c r="C1191" s="32">
        <v>5301279</v>
      </c>
      <c r="D1191" s="81">
        <v>4</v>
      </c>
      <c r="E1191" s="81"/>
      <c r="F1191" s="81" t="s">
        <v>230</v>
      </c>
      <c r="G1191" s="36" t="str">
        <f t="shared" si="277"/>
        <v/>
      </c>
      <c r="H1191" s="36" t="str">
        <f>IFERROR(IF(--MID($F1191,2*COUNTIF($G1191:G1191,"&gt;"&amp;0)+2,1)=H$1,H$1,""),"")</f>
        <v/>
      </c>
      <c r="I1191" s="36" t="str">
        <f>IFERROR(IF(--MID($F1191,2*COUNTIF($G1191:H1191,"&gt;"&amp;0)+2,1)=I$1,I$1,""),"")</f>
        <v/>
      </c>
      <c r="J1191" s="36" t="str">
        <f>IFERROR(IF(--MID($F1191,2*COUNTIF($G1191:I1191,"&gt;"&amp;0)+2,1)=J$1,J$1,""),"")</f>
        <v/>
      </c>
      <c r="K1191" s="36">
        <f>IFERROR(IF(--MID($F1191,2*COUNTIF($G1191:J1191,"&gt;"&amp;0)+2,1)=K$1,K$1,""),"")</f>
        <v>5</v>
      </c>
      <c r="L1191" s="36" t="str">
        <f>IFERROR(IF(--MID($F1191,2*COUNTIF($G1191:K1191,"&gt;"&amp;0)+2,1)=L$1,L$1,""),"")</f>
        <v/>
      </c>
      <c r="M1191" s="36" t="e" cm="1">
        <f t="array" ref="M1191">IF(A1191="","",_xlfn.XLOOKUP(D1191&amp;"_"&amp;AE1191,符文权重!A:A&amp;"_"&amp;符文权重!C:C,符文权重!D:D))</f>
        <v>#N/A</v>
      </c>
      <c r="N1191" s="36"/>
      <c r="O1191" s="36"/>
      <c r="P1191" s="36"/>
      <c r="Q1191" s="36"/>
      <c r="R1191" s="36"/>
      <c r="S1191" s="81" t="s">
        <v>344</v>
      </c>
      <c r="T1191" s="81" t="s">
        <v>959</v>
      </c>
      <c r="U1191" s="81" t="s">
        <v>420</v>
      </c>
      <c r="V1191" s="30" t="s">
        <v>976</v>
      </c>
      <c r="W1191" s="81"/>
      <c r="X1191" s="32" t="s">
        <v>817</v>
      </c>
      <c r="Y1191" s="35">
        <v>100</v>
      </c>
      <c r="AA1191" s="36" t="s">
        <v>185</v>
      </c>
      <c r="AB1191" s="81" t="s">
        <v>1483</v>
      </c>
      <c r="AC1191" s="32">
        <v>5301279</v>
      </c>
      <c r="AD1191" s="81" t="s">
        <v>625</v>
      </c>
      <c r="AE1191" s="36">
        <v>100</v>
      </c>
      <c r="AF1191" s="81"/>
      <c r="AG1191" s="79">
        <v>1</v>
      </c>
      <c r="AH1191" s="81">
        <v>0</v>
      </c>
      <c r="AL1191" s="35"/>
    </row>
    <row r="1192" s="32" customFormat="1" hidden="1" customHeight="1" spans="1:38">
      <c r="A1192" s="32">
        <v>5305279</v>
      </c>
      <c r="B1192" s="87" t="s">
        <v>958</v>
      </c>
      <c r="C1192" s="32">
        <v>5301279</v>
      </c>
      <c r="D1192" s="81">
        <v>5</v>
      </c>
      <c r="E1192" s="81"/>
      <c r="F1192" s="81" t="s">
        <v>230</v>
      </c>
      <c r="G1192" s="36" t="str">
        <f t="shared" si="277"/>
        <v/>
      </c>
      <c r="H1192" s="36" t="str">
        <f>IFERROR(IF(--MID($F1192,2*COUNTIF($G1192:G1192,"&gt;"&amp;0)+2,1)=H$1,H$1,""),"")</f>
        <v/>
      </c>
      <c r="I1192" s="36" t="str">
        <f>IFERROR(IF(--MID($F1192,2*COUNTIF($G1192:H1192,"&gt;"&amp;0)+2,1)=I$1,I$1,""),"")</f>
        <v/>
      </c>
      <c r="J1192" s="36" t="str">
        <f>IFERROR(IF(--MID($F1192,2*COUNTIF($G1192:I1192,"&gt;"&amp;0)+2,1)=J$1,J$1,""),"")</f>
        <v/>
      </c>
      <c r="K1192" s="36">
        <f>IFERROR(IF(--MID($F1192,2*COUNTIF($G1192:J1192,"&gt;"&amp;0)+2,1)=K$1,K$1,""),"")</f>
        <v>5</v>
      </c>
      <c r="L1192" s="36" t="str">
        <f>IFERROR(IF(--MID($F1192,2*COUNTIF($G1192:K1192,"&gt;"&amp;0)+2,1)=L$1,L$1,""),"")</f>
        <v/>
      </c>
      <c r="M1192" s="36" t="e" cm="1">
        <f t="array" ref="M1192">IF(A1192="","",_xlfn.XLOOKUP(D1192&amp;"_"&amp;AE1192,符文权重!A:A&amp;"_"&amp;符文权重!C:C,符文权重!D:D))</f>
        <v>#N/A</v>
      </c>
      <c r="N1192" s="36"/>
      <c r="O1192" s="36"/>
      <c r="P1192" s="36"/>
      <c r="Q1192" s="36"/>
      <c r="R1192" s="36"/>
      <c r="S1192" s="81" t="s">
        <v>344</v>
      </c>
      <c r="T1192" s="81" t="s">
        <v>959</v>
      </c>
      <c r="U1192" s="81" t="s">
        <v>423</v>
      </c>
      <c r="V1192" s="30" t="s">
        <v>978</v>
      </c>
      <c r="W1192" s="81"/>
      <c r="X1192" s="32" t="s">
        <v>820</v>
      </c>
      <c r="Y1192" s="35">
        <v>100</v>
      </c>
      <c r="AA1192" s="36" t="s">
        <v>187</v>
      </c>
      <c r="AB1192" s="81" t="s">
        <v>979</v>
      </c>
      <c r="AC1192" s="32">
        <v>5301279</v>
      </c>
      <c r="AD1192" s="81" t="s">
        <v>211</v>
      </c>
      <c r="AE1192" s="36">
        <v>100</v>
      </c>
      <c r="AF1192" s="81"/>
      <c r="AG1192" s="79">
        <v>1</v>
      </c>
      <c r="AH1192" s="81">
        <v>1</v>
      </c>
      <c r="AI1192" s="86"/>
      <c r="AJ1192" s="88"/>
      <c r="AL1192" s="35"/>
    </row>
    <row r="1193" s="32" customFormat="1" hidden="1" customHeight="1" spans="1:38">
      <c r="A1193" s="32">
        <v>5306279</v>
      </c>
      <c r="B1193" s="87" t="s">
        <v>958</v>
      </c>
      <c r="C1193" s="32">
        <v>5301279</v>
      </c>
      <c r="D1193" s="81">
        <v>6</v>
      </c>
      <c r="E1193" s="81"/>
      <c r="F1193" s="81" t="s">
        <v>230</v>
      </c>
      <c r="G1193" s="36" t="str">
        <f t="shared" si="277"/>
        <v/>
      </c>
      <c r="H1193" s="36" t="str">
        <f>IFERROR(IF(--MID($F1193,2*COUNTIF($G1193:G1193,"&gt;"&amp;0)+2,1)=H$1,H$1,""),"")</f>
        <v/>
      </c>
      <c r="I1193" s="36" t="str">
        <f>IFERROR(IF(--MID($F1193,2*COUNTIF($G1193:H1193,"&gt;"&amp;0)+2,1)=I$1,I$1,""),"")</f>
        <v/>
      </c>
      <c r="J1193" s="36" t="str">
        <f>IFERROR(IF(--MID($F1193,2*COUNTIF($G1193:I1193,"&gt;"&amp;0)+2,1)=J$1,J$1,""),"")</f>
        <v/>
      </c>
      <c r="K1193" s="36">
        <f>IFERROR(IF(--MID($F1193,2*COUNTIF($G1193:J1193,"&gt;"&amp;0)+2,1)=K$1,K$1,""),"")</f>
        <v>5</v>
      </c>
      <c r="L1193" s="36" t="str">
        <f>IFERROR(IF(--MID($F1193,2*COUNTIF($G1193:K1193,"&gt;"&amp;0)+2,1)=L$1,L$1,""),"")</f>
        <v/>
      </c>
      <c r="M1193" s="36" t="e" cm="1">
        <f t="array" ref="M1193">IF(A1193="","",_xlfn.XLOOKUP(D1193&amp;"_"&amp;AE1193,符文权重!A:A&amp;"_"&amp;符文权重!C:C,符文权重!D:D))</f>
        <v>#N/A</v>
      </c>
      <c r="N1193" s="36"/>
      <c r="O1193" s="36"/>
      <c r="P1193" s="36"/>
      <c r="Q1193" s="36"/>
      <c r="R1193" s="36"/>
      <c r="S1193" s="81" t="s">
        <v>344</v>
      </c>
      <c r="T1193" s="81" t="s">
        <v>959</v>
      </c>
      <c r="U1193" s="81" t="s">
        <v>426</v>
      </c>
      <c r="V1193" s="30" t="s">
        <v>980</v>
      </c>
      <c r="W1193" s="81"/>
      <c r="X1193" s="32" t="s">
        <v>823</v>
      </c>
      <c r="Y1193" s="35">
        <v>100</v>
      </c>
      <c r="AA1193" s="36" t="s">
        <v>189</v>
      </c>
      <c r="AB1193" s="81" t="s">
        <v>982</v>
      </c>
      <c r="AC1193" s="32">
        <v>5301279</v>
      </c>
      <c r="AD1193" s="81" t="s">
        <v>981</v>
      </c>
      <c r="AE1193" s="36">
        <v>100</v>
      </c>
      <c r="AF1193" s="81"/>
      <c r="AG1193" s="79">
        <v>1</v>
      </c>
      <c r="AH1193" s="81">
        <v>1</v>
      </c>
      <c r="AI1193" s="86"/>
      <c r="AJ1193" s="88"/>
      <c r="AL1193" s="35"/>
    </row>
    <row r="1194" s="32" customFormat="1" hidden="1" customHeight="1" spans="1:38">
      <c r="A1194" s="32">
        <v>5307279</v>
      </c>
      <c r="B1194" s="87" t="s">
        <v>958</v>
      </c>
      <c r="C1194" s="32">
        <v>5301279</v>
      </c>
      <c r="D1194" s="81">
        <v>7</v>
      </c>
      <c r="E1194" s="81"/>
      <c r="F1194" s="81" t="s">
        <v>230</v>
      </c>
      <c r="G1194" s="36" t="str">
        <f t="shared" si="277"/>
        <v/>
      </c>
      <c r="H1194" s="36" t="str">
        <f>IFERROR(IF(--MID($F1194,2*COUNTIF($G1194:G1194,"&gt;"&amp;0)+2,1)=H$1,H$1,""),"")</f>
        <v/>
      </c>
      <c r="I1194" s="36" t="str">
        <f>IFERROR(IF(--MID($F1194,2*COUNTIF($G1194:H1194,"&gt;"&amp;0)+2,1)=I$1,I$1,""),"")</f>
        <v/>
      </c>
      <c r="J1194" s="36" t="str">
        <f>IFERROR(IF(--MID($F1194,2*COUNTIF($G1194:I1194,"&gt;"&amp;0)+2,1)=J$1,J$1,""),"")</f>
        <v/>
      </c>
      <c r="K1194" s="36">
        <f>IFERROR(IF(--MID($F1194,2*COUNTIF($G1194:J1194,"&gt;"&amp;0)+2,1)=K$1,K$1,""),"")</f>
        <v>5</v>
      </c>
      <c r="L1194" s="36" t="str">
        <f>IFERROR(IF(--MID($F1194,2*COUNTIF($G1194:K1194,"&gt;"&amp;0)+2,1)=L$1,L$1,""),"")</f>
        <v/>
      </c>
      <c r="M1194" s="36" t="e" cm="1">
        <f t="array" ref="M1194">IF(A1194="","",_xlfn.XLOOKUP(D1194&amp;"_"&amp;AE1194,符文权重!A:A&amp;"_"&amp;符文权重!C:C,符文权重!D:D))</f>
        <v>#N/A</v>
      </c>
      <c r="N1194" s="36"/>
      <c r="O1194" s="36"/>
      <c r="P1194" s="36"/>
      <c r="Q1194" s="36"/>
      <c r="R1194" s="36"/>
      <c r="S1194" s="81" t="s">
        <v>344</v>
      </c>
      <c r="T1194" s="81" t="s">
        <v>959</v>
      </c>
      <c r="U1194" s="81" t="s">
        <v>429</v>
      </c>
      <c r="V1194" s="30" t="s">
        <v>983</v>
      </c>
      <c r="W1194" s="81"/>
      <c r="X1194" s="32" t="s">
        <v>826</v>
      </c>
      <c r="Y1194" s="35">
        <v>100</v>
      </c>
      <c r="AA1194" s="36" t="s">
        <v>191</v>
      </c>
      <c r="AB1194" s="81" t="s">
        <v>984</v>
      </c>
      <c r="AC1194" s="32">
        <v>5301279</v>
      </c>
      <c r="AD1194" s="81" t="s">
        <v>193</v>
      </c>
      <c r="AE1194" s="36">
        <v>100</v>
      </c>
      <c r="AF1194" s="81"/>
      <c r="AG1194" s="79">
        <v>1</v>
      </c>
      <c r="AH1194" s="81">
        <v>1</v>
      </c>
      <c r="AI1194" s="86"/>
      <c r="AJ1194" s="88"/>
      <c r="AL1194" s="35"/>
    </row>
    <row r="1195" s="32" customFormat="1" hidden="1" customHeight="1" spans="1:38">
      <c r="A1195" s="32">
        <v>5304281</v>
      </c>
      <c r="B1195" s="87" t="s">
        <v>985</v>
      </c>
      <c r="C1195" s="32">
        <v>5301281</v>
      </c>
      <c r="D1195" s="81">
        <v>4</v>
      </c>
      <c r="E1195" s="81"/>
      <c r="F1195" s="81" t="s">
        <v>211</v>
      </c>
      <c r="G1195" s="36" t="str">
        <f t="shared" si="277"/>
        <v/>
      </c>
      <c r="H1195" s="36">
        <f>IFERROR(IF(--MID($F1195,2*COUNTIF($G1195:G1195,"&gt;"&amp;0)+2,1)=H$1,H$1,""),"")</f>
        <v>2</v>
      </c>
      <c r="I1195" s="36" t="str">
        <f>IFERROR(IF(--MID($F1195,2*COUNTIF($G1195:H1195,"&gt;"&amp;0)+2,1)=I$1,I$1,""),"")</f>
        <v/>
      </c>
      <c r="J1195" s="36" t="str">
        <f>IFERROR(IF(--MID($F1195,2*COUNTIF($G1195:I1195,"&gt;"&amp;0)+2,1)=J$1,J$1,""),"")</f>
        <v/>
      </c>
      <c r="K1195" s="36" t="str">
        <f>IFERROR(IF(--MID($F1195,2*COUNTIF($G1195:J1195,"&gt;"&amp;0)+2,1)=K$1,K$1,""),"")</f>
        <v/>
      </c>
      <c r="L1195" s="36" t="str">
        <f>IFERROR(IF(--MID($F1195,2*COUNTIF($G1195:K1195,"&gt;"&amp;0)+2,1)=L$1,L$1,""),"")</f>
        <v/>
      </c>
      <c r="M1195" s="36" t="e" cm="1">
        <f t="array" ref="M1195">IF(A1195="","",_xlfn.XLOOKUP(D1195&amp;"_"&amp;AE1195,符文权重!A:A&amp;"_"&amp;符文权重!C:C,符文权重!D:D))</f>
        <v>#N/A</v>
      </c>
      <c r="N1195" s="36"/>
      <c r="O1195" s="36"/>
      <c r="P1195" s="36"/>
      <c r="Q1195" s="36"/>
      <c r="R1195" s="36"/>
      <c r="S1195" s="81" t="s">
        <v>344</v>
      </c>
      <c r="T1195" s="81" t="s">
        <v>986</v>
      </c>
      <c r="U1195" s="81" t="s">
        <v>420</v>
      </c>
      <c r="V1195" s="30" t="s">
        <v>987</v>
      </c>
      <c r="W1195" s="81"/>
      <c r="X1195" s="32" t="s">
        <v>817</v>
      </c>
      <c r="Y1195" s="35">
        <v>100</v>
      </c>
      <c r="AA1195" s="36" t="s">
        <v>185</v>
      </c>
      <c r="AB1195" s="81" t="s">
        <v>988</v>
      </c>
      <c r="AC1195" s="32">
        <v>5301281</v>
      </c>
      <c r="AD1195" s="81" t="s">
        <v>431</v>
      </c>
      <c r="AE1195" s="36">
        <v>100</v>
      </c>
      <c r="AF1195" s="81"/>
      <c r="AG1195" s="79">
        <v>1</v>
      </c>
      <c r="AH1195" s="81">
        <v>0</v>
      </c>
      <c r="AL1195" s="35"/>
    </row>
    <row r="1196" s="32" customFormat="1" hidden="1" customHeight="1" spans="1:38">
      <c r="A1196" s="32">
        <v>5305281</v>
      </c>
      <c r="B1196" s="87" t="s">
        <v>985</v>
      </c>
      <c r="C1196" s="32">
        <v>5301281</v>
      </c>
      <c r="D1196" s="81">
        <v>5</v>
      </c>
      <c r="E1196" s="81"/>
      <c r="F1196" s="81" t="s">
        <v>211</v>
      </c>
      <c r="G1196" s="36" t="str">
        <f t="shared" si="277"/>
        <v/>
      </c>
      <c r="H1196" s="36">
        <f>IFERROR(IF(--MID($F1196,2*COUNTIF($G1196:G1196,"&gt;"&amp;0)+2,1)=H$1,H$1,""),"")</f>
        <v>2</v>
      </c>
      <c r="I1196" s="36" t="str">
        <f>IFERROR(IF(--MID($F1196,2*COUNTIF($G1196:H1196,"&gt;"&amp;0)+2,1)=I$1,I$1,""),"")</f>
        <v/>
      </c>
      <c r="J1196" s="36" t="str">
        <f>IFERROR(IF(--MID($F1196,2*COUNTIF($G1196:I1196,"&gt;"&amp;0)+2,1)=J$1,J$1,""),"")</f>
        <v/>
      </c>
      <c r="K1196" s="36" t="str">
        <f>IFERROR(IF(--MID($F1196,2*COUNTIF($G1196:J1196,"&gt;"&amp;0)+2,1)=K$1,K$1,""),"")</f>
        <v/>
      </c>
      <c r="L1196" s="36" t="str">
        <f>IFERROR(IF(--MID($F1196,2*COUNTIF($G1196:K1196,"&gt;"&amp;0)+2,1)=L$1,L$1,""),"")</f>
        <v/>
      </c>
      <c r="M1196" s="36" t="e" cm="1">
        <f t="array" ref="M1196">IF(A1196="","",_xlfn.XLOOKUP(D1196&amp;"_"&amp;AE1196,符文权重!A:A&amp;"_"&amp;符文权重!C:C,符文权重!D:D))</f>
        <v>#N/A</v>
      </c>
      <c r="N1196" s="36"/>
      <c r="O1196" s="36"/>
      <c r="P1196" s="36"/>
      <c r="Q1196" s="36"/>
      <c r="R1196" s="36"/>
      <c r="S1196" s="81" t="s">
        <v>344</v>
      </c>
      <c r="T1196" s="81" t="s">
        <v>986</v>
      </c>
      <c r="U1196" s="81" t="s">
        <v>423</v>
      </c>
      <c r="V1196" s="30" t="s">
        <v>989</v>
      </c>
      <c r="W1196" s="81"/>
      <c r="X1196" s="32" t="s">
        <v>820</v>
      </c>
      <c r="Y1196" s="35">
        <v>100</v>
      </c>
      <c r="AA1196" s="36" t="s">
        <v>187</v>
      </c>
      <c r="AB1196" s="81" t="s">
        <v>990</v>
      </c>
      <c r="AC1196" s="32">
        <v>5301281</v>
      </c>
      <c r="AD1196" s="81" t="s">
        <v>447</v>
      </c>
      <c r="AE1196" s="36">
        <v>100</v>
      </c>
      <c r="AF1196" s="81"/>
      <c r="AG1196" s="79">
        <v>1</v>
      </c>
      <c r="AH1196" s="81">
        <v>1</v>
      </c>
      <c r="AI1196" s="86"/>
      <c r="AJ1196" s="88"/>
      <c r="AL1196" s="35"/>
    </row>
    <row r="1197" s="32" customFormat="1" hidden="1" customHeight="1" spans="1:38">
      <c r="A1197" s="32">
        <v>5306281</v>
      </c>
      <c r="B1197" s="87" t="s">
        <v>985</v>
      </c>
      <c r="C1197" s="32">
        <v>5301281</v>
      </c>
      <c r="D1197" s="81">
        <v>6</v>
      </c>
      <c r="E1197" s="81"/>
      <c r="F1197" s="81" t="s">
        <v>211</v>
      </c>
      <c r="G1197" s="36" t="str">
        <f t="shared" si="277"/>
        <v/>
      </c>
      <c r="H1197" s="36">
        <f>IFERROR(IF(--MID($F1197,2*COUNTIF($G1197:G1197,"&gt;"&amp;0)+2,1)=H$1,H$1,""),"")</f>
        <v>2</v>
      </c>
      <c r="I1197" s="36" t="str">
        <f>IFERROR(IF(--MID($F1197,2*COUNTIF($G1197:H1197,"&gt;"&amp;0)+2,1)=I$1,I$1,""),"")</f>
        <v/>
      </c>
      <c r="J1197" s="36" t="str">
        <f>IFERROR(IF(--MID($F1197,2*COUNTIF($G1197:I1197,"&gt;"&amp;0)+2,1)=J$1,J$1,""),"")</f>
        <v/>
      </c>
      <c r="K1197" s="36" t="str">
        <f>IFERROR(IF(--MID($F1197,2*COUNTIF($G1197:J1197,"&gt;"&amp;0)+2,1)=K$1,K$1,""),"")</f>
        <v/>
      </c>
      <c r="L1197" s="36" t="str">
        <f>IFERROR(IF(--MID($F1197,2*COUNTIF($G1197:K1197,"&gt;"&amp;0)+2,1)=L$1,L$1,""),"")</f>
        <v/>
      </c>
      <c r="M1197" s="36" t="e" cm="1">
        <f t="array" ref="M1197">IF(A1197="","",_xlfn.XLOOKUP(D1197&amp;"_"&amp;AE1197,符文权重!A:A&amp;"_"&amp;符文权重!C:C,符文权重!D:D))</f>
        <v>#N/A</v>
      </c>
      <c r="N1197" s="36"/>
      <c r="O1197" s="36"/>
      <c r="P1197" s="36"/>
      <c r="Q1197" s="36"/>
      <c r="R1197" s="36"/>
      <c r="S1197" s="81" t="s">
        <v>344</v>
      </c>
      <c r="T1197" s="81" t="s">
        <v>986</v>
      </c>
      <c r="U1197" s="81" t="s">
        <v>426</v>
      </c>
      <c r="V1197" s="30" t="s">
        <v>991</v>
      </c>
      <c r="W1197" s="81"/>
      <c r="X1197" s="32" t="s">
        <v>823</v>
      </c>
      <c r="Y1197" s="35">
        <v>100</v>
      </c>
      <c r="AA1197" s="36" t="s">
        <v>189</v>
      </c>
      <c r="AB1197" s="81" t="s">
        <v>992</v>
      </c>
      <c r="AC1197" s="32">
        <v>5301281</v>
      </c>
      <c r="AD1197" s="81" t="s">
        <v>596</v>
      </c>
      <c r="AE1197" s="36">
        <v>100</v>
      </c>
      <c r="AF1197" s="81"/>
      <c r="AG1197" s="79">
        <v>1</v>
      </c>
      <c r="AH1197" s="81">
        <v>1</v>
      </c>
      <c r="AI1197" s="86"/>
      <c r="AJ1197" s="88"/>
      <c r="AL1197" s="35"/>
    </row>
    <row r="1198" s="32" customFormat="1" hidden="1" customHeight="1" spans="1:38">
      <c r="A1198" s="32">
        <v>5307281</v>
      </c>
      <c r="B1198" s="87" t="s">
        <v>985</v>
      </c>
      <c r="C1198" s="32">
        <v>5301281</v>
      </c>
      <c r="D1198" s="81">
        <v>7</v>
      </c>
      <c r="E1198" s="81"/>
      <c r="F1198" s="81" t="s">
        <v>211</v>
      </c>
      <c r="G1198" s="36" t="str">
        <f t="shared" si="277"/>
        <v/>
      </c>
      <c r="H1198" s="36">
        <f>IFERROR(IF(--MID($F1198,2*COUNTIF($G1198:G1198,"&gt;"&amp;0)+2,1)=H$1,H$1,""),"")</f>
        <v>2</v>
      </c>
      <c r="I1198" s="36" t="str">
        <f>IFERROR(IF(--MID($F1198,2*COUNTIF($G1198:H1198,"&gt;"&amp;0)+2,1)=I$1,I$1,""),"")</f>
        <v/>
      </c>
      <c r="J1198" s="36" t="str">
        <f>IFERROR(IF(--MID($F1198,2*COUNTIF($G1198:I1198,"&gt;"&amp;0)+2,1)=J$1,J$1,""),"")</f>
        <v/>
      </c>
      <c r="K1198" s="36" t="str">
        <f>IFERROR(IF(--MID($F1198,2*COUNTIF($G1198:J1198,"&gt;"&amp;0)+2,1)=K$1,K$1,""),"")</f>
        <v/>
      </c>
      <c r="L1198" s="36" t="str">
        <f>IFERROR(IF(--MID($F1198,2*COUNTIF($G1198:K1198,"&gt;"&amp;0)+2,1)=L$1,L$1,""),"")</f>
        <v/>
      </c>
      <c r="M1198" s="36" t="e" cm="1">
        <f t="array" ref="M1198">IF(A1198="","",_xlfn.XLOOKUP(D1198&amp;"_"&amp;AE1198,符文权重!A:A&amp;"_"&amp;符文权重!C:C,符文权重!D:D))</f>
        <v>#N/A</v>
      </c>
      <c r="N1198" s="36"/>
      <c r="O1198" s="36"/>
      <c r="P1198" s="36"/>
      <c r="Q1198" s="36"/>
      <c r="R1198" s="36"/>
      <c r="S1198" s="81" t="s">
        <v>344</v>
      </c>
      <c r="T1198" s="81" t="s">
        <v>986</v>
      </c>
      <c r="U1198" s="81" t="s">
        <v>429</v>
      </c>
      <c r="V1198" s="30" t="s">
        <v>993</v>
      </c>
      <c r="W1198" s="81"/>
      <c r="X1198" s="32" t="s">
        <v>826</v>
      </c>
      <c r="Y1198" s="35">
        <v>100</v>
      </c>
      <c r="AA1198" s="36" t="s">
        <v>191</v>
      </c>
      <c r="AB1198" s="81" t="s">
        <v>994</v>
      </c>
      <c r="AC1198" s="32">
        <v>5301281</v>
      </c>
      <c r="AD1198" s="81" t="s">
        <v>500</v>
      </c>
      <c r="AE1198" s="36">
        <v>100</v>
      </c>
      <c r="AF1198" s="81"/>
      <c r="AG1198" s="79">
        <v>1</v>
      </c>
      <c r="AH1198" s="81">
        <v>1</v>
      </c>
      <c r="AI1198" s="86"/>
      <c r="AJ1198" s="88"/>
      <c r="AL1198" s="35"/>
    </row>
    <row r="1199" s="32" customFormat="1" hidden="1" customHeight="1" spans="1:38">
      <c r="A1199" s="32">
        <v>5304282</v>
      </c>
      <c r="B1199" s="87" t="s">
        <v>985</v>
      </c>
      <c r="C1199" s="32">
        <v>5301282</v>
      </c>
      <c r="D1199" s="81">
        <v>4</v>
      </c>
      <c r="E1199" s="81"/>
      <c r="F1199" s="81" t="s">
        <v>202</v>
      </c>
      <c r="G1199" s="36">
        <f t="shared" si="277"/>
        <v>1</v>
      </c>
      <c r="H1199" s="36" t="str">
        <f>IFERROR(IF(--MID($F1199,2*COUNTIF($G1199:G1199,"&gt;"&amp;0)+2,1)=H$1,H$1,""),"")</f>
        <v/>
      </c>
      <c r="I1199" s="36" t="str">
        <f>IFERROR(IF(--MID($F1199,2*COUNTIF($G1199:H1199,"&gt;"&amp;0)+2,1)=I$1,I$1,""),"")</f>
        <v/>
      </c>
      <c r="J1199" s="36" t="str">
        <f>IFERROR(IF(--MID($F1199,2*COUNTIF($G1199:I1199,"&gt;"&amp;0)+2,1)=J$1,J$1,""),"")</f>
        <v/>
      </c>
      <c r="K1199" s="36" t="str">
        <f>IFERROR(IF(--MID($F1199,2*COUNTIF($G1199:J1199,"&gt;"&amp;0)+2,1)=K$1,K$1,""),"")</f>
        <v/>
      </c>
      <c r="L1199" s="36" t="str">
        <f>IFERROR(IF(--MID($F1199,2*COUNTIF($G1199:K1199,"&gt;"&amp;0)+2,1)=L$1,L$1,""),"")</f>
        <v/>
      </c>
      <c r="M1199" s="36" t="e" cm="1">
        <f t="array" ref="M1199">IF(A1199="","",_xlfn.XLOOKUP(D1199&amp;"_"&amp;AE1199,符文权重!A:A&amp;"_"&amp;符文权重!C:C,符文权重!D:D))</f>
        <v>#N/A</v>
      </c>
      <c r="N1199" s="36"/>
      <c r="O1199" s="36"/>
      <c r="P1199" s="36"/>
      <c r="Q1199" s="36"/>
      <c r="R1199" s="36"/>
      <c r="S1199" s="81" t="s">
        <v>344</v>
      </c>
      <c r="T1199" s="81" t="s">
        <v>986</v>
      </c>
      <c r="U1199" s="81" t="s">
        <v>420</v>
      </c>
      <c r="V1199" s="30" t="s">
        <v>995</v>
      </c>
      <c r="W1199" s="81"/>
      <c r="X1199" s="32" t="s">
        <v>817</v>
      </c>
      <c r="Y1199" s="35">
        <v>100</v>
      </c>
      <c r="AA1199" s="36" t="s">
        <v>185</v>
      </c>
      <c r="AB1199" s="81" t="s">
        <v>997</v>
      </c>
      <c r="AC1199" s="32">
        <v>5301282</v>
      </c>
      <c r="AD1199" s="81" t="s">
        <v>996</v>
      </c>
      <c r="AE1199" s="36">
        <v>100</v>
      </c>
      <c r="AF1199" s="81"/>
      <c r="AG1199" s="79">
        <v>1</v>
      </c>
      <c r="AH1199" s="81">
        <v>0</v>
      </c>
      <c r="AL1199" s="35"/>
    </row>
    <row r="1200" s="32" customFormat="1" hidden="1" customHeight="1" spans="1:38">
      <c r="A1200" s="32">
        <v>5305282</v>
      </c>
      <c r="B1200" s="87" t="s">
        <v>985</v>
      </c>
      <c r="C1200" s="32">
        <v>5301282</v>
      </c>
      <c r="D1200" s="81">
        <v>5</v>
      </c>
      <c r="E1200" s="81"/>
      <c r="F1200" s="81" t="s">
        <v>202</v>
      </c>
      <c r="G1200" s="36">
        <f t="shared" si="277"/>
        <v>1</v>
      </c>
      <c r="H1200" s="36" t="str">
        <f>IFERROR(IF(--MID($F1200,2*COUNTIF($G1200:G1200,"&gt;"&amp;0)+2,1)=H$1,H$1,""),"")</f>
        <v/>
      </c>
      <c r="I1200" s="36" t="str">
        <f>IFERROR(IF(--MID($F1200,2*COUNTIF($G1200:H1200,"&gt;"&amp;0)+2,1)=I$1,I$1,""),"")</f>
        <v/>
      </c>
      <c r="J1200" s="36" t="str">
        <f>IFERROR(IF(--MID($F1200,2*COUNTIF($G1200:I1200,"&gt;"&amp;0)+2,1)=J$1,J$1,""),"")</f>
        <v/>
      </c>
      <c r="K1200" s="36" t="str">
        <f>IFERROR(IF(--MID($F1200,2*COUNTIF($G1200:J1200,"&gt;"&amp;0)+2,1)=K$1,K$1,""),"")</f>
        <v/>
      </c>
      <c r="L1200" s="36" t="str">
        <f>IFERROR(IF(--MID($F1200,2*COUNTIF($G1200:K1200,"&gt;"&amp;0)+2,1)=L$1,L$1,""),"")</f>
        <v/>
      </c>
      <c r="M1200" s="36" t="e" cm="1">
        <f t="array" ref="M1200">IF(A1200="","",_xlfn.XLOOKUP(D1200&amp;"_"&amp;AE1200,符文权重!A:A&amp;"_"&amp;符文权重!C:C,符文权重!D:D))</f>
        <v>#N/A</v>
      </c>
      <c r="N1200" s="36"/>
      <c r="O1200" s="36"/>
      <c r="P1200" s="36"/>
      <c r="Q1200" s="36"/>
      <c r="R1200" s="36"/>
      <c r="S1200" s="81" t="s">
        <v>344</v>
      </c>
      <c r="T1200" s="81" t="s">
        <v>986</v>
      </c>
      <c r="U1200" s="81" t="s">
        <v>423</v>
      </c>
      <c r="V1200" s="30" t="s">
        <v>998</v>
      </c>
      <c r="W1200" s="81"/>
      <c r="X1200" s="32" t="s">
        <v>820</v>
      </c>
      <c r="Y1200" s="35">
        <v>100</v>
      </c>
      <c r="AA1200" s="36" t="s">
        <v>187</v>
      </c>
      <c r="AB1200" s="81" t="s">
        <v>1000</v>
      </c>
      <c r="AC1200" s="32">
        <v>5301282</v>
      </c>
      <c r="AD1200" s="81" t="s">
        <v>999</v>
      </c>
      <c r="AE1200" s="36">
        <v>100</v>
      </c>
      <c r="AF1200" s="81"/>
      <c r="AG1200" s="79">
        <v>1</v>
      </c>
      <c r="AH1200" s="81">
        <v>1</v>
      </c>
      <c r="AI1200" s="86"/>
      <c r="AJ1200" s="88"/>
      <c r="AL1200" s="35"/>
    </row>
    <row r="1201" s="32" customFormat="1" hidden="1" customHeight="1" spans="1:38">
      <c r="A1201" s="32">
        <v>5306282</v>
      </c>
      <c r="B1201" s="87" t="s">
        <v>985</v>
      </c>
      <c r="C1201" s="32">
        <v>5301282</v>
      </c>
      <c r="D1201" s="81">
        <v>6</v>
      </c>
      <c r="E1201" s="81"/>
      <c r="F1201" s="81" t="s">
        <v>202</v>
      </c>
      <c r="G1201" s="36">
        <f t="shared" si="277"/>
        <v>1</v>
      </c>
      <c r="H1201" s="36" t="str">
        <f>IFERROR(IF(--MID($F1201,2*COUNTIF($G1201:G1201,"&gt;"&amp;0)+2,1)=H$1,H$1,""),"")</f>
        <v/>
      </c>
      <c r="I1201" s="36" t="str">
        <f>IFERROR(IF(--MID($F1201,2*COUNTIF($G1201:H1201,"&gt;"&amp;0)+2,1)=I$1,I$1,""),"")</f>
        <v/>
      </c>
      <c r="J1201" s="36" t="str">
        <f>IFERROR(IF(--MID($F1201,2*COUNTIF($G1201:I1201,"&gt;"&amp;0)+2,1)=J$1,J$1,""),"")</f>
        <v/>
      </c>
      <c r="K1201" s="36" t="str">
        <f>IFERROR(IF(--MID($F1201,2*COUNTIF($G1201:J1201,"&gt;"&amp;0)+2,1)=K$1,K$1,""),"")</f>
        <v/>
      </c>
      <c r="L1201" s="36" t="str">
        <f>IFERROR(IF(--MID($F1201,2*COUNTIF($G1201:K1201,"&gt;"&amp;0)+2,1)=L$1,L$1,""),"")</f>
        <v/>
      </c>
      <c r="M1201" s="36" t="e" cm="1">
        <f t="array" ref="M1201">IF(A1201="","",_xlfn.XLOOKUP(D1201&amp;"_"&amp;AE1201,符文权重!A:A&amp;"_"&amp;符文权重!C:C,符文权重!D:D))</f>
        <v>#N/A</v>
      </c>
      <c r="N1201" s="36"/>
      <c r="O1201" s="36"/>
      <c r="P1201" s="36"/>
      <c r="Q1201" s="36"/>
      <c r="R1201" s="36"/>
      <c r="S1201" s="81" t="s">
        <v>344</v>
      </c>
      <c r="T1201" s="81" t="s">
        <v>986</v>
      </c>
      <c r="U1201" s="81" t="s">
        <v>426</v>
      </c>
      <c r="V1201" s="30" t="s">
        <v>1001</v>
      </c>
      <c r="W1201" s="81"/>
      <c r="X1201" s="32" t="s">
        <v>823</v>
      </c>
      <c r="Y1201" s="35">
        <v>100</v>
      </c>
      <c r="AA1201" s="36" t="s">
        <v>189</v>
      </c>
      <c r="AB1201" s="81" t="s">
        <v>1003</v>
      </c>
      <c r="AC1201" s="32">
        <v>5301282</v>
      </c>
      <c r="AD1201" s="81" t="s">
        <v>1002</v>
      </c>
      <c r="AE1201" s="36">
        <v>100</v>
      </c>
      <c r="AF1201" s="81"/>
      <c r="AG1201" s="79">
        <v>1</v>
      </c>
      <c r="AH1201" s="81">
        <v>1</v>
      </c>
      <c r="AI1201" s="86"/>
      <c r="AJ1201" s="88"/>
      <c r="AL1201" s="35"/>
    </row>
    <row r="1202" s="32" customFormat="1" hidden="1" customHeight="1" spans="1:38">
      <c r="A1202" s="32">
        <v>5307282</v>
      </c>
      <c r="B1202" s="87" t="s">
        <v>985</v>
      </c>
      <c r="C1202" s="32">
        <v>5301282</v>
      </c>
      <c r="D1202" s="81">
        <v>7</v>
      </c>
      <c r="E1202" s="81"/>
      <c r="F1202" s="81" t="s">
        <v>202</v>
      </c>
      <c r="G1202" s="36">
        <f t="shared" si="277"/>
        <v>1</v>
      </c>
      <c r="H1202" s="36" t="str">
        <f>IFERROR(IF(--MID($F1202,2*COUNTIF($G1202:G1202,"&gt;"&amp;0)+2,1)=H$1,H$1,""),"")</f>
        <v/>
      </c>
      <c r="I1202" s="36" t="str">
        <f>IFERROR(IF(--MID($F1202,2*COUNTIF($G1202:H1202,"&gt;"&amp;0)+2,1)=I$1,I$1,""),"")</f>
        <v/>
      </c>
      <c r="J1202" s="36" t="str">
        <f>IFERROR(IF(--MID($F1202,2*COUNTIF($G1202:I1202,"&gt;"&amp;0)+2,1)=J$1,J$1,""),"")</f>
        <v/>
      </c>
      <c r="K1202" s="36" t="str">
        <f>IFERROR(IF(--MID($F1202,2*COUNTIF($G1202:J1202,"&gt;"&amp;0)+2,1)=K$1,K$1,""),"")</f>
        <v/>
      </c>
      <c r="L1202" s="36" t="str">
        <f>IFERROR(IF(--MID($F1202,2*COUNTIF($G1202:K1202,"&gt;"&amp;0)+2,1)=L$1,L$1,""),"")</f>
        <v/>
      </c>
      <c r="M1202" s="36" t="e" cm="1">
        <f t="array" ref="M1202">IF(A1202="","",_xlfn.XLOOKUP(D1202&amp;"_"&amp;AE1202,符文权重!A:A&amp;"_"&amp;符文权重!C:C,符文权重!D:D))</f>
        <v>#N/A</v>
      </c>
      <c r="N1202" s="36"/>
      <c r="O1202" s="36"/>
      <c r="P1202" s="36"/>
      <c r="Q1202" s="36"/>
      <c r="R1202" s="36"/>
      <c r="S1202" s="81" t="s">
        <v>344</v>
      </c>
      <c r="T1202" s="81" t="s">
        <v>986</v>
      </c>
      <c r="U1202" s="81" t="s">
        <v>429</v>
      </c>
      <c r="V1202" s="30" t="s">
        <v>1004</v>
      </c>
      <c r="W1202" s="81"/>
      <c r="X1202" s="32" t="s">
        <v>826</v>
      </c>
      <c r="Y1202" s="35">
        <v>100</v>
      </c>
      <c r="AA1202" s="36" t="s">
        <v>191</v>
      </c>
      <c r="AB1202" s="81" t="s">
        <v>1006</v>
      </c>
      <c r="AC1202" s="32">
        <v>5301282</v>
      </c>
      <c r="AD1202" s="81" t="s">
        <v>1005</v>
      </c>
      <c r="AE1202" s="36">
        <v>100</v>
      </c>
      <c r="AF1202" s="81"/>
      <c r="AG1202" s="79">
        <v>1</v>
      </c>
      <c r="AH1202" s="81">
        <v>1</v>
      </c>
      <c r="AI1202" s="86"/>
      <c r="AJ1202" s="88"/>
      <c r="AL1202" s="35"/>
    </row>
    <row r="1203" s="32" customFormat="1" hidden="1" customHeight="1" spans="1:38">
      <c r="A1203" s="86">
        <v>5304283</v>
      </c>
      <c r="B1203" s="87" t="s">
        <v>985</v>
      </c>
      <c r="C1203" s="32">
        <v>5301283</v>
      </c>
      <c r="D1203" s="81">
        <v>4</v>
      </c>
      <c r="E1203" s="81"/>
      <c r="F1203" s="81" t="s">
        <v>220</v>
      </c>
      <c r="G1203" s="36" t="str">
        <f t="shared" si="277"/>
        <v/>
      </c>
      <c r="H1203" s="36" t="str">
        <f>IFERROR(IF(--MID($F1203,2*COUNTIF($G1203:G1203,"&gt;"&amp;0)+2,1)=H$1,H$1,""),"")</f>
        <v/>
      </c>
      <c r="I1203" s="36" t="str">
        <f>IFERROR(IF(--MID($F1203,2*COUNTIF($G1203:H1203,"&gt;"&amp;0)+2,1)=I$1,I$1,""),"")</f>
        <v/>
      </c>
      <c r="J1203" s="36" t="str">
        <f>IFERROR(IF(--MID($F1203,2*COUNTIF($G1203:I1203,"&gt;"&amp;0)+2,1)=J$1,J$1,""),"")</f>
        <v/>
      </c>
      <c r="K1203" s="36" t="str">
        <f>IFERROR(IF(--MID($F1203,2*COUNTIF($G1203:J1203,"&gt;"&amp;0)+2,1)=K$1,K$1,""),"")</f>
        <v/>
      </c>
      <c r="L1203" s="36">
        <f>IFERROR(IF(--MID($F1203,2*COUNTIF($G1203:K1203,"&gt;"&amp;0)+2,1)=L$1,L$1,""),"")</f>
        <v>6</v>
      </c>
      <c r="M1203" s="36" t="e" cm="1">
        <f t="array" ref="M1203">IF(A1203="","",_xlfn.XLOOKUP(D1203&amp;"_"&amp;AE1203,符文权重!A:A&amp;"_"&amp;符文权重!C:C,符文权重!D:D))</f>
        <v>#N/A</v>
      </c>
      <c r="N1203" s="36"/>
      <c r="O1203" s="36"/>
      <c r="P1203" s="36"/>
      <c r="Q1203" s="36"/>
      <c r="R1203" s="36"/>
      <c r="S1203" s="81" t="s">
        <v>344</v>
      </c>
      <c r="T1203" s="81" t="s">
        <v>986</v>
      </c>
      <c r="U1203" s="81" t="s">
        <v>420</v>
      </c>
      <c r="V1203" s="30" t="s">
        <v>1007</v>
      </c>
      <c r="W1203" s="81"/>
      <c r="X1203" s="32" t="s">
        <v>817</v>
      </c>
      <c r="Y1203" s="35">
        <v>100</v>
      </c>
      <c r="AA1203" s="36" t="s">
        <v>185</v>
      </c>
      <c r="AB1203" s="81" t="s">
        <v>1008</v>
      </c>
      <c r="AC1203" s="32">
        <v>5301283</v>
      </c>
      <c r="AD1203" s="81" t="s">
        <v>596</v>
      </c>
      <c r="AE1203" s="36">
        <v>100</v>
      </c>
      <c r="AF1203" s="81"/>
      <c r="AG1203" s="79">
        <v>1</v>
      </c>
      <c r="AH1203" s="81">
        <v>0</v>
      </c>
      <c r="AL1203" s="35"/>
    </row>
    <row r="1204" s="32" customFormat="1" hidden="1" customHeight="1" spans="1:38">
      <c r="A1204" s="86">
        <v>5305283</v>
      </c>
      <c r="B1204" s="87" t="s">
        <v>985</v>
      </c>
      <c r="C1204" s="32">
        <v>5301283</v>
      </c>
      <c r="D1204" s="81">
        <v>5</v>
      </c>
      <c r="E1204" s="81"/>
      <c r="F1204" s="81" t="s">
        <v>220</v>
      </c>
      <c r="G1204" s="36" t="str">
        <f t="shared" si="277"/>
        <v/>
      </c>
      <c r="H1204" s="36" t="str">
        <f>IFERROR(IF(--MID($F1204,2*COUNTIF($G1204:G1204,"&gt;"&amp;0)+2,1)=H$1,H$1,""),"")</f>
        <v/>
      </c>
      <c r="I1204" s="36" t="str">
        <f>IFERROR(IF(--MID($F1204,2*COUNTIF($G1204:H1204,"&gt;"&amp;0)+2,1)=I$1,I$1,""),"")</f>
        <v/>
      </c>
      <c r="J1204" s="36" t="str">
        <f>IFERROR(IF(--MID($F1204,2*COUNTIF($G1204:I1204,"&gt;"&amp;0)+2,1)=J$1,J$1,""),"")</f>
        <v/>
      </c>
      <c r="K1204" s="36" t="str">
        <f>IFERROR(IF(--MID($F1204,2*COUNTIF($G1204:J1204,"&gt;"&amp;0)+2,1)=K$1,K$1,""),"")</f>
        <v/>
      </c>
      <c r="L1204" s="36">
        <f>IFERROR(IF(--MID($F1204,2*COUNTIF($G1204:K1204,"&gt;"&amp;0)+2,1)=L$1,L$1,""),"")</f>
        <v>6</v>
      </c>
      <c r="M1204" s="36" t="e" cm="1">
        <f t="array" ref="M1204">IF(A1204="","",_xlfn.XLOOKUP(D1204&amp;"_"&amp;AE1204,符文权重!A:A&amp;"_"&amp;符文权重!C:C,符文权重!D:D))</f>
        <v>#N/A</v>
      </c>
      <c r="N1204" s="36"/>
      <c r="O1204" s="36"/>
      <c r="P1204" s="36"/>
      <c r="Q1204" s="36"/>
      <c r="R1204" s="36"/>
      <c r="S1204" s="81" t="s">
        <v>344</v>
      </c>
      <c r="T1204" s="81" t="s">
        <v>986</v>
      </c>
      <c r="U1204" s="81" t="s">
        <v>423</v>
      </c>
      <c r="V1204" s="30" t="s">
        <v>1009</v>
      </c>
      <c r="W1204" s="81"/>
      <c r="X1204" s="32" t="s">
        <v>820</v>
      </c>
      <c r="Y1204" s="35">
        <v>100</v>
      </c>
      <c r="AA1204" s="36" t="s">
        <v>187</v>
      </c>
      <c r="AB1204" s="81" t="s">
        <v>1010</v>
      </c>
      <c r="AC1204" s="32">
        <v>5301283</v>
      </c>
      <c r="AD1204" s="81" t="s">
        <v>600</v>
      </c>
      <c r="AE1204" s="36">
        <v>100</v>
      </c>
      <c r="AF1204" s="81"/>
      <c r="AG1204" s="79">
        <v>1</v>
      </c>
      <c r="AH1204" s="81">
        <v>1</v>
      </c>
      <c r="AI1204" s="86"/>
      <c r="AJ1204" s="88"/>
      <c r="AL1204" s="35"/>
    </row>
    <row r="1205" s="32" customFormat="1" hidden="1" customHeight="1" spans="1:38">
      <c r="A1205" s="86">
        <v>5306283</v>
      </c>
      <c r="B1205" s="87" t="s">
        <v>985</v>
      </c>
      <c r="C1205" s="32">
        <v>5301283</v>
      </c>
      <c r="D1205" s="81">
        <v>6</v>
      </c>
      <c r="E1205" s="81"/>
      <c r="F1205" s="81" t="s">
        <v>220</v>
      </c>
      <c r="G1205" s="36" t="str">
        <f t="shared" si="277"/>
        <v/>
      </c>
      <c r="H1205" s="36" t="str">
        <f>IFERROR(IF(--MID($F1205,2*COUNTIF($G1205:G1205,"&gt;"&amp;0)+2,1)=H$1,H$1,""),"")</f>
        <v/>
      </c>
      <c r="I1205" s="36" t="str">
        <f>IFERROR(IF(--MID($F1205,2*COUNTIF($G1205:H1205,"&gt;"&amp;0)+2,1)=I$1,I$1,""),"")</f>
        <v/>
      </c>
      <c r="J1205" s="36" t="str">
        <f>IFERROR(IF(--MID($F1205,2*COUNTIF($G1205:I1205,"&gt;"&amp;0)+2,1)=J$1,J$1,""),"")</f>
        <v/>
      </c>
      <c r="K1205" s="36" t="str">
        <f>IFERROR(IF(--MID($F1205,2*COUNTIF($G1205:J1205,"&gt;"&amp;0)+2,1)=K$1,K$1,""),"")</f>
        <v/>
      </c>
      <c r="L1205" s="36">
        <f>IFERROR(IF(--MID($F1205,2*COUNTIF($G1205:K1205,"&gt;"&amp;0)+2,1)=L$1,L$1,""),"")</f>
        <v>6</v>
      </c>
      <c r="M1205" s="36" t="e" cm="1">
        <f t="array" ref="M1205">IF(A1205="","",_xlfn.XLOOKUP(D1205&amp;"_"&amp;AE1205,符文权重!A:A&amp;"_"&amp;符文权重!C:C,符文权重!D:D))</f>
        <v>#N/A</v>
      </c>
      <c r="N1205" s="36"/>
      <c r="O1205" s="36"/>
      <c r="P1205" s="36"/>
      <c r="Q1205" s="36"/>
      <c r="R1205" s="36"/>
      <c r="S1205" s="81" t="s">
        <v>344</v>
      </c>
      <c r="T1205" s="81" t="s">
        <v>986</v>
      </c>
      <c r="U1205" s="81" t="s">
        <v>426</v>
      </c>
      <c r="V1205" s="30" t="s">
        <v>1011</v>
      </c>
      <c r="W1205" s="81"/>
      <c r="X1205" s="32" t="s">
        <v>823</v>
      </c>
      <c r="Y1205" s="35">
        <v>100</v>
      </c>
      <c r="AA1205" s="36" t="s">
        <v>189</v>
      </c>
      <c r="AB1205" s="81" t="s">
        <v>1013</v>
      </c>
      <c r="AC1205" s="32">
        <v>5301283</v>
      </c>
      <c r="AD1205" s="81" t="s">
        <v>1012</v>
      </c>
      <c r="AE1205" s="36">
        <v>100</v>
      </c>
      <c r="AF1205" s="81"/>
      <c r="AG1205" s="79">
        <v>1</v>
      </c>
      <c r="AH1205" s="81">
        <v>1</v>
      </c>
      <c r="AI1205" s="86"/>
      <c r="AJ1205" s="88"/>
      <c r="AL1205" s="35"/>
    </row>
    <row r="1206" s="32" customFormat="1" hidden="1" customHeight="1" spans="1:38">
      <c r="A1206" s="86">
        <v>5307283</v>
      </c>
      <c r="B1206" s="87" t="s">
        <v>985</v>
      </c>
      <c r="C1206" s="32">
        <v>5301283</v>
      </c>
      <c r="D1206" s="81">
        <v>7</v>
      </c>
      <c r="E1206" s="81"/>
      <c r="F1206" s="81" t="s">
        <v>220</v>
      </c>
      <c r="G1206" s="36" t="str">
        <f t="shared" si="277"/>
        <v/>
      </c>
      <c r="H1206" s="36" t="str">
        <f>IFERROR(IF(--MID($F1206,2*COUNTIF($G1206:G1206,"&gt;"&amp;0)+2,1)=H$1,H$1,""),"")</f>
        <v/>
      </c>
      <c r="I1206" s="36" t="str">
        <f>IFERROR(IF(--MID($F1206,2*COUNTIF($G1206:H1206,"&gt;"&amp;0)+2,1)=I$1,I$1,""),"")</f>
        <v/>
      </c>
      <c r="J1206" s="36" t="str">
        <f>IFERROR(IF(--MID($F1206,2*COUNTIF($G1206:I1206,"&gt;"&amp;0)+2,1)=J$1,J$1,""),"")</f>
        <v/>
      </c>
      <c r="K1206" s="36" t="str">
        <f>IFERROR(IF(--MID($F1206,2*COUNTIF($G1206:J1206,"&gt;"&amp;0)+2,1)=K$1,K$1,""),"")</f>
        <v/>
      </c>
      <c r="L1206" s="36">
        <f>IFERROR(IF(--MID($F1206,2*COUNTIF($G1206:K1206,"&gt;"&amp;0)+2,1)=L$1,L$1,""),"")</f>
        <v>6</v>
      </c>
      <c r="M1206" s="36" t="e" cm="1">
        <f t="array" ref="M1206">IF(A1206="","",_xlfn.XLOOKUP(D1206&amp;"_"&amp;AE1206,符文权重!A:A&amp;"_"&amp;符文权重!C:C,符文权重!D:D))</f>
        <v>#N/A</v>
      </c>
      <c r="N1206" s="36"/>
      <c r="O1206" s="36"/>
      <c r="P1206" s="36"/>
      <c r="Q1206" s="36"/>
      <c r="R1206" s="36"/>
      <c r="S1206" s="81" t="s">
        <v>344</v>
      </c>
      <c r="T1206" s="81" t="s">
        <v>986</v>
      </c>
      <c r="U1206" s="81" t="s">
        <v>429</v>
      </c>
      <c r="V1206" s="30" t="s">
        <v>1014</v>
      </c>
      <c r="W1206" s="81"/>
      <c r="X1206" s="32" t="s">
        <v>826</v>
      </c>
      <c r="Y1206" s="35">
        <v>100</v>
      </c>
      <c r="AA1206" s="36" t="s">
        <v>191</v>
      </c>
      <c r="AB1206" s="81" t="s">
        <v>1015</v>
      </c>
      <c r="AC1206" s="32">
        <v>5301283</v>
      </c>
      <c r="AD1206" s="81" t="s">
        <v>898</v>
      </c>
      <c r="AE1206" s="36">
        <v>100</v>
      </c>
      <c r="AF1206" s="81"/>
      <c r="AG1206" s="79">
        <v>1</v>
      </c>
      <c r="AH1206" s="81">
        <v>1</v>
      </c>
      <c r="AI1206" s="86"/>
      <c r="AJ1206" s="88"/>
      <c r="AL1206" s="35"/>
    </row>
    <row r="1207" s="32" customFormat="1" hidden="1" customHeight="1" spans="1:38">
      <c r="A1207" s="32">
        <v>5304285</v>
      </c>
      <c r="B1207" s="87" t="s">
        <v>1016</v>
      </c>
      <c r="C1207" s="32">
        <v>5301285</v>
      </c>
      <c r="D1207" s="81">
        <v>4</v>
      </c>
      <c r="E1207" s="81"/>
      <c r="F1207" s="81" t="s">
        <v>193</v>
      </c>
      <c r="G1207" s="36" t="str">
        <f t="shared" si="277"/>
        <v/>
      </c>
      <c r="H1207" s="36" t="str">
        <f>IFERROR(IF(--MID($F1207,2*COUNTIF($G1207:G1207,"&gt;"&amp;0)+2,1)=H$1,H$1,""),"")</f>
        <v/>
      </c>
      <c r="I1207" s="36">
        <f>IFERROR(IF(--MID($F1207,2*COUNTIF($G1207:H1207,"&gt;"&amp;0)+2,1)=I$1,I$1,""),"")</f>
        <v>3</v>
      </c>
      <c r="J1207" s="36" t="str">
        <f>IFERROR(IF(--MID($F1207,2*COUNTIF($G1207:I1207,"&gt;"&amp;0)+2,1)=J$1,J$1,""),"")</f>
        <v/>
      </c>
      <c r="K1207" s="36" t="str">
        <f>IFERROR(IF(--MID($F1207,2*COUNTIF($G1207:J1207,"&gt;"&amp;0)+2,1)=K$1,K$1,""),"")</f>
        <v/>
      </c>
      <c r="L1207" s="36" t="str">
        <f>IFERROR(IF(--MID($F1207,2*COUNTIF($G1207:K1207,"&gt;"&amp;0)+2,1)=L$1,L$1,""),"")</f>
        <v/>
      </c>
      <c r="M1207" s="36" t="e" cm="1">
        <f t="array" ref="M1207">IF(A1207="","",_xlfn.XLOOKUP(D1207&amp;"_"&amp;AE1207,符文权重!A:A&amp;"_"&amp;符文权重!C:C,符文权重!D:D))</f>
        <v>#N/A</v>
      </c>
      <c r="N1207" s="36"/>
      <c r="O1207" s="36"/>
      <c r="P1207" s="36"/>
      <c r="Q1207" s="36"/>
      <c r="R1207" s="36"/>
      <c r="S1207" s="81" t="s">
        <v>344</v>
      </c>
      <c r="T1207" s="81" t="s">
        <v>1017</v>
      </c>
      <c r="U1207" s="81" t="s">
        <v>420</v>
      </c>
      <c r="V1207" s="30" t="s">
        <v>1018</v>
      </c>
      <c r="W1207" s="81"/>
      <c r="X1207" s="32" t="s">
        <v>817</v>
      </c>
      <c r="Y1207" s="35">
        <v>100</v>
      </c>
      <c r="AA1207" s="36" t="s">
        <v>185</v>
      </c>
      <c r="AB1207" s="81" t="s">
        <v>1019</v>
      </c>
      <c r="AC1207" s="32">
        <v>53012851</v>
      </c>
      <c r="AD1207" s="81" t="s">
        <v>220</v>
      </c>
      <c r="AE1207" s="36">
        <v>100</v>
      </c>
      <c r="AF1207" s="81"/>
      <c r="AG1207" s="79">
        <v>1</v>
      </c>
      <c r="AH1207" s="81">
        <v>0</v>
      </c>
      <c r="AL1207" s="35"/>
    </row>
    <row r="1208" s="32" customFormat="1" hidden="1" customHeight="1" spans="1:38">
      <c r="A1208" s="32">
        <v>5305285</v>
      </c>
      <c r="B1208" s="87"/>
      <c r="C1208" s="32">
        <v>5301285</v>
      </c>
      <c r="D1208" s="81">
        <v>5</v>
      </c>
      <c r="E1208" s="81"/>
      <c r="F1208" s="81" t="s">
        <v>193</v>
      </c>
      <c r="G1208" s="36" t="str">
        <f t="shared" si="277"/>
        <v/>
      </c>
      <c r="H1208" s="36" t="str">
        <f>IFERROR(IF(--MID($F1208,2*COUNTIF($G1208:G1208,"&gt;"&amp;0)+2,1)=H$1,H$1,""),"")</f>
        <v/>
      </c>
      <c r="I1208" s="36">
        <f>IFERROR(IF(--MID($F1208,2*COUNTIF($G1208:H1208,"&gt;"&amp;0)+2,1)=I$1,I$1,""),"")</f>
        <v>3</v>
      </c>
      <c r="J1208" s="36" t="str">
        <f>IFERROR(IF(--MID($F1208,2*COUNTIF($G1208:I1208,"&gt;"&amp;0)+2,1)=J$1,J$1,""),"")</f>
        <v/>
      </c>
      <c r="K1208" s="36" t="str">
        <f>IFERROR(IF(--MID($F1208,2*COUNTIF($G1208:J1208,"&gt;"&amp;0)+2,1)=K$1,K$1,""),"")</f>
        <v/>
      </c>
      <c r="L1208" s="36" t="str">
        <f>IFERROR(IF(--MID($F1208,2*COUNTIF($G1208:K1208,"&gt;"&amp;0)+2,1)=L$1,L$1,""),"")</f>
        <v/>
      </c>
      <c r="M1208" s="36" t="e" cm="1">
        <f t="array" ref="M1208">IF(A1208="","",_xlfn.XLOOKUP(D1208&amp;"_"&amp;AE1208,符文权重!A:A&amp;"_"&amp;符文权重!C:C,符文权重!D:D))</f>
        <v>#N/A</v>
      </c>
      <c r="N1208" s="36"/>
      <c r="O1208" s="36"/>
      <c r="P1208" s="36"/>
      <c r="Q1208" s="36"/>
      <c r="R1208" s="36"/>
      <c r="S1208" s="81" t="s">
        <v>344</v>
      </c>
      <c r="T1208" s="81" t="s">
        <v>1017</v>
      </c>
      <c r="U1208" s="81" t="s">
        <v>423</v>
      </c>
      <c r="V1208" s="30" t="s">
        <v>1020</v>
      </c>
      <c r="W1208" s="81"/>
      <c r="X1208" s="32" t="s">
        <v>820</v>
      </c>
      <c r="Y1208" s="35">
        <v>100</v>
      </c>
      <c r="AA1208" s="36" t="s">
        <v>187</v>
      </c>
      <c r="AB1208" s="81" t="s">
        <v>1021</v>
      </c>
      <c r="AC1208" s="32">
        <v>53012852</v>
      </c>
      <c r="AD1208" s="81" t="s">
        <v>419</v>
      </c>
      <c r="AE1208" s="36">
        <v>100</v>
      </c>
      <c r="AF1208" s="81"/>
      <c r="AG1208" s="79">
        <v>1</v>
      </c>
      <c r="AH1208" s="81">
        <v>1</v>
      </c>
      <c r="AI1208" s="86"/>
      <c r="AJ1208" s="88"/>
      <c r="AL1208" s="35"/>
    </row>
    <row r="1209" s="32" customFormat="1" hidden="1" customHeight="1" spans="1:38">
      <c r="A1209" s="32">
        <v>5306285</v>
      </c>
      <c r="B1209" s="87"/>
      <c r="C1209" s="32">
        <v>5301285</v>
      </c>
      <c r="D1209" s="81">
        <v>6</v>
      </c>
      <c r="E1209" s="81"/>
      <c r="F1209" s="81" t="s">
        <v>193</v>
      </c>
      <c r="G1209" s="36" t="str">
        <f t="shared" si="277"/>
        <v/>
      </c>
      <c r="H1209" s="36" t="str">
        <f>IFERROR(IF(--MID($F1209,2*COUNTIF($G1209:G1209,"&gt;"&amp;0)+2,1)=H$1,H$1,""),"")</f>
        <v/>
      </c>
      <c r="I1209" s="36">
        <f>IFERROR(IF(--MID($F1209,2*COUNTIF($G1209:H1209,"&gt;"&amp;0)+2,1)=I$1,I$1,""),"")</f>
        <v>3</v>
      </c>
      <c r="J1209" s="36" t="str">
        <f>IFERROR(IF(--MID($F1209,2*COUNTIF($G1209:I1209,"&gt;"&amp;0)+2,1)=J$1,J$1,""),"")</f>
        <v/>
      </c>
      <c r="K1209" s="36" t="str">
        <f>IFERROR(IF(--MID($F1209,2*COUNTIF($G1209:J1209,"&gt;"&amp;0)+2,1)=K$1,K$1,""),"")</f>
        <v/>
      </c>
      <c r="L1209" s="36" t="str">
        <f>IFERROR(IF(--MID($F1209,2*COUNTIF($G1209:K1209,"&gt;"&amp;0)+2,1)=L$1,L$1,""),"")</f>
        <v/>
      </c>
      <c r="M1209" s="36" t="e" cm="1">
        <f t="array" ref="M1209">IF(A1209="","",_xlfn.XLOOKUP(D1209&amp;"_"&amp;AE1209,符文权重!A:A&amp;"_"&amp;符文权重!C:C,符文权重!D:D))</f>
        <v>#N/A</v>
      </c>
      <c r="N1209" s="36"/>
      <c r="O1209" s="36"/>
      <c r="P1209" s="36"/>
      <c r="Q1209" s="36"/>
      <c r="R1209" s="36"/>
      <c r="S1209" s="81" t="s">
        <v>344</v>
      </c>
      <c r="T1209" s="81" t="s">
        <v>1017</v>
      </c>
      <c r="U1209" s="81" t="s">
        <v>426</v>
      </c>
      <c r="V1209" s="30" t="s">
        <v>1022</v>
      </c>
      <c r="W1209" s="81"/>
      <c r="X1209" s="32" t="s">
        <v>823</v>
      </c>
      <c r="Y1209" s="35">
        <v>100</v>
      </c>
      <c r="AA1209" s="36" t="s">
        <v>189</v>
      </c>
      <c r="AB1209" s="81" t="s">
        <v>1023</v>
      </c>
      <c r="AC1209" s="32">
        <v>53012853</v>
      </c>
      <c r="AD1209" s="81" t="s">
        <v>422</v>
      </c>
      <c r="AE1209" s="36">
        <v>100</v>
      </c>
      <c r="AF1209" s="81"/>
      <c r="AG1209" s="79">
        <v>1</v>
      </c>
      <c r="AH1209" s="81">
        <v>1</v>
      </c>
      <c r="AI1209" s="86"/>
      <c r="AJ1209" s="88"/>
      <c r="AL1209" s="35"/>
    </row>
    <row r="1210" s="32" customFormat="1" hidden="1" customHeight="1" spans="1:38">
      <c r="A1210" s="32">
        <v>5307285</v>
      </c>
      <c r="B1210" s="87"/>
      <c r="C1210" s="32">
        <v>5301285</v>
      </c>
      <c r="D1210" s="81">
        <v>7</v>
      </c>
      <c r="E1210" s="81"/>
      <c r="F1210" s="81" t="s">
        <v>193</v>
      </c>
      <c r="G1210" s="36" t="str">
        <f t="shared" si="277"/>
        <v/>
      </c>
      <c r="H1210" s="36" t="str">
        <f>IFERROR(IF(--MID($F1210,2*COUNTIF($G1210:G1210,"&gt;"&amp;0)+2,1)=H$1,H$1,""),"")</f>
        <v/>
      </c>
      <c r="I1210" s="36">
        <f>IFERROR(IF(--MID($F1210,2*COUNTIF($G1210:H1210,"&gt;"&amp;0)+2,1)=I$1,I$1,""),"")</f>
        <v>3</v>
      </c>
      <c r="J1210" s="36" t="str">
        <f>IFERROR(IF(--MID($F1210,2*COUNTIF($G1210:I1210,"&gt;"&amp;0)+2,1)=J$1,J$1,""),"")</f>
        <v/>
      </c>
      <c r="K1210" s="36" t="str">
        <f>IFERROR(IF(--MID($F1210,2*COUNTIF($G1210:J1210,"&gt;"&amp;0)+2,1)=K$1,K$1,""),"")</f>
        <v/>
      </c>
      <c r="L1210" s="36" t="str">
        <f>IFERROR(IF(--MID($F1210,2*COUNTIF($G1210:K1210,"&gt;"&amp;0)+2,1)=L$1,L$1,""),"")</f>
        <v/>
      </c>
      <c r="M1210" s="36" t="e" cm="1">
        <f t="array" ref="M1210">IF(A1210="","",_xlfn.XLOOKUP(D1210&amp;"_"&amp;AE1210,符文权重!A:A&amp;"_"&amp;符文权重!C:C,符文权重!D:D))</f>
        <v>#N/A</v>
      </c>
      <c r="N1210" s="36"/>
      <c r="O1210" s="36"/>
      <c r="P1210" s="36"/>
      <c r="Q1210" s="36"/>
      <c r="R1210" s="36"/>
      <c r="S1210" s="81" t="s">
        <v>344</v>
      </c>
      <c r="T1210" s="81" t="s">
        <v>1017</v>
      </c>
      <c r="U1210" s="81" t="s">
        <v>429</v>
      </c>
      <c r="V1210" s="30" t="s">
        <v>1024</v>
      </c>
      <c r="W1210" s="81"/>
      <c r="X1210" s="32" t="s">
        <v>826</v>
      </c>
      <c r="Y1210" s="35">
        <v>100</v>
      </c>
      <c r="AA1210" s="36" t="s">
        <v>191</v>
      </c>
      <c r="AB1210" s="81" t="s">
        <v>1025</v>
      </c>
      <c r="AC1210" s="32">
        <v>53012854</v>
      </c>
      <c r="AD1210" s="81" t="s">
        <v>492</v>
      </c>
      <c r="AE1210" s="36">
        <v>100</v>
      </c>
      <c r="AF1210" s="81"/>
      <c r="AG1210" s="79">
        <v>1</v>
      </c>
      <c r="AH1210" s="81">
        <v>1</v>
      </c>
      <c r="AI1210" s="86"/>
      <c r="AJ1210" s="88"/>
      <c r="AL1210" s="35"/>
    </row>
    <row r="1211" s="32" customFormat="1" hidden="1" customHeight="1" spans="1:38">
      <c r="A1211" s="32">
        <v>5304286</v>
      </c>
      <c r="B1211" s="87" t="s">
        <v>1016</v>
      </c>
      <c r="C1211" s="32">
        <v>5301286</v>
      </c>
      <c r="D1211" s="81">
        <v>4</v>
      </c>
      <c r="E1211" s="81"/>
      <c r="F1211" s="81" t="s">
        <v>202</v>
      </c>
      <c r="G1211" s="36">
        <f t="shared" si="277"/>
        <v>1</v>
      </c>
      <c r="H1211" s="36" t="str">
        <f>IFERROR(IF(--MID($F1211,2*COUNTIF($G1211:G1211,"&gt;"&amp;0)+2,1)=H$1,H$1,""),"")</f>
        <v/>
      </c>
      <c r="I1211" s="36" t="str">
        <f>IFERROR(IF(--MID($F1211,2*COUNTIF($G1211:H1211,"&gt;"&amp;0)+2,1)=I$1,I$1,""),"")</f>
        <v/>
      </c>
      <c r="J1211" s="36" t="str">
        <f>IFERROR(IF(--MID($F1211,2*COUNTIF($G1211:I1211,"&gt;"&amp;0)+2,1)=J$1,J$1,""),"")</f>
        <v/>
      </c>
      <c r="K1211" s="36" t="str">
        <f>IFERROR(IF(--MID($F1211,2*COUNTIF($G1211:J1211,"&gt;"&amp;0)+2,1)=K$1,K$1,""),"")</f>
        <v/>
      </c>
      <c r="L1211" s="36" t="str">
        <f>IFERROR(IF(--MID($F1211,2*COUNTIF($G1211:K1211,"&gt;"&amp;0)+2,1)=L$1,L$1,""),"")</f>
        <v/>
      </c>
      <c r="M1211" s="36" t="e" cm="1">
        <f t="array" ref="M1211">IF(A1211="","",_xlfn.XLOOKUP(D1211&amp;"_"&amp;AE1211,符文权重!A:A&amp;"_"&amp;符文权重!C:C,符文权重!D:D))</f>
        <v>#N/A</v>
      </c>
      <c r="N1211" s="36"/>
      <c r="O1211" s="36"/>
      <c r="P1211" s="36"/>
      <c r="Q1211" s="36"/>
      <c r="R1211" s="36"/>
      <c r="S1211" s="81" t="s">
        <v>344</v>
      </c>
      <c r="T1211" s="81" t="s">
        <v>1017</v>
      </c>
      <c r="U1211" s="81" t="s">
        <v>420</v>
      </c>
      <c r="V1211" s="30" t="s">
        <v>1026</v>
      </c>
      <c r="W1211" s="81"/>
      <c r="X1211" s="32" t="s">
        <v>817</v>
      </c>
      <c r="Y1211" s="35">
        <v>100</v>
      </c>
      <c r="AA1211" s="36" t="s">
        <v>185</v>
      </c>
      <c r="AB1211" s="81" t="s">
        <v>1028</v>
      </c>
      <c r="AC1211" s="32">
        <v>5301286</v>
      </c>
      <c r="AD1211" s="81" t="s">
        <v>1027</v>
      </c>
      <c r="AE1211" s="36">
        <v>100</v>
      </c>
      <c r="AF1211" s="81"/>
      <c r="AG1211" s="79">
        <v>1</v>
      </c>
      <c r="AH1211" s="81">
        <v>0</v>
      </c>
      <c r="AL1211" s="35"/>
    </row>
    <row r="1212" s="32" customFormat="1" hidden="1" customHeight="1" spans="1:38">
      <c r="A1212" s="32">
        <v>5305286</v>
      </c>
      <c r="B1212" s="87"/>
      <c r="C1212" s="32">
        <v>5301286</v>
      </c>
      <c r="D1212" s="81">
        <v>5</v>
      </c>
      <c r="E1212" s="81"/>
      <c r="F1212" s="81" t="s">
        <v>202</v>
      </c>
      <c r="G1212" s="36">
        <f t="shared" si="277"/>
        <v>1</v>
      </c>
      <c r="H1212" s="36" t="str">
        <f>IFERROR(IF(--MID($F1212,2*COUNTIF($G1212:G1212,"&gt;"&amp;0)+2,1)=H$1,H$1,""),"")</f>
        <v/>
      </c>
      <c r="I1212" s="36" t="str">
        <f>IFERROR(IF(--MID($F1212,2*COUNTIF($G1212:H1212,"&gt;"&amp;0)+2,1)=I$1,I$1,""),"")</f>
        <v/>
      </c>
      <c r="J1212" s="36" t="str">
        <f>IFERROR(IF(--MID($F1212,2*COUNTIF($G1212:I1212,"&gt;"&amp;0)+2,1)=J$1,J$1,""),"")</f>
        <v/>
      </c>
      <c r="K1212" s="36" t="str">
        <f>IFERROR(IF(--MID($F1212,2*COUNTIF($G1212:J1212,"&gt;"&amp;0)+2,1)=K$1,K$1,""),"")</f>
        <v/>
      </c>
      <c r="L1212" s="36" t="str">
        <f>IFERROR(IF(--MID($F1212,2*COUNTIF($G1212:K1212,"&gt;"&amp;0)+2,1)=L$1,L$1,""),"")</f>
        <v/>
      </c>
      <c r="M1212" s="36" t="e" cm="1">
        <f t="array" ref="M1212">IF(A1212="","",_xlfn.XLOOKUP(D1212&amp;"_"&amp;AE1212,符文权重!A:A&amp;"_"&amp;符文权重!C:C,符文权重!D:D))</f>
        <v>#N/A</v>
      </c>
      <c r="N1212" s="36"/>
      <c r="O1212" s="36"/>
      <c r="P1212" s="36"/>
      <c r="Q1212" s="36"/>
      <c r="R1212" s="36"/>
      <c r="S1212" s="81" t="s">
        <v>344</v>
      </c>
      <c r="T1212" s="81" t="s">
        <v>1017</v>
      </c>
      <c r="U1212" s="81" t="s">
        <v>423</v>
      </c>
      <c r="V1212" s="30" t="s">
        <v>1029</v>
      </c>
      <c r="W1212" s="81"/>
      <c r="X1212" s="32" t="s">
        <v>820</v>
      </c>
      <c r="Y1212" s="35">
        <v>100</v>
      </c>
      <c r="AA1212" s="36" t="s">
        <v>187</v>
      </c>
      <c r="AB1212" s="81" t="s">
        <v>1031</v>
      </c>
      <c r="AC1212" s="32">
        <v>5301286</v>
      </c>
      <c r="AD1212" s="81" t="s">
        <v>1030</v>
      </c>
      <c r="AE1212" s="36">
        <v>100</v>
      </c>
      <c r="AF1212" s="81"/>
      <c r="AG1212" s="79">
        <v>1</v>
      </c>
      <c r="AH1212" s="81">
        <v>1</v>
      </c>
      <c r="AI1212" s="86"/>
      <c r="AJ1212" s="88"/>
      <c r="AL1212" s="35"/>
    </row>
    <row r="1213" s="32" customFormat="1" hidden="1" customHeight="1" spans="1:38">
      <c r="A1213" s="32">
        <v>5306286</v>
      </c>
      <c r="B1213" s="87"/>
      <c r="C1213" s="32">
        <v>5301286</v>
      </c>
      <c r="D1213" s="81">
        <v>6</v>
      </c>
      <c r="E1213" s="81"/>
      <c r="F1213" s="81" t="s">
        <v>202</v>
      </c>
      <c r="G1213" s="36">
        <f t="shared" si="277"/>
        <v>1</v>
      </c>
      <c r="H1213" s="36" t="str">
        <f>IFERROR(IF(--MID($F1213,2*COUNTIF($G1213:G1213,"&gt;"&amp;0)+2,1)=H$1,H$1,""),"")</f>
        <v/>
      </c>
      <c r="I1213" s="36" t="str">
        <f>IFERROR(IF(--MID($F1213,2*COUNTIF($G1213:H1213,"&gt;"&amp;0)+2,1)=I$1,I$1,""),"")</f>
        <v/>
      </c>
      <c r="J1213" s="36" t="str">
        <f>IFERROR(IF(--MID($F1213,2*COUNTIF($G1213:I1213,"&gt;"&amp;0)+2,1)=J$1,J$1,""),"")</f>
        <v/>
      </c>
      <c r="K1213" s="36" t="str">
        <f>IFERROR(IF(--MID($F1213,2*COUNTIF($G1213:J1213,"&gt;"&amp;0)+2,1)=K$1,K$1,""),"")</f>
        <v/>
      </c>
      <c r="L1213" s="36" t="str">
        <f>IFERROR(IF(--MID($F1213,2*COUNTIF($G1213:K1213,"&gt;"&amp;0)+2,1)=L$1,L$1,""),"")</f>
        <v/>
      </c>
      <c r="M1213" s="36" t="e" cm="1">
        <f t="array" ref="M1213">IF(A1213="","",_xlfn.XLOOKUP(D1213&amp;"_"&amp;AE1213,符文权重!A:A&amp;"_"&amp;符文权重!C:C,符文权重!D:D))</f>
        <v>#N/A</v>
      </c>
      <c r="N1213" s="36"/>
      <c r="O1213" s="36"/>
      <c r="P1213" s="36"/>
      <c r="Q1213" s="36"/>
      <c r="R1213" s="36"/>
      <c r="S1213" s="81" t="s">
        <v>344</v>
      </c>
      <c r="T1213" s="81" t="s">
        <v>1017</v>
      </c>
      <c r="U1213" s="81" t="s">
        <v>426</v>
      </c>
      <c r="V1213" s="30" t="s">
        <v>1032</v>
      </c>
      <c r="W1213" s="81"/>
      <c r="X1213" s="32" t="s">
        <v>823</v>
      </c>
      <c r="Y1213" s="35">
        <v>100</v>
      </c>
      <c r="AA1213" s="36" t="s">
        <v>189</v>
      </c>
      <c r="AB1213" s="81" t="s">
        <v>1034</v>
      </c>
      <c r="AC1213" s="32">
        <v>5301286</v>
      </c>
      <c r="AD1213" s="81" t="s">
        <v>1033</v>
      </c>
      <c r="AE1213" s="36">
        <v>100</v>
      </c>
      <c r="AF1213" s="81"/>
      <c r="AG1213" s="79">
        <v>1</v>
      </c>
      <c r="AH1213" s="81">
        <v>1</v>
      </c>
      <c r="AI1213" s="86"/>
      <c r="AJ1213" s="88"/>
      <c r="AL1213" s="35"/>
    </row>
    <row r="1214" s="32" customFormat="1" hidden="1" customHeight="1" spans="1:38">
      <c r="A1214" s="32">
        <v>5307286</v>
      </c>
      <c r="B1214" s="87"/>
      <c r="C1214" s="32">
        <v>5301286</v>
      </c>
      <c r="D1214" s="81">
        <v>7</v>
      </c>
      <c r="E1214" s="81"/>
      <c r="F1214" s="81" t="s">
        <v>202</v>
      </c>
      <c r="G1214" s="36">
        <f t="shared" si="277"/>
        <v>1</v>
      </c>
      <c r="H1214" s="36" t="str">
        <f>IFERROR(IF(--MID($F1214,2*COUNTIF($G1214:G1214,"&gt;"&amp;0)+2,1)=H$1,H$1,""),"")</f>
        <v/>
      </c>
      <c r="I1214" s="36" t="str">
        <f>IFERROR(IF(--MID($F1214,2*COUNTIF($G1214:H1214,"&gt;"&amp;0)+2,1)=I$1,I$1,""),"")</f>
        <v/>
      </c>
      <c r="J1214" s="36" t="str">
        <f>IFERROR(IF(--MID($F1214,2*COUNTIF($G1214:I1214,"&gt;"&amp;0)+2,1)=J$1,J$1,""),"")</f>
        <v/>
      </c>
      <c r="K1214" s="36" t="str">
        <f>IFERROR(IF(--MID($F1214,2*COUNTIF($G1214:J1214,"&gt;"&amp;0)+2,1)=K$1,K$1,""),"")</f>
        <v/>
      </c>
      <c r="L1214" s="36" t="str">
        <f>IFERROR(IF(--MID($F1214,2*COUNTIF($G1214:K1214,"&gt;"&amp;0)+2,1)=L$1,L$1,""),"")</f>
        <v/>
      </c>
      <c r="M1214" s="36" t="e" cm="1">
        <f t="array" ref="M1214">IF(A1214="","",_xlfn.XLOOKUP(D1214&amp;"_"&amp;AE1214,符文权重!A:A&amp;"_"&amp;符文权重!C:C,符文权重!D:D))</f>
        <v>#N/A</v>
      </c>
      <c r="N1214" s="36"/>
      <c r="O1214" s="36"/>
      <c r="P1214" s="36"/>
      <c r="Q1214" s="36"/>
      <c r="R1214" s="36"/>
      <c r="S1214" s="81" t="s">
        <v>344</v>
      </c>
      <c r="T1214" s="81" t="s">
        <v>1017</v>
      </c>
      <c r="U1214" s="81" t="s">
        <v>429</v>
      </c>
      <c r="V1214" s="30" t="s">
        <v>1035</v>
      </c>
      <c r="W1214" s="81"/>
      <c r="X1214" s="32" t="s">
        <v>826</v>
      </c>
      <c r="Y1214" s="35">
        <v>100</v>
      </c>
      <c r="AA1214" s="36" t="s">
        <v>191</v>
      </c>
      <c r="AB1214" s="81" t="s">
        <v>1037</v>
      </c>
      <c r="AC1214" s="32">
        <v>5301286</v>
      </c>
      <c r="AD1214" s="81" t="s">
        <v>1036</v>
      </c>
      <c r="AE1214" s="36">
        <v>100</v>
      </c>
      <c r="AF1214" s="81"/>
      <c r="AG1214" s="79">
        <v>1</v>
      </c>
      <c r="AH1214" s="81">
        <v>1</v>
      </c>
      <c r="AI1214" s="86"/>
      <c r="AJ1214" s="88"/>
      <c r="AL1214" s="35"/>
    </row>
    <row r="1215" s="32" customFormat="1" hidden="1" customHeight="1" spans="1:38">
      <c r="A1215" s="32">
        <v>5304287</v>
      </c>
      <c r="B1215" s="87" t="s">
        <v>1016</v>
      </c>
      <c r="C1215" s="32">
        <v>5301287</v>
      </c>
      <c r="D1215" s="81">
        <v>4</v>
      </c>
      <c r="E1215" s="81"/>
      <c r="F1215" s="81" t="s">
        <v>230</v>
      </c>
      <c r="G1215" s="36" t="str">
        <f t="shared" si="277"/>
        <v/>
      </c>
      <c r="H1215" s="36" t="str">
        <f>IFERROR(IF(--MID($F1215,2*COUNTIF($G1215:G1215,"&gt;"&amp;0)+2,1)=H$1,H$1,""),"")</f>
        <v/>
      </c>
      <c r="I1215" s="36" t="str">
        <f>IFERROR(IF(--MID($F1215,2*COUNTIF($G1215:H1215,"&gt;"&amp;0)+2,1)=I$1,I$1,""),"")</f>
        <v/>
      </c>
      <c r="J1215" s="36" t="str">
        <f>IFERROR(IF(--MID($F1215,2*COUNTIF($G1215:I1215,"&gt;"&amp;0)+2,1)=J$1,J$1,""),"")</f>
        <v/>
      </c>
      <c r="K1215" s="36">
        <f>IFERROR(IF(--MID($F1215,2*COUNTIF($G1215:J1215,"&gt;"&amp;0)+2,1)=K$1,K$1,""),"")</f>
        <v>5</v>
      </c>
      <c r="L1215" s="36" t="str">
        <f>IFERROR(IF(--MID($F1215,2*COUNTIF($G1215:K1215,"&gt;"&amp;0)+2,1)=L$1,L$1,""),"")</f>
        <v/>
      </c>
      <c r="M1215" s="36" t="e" cm="1">
        <f t="array" ref="M1215">IF(A1215="","",_xlfn.XLOOKUP(D1215&amp;"_"&amp;AE1215,符文权重!A:A&amp;"_"&amp;符文权重!C:C,符文权重!D:D))</f>
        <v>#N/A</v>
      </c>
      <c r="N1215" s="36"/>
      <c r="O1215" s="36"/>
      <c r="P1215" s="36"/>
      <c r="Q1215" s="36"/>
      <c r="R1215" s="36"/>
      <c r="S1215" s="81" t="s">
        <v>344</v>
      </c>
      <c r="T1215" s="81" t="s">
        <v>1017</v>
      </c>
      <c r="U1215" s="81" t="s">
        <v>420</v>
      </c>
      <c r="V1215" s="30" t="s">
        <v>1038</v>
      </c>
      <c r="W1215" s="81"/>
      <c r="X1215" s="32" t="s">
        <v>817</v>
      </c>
      <c r="Y1215" s="35">
        <v>100</v>
      </c>
      <c r="AA1215" s="36" t="s">
        <v>185</v>
      </c>
      <c r="AB1215" s="81" t="s">
        <v>1040</v>
      </c>
      <c r="AC1215" s="32">
        <v>53042871</v>
      </c>
      <c r="AD1215" s="81" t="s">
        <v>1039</v>
      </c>
      <c r="AE1215" s="36">
        <v>100</v>
      </c>
      <c r="AF1215" s="81"/>
      <c r="AG1215" s="79">
        <v>1</v>
      </c>
      <c r="AH1215" s="81">
        <v>0</v>
      </c>
      <c r="AL1215" s="35"/>
    </row>
    <row r="1216" s="32" customFormat="1" hidden="1" customHeight="1" spans="1:38">
      <c r="A1216" s="32">
        <v>5305287</v>
      </c>
      <c r="B1216" s="87"/>
      <c r="C1216" s="32">
        <v>5301287</v>
      </c>
      <c r="D1216" s="81">
        <v>5</v>
      </c>
      <c r="E1216" s="81"/>
      <c r="F1216" s="81" t="s">
        <v>230</v>
      </c>
      <c r="G1216" s="36" t="str">
        <f t="shared" si="277"/>
        <v/>
      </c>
      <c r="H1216" s="36" t="str">
        <f>IFERROR(IF(--MID($F1216,2*COUNTIF($G1216:G1216,"&gt;"&amp;0)+2,1)=H$1,H$1,""),"")</f>
        <v/>
      </c>
      <c r="I1216" s="36" t="str">
        <f>IFERROR(IF(--MID($F1216,2*COUNTIF($G1216:H1216,"&gt;"&amp;0)+2,1)=I$1,I$1,""),"")</f>
        <v/>
      </c>
      <c r="J1216" s="36" t="str">
        <f>IFERROR(IF(--MID($F1216,2*COUNTIF($G1216:I1216,"&gt;"&amp;0)+2,1)=J$1,J$1,""),"")</f>
        <v/>
      </c>
      <c r="K1216" s="36">
        <f>IFERROR(IF(--MID($F1216,2*COUNTIF($G1216:J1216,"&gt;"&amp;0)+2,1)=K$1,K$1,""),"")</f>
        <v>5</v>
      </c>
      <c r="L1216" s="36" t="str">
        <f>IFERROR(IF(--MID($F1216,2*COUNTIF($G1216:K1216,"&gt;"&amp;0)+2,1)=L$1,L$1,""),"")</f>
        <v/>
      </c>
      <c r="M1216" s="36" t="e" cm="1">
        <f t="array" ref="M1216">IF(A1216="","",_xlfn.XLOOKUP(D1216&amp;"_"&amp;AE1216,符文权重!A:A&amp;"_"&amp;符文权重!C:C,符文权重!D:D))</f>
        <v>#N/A</v>
      </c>
      <c r="N1216" s="36"/>
      <c r="O1216" s="36"/>
      <c r="P1216" s="36"/>
      <c r="Q1216" s="36"/>
      <c r="R1216" s="36"/>
      <c r="S1216" s="81" t="s">
        <v>344</v>
      </c>
      <c r="T1216" s="81" t="s">
        <v>1017</v>
      </c>
      <c r="U1216" s="81" t="s">
        <v>423</v>
      </c>
      <c r="V1216" s="30" t="s">
        <v>1041</v>
      </c>
      <c r="W1216" s="81"/>
      <c r="X1216" s="32" t="s">
        <v>820</v>
      </c>
      <c r="Y1216" s="35">
        <v>100</v>
      </c>
      <c r="AA1216" s="36" t="s">
        <v>187</v>
      </c>
      <c r="AB1216" s="81" t="s">
        <v>1043</v>
      </c>
      <c r="AC1216" s="32">
        <v>53052872</v>
      </c>
      <c r="AD1216" s="81" t="s">
        <v>1042</v>
      </c>
      <c r="AE1216" s="36">
        <v>100</v>
      </c>
      <c r="AF1216" s="81"/>
      <c r="AG1216" s="79">
        <v>1</v>
      </c>
      <c r="AH1216" s="81">
        <v>1</v>
      </c>
      <c r="AI1216" s="86"/>
      <c r="AJ1216" s="88"/>
      <c r="AL1216" s="35"/>
    </row>
    <row r="1217" s="32" customFormat="1" hidden="1" customHeight="1" spans="1:38">
      <c r="A1217" s="32">
        <v>5306287</v>
      </c>
      <c r="B1217" s="87"/>
      <c r="C1217" s="32">
        <v>5301287</v>
      </c>
      <c r="D1217" s="81">
        <v>6</v>
      </c>
      <c r="E1217" s="81"/>
      <c r="F1217" s="81" t="s">
        <v>230</v>
      </c>
      <c r="G1217" s="36" t="str">
        <f t="shared" si="277"/>
        <v/>
      </c>
      <c r="H1217" s="36" t="str">
        <f>IFERROR(IF(--MID($F1217,2*COUNTIF($G1217:G1217,"&gt;"&amp;0)+2,1)=H$1,H$1,""),"")</f>
        <v/>
      </c>
      <c r="I1217" s="36" t="str">
        <f>IFERROR(IF(--MID($F1217,2*COUNTIF($G1217:H1217,"&gt;"&amp;0)+2,1)=I$1,I$1,""),"")</f>
        <v/>
      </c>
      <c r="J1217" s="36" t="str">
        <f>IFERROR(IF(--MID($F1217,2*COUNTIF($G1217:I1217,"&gt;"&amp;0)+2,1)=J$1,J$1,""),"")</f>
        <v/>
      </c>
      <c r="K1217" s="36">
        <f>IFERROR(IF(--MID($F1217,2*COUNTIF($G1217:J1217,"&gt;"&amp;0)+2,1)=K$1,K$1,""),"")</f>
        <v>5</v>
      </c>
      <c r="L1217" s="36" t="str">
        <f>IFERROR(IF(--MID($F1217,2*COUNTIF($G1217:K1217,"&gt;"&amp;0)+2,1)=L$1,L$1,""),"")</f>
        <v/>
      </c>
      <c r="M1217" s="36" t="e" cm="1">
        <f t="array" ref="M1217">IF(A1217="","",_xlfn.XLOOKUP(D1217&amp;"_"&amp;AE1217,符文权重!A:A&amp;"_"&amp;符文权重!C:C,符文权重!D:D))</f>
        <v>#N/A</v>
      </c>
      <c r="N1217" s="36"/>
      <c r="O1217" s="36"/>
      <c r="P1217" s="36"/>
      <c r="Q1217" s="36"/>
      <c r="R1217" s="36"/>
      <c r="S1217" s="81" t="s">
        <v>344</v>
      </c>
      <c r="T1217" s="81" t="s">
        <v>1017</v>
      </c>
      <c r="U1217" s="81" t="s">
        <v>426</v>
      </c>
      <c r="V1217" s="30" t="s">
        <v>1044</v>
      </c>
      <c r="W1217" s="81"/>
      <c r="X1217" s="32" t="s">
        <v>823</v>
      </c>
      <c r="Y1217" s="35">
        <v>100</v>
      </c>
      <c r="AA1217" s="36" t="s">
        <v>189</v>
      </c>
      <c r="AB1217" s="81" t="s">
        <v>1046</v>
      </c>
      <c r="AC1217" s="32">
        <v>53062873</v>
      </c>
      <c r="AD1217" s="81" t="s">
        <v>1045</v>
      </c>
      <c r="AE1217" s="36">
        <v>100</v>
      </c>
      <c r="AF1217" s="81"/>
      <c r="AG1217" s="79">
        <v>1</v>
      </c>
      <c r="AH1217" s="81">
        <v>1</v>
      </c>
      <c r="AI1217" s="86"/>
      <c r="AJ1217" s="88"/>
      <c r="AL1217" s="35"/>
    </row>
    <row r="1218" s="32" customFormat="1" hidden="1" customHeight="1" spans="1:38">
      <c r="A1218" s="32">
        <v>5307287</v>
      </c>
      <c r="B1218" s="87"/>
      <c r="C1218" s="32">
        <v>5301287</v>
      </c>
      <c r="D1218" s="81">
        <v>7</v>
      </c>
      <c r="E1218" s="81"/>
      <c r="F1218" s="81" t="s">
        <v>230</v>
      </c>
      <c r="G1218" s="36" t="str">
        <f t="shared" si="277"/>
        <v/>
      </c>
      <c r="H1218" s="36" t="str">
        <f>IFERROR(IF(--MID($F1218,2*COUNTIF($G1218:G1218,"&gt;"&amp;0)+2,1)=H$1,H$1,""),"")</f>
        <v/>
      </c>
      <c r="I1218" s="36" t="str">
        <f>IFERROR(IF(--MID($F1218,2*COUNTIF($G1218:H1218,"&gt;"&amp;0)+2,1)=I$1,I$1,""),"")</f>
        <v/>
      </c>
      <c r="J1218" s="36" t="str">
        <f>IFERROR(IF(--MID($F1218,2*COUNTIF($G1218:I1218,"&gt;"&amp;0)+2,1)=J$1,J$1,""),"")</f>
        <v/>
      </c>
      <c r="K1218" s="36">
        <f>IFERROR(IF(--MID($F1218,2*COUNTIF($G1218:J1218,"&gt;"&amp;0)+2,1)=K$1,K$1,""),"")</f>
        <v>5</v>
      </c>
      <c r="L1218" s="36" t="str">
        <f>IFERROR(IF(--MID($F1218,2*COUNTIF($G1218:K1218,"&gt;"&amp;0)+2,1)=L$1,L$1,""),"")</f>
        <v/>
      </c>
      <c r="M1218" s="36" t="e" cm="1">
        <f t="array" ref="M1218">IF(A1218="","",_xlfn.XLOOKUP(D1218&amp;"_"&amp;AE1218,符文权重!A:A&amp;"_"&amp;符文权重!C:C,符文权重!D:D))</f>
        <v>#N/A</v>
      </c>
      <c r="N1218" s="36"/>
      <c r="O1218" s="36"/>
      <c r="P1218" s="36"/>
      <c r="Q1218" s="36"/>
      <c r="R1218" s="36"/>
      <c r="S1218" s="81" t="s">
        <v>344</v>
      </c>
      <c r="T1218" s="81" t="s">
        <v>1017</v>
      </c>
      <c r="U1218" s="81" t="s">
        <v>429</v>
      </c>
      <c r="V1218" s="30" t="s">
        <v>1047</v>
      </c>
      <c r="W1218" s="81"/>
      <c r="X1218" s="32" t="s">
        <v>826</v>
      </c>
      <c r="Y1218" s="35">
        <v>100</v>
      </c>
      <c r="AA1218" s="36" t="s">
        <v>191</v>
      </c>
      <c r="AB1218" s="81" t="s">
        <v>1049</v>
      </c>
      <c r="AC1218" s="32">
        <v>53072874</v>
      </c>
      <c r="AD1218" s="81" t="s">
        <v>1048</v>
      </c>
      <c r="AE1218" s="36">
        <v>100</v>
      </c>
      <c r="AF1218" s="81"/>
      <c r="AG1218" s="79">
        <v>1</v>
      </c>
      <c r="AH1218" s="81">
        <v>1</v>
      </c>
      <c r="AI1218" s="86"/>
      <c r="AJ1218" s="88"/>
      <c r="AL1218" s="35"/>
    </row>
    <row r="1219" hidden="1" customHeight="1" spans="1:38">
      <c r="A1219" s="33">
        <v>5305301</v>
      </c>
      <c r="C1219" s="35">
        <v>5301301</v>
      </c>
      <c r="D1219" s="36">
        <v>5</v>
      </c>
      <c r="E1219" s="36"/>
      <c r="F1219" s="36" t="s">
        <v>202</v>
      </c>
      <c r="G1219" s="36">
        <f t="shared" ref="G1219:G1282" si="278">IF(LEFT(F1219,2)="[1",1,"")</f>
        <v>1</v>
      </c>
      <c r="H1219" s="36" t="str">
        <f>IFERROR(IF(--MID($F1219,2*COUNTIF($G1219:G1219,"&gt;"&amp;0)+2,1)=H$1,H$1,""),"")</f>
        <v/>
      </c>
      <c r="I1219" s="36" t="str">
        <f>IFERROR(IF(--MID($F1219,2*COUNTIF($G1219:H1219,"&gt;"&amp;0)+2,1)=I$1,I$1,""),"")</f>
        <v/>
      </c>
      <c r="J1219" s="36" t="str">
        <f>IFERROR(IF(--MID($F1219,2*COUNTIF($G1219:I1219,"&gt;"&amp;0)+2,1)=J$1,J$1,""),"")</f>
        <v/>
      </c>
      <c r="K1219" s="36" t="str">
        <f>IFERROR(IF(--MID($F1219,2*COUNTIF($G1219:J1219,"&gt;"&amp;0)+2,1)=K$1,K$1,""),"")</f>
        <v/>
      </c>
      <c r="L1219" s="36" t="str">
        <f>IFERROR(IF(--MID($F1219,2*COUNTIF($G1219:K1219,"&gt;"&amp;0)+2,1)=L$1,L$1,""),"")</f>
        <v/>
      </c>
      <c r="M1219" s="36" t="e" cm="1">
        <f t="array" ref="M1219">IF(A1219="","",_xlfn.XLOOKUP(D1219&amp;"_"&amp;AE1219,符文权重!A:A&amp;"_"&amp;符文权重!C:C,符文权重!D:D))</f>
        <v>#N/A</v>
      </c>
      <c r="N1219" s="36"/>
      <c r="O1219" s="36"/>
      <c r="P1219" s="36"/>
      <c r="Q1219" s="36"/>
      <c r="R1219" s="36"/>
      <c r="S1219" s="36" t="s">
        <v>192</v>
      </c>
      <c r="T1219" s="36" t="s">
        <v>202</v>
      </c>
      <c r="U1219" s="36" t="s">
        <v>423</v>
      </c>
      <c r="V1219" s="25" t="s">
        <v>1484</v>
      </c>
      <c r="X1219" s="35" t="s">
        <v>1485</v>
      </c>
      <c r="Y1219" s="35">
        <v>100</v>
      </c>
      <c r="AA1219" s="36" t="s">
        <v>187</v>
      </c>
      <c r="AB1219" s="36" t="s">
        <v>1486</v>
      </c>
      <c r="AC1219" s="35">
        <v>5301301</v>
      </c>
      <c r="AD1219" s="36" t="s">
        <v>596</v>
      </c>
      <c r="AE1219" s="36">
        <v>100</v>
      </c>
      <c r="AF1219" s="36"/>
      <c r="AG1219" s="79">
        <v>1</v>
      </c>
      <c r="AH1219" s="36">
        <v>1</v>
      </c>
      <c r="AI1219" s="35"/>
      <c r="AJ1219" s="35"/>
    </row>
    <row r="1220" hidden="1" customHeight="1" spans="1:38">
      <c r="A1220" s="33">
        <v>5306301</v>
      </c>
      <c r="C1220" s="35">
        <v>5301301</v>
      </c>
      <c r="D1220" s="36">
        <v>6</v>
      </c>
      <c r="E1220" s="36"/>
      <c r="F1220" s="36" t="s">
        <v>202</v>
      </c>
      <c r="G1220" s="36">
        <f t="shared" si="278"/>
        <v>1</v>
      </c>
      <c r="H1220" s="36" t="str">
        <f>IFERROR(IF(--MID($F1220,2*COUNTIF($G1220:G1220,"&gt;"&amp;0)+2,1)=H$1,H$1,""),"")</f>
        <v/>
      </c>
      <c r="I1220" s="36" t="str">
        <f>IFERROR(IF(--MID($F1220,2*COUNTIF($G1220:H1220,"&gt;"&amp;0)+2,1)=I$1,I$1,""),"")</f>
        <v/>
      </c>
      <c r="J1220" s="36" t="str">
        <f>IFERROR(IF(--MID($F1220,2*COUNTIF($G1220:I1220,"&gt;"&amp;0)+2,1)=J$1,J$1,""),"")</f>
        <v/>
      </c>
      <c r="K1220" s="36" t="str">
        <f>IFERROR(IF(--MID($F1220,2*COUNTIF($G1220:J1220,"&gt;"&amp;0)+2,1)=K$1,K$1,""),"")</f>
        <v/>
      </c>
      <c r="L1220" s="36" t="str">
        <f>IFERROR(IF(--MID($F1220,2*COUNTIF($G1220:K1220,"&gt;"&amp;0)+2,1)=L$1,L$1,""),"")</f>
        <v/>
      </c>
      <c r="M1220" s="36" t="e" cm="1">
        <f t="array" ref="M1220">IF(A1220="","",_xlfn.XLOOKUP(D1220&amp;"_"&amp;AE1220,符文权重!A:A&amp;"_"&amp;符文权重!C:C,符文权重!D:D))</f>
        <v>#N/A</v>
      </c>
      <c r="N1220" s="36"/>
      <c r="O1220" s="36"/>
      <c r="P1220" s="36"/>
      <c r="Q1220" s="36"/>
      <c r="R1220" s="36"/>
      <c r="S1220" s="36" t="s">
        <v>192</v>
      </c>
      <c r="T1220" s="36" t="s">
        <v>202</v>
      </c>
      <c r="U1220" s="36" t="s">
        <v>426</v>
      </c>
      <c r="V1220" s="25" t="s">
        <v>1487</v>
      </c>
      <c r="X1220" s="35" t="s">
        <v>1488</v>
      </c>
      <c r="Y1220" s="35">
        <v>100</v>
      </c>
      <c r="AA1220" s="36" t="s">
        <v>189</v>
      </c>
      <c r="AB1220" s="36" t="s">
        <v>1489</v>
      </c>
      <c r="AC1220" s="35">
        <v>5301301</v>
      </c>
      <c r="AD1220" s="36" t="s">
        <v>600</v>
      </c>
      <c r="AE1220" s="36">
        <v>100</v>
      </c>
      <c r="AF1220" s="36"/>
      <c r="AG1220" s="79">
        <v>1</v>
      </c>
      <c r="AH1220" s="36">
        <v>1</v>
      </c>
      <c r="AI1220" s="35"/>
      <c r="AJ1220" s="35"/>
    </row>
    <row r="1221" hidden="1" customHeight="1" spans="1:38">
      <c r="A1221" s="33">
        <v>5307301</v>
      </c>
      <c r="C1221" s="35">
        <v>5301301</v>
      </c>
      <c r="D1221" s="36">
        <v>7</v>
      </c>
      <c r="E1221" s="36"/>
      <c r="F1221" s="36" t="s">
        <v>202</v>
      </c>
      <c r="G1221" s="36">
        <f t="shared" si="278"/>
        <v>1</v>
      </c>
      <c r="H1221" s="36" t="str">
        <f>IFERROR(IF(--MID($F1221,2*COUNTIF($G1221:G1221,"&gt;"&amp;0)+2,1)=H$1,H$1,""),"")</f>
        <v/>
      </c>
      <c r="I1221" s="36" t="str">
        <f>IFERROR(IF(--MID($F1221,2*COUNTIF($G1221:H1221,"&gt;"&amp;0)+2,1)=I$1,I$1,""),"")</f>
        <v/>
      </c>
      <c r="J1221" s="36" t="str">
        <f>IFERROR(IF(--MID($F1221,2*COUNTIF($G1221:I1221,"&gt;"&amp;0)+2,1)=J$1,J$1,""),"")</f>
        <v/>
      </c>
      <c r="K1221" s="36" t="str">
        <f>IFERROR(IF(--MID($F1221,2*COUNTIF($G1221:J1221,"&gt;"&amp;0)+2,1)=K$1,K$1,""),"")</f>
        <v/>
      </c>
      <c r="L1221" s="36" t="str">
        <f>IFERROR(IF(--MID($F1221,2*COUNTIF($G1221:K1221,"&gt;"&amp;0)+2,1)=L$1,L$1,""),"")</f>
        <v/>
      </c>
      <c r="M1221" s="36" t="e" cm="1">
        <f t="array" ref="M1221">IF(A1221="","",_xlfn.XLOOKUP(D1221&amp;"_"&amp;AE1221,符文权重!A:A&amp;"_"&amp;符文权重!C:C,符文权重!D:D))</f>
        <v>#N/A</v>
      </c>
      <c r="N1221" s="36"/>
      <c r="O1221" s="36"/>
      <c r="P1221" s="36"/>
      <c r="Q1221" s="36"/>
      <c r="R1221" s="36"/>
      <c r="S1221" s="36" t="s">
        <v>192</v>
      </c>
      <c r="T1221" s="36" t="s">
        <v>202</v>
      </c>
      <c r="U1221" s="36" t="s">
        <v>429</v>
      </c>
      <c r="V1221" s="25" t="s">
        <v>1490</v>
      </c>
      <c r="X1221" s="35" t="s">
        <v>1491</v>
      </c>
      <c r="Y1221" s="35">
        <v>100</v>
      </c>
      <c r="AA1221" s="36" t="s">
        <v>191</v>
      </c>
      <c r="AB1221" s="36" t="s">
        <v>1492</v>
      </c>
      <c r="AC1221" s="35">
        <v>5301301</v>
      </c>
      <c r="AD1221" s="36" t="s">
        <v>898</v>
      </c>
      <c r="AE1221" s="36">
        <v>100</v>
      </c>
      <c r="AF1221" s="36"/>
      <c r="AG1221" s="79">
        <v>1</v>
      </c>
      <c r="AH1221" s="36">
        <v>1</v>
      </c>
      <c r="AI1221" s="35"/>
      <c r="AJ1221" s="35"/>
    </row>
    <row r="1222" s="31" customFormat="1" hidden="1" customHeight="1" spans="1:38">
      <c r="A1222" s="82">
        <v>5304302</v>
      </c>
      <c r="B1222" s="34"/>
      <c r="C1222" s="31">
        <v>5301301</v>
      </c>
      <c r="D1222" s="79">
        <v>4</v>
      </c>
      <c r="E1222" s="79"/>
      <c r="F1222" s="79" t="s">
        <v>404</v>
      </c>
      <c r="G1222" s="36" t="str">
        <f t="shared" si="278"/>
        <v/>
      </c>
      <c r="H1222" s="36" t="str">
        <f>IFERROR(IF(--MID($F1222,2*COUNTIF($G1222:G1222,"&gt;"&amp;0)+2,1)=H$1,H$1,""),"")</f>
        <v/>
      </c>
      <c r="I1222" s="36" t="str">
        <f>IFERROR(IF(--MID($F1222,2*COUNTIF($G1222:H1222,"&gt;"&amp;0)+2,1)=I$1,I$1,""),"")</f>
        <v/>
      </c>
      <c r="J1222" s="36">
        <f>IFERROR(IF(--MID($F1222,2*COUNTIF($G1222:I1222,"&gt;"&amp;0)+2,1)=J$1,J$1,""),"")</f>
        <v>4</v>
      </c>
      <c r="K1222" s="36" t="str">
        <f>IFERROR(IF(--MID($F1222,2*COUNTIF($G1222:J1222,"&gt;"&amp;0)+2,1)=K$1,K$1,""),"")</f>
        <v/>
      </c>
      <c r="L1222" s="36" t="str">
        <f>IFERROR(IF(--MID($F1222,2*COUNTIF($G1222:K1222,"&gt;"&amp;0)+2,1)=L$1,L$1,""),"")</f>
        <v/>
      </c>
      <c r="M1222" s="36" t="e" cm="1">
        <f t="array" ref="M1222">IF(A1222="","",_xlfn.XLOOKUP(D1222&amp;"_"&amp;AE1222,符文权重!A:A&amp;"_"&amp;符文权重!C:C,符文权重!D:D))</f>
        <v>#N/A</v>
      </c>
      <c r="N1222" s="36"/>
      <c r="O1222" s="36"/>
      <c r="P1222" s="36"/>
      <c r="Q1222" s="36"/>
      <c r="R1222" s="36"/>
      <c r="S1222" s="36" t="s">
        <v>192</v>
      </c>
      <c r="T1222" s="36" t="s">
        <v>202</v>
      </c>
      <c r="U1222" s="36" t="s">
        <v>420</v>
      </c>
      <c r="V1222" s="29" t="s">
        <v>1493</v>
      </c>
      <c r="W1222" s="79"/>
      <c r="X1222" s="35" t="s">
        <v>1485</v>
      </c>
      <c r="Y1222" s="35">
        <v>100</v>
      </c>
      <c r="AA1222" s="36" t="s">
        <v>185</v>
      </c>
      <c r="AB1222" s="79" t="s">
        <v>1494</v>
      </c>
      <c r="AC1222" s="31">
        <v>5301301</v>
      </c>
      <c r="AD1222" s="79" t="s">
        <v>428</v>
      </c>
      <c r="AE1222" s="36">
        <v>100</v>
      </c>
      <c r="AF1222" s="79"/>
      <c r="AG1222" s="79">
        <v>1</v>
      </c>
      <c r="AH1222" s="36">
        <v>1</v>
      </c>
      <c r="AI1222" s="82"/>
      <c r="AJ1222" s="84"/>
      <c r="AL1222" s="35"/>
    </row>
    <row r="1223" s="31" customFormat="1" hidden="1" customHeight="1" spans="1:38">
      <c r="A1223" s="82">
        <v>5305302</v>
      </c>
      <c r="B1223" s="34"/>
      <c r="C1223" s="31">
        <v>5301301</v>
      </c>
      <c r="D1223" s="79">
        <v>5</v>
      </c>
      <c r="E1223" s="79"/>
      <c r="F1223" s="79" t="s">
        <v>404</v>
      </c>
      <c r="G1223" s="36" t="str">
        <f t="shared" si="278"/>
        <v/>
      </c>
      <c r="H1223" s="36" t="str">
        <f>IFERROR(IF(--MID($F1223,2*COUNTIF($G1223:G1223,"&gt;"&amp;0)+2,1)=H$1,H$1,""),"")</f>
        <v/>
      </c>
      <c r="I1223" s="36" t="str">
        <f>IFERROR(IF(--MID($F1223,2*COUNTIF($G1223:H1223,"&gt;"&amp;0)+2,1)=I$1,I$1,""),"")</f>
        <v/>
      </c>
      <c r="J1223" s="36">
        <f>IFERROR(IF(--MID($F1223,2*COUNTIF($G1223:I1223,"&gt;"&amp;0)+2,1)=J$1,J$1,""),"")</f>
        <v>4</v>
      </c>
      <c r="K1223" s="36" t="str">
        <f>IFERROR(IF(--MID($F1223,2*COUNTIF($G1223:J1223,"&gt;"&amp;0)+2,1)=K$1,K$1,""),"")</f>
        <v/>
      </c>
      <c r="L1223" s="36" t="str">
        <f>IFERROR(IF(--MID($F1223,2*COUNTIF($G1223:K1223,"&gt;"&amp;0)+2,1)=L$1,L$1,""),"")</f>
        <v/>
      </c>
      <c r="M1223" s="36" t="e" cm="1">
        <f t="array" ref="M1223">IF(A1223="","",_xlfn.XLOOKUP(D1223&amp;"_"&amp;AE1223,符文权重!A:A&amp;"_"&amp;符文权重!C:C,符文权重!D:D))</f>
        <v>#N/A</v>
      </c>
      <c r="N1223" s="36"/>
      <c r="O1223" s="36"/>
      <c r="P1223" s="36"/>
      <c r="Q1223" s="36"/>
      <c r="R1223" s="36"/>
      <c r="S1223" s="36" t="s">
        <v>192</v>
      </c>
      <c r="T1223" s="36" t="s">
        <v>202</v>
      </c>
      <c r="U1223" s="36" t="s">
        <v>423</v>
      </c>
      <c r="V1223" s="29" t="s">
        <v>1493</v>
      </c>
      <c r="W1223" s="79"/>
      <c r="X1223" s="35" t="s">
        <v>1485</v>
      </c>
      <c r="Y1223" s="35">
        <v>100</v>
      </c>
      <c r="AA1223" s="36" t="s">
        <v>187</v>
      </c>
      <c r="AB1223" s="79" t="s">
        <v>1495</v>
      </c>
      <c r="AC1223" s="31">
        <v>5301301</v>
      </c>
      <c r="AD1223" s="79" t="s">
        <v>487</v>
      </c>
      <c r="AE1223" s="36">
        <v>100</v>
      </c>
      <c r="AF1223" s="79"/>
      <c r="AG1223" s="79">
        <v>1</v>
      </c>
      <c r="AH1223" s="36">
        <v>1</v>
      </c>
      <c r="AI1223" s="82"/>
      <c r="AJ1223" s="84"/>
      <c r="AL1223" s="35"/>
    </row>
    <row r="1224" s="31" customFormat="1" hidden="1" customHeight="1" spans="1:38">
      <c r="A1224" s="82">
        <v>5306302</v>
      </c>
      <c r="B1224" s="34"/>
      <c r="C1224" s="31">
        <v>5301301</v>
      </c>
      <c r="D1224" s="79">
        <v>6</v>
      </c>
      <c r="E1224" s="79"/>
      <c r="F1224" s="79" t="s">
        <v>404</v>
      </c>
      <c r="G1224" s="36" t="str">
        <f t="shared" si="278"/>
        <v/>
      </c>
      <c r="H1224" s="36" t="str">
        <f>IFERROR(IF(--MID($F1224,2*COUNTIF($G1224:G1224,"&gt;"&amp;0)+2,1)=H$1,H$1,""),"")</f>
        <v/>
      </c>
      <c r="I1224" s="36" t="str">
        <f>IFERROR(IF(--MID($F1224,2*COUNTIF($G1224:H1224,"&gt;"&amp;0)+2,1)=I$1,I$1,""),"")</f>
        <v/>
      </c>
      <c r="J1224" s="36">
        <f>IFERROR(IF(--MID($F1224,2*COUNTIF($G1224:I1224,"&gt;"&amp;0)+2,1)=J$1,J$1,""),"")</f>
        <v>4</v>
      </c>
      <c r="K1224" s="36" t="str">
        <f>IFERROR(IF(--MID($F1224,2*COUNTIF($G1224:J1224,"&gt;"&amp;0)+2,1)=K$1,K$1,""),"")</f>
        <v/>
      </c>
      <c r="L1224" s="36" t="str">
        <f>IFERROR(IF(--MID($F1224,2*COUNTIF($G1224:K1224,"&gt;"&amp;0)+2,1)=L$1,L$1,""),"")</f>
        <v/>
      </c>
      <c r="M1224" s="36" t="e" cm="1">
        <f t="array" ref="M1224">IF(A1224="","",_xlfn.XLOOKUP(D1224&amp;"_"&amp;AE1224,符文权重!A:A&amp;"_"&amp;符文权重!C:C,符文权重!D:D))</f>
        <v>#N/A</v>
      </c>
      <c r="N1224" s="36"/>
      <c r="O1224" s="36"/>
      <c r="P1224" s="36"/>
      <c r="Q1224" s="36"/>
      <c r="R1224" s="36"/>
      <c r="S1224" s="36" t="s">
        <v>192</v>
      </c>
      <c r="T1224" s="36" t="s">
        <v>202</v>
      </c>
      <c r="U1224" s="36" t="s">
        <v>426</v>
      </c>
      <c r="V1224" s="29" t="s">
        <v>1496</v>
      </c>
      <c r="W1224" s="79"/>
      <c r="X1224" s="35" t="s">
        <v>1488</v>
      </c>
      <c r="Y1224" s="35">
        <v>100</v>
      </c>
      <c r="AA1224" s="36" t="s">
        <v>189</v>
      </c>
      <c r="AB1224" s="79" t="s">
        <v>1497</v>
      </c>
      <c r="AC1224" s="31">
        <v>5301301</v>
      </c>
      <c r="AD1224" s="79" t="s">
        <v>497</v>
      </c>
      <c r="AE1224" s="36">
        <v>100</v>
      </c>
      <c r="AF1224" s="79"/>
      <c r="AG1224" s="79">
        <v>1</v>
      </c>
      <c r="AH1224" s="36">
        <v>1</v>
      </c>
      <c r="AI1224" s="82"/>
      <c r="AJ1224" s="84"/>
      <c r="AL1224" s="35"/>
    </row>
    <row r="1225" s="31" customFormat="1" hidden="1" customHeight="1" spans="1:38">
      <c r="A1225" s="82">
        <v>5307302</v>
      </c>
      <c r="B1225" s="34"/>
      <c r="C1225" s="31">
        <v>5301301</v>
      </c>
      <c r="D1225" s="79">
        <v>7</v>
      </c>
      <c r="E1225" s="79"/>
      <c r="F1225" s="79" t="s">
        <v>404</v>
      </c>
      <c r="G1225" s="36" t="str">
        <f t="shared" si="278"/>
        <v/>
      </c>
      <c r="H1225" s="36" t="str">
        <f>IFERROR(IF(--MID($F1225,2*COUNTIF($G1225:G1225,"&gt;"&amp;0)+2,1)=H$1,H$1,""),"")</f>
        <v/>
      </c>
      <c r="I1225" s="36" t="str">
        <f>IFERROR(IF(--MID($F1225,2*COUNTIF($G1225:H1225,"&gt;"&amp;0)+2,1)=I$1,I$1,""),"")</f>
        <v/>
      </c>
      <c r="J1225" s="36">
        <f>IFERROR(IF(--MID($F1225,2*COUNTIF($G1225:I1225,"&gt;"&amp;0)+2,1)=J$1,J$1,""),"")</f>
        <v>4</v>
      </c>
      <c r="K1225" s="36" t="str">
        <f>IFERROR(IF(--MID($F1225,2*COUNTIF($G1225:J1225,"&gt;"&amp;0)+2,1)=K$1,K$1,""),"")</f>
        <v/>
      </c>
      <c r="L1225" s="36" t="str">
        <f>IFERROR(IF(--MID($F1225,2*COUNTIF($G1225:K1225,"&gt;"&amp;0)+2,1)=L$1,L$1,""),"")</f>
        <v/>
      </c>
      <c r="M1225" s="36" t="e" cm="1">
        <f t="array" ref="M1225">IF(A1225="","",_xlfn.XLOOKUP(D1225&amp;"_"&amp;AE1225,符文权重!A:A&amp;"_"&amp;符文权重!C:C,符文权重!D:D))</f>
        <v>#N/A</v>
      </c>
      <c r="N1225" s="36"/>
      <c r="O1225" s="36"/>
      <c r="P1225" s="36"/>
      <c r="Q1225" s="36"/>
      <c r="R1225" s="36"/>
      <c r="S1225" s="36" t="s">
        <v>192</v>
      </c>
      <c r="T1225" s="36" t="s">
        <v>202</v>
      </c>
      <c r="U1225" s="36" t="s">
        <v>429</v>
      </c>
      <c r="V1225" s="29" t="s">
        <v>1498</v>
      </c>
      <c r="W1225" s="79"/>
      <c r="X1225" s="35" t="s">
        <v>1491</v>
      </c>
      <c r="Y1225" s="35">
        <v>100</v>
      </c>
      <c r="AA1225" s="36" t="s">
        <v>191</v>
      </c>
      <c r="AB1225" s="79" t="s">
        <v>1499</v>
      </c>
      <c r="AC1225" s="31">
        <v>5301301</v>
      </c>
      <c r="AD1225" s="79" t="s">
        <v>596</v>
      </c>
      <c r="AE1225" s="36">
        <v>100</v>
      </c>
      <c r="AF1225" s="79"/>
      <c r="AG1225" s="79">
        <v>1</v>
      </c>
      <c r="AH1225" s="36">
        <v>1</v>
      </c>
      <c r="AI1225" s="82"/>
      <c r="AJ1225" s="84"/>
      <c r="AL1225" s="35"/>
    </row>
    <row r="1226" s="31" customFormat="1" hidden="1" customHeight="1" spans="1:38">
      <c r="A1226" s="82">
        <v>5305303</v>
      </c>
      <c r="B1226" s="34"/>
      <c r="C1226" s="31">
        <v>5301303</v>
      </c>
      <c r="D1226" s="79">
        <v>5</v>
      </c>
      <c r="E1226" s="79"/>
      <c r="F1226" s="79" t="s">
        <v>220</v>
      </c>
      <c r="G1226" s="36" t="str">
        <f t="shared" si="278"/>
        <v/>
      </c>
      <c r="H1226" s="36" t="str">
        <f>IFERROR(IF(--MID($F1226,2*COUNTIF($G1226:G1226,"&gt;"&amp;0)+2,1)=H$1,H$1,""),"")</f>
        <v/>
      </c>
      <c r="I1226" s="36" t="str">
        <f>IFERROR(IF(--MID($F1226,2*COUNTIF($G1226:H1226,"&gt;"&amp;0)+2,1)=I$1,I$1,""),"")</f>
        <v/>
      </c>
      <c r="J1226" s="36" t="str">
        <f>IFERROR(IF(--MID($F1226,2*COUNTIF($G1226:I1226,"&gt;"&amp;0)+2,1)=J$1,J$1,""),"")</f>
        <v/>
      </c>
      <c r="K1226" s="36" t="str">
        <f>IFERROR(IF(--MID($F1226,2*COUNTIF($G1226:J1226,"&gt;"&amp;0)+2,1)=K$1,K$1,""),"")</f>
        <v/>
      </c>
      <c r="L1226" s="36">
        <f>IFERROR(IF(--MID($F1226,2*COUNTIF($G1226:K1226,"&gt;"&amp;0)+2,1)=L$1,L$1,""),"")</f>
        <v>6</v>
      </c>
      <c r="M1226" s="36" t="e" cm="1">
        <f t="array" ref="M1226">IF(A1226="","",_xlfn.XLOOKUP(D1226&amp;"_"&amp;AE1226,符文权重!A:A&amp;"_"&amp;符文权重!C:C,符文权重!D:D))</f>
        <v>#N/A</v>
      </c>
      <c r="N1226" s="36"/>
      <c r="O1226" s="36"/>
      <c r="P1226" s="36"/>
      <c r="Q1226" s="36"/>
      <c r="R1226" s="36"/>
      <c r="S1226" s="36" t="s">
        <v>192</v>
      </c>
      <c r="T1226" s="36" t="s">
        <v>202</v>
      </c>
      <c r="U1226" s="36" t="s">
        <v>423</v>
      </c>
      <c r="V1226" s="29" t="s">
        <v>1500</v>
      </c>
      <c r="W1226" s="79"/>
      <c r="X1226" s="35" t="s">
        <v>1485</v>
      </c>
      <c r="Y1226" s="35">
        <v>100</v>
      </c>
      <c r="AA1226" s="36" t="s">
        <v>187</v>
      </c>
      <c r="AB1226" s="79" t="s">
        <v>1501</v>
      </c>
      <c r="AC1226" s="31">
        <v>5301303</v>
      </c>
      <c r="AD1226" s="79" t="s">
        <v>1502</v>
      </c>
      <c r="AE1226" s="36">
        <v>100</v>
      </c>
      <c r="AF1226" s="79"/>
      <c r="AG1226" s="79">
        <v>1</v>
      </c>
      <c r="AH1226" s="36">
        <v>1</v>
      </c>
      <c r="AL1226" s="35"/>
    </row>
    <row r="1227" s="31" customFormat="1" hidden="1" customHeight="1" spans="1:38">
      <c r="A1227" s="82">
        <v>5306303</v>
      </c>
      <c r="B1227" s="34"/>
      <c r="C1227" s="31">
        <v>5301303</v>
      </c>
      <c r="D1227" s="79">
        <v>6</v>
      </c>
      <c r="E1227" s="79"/>
      <c r="F1227" s="79" t="s">
        <v>220</v>
      </c>
      <c r="G1227" s="36" t="str">
        <f t="shared" si="278"/>
        <v/>
      </c>
      <c r="H1227" s="36" t="str">
        <f>IFERROR(IF(--MID($F1227,2*COUNTIF($G1227:G1227,"&gt;"&amp;0)+2,1)=H$1,H$1,""),"")</f>
        <v/>
      </c>
      <c r="I1227" s="36" t="str">
        <f>IFERROR(IF(--MID($F1227,2*COUNTIF($G1227:H1227,"&gt;"&amp;0)+2,1)=I$1,I$1,""),"")</f>
        <v/>
      </c>
      <c r="J1227" s="36" t="str">
        <f>IFERROR(IF(--MID($F1227,2*COUNTIF($G1227:I1227,"&gt;"&amp;0)+2,1)=J$1,J$1,""),"")</f>
        <v/>
      </c>
      <c r="K1227" s="36" t="str">
        <f>IFERROR(IF(--MID($F1227,2*COUNTIF($G1227:J1227,"&gt;"&amp;0)+2,1)=K$1,K$1,""),"")</f>
        <v/>
      </c>
      <c r="L1227" s="36">
        <f>IFERROR(IF(--MID($F1227,2*COUNTIF($G1227:K1227,"&gt;"&amp;0)+2,1)=L$1,L$1,""),"")</f>
        <v>6</v>
      </c>
      <c r="M1227" s="36" t="e" cm="1">
        <f t="array" ref="M1227">IF(A1227="","",_xlfn.XLOOKUP(D1227&amp;"_"&amp;AE1227,符文权重!A:A&amp;"_"&amp;符文权重!C:C,符文权重!D:D))</f>
        <v>#N/A</v>
      </c>
      <c r="N1227" s="36"/>
      <c r="O1227" s="36"/>
      <c r="P1227" s="36"/>
      <c r="Q1227" s="36"/>
      <c r="R1227" s="36"/>
      <c r="S1227" s="36" t="s">
        <v>192</v>
      </c>
      <c r="T1227" s="36" t="s">
        <v>202</v>
      </c>
      <c r="U1227" s="36" t="s">
        <v>426</v>
      </c>
      <c r="V1227" s="29" t="s">
        <v>1503</v>
      </c>
      <c r="W1227" s="79"/>
      <c r="X1227" s="35" t="s">
        <v>1488</v>
      </c>
      <c r="Y1227" s="35">
        <v>100</v>
      </c>
      <c r="AA1227" s="36" t="s">
        <v>189</v>
      </c>
      <c r="AB1227" s="79" t="s">
        <v>1504</v>
      </c>
      <c r="AC1227" s="31">
        <v>5301303</v>
      </c>
      <c r="AD1227" s="79" t="s">
        <v>875</v>
      </c>
      <c r="AE1227" s="36">
        <v>100</v>
      </c>
      <c r="AF1227" s="79"/>
      <c r="AG1227" s="79">
        <v>1</v>
      </c>
      <c r="AH1227" s="36">
        <v>1</v>
      </c>
      <c r="AL1227" s="35"/>
    </row>
    <row r="1228" s="31" customFormat="1" hidden="1" customHeight="1" spans="1:38">
      <c r="A1228" s="82">
        <v>5307303</v>
      </c>
      <c r="B1228" s="34"/>
      <c r="C1228" s="31">
        <v>5301303</v>
      </c>
      <c r="D1228" s="79">
        <v>7</v>
      </c>
      <c r="E1228" s="79"/>
      <c r="F1228" s="79" t="s">
        <v>220</v>
      </c>
      <c r="G1228" s="36" t="str">
        <f t="shared" si="278"/>
        <v/>
      </c>
      <c r="H1228" s="36" t="str">
        <f>IFERROR(IF(--MID($F1228,2*COUNTIF($G1228:G1228,"&gt;"&amp;0)+2,1)=H$1,H$1,""),"")</f>
        <v/>
      </c>
      <c r="I1228" s="36" t="str">
        <f>IFERROR(IF(--MID($F1228,2*COUNTIF($G1228:H1228,"&gt;"&amp;0)+2,1)=I$1,I$1,""),"")</f>
        <v/>
      </c>
      <c r="J1228" s="36" t="str">
        <f>IFERROR(IF(--MID($F1228,2*COUNTIF($G1228:I1228,"&gt;"&amp;0)+2,1)=J$1,J$1,""),"")</f>
        <v/>
      </c>
      <c r="K1228" s="36" t="str">
        <f>IFERROR(IF(--MID($F1228,2*COUNTIF($G1228:J1228,"&gt;"&amp;0)+2,1)=K$1,K$1,""),"")</f>
        <v/>
      </c>
      <c r="L1228" s="36">
        <f>IFERROR(IF(--MID($F1228,2*COUNTIF($G1228:K1228,"&gt;"&amp;0)+2,1)=L$1,L$1,""),"")</f>
        <v>6</v>
      </c>
      <c r="M1228" s="36" t="e" cm="1">
        <f t="array" ref="M1228">IF(A1228="","",_xlfn.XLOOKUP(D1228&amp;"_"&amp;AE1228,符文权重!A:A&amp;"_"&amp;符文权重!C:C,符文权重!D:D))</f>
        <v>#N/A</v>
      </c>
      <c r="N1228" s="36"/>
      <c r="O1228" s="36"/>
      <c r="P1228" s="36"/>
      <c r="Q1228" s="36"/>
      <c r="R1228" s="36"/>
      <c r="S1228" s="36" t="s">
        <v>192</v>
      </c>
      <c r="T1228" s="36" t="s">
        <v>202</v>
      </c>
      <c r="U1228" s="36" t="s">
        <v>429</v>
      </c>
      <c r="V1228" s="29" t="s">
        <v>1505</v>
      </c>
      <c r="W1228" s="79"/>
      <c r="X1228" s="35" t="s">
        <v>1491</v>
      </c>
      <c r="Y1228" s="35">
        <v>100</v>
      </c>
      <c r="AA1228" s="36" t="s">
        <v>191</v>
      </c>
      <c r="AB1228" s="79" t="s">
        <v>1506</v>
      </c>
      <c r="AC1228" s="31">
        <v>5301303</v>
      </c>
      <c r="AD1228" s="79" t="s">
        <v>625</v>
      </c>
      <c r="AE1228" s="36">
        <v>100</v>
      </c>
      <c r="AF1228" s="79"/>
      <c r="AG1228" s="79">
        <v>1</v>
      </c>
      <c r="AH1228" s="36">
        <v>1</v>
      </c>
      <c r="AL1228" s="35"/>
    </row>
    <row r="1229" s="31" customFormat="1" hidden="1" customHeight="1" spans="1:38">
      <c r="A1229" s="82">
        <v>5305305</v>
      </c>
      <c r="B1229" s="34"/>
      <c r="C1229" s="31">
        <v>5301305</v>
      </c>
      <c r="D1229" s="79">
        <v>5</v>
      </c>
      <c r="E1229" s="79"/>
      <c r="F1229" s="79" t="s">
        <v>193</v>
      </c>
      <c r="G1229" s="36" t="str">
        <f t="shared" si="278"/>
        <v/>
      </c>
      <c r="H1229" s="36" t="str">
        <f>IFERROR(IF(--MID($F1229,2*COUNTIF($G1229:G1229,"&gt;"&amp;0)+2,1)=H$1,H$1,""),"")</f>
        <v/>
      </c>
      <c r="I1229" s="36">
        <f>IFERROR(IF(--MID($F1229,2*COUNTIF($G1229:H1229,"&gt;"&amp;0)+2,1)=I$1,I$1,""),"")</f>
        <v>3</v>
      </c>
      <c r="J1229" s="36" t="str">
        <f>IFERROR(IF(--MID($F1229,2*COUNTIF($G1229:I1229,"&gt;"&amp;0)+2,1)=J$1,J$1,""),"")</f>
        <v/>
      </c>
      <c r="K1229" s="36" t="str">
        <f>IFERROR(IF(--MID($F1229,2*COUNTIF($G1229:J1229,"&gt;"&amp;0)+2,1)=K$1,K$1,""),"")</f>
        <v/>
      </c>
      <c r="L1229" s="36" t="str">
        <f>IFERROR(IF(--MID($F1229,2*COUNTIF($G1229:K1229,"&gt;"&amp;0)+2,1)=L$1,L$1,""),"")</f>
        <v/>
      </c>
      <c r="M1229" s="36" t="e" cm="1">
        <f t="array" ref="M1229">IF(A1229="","",_xlfn.XLOOKUP(D1229&amp;"_"&amp;AE1229,符文权重!A:A&amp;"_"&amp;符文权重!C:C,符文权重!D:D))</f>
        <v>#N/A</v>
      </c>
      <c r="N1229" s="36"/>
      <c r="O1229" s="36"/>
      <c r="P1229" s="36"/>
      <c r="Q1229" s="36"/>
      <c r="R1229" s="36"/>
      <c r="S1229" s="36" t="s">
        <v>192</v>
      </c>
      <c r="T1229" s="36" t="s">
        <v>202</v>
      </c>
      <c r="U1229" s="36" t="s">
        <v>423</v>
      </c>
      <c r="V1229" s="29" t="s">
        <v>1507</v>
      </c>
      <c r="W1229" s="79"/>
      <c r="X1229" s="35" t="s">
        <v>1485</v>
      </c>
      <c r="Y1229" s="35">
        <v>100</v>
      </c>
      <c r="AA1229" s="36" t="s">
        <v>187</v>
      </c>
      <c r="AB1229" s="31" t="s">
        <v>1508</v>
      </c>
      <c r="AC1229" s="31">
        <v>5301305</v>
      </c>
      <c r="AD1229" s="79" t="s">
        <v>428</v>
      </c>
      <c r="AE1229" s="36">
        <v>100</v>
      </c>
      <c r="AF1229" s="79"/>
      <c r="AG1229" s="79">
        <v>1</v>
      </c>
      <c r="AH1229" s="36">
        <v>1</v>
      </c>
      <c r="AI1229" s="82"/>
      <c r="AJ1229" s="84"/>
      <c r="AL1229" s="35"/>
    </row>
    <row r="1230" s="31" customFormat="1" hidden="1" customHeight="1" spans="1:38">
      <c r="A1230" s="82">
        <v>5306305</v>
      </c>
      <c r="B1230" s="34"/>
      <c r="C1230" s="31">
        <v>5301305</v>
      </c>
      <c r="D1230" s="79">
        <v>6</v>
      </c>
      <c r="E1230" s="79"/>
      <c r="F1230" s="79" t="s">
        <v>193</v>
      </c>
      <c r="G1230" s="36" t="str">
        <f t="shared" si="278"/>
        <v/>
      </c>
      <c r="H1230" s="36" t="str">
        <f>IFERROR(IF(--MID($F1230,2*COUNTIF($G1230:G1230,"&gt;"&amp;0)+2,1)=H$1,H$1,""),"")</f>
        <v/>
      </c>
      <c r="I1230" s="36">
        <f>IFERROR(IF(--MID($F1230,2*COUNTIF($G1230:H1230,"&gt;"&amp;0)+2,1)=I$1,I$1,""),"")</f>
        <v>3</v>
      </c>
      <c r="J1230" s="36" t="str">
        <f>IFERROR(IF(--MID($F1230,2*COUNTIF($G1230:I1230,"&gt;"&amp;0)+2,1)=J$1,J$1,""),"")</f>
        <v/>
      </c>
      <c r="K1230" s="36" t="str">
        <f>IFERROR(IF(--MID($F1230,2*COUNTIF($G1230:J1230,"&gt;"&amp;0)+2,1)=K$1,K$1,""),"")</f>
        <v/>
      </c>
      <c r="L1230" s="36" t="str">
        <f>IFERROR(IF(--MID($F1230,2*COUNTIF($G1230:K1230,"&gt;"&amp;0)+2,1)=L$1,L$1,""),"")</f>
        <v/>
      </c>
      <c r="M1230" s="36" t="e" cm="1">
        <f t="array" ref="M1230">IF(A1230="","",_xlfn.XLOOKUP(D1230&amp;"_"&amp;AE1230,符文权重!A:A&amp;"_"&amp;符文权重!C:C,符文权重!D:D))</f>
        <v>#N/A</v>
      </c>
      <c r="N1230" s="36"/>
      <c r="O1230" s="36"/>
      <c r="P1230" s="36"/>
      <c r="Q1230" s="36"/>
      <c r="R1230" s="36"/>
      <c r="S1230" s="36" t="s">
        <v>192</v>
      </c>
      <c r="T1230" s="36" t="s">
        <v>202</v>
      </c>
      <c r="U1230" s="36" t="s">
        <v>426</v>
      </c>
      <c r="V1230" s="29" t="s">
        <v>1509</v>
      </c>
      <c r="W1230" s="79"/>
      <c r="X1230" s="35" t="s">
        <v>1488</v>
      </c>
      <c r="Y1230" s="35">
        <v>100</v>
      </c>
      <c r="AA1230" s="36" t="s">
        <v>189</v>
      </c>
      <c r="AB1230" s="31" t="s">
        <v>1510</v>
      </c>
      <c r="AC1230" s="31">
        <v>5301305</v>
      </c>
      <c r="AD1230" s="79" t="s">
        <v>1511</v>
      </c>
      <c r="AE1230" s="36">
        <v>100</v>
      </c>
      <c r="AF1230" s="79"/>
      <c r="AG1230" s="79">
        <v>1</v>
      </c>
      <c r="AH1230" s="36">
        <v>1</v>
      </c>
      <c r="AI1230" s="82"/>
      <c r="AJ1230" s="84"/>
      <c r="AL1230" s="35"/>
    </row>
    <row r="1231" s="31" customFormat="1" hidden="1" customHeight="1" spans="1:38">
      <c r="A1231" s="82">
        <v>5307305</v>
      </c>
      <c r="B1231" s="34"/>
      <c r="C1231" s="31">
        <v>5301305</v>
      </c>
      <c r="D1231" s="79">
        <v>7</v>
      </c>
      <c r="E1231" s="79"/>
      <c r="F1231" s="79" t="s">
        <v>193</v>
      </c>
      <c r="G1231" s="36" t="str">
        <f t="shared" si="278"/>
        <v/>
      </c>
      <c r="H1231" s="36" t="str">
        <f>IFERROR(IF(--MID($F1231,2*COUNTIF($G1231:G1231,"&gt;"&amp;0)+2,1)=H$1,H$1,""),"")</f>
        <v/>
      </c>
      <c r="I1231" s="36">
        <f>IFERROR(IF(--MID($F1231,2*COUNTIF($G1231:H1231,"&gt;"&amp;0)+2,1)=I$1,I$1,""),"")</f>
        <v>3</v>
      </c>
      <c r="J1231" s="36" t="str">
        <f>IFERROR(IF(--MID($F1231,2*COUNTIF($G1231:I1231,"&gt;"&amp;0)+2,1)=J$1,J$1,""),"")</f>
        <v/>
      </c>
      <c r="K1231" s="36" t="str">
        <f>IFERROR(IF(--MID($F1231,2*COUNTIF($G1231:J1231,"&gt;"&amp;0)+2,1)=K$1,K$1,""),"")</f>
        <v/>
      </c>
      <c r="L1231" s="36" t="str">
        <f>IFERROR(IF(--MID($F1231,2*COUNTIF($G1231:K1231,"&gt;"&amp;0)+2,1)=L$1,L$1,""),"")</f>
        <v/>
      </c>
      <c r="M1231" s="36" t="e" cm="1">
        <f t="array" ref="M1231">IF(A1231="","",_xlfn.XLOOKUP(D1231&amp;"_"&amp;AE1231,符文权重!A:A&amp;"_"&amp;符文权重!C:C,符文权重!D:D))</f>
        <v>#N/A</v>
      </c>
      <c r="N1231" s="36"/>
      <c r="O1231" s="36"/>
      <c r="P1231" s="36"/>
      <c r="Q1231" s="36"/>
      <c r="R1231" s="36"/>
      <c r="S1231" s="36" t="s">
        <v>192</v>
      </c>
      <c r="T1231" s="36" t="s">
        <v>202</v>
      </c>
      <c r="U1231" s="36" t="s">
        <v>429</v>
      </c>
      <c r="V1231" s="29" t="s">
        <v>1512</v>
      </c>
      <c r="W1231" s="79"/>
      <c r="X1231" s="35" t="s">
        <v>1491</v>
      </c>
      <c r="Y1231" s="35">
        <v>100</v>
      </c>
      <c r="AA1231" s="36" t="s">
        <v>191</v>
      </c>
      <c r="AB1231" s="31" t="s">
        <v>1513</v>
      </c>
      <c r="AC1231" s="31">
        <v>5301305</v>
      </c>
      <c r="AD1231" s="79" t="s">
        <v>1514</v>
      </c>
      <c r="AE1231" s="36">
        <v>100</v>
      </c>
      <c r="AF1231" s="79"/>
      <c r="AG1231" s="79">
        <v>1</v>
      </c>
      <c r="AH1231" s="36">
        <v>1</v>
      </c>
      <c r="AI1231" s="82"/>
      <c r="AJ1231" s="84"/>
      <c r="AL1231" s="35"/>
    </row>
    <row r="1232" hidden="1" customHeight="1" spans="1:38">
      <c r="A1232" s="33">
        <v>5305306</v>
      </c>
      <c r="C1232" s="35">
        <v>5301306</v>
      </c>
      <c r="D1232" s="36">
        <v>5</v>
      </c>
      <c r="E1232" s="36"/>
      <c r="F1232" s="36" t="s">
        <v>230</v>
      </c>
      <c r="G1232" s="36" t="str">
        <f t="shared" si="278"/>
        <v/>
      </c>
      <c r="H1232" s="36" t="str">
        <f>IFERROR(IF(--MID($F1232,2*COUNTIF($G1232:G1232,"&gt;"&amp;0)+2,1)=H$1,H$1,""),"")</f>
        <v/>
      </c>
      <c r="I1232" s="36" t="str">
        <f>IFERROR(IF(--MID($F1232,2*COUNTIF($G1232:H1232,"&gt;"&amp;0)+2,1)=I$1,I$1,""),"")</f>
        <v/>
      </c>
      <c r="J1232" s="36" t="str">
        <f>IFERROR(IF(--MID($F1232,2*COUNTIF($G1232:I1232,"&gt;"&amp;0)+2,1)=J$1,J$1,""),"")</f>
        <v/>
      </c>
      <c r="K1232" s="36">
        <f>IFERROR(IF(--MID($F1232,2*COUNTIF($G1232:J1232,"&gt;"&amp;0)+2,1)=K$1,K$1,""),"")</f>
        <v>5</v>
      </c>
      <c r="L1232" s="36" t="str">
        <f>IFERROR(IF(--MID($F1232,2*COUNTIF($G1232:K1232,"&gt;"&amp;0)+2,1)=L$1,L$1,""),"")</f>
        <v/>
      </c>
      <c r="M1232" s="36" t="e" cm="1">
        <f t="array" ref="M1232">IF(A1232="","",_xlfn.XLOOKUP(D1232&amp;"_"&amp;AE1232,符文权重!A:A&amp;"_"&amp;符文权重!C:C,符文权重!D:D))</f>
        <v>#N/A</v>
      </c>
      <c r="N1232" s="36"/>
      <c r="O1232" s="36"/>
      <c r="P1232" s="36"/>
      <c r="Q1232" s="36"/>
      <c r="R1232" s="36"/>
      <c r="S1232" s="36" t="s">
        <v>192</v>
      </c>
      <c r="T1232" s="36" t="s">
        <v>211</v>
      </c>
      <c r="U1232" s="36" t="s">
        <v>423</v>
      </c>
      <c r="V1232" s="25" t="s">
        <v>1515</v>
      </c>
      <c r="X1232" s="35" t="s">
        <v>1485</v>
      </c>
      <c r="Y1232" s="35">
        <v>100</v>
      </c>
      <c r="AA1232" s="36" t="s">
        <v>187</v>
      </c>
      <c r="AB1232" s="36" t="s">
        <v>1516</v>
      </c>
      <c r="AC1232" s="35">
        <v>5505081</v>
      </c>
      <c r="AD1232" s="36" t="s">
        <v>522</v>
      </c>
      <c r="AE1232" s="36">
        <v>100</v>
      </c>
      <c r="AF1232" s="36"/>
      <c r="AG1232" s="79">
        <v>1</v>
      </c>
      <c r="AH1232" s="36">
        <v>1</v>
      </c>
    </row>
    <row r="1233" hidden="1" customHeight="1" spans="1:38">
      <c r="A1233" s="33">
        <v>5306306</v>
      </c>
      <c r="C1233" s="35">
        <v>5301306</v>
      </c>
      <c r="D1233" s="36">
        <v>6</v>
      </c>
      <c r="E1233" s="36"/>
      <c r="F1233" s="36" t="s">
        <v>230</v>
      </c>
      <c r="G1233" s="36" t="str">
        <f t="shared" si="278"/>
        <v/>
      </c>
      <c r="H1233" s="36" t="str">
        <f>IFERROR(IF(--MID($F1233,2*COUNTIF($G1233:G1233,"&gt;"&amp;0)+2,1)=H$1,H$1,""),"")</f>
        <v/>
      </c>
      <c r="I1233" s="36" t="str">
        <f>IFERROR(IF(--MID($F1233,2*COUNTIF($G1233:H1233,"&gt;"&amp;0)+2,1)=I$1,I$1,""),"")</f>
        <v/>
      </c>
      <c r="J1233" s="36" t="str">
        <f>IFERROR(IF(--MID($F1233,2*COUNTIF($G1233:I1233,"&gt;"&amp;0)+2,1)=J$1,J$1,""),"")</f>
        <v/>
      </c>
      <c r="K1233" s="36">
        <f>IFERROR(IF(--MID($F1233,2*COUNTIF($G1233:J1233,"&gt;"&amp;0)+2,1)=K$1,K$1,""),"")</f>
        <v>5</v>
      </c>
      <c r="L1233" s="36" t="str">
        <f>IFERROR(IF(--MID($F1233,2*COUNTIF($G1233:K1233,"&gt;"&amp;0)+2,1)=L$1,L$1,""),"")</f>
        <v/>
      </c>
      <c r="M1233" s="36" t="e" cm="1">
        <f t="array" ref="M1233">IF(A1233="","",_xlfn.XLOOKUP(D1233&amp;"_"&amp;AE1233,符文权重!A:A&amp;"_"&amp;符文权重!C:C,符文权重!D:D))</f>
        <v>#N/A</v>
      </c>
      <c r="N1233" s="36"/>
      <c r="O1233" s="36"/>
      <c r="P1233" s="36"/>
      <c r="Q1233" s="36"/>
      <c r="R1233" s="36"/>
      <c r="S1233" s="36" t="s">
        <v>192</v>
      </c>
      <c r="T1233" s="36" t="s">
        <v>211</v>
      </c>
      <c r="U1233" s="36" t="s">
        <v>426</v>
      </c>
      <c r="V1233" s="25" t="s">
        <v>1517</v>
      </c>
      <c r="X1233" s="35" t="s">
        <v>1488</v>
      </c>
      <c r="Y1233" s="35">
        <v>100</v>
      </c>
      <c r="AA1233" s="36" t="s">
        <v>189</v>
      </c>
      <c r="AB1233" s="36" t="s">
        <v>1518</v>
      </c>
      <c r="AC1233" s="35">
        <v>5505081</v>
      </c>
      <c r="AD1233" s="36" t="s">
        <v>524</v>
      </c>
      <c r="AE1233" s="36">
        <v>100</v>
      </c>
      <c r="AF1233" s="36"/>
      <c r="AG1233" s="79">
        <v>1</v>
      </c>
      <c r="AH1233" s="36">
        <v>1</v>
      </c>
    </row>
    <row r="1234" hidden="1" customHeight="1" spans="1:38">
      <c r="A1234" s="33">
        <v>5307306</v>
      </c>
      <c r="C1234" s="35">
        <v>5301306</v>
      </c>
      <c r="D1234" s="36">
        <v>7</v>
      </c>
      <c r="E1234" s="36"/>
      <c r="F1234" s="36" t="s">
        <v>230</v>
      </c>
      <c r="G1234" s="36" t="str">
        <f t="shared" si="278"/>
        <v/>
      </c>
      <c r="H1234" s="36" t="str">
        <f>IFERROR(IF(--MID($F1234,2*COUNTIF($G1234:G1234,"&gt;"&amp;0)+2,1)=H$1,H$1,""),"")</f>
        <v/>
      </c>
      <c r="I1234" s="36" t="str">
        <f>IFERROR(IF(--MID($F1234,2*COUNTIF($G1234:H1234,"&gt;"&amp;0)+2,1)=I$1,I$1,""),"")</f>
        <v/>
      </c>
      <c r="J1234" s="36" t="str">
        <f>IFERROR(IF(--MID($F1234,2*COUNTIF($G1234:I1234,"&gt;"&amp;0)+2,1)=J$1,J$1,""),"")</f>
        <v/>
      </c>
      <c r="K1234" s="36">
        <f>IFERROR(IF(--MID($F1234,2*COUNTIF($G1234:J1234,"&gt;"&amp;0)+2,1)=K$1,K$1,""),"")</f>
        <v>5</v>
      </c>
      <c r="L1234" s="36" t="str">
        <f>IFERROR(IF(--MID($F1234,2*COUNTIF($G1234:K1234,"&gt;"&amp;0)+2,1)=L$1,L$1,""),"")</f>
        <v/>
      </c>
      <c r="M1234" s="36" t="e" cm="1">
        <f t="array" ref="M1234">IF(A1234="","",_xlfn.XLOOKUP(D1234&amp;"_"&amp;AE1234,符文权重!A:A&amp;"_"&amp;符文权重!C:C,符文权重!D:D))</f>
        <v>#N/A</v>
      </c>
      <c r="N1234" s="36"/>
      <c r="O1234" s="36"/>
      <c r="P1234" s="36"/>
      <c r="Q1234" s="36"/>
      <c r="R1234" s="36"/>
      <c r="S1234" s="36" t="s">
        <v>192</v>
      </c>
      <c r="T1234" s="36" t="s">
        <v>211</v>
      </c>
      <c r="U1234" s="36" t="s">
        <v>429</v>
      </c>
      <c r="V1234" s="25" t="s">
        <v>1519</v>
      </c>
      <c r="X1234" s="35" t="s">
        <v>1491</v>
      </c>
      <c r="Y1234" s="35">
        <v>100</v>
      </c>
      <c r="AA1234" s="36" t="s">
        <v>191</v>
      </c>
      <c r="AB1234" s="36" t="s">
        <v>1520</v>
      </c>
      <c r="AC1234" s="35">
        <v>5505081</v>
      </c>
      <c r="AD1234" s="36" t="s">
        <v>526</v>
      </c>
      <c r="AE1234" s="36">
        <v>100</v>
      </c>
      <c r="AF1234" s="36"/>
      <c r="AG1234" s="79">
        <v>1</v>
      </c>
      <c r="AH1234" s="36">
        <v>1</v>
      </c>
    </row>
    <row r="1235" s="31" customFormat="1" hidden="1" customHeight="1" spans="1:38">
      <c r="A1235" s="82">
        <v>5305307</v>
      </c>
      <c r="B1235" s="34"/>
      <c r="C1235" s="31">
        <v>5301307</v>
      </c>
      <c r="D1235" s="79">
        <v>5</v>
      </c>
      <c r="E1235" s="79"/>
      <c r="F1235" s="79" t="s">
        <v>404</v>
      </c>
      <c r="G1235" s="36" t="str">
        <f t="shared" si="278"/>
        <v/>
      </c>
      <c r="H1235" s="36" t="str">
        <f>IFERROR(IF(--MID($F1235,2*COUNTIF($G1235:G1235,"&gt;"&amp;0)+2,1)=H$1,H$1,""),"")</f>
        <v/>
      </c>
      <c r="I1235" s="36" t="str">
        <f>IFERROR(IF(--MID($F1235,2*COUNTIF($G1235:H1235,"&gt;"&amp;0)+2,1)=I$1,I$1,""),"")</f>
        <v/>
      </c>
      <c r="J1235" s="36">
        <f>IFERROR(IF(--MID($F1235,2*COUNTIF($G1235:I1235,"&gt;"&amp;0)+2,1)=J$1,J$1,""),"")</f>
        <v>4</v>
      </c>
      <c r="K1235" s="36" t="str">
        <f>IFERROR(IF(--MID($F1235,2*COUNTIF($G1235:J1235,"&gt;"&amp;0)+2,1)=K$1,K$1,""),"")</f>
        <v/>
      </c>
      <c r="L1235" s="36" t="str">
        <f>IFERROR(IF(--MID($F1235,2*COUNTIF($G1235:K1235,"&gt;"&amp;0)+2,1)=L$1,L$1,""),"")</f>
        <v/>
      </c>
      <c r="M1235" s="36" t="e" cm="1">
        <f t="array" ref="M1235">IF(A1235="","",_xlfn.XLOOKUP(D1235&amp;"_"&amp;AE1235,符文权重!A:A&amp;"_"&amp;符文权重!C:C,符文权重!D:D))</f>
        <v>#N/A</v>
      </c>
      <c r="N1235" s="36"/>
      <c r="O1235" s="36"/>
      <c r="P1235" s="36"/>
      <c r="Q1235" s="36"/>
      <c r="R1235" s="36"/>
      <c r="S1235" s="36" t="s">
        <v>192</v>
      </c>
      <c r="T1235" s="36" t="s">
        <v>211</v>
      </c>
      <c r="U1235" s="36" t="s">
        <v>423</v>
      </c>
      <c r="V1235" s="29" t="s">
        <v>1521</v>
      </c>
      <c r="W1235" s="79"/>
      <c r="X1235" s="35" t="s">
        <v>1485</v>
      </c>
      <c r="Y1235" s="35">
        <v>100</v>
      </c>
      <c r="AA1235" s="36" t="s">
        <v>187</v>
      </c>
      <c r="AB1235" s="79" t="s">
        <v>1522</v>
      </c>
      <c r="AC1235" s="31">
        <v>5505091</v>
      </c>
      <c r="AD1235" s="79" t="s">
        <v>431</v>
      </c>
      <c r="AE1235" s="36">
        <v>100</v>
      </c>
      <c r="AF1235" s="79"/>
      <c r="AG1235" s="79">
        <v>1</v>
      </c>
      <c r="AH1235" s="36">
        <v>1</v>
      </c>
      <c r="AI1235" s="82"/>
      <c r="AJ1235" s="84"/>
      <c r="AL1235" s="35"/>
    </row>
    <row r="1236" s="31" customFormat="1" hidden="1" customHeight="1" spans="1:38">
      <c r="A1236" s="82">
        <v>5306307</v>
      </c>
      <c r="B1236" s="34"/>
      <c r="C1236" s="31">
        <v>5301307</v>
      </c>
      <c r="D1236" s="79">
        <v>6</v>
      </c>
      <c r="E1236" s="79"/>
      <c r="F1236" s="79" t="s">
        <v>404</v>
      </c>
      <c r="G1236" s="36" t="str">
        <f t="shared" si="278"/>
        <v/>
      </c>
      <c r="H1236" s="36" t="str">
        <f>IFERROR(IF(--MID($F1236,2*COUNTIF($G1236:G1236,"&gt;"&amp;0)+2,1)=H$1,H$1,""),"")</f>
        <v/>
      </c>
      <c r="I1236" s="36" t="str">
        <f>IFERROR(IF(--MID($F1236,2*COUNTIF($G1236:H1236,"&gt;"&amp;0)+2,1)=I$1,I$1,""),"")</f>
        <v/>
      </c>
      <c r="J1236" s="36">
        <f>IFERROR(IF(--MID($F1236,2*COUNTIF($G1236:I1236,"&gt;"&amp;0)+2,1)=J$1,J$1,""),"")</f>
        <v>4</v>
      </c>
      <c r="K1236" s="36" t="str">
        <f>IFERROR(IF(--MID($F1236,2*COUNTIF($G1236:J1236,"&gt;"&amp;0)+2,1)=K$1,K$1,""),"")</f>
        <v/>
      </c>
      <c r="L1236" s="36" t="str">
        <f>IFERROR(IF(--MID($F1236,2*COUNTIF($G1236:K1236,"&gt;"&amp;0)+2,1)=L$1,L$1,""),"")</f>
        <v/>
      </c>
      <c r="M1236" s="36" t="e" cm="1">
        <f t="array" ref="M1236">IF(A1236="","",_xlfn.XLOOKUP(D1236&amp;"_"&amp;AE1236,符文权重!A:A&amp;"_"&amp;符文权重!C:C,符文权重!D:D))</f>
        <v>#N/A</v>
      </c>
      <c r="N1236" s="36"/>
      <c r="O1236" s="36"/>
      <c r="P1236" s="36"/>
      <c r="Q1236" s="36"/>
      <c r="R1236" s="36"/>
      <c r="S1236" s="36" t="s">
        <v>192</v>
      </c>
      <c r="T1236" s="36" t="s">
        <v>211</v>
      </c>
      <c r="U1236" s="36" t="s">
        <v>426</v>
      </c>
      <c r="V1236" s="29" t="s">
        <v>1523</v>
      </c>
      <c r="W1236" s="79"/>
      <c r="X1236" s="35" t="s">
        <v>1488</v>
      </c>
      <c r="Y1236" s="35">
        <v>100</v>
      </c>
      <c r="AA1236" s="36" t="s">
        <v>189</v>
      </c>
      <c r="AB1236" s="79" t="s">
        <v>1524</v>
      </c>
      <c r="AC1236" s="31">
        <v>5505091</v>
      </c>
      <c r="AD1236" s="79" t="s">
        <v>447</v>
      </c>
      <c r="AE1236" s="36">
        <v>100</v>
      </c>
      <c r="AF1236" s="79"/>
      <c r="AG1236" s="79">
        <v>1</v>
      </c>
      <c r="AH1236" s="36">
        <v>1</v>
      </c>
      <c r="AI1236" s="82"/>
      <c r="AJ1236" s="84"/>
      <c r="AL1236" s="35"/>
    </row>
    <row r="1237" s="31" customFormat="1" hidden="1" customHeight="1" spans="1:38">
      <c r="A1237" s="82">
        <v>5307307</v>
      </c>
      <c r="B1237" s="34"/>
      <c r="C1237" s="31">
        <v>5301307</v>
      </c>
      <c r="D1237" s="79">
        <v>7</v>
      </c>
      <c r="E1237" s="79"/>
      <c r="F1237" s="79" t="s">
        <v>404</v>
      </c>
      <c r="G1237" s="36" t="str">
        <f t="shared" si="278"/>
        <v/>
      </c>
      <c r="H1237" s="36" t="str">
        <f>IFERROR(IF(--MID($F1237,2*COUNTIF($G1237:G1237,"&gt;"&amp;0)+2,1)=H$1,H$1,""),"")</f>
        <v/>
      </c>
      <c r="I1237" s="36" t="str">
        <f>IFERROR(IF(--MID($F1237,2*COUNTIF($G1237:H1237,"&gt;"&amp;0)+2,1)=I$1,I$1,""),"")</f>
        <v/>
      </c>
      <c r="J1237" s="36">
        <f>IFERROR(IF(--MID($F1237,2*COUNTIF($G1237:I1237,"&gt;"&amp;0)+2,1)=J$1,J$1,""),"")</f>
        <v>4</v>
      </c>
      <c r="K1237" s="36" t="str">
        <f>IFERROR(IF(--MID($F1237,2*COUNTIF($G1237:J1237,"&gt;"&amp;0)+2,1)=K$1,K$1,""),"")</f>
        <v/>
      </c>
      <c r="L1237" s="36" t="str">
        <f>IFERROR(IF(--MID($F1237,2*COUNTIF($G1237:K1237,"&gt;"&amp;0)+2,1)=L$1,L$1,""),"")</f>
        <v/>
      </c>
      <c r="M1237" s="36" t="e" cm="1">
        <f t="array" ref="M1237">IF(A1237="","",_xlfn.XLOOKUP(D1237&amp;"_"&amp;AE1237,符文权重!A:A&amp;"_"&amp;符文权重!C:C,符文权重!D:D))</f>
        <v>#N/A</v>
      </c>
      <c r="N1237" s="36"/>
      <c r="O1237" s="36"/>
      <c r="P1237" s="36"/>
      <c r="Q1237" s="36"/>
      <c r="R1237" s="36"/>
      <c r="S1237" s="36" t="s">
        <v>192</v>
      </c>
      <c r="T1237" s="36" t="s">
        <v>211</v>
      </c>
      <c r="U1237" s="36" t="s">
        <v>429</v>
      </c>
      <c r="V1237" s="29" t="s">
        <v>1525</v>
      </c>
      <c r="W1237" s="79"/>
      <c r="X1237" s="35" t="s">
        <v>1491</v>
      </c>
      <c r="Y1237" s="35">
        <v>100</v>
      </c>
      <c r="AA1237" s="36" t="s">
        <v>191</v>
      </c>
      <c r="AB1237" s="79" t="s">
        <v>1526</v>
      </c>
      <c r="AC1237" s="31">
        <v>5505091</v>
      </c>
      <c r="AD1237" s="79" t="s">
        <v>497</v>
      </c>
      <c r="AE1237" s="36">
        <v>100</v>
      </c>
      <c r="AF1237" s="79"/>
      <c r="AG1237" s="79">
        <v>1</v>
      </c>
      <c r="AH1237" s="36">
        <v>1</v>
      </c>
      <c r="AI1237" s="82"/>
      <c r="AJ1237" s="84"/>
      <c r="AL1237" s="35"/>
    </row>
    <row r="1238" s="31" customFormat="1" hidden="1" customHeight="1" spans="1:38">
      <c r="A1238" s="82">
        <v>5305308</v>
      </c>
      <c r="B1238" s="34"/>
      <c r="C1238" s="31">
        <v>5301308</v>
      </c>
      <c r="D1238" s="79">
        <v>5</v>
      </c>
      <c r="E1238" s="79"/>
      <c r="F1238" s="79" t="s">
        <v>220</v>
      </c>
      <c r="G1238" s="36" t="str">
        <f t="shared" si="278"/>
        <v/>
      </c>
      <c r="H1238" s="36" t="str">
        <f>IFERROR(IF(--MID($F1238,2*COUNTIF($G1238:G1238,"&gt;"&amp;0)+2,1)=H$1,H$1,""),"")</f>
        <v/>
      </c>
      <c r="I1238" s="36" t="str">
        <f>IFERROR(IF(--MID($F1238,2*COUNTIF($G1238:H1238,"&gt;"&amp;0)+2,1)=I$1,I$1,""),"")</f>
        <v/>
      </c>
      <c r="J1238" s="36" t="str">
        <f>IFERROR(IF(--MID($F1238,2*COUNTIF($G1238:I1238,"&gt;"&amp;0)+2,1)=J$1,J$1,""),"")</f>
        <v/>
      </c>
      <c r="K1238" s="36" t="str">
        <f>IFERROR(IF(--MID($F1238,2*COUNTIF($G1238:J1238,"&gt;"&amp;0)+2,1)=K$1,K$1,""),"")</f>
        <v/>
      </c>
      <c r="L1238" s="36">
        <f>IFERROR(IF(--MID($F1238,2*COUNTIF($G1238:K1238,"&gt;"&amp;0)+2,1)=L$1,L$1,""),"")</f>
        <v>6</v>
      </c>
      <c r="M1238" s="36" t="e" cm="1">
        <f t="array" ref="M1238">IF(A1238="","",_xlfn.XLOOKUP(D1238&amp;"_"&amp;AE1238,符文权重!A:A&amp;"_"&amp;符文权重!C:C,符文权重!D:D))</f>
        <v>#N/A</v>
      </c>
      <c r="N1238" s="36"/>
      <c r="O1238" s="36"/>
      <c r="P1238" s="36"/>
      <c r="Q1238" s="36"/>
      <c r="R1238" s="36"/>
      <c r="S1238" s="36" t="s">
        <v>192</v>
      </c>
      <c r="T1238" s="36" t="s">
        <v>220</v>
      </c>
      <c r="U1238" s="36" t="s">
        <v>423</v>
      </c>
      <c r="V1238" s="29" t="s">
        <v>1527</v>
      </c>
      <c r="W1238" s="79"/>
      <c r="X1238" s="35" t="s">
        <v>1485</v>
      </c>
      <c r="Y1238" s="35">
        <v>100</v>
      </c>
      <c r="AA1238" s="36" t="s">
        <v>187</v>
      </c>
      <c r="AB1238" s="79" t="s">
        <v>1528</v>
      </c>
      <c r="AC1238" s="31">
        <v>5301308</v>
      </c>
      <c r="AD1238" s="79" t="s">
        <v>649</v>
      </c>
      <c r="AE1238" s="36">
        <v>100</v>
      </c>
      <c r="AF1238" s="79"/>
      <c r="AG1238" s="79">
        <v>1</v>
      </c>
      <c r="AH1238" s="36">
        <v>1</v>
      </c>
      <c r="AI1238" s="82"/>
      <c r="AJ1238" s="84"/>
      <c r="AL1238" s="35"/>
    </row>
    <row r="1239" s="31" customFormat="1" hidden="1" customHeight="1" spans="1:38">
      <c r="A1239" s="82">
        <v>5306308</v>
      </c>
      <c r="B1239" s="34"/>
      <c r="C1239" s="31">
        <v>5301308</v>
      </c>
      <c r="D1239" s="79">
        <v>6</v>
      </c>
      <c r="E1239" s="79"/>
      <c r="F1239" s="79" t="s">
        <v>220</v>
      </c>
      <c r="G1239" s="36" t="str">
        <f t="shared" si="278"/>
        <v/>
      </c>
      <c r="H1239" s="36" t="str">
        <f>IFERROR(IF(--MID($F1239,2*COUNTIF($G1239:G1239,"&gt;"&amp;0)+2,1)=H$1,H$1,""),"")</f>
        <v/>
      </c>
      <c r="I1239" s="36" t="str">
        <f>IFERROR(IF(--MID($F1239,2*COUNTIF($G1239:H1239,"&gt;"&amp;0)+2,1)=I$1,I$1,""),"")</f>
        <v/>
      </c>
      <c r="J1239" s="36" t="str">
        <f>IFERROR(IF(--MID($F1239,2*COUNTIF($G1239:I1239,"&gt;"&amp;0)+2,1)=J$1,J$1,""),"")</f>
        <v/>
      </c>
      <c r="K1239" s="36" t="str">
        <f>IFERROR(IF(--MID($F1239,2*COUNTIF($G1239:J1239,"&gt;"&amp;0)+2,1)=K$1,K$1,""),"")</f>
        <v/>
      </c>
      <c r="L1239" s="36">
        <f>IFERROR(IF(--MID($F1239,2*COUNTIF($G1239:K1239,"&gt;"&amp;0)+2,1)=L$1,L$1,""),"")</f>
        <v>6</v>
      </c>
      <c r="M1239" s="36" t="e" cm="1">
        <f t="array" ref="M1239">IF(A1239="","",_xlfn.XLOOKUP(D1239&amp;"_"&amp;AE1239,符文权重!A:A&amp;"_"&amp;符文权重!C:C,符文权重!D:D))</f>
        <v>#N/A</v>
      </c>
      <c r="N1239" s="36"/>
      <c r="O1239" s="36"/>
      <c r="P1239" s="36"/>
      <c r="Q1239" s="36"/>
      <c r="R1239" s="36"/>
      <c r="S1239" s="36" t="s">
        <v>192</v>
      </c>
      <c r="T1239" s="36" t="s">
        <v>220</v>
      </c>
      <c r="U1239" s="36" t="s">
        <v>426</v>
      </c>
      <c r="V1239" s="29" t="s">
        <v>1529</v>
      </c>
      <c r="W1239" s="79"/>
      <c r="X1239" s="35" t="s">
        <v>1488</v>
      </c>
      <c r="Y1239" s="35">
        <v>100</v>
      </c>
      <c r="AA1239" s="36" t="s">
        <v>189</v>
      </c>
      <c r="AB1239" s="79" t="s">
        <v>1530</v>
      </c>
      <c r="AC1239" s="31">
        <v>53013081</v>
      </c>
      <c r="AD1239" s="79" t="s">
        <v>660</v>
      </c>
      <c r="AE1239" s="36">
        <v>100</v>
      </c>
      <c r="AF1239" s="79"/>
      <c r="AG1239" s="79">
        <v>1</v>
      </c>
      <c r="AH1239" s="36">
        <v>1</v>
      </c>
      <c r="AI1239" s="82"/>
      <c r="AJ1239" s="84"/>
      <c r="AL1239" s="35"/>
    </row>
    <row r="1240" s="31" customFormat="1" hidden="1" customHeight="1" spans="1:38">
      <c r="A1240" s="82">
        <v>5307308</v>
      </c>
      <c r="B1240" s="34"/>
      <c r="C1240" s="31">
        <v>5301308</v>
      </c>
      <c r="D1240" s="79">
        <v>7</v>
      </c>
      <c r="E1240" s="79"/>
      <c r="F1240" s="79" t="s">
        <v>220</v>
      </c>
      <c r="G1240" s="36" t="str">
        <f t="shared" si="278"/>
        <v/>
      </c>
      <c r="H1240" s="36" t="str">
        <f>IFERROR(IF(--MID($F1240,2*COUNTIF($G1240:G1240,"&gt;"&amp;0)+2,1)=H$1,H$1,""),"")</f>
        <v/>
      </c>
      <c r="I1240" s="36" t="str">
        <f>IFERROR(IF(--MID($F1240,2*COUNTIF($G1240:H1240,"&gt;"&amp;0)+2,1)=I$1,I$1,""),"")</f>
        <v/>
      </c>
      <c r="J1240" s="36" t="str">
        <f>IFERROR(IF(--MID($F1240,2*COUNTIF($G1240:I1240,"&gt;"&amp;0)+2,1)=J$1,J$1,""),"")</f>
        <v/>
      </c>
      <c r="K1240" s="36" t="str">
        <f>IFERROR(IF(--MID($F1240,2*COUNTIF($G1240:J1240,"&gt;"&amp;0)+2,1)=K$1,K$1,""),"")</f>
        <v/>
      </c>
      <c r="L1240" s="36">
        <f>IFERROR(IF(--MID($F1240,2*COUNTIF($G1240:K1240,"&gt;"&amp;0)+2,1)=L$1,L$1,""),"")</f>
        <v>6</v>
      </c>
      <c r="M1240" s="36" t="e" cm="1">
        <f t="array" ref="M1240">IF(A1240="","",_xlfn.XLOOKUP(D1240&amp;"_"&amp;AE1240,符文权重!A:A&amp;"_"&amp;符文权重!C:C,符文权重!D:D))</f>
        <v>#N/A</v>
      </c>
      <c r="N1240" s="36"/>
      <c r="O1240" s="36"/>
      <c r="P1240" s="36"/>
      <c r="Q1240" s="36"/>
      <c r="R1240" s="36"/>
      <c r="S1240" s="36" t="s">
        <v>192</v>
      </c>
      <c r="T1240" s="36" t="s">
        <v>220</v>
      </c>
      <c r="U1240" s="36" t="s">
        <v>429</v>
      </c>
      <c r="V1240" s="29" t="s">
        <v>1531</v>
      </c>
      <c r="W1240" s="79"/>
      <c r="X1240" s="35" t="s">
        <v>1491</v>
      </c>
      <c r="Y1240" s="35">
        <v>100</v>
      </c>
      <c r="AA1240" s="36" t="s">
        <v>191</v>
      </c>
      <c r="AB1240" s="79" t="s">
        <v>1532</v>
      </c>
      <c r="AC1240" s="31">
        <v>53013082</v>
      </c>
      <c r="AD1240" s="79" t="s">
        <v>667</v>
      </c>
      <c r="AE1240" s="36">
        <v>100</v>
      </c>
      <c r="AF1240" s="79"/>
      <c r="AG1240" s="79">
        <v>1</v>
      </c>
      <c r="AH1240" s="36">
        <v>1</v>
      </c>
      <c r="AI1240" s="82"/>
      <c r="AJ1240" s="84"/>
      <c r="AL1240" s="35"/>
    </row>
    <row r="1241" s="31" customFormat="1" hidden="1" customHeight="1" spans="1:38">
      <c r="A1241" s="82">
        <v>5305309</v>
      </c>
      <c r="B1241" s="34"/>
      <c r="C1241" s="31">
        <v>5301310</v>
      </c>
      <c r="D1241" s="79">
        <v>5</v>
      </c>
      <c r="E1241" s="79"/>
      <c r="F1241" s="79" t="s">
        <v>404</v>
      </c>
      <c r="G1241" s="36" t="str">
        <f t="shared" si="278"/>
        <v/>
      </c>
      <c r="H1241" s="36" t="str">
        <f>IFERROR(IF(--MID($F1241,2*COUNTIF($G1241:G1241,"&gt;"&amp;0)+2,1)=H$1,H$1,""),"")</f>
        <v/>
      </c>
      <c r="I1241" s="36" t="str">
        <f>IFERROR(IF(--MID($F1241,2*COUNTIF($G1241:H1241,"&gt;"&amp;0)+2,1)=I$1,I$1,""),"")</f>
        <v/>
      </c>
      <c r="J1241" s="36">
        <f>IFERROR(IF(--MID($F1241,2*COUNTIF($G1241:I1241,"&gt;"&amp;0)+2,1)=J$1,J$1,""),"")</f>
        <v>4</v>
      </c>
      <c r="K1241" s="36" t="str">
        <f>IFERROR(IF(--MID($F1241,2*COUNTIF($G1241:J1241,"&gt;"&amp;0)+2,1)=K$1,K$1,""),"")</f>
        <v/>
      </c>
      <c r="L1241" s="36" t="str">
        <f>IFERROR(IF(--MID($F1241,2*COUNTIF($G1241:K1241,"&gt;"&amp;0)+2,1)=L$1,L$1,""),"")</f>
        <v/>
      </c>
      <c r="M1241" s="36" t="e" cm="1">
        <f t="array" ref="M1241">IF(A1241="","",_xlfn.XLOOKUP(D1241&amp;"_"&amp;AE1241,符文权重!A:A&amp;"_"&amp;符文权重!C:C,符文权重!D:D))</f>
        <v>#N/A</v>
      </c>
      <c r="N1241" s="36"/>
      <c r="O1241" s="36"/>
      <c r="P1241" s="36"/>
      <c r="Q1241" s="36"/>
      <c r="R1241" s="36"/>
      <c r="S1241" s="36" t="s">
        <v>192</v>
      </c>
      <c r="T1241" s="36" t="s">
        <v>220</v>
      </c>
      <c r="U1241" s="36" t="s">
        <v>423</v>
      </c>
      <c r="V1241" s="29" t="s">
        <v>1533</v>
      </c>
      <c r="W1241" s="79"/>
      <c r="X1241" s="35" t="s">
        <v>1485</v>
      </c>
      <c r="Y1241" s="35">
        <v>100</v>
      </c>
      <c r="AA1241" s="36" t="s">
        <v>187</v>
      </c>
      <c r="AB1241" s="79" t="s">
        <v>1534</v>
      </c>
      <c r="AC1241" s="31">
        <v>5301310</v>
      </c>
      <c r="AD1241" s="79" t="s">
        <v>476</v>
      </c>
      <c r="AE1241" s="36">
        <v>100</v>
      </c>
      <c r="AF1241" s="79"/>
      <c r="AG1241" s="79">
        <v>1</v>
      </c>
      <c r="AH1241" s="36">
        <v>1</v>
      </c>
      <c r="AI1241" s="82"/>
      <c r="AJ1241" s="84"/>
      <c r="AL1241" s="35"/>
    </row>
    <row r="1242" s="31" customFormat="1" hidden="1" customHeight="1" spans="1:38">
      <c r="A1242" s="82">
        <v>5306309</v>
      </c>
      <c r="B1242" s="34"/>
      <c r="C1242" s="31">
        <v>5301310</v>
      </c>
      <c r="D1242" s="79">
        <v>6</v>
      </c>
      <c r="E1242" s="79"/>
      <c r="F1242" s="79" t="s">
        <v>404</v>
      </c>
      <c r="G1242" s="36" t="str">
        <f t="shared" si="278"/>
        <v/>
      </c>
      <c r="H1242" s="36" t="str">
        <f>IFERROR(IF(--MID($F1242,2*COUNTIF($G1242:G1242,"&gt;"&amp;0)+2,1)=H$1,H$1,""),"")</f>
        <v/>
      </c>
      <c r="I1242" s="36" t="str">
        <f>IFERROR(IF(--MID($F1242,2*COUNTIF($G1242:H1242,"&gt;"&amp;0)+2,1)=I$1,I$1,""),"")</f>
        <v/>
      </c>
      <c r="J1242" s="36">
        <f>IFERROR(IF(--MID($F1242,2*COUNTIF($G1242:I1242,"&gt;"&amp;0)+2,1)=J$1,J$1,""),"")</f>
        <v>4</v>
      </c>
      <c r="K1242" s="36" t="str">
        <f>IFERROR(IF(--MID($F1242,2*COUNTIF($G1242:J1242,"&gt;"&amp;0)+2,1)=K$1,K$1,""),"")</f>
        <v/>
      </c>
      <c r="L1242" s="36" t="str">
        <f>IFERROR(IF(--MID($F1242,2*COUNTIF($G1242:K1242,"&gt;"&amp;0)+2,1)=L$1,L$1,""),"")</f>
        <v/>
      </c>
      <c r="M1242" s="36" t="e" cm="1">
        <f t="array" ref="M1242">IF(A1242="","",_xlfn.XLOOKUP(D1242&amp;"_"&amp;AE1242,符文权重!A:A&amp;"_"&amp;符文权重!C:C,符文权重!D:D))</f>
        <v>#N/A</v>
      </c>
      <c r="N1242" s="36"/>
      <c r="O1242" s="36"/>
      <c r="P1242" s="36"/>
      <c r="Q1242" s="36"/>
      <c r="R1242" s="36"/>
      <c r="S1242" s="36" t="s">
        <v>192</v>
      </c>
      <c r="T1242" s="36" t="s">
        <v>220</v>
      </c>
      <c r="U1242" s="36" t="s">
        <v>426</v>
      </c>
      <c r="V1242" s="29" t="s">
        <v>1535</v>
      </c>
      <c r="W1242" s="79"/>
      <c r="X1242" s="35" t="s">
        <v>1488</v>
      </c>
      <c r="Y1242" s="35">
        <v>100</v>
      </c>
      <c r="AA1242" s="36" t="s">
        <v>189</v>
      </c>
      <c r="AB1242" s="79" t="s">
        <v>1536</v>
      </c>
      <c r="AC1242" s="31">
        <v>5301310</v>
      </c>
      <c r="AD1242" s="79" t="s">
        <v>500</v>
      </c>
      <c r="AE1242" s="36">
        <v>100</v>
      </c>
      <c r="AF1242" s="79"/>
      <c r="AG1242" s="79">
        <v>1</v>
      </c>
      <c r="AH1242" s="36">
        <v>1</v>
      </c>
      <c r="AI1242" s="82"/>
      <c r="AJ1242" s="84"/>
      <c r="AL1242" s="35"/>
    </row>
    <row r="1243" s="31" customFormat="1" hidden="1" customHeight="1" spans="1:38">
      <c r="A1243" s="82">
        <v>5307309</v>
      </c>
      <c r="B1243" s="34"/>
      <c r="C1243" s="31">
        <v>5301310</v>
      </c>
      <c r="D1243" s="79">
        <v>7</v>
      </c>
      <c r="E1243" s="79"/>
      <c r="F1243" s="79" t="s">
        <v>404</v>
      </c>
      <c r="G1243" s="36" t="str">
        <f t="shared" si="278"/>
        <v/>
      </c>
      <c r="H1243" s="36" t="str">
        <f>IFERROR(IF(--MID($F1243,2*COUNTIF($G1243:G1243,"&gt;"&amp;0)+2,1)=H$1,H$1,""),"")</f>
        <v/>
      </c>
      <c r="I1243" s="36" t="str">
        <f>IFERROR(IF(--MID($F1243,2*COUNTIF($G1243:H1243,"&gt;"&amp;0)+2,1)=I$1,I$1,""),"")</f>
        <v/>
      </c>
      <c r="J1243" s="36">
        <f>IFERROR(IF(--MID($F1243,2*COUNTIF($G1243:I1243,"&gt;"&amp;0)+2,1)=J$1,J$1,""),"")</f>
        <v>4</v>
      </c>
      <c r="K1243" s="36" t="str">
        <f>IFERROR(IF(--MID($F1243,2*COUNTIF($G1243:J1243,"&gt;"&amp;0)+2,1)=K$1,K$1,""),"")</f>
        <v/>
      </c>
      <c r="L1243" s="36" t="str">
        <f>IFERROR(IF(--MID($F1243,2*COUNTIF($G1243:K1243,"&gt;"&amp;0)+2,1)=L$1,L$1,""),"")</f>
        <v/>
      </c>
      <c r="M1243" s="36" t="e" cm="1">
        <f t="array" ref="M1243">IF(A1243="","",_xlfn.XLOOKUP(D1243&amp;"_"&amp;AE1243,符文权重!A:A&amp;"_"&amp;符文权重!C:C,符文权重!D:D))</f>
        <v>#N/A</v>
      </c>
      <c r="N1243" s="36"/>
      <c r="O1243" s="36"/>
      <c r="P1243" s="36"/>
      <c r="Q1243" s="36"/>
      <c r="R1243" s="36"/>
      <c r="S1243" s="36" t="s">
        <v>192</v>
      </c>
      <c r="T1243" s="36" t="s">
        <v>220</v>
      </c>
      <c r="U1243" s="36" t="s">
        <v>429</v>
      </c>
      <c r="V1243" s="29" t="s">
        <v>1537</v>
      </c>
      <c r="W1243" s="79"/>
      <c r="X1243" s="35" t="s">
        <v>1491</v>
      </c>
      <c r="Y1243" s="35">
        <v>100</v>
      </c>
      <c r="AA1243" s="36" t="s">
        <v>191</v>
      </c>
      <c r="AB1243" s="79" t="s">
        <v>1538</v>
      </c>
      <c r="AC1243" s="31">
        <v>5301310</v>
      </c>
      <c r="AD1243" s="79" t="s">
        <v>898</v>
      </c>
      <c r="AE1243" s="36">
        <v>100</v>
      </c>
      <c r="AF1243" s="79"/>
      <c r="AG1243" s="79">
        <v>1</v>
      </c>
      <c r="AH1243" s="36">
        <v>1</v>
      </c>
      <c r="AI1243" s="82"/>
      <c r="AJ1243" s="84"/>
      <c r="AL1243" s="35"/>
    </row>
    <row r="1244" s="31" customFormat="1" hidden="1" customHeight="1" spans="1:38">
      <c r="A1244" s="82">
        <v>5304310</v>
      </c>
      <c r="B1244" s="34"/>
      <c r="C1244" s="31">
        <v>5301311</v>
      </c>
      <c r="D1244" s="79">
        <v>4</v>
      </c>
      <c r="E1244" s="79"/>
      <c r="F1244" s="79" t="s">
        <v>211</v>
      </c>
      <c r="G1244" s="36" t="str">
        <f t="shared" si="278"/>
        <v/>
      </c>
      <c r="H1244" s="36">
        <f>IFERROR(IF(--MID($F1244,2*COUNTIF($G1244:G1244,"&gt;"&amp;0)+2,1)=H$1,H$1,""),"")</f>
        <v>2</v>
      </c>
      <c r="I1244" s="36" t="str">
        <f>IFERROR(IF(--MID($F1244,2*COUNTIF($G1244:H1244,"&gt;"&amp;0)+2,1)=I$1,I$1,""),"")</f>
        <v/>
      </c>
      <c r="J1244" s="36" t="str">
        <f>IFERROR(IF(--MID($F1244,2*COUNTIF($G1244:I1244,"&gt;"&amp;0)+2,1)=J$1,J$1,""),"")</f>
        <v/>
      </c>
      <c r="K1244" s="36" t="str">
        <f>IFERROR(IF(--MID($F1244,2*COUNTIF($G1244:J1244,"&gt;"&amp;0)+2,1)=K$1,K$1,""),"")</f>
        <v/>
      </c>
      <c r="L1244" s="36" t="str">
        <f>IFERROR(IF(--MID($F1244,2*COUNTIF($G1244:K1244,"&gt;"&amp;0)+2,1)=L$1,L$1,""),"")</f>
        <v/>
      </c>
      <c r="M1244" s="36" t="e" cm="1">
        <f t="array" ref="M1244">IF(A1244="","",_xlfn.XLOOKUP(D1244&amp;"_"&amp;AE1244,符文权重!A:A&amp;"_"&amp;符文权重!C:C,符文权重!D:D))</f>
        <v>#N/A</v>
      </c>
      <c r="N1244" s="36"/>
      <c r="O1244" s="36"/>
      <c r="P1244" s="36"/>
      <c r="Q1244" s="36"/>
      <c r="R1244" s="36"/>
      <c r="S1244" s="36" t="s">
        <v>192</v>
      </c>
      <c r="T1244" s="36" t="s">
        <v>220</v>
      </c>
      <c r="U1244" s="36" t="s">
        <v>420</v>
      </c>
      <c r="V1244" s="29" t="s">
        <v>1539</v>
      </c>
      <c r="W1244" s="79"/>
      <c r="X1244" s="35" t="s">
        <v>1485</v>
      </c>
      <c r="Y1244" s="35">
        <v>100</v>
      </c>
      <c r="AA1244" s="36" t="s">
        <v>185</v>
      </c>
      <c r="AB1244" s="79" t="s">
        <v>1540</v>
      </c>
      <c r="AC1244" s="31">
        <v>5505151</v>
      </c>
      <c r="AD1244" s="79" t="s">
        <v>625</v>
      </c>
      <c r="AE1244" s="36">
        <v>100</v>
      </c>
      <c r="AF1244" s="79"/>
      <c r="AG1244" s="79">
        <v>1</v>
      </c>
      <c r="AH1244" s="36">
        <v>1</v>
      </c>
      <c r="AI1244" s="82"/>
      <c r="AJ1244" s="84"/>
      <c r="AL1244" s="35"/>
    </row>
    <row r="1245" s="31" customFormat="1" hidden="1" customHeight="1" spans="1:38">
      <c r="A1245" s="82">
        <v>5305310</v>
      </c>
      <c r="B1245" s="34"/>
      <c r="C1245" s="31">
        <v>5301311</v>
      </c>
      <c r="D1245" s="79">
        <v>5</v>
      </c>
      <c r="E1245" s="79"/>
      <c r="F1245" s="79" t="s">
        <v>211</v>
      </c>
      <c r="G1245" s="36" t="str">
        <f t="shared" si="278"/>
        <v/>
      </c>
      <c r="H1245" s="36">
        <f>IFERROR(IF(--MID($F1245,2*COUNTIF($G1245:G1245,"&gt;"&amp;0)+2,1)=H$1,H$1,""),"")</f>
        <v>2</v>
      </c>
      <c r="I1245" s="36" t="str">
        <f>IFERROR(IF(--MID($F1245,2*COUNTIF($G1245:H1245,"&gt;"&amp;0)+2,1)=I$1,I$1,""),"")</f>
        <v/>
      </c>
      <c r="J1245" s="36" t="str">
        <f>IFERROR(IF(--MID($F1245,2*COUNTIF($G1245:I1245,"&gt;"&amp;0)+2,1)=J$1,J$1,""),"")</f>
        <v/>
      </c>
      <c r="K1245" s="36" t="str">
        <f>IFERROR(IF(--MID($F1245,2*COUNTIF($G1245:J1245,"&gt;"&amp;0)+2,1)=K$1,K$1,""),"")</f>
        <v/>
      </c>
      <c r="L1245" s="36" t="str">
        <f>IFERROR(IF(--MID($F1245,2*COUNTIF($G1245:K1245,"&gt;"&amp;0)+2,1)=L$1,L$1,""),"")</f>
        <v/>
      </c>
      <c r="M1245" s="36" t="e" cm="1">
        <f t="array" ref="M1245">IF(A1245="","",_xlfn.XLOOKUP(D1245&amp;"_"&amp;AE1245,符文权重!A:A&amp;"_"&amp;符文权重!C:C,符文权重!D:D))</f>
        <v>#N/A</v>
      </c>
      <c r="N1245" s="36"/>
      <c r="O1245" s="36"/>
      <c r="P1245" s="36"/>
      <c r="Q1245" s="36"/>
      <c r="R1245" s="36"/>
      <c r="S1245" s="36" t="s">
        <v>192</v>
      </c>
      <c r="T1245" s="36" t="s">
        <v>220</v>
      </c>
      <c r="U1245" s="36" t="s">
        <v>423</v>
      </c>
      <c r="V1245" s="29" t="s">
        <v>1539</v>
      </c>
      <c r="W1245" s="79"/>
      <c r="X1245" s="35" t="s">
        <v>1485</v>
      </c>
      <c r="Y1245" s="35">
        <v>100</v>
      </c>
      <c r="AA1245" s="36" t="s">
        <v>187</v>
      </c>
      <c r="AB1245" s="79" t="s">
        <v>1541</v>
      </c>
      <c r="AC1245" s="31">
        <v>5505151</v>
      </c>
      <c r="AD1245" s="79" t="s">
        <v>211</v>
      </c>
      <c r="AE1245" s="36">
        <v>100</v>
      </c>
      <c r="AF1245" s="79"/>
      <c r="AG1245" s="79">
        <v>1</v>
      </c>
      <c r="AH1245" s="36">
        <v>1</v>
      </c>
      <c r="AI1245" s="82"/>
      <c r="AJ1245" s="84"/>
      <c r="AL1245" s="35"/>
    </row>
    <row r="1246" s="31" customFormat="1" hidden="1" customHeight="1" spans="1:38">
      <c r="A1246" s="82">
        <v>5306310</v>
      </c>
      <c r="B1246" s="34"/>
      <c r="C1246" s="31">
        <v>5301311</v>
      </c>
      <c r="D1246" s="79">
        <v>6</v>
      </c>
      <c r="E1246" s="79"/>
      <c r="F1246" s="79" t="s">
        <v>211</v>
      </c>
      <c r="G1246" s="36" t="str">
        <f t="shared" si="278"/>
        <v/>
      </c>
      <c r="H1246" s="36">
        <f>IFERROR(IF(--MID($F1246,2*COUNTIF($G1246:G1246,"&gt;"&amp;0)+2,1)=H$1,H$1,""),"")</f>
        <v>2</v>
      </c>
      <c r="I1246" s="36" t="str">
        <f>IFERROR(IF(--MID($F1246,2*COUNTIF($G1246:H1246,"&gt;"&amp;0)+2,1)=I$1,I$1,""),"")</f>
        <v/>
      </c>
      <c r="J1246" s="36" t="str">
        <f>IFERROR(IF(--MID($F1246,2*COUNTIF($G1246:I1246,"&gt;"&amp;0)+2,1)=J$1,J$1,""),"")</f>
        <v/>
      </c>
      <c r="K1246" s="36" t="str">
        <f>IFERROR(IF(--MID($F1246,2*COUNTIF($G1246:J1246,"&gt;"&amp;0)+2,1)=K$1,K$1,""),"")</f>
        <v/>
      </c>
      <c r="L1246" s="36" t="str">
        <f>IFERROR(IF(--MID($F1246,2*COUNTIF($G1246:K1246,"&gt;"&amp;0)+2,1)=L$1,L$1,""),"")</f>
        <v/>
      </c>
      <c r="M1246" s="36" t="e" cm="1">
        <f t="array" ref="M1246">IF(A1246="","",_xlfn.XLOOKUP(D1246&amp;"_"&amp;AE1246,符文权重!A:A&amp;"_"&amp;符文权重!C:C,符文权重!D:D))</f>
        <v>#N/A</v>
      </c>
      <c r="N1246" s="36"/>
      <c r="O1246" s="36"/>
      <c r="P1246" s="36"/>
      <c r="Q1246" s="36"/>
      <c r="R1246" s="36"/>
      <c r="S1246" s="36" t="s">
        <v>192</v>
      </c>
      <c r="T1246" s="36" t="s">
        <v>220</v>
      </c>
      <c r="U1246" s="36" t="s">
        <v>426</v>
      </c>
      <c r="V1246" s="29" t="s">
        <v>1542</v>
      </c>
      <c r="W1246" s="79"/>
      <c r="X1246" s="35" t="s">
        <v>1488</v>
      </c>
      <c r="Y1246" s="35">
        <v>100</v>
      </c>
      <c r="AA1246" s="36" t="s">
        <v>189</v>
      </c>
      <c r="AB1246" s="79" t="s">
        <v>1543</v>
      </c>
      <c r="AC1246" s="31">
        <v>5505151</v>
      </c>
      <c r="AD1246" s="79" t="s">
        <v>981</v>
      </c>
      <c r="AE1246" s="36">
        <v>100</v>
      </c>
      <c r="AF1246" s="79"/>
      <c r="AG1246" s="79">
        <v>1</v>
      </c>
      <c r="AH1246" s="36">
        <v>1</v>
      </c>
      <c r="AI1246" s="82"/>
      <c r="AJ1246" s="84"/>
      <c r="AL1246" s="35"/>
    </row>
    <row r="1247" s="31" customFormat="1" hidden="1" customHeight="1" spans="1:38">
      <c r="A1247" s="82">
        <v>5307310</v>
      </c>
      <c r="B1247" s="34"/>
      <c r="C1247" s="31">
        <v>5301311</v>
      </c>
      <c r="D1247" s="79">
        <v>7</v>
      </c>
      <c r="E1247" s="79"/>
      <c r="F1247" s="79" t="s">
        <v>211</v>
      </c>
      <c r="G1247" s="36" t="str">
        <f t="shared" si="278"/>
        <v/>
      </c>
      <c r="H1247" s="36">
        <f>IFERROR(IF(--MID($F1247,2*COUNTIF($G1247:G1247,"&gt;"&amp;0)+2,1)=H$1,H$1,""),"")</f>
        <v>2</v>
      </c>
      <c r="I1247" s="36" t="str">
        <f>IFERROR(IF(--MID($F1247,2*COUNTIF($G1247:H1247,"&gt;"&amp;0)+2,1)=I$1,I$1,""),"")</f>
        <v/>
      </c>
      <c r="J1247" s="36" t="str">
        <f>IFERROR(IF(--MID($F1247,2*COUNTIF($G1247:I1247,"&gt;"&amp;0)+2,1)=J$1,J$1,""),"")</f>
        <v/>
      </c>
      <c r="K1247" s="36" t="str">
        <f>IFERROR(IF(--MID($F1247,2*COUNTIF($G1247:J1247,"&gt;"&amp;0)+2,1)=K$1,K$1,""),"")</f>
        <v/>
      </c>
      <c r="L1247" s="36" t="str">
        <f>IFERROR(IF(--MID($F1247,2*COUNTIF($G1247:K1247,"&gt;"&amp;0)+2,1)=L$1,L$1,""),"")</f>
        <v/>
      </c>
      <c r="M1247" s="36" t="e" cm="1">
        <f t="array" ref="M1247">IF(A1247="","",_xlfn.XLOOKUP(D1247&amp;"_"&amp;AE1247,符文权重!A:A&amp;"_"&amp;符文权重!C:C,符文权重!D:D))</f>
        <v>#N/A</v>
      </c>
      <c r="N1247" s="36"/>
      <c r="O1247" s="36"/>
      <c r="P1247" s="36"/>
      <c r="Q1247" s="36"/>
      <c r="R1247" s="36"/>
      <c r="S1247" s="36" t="s">
        <v>192</v>
      </c>
      <c r="T1247" s="36" t="s">
        <v>220</v>
      </c>
      <c r="U1247" s="36" t="s">
        <v>429</v>
      </c>
      <c r="V1247" s="29" t="s">
        <v>1544</v>
      </c>
      <c r="W1247" s="79"/>
      <c r="X1247" s="35" t="s">
        <v>1491</v>
      </c>
      <c r="Y1247" s="35">
        <v>100</v>
      </c>
      <c r="AA1247" s="36" t="s">
        <v>191</v>
      </c>
      <c r="AB1247" s="79" t="s">
        <v>1545</v>
      </c>
      <c r="AC1247" s="31">
        <v>5505151</v>
      </c>
      <c r="AD1247" s="79" t="s">
        <v>193</v>
      </c>
      <c r="AE1247" s="36">
        <v>100</v>
      </c>
      <c r="AF1247" s="79"/>
      <c r="AG1247" s="79">
        <v>1</v>
      </c>
      <c r="AH1247" s="36">
        <v>1</v>
      </c>
      <c r="AI1247" s="82"/>
      <c r="AJ1247" s="84"/>
      <c r="AL1247" s="35"/>
    </row>
    <row r="1248" s="31" customFormat="1" hidden="1" customHeight="1" spans="1:38">
      <c r="A1248" s="82">
        <v>5305311</v>
      </c>
      <c r="B1248" s="34"/>
      <c r="C1248" s="31">
        <v>5301313</v>
      </c>
      <c r="D1248" s="79">
        <v>5</v>
      </c>
      <c r="E1248" s="79"/>
      <c r="F1248" s="79" t="s">
        <v>202</v>
      </c>
      <c r="G1248" s="36">
        <f t="shared" si="278"/>
        <v>1</v>
      </c>
      <c r="H1248" s="36" t="str">
        <f>IFERROR(IF(--MID($F1248,2*COUNTIF($G1248:G1248,"&gt;"&amp;0)+2,1)=H$1,H$1,""),"")</f>
        <v/>
      </c>
      <c r="I1248" s="36" t="str">
        <f>IFERROR(IF(--MID($F1248,2*COUNTIF($G1248:H1248,"&gt;"&amp;0)+2,1)=I$1,I$1,""),"")</f>
        <v/>
      </c>
      <c r="J1248" s="36" t="str">
        <f>IFERROR(IF(--MID($F1248,2*COUNTIF($G1248:I1248,"&gt;"&amp;0)+2,1)=J$1,J$1,""),"")</f>
        <v/>
      </c>
      <c r="K1248" s="36" t="str">
        <f>IFERROR(IF(--MID($F1248,2*COUNTIF($G1248:J1248,"&gt;"&amp;0)+2,1)=K$1,K$1,""),"")</f>
        <v/>
      </c>
      <c r="L1248" s="36" t="str">
        <f>IFERROR(IF(--MID($F1248,2*COUNTIF($G1248:K1248,"&gt;"&amp;0)+2,1)=L$1,L$1,""),"")</f>
        <v/>
      </c>
      <c r="M1248" s="36" t="e" cm="1">
        <f t="array" ref="M1248">IF(A1248="","",_xlfn.XLOOKUP(D1248&amp;"_"&amp;AE1248,符文权重!A:A&amp;"_"&amp;符文权重!C:C,符文权重!D:D))</f>
        <v>#N/A</v>
      </c>
      <c r="N1248" s="36"/>
      <c r="O1248" s="36"/>
      <c r="P1248" s="36"/>
      <c r="Q1248" s="36"/>
      <c r="R1248" s="36"/>
      <c r="S1248" s="36" t="s">
        <v>192</v>
      </c>
      <c r="T1248" s="36" t="s">
        <v>220</v>
      </c>
      <c r="U1248" s="36" t="s">
        <v>423</v>
      </c>
      <c r="V1248" s="29"/>
      <c r="W1248" s="79"/>
      <c r="X1248" s="35" t="s">
        <v>1485</v>
      </c>
      <c r="Y1248" s="35">
        <v>100</v>
      </c>
      <c r="AA1248" s="36" t="s">
        <v>187</v>
      </c>
      <c r="AB1248" s="79" t="s">
        <v>1546</v>
      </c>
      <c r="AC1248" s="31">
        <v>5301313</v>
      </c>
      <c r="AD1248" s="79" t="s">
        <v>487</v>
      </c>
      <c r="AE1248" s="36">
        <v>100</v>
      </c>
      <c r="AF1248" s="79"/>
      <c r="AG1248" s="79">
        <v>1</v>
      </c>
      <c r="AH1248" s="36">
        <v>1</v>
      </c>
      <c r="AL1248" s="35"/>
    </row>
    <row r="1249" s="31" customFormat="1" hidden="1" customHeight="1" spans="1:38">
      <c r="A1249" s="82">
        <v>5306311</v>
      </c>
      <c r="B1249" s="34"/>
      <c r="C1249" s="31">
        <v>5301313</v>
      </c>
      <c r="D1249" s="79">
        <v>6</v>
      </c>
      <c r="E1249" s="79"/>
      <c r="F1249" s="79" t="s">
        <v>202</v>
      </c>
      <c r="G1249" s="36">
        <f t="shared" si="278"/>
        <v>1</v>
      </c>
      <c r="H1249" s="36" t="str">
        <f>IFERROR(IF(--MID($F1249,2*COUNTIF($G1249:G1249,"&gt;"&amp;0)+2,1)=H$1,H$1,""),"")</f>
        <v/>
      </c>
      <c r="I1249" s="36" t="str">
        <f>IFERROR(IF(--MID($F1249,2*COUNTIF($G1249:H1249,"&gt;"&amp;0)+2,1)=I$1,I$1,""),"")</f>
        <v/>
      </c>
      <c r="J1249" s="36" t="str">
        <f>IFERROR(IF(--MID($F1249,2*COUNTIF($G1249:I1249,"&gt;"&amp;0)+2,1)=J$1,J$1,""),"")</f>
        <v/>
      </c>
      <c r="K1249" s="36" t="str">
        <f>IFERROR(IF(--MID($F1249,2*COUNTIF($G1249:J1249,"&gt;"&amp;0)+2,1)=K$1,K$1,""),"")</f>
        <v/>
      </c>
      <c r="L1249" s="36" t="str">
        <f>IFERROR(IF(--MID($F1249,2*COUNTIF($G1249:K1249,"&gt;"&amp;0)+2,1)=L$1,L$1,""),"")</f>
        <v/>
      </c>
      <c r="M1249" s="36" t="e" cm="1">
        <f t="array" ref="M1249">IF(A1249="","",_xlfn.XLOOKUP(D1249&amp;"_"&amp;AE1249,符文权重!A:A&amp;"_"&amp;符文权重!C:C,符文权重!D:D))</f>
        <v>#N/A</v>
      </c>
      <c r="N1249" s="36"/>
      <c r="O1249" s="36"/>
      <c r="P1249" s="36"/>
      <c r="Q1249" s="36"/>
      <c r="R1249" s="36"/>
      <c r="S1249" s="36" t="s">
        <v>192</v>
      </c>
      <c r="T1249" s="36" t="s">
        <v>220</v>
      </c>
      <c r="U1249" s="36" t="s">
        <v>426</v>
      </c>
      <c r="V1249" s="29"/>
      <c r="W1249" s="79"/>
      <c r="X1249" s="35" t="s">
        <v>1488</v>
      </c>
      <c r="Y1249" s="35">
        <v>100</v>
      </c>
      <c r="AA1249" s="36" t="s">
        <v>189</v>
      </c>
      <c r="AB1249" s="79" t="s">
        <v>1547</v>
      </c>
      <c r="AC1249" s="31">
        <v>5301313</v>
      </c>
      <c r="AD1249" s="79" t="s">
        <v>497</v>
      </c>
      <c r="AE1249" s="36">
        <v>100</v>
      </c>
      <c r="AF1249" s="79"/>
      <c r="AG1249" s="79">
        <v>1</v>
      </c>
      <c r="AH1249" s="36">
        <v>1</v>
      </c>
      <c r="AL1249" s="35"/>
    </row>
    <row r="1250" s="31" customFormat="1" hidden="1" customHeight="1" spans="1:38">
      <c r="A1250" s="82">
        <v>5307311</v>
      </c>
      <c r="B1250" s="34"/>
      <c r="C1250" s="31">
        <v>5301313</v>
      </c>
      <c r="D1250" s="79">
        <v>7</v>
      </c>
      <c r="E1250" s="79"/>
      <c r="F1250" s="79" t="s">
        <v>202</v>
      </c>
      <c r="G1250" s="36">
        <f t="shared" si="278"/>
        <v>1</v>
      </c>
      <c r="H1250" s="36" t="str">
        <f>IFERROR(IF(--MID($F1250,2*COUNTIF($G1250:G1250,"&gt;"&amp;0)+2,1)=H$1,H$1,""),"")</f>
        <v/>
      </c>
      <c r="I1250" s="36" t="str">
        <f>IFERROR(IF(--MID($F1250,2*COUNTIF($G1250:H1250,"&gt;"&amp;0)+2,1)=I$1,I$1,""),"")</f>
        <v/>
      </c>
      <c r="J1250" s="36" t="str">
        <f>IFERROR(IF(--MID($F1250,2*COUNTIF($G1250:I1250,"&gt;"&amp;0)+2,1)=J$1,J$1,""),"")</f>
        <v/>
      </c>
      <c r="K1250" s="36" t="str">
        <f>IFERROR(IF(--MID($F1250,2*COUNTIF($G1250:J1250,"&gt;"&amp;0)+2,1)=K$1,K$1,""),"")</f>
        <v/>
      </c>
      <c r="L1250" s="36" t="str">
        <f>IFERROR(IF(--MID($F1250,2*COUNTIF($G1250:K1250,"&gt;"&amp;0)+2,1)=L$1,L$1,""),"")</f>
        <v/>
      </c>
      <c r="M1250" s="36" t="e" cm="1">
        <f t="array" ref="M1250">IF(A1250="","",_xlfn.XLOOKUP(D1250&amp;"_"&amp;AE1250,符文权重!A:A&amp;"_"&amp;符文权重!C:C,符文权重!D:D))</f>
        <v>#N/A</v>
      </c>
      <c r="N1250" s="36"/>
      <c r="O1250" s="36"/>
      <c r="P1250" s="36"/>
      <c r="Q1250" s="36"/>
      <c r="R1250" s="36"/>
      <c r="S1250" s="36" t="s">
        <v>192</v>
      </c>
      <c r="T1250" s="36" t="s">
        <v>220</v>
      </c>
      <c r="U1250" s="36" t="s">
        <v>429</v>
      </c>
      <c r="V1250" s="29"/>
      <c r="W1250" s="79"/>
      <c r="X1250" s="35" t="s">
        <v>1491</v>
      </c>
      <c r="Y1250" s="35">
        <v>100</v>
      </c>
      <c r="AA1250" s="36" t="s">
        <v>191</v>
      </c>
      <c r="AB1250" s="79" t="s">
        <v>1548</v>
      </c>
      <c r="AC1250" s="31">
        <v>5301313</v>
      </c>
      <c r="AD1250" s="79" t="s">
        <v>596</v>
      </c>
      <c r="AE1250" s="36">
        <v>100</v>
      </c>
      <c r="AF1250" s="79"/>
      <c r="AG1250" s="79">
        <v>1</v>
      </c>
      <c r="AH1250" s="36">
        <v>1</v>
      </c>
      <c r="AL1250" s="35"/>
    </row>
    <row r="1251" s="31" customFormat="1" hidden="1" customHeight="1" spans="1:38">
      <c r="A1251" s="82">
        <v>5305312</v>
      </c>
      <c r="B1251" s="34"/>
      <c r="C1251" s="31">
        <v>5301314</v>
      </c>
      <c r="D1251" s="79">
        <v>5</v>
      </c>
      <c r="E1251" s="79"/>
      <c r="F1251" s="79" t="s">
        <v>193</v>
      </c>
      <c r="G1251" s="36" t="str">
        <f t="shared" si="278"/>
        <v/>
      </c>
      <c r="H1251" s="36" t="str">
        <f>IFERROR(IF(--MID($F1251,2*COUNTIF($G1251:G1251,"&gt;"&amp;0)+2,1)=H$1,H$1,""),"")</f>
        <v/>
      </c>
      <c r="I1251" s="36">
        <f>IFERROR(IF(--MID($F1251,2*COUNTIF($G1251:H1251,"&gt;"&amp;0)+2,1)=I$1,I$1,""),"")</f>
        <v>3</v>
      </c>
      <c r="J1251" s="36" t="str">
        <f>IFERROR(IF(--MID($F1251,2*COUNTIF($G1251:I1251,"&gt;"&amp;0)+2,1)=J$1,J$1,""),"")</f>
        <v/>
      </c>
      <c r="K1251" s="36" t="str">
        <f>IFERROR(IF(--MID($F1251,2*COUNTIF($G1251:J1251,"&gt;"&amp;0)+2,1)=K$1,K$1,""),"")</f>
        <v/>
      </c>
      <c r="L1251" s="36" t="str">
        <f>IFERROR(IF(--MID($F1251,2*COUNTIF($G1251:K1251,"&gt;"&amp;0)+2,1)=L$1,L$1,""),"")</f>
        <v/>
      </c>
      <c r="M1251" s="36" t="e" cm="1">
        <f t="array" ref="M1251">IF(A1251="","",_xlfn.XLOOKUP(D1251&amp;"_"&amp;AE1251,符文权重!A:A&amp;"_"&amp;符文权重!C:C,符文权重!D:D))</f>
        <v>#N/A</v>
      </c>
      <c r="N1251" s="36"/>
      <c r="O1251" s="36"/>
      <c r="P1251" s="36"/>
      <c r="Q1251" s="36"/>
      <c r="R1251" s="36"/>
      <c r="S1251" s="36" t="s">
        <v>192</v>
      </c>
      <c r="T1251" s="36" t="s">
        <v>230</v>
      </c>
      <c r="U1251" s="36" t="s">
        <v>423</v>
      </c>
      <c r="V1251" s="29" t="s">
        <v>1549</v>
      </c>
      <c r="W1251" s="79"/>
      <c r="X1251" s="35" t="s">
        <v>1485</v>
      </c>
      <c r="Y1251" s="35">
        <v>100</v>
      </c>
      <c r="AA1251" s="36" t="s">
        <v>187</v>
      </c>
      <c r="AB1251" s="79" t="s">
        <v>1550</v>
      </c>
      <c r="AC1251" s="31">
        <v>5505111</v>
      </c>
      <c r="AD1251" s="79" t="s">
        <v>431</v>
      </c>
      <c r="AE1251" s="36">
        <v>100</v>
      </c>
      <c r="AF1251" s="79"/>
      <c r="AG1251" s="79">
        <v>1</v>
      </c>
      <c r="AH1251" s="36">
        <v>1</v>
      </c>
      <c r="AI1251" s="82"/>
      <c r="AJ1251" s="84"/>
      <c r="AL1251" s="35"/>
    </row>
    <row r="1252" s="31" customFormat="1" hidden="1" customHeight="1" spans="1:38">
      <c r="A1252" s="82">
        <v>5306312</v>
      </c>
      <c r="B1252" s="34"/>
      <c r="C1252" s="31">
        <v>5301314</v>
      </c>
      <c r="D1252" s="79">
        <v>6</v>
      </c>
      <c r="E1252" s="79"/>
      <c r="F1252" s="79" t="s">
        <v>193</v>
      </c>
      <c r="G1252" s="36" t="str">
        <f t="shared" si="278"/>
        <v/>
      </c>
      <c r="H1252" s="36" t="str">
        <f>IFERROR(IF(--MID($F1252,2*COUNTIF($G1252:G1252,"&gt;"&amp;0)+2,1)=H$1,H$1,""),"")</f>
        <v/>
      </c>
      <c r="I1252" s="36">
        <f>IFERROR(IF(--MID($F1252,2*COUNTIF($G1252:H1252,"&gt;"&amp;0)+2,1)=I$1,I$1,""),"")</f>
        <v>3</v>
      </c>
      <c r="J1252" s="36" t="str">
        <f>IFERROR(IF(--MID($F1252,2*COUNTIF($G1252:I1252,"&gt;"&amp;0)+2,1)=J$1,J$1,""),"")</f>
        <v/>
      </c>
      <c r="K1252" s="36" t="str">
        <f>IFERROR(IF(--MID($F1252,2*COUNTIF($G1252:J1252,"&gt;"&amp;0)+2,1)=K$1,K$1,""),"")</f>
        <v/>
      </c>
      <c r="L1252" s="36" t="str">
        <f>IFERROR(IF(--MID($F1252,2*COUNTIF($G1252:K1252,"&gt;"&amp;0)+2,1)=L$1,L$1,""),"")</f>
        <v/>
      </c>
      <c r="M1252" s="36" t="e" cm="1">
        <f t="array" ref="M1252">IF(A1252="","",_xlfn.XLOOKUP(D1252&amp;"_"&amp;AE1252,符文权重!A:A&amp;"_"&amp;符文权重!C:C,符文权重!D:D))</f>
        <v>#N/A</v>
      </c>
      <c r="N1252" s="36"/>
      <c r="O1252" s="36"/>
      <c r="P1252" s="36"/>
      <c r="Q1252" s="36"/>
      <c r="R1252" s="36"/>
      <c r="S1252" s="36" t="s">
        <v>192</v>
      </c>
      <c r="T1252" s="36" t="s">
        <v>230</v>
      </c>
      <c r="U1252" s="36" t="s">
        <v>426</v>
      </c>
      <c r="V1252" s="29" t="s">
        <v>1551</v>
      </c>
      <c r="W1252" s="79"/>
      <c r="X1252" s="35" t="s">
        <v>1488</v>
      </c>
      <c r="Y1252" s="35">
        <v>100</v>
      </c>
      <c r="AA1252" s="36" t="s">
        <v>189</v>
      </c>
      <c r="AB1252" s="79" t="s">
        <v>1552</v>
      </c>
      <c r="AC1252" s="31">
        <v>5505111</v>
      </c>
      <c r="AD1252" s="79" t="s">
        <v>472</v>
      </c>
      <c r="AE1252" s="36">
        <v>100</v>
      </c>
      <c r="AF1252" s="79"/>
      <c r="AG1252" s="79">
        <v>1</v>
      </c>
      <c r="AH1252" s="36">
        <v>1</v>
      </c>
      <c r="AI1252" s="82"/>
      <c r="AJ1252" s="84"/>
      <c r="AL1252" s="35"/>
    </row>
    <row r="1253" s="31" customFormat="1" hidden="1" customHeight="1" spans="1:38">
      <c r="A1253" s="82">
        <v>5307312</v>
      </c>
      <c r="B1253" s="34"/>
      <c r="C1253" s="31">
        <v>5301314</v>
      </c>
      <c r="D1253" s="79">
        <v>7</v>
      </c>
      <c r="E1253" s="79"/>
      <c r="F1253" s="79" t="s">
        <v>193</v>
      </c>
      <c r="G1253" s="36" t="str">
        <f t="shared" si="278"/>
        <v/>
      </c>
      <c r="H1253" s="36" t="str">
        <f>IFERROR(IF(--MID($F1253,2*COUNTIF($G1253:G1253,"&gt;"&amp;0)+2,1)=H$1,H$1,""),"")</f>
        <v/>
      </c>
      <c r="I1253" s="36">
        <f>IFERROR(IF(--MID($F1253,2*COUNTIF($G1253:H1253,"&gt;"&amp;0)+2,1)=I$1,I$1,""),"")</f>
        <v>3</v>
      </c>
      <c r="J1253" s="36" t="str">
        <f>IFERROR(IF(--MID($F1253,2*COUNTIF($G1253:I1253,"&gt;"&amp;0)+2,1)=J$1,J$1,""),"")</f>
        <v/>
      </c>
      <c r="K1253" s="36" t="str">
        <f>IFERROR(IF(--MID($F1253,2*COUNTIF($G1253:J1253,"&gt;"&amp;0)+2,1)=K$1,K$1,""),"")</f>
        <v/>
      </c>
      <c r="L1253" s="36" t="str">
        <f>IFERROR(IF(--MID($F1253,2*COUNTIF($G1253:K1253,"&gt;"&amp;0)+2,1)=L$1,L$1,""),"")</f>
        <v/>
      </c>
      <c r="M1253" s="36" t="e" cm="1">
        <f t="array" ref="M1253">IF(A1253="","",_xlfn.XLOOKUP(D1253&amp;"_"&amp;AE1253,符文权重!A:A&amp;"_"&amp;符文权重!C:C,符文权重!D:D))</f>
        <v>#N/A</v>
      </c>
      <c r="N1253" s="36"/>
      <c r="O1253" s="36"/>
      <c r="P1253" s="36"/>
      <c r="Q1253" s="36"/>
      <c r="R1253" s="36"/>
      <c r="S1253" s="36" t="s">
        <v>192</v>
      </c>
      <c r="T1253" s="36" t="s">
        <v>230</v>
      </c>
      <c r="U1253" s="36" t="s">
        <v>429</v>
      </c>
      <c r="V1253" s="29" t="s">
        <v>1553</v>
      </c>
      <c r="W1253" s="79"/>
      <c r="X1253" s="35" t="s">
        <v>1491</v>
      </c>
      <c r="Y1253" s="35">
        <v>100</v>
      </c>
      <c r="AA1253" s="36" t="s">
        <v>191</v>
      </c>
      <c r="AB1253" s="79" t="s">
        <v>1554</v>
      </c>
      <c r="AC1253" s="31">
        <v>5505111</v>
      </c>
      <c r="AD1253" s="79" t="s">
        <v>497</v>
      </c>
      <c r="AE1253" s="36">
        <v>100</v>
      </c>
      <c r="AF1253" s="79"/>
      <c r="AG1253" s="79">
        <v>1</v>
      </c>
      <c r="AH1253" s="36">
        <v>1</v>
      </c>
      <c r="AI1253" s="82"/>
      <c r="AJ1253" s="84"/>
      <c r="AL1253" s="35"/>
    </row>
    <row r="1254" s="31" customFormat="1" hidden="1" customHeight="1" spans="1:38">
      <c r="A1254" s="82">
        <v>5305315</v>
      </c>
      <c r="B1254" s="34"/>
      <c r="C1254" s="31">
        <v>5301315</v>
      </c>
      <c r="D1254" s="79">
        <v>5</v>
      </c>
      <c r="E1254" s="79"/>
      <c r="F1254" s="79" t="s">
        <v>230</v>
      </c>
      <c r="G1254" s="36" t="str">
        <f t="shared" si="278"/>
        <v/>
      </c>
      <c r="H1254" s="36" t="str">
        <f>IFERROR(IF(--MID($F1254,2*COUNTIF($G1254:G1254,"&gt;"&amp;0)+2,1)=H$1,H$1,""),"")</f>
        <v/>
      </c>
      <c r="I1254" s="36" t="str">
        <f>IFERROR(IF(--MID($F1254,2*COUNTIF($G1254:H1254,"&gt;"&amp;0)+2,1)=I$1,I$1,""),"")</f>
        <v/>
      </c>
      <c r="J1254" s="36" t="str">
        <f>IFERROR(IF(--MID($F1254,2*COUNTIF($G1254:I1254,"&gt;"&amp;0)+2,1)=J$1,J$1,""),"")</f>
        <v/>
      </c>
      <c r="K1254" s="36">
        <f>IFERROR(IF(--MID($F1254,2*COUNTIF($G1254:J1254,"&gt;"&amp;0)+2,1)=K$1,K$1,""),"")</f>
        <v>5</v>
      </c>
      <c r="L1254" s="36" t="str">
        <f>IFERROR(IF(--MID($F1254,2*COUNTIF($G1254:K1254,"&gt;"&amp;0)+2,1)=L$1,L$1,""),"")</f>
        <v/>
      </c>
      <c r="M1254" s="36" t="e" cm="1">
        <f t="array" ref="M1254">IF(A1254="","",_xlfn.XLOOKUP(D1254&amp;"_"&amp;AE1254,符文权重!A:A&amp;"_"&amp;符文权重!C:C,符文权重!D:D))</f>
        <v>#N/A</v>
      </c>
      <c r="N1254" s="36"/>
      <c r="O1254" s="36"/>
      <c r="P1254" s="36"/>
      <c r="Q1254" s="36"/>
      <c r="R1254" s="36"/>
      <c r="S1254" s="36" t="s">
        <v>192</v>
      </c>
      <c r="T1254" s="36" t="s">
        <v>230</v>
      </c>
      <c r="U1254" s="36" t="s">
        <v>423</v>
      </c>
      <c r="V1254" s="29" t="s">
        <v>1555</v>
      </c>
      <c r="W1254" s="79"/>
      <c r="X1254" s="35" t="s">
        <v>1485</v>
      </c>
      <c r="Y1254" s="35">
        <v>100</v>
      </c>
      <c r="AA1254" s="36" t="s">
        <v>187</v>
      </c>
      <c r="AB1254" s="79" t="s">
        <v>1556</v>
      </c>
      <c r="AC1254" s="31">
        <v>5505131</v>
      </c>
      <c r="AD1254" s="79" t="s">
        <v>422</v>
      </c>
      <c r="AE1254" s="36">
        <v>100</v>
      </c>
      <c r="AF1254" s="79"/>
      <c r="AG1254" s="79">
        <v>1</v>
      </c>
      <c r="AH1254" s="36">
        <v>1</v>
      </c>
      <c r="AL1254" s="35"/>
    </row>
    <row r="1255" s="31" customFormat="1" hidden="1" customHeight="1" spans="1:38">
      <c r="A1255" s="82">
        <v>5306315</v>
      </c>
      <c r="B1255" s="34"/>
      <c r="C1255" s="31">
        <v>5301315</v>
      </c>
      <c r="D1255" s="79">
        <v>6</v>
      </c>
      <c r="E1255" s="79"/>
      <c r="F1255" s="79" t="s">
        <v>230</v>
      </c>
      <c r="G1255" s="36" t="str">
        <f t="shared" si="278"/>
        <v/>
      </c>
      <c r="H1255" s="36" t="str">
        <f>IFERROR(IF(--MID($F1255,2*COUNTIF($G1255:G1255,"&gt;"&amp;0)+2,1)=H$1,H$1,""),"")</f>
        <v/>
      </c>
      <c r="I1255" s="36" t="str">
        <f>IFERROR(IF(--MID($F1255,2*COUNTIF($G1255:H1255,"&gt;"&amp;0)+2,1)=I$1,I$1,""),"")</f>
        <v/>
      </c>
      <c r="J1255" s="36" t="str">
        <f>IFERROR(IF(--MID($F1255,2*COUNTIF($G1255:I1255,"&gt;"&amp;0)+2,1)=J$1,J$1,""),"")</f>
        <v/>
      </c>
      <c r="K1255" s="36">
        <f>IFERROR(IF(--MID($F1255,2*COUNTIF($G1255:J1255,"&gt;"&amp;0)+2,1)=K$1,K$1,""),"")</f>
        <v>5</v>
      </c>
      <c r="L1255" s="36" t="str">
        <f>IFERROR(IF(--MID($F1255,2*COUNTIF($G1255:K1255,"&gt;"&amp;0)+2,1)=L$1,L$1,""),"")</f>
        <v/>
      </c>
      <c r="M1255" s="36" t="e" cm="1">
        <f t="array" ref="M1255">IF(A1255="","",_xlfn.XLOOKUP(D1255&amp;"_"&amp;AE1255,符文权重!A:A&amp;"_"&amp;符文权重!C:C,符文权重!D:D))</f>
        <v>#N/A</v>
      </c>
      <c r="N1255" s="36"/>
      <c r="O1255" s="36"/>
      <c r="P1255" s="36"/>
      <c r="Q1255" s="36"/>
      <c r="R1255" s="36"/>
      <c r="S1255" s="36" t="s">
        <v>192</v>
      </c>
      <c r="T1255" s="36" t="s">
        <v>230</v>
      </c>
      <c r="U1255" s="36" t="s">
        <v>426</v>
      </c>
      <c r="V1255" s="29" t="s">
        <v>1557</v>
      </c>
      <c r="W1255" s="79"/>
      <c r="X1255" s="35" t="s">
        <v>1488</v>
      </c>
      <c r="Y1255" s="35">
        <v>100</v>
      </c>
      <c r="AA1255" s="36" t="s">
        <v>189</v>
      </c>
      <c r="AB1255" s="79" t="s">
        <v>1558</v>
      </c>
      <c r="AC1255" s="31">
        <v>5505131</v>
      </c>
      <c r="AD1255" s="79" t="s">
        <v>425</v>
      </c>
      <c r="AE1255" s="36">
        <v>100</v>
      </c>
      <c r="AF1255" s="79"/>
      <c r="AG1255" s="79">
        <v>1</v>
      </c>
      <c r="AH1255" s="36">
        <v>1</v>
      </c>
      <c r="AL1255" s="35"/>
    </row>
    <row r="1256" s="31" customFormat="1" hidden="1" customHeight="1" spans="1:38">
      <c r="A1256" s="82">
        <v>5307315</v>
      </c>
      <c r="B1256" s="34"/>
      <c r="C1256" s="31">
        <v>5301315</v>
      </c>
      <c r="D1256" s="79">
        <v>7</v>
      </c>
      <c r="E1256" s="79"/>
      <c r="F1256" s="79" t="s">
        <v>230</v>
      </c>
      <c r="G1256" s="36" t="str">
        <f t="shared" si="278"/>
        <v/>
      </c>
      <c r="H1256" s="36" t="str">
        <f>IFERROR(IF(--MID($F1256,2*COUNTIF($G1256:G1256,"&gt;"&amp;0)+2,1)=H$1,H$1,""),"")</f>
        <v/>
      </c>
      <c r="I1256" s="36" t="str">
        <f>IFERROR(IF(--MID($F1256,2*COUNTIF($G1256:H1256,"&gt;"&amp;0)+2,1)=I$1,I$1,""),"")</f>
        <v/>
      </c>
      <c r="J1256" s="36" t="str">
        <f>IFERROR(IF(--MID($F1256,2*COUNTIF($G1256:I1256,"&gt;"&amp;0)+2,1)=J$1,J$1,""),"")</f>
        <v/>
      </c>
      <c r="K1256" s="36">
        <f>IFERROR(IF(--MID($F1256,2*COUNTIF($G1256:J1256,"&gt;"&amp;0)+2,1)=K$1,K$1,""),"")</f>
        <v>5</v>
      </c>
      <c r="L1256" s="36" t="str">
        <f>IFERROR(IF(--MID($F1256,2*COUNTIF($G1256:K1256,"&gt;"&amp;0)+2,1)=L$1,L$1,""),"")</f>
        <v/>
      </c>
      <c r="M1256" s="36" t="e" cm="1">
        <f t="array" ref="M1256">IF(A1256="","",_xlfn.XLOOKUP(D1256&amp;"_"&amp;AE1256,符文权重!A:A&amp;"_"&amp;符文权重!C:C,符文权重!D:D))</f>
        <v>#N/A</v>
      </c>
      <c r="N1256" s="36"/>
      <c r="O1256" s="36"/>
      <c r="P1256" s="36"/>
      <c r="Q1256" s="36"/>
      <c r="R1256" s="36"/>
      <c r="S1256" s="36" t="s">
        <v>192</v>
      </c>
      <c r="T1256" s="36" t="s">
        <v>230</v>
      </c>
      <c r="U1256" s="36" t="s">
        <v>429</v>
      </c>
      <c r="V1256" s="29" t="s">
        <v>1559</v>
      </c>
      <c r="W1256" s="79"/>
      <c r="X1256" s="35" t="s">
        <v>1491</v>
      </c>
      <c r="Y1256" s="35">
        <v>100</v>
      </c>
      <c r="AA1256" s="36" t="s">
        <v>191</v>
      </c>
      <c r="AB1256" s="79" t="s">
        <v>1560</v>
      </c>
      <c r="AC1256" s="31">
        <v>5505131</v>
      </c>
      <c r="AD1256" s="79" t="s">
        <v>428</v>
      </c>
      <c r="AE1256" s="36">
        <v>100</v>
      </c>
      <c r="AF1256" s="79"/>
      <c r="AG1256" s="79">
        <v>1</v>
      </c>
      <c r="AH1256" s="36">
        <v>1</v>
      </c>
      <c r="AL1256" s="35"/>
    </row>
    <row r="1257" s="31" customFormat="1" hidden="1" customHeight="1" spans="1:38">
      <c r="A1257" s="82">
        <v>5304316</v>
      </c>
      <c r="B1257" s="34"/>
      <c r="C1257" s="31">
        <v>5301316</v>
      </c>
      <c r="D1257" s="79">
        <v>4</v>
      </c>
      <c r="E1257" s="79"/>
      <c r="F1257" s="79" t="s">
        <v>220</v>
      </c>
      <c r="G1257" s="36" t="str">
        <f t="shared" si="278"/>
        <v/>
      </c>
      <c r="H1257" s="36" t="str">
        <f>IFERROR(IF(--MID($F1257,2*COUNTIF($G1257:G1257,"&gt;"&amp;0)+2,1)=H$1,H$1,""),"")</f>
        <v/>
      </c>
      <c r="I1257" s="36" t="str">
        <f>IFERROR(IF(--MID($F1257,2*COUNTIF($G1257:H1257,"&gt;"&amp;0)+2,1)=I$1,I$1,""),"")</f>
        <v/>
      </c>
      <c r="J1257" s="36" t="str">
        <f>IFERROR(IF(--MID($F1257,2*COUNTIF($G1257:I1257,"&gt;"&amp;0)+2,1)=J$1,J$1,""),"")</f>
        <v/>
      </c>
      <c r="K1257" s="36" t="str">
        <f>IFERROR(IF(--MID($F1257,2*COUNTIF($G1257:J1257,"&gt;"&amp;0)+2,1)=K$1,K$1,""),"")</f>
        <v/>
      </c>
      <c r="L1257" s="36">
        <f>IFERROR(IF(--MID($F1257,2*COUNTIF($G1257:K1257,"&gt;"&amp;0)+2,1)=L$1,L$1,""),"")</f>
        <v>6</v>
      </c>
      <c r="M1257" s="36" t="e" cm="1">
        <f t="array" ref="M1257">IF(A1257="","",_xlfn.XLOOKUP(D1257&amp;"_"&amp;AE1257,符文权重!A:A&amp;"_"&amp;符文权重!C:C,符文权重!D:D))</f>
        <v>#N/A</v>
      </c>
      <c r="N1257" s="36"/>
      <c r="O1257" s="36"/>
      <c r="P1257" s="36"/>
      <c r="Q1257" s="36"/>
      <c r="R1257" s="36"/>
      <c r="S1257" s="36" t="s">
        <v>192</v>
      </c>
      <c r="T1257" s="36" t="s">
        <v>230</v>
      </c>
      <c r="U1257" s="36" t="s">
        <v>420</v>
      </c>
      <c r="V1257" s="29" t="s">
        <v>1561</v>
      </c>
      <c r="W1257" s="79"/>
      <c r="X1257" s="35" t="s">
        <v>1485</v>
      </c>
      <c r="Y1257" s="35">
        <v>100</v>
      </c>
      <c r="AA1257" s="36" t="s">
        <v>185</v>
      </c>
      <c r="AB1257" s="79" t="s">
        <v>1562</v>
      </c>
      <c r="AC1257" s="31">
        <v>5505121</v>
      </c>
      <c r="AD1257" s="79" t="s">
        <v>428</v>
      </c>
      <c r="AE1257" s="36">
        <v>100</v>
      </c>
      <c r="AF1257" s="79"/>
      <c r="AG1257" s="79">
        <v>1</v>
      </c>
      <c r="AH1257" s="36">
        <v>1</v>
      </c>
      <c r="AI1257" s="82"/>
      <c r="AJ1257" s="84"/>
      <c r="AL1257" s="35"/>
    </row>
    <row r="1258" s="31" customFormat="1" hidden="1" customHeight="1" spans="1:38">
      <c r="A1258" s="82">
        <v>5305316</v>
      </c>
      <c r="B1258" s="34"/>
      <c r="C1258" s="31">
        <v>5301316</v>
      </c>
      <c r="D1258" s="79">
        <v>5</v>
      </c>
      <c r="E1258" s="79"/>
      <c r="F1258" s="79" t="s">
        <v>220</v>
      </c>
      <c r="G1258" s="36" t="str">
        <f t="shared" si="278"/>
        <v/>
      </c>
      <c r="H1258" s="36" t="str">
        <f>IFERROR(IF(--MID($F1258,2*COUNTIF($G1258:G1258,"&gt;"&amp;0)+2,1)=H$1,H$1,""),"")</f>
        <v/>
      </c>
      <c r="I1258" s="36" t="str">
        <f>IFERROR(IF(--MID($F1258,2*COUNTIF($G1258:H1258,"&gt;"&amp;0)+2,1)=I$1,I$1,""),"")</f>
        <v/>
      </c>
      <c r="J1258" s="36" t="str">
        <f>IFERROR(IF(--MID($F1258,2*COUNTIF($G1258:I1258,"&gt;"&amp;0)+2,1)=J$1,J$1,""),"")</f>
        <v/>
      </c>
      <c r="K1258" s="36" t="str">
        <f>IFERROR(IF(--MID($F1258,2*COUNTIF($G1258:J1258,"&gt;"&amp;0)+2,1)=K$1,K$1,""),"")</f>
        <v/>
      </c>
      <c r="L1258" s="36">
        <f>IFERROR(IF(--MID($F1258,2*COUNTIF($G1258:K1258,"&gt;"&amp;0)+2,1)=L$1,L$1,""),"")</f>
        <v>6</v>
      </c>
      <c r="M1258" s="36" t="e" cm="1">
        <f t="array" ref="M1258">IF(A1258="","",_xlfn.XLOOKUP(D1258&amp;"_"&amp;AE1258,符文权重!A:A&amp;"_"&amp;符文权重!C:C,符文权重!D:D))</f>
        <v>#N/A</v>
      </c>
      <c r="N1258" s="36"/>
      <c r="O1258" s="36"/>
      <c r="P1258" s="36"/>
      <c r="Q1258" s="36"/>
      <c r="R1258" s="36"/>
      <c r="S1258" s="36" t="s">
        <v>192</v>
      </c>
      <c r="T1258" s="36" t="s">
        <v>230</v>
      </c>
      <c r="U1258" s="36" t="s">
        <v>423</v>
      </c>
      <c r="V1258" s="29" t="s">
        <v>1561</v>
      </c>
      <c r="W1258" s="79"/>
      <c r="X1258" s="35" t="s">
        <v>1485</v>
      </c>
      <c r="Y1258" s="35">
        <v>100</v>
      </c>
      <c r="AA1258" s="36" t="s">
        <v>187</v>
      </c>
      <c r="AB1258" s="79" t="s">
        <v>1563</v>
      </c>
      <c r="AC1258" s="31">
        <v>5505121</v>
      </c>
      <c r="AD1258" s="79" t="s">
        <v>431</v>
      </c>
      <c r="AE1258" s="36">
        <v>100</v>
      </c>
      <c r="AF1258" s="79"/>
      <c r="AG1258" s="79">
        <v>1</v>
      </c>
      <c r="AH1258" s="36">
        <v>1</v>
      </c>
      <c r="AI1258" s="82"/>
      <c r="AJ1258" s="84"/>
      <c r="AL1258" s="35"/>
    </row>
    <row r="1259" s="31" customFormat="1" hidden="1" customHeight="1" spans="1:38">
      <c r="A1259" s="82">
        <v>5306316</v>
      </c>
      <c r="B1259" s="34"/>
      <c r="C1259" s="31">
        <v>5301316</v>
      </c>
      <c r="D1259" s="79">
        <v>6</v>
      </c>
      <c r="E1259" s="79"/>
      <c r="F1259" s="79" t="s">
        <v>220</v>
      </c>
      <c r="G1259" s="36" t="str">
        <f t="shared" si="278"/>
        <v/>
      </c>
      <c r="H1259" s="36" t="str">
        <f>IFERROR(IF(--MID($F1259,2*COUNTIF($G1259:G1259,"&gt;"&amp;0)+2,1)=H$1,H$1,""),"")</f>
        <v/>
      </c>
      <c r="I1259" s="36" t="str">
        <f>IFERROR(IF(--MID($F1259,2*COUNTIF($G1259:H1259,"&gt;"&amp;0)+2,1)=I$1,I$1,""),"")</f>
        <v/>
      </c>
      <c r="J1259" s="36" t="str">
        <f>IFERROR(IF(--MID($F1259,2*COUNTIF($G1259:I1259,"&gt;"&amp;0)+2,1)=J$1,J$1,""),"")</f>
        <v/>
      </c>
      <c r="K1259" s="36" t="str">
        <f>IFERROR(IF(--MID($F1259,2*COUNTIF($G1259:J1259,"&gt;"&amp;0)+2,1)=K$1,K$1,""),"")</f>
        <v/>
      </c>
      <c r="L1259" s="36">
        <f>IFERROR(IF(--MID($F1259,2*COUNTIF($G1259:K1259,"&gt;"&amp;0)+2,1)=L$1,L$1,""),"")</f>
        <v>6</v>
      </c>
      <c r="M1259" s="36" t="e" cm="1">
        <f t="array" ref="M1259">IF(A1259="","",_xlfn.XLOOKUP(D1259&amp;"_"&amp;AE1259,符文权重!A:A&amp;"_"&amp;符文权重!C:C,符文权重!D:D))</f>
        <v>#N/A</v>
      </c>
      <c r="N1259" s="36"/>
      <c r="O1259" s="36"/>
      <c r="P1259" s="36"/>
      <c r="Q1259" s="36"/>
      <c r="R1259" s="36"/>
      <c r="S1259" s="36" t="s">
        <v>192</v>
      </c>
      <c r="T1259" s="36" t="s">
        <v>230</v>
      </c>
      <c r="U1259" s="36" t="s">
        <v>426</v>
      </c>
      <c r="V1259" s="29" t="s">
        <v>1564</v>
      </c>
      <c r="W1259" s="79"/>
      <c r="X1259" s="35" t="s">
        <v>1488</v>
      </c>
      <c r="Y1259" s="35">
        <v>100</v>
      </c>
      <c r="AA1259" s="36" t="s">
        <v>189</v>
      </c>
      <c r="AB1259" s="79" t="s">
        <v>1565</v>
      </c>
      <c r="AC1259" s="31">
        <v>5505121</v>
      </c>
      <c r="AD1259" s="79" t="s">
        <v>487</v>
      </c>
      <c r="AE1259" s="36">
        <v>100</v>
      </c>
      <c r="AF1259" s="79"/>
      <c r="AG1259" s="79">
        <v>1</v>
      </c>
      <c r="AH1259" s="36">
        <v>1</v>
      </c>
      <c r="AI1259" s="82"/>
      <c r="AJ1259" s="84"/>
      <c r="AL1259" s="35"/>
    </row>
    <row r="1260" s="31" customFormat="1" hidden="1" customHeight="1" spans="1:38">
      <c r="A1260" s="82">
        <v>5307316</v>
      </c>
      <c r="B1260" s="34"/>
      <c r="C1260" s="31">
        <v>5301316</v>
      </c>
      <c r="D1260" s="79">
        <v>7</v>
      </c>
      <c r="E1260" s="79"/>
      <c r="F1260" s="79" t="s">
        <v>220</v>
      </c>
      <c r="G1260" s="36" t="str">
        <f t="shared" si="278"/>
        <v/>
      </c>
      <c r="H1260" s="36" t="str">
        <f>IFERROR(IF(--MID($F1260,2*COUNTIF($G1260:G1260,"&gt;"&amp;0)+2,1)=H$1,H$1,""),"")</f>
        <v/>
      </c>
      <c r="I1260" s="36" t="str">
        <f>IFERROR(IF(--MID($F1260,2*COUNTIF($G1260:H1260,"&gt;"&amp;0)+2,1)=I$1,I$1,""),"")</f>
        <v/>
      </c>
      <c r="J1260" s="36" t="str">
        <f>IFERROR(IF(--MID($F1260,2*COUNTIF($G1260:I1260,"&gt;"&amp;0)+2,1)=J$1,J$1,""),"")</f>
        <v/>
      </c>
      <c r="K1260" s="36" t="str">
        <f>IFERROR(IF(--MID($F1260,2*COUNTIF($G1260:J1260,"&gt;"&amp;0)+2,1)=K$1,K$1,""),"")</f>
        <v/>
      </c>
      <c r="L1260" s="36">
        <f>IFERROR(IF(--MID($F1260,2*COUNTIF($G1260:K1260,"&gt;"&amp;0)+2,1)=L$1,L$1,""),"")</f>
        <v>6</v>
      </c>
      <c r="M1260" s="36" t="e" cm="1">
        <f t="array" ref="M1260">IF(A1260="","",_xlfn.XLOOKUP(D1260&amp;"_"&amp;AE1260,符文权重!A:A&amp;"_"&amp;符文权重!C:C,符文权重!D:D))</f>
        <v>#N/A</v>
      </c>
      <c r="N1260" s="36"/>
      <c r="O1260" s="36"/>
      <c r="P1260" s="36"/>
      <c r="Q1260" s="36"/>
      <c r="R1260" s="36"/>
      <c r="S1260" s="36" t="s">
        <v>192</v>
      </c>
      <c r="T1260" s="36" t="s">
        <v>230</v>
      </c>
      <c r="U1260" s="36" t="s">
        <v>429</v>
      </c>
      <c r="V1260" s="29" t="s">
        <v>1566</v>
      </c>
      <c r="W1260" s="79"/>
      <c r="X1260" s="35" t="s">
        <v>1491</v>
      </c>
      <c r="Y1260" s="35">
        <v>100</v>
      </c>
      <c r="AA1260" s="36" t="s">
        <v>191</v>
      </c>
      <c r="AB1260" s="79" t="s">
        <v>1567</v>
      </c>
      <c r="AC1260" s="31">
        <v>5505121</v>
      </c>
      <c r="AD1260" s="79" t="s">
        <v>447</v>
      </c>
      <c r="AE1260" s="36">
        <v>100</v>
      </c>
      <c r="AF1260" s="79"/>
      <c r="AG1260" s="79">
        <v>1</v>
      </c>
      <c r="AH1260" s="36">
        <v>1</v>
      </c>
      <c r="AI1260" s="82"/>
      <c r="AJ1260" s="84"/>
      <c r="AL1260" s="35"/>
    </row>
    <row r="1261" s="31" customFormat="1" hidden="1" customHeight="1" spans="1:38">
      <c r="A1261" s="82">
        <v>5305317</v>
      </c>
      <c r="B1261" s="34"/>
      <c r="C1261" s="31">
        <v>5301316</v>
      </c>
      <c r="D1261" s="79">
        <v>5</v>
      </c>
      <c r="E1261" s="79"/>
      <c r="F1261" s="79" t="s">
        <v>404</v>
      </c>
      <c r="G1261" s="36" t="str">
        <f t="shared" si="278"/>
        <v/>
      </c>
      <c r="H1261" s="36" t="str">
        <f>IFERROR(IF(--MID($F1261,2*COUNTIF($G1261:G1261,"&gt;"&amp;0)+2,1)=H$1,H$1,""),"")</f>
        <v/>
      </c>
      <c r="I1261" s="36" t="str">
        <f>IFERROR(IF(--MID($F1261,2*COUNTIF($G1261:H1261,"&gt;"&amp;0)+2,1)=I$1,I$1,""),"")</f>
        <v/>
      </c>
      <c r="J1261" s="36">
        <f>IFERROR(IF(--MID($F1261,2*COUNTIF($G1261:I1261,"&gt;"&amp;0)+2,1)=J$1,J$1,""),"")</f>
        <v>4</v>
      </c>
      <c r="K1261" s="36" t="str">
        <f>IFERROR(IF(--MID($F1261,2*COUNTIF($G1261:J1261,"&gt;"&amp;0)+2,1)=K$1,K$1,""),"")</f>
        <v/>
      </c>
      <c r="L1261" s="36" t="str">
        <f>IFERROR(IF(--MID($F1261,2*COUNTIF($G1261:K1261,"&gt;"&amp;0)+2,1)=L$1,L$1,""),"")</f>
        <v/>
      </c>
      <c r="M1261" s="36" t="e" cm="1">
        <f t="array" ref="M1261">IF(A1261="","",_xlfn.XLOOKUP(D1261&amp;"_"&amp;AE1261,符文权重!A:A&amp;"_"&amp;符文权重!C:C,符文权重!D:D))</f>
        <v>#N/A</v>
      </c>
      <c r="N1261" s="36"/>
      <c r="O1261" s="36"/>
      <c r="P1261" s="36"/>
      <c r="Q1261" s="36"/>
      <c r="R1261" s="36"/>
      <c r="S1261" s="36" t="s">
        <v>192</v>
      </c>
      <c r="T1261" s="36" t="s">
        <v>193</v>
      </c>
      <c r="U1261" s="36" t="s">
        <v>423</v>
      </c>
      <c r="V1261" s="29" t="s">
        <v>1568</v>
      </c>
      <c r="W1261" s="79" t="s">
        <v>1569</v>
      </c>
      <c r="X1261" s="35" t="s">
        <v>1485</v>
      </c>
      <c r="Y1261" s="35">
        <v>100</v>
      </c>
      <c r="AA1261" s="36" t="s">
        <v>187</v>
      </c>
      <c r="AB1261" s="79" t="s">
        <v>1570</v>
      </c>
      <c r="AC1261" s="31">
        <v>5301317</v>
      </c>
      <c r="AD1261" s="79" t="s">
        <v>1571</v>
      </c>
      <c r="AE1261" s="36">
        <v>100</v>
      </c>
      <c r="AF1261" s="79"/>
      <c r="AG1261" s="79">
        <v>1</v>
      </c>
      <c r="AH1261" s="36">
        <v>1</v>
      </c>
      <c r="AI1261" s="82"/>
      <c r="AJ1261" s="84"/>
      <c r="AL1261" s="35"/>
    </row>
    <row r="1262" s="31" customFormat="1" hidden="1" customHeight="1" spans="1:38">
      <c r="A1262" s="82">
        <v>5306317</v>
      </c>
      <c r="B1262" s="34"/>
      <c r="C1262" s="31">
        <v>5301316</v>
      </c>
      <c r="D1262" s="79">
        <v>6</v>
      </c>
      <c r="E1262" s="79"/>
      <c r="F1262" s="79" t="s">
        <v>404</v>
      </c>
      <c r="G1262" s="36" t="str">
        <f t="shared" si="278"/>
        <v/>
      </c>
      <c r="H1262" s="36" t="str">
        <f>IFERROR(IF(--MID($F1262,2*COUNTIF($G1262:G1262,"&gt;"&amp;0)+2,1)=H$1,H$1,""),"")</f>
        <v/>
      </c>
      <c r="I1262" s="36" t="str">
        <f>IFERROR(IF(--MID($F1262,2*COUNTIF($G1262:H1262,"&gt;"&amp;0)+2,1)=I$1,I$1,""),"")</f>
        <v/>
      </c>
      <c r="J1262" s="36">
        <f>IFERROR(IF(--MID($F1262,2*COUNTIF($G1262:I1262,"&gt;"&amp;0)+2,1)=J$1,J$1,""),"")</f>
        <v>4</v>
      </c>
      <c r="K1262" s="36" t="str">
        <f>IFERROR(IF(--MID($F1262,2*COUNTIF($G1262:J1262,"&gt;"&amp;0)+2,1)=K$1,K$1,""),"")</f>
        <v/>
      </c>
      <c r="L1262" s="36" t="str">
        <f>IFERROR(IF(--MID($F1262,2*COUNTIF($G1262:K1262,"&gt;"&amp;0)+2,1)=L$1,L$1,""),"")</f>
        <v/>
      </c>
      <c r="M1262" s="36" t="e" cm="1">
        <f t="array" ref="M1262">IF(A1262="","",_xlfn.XLOOKUP(D1262&amp;"_"&amp;AE1262,符文权重!A:A&amp;"_"&amp;符文权重!C:C,符文权重!D:D))</f>
        <v>#N/A</v>
      </c>
      <c r="N1262" s="36"/>
      <c r="O1262" s="36"/>
      <c r="P1262" s="36"/>
      <c r="Q1262" s="36"/>
      <c r="R1262" s="36"/>
      <c r="S1262" s="36" t="s">
        <v>192</v>
      </c>
      <c r="T1262" s="36" t="s">
        <v>193</v>
      </c>
      <c r="U1262" s="36" t="s">
        <v>426</v>
      </c>
      <c r="V1262" s="29" t="s">
        <v>1572</v>
      </c>
      <c r="W1262" s="79"/>
      <c r="X1262" s="35" t="s">
        <v>1488</v>
      </c>
      <c r="Y1262" s="35">
        <v>100</v>
      </c>
      <c r="AA1262" s="36" t="s">
        <v>189</v>
      </c>
      <c r="AB1262" s="79" t="s">
        <v>1573</v>
      </c>
      <c r="AC1262" s="31">
        <v>53013171</v>
      </c>
      <c r="AD1262" s="79" t="s">
        <v>436</v>
      </c>
      <c r="AE1262" s="36">
        <v>100</v>
      </c>
      <c r="AF1262" s="79"/>
      <c r="AG1262" s="79">
        <v>1</v>
      </c>
      <c r="AH1262" s="36">
        <v>1</v>
      </c>
      <c r="AI1262" s="82"/>
      <c r="AJ1262" s="84"/>
      <c r="AL1262" s="35"/>
    </row>
    <row r="1263" s="31" customFormat="1" hidden="1" customHeight="1" spans="1:38">
      <c r="A1263" s="82">
        <v>5307317</v>
      </c>
      <c r="B1263" s="34"/>
      <c r="C1263" s="31">
        <v>5301316</v>
      </c>
      <c r="D1263" s="79">
        <v>7</v>
      </c>
      <c r="E1263" s="79"/>
      <c r="F1263" s="79" t="s">
        <v>404</v>
      </c>
      <c r="G1263" s="36" t="str">
        <f t="shared" si="278"/>
        <v/>
      </c>
      <c r="H1263" s="36" t="str">
        <f>IFERROR(IF(--MID($F1263,2*COUNTIF($G1263:G1263,"&gt;"&amp;0)+2,1)=H$1,H$1,""),"")</f>
        <v/>
      </c>
      <c r="I1263" s="36" t="str">
        <f>IFERROR(IF(--MID($F1263,2*COUNTIF($G1263:H1263,"&gt;"&amp;0)+2,1)=I$1,I$1,""),"")</f>
        <v/>
      </c>
      <c r="J1263" s="36">
        <f>IFERROR(IF(--MID($F1263,2*COUNTIF($G1263:I1263,"&gt;"&amp;0)+2,1)=J$1,J$1,""),"")</f>
        <v>4</v>
      </c>
      <c r="K1263" s="36" t="str">
        <f>IFERROR(IF(--MID($F1263,2*COUNTIF($G1263:J1263,"&gt;"&amp;0)+2,1)=K$1,K$1,""),"")</f>
        <v/>
      </c>
      <c r="L1263" s="36" t="str">
        <f>IFERROR(IF(--MID($F1263,2*COUNTIF($G1263:K1263,"&gt;"&amp;0)+2,1)=L$1,L$1,""),"")</f>
        <v/>
      </c>
      <c r="M1263" s="36" t="e" cm="1">
        <f t="array" ref="M1263">IF(A1263="","",_xlfn.XLOOKUP(D1263&amp;"_"&amp;AE1263,符文权重!A:A&amp;"_"&amp;符文权重!C:C,符文权重!D:D))</f>
        <v>#N/A</v>
      </c>
      <c r="N1263" s="36"/>
      <c r="O1263" s="36"/>
      <c r="P1263" s="36"/>
      <c r="Q1263" s="36"/>
      <c r="R1263" s="36"/>
      <c r="S1263" s="36" t="s">
        <v>192</v>
      </c>
      <c r="T1263" s="36" t="s">
        <v>193</v>
      </c>
      <c r="U1263" s="36" t="s">
        <v>429</v>
      </c>
      <c r="V1263" s="29" t="s">
        <v>1574</v>
      </c>
      <c r="W1263" s="79" t="s">
        <v>576</v>
      </c>
      <c r="X1263" s="35" t="s">
        <v>1491</v>
      </c>
      <c r="Y1263" s="35">
        <v>100</v>
      </c>
      <c r="AA1263" s="36" t="s">
        <v>191</v>
      </c>
      <c r="AB1263" s="79" t="s">
        <v>1575</v>
      </c>
      <c r="AC1263" s="31">
        <v>53013172</v>
      </c>
      <c r="AD1263" s="79" t="s">
        <v>422</v>
      </c>
      <c r="AE1263" s="36">
        <v>100</v>
      </c>
      <c r="AF1263" s="79"/>
      <c r="AG1263" s="79">
        <v>1</v>
      </c>
      <c r="AH1263" s="36">
        <v>1</v>
      </c>
      <c r="AI1263" s="82"/>
      <c r="AJ1263" s="84"/>
      <c r="AL1263" s="35"/>
    </row>
    <row r="1264" s="31" customFormat="1" hidden="1" customHeight="1" spans="1:38">
      <c r="A1264" s="82">
        <v>5305318</v>
      </c>
      <c r="B1264" s="34"/>
      <c r="C1264" s="31">
        <v>5301316</v>
      </c>
      <c r="D1264" s="79">
        <v>5</v>
      </c>
      <c r="E1264" s="79"/>
      <c r="F1264" s="79" t="s">
        <v>220</v>
      </c>
      <c r="G1264" s="36" t="str">
        <f t="shared" si="278"/>
        <v/>
      </c>
      <c r="H1264" s="36" t="str">
        <f>IFERROR(IF(--MID($F1264,2*COUNTIF($G1264:G1264,"&gt;"&amp;0)+2,1)=H$1,H$1,""),"")</f>
        <v/>
      </c>
      <c r="I1264" s="36" t="str">
        <f>IFERROR(IF(--MID($F1264,2*COUNTIF($G1264:H1264,"&gt;"&amp;0)+2,1)=I$1,I$1,""),"")</f>
        <v/>
      </c>
      <c r="J1264" s="36" t="str">
        <f>IFERROR(IF(--MID($F1264,2*COUNTIF($G1264:I1264,"&gt;"&amp;0)+2,1)=J$1,J$1,""),"")</f>
        <v/>
      </c>
      <c r="K1264" s="36" t="str">
        <f>IFERROR(IF(--MID($F1264,2*COUNTIF($G1264:J1264,"&gt;"&amp;0)+2,1)=K$1,K$1,""),"")</f>
        <v/>
      </c>
      <c r="L1264" s="36">
        <f>IFERROR(IF(--MID($F1264,2*COUNTIF($G1264:K1264,"&gt;"&amp;0)+2,1)=L$1,L$1,""),"")</f>
        <v>6</v>
      </c>
      <c r="M1264" s="36" t="e" cm="1">
        <f t="array" ref="M1264">IF(A1264="","",_xlfn.XLOOKUP(D1264&amp;"_"&amp;AE1264,符文权重!A:A&amp;"_"&amp;符文权重!C:C,符文权重!D:D))</f>
        <v>#N/A</v>
      </c>
      <c r="N1264" s="36"/>
      <c r="O1264" s="36"/>
      <c r="P1264" s="36"/>
      <c r="Q1264" s="36"/>
      <c r="R1264" s="36"/>
      <c r="S1264" s="36" t="s">
        <v>192</v>
      </c>
      <c r="T1264" s="36" t="s">
        <v>193</v>
      </c>
      <c r="U1264" s="36" t="s">
        <v>423</v>
      </c>
      <c r="V1264" s="29" t="s">
        <v>1576</v>
      </c>
      <c r="W1264" s="79"/>
      <c r="X1264" s="35" t="s">
        <v>1485</v>
      </c>
      <c r="Y1264" s="35">
        <v>100</v>
      </c>
      <c r="AA1264" s="36" t="s">
        <v>187</v>
      </c>
      <c r="AB1264" s="79" t="s">
        <v>1577</v>
      </c>
      <c r="AC1264" s="31">
        <v>5505051</v>
      </c>
      <c r="AD1264" s="79" t="s">
        <v>404</v>
      </c>
      <c r="AE1264" s="36">
        <v>100</v>
      </c>
      <c r="AF1264" s="79"/>
      <c r="AG1264" s="79">
        <v>1</v>
      </c>
      <c r="AH1264" s="36">
        <v>1</v>
      </c>
      <c r="AL1264" s="35"/>
    </row>
    <row r="1265" s="31" customFormat="1" hidden="1" customHeight="1" spans="1:38">
      <c r="A1265" s="82">
        <v>5306318</v>
      </c>
      <c r="B1265" s="34"/>
      <c r="C1265" s="31">
        <v>5301316</v>
      </c>
      <c r="D1265" s="79">
        <v>6</v>
      </c>
      <c r="E1265" s="79"/>
      <c r="F1265" s="79" t="s">
        <v>220</v>
      </c>
      <c r="G1265" s="36" t="str">
        <f t="shared" si="278"/>
        <v/>
      </c>
      <c r="H1265" s="36" t="str">
        <f>IFERROR(IF(--MID($F1265,2*COUNTIF($G1265:G1265,"&gt;"&amp;0)+2,1)=H$1,H$1,""),"")</f>
        <v/>
      </c>
      <c r="I1265" s="36" t="str">
        <f>IFERROR(IF(--MID($F1265,2*COUNTIF($G1265:H1265,"&gt;"&amp;0)+2,1)=I$1,I$1,""),"")</f>
        <v/>
      </c>
      <c r="J1265" s="36" t="str">
        <f>IFERROR(IF(--MID($F1265,2*COUNTIF($G1265:I1265,"&gt;"&amp;0)+2,1)=J$1,J$1,""),"")</f>
        <v/>
      </c>
      <c r="K1265" s="36" t="str">
        <f>IFERROR(IF(--MID($F1265,2*COUNTIF($G1265:J1265,"&gt;"&amp;0)+2,1)=K$1,K$1,""),"")</f>
        <v/>
      </c>
      <c r="L1265" s="36">
        <f>IFERROR(IF(--MID($F1265,2*COUNTIF($G1265:K1265,"&gt;"&amp;0)+2,1)=L$1,L$1,""),"")</f>
        <v>6</v>
      </c>
      <c r="M1265" s="36" t="e" cm="1">
        <f t="array" ref="M1265">IF(A1265="","",_xlfn.XLOOKUP(D1265&amp;"_"&amp;AE1265,符文权重!A:A&amp;"_"&amp;符文权重!C:C,符文权重!D:D))</f>
        <v>#N/A</v>
      </c>
      <c r="N1265" s="36"/>
      <c r="O1265" s="36"/>
      <c r="P1265" s="36"/>
      <c r="Q1265" s="36"/>
      <c r="R1265" s="36"/>
      <c r="S1265" s="36" t="s">
        <v>192</v>
      </c>
      <c r="T1265" s="36" t="s">
        <v>193</v>
      </c>
      <c r="U1265" s="36" t="s">
        <v>426</v>
      </c>
      <c r="V1265" s="29" t="s">
        <v>1578</v>
      </c>
      <c r="W1265" s="79"/>
      <c r="X1265" s="35" t="s">
        <v>1488</v>
      </c>
      <c r="Y1265" s="35">
        <v>100</v>
      </c>
      <c r="AA1265" s="36" t="s">
        <v>189</v>
      </c>
      <c r="AB1265" s="79" t="s">
        <v>1579</v>
      </c>
      <c r="AC1265" s="31">
        <v>5505051</v>
      </c>
      <c r="AD1265" s="79" t="s">
        <v>230</v>
      </c>
      <c r="AE1265" s="36">
        <v>100</v>
      </c>
      <c r="AF1265" s="79"/>
      <c r="AG1265" s="79">
        <v>1</v>
      </c>
      <c r="AH1265" s="36">
        <v>1</v>
      </c>
      <c r="AL1265" s="35"/>
    </row>
    <row r="1266" s="31" customFormat="1" hidden="1" customHeight="1" spans="1:38">
      <c r="A1266" s="82">
        <v>5307318</v>
      </c>
      <c r="B1266" s="34"/>
      <c r="C1266" s="31">
        <v>5301316</v>
      </c>
      <c r="D1266" s="79">
        <v>7</v>
      </c>
      <c r="E1266" s="79"/>
      <c r="F1266" s="79" t="s">
        <v>220</v>
      </c>
      <c r="G1266" s="36" t="str">
        <f t="shared" si="278"/>
        <v/>
      </c>
      <c r="H1266" s="36" t="str">
        <f>IFERROR(IF(--MID($F1266,2*COUNTIF($G1266:G1266,"&gt;"&amp;0)+2,1)=H$1,H$1,""),"")</f>
        <v/>
      </c>
      <c r="I1266" s="36" t="str">
        <f>IFERROR(IF(--MID($F1266,2*COUNTIF($G1266:H1266,"&gt;"&amp;0)+2,1)=I$1,I$1,""),"")</f>
        <v/>
      </c>
      <c r="J1266" s="36" t="str">
        <f>IFERROR(IF(--MID($F1266,2*COUNTIF($G1266:I1266,"&gt;"&amp;0)+2,1)=J$1,J$1,""),"")</f>
        <v/>
      </c>
      <c r="K1266" s="36" t="str">
        <f>IFERROR(IF(--MID($F1266,2*COUNTIF($G1266:J1266,"&gt;"&amp;0)+2,1)=K$1,K$1,""),"")</f>
        <v/>
      </c>
      <c r="L1266" s="36">
        <f>IFERROR(IF(--MID($F1266,2*COUNTIF($G1266:K1266,"&gt;"&amp;0)+2,1)=L$1,L$1,""),"")</f>
        <v>6</v>
      </c>
      <c r="M1266" s="36" t="e" cm="1">
        <f t="array" ref="M1266">IF(A1266="","",_xlfn.XLOOKUP(D1266&amp;"_"&amp;AE1266,符文权重!A:A&amp;"_"&amp;符文权重!C:C,符文权重!D:D))</f>
        <v>#N/A</v>
      </c>
      <c r="N1266" s="36"/>
      <c r="O1266" s="36"/>
      <c r="P1266" s="36"/>
      <c r="Q1266" s="36"/>
      <c r="R1266" s="36"/>
      <c r="S1266" s="36" t="s">
        <v>192</v>
      </c>
      <c r="T1266" s="36" t="s">
        <v>193</v>
      </c>
      <c r="U1266" s="36" t="s">
        <v>429</v>
      </c>
      <c r="V1266" s="29" t="s">
        <v>1580</v>
      </c>
      <c r="W1266" s="79"/>
      <c r="X1266" s="35" t="s">
        <v>1491</v>
      </c>
      <c r="Y1266" s="35">
        <v>100</v>
      </c>
      <c r="AA1266" s="36" t="s">
        <v>191</v>
      </c>
      <c r="AB1266" s="79" t="s">
        <v>1581</v>
      </c>
      <c r="AC1266" s="31">
        <v>5505051</v>
      </c>
      <c r="AD1266" s="79" t="s">
        <v>220</v>
      </c>
      <c r="AE1266" s="36">
        <v>100</v>
      </c>
      <c r="AF1266" s="79"/>
      <c r="AG1266" s="79">
        <v>1</v>
      </c>
      <c r="AH1266" s="36">
        <v>1</v>
      </c>
      <c r="AL1266" s="35"/>
    </row>
    <row r="1267" hidden="1" customHeight="1" spans="1:38">
      <c r="A1267" s="33">
        <v>5305319</v>
      </c>
      <c r="C1267" s="35">
        <v>5301319</v>
      </c>
      <c r="D1267" s="36">
        <v>5</v>
      </c>
      <c r="E1267" s="36"/>
      <c r="F1267" s="36" t="s">
        <v>230</v>
      </c>
      <c r="G1267" s="36" t="str">
        <f t="shared" si="278"/>
        <v/>
      </c>
      <c r="H1267" s="36" t="str">
        <f>IFERROR(IF(--MID($F1267,2*COUNTIF($G1267:G1267,"&gt;"&amp;0)+2,1)=H$1,H$1,""),"")</f>
        <v/>
      </c>
      <c r="I1267" s="36" t="str">
        <f>IFERROR(IF(--MID($F1267,2*COUNTIF($G1267:H1267,"&gt;"&amp;0)+2,1)=I$1,I$1,""),"")</f>
        <v/>
      </c>
      <c r="J1267" s="36" t="str">
        <f>IFERROR(IF(--MID($F1267,2*COUNTIF($G1267:I1267,"&gt;"&amp;0)+2,1)=J$1,J$1,""),"")</f>
        <v/>
      </c>
      <c r="K1267" s="36">
        <f>IFERROR(IF(--MID($F1267,2*COUNTIF($G1267:J1267,"&gt;"&amp;0)+2,1)=K$1,K$1,""),"")</f>
        <v>5</v>
      </c>
      <c r="L1267" s="36" t="str">
        <f>IFERROR(IF(--MID($F1267,2*COUNTIF($G1267:K1267,"&gt;"&amp;0)+2,1)=L$1,L$1,""),"")</f>
        <v/>
      </c>
      <c r="M1267" s="36" t="e" cm="1">
        <f t="array" ref="M1267">IF(A1267="","",_xlfn.XLOOKUP(D1267&amp;"_"&amp;AE1267,符文权重!A:A&amp;"_"&amp;符文权重!C:C,符文权重!D:D))</f>
        <v>#N/A</v>
      </c>
      <c r="N1267" s="36"/>
      <c r="O1267" s="36"/>
      <c r="P1267" s="36"/>
      <c r="Q1267" s="36"/>
      <c r="R1267" s="36"/>
      <c r="S1267" s="36" t="s">
        <v>175</v>
      </c>
      <c r="T1267" s="36"/>
      <c r="U1267" s="36" t="s">
        <v>423</v>
      </c>
      <c r="V1267" s="25" t="s">
        <v>1582</v>
      </c>
      <c r="X1267" s="35" t="s">
        <v>1583</v>
      </c>
      <c r="Y1267" s="35">
        <v>100</v>
      </c>
      <c r="AA1267" s="36" t="s">
        <v>187</v>
      </c>
      <c r="AB1267" s="36" t="s">
        <v>1584</v>
      </c>
      <c r="AC1267" s="35">
        <v>5506011</v>
      </c>
      <c r="AD1267" s="36" t="s">
        <v>472</v>
      </c>
      <c r="AE1267" s="36">
        <v>100</v>
      </c>
      <c r="AF1267" s="36"/>
      <c r="AG1267" s="79">
        <v>1</v>
      </c>
      <c r="AH1267" s="36">
        <v>1</v>
      </c>
    </row>
    <row r="1268" hidden="1" customHeight="1" spans="1:38">
      <c r="A1268" s="33">
        <v>5306319</v>
      </c>
      <c r="C1268" s="35">
        <v>5301319</v>
      </c>
      <c r="D1268" s="36">
        <v>6</v>
      </c>
      <c r="E1268" s="36"/>
      <c r="F1268" s="36" t="s">
        <v>230</v>
      </c>
      <c r="G1268" s="36" t="str">
        <f t="shared" si="278"/>
        <v/>
      </c>
      <c r="H1268" s="36" t="str">
        <f>IFERROR(IF(--MID($F1268,2*COUNTIF($G1268:G1268,"&gt;"&amp;0)+2,1)=H$1,H$1,""),"")</f>
        <v/>
      </c>
      <c r="I1268" s="36" t="str">
        <f>IFERROR(IF(--MID($F1268,2*COUNTIF($G1268:H1268,"&gt;"&amp;0)+2,1)=I$1,I$1,""),"")</f>
        <v/>
      </c>
      <c r="J1268" s="36" t="str">
        <f>IFERROR(IF(--MID($F1268,2*COUNTIF($G1268:I1268,"&gt;"&amp;0)+2,1)=J$1,J$1,""),"")</f>
        <v/>
      </c>
      <c r="K1268" s="36">
        <f>IFERROR(IF(--MID($F1268,2*COUNTIF($G1268:J1268,"&gt;"&amp;0)+2,1)=K$1,K$1,""),"")</f>
        <v>5</v>
      </c>
      <c r="L1268" s="36" t="str">
        <f>IFERROR(IF(--MID($F1268,2*COUNTIF($G1268:K1268,"&gt;"&amp;0)+2,1)=L$1,L$1,""),"")</f>
        <v/>
      </c>
      <c r="M1268" s="36" t="e" cm="1">
        <f t="array" ref="M1268">IF(A1268="","",_xlfn.XLOOKUP(D1268&amp;"_"&amp;AE1268,符文权重!A:A&amp;"_"&amp;符文权重!C:C,符文权重!D:D))</f>
        <v>#N/A</v>
      </c>
      <c r="N1268" s="36"/>
      <c r="O1268" s="36"/>
      <c r="P1268" s="36"/>
      <c r="Q1268" s="36"/>
      <c r="R1268" s="36"/>
      <c r="S1268" s="36" t="s">
        <v>175</v>
      </c>
      <c r="T1268" s="36"/>
      <c r="U1268" s="36" t="s">
        <v>426</v>
      </c>
      <c r="V1268" s="25" t="s">
        <v>1585</v>
      </c>
      <c r="X1268" s="35" t="s">
        <v>1586</v>
      </c>
      <c r="Y1268" s="35">
        <v>100</v>
      </c>
      <c r="AA1268" s="36" t="s">
        <v>189</v>
      </c>
      <c r="AB1268" s="36" t="s">
        <v>1587</v>
      </c>
      <c r="AC1268" s="35">
        <v>5506011</v>
      </c>
      <c r="AD1268" s="36" t="s">
        <v>667</v>
      </c>
      <c r="AE1268" s="36">
        <v>100</v>
      </c>
      <c r="AF1268" s="36"/>
      <c r="AG1268" s="79">
        <v>1</v>
      </c>
      <c r="AH1268" s="36">
        <v>1</v>
      </c>
    </row>
    <row r="1269" hidden="1" customHeight="1" spans="1:38">
      <c r="A1269" s="33">
        <v>5307319</v>
      </c>
      <c r="C1269" s="35">
        <v>5301319</v>
      </c>
      <c r="D1269" s="36">
        <v>7</v>
      </c>
      <c r="E1269" s="36"/>
      <c r="F1269" s="36" t="s">
        <v>230</v>
      </c>
      <c r="G1269" s="36" t="str">
        <f t="shared" si="278"/>
        <v/>
      </c>
      <c r="H1269" s="36" t="str">
        <f>IFERROR(IF(--MID($F1269,2*COUNTIF($G1269:G1269,"&gt;"&amp;0)+2,1)=H$1,H$1,""),"")</f>
        <v/>
      </c>
      <c r="I1269" s="36" t="str">
        <f>IFERROR(IF(--MID($F1269,2*COUNTIF($G1269:H1269,"&gt;"&amp;0)+2,1)=I$1,I$1,""),"")</f>
        <v/>
      </c>
      <c r="J1269" s="36" t="str">
        <f>IFERROR(IF(--MID($F1269,2*COUNTIF($G1269:I1269,"&gt;"&amp;0)+2,1)=J$1,J$1,""),"")</f>
        <v/>
      </c>
      <c r="K1269" s="36">
        <f>IFERROR(IF(--MID($F1269,2*COUNTIF($G1269:J1269,"&gt;"&amp;0)+2,1)=K$1,K$1,""),"")</f>
        <v>5</v>
      </c>
      <c r="L1269" s="36" t="str">
        <f>IFERROR(IF(--MID($F1269,2*COUNTIF($G1269:K1269,"&gt;"&amp;0)+2,1)=L$1,L$1,""),"")</f>
        <v/>
      </c>
      <c r="M1269" s="36" t="e" cm="1">
        <f t="array" ref="M1269">IF(A1269="","",_xlfn.XLOOKUP(D1269&amp;"_"&amp;AE1269,符文权重!A:A&amp;"_"&amp;符文权重!C:C,符文权重!D:D))</f>
        <v>#N/A</v>
      </c>
      <c r="N1269" s="36"/>
      <c r="O1269" s="36"/>
      <c r="P1269" s="36"/>
      <c r="Q1269" s="36"/>
      <c r="R1269" s="36"/>
      <c r="S1269" s="36" t="s">
        <v>175</v>
      </c>
      <c r="T1269" s="36"/>
      <c r="U1269" s="36" t="s">
        <v>429</v>
      </c>
      <c r="V1269" s="25" t="s">
        <v>1588</v>
      </c>
      <c r="X1269" s="35" t="s">
        <v>1589</v>
      </c>
      <c r="Y1269" s="35">
        <v>100</v>
      </c>
      <c r="AA1269" s="36" t="s">
        <v>191</v>
      </c>
      <c r="AB1269" s="36" t="s">
        <v>1590</v>
      </c>
      <c r="AC1269" s="35">
        <v>5506011</v>
      </c>
      <c r="AD1269" s="36" t="s">
        <v>1112</v>
      </c>
      <c r="AE1269" s="36">
        <v>100</v>
      </c>
      <c r="AF1269" s="36"/>
      <c r="AG1269" s="79">
        <v>1</v>
      </c>
      <c r="AH1269" s="36">
        <v>1</v>
      </c>
    </row>
    <row r="1270" s="31" customFormat="1" hidden="1" customHeight="1" spans="1:38">
      <c r="A1270" s="82">
        <v>5305320</v>
      </c>
      <c r="B1270" s="34"/>
      <c r="C1270" s="31">
        <v>5301316</v>
      </c>
      <c r="D1270" s="79">
        <v>5</v>
      </c>
      <c r="E1270" s="79"/>
      <c r="F1270" s="79" t="s">
        <v>211</v>
      </c>
      <c r="G1270" s="36" t="str">
        <f t="shared" si="278"/>
        <v/>
      </c>
      <c r="H1270" s="36">
        <f>IFERROR(IF(--MID($F1270,2*COUNTIF($G1270:G1270,"&gt;"&amp;0)+2,1)=H$1,H$1,""),"")</f>
        <v>2</v>
      </c>
      <c r="I1270" s="36" t="str">
        <f>IFERROR(IF(--MID($F1270,2*COUNTIF($G1270:H1270,"&gt;"&amp;0)+2,1)=I$1,I$1,""),"")</f>
        <v/>
      </c>
      <c r="J1270" s="36" t="str">
        <f>IFERROR(IF(--MID($F1270,2*COUNTIF($G1270:I1270,"&gt;"&amp;0)+2,1)=J$1,J$1,""),"")</f>
        <v/>
      </c>
      <c r="K1270" s="36" t="str">
        <f>IFERROR(IF(--MID($F1270,2*COUNTIF($G1270:J1270,"&gt;"&amp;0)+2,1)=K$1,K$1,""),"")</f>
        <v/>
      </c>
      <c r="L1270" s="36" t="str">
        <f>IFERROR(IF(--MID($F1270,2*COUNTIF($G1270:K1270,"&gt;"&amp;0)+2,1)=L$1,L$1,""),"")</f>
        <v/>
      </c>
      <c r="M1270" s="36" t="e" cm="1">
        <f t="array" ref="M1270">IF(A1270="","",_xlfn.XLOOKUP(D1270&amp;"_"&amp;AE1270,符文权重!A:A&amp;"_"&amp;符文权重!C:C,符文权重!D:D))</f>
        <v>#N/A</v>
      </c>
      <c r="N1270" s="36"/>
      <c r="O1270" s="36"/>
      <c r="P1270" s="36"/>
      <c r="Q1270" s="36"/>
      <c r="R1270" s="36"/>
      <c r="S1270" s="36" t="s">
        <v>344</v>
      </c>
      <c r="T1270" s="36"/>
      <c r="U1270" s="36" t="s">
        <v>423</v>
      </c>
      <c r="V1270" s="29" t="s">
        <v>1591</v>
      </c>
      <c r="W1270" s="79"/>
      <c r="X1270" s="35" t="s">
        <v>1589</v>
      </c>
      <c r="Y1270" s="35">
        <v>100</v>
      </c>
      <c r="AA1270" s="36" t="s">
        <v>187</v>
      </c>
      <c r="AB1270" s="79" t="s">
        <v>1592</v>
      </c>
      <c r="AC1270" s="31">
        <v>5503081</v>
      </c>
      <c r="AD1270" s="79" t="s">
        <v>428</v>
      </c>
      <c r="AE1270" s="36">
        <v>100</v>
      </c>
      <c r="AF1270" s="79"/>
      <c r="AG1270" s="79">
        <v>1</v>
      </c>
      <c r="AH1270" s="36">
        <v>1</v>
      </c>
      <c r="AI1270" s="82"/>
      <c r="AJ1270" s="84"/>
      <c r="AL1270" s="35"/>
    </row>
    <row r="1271" s="31" customFormat="1" hidden="1" customHeight="1" spans="1:38">
      <c r="A1271" s="82">
        <v>5306320</v>
      </c>
      <c r="B1271" s="34"/>
      <c r="C1271" s="31">
        <v>5301316</v>
      </c>
      <c r="D1271" s="79">
        <v>6</v>
      </c>
      <c r="E1271" s="79"/>
      <c r="F1271" s="79" t="s">
        <v>211</v>
      </c>
      <c r="G1271" s="36" t="str">
        <f t="shared" si="278"/>
        <v/>
      </c>
      <c r="H1271" s="36">
        <f>IFERROR(IF(--MID($F1271,2*COUNTIF($G1271:G1271,"&gt;"&amp;0)+2,1)=H$1,H$1,""),"")</f>
        <v>2</v>
      </c>
      <c r="I1271" s="36" t="str">
        <f>IFERROR(IF(--MID($F1271,2*COUNTIF($G1271:H1271,"&gt;"&amp;0)+2,1)=I$1,I$1,""),"")</f>
        <v/>
      </c>
      <c r="J1271" s="36" t="str">
        <f>IFERROR(IF(--MID($F1271,2*COUNTIF($G1271:I1271,"&gt;"&amp;0)+2,1)=J$1,J$1,""),"")</f>
        <v/>
      </c>
      <c r="K1271" s="36" t="str">
        <f>IFERROR(IF(--MID($F1271,2*COUNTIF($G1271:J1271,"&gt;"&amp;0)+2,1)=K$1,K$1,""),"")</f>
        <v/>
      </c>
      <c r="L1271" s="36" t="str">
        <f>IFERROR(IF(--MID($F1271,2*COUNTIF($G1271:K1271,"&gt;"&amp;0)+2,1)=L$1,L$1,""),"")</f>
        <v/>
      </c>
      <c r="M1271" s="36" t="e" cm="1">
        <f t="array" ref="M1271">IF(A1271="","",_xlfn.XLOOKUP(D1271&amp;"_"&amp;AE1271,符文权重!A:A&amp;"_"&amp;符文权重!C:C,符文权重!D:D))</f>
        <v>#N/A</v>
      </c>
      <c r="N1271" s="36"/>
      <c r="O1271" s="36"/>
      <c r="P1271" s="36"/>
      <c r="Q1271" s="36"/>
      <c r="R1271" s="36"/>
      <c r="S1271" s="36" t="s">
        <v>344</v>
      </c>
      <c r="T1271" s="36"/>
      <c r="U1271" s="36" t="s">
        <v>426</v>
      </c>
      <c r="V1271" s="29" t="s">
        <v>1593</v>
      </c>
      <c r="W1271" s="79"/>
      <c r="X1271" s="35" t="s">
        <v>1594</v>
      </c>
      <c r="Y1271" s="35">
        <v>100</v>
      </c>
      <c r="AA1271" s="36" t="s">
        <v>189</v>
      </c>
      <c r="AB1271" s="79" t="s">
        <v>1595</v>
      </c>
      <c r="AC1271" s="31">
        <v>5503081</v>
      </c>
      <c r="AD1271" s="79" t="s">
        <v>487</v>
      </c>
      <c r="AE1271" s="36">
        <v>100</v>
      </c>
      <c r="AF1271" s="79"/>
      <c r="AG1271" s="79">
        <v>1</v>
      </c>
      <c r="AH1271" s="36">
        <v>1</v>
      </c>
      <c r="AI1271" s="82"/>
      <c r="AJ1271" s="84"/>
      <c r="AL1271" s="35"/>
    </row>
    <row r="1272" s="31" customFormat="1" hidden="1" customHeight="1" spans="1:38">
      <c r="A1272" s="82">
        <v>5307320</v>
      </c>
      <c r="B1272" s="34"/>
      <c r="C1272" s="31">
        <v>5301316</v>
      </c>
      <c r="D1272" s="79">
        <v>7</v>
      </c>
      <c r="E1272" s="79"/>
      <c r="F1272" s="79" t="s">
        <v>211</v>
      </c>
      <c r="G1272" s="36" t="str">
        <f t="shared" si="278"/>
        <v/>
      </c>
      <c r="H1272" s="36">
        <f>IFERROR(IF(--MID($F1272,2*COUNTIF($G1272:G1272,"&gt;"&amp;0)+2,1)=H$1,H$1,""),"")</f>
        <v>2</v>
      </c>
      <c r="I1272" s="36" t="str">
        <f>IFERROR(IF(--MID($F1272,2*COUNTIF($G1272:H1272,"&gt;"&amp;0)+2,1)=I$1,I$1,""),"")</f>
        <v/>
      </c>
      <c r="J1272" s="36" t="str">
        <f>IFERROR(IF(--MID($F1272,2*COUNTIF($G1272:I1272,"&gt;"&amp;0)+2,1)=J$1,J$1,""),"")</f>
        <v/>
      </c>
      <c r="K1272" s="36" t="str">
        <f>IFERROR(IF(--MID($F1272,2*COUNTIF($G1272:J1272,"&gt;"&amp;0)+2,1)=K$1,K$1,""),"")</f>
        <v/>
      </c>
      <c r="L1272" s="36" t="str">
        <f>IFERROR(IF(--MID($F1272,2*COUNTIF($G1272:K1272,"&gt;"&amp;0)+2,1)=L$1,L$1,""),"")</f>
        <v/>
      </c>
      <c r="M1272" s="36" t="e" cm="1">
        <f t="array" ref="M1272">IF(A1272="","",_xlfn.XLOOKUP(D1272&amp;"_"&amp;AE1272,符文权重!A:A&amp;"_"&amp;符文权重!C:C,符文权重!D:D))</f>
        <v>#N/A</v>
      </c>
      <c r="N1272" s="36"/>
      <c r="O1272" s="36"/>
      <c r="P1272" s="36"/>
      <c r="Q1272" s="36"/>
      <c r="R1272" s="36"/>
      <c r="S1272" s="36" t="s">
        <v>344</v>
      </c>
      <c r="T1272" s="36"/>
      <c r="U1272" s="36" t="s">
        <v>429</v>
      </c>
      <c r="V1272" s="29" t="s">
        <v>1596</v>
      </c>
      <c r="W1272" s="79"/>
      <c r="X1272" s="35" t="s">
        <v>1597</v>
      </c>
      <c r="Y1272" s="35">
        <v>100</v>
      </c>
      <c r="AA1272" s="36" t="s">
        <v>191</v>
      </c>
      <c r="AB1272" s="79" t="s">
        <v>1598</v>
      </c>
      <c r="AC1272" s="31">
        <v>5503081</v>
      </c>
      <c r="AD1272" s="79" t="s">
        <v>497</v>
      </c>
      <c r="AE1272" s="36">
        <v>100</v>
      </c>
      <c r="AF1272" s="79"/>
      <c r="AG1272" s="79">
        <v>1</v>
      </c>
      <c r="AH1272" s="36">
        <v>1</v>
      </c>
      <c r="AI1272" s="82"/>
      <c r="AJ1272" s="84"/>
      <c r="AL1272" s="35"/>
    </row>
    <row r="1273" hidden="1" customHeight="1" spans="1:38">
      <c r="A1273" s="33">
        <v>5305321</v>
      </c>
      <c r="C1273" s="35">
        <v>5301321</v>
      </c>
      <c r="D1273" s="36">
        <v>5</v>
      </c>
      <c r="E1273" s="36"/>
      <c r="F1273" s="36" t="s">
        <v>404</v>
      </c>
      <c r="G1273" s="36" t="str">
        <f t="shared" si="278"/>
        <v/>
      </c>
      <c r="H1273" s="36" t="str">
        <f>IFERROR(IF(--MID($F1273,2*COUNTIF($G1273:G1273,"&gt;"&amp;0)+2,1)=H$1,H$1,""),"")</f>
        <v/>
      </c>
      <c r="I1273" s="36" t="str">
        <f>IFERROR(IF(--MID($F1273,2*COUNTIF($G1273:H1273,"&gt;"&amp;0)+2,1)=I$1,I$1,""),"")</f>
        <v/>
      </c>
      <c r="J1273" s="36">
        <f>IFERROR(IF(--MID($F1273,2*COUNTIF($G1273:I1273,"&gt;"&amp;0)+2,1)=J$1,J$1,""),"")</f>
        <v>4</v>
      </c>
      <c r="K1273" s="36" t="str">
        <f>IFERROR(IF(--MID($F1273,2*COUNTIF($G1273:J1273,"&gt;"&amp;0)+2,1)=K$1,K$1,""),"")</f>
        <v/>
      </c>
      <c r="L1273" s="36" t="str">
        <f>IFERROR(IF(--MID($F1273,2*COUNTIF($G1273:K1273,"&gt;"&amp;0)+2,1)=L$1,L$1,""),"")</f>
        <v/>
      </c>
      <c r="M1273" s="36" t="e" cm="1">
        <f t="array" ref="M1273">IF(A1273="","",_xlfn.XLOOKUP(D1273&amp;"_"&amp;AE1273,符文权重!A:A&amp;"_"&amp;符文权重!C:C,符文权重!D:D))</f>
        <v>#N/A</v>
      </c>
      <c r="N1273" s="36"/>
      <c r="O1273" s="36"/>
      <c r="P1273" s="36"/>
      <c r="Q1273" s="36"/>
      <c r="R1273" s="36"/>
      <c r="S1273" s="36" t="s">
        <v>175</v>
      </c>
      <c r="T1273" s="36"/>
      <c r="U1273" s="36" t="s">
        <v>423</v>
      </c>
      <c r="V1273" s="25" t="s">
        <v>1599</v>
      </c>
      <c r="X1273" s="35" t="s">
        <v>1589</v>
      </c>
      <c r="Y1273" s="35">
        <v>100</v>
      </c>
      <c r="AA1273" s="36" t="s">
        <v>187</v>
      </c>
      <c r="AB1273" s="36" t="s">
        <v>1600</v>
      </c>
      <c r="AC1273" s="35">
        <v>5505011</v>
      </c>
      <c r="AD1273" s="36" t="s">
        <v>425</v>
      </c>
      <c r="AE1273" s="36">
        <v>100</v>
      </c>
      <c r="AF1273" s="36"/>
      <c r="AG1273" s="79">
        <v>1</v>
      </c>
      <c r="AH1273" s="36">
        <v>1</v>
      </c>
    </row>
    <row r="1274" hidden="1" customHeight="1" spans="1:38">
      <c r="A1274" s="33">
        <v>5306321</v>
      </c>
      <c r="C1274" s="35">
        <v>5301321</v>
      </c>
      <c r="D1274" s="36">
        <v>6</v>
      </c>
      <c r="E1274" s="36"/>
      <c r="F1274" s="36" t="s">
        <v>404</v>
      </c>
      <c r="G1274" s="36" t="str">
        <f t="shared" si="278"/>
        <v/>
      </c>
      <c r="H1274" s="36" t="str">
        <f>IFERROR(IF(--MID($F1274,2*COUNTIF($G1274:G1274,"&gt;"&amp;0)+2,1)=H$1,H$1,""),"")</f>
        <v/>
      </c>
      <c r="I1274" s="36" t="str">
        <f>IFERROR(IF(--MID($F1274,2*COUNTIF($G1274:H1274,"&gt;"&amp;0)+2,1)=I$1,I$1,""),"")</f>
        <v/>
      </c>
      <c r="J1274" s="36">
        <f>IFERROR(IF(--MID($F1274,2*COUNTIF($G1274:I1274,"&gt;"&amp;0)+2,1)=J$1,J$1,""),"")</f>
        <v>4</v>
      </c>
      <c r="K1274" s="36" t="str">
        <f>IFERROR(IF(--MID($F1274,2*COUNTIF($G1274:J1274,"&gt;"&amp;0)+2,1)=K$1,K$1,""),"")</f>
        <v/>
      </c>
      <c r="L1274" s="36" t="str">
        <f>IFERROR(IF(--MID($F1274,2*COUNTIF($G1274:K1274,"&gt;"&amp;0)+2,1)=L$1,L$1,""),"")</f>
        <v/>
      </c>
      <c r="M1274" s="36" t="e" cm="1">
        <f t="array" ref="M1274">IF(A1274="","",_xlfn.XLOOKUP(D1274&amp;"_"&amp;AE1274,符文权重!A:A&amp;"_"&amp;符文权重!C:C,符文权重!D:D))</f>
        <v>#N/A</v>
      </c>
      <c r="N1274" s="36"/>
      <c r="O1274" s="36"/>
      <c r="P1274" s="36"/>
      <c r="Q1274" s="36"/>
      <c r="R1274" s="36"/>
      <c r="S1274" s="36" t="s">
        <v>175</v>
      </c>
      <c r="T1274" s="36"/>
      <c r="U1274" s="36" t="s">
        <v>426</v>
      </c>
      <c r="V1274" s="25" t="s">
        <v>1601</v>
      </c>
      <c r="X1274" s="35" t="s">
        <v>1594</v>
      </c>
      <c r="Y1274" s="35">
        <v>100</v>
      </c>
      <c r="AA1274" s="36" t="s">
        <v>189</v>
      </c>
      <c r="AB1274" s="36" t="s">
        <v>1602</v>
      </c>
      <c r="AC1274" s="35">
        <v>5505011</v>
      </c>
      <c r="AD1274" s="36" t="s">
        <v>428</v>
      </c>
      <c r="AE1274" s="36">
        <v>100</v>
      </c>
      <c r="AF1274" s="36"/>
      <c r="AG1274" s="79">
        <v>1</v>
      </c>
      <c r="AH1274" s="36">
        <v>1</v>
      </c>
    </row>
    <row r="1275" hidden="1" customHeight="1" spans="1:38">
      <c r="A1275" s="33">
        <v>5307321</v>
      </c>
      <c r="C1275" s="35">
        <v>5301321</v>
      </c>
      <c r="D1275" s="36">
        <v>7</v>
      </c>
      <c r="E1275" s="36"/>
      <c r="F1275" s="36" t="s">
        <v>404</v>
      </c>
      <c r="G1275" s="36" t="str">
        <f t="shared" si="278"/>
        <v/>
      </c>
      <c r="H1275" s="36" t="str">
        <f>IFERROR(IF(--MID($F1275,2*COUNTIF($G1275:G1275,"&gt;"&amp;0)+2,1)=H$1,H$1,""),"")</f>
        <v/>
      </c>
      <c r="I1275" s="36" t="str">
        <f>IFERROR(IF(--MID($F1275,2*COUNTIF($G1275:H1275,"&gt;"&amp;0)+2,1)=I$1,I$1,""),"")</f>
        <v/>
      </c>
      <c r="J1275" s="36">
        <f>IFERROR(IF(--MID($F1275,2*COUNTIF($G1275:I1275,"&gt;"&amp;0)+2,1)=J$1,J$1,""),"")</f>
        <v>4</v>
      </c>
      <c r="K1275" s="36" t="str">
        <f>IFERROR(IF(--MID($F1275,2*COUNTIF($G1275:J1275,"&gt;"&amp;0)+2,1)=K$1,K$1,""),"")</f>
        <v/>
      </c>
      <c r="L1275" s="36" t="str">
        <f>IFERROR(IF(--MID($F1275,2*COUNTIF($G1275:K1275,"&gt;"&amp;0)+2,1)=L$1,L$1,""),"")</f>
        <v/>
      </c>
      <c r="M1275" s="36" t="e" cm="1">
        <f t="array" ref="M1275">IF(A1275="","",_xlfn.XLOOKUP(D1275&amp;"_"&amp;AE1275,符文权重!A:A&amp;"_"&amp;符文权重!C:C,符文权重!D:D))</f>
        <v>#N/A</v>
      </c>
      <c r="N1275" s="36"/>
      <c r="O1275" s="36"/>
      <c r="P1275" s="36"/>
      <c r="Q1275" s="36"/>
      <c r="R1275" s="36"/>
      <c r="S1275" s="36" t="s">
        <v>175</v>
      </c>
      <c r="T1275" s="36"/>
      <c r="U1275" s="36" t="s">
        <v>429</v>
      </c>
      <c r="V1275" s="25" t="s">
        <v>1603</v>
      </c>
      <c r="X1275" s="35" t="s">
        <v>1597</v>
      </c>
      <c r="Y1275" s="35">
        <v>100</v>
      </c>
      <c r="AA1275" s="36" t="s">
        <v>191</v>
      </c>
      <c r="AB1275" s="36" t="s">
        <v>1604</v>
      </c>
      <c r="AC1275" s="35">
        <v>5505011</v>
      </c>
      <c r="AD1275" s="36" t="s">
        <v>431</v>
      </c>
      <c r="AE1275" s="36">
        <v>100</v>
      </c>
      <c r="AF1275" s="36"/>
      <c r="AG1275" s="79">
        <v>1</v>
      </c>
      <c r="AH1275" s="36">
        <v>1</v>
      </c>
    </row>
    <row r="1276" s="31" customFormat="1" hidden="1" customHeight="1" spans="1:38">
      <c r="A1276" s="82">
        <v>5305322</v>
      </c>
      <c r="B1276" s="34"/>
      <c r="C1276" s="31">
        <v>5301322</v>
      </c>
      <c r="D1276" s="79">
        <v>5</v>
      </c>
      <c r="E1276" s="79"/>
      <c r="F1276" s="79" t="s">
        <v>220</v>
      </c>
      <c r="G1276" s="36" t="str">
        <f t="shared" si="278"/>
        <v/>
      </c>
      <c r="H1276" s="36" t="str">
        <f>IFERROR(IF(--MID($F1276,2*COUNTIF($G1276:G1276,"&gt;"&amp;0)+2,1)=H$1,H$1,""),"")</f>
        <v/>
      </c>
      <c r="I1276" s="36" t="str">
        <f>IFERROR(IF(--MID($F1276,2*COUNTIF($G1276:H1276,"&gt;"&amp;0)+2,1)=I$1,I$1,""),"")</f>
        <v/>
      </c>
      <c r="J1276" s="36" t="str">
        <f>IFERROR(IF(--MID($F1276,2*COUNTIF($G1276:I1276,"&gt;"&amp;0)+2,1)=J$1,J$1,""),"")</f>
        <v/>
      </c>
      <c r="K1276" s="36" t="str">
        <f>IFERROR(IF(--MID($F1276,2*COUNTIF($G1276:J1276,"&gt;"&amp;0)+2,1)=K$1,K$1,""),"")</f>
        <v/>
      </c>
      <c r="L1276" s="36">
        <f>IFERROR(IF(--MID($F1276,2*COUNTIF($G1276:K1276,"&gt;"&amp;0)+2,1)=L$1,L$1,""),"")</f>
        <v>6</v>
      </c>
      <c r="M1276" s="36" t="e" cm="1">
        <f t="array" ref="M1276">IF(A1276="","",_xlfn.XLOOKUP(D1276&amp;"_"&amp;AE1276,符文权重!A:A&amp;"_"&amp;符文权重!C:C,符文权重!D:D))</f>
        <v>#N/A</v>
      </c>
      <c r="N1276" s="36"/>
      <c r="O1276" s="36"/>
      <c r="P1276" s="36"/>
      <c r="Q1276" s="36"/>
      <c r="R1276" s="36"/>
      <c r="S1276" s="36" t="s">
        <v>175</v>
      </c>
      <c r="T1276" s="36"/>
      <c r="U1276" s="36" t="s">
        <v>423</v>
      </c>
      <c r="V1276" s="29" t="s">
        <v>1605</v>
      </c>
      <c r="W1276" s="79"/>
      <c r="X1276" s="35" t="s">
        <v>1589</v>
      </c>
      <c r="Y1276" s="35">
        <v>100</v>
      </c>
      <c r="AA1276" s="36" t="s">
        <v>187</v>
      </c>
      <c r="AB1276" s="79" t="s">
        <v>1606</v>
      </c>
      <c r="AC1276" s="31">
        <v>5301322</v>
      </c>
      <c r="AD1276" s="79" t="s">
        <v>447</v>
      </c>
      <c r="AE1276" s="36">
        <v>100</v>
      </c>
      <c r="AF1276" s="79"/>
      <c r="AG1276" s="79">
        <v>1</v>
      </c>
      <c r="AH1276" s="36">
        <v>1</v>
      </c>
      <c r="AI1276" s="82"/>
      <c r="AJ1276" s="84"/>
      <c r="AL1276" s="35"/>
    </row>
    <row r="1277" s="31" customFormat="1" hidden="1" customHeight="1" spans="1:38">
      <c r="A1277" s="82">
        <v>5306322</v>
      </c>
      <c r="B1277" s="34"/>
      <c r="C1277" s="31">
        <v>5301322</v>
      </c>
      <c r="D1277" s="79">
        <v>6</v>
      </c>
      <c r="E1277" s="79"/>
      <c r="F1277" s="79" t="s">
        <v>220</v>
      </c>
      <c r="G1277" s="36" t="str">
        <f t="shared" si="278"/>
        <v/>
      </c>
      <c r="H1277" s="36" t="str">
        <f>IFERROR(IF(--MID($F1277,2*COUNTIF($G1277:G1277,"&gt;"&amp;0)+2,1)=H$1,H$1,""),"")</f>
        <v/>
      </c>
      <c r="I1277" s="36" t="str">
        <f>IFERROR(IF(--MID($F1277,2*COUNTIF($G1277:H1277,"&gt;"&amp;0)+2,1)=I$1,I$1,""),"")</f>
        <v/>
      </c>
      <c r="J1277" s="36" t="str">
        <f>IFERROR(IF(--MID($F1277,2*COUNTIF($G1277:I1277,"&gt;"&amp;0)+2,1)=J$1,J$1,""),"")</f>
        <v/>
      </c>
      <c r="K1277" s="36" t="str">
        <f>IFERROR(IF(--MID($F1277,2*COUNTIF($G1277:J1277,"&gt;"&amp;0)+2,1)=K$1,K$1,""),"")</f>
        <v/>
      </c>
      <c r="L1277" s="36">
        <f>IFERROR(IF(--MID($F1277,2*COUNTIF($G1277:K1277,"&gt;"&amp;0)+2,1)=L$1,L$1,""),"")</f>
        <v>6</v>
      </c>
      <c r="M1277" s="36" t="e" cm="1">
        <f t="array" ref="M1277">IF(A1277="","",_xlfn.XLOOKUP(D1277&amp;"_"&amp;AE1277,符文权重!A:A&amp;"_"&amp;符文权重!C:C,符文权重!D:D))</f>
        <v>#N/A</v>
      </c>
      <c r="N1277" s="36"/>
      <c r="O1277" s="36"/>
      <c r="P1277" s="36"/>
      <c r="Q1277" s="36"/>
      <c r="R1277" s="36"/>
      <c r="S1277" s="36" t="s">
        <v>175</v>
      </c>
      <c r="T1277" s="36"/>
      <c r="U1277" s="36" t="s">
        <v>426</v>
      </c>
      <c r="V1277" s="29" t="s">
        <v>1607</v>
      </c>
      <c r="W1277" s="79"/>
      <c r="X1277" s="35" t="s">
        <v>1594</v>
      </c>
      <c r="Y1277" s="35">
        <v>100</v>
      </c>
      <c r="AA1277" s="36" t="s">
        <v>189</v>
      </c>
      <c r="AB1277" s="79" t="s">
        <v>1608</v>
      </c>
      <c r="AC1277" s="31">
        <v>5301322</v>
      </c>
      <c r="AD1277" s="79" t="s">
        <v>596</v>
      </c>
      <c r="AE1277" s="36">
        <v>100</v>
      </c>
      <c r="AF1277" s="79"/>
      <c r="AG1277" s="79">
        <v>1</v>
      </c>
      <c r="AH1277" s="36">
        <v>1</v>
      </c>
      <c r="AI1277" s="82"/>
      <c r="AJ1277" s="84"/>
      <c r="AL1277" s="35"/>
    </row>
    <row r="1278" s="31" customFormat="1" hidden="1" customHeight="1" spans="1:38">
      <c r="A1278" s="82">
        <v>5307322</v>
      </c>
      <c r="B1278" s="34"/>
      <c r="C1278" s="31">
        <v>5301322</v>
      </c>
      <c r="D1278" s="79">
        <v>7</v>
      </c>
      <c r="E1278" s="79"/>
      <c r="F1278" s="79" t="s">
        <v>220</v>
      </c>
      <c r="G1278" s="36" t="str">
        <f t="shared" si="278"/>
        <v/>
      </c>
      <c r="H1278" s="36" t="str">
        <f>IFERROR(IF(--MID($F1278,2*COUNTIF($G1278:G1278,"&gt;"&amp;0)+2,1)=H$1,H$1,""),"")</f>
        <v/>
      </c>
      <c r="I1278" s="36" t="str">
        <f>IFERROR(IF(--MID($F1278,2*COUNTIF($G1278:H1278,"&gt;"&amp;0)+2,1)=I$1,I$1,""),"")</f>
        <v/>
      </c>
      <c r="J1278" s="36" t="str">
        <f>IFERROR(IF(--MID($F1278,2*COUNTIF($G1278:I1278,"&gt;"&amp;0)+2,1)=J$1,J$1,""),"")</f>
        <v/>
      </c>
      <c r="K1278" s="36" t="str">
        <f>IFERROR(IF(--MID($F1278,2*COUNTIF($G1278:J1278,"&gt;"&amp;0)+2,1)=K$1,K$1,""),"")</f>
        <v/>
      </c>
      <c r="L1278" s="36">
        <f>IFERROR(IF(--MID($F1278,2*COUNTIF($G1278:K1278,"&gt;"&amp;0)+2,1)=L$1,L$1,""),"")</f>
        <v>6</v>
      </c>
      <c r="M1278" s="36" t="e" cm="1">
        <f t="array" ref="M1278">IF(A1278="","",_xlfn.XLOOKUP(D1278&amp;"_"&amp;AE1278,符文权重!A:A&amp;"_"&amp;符文权重!C:C,符文权重!D:D))</f>
        <v>#N/A</v>
      </c>
      <c r="N1278" s="36"/>
      <c r="O1278" s="36"/>
      <c r="P1278" s="36"/>
      <c r="Q1278" s="36"/>
      <c r="R1278" s="36"/>
      <c r="S1278" s="36" t="s">
        <v>175</v>
      </c>
      <c r="T1278" s="36"/>
      <c r="U1278" s="36" t="s">
        <v>429</v>
      </c>
      <c r="V1278" s="29" t="s">
        <v>1609</v>
      </c>
      <c r="W1278" s="79"/>
      <c r="X1278" s="35" t="s">
        <v>1597</v>
      </c>
      <c r="Y1278" s="35">
        <v>100</v>
      </c>
      <c r="AA1278" s="36" t="s">
        <v>191</v>
      </c>
      <c r="AB1278" s="79" t="s">
        <v>1610</v>
      </c>
      <c r="AC1278" s="31">
        <v>5301322</v>
      </c>
      <c r="AD1278" s="79" t="s">
        <v>1611</v>
      </c>
      <c r="AE1278" s="36">
        <v>100</v>
      </c>
      <c r="AF1278" s="79"/>
      <c r="AG1278" s="79">
        <v>1</v>
      </c>
      <c r="AH1278" s="36">
        <v>1</v>
      </c>
      <c r="AI1278" s="82"/>
      <c r="AJ1278" s="84"/>
      <c r="AL1278" s="35"/>
    </row>
    <row r="1279" s="31" customFormat="1" hidden="1" customHeight="1" spans="1:38">
      <c r="A1279" s="82">
        <v>5305323</v>
      </c>
      <c r="B1279" s="34"/>
      <c r="C1279" s="31">
        <v>5301323</v>
      </c>
      <c r="D1279" s="79">
        <v>5</v>
      </c>
      <c r="E1279" s="79"/>
      <c r="F1279" s="79" t="s">
        <v>202</v>
      </c>
      <c r="G1279" s="36">
        <f t="shared" si="278"/>
        <v>1</v>
      </c>
      <c r="H1279" s="36" t="str">
        <f>IFERROR(IF(--MID($F1279,2*COUNTIF($G1279:G1279,"&gt;"&amp;0)+2,1)=H$1,H$1,""),"")</f>
        <v/>
      </c>
      <c r="I1279" s="36" t="str">
        <f>IFERROR(IF(--MID($F1279,2*COUNTIF($G1279:H1279,"&gt;"&amp;0)+2,1)=I$1,I$1,""),"")</f>
        <v/>
      </c>
      <c r="J1279" s="36" t="str">
        <f>IFERROR(IF(--MID($F1279,2*COUNTIF($G1279:I1279,"&gt;"&amp;0)+2,1)=J$1,J$1,""),"")</f>
        <v/>
      </c>
      <c r="K1279" s="36" t="str">
        <f>IFERROR(IF(--MID($F1279,2*COUNTIF($G1279:J1279,"&gt;"&amp;0)+2,1)=K$1,K$1,""),"")</f>
        <v/>
      </c>
      <c r="L1279" s="36" t="str">
        <f>IFERROR(IF(--MID($F1279,2*COUNTIF($G1279:K1279,"&gt;"&amp;0)+2,1)=L$1,L$1,""),"")</f>
        <v/>
      </c>
      <c r="M1279" s="36" t="e" cm="1">
        <f t="array" ref="M1279">IF(A1279="","",_xlfn.XLOOKUP(D1279&amp;"_"&amp;AE1279,符文权重!A:A&amp;"_"&amp;符文权重!C:C,符文权重!D:D))</f>
        <v>#N/A</v>
      </c>
      <c r="N1279" s="36"/>
      <c r="O1279" s="36"/>
      <c r="P1279" s="36"/>
      <c r="Q1279" s="36"/>
      <c r="R1279" s="36"/>
      <c r="S1279" s="36" t="s">
        <v>175</v>
      </c>
      <c r="T1279" s="36"/>
      <c r="U1279" s="36" t="s">
        <v>423</v>
      </c>
      <c r="V1279" s="29" t="s">
        <v>1612</v>
      </c>
      <c r="W1279" s="79"/>
      <c r="X1279" s="35" t="s">
        <v>1589</v>
      </c>
      <c r="Y1279" s="35">
        <v>100</v>
      </c>
      <c r="AA1279" s="36" t="s">
        <v>187</v>
      </c>
      <c r="AB1279" s="79" t="s">
        <v>1613</v>
      </c>
      <c r="AC1279" s="31">
        <v>5301323</v>
      </c>
      <c r="AD1279" s="79" t="s">
        <v>596</v>
      </c>
      <c r="AE1279" s="36">
        <v>100</v>
      </c>
      <c r="AF1279" s="79"/>
      <c r="AG1279" s="79">
        <v>1</v>
      </c>
      <c r="AH1279" s="36">
        <v>1</v>
      </c>
      <c r="AI1279" s="82"/>
      <c r="AJ1279" s="84"/>
      <c r="AL1279" s="35"/>
    </row>
    <row r="1280" s="31" customFormat="1" hidden="1" customHeight="1" spans="1:38">
      <c r="A1280" s="82">
        <v>5306323</v>
      </c>
      <c r="B1280" s="34"/>
      <c r="C1280" s="31">
        <v>5301323</v>
      </c>
      <c r="D1280" s="79">
        <v>6</v>
      </c>
      <c r="E1280" s="79"/>
      <c r="F1280" s="79" t="s">
        <v>202</v>
      </c>
      <c r="G1280" s="36">
        <f t="shared" si="278"/>
        <v>1</v>
      </c>
      <c r="H1280" s="36" t="str">
        <f>IFERROR(IF(--MID($F1280,2*COUNTIF($G1280:G1280,"&gt;"&amp;0)+2,1)=H$1,H$1,""),"")</f>
        <v/>
      </c>
      <c r="I1280" s="36" t="str">
        <f>IFERROR(IF(--MID($F1280,2*COUNTIF($G1280:H1280,"&gt;"&amp;0)+2,1)=I$1,I$1,""),"")</f>
        <v/>
      </c>
      <c r="J1280" s="36" t="str">
        <f>IFERROR(IF(--MID($F1280,2*COUNTIF($G1280:I1280,"&gt;"&amp;0)+2,1)=J$1,J$1,""),"")</f>
        <v/>
      </c>
      <c r="K1280" s="36" t="str">
        <f>IFERROR(IF(--MID($F1280,2*COUNTIF($G1280:J1280,"&gt;"&amp;0)+2,1)=K$1,K$1,""),"")</f>
        <v/>
      </c>
      <c r="L1280" s="36" t="str">
        <f>IFERROR(IF(--MID($F1280,2*COUNTIF($G1280:K1280,"&gt;"&amp;0)+2,1)=L$1,L$1,""),"")</f>
        <v/>
      </c>
      <c r="M1280" s="36" t="e" cm="1">
        <f t="array" ref="M1280">IF(A1280="","",_xlfn.XLOOKUP(D1280&amp;"_"&amp;AE1280,符文权重!A:A&amp;"_"&amp;符文权重!C:C,符文权重!D:D))</f>
        <v>#N/A</v>
      </c>
      <c r="N1280" s="36"/>
      <c r="O1280" s="36"/>
      <c r="P1280" s="36"/>
      <c r="Q1280" s="36"/>
      <c r="R1280" s="36"/>
      <c r="S1280" s="36" t="s">
        <v>175</v>
      </c>
      <c r="T1280" s="36"/>
      <c r="U1280" s="36" t="s">
        <v>426</v>
      </c>
      <c r="V1280" s="29" t="s">
        <v>1614</v>
      </c>
      <c r="W1280" s="79"/>
      <c r="X1280" s="35" t="s">
        <v>1594</v>
      </c>
      <c r="Y1280" s="35">
        <v>100</v>
      </c>
      <c r="AA1280" s="36" t="s">
        <v>189</v>
      </c>
      <c r="AB1280" s="79" t="s">
        <v>1615</v>
      </c>
      <c r="AC1280" s="31">
        <v>5301323</v>
      </c>
      <c r="AD1280" s="79" t="s">
        <v>500</v>
      </c>
      <c r="AE1280" s="36">
        <v>100</v>
      </c>
      <c r="AF1280" s="79"/>
      <c r="AG1280" s="79">
        <v>1</v>
      </c>
      <c r="AH1280" s="36">
        <v>1</v>
      </c>
      <c r="AI1280" s="82"/>
      <c r="AJ1280" s="84"/>
      <c r="AL1280" s="35"/>
    </row>
    <row r="1281" s="31" customFormat="1" hidden="1" customHeight="1" spans="1:38">
      <c r="A1281" s="82">
        <v>5307323</v>
      </c>
      <c r="B1281" s="34"/>
      <c r="C1281" s="31">
        <v>5301323</v>
      </c>
      <c r="D1281" s="79">
        <v>7</v>
      </c>
      <c r="E1281" s="79"/>
      <c r="F1281" s="79" t="s">
        <v>202</v>
      </c>
      <c r="G1281" s="36">
        <f t="shared" si="278"/>
        <v>1</v>
      </c>
      <c r="H1281" s="36" t="str">
        <f>IFERROR(IF(--MID($F1281,2*COUNTIF($G1281:G1281,"&gt;"&amp;0)+2,1)=H$1,H$1,""),"")</f>
        <v/>
      </c>
      <c r="I1281" s="36" t="str">
        <f>IFERROR(IF(--MID($F1281,2*COUNTIF($G1281:H1281,"&gt;"&amp;0)+2,1)=I$1,I$1,""),"")</f>
        <v/>
      </c>
      <c r="J1281" s="36" t="str">
        <f>IFERROR(IF(--MID($F1281,2*COUNTIF($G1281:I1281,"&gt;"&amp;0)+2,1)=J$1,J$1,""),"")</f>
        <v/>
      </c>
      <c r="K1281" s="36" t="str">
        <f>IFERROR(IF(--MID($F1281,2*COUNTIF($G1281:J1281,"&gt;"&amp;0)+2,1)=K$1,K$1,""),"")</f>
        <v/>
      </c>
      <c r="L1281" s="36" t="str">
        <f>IFERROR(IF(--MID($F1281,2*COUNTIF($G1281:K1281,"&gt;"&amp;0)+2,1)=L$1,L$1,""),"")</f>
        <v/>
      </c>
      <c r="M1281" s="36" t="e" cm="1">
        <f t="array" ref="M1281">IF(A1281="","",_xlfn.XLOOKUP(D1281&amp;"_"&amp;AE1281,符文权重!A:A&amp;"_"&amp;符文权重!C:C,符文权重!D:D))</f>
        <v>#N/A</v>
      </c>
      <c r="N1281" s="36"/>
      <c r="O1281" s="36"/>
      <c r="P1281" s="36"/>
      <c r="Q1281" s="36"/>
      <c r="R1281" s="36"/>
      <c r="S1281" s="36" t="s">
        <v>175</v>
      </c>
      <c r="T1281" s="36"/>
      <c r="U1281" s="36" t="s">
        <v>429</v>
      </c>
      <c r="V1281" s="29" t="s">
        <v>1616</v>
      </c>
      <c r="W1281" s="79"/>
      <c r="X1281" s="35" t="s">
        <v>1597</v>
      </c>
      <c r="Y1281" s="35">
        <v>100</v>
      </c>
      <c r="AA1281" s="36" t="s">
        <v>191</v>
      </c>
      <c r="AB1281" s="79" t="s">
        <v>1617</v>
      </c>
      <c r="AC1281" s="31">
        <v>5301323</v>
      </c>
      <c r="AD1281" s="79" t="s">
        <v>898</v>
      </c>
      <c r="AE1281" s="36">
        <v>100</v>
      </c>
      <c r="AF1281" s="79"/>
      <c r="AG1281" s="79">
        <v>1</v>
      </c>
      <c r="AH1281" s="36">
        <v>1</v>
      </c>
      <c r="AI1281" s="82"/>
      <c r="AJ1281" s="84"/>
      <c r="AL1281" s="35"/>
    </row>
    <row r="1282" hidden="1" customHeight="1" spans="1:38">
      <c r="A1282" s="33">
        <v>5305324</v>
      </c>
      <c r="C1282" s="35">
        <v>5301324</v>
      </c>
      <c r="D1282" s="36">
        <v>5</v>
      </c>
      <c r="E1282" s="36"/>
      <c r="F1282" s="36" t="s">
        <v>404</v>
      </c>
      <c r="G1282" s="36" t="str">
        <f t="shared" si="278"/>
        <v/>
      </c>
      <c r="H1282" s="36" t="str">
        <f>IFERROR(IF(--MID($F1282,2*COUNTIF($G1282:G1282,"&gt;"&amp;0)+2,1)=H$1,H$1,""),"")</f>
        <v/>
      </c>
      <c r="I1282" s="36" t="str">
        <f>IFERROR(IF(--MID($F1282,2*COUNTIF($G1282:H1282,"&gt;"&amp;0)+2,1)=I$1,I$1,""),"")</f>
        <v/>
      </c>
      <c r="J1282" s="36">
        <f>IFERROR(IF(--MID($F1282,2*COUNTIF($G1282:I1282,"&gt;"&amp;0)+2,1)=J$1,J$1,""),"")</f>
        <v>4</v>
      </c>
      <c r="K1282" s="36" t="str">
        <f>IFERROR(IF(--MID($F1282,2*COUNTIF($G1282:J1282,"&gt;"&amp;0)+2,1)=K$1,K$1,""),"")</f>
        <v/>
      </c>
      <c r="L1282" s="36" t="str">
        <f>IFERROR(IF(--MID($F1282,2*COUNTIF($G1282:K1282,"&gt;"&amp;0)+2,1)=L$1,L$1,""),"")</f>
        <v/>
      </c>
      <c r="M1282" s="36" t="e" cm="1">
        <f t="array" ref="M1282">IF(A1282="","",_xlfn.XLOOKUP(D1282&amp;"_"&amp;AE1282,符文权重!A:A&amp;"_"&amp;符文权重!C:C,符文权重!D:D))</f>
        <v>#N/A</v>
      </c>
      <c r="N1282" s="36"/>
      <c r="O1282" s="36"/>
      <c r="P1282" s="36"/>
      <c r="Q1282" s="36"/>
      <c r="R1282" s="36"/>
      <c r="S1282" s="36" t="s">
        <v>175</v>
      </c>
      <c r="T1282" s="36"/>
      <c r="U1282" s="36" t="s">
        <v>423</v>
      </c>
      <c r="V1282" s="25" t="s">
        <v>1618</v>
      </c>
      <c r="X1282" s="35" t="s">
        <v>1589</v>
      </c>
      <c r="Y1282" s="35">
        <v>100</v>
      </c>
      <c r="AA1282" s="36" t="s">
        <v>187</v>
      </c>
      <c r="AB1282" s="36" t="s">
        <v>1619</v>
      </c>
      <c r="AC1282" s="35">
        <v>5301324</v>
      </c>
      <c r="AD1282" s="36" t="s">
        <v>230</v>
      </c>
      <c r="AE1282" s="36">
        <v>100</v>
      </c>
      <c r="AF1282" s="36"/>
      <c r="AG1282" s="79">
        <v>1</v>
      </c>
      <c r="AH1282" s="36">
        <v>1</v>
      </c>
      <c r="AI1282" s="35"/>
      <c r="AJ1282" s="35"/>
    </row>
    <row r="1283" hidden="1" customHeight="1" spans="1:38">
      <c r="A1283" s="33">
        <v>5306324</v>
      </c>
      <c r="C1283" s="35">
        <v>5301324</v>
      </c>
      <c r="D1283" s="36">
        <v>6</v>
      </c>
      <c r="E1283" s="36"/>
      <c r="F1283" s="36" t="s">
        <v>404</v>
      </c>
      <c r="G1283" s="36" t="str">
        <f t="shared" ref="G1283:G1321" si="279">IF(LEFT(F1283,2)="[1",1,"")</f>
        <v/>
      </c>
      <c r="H1283" s="36" t="str">
        <f>IFERROR(IF(--MID($F1283,2*COUNTIF($G1283:G1283,"&gt;"&amp;0)+2,1)=H$1,H$1,""),"")</f>
        <v/>
      </c>
      <c r="I1283" s="36" t="str">
        <f>IFERROR(IF(--MID($F1283,2*COUNTIF($G1283:H1283,"&gt;"&amp;0)+2,1)=I$1,I$1,""),"")</f>
        <v/>
      </c>
      <c r="J1283" s="36">
        <f>IFERROR(IF(--MID($F1283,2*COUNTIF($G1283:I1283,"&gt;"&amp;0)+2,1)=J$1,J$1,""),"")</f>
        <v>4</v>
      </c>
      <c r="K1283" s="36" t="str">
        <f>IFERROR(IF(--MID($F1283,2*COUNTIF($G1283:J1283,"&gt;"&amp;0)+2,1)=K$1,K$1,""),"")</f>
        <v/>
      </c>
      <c r="L1283" s="36" t="str">
        <f>IFERROR(IF(--MID($F1283,2*COUNTIF($G1283:K1283,"&gt;"&amp;0)+2,1)=L$1,L$1,""),"")</f>
        <v/>
      </c>
      <c r="M1283" s="36" t="e" cm="1">
        <f t="array" ref="M1283">IF(A1283="","",_xlfn.XLOOKUP(D1283&amp;"_"&amp;AE1283,符文权重!A:A&amp;"_"&amp;符文权重!C:C,符文权重!D:D))</f>
        <v>#N/A</v>
      </c>
      <c r="N1283" s="36"/>
      <c r="O1283" s="36"/>
      <c r="P1283" s="36"/>
      <c r="Q1283" s="36"/>
      <c r="R1283" s="36"/>
      <c r="S1283" s="36" t="s">
        <v>175</v>
      </c>
      <c r="T1283" s="36"/>
      <c r="U1283" s="36" t="s">
        <v>426</v>
      </c>
      <c r="V1283" s="25" t="s">
        <v>1620</v>
      </c>
      <c r="X1283" s="35" t="s">
        <v>1594</v>
      </c>
      <c r="Y1283" s="35">
        <v>100</v>
      </c>
      <c r="AA1283" s="36" t="s">
        <v>189</v>
      </c>
      <c r="AB1283" s="36" t="s">
        <v>1621</v>
      </c>
      <c r="AC1283" s="35">
        <v>5301324</v>
      </c>
      <c r="AD1283" s="36" t="s">
        <v>239</v>
      </c>
      <c r="AE1283" s="36">
        <v>100</v>
      </c>
      <c r="AF1283" s="36"/>
      <c r="AG1283" s="79">
        <v>1</v>
      </c>
      <c r="AH1283" s="36">
        <v>1</v>
      </c>
      <c r="AI1283" s="35"/>
      <c r="AJ1283" s="35"/>
    </row>
    <row r="1284" hidden="1" customHeight="1" spans="1:38">
      <c r="A1284" s="33">
        <v>5307324</v>
      </c>
      <c r="C1284" s="35">
        <v>5301324</v>
      </c>
      <c r="D1284" s="36">
        <v>7</v>
      </c>
      <c r="E1284" s="36"/>
      <c r="F1284" s="36" t="s">
        <v>404</v>
      </c>
      <c r="G1284" s="36" t="str">
        <f t="shared" si="279"/>
        <v/>
      </c>
      <c r="H1284" s="36" t="str">
        <f>IFERROR(IF(--MID($F1284,2*COUNTIF($G1284:G1284,"&gt;"&amp;0)+2,1)=H$1,H$1,""),"")</f>
        <v/>
      </c>
      <c r="I1284" s="36" t="str">
        <f>IFERROR(IF(--MID($F1284,2*COUNTIF($G1284:H1284,"&gt;"&amp;0)+2,1)=I$1,I$1,""),"")</f>
        <v/>
      </c>
      <c r="J1284" s="36">
        <f>IFERROR(IF(--MID($F1284,2*COUNTIF($G1284:I1284,"&gt;"&amp;0)+2,1)=J$1,J$1,""),"")</f>
        <v>4</v>
      </c>
      <c r="K1284" s="36" t="str">
        <f>IFERROR(IF(--MID($F1284,2*COUNTIF($G1284:J1284,"&gt;"&amp;0)+2,1)=K$1,K$1,""),"")</f>
        <v/>
      </c>
      <c r="L1284" s="36" t="str">
        <f>IFERROR(IF(--MID($F1284,2*COUNTIF($G1284:K1284,"&gt;"&amp;0)+2,1)=L$1,L$1,""),"")</f>
        <v/>
      </c>
      <c r="M1284" s="36" t="e" cm="1">
        <f t="array" ref="M1284">IF(A1284="","",_xlfn.XLOOKUP(D1284&amp;"_"&amp;AE1284,符文权重!A:A&amp;"_"&amp;符文权重!C:C,符文权重!D:D))</f>
        <v>#N/A</v>
      </c>
      <c r="N1284" s="36"/>
      <c r="O1284" s="36"/>
      <c r="P1284" s="36"/>
      <c r="Q1284" s="36"/>
      <c r="R1284" s="36"/>
      <c r="S1284" s="36" t="s">
        <v>175</v>
      </c>
      <c r="T1284" s="36"/>
      <c r="U1284" s="36" t="s">
        <v>429</v>
      </c>
      <c r="V1284" s="25" t="s">
        <v>1622</v>
      </c>
      <c r="X1284" s="35" t="s">
        <v>1597</v>
      </c>
      <c r="Y1284" s="35">
        <v>100</v>
      </c>
      <c r="AA1284" s="36" t="s">
        <v>191</v>
      </c>
      <c r="AB1284" s="36" t="s">
        <v>1623</v>
      </c>
      <c r="AC1284" s="35">
        <v>5301324</v>
      </c>
      <c r="AD1284" s="36" t="s">
        <v>422</v>
      </c>
      <c r="AE1284" s="36">
        <v>100</v>
      </c>
      <c r="AF1284" s="36"/>
      <c r="AG1284" s="79">
        <v>1</v>
      </c>
      <c r="AH1284" s="36">
        <v>1</v>
      </c>
      <c r="AI1284" s="35"/>
      <c r="AJ1284" s="35"/>
    </row>
    <row r="1285" s="31" customFormat="1" hidden="1" customHeight="1" spans="1:38">
      <c r="A1285" s="82">
        <v>5305325</v>
      </c>
      <c r="B1285" s="34"/>
      <c r="C1285" s="31">
        <v>5301325</v>
      </c>
      <c r="D1285" s="79">
        <v>5</v>
      </c>
      <c r="E1285" s="79"/>
      <c r="F1285" s="79" t="s">
        <v>193</v>
      </c>
      <c r="G1285" s="36" t="str">
        <f t="shared" si="279"/>
        <v/>
      </c>
      <c r="H1285" s="36" t="str">
        <f>IFERROR(IF(--MID($F1285,2*COUNTIF($G1285:G1285,"&gt;"&amp;0)+2,1)=H$1,H$1,""),"")</f>
        <v/>
      </c>
      <c r="I1285" s="36">
        <f>IFERROR(IF(--MID($F1285,2*COUNTIF($G1285:H1285,"&gt;"&amp;0)+2,1)=I$1,I$1,""),"")</f>
        <v>3</v>
      </c>
      <c r="J1285" s="36" t="str">
        <f>IFERROR(IF(--MID($F1285,2*COUNTIF($G1285:I1285,"&gt;"&amp;0)+2,1)=J$1,J$1,""),"")</f>
        <v/>
      </c>
      <c r="K1285" s="36" t="str">
        <f>IFERROR(IF(--MID($F1285,2*COUNTIF($G1285:J1285,"&gt;"&amp;0)+2,1)=K$1,K$1,""),"")</f>
        <v/>
      </c>
      <c r="L1285" s="36" t="str">
        <f>IFERROR(IF(--MID($F1285,2*COUNTIF($G1285:K1285,"&gt;"&amp;0)+2,1)=L$1,L$1,""),"")</f>
        <v/>
      </c>
      <c r="M1285" s="36" t="e" cm="1">
        <f t="array" ref="M1285">IF(A1285="","",_xlfn.XLOOKUP(D1285&amp;"_"&amp;AE1285,符文权重!A:A&amp;"_"&amp;符文权重!C:C,符文权重!D:D))</f>
        <v>#N/A</v>
      </c>
      <c r="N1285" s="36"/>
      <c r="O1285" s="36"/>
      <c r="P1285" s="36"/>
      <c r="Q1285" s="36"/>
      <c r="R1285" s="36"/>
      <c r="S1285" s="36" t="s">
        <v>192</v>
      </c>
      <c r="T1285" s="36" t="s">
        <v>193</v>
      </c>
      <c r="U1285" s="36" t="s">
        <v>423</v>
      </c>
      <c r="V1285" s="29" t="s">
        <v>1576</v>
      </c>
      <c r="W1285" s="79"/>
      <c r="X1285" s="35" t="s">
        <v>1589</v>
      </c>
      <c r="Y1285" s="35">
        <v>100</v>
      </c>
      <c r="AA1285" s="36" t="s">
        <v>187</v>
      </c>
      <c r="AB1285" s="79" t="s">
        <v>1577</v>
      </c>
      <c r="AC1285" s="31">
        <v>5505051</v>
      </c>
      <c r="AD1285" s="79" t="s">
        <v>404</v>
      </c>
      <c r="AE1285" s="36">
        <v>100</v>
      </c>
      <c r="AF1285" s="79"/>
      <c r="AG1285" s="79">
        <v>1</v>
      </c>
      <c r="AH1285" s="36">
        <v>1</v>
      </c>
      <c r="AI1285" s="82"/>
      <c r="AJ1285" s="84"/>
      <c r="AL1285" s="35"/>
    </row>
    <row r="1286" s="31" customFormat="1" hidden="1" customHeight="1" spans="1:38">
      <c r="A1286" s="82">
        <v>5306325</v>
      </c>
      <c r="B1286" s="34"/>
      <c r="C1286" s="31">
        <v>5301325</v>
      </c>
      <c r="D1286" s="79">
        <v>6</v>
      </c>
      <c r="E1286" s="79"/>
      <c r="F1286" s="79" t="s">
        <v>193</v>
      </c>
      <c r="G1286" s="36" t="str">
        <f t="shared" si="279"/>
        <v/>
      </c>
      <c r="H1286" s="36" t="str">
        <f>IFERROR(IF(--MID($F1286,2*COUNTIF($G1286:G1286,"&gt;"&amp;0)+2,1)=H$1,H$1,""),"")</f>
        <v/>
      </c>
      <c r="I1286" s="36">
        <f>IFERROR(IF(--MID($F1286,2*COUNTIF($G1286:H1286,"&gt;"&amp;0)+2,1)=I$1,I$1,""),"")</f>
        <v>3</v>
      </c>
      <c r="J1286" s="36" t="str">
        <f>IFERROR(IF(--MID($F1286,2*COUNTIF($G1286:I1286,"&gt;"&amp;0)+2,1)=J$1,J$1,""),"")</f>
        <v/>
      </c>
      <c r="K1286" s="36" t="str">
        <f>IFERROR(IF(--MID($F1286,2*COUNTIF($G1286:J1286,"&gt;"&amp;0)+2,1)=K$1,K$1,""),"")</f>
        <v/>
      </c>
      <c r="L1286" s="36" t="str">
        <f>IFERROR(IF(--MID($F1286,2*COUNTIF($G1286:K1286,"&gt;"&amp;0)+2,1)=L$1,L$1,""),"")</f>
        <v/>
      </c>
      <c r="M1286" s="36" t="e" cm="1">
        <f t="array" ref="M1286">IF(A1286="","",_xlfn.XLOOKUP(D1286&amp;"_"&amp;AE1286,符文权重!A:A&amp;"_"&amp;符文权重!C:C,符文权重!D:D))</f>
        <v>#N/A</v>
      </c>
      <c r="N1286" s="36"/>
      <c r="O1286" s="36"/>
      <c r="P1286" s="36"/>
      <c r="Q1286" s="36"/>
      <c r="R1286" s="36"/>
      <c r="S1286" s="36" t="s">
        <v>192</v>
      </c>
      <c r="T1286" s="36" t="s">
        <v>193</v>
      </c>
      <c r="U1286" s="36" t="s">
        <v>426</v>
      </c>
      <c r="V1286" s="29" t="s">
        <v>1578</v>
      </c>
      <c r="W1286" s="79"/>
      <c r="X1286" s="35" t="s">
        <v>1594</v>
      </c>
      <c r="Y1286" s="35">
        <v>100</v>
      </c>
      <c r="AA1286" s="36" t="s">
        <v>189</v>
      </c>
      <c r="AB1286" s="79" t="s">
        <v>1579</v>
      </c>
      <c r="AC1286" s="31">
        <v>5505051</v>
      </c>
      <c r="AD1286" s="79" t="s">
        <v>230</v>
      </c>
      <c r="AE1286" s="36">
        <v>100</v>
      </c>
      <c r="AF1286" s="79"/>
      <c r="AG1286" s="79">
        <v>1</v>
      </c>
      <c r="AH1286" s="36">
        <v>1</v>
      </c>
      <c r="AI1286" s="82"/>
      <c r="AJ1286" s="84"/>
      <c r="AL1286" s="35"/>
    </row>
    <row r="1287" s="31" customFormat="1" hidden="1" customHeight="1" spans="1:38">
      <c r="A1287" s="82">
        <v>5307325</v>
      </c>
      <c r="B1287" s="34"/>
      <c r="C1287" s="31">
        <v>5301325</v>
      </c>
      <c r="D1287" s="79">
        <v>7</v>
      </c>
      <c r="E1287" s="79"/>
      <c r="F1287" s="79" t="s">
        <v>193</v>
      </c>
      <c r="G1287" s="36" t="str">
        <f t="shared" si="279"/>
        <v/>
      </c>
      <c r="H1287" s="36" t="str">
        <f>IFERROR(IF(--MID($F1287,2*COUNTIF($G1287:G1287,"&gt;"&amp;0)+2,1)=H$1,H$1,""),"")</f>
        <v/>
      </c>
      <c r="I1287" s="36">
        <f>IFERROR(IF(--MID($F1287,2*COUNTIF($G1287:H1287,"&gt;"&amp;0)+2,1)=I$1,I$1,""),"")</f>
        <v>3</v>
      </c>
      <c r="J1287" s="36" t="str">
        <f>IFERROR(IF(--MID($F1287,2*COUNTIF($G1287:I1287,"&gt;"&amp;0)+2,1)=J$1,J$1,""),"")</f>
        <v/>
      </c>
      <c r="K1287" s="36" t="str">
        <f>IFERROR(IF(--MID($F1287,2*COUNTIF($G1287:J1287,"&gt;"&amp;0)+2,1)=K$1,K$1,""),"")</f>
        <v/>
      </c>
      <c r="L1287" s="36" t="str">
        <f>IFERROR(IF(--MID($F1287,2*COUNTIF($G1287:K1287,"&gt;"&amp;0)+2,1)=L$1,L$1,""),"")</f>
        <v/>
      </c>
      <c r="M1287" s="36" t="e" cm="1">
        <f t="array" ref="M1287">IF(A1287="","",_xlfn.XLOOKUP(D1287&amp;"_"&amp;AE1287,符文权重!A:A&amp;"_"&amp;符文权重!C:C,符文权重!D:D))</f>
        <v>#N/A</v>
      </c>
      <c r="N1287" s="36"/>
      <c r="O1287" s="36"/>
      <c r="P1287" s="36"/>
      <c r="Q1287" s="36"/>
      <c r="R1287" s="36"/>
      <c r="S1287" s="36" t="s">
        <v>192</v>
      </c>
      <c r="T1287" s="36" t="s">
        <v>193</v>
      </c>
      <c r="U1287" s="36" t="s">
        <v>429</v>
      </c>
      <c r="V1287" s="29" t="s">
        <v>1580</v>
      </c>
      <c r="W1287" s="79"/>
      <c r="X1287" s="35" t="s">
        <v>1597</v>
      </c>
      <c r="Y1287" s="35">
        <v>100</v>
      </c>
      <c r="AA1287" s="36" t="s">
        <v>191</v>
      </c>
      <c r="AB1287" s="79" t="s">
        <v>1581</v>
      </c>
      <c r="AC1287" s="31">
        <v>5505051</v>
      </c>
      <c r="AD1287" s="79" t="s">
        <v>220</v>
      </c>
      <c r="AE1287" s="36">
        <v>100</v>
      </c>
      <c r="AF1287" s="79"/>
      <c r="AG1287" s="79">
        <v>1</v>
      </c>
      <c r="AH1287" s="36">
        <v>1</v>
      </c>
      <c r="AI1287" s="82"/>
      <c r="AJ1287" s="84"/>
      <c r="AL1287" s="35"/>
    </row>
    <row r="1288" s="31" customFormat="1" hidden="1" customHeight="1" spans="1:38">
      <c r="A1288" s="82">
        <v>5304326</v>
      </c>
      <c r="B1288" s="34"/>
      <c r="C1288" s="31">
        <v>5301326</v>
      </c>
      <c r="D1288" s="79">
        <v>4</v>
      </c>
      <c r="E1288" s="79"/>
      <c r="F1288" s="79" t="s">
        <v>211</v>
      </c>
      <c r="G1288" s="36" t="str">
        <f t="shared" si="279"/>
        <v/>
      </c>
      <c r="H1288" s="36">
        <f>IFERROR(IF(--MID($F1288,2*COUNTIF($G1288:G1288,"&gt;"&amp;0)+2,1)=H$1,H$1,""),"")</f>
        <v>2</v>
      </c>
      <c r="I1288" s="36" t="str">
        <f>IFERROR(IF(--MID($F1288,2*COUNTIF($G1288:H1288,"&gt;"&amp;0)+2,1)=I$1,I$1,""),"")</f>
        <v/>
      </c>
      <c r="J1288" s="36" t="str">
        <f>IFERROR(IF(--MID($F1288,2*COUNTIF($G1288:I1288,"&gt;"&amp;0)+2,1)=J$1,J$1,""),"")</f>
        <v/>
      </c>
      <c r="K1288" s="36" t="str">
        <f>IFERROR(IF(--MID($F1288,2*COUNTIF($G1288:J1288,"&gt;"&amp;0)+2,1)=K$1,K$1,""),"")</f>
        <v/>
      </c>
      <c r="L1288" s="36" t="str">
        <f>IFERROR(IF(--MID($F1288,2*COUNTIF($G1288:K1288,"&gt;"&amp;0)+2,1)=L$1,L$1,""),"")</f>
        <v/>
      </c>
      <c r="M1288" s="36" t="e" cm="1">
        <f t="array" ref="M1288">IF(A1288="","",_xlfn.XLOOKUP(D1288&amp;"_"&amp;AE1288,符文权重!A:A&amp;"_"&amp;符文权重!C:C,符文权重!D:D))</f>
        <v>#N/A</v>
      </c>
      <c r="N1288" s="36"/>
      <c r="O1288" s="36"/>
      <c r="P1288" s="36"/>
      <c r="Q1288" s="36"/>
      <c r="R1288" s="36"/>
      <c r="S1288" s="36" t="s">
        <v>344</v>
      </c>
      <c r="T1288" s="36"/>
      <c r="U1288" s="36" t="s">
        <v>420</v>
      </c>
      <c r="V1288" s="29" t="s">
        <v>1624</v>
      </c>
      <c r="W1288" s="79"/>
      <c r="X1288" s="35" t="s">
        <v>1625</v>
      </c>
      <c r="Y1288" s="35">
        <v>100</v>
      </c>
      <c r="AA1288" s="36" t="s">
        <v>185</v>
      </c>
      <c r="AB1288" s="79" t="s">
        <v>1626</v>
      </c>
      <c r="AC1288" s="31">
        <v>5301326</v>
      </c>
      <c r="AD1288" s="79" t="s">
        <v>494</v>
      </c>
      <c r="AE1288" s="36">
        <v>100</v>
      </c>
      <c r="AF1288" s="79"/>
      <c r="AG1288" s="79">
        <v>1</v>
      </c>
      <c r="AH1288" s="36">
        <v>1</v>
      </c>
      <c r="AI1288" s="82"/>
      <c r="AJ1288" s="84"/>
      <c r="AL1288" s="35"/>
    </row>
    <row r="1289" s="31" customFormat="1" hidden="1" customHeight="1" spans="1:38">
      <c r="A1289" s="82">
        <v>5305326</v>
      </c>
      <c r="B1289" s="34"/>
      <c r="C1289" s="31">
        <v>5301326</v>
      </c>
      <c r="D1289" s="79">
        <v>5</v>
      </c>
      <c r="E1289" s="79"/>
      <c r="F1289" s="79" t="s">
        <v>211</v>
      </c>
      <c r="G1289" s="36" t="str">
        <f t="shared" si="279"/>
        <v/>
      </c>
      <c r="H1289" s="36">
        <f>IFERROR(IF(--MID($F1289,2*COUNTIF($G1289:G1289,"&gt;"&amp;0)+2,1)=H$1,H$1,""),"")</f>
        <v>2</v>
      </c>
      <c r="I1289" s="36" t="str">
        <f>IFERROR(IF(--MID($F1289,2*COUNTIF($G1289:H1289,"&gt;"&amp;0)+2,1)=I$1,I$1,""),"")</f>
        <v/>
      </c>
      <c r="J1289" s="36" t="str">
        <f>IFERROR(IF(--MID($F1289,2*COUNTIF($G1289:I1289,"&gt;"&amp;0)+2,1)=J$1,J$1,""),"")</f>
        <v/>
      </c>
      <c r="K1289" s="36" t="str">
        <f>IFERROR(IF(--MID($F1289,2*COUNTIF($G1289:J1289,"&gt;"&amp;0)+2,1)=K$1,K$1,""),"")</f>
        <v/>
      </c>
      <c r="L1289" s="36" t="str">
        <f>IFERROR(IF(--MID($F1289,2*COUNTIF($G1289:K1289,"&gt;"&amp;0)+2,1)=L$1,L$1,""),"")</f>
        <v/>
      </c>
      <c r="M1289" s="36" t="e" cm="1">
        <f t="array" ref="M1289">IF(A1289="","",_xlfn.XLOOKUP(D1289&amp;"_"&amp;AE1289,符文权重!A:A&amp;"_"&amp;符文权重!C:C,符文权重!D:D))</f>
        <v>#N/A</v>
      </c>
      <c r="N1289" s="36"/>
      <c r="O1289" s="36"/>
      <c r="P1289" s="36"/>
      <c r="Q1289" s="36"/>
      <c r="R1289" s="36"/>
      <c r="S1289" s="36" t="s">
        <v>344</v>
      </c>
      <c r="T1289" s="36"/>
      <c r="U1289" s="36" t="s">
        <v>423</v>
      </c>
      <c r="V1289" s="29" t="s">
        <v>1627</v>
      </c>
      <c r="W1289" s="79"/>
      <c r="X1289" s="35" t="s">
        <v>1628</v>
      </c>
      <c r="Y1289" s="35">
        <v>100</v>
      </c>
      <c r="AA1289" s="36" t="s">
        <v>187</v>
      </c>
      <c r="AB1289" s="79" t="s">
        <v>1629</v>
      </c>
      <c r="AC1289" s="31">
        <v>5301326</v>
      </c>
      <c r="AD1289" s="79" t="s">
        <v>649</v>
      </c>
      <c r="AE1289" s="36">
        <v>100</v>
      </c>
      <c r="AF1289" s="79"/>
      <c r="AG1289" s="79">
        <v>1</v>
      </c>
      <c r="AH1289" s="36">
        <v>1</v>
      </c>
      <c r="AI1289" s="82"/>
      <c r="AJ1289" s="84"/>
      <c r="AL1289" s="35"/>
    </row>
    <row r="1290" s="31" customFormat="1" hidden="1" customHeight="1" spans="1:38">
      <c r="A1290" s="82">
        <v>5306326</v>
      </c>
      <c r="B1290" s="34"/>
      <c r="C1290" s="31">
        <v>5301326</v>
      </c>
      <c r="D1290" s="79">
        <v>6</v>
      </c>
      <c r="E1290" s="79"/>
      <c r="F1290" s="79" t="s">
        <v>211</v>
      </c>
      <c r="G1290" s="36" t="str">
        <f t="shared" si="279"/>
        <v/>
      </c>
      <c r="H1290" s="36">
        <f>IFERROR(IF(--MID($F1290,2*COUNTIF($G1290:G1290,"&gt;"&amp;0)+2,1)=H$1,H$1,""),"")</f>
        <v>2</v>
      </c>
      <c r="I1290" s="36" t="str">
        <f>IFERROR(IF(--MID($F1290,2*COUNTIF($G1290:H1290,"&gt;"&amp;0)+2,1)=I$1,I$1,""),"")</f>
        <v/>
      </c>
      <c r="J1290" s="36" t="str">
        <f>IFERROR(IF(--MID($F1290,2*COUNTIF($G1290:I1290,"&gt;"&amp;0)+2,1)=J$1,J$1,""),"")</f>
        <v/>
      </c>
      <c r="K1290" s="36" t="str">
        <f>IFERROR(IF(--MID($F1290,2*COUNTIF($G1290:J1290,"&gt;"&amp;0)+2,1)=K$1,K$1,""),"")</f>
        <v/>
      </c>
      <c r="L1290" s="36" t="str">
        <f>IFERROR(IF(--MID($F1290,2*COUNTIF($G1290:K1290,"&gt;"&amp;0)+2,1)=L$1,L$1,""),"")</f>
        <v/>
      </c>
      <c r="M1290" s="36" t="e" cm="1">
        <f t="array" ref="M1290">IF(A1290="","",_xlfn.XLOOKUP(D1290&amp;"_"&amp;AE1290,符文权重!A:A&amp;"_"&amp;符文权重!C:C,符文权重!D:D))</f>
        <v>#N/A</v>
      </c>
      <c r="N1290" s="36"/>
      <c r="O1290" s="36"/>
      <c r="P1290" s="36"/>
      <c r="Q1290" s="36"/>
      <c r="R1290" s="36"/>
      <c r="S1290" s="36" t="s">
        <v>344</v>
      </c>
      <c r="T1290" s="36"/>
      <c r="U1290" s="36" t="s">
        <v>426</v>
      </c>
      <c r="V1290" s="29" t="s">
        <v>1630</v>
      </c>
      <c r="W1290" s="79"/>
      <c r="X1290" s="35" t="s">
        <v>1631</v>
      </c>
      <c r="Y1290" s="35">
        <v>100</v>
      </c>
      <c r="AA1290" s="36" t="s">
        <v>189</v>
      </c>
      <c r="AB1290" s="79" t="s">
        <v>1632</v>
      </c>
      <c r="AC1290" s="31">
        <v>5301326</v>
      </c>
      <c r="AD1290" s="79" t="s">
        <v>487</v>
      </c>
      <c r="AE1290" s="36">
        <v>100</v>
      </c>
      <c r="AF1290" s="79"/>
      <c r="AG1290" s="79">
        <v>1</v>
      </c>
      <c r="AH1290" s="36">
        <v>1</v>
      </c>
      <c r="AI1290" s="82"/>
      <c r="AJ1290" s="84"/>
      <c r="AL1290" s="35"/>
    </row>
    <row r="1291" s="31" customFormat="1" hidden="1" customHeight="1" spans="1:38">
      <c r="A1291" s="82">
        <v>5307326</v>
      </c>
      <c r="B1291" s="34"/>
      <c r="C1291" s="31">
        <v>5301326</v>
      </c>
      <c r="D1291" s="79">
        <v>7</v>
      </c>
      <c r="E1291" s="79"/>
      <c r="F1291" s="79" t="s">
        <v>211</v>
      </c>
      <c r="G1291" s="36" t="str">
        <f t="shared" si="279"/>
        <v/>
      </c>
      <c r="H1291" s="36">
        <f>IFERROR(IF(--MID($F1291,2*COUNTIF($G1291:G1291,"&gt;"&amp;0)+2,1)=H$1,H$1,""),"")</f>
        <v>2</v>
      </c>
      <c r="I1291" s="36" t="str">
        <f>IFERROR(IF(--MID($F1291,2*COUNTIF($G1291:H1291,"&gt;"&amp;0)+2,1)=I$1,I$1,""),"")</f>
        <v/>
      </c>
      <c r="J1291" s="36" t="str">
        <f>IFERROR(IF(--MID($F1291,2*COUNTIF($G1291:I1291,"&gt;"&amp;0)+2,1)=J$1,J$1,""),"")</f>
        <v/>
      </c>
      <c r="K1291" s="36" t="str">
        <f>IFERROR(IF(--MID($F1291,2*COUNTIF($G1291:J1291,"&gt;"&amp;0)+2,1)=K$1,K$1,""),"")</f>
        <v/>
      </c>
      <c r="L1291" s="36" t="str">
        <f>IFERROR(IF(--MID($F1291,2*COUNTIF($G1291:K1291,"&gt;"&amp;0)+2,1)=L$1,L$1,""),"")</f>
        <v/>
      </c>
      <c r="M1291" s="36" t="e" cm="1">
        <f t="array" ref="M1291">IF(A1291="","",_xlfn.XLOOKUP(D1291&amp;"_"&amp;AE1291,符文权重!A:A&amp;"_"&amp;符文权重!C:C,符文权重!D:D))</f>
        <v>#N/A</v>
      </c>
      <c r="N1291" s="36"/>
      <c r="O1291" s="36"/>
      <c r="P1291" s="36"/>
      <c r="Q1291" s="36"/>
      <c r="R1291" s="36"/>
      <c r="S1291" s="36" t="s">
        <v>344</v>
      </c>
      <c r="T1291" s="36"/>
      <c r="U1291" s="36" t="s">
        <v>429</v>
      </c>
      <c r="V1291" s="29" t="s">
        <v>1633</v>
      </c>
      <c r="W1291" s="79"/>
      <c r="X1291" s="35" t="s">
        <v>1634</v>
      </c>
      <c r="Y1291" s="35">
        <v>100</v>
      </c>
      <c r="AA1291" s="36" t="s">
        <v>191</v>
      </c>
      <c r="AB1291" s="79" t="s">
        <v>1635</v>
      </c>
      <c r="AC1291" s="31">
        <v>5301326</v>
      </c>
      <c r="AD1291" s="79" t="s">
        <v>1636</v>
      </c>
      <c r="AE1291" s="36">
        <v>100</v>
      </c>
      <c r="AF1291" s="79"/>
      <c r="AG1291" s="79">
        <v>1</v>
      </c>
      <c r="AH1291" s="36">
        <v>1</v>
      </c>
      <c r="AI1291" s="82"/>
      <c r="AJ1291" s="84"/>
      <c r="AL1291" s="35"/>
    </row>
    <row r="1292" s="31" customFormat="1" hidden="1" customHeight="1" spans="1:38">
      <c r="A1292" s="82">
        <v>5305327</v>
      </c>
      <c r="B1292" s="34"/>
      <c r="C1292" s="31">
        <v>5301327</v>
      </c>
      <c r="D1292" s="79">
        <v>5</v>
      </c>
      <c r="E1292" s="79"/>
      <c r="F1292" s="79" t="s">
        <v>211</v>
      </c>
      <c r="G1292" s="36" t="str">
        <f t="shared" si="279"/>
        <v/>
      </c>
      <c r="H1292" s="36">
        <f>IFERROR(IF(--MID($F1292,2*COUNTIF($G1292:G1292,"&gt;"&amp;0)+2,1)=H$1,H$1,""),"")</f>
        <v>2</v>
      </c>
      <c r="I1292" s="36" t="str">
        <f>IFERROR(IF(--MID($F1292,2*COUNTIF($G1292:H1292,"&gt;"&amp;0)+2,1)=I$1,I$1,""),"")</f>
        <v/>
      </c>
      <c r="J1292" s="36" t="str">
        <f>IFERROR(IF(--MID($F1292,2*COUNTIF($G1292:I1292,"&gt;"&amp;0)+2,1)=J$1,J$1,""),"")</f>
        <v/>
      </c>
      <c r="K1292" s="36" t="str">
        <f>IFERROR(IF(--MID($F1292,2*COUNTIF($G1292:J1292,"&gt;"&amp;0)+2,1)=K$1,K$1,""),"")</f>
        <v/>
      </c>
      <c r="L1292" s="36" t="str">
        <f>IFERROR(IF(--MID($F1292,2*COUNTIF($G1292:K1292,"&gt;"&amp;0)+2,1)=L$1,L$1,""),"")</f>
        <v/>
      </c>
      <c r="M1292" s="36" t="e" cm="1">
        <f t="array" ref="M1292">IF(A1292="","",_xlfn.XLOOKUP(D1292&amp;"_"&amp;AE1292,符文权重!A:A&amp;"_"&amp;符文权重!C:C,符文权重!D:D))</f>
        <v>#N/A</v>
      </c>
      <c r="N1292" s="36"/>
      <c r="O1292" s="36"/>
      <c r="P1292" s="36"/>
      <c r="Q1292" s="36"/>
      <c r="R1292" s="36"/>
      <c r="S1292" s="36" t="s">
        <v>344</v>
      </c>
      <c r="T1292" s="36"/>
      <c r="U1292" s="36" t="s">
        <v>423</v>
      </c>
      <c r="V1292" s="29" t="s">
        <v>1637</v>
      </c>
      <c r="W1292" s="79"/>
      <c r="X1292" s="35" t="s">
        <v>1638</v>
      </c>
      <c r="Y1292" s="35">
        <v>100</v>
      </c>
      <c r="AA1292" s="36" t="s">
        <v>187</v>
      </c>
      <c r="AB1292" s="79" t="s">
        <v>1639</v>
      </c>
      <c r="AC1292" s="31">
        <v>5301327</v>
      </c>
      <c r="AD1292" s="79" t="s">
        <v>487</v>
      </c>
      <c r="AE1292" s="36">
        <v>100</v>
      </c>
      <c r="AF1292" s="79"/>
      <c r="AG1292" s="79">
        <v>1</v>
      </c>
      <c r="AH1292" s="36">
        <v>1</v>
      </c>
      <c r="AI1292" s="82"/>
      <c r="AJ1292" s="84"/>
      <c r="AL1292" s="35"/>
    </row>
    <row r="1293" s="31" customFormat="1" hidden="1" customHeight="1" spans="1:38">
      <c r="A1293" s="82">
        <v>5306327</v>
      </c>
      <c r="B1293" s="34"/>
      <c r="C1293" s="31">
        <v>5301327</v>
      </c>
      <c r="D1293" s="79">
        <v>6</v>
      </c>
      <c r="E1293" s="79"/>
      <c r="F1293" s="79" t="s">
        <v>211</v>
      </c>
      <c r="G1293" s="36" t="str">
        <f t="shared" si="279"/>
        <v/>
      </c>
      <c r="H1293" s="36">
        <f>IFERROR(IF(--MID($F1293,2*COUNTIF($G1293:G1293,"&gt;"&amp;0)+2,1)=H$1,H$1,""),"")</f>
        <v>2</v>
      </c>
      <c r="I1293" s="36" t="str">
        <f>IFERROR(IF(--MID($F1293,2*COUNTIF($G1293:H1293,"&gt;"&amp;0)+2,1)=I$1,I$1,""),"")</f>
        <v/>
      </c>
      <c r="J1293" s="36" t="str">
        <f>IFERROR(IF(--MID($F1293,2*COUNTIF($G1293:I1293,"&gt;"&amp;0)+2,1)=J$1,J$1,""),"")</f>
        <v/>
      </c>
      <c r="K1293" s="36" t="str">
        <f>IFERROR(IF(--MID($F1293,2*COUNTIF($G1293:J1293,"&gt;"&amp;0)+2,1)=K$1,K$1,""),"")</f>
        <v/>
      </c>
      <c r="L1293" s="36" t="str">
        <f>IFERROR(IF(--MID($F1293,2*COUNTIF($G1293:K1293,"&gt;"&amp;0)+2,1)=L$1,L$1,""),"")</f>
        <v/>
      </c>
      <c r="M1293" s="36" t="e" cm="1">
        <f t="array" ref="M1293">IF(A1293="","",_xlfn.XLOOKUP(D1293&amp;"_"&amp;AE1293,符文权重!A:A&amp;"_"&amp;符文权重!C:C,符文权重!D:D))</f>
        <v>#N/A</v>
      </c>
      <c r="N1293" s="36"/>
      <c r="O1293" s="36"/>
      <c r="P1293" s="36"/>
      <c r="Q1293" s="36"/>
      <c r="R1293" s="36"/>
      <c r="S1293" s="36" t="s">
        <v>344</v>
      </c>
      <c r="T1293" s="36"/>
      <c r="U1293" s="36" t="s">
        <v>426</v>
      </c>
      <c r="V1293" s="29" t="s">
        <v>1640</v>
      </c>
      <c r="W1293" s="79"/>
      <c r="X1293" s="35" t="s">
        <v>1641</v>
      </c>
      <c r="Y1293" s="35">
        <v>100</v>
      </c>
      <c r="AA1293" s="36" t="s">
        <v>189</v>
      </c>
      <c r="AB1293" s="79" t="s">
        <v>1642</v>
      </c>
      <c r="AC1293" s="31">
        <v>5301327</v>
      </c>
      <c r="AD1293" s="79" t="s">
        <v>422</v>
      </c>
      <c r="AE1293" s="36">
        <v>100</v>
      </c>
      <c r="AF1293" s="79"/>
      <c r="AG1293" s="79">
        <v>1</v>
      </c>
      <c r="AH1293" s="36">
        <v>1</v>
      </c>
      <c r="AI1293" s="82"/>
      <c r="AJ1293" s="84"/>
      <c r="AL1293" s="35"/>
    </row>
    <row r="1294" s="31" customFormat="1" hidden="1" customHeight="1" spans="1:38">
      <c r="A1294" s="82">
        <v>5307327</v>
      </c>
      <c r="B1294" s="34"/>
      <c r="C1294" s="31">
        <v>5301327</v>
      </c>
      <c r="D1294" s="79">
        <v>7</v>
      </c>
      <c r="E1294" s="79"/>
      <c r="F1294" s="79" t="s">
        <v>211</v>
      </c>
      <c r="G1294" s="36" t="str">
        <f t="shared" si="279"/>
        <v/>
      </c>
      <c r="H1294" s="36">
        <f>IFERROR(IF(--MID($F1294,2*COUNTIF($G1294:G1294,"&gt;"&amp;0)+2,1)=H$1,H$1,""),"")</f>
        <v>2</v>
      </c>
      <c r="I1294" s="36" t="str">
        <f>IFERROR(IF(--MID($F1294,2*COUNTIF($G1294:H1294,"&gt;"&amp;0)+2,1)=I$1,I$1,""),"")</f>
        <v/>
      </c>
      <c r="J1294" s="36" t="str">
        <f>IFERROR(IF(--MID($F1294,2*COUNTIF($G1294:I1294,"&gt;"&amp;0)+2,1)=J$1,J$1,""),"")</f>
        <v/>
      </c>
      <c r="K1294" s="36" t="str">
        <f>IFERROR(IF(--MID($F1294,2*COUNTIF($G1294:J1294,"&gt;"&amp;0)+2,1)=K$1,K$1,""),"")</f>
        <v/>
      </c>
      <c r="L1294" s="36" t="str">
        <f>IFERROR(IF(--MID($F1294,2*COUNTIF($G1294:K1294,"&gt;"&amp;0)+2,1)=L$1,L$1,""),"")</f>
        <v/>
      </c>
      <c r="M1294" s="36" t="e" cm="1">
        <f t="array" ref="M1294">IF(A1294="","",_xlfn.XLOOKUP(D1294&amp;"_"&amp;AE1294,符文权重!A:A&amp;"_"&amp;符文权重!C:C,符文权重!D:D))</f>
        <v>#N/A</v>
      </c>
      <c r="N1294" s="36"/>
      <c r="O1294" s="36"/>
      <c r="P1294" s="36"/>
      <c r="Q1294" s="36"/>
      <c r="R1294" s="36"/>
      <c r="S1294" s="36" t="s">
        <v>344</v>
      </c>
      <c r="T1294" s="36"/>
      <c r="U1294" s="36" t="s">
        <v>429</v>
      </c>
      <c r="V1294" s="29" t="s">
        <v>1643</v>
      </c>
      <c r="W1294" s="79"/>
      <c r="X1294" s="35" t="s">
        <v>1644</v>
      </c>
      <c r="Y1294" s="35">
        <v>100</v>
      </c>
      <c r="AA1294" s="36" t="s">
        <v>191</v>
      </c>
      <c r="AB1294" s="79" t="s">
        <v>1645</v>
      </c>
      <c r="AC1294" s="31">
        <v>53013271</v>
      </c>
      <c r="AD1294" s="79" t="s">
        <v>422</v>
      </c>
      <c r="AE1294" s="36">
        <v>100</v>
      </c>
      <c r="AF1294" s="79"/>
      <c r="AG1294" s="79">
        <v>1</v>
      </c>
      <c r="AH1294" s="36">
        <v>1</v>
      </c>
      <c r="AI1294" s="82"/>
      <c r="AJ1294" s="84"/>
      <c r="AL1294" s="35"/>
    </row>
    <row r="1295" s="31" customFormat="1" hidden="1" customHeight="1" spans="1:38">
      <c r="A1295" s="82">
        <v>5305328</v>
      </c>
      <c r="B1295" s="34"/>
      <c r="C1295" s="31">
        <v>5301328</v>
      </c>
      <c r="D1295" s="79">
        <v>5</v>
      </c>
      <c r="E1295" s="79"/>
      <c r="F1295" s="79" t="s">
        <v>193</v>
      </c>
      <c r="G1295" s="36" t="str">
        <f t="shared" si="279"/>
        <v/>
      </c>
      <c r="H1295" s="36" t="str">
        <f>IFERROR(IF(--MID($F1295,2*COUNTIF($G1295:G1295,"&gt;"&amp;0)+2,1)=H$1,H$1,""),"")</f>
        <v/>
      </c>
      <c r="I1295" s="36">
        <f>IFERROR(IF(--MID($F1295,2*COUNTIF($G1295:H1295,"&gt;"&amp;0)+2,1)=I$1,I$1,""),"")</f>
        <v>3</v>
      </c>
      <c r="J1295" s="36" t="str">
        <f>IFERROR(IF(--MID($F1295,2*COUNTIF($G1295:I1295,"&gt;"&amp;0)+2,1)=J$1,J$1,""),"")</f>
        <v/>
      </c>
      <c r="K1295" s="36" t="str">
        <f>IFERROR(IF(--MID($F1295,2*COUNTIF($G1295:J1295,"&gt;"&amp;0)+2,1)=K$1,K$1,""),"")</f>
        <v/>
      </c>
      <c r="L1295" s="36" t="str">
        <f>IFERROR(IF(--MID($F1295,2*COUNTIF($G1295:K1295,"&gt;"&amp;0)+2,1)=L$1,L$1,""),"")</f>
        <v/>
      </c>
      <c r="M1295" s="36" t="e" cm="1">
        <f t="array" ref="M1295">IF(A1295="","",_xlfn.XLOOKUP(D1295&amp;"_"&amp;AE1295,符文权重!A:A&amp;"_"&amp;符文权重!C:C,符文权重!D:D))</f>
        <v>#N/A</v>
      </c>
      <c r="N1295" s="36"/>
      <c r="O1295" s="36"/>
      <c r="P1295" s="36"/>
      <c r="Q1295" s="36"/>
      <c r="R1295" s="36"/>
      <c r="S1295" s="36" t="s">
        <v>344</v>
      </c>
      <c r="T1295" s="36"/>
      <c r="U1295" s="36" t="s">
        <v>423</v>
      </c>
      <c r="V1295" s="29" t="s">
        <v>1646</v>
      </c>
      <c r="W1295" s="79"/>
      <c r="X1295" s="35" t="s">
        <v>1638</v>
      </c>
      <c r="Y1295" s="35">
        <v>100</v>
      </c>
      <c r="AA1295" s="36" t="s">
        <v>187</v>
      </c>
      <c r="AB1295" s="79" t="s">
        <v>1647</v>
      </c>
      <c r="AC1295" s="31">
        <v>5301328</v>
      </c>
      <c r="AD1295" s="79" t="s">
        <v>487</v>
      </c>
      <c r="AE1295" s="36">
        <v>100</v>
      </c>
      <c r="AF1295" s="79"/>
      <c r="AG1295" s="79">
        <v>1</v>
      </c>
      <c r="AH1295" s="36">
        <v>1</v>
      </c>
      <c r="AL1295" s="35"/>
    </row>
    <row r="1296" s="31" customFormat="1" hidden="1" customHeight="1" spans="1:38">
      <c r="A1296" s="82">
        <v>5306328</v>
      </c>
      <c r="B1296" s="34"/>
      <c r="C1296" s="31">
        <v>5301328</v>
      </c>
      <c r="D1296" s="79">
        <v>6</v>
      </c>
      <c r="E1296" s="79"/>
      <c r="F1296" s="79" t="s">
        <v>193</v>
      </c>
      <c r="G1296" s="36" t="str">
        <f t="shared" si="279"/>
        <v/>
      </c>
      <c r="H1296" s="36" t="str">
        <f>IFERROR(IF(--MID($F1296,2*COUNTIF($G1296:G1296,"&gt;"&amp;0)+2,1)=H$1,H$1,""),"")</f>
        <v/>
      </c>
      <c r="I1296" s="36">
        <f>IFERROR(IF(--MID($F1296,2*COUNTIF($G1296:H1296,"&gt;"&amp;0)+2,1)=I$1,I$1,""),"")</f>
        <v>3</v>
      </c>
      <c r="J1296" s="36" t="str">
        <f>IFERROR(IF(--MID($F1296,2*COUNTIF($G1296:I1296,"&gt;"&amp;0)+2,1)=J$1,J$1,""),"")</f>
        <v/>
      </c>
      <c r="K1296" s="36" t="str">
        <f>IFERROR(IF(--MID($F1296,2*COUNTIF($G1296:J1296,"&gt;"&amp;0)+2,1)=K$1,K$1,""),"")</f>
        <v/>
      </c>
      <c r="L1296" s="36" t="str">
        <f>IFERROR(IF(--MID($F1296,2*COUNTIF($G1296:K1296,"&gt;"&amp;0)+2,1)=L$1,L$1,""),"")</f>
        <v/>
      </c>
      <c r="M1296" s="36" t="e" cm="1">
        <f t="array" ref="M1296">IF(A1296="","",_xlfn.XLOOKUP(D1296&amp;"_"&amp;AE1296,符文权重!A:A&amp;"_"&amp;符文权重!C:C,符文权重!D:D))</f>
        <v>#N/A</v>
      </c>
      <c r="N1296" s="36"/>
      <c r="O1296" s="36"/>
      <c r="P1296" s="36"/>
      <c r="Q1296" s="36"/>
      <c r="R1296" s="36"/>
      <c r="S1296" s="36" t="s">
        <v>344</v>
      </c>
      <c r="T1296" s="36"/>
      <c r="U1296" s="36" t="s">
        <v>426</v>
      </c>
      <c r="V1296" s="29" t="s">
        <v>1648</v>
      </c>
      <c r="W1296" s="79"/>
      <c r="X1296" s="35" t="s">
        <v>1641</v>
      </c>
      <c r="Y1296" s="35">
        <v>100</v>
      </c>
      <c r="AA1296" s="36" t="s">
        <v>189</v>
      </c>
      <c r="AB1296" s="79" t="s">
        <v>1649</v>
      </c>
      <c r="AC1296" s="31">
        <v>5301328</v>
      </c>
      <c r="AD1296" s="79" t="s">
        <v>422</v>
      </c>
      <c r="AE1296" s="36">
        <v>100</v>
      </c>
      <c r="AF1296" s="79"/>
      <c r="AG1296" s="79">
        <v>1</v>
      </c>
      <c r="AH1296" s="36">
        <v>1</v>
      </c>
      <c r="AL1296" s="35"/>
    </row>
    <row r="1297" s="31" customFormat="1" hidden="1" customHeight="1" spans="1:38">
      <c r="A1297" s="82">
        <v>5307328</v>
      </c>
      <c r="B1297" s="34"/>
      <c r="C1297" s="31">
        <v>5301328</v>
      </c>
      <c r="D1297" s="79">
        <v>7</v>
      </c>
      <c r="E1297" s="79"/>
      <c r="F1297" s="79" t="s">
        <v>193</v>
      </c>
      <c r="G1297" s="36" t="str">
        <f t="shared" si="279"/>
        <v/>
      </c>
      <c r="H1297" s="36" t="str">
        <f>IFERROR(IF(--MID($F1297,2*COUNTIF($G1297:G1297,"&gt;"&amp;0)+2,1)=H$1,H$1,""),"")</f>
        <v/>
      </c>
      <c r="I1297" s="36">
        <f>IFERROR(IF(--MID($F1297,2*COUNTIF($G1297:H1297,"&gt;"&amp;0)+2,1)=I$1,I$1,""),"")</f>
        <v>3</v>
      </c>
      <c r="J1297" s="36" t="str">
        <f>IFERROR(IF(--MID($F1297,2*COUNTIF($G1297:I1297,"&gt;"&amp;0)+2,1)=J$1,J$1,""),"")</f>
        <v/>
      </c>
      <c r="K1297" s="36" t="str">
        <f>IFERROR(IF(--MID($F1297,2*COUNTIF($G1297:J1297,"&gt;"&amp;0)+2,1)=K$1,K$1,""),"")</f>
        <v/>
      </c>
      <c r="L1297" s="36" t="str">
        <f>IFERROR(IF(--MID($F1297,2*COUNTIF($G1297:K1297,"&gt;"&amp;0)+2,1)=L$1,L$1,""),"")</f>
        <v/>
      </c>
      <c r="M1297" s="36" t="e" cm="1">
        <f t="array" ref="M1297">IF(A1297="","",_xlfn.XLOOKUP(D1297&amp;"_"&amp;AE1297,符文权重!A:A&amp;"_"&amp;符文权重!C:C,符文权重!D:D))</f>
        <v>#N/A</v>
      </c>
      <c r="N1297" s="36"/>
      <c r="O1297" s="36"/>
      <c r="P1297" s="36"/>
      <c r="Q1297" s="36"/>
      <c r="R1297" s="36"/>
      <c r="S1297" s="36" t="s">
        <v>344</v>
      </c>
      <c r="T1297" s="36"/>
      <c r="U1297" s="36" t="s">
        <v>429</v>
      </c>
      <c r="V1297" s="29" t="s">
        <v>1650</v>
      </c>
      <c r="W1297" s="79"/>
      <c r="X1297" s="35" t="s">
        <v>1644</v>
      </c>
      <c r="Y1297" s="35">
        <v>100</v>
      </c>
      <c r="AA1297" s="36" t="s">
        <v>191</v>
      </c>
      <c r="AB1297" s="79" t="s">
        <v>1651</v>
      </c>
      <c r="AC1297" s="31">
        <v>53013281</v>
      </c>
      <c r="AD1297" s="79" t="s">
        <v>422</v>
      </c>
      <c r="AE1297" s="36">
        <v>100</v>
      </c>
      <c r="AF1297" s="79"/>
      <c r="AG1297" s="79">
        <v>1</v>
      </c>
      <c r="AH1297" s="36">
        <v>1</v>
      </c>
      <c r="AL1297" s="35"/>
    </row>
    <row r="1298" s="31" customFormat="1" hidden="1" customHeight="1" spans="1:38">
      <c r="A1298" s="31">
        <v>5304329</v>
      </c>
      <c r="B1298" s="34"/>
      <c r="C1298" s="31">
        <v>5301329</v>
      </c>
      <c r="D1298" s="79">
        <v>4</v>
      </c>
      <c r="E1298" s="79"/>
      <c r="F1298" s="79" t="s">
        <v>193</v>
      </c>
      <c r="G1298" s="36" t="str">
        <f t="shared" si="279"/>
        <v/>
      </c>
      <c r="H1298" s="36" t="str">
        <f>IFERROR(IF(--MID($F1298,2*COUNTIF($G1298:G1298,"&gt;"&amp;0)+2,1)=H$1,H$1,""),"")</f>
        <v/>
      </c>
      <c r="I1298" s="36">
        <f>IFERROR(IF(--MID($F1298,2*COUNTIF($G1298:H1298,"&gt;"&amp;0)+2,1)=I$1,I$1,""),"")</f>
        <v>3</v>
      </c>
      <c r="J1298" s="36" t="str">
        <f>IFERROR(IF(--MID($F1298,2*COUNTIF($G1298:I1298,"&gt;"&amp;0)+2,1)=J$1,J$1,""),"")</f>
        <v/>
      </c>
      <c r="K1298" s="36" t="str">
        <f>IFERROR(IF(--MID($F1298,2*COUNTIF($G1298:J1298,"&gt;"&amp;0)+2,1)=K$1,K$1,""),"")</f>
        <v/>
      </c>
      <c r="L1298" s="36" t="str">
        <f>IFERROR(IF(--MID($F1298,2*COUNTIF($G1298:K1298,"&gt;"&amp;0)+2,1)=L$1,L$1,""),"")</f>
        <v/>
      </c>
      <c r="M1298" s="36" t="e" cm="1">
        <f t="array" ref="M1298">IF(A1298="","",_xlfn.XLOOKUP(D1298&amp;"_"&amp;AE1298,符文权重!A:A&amp;"_"&amp;符文权重!C:C,符文权重!D:D))</f>
        <v>#N/A</v>
      </c>
      <c r="N1298" s="36"/>
      <c r="O1298" s="36"/>
      <c r="P1298" s="36"/>
      <c r="Q1298" s="36"/>
      <c r="R1298" s="36"/>
      <c r="S1298" s="36" t="s">
        <v>344</v>
      </c>
      <c r="T1298" s="36"/>
      <c r="U1298" s="36" t="s">
        <v>420</v>
      </c>
      <c r="V1298" s="29" t="s">
        <v>1652</v>
      </c>
      <c r="W1298" s="79"/>
      <c r="X1298" s="35" t="s">
        <v>1625</v>
      </c>
      <c r="Y1298" s="35">
        <v>100</v>
      </c>
      <c r="AA1298" s="36" t="s">
        <v>185</v>
      </c>
      <c r="AB1298" s="79" t="s">
        <v>1653</v>
      </c>
      <c r="AC1298" s="31">
        <v>5301329</v>
      </c>
      <c r="AD1298" s="79" t="s">
        <v>425</v>
      </c>
      <c r="AE1298" s="36">
        <v>100</v>
      </c>
      <c r="AF1298" s="79"/>
      <c r="AG1298" s="79">
        <v>1</v>
      </c>
      <c r="AH1298" s="36">
        <v>1</v>
      </c>
      <c r="AI1298" s="82"/>
      <c r="AJ1298" s="84"/>
      <c r="AL1298" s="35"/>
    </row>
    <row r="1299" s="31" customFormat="1" hidden="1" customHeight="1" spans="1:38">
      <c r="A1299" s="82">
        <v>5305329</v>
      </c>
      <c r="B1299" s="34"/>
      <c r="C1299" s="31">
        <v>5301329</v>
      </c>
      <c r="D1299" s="79">
        <v>5</v>
      </c>
      <c r="E1299" s="79"/>
      <c r="F1299" s="79" t="s">
        <v>193</v>
      </c>
      <c r="G1299" s="36" t="str">
        <f t="shared" si="279"/>
        <v/>
      </c>
      <c r="H1299" s="36" t="str">
        <f>IFERROR(IF(--MID($F1299,2*COUNTIF($G1299:G1299,"&gt;"&amp;0)+2,1)=H$1,H$1,""),"")</f>
        <v/>
      </c>
      <c r="I1299" s="36">
        <f>IFERROR(IF(--MID($F1299,2*COUNTIF($G1299:H1299,"&gt;"&amp;0)+2,1)=I$1,I$1,""),"")</f>
        <v>3</v>
      </c>
      <c r="J1299" s="36" t="str">
        <f>IFERROR(IF(--MID($F1299,2*COUNTIF($G1299:I1299,"&gt;"&amp;0)+2,1)=J$1,J$1,""),"")</f>
        <v/>
      </c>
      <c r="K1299" s="36" t="str">
        <f>IFERROR(IF(--MID($F1299,2*COUNTIF($G1299:J1299,"&gt;"&amp;0)+2,1)=K$1,K$1,""),"")</f>
        <v/>
      </c>
      <c r="L1299" s="36" t="str">
        <f>IFERROR(IF(--MID($F1299,2*COUNTIF($G1299:K1299,"&gt;"&amp;0)+2,1)=L$1,L$1,""),"")</f>
        <v/>
      </c>
      <c r="M1299" s="36" t="e" cm="1">
        <f t="array" ref="M1299">IF(A1299="","",_xlfn.XLOOKUP(D1299&amp;"_"&amp;AE1299,符文权重!A:A&amp;"_"&amp;符文权重!C:C,符文权重!D:D))</f>
        <v>#N/A</v>
      </c>
      <c r="N1299" s="36"/>
      <c r="O1299" s="36"/>
      <c r="P1299" s="36"/>
      <c r="Q1299" s="36"/>
      <c r="R1299" s="36"/>
      <c r="S1299" s="36" t="s">
        <v>344</v>
      </c>
      <c r="T1299" s="36"/>
      <c r="U1299" s="36" t="s">
        <v>423</v>
      </c>
      <c r="V1299" s="29" t="s">
        <v>1654</v>
      </c>
      <c r="W1299" s="79"/>
      <c r="X1299" s="35" t="s">
        <v>1628</v>
      </c>
      <c r="Y1299" s="35">
        <v>100</v>
      </c>
      <c r="AA1299" s="36" t="s">
        <v>187</v>
      </c>
      <c r="AB1299" s="79" t="s">
        <v>1655</v>
      </c>
      <c r="AC1299" s="31">
        <v>5301329</v>
      </c>
      <c r="AD1299" s="79" t="s">
        <v>428</v>
      </c>
      <c r="AE1299" s="36">
        <v>100</v>
      </c>
      <c r="AF1299" s="79"/>
      <c r="AG1299" s="79">
        <v>1</v>
      </c>
      <c r="AH1299" s="36">
        <v>1</v>
      </c>
      <c r="AI1299" s="82"/>
      <c r="AJ1299" s="84"/>
      <c r="AL1299" s="35"/>
    </row>
    <row r="1300" s="31" customFormat="1" hidden="1" customHeight="1" spans="1:38">
      <c r="A1300" s="82">
        <v>5306329</v>
      </c>
      <c r="B1300" s="34"/>
      <c r="C1300" s="31">
        <v>5301329</v>
      </c>
      <c r="D1300" s="79">
        <v>6</v>
      </c>
      <c r="E1300" s="79"/>
      <c r="F1300" s="79" t="s">
        <v>193</v>
      </c>
      <c r="G1300" s="36" t="str">
        <f t="shared" si="279"/>
        <v/>
      </c>
      <c r="H1300" s="36" t="str">
        <f>IFERROR(IF(--MID($F1300,2*COUNTIF($G1300:G1300,"&gt;"&amp;0)+2,1)=H$1,H$1,""),"")</f>
        <v/>
      </c>
      <c r="I1300" s="36">
        <f>IFERROR(IF(--MID($F1300,2*COUNTIF($G1300:H1300,"&gt;"&amp;0)+2,1)=I$1,I$1,""),"")</f>
        <v>3</v>
      </c>
      <c r="J1300" s="36" t="str">
        <f>IFERROR(IF(--MID($F1300,2*COUNTIF($G1300:I1300,"&gt;"&amp;0)+2,1)=J$1,J$1,""),"")</f>
        <v/>
      </c>
      <c r="K1300" s="36" t="str">
        <f>IFERROR(IF(--MID($F1300,2*COUNTIF($G1300:J1300,"&gt;"&amp;0)+2,1)=K$1,K$1,""),"")</f>
        <v/>
      </c>
      <c r="L1300" s="36" t="str">
        <f>IFERROR(IF(--MID($F1300,2*COUNTIF($G1300:K1300,"&gt;"&amp;0)+2,1)=L$1,L$1,""),"")</f>
        <v/>
      </c>
      <c r="M1300" s="36" t="e" cm="1">
        <f t="array" ref="M1300">IF(A1300="","",_xlfn.XLOOKUP(D1300&amp;"_"&amp;AE1300,符文权重!A:A&amp;"_"&amp;符文权重!C:C,符文权重!D:D))</f>
        <v>#N/A</v>
      </c>
      <c r="N1300" s="36"/>
      <c r="O1300" s="36"/>
      <c r="P1300" s="36"/>
      <c r="Q1300" s="36"/>
      <c r="R1300" s="36"/>
      <c r="S1300" s="36" t="s">
        <v>344</v>
      </c>
      <c r="T1300" s="36"/>
      <c r="U1300" s="36" t="s">
        <v>426</v>
      </c>
      <c r="V1300" s="29" t="s">
        <v>1656</v>
      </c>
      <c r="W1300" s="79"/>
      <c r="X1300" s="35" t="s">
        <v>1631</v>
      </c>
      <c r="Y1300" s="35">
        <v>100</v>
      </c>
      <c r="AA1300" s="36" t="s">
        <v>189</v>
      </c>
      <c r="AB1300" s="79" t="s">
        <v>1657</v>
      </c>
      <c r="AC1300" s="31">
        <v>5301329</v>
      </c>
      <c r="AD1300" s="79" t="s">
        <v>431</v>
      </c>
      <c r="AE1300" s="36">
        <v>100</v>
      </c>
      <c r="AF1300" s="79"/>
      <c r="AG1300" s="79">
        <v>1</v>
      </c>
      <c r="AH1300" s="36">
        <v>1</v>
      </c>
      <c r="AI1300" s="82"/>
      <c r="AJ1300" s="84"/>
      <c r="AL1300" s="35"/>
    </row>
    <row r="1301" s="31" customFormat="1" hidden="1" customHeight="1" spans="1:38">
      <c r="A1301" s="82">
        <v>5307329</v>
      </c>
      <c r="B1301" s="34"/>
      <c r="C1301" s="31">
        <v>5301329</v>
      </c>
      <c r="D1301" s="79">
        <v>7</v>
      </c>
      <c r="E1301" s="79"/>
      <c r="F1301" s="79" t="s">
        <v>193</v>
      </c>
      <c r="G1301" s="36" t="str">
        <f t="shared" si="279"/>
        <v/>
      </c>
      <c r="H1301" s="36" t="str">
        <f>IFERROR(IF(--MID($F1301,2*COUNTIF($G1301:G1301,"&gt;"&amp;0)+2,1)=H$1,H$1,""),"")</f>
        <v/>
      </c>
      <c r="I1301" s="36">
        <f>IFERROR(IF(--MID($F1301,2*COUNTIF($G1301:H1301,"&gt;"&amp;0)+2,1)=I$1,I$1,""),"")</f>
        <v>3</v>
      </c>
      <c r="J1301" s="36" t="str">
        <f>IFERROR(IF(--MID($F1301,2*COUNTIF($G1301:I1301,"&gt;"&amp;0)+2,1)=J$1,J$1,""),"")</f>
        <v/>
      </c>
      <c r="K1301" s="36" t="str">
        <f>IFERROR(IF(--MID($F1301,2*COUNTIF($G1301:J1301,"&gt;"&amp;0)+2,1)=K$1,K$1,""),"")</f>
        <v/>
      </c>
      <c r="L1301" s="36" t="str">
        <f>IFERROR(IF(--MID($F1301,2*COUNTIF($G1301:K1301,"&gt;"&amp;0)+2,1)=L$1,L$1,""),"")</f>
        <v/>
      </c>
      <c r="M1301" s="36" t="e" cm="1">
        <f t="array" ref="M1301">IF(A1301="","",_xlfn.XLOOKUP(D1301&amp;"_"&amp;AE1301,符文权重!A:A&amp;"_"&amp;符文权重!C:C,符文权重!D:D))</f>
        <v>#N/A</v>
      </c>
      <c r="N1301" s="36"/>
      <c r="O1301" s="36"/>
      <c r="P1301" s="36"/>
      <c r="Q1301" s="36"/>
      <c r="R1301" s="36"/>
      <c r="S1301" s="36" t="s">
        <v>344</v>
      </c>
      <c r="T1301" s="36"/>
      <c r="U1301" s="36" t="s">
        <v>429</v>
      </c>
      <c r="V1301" s="29" t="s">
        <v>1658</v>
      </c>
      <c r="W1301" s="79"/>
      <c r="X1301" s="35" t="s">
        <v>1634</v>
      </c>
      <c r="Y1301" s="35">
        <v>100</v>
      </c>
      <c r="AA1301" s="36" t="s">
        <v>191</v>
      </c>
      <c r="AB1301" s="79" t="s">
        <v>1659</v>
      </c>
      <c r="AC1301" s="31">
        <v>5301329</v>
      </c>
      <c r="AD1301" s="79" t="s">
        <v>487</v>
      </c>
      <c r="AE1301" s="36">
        <v>100</v>
      </c>
      <c r="AF1301" s="79"/>
      <c r="AG1301" s="79">
        <v>1</v>
      </c>
      <c r="AH1301" s="36">
        <v>1</v>
      </c>
      <c r="AI1301" s="82"/>
      <c r="AJ1301" s="84"/>
      <c r="AL1301" s="35"/>
    </row>
    <row r="1302" s="31" customFormat="1" hidden="1" customHeight="1" spans="1:38">
      <c r="A1302" s="82">
        <v>5304330</v>
      </c>
      <c r="B1302" s="34"/>
      <c r="C1302" s="31">
        <v>5301330</v>
      </c>
      <c r="D1302" s="79">
        <v>4</v>
      </c>
      <c r="E1302" s="79"/>
      <c r="F1302" s="79" t="s">
        <v>230</v>
      </c>
      <c r="G1302" s="36" t="str">
        <f t="shared" si="279"/>
        <v/>
      </c>
      <c r="H1302" s="36" t="str">
        <f>IFERROR(IF(--MID($F1302,2*COUNTIF($G1302:G1302,"&gt;"&amp;0)+2,1)=H$1,H$1,""),"")</f>
        <v/>
      </c>
      <c r="I1302" s="36" t="str">
        <f>IFERROR(IF(--MID($F1302,2*COUNTIF($G1302:H1302,"&gt;"&amp;0)+2,1)=I$1,I$1,""),"")</f>
        <v/>
      </c>
      <c r="J1302" s="36" t="str">
        <f>IFERROR(IF(--MID($F1302,2*COUNTIF($G1302:I1302,"&gt;"&amp;0)+2,1)=J$1,J$1,""),"")</f>
        <v/>
      </c>
      <c r="K1302" s="36">
        <f>IFERROR(IF(--MID($F1302,2*COUNTIF($G1302:J1302,"&gt;"&amp;0)+2,1)=K$1,K$1,""),"")</f>
        <v>5</v>
      </c>
      <c r="L1302" s="36" t="str">
        <f>IFERROR(IF(--MID($F1302,2*COUNTIF($G1302:K1302,"&gt;"&amp;0)+2,1)=L$1,L$1,""),"")</f>
        <v/>
      </c>
      <c r="M1302" s="36" t="e" cm="1">
        <f t="array" ref="M1302">IF(A1302="","",_xlfn.XLOOKUP(D1302&amp;"_"&amp;AE1302,符文权重!A:A&amp;"_"&amp;符文权重!C:C,符文权重!D:D))</f>
        <v>#N/A</v>
      </c>
      <c r="N1302" s="36"/>
      <c r="O1302" s="36"/>
      <c r="P1302" s="36"/>
      <c r="Q1302" s="36"/>
      <c r="R1302" s="36"/>
      <c r="S1302" s="36" t="s">
        <v>344</v>
      </c>
      <c r="T1302" s="36"/>
      <c r="U1302" s="36" t="s">
        <v>420</v>
      </c>
      <c r="V1302" s="29" t="s">
        <v>1660</v>
      </c>
      <c r="W1302" s="79"/>
      <c r="X1302" s="35" t="s">
        <v>1625</v>
      </c>
      <c r="Y1302" s="35">
        <v>100</v>
      </c>
      <c r="AA1302" s="36" t="s">
        <v>185</v>
      </c>
      <c r="AB1302" s="79" t="s">
        <v>1661</v>
      </c>
      <c r="AC1302" s="31">
        <v>5301330</v>
      </c>
      <c r="AD1302" s="79" t="s">
        <v>422</v>
      </c>
      <c r="AE1302" s="36">
        <v>100</v>
      </c>
      <c r="AF1302" s="79"/>
      <c r="AG1302" s="79">
        <v>1</v>
      </c>
      <c r="AH1302" s="36">
        <v>1</v>
      </c>
      <c r="AI1302" s="82"/>
      <c r="AJ1302" s="84"/>
      <c r="AL1302" s="35"/>
    </row>
    <row r="1303" s="31" customFormat="1" hidden="1" customHeight="1" spans="1:38">
      <c r="A1303" s="82">
        <v>5305330</v>
      </c>
      <c r="B1303" s="34"/>
      <c r="C1303" s="31">
        <v>5301330</v>
      </c>
      <c r="D1303" s="79">
        <v>5</v>
      </c>
      <c r="E1303" s="79"/>
      <c r="F1303" s="79" t="s">
        <v>230</v>
      </c>
      <c r="G1303" s="36" t="str">
        <f t="shared" si="279"/>
        <v/>
      </c>
      <c r="H1303" s="36" t="str">
        <f>IFERROR(IF(--MID($F1303,2*COUNTIF($G1303:G1303,"&gt;"&amp;0)+2,1)=H$1,H$1,""),"")</f>
        <v/>
      </c>
      <c r="I1303" s="36" t="str">
        <f>IFERROR(IF(--MID($F1303,2*COUNTIF($G1303:H1303,"&gt;"&amp;0)+2,1)=I$1,I$1,""),"")</f>
        <v/>
      </c>
      <c r="J1303" s="36" t="str">
        <f>IFERROR(IF(--MID($F1303,2*COUNTIF($G1303:I1303,"&gt;"&amp;0)+2,1)=J$1,J$1,""),"")</f>
        <v/>
      </c>
      <c r="K1303" s="36">
        <f>IFERROR(IF(--MID($F1303,2*COUNTIF($G1303:J1303,"&gt;"&amp;0)+2,1)=K$1,K$1,""),"")</f>
        <v>5</v>
      </c>
      <c r="L1303" s="36" t="str">
        <f>IFERROR(IF(--MID($F1303,2*COUNTIF($G1303:K1303,"&gt;"&amp;0)+2,1)=L$1,L$1,""),"")</f>
        <v/>
      </c>
      <c r="M1303" s="36" t="e" cm="1">
        <f t="array" ref="M1303">IF(A1303="","",_xlfn.XLOOKUP(D1303&amp;"_"&amp;AE1303,符文权重!A:A&amp;"_"&amp;符文权重!C:C,符文权重!D:D))</f>
        <v>#N/A</v>
      </c>
      <c r="N1303" s="36"/>
      <c r="O1303" s="36"/>
      <c r="P1303" s="36"/>
      <c r="Q1303" s="36"/>
      <c r="R1303" s="36"/>
      <c r="S1303" s="36" t="s">
        <v>344</v>
      </c>
      <c r="T1303" s="36"/>
      <c r="U1303" s="36" t="s">
        <v>423</v>
      </c>
      <c r="V1303" s="29" t="s">
        <v>1662</v>
      </c>
      <c r="W1303" s="79"/>
      <c r="X1303" s="35" t="s">
        <v>1628</v>
      </c>
      <c r="Y1303" s="35">
        <v>100</v>
      </c>
      <c r="AA1303" s="36" t="s">
        <v>187</v>
      </c>
      <c r="AB1303" s="79" t="s">
        <v>1663</v>
      </c>
      <c r="AC1303" s="31">
        <v>5301330</v>
      </c>
      <c r="AD1303" s="79" t="s">
        <v>425</v>
      </c>
      <c r="AE1303" s="36">
        <v>100</v>
      </c>
      <c r="AF1303" s="79"/>
      <c r="AG1303" s="79">
        <v>1</v>
      </c>
      <c r="AH1303" s="36">
        <v>1</v>
      </c>
      <c r="AI1303" s="82"/>
      <c r="AJ1303" s="84"/>
      <c r="AL1303" s="35"/>
    </row>
    <row r="1304" s="31" customFormat="1" hidden="1" customHeight="1" spans="1:38">
      <c r="A1304" s="82">
        <v>5306330</v>
      </c>
      <c r="B1304" s="34"/>
      <c r="C1304" s="31">
        <v>5301330</v>
      </c>
      <c r="D1304" s="79">
        <v>6</v>
      </c>
      <c r="E1304" s="79"/>
      <c r="F1304" s="79" t="s">
        <v>230</v>
      </c>
      <c r="G1304" s="36" t="str">
        <f t="shared" si="279"/>
        <v/>
      </c>
      <c r="H1304" s="36" t="str">
        <f>IFERROR(IF(--MID($F1304,2*COUNTIF($G1304:G1304,"&gt;"&amp;0)+2,1)=H$1,H$1,""),"")</f>
        <v/>
      </c>
      <c r="I1304" s="36" t="str">
        <f>IFERROR(IF(--MID($F1304,2*COUNTIF($G1304:H1304,"&gt;"&amp;0)+2,1)=I$1,I$1,""),"")</f>
        <v/>
      </c>
      <c r="J1304" s="36" t="str">
        <f>IFERROR(IF(--MID($F1304,2*COUNTIF($G1304:I1304,"&gt;"&amp;0)+2,1)=J$1,J$1,""),"")</f>
        <v/>
      </c>
      <c r="K1304" s="36">
        <f>IFERROR(IF(--MID($F1304,2*COUNTIF($G1304:J1304,"&gt;"&amp;0)+2,1)=K$1,K$1,""),"")</f>
        <v>5</v>
      </c>
      <c r="L1304" s="36" t="str">
        <f>IFERROR(IF(--MID($F1304,2*COUNTIF($G1304:K1304,"&gt;"&amp;0)+2,1)=L$1,L$1,""),"")</f>
        <v/>
      </c>
      <c r="M1304" s="36" t="e" cm="1">
        <f t="array" ref="M1304">IF(A1304="","",_xlfn.XLOOKUP(D1304&amp;"_"&amp;AE1304,符文权重!A:A&amp;"_"&amp;符文权重!C:C,符文权重!D:D))</f>
        <v>#N/A</v>
      </c>
      <c r="N1304" s="36"/>
      <c r="O1304" s="36"/>
      <c r="P1304" s="36"/>
      <c r="Q1304" s="36"/>
      <c r="R1304" s="36"/>
      <c r="S1304" s="36" t="s">
        <v>344</v>
      </c>
      <c r="T1304" s="36"/>
      <c r="U1304" s="36" t="s">
        <v>426</v>
      </c>
      <c r="V1304" s="29" t="s">
        <v>1664</v>
      </c>
      <c r="W1304" s="79"/>
      <c r="X1304" s="35" t="s">
        <v>1631</v>
      </c>
      <c r="Y1304" s="35">
        <v>100</v>
      </c>
      <c r="AA1304" s="36" t="s">
        <v>189</v>
      </c>
      <c r="AB1304" s="79" t="s">
        <v>1665</v>
      </c>
      <c r="AC1304" s="31">
        <v>5301330</v>
      </c>
      <c r="AD1304" s="79" t="s">
        <v>428</v>
      </c>
      <c r="AE1304" s="36">
        <v>100</v>
      </c>
      <c r="AF1304" s="79"/>
      <c r="AG1304" s="79">
        <v>1</v>
      </c>
      <c r="AH1304" s="36">
        <v>1</v>
      </c>
      <c r="AI1304" s="82"/>
      <c r="AJ1304" s="84"/>
      <c r="AL1304" s="35"/>
    </row>
    <row r="1305" s="31" customFormat="1" hidden="1" customHeight="1" spans="1:38">
      <c r="A1305" s="82">
        <v>5307330</v>
      </c>
      <c r="B1305" s="34"/>
      <c r="C1305" s="31">
        <v>5301330</v>
      </c>
      <c r="D1305" s="79">
        <v>7</v>
      </c>
      <c r="E1305" s="79"/>
      <c r="F1305" s="79" t="s">
        <v>230</v>
      </c>
      <c r="G1305" s="36" t="str">
        <f t="shared" si="279"/>
        <v/>
      </c>
      <c r="H1305" s="36" t="str">
        <f>IFERROR(IF(--MID($F1305,2*COUNTIF($G1305:G1305,"&gt;"&amp;0)+2,1)=H$1,H$1,""),"")</f>
        <v/>
      </c>
      <c r="I1305" s="36" t="str">
        <f>IFERROR(IF(--MID($F1305,2*COUNTIF($G1305:H1305,"&gt;"&amp;0)+2,1)=I$1,I$1,""),"")</f>
        <v/>
      </c>
      <c r="J1305" s="36" t="str">
        <f>IFERROR(IF(--MID($F1305,2*COUNTIF($G1305:I1305,"&gt;"&amp;0)+2,1)=J$1,J$1,""),"")</f>
        <v/>
      </c>
      <c r="K1305" s="36">
        <f>IFERROR(IF(--MID($F1305,2*COUNTIF($G1305:J1305,"&gt;"&amp;0)+2,1)=K$1,K$1,""),"")</f>
        <v>5</v>
      </c>
      <c r="L1305" s="36" t="str">
        <f>IFERROR(IF(--MID($F1305,2*COUNTIF($G1305:K1305,"&gt;"&amp;0)+2,1)=L$1,L$1,""),"")</f>
        <v/>
      </c>
      <c r="M1305" s="36" t="e" cm="1">
        <f t="array" ref="M1305">IF(A1305="","",_xlfn.XLOOKUP(D1305&amp;"_"&amp;AE1305,符文权重!A:A&amp;"_"&amp;符文权重!C:C,符文权重!D:D))</f>
        <v>#N/A</v>
      </c>
      <c r="N1305" s="36"/>
      <c r="O1305" s="36"/>
      <c r="P1305" s="36"/>
      <c r="Q1305" s="36"/>
      <c r="R1305" s="36"/>
      <c r="S1305" s="36" t="s">
        <v>344</v>
      </c>
      <c r="T1305" s="36"/>
      <c r="U1305" s="36" t="s">
        <v>429</v>
      </c>
      <c r="V1305" s="29" t="s">
        <v>1666</v>
      </c>
      <c r="W1305" s="79"/>
      <c r="X1305" s="35" t="s">
        <v>1634</v>
      </c>
      <c r="Y1305" s="35">
        <v>100</v>
      </c>
      <c r="AA1305" s="36" t="s">
        <v>191</v>
      </c>
      <c r="AB1305" s="79" t="s">
        <v>1667</v>
      </c>
      <c r="AC1305" s="31">
        <v>5301330</v>
      </c>
      <c r="AD1305" s="79" t="s">
        <v>431</v>
      </c>
      <c r="AE1305" s="36">
        <v>100</v>
      </c>
      <c r="AF1305" s="79"/>
      <c r="AG1305" s="79">
        <v>1</v>
      </c>
      <c r="AH1305" s="36">
        <v>1</v>
      </c>
      <c r="AI1305" s="82"/>
      <c r="AJ1305" s="84"/>
      <c r="AL1305" s="35"/>
    </row>
    <row r="1306" s="31" customFormat="1" hidden="1" customHeight="1" spans="1:38">
      <c r="A1306" s="33">
        <v>5305331</v>
      </c>
      <c r="B1306" s="34"/>
      <c r="C1306" s="35">
        <v>5301331</v>
      </c>
      <c r="D1306" s="36">
        <v>5</v>
      </c>
      <c r="E1306" s="36"/>
      <c r="F1306" s="36" t="s">
        <v>202</v>
      </c>
      <c r="G1306" s="36">
        <f t="shared" si="279"/>
        <v>1</v>
      </c>
      <c r="H1306" s="36" t="str">
        <f>IFERROR(IF(--MID($F1306,2*COUNTIF($G1306:G1306,"&gt;"&amp;0)+2,1)=H$1,H$1,""),"")</f>
        <v/>
      </c>
      <c r="I1306" s="36" t="str">
        <f>IFERROR(IF(--MID($F1306,2*COUNTIF($G1306:H1306,"&gt;"&amp;0)+2,1)=I$1,I$1,""),"")</f>
        <v/>
      </c>
      <c r="J1306" s="36" t="str">
        <f>IFERROR(IF(--MID($F1306,2*COUNTIF($G1306:I1306,"&gt;"&amp;0)+2,1)=J$1,J$1,""),"")</f>
        <v/>
      </c>
      <c r="K1306" s="36" t="str">
        <f>IFERROR(IF(--MID($F1306,2*COUNTIF($G1306:J1306,"&gt;"&amp;0)+2,1)=K$1,K$1,""),"")</f>
        <v/>
      </c>
      <c r="L1306" s="36" t="str">
        <f>IFERROR(IF(--MID($F1306,2*COUNTIF($G1306:K1306,"&gt;"&amp;0)+2,1)=L$1,L$1,""),"")</f>
        <v/>
      </c>
      <c r="M1306" s="36" t="e" cm="1">
        <f t="array" ref="M1306">IF(A1306="","",_xlfn.XLOOKUP(D1306&amp;"_"&amp;AE1306,符文权重!A:A&amp;"_"&amp;符文权重!C:C,符文权重!D:D))</f>
        <v>#N/A</v>
      </c>
      <c r="N1306" s="36"/>
      <c r="O1306" s="36"/>
      <c r="P1306" s="36"/>
      <c r="Q1306" s="36"/>
      <c r="R1306" s="36"/>
      <c r="S1306" s="36" t="s">
        <v>175</v>
      </c>
      <c r="T1306" s="36"/>
      <c r="U1306" s="36" t="s">
        <v>423</v>
      </c>
      <c r="V1306" s="25" t="s">
        <v>1618</v>
      </c>
      <c r="W1306" s="36"/>
      <c r="X1306" s="35" t="s">
        <v>1589</v>
      </c>
      <c r="Y1306" s="35">
        <v>100</v>
      </c>
      <c r="Z1306" s="35"/>
      <c r="AA1306" s="36" t="s">
        <v>187</v>
      </c>
      <c r="AB1306" s="36" t="s">
        <v>1619</v>
      </c>
      <c r="AC1306" s="35">
        <v>5301324</v>
      </c>
      <c r="AD1306" s="36" t="s">
        <v>230</v>
      </c>
      <c r="AE1306" s="36">
        <v>100</v>
      </c>
      <c r="AF1306" s="36"/>
      <c r="AG1306" s="79">
        <v>1</v>
      </c>
      <c r="AH1306" s="36">
        <v>1</v>
      </c>
      <c r="AI1306" s="82"/>
      <c r="AJ1306" s="84"/>
      <c r="AL1306" s="35"/>
    </row>
    <row r="1307" s="31" customFormat="1" hidden="1" customHeight="1" spans="1:38">
      <c r="A1307" s="33">
        <v>5306331</v>
      </c>
      <c r="B1307" s="34"/>
      <c r="C1307" s="35">
        <v>5301331</v>
      </c>
      <c r="D1307" s="36">
        <v>6</v>
      </c>
      <c r="E1307" s="36"/>
      <c r="F1307" s="36" t="s">
        <v>202</v>
      </c>
      <c r="G1307" s="36">
        <f t="shared" si="279"/>
        <v>1</v>
      </c>
      <c r="H1307" s="36" t="str">
        <f>IFERROR(IF(--MID($F1307,2*COUNTIF($G1307:G1307,"&gt;"&amp;0)+2,1)=H$1,H$1,""),"")</f>
        <v/>
      </c>
      <c r="I1307" s="36" t="str">
        <f>IFERROR(IF(--MID($F1307,2*COUNTIF($G1307:H1307,"&gt;"&amp;0)+2,1)=I$1,I$1,""),"")</f>
        <v/>
      </c>
      <c r="J1307" s="36" t="str">
        <f>IFERROR(IF(--MID($F1307,2*COUNTIF($G1307:I1307,"&gt;"&amp;0)+2,1)=J$1,J$1,""),"")</f>
        <v/>
      </c>
      <c r="K1307" s="36" t="str">
        <f>IFERROR(IF(--MID($F1307,2*COUNTIF($G1307:J1307,"&gt;"&amp;0)+2,1)=K$1,K$1,""),"")</f>
        <v/>
      </c>
      <c r="L1307" s="36" t="str">
        <f>IFERROR(IF(--MID($F1307,2*COUNTIF($G1307:K1307,"&gt;"&amp;0)+2,1)=L$1,L$1,""),"")</f>
        <v/>
      </c>
      <c r="M1307" s="36" t="e" cm="1">
        <f t="array" ref="M1307">IF(A1307="","",_xlfn.XLOOKUP(D1307&amp;"_"&amp;AE1307,符文权重!A:A&amp;"_"&amp;符文权重!C:C,符文权重!D:D))</f>
        <v>#N/A</v>
      </c>
      <c r="N1307" s="36"/>
      <c r="O1307" s="36"/>
      <c r="P1307" s="36"/>
      <c r="Q1307" s="36"/>
      <c r="R1307" s="36"/>
      <c r="S1307" s="36" t="s">
        <v>175</v>
      </c>
      <c r="T1307" s="36"/>
      <c r="U1307" s="36" t="s">
        <v>426</v>
      </c>
      <c r="V1307" s="25" t="s">
        <v>1620</v>
      </c>
      <c r="W1307" s="36"/>
      <c r="X1307" s="35" t="s">
        <v>1594</v>
      </c>
      <c r="Y1307" s="35">
        <v>100</v>
      </c>
      <c r="Z1307" s="35"/>
      <c r="AA1307" s="36" t="s">
        <v>189</v>
      </c>
      <c r="AB1307" s="36" t="s">
        <v>1621</v>
      </c>
      <c r="AC1307" s="35">
        <v>5301324</v>
      </c>
      <c r="AD1307" s="36" t="s">
        <v>239</v>
      </c>
      <c r="AE1307" s="36">
        <v>100</v>
      </c>
      <c r="AF1307" s="36"/>
      <c r="AG1307" s="79">
        <v>1</v>
      </c>
      <c r="AH1307" s="36">
        <v>1</v>
      </c>
      <c r="AI1307" s="82"/>
      <c r="AJ1307" s="84"/>
      <c r="AL1307" s="35"/>
    </row>
    <row r="1308" s="31" customFormat="1" hidden="1" customHeight="1" spans="1:38">
      <c r="A1308" s="33">
        <v>5307331</v>
      </c>
      <c r="B1308" s="34"/>
      <c r="C1308" s="35">
        <v>5301331</v>
      </c>
      <c r="D1308" s="36">
        <v>7</v>
      </c>
      <c r="E1308" s="36"/>
      <c r="F1308" s="36" t="s">
        <v>202</v>
      </c>
      <c r="G1308" s="36">
        <f t="shared" si="279"/>
        <v>1</v>
      </c>
      <c r="H1308" s="36" t="str">
        <f>IFERROR(IF(--MID($F1308,2*COUNTIF($G1308:G1308,"&gt;"&amp;0)+2,1)=H$1,H$1,""),"")</f>
        <v/>
      </c>
      <c r="I1308" s="36" t="str">
        <f>IFERROR(IF(--MID($F1308,2*COUNTIF($G1308:H1308,"&gt;"&amp;0)+2,1)=I$1,I$1,""),"")</f>
        <v/>
      </c>
      <c r="J1308" s="36" t="str">
        <f>IFERROR(IF(--MID($F1308,2*COUNTIF($G1308:I1308,"&gt;"&amp;0)+2,1)=J$1,J$1,""),"")</f>
        <v/>
      </c>
      <c r="K1308" s="36" t="str">
        <f>IFERROR(IF(--MID($F1308,2*COUNTIF($G1308:J1308,"&gt;"&amp;0)+2,1)=K$1,K$1,""),"")</f>
        <v/>
      </c>
      <c r="L1308" s="36" t="str">
        <f>IFERROR(IF(--MID($F1308,2*COUNTIF($G1308:K1308,"&gt;"&amp;0)+2,1)=L$1,L$1,""),"")</f>
        <v/>
      </c>
      <c r="M1308" s="36" t="e" cm="1">
        <f t="array" ref="M1308">IF(A1308="","",_xlfn.XLOOKUP(D1308&amp;"_"&amp;AE1308,符文权重!A:A&amp;"_"&amp;符文权重!C:C,符文权重!D:D))</f>
        <v>#N/A</v>
      </c>
      <c r="N1308" s="36"/>
      <c r="O1308" s="36"/>
      <c r="P1308" s="36"/>
      <c r="Q1308" s="36"/>
      <c r="R1308" s="36"/>
      <c r="S1308" s="36" t="s">
        <v>175</v>
      </c>
      <c r="T1308" s="36"/>
      <c r="U1308" s="36" t="s">
        <v>429</v>
      </c>
      <c r="V1308" s="25" t="s">
        <v>1622</v>
      </c>
      <c r="W1308" s="36"/>
      <c r="X1308" s="35" t="s">
        <v>1597</v>
      </c>
      <c r="Y1308" s="35">
        <v>100</v>
      </c>
      <c r="Z1308" s="35"/>
      <c r="AA1308" s="36" t="s">
        <v>191</v>
      </c>
      <c r="AB1308" s="36" t="s">
        <v>1623</v>
      </c>
      <c r="AC1308" s="35">
        <v>5301324</v>
      </c>
      <c r="AD1308" s="36" t="s">
        <v>422</v>
      </c>
      <c r="AE1308" s="36">
        <v>100</v>
      </c>
      <c r="AF1308" s="36"/>
      <c r="AG1308" s="79">
        <v>1</v>
      </c>
      <c r="AH1308" s="36">
        <v>1</v>
      </c>
      <c r="AI1308" s="82"/>
      <c r="AJ1308" s="84"/>
      <c r="AL1308" s="35"/>
    </row>
    <row r="1309" s="31" customFormat="1" hidden="1" customHeight="1" spans="1:38">
      <c r="A1309" s="82">
        <v>5305332</v>
      </c>
      <c r="B1309" s="34"/>
      <c r="C1309" s="31">
        <v>5301332</v>
      </c>
      <c r="D1309" s="79">
        <v>5</v>
      </c>
      <c r="E1309" s="79"/>
      <c r="F1309" s="79" t="s">
        <v>202</v>
      </c>
      <c r="G1309" s="36">
        <f t="shared" si="279"/>
        <v>1</v>
      </c>
      <c r="H1309" s="36" t="str">
        <f>IFERROR(IF(--MID($F1309,2*COUNTIF($G1309:G1309,"&gt;"&amp;0)+2,1)=H$1,H$1,""),"")</f>
        <v/>
      </c>
      <c r="I1309" s="36" t="str">
        <f>IFERROR(IF(--MID($F1309,2*COUNTIF($G1309:H1309,"&gt;"&amp;0)+2,1)=I$1,I$1,""),"")</f>
        <v/>
      </c>
      <c r="J1309" s="36" t="str">
        <f>IFERROR(IF(--MID($F1309,2*COUNTIF($G1309:I1309,"&gt;"&amp;0)+2,1)=J$1,J$1,""),"")</f>
        <v/>
      </c>
      <c r="K1309" s="36" t="str">
        <f>IFERROR(IF(--MID($F1309,2*COUNTIF($G1309:J1309,"&gt;"&amp;0)+2,1)=K$1,K$1,""),"")</f>
        <v/>
      </c>
      <c r="L1309" s="36" t="str">
        <f>IFERROR(IF(--MID($F1309,2*COUNTIF($G1309:K1309,"&gt;"&amp;0)+2,1)=L$1,L$1,""),"")</f>
        <v/>
      </c>
      <c r="M1309" s="36" t="e" cm="1">
        <f t="array" ref="M1309">IF(A1309="","",_xlfn.XLOOKUP(D1309&amp;"_"&amp;AE1309,符文权重!A:A&amp;"_"&amp;符文权重!C:C,符文权重!D:D))</f>
        <v>#N/A</v>
      </c>
      <c r="N1309" s="36"/>
      <c r="O1309" s="36"/>
      <c r="P1309" s="36"/>
      <c r="Q1309" s="36"/>
      <c r="R1309" s="36"/>
      <c r="S1309" s="36" t="s">
        <v>192</v>
      </c>
      <c r="T1309" s="36" t="s">
        <v>230</v>
      </c>
      <c r="U1309" s="36" t="s">
        <v>423</v>
      </c>
      <c r="V1309" s="29" t="s">
        <v>1555</v>
      </c>
      <c r="W1309" s="79"/>
      <c r="X1309" s="35" t="s">
        <v>1589</v>
      </c>
      <c r="Y1309" s="35">
        <v>100</v>
      </c>
      <c r="AA1309" s="36" t="s">
        <v>187</v>
      </c>
      <c r="AB1309" s="79" t="s">
        <v>1556</v>
      </c>
      <c r="AC1309" s="31">
        <v>5301315</v>
      </c>
      <c r="AD1309" s="79" t="s">
        <v>422</v>
      </c>
      <c r="AE1309" s="36">
        <v>100</v>
      </c>
      <c r="AF1309" s="79"/>
      <c r="AG1309" s="79">
        <v>1</v>
      </c>
      <c r="AH1309" s="36">
        <v>1</v>
      </c>
      <c r="AI1309" s="82"/>
      <c r="AJ1309" s="84"/>
      <c r="AL1309" s="35"/>
    </row>
    <row r="1310" s="31" customFormat="1" hidden="1" customHeight="1" spans="1:38">
      <c r="A1310" s="82">
        <v>5306332</v>
      </c>
      <c r="B1310" s="34"/>
      <c r="C1310" s="31">
        <v>5301332</v>
      </c>
      <c r="D1310" s="79">
        <v>6</v>
      </c>
      <c r="E1310" s="79"/>
      <c r="F1310" s="79" t="s">
        <v>202</v>
      </c>
      <c r="G1310" s="36">
        <f t="shared" si="279"/>
        <v>1</v>
      </c>
      <c r="H1310" s="36" t="str">
        <f>IFERROR(IF(--MID($F1310,2*COUNTIF($G1310:G1310,"&gt;"&amp;0)+2,1)=H$1,H$1,""),"")</f>
        <v/>
      </c>
      <c r="I1310" s="36" t="str">
        <f>IFERROR(IF(--MID($F1310,2*COUNTIF($G1310:H1310,"&gt;"&amp;0)+2,1)=I$1,I$1,""),"")</f>
        <v/>
      </c>
      <c r="J1310" s="36" t="str">
        <f>IFERROR(IF(--MID($F1310,2*COUNTIF($G1310:I1310,"&gt;"&amp;0)+2,1)=J$1,J$1,""),"")</f>
        <v/>
      </c>
      <c r="K1310" s="36" t="str">
        <f>IFERROR(IF(--MID($F1310,2*COUNTIF($G1310:J1310,"&gt;"&amp;0)+2,1)=K$1,K$1,""),"")</f>
        <v/>
      </c>
      <c r="L1310" s="36" t="str">
        <f>IFERROR(IF(--MID($F1310,2*COUNTIF($G1310:K1310,"&gt;"&amp;0)+2,1)=L$1,L$1,""),"")</f>
        <v/>
      </c>
      <c r="M1310" s="36" t="e" cm="1">
        <f t="array" ref="M1310">IF(A1310="","",_xlfn.XLOOKUP(D1310&amp;"_"&amp;AE1310,符文权重!A:A&amp;"_"&amp;符文权重!C:C,符文权重!D:D))</f>
        <v>#N/A</v>
      </c>
      <c r="N1310" s="36"/>
      <c r="O1310" s="36"/>
      <c r="P1310" s="36"/>
      <c r="Q1310" s="36"/>
      <c r="R1310" s="36"/>
      <c r="S1310" s="36" t="s">
        <v>192</v>
      </c>
      <c r="T1310" s="36" t="s">
        <v>230</v>
      </c>
      <c r="U1310" s="36" t="s">
        <v>426</v>
      </c>
      <c r="V1310" s="29" t="s">
        <v>1557</v>
      </c>
      <c r="W1310" s="79"/>
      <c r="X1310" s="35" t="s">
        <v>1594</v>
      </c>
      <c r="Y1310" s="35">
        <v>100</v>
      </c>
      <c r="AA1310" s="36" t="s">
        <v>189</v>
      </c>
      <c r="AB1310" s="79" t="s">
        <v>1558</v>
      </c>
      <c r="AC1310" s="31">
        <v>5301315</v>
      </c>
      <c r="AD1310" s="79" t="s">
        <v>425</v>
      </c>
      <c r="AE1310" s="36">
        <v>100</v>
      </c>
      <c r="AF1310" s="79"/>
      <c r="AG1310" s="79">
        <v>1</v>
      </c>
      <c r="AH1310" s="36">
        <v>1</v>
      </c>
      <c r="AI1310" s="82"/>
      <c r="AJ1310" s="84"/>
      <c r="AL1310" s="35"/>
    </row>
    <row r="1311" s="31" customFormat="1" hidden="1" customHeight="1" spans="1:38">
      <c r="A1311" s="82">
        <v>5307332</v>
      </c>
      <c r="B1311" s="34"/>
      <c r="C1311" s="31">
        <v>5301332</v>
      </c>
      <c r="D1311" s="79">
        <v>7</v>
      </c>
      <c r="E1311" s="79"/>
      <c r="F1311" s="79" t="s">
        <v>202</v>
      </c>
      <c r="G1311" s="36">
        <f t="shared" si="279"/>
        <v>1</v>
      </c>
      <c r="H1311" s="36" t="str">
        <f>IFERROR(IF(--MID($F1311,2*COUNTIF($G1311:G1311,"&gt;"&amp;0)+2,1)=H$1,H$1,""),"")</f>
        <v/>
      </c>
      <c r="I1311" s="36" t="str">
        <f>IFERROR(IF(--MID($F1311,2*COUNTIF($G1311:H1311,"&gt;"&amp;0)+2,1)=I$1,I$1,""),"")</f>
        <v/>
      </c>
      <c r="J1311" s="36" t="str">
        <f>IFERROR(IF(--MID($F1311,2*COUNTIF($G1311:I1311,"&gt;"&amp;0)+2,1)=J$1,J$1,""),"")</f>
        <v/>
      </c>
      <c r="K1311" s="36" t="str">
        <f>IFERROR(IF(--MID($F1311,2*COUNTIF($G1311:J1311,"&gt;"&amp;0)+2,1)=K$1,K$1,""),"")</f>
        <v/>
      </c>
      <c r="L1311" s="36" t="str">
        <f>IFERROR(IF(--MID($F1311,2*COUNTIF($G1311:K1311,"&gt;"&amp;0)+2,1)=L$1,L$1,""),"")</f>
        <v/>
      </c>
      <c r="M1311" s="36" t="e" cm="1">
        <f t="array" ref="M1311">IF(A1311="","",_xlfn.XLOOKUP(D1311&amp;"_"&amp;AE1311,符文权重!A:A&amp;"_"&amp;符文权重!C:C,符文权重!D:D))</f>
        <v>#N/A</v>
      </c>
      <c r="N1311" s="36"/>
      <c r="O1311" s="36"/>
      <c r="P1311" s="36"/>
      <c r="Q1311" s="36"/>
      <c r="R1311" s="36"/>
      <c r="S1311" s="36" t="s">
        <v>192</v>
      </c>
      <c r="T1311" s="36" t="s">
        <v>230</v>
      </c>
      <c r="U1311" s="36" t="s">
        <v>429</v>
      </c>
      <c r="V1311" s="29" t="s">
        <v>1559</v>
      </c>
      <c r="W1311" s="79"/>
      <c r="X1311" s="35" t="s">
        <v>1597</v>
      </c>
      <c r="Y1311" s="35">
        <v>100</v>
      </c>
      <c r="AA1311" s="36" t="s">
        <v>191</v>
      </c>
      <c r="AB1311" s="79" t="s">
        <v>1560</v>
      </c>
      <c r="AC1311" s="31">
        <v>5301315</v>
      </c>
      <c r="AD1311" s="79" t="s">
        <v>428</v>
      </c>
      <c r="AE1311" s="36">
        <v>100</v>
      </c>
      <c r="AF1311" s="79"/>
      <c r="AG1311" s="79">
        <v>1</v>
      </c>
      <c r="AH1311" s="36">
        <v>1</v>
      </c>
      <c r="AI1311" s="82"/>
      <c r="AJ1311" s="84"/>
      <c r="AL1311" s="35"/>
    </row>
    <row r="1312" s="31" customFormat="1" hidden="1" customHeight="1" spans="1:38">
      <c r="A1312" s="82">
        <v>5305333</v>
      </c>
      <c r="B1312" s="34"/>
      <c r="C1312" s="31">
        <v>5301333</v>
      </c>
      <c r="D1312" s="79">
        <v>5</v>
      </c>
      <c r="E1312" s="79"/>
      <c r="F1312" s="79" t="s">
        <v>230</v>
      </c>
      <c r="G1312" s="36" t="str">
        <f t="shared" si="279"/>
        <v/>
      </c>
      <c r="H1312" s="36" t="str">
        <f>IFERROR(IF(--MID($F1312,2*COUNTIF($G1312:G1312,"&gt;"&amp;0)+2,1)=H$1,H$1,""),"")</f>
        <v/>
      </c>
      <c r="I1312" s="36" t="str">
        <f>IFERROR(IF(--MID($F1312,2*COUNTIF($G1312:H1312,"&gt;"&amp;0)+2,1)=I$1,I$1,""),"")</f>
        <v/>
      </c>
      <c r="J1312" s="36" t="str">
        <f>IFERROR(IF(--MID($F1312,2*COUNTIF($G1312:I1312,"&gt;"&amp;0)+2,1)=J$1,J$1,""),"")</f>
        <v/>
      </c>
      <c r="K1312" s="36">
        <f>IFERROR(IF(--MID($F1312,2*COUNTIF($G1312:J1312,"&gt;"&amp;0)+2,1)=K$1,K$1,""),"")</f>
        <v>5</v>
      </c>
      <c r="L1312" s="36" t="str">
        <f>IFERROR(IF(--MID($F1312,2*COUNTIF($G1312:K1312,"&gt;"&amp;0)+2,1)=L$1,L$1,""),"")</f>
        <v/>
      </c>
      <c r="M1312" s="36" t="e" cm="1">
        <f t="array" ref="M1312">IF(A1312="","",_xlfn.XLOOKUP(D1312&amp;"_"&amp;AE1312,符文权重!A:A&amp;"_"&amp;符文权重!C:C,符文权重!D:D))</f>
        <v>#N/A</v>
      </c>
      <c r="N1312" s="36"/>
      <c r="O1312" s="36"/>
      <c r="P1312" s="36"/>
      <c r="Q1312" s="36"/>
      <c r="R1312" s="36"/>
      <c r="S1312" s="36" t="s">
        <v>344</v>
      </c>
      <c r="T1312" s="36"/>
      <c r="U1312" s="36" t="s">
        <v>423</v>
      </c>
      <c r="V1312" s="29" t="s">
        <v>1646</v>
      </c>
      <c r="W1312" s="79"/>
      <c r="X1312" s="35" t="s">
        <v>1638</v>
      </c>
      <c r="Y1312" s="35">
        <v>100</v>
      </c>
      <c r="AA1312" s="36" t="s">
        <v>187</v>
      </c>
      <c r="AB1312" s="79" t="s">
        <v>1647</v>
      </c>
      <c r="AC1312" s="31">
        <v>5301328</v>
      </c>
      <c r="AD1312" s="79" t="s">
        <v>487</v>
      </c>
      <c r="AE1312" s="36">
        <v>100</v>
      </c>
      <c r="AF1312" s="79"/>
      <c r="AG1312" s="79">
        <v>1</v>
      </c>
      <c r="AH1312" s="36">
        <v>1</v>
      </c>
      <c r="AI1312" s="82"/>
      <c r="AJ1312" s="84"/>
      <c r="AL1312" s="35"/>
    </row>
    <row r="1313" s="31" customFormat="1" hidden="1" customHeight="1" spans="1:38">
      <c r="A1313" s="82">
        <v>5306333</v>
      </c>
      <c r="B1313" s="34"/>
      <c r="C1313" s="31">
        <v>5301333</v>
      </c>
      <c r="D1313" s="79">
        <v>6</v>
      </c>
      <c r="E1313" s="79"/>
      <c r="F1313" s="79" t="s">
        <v>230</v>
      </c>
      <c r="G1313" s="36" t="str">
        <f t="shared" si="279"/>
        <v/>
      </c>
      <c r="H1313" s="36" t="str">
        <f>IFERROR(IF(--MID($F1313,2*COUNTIF($G1313:G1313,"&gt;"&amp;0)+2,1)=H$1,H$1,""),"")</f>
        <v/>
      </c>
      <c r="I1313" s="36" t="str">
        <f>IFERROR(IF(--MID($F1313,2*COUNTIF($G1313:H1313,"&gt;"&amp;0)+2,1)=I$1,I$1,""),"")</f>
        <v/>
      </c>
      <c r="J1313" s="36" t="str">
        <f>IFERROR(IF(--MID($F1313,2*COUNTIF($G1313:I1313,"&gt;"&amp;0)+2,1)=J$1,J$1,""),"")</f>
        <v/>
      </c>
      <c r="K1313" s="36">
        <f>IFERROR(IF(--MID($F1313,2*COUNTIF($G1313:J1313,"&gt;"&amp;0)+2,1)=K$1,K$1,""),"")</f>
        <v>5</v>
      </c>
      <c r="L1313" s="36" t="str">
        <f>IFERROR(IF(--MID($F1313,2*COUNTIF($G1313:K1313,"&gt;"&amp;0)+2,1)=L$1,L$1,""),"")</f>
        <v/>
      </c>
      <c r="M1313" s="36" t="e" cm="1">
        <f t="array" ref="M1313">IF(A1313="","",_xlfn.XLOOKUP(D1313&amp;"_"&amp;AE1313,符文权重!A:A&amp;"_"&amp;符文权重!C:C,符文权重!D:D))</f>
        <v>#N/A</v>
      </c>
      <c r="N1313" s="36"/>
      <c r="O1313" s="36"/>
      <c r="P1313" s="36"/>
      <c r="Q1313" s="36"/>
      <c r="R1313" s="36"/>
      <c r="S1313" s="36" t="s">
        <v>344</v>
      </c>
      <c r="T1313" s="36"/>
      <c r="U1313" s="36" t="s">
        <v>426</v>
      </c>
      <c r="V1313" s="29" t="s">
        <v>1648</v>
      </c>
      <c r="W1313" s="79"/>
      <c r="X1313" s="35" t="s">
        <v>1641</v>
      </c>
      <c r="Y1313" s="35">
        <v>100</v>
      </c>
      <c r="AA1313" s="36" t="s">
        <v>189</v>
      </c>
      <c r="AB1313" s="79" t="s">
        <v>1649</v>
      </c>
      <c r="AC1313" s="31">
        <v>5301328</v>
      </c>
      <c r="AD1313" s="79" t="s">
        <v>422</v>
      </c>
      <c r="AE1313" s="36">
        <v>100</v>
      </c>
      <c r="AF1313" s="79"/>
      <c r="AG1313" s="79">
        <v>1</v>
      </c>
      <c r="AH1313" s="36">
        <v>1</v>
      </c>
      <c r="AI1313" s="82"/>
      <c r="AJ1313" s="84"/>
      <c r="AL1313" s="35"/>
    </row>
    <row r="1314" s="31" customFormat="1" hidden="1" customHeight="1" spans="1:38">
      <c r="A1314" s="82">
        <v>5307333</v>
      </c>
      <c r="B1314" s="34"/>
      <c r="C1314" s="31">
        <v>5301333</v>
      </c>
      <c r="D1314" s="79">
        <v>7</v>
      </c>
      <c r="E1314" s="79"/>
      <c r="F1314" s="79" t="s">
        <v>230</v>
      </c>
      <c r="G1314" s="36" t="str">
        <f t="shared" si="279"/>
        <v/>
      </c>
      <c r="H1314" s="36" t="str">
        <f>IFERROR(IF(--MID($F1314,2*COUNTIF($G1314:G1314,"&gt;"&amp;0)+2,1)=H$1,H$1,""),"")</f>
        <v/>
      </c>
      <c r="I1314" s="36" t="str">
        <f>IFERROR(IF(--MID($F1314,2*COUNTIF($G1314:H1314,"&gt;"&amp;0)+2,1)=I$1,I$1,""),"")</f>
        <v/>
      </c>
      <c r="J1314" s="36" t="str">
        <f>IFERROR(IF(--MID($F1314,2*COUNTIF($G1314:I1314,"&gt;"&amp;0)+2,1)=J$1,J$1,""),"")</f>
        <v/>
      </c>
      <c r="K1314" s="36">
        <f>IFERROR(IF(--MID($F1314,2*COUNTIF($G1314:J1314,"&gt;"&amp;0)+2,1)=K$1,K$1,""),"")</f>
        <v>5</v>
      </c>
      <c r="L1314" s="36" t="str">
        <f>IFERROR(IF(--MID($F1314,2*COUNTIF($G1314:K1314,"&gt;"&amp;0)+2,1)=L$1,L$1,""),"")</f>
        <v/>
      </c>
      <c r="M1314" s="36" t="e" cm="1">
        <f t="array" ref="M1314">IF(A1314="","",_xlfn.XLOOKUP(D1314&amp;"_"&amp;AE1314,符文权重!A:A&amp;"_"&amp;符文权重!C:C,符文权重!D:D))</f>
        <v>#N/A</v>
      </c>
      <c r="N1314" s="36"/>
      <c r="O1314" s="36"/>
      <c r="P1314" s="36"/>
      <c r="Q1314" s="36"/>
      <c r="R1314" s="36"/>
      <c r="S1314" s="36" t="s">
        <v>344</v>
      </c>
      <c r="T1314" s="36"/>
      <c r="U1314" s="36" t="s">
        <v>429</v>
      </c>
      <c r="V1314" s="29" t="s">
        <v>1650</v>
      </c>
      <c r="W1314" s="79"/>
      <c r="X1314" s="35" t="s">
        <v>1644</v>
      </c>
      <c r="Y1314" s="35">
        <v>100</v>
      </c>
      <c r="AA1314" s="36" t="s">
        <v>191</v>
      </c>
      <c r="AB1314" s="79" t="s">
        <v>1651</v>
      </c>
      <c r="AC1314" s="31">
        <v>53013281</v>
      </c>
      <c r="AD1314" s="79" t="s">
        <v>422</v>
      </c>
      <c r="AE1314" s="36">
        <v>100</v>
      </c>
      <c r="AF1314" s="79"/>
      <c r="AG1314" s="79">
        <v>1</v>
      </c>
      <c r="AH1314" s="36">
        <v>1</v>
      </c>
      <c r="AI1314" s="82"/>
      <c r="AJ1314" s="84"/>
      <c r="AL1314" s="35"/>
    </row>
    <row r="1315" s="25" customFormat="1" hidden="1" customHeight="1" spans="1:38">
      <c r="A1315" s="33">
        <v>5301334</v>
      </c>
      <c r="B1315" s="34" t="s">
        <v>735</v>
      </c>
      <c r="C1315" s="35">
        <v>5301334</v>
      </c>
      <c r="D1315" s="36">
        <v>1</v>
      </c>
      <c r="E1315" s="36"/>
      <c r="F1315" s="36" t="s">
        <v>202</v>
      </c>
      <c r="G1315" s="36">
        <f t="shared" si="279"/>
        <v>1</v>
      </c>
      <c r="H1315" s="36" t="str">
        <f>IFERROR(IF(--MID($F1315,2*COUNTIF($G1315:G1315,"&gt;"&amp;0)+2,1)=H$1,H$1,""),"")</f>
        <v/>
      </c>
      <c r="I1315" s="36" t="str">
        <f>IFERROR(IF(--MID($F1315,2*COUNTIF($G1315:H1315,"&gt;"&amp;0)+2,1)=I$1,I$1,""),"")</f>
        <v/>
      </c>
      <c r="J1315" s="36" t="str">
        <f>IFERROR(IF(--MID($F1315,2*COUNTIF($G1315:I1315,"&gt;"&amp;0)+2,1)=J$1,J$1,""),"")</f>
        <v/>
      </c>
      <c r="K1315" s="36" t="str">
        <f>IFERROR(IF(--MID($F1315,2*COUNTIF($G1315:J1315,"&gt;"&amp;0)+2,1)=K$1,K$1,""),"")</f>
        <v/>
      </c>
      <c r="L1315" s="36" t="str">
        <f>IFERROR(IF(--MID($F1315,2*COUNTIF($G1315:K1315,"&gt;"&amp;0)+2,1)=L$1,L$1,""),"")</f>
        <v/>
      </c>
      <c r="M1315" s="36" t="e" cm="1">
        <f t="array" ref="M1315">IF(A1315="","",_xlfn.XLOOKUP(D1315&amp;"_"&amp;AE1315,符文权重!A:A&amp;"_"&amp;符文权重!C:C,符文权重!D:D))</f>
        <v>#N/A</v>
      </c>
      <c r="N1315" s="36"/>
      <c r="O1315" s="36"/>
      <c r="P1315" s="36"/>
      <c r="Q1315" s="36"/>
      <c r="R1315" s="36"/>
      <c r="S1315" s="36" t="s">
        <v>344</v>
      </c>
      <c r="T1315" s="36" t="s">
        <v>736</v>
      </c>
      <c r="U1315" s="36" t="s">
        <v>413</v>
      </c>
      <c r="V1315" s="29"/>
      <c r="W1315" s="41"/>
      <c r="X1315" s="35" t="s">
        <v>1105</v>
      </c>
      <c r="Y1315" s="35">
        <v>100</v>
      </c>
      <c r="Z1315" s="35"/>
      <c r="AA1315" s="36" t="s">
        <v>177</v>
      </c>
      <c r="AB1315" s="36" t="s">
        <v>739</v>
      </c>
      <c r="AC1315" s="35">
        <v>5301331</v>
      </c>
      <c r="AD1315" s="36" t="s">
        <v>428</v>
      </c>
      <c r="AE1315" s="36">
        <v>100</v>
      </c>
      <c r="AF1315" s="36"/>
      <c r="AG1315" s="79">
        <v>1</v>
      </c>
      <c r="AH1315" s="36">
        <v>0</v>
      </c>
      <c r="AL1315" s="35"/>
    </row>
    <row r="1316" s="25" customFormat="1" hidden="1" customHeight="1" spans="1:38">
      <c r="A1316" s="33">
        <v>5302334</v>
      </c>
      <c r="B1316" s="34" t="s">
        <v>735</v>
      </c>
      <c r="C1316" s="35">
        <v>5301334</v>
      </c>
      <c r="D1316" s="36">
        <v>2</v>
      </c>
      <c r="E1316" s="36"/>
      <c r="F1316" s="36" t="s">
        <v>202</v>
      </c>
      <c r="G1316" s="36">
        <f t="shared" si="279"/>
        <v>1</v>
      </c>
      <c r="H1316" s="36" t="str">
        <f>IFERROR(IF(--MID($F1316,2*COUNTIF($G1316:G1316,"&gt;"&amp;0)+2,1)=H$1,H$1,""),"")</f>
        <v/>
      </c>
      <c r="I1316" s="36" t="str">
        <f>IFERROR(IF(--MID($F1316,2*COUNTIF($G1316:H1316,"&gt;"&amp;0)+2,1)=I$1,I$1,""),"")</f>
        <v/>
      </c>
      <c r="J1316" s="36" t="str">
        <f>IFERROR(IF(--MID($F1316,2*COUNTIF($G1316:I1316,"&gt;"&amp;0)+2,1)=J$1,J$1,""),"")</f>
        <v/>
      </c>
      <c r="K1316" s="36" t="str">
        <f>IFERROR(IF(--MID($F1316,2*COUNTIF($G1316:J1316,"&gt;"&amp;0)+2,1)=K$1,K$1,""),"")</f>
        <v/>
      </c>
      <c r="L1316" s="36" t="str">
        <f>IFERROR(IF(--MID($F1316,2*COUNTIF($G1316:K1316,"&gt;"&amp;0)+2,1)=L$1,L$1,""),"")</f>
        <v/>
      </c>
      <c r="M1316" s="36" t="e" cm="1">
        <f t="array" ref="M1316">IF(A1316="","",_xlfn.XLOOKUP(D1316&amp;"_"&amp;AE1316,符文权重!A:A&amp;"_"&amp;符文权重!C:C,符文权重!D:D))</f>
        <v>#N/A</v>
      </c>
      <c r="N1316" s="36"/>
      <c r="O1316" s="36"/>
      <c r="P1316" s="36"/>
      <c r="Q1316" s="36"/>
      <c r="R1316" s="36"/>
      <c r="S1316" s="36" t="s">
        <v>344</v>
      </c>
      <c r="T1316" s="36" t="s">
        <v>736</v>
      </c>
      <c r="U1316" s="36" t="s">
        <v>415</v>
      </c>
      <c r="V1316" s="29" t="s">
        <v>737</v>
      </c>
      <c r="W1316" s="41"/>
      <c r="X1316" s="35" t="s">
        <v>738</v>
      </c>
      <c r="Y1316" s="35">
        <v>100</v>
      </c>
      <c r="Z1316" s="35"/>
      <c r="AA1316" s="36" t="s">
        <v>181</v>
      </c>
      <c r="AB1316" s="36" t="s">
        <v>739</v>
      </c>
      <c r="AC1316" s="35">
        <v>5301331</v>
      </c>
      <c r="AD1316" s="36" t="s">
        <v>487</v>
      </c>
      <c r="AE1316" s="36">
        <v>100</v>
      </c>
      <c r="AF1316" s="36"/>
      <c r="AG1316" s="79">
        <v>1</v>
      </c>
      <c r="AH1316" s="36">
        <v>0</v>
      </c>
      <c r="AL1316" s="35"/>
    </row>
    <row r="1317" s="25" customFormat="1" hidden="1" customHeight="1" spans="1:38">
      <c r="A1317" s="91">
        <v>5303334</v>
      </c>
      <c r="B1317" s="34" t="s">
        <v>735</v>
      </c>
      <c r="C1317" s="35">
        <v>5301334</v>
      </c>
      <c r="D1317" s="36">
        <v>3</v>
      </c>
      <c r="E1317" s="36"/>
      <c r="F1317" s="36" t="s">
        <v>202</v>
      </c>
      <c r="G1317" s="36">
        <f t="shared" si="279"/>
        <v>1</v>
      </c>
      <c r="H1317" s="36" t="str">
        <f>IFERROR(IF(--MID($F1317,2*COUNTIF($G1317:G1317,"&gt;"&amp;0)+2,1)=H$1,H$1,""),"")</f>
        <v/>
      </c>
      <c r="I1317" s="36" t="str">
        <f>IFERROR(IF(--MID($F1317,2*COUNTIF($G1317:H1317,"&gt;"&amp;0)+2,1)=I$1,I$1,""),"")</f>
        <v/>
      </c>
      <c r="J1317" s="36" t="str">
        <f>IFERROR(IF(--MID($F1317,2*COUNTIF($G1317:I1317,"&gt;"&amp;0)+2,1)=J$1,J$1,""),"")</f>
        <v/>
      </c>
      <c r="K1317" s="36" t="str">
        <f>IFERROR(IF(--MID($F1317,2*COUNTIF($G1317:J1317,"&gt;"&amp;0)+2,1)=K$1,K$1,""),"")</f>
        <v/>
      </c>
      <c r="L1317" s="36" t="str">
        <f>IFERROR(IF(--MID($F1317,2*COUNTIF($G1317:K1317,"&gt;"&amp;0)+2,1)=L$1,L$1,""),"")</f>
        <v/>
      </c>
      <c r="M1317" s="36" t="e" cm="1">
        <f t="array" ref="M1317">IF(A1317="","",_xlfn.XLOOKUP(D1317&amp;"_"&amp;AE1317,符文权重!A:A&amp;"_"&amp;符文权重!C:C,符文权重!D:D))</f>
        <v>#N/A</v>
      </c>
      <c r="N1317" s="36"/>
      <c r="O1317" s="36"/>
      <c r="P1317" s="36"/>
      <c r="Q1317" s="36"/>
      <c r="R1317" s="36"/>
      <c r="S1317" s="36" t="s">
        <v>344</v>
      </c>
      <c r="T1317" s="36" t="s">
        <v>736</v>
      </c>
      <c r="U1317" s="36" t="s">
        <v>417</v>
      </c>
      <c r="V1317" s="29" t="s">
        <v>740</v>
      </c>
      <c r="W1317" s="36"/>
      <c r="X1317" s="35" t="s">
        <v>741</v>
      </c>
      <c r="Y1317" s="35">
        <v>100</v>
      </c>
      <c r="Z1317" s="35"/>
      <c r="AA1317" s="92" t="s">
        <v>183</v>
      </c>
      <c r="AB1317" s="36" t="s">
        <v>739</v>
      </c>
      <c r="AC1317" s="35">
        <v>5301331</v>
      </c>
      <c r="AD1317" s="36" t="s">
        <v>497</v>
      </c>
      <c r="AE1317" s="36">
        <v>100</v>
      </c>
      <c r="AF1317" s="36"/>
      <c r="AG1317" s="79">
        <v>1</v>
      </c>
      <c r="AH1317" s="36">
        <v>0</v>
      </c>
      <c r="AI1317" s="33"/>
      <c r="AJ1317" s="37"/>
      <c r="AK1317" s="35"/>
      <c r="AL1317" s="35"/>
    </row>
    <row r="1318" s="25" customFormat="1" hidden="1" customHeight="1" spans="1:38">
      <c r="A1318" s="91">
        <v>5304334</v>
      </c>
      <c r="B1318" s="34" t="s">
        <v>735</v>
      </c>
      <c r="C1318" s="35">
        <v>5301334</v>
      </c>
      <c r="D1318" s="36">
        <v>4</v>
      </c>
      <c r="E1318" s="36"/>
      <c r="F1318" s="36" t="s">
        <v>202</v>
      </c>
      <c r="G1318" s="36">
        <f t="shared" si="279"/>
        <v>1</v>
      </c>
      <c r="H1318" s="36" t="str">
        <f>IFERROR(IF(--MID($F1318,2*COUNTIF($G1318:G1318,"&gt;"&amp;0)+2,1)=H$1,H$1,""),"")</f>
        <v/>
      </c>
      <c r="I1318" s="36" t="str">
        <f>IFERROR(IF(--MID($F1318,2*COUNTIF($G1318:H1318,"&gt;"&amp;0)+2,1)=I$1,I$1,""),"")</f>
        <v/>
      </c>
      <c r="J1318" s="36" t="str">
        <f>IFERROR(IF(--MID($F1318,2*COUNTIF($G1318:I1318,"&gt;"&amp;0)+2,1)=J$1,J$1,""),"")</f>
        <v/>
      </c>
      <c r="K1318" s="36" t="str">
        <f>IFERROR(IF(--MID($F1318,2*COUNTIF($G1318:J1318,"&gt;"&amp;0)+2,1)=K$1,K$1,""),"")</f>
        <v/>
      </c>
      <c r="L1318" s="36" t="str">
        <f>IFERROR(IF(--MID($F1318,2*COUNTIF($G1318:K1318,"&gt;"&amp;0)+2,1)=L$1,L$1,""),"")</f>
        <v/>
      </c>
      <c r="M1318" s="36" t="e" cm="1">
        <f t="array" ref="M1318">IF(A1318="","",_xlfn.XLOOKUP(D1318&amp;"_"&amp;AE1318,符文权重!A:A&amp;"_"&amp;符文权重!C:C,符文权重!D:D))</f>
        <v>#N/A</v>
      </c>
      <c r="N1318" s="36"/>
      <c r="O1318" s="36"/>
      <c r="P1318" s="36"/>
      <c r="Q1318" s="36"/>
      <c r="R1318" s="36"/>
      <c r="S1318" s="36" t="s">
        <v>344</v>
      </c>
      <c r="T1318" s="36" t="s">
        <v>736</v>
      </c>
      <c r="U1318" s="36" t="s">
        <v>420</v>
      </c>
      <c r="V1318" s="29" t="s">
        <v>742</v>
      </c>
      <c r="W1318" s="36"/>
      <c r="X1318" s="35" t="s">
        <v>743</v>
      </c>
      <c r="Y1318" s="35">
        <v>100</v>
      </c>
      <c r="Z1318" s="35"/>
      <c r="AA1318" s="92" t="s">
        <v>185</v>
      </c>
      <c r="AB1318" s="36" t="s">
        <v>744</v>
      </c>
      <c r="AC1318" s="35">
        <v>53013311</v>
      </c>
      <c r="AD1318" s="36" t="s">
        <v>596</v>
      </c>
      <c r="AE1318" s="36">
        <v>100</v>
      </c>
      <c r="AF1318" s="36"/>
      <c r="AG1318" s="79">
        <v>1</v>
      </c>
      <c r="AH1318" s="36">
        <v>0</v>
      </c>
      <c r="AI1318" s="33"/>
      <c r="AJ1318" s="37"/>
      <c r="AK1318" s="35"/>
      <c r="AL1318" s="35"/>
    </row>
    <row r="1319" s="25" customFormat="1" hidden="1" customHeight="1" spans="1:38">
      <c r="A1319" s="33">
        <v>5305334</v>
      </c>
      <c r="B1319" s="34" t="s">
        <v>735</v>
      </c>
      <c r="C1319" s="35">
        <v>5301334</v>
      </c>
      <c r="D1319" s="36">
        <v>5</v>
      </c>
      <c r="E1319" s="36"/>
      <c r="F1319" s="36" t="s">
        <v>202</v>
      </c>
      <c r="G1319" s="36">
        <f t="shared" si="279"/>
        <v>1</v>
      </c>
      <c r="H1319" s="36" t="str">
        <f>IFERROR(IF(--MID($F1319,2*COUNTIF($G1319:G1319,"&gt;"&amp;0)+2,1)=H$1,H$1,""),"")</f>
        <v/>
      </c>
      <c r="I1319" s="36" t="str">
        <f>IFERROR(IF(--MID($F1319,2*COUNTIF($G1319:H1319,"&gt;"&amp;0)+2,1)=I$1,I$1,""),"")</f>
        <v/>
      </c>
      <c r="J1319" s="36" t="str">
        <f>IFERROR(IF(--MID($F1319,2*COUNTIF($G1319:I1319,"&gt;"&amp;0)+2,1)=J$1,J$1,""),"")</f>
        <v/>
      </c>
      <c r="K1319" s="36" t="str">
        <f>IFERROR(IF(--MID($F1319,2*COUNTIF($G1319:J1319,"&gt;"&amp;0)+2,1)=K$1,K$1,""),"")</f>
        <v/>
      </c>
      <c r="L1319" s="36" t="str">
        <f>IFERROR(IF(--MID($F1319,2*COUNTIF($G1319:K1319,"&gt;"&amp;0)+2,1)=L$1,L$1,""),"")</f>
        <v/>
      </c>
      <c r="M1319" s="36" t="e" cm="1">
        <f t="array" ref="M1319">IF(A1319="","",_xlfn.XLOOKUP(D1319&amp;"_"&amp;AE1319,符文权重!A:A&amp;"_"&amp;符文权重!C:C,符文权重!D:D))</f>
        <v>#N/A</v>
      </c>
      <c r="N1319" s="36"/>
      <c r="O1319" s="36"/>
      <c r="P1319" s="36"/>
      <c r="Q1319" s="36"/>
      <c r="R1319" s="36"/>
      <c r="S1319" s="36" t="s">
        <v>344</v>
      </c>
      <c r="T1319" s="36" t="s">
        <v>736</v>
      </c>
      <c r="U1319" s="36" t="s">
        <v>423</v>
      </c>
      <c r="V1319" s="29"/>
      <c r="W1319" s="36"/>
      <c r="X1319" s="35" t="s">
        <v>1110</v>
      </c>
      <c r="Y1319" s="35">
        <v>100</v>
      </c>
      <c r="Z1319" s="35"/>
      <c r="AA1319" s="92" t="s">
        <v>187</v>
      </c>
      <c r="AB1319" s="36" t="s">
        <v>744</v>
      </c>
      <c r="AC1319" s="35">
        <v>53013311</v>
      </c>
      <c r="AD1319" s="36" t="s">
        <v>1112</v>
      </c>
      <c r="AE1319" s="36">
        <v>100</v>
      </c>
      <c r="AF1319" s="36"/>
      <c r="AG1319" s="79">
        <v>1</v>
      </c>
      <c r="AH1319" s="36">
        <v>0</v>
      </c>
      <c r="AL1319" s="35"/>
    </row>
    <row r="1320" s="25" customFormat="1" hidden="1" customHeight="1" spans="1:38">
      <c r="A1320" s="33">
        <v>5306334</v>
      </c>
      <c r="B1320" s="34" t="s">
        <v>735</v>
      </c>
      <c r="C1320" s="35">
        <v>5301334</v>
      </c>
      <c r="D1320" s="36">
        <v>6</v>
      </c>
      <c r="E1320" s="36"/>
      <c r="F1320" s="36" t="s">
        <v>202</v>
      </c>
      <c r="G1320" s="36">
        <f t="shared" si="279"/>
        <v>1</v>
      </c>
      <c r="H1320" s="36" t="str">
        <f>IFERROR(IF(--MID($F1320,2*COUNTIF($G1320:G1320,"&gt;"&amp;0)+2,1)=H$1,H$1,""),"")</f>
        <v/>
      </c>
      <c r="I1320" s="36" t="str">
        <f>IFERROR(IF(--MID($F1320,2*COUNTIF($G1320:H1320,"&gt;"&amp;0)+2,1)=I$1,I$1,""),"")</f>
        <v/>
      </c>
      <c r="J1320" s="36" t="str">
        <f>IFERROR(IF(--MID($F1320,2*COUNTIF($G1320:I1320,"&gt;"&amp;0)+2,1)=J$1,J$1,""),"")</f>
        <v/>
      </c>
      <c r="K1320" s="36" t="str">
        <f>IFERROR(IF(--MID($F1320,2*COUNTIF($G1320:J1320,"&gt;"&amp;0)+2,1)=K$1,K$1,""),"")</f>
        <v/>
      </c>
      <c r="L1320" s="36" t="str">
        <f>IFERROR(IF(--MID($F1320,2*COUNTIF($G1320:K1320,"&gt;"&amp;0)+2,1)=L$1,L$1,""),"")</f>
        <v/>
      </c>
      <c r="M1320" s="36" t="e" cm="1">
        <f t="array" ref="M1320">IF(A1320="","",_xlfn.XLOOKUP(D1320&amp;"_"&amp;AE1320,符文权重!A:A&amp;"_"&amp;符文权重!C:C,符文权重!D:D))</f>
        <v>#N/A</v>
      </c>
      <c r="N1320" s="36"/>
      <c r="O1320" s="36"/>
      <c r="P1320" s="36"/>
      <c r="Q1320" s="36"/>
      <c r="R1320" s="36"/>
      <c r="S1320" s="36" t="s">
        <v>344</v>
      </c>
      <c r="T1320" s="36" t="s">
        <v>736</v>
      </c>
      <c r="U1320" s="36" t="s">
        <v>426</v>
      </c>
      <c r="V1320" s="29"/>
      <c r="W1320" s="36"/>
      <c r="X1320" s="35" t="s">
        <v>1113</v>
      </c>
      <c r="Y1320" s="35">
        <v>100</v>
      </c>
      <c r="Z1320" s="35"/>
      <c r="AA1320" s="92" t="s">
        <v>189</v>
      </c>
      <c r="AB1320" s="36" t="s">
        <v>744</v>
      </c>
      <c r="AC1320" s="35">
        <v>53013311</v>
      </c>
      <c r="AD1320" s="36" t="s">
        <v>458</v>
      </c>
      <c r="AE1320" s="36">
        <v>100</v>
      </c>
      <c r="AF1320" s="36"/>
      <c r="AG1320" s="79">
        <v>1</v>
      </c>
      <c r="AH1320" s="36">
        <v>0</v>
      </c>
      <c r="AL1320" s="35"/>
    </row>
    <row r="1321" s="25" customFormat="1" hidden="1" customHeight="1" spans="1:38">
      <c r="A1321" s="33">
        <v>5307334</v>
      </c>
      <c r="B1321" s="34" t="s">
        <v>735</v>
      </c>
      <c r="C1321" s="35">
        <v>5301334</v>
      </c>
      <c r="D1321" s="36">
        <v>7</v>
      </c>
      <c r="E1321" s="36"/>
      <c r="F1321" s="36" t="s">
        <v>202</v>
      </c>
      <c r="G1321" s="36">
        <f t="shared" si="279"/>
        <v>1</v>
      </c>
      <c r="H1321" s="36" t="str">
        <f>IFERROR(IF(--MID($F1321,2*COUNTIF($G1321:G1321,"&gt;"&amp;0)+2,1)=H$1,H$1,""),"")</f>
        <v/>
      </c>
      <c r="I1321" s="36" t="str">
        <f>IFERROR(IF(--MID($F1321,2*COUNTIF($G1321:H1321,"&gt;"&amp;0)+2,1)=I$1,I$1,""),"")</f>
        <v/>
      </c>
      <c r="J1321" s="36" t="str">
        <f>IFERROR(IF(--MID($F1321,2*COUNTIF($G1321:I1321,"&gt;"&amp;0)+2,1)=J$1,J$1,""),"")</f>
        <v/>
      </c>
      <c r="K1321" s="36" t="str">
        <f>IFERROR(IF(--MID($F1321,2*COUNTIF($G1321:J1321,"&gt;"&amp;0)+2,1)=K$1,K$1,""),"")</f>
        <v/>
      </c>
      <c r="L1321" s="36" t="str">
        <f>IFERROR(IF(--MID($F1321,2*COUNTIF($G1321:K1321,"&gt;"&amp;0)+2,1)=L$1,L$1,""),"")</f>
        <v/>
      </c>
      <c r="M1321" s="36" t="e" cm="1">
        <f t="array" ref="M1321">IF(A1321="","",_xlfn.XLOOKUP(D1321&amp;"_"&amp;AE1321,符文权重!A:A&amp;"_"&amp;符文权重!C:C,符文权重!D:D))</f>
        <v>#N/A</v>
      </c>
      <c r="N1321" s="36"/>
      <c r="O1321" s="36"/>
      <c r="P1321" s="36"/>
      <c r="Q1321" s="36"/>
      <c r="R1321" s="36"/>
      <c r="S1321" s="36" t="s">
        <v>344</v>
      </c>
      <c r="T1321" s="36" t="s">
        <v>736</v>
      </c>
      <c r="U1321" s="36" t="s">
        <v>429</v>
      </c>
      <c r="V1321" s="29"/>
      <c r="W1321" s="36"/>
      <c r="X1321" s="35" t="s">
        <v>1115</v>
      </c>
      <c r="Y1321" s="35">
        <v>100</v>
      </c>
      <c r="Z1321" s="35"/>
      <c r="AA1321" s="92" t="s">
        <v>191</v>
      </c>
      <c r="AB1321" s="36" t="s">
        <v>744</v>
      </c>
      <c r="AC1321" s="35">
        <v>53013311</v>
      </c>
      <c r="AD1321" s="36" t="s">
        <v>898</v>
      </c>
      <c r="AE1321" s="36">
        <v>100</v>
      </c>
      <c r="AF1321" s="36"/>
      <c r="AG1321" s="79">
        <v>1</v>
      </c>
      <c r="AH1321" s="36">
        <v>0</v>
      </c>
      <c r="AL1321" s="35"/>
    </row>
    <row r="1322" s="25" customFormat="1" hidden="1" customHeight="1" spans="1:38">
      <c r="A1322" s="33">
        <v>5301335</v>
      </c>
      <c r="B1322" s="34" t="s">
        <v>735</v>
      </c>
      <c r="C1322" s="35">
        <v>5301335</v>
      </c>
      <c r="D1322" s="36">
        <v>1</v>
      </c>
      <c r="E1322" s="36"/>
      <c r="F1322" s="36" t="s">
        <v>230</v>
      </c>
      <c r="G1322" s="36" t="str">
        <f t="shared" ref="G1322:G1385" si="280">IF(LEFT(F1322,2)="[1",1,"")</f>
        <v/>
      </c>
      <c r="H1322" s="36" t="str">
        <f>IFERROR(IF(--MID($F1322,2*COUNTIF($G1322:G1322,"&gt;"&amp;0)+2,1)=H$1,H$1,""),"")</f>
        <v/>
      </c>
      <c r="I1322" s="36" t="str">
        <f>IFERROR(IF(--MID($F1322,2*COUNTIF($G1322:H1322,"&gt;"&amp;0)+2,1)=I$1,I$1,""),"")</f>
        <v/>
      </c>
      <c r="J1322" s="36" t="str">
        <f>IFERROR(IF(--MID($F1322,2*COUNTIF($G1322:I1322,"&gt;"&amp;0)+2,1)=J$1,J$1,""),"")</f>
        <v/>
      </c>
      <c r="K1322" s="36">
        <f>IFERROR(IF(--MID($F1322,2*COUNTIF($G1322:J1322,"&gt;"&amp;0)+2,1)=K$1,K$1,""),"")</f>
        <v>5</v>
      </c>
      <c r="L1322" s="36" t="str">
        <f>IFERROR(IF(--MID($F1322,2*COUNTIF($G1322:K1322,"&gt;"&amp;0)+2,1)=L$1,L$1,""),"")</f>
        <v/>
      </c>
      <c r="M1322" s="36" t="e" cm="1">
        <f t="array" ref="M1322">IF(A1322="","",_xlfn.XLOOKUP(D1322&amp;"_"&amp;AE1322,符文权重!A:A&amp;"_"&amp;符文权重!C:C,符文权重!D:D))</f>
        <v>#N/A</v>
      </c>
      <c r="N1322" s="36"/>
      <c r="O1322" s="36"/>
      <c r="P1322" s="36"/>
      <c r="Q1322" s="36"/>
      <c r="R1322" s="36"/>
      <c r="S1322" s="36" t="s">
        <v>344</v>
      </c>
      <c r="T1322" s="36" t="s">
        <v>736</v>
      </c>
      <c r="U1322" s="36" t="s">
        <v>413</v>
      </c>
      <c r="V1322" s="29"/>
      <c r="W1322" s="41"/>
      <c r="X1322" s="35" t="s">
        <v>1105</v>
      </c>
      <c r="Y1322" s="35">
        <v>100</v>
      </c>
      <c r="Z1322" s="35"/>
      <c r="AA1322" s="36" t="s">
        <v>177</v>
      </c>
      <c r="AB1322" s="36" t="s">
        <v>746</v>
      </c>
      <c r="AC1322" s="35">
        <v>5301332</v>
      </c>
      <c r="AD1322" s="36" t="s">
        <v>428</v>
      </c>
      <c r="AE1322" s="36">
        <v>100</v>
      </c>
      <c r="AF1322" s="36"/>
      <c r="AG1322" s="79">
        <v>1</v>
      </c>
      <c r="AH1322" s="36">
        <v>0</v>
      </c>
      <c r="AL1322" s="35"/>
    </row>
    <row r="1323" s="25" customFormat="1" hidden="1" customHeight="1" spans="1:38">
      <c r="A1323" s="33">
        <v>5302335</v>
      </c>
      <c r="B1323" s="34" t="s">
        <v>735</v>
      </c>
      <c r="C1323" s="35">
        <v>5301335</v>
      </c>
      <c r="D1323" s="36">
        <v>2</v>
      </c>
      <c r="E1323" s="36"/>
      <c r="F1323" s="36" t="s">
        <v>230</v>
      </c>
      <c r="G1323" s="36" t="str">
        <f t="shared" si="280"/>
        <v/>
      </c>
      <c r="H1323" s="36" t="str">
        <f>IFERROR(IF(--MID($F1323,2*COUNTIF($G1323:G1323,"&gt;"&amp;0)+2,1)=H$1,H$1,""),"")</f>
        <v/>
      </c>
      <c r="I1323" s="36" t="str">
        <f>IFERROR(IF(--MID($F1323,2*COUNTIF($G1323:H1323,"&gt;"&amp;0)+2,1)=I$1,I$1,""),"")</f>
        <v/>
      </c>
      <c r="J1323" s="36" t="str">
        <f>IFERROR(IF(--MID($F1323,2*COUNTIF($G1323:I1323,"&gt;"&amp;0)+2,1)=J$1,J$1,""),"")</f>
        <v/>
      </c>
      <c r="K1323" s="36">
        <f>IFERROR(IF(--MID($F1323,2*COUNTIF($G1323:J1323,"&gt;"&amp;0)+2,1)=K$1,K$1,""),"")</f>
        <v>5</v>
      </c>
      <c r="L1323" s="36" t="str">
        <f>IFERROR(IF(--MID($F1323,2*COUNTIF($G1323:K1323,"&gt;"&amp;0)+2,1)=L$1,L$1,""),"")</f>
        <v/>
      </c>
      <c r="M1323" s="36" t="e" cm="1">
        <f t="array" ref="M1323">IF(A1323="","",_xlfn.XLOOKUP(D1323&amp;"_"&amp;AE1323,符文权重!A:A&amp;"_"&amp;符文权重!C:C,符文权重!D:D))</f>
        <v>#N/A</v>
      </c>
      <c r="N1323" s="36"/>
      <c r="O1323" s="36"/>
      <c r="P1323" s="36"/>
      <c r="Q1323" s="36"/>
      <c r="R1323" s="36"/>
      <c r="S1323" s="36" t="s">
        <v>344</v>
      </c>
      <c r="T1323" s="36" t="s">
        <v>736</v>
      </c>
      <c r="U1323" s="36" t="s">
        <v>415</v>
      </c>
      <c r="V1323" s="29" t="s">
        <v>745</v>
      </c>
      <c r="W1323" s="41"/>
      <c r="X1323" s="35" t="s">
        <v>738</v>
      </c>
      <c r="Y1323" s="35">
        <v>100</v>
      </c>
      <c r="Z1323" s="35"/>
      <c r="AA1323" s="36" t="s">
        <v>181</v>
      </c>
      <c r="AB1323" s="36" t="s">
        <v>746</v>
      </c>
      <c r="AC1323" s="35">
        <v>5301332</v>
      </c>
      <c r="AD1323" s="36" t="s">
        <v>487</v>
      </c>
      <c r="AE1323" s="36">
        <v>100</v>
      </c>
      <c r="AF1323" s="36"/>
      <c r="AG1323" s="79">
        <v>1</v>
      </c>
      <c r="AH1323" s="36">
        <v>0</v>
      </c>
      <c r="AL1323" s="35"/>
    </row>
    <row r="1324" s="25" customFormat="1" hidden="1" customHeight="1" spans="1:38">
      <c r="A1324" s="91">
        <v>5303335</v>
      </c>
      <c r="B1324" s="34" t="s">
        <v>735</v>
      </c>
      <c r="C1324" s="35">
        <v>5301335</v>
      </c>
      <c r="D1324" s="36">
        <v>3</v>
      </c>
      <c r="E1324" s="36"/>
      <c r="F1324" s="36" t="s">
        <v>230</v>
      </c>
      <c r="G1324" s="36" t="str">
        <f t="shared" si="280"/>
        <v/>
      </c>
      <c r="H1324" s="36" t="str">
        <f>IFERROR(IF(--MID($F1324,2*COUNTIF($G1324:G1324,"&gt;"&amp;0)+2,1)=H$1,H$1,""),"")</f>
        <v/>
      </c>
      <c r="I1324" s="36" t="str">
        <f>IFERROR(IF(--MID($F1324,2*COUNTIF($G1324:H1324,"&gt;"&amp;0)+2,1)=I$1,I$1,""),"")</f>
        <v/>
      </c>
      <c r="J1324" s="36" t="str">
        <f>IFERROR(IF(--MID($F1324,2*COUNTIF($G1324:I1324,"&gt;"&amp;0)+2,1)=J$1,J$1,""),"")</f>
        <v/>
      </c>
      <c r="K1324" s="36">
        <f>IFERROR(IF(--MID($F1324,2*COUNTIF($G1324:J1324,"&gt;"&amp;0)+2,1)=K$1,K$1,""),"")</f>
        <v>5</v>
      </c>
      <c r="L1324" s="36" t="str">
        <f>IFERROR(IF(--MID($F1324,2*COUNTIF($G1324:K1324,"&gt;"&amp;0)+2,1)=L$1,L$1,""),"")</f>
        <v/>
      </c>
      <c r="M1324" s="36" t="e" cm="1">
        <f t="array" ref="M1324">IF(A1324="","",_xlfn.XLOOKUP(D1324&amp;"_"&amp;AE1324,符文权重!A:A&amp;"_"&amp;符文权重!C:C,符文权重!D:D))</f>
        <v>#N/A</v>
      </c>
      <c r="N1324" s="36"/>
      <c r="O1324" s="36"/>
      <c r="P1324" s="36"/>
      <c r="Q1324" s="36"/>
      <c r="R1324" s="36"/>
      <c r="S1324" s="36" t="s">
        <v>344</v>
      </c>
      <c r="T1324" s="36" t="s">
        <v>736</v>
      </c>
      <c r="U1324" s="36" t="s">
        <v>417</v>
      </c>
      <c r="V1324" s="29" t="s">
        <v>747</v>
      </c>
      <c r="W1324" s="36"/>
      <c r="X1324" s="35" t="s">
        <v>741</v>
      </c>
      <c r="Y1324" s="35">
        <v>100</v>
      </c>
      <c r="Z1324" s="35"/>
      <c r="AA1324" s="92" t="s">
        <v>183</v>
      </c>
      <c r="AB1324" s="36" t="s">
        <v>746</v>
      </c>
      <c r="AC1324" s="35">
        <v>5301332</v>
      </c>
      <c r="AD1324" s="36" t="s">
        <v>497</v>
      </c>
      <c r="AE1324" s="36">
        <v>100</v>
      </c>
      <c r="AF1324" s="36"/>
      <c r="AG1324" s="79">
        <v>1</v>
      </c>
      <c r="AH1324" s="36">
        <v>0</v>
      </c>
      <c r="AI1324" s="33"/>
      <c r="AJ1324" s="37"/>
      <c r="AK1324" s="35"/>
      <c r="AL1324" s="35"/>
    </row>
    <row r="1325" s="25" customFormat="1" hidden="1" customHeight="1" spans="1:38">
      <c r="A1325" s="91">
        <v>5304335</v>
      </c>
      <c r="B1325" s="34" t="s">
        <v>735</v>
      </c>
      <c r="C1325" s="35">
        <v>5301335</v>
      </c>
      <c r="D1325" s="36">
        <v>4</v>
      </c>
      <c r="E1325" s="36"/>
      <c r="F1325" s="36" t="s">
        <v>230</v>
      </c>
      <c r="G1325" s="36" t="str">
        <f t="shared" si="280"/>
        <v/>
      </c>
      <c r="H1325" s="36" t="str">
        <f>IFERROR(IF(--MID($F1325,2*COUNTIF($G1325:G1325,"&gt;"&amp;0)+2,1)=H$1,H$1,""),"")</f>
        <v/>
      </c>
      <c r="I1325" s="36" t="str">
        <f>IFERROR(IF(--MID($F1325,2*COUNTIF($G1325:H1325,"&gt;"&amp;0)+2,1)=I$1,I$1,""),"")</f>
        <v/>
      </c>
      <c r="J1325" s="36" t="str">
        <f>IFERROR(IF(--MID($F1325,2*COUNTIF($G1325:I1325,"&gt;"&amp;0)+2,1)=J$1,J$1,""),"")</f>
        <v/>
      </c>
      <c r="K1325" s="36">
        <f>IFERROR(IF(--MID($F1325,2*COUNTIF($G1325:J1325,"&gt;"&amp;0)+2,1)=K$1,K$1,""),"")</f>
        <v>5</v>
      </c>
      <c r="L1325" s="36" t="str">
        <f>IFERROR(IF(--MID($F1325,2*COUNTIF($G1325:K1325,"&gt;"&amp;0)+2,1)=L$1,L$1,""),"")</f>
        <v/>
      </c>
      <c r="M1325" s="36" t="e" cm="1">
        <f t="array" ref="M1325">IF(A1325="","",_xlfn.XLOOKUP(D1325&amp;"_"&amp;AE1325,符文权重!A:A&amp;"_"&amp;符文权重!C:C,符文权重!D:D))</f>
        <v>#N/A</v>
      </c>
      <c r="N1325" s="36"/>
      <c r="O1325" s="36"/>
      <c r="P1325" s="36"/>
      <c r="Q1325" s="36"/>
      <c r="R1325" s="36"/>
      <c r="S1325" s="36" t="s">
        <v>344</v>
      </c>
      <c r="T1325" s="36" t="s">
        <v>736</v>
      </c>
      <c r="U1325" s="36" t="s">
        <v>420</v>
      </c>
      <c r="V1325" s="29" t="s">
        <v>748</v>
      </c>
      <c r="W1325" s="36"/>
      <c r="X1325" s="35" t="s">
        <v>743</v>
      </c>
      <c r="Y1325" s="35">
        <v>100</v>
      </c>
      <c r="Z1325" s="35"/>
      <c r="AA1325" s="92" t="s">
        <v>185</v>
      </c>
      <c r="AB1325" s="36" t="s">
        <v>749</v>
      </c>
      <c r="AC1325" s="35">
        <v>53013321</v>
      </c>
      <c r="AD1325" s="36" t="s">
        <v>596</v>
      </c>
      <c r="AE1325" s="36">
        <v>100</v>
      </c>
      <c r="AF1325" s="36"/>
      <c r="AG1325" s="79">
        <v>1</v>
      </c>
      <c r="AH1325" s="36">
        <v>0</v>
      </c>
      <c r="AI1325" s="33"/>
      <c r="AJ1325" s="37"/>
      <c r="AK1325" s="35"/>
      <c r="AL1325" s="35"/>
    </row>
    <row r="1326" s="25" customFormat="1" hidden="1" customHeight="1" spans="1:38">
      <c r="A1326" s="33">
        <v>5305335</v>
      </c>
      <c r="B1326" s="34" t="s">
        <v>735</v>
      </c>
      <c r="C1326" s="35">
        <v>5301335</v>
      </c>
      <c r="D1326" s="36">
        <v>5</v>
      </c>
      <c r="E1326" s="36"/>
      <c r="F1326" s="36" t="s">
        <v>230</v>
      </c>
      <c r="G1326" s="36" t="str">
        <f t="shared" si="280"/>
        <v/>
      </c>
      <c r="H1326" s="36" t="str">
        <f>IFERROR(IF(--MID($F1326,2*COUNTIF($G1326:G1326,"&gt;"&amp;0)+2,1)=H$1,H$1,""),"")</f>
        <v/>
      </c>
      <c r="I1326" s="36" t="str">
        <f>IFERROR(IF(--MID($F1326,2*COUNTIF($G1326:H1326,"&gt;"&amp;0)+2,1)=I$1,I$1,""),"")</f>
        <v/>
      </c>
      <c r="J1326" s="36" t="str">
        <f>IFERROR(IF(--MID($F1326,2*COUNTIF($G1326:I1326,"&gt;"&amp;0)+2,1)=J$1,J$1,""),"")</f>
        <v/>
      </c>
      <c r="K1326" s="36">
        <f>IFERROR(IF(--MID($F1326,2*COUNTIF($G1326:J1326,"&gt;"&amp;0)+2,1)=K$1,K$1,""),"")</f>
        <v>5</v>
      </c>
      <c r="L1326" s="36" t="str">
        <f>IFERROR(IF(--MID($F1326,2*COUNTIF($G1326:K1326,"&gt;"&amp;0)+2,1)=L$1,L$1,""),"")</f>
        <v/>
      </c>
      <c r="M1326" s="36" t="e" cm="1">
        <f t="array" ref="M1326">IF(A1326="","",_xlfn.XLOOKUP(D1326&amp;"_"&amp;AE1326,符文权重!A:A&amp;"_"&amp;符文权重!C:C,符文权重!D:D))</f>
        <v>#N/A</v>
      </c>
      <c r="N1326" s="36"/>
      <c r="O1326" s="36"/>
      <c r="P1326" s="36"/>
      <c r="Q1326" s="36"/>
      <c r="R1326" s="36"/>
      <c r="S1326" s="36" t="s">
        <v>344</v>
      </c>
      <c r="T1326" s="36" t="s">
        <v>736</v>
      </c>
      <c r="U1326" s="36" t="s">
        <v>423</v>
      </c>
      <c r="V1326" s="29"/>
      <c r="W1326" s="36"/>
      <c r="X1326" s="35" t="s">
        <v>1110</v>
      </c>
      <c r="Y1326" s="35">
        <v>100</v>
      </c>
      <c r="Z1326" s="35"/>
      <c r="AA1326" s="92" t="s">
        <v>187</v>
      </c>
      <c r="AB1326" s="36" t="s">
        <v>749</v>
      </c>
      <c r="AC1326" s="35">
        <v>53013321</v>
      </c>
      <c r="AD1326" s="36" t="s">
        <v>1112</v>
      </c>
      <c r="AE1326" s="36">
        <v>100</v>
      </c>
      <c r="AF1326" s="36"/>
      <c r="AG1326" s="79">
        <v>1</v>
      </c>
      <c r="AH1326" s="36">
        <v>0</v>
      </c>
      <c r="AL1326" s="35"/>
    </row>
    <row r="1327" s="25" customFormat="1" hidden="1" customHeight="1" spans="1:38">
      <c r="A1327" s="33">
        <v>5306335</v>
      </c>
      <c r="B1327" s="34" t="s">
        <v>735</v>
      </c>
      <c r="C1327" s="35">
        <v>5301335</v>
      </c>
      <c r="D1327" s="36">
        <v>6</v>
      </c>
      <c r="E1327" s="36"/>
      <c r="F1327" s="36" t="s">
        <v>230</v>
      </c>
      <c r="G1327" s="36" t="str">
        <f t="shared" si="280"/>
        <v/>
      </c>
      <c r="H1327" s="36" t="str">
        <f>IFERROR(IF(--MID($F1327,2*COUNTIF($G1327:G1327,"&gt;"&amp;0)+2,1)=H$1,H$1,""),"")</f>
        <v/>
      </c>
      <c r="I1327" s="36" t="str">
        <f>IFERROR(IF(--MID($F1327,2*COUNTIF($G1327:H1327,"&gt;"&amp;0)+2,1)=I$1,I$1,""),"")</f>
        <v/>
      </c>
      <c r="J1327" s="36" t="str">
        <f>IFERROR(IF(--MID($F1327,2*COUNTIF($G1327:I1327,"&gt;"&amp;0)+2,1)=J$1,J$1,""),"")</f>
        <v/>
      </c>
      <c r="K1327" s="36">
        <f>IFERROR(IF(--MID($F1327,2*COUNTIF($G1327:J1327,"&gt;"&amp;0)+2,1)=K$1,K$1,""),"")</f>
        <v>5</v>
      </c>
      <c r="L1327" s="36" t="str">
        <f>IFERROR(IF(--MID($F1327,2*COUNTIF($G1327:K1327,"&gt;"&amp;0)+2,1)=L$1,L$1,""),"")</f>
        <v/>
      </c>
      <c r="M1327" s="36" t="e" cm="1">
        <f t="array" ref="M1327">IF(A1327="","",_xlfn.XLOOKUP(D1327&amp;"_"&amp;AE1327,符文权重!A:A&amp;"_"&amp;符文权重!C:C,符文权重!D:D))</f>
        <v>#N/A</v>
      </c>
      <c r="N1327" s="36"/>
      <c r="O1327" s="36"/>
      <c r="P1327" s="36"/>
      <c r="Q1327" s="36"/>
      <c r="R1327" s="36"/>
      <c r="S1327" s="36" t="s">
        <v>344</v>
      </c>
      <c r="T1327" s="36" t="s">
        <v>736</v>
      </c>
      <c r="U1327" s="36" t="s">
        <v>426</v>
      </c>
      <c r="V1327" s="29"/>
      <c r="W1327" s="36"/>
      <c r="X1327" s="35" t="s">
        <v>1113</v>
      </c>
      <c r="Y1327" s="35">
        <v>100</v>
      </c>
      <c r="Z1327" s="35"/>
      <c r="AA1327" s="92" t="s">
        <v>189</v>
      </c>
      <c r="AB1327" s="36" t="s">
        <v>749</v>
      </c>
      <c r="AC1327" s="35">
        <v>53013321</v>
      </c>
      <c r="AD1327" s="36" t="s">
        <v>458</v>
      </c>
      <c r="AE1327" s="36">
        <v>100</v>
      </c>
      <c r="AF1327" s="36"/>
      <c r="AG1327" s="79">
        <v>1</v>
      </c>
      <c r="AH1327" s="36">
        <v>0</v>
      </c>
      <c r="AL1327" s="35"/>
    </row>
    <row r="1328" s="25" customFormat="1" hidden="1" customHeight="1" spans="1:38">
      <c r="A1328" s="33">
        <v>5307335</v>
      </c>
      <c r="B1328" s="34" t="s">
        <v>735</v>
      </c>
      <c r="C1328" s="35">
        <v>5301335</v>
      </c>
      <c r="D1328" s="36">
        <v>7</v>
      </c>
      <c r="E1328" s="36"/>
      <c r="F1328" s="36" t="s">
        <v>230</v>
      </c>
      <c r="G1328" s="36" t="str">
        <f t="shared" si="280"/>
        <v/>
      </c>
      <c r="H1328" s="36" t="str">
        <f>IFERROR(IF(--MID($F1328,2*COUNTIF($G1328:G1328,"&gt;"&amp;0)+2,1)=H$1,H$1,""),"")</f>
        <v/>
      </c>
      <c r="I1328" s="36" t="str">
        <f>IFERROR(IF(--MID($F1328,2*COUNTIF($G1328:H1328,"&gt;"&amp;0)+2,1)=I$1,I$1,""),"")</f>
        <v/>
      </c>
      <c r="J1328" s="36" t="str">
        <f>IFERROR(IF(--MID($F1328,2*COUNTIF($G1328:I1328,"&gt;"&amp;0)+2,1)=J$1,J$1,""),"")</f>
        <v/>
      </c>
      <c r="K1328" s="36">
        <f>IFERROR(IF(--MID($F1328,2*COUNTIF($G1328:J1328,"&gt;"&amp;0)+2,1)=K$1,K$1,""),"")</f>
        <v>5</v>
      </c>
      <c r="L1328" s="36" t="str">
        <f>IFERROR(IF(--MID($F1328,2*COUNTIF($G1328:K1328,"&gt;"&amp;0)+2,1)=L$1,L$1,""),"")</f>
        <v/>
      </c>
      <c r="M1328" s="36" t="e" cm="1">
        <f t="array" ref="M1328">IF(A1328="","",_xlfn.XLOOKUP(D1328&amp;"_"&amp;AE1328,符文权重!A:A&amp;"_"&amp;符文权重!C:C,符文权重!D:D))</f>
        <v>#N/A</v>
      </c>
      <c r="N1328" s="36"/>
      <c r="O1328" s="36"/>
      <c r="P1328" s="36"/>
      <c r="Q1328" s="36"/>
      <c r="R1328" s="36"/>
      <c r="S1328" s="36" t="s">
        <v>344</v>
      </c>
      <c r="T1328" s="36" t="s">
        <v>736</v>
      </c>
      <c r="U1328" s="36" t="s">
        <v>429</v>
      </c>
      <c r="V1328" s="29"/>
      <c r="W1328" s="36"/>
      <c r="X1328" s="35" t="s">
        <v>1115</v>
      </c>
      <c r="Y1328" s="35">
        <v>100</v>
      </c>
      <c r="Z1328" s="35"/>
      <c r="AA1328" s="92" t="s">
        <v>191</v>
      </c>
      <c r="AB1328" s="36" t="s">
        <v>749</v>
      </c>
      <c r="AC1328" s="35">
        <v>53013321</v>
      </c>
      <c r="AD1328" s="36" t="s">
        <v>898</v>
      </c>
      <c r="AE1328" s="36">
        <v>100</v>
      </c>
      <c r="AF1328" s="36"/>
      <c r="AG1328" s="79">
        <v>1</v>
      </c>
      <c r="AH1328" s="36">
        <v>0</v>
      </c>
      <c r="AL1328" s="35"/>
    </row>
    <row r="1329" s="25" customFormat="1" hidden="1" customHeight="1" spans="1:38">
      <c r="A1329" s="33">
        <v>5301336</v>
      </c>
      <c r="B1329" s="34" t="s">
        <v>735</v>
      </c>
      <c r="C1329" s="35">
        <v>5301336</v>
      </c>
      <c r="D1329" s="36">
        <v>1</v>
      </c>
      <c r="E1329" s="36"/>
      <c r="F1329" s="36" t="s">
        <v>404</v>
      </c>
      <c r="G1329" s="36" t="str">
        <f t="shared" si="280"/>
        <v/>
      </c>
      <c r="H1329" s="36" t="str">
        <f>IFERROR(IF(--MID($F1329,2*COUNTIF($G1329:G1329,"&gt;"&amp;0)+2,1)=H$1,H$1,""),"")</f>
        <v/>
      </c>
      <c r="I1329" s="36" t="str">
        <f>IFERROR(IF(--MID($F1329,2*COUNTIF($G1329:H1329,"&gt;"&amp;0)+2,1)=I$1,I$1,""),"")</f>
        <v/>
      </c>
      <c r="J1329" s="36">
        <f>IFERROR(IF(--MID($F1329,2*COUNTIF($G1329:I1329,"&gt;"&amp;0)+2,1)=J$1,J$1,""),"")</f>
        <v>4</v>
      </c>
      <c r="K1329" s="36" t="str">
        <f>IFERROR(IF(--MID($F1329,2*COUNTIF($G1329:J1329,"&gt;"&amp;0)+2,1)=K$1,K$1,""),"")</f>
        <v/>
      </c>
      <c r="L1329" s="36" t="str">
        <f>IFERROR(IF(--MID($F1329,2*COUNTIF($G1329:K1329,"&gt;"&amp;0)+2,1)=L$1,L$1,""),"")</f>
        <v/>
      </c>
      <c r="M1329" s="36" t="e" cm="1">
        <f t="array" ref="M1329">IF(A1329="","",_xlfn.XLOOKUP(D1329&amp;"_"&amp;AE1329,符文权重!A:A&amp;"_"&amp;符文权重!C:C,符文权重!D:D))</f>
        <v>#N/A</v>
      </c>
      <c r="N1329" s="36"/>
      <c r="O1329" s="36"/>
      <c r="P1329" s="36"/>
      <c r="Q1329" s="36"/>
      <c r="R1329" s="36"/>
      <c r="S1329" s="36" t="s">
        <v>344</v>
      </c>
      <c r="T1329" s="36" t="s">
        <v>736</v>
      </c>
      <c r="U1329" s="36" t="s">
        <v>413</v>
      </c>
      <c r="V1329" s="29"/>
      <c r="W1329" s="41"/>
      <c r="X1329" s="35" t="s">
        <v>1105</v>
      </c>
      <c r="Y1329" s="35">
        <v>100</v>
      </c>
      <c r="Z1329" s="35"/>
      <c r="AA1329" s="36" t="s">
        <v>177</v>
      </c>
      <c r="AB1329" s="36" t="s">
        <v>751</v>
      </c>
      <c r="AC1329" s="35">
        <v>5301333</v>
      </c>
      <c r="AD1329" s="36" t="s">
        <v>428</v>
      </c>
      <c r="AE1329" s="36">
        <v>100</v>
      </c>
      <c r="AF1329" s="36"/>
      <c r="AG1329" s="79">
        <v>1</v>
      </c>
      <c r="AH1329" s="36">
        <v>0</v>
      </c>
      <c r="AL1329" s="35"/>
    </row>
    <row r="1330" s="25" customFormat="1" hidden="1" customHeight="1" spans="1:38">
      <c r="A1330" s="33">
        <v>5302336</v>
      </c>
      <c r="B1330" s="34" t="s">
        <v>735</v>
      </c>
      <c r="C1330" s="35">
        <v>5301336</v>
      </c>
      <c r="D1330" s="36">
        <v>2</v>
      </c>
      <c r="E1330" s="36"/>
      <c r="F1330" s="36" t="s">
        <v>404</v>
      </c>
      <c r="G1330" s="36" t="str">
        <f t="shared" si="280"/>
        <v/>
      </c>
      <c r="H1330" s="36" t="str">
        <f>IFERROR(IF(--MID($F1330,2*COUNTIF($G1330:G1330,"&gt;"&amp;0)+2,1)=H$1,H$1,""),"")</f>
        <v/>
      </c>
      <c r="I1330" s="36" t="str">
        <f>IFERROR(IF(--MID($F1330,2*COUNTIF($G1330:H1330,"&gt;"&amp;0)+2,1)=I$1,I$1,""),"")</f>
        <v/>
      </c>
      <c r="J1330" s="36">
        <f>IFERROR(IF(--MID($F1330,2*COUNTIF($G1330:I1330,"&gt;"&amp;0)+2,1)=J$1,J$1,""),"")</f>
        <v>4</v>
      </c>
      <c r="K1330" s="36" t="str">
        <f>IFERROR(IF(--MID($F1330,2*COUNTIF($G1330:J1330,"&gt;"&amp;0)+2,1)=K$1,K$1,""),"")</f>
        <v/>
      </c>
      <c r="L1330" s="36" t="str">
        <f>IFERROR(IF(--MID($F1330,2*COUNTIF($G1330:K1330,"&gt;"&amp;0)+2,1)=L$1,L$1,""),"")</f>
        <v/>
      </c>
      <c r="M1330" s="36" t="e" cm="1">
        <f t="array" ref="M1330">IF(A1330="","",_xlfn.XLOOKUP(D1330&amp;"_"&amp;AE1330,符文权重!A:A&amp;"_"&amp;符文权重!C:C,符文权重!D:D))</f>
        <v>#N/A</v>
      </c>
      <c r="N1330" s="36"/>
      <c r="O1330" s="36"/>
      <c r="P1330" s="36"/>
      <c r="Q1330" s="36"/>
      <c r="R1330" s="36"/>
      <c r="S1330" s="36" t="s">
        <v>344</v>
      </c>
      <c r="T1330" s="36" t="s">
        <v>736</v>
      </c>
      <c r="U1330" s="36" t="s">
        <v>415</v>
      </c>
      <c r="V1330" s="29" t="s">
        <v>750</v>
      </c>
      <c r="W1330" s="41"/>
      <c r="X1330" s="35" t="s">
        <v>738</v>
      </c>
      <c r="Y1330" s="35">
        <v>100</v>
      </c>
      <c r="Z1330" s="35"/>
      <c r="AA1330" s="36" t="s">
        <v>181</v>
      </c>
      <c r="AB1330" s="36" t="s">
        <v>751</v>
      </c>
      <c r="AC1330" s="35">
        <v>5301333</v>
      </c>
      <c r="AD1330" s="36" t="s">
        <v>487</v>
      </c>
      <c r="AE1330" s="36">
        <v>100</v>
      </c>
      <c r="AF1330" s="36"/>
      <c r="AG1330" s="79">
        <v>1</v>
      </c>
      <c r="AH1330" s="36">
        <v>0</v>
      </c>
      <c r="AL1330" s="35"/>
    </row>
    <row r="1331" s="25" customFormat="1" hidden="1" customHeight="1" spans="1:38">
      <c r="A1331" s="91">
        <v>5303336</v>
      </c>
      <c r="B1331" s="34" t="s">
        <v>735</v>
      </c>
      <c r="C1331" s="35">
        <v>5301336</v>
      </c>
      <c r="D1331" s="36">
        <v>3</v>
      </c>
      <c r="E1331" s="36"/>
      <c r="F1331" s="36" t="s">
        <v>404</v>
      </c>
      <c r="G1331" s="36" t="str">
        <f t="shared" si="280"/>
        <v/>
      </c>
      <c r="H1331" s="36" t="str">
        <f>IFERROR(IF(--MID($F1331,2*COUNTIF($G1331:G1331,"&gt;"&amp;0)+2,1)=H$1,H$1,""),"")</f>
        <v/>
      </c>
      <c r="I1331" s="36" t="str">
        <f>IFERROR(IF(--MID($F1331,2*COUNTIF($G1331:H1331,"&gt;"&amp;0)+2,1)=I$1,I$1,""),"")</f>
        <v/>
      </c>
      <c r="J1331" s="36">
        <f>IFERROR(IF(--MID($F1331,2*COUNTIF($G1331:I1331,"&gt;"&amp;0)+2,1)=J$1,J$1,""),"")</f>
        <v>4</v>
      </c>
      <c r="K1331" s="36" t="str">
        <f>IFERROR(IF(--MID($F1331,2*COUNTIF($G1331:J1331,"&gt;"&amp;0)+2,1)=K$1,K$1,""),"")</f>
        <v/>
      </c>
      <c r="L1331" s="36" t="str">
        <f>IFERROR(IF(--MID($F1331,2*COUNTIF($G1331:K1331,"&gt;"&amp;0)+2,1)=L$1,L$1,""),"")</f>
        <v/>
      </c>
      <c r="M1331" s="36" t="e" cm="1">
        <f t="array" ref="M1331">IF(A1331="","",_xlfn.XLOOKUP(D1331&amp;"_"&amp;AE1331,符文权重!A:A&amp;"_"&amp;符文权重!C:C,符文权重!D:D))</f>
        <v>#N/A</v>
      </c>
      <c r="N1331" s="36"/>
      <c r="O1331" s="36"/>
      <c r="P1331" s="36"/>
      <c r="Q1331" s="36"/>
      <c r="R1331" s="36"/>
      <c r="S1331" s="36" t="s">
        <v>344</v>
      </c>
      <c r="T1331" s="36" t="s">
        <v>736</v>
      </c>
      <c r="U1331" s="36" t="s">
        <v>417</v>
      </c>
      <c r="V1331" s="29" t="s">
        <v>752</v>
      </c>
      <c r="W1331" s="36"/>
      <c r="X1331" s="35" t="s">
        <v>741</v>
      </c>
      <c r="Y1331" s="35">
        <v>100</v>
      </c>
      <c r="Z1331" s="35"/>
      <c r="AA1331" s="92" t="s">
        <v>183</v>
      </c>
      <c r="AB1331" s="36" t="s">
        <v>751</v>
      </c>
      <c r="AC1331" s="35">
        <v>5301333</v>
      </c>
      <c r="AD1331" s="36" t="s">
        <v>497</v>
      </c>
      <c r="AE1331" s="36">
        <v>100</v>
      </c>
      <c r="AF1331" s="36"/>
      <c r="AG1331" s="79">
        <v>1</v>
      </c>
      <c r="AH1331" s="36">
        <v>0</v>
      </c>
      <c r="AI1331" s="33"/>
      <c r="AJ1331" s="37"/>
      <c r="AK1331" s="35"/>
      <c r="AL1331" s="35"/>
    </row>
    <row r="1332" s="25" customFormat="1" hidden="1" customHeight="1" spans="1:38">
      <c r="A1332" s="91">
        <v>5304336</v>
      </c>
      <c r="B1332" s="34" t="s">
        <v>735</v>
      </c>
      <c r="C1332" s="35">
        <v>5301336</v>
      </c>
      <c r="D1332" s="36">
        <v>4</v>
      </c>
      <c r="E1332" s="36"/>
      <c r="F1332" s="36" t="s">
        <v>404</v>
      </c>
      <c r="G1332" s="36" t="str">
        <f t="shared" si="280"/>
        <v/>
      </c>
      <c r="H1332" s="36" t="str">
        <f>IFERROR(IF(--MID($F1332,2*COUNTIF($G1332:G1332,"&gt;"&amp;0)+2,1)=H$1,H$1,""),"")</f>
        <v/>
      </c>
      <c r="I1332" s="36" t="str">
        <f>IFERROR(IF(--MID($F1332,2*COUNTIF($G1332:H1332,"&gt;"&amp;0)+2,1)=I$1,I$1,""),"")</f>
        <v/>
      </c>
      <c r="J1332" s="36">
        <f>IFERROR(IF(--MID($F1332,2*COUNTIF($G1332:I1332,"&gt;"&amp;0)+2,1)=J$1,J$1,""),"")</f>
        <v>4</v>
      </c>
      <c r="K1332" s="36" t="str">
        <f>IFERROR(IF(--MID($F1332,2*COUNTIF($G1332:J1332,"&gt;"&amp;0)+2,1)=K$1,K$1,""),"")</f>
        <v/>
      </c>
      <c r="L1332" s="36" t="str">
        <f>IFERROR(IF(--MID($F1332,2*COUNTIF($G1332:K1332,"&gt;"&amp;0)+2,1)=L$1,L$1,""),"")</f>
        <v/>
      </c>
      <c r="M1332" s="36" t="e" cm="1">
        <f t="array" ref="M1332">IF(A1332="","",_xlfn.XLOOKUP(D1332&amp;"_"&amp;AE1332,符文权重!A:A&amp;"_"&amp;符文权重!C:C,符文权重!D:D))</f>
        <v>#N/A</v>
      </c>
      <c r="N1332" s="36"/>
      <c r="O1332" s="36"/>
      <c r="P1332" s="36"/>
      <c r="Q1332" s="36"/>
      <c r="R1332" s="36"/>
      <c r="S1332" s="36" t="s">
        <v>344</v>
      </c>
      <c r="T1332" s="36" t="s">
        <v>736</v>
      </c>
      <c r="U1332" s="36" t="s">
        <v>420</v>
      </c>
      <c r="V1332" s="29" t="s">
        <v>753</v>
      </c>
      <c r="W1332" s="36"/>
      <c r="X1332" s="35" t="s">
        <v>743</v>
      </c>
      <c r="Y1332" s="35">
        <v>100</v>
      </c>
      <c r="Z1332" s="35"/>
      <c r="AA1332" s="92" t="s">
        <v>185</v>
      </c>
      <c r="AB1332" s="36" t="s">
        <v>754</v>
      </c>
      <c r="AC1332" s="35">
        <v>53013331</v>
      </c>
      <c r="AD1332" s="36" t="s">
        <v>596</v>
      </c>
      <c r="AE1332" s="36">
        <v>100</v>
      </c>
      <c r="AF1332" s="36"/>
      <c r="AG1332" s="79">
        <v>1</v>
      </c>
      <c r="AH1332" s="36">
        <v>0</v>
      </c>
      <c r="AI1332" s="33"/>
      <c r="AJ1332" s="37"/>
      <c r="AK1332" s="35"/>
      <c r="AL1332" s="35"/>
    </row>
    <row r="1333" s="25" customFormat="1" hidden="1" customHeight="1" spans="1:38">
      <c r="A1333" s="33">
        <v>5305336</v>
      </c>
      <c r="B1333" s="34" t="s">
        <v>735</v>
      </c>
      <c r="C1333" s="35">
        <v>5301336</v>
      </c>
      <c r="D1333" s="36">
        <v>5</v>
      </c>
      <c r="E1333" s="36"/>
      <c r="F1333" s="36" t="s">
        <v>404</v>
      </c>
      <c r="G1333" s="36" t="str">
        <f t="shared" si="280"/>
        <v/>
      </c>
      <c r="H1333" s="36" t="str">
        <f>IFERROR(IF(--MID($F1333,2*COUNTIF($G1333:G1333,"&gt;"&amp;0)+2,1)=H$1,H$1,""),"")</f>
        <v/>
      </c>
      <c r="I1333" s="36" t="str">
        <f>IFERROR(IF(--MID($F1333,2*COUNTIF($G1333:H1333,"&gt;"&amp;0)+2,1)=I$1,I$1,""),"")</f>
        <v/>
      </c>
      <c r="J1333" s="36">
        <f>IFERROR(IF(--MID($F1333,2*COUNTIF($G1333:I1333,"&gt;"&amp;0)+2,1)=J$1,J$1,""),"")</f>
        <v>4</v>
      </c>
      <c r="K1333" s="36" t="str">
        <f>IFERROR(IF(--MID($F1333,2*COUNTIF($G1333:J1333,"&gt;"&amp;0)+2,1)=K$1,K$1,""),"")</f>
        <v/>
      </c>
      <c r="L1333" s="36" t="str">
        <f>IFERROR(IF(--MID($F1333,2*COUNTIF($G1333:K1333,"&gt;"&amp;0)+2,1)=L$1,L$1,""),"")</f>
        <v/>
      </c>
      <c r="M1333" s="36" t="e" cm="1">
        <f t="array" ref="M1333">IF(A1333="","",_xlfn.XLOOKUP(D1333&amp;"_"&amp;AE1333,符文权重!A:A&amp;"_"&amp;符文权重!C:C,符文权重!D:D))</f>
        <v>#N/A</v>
      </c>
      <c r="N1333" s="36"/>
      <c r="O1333" s="36"/>
      <c r="P1333" s="36"/>
      <c r="Q1333" s="36"/>
      <c r="R1333" s="36"/>
      <c r="S1333" s="36" t="s">
        <v>344</v>
      </c>
      <c r="T1333" s="36" t="s">
        <v>736</v>
      </c>
      <c r="U1333" s="36" t="s">
        <v>423</v>
      </c>
      <c r="V1333" s="29"/>
      <c r="W1333" s="36"/>
      <c r="X1333" s="35" t="s">
        <v>1110</v>
      </c>
      <c r="Y1333" s="35">
        <v>100</v>
      </c>
      <c r="Z1333" s="35"/>
      <c r="AA1333" s="92" t="s">
        <v>187</v>
      </c>
      <c r="AB1333" s="36" t="s">
        <v>754</v>
      </c>
      <c r="AC1333" s="35">
        <v>53013331</v>
      </c>
      <c r="AD1333" s="36" t="s">
        <v>1112</v>
      </c>
      <c r="AE1333" s="36">
        <v>100</v>
      </c>
      <c r="AF1333" s="36"/>
      <c r="AG1333" s="79">
        <v>1</v>
      </c>
      <c r="AH1333" s="36">
        <v>0</v>
      </c>
      <c r="AL1333" s="35"/>
    </row>
    <row r="1334" s="25" customFormat="1" hidden="1" customHeight="1" spans="1:38">
      <c r="A1334" s="33">
        <v>5306336</v>
      </c>
      <c r="B1334" s="34" t="s">
        <v>735</v>
      </c>
      <c r="C1334" s="35">
        <v>5301336</v>
      </c>
      <c r="D1334" s="36">
        <v>6</v>
      </c>
      <c r="E1334" s="36"/>
      <c r="F1334" s="36" t="s">
        <v>404</v>
      </c>
      <c r="G1334" s="36" t="str">
        <f t="shared" si="280"/>
        <v/>
      </c>
      <c r="H1334" s="36" t="str">
        <f>IFERROR(IF(--MID($F1334,2*COUNTIF($G1334:G1334,"&gt;"&amp;0)+2,1)=H$1,H$1,""),"")</f>
        <v/>
      </c>
      <c r="I1334" s="36" t="str">
        <f>IFERROR(IF(--MID($F1334,2*COUNTIF($G1334:H1334,"&gt;"&amp;0)+2,1)=I$1,I$1,""),"")</f>
        <v/>
      </c>
      <c r="J1334" s="36">
        <f>IFERROR(IF(--MID($F1334,2*COUNTIF($G1334:I1334,"&gt;"&amp;0)+2,1)=J$1,J$1,""),"")</f>
        <v>4</v>
      </c>
      <c r="K1334" s="36" t="str">
        <f>IFERROR(IF(--MID($F1334,2*COUNTIF($G1334:J1334,"&gt;"&amp;0)+2,1)=K$1,K$1,""),"")</f>
        <v/>
      </c>
      <c r="L1334" s="36" t="str">
        <f>IFERROR(IF(--MID($F1334,2*COUNTIF($G1334:K1334,"&gt;"&amp;0)+2,1)=L$1,L$1,""),"")</f>
        <v/>
      </c>
      <c r="M1334" s="36" t="e" cm="1">
        <f t="array" ref="M1334">IF(A1334="","",_xlfn.XLOOKUP(D1334&amp;"_"&amp;AE1334,符文权重!A:A&amp;"_"&amp;符文权重!C:C,符文权重!D:D))</f>
        <v>#N/A</v>
      </c>
      <c r="N1334" s="36"/>
      <c r="O1334" s="36"/>
      <c r="P1334" s="36"/>
      <c r="Q1334" s="36"/>
      <c r="R1334" s="36"/>
      <c r="S1334" s="36" t="s">
        <v>344</v>
      </c>
      <c r="T1334" s="36" t="s">
        <v>736</v>
      </c>
      <c r="U1334" s="36" t="s">
        <v>426</v>
      </c>
      <c r="V1334" s="29"/>
      <c r="W1334" s="36"/>
      <c r="X1334" s="35" t="s">
        <v>1113</v>
      </c>
      <c r="Y1334" s="35">
        <v>100</v>
      </c>
      <c r="Z1334" s="35"/>
      <c r="AA1334" s="92" t="s">
        <v>189</v>
      </c>
      <c r="AB1334" s="36" t="s">
        <v>754</v>
      </c>
      <c r="AC1334" s="35">
        <v>53013331</v>
      </c>
      <c r="AD1334" s="36" t="s">
        <v>458</v>
      </c>
      <c r="AE1334" s="36">
        <v>100</v>
      </c>
      <c r="AF1334" s="36"/>
      <c r="AG1334" s="79">
        <v>1</v>
      </c>
      <c r="AH1334" s="36">
        <v>0</v>
      </c>
      <c r="AL1334" s="35"/>
    </row>
    <row r="1335" s="25" customFormat="1" hidden="1" customHeight="1" spans="1:38">
      <c r="A1335" s="33">
        <v>5307336</v>
      </c>
      <c r="B1335" s="34" t="s">
        <v>735</v>
      </c>
      <c r="C1335" s="35">
        <v>5301336</v>
      </c>
      <c r="D1335" s="36">
        <v>7</v>
      </c>
      <c r="E1335" s="36"/>
      <c r="F1335" s="36" t="s">
        <v>404</v>
      </c>
      <c r="G1335" s="36" t="str">
        <f t="shared" si="280"/>
        <v/>
      </c>
      <c r="H1335" s="36" t="str">
        <f>IFERROR(IF(--MID($F1335,2*COUNTIF($G1335:G1335,"&gt;"&amp;0)+2,1)=H$1,H$1,""),"")</f>
        <v/>
      </c>
      <c r="I1335" s="36" t="str">
        <f>IFERROR(IF(--MID($F1335,2*COUNTIF($G1335:H1335,"&gt;"&amp;0)+2,1)=I$1,I$1,""),"")</f>
        <v/>
      </c>
      <c r="J1335" s="36">
        <f>IFERROR(IF(--MID($F1335,2*COUNTIF($G1335:I1335,"&gt;"&amp;0)+2,1)=J$1,J$1,""),"")</f>
        <v>4</v>
      </c>
      <c r="K1335" s="36" t="str">
        <f>IFERROR(IF(--MID($F1335,2*COUNTIF($G1335:J1335,"&gt;"&amp;0)+2,1)=K$1,K$1,""),"")</f>
        <v/>
      </c>
      <c r="L1335" s="36" t="str">
        <f>IFERROR(IF(--MID($F1335,2*COUNTIF($G1335:K1335,"&gt;"&amp;0)+2,1)=L$1,L$1,""),"")</f>
        <v/>
      </c>
      <c r="M1335" s="36" t="e" cm="1">
        <f t="array" ref="M1335">IF(A1335="","",_xlfn.XLOOKUP(D1335&amp;"_"&amp;AE1335,符文权重!A:A&amp;"_"&amp;符文权重!C:C,符文权重!D:D))</f>
        <v>#N/A</v>
      </c>
      <c r="N1335" s="36"/>
      <c r="O1335" s="36"/>
      <c r="P1335" s="36"/>
      <c r="Q1335" s="36"/>
      <c r="R1335" s="36"/>
      <c r="S1335" s="36" t="s">
        <v>344</v>
      </c>
      <c r="T1335" s="36" t="s">
        <v>736</v>
      </c>
      <c r="U1335" s="36" t="s">
        <v>429</v>
      </c>
      <c r="V1335" s="29"/>
      <c r="W1335" s="36"/>
      <c r="X1335" s="35" t="s">
        <v>1115</v>
      </c>
      <c r="Y1335" s="35">
        <v>100</v>
      </c>
      <c r="Z1335" s="35"/>
      <c r="AA1335" s="92" t="s">
        <v>191</v>
      </c>
      <c r="AB1335" s="36" t="s">
        <v>754</v>
      </c>
      <c r="AC1335" s="35">
        <v>53013331</v>
      </c>
      <c r="AD1335" s="36" t="s">
        <v>898</v>
      </c>
      <c r="AE1335" s="36">
        <v>100</v>
      </c>
      <c r="AF1335" s="36" t="s">
        <v>178</v>
      </c>
      <c r="AG1335" s="79">
        <v>1</v>
      </c>
      <c r="AH1335" s="36">
        <v>0</v>
      </c>
      <c r="AL1335" s="35"/>
    </row>
    <row r="1336" s="31" customFormat="1" hidden="1" customHeight="1" spans="1:38">
      <c r="A1336" s="82">
        <v>5304402</v>
      </c>
      <c r="B1336" s="34"/>
      <c r="C1336" s="31">
        <v>5301402</v>
      </c>
      <c r="D1336" s="79">
        <v>4</v>
      </c>
      <c r="E1336" s="79"/>
      <c r="F1336" s="79" t="s">
        <v>202</v>
      </c>
      <c r="G1336" s="36">
        <f t="shared" si="280"/>
        <v>1</v>
      </c>
      <c r="H1336" s="36" t="str">
        <f>IFERROR(IF(--MID($F1336,2*COUNTIF($G1336:G1336,"&gt;"&amp;0)+2,1)=H$1,H$1,""),"")</f>
        <v/>
      </c>
      <c r="I1336" s="36" t="str">
        <f>IFERROR(IF(--MID($F1336,2*COUNTIF($G1336:H1336,"&gt;"&amp;0)+2,1)=I$1,I$1,""),"")</f>
        <v/>
      </c>
      <c r="J1336" s="36" t="str">
        <f>IFERROR(IF(--MID($F1336,2*COUNTIF($G1336:I1336,"&gt;"&amp;0)+2,1)=J$1,J$1,""),"")</f>
        <v/>
      </c>
      <c r="K1336" s="36" t="str">
        <f>IFERROR(IF(--MID($F1336,2*COUNTIF($G1336:J1336,"&gt;"&amp;0)+2,1)=K$1,K$1,""),"")</f>
        <v/>
      </c>
      <c r="L1336" s="36" t="str">
        <f>IFERROR(IF(--MID($F1336,2*COUNTIF($G1336:K1336,"&gt;"&amp;0)+2,1)=L$1,L$1,""),"")</f>
        <v/>
      </c>
      <c r="M1336" s="36" t="e" cm="1">
        <f t="array" ref="M1336">IF(A1336="","",_xlfn.XLOOKUP(D1336&amp;"_"&amp;AE1336,符文权重!A:A&amp;"_"&amp;符文权重!C:C,符文权重!D:D))</f>
        <v>#N/A</v>
      </c>
      <c r="N1336" s="36"/>
      <c r="O1336" s="36"/>
      <c r="P1336" s="36"/>
      <c r="Q1336" s="36"/>
      <c r="R1336" s="36"/>
      <c r="S1336" s="36" t="s">
        <v>344</v>
      </c>
      <c r="T1336" s="36"/>
      <c r="U1336" s="36" t="s">
        <v>420</v>
      </c>
      <c r="V1336" s="29" t="s">
        <v>1668</v>
      </c>
      <c r="W1336" s="79"/>
      <c r="X1336" s="35" t="s">
        <v>1625</v>
      </c>
      <c r="Y1336" s="35">
        <v>100</v>
      </c>
      <c r="AA1336" s="36" t="s">
        <v>185</v>
      </c>
      <c r="AB1336" s="79" t="s">
        <v>1669</v>
      </c>
      <c r="AC1336" s="31">
        <v>5301402</v>
      </c>
      <c r="AD1336" s="79" t="s">
        <v>422</v>
      </c>
      <c r="AE1336" s="36">
        <v>100</v>
      </c>
      <c r="AF1336" s="79"/>
      <c r="AG1336" s="79">
        <v>1</v>
      </c>
      <c r="AH1336" s="36">
        <v>1</v>
      </c>
      <c r="AL1336" s="35"/>
    </row>
    <row r="1337" s="31" customFormat="1" hidden="1" customHeight="1" spans="1:38">
      <c r="A1337" s="82">
        <v>5305402</v>
      </c>
      <c r="B1337" s="34"/>
      <c r="C1337" s="31">
        <v>5301402</v>
      </c>
      <c r="D1337" s="79">
        <v>5</v>
      </c>
      <c r="E1337" s="79"/>
      <c r="F1337" s="79" t="s">
        <v>202</v>
      </c>
      <c r="G1337" s="36">
        <f t="shared" si="280"/>
        <v>1</v>
      </c>
      <c r="H1337" s="36" t="str">
        <f>IFERROR(IF(--MID($F1337,2*COUNTIF($G1337:G1337,"&gt;"&amp;0)+2,1)=H$1,H$1,""),"")</f>
        <v/>
      </c>
      <c r="I1337" s="36" t="str">
        <f>IFERROR(IF(--MID($F1337,2*COUNTIF($G1337:H1337,"&gt;"&amp;0)+2,1)=I$1,I$1,""),"")</f>
        <v/>
      </c>
      <c r="J1337" s="36" t="str">
        <f>IFERROR(IF(--MID($F1337,2*COUNTIF($G1337:I1337,"&gt;"&amp;0)+2,1)=J$1,J$1,""),"")</f>
        <v/>
      </c>
      <c r="K1337" s="36" t="str">
        <f>IFERROR(IF(--MID($F1337,2*COUNTIF($G1337:J1337,"&gt;"&amp;0)+2,1)=K$1,K$1,""),"")</f>
        <v/>
      </c>
      <c r="L1337" s="36" t="str">
        <f>IFERROR(IF(--MID($F1337,2*COUNTIF($G1337:K1337,"&gt;"&amp;0)+2,1)=L$1,L$1,""),"")</f>
        <v/>
      </c>
      <c r="M1337" s="36" t="e" cm="1">
        <f t="array" ref="M1337">IF(A1337="","",_xlfn.XLOOKUP(D1337&amp;"_"&amp;AE1337,符文权重!A:A&amp;"_"&amp;符文权重!C:C,符文权重!D:D))</f>
        <v>#N/A</v>
      </c>
      <c r="N1337" s="36"/>
      <c r="O1337" s="36"/>
      <c r="P1337" s="36"/>
      <c r="Q1337" s="36"/>
      <c r="R1337" s="36"/>
      <c r="S1337" s="36" t="s">
        <v>344</v>
      </c>
      <c r="T1337" s="36"/>
      <c r="U1337" s="36" t="s">
        <v>423</v>
      </c>
      <c r="V1337" s="29" t="s">
        <v>1670</v>
      </c>
      <c r="W1337" s="79"/>
      <c r="X1337" s="35" t="s">
        <v>1628</v>
      </c>
      <c r="Y1337" s="35">
        <v>100</v>
      </c>
      <c r="AA1337" s="36" t="s">
        <v>187</v>
      </c>
      <c r="AB1337" s="79" t="s">
        <v>1671</v>
      </c>
      <c r="AC1337" s="31">
        <v>5301402</v>
      </c>
      <c r="AD1337" s="79" t="s">
        <v>428</v>
      </c>
      <c r="AE1337" s="36">
        <v>100</v>
      </c>
      <c r="AF1337" s="79"/>
      <c r="AG1337" s="79">
        <v>1</v>
      </c>
      <c r="AH1337" s="36">
        <v>1</v>
      </c>
      <c r="AL1337" s="35"/>
    </row>
    <row r="1338" s="31" customFormat="1" hidden="1" customHeight="1" spans="1:38">
      <c r="A1338" s="82">
        <v>5306402</v>
      </c>
      <c r="B1338" s="34"/>
      <c r="C1338" s="31">
        <v>5301402</v>
      </c>
      <c r="D1338" s="79">
        <v>6</v>
      </c>
      <c r="E1338" s="79"/>
      <c r="F1338" s="79" t="s">
        <v>202</v>
      </c>
      <c r="G1338" s="36">
        <f t="shared" si="280"/>
        <v>1</v>
      </c>
      <c r="H1338" s="36" t="str">
        <f>IFERROR(IF(--MID($F1338,2*COUNTIF($G1338:G1338,"&gt;"&amp;0)+2,1)=H$1,H$1,""),"")</f>
        <v/>
      </c>
      <c r="I1338" s="36" t="str">
        <f>IFERROR(IF(--MID($F1338,2*COUNTIF($G1338:H1338,"&gt;"&amp;0)+2,1)=I$1,I$1,""),"")</f>
        <v/>
      </c>
      <c r="J1338" s="36" t="str">
        <f>IFERROR(IF(--MID($F1338,2*COUNTIF($G1338:I1338,"&gt;"&amp;0)+2,1)=J$1,J$1,""),"")</f>
        <v/>
      </c>
      <c r="K1338" s="36" t="str">
        <f>IFERROR(IF(--MID($F1338,2*COUNTIF($G1338:J1338,"&gt;"&amp;0)+2,1)=K$1,K$1,""),"")</f>
        <v/>
      </c>
      <c r="L1338" s="36" t="str">
        <f>IFERROR(IF(--MID($F1338,2*COUNTIF($G1338:K1338,"&gt;"&amp;0)+2,1)=L$1,L$1,""),"")</f>
        <v/>
      </c>
      <c r="M1338" s="36" t="e" cm="1">
        <f t="array" ref="M1338">IF(A1338="","",_xlfn.XLOOKUP(D1338&amp;"_"&amp;AE1338,符文权重!A:A&amp;"_"&amp;符文权重!C:C,符文权重!D:D))</f>
        <v>#N/A</v>
      </c>
      <c r="N1338" s="36"/>
      <c r="O1338" s="36"/>
      <c r="P1338" s="36"/>
      <c r="Q1338" s="36"/>
      <c r="R1338" s="36"/>
      <c r="S1338" s="36" t="s">
        <v>344</v>
      </c>
      <c r="T1338" s="36"/>
      <c r="U1338" s="36" t="s">
        <v>426</v>
      </c>
      <c r="V1338" s="29" t="s">
        <v>1672</v>
      </c>
      <c r="W1338" s="79"/>
      <c r="X1338" s="35" t="s">
        <v>1631</v>
      </c>
      <c r="Y1338" s="35">
        <v>100</v>
      </c>
      <c r="AA1338" s="36" t="s">
        <v>189</v>
      </c>
      <c r="AB1338" s="79" t="s">
        <v>1673</v>
      </c>
      <c r="AC1338" s="31">
        <v>5301402</v>
      </c>
      <c r="AD1338" s="79" t="s">
        <v>487</v>
      </c>
      <c r="AE1338" s="36">
        <v>100</v>
      </c>
      <c r="AF1338" s="79"/>
      <c r="AG1338" s="79">
        <v>1</v>
      </c>
      <c r="AH1338" s="36">
        <v>1</v>
      </c>
      <c r="AL1338" s="35"/>
    </row>
    <row r="1339" s="31" customFormat="1" hidden="1" customHeight="1" spans="1:38">
      <c r="A1339" s="82">
        <v>5307402</v>
      </c>
      <c r="B1339" s="34"/>
      <c r="C1339" s="31">
        <v>5301402</v>
      </c>
      <c r="D1339" s="79">
        <v>7</v>
      </c>
      <c r="E1339" s="79"/>
      <c r="F1339" s="79" t="s">
        <v>202</v>
      </c>
      <c r="G1339" s="36">
        <f t="shared" si="280"/>
        <v>1</v>
      </c>
      <c r="H1339" s="36" t="str">
        <f>IFERROR(IF(--MID($F1339,2*COUNTIF($G1339:G1339,"&gt;"&amp;0)+2,1)=H$1,H$1,""),"")</f>
        <v/>
      </c>
      <c r="I1339" s="36" t="str">
        <f>IFERROR(IF(--MID($F1339,2*COUNTIF($G1339:H1339,"&gt;"&amp;0)+2,1)=I$1,I$1,""),"")</f>
        <v/>
      </c>
      <c r="J1339" s="36" t="str">
        <f>IFERROR(IF(--MID($F1339,2*COUNTIF($G1339:I1339,"&gt;"&amp;0)+2,1)=J$1,J$1,""),"")</f>
        <v/>
      </c>
      <c r="K1339" s="36" t="str">
        <f>IFERROR(IF(--MID($F1339,2*COUNTIF($G1339:J1339,"&gt;"&amp;0)+2,1)=K$1,K$1,""),"")</f>
        <v/>
      </c>
      <c r="L1339" s="36" t="str">
        <f>IFERROR(IF(--MID($F1339,2*COUNTIF($G1339:K1339,"&gt;"&amp;0)+2,1)=L$1,L$1,""),"")</f>
        <v/>
      </c>
      <c r="M1339" s="36" t="e" cm="1">
        <f t="array" ref="M1339">IF(A1339="","",_xlfn.XLOOKUP(D1339&amp;"_"&amp;AE1339,符文权重!A:A&amp;"_"&amp;符文权重!C:C,符文权重!D:D))</f>
        <v>#N/A</v>
      </c>
      <c r="N1339" s="36"/>
      <c r="O1339" s="36"/>
      <c r="P1339" s="36"/>
      <c r="Q1339" s="36"/>
      <c r="R1339" s="36"/>
      <c r="S1339" s="36" t="s">
        <v>344</v>
      </c>
      <c r="T1339" s="36"/>
      <c r="U1339" s="36" t="s">
        <v>429</v>
      </c>
      <c r="V1339" s="29" t="s">
        <v>1674</v>
      </c>
      <c r="W1339" s="79"/>
      <c r="X1339" s="35" t="s">
        <v>1634</v>
      </c>
      <c r="Y1339" s="35">
        <v>100</v>
      </c>
      <c r="AA1339" s="36" t="s">
        <v>191</v>
      </c>
      <c r="AB1339" s="79" t="s">
        <v>1675</v>
      </c>
      <c r="AC1339" s="31">
        <v>5301402</v>
      </c>
      <c r="AD1339" s="79" t="s">
        <v>497</v>
      </c>
      <c r="AE1339" s="36">
        <v>100</v>
      </c>
      <c r="AF1339" s="79"/>
      <c r="AG1339" s="79">
        <v>1</v>
      </c>
      <c r="AH1339" s="36">
        <v>1</v>
      </c>
      <c r="AL1339" s="35"/>
    </row>
    <row r="1340" s="31" customFormat="1" hidden="1" customHeight="1" spans="1:38">
      <c r="A1340" s="82">
        <v>5305403</v>
      </c>
      <c r="B1340" s="34"/>
      <c r="C1340" s="31">
        <v>5301403</v>
      </c>
      <c r="D1340" s="79">
        <v>5</v>
      </c>
      <c r="E1340" s="79"/>
      <c r="F1340" s="79" t="s">
        <v>202</v>
      </c>
      <c r="G1340" s="36">
        <f t="shared" si="280"/>
        <v>1</v>
      </c>
      <c r="H1340" s="36" t="str">
        <f>IFERROR(IF(--MID($F1340,2*COUNTIF($G1340:G1340,"&gt;"&amp;0)+2,1)=H$1,H$1,""),"")</f>
        <v/>
      </c>
      <c r="I1340" s="36" t="str">
        <f>IFERROR(IF(--MID($F1340,2*COUNTIF($G1340:H1340,"&gt;"&amp;0)+2,1)=I$1,I$1,""),"")</f>
        <v/>
      </c>
      <c r="J1340" s="36" t="str">
        <f>IFERROR(IF(--MID($F1340,2*COUNTIF($G1340:I1340,"&gt;"&amp;0)+2,1)=J$1,J$1,""),"")</f>
        <v/>
      </c>
      <c r="K1340" s="36" t="str">
        <f>IFERROR(IF(--MID($F1340,2*COUNTIF($G1340:J1340,"&gt;"&amp;0)+2,1)=K$1,K$1,""),"")</f>
        <v/>
      </c>
      <c r="L1340" s="36" t="str">
        <f>IFERROR(IF(--MID($F1340,2*COUNTIF($G1340:K1340,"&gt;"&amp;0)+2,1)=L$1,L$1,""),"")</f>
        <v/>
      </c>
      <c r="M1340" s="36" t="e" cm="1">
        <f t="array" ref="M1340">IF(A1340="","",_xlfn.XLOOKUP(D1340&amp;"_"&amp;AE1340,符文权重!A:A&amp;"_"&amp;符文权重!C:C,符文权重!D:D))</f>
        <v>#N/A</v>
      </c>
      <c r="N1340" s="36"/>
      <c r="O1340" s="36"/>
      <c r="P1340" s="36"/>
      <c r="Q1340" s="36"/>
      <c r="R1340" s="36"/>
      <c r="S1340" s="36" t="s">
        <v>344</v>
      </c>
      <c r="T1340" s="36"/>
      <c r="U1340" s="36" t="s">
        <v>423</v>
      </c>
      <c r="V1340" s="29" t="s">
        <v>1676</v>
      </c>
      <c r="W1340" s="79"/>
      <c r="X1340" s="35" t="s">
        <v>1638</v>
      </c>
      <c r="Y1340" s="35">
        <v>100</v>
      </c>
      <c r="AA1340" s="36" t="s">
        <v>187</v>
      </c>
      <c r="AB1340" s="79" t="s">
        <v>1677</v>
      </c>
      <c r="AC1340" s="31">
        <v>5301403</v>
      </c>
      <c r="AD1340" s="79" t="s">
        <v>419</v>
      </c>
      <c r="AE1340" s="36">
        <v>100</v>
      </c>
      <c r="AF1340" s="79"/>
      <c r="AG1340" s="79">
        <v>1</v>
      </c>
      <c r="AH1340" s="36">
        <v>1</v>
      </c>
      <c r="AL1340" s="35"/>
    </row>
    <row r="1341" s="31" customFormat="1" hidden="1" customHeight="1" spans="1:38">
      <c r="A1341" s="82">
        <v>5306403</v>
      </c>
      <c r="B1341" s="34"/>
      <c r="C1341" s="31">
        <v>5301403</v>
      </c>
      <c r="D1341" s="79">
        <v>6</v>
      </c>
      <c r="E1341" s="79"/>
      <c r="F1341" s="79" t="s">
        <v>202</v>
      </c>
      <c r="G1341" s="36">
        <f t="shared" si="280"/>
        <v>1</v>
      </c>
      <c r="H1341" s="36" t="str">
        <f>IFERROR(IF(--MID($F1341,2*COUNTIF($G1341:G1341,"&gt;"&amp;0)+2,1)=H$1,H$1,""),"")</f>
        <v/>
      </c>
      <c r="I1341" s="36" t="str">
        <f>IFERROR(IF(--MID($F1341,2*COUNTIF($G1341:H1341,"&gt;"&amp;0)+2,1)=I$1,I$1,""),"")</f>
        <v/>
      </c>
      <c r="J1341" s="36" t="str">
        <f>IFERROR(IF(--MID($F1341,2*COUNTIF($G1341:I1341,"&gt;"&amp;0)+2,1)=J$1,J$1,""),"")</f>
        <v/>
      </c>
      <c r="K1341" s="36" t="str">
        <f>IFERROR(IF(--MID($F1341,2*COUNTIF($G1341:J1341,"&gt;"&amp;0)+2,1)=K$1,K$1,""),"")</f>
        <v/>
      </c>
      <c r="L1341" s="36" t="str">
        <f>IFERROR(IF(--MID($F1341,2*COUNTIF($G1341:K1341,"&gt;"&amp;0)+2,1)=L$1,L$1,""),"")</f>
        <v/>
      </c>
      <c r="M1341" s="36" t="e" cm="1">
        <f t="array" ref="M1341">IF(A1341="","",_xlfn.XLOOKUP(D1341&amp;"_"&amp;AE1341,符文权重!A:A&amp;"_"&amp;符文权重!C:C,符文权重!D:D))</f>
        <v>#N/A</v>
      </c>
      <c r="N1341" s="36"/>
      <c r="O1341" s="36"/>
      <c r="P1341" s="36"/>
      <c r="Q1341" s="36"/>
      <c r="R1341" s="36"/>
      <c r="S1341" s="36" t="s">
        <v>344</v>
      </c>
      <c r="T1341" s="36"/>
      <c r="U1341" s="36" t="s">
        <v>426</v>
      </c>
      <c r="V1341" s="29" t="s">
        <v>1678</v>
      </c>
      <c r="W1341" s="79"/>
      <c r="X1341" s="35" t="s">
        <v>1641</v>
      </c>
      <c r="Y1341" s="35">
        <v>100</v>
      </c>
      <c r="AA1341" s="36" t="s">
        <v>189</v>
      </c>
      <c r="AB1341" s="79" t="s">
        <v>1679</v>
      </c>
      <c r="AC1341" s="31">
        <v>5301403</v>
      </c>
      <c r="AD1341" s="79" t="s">
        <v>492</v>
      </c>
      <c r="AE1341" s="36">
        <v>100</v>
      </c>
      <c r="AF1341" s="79"/>
      <c r="AG1341" s="79">
        <v>1</v>
      </c>
      <c r="AH1341" s="36">
        <v>1</v>
      </c>
      <c r="AL1341" s="35"/>
    </row>
    <row r="1342" s="31" customFormat="1" hidden="1" customHeight="1" spans="1:38">
      <c r="A1342" s="82">
        <v>5307403</v>
      </c>
      <c r="B1342" s="34"/>
      <c r="C1342" s="31">
        <v>5301403</v>
      </c>
      <c r="D1342" s="79">
        <v>7</v>
      </c>
      <c r="E1342" s="79"/>
      <c r="F1342" s="79" t="s">
        <v>202</v>
      </c>
      <c r="G1342" s="36">
        <f t="shared" si="280"/>
        <v>1</v>
      </c>
      <c r="H1342" s="36" t="str">
        <f>IFERROR(IF(--MID($F1342,2*COUNTIF($G1342:G1342,"&gt;"&amp;0)+2,1)=H$1,H$1,""),"")</f>
        <v/>
      </c>
      <c r="I1342" s="36" t="str">
        <f>IFERROR(IF(--MID($F1342,2*COUNTIF($G1342:H1342,"&gt;"&amp;0)+2,1)=I$1,I$1,""),"")</f>
        <v/>
      </c>
      <c r="J1342" s="36" t="str">
        <f>IFERROR(IF(--MID($F1342,2*COUNTIF($G1342:I1342,"&gt;"&amp;0)+2,1)=J$1,J$1,""),"")</f>
        <v/>
      </c>
      <c r="K1342" s="36" t="str">
        <f>IFERROR(IF(--MID($F1342,2*COUNTIF($G1342:J1342,"&gt;"&amp;0)+2,1)=K$1,K$1,""),"")</f>
        <v/>
      </c>
      <c r="L1342" s="36" t="str">
        <f>IFERROR(IF(--MID($F1342,2*COUNTIF($G1342:K1342,"&gt;"&amp;0)+2,1)=L$1,L$1,""),"")</f>
        <v/>
      </c>
      <c r="M1342" s="36" t="e" cm="1">
        <f t="array" ref="M1342">IF(A1342="","",_xlfn.XLOOKUP(D1342&amp;"_"&amp;AE1342,符文权重!A:A&amp;"_"&amp;符文权重!C:C,符文权重!D:D))</f>
        <v>#N/A</v>
      </c>
      <c r="N1342" s="36"/>
      <c r="O1342" s="36"/>
      <c r="P1342" s="36"/>
      <c r="Q1342" s="36"/>
      <c r="R1342" s="36"/>
      <c r="S1342" s="36" t="s">
        <v>344</v>
      </c>
      <c r="T1342" s="36"/>
      <c r="U1342" s="36" t="s">
        <v>429</v>
      </c>
      <c r="V1342" s="29" t="s">
        <v>1680</v>
      </c>
      <c r="W1342" s="79"/>
      <c r="X1342" s="35" t="s">
        <v>1644</v>
      </c>
      <c r="Y1342" s="35">
        <v>100</v>
      </c>
      <c r="AA1342" s="36" t="s">
        <v>191</v>
      </c>
      <c r="AB1342" s="79" t="s">
        <v>1681</v>
      </c>
      <c r="AC1342" s="31">
        <v>5301403</v>
      </c>
      <c r="AD1342" s="79" t="s">
        <v>711</v>
      </c>
      <c r="AE1342" s="36">
        <v>100</v>
      </c>
      <c r="AF1342" s="79"/>
      <c r="AG1342" s="79">
        <v>1</v>
      </c>
      <c r="AH1342" s="36">
        <v>1</v>
      </c>
      <c r="AL1342" s="35"/>
    </row>
    <row r="1343" s="31" customFormat="1" hidden="1" customHeight="1" spans="1:38">
      <c r="A1343" s="82">
        <v>5305405</v>
      </c>
      <c r="B1343" s="34"/>
      <c r="C1343" s="31">
        <v>5301405</v>
      </c>
      <c r="D1343" s="79">
        <v>5</v>
      </c>
      <c r="E1343" s="79"/>
      <c r="F1343" s="79" t="s">
        <v>404</v>
      </c>
      <c r="G1343" s="36" t="str">
        <f t="shared" si="280"/>
        <v/>
      </c>
      <c r="H1343" s="36" t="str">
        <f>IFERROR(IF(--MID($F1343,2*COUNTIF($G1343:G1343,"&gt;"&amp;0)+2,1)=H$1,H$1,""),"")</f>
        <v/>
      </c>
      <c r="I1343" s="36" t="str">
        <f>IFERROR(IF(--MID($F1343,2*COUNTIF($G1343:H1343,"&gt;"&amp;0)+2,1)=I$1,I$1,""),"")</f>
        <v/>
      </c>
      <c r="J1343" s="36">
        <f>IFERROR(IF(--MID($F1343,2*COUNTIF($G1343:I1343,"&gt;"&amp;0)+2,1)=J$1,J$1,""),"")</f>
        <v>4</v>
      </c>
      <c r="K1343" s="36" t="str">
        <f>IFERROR(IF(--MID($F1343,2*COUNTIF($G1343:J1343,"&gt;"&amp;0)+2,1)=K$1,K$1,""),"")</f>
        <v/>
      </c>
      <c r="L1343" s="36" t="str">
        <f>IFERROR(IF(--MID($F1343,2*COUNTIF($G1343:K1343,"&gt;"&amp;0)+2,1)=L$1,L$1,""),"")</f>
        <v/>
      </c>
      <c r="M1343" s="36" t="e" cm="1">
        <f t="array" ref="M1343">IF(A1343="","",_xlfn.XLOOKUP(D1343&amp;"_"&amp;AE1343,符文权重!A:A&amp;"_"&amp;符文权重!C:C,符文权重!D:D))</f>
        <v>#N/A</v>
      </c>
      <c r="N1343" s="36"/>
      <c r="O1343" s="36"/>
      <c r="P1343" s="36"/>
      <c r="Q1343" s="36"/>
      <c r="R1343" s="36"/>
      <c r="S1343" s="36" t="s">
        <v>344</v>
      </c>
      <c r="T1343" s="36"/>
      <c r="U1343" s="36" t="s">
        <v>423</v>
      </c>
      <c r="V1343" s="29" t="s">
        <v>1682</v>
      </c>
      <c r="W1343" s="79"/>
      <c r="X1343" s="35" t="s">
        <v>1638</v>
      </c>
      <c r="Y1343" s="35">
        <v>100</v>
      </c>
      <c r="AA1343" s="36" t="s">
        <v>187</v>
      </c>
      <c r="AB1343" s="79" t="s">
        <v>1683</v>
      </c>
      <c r="AC1343" s="31">
        <v>5301405</v>
      </c>
      <c r="AD1343" s="79" t="s">
        <v>419</v>
      </c>
      <c r="AE1343" s="36">
        <v>100</v>
      </c>
      <c r="AF1343" s="79"/>
      <c r="AG1343" s="79">
        <v>1</v>
      </c>
      <c r="AH1343" s="36">
        <v>1</v>
      </c>
      <c r="AL1343" s="35"/>
    </row>
    <row r="1344" s="31" customFormat="1" hidden="1" customHeight="1" spans="1:38">
      <c r="A1344" s="82">
        <v>5306405</v>
      </c>
      <c r="B1344" s="34"/>
      <c r="C1344" s="31">
        <v>5301405</v>
      </c>
      <c r="D1344" s="79">
        <v>6</v>
      </c>
      <c r="E1344" s="79"/>
      <c r="F1344" s="79" t="s">
        <v>404</v>
      </c>
      <c r="G1344" s="36" t="str">
        <f t="shared" si="280"/>
        <v/>
      </c>
      <c r="H1344" s="36" t="str">
        <f>IFERROR(IF(--MID($F1344,2*COUNTIF($G1344:G1344,"&gt;"&amp;0)+2,1)=H$1,H$1,""),"")</f>
        <v/>
      </c>
      <c r="I1344" s="36" t="str">
        <f>IFERROR(IF(--MID($F1344,2*COUNTIF($G1344:H1344,"&gt;"&amp;0)+2,1)=I$1,I$1,""),"")</f>
        <v/>
      </c>
      <c r="J1344" s="36">
        <f>IFERROR(IF(--MID($F1344,2*COUNTIF($G1344:I1344,"&gt;"&amp;0)+2,1)=J$1,J$1,""),"")</f>
        <v>4</v>
      </c>
      <c r="K1344" s="36" t="str">
        <f>IFERROR(IF(--MID($F1344,2*COUNTIF($G1344:J1344,"&gt;"&amp;0)+2,1)=K$1,K$1,""),"")</f>
        <v/>
      </c>
      <c r="L1344" s="36" t="str">
        <f>IFERROR(IF(--MID($F1344,2*COUNTIF($G1344:K1344,"&gt;"&amp;0)+2,1)=L$1,L$1,""),"")</f>
        <v/>
      </c>
      <c r="M1344" s="36" t="e" cm="1">
        <f t="array" ref="M1344">IF(A1344="","",_xlfn.XLOOKUP(D1344&amp;"_"&amp;AE1344,符文权重!A:A&amp;"_"&amp;符文权重!C:C,符文权重!D:D))</f>
        <v>#N/A</v>
      </c>
      <c r="N1344" s="36"/>
      <c r="O1344" s="36"/>
      <c r="P1344" s="36"/>
      <c r="Q1344" s="36"/>
      <c r="R1344" s="36"/>
      <c r="S1344" s="36" t="s">
        <v>344</v>
      </c>
      <c r="T1344" s="36"/>
      <c r="U1344" s="36" t="s">
        <v>426</v>
      </c>
      <c r="V1344" s="29" t="s">
        <v>1684</v>
      </c>
      <c r="W1344" s="79"/>
      <c r="X1344" s="35" t="s">
        <v>1641</v>
      </c>
      <c r="Y1344" s="35">
        <v>100</v>
      </c>
      <c r="AA1344" s="36" t="s">
        <v>189</v>
      </c>
      <c r="AB1344" s="79" t="s">
        <v>1685</v>
      </c>
      <c r="AC1344" s="31">
        <v>5301405</v>
      </c>
      <c r="AD1344" s="79" t="s">
        <v>492</v>
      </c>
      <c r="AE1344" s="36">
        <v>100</v>
      </c>
      <c r="AF1344" s="79"/>
      <c r="AG1344" s="79">
        <v>1</v>
      </c>
      <c r="AH1344" s="36">
        <v>1</v>
      </c>
      <c r="AL1344" s="35"/>
    </row>
    <row r="1345" s="31" customFormat="1" hidden="1" customHeight="1" spans="1:38">
      <c r="A1345" s="82">
        <v>5307405</v>
      </c>
      <c r="B1345" s="34"/>
      <c r="C1345" s="31">
        <v>5301405</v>
      </c>
      <c r="D1345" s="79">
        <v>7</v>
      </c>
      <c r="E1345" s="79"/>
      <c r="F1345" s="79" t="s">
        <v>404</v>
      </c>
      <c r="G1345" s="36" t="str">
        <f t="shared" si="280"/>
        <v/>
      </c>
      <c r="H1345" s="36" t="str">
        <f>IFERROR(IF(--MID($F1345,2*COUNTIF($G1345:G1345,"&gt;"&amp;0)+2,1)=H$1,H$1,""),"")</f>
        <v/>
      </c>
      <c r="I1345" s="36" t="str">
        <f>IFERROR(IF(--MID($F1345,2*COUNTIF($G1345:H1345,"&gt;"&amp;0)+2,1)=I$1,I$1,""),"")</f>
        <v/>
      </c>
      <c r="J1345" s="36">
        <f>IFERROR(IF(--MID($F1345,2*COUNTIF($G1345:I1345,"&gt;"&amp;0)+2,1)=J$1,J$1,""),"")</f>
        <v>4</v>
      </c>
      <c r="K1345" s="36" t="str">
        <f>IFERROR(IF(--MID($F1345,2*COUNTIF($G1345:J1345,"&gt;"&amp;0)+2,1)=K$1,K$1,""),"")</f>
        <v/>
      </c>
      <c r="L1345" s="36" t="str">
        <f>IFERROR(IF(--MID($F1345,2*COUNTIF($G1345:K1345,"&gt;"&amp;0)+2,1)=L$1,L$1,""),"")</f>
        <v/>
      </c>
      <c r="M1345" s="36" t="e" cm="1">
        <f t="array" ref="M1345">IF(A1345="","",_xlfn.XLOOKUP(D1345&amp;"_"&amp;AE1345,符文权重!A:A&amp;"_"&amp;符文权重!C:C,符文权重!D:D))</f>
        <v>#N/A</v>
      </c>
      <c r="N1345" s="36"/>
      <c r="O1345" s="36"/>
      <c r="P1345" s="36"/>
      <c r="Q1345" s="36"/>
      <c r="R1345" s="36"/>
      <c r="S1345" s="36" t="s">
        <v>344</v>
      </c>
      <c r="T1345" s="36"/>
      <c r="U1345" s="36" t="s">
        <v>429</v>
      </c>
      <c r="V1345" s="29" t="s">
        <v>1686</v>
      </c>
      <c r="W1345" s="79"/>
      <c r="X1345" s="35" t="s">
        <v>1644</v>
      </c>
      <c r="Y1345" s="35">
        <v>100</v>
      </c>
      <c r="AA1345" s="36" t="s">
        <v>191</v>
      </c>
      <c r="AB1345" s="79" t="s">
        <v>1687</v>
      </c>
      <c r="AC1345" s="31">
        <v>5301405</v>
      </c>
      <c r="AD1345" s="79" t="s">
        <v>711</v>
      </c>
      <c r="AE1345" s="36">
        <v>100</v>
      </c>
      <c r="AF1345" s="79"/>
      <c r="AG1345" s="79">
        <v>1</v>
      </c>
      <c r="AH1345" s="36">
        <v>1</v>
      </c>
      <c r="AL1345" s="35"/>
    </row>
    <row r="1346" s="31" customFormat="1" hidden="1" customHeight="1" spans="1:38">
      <c r="A1346" s="82">
        <v>5305406</v>
      </c>
      <c r="B1346" s="34"/>
      <c r="C1346" s="31">
        <v>5301406</v>
      </c>
      <c r="D1346" s="79">
        <v>5</v>
      </c>
      <c r="E1346" s="79"/>
      <c r="F1346" s="79" t="s">
        <v>230</v>
      </c>
      <c r="G1346" s="36" t="str">
        <f t="shared" si="280"/>
        <v/>
      </c>
      <c r="H1346" s="36" t="str">
        <f>IFERROR(IF(--MID($F1346,2*COUNTIF($G1346:G1346,"&gt;"&amp;0)+2,1)=H$1,H$1,""),"")</f>
        <v/>
      </c>
      <c r="I1346" s="36" t="str">
        <f>IFERROR(IF(--MID($F1346,2*COUNTIF($G1346:H1346,"&gt;"&amp;0)+2,1)=I$1,I$1,""),"")</f>
        <v/>
      </c>
      <c r="J1346" s="36" t="str">
        <f>IFERROR(IF(--MID($F1346,2*COUNTIF($G1346:I1346,"&gt;"&amp;0)+2,1)=J$1,J$1,""),"")</f>
        <v/>
      </c>
      <c r="K1346" s="36">
        <f>IFERROR(IF(--MID($F1346,2*COUNTIF($G1346:J1346,"&gt;"&amp;0)+2,1)=K$1,K$1,""),"")</f>
        <v>5</v>
      </c>
      <c r="L1346" s="36" t="str">
        <f>IFERROR(IF(--MID($F1346,2*COUNTIF($G1346:K1346,"&gt;"&amp;0)+2,1)=L$1,L$1,""),"")</f>
        <v/>
      </c>
      <c r="M1346" s="36" t="e" cm="1">
        <f t="array" ref="M1346">IF(A1346="","",_xlfn.XLOOKUP(D1346&amp;"_"&amp;AE1346,符文权重!A:A&amp;"_"&amp;符文权重!C:C,符文权重!D:D))</f>
        <v>#N/A</v>
      </c>
      <c r="N1346" s="36"/>
      <c r="O1346" s="36"/>
      <c r="P1346" s="36"/>
      <c r="Q1346" s="36"/>
      <c r="R1346" s="36"/>
      <c r="S1346" s="36" t="s">
        <v>344</v>
      </c>
      <c r="T1346" s="36"/>
      <c r="U1346" s="36" t="s">
        <v>423</v>
      </c>
      <c r="V1346" s="29" t="s">
        <v>1688</v>
      </c>
      <c r="W1346" s="79"/>
      <c r="X1346" s="35" t="s">
        <v>1628</v>
      </c>
      <c r="Y1346" s="35">
        <v>100</v>
      </c>
      <c r="AA1346" s="36" t="s">
        <v>187</v>
      </c>
      <c r="AB1346" s="79" t="s">
        <v>1689</v>
      </c>
      <c r="AC1346" s="31">
        <v>5301406</v>
      </c>
      <c r="AD1346" s="79" t="s">
        <v>497</v>
      </c>
      <c r="AE1346" s="36">
        <v>100</v>
      </c>
      <c r="AF1346" s="79"/>
      <c r="AG1346" s="79">
        <v>1</v>
      </c>
      <c r="AH1346" s="36">
        <v>1</v>
      </c>
      <c r="AL1346" s="35"/>
    </row>
    <row r="1347" s="31" customFormat="1" hidden="1" customHeight="1" spans="1:38">
      <c r="A1347" s="82">
        <v>5306406</v>
      </c>
      <c r="B1347" s="34"/>
      <c r="C1347" s="31">
        <v>5301406</v>
      </c>
      <c r="D1347" s="79">
        <v>6</v>
      </c>
      <c r="E1347" s="79"/>
      <c r="F1347" s="79" t="s">
        <v>230</v>
      </c>
      <c r="G1347" s="36" t="str">
        <f t="shared" si="280"/>
        <v/>
      </c>
      <c r="H1347" s="36" t="str">
        <f>IFERROR(IF(--MID($F1347,2*COUNTIF($G1347:G1347,"&gt;"&amp;0)+2,1)=H$1,H$1,""),"")</f>
        <v/>
      </c>
      <c r="I1347" s="36" t="str">
        <f>IFERROR(IF(--MID($F1347,2*COUNTIF($G1347:H1347,"&gt;"&amp;0)+2,1)=I$1,I$1,""),"")</f>
        <v/>
      </c>
      <c r="J1347" s="36" t="str">
        <f>IFERROR(IF(--MID($F1347,2*COUNTIF($G1347:I1347,"&gt;"&amp;0)+2,1)=J$1,J$1,""),"")</f>
        <v/>
      </c>
      <c r="K1347" s="36">
        <f>IFERROR(IF(--MID($F1347,2*COUNTIF($G1347:J1347,"&gt;"&amp;0)+2,1)=K$1,K$1,""),"")</f>
        <v>5</v>
      </c>
      <c r="L1347" s="36" t="str">
        <f>IFERROR(IF(--MID($F1347,2*COUNTIF($G1347:K1347,"&gt;"&amp;0)+2,1)=L$1,L$1,""),"")</f>
        <v/>
      </c>
      <c r="M1347" s="36" t="e" cm="1">
        <f t="array" ref="M1347">IF(A1347="","",_xlfn.XLOOKUP(D1347&amp;"_"&amp;AE1347,符文权重!A:A&amp;"_"&amp;符文权重!C:C,符文权重!D:D))</f>
        <v>#N/A</v>
      </c>
      <c r="N1347" s="36"/>
      <c r="O1347" s="36"/>
      <c r="P1347" s="36"/>
      <c r="Q1347" s="36"/>
      <c r="R1347" s="36"/>
      <c r="S1347" s="36" t="s">
        <v>344</v>
      </c>
      <c r="T1347" s="36"/>
      <c r="U1347" s="36" t="s">
        <v>426</v>
      </c>
      <c r="V1347" s="29" t="s">
        <v>1690</v>
      </c>
      <c r="W1347" s="79"/>
      <c r="X1347" s="35" t="s">
        <v>1631</v>
      </c>
      <c r="Y1347" s="35">
        <v>100</v>
      </c>
      <c r="AA1347" s="36" t="s">
        <v>189</v>
      </c>
      <c r="AB1347" s="79" t="s">
        <v>1691</v>
      </c>
      <c r="AC1347" s="31">
        <v>5301406</v>
      </c>
      <c r="AD1347" s="79" t="s">
        <v>476</v>
      </c>
      <c r="AE1347" s="36">
        <v>100</v>
      </c>
      <c r="AF1347" s="79"/>
      <c r="AG1347" s="79">
        <v>1</v>
      </c>
      <c r="AH1347" s="36">
        <v>1</v>
      </c>
      <c r="AL1347" s="35"/>
    </row>
    <row r="1348" s="31" customFormat="1" hidden="1" customHeight="1" spans="1:38">
      <c r="A1348" s="82">
        <v>5307406</v>
      </c>
      <c r="B1348" s="34"/>
      <c r="C1348" s="31">
        <v>5301406</v>
      </c>
      <c r="D1348" s="79">
        <v>7</v>
      </c>
      <c r="E1348" s="79"/>
      <c r="F1348" s="79" t="s">
        <v>230</v>
      </c>
      <c r="G1348" s="36" t="str">
        <f t="shared" si="280"/>
        <v/>
      </c>
      <c r="H1348" s="36" t="str">
        <f>IFERROR(IF(--MID($F1348,2*COUNTIF($G1348:G1348,"&gt;"&amp;0)+2,1)=H$1,H$1,""),"")</f>
        <v/>
      </c>
      <c r="I1348" s="36" t="str">
        <f>IFERROR(IF(--MID($F1348,2*COUNTIF($G1348:H1348,"&gt;"&amp;0)+2,1)=I$1,I$1,""),"")</f>
        <v/>
      </c>
      <c r="J1348" s="36" t="str">
        <f>IFERROR(IF(--MID($F1348,2*COUNTIF($G1348:I1348,"&gt;"&amp;0)+2,1)=J$1,J$1,""),"")</f>
        <v/>
      </c>
      <c r="K1348" s="36">
        <f>IFERROR(IF(--MID($F1348,2*COUNTIF($G1348:J1348,"&gt;"&amp;0)+2,1)=K$1,K$1,""),"")</f>
        <v>5</v>
      </c>
      <c r="L1348" s="36" t="str">
        <f>IFERROR(IF(--MID($F1348,2*COUNTIF($G1348:K1348,"&gt;"&amp;0)+2,1)=L$1,L$1,""),"")</f>
        <v/>
      </c>
      <c r="M1348" s="36" t="e" cm="1">
        <f t="array" ref="M1348">IF(A1348="","",_xlfn.XLOOKUP(D1348&amp;"_"&amp;AE1348,符文权重!A:A&amp;"_"&amp;符文权重!C:C,符文权重!D:D))</f>
        <v>#N/A</v>
      </c>
      <c r="N1348" s="36"/>
      <c r="O1348" s="36"/>
      <c r="P1348" s="36"/>
      <c r="Q1348" s="36"/>
      <c r="R1348" s="36"/>
      <c r="S1348" s="36" t="s">
        <v>344</v>
      </c>
      <c r="T1348" s="36"/>
      <c r="U1348" s="36" t="s">
        <v>429</v>
      </c>
      <c r="V1348" s="29" t="s">
        <v>1692</v>
      </c>
      <c r="W1348" s="79"/>
      <c r="X1348" s="35" t="s">
        <v>1634</v>
      </c>
      <c r="Y1348" s="35">
        <v>100</v>
      </c>
      <c r="AA1348" s="36" t="s">
        <v>191</v>
      </c>
      <c r="AB1348" s="79" t="s">
        <v>1693</v>
      </c>
      <c r="AC1348" s="31">
        <v>5301406</v>
      </c>
      <c r="AD1348" s="79" t="s">
        <v>458</v>
      </c>
      <c r="AE1348" s="36">
        <v>100</v>
      </c>
      <c r="AF1348" s="79"/>
      <c r="AG1348" s="79">
        <v>1</v>
      </c>
      <c r="AH1348" s="36">
        <v>1</v>
      </c>
      <c r="AL1348" s="35"/>
    </row>
    <row r="1349" s="31" customFormat="1" hidden="1" customHeight="1" spans="1:38">
      <c r="A1349" s="82">
        <v>5305410</v>
      </c>
      <c r="B1349" s="34"/>
      <c r="C1349" s="31">
        <v>5301410</v>
      </c>
      <c r="D1349" s="79">
        <v>5</v>
      </c>
      <c r="E1349" s="79"/>
      <c r="F1349" s="79" t="s">
        <v>193</v>
      </c>
      <c r="G1349" s="36" t="str">
        <f t="shared" si="280"/>
        <v/>
      </c>
      <c r="H1349" s="36" t="str">
        <f>IFERROR(IF(--MID($F1349,2*COUNTIF($G1349:G1349,"&gt;"&amp;0)+2,1)=H$1,H$1,""),"")</f>
        <v/>
      </c>
      <c r="I1349" s="36">
        <f>IFERROR(IF(--MID($F1349,2*COUNTIF($G1349:H1349,"&gt;"&amp;0)+2,1)=I$1,I$1,""),"")</f>
        <v>3</v>
      </c>
      <c r="J1349" s="36" t="str">
        <f>IFERROR(IF(--MID($F1349,2*COUNTIF($G1349:I1349,"&gt;"&amp;0)+2,1)=J$1,J$1,""),"")</f>
        <v/>
      </c>
      <c r="K1349" s="36" t="str">
        <f>IFERROR(IF(--MID($F1349,2*COUNTIF($G1349:J1349,"&gt;"&amp;0)+2,1)=K$1,K$1,""),"")</f>
        <v/>
      </c>
      <c r="L1349" s="36" t="str">
        <f>IFERROR(IF(--MID($F1349,2*COUNTIF($G1349:K1349,"&gt;"&amp;0)+2,1)=L$1,L$1,""),"")</f>
        <v/>
      </c>
      <c r="M1349" s="36" t="e" cm="1">
        <f t="array" ref="M1349">IF(A1349="","",_xlfn.XLOOKUP(D1349&amp;"_"&amp;AE1349,符文权重!A:A&amp;"_"&amp;符文权重!C:C,符文权重!D:D))</f>
        <v>#N/A</v>
      </c>
      <c r="N1349" s="36"/>
      <c r="O1349" s="36"/>
      <c r="P1349" s="36"/>
      <c r="Q1349" s="36"/>
      <c r="R1349" s="36"/>
      <c r="S1349" s="36" t="s">
        <v>344</v>
      </c>
      <c r="T1349" s="36"/>
      <c r="U1349" s="36" t="s">
        <v>423</v>
      </c>
      <c r="V1349" s="29" t="s">
        <v>1694</v>
      </c>
      <c r="W1349" s="79"/>
      <c r="X1349" s="35" t="s">
        <v>1589</v>
      </c>
      <c r="Y1349" s="35">
        <v>100</v>
      </c>
      <c r="AA1349" s="36" t="s">
        <v>187</v>
      </c>
      <c r="AB1349" s="79" t="s">
        <v>1695</v>
      </c>
      <c r="AC1349" s="31">
        <v>5301410</v>
      </c>
      <c r="AD1349" s="79" t="s">
        <v>649</v>
      </c>
      <c r="AE1349" s="36">
        <v>100</v>
      </c>
      <c r="AF1349" s="79"/>
      <c r="AG1349" s="79">
        <v>1</v>
      </c>
      <c r="AH1349" s="36">
        <v>1</v>
      </c>
      <c r="AI1349" s="82"/>
      <c r="AJ1349" s="84"/>
      <c r="AL1349" s="35"/>
    </row>
    <row r="1350" s="31" customFormat="1" hidden="1" customHeight="1" spans="1:38">
      <c r="A1350" s="82">
        <v>5306410</v>
      </c>
      <c r="B1350" s="34"/>
      <c r="C1350" s="31">
        <v>5301410</v>
      </c>
      <c r="D1350" s="79">
        <v>6</v>
      </c>
      <c r="E1350" s="79"/>
      <c r="F1350" s="79" t="s">
        <v>193</v>
      </c>
      <c r="G1350" s="36" t="str">
        <f t="shared" si="280"/>
        <v/>
      </c>
      <c r="H1350" s="36" t="str">
        <f>IFERROR(IF(--MID($F1350,2*COUNTIF($G1350:G1350,"&gt;"&amp;0)+2,1)=H$1,H$1,""),"")</f>
        <v/>
      </c>
      <c r="I1350" s="36">
        <f>IFERROR(IF(--MID($F1350,2*COUNTIF($G1350:H1350,"&gt;"&amp;0)+2,1)=I$1,I$1,""),"")</f>
        <v>3</v>
      </c>
      <c r="J1350" s="36" t="str">
        <f>IFERROR(IF(--MID($F1350,2*COUNTIF($G1350:I1350,"&gt;"&amp;0)+2,1)=J$1,J$1,""),"")</f>
        <v/>
      </c>
      <c r="K1350" s="36" t="str">
        <f>IFERROR(IF(--MID($F1350,2*COUNTIF($G1350:J1350,"&gt;"&amp;0)+2,1)=K$1,K$1,""),"")</f>
        <v/>
      </c>
      <c r="L1350" s="36" t="str">
        <f>IFERROR(IF(--MID($F1350,2*COUNTIF($G1350:K1350,"&gt;"&amp;0)+2,1)=L$1,L$1,""),"")</f>
        <v/>
      </c>
      <c r="M1350" s="36" t="e" cm="1">
        <f t="array" ref="M1350">IF(A1350="","",_xlfn.XLOOKUP(D1350&amp;"_"&amp;AE1350,符文权重!A:A&amp;"_"&amp;符文权重!C:C,符文权重!D:D))</f>
        <v>#N/A</v>
      </c>
      <c r="N1350" s="36"/>
      <c r="O1350" s="36"/>
      <c r="P1350" s="36"/>
      <c r="Q1350" s="36"/>
      <c r="R1350" s="36"/>
      <c r="S1350" s="36" t="s">
        <v>344</v>
      </c>
      <c r="T1350" s="36"/>
      <c r="U1350" s="36" t="s">
        <v>426</v>
      </c>
      <c r="V1350" s="29" t="s">
        <v>1696</v>
      </c>
      <c r="W1350" s="79"/>
      <c r="X1350" s="35" t="s">
        <v>1594</v>
      </c>
      <c r="Y1350" s="35">
        <v>100</v>
      </c>
      <c r="AA1350" s="36" t="s">
        <v>189</v>
      </c>
      <c r="AB1350" s="79" t="s">
        <v>1697</v>
      </c>
      <c r="AC1350" s="31">
        <v>5301410</v>
      </c>
      <c r="AD1350" s="79" t="s">
        <v>487</v>
      </c>
      <c r="AE1350" s="36">
        <v>100</v>
      </c>
      <c r="AF1350" s="79"/>
      <c r="AG1350" s="79">
        <v>1</v>
      </c>
      <c r="AH1350" s="36">
        <v>1</v>
      </c>
      <c r="AI1350" s="82"/>
      <c r="AJ1350" s="84"/>
      <c r="AL1350" s="35"/>
    </row>
    <row r="1351" s="31" customFormat="1" hidden="1" customHeight="1" spans="1:38">
      <c r="A1351" s="82">
        <v>5307410</v>
      </c>
      <c r="B1351" s="34"/>
      <c r="C1351" s="31">
        <v>5301410</v>
      </c>
      <c r="D1351" s="79">
        <v>7</v>
      </c>
      <c r="E1351" s="79"/>
      <c r="F1351" s="79" t="s">
        <v>193</v>
      </c>
      <c r="G1351" s="36" t="str">
        <f t="shared" si="280"/>
        <v/>
      </c>
      <c r="H1351" s="36" t="str">
        <f>IFERROR(IF(--MID($F1351,2*COUNTIF($G1351:G1351,"&gt;"&amp;0)+2,1)=H$1,H$1,""),"")</f>
        <v/>
      </c>
      <c r="I1351" s="36">
        <f>IFERROR(IF(--MID($F1351,2*COUNTIF($G1351:H1351,"&gt;"&amp;0)+2,1)=I$1,I$1,""),"")</f>
        <v>3</v>
      </c>
      <c r="J1351" s="36" t="str">
        <f>IFERROR(IF(--MID($F1351,2*COUNTIF($G1351:I1351,"&gt;"&amp;0)+2,1)=J$1,J$1,""),"")</f>
        <v/>
      </c>
      <c r="K1351" s="36" t="str">
        <f>IFERROR(IF(--MID($F1351,2*COUNTIF($G1351:J1351,"&gt;"&amp;0)+2,1)=K$1,K$1,""),"")</f>
        <v/>
      </c>
      <c r="L1351" s="36" t="str">
        <f>IFERROR(IF(--MID($F1351,2*COUNTIF($G1351:K1351,"&gt;"&amp;0)+2,1)=L$1,L$1,""),"")</f>
        <v/>
      </c>
      <c r="M1351" s="36" t="e" cm="1">
        <f t="array" ref="M1351">IF(A1351="","",_xlfn.XLOOKUP(D1351&amp;"_"&amp;AE1351,符文权重!A:A&amp;"_"&amp;符文权重!C:C,符文权重!D:D))</f>
        <v>#N/A</v>
      </c>
      <c r="N1351" s="36"/>
      <c r="O1351" s="36"/>
      <c r="P1351" s="36"/>
      <c r="Q1351" s="36"/>
      <c r="R1351" s="36"/>
      <c r="S1351" s="36" t="s">
        <v>344</v>
      </c>
      <c r="T1351" s="36"/>
      <c r="U1351" s="36" t="s">
        <v>429</v>
      </c>
      <c r="V1351" s="29" t="s">
        <v>1698</v>
      </c>
      <c r="W1351" s="79"/>
      <c r="X1351" s="35" t="s">
        <v>1597</v>
      </c>
      <c r="Y1351" s="35">
        <v>100</v>
      </c>
      <c r="AA1351" s="36" t="s">
        <v>191</v>
      </c>
      <c r="AB1351" s="79" t="s">
        <v>1699</v>
      </c>
      <c r="AC1351" s="31">
        <v>5301410</v>
      </c>
      <c r="AD1351" s="79" t="s">
        <v>660</v>
      </c>
      <c r="AE1351" s="36">
        <v>100</v>
      </c>
      <c r="AF1351" s="79"/>
      <c r="AG1351" s="79">
        <v>1</v>
      </c>
      <c r="AH1351" s="36">
        <v>1</v>
      </c>
      <c r="AI1351" s="82"/>
      <c r="AJ1351" s="84"/>
      <c r="AL1351" s="35"/>
    </row>
    <row r="1352" hidden="1" customHeight="1" spans="1:38">
      <c r="A1352" s="33">
        <v>5304411</v>
      </c>
      <c r="C1352" s="35">
        <v>5301411</v>
      </c>
      <c r="D1352" s="36">
        <v>4</v>
      </c>
      <c r="E1352" s="36"/>
      <c r="F1352" s="36" t="s">
        <v>211</v>
      </c>
      <c r="G1352" s="36" t="str">
        <f t="shared" si="280"/>
        <v/>
      </c>
      <c r="H1352" s="36">
        <f>IFERROR(IF(--MID($F1352,2*COUNTIF($G1352:G1352,"&gt;"&amp;0)+2,1)=H$1,H$1,""),"")</f>
        <v>2</v>
      </c>
      <c r="I1352" s="36" t="str">
        <f>IFERROR(IF(--MID($F1352,2*COUNTIF($G1352:H1352,"&gt;"&amp;0)+2,1)=I$1,I$1,""),"")</f>
        <v/>
      </c>
      <c r="J1352" s="36" t="str">
        <f>IFERROR(IF(--MID($F1352,2*COUNTIF($G1352:I1352,"&gt;"&amp;0)+2,1)=J$1,J$1,""),"")</f>
        <v/>
      </c>
      <c r="K1352" s="36" t="str">
        <f>IFERROR(IF(--MID($F1352,2*COUNTIF($G1352:J1352,"&gt;"&amp;0)+2,1)=K$1,K$1,""),"")</f>
        <v/>
      </c>
      <c r="L1352" s="36" t="str">
        <f>IFERROR(IF(--MID($F1352,2*COUNTIF($G1352:K1352,"&gt;"&amp;0)+2,1)=L$1,L$1,""),"")</f>
        <v/>
      </c>
      <c r="M1352" s="36" t="e" cm="1">
        <f t="array" ref="M1352">IF(A1352="","",_xlfn.XLOOKUP(D1352&amp;"_"&amp;AE1352,符文权重!A:A&amp;"_"&amp;符文权重!C:C,符文权重!D:D))</f>
        <v>#N/A</v>
      </c>
      <c r="N1352" s="36"/>
      <c r="O1352" s="36"/>
      <c r="P1352" s="36"/>
      <c r="Q1352" s="36"/>
      <c r="R1352" s="36"/>
      <c r="S1352" s="36" t="s">
        <v>175</v>
      </c>
      <c r="T1352" s="36"/>
      <c r="U1352" s="36" t="s">
        <v>420</v>
      </c>
      <c r="V1352" s="25"/>
      <c r="W1352" s="36" t="s">
        <v>559</v>
      </c>
      <c r="X1352" s="35" t="s">
        <v>1700</v>
      </c>
      <c r="Y1352" s="35">
        <v>100</v>
      </c>
      <c r="AA1352" s="36" t="s">
        <v>185</v>
      </c>
      <c r="AB1352" s="36" t="s">
        <v>1701</v>
      </c>
      <c r="AC1352" s="35">
        <v>5506021</v>
      </c>
      <c r="AD1352" s="36" t="s">
        <v>487</v>
      </c>
      <c r="AE1352" s="36">
        <v>100</v>
      </c>
      <c r="AF1352" s="36"/>
      <c r="AG1352" s="79">
        <v>1</v>
      </c>
      <c r="AH1352" s="36">
        <v>1</v>
      </c>
      <c r="AI1352" s="35"/>
      <c r="AJ1352" s="35"/>
    </row>
    <row r="1353" hidden="1" customHeight="1" spans="1:38">
      <c r="A1353" s="33">
        <v>5305411</v>
      </c>
      <c r="C1353" s="35">
        <v>5301411</v>
      </c>
      <c r="D1353" s="36">
        <v>5</v>
      </c>
      <c r="E1353" s="36"/>
      <c r="F1353" s="36" t="s">
        <v>211</v>
      </c>
      <c r="G1353" s="36" t="str">
        <f t="shared" si="280"/>
        <v/>
      </c>
      <c r="H1353" s="36">
        <f>IFERROR(IF(--MID($F1353,2*COUNTIF($G1353:G1353,"&gt;"&amp;0)+2,1)=H$1,H$1,""),"")</f>
        <v>2</v>
      </c>
      <c r="I1353" s="36" t="str">
        <f>IFERROR(IF(--MID($F1353,2*COUNTIF($G1353:H1353,"&gt;"&amp;0)+2,1)=I$1,I$1,""),"")</f>
        <v/>
      </c>
      <c r="J1353" s="36" t="str">
        <f>IFERROR(IF(--MID($F1353,2*COUNTIF($G1353:I1353,"&gt;"&amp;0)+2,1)=J$1,J$1,""),"")</f>
        <v/>
      </c>
      <c r="K1353" s="36" t="str">
        <f>IFERROR(IF(--MID($F1353,2*COUNTIF($G1353:J1353,"&gt;"&amp;0)+2,1)=K$1,K$1,""),"")</f>
        <v/>
      </c>
      <c r="L1353" s="36" t="str">
        <f>IFERROR(IF(--MID($F1353,2*COUNTIF($G1353:K1353,"&gt;"&amp;0)+2,1)=L$1,L$1,""),"")</f>
        <v/>
      </c>
      <c r="M1353" s="36" t="e" cm="1">
        <f t="array" ref="M1353">IF(A1353="","",_xlfn.XLOOKUP(D1353&amp;"_"&amp;AE1353,符文权重!A:A&amp;"_"&amp;符文权重!C:C,符文权重!D:D))</f>
        <v>#N/A</v>
      </c>
      <c r="N1353" s="36"/>
      <c r="O1353" s="36"/>
      <c r="P1353" s="36"/>
      <c r="Q1353" s="36"/>
      <c r="R1353" s="36"/>
      <c r="S1353" s="36" t="s">
        <v>175</v>
      </c>
      <c r="T1353" s="36"/>
      <c r="U1353" s="36" t="s">
        <v>423</v>
      </c>
      <c r="V1353" s="25"/>
      <c r="W1353" s="36" t="s">
        <v>560</v>
      </c>
      <c r="X1353" s="35" t="s">
        <v>1589</v>
      </c>
      <c r="Y1353" s="35">
        <v>100</v>
      </c>
      <c r="AA1353" s="36" t="s">
        <v>187</v>
      </c>
      <c r="AB1353" s="36" t="s">
        <v>1702</v>
      </c>
      <c r="AC1353" s="35">
        <v>5506021</v>
      </c>
      <c r="AD1353" s="36" t="s">
        <v>497</v>
      </c>
      <c r="AE1353" s="36">
        <v>100</v>
      </c>
      <c r="AF1353" s="36"/>
      <c r="AG1353" s="79">
        <v>1</v>
      </c>
      <c r="AH1353" s="36">
        <v>1</v>
      </c>
    </row>
    <row r="1354" hidden="1" customHeight="1" spans="1:38">
      <c r="A1354" s="33">
        <v>5306411</v>
      </c>
      <c r="C1354" s="35">
        <v>5301411</v>
      </c>
      <c r="D1354" s="36">
        <v>6</v>
      </c>
      <c r="E1354" s="36"/>
      <c r="F1354" s="36" t="s">
        <v>211</v>
      </c>
      <c r="G1354" s="36" t="str">
        <f t="shared" si="280"/>
        <v/>
      </c>
      <c r="H1354" s="36">
        <f>IFERROR(IF(--MID($F1354,2*COUNTIF($G1354:G1354,"&gt;"&amp;0)+2,1)=H$1,H$1,""),"")</f>
        <v>2</v>
      </c>
      <c r="I1354" s="36" t="str">
        <f>IFERROR(IF(--MID($F1354,2*COUNTIF($G1354:H1354,"&gt;"&amp;0)+2,1)=I$1,I$1,""),"")</f>
        <v/>
      </c>
      <c r="J1354" s="36" t="str">
        <f>IFERROR(IF(--MID($F1354,2*COUNTIF($G1354:I1354,"&gt;"&amp;0)+2,1)=J$1,J$1,""),"")</f>
        <v/>
      </c>
      <c r="K1354" s="36" t="str">
        <f>IFERROR(IF(--MID($F1354,2*COUNTIF($G1354:J1354,"&gt;"&amp;0)+2,1)=K$1,K$1,""),"")</f>
        <v/>
      </c>
      <c r="L1354" s="36" t="str">
        <f>IFERROR(IF(--MID($F1354,2*COUNTIF($G1354:K1354,"&gt;"&amp;0)+2,1)=L$1,L$1,""),"")</f>
        <v/>
      </c>
      <c r="M1354" s="36" t="e" cm="1">
        <f t="array" ref="M1354">IF(A1354="","",_xlfn.XLOOKUP(D1354&amp;"_"&amp;AE1354,符文权重!A:A&amp;"_"&amp;符文权重!C:C,符文权重!D:D))</f>
        <v>#N/A</v>
      </c>
      <c r="N1354" s="36"/>
      <c r="O1354" s="36"/>
      <c r="P1354" s="36"/>
      <c r="Q1354" s="36"/>
      <c r="R1354" s="36"/>
      <c r="S1354" s="36" t="s">
        <v>175</v>
      </c>
      <c r="T1354" s="36"/>
      <c r="U1354" s="36" t="s">
        <v>426</v>
      </c>
      <c r="V1354" s="25"/>
      <c r="W1354" s="36" t="s">
        <v>561</v>
      </c>
      <c r="X1354" s="35" t="s">
        <v>1594</v>
      </c>
      <c r="Y1354" s="35">
        <v>100</v>
      </c>
      <c r="AA1354" s="36" t="s">
        <v>189</v>
      </c>
      <c r="AB1354" s="36" t="s">
        <v>1703</v>
      </c>
      <c r="AC1354" s="35">
        <v>5506021</v>
      </c>
      <c r="AD1354" s="36" t="s">
        <v>596</v>
      </c>
      <c r="AE1354" s="36">
        <v>100</v>
      </c>
      <c r="AF1354" s="36"/>
      <c r="AG1354" s="79">
        <v>1</v>
      </c>
      <c r="AH1354" s="36">
        <v>1</v>
      </c>
    </row>
    <row r="1355" hidden="1" customHeight="1" spans="1:38">
      <c r="A1355" s="33">
        <v>5307411</v>
      </c>
      <c r="C1355" s="35">
        <v>5301411</v>
      </c>
      <c r="D1355" s="36">
        <v>7</v>
      </c>
      <c r="E1355" s="36"/>
      <c r="F1355" s="36" t="s">
        <v>211</v>
      </c>
      <c r="G1355" s="36" t="str">
        <f t="shared" si="280"/>
        <v/>
      </c>
      <c r="H1355" s="36">
        <f>IFERROR(IF(--MID($F1355,2*COUNTIF($G1355:G1355,"&gt;"&amp;0)+2,1)=H$1,H$1,""),"")</f>
        <v>2</v>
      </c>
      <c r="I1355" s="36" t="str">
        <f>IFERROR(IF(--MID($F1355,2*COUNTIF($G1355:H1355,"&gt;"&amp;0)+2,1)=I$1,I$1,""),"")</f>
        <v/>
      </c>
      <c r="J1355" s="36" t="str">
        <f>IFERROR(IF(--MID($F1355,2*COUNTIF($G1355:I1355,"&gt;"&amp;0)+2,1)=J$1,J$1,""),"")</f>
        <v/>
      </c>
      <c r="K1355" s="36" t="str">
        <f>IFERROR(IF(--MID($F1355,2*COUNTIF($G1355:J1355,"&gt;"&amp;0)+2,1)=K$1,K$1,""),"")</f>
        <v/>
      </c>
      <c r="L1355" s="36" t="str">
        <f>IFERROR(IF(--MID($F1355,2*COUNTIF($G1355:K1355,"&gt;"&amp;0)+2,1)=L$1,L$1,""),"")</f>
        <v/>
      </c>
      <c r="M1355" s="36" t="e" cm="1">
        <f t="array" ref="M1355">IF(A1355="","",_xlfn.XLOOKUP(D1355&amp;"_"&amp;AE1355,符文权重!A:A&amp;"_"&amp;符文权重!C:C,符文权重!D:D))</f>
        <v>#N/A</v>
      </c>
      <c r="N1355" s="36"/>
      <c r="O1355" s="36"/>
      <c r="P1355" s="36"/>
      <c r="Q1355" s="36"/>
      <c r="R1355" s="36"/>
      <c r="S1355" s="36" t="s">
        <v>175</v>
      </c>
      <c r="T1355" s="36"/>
      <c r="U1355" s="36" t="s">
        <v>429</v>
      </c>
      <c r="V1355" s="25"/>
      <c r="W1355" s="36" t="s">
        <v>562</v>
      </c>
      <c r="X1355" s="35" t="s">
        <v>1597</v>
      </c>
      <c r="Y1355" s="35">
        <v>100</v>
      </c>
      <c r="AA1355" s="36" t="s">
        <v>191</v>
      </c>
      <c r="AB1355" s="36" t="s">
        <v>1704</v>
      </c>
      <c r="AC1355" s="35">
        <v>5506021</v>
      </c>
      <c r="AD1355" s="36" t="s">
        <v>476</v>
      </c>
      <c r="AE1355" s="36">
        <v>100</v>
      </c>
      <c r="AF1355" s="36"/>
      <c r="AG1355" s="79">
        <v>1</v>
      </c>
      <c r="AH1355" s="36">
        <v>1</v>
      </c>
    </row>
    <row r="1356" hidden="1" customHeight="1" spans="1:38">
      <c r="A1356" s="33">
        <v>5305412</v>
      </c>
      <c r="C1356" s="35">
        <v>5301412</v>
      </c>
      <c r="D1356" s="36">
        <v>5</v>
      </c>
      <c r="E1356" s="36"/>
      <c r="F1356" s="36" t="s">
        <v>404</v>
      </c>
      <c r="G1356" s="36" t="str">
        <f t="shared" si="280"/>
        <v/>
      </c>
      <c r="H1356" s="36" t="str">
        <f>IFERROR(IF(--MID($F1356,2*COUNTIF($G1356:G1356,"&gt;"&amp;0)+2,1)=H$1,H$1,""),"")</f>
        <v/>
      </c>
      <c r="I1356" s="36" t="str">
        <f>IFERROR(IF(--MID($F1356,2*COUNTIF($G1356:H1356,"&gt;"&amp;0)+2,1)=I$1,I$1,""),"")</f>
        <v/>
      </c>
      <c r="J1356" s="36">
        <f>IFERROR(IF(--MID($F1356,2*COUNTIF($G1356:I1356,"&gt;"&amp;0)+2,1)=J$1,J$1,""),"")</f>
        <v>4</v>
      </c>
      <c r="K1356" s="36" t="str">
        <f>IFERROR(IF(--MID($F1356,2*COUNTIF($G1356:J1356,"&gt;"&amp;0)+2,1)=K$1,K$1,""),"")</f>
        <v/>
      </c>
      <c r="L1356" s="36" t="str">
        <f>IFERROR(IF(--MID($F1356,2*COUNTIF($G1356:K1356,"&gt;"&amp;0)+2,1)=L$1,L$1,""),"")</f>
        <v/>
      </c>
      <c r="M1356" s="36" t="e" cm="1">
        <f t="array" ref="M1356">IF(A1356="","",_xlfn.XLOOKUP(D1356&amp;"_"&amp;AE1356,符文权重!A:A&amp;"_"&amp;符文权重!C:C,符文权重!D:D))</f>
        <v>#N/A</v>
      </c>
      <c r="N1356" s="36"/>
      <c r="O1356" s="36"/>
      <c r="P1356" s="36"/>
      <c r="Q1356" s="36"/>
      <c r="R1356" s="36"/>
      <c r="S1356" s="36" t="s">
        <v>175</v>
      </c>
      <c r="T1356" s="36"/>
      <c r="U1356" s="36" t="s">
        <v>423</v>
      </c>
      <c r="V1356" s="25" t="s">
        <v>1705</v>
      </c>
      <c r="X1356" s="35" t="s">
        <v>1589</v>
      </c>
      <c r="Y1356" s="35">
        <v>100</v>
      </c>
      <c r="AA1356" s="36" t="s">
        <v>187</v>
      </c>
      <c r="AB1356" s="36" t="s">
        <v>1706</v>
      </c>
      <c r="AC1356" s="35">
        <v>5506031</v>
      </c>
      <c r="AD1356" s="36" t="s">
        <v>522</v>
      </c>
      <c r="AE1356" s="36">
        <v>100</v>
      </c>
      <c r="AF1356" s="36"/>
      <c r="AG1356" s="79">
        <v>1</v>
      </c>
      <c r="AH1356" s="36">
        <v>1</v>
      </c>
    </row>
    <row r="1357" hidden="1" customHeight="1" spans="1:38">
      <c r="A1357" s="33">
        <v>5306412</v>
      </c>
      <c r="C1357" s="35">
        <v>5301412</v>
      </c>
      <c r="D1357" s="36">
        <v>6</v>
      </c>
      <c r="E1357" s="36"/>
      <c r="F1357" s="36" t="s">
        <v>404</v>
      </c>
      <c r="G1357" s="36" t="str">
        <f t="shared" si="280"/>
        <v/>
      </c>
      <c r="H1357" s="36" t="str">
        <f>IFERROR(IF(--MID($F1357,2*COUNTIF($G1357:G1357,"&gt;"&amp;0)+2,1)=H$1,H$1,""),"")</f>
        <v/>
      </c>
      <c r="I1357" s="36" t="str">
        <f>IFERROR(IF(--MID($F1357,2*COUNTIF($G1357:H1357,"&gt;"&amp;0)+2,1)=I$1,I$1,""),"")</f>
        <v/>
      </c>
      <c r="J1357" s="36">
        <f>IFERROR(IF(--MID($F1357,2*COUNTIF($G1357:I1357,"&gt;"&amp;0)+2,1)=J$1,J$1,""),"")</f>
        <v>4</v>
      </c>
      <c r="K1357" s="36" t="str">
        <f>IFERROR(IF(--MID($F1357,2*COUNTIF($G1357:J1357,"&gt;"&amp;0)+2,1)=K$1,K$1,""),"")</f>
        <v/>
      </c>
      <c r="L1357" s="36" t="str">
        <f>IFERROR(IF(--MID($F1357,2*COUNTIF($G1357:K1357,"&gt;"&amp;0)+2,1)=L$1,L$1,""),"")</f>
        <v/>
      </c>
      <c r="M1357" s="36" t="e" cm="1">
        <f t="array" ref="M1357">IF(A1357="","",_xlfn.XLOOKUP(D1357&amp;"_"&amp;AE1357,符文权重!A:A&amp;"_"&amp;符文权重!C:C,符文权重!D:D))</f>
        <v>#N/A</v>
      </c>
      <c r="N1357" s="36"/>
      <c r="O1357" s="36"/>
      <c r="P1357" s="36"/>
      <c r="Q1357" s="36"/>
      <c r="R1357" s="36"/>
      <c r="S1357" s="36" t="s">
        <v>175</v>
      </c>
      <c r="T1357" s="36"/>
      <c r="U1357" s="36" t="s">
        <v>426</v>
      </c>
      <c r="V1357" s="25" t="s">
        <v>1707</v>
      </c>
      <c r="X1357" s="35" t="s">
        <v>1594</v>
      </c>
      <c r="Y1357" s="35">
        <v>100</v>
      </c>
      <c r="AA1357" s="36" t="s">
        <v>189</v>
      </c>
      <c r="AB1357" s="36" t="s">
        <v>1708</v>
      </c>
      <c r="AC1357" s="35">
        <v>5506031</v>
      </c>
      <c r="AD1357" s="36" t="s">
        <v>524</v>
      </c>
      <c r="AE1357" s="36">
        <v>100</v>
      </c>
      <c r="AF1357" s="36"/>
      <c r="AG1357" s="79">
        <v>1</v>
      </c>
      <c r="AH1357" s="36">
        <v>1</v>
      </c>
    </row>
    <row r="1358" hidden="1" customHeight="1" spans="1:38">
      <c r="A1358" s="33">
        <v>5307412</v>
      </c>
      <c r="C1358" s="35">
        <v>5301412</v>
      </c>
      <c r="D1358" s="36">
        <v>7</v>
      </c>
      <c r="E1358" s="36"/>
      <c r="F1358" s="36" t="s">
        <v>404</v>
      </c>
      <c r="G1358" s="36" t="str">
        <f t="shared" si="280"/>
        <v/>
      </c>
      <c r="H1358" s="36" t="str">
        <f>IFERROR(IF(--MID($F1358,2*COUNTIF($G1358:G1358,"&gt;"&amp;0)+2,1)=H$1,H$1,""),"")</f>
        <v/>
      </c>
      <c r="I1358" s="36" t="str">
        <f>IFERROR(IF(--MID($F1358,2*COUNTIF($G1358:H1358,"&gt;"&amp;0)+2,1)=I$1,I$1,""),"")</f>
        <v/>
      </c>
      <c r="J1358" s="36">
        <f>IFERROR(IF(--MID($F1358,2*COUNTIF($G1358:I1358,"&gt;"&amp;0)+2,1)=J$1,J$1,""),"")</f>
        <v>4</v>
      </c>
      <c r="K1358" s="36" t="str">
        <f>IFERROR(IF(--MID($F1358,2*COUNTIF($G1358:J1358,"&gt;"&amp;0)+2,1)=K$1,K$1,""),"")</f>
        <v/>
      </c>
      <c r="L1358" s="36" t="str">
        <f>IFERROR(IF(--MID($F1358,2*COUNTIF($G1358:K1358,"&gt;"&amp;0)+2,1)=L$1,L$1,""),"")</f>
        <v/>
      </c>
      <c r="M1358" s="36" t="e" cm="1">
        <f t="array" ref="M1358">IF(A1358="","",_xlfn.XLOOKUP(D1358&amp;"_"&amp;AE1358,符文权重!A:A&amp;"_"&amp;符文权重!C:C,符文权重!D:D))</f>
        <v>#N/A</v>
      </c>
      <c r="N1358" s="36"/>
      <c r="O1358" s="36"/>
      <c r="P1358" s="36"/>
      <c r="Q1358" s="36"/>
      <c r="R1358" s="36"/>
      <c r="S1358" s="36" t="s">
        <v>175</v>
      </c>
      <c r="T1358" s="36"/>
      <c r="U1358" s="36" t="s">
        <v>429</v>
      </c>
      <c r="V1358" s="25" t="s">
        <v>1709</v>
      </c>
      <c r="X1358" s="35" t="s">
        <v>1597</v>
      </c>
      <c r="Y1358" s="35">
        <v>100</v>
      </c>
      <c r="AA1358" s="36" t="s">
        <v>191</v>
      </c>
      <c r="AB1358" s="36" t="s">
        <v>1710</v>
      </c>
      <c r="AC1358" s="35">
        <v>5506031</v>
      </c>
      <c r="AD1358" s="36" t="s">
        <v>1711</v>
      </c>
      <c r="AE1358" s="36">
        <v>100</v>
      </c>
      <c r="AF1358" s="36"/>
      <c r="AG1358" s="79">
        <v>1</v>
      </c>
      <c r="AH1358" s="36">
        <v>1</v>
      </c>
    </row>
    <row r="1359" hidden="1" customHeight="1" spans="1:38">
      <c r="A1359" s="33">
        <v>5304413</v>
      </c>
      <c r="C1359" s="35">
        <v>5301413</v>
      </c>
      <c r="D1359" s="36">
        <v>4</v>
      </c>
      <c r="E1359" s="36"/>
      <c r="F1359" s="36" t="s">
        <v>352</v>
      </c>
      <c r="G1359" s="36">
        <f t="shared" si="280"/>
        <v>1</v>
      </c>
      <c r="H1359" s="36" t="str">
        <f>IFERROR(IF(--MID($F1359,2*COUNTIF($G1359:G1359,"&gt;"&amp;0)+2,1)=H$1,H$1,""),"")</f>
        <v/>
      </c>
      <c r="I1359" s="36" t="str">
        <f>IFERROR(IF(--MID($F1359,2*COUNTIF($G1359:H1359,"&gt;"&amp;0)+2,1)=I$1,I$1,""),"")</f>
        <v/>
      </c>
      <c r="J1359" s="36" t="str">
        <f>IFERROR(IF(--MID($F1359,2*COUNTIF($G1359:I1359,"&gt;"&amp;0)+2,1)=J$1,J$1,""),"")</f>
        <v/>
      </c>
      <c r="K1359" s="36" t="str">
        <f>IFERROR(IF(--MID($F1359,2*COUNTIF($G1359:J1359,"&gt;"&amp;0)+2,1)=K$1,K$1,""),"")</f>
        <v/>
      </c>
      <c r="L1359" s="36">
        <f>IFERROR(IF(--MID($F1359,2*COUNTIF($G1359:K1359,"&gt;"&amp;0)+2,1)=L$1,L$1,""),"")</f>
        <v>6</v>
      </c>
      <c r="M1359" s="36" t="e" cm="1">
        <f t="array" ref="M1359">IF(A1359="","",_xlfn.XLOOKUP(D1359&amp;"_"&amp;AE1359,符文权重!A:A&amp;"_"&amp;符文权重!C:C,符文权重!D:D))</f>
        <v>#N/A</v>
      </c>
      <c r="N1359" s="36"/>
      <c r="O1359" s="36"/>
      <c r="P1359" s="36"/>
      <c r="Q1359" s="36"/>
      <c r="R1359" s="36"/>
      <c r="S1359" s="36" t="s">
        <v>175</v>
      </c>
      <c r="T1359" s="36"/>
      <c r="U1359" s="36" t="s">
        <v>420</v>
      </c>
      <c r="V1359" s="25"/>
      <c r="W1359" s="36" t="s">
        <v>1712</v>
      </c>
      <c r="X1359" s="35" t="s">
        <v>1700</v>
      </c>
      <c r="Y1359" s="35">
        <v>100</v>
      </c>
      <c r="AA1359" s="36" t="s">
        <v>185</v>
      </c>
      <c r="AB1359" s="36" t="s">
        <v>1713</v>
      </c>
      <c r="AC1359" s="35">
        <v>5301413</v>
      </c>
      <c r="AD1359" s="36" t="s">
        <v>425</v>
      </c>
      <c r="AE1359" s="36">
        <v>100</v>
      </c>
      <c r="AF1359" s="36"/>
      <c r="AG1359" s="79">
        <v>1</v>
      </c>
      <c r="AH1359" s="36">
        <v>1</v>
      </c>
      <c r="AI1359" s="35"/>
      <c r="AJ1359" s="35"/>
    </row>
    <row r="1360" hidden="1" customHeight="1" spans="1:38">
      <c r="A1360" s="33">
        <v>5305413</v>
      </c>
      <c r="C1360" s="35">
        <v>5301413</v>
      </c>
      <c r="D1360" s="36">
        <v>5</v>
      </c>
      <c r="E1360" s="36"/>
      <c r="F1360" s="36" t="s">
        <v>352</v>
      </c>
      <c r="G1360" s="36">
        <f t="shared" si="280"/>
        <v>1</v>
      </c>
      <c r="H1360" s="36" t="str">
        <f>IFERROR(IF(--MID($F1360,2*COUNTIF($G1360:G1360,"&gt;"&amp;0)+2,1)=H$1,H$1,""),"")</f>
        <v/>
      </c>
      <c r="I1360" s="36" t="str">
        <f>IFERROR(IF(--MID($F1360,2*COUNTIF($G1360:H1360,"&gt;"&amp;0)+2,1)=I$1,I$1,""),"")</f>
        <v/>
      </c>
      <c r="J1360" s="36" t="str">
        <f>IFERROR(IF(--MID($F1360,2*COUNTIF($G1360:I1360,"&gt;"&amp;0)+2,1)=J$1,J$1,""),"")</f>
        <v/>
      </c>
      <c r="K1360" s="36" t="str">
        <f>IFERROR(IF(--MID($F1360,2*COUNTIF($G1360:J1360,"&gt;"&amp;0)+2,1)=K$1,K$1,""),"")</f>
        <v/>
      </c>
      <c r="L1360" s="36">
        <f>IFERROR(IF(--MID($F1360,2*COUNTIF($G1360:K1360,"&gt;"&amp;0)+2,1)=L$1,L$1,""),"")</f>
        <v>6</v>
      </c>
      <c r="M1360" s="36" t="e" cm="1">
        <f t="array" ref="M1360">IF(A1360="","",_xlfn.XLOOKUP(D1360&amp;"_"&amp;AE1360,符文权重!A:A&amp;"_"&amp;符文权重!C:C,符文权重!D:D))</f>
        <v>#N/A</v>
      </c>
      <c r="N1360" s="36"/>
      <c r="O1360" s="36"/>
      <c r="P1360" s="36"/>
      <c r="Q1360" s="36"/>
      <c r="R1360" s="36"/>
      <c r="S1360" s="36" t="s">
        <v>175</v>
      </c>
      <c r="T1360" s="36"/>
      <c r="U1360" s="36" t="s">
        <v>423</v>
      </c>
      <c r="V1360" s="25"/>
      <c r="W1360" s="36" t="s">
        <v>1714</v>
      </c>
      <c r="X1360" s="35" t="s">
        <v>1589</v>
      </c>
      <c r="Y1360" s="35">
        <v>100</v>
      </c>
      <c r="AA1360" s="36" t="s">
        <v>187</v>
      </c>
      <c r="AB1360" s="36" t="s">
        <v>1715</v>
      </c>
      <c r="AC1360" s="35">
        <v>5301413</v>
      </c>
      <c r="AD1360" s="36" t="s">
        <v>428</v>
      </c>
      <c r="AE1360" s="36">
        <v>100</v>
      </c>
      <c r="AF1360" s="36"/>
      <c r="AG1360" s="79">
        <v>1</v>
      </c>
      <c r="AH1360" s="36">
        <v>1</v>
      </c>
    </row>
    <row r="1361" hidden="1" customHeight="1" spans="1:38">
      <c r="A1361" s="33">
        <v>5306413</v>
      </c>
      <c r="C1361" s="35">
        <v>5301413</v>
      </c>
      <c r="D1361" s="36">
        <v>6</v>
      </c>
      <c r="E1361" s="36"/>
      <c r="F1361" s="36" t="s">
        <v>352</v>
      </c>
      <c r="G1361" s="36">
        <f t="shared" si="280"/>
        <v>1</v>
      </c>
      <c r="H1361" s="36" t="str">
        <f>IFERROR(IF(--MID($F1361,2*COUNTIF($G1361:G1361,"&gt;"&amp;0)+2,1)=H$1,H$1,""),"")</f>
        <v/>
      </c>
      <c r="I1361" s="36" t="str">
        <f>IFERROR(IF(--MID($F1361,2*COUNTIF($G1361:H1361,"&gt;"&amp;0)+2,1)=I$1,I$1,""),"")</f>
        <v/>
      </c>
      <c r="J1361" s="36" t="str">
        <f>IFERROR(IF(--MID($F1361,2*COUNTIF($G1361:I1361,"&gt;"&amp;0)+2,1)=J$1,J$1,""),"")</f>
        <v/>
      </c>
      <c r="K1361" s="36" t="str">
        <f>IFERROR(IF(--MID($F1361,2*COUNTIF($G1361:J1361,"&gt;"&amp;0)+2,1)=K$1,K$1,""),"")</f>
        <v/>
      </c>
      <c r="L1361" s="36">
        <f>IFERROR(IF(--MID($F1361,2*COUNTIF($G1361:K1361,"&gt;"&amp;0)+2,1)=L$1,L$1,""),"")</f>
        <v>6</v>
      </c>
      <c r="M1361" s="36" t="e" cm="1">
        <f t="array" ref="M1361">IF(A1361="","",_xlfn.XLOOKUP(D1361&amp;"_"&amp;AE1361,符文权重!A:A&amp;"_"&amp;符文权重!C:C,符文权重!D:D))</f>
        <v>#N/A</v>
      </c>
      <c r="N1361" s="36"/>
      <c r="O1361" s="36"/>
      <c r="P1361" s="36"/>
      <c r="Q1361" s="36"/>
      <c r="R1361" s="36"/>
      <c r="S1361" s="36" t="s">
        <v>175</v>
      </c>
      <c r="T1361" s="36"/>
      <c r="U1361" s="36" t="s">
        <v>426</v>
      </c>
      <c r="V1361" s="25"/>
      <c r="W1361" s="36" t="s">
        <v>1716</v>
      </c>
      <c r="X1361" s="35" t="s">
        <v>1594</v>
      </c>
      <c r="Y1361" s="35">
        <v>100</v>
      </c>
      <c r="AA1361" s="36" t="s">
        <v>189</v>
      </c>
      <c r="AB1361" s="36" t="s">
        <v>1717</v>
      </c>
      <c r="AC1361" s="35">
        <v>5301413</v>
      </c>
      <c r="AD1361" s="36" t="s">
        <v>487</v>
      </c>
      <c r="AE1361" s="36">
        <v>100</v>
      </c>
      <c r="AF1361" s="36"/>
      <c r="AG1361" s="79">
        <v>1</v>
      </c>
      <c r="AH1361" s="36">
        <v>1</v>
      </c>
    </row>
    <row r="1362" hidden="1" customHeight="1" spans="1:38">
      <c r="A1362" s="33">
        <v>5307413</v>
      </c>
      <c r="C1362" s="35">
        <v>5301413</v>
      </c>
      <c r="D1362" s="36">
        <v>7</v>
      </c>
      <c r="E1362" s="36"/>
      <c r="F1362" s="36" t="s">
        <v>352</v>
      </c>
      <c r="G1362" s="36">
        <f t="shared" si="280"/>
        <v>1</v>
      </c>
      <c r="H1362" s="36" t="str">
        <f>IFERROR(IF(--MID($F1362,2*COUNTIF($G1362:G1362,"&gt;"&amp;0)+2,1)=H$1,H$1,""),"")</f>
        <v/>
      </c>
      <c r="I1362" s="36" t="str">
        <f>IFERROR(IF(--MID($F1362,2*COUNTIF($G1362:H1362,"&gt;"&amp;0)+2,1)=I$1,I$1,""),"")</f>
        <v/>
      </c>
      <c r="J1362" s="36" t="str">
        <f>IFERROR(IF(--MID($F1362,2*COUNTIF($G1362:I1362,"&gt;"&amp;0)+2,1)=J$1,J$1,""),"")</f>
        <v/>
      </c>
      <c r="K1362" s="36" t="str">
        <f>IFERROR(IF(--MID($F1362,2*COUNTIF($G1362:J1362,"&gt;"&amp;0)+2,1)=K$1,K$1,""),"")</f>
        <v/>
      </c>
      <c r="L1362" s="36">
        <f>IFERROR(IF(--MID($F1362,2*COUNTIF($G1362:K1362,"&gt;"&amp;0)+2,1)=L$1,L$1,""),"")</f>
        <v>6</v>
      </c>
      <c r="M1362" s="36" t="e" cm="1">
        <f t="array" ref="M1362">IF(A1362="","",_xlfn.XLOOKUP(D1362&amp;"_"&amp;AE1362,符文权重!A:A&amp;"_"&amp;符文权重!C:C,符文权重!D:D))</f>
        <v>#N/A</v>
      </c>
      <c r="N1362" s="36"/>
      <c r="O1362" s="36"/>
      <c r="P1362" s="36"/>
      <c r="Q1362" s="36"/>
      <c r="R1362" s="36"/>
      <c r="S1362" s="36" t="s">
        <v>175</v>
      </c>
      <c r="T1362" s="36"/>
      <c r="U1362" s="36" t="s">
        <v>429</v>
      </c>
      <c r="V1362" s="25"/>
      <c r="W1362" s="36" t="s">
        <v>1718</v>
      </c>
      <c r="X1362" s="35" t="s">
        <v>1597</v>
      </c>
      <c r="Y1362" s="35">
        <v>100</v>
      </c>
      <c r="AA1362" s="36" t="s">
        <v>191</v>
      </c>
      <c r="AB1362" s="36" t="s">
        <v>1719</v>
      </c>
      <c r="AC1362" s="35">
        <v>5301413</v>
      </c>
      <c r="AD1362" s="36" t="s">
        <v>497</v>
      </c>
      <c r="AE1362" s="36">
        <v>100</v>
      </c>
      <c r="AF1362" s="36"/>
      <c r="AG1362" s="79">
        <v>1</v>
      </c>
      <c r="AH1362" s="36">
        <v>1</v>
      </c>
    </row>
    <row r="1363" hidden="1" customHeight="1" spans="1:38">
      <c r="A1363" s="33">
        <v>5304414</v>
      </c>
      <c r="C1363" s="35">
        <v>5301414</v>
      </c>
      <c r="D1363" s="36">
        <v>4</v>
      </c>
      <c r="E1363" s="36"/>
      <c r="F1363" s="36" t="s">
        <v>174</v>
      </c>
      <c r="G1363" s="36">
        <f t="shared" si="280"/>
        <v>1</v>
      </c>
      <c r="H1363" s="36">
        <f>IFERROR(IF(--MID($F1363,2*COUNTIF($G1363:G1363,"&gt;"&amp;0)+2,1)=H$1,H$1,""),"")</f>
        <v>2</v>
      </c>
      <c r="I1363" s="36">
        <f>IFERROR(IF(--MID($F1363,2*COUNTIF($G1363:H1363,"&gt;"&amp;0)+2,1)=I$1,I$1,""),"")</f>
        <v>3</v>
      </c>
      <c r="J1363" s="36">
        <f>IFERROR(IF(--MID($F1363,2*COUNTIF($G1363:I1363,"&gt;"&amp;0)+2,1)=J$1,J$1,""),"")</f>
        <v>4</v>
      </c>
      <c r="K1363" s="36">
        <f>IFERROR(IF(--MID($F1363,2*COUNTIF($G1363:J1363,"&gt;"&amp;0)+2,1)=K$1,K$1,""),"")</f>
        <v>5</v>
      </c>
      <c r="L1363" s="36">
        <f>IFERROR(IF(--MID($F1363,2*COUNTIF($G1363:K1363,"&gt;"&amp;0)+2,1)=L$1,L$1,""),"")</f>
        <v>6</v>
      </c>
      <c r="M1363" s="36" t="e" cm="1">
        <f t="array" ref="M1363">IF(A1363="","",_xlfn.XLOOKUP(D1363&amp;"_"&amp;AE1363,符文权重!A:A&amp;"_"&amp;符文权重!C:C,符文权重!D:D))</f>
        <v>#N/A</v>
      </c>
      <c r="N1363" s="36"/>
      <c r="O1363" s="36"/>
      <c r="P1363" s="36"/>
      <c r="Q1363" s="36"/>
      <c r="R1363" s="36"/>
      <c r="S1363" s="36" t="s">
        <v>175</v>
      </c>
      <c r="T1363" s="36"/>
      <c r="U1363" s="36" t="s">
        <v>420</v>
      </c>
      <c r="V1363" s="25"/>
      <c r="W1363" s="36" t="s">
        <v>565</v>
      </c>
      <c r="X1363" s="35" t="s">
        <v>1700</v>
      </c>
      <c r="Y1363" s="35">
        <v>100</v>
      </c>
      <c r="AA1363" s="36" t="s">
        <v>185</v>
      </c>
      <c r="AB1363" s="36" t="s">
        <v>1720</v>
      </c>
      <c r="AC1363" s="35">
        <v>5506041</v>
      </c>
      <c r="AD1363" s="36" t="s">
        <v>404</v>
      </c>
      <c r="AE1363" s="36">
        <v>100</v>
      </c>
      <c r="AF1363" s="36"/>
      <c r="AG1363" s="79">
        <v>1</v>
      </c>
      <c r="AH1363" s="36">
        <v>1</v>
      </c>
    </row>
    <row r="1364" hidden="1" customHeight="1" spans="1:38">
      <c r="A1364" s="33">
        <v>5305414</v>
      </c>
      <c r="C1364" s="35">
        <v>5301414</v>
      </c>
      <c r="D1364" s="36">
        <v>5</v>
      </c>
      <c r="E1364" s="36"/>
      <c r="F1364" s="36" t="s">
        <v>174</v>
      </c>
      <c r="G1364" s="36">
        <f t="shared" si="280"/>
        <v>1</v>
      </c>
      <c r="H1364" s="36">
        <f>IFERROR(IF(--MID($F1364,2*COUNTIF($G1364:G1364,"&gt;"&amp;0)+2,1)=H$1,H$1,""),"")</f>
        <v>2</v>
      </c>
      <c r="I1364" s="36">
        <f>IFERROR(IF(--MID($F1364,2*COUNTIF($G1364:H1364,"&gt;"&amp;0)+2,1)=I$1,I$1,""),"")</f>
        <v>3</v>
      </c>
      <c r="J1364" s="36">
        <f>IFERROR(IF(--MID($F1364,2*COUNTIF($G1364:I1364,"&gt;"&amp;0)+2,1)=J$1,J$1,""),"")</f>
        <v>4</v>
      </c>
      <c r="K1364" s="36">
        <f>IFERROR(IF(--MID($F1364,2*COUNTIF($G1364:J1364,"&gt;"&amp;0)+2,1)=K$1,K$1,""),"")</f>
        <v>5</v>
      </c>
      <c r="L1364" s="36">
        <f>IFERROR(IF(--MID($F1364,2*COUNTIF($G1364:K1364,"&gt;"&amp;0)+2,1)=L$1,L$1,""),"")</f>
        <v>6</v>
      </c>
      <c r="M1364" s="36" t="e" cm="1">
        <f t="array" ref="M1364">IF(A1364="","",_xlfn.XLOOKUP(D1364&amp;"_"&amp;AE1364,符文权重!A:A&amp;"_"&amp;符文权重!C:C,符文权重!D:D))</f>
        <v>#N/A</v>
      </c>
      <c r="N1364" s="36"/>
      <c r="O1364" s="36"/>
      <c r="P1364" s="36"/>
      <c r="Q1364" s="36"/>
      <c r="R1364" s="36"/>
      <c r="S1364" s="36" t="s">
        <v>175</v>
      </c>
      <c r="T1364" s="36"/>
      <c r="U1364" s="36" t="s">
        <v>423</v>
      </c>
      <c r="V1364" s="25"/>
      <c r="W1364" s="36" t="s">
        <v>566</v>
      </c>
      <c r="X1364" s="35" t="s">
        <v>1589</v>
      </c>
      <c r="Y1364" s="35">
        <v>100</v>
      </c>
      <c r="AA1364" s="36" t="s">
        <v>187</v>
      </c>
      <c r="AB1364" s="36" t="s">
        <v>1721</v>
      </c>
      <c r="AC1364" s="35">
        <v>5506041</v>
      </c>
      <c r="AD1364" s="36" t="s">
        <v>230</v>
      </c>
      <c r="AE1364" s="36">
        <v>100</v>
      </c>
      <c r="AF1364" s="36"/>
      <c r="AG1364" s="79">
        <v>1</v>
      </c>
      <c r="AH1364" s="36">
        <v>1</v>
      </c>
    </row>
    <row r="1365" hidden="1" customHeight="1" spans="1:38">
      <c r="A1365" s="33">
        <v>5306414</v>
      </c>
      <c r="C1365" s="35">
        <v>5301414</v>
      </c>
      <c r="D1365" s="36">
        <v>6</v>
      </c>
      <c r="E1365" s="36"/>
      <c r="F1365" s="36" t="s">
        <v>174</v>
      </c>
      <c r="G1365" s="36">
        <f t="shared" si="280"/>
        <v>1</v>
      </c>
      <c r="H1365" s="36">
        <f>IFERROR(IF(--MID($F1365,2*COUNTIF($G1365:G1365,"&gt;"&amp;0)+2,1)=H$1,H$1,""),"")</f>
        <v>2</v>
      </c>
      <c r="I1365" s="36">
        <f>IFERROR(IF(--MID($F1365,2*COUNTIF($G1365:H1365,"&gt;"&amp;0)+2,1)=I$1,I$1,""),"")</f>
        <v>3</v>
      </c>
      <c r="J1365" s="36">
        <f>IFERROR(IF(--MID($F1365,2*COUNTIF($G1365:I1365,"&gt;"&amp;0)+2,1)=J$1,J$1,""),"")</f>
        <v>4</v>
      </c>
      <c r="K1365" s="36">
        <f>IFERROR(IF(--MID($F1365,2*COUNTIF($G1365:J1365,"&gt;"&amp;0)+2,1)=K$1,K$1,""),"")</f>
        <v>5</v>
      </c>
      <c r="L1365" s="36">
        <f>IFERROR(IF(--MID($F1365,2*COUNTIF($G1365:K1365,"&gt;"&amp;0)+2,1)=L$1,L$1,""),"")</f>
        <v>6</v>
      </c>
      <c r="M1365" s="36" t="e" cm="1">
        <f t="array" ref="M1365">IF(A1365="","",_xlfn.XLOOKUP(D1365&amp;"_"&amp;AE1365,符文权重!A:A&amp;"_"&amp;符文权重!C:C,符文权重!D:D))</f>
        <v>#N/A</v>
      </c>
      <c r="N1365" s="36"/>
      <c r="O1365" s="36"/>
      <c r="P1365" s="36"/>
      <c r="Q1365" s="36"/>
      <c r="R1365" s="36"/>
      <c r="S1365" s="36" t="s">
        <v>175</v>
      </c>
      <c r="T1365" s="36"/>
      <c r="U1365" s="36" t="s">
        <v>426</v>
      </c>
      <c r="V1365" s="25"/>
      <c r="W1365" s="36" t="s">
        <v>567</v>
      </c>
      <c r="X1365" s="35" t="s">
        <v>1594</v>
      </c>
      <c r="Y1365" s="35">
        <v>100</v>
      </c>
      <c r="AA1365" s="36" t="s">
        <v>189</v>
      </c>
      <c r="AB1365" s="36" t="s">
        <v>1722</v>
      </c>
      <c r="AC1365" s="35">
        <v>5506041</v>
      </c>
      <c r="AD1365" s="36" t="s">
        <v>220</v>
      </c>
      <c r="AE1365" s="36">
        <v>100</v>
      </c>
      <c r="AF1365" s="36"/>
      <c r="AG1365" s="79">
        <v>1</v>
      </c>
      <c r="AH1365" s="36">
        <v>1</v>
      </c>
    </row>
    <row r="1366" hidden="1" customHeight="1" spans="1:38">
      <c r="A1366" s="33">
        <v>5307414</v>
      </c>
      <c r="C1366" s="35">
        <v>5301414</v>
      </c>
      <c r="D1366" s="36">
        <v>7</v>
      </c>
      <c r="E1366" s="36"/>
      <c r="F1366" s="36" t="s">
        <v>174</v>
      </c>
      <c r="G1366" s="36">
        <f t="shared" si="280"/>
        <v>1</v>
      </c>
      <c r="H1366" s="36">
        <f>IFERROR(IF(--MID($F1366,2*COUNTIF($G1366:G1366,"&gt;"&amp;0)+2,1)=H$1,H$1,""),"")</f>
        <v>2</v>
      </c>
      <c r="I1366" s="36">
        <f>IFERROR(IF(--MID($F1366,2*COUNTIF($G1366:H1366,"&gt;"&amp;0)+2,1)=I$1,I$1,""),"")</f>
        <v>3</v>
      </c>
      <c r="J1366" s="36">
        <f>IFERROR(IF(--MID($F1366,2*COUNTIF($G1366:I1366,"&gt;"&amp;0)+2,1)=J$1,J$1,""),"")</f>
        <v>4</v>
      </c>
      <c r="K1366" s="36">
        <f>IFERROR(IF(--MID($F1366,2*COUNTIF($G1366:J1366,"&gt;"&amp;0)+2,1)=K$1,K$1,""),"")</f>
        <v>5</v>
      </c>
      <c r="L1366" s="36">
        <f>IFERROR(IF(--MID($F1366,2*COUNTIF($G1366:K1366,"&gt;"&amp;0)+2,1)=L$1,L$1,""),"")</f>
        <v>6</v>
      </c>
      <c r="M1366" s="36" t="e" cm="1">
        <f t="array" ref="M1366">IF(A1366="","",_xlfn.XLOOKUP(D1366&amp;"_"&amp;AE1366,符文权重!A:A&amp;"_"&amp;符文权重!C:C,符文权重!D:D))</f>
        <v>#N/A</v>
      </c>
      <c r="N1366" s="36"/>
      <c r="O1366" s="36"/>
      <c r="P1366" s="36"/>
      <c r="Q1366" s="36"/>
      <c r="R1366" s="36"/>
      <c r="S1366" s="36" t="s">
        <v>175</v>
      </c>
      <c r="T1366" s="36"/>
      <c r="U1366" s="36" t="s">
        <v>429</v>
      </c>
      <c r="V1366" s="25"/>
      <c r="W1366" s="36" t="s">
        <v>568</v>
      </c>
      <c r="X1366" s="35" t="s">
        <v>1597</v>
      </c>
      <c r="Y1366" s="35">
        <v>100</v>
      </c>
      <c r="AA1366" s="36" t="s">
        <v>191</v>
      </c>
      <c r="AB1366" s="36" t="s">
        <v>1723</v>
      </c>
      <c r="AC1366" s="35">
        <v>5506041</v>
      </c>
      <c r="AD1366" s="36" t="s">
        <v>239</v>
      </c>
      <c r="AE1366" s="36">
        <v>100</v>
      </c>
      <c r="AF1366" s="36"/>
      <c r="AG1366" s="79">
        <v>1</v>
      </c>
      <c r="AH1366" s="36">
        <v>1</v>
      </c>
    </row>
    <row r="1367" s="31" customFormat="1" hidden="1" customHeight="1" spans="1:38">
      <c r="A1367" s="82">
        <v>5305415</v>
      </c>
      <c r="B1367" s="34"/>
      <c r="C1367" s="31">
        <v>5301415</v>
      </c>
      <c r="D1367" s="79">
        <v>5</v>
      </c>
      <c r="E1367" s="79"/>
      <c r="F1367" s="79" t="s">
        <v>211</v>
      </c>
      <c r="G1367" s="36" t="str">
        <f t="shared" si="280"/>
        <v/>
      </c>
      <c r="H1367" s="36">
        <f>IFERROR(IF(--MID($F1367,2*COUNTIF($G1367:G1367,"&gt;"&amp;0)+2,1)=H$1,H$1,""),"")</f>
        <v>2</v>
      </c>
      <c r="I1367" s="36" t="str">
        <f>IFERROR(IF(--MID($F1367,2*COUNTIF($G1367:H1367,"&gt;"&amp;0)+2,1)=I$1,I$1,""),"")</f>
        <v/>
      </c>
      <c r="J1367" s="36" t="str">
        <f>IFERROR(IF(--MID($F1367,2*COUNTIF($G1367:I1367,"&gt;"&amp;0)+2,1)=J$1,J$1,""),"")</f>
        <v/>
      </c>
      <c r="K1367" s="36" t="str">
        <f>IFERROR(IF(--MID($F1367,2*COUNTIF($G1367:J1367,"&gt;"&amp;0)+2,1)=K$1,K$1,""),"")</f>
        <v/>
      </c>
      <c r="L1367" s="36" t="str">
        <f>IFERROR(IF(--MID($F1367,2*COUNTIF($G1367:K1367,"&gt;"&amp;0)+2,1)=L$1,L$1,""),"")</f>
        <v/>
      </c>
      <c r="M1367" s="36" t="e" cm="1">
        <f t="array" ref="M1367">IF(A1367="","",_xlfn.XLOOKUP(D1367&amp;"_"&amp;AE1367,符文权重!A:A&amp;"_"&amp;符文权重!C:C,符文权重!D:D))</f>
        <v>#N/A</v>
      </c>
      <c r="N1367" s="36"/>
      <c r="O1367" s="36"/>
      <c r="P1367" s="36"/>
      <c r="Q1367" s="36"/>
      <c r="R1367" s="36"/>
      <c r="S1367" s="36" t="s">
        <v>175</v>
      </c>
      <c r="T1367" s="36"/>
      <c r="U1367" s="36" t="s">
        <v>423</v>
      </c>
      <c r="V1367" s="29" t="s">
        <v>1724</v>
      </c>
      <c r="W1367" s="79"/>
      <c r="X1367" s="35" t="s">
        <v>1628</v>
      </c>
      <c r="Y1367" s="35">
        <v>100</v>
      </c>
      <c r="AA1367" s="36" t="s">
        <v>187</v>
      </c>
      <c r="AB1367" s="79" t="s">
        <v>1725</v>
      </c>
      <c r="AC1367" s="31">
        <v>5301415</v>
      </c>
      <c r="AD1367" s="79" t="s">
        <v>492</v>
      </c>
      <c r="AE1367" s="36">
        <v>100</v>
      </c>
      <c r="AF1367" s="79"/>
      <c r="AG1367" s="79">
        <v>1</v>
      </c>
      <c r="AH1367" s="36">
        <v>1</v>
      </c>
      <c r="AL1367" s="35"/>
    </row>
    <row r="1368" s="31" customFormat="1" hidden="1" customHeight="1" spans="1:38">
      <c r="A1368" s="82">
        <v>5306415</v>
      </c>
      <c r="B1368" s="34"/>
      <c r="C1368" s="31">
        <v>5301415</v>
      </c>
      <c r="D1368" s="79">
        <v>6</v>
      </c>
      <c r="E1368" s="79"/>
      <c r="F1368" s="79" t="s">
        <v>211</v>
      </c>
      <c r="G1368" s="36" t="str">
        <f t="shared" si="280"/>
        <v/>
      </c>
      <c r="H1368" s="36">
        <f>IFERROR(IF(--MID($F1368,2*COUNTIF($G1368:G1368,"&gt;"&amp;0)+2,1)=H$1,H$1,""),"")</f>
        <v>2</v>
      </c>
      <c r="I1368" s="36" t="str">
        <f>IFERROR(IF(--MID($F1368,2*COUNTIF($G1368:H1368,"&gt;"&amp;0)+2,1)=I$1,I$1,""),"")</f>
        <v/>
      </c>
      <c r="J1368" s="36" t="str">
        <f>IFERROR(IF(--MID($F1368,2*COUNTIF($G1368:I1368,"&gt;"&amp;0)+2,1)=J$1,J$1,""),"")</f>
        <v/>
      </c>
      <c r="K1368" s="36" t="str">
        <f>IFERROR(IF(--MID($F1368,2*COUNTIF($G1368:J1368,"&gt;"&amp;0)+2,1)=K$1,K$1,""),"")</f>
        <v/>
      </c>
      <c r="L1368" s="36" t="str">
        <f>IFERROR(IF(--MID($F1368,2*COUNTIF($G1368:K1368,"&gt;"&amp;0)+2,1)=L$1,L$1,""),"")</f>
        <v/>
      </c>
      <c r="M1368" s="36" t="e" cm="1">
        <f t="array" ref="M1368">IF(A1368="","",_xlfn.XLOOKUP(D1368&amp;"_"&amp;AE1368,符文权重!A:A&amp;"_"&amp;符文权重!C:C,符文权重!D:D))</f>
        <v>#N/A</v>
      </c>
      <c r="N1368" s="36"/>
      <c r="O1368" s="36"/>
      <c r="P1368" s="36"/>
      <c r="Q1368" s="36"/>
      <c r="R1368" s="36"/>
      <c r="S1368" s="36" t="s">
        <v>175</v>
      </c>
      <c r="T1368" s="36"/>
      <c r="U1368" s="36" t="s">
        <v>426</v>
      </c>
      <c r="V1368" s="29" t="s">
        <v>1726</v>
      </c>
      <c r="W1368" s="79"/>
      <c r="X1368" s="35" t="s">
        <v>1631</v>
      </c>
      <c r="Y1368" s="35">
        <v>100</v>
      </c>
      <c r="AA1368" s="36" t="s">
        <v>189</v>
      </c>
      <c r="AB1368" s="79" t="s">
        <v>1727</v>
      </c>
      <c r="AC1368" s="31">
        <v>5301415</v>
      </c>
      <c r="AD1368" s="79" t="s">
        <v>494</v>
      </c>
      <c r="AE1368" s="36">
        <v>100</v>
      </c>
      <c r="AF1368" s="79"/>
      <c r="AG1368" s="79">
        <v>1</v>
      </c>
      <c r="AH1368" s="36">
        <v>1</v>
      </c>
      <c r="AL1368" s="35"/>
    </row>
    <row r="1369" s="31" customFormat="1" hidden="1" customHeight="1" spans="1:38">
      <c r="A1369" s="82">
        <v>5307415</v>
      </c>
      <c r="B1369" s="34"/>
      <c r="C1369" s="31">
        <v>5301415</v>
      </c>
      <c r="D1369" s="79">
        <v>7</v>
      </c>
      <c r="E1369" s="79"/>
      <c r="F1369" s="79" t="s">
        <v>211</v>
      </c>
      <c r="G1369" s="36" t="str">
        <f t="shared" si="280"/>
        <v/>
      </c>
      <c r="H1369" s="36">
        <f>IFERROR(IF(--MID($F1369,2*COUNTIF($G1369:G1369,"&gt;"&amp;0)+2,1)=H$1,H$1,""),"")</f>
        <v>2</v>
      </c>
      <c r="I1369" s="36" t="str">
        <f>IFERROR(IF(--MID($F1369,2*COUNTIF($G1369:H1369,"&gt;"&amp;0)+2,1)=I$1,I$1,""),"")</f>
        <v/>
      </c>
      <c r="J1369" s="36" t="str">
        <f>IFERROR(IF(--MID($F1369,2*COUNTIF($G1369:I1369,"&gt;"&amp;0)+2,1)=J$1,J$1,""),"")</f>
        <v/>
      </c>
      <c r="K1369" s="36" t="str">
        <f>IFERROR(IF(--MID($F1369,2*COUNTIF($G1369:J1369,"&gt;"&amp;0)+2,1)=K$1,K$1,""),"")</f>
        <v/>
      </c>
      <c r="L1369" s="36" t="str">
        <f>IFERROR(IF(--MID($F1369,2*COUNTIF($G1369:K1369,"&gt;"&amp;0)+2,1)=L$1,L$1,""),"")</f>
        <v/>
      </c>
      <c r="M1369" s="36" t="e" cm="1">
        <f t="array" ref="M1369">IF(A1369="","",_xlfn.XLOOKUP(D1369&amp;"_"&amp;AE1369,符文权重!A:A&amp;"_"&amp;符文权重!C:C,符文权重!D:D))</f>
        <v>#N/A</v>
      </c>
      <c r="N1369" s="36"/>
      <c r="O1369" s="36"/>
      <c r="P1369" s="36"/>
      <c r="Q1369" s="36"/>
      <c r="R1369" s="36"/>
      <c r="S1369" s="36" t="s">
        <v>175</v>
      </c>
      <c r="T1369" s="36"/>
      <c r="U1369" s="36" t="s">
        <v>429</v>
      </c>
      <c r="V1369" s="29" t="s">
        <v>1728</v>
      </c>
      <c r="W1369" s="79"/>
      <c r="X1369" s="35" t="s">
        <v>1634</v>
      </c>
      <c r="Y1369" s="35">
        <v>100</v>
      </c>
      <c r="AA1369" s="36" t="s">
        <v>191</v>
      </c>
      <c r="AB1369" s="79" t="s">
        <v>1729</v>
      </c>
      <c r="AC1369" s="31">
        <v>5301415</v>
      </c>
      <c r="AD1369" s="79" t="s">
        <v>649</v>
      </c>
      <c r="AE1369" s="36">
        <v>100</v>
      </c>
      <c r="AF1369" s="79"/>
      <c r="AG1369" s="79">
        <v>1</v>
      </c>
      <c r="AH1369" s="36">
        <v>1</v>
      </c>
      <c r="AL1369" s="35"/>
    </row>
    <row r="1370" s="31" customFormat="1" hidden="1" customHeight="1" spans="1:38">
      <c r="A1370" s="82">
        <v>5305416</v>
      </c>
      <c r="B1370" s="34"/>
      <c r="C1370" s="31">
        <v>5301416</v>
      </c>
      <c r="D1370" s="79">
        <v>5</v>
      </c>
      <c r="E1370" s="79"/>
      <c r="F1370" s="79" t="s">
        <v>211</v>
      </c>
      <c r="G1370" s="36" t="str">
        <f t="shared" si="280"/>
        <v/>
      </c>
      <c r="H1370" s="36">
        <f>IFERROR(IF(--MID($F1370,2*COUNTIF($G1370:G1370,"&gt;"&amp;0)+2,1)=H$1,H$1,""),"")</f>
        <v>2</v>
      </c>
      <c r="I1370" s="36" t="str">
        <f>IFERROR(IF(--MID($F1370,2*COUNTIF($G1370:H1370,"&gt;"&amp;0)+2,1)=I$1,I$1,""),"")</f>
        <v/>
      </c>
      <c r="J1370" s="36" t="str">
        <f>IFERROR(IF(--MID($F1370,2*COUNTIF($G1370:I1370,"&gt;"&amp;0)+2,1)=J$1,J$1,""),"")</f>
        <v/>
      </c>
      <c r="K1370" s="36" t="str">
        <f>IFERROR(IF(--MID($F1370,2*COUNTIF($G1370:J1370,"&gt;"&amp;0)+2,1)=K$1,K$1,""),"")</f>
        <v/>
      </c>
      <c r="L1370" s="36" t="str">
        <f>IFERROR(IF(--MID($F1370,2*COUNTIF($G1370:K1370,"&gt;"&amp;0)+2,1)=L$1,L$1,""),"")</f>
        <v/>
      </c>
      <c r="M1370" s="36" t="e" cm="1">
        <f t="array" ref="M1370">IF(A1370="","",_xlfn.XLOOKUP(D1370&amp;"_"&amp;AE1370,符文权重!A:A&amp;"_"&amp;符文权重!C:C,符文权重!D:D))</f>
        <v>#N/A</v>
      </c>
      <c r="N1370" s="36"/>
      <c r="O1370" s="36"/>
      <c r="P1370" s="36"/>
      <c r="Q1370" s="36"/>
      <c r="R1370" s="36"/>
      <c r="S1370" s="36" t="s">
        <v>175</v>
      </c>
      <c r="T1370" s="36"/>
      <c r="U1370" s="36" t="s">
        <v>423</v>
      </c>
      <c r="V1370" s="29"/>
      <c r="W1370" s="79"/>
      <c r="X1370" s="35" t="s">
        <v>1638</v>
      </c>
      <c r="Y1370" s="35">
        <v>100</v>
      </c>
      <c r="AA1370" s="36" t="s">
        <v>187</v>
      </c>
      <c r="AB1370" s="79" t="s">
        <v>1730</v>
      </c>
      <c r="AC1370" s="31">
        <v>5301416</v>
      </c>
      <c r="AD1370" s="79" t="s">
        <v>431</v>
      </c>
      <c r="AE1370" s="36">
        <v>100</v>
      </c>
      <c r="AF1370" s="79"/>
      <c r="AG1370" s="79">
        <v>1</v>
      </c>
      <c r="AH1370" s="36">
        <v>1</v>
      </c>
      <c r="AL1370" s="35"/>
    </row>
    <row r="1371" s="31" customFormat="1" hidden="1" customHeight="1" spans="1:38">
      <c r="A1371" s="82">
        <v>5306416</v>
      </c>
      <c r="B1371" s="34"/>
      <c r="C1371" s="31">
        <v>5301416</v>
      </c>
      <c r="D1371" s="79">
        <v>6</v>
      </c>
      <c r="E1371" s="79"/>
      <c r="F1371" s="79" t="s">
        <v>211</v>
      </c>
      <c r="G1371" s="36" t="str">
        <f t="shared" si="280"/>
        <v/>
      </c>
      <c r="H1371" s="36">
        <f>IFERROR(IF(--MID($F1371,2*COUNTIF($G1371:G1371,"&gt;"&amp;0)+2,1)=H$1,H$1,""),"")</f>
        <v>2</v>
      </c>
      <c r="I1371" s="36" t="str">
        <f>IFERROR(IF(--MID($F1371,2*COUNTIF($G1371:H1371,"&gt;"&amp;0)+2,1)=I$1,I$1,""),"")</f>
        <v/>
      </c>
      <c r="J1371" s="36" t="str">
        <f>IFERROR(IF(--MID($F1371,2*COUNTIF($G1371:I1371,"&gt;"&amp;0)+2,1)=J$1,J$1,""),"")</f>
        <v/>
      </c>
      <c r="K1371" s="36" t="str">
        <f>IFERROR(IF(--MID($F1371,2*COUNTIF($G1371:J1371,"&gt;"&amp;0)+2,1)=K$1,K$1,""),"")</f>
        <v/>
      </c>
      <c r="L1371" s="36" t="str">
        <f>IFERROR(IF(--MID($F1371,2*COUNTIF($G1371:K1371,"&gt;"&amp;0)+2,1)=L$1,L$1,""),"")</f>
        <v/>
      </c>
      <c r="M1371" s="36" t="e" cm="1">
        <f t="array" ref="M1371">IF(A1371="","",_xlfn.XLOOKUP(D1371&amp;"_"&amp;AE1371,符文权重!A:A&amp;"_"&amp;符文权重!C:C,符文权重!D:D))</f>
        <v>#N/A</v>
      </c>
      <c r="N1371" s="36"/>
      <c r="O1371" s="36"/>
      <c r="P1371" s="36"/>
      <c r="Q1371" s="36"/>
      <c r="R1371" s="36"/>
      <c r="S1371" s="36" t="s">
        <v>175</v>
      </c>
      <c r="T1371" s="36"/>
      <c r="U1371" s="36" t="s">
        <v>426</v>
      </c>
      <c r="V1371" s="29"/>
      <c r="W1371" s="79"/>
      <c r="X1371" s="35" t="s">
        <v>1641</v>
      </c>
      <c r="Y1371" s="35">
        <v>100</v>
      </c>
      <c r="AA1371" s="36" t="s">
        <v>189</v>
      </c>
      <c r="AB1371" s="79" t="s">
        <v>1731</v>
      </c>
      <c r="AC1371" s="31">
        <v>5301416</v>
      </c>
      <c r="AD1371" s="79" t="s">
        <v>447</v>
      </c>
      <c r="AE1371" s="36">
        <v>100</v>
      </c>
      <c r="AF1371" s="79"/>
      <c r="AG1371" s="79">
        <v>1</v>
      </c>
      <c r="AH1371" s="36">
        <v>1</v>
      </c>
      <c r="AL1371" s="35"/>
    </row>
    <row r="1372" s="31" customFormat="1" hidden="1" customHeight="1" spans="1:38">
      <c r="A1372" s="82">
        <v>5307416</v>
      </c>
      <c r="B1372" s="34"/>
      <c r="C1372" s="31">
        <v>5301416</v>
      </c>
      <c r="D1372" s="79">
        <v>7</v>
      </c>
      <c r="E1372" s="79"/>
      <c r="F1372" s="79" t="s">
        <v>211</v>
      </c>
      <c r="G1372" s="36" t="str">
        <f t="shared" si="280"/>
        <v/>
      </c>
      <c r="H1372" s="36">
        <f>IFERROR(IF(--MID($F1372,2*COUNTIF($G1372:G1372,"&gt;"&amp;0)+2,1)=H$1,H$1,""),"")</f>
        <v>2</v>
      </c>
      <c r="I1372" s="36" t="str">
        <f>IFERROR(IF(--MID($F1372,2*COUNTIF($G1372:H1372,"&gt;"&amp;0)+2,1)=I$1,I$1,""),"")</f>
        <v/>
      </c>
      <c r="J1372" s="36" t="str">
        <f>IFERROR(IF(--MID($F1372,2*COUNTIF($G1372:I1372,"&gt;"&amp;0)+2,1)=J$1,J$1,""),"")</f>
        <v/>
      </c>
      <c r="K1372" s="36" t="str">
        <f>IFERROR(IF(--MID($F1372,2*COUNTIF($G1372:J1372,"&gt;"&amp;0)+2,1)=K$1,K$1,""),"")</f>
        <v/>
      </c>
      <c r="L1372" s="36" t="str">
        <f>IFERROR(IF(--MID($F1372,2*COUNTIF($G1372:K1372,"&gt;"&amp;0)+2,1)=L$1,L$1,""),"")</f>
        <v/>
      </c>
      <c r="M1372" s="36" t="e" cm="1">
        <f t="array" ref="M1372">IF(A1372="","",_xlfn.XLOOKUP(D1372&amp;"_"&amp;AE1372,符文权重!A:A&amp;"_"&amp;符文权重!C:C,符文权重!D:D))</f>
        <v>#N/A</v>
      </c>
      <c r="N1372" s="36"/>
      <c r="O1372" s="36"/>
      <c r="P1372" s="36"/>
      <c r="Q1372" s="36"/>
      <c r="R1372" s="36"/>
      <c r="S1372" s="36" t="s">
        <v>175</v>
      </c>
      <c r="T1372" s="36"/>
      <c r="U1372" s="36" t="s">
        <v>429</v>
      </c>
      <c r="V1372" s="29"/>
      <c r="W1372" s="79"/>
      <c r="X1372" s="35" t="s">
        <v>1644</v>
      </c>
      <c r="Y1372" s="35">
        <v>100</v>
      </c>
      <c r="AA1372" s="36" t="s">
        <v>191</v>
      </c>
      <c r="AB1372" s="79" t="s">
        <v>1732</v>
      </c>
      <c r="AC1372" s="31">
        <v>5301416</v>
      </c>
      <c r="AD1372" s="79" t="s">
        <v>596</v>
      </c>
      <c r="AE1372" s="36">
        <v>100</v>
      </c>
      <c r="AF1372" s="79"/>
      <c r="AG1372" s="79">
        <v>1</v>
      </c>
      <c r="AH1372" s="36">
        <v>1</v>
      </c>
      <c r="AL1372" s="35"/>
    </row>
    <row r="1373" s="31" customFormat="1" hidden="1" customHeight="1" spans="1:38">
      <c r="A1373" s="82">
        <v>5305417</v>
      </c>
      <c r="B1373" s="34"/>
      <c r="C1373" s="31">
        <v>5301417</v>
      </c>
      <c r="D1373" s="79">
        <v>5</v>
      </c>
      <c r="E1373" s="79"/>
      <c r="F1373" s="79" t="s">
        <v>230</v>
      </c>
      <c r="G1373" s="36" t="str">
        <f t="shared" si="280"/>
        <v/>
      </c>
      <c r="H1373" s="36" t="str">
        <f>IFERROR(IF(--MID($F1373,2*COUNTIF($G1373:G1373,"&gt;"&amp;0)+2,1)=H$1,H$1,""),"")</f>
        <v/>
      </c>
      <c r="I1373" s="36" t="str">
        <f>IFERROR(IF(--MID($F1373,2*COUNTIF($G1373:H1373,"&gt;"&amp;0)+2,1)=I$1,I$1,""),"")</f>
        <v/>
      </c>
      <c r="J1373" s="36" t="str">
        <f>IFERROR(IF(--MID($F1373,2*COUNTIF($G1373:I1373,"&gt;"&amp;0)+2,1)=J$1,J$1,""),"")</f>
        <v/>
      </c>
      <c r="K1373" s="36">
        <f>IFERROR(IF(--MID($F1373,2*COUNTIF($G1373:J1373,"&gt;"&amp;0)+2,1)=K$1,K$1,""),"")</f>
        <v>5</v>
      </c>
      <c r="L1373" s="36" t="str">
        <f>IFERROR(IF(--MID($F1373,2*COUNTIF($G1373:K1373,"&gt;"&amp;0)+2,1)=L$1,L$1,""),"")</f>
        <v/>
      </c>
      <c r="M1373" s="36" t="e" cm="1">
        <f t="array" ref="M1373">IF(A1373="","",_xlfn.XLOOKUP(D1373&amp;"_"&amp;AE1373,符文权重!A:A&amp;"_"&amp;符文权重!C:C,符文权重!D:D))</f>
        <v>#N/A</v>
      </c>
      <c r="N1373" s="36"/>
      <c r="O1373" s="36"/>
      <c r="P1373" s="36"/>
      <c r="Q1373" s="36"/>
      <c r="R1373" s="36"/>
      <c r="S1373" s="36" t="s">
        <v>175</v>
      </c>
      <c r="T1373" s="36"/>
      <c r="U1373" s="36" t="s">
        <v>423</v>
      </c>
      <c r="V1373" s="29" t="s">
        <v>1733</v>
      </c>
      <c r="W1373" s="79"/>
      <c r="X1373" s="35" t="s">
        <v>1638</v>
      </c>
      <c r="Y1373" s="35">
        <v>100</v>
      </c>
      <c r="AA1373" s="36" t="s">
        <v>187</v>
      </c>
      <c r="AB1373" s="79" t="s">
        <v>1734</v>
      </c>
      <c r="AC1373" s="31">
        <v>5301417</v>
      </c>
      <c r="AD1373" s="79" t="s">
        <v>898</v>
      </c>
      <c r="AE1373" s="36">
        <v>100</v>
      </c>
      <c r="AF1373" s="79"/>
      <c r="AG1373" s="79">
        <v>1</v>
      </c>
      <c r="AH1373" s="36">
        <v>1</v>
      </c>
      <c r="AL1373" s="35"/>
    </row>
    <row r="1374" s="31" customFormat="1" hidden="1" customHeight="1" spans="1:38">
      <c r="A1374" s="82">
        <v>5306417</v>
      </c>
      <c r="B1374" s="34"/>
      <c r="C1374" s="31">
        <v>5301417</v>
      </c>
      <c r="D1374" s="79">
        <v>6</v>
      </c>
      <c r="E1374" s="79"/>
      <c r="F1374" s="79" t="s">
        <v>230</v>
      </c>
      <c r="G1374" s="36" t="str">
        <f t="shared" si="280"/>
        <v/>
      </c>
      <c r="H1374" s="36" t="str">
        <f>IFERROR(IF(--MID($F1374,2*COUNTIF($G1374:G1374,"&gt;"&amp;0)+2,1)=H$1,H$1,""),"")</f>
        <v/>
      </c>
      <c r="I1374" s="36" t="str">
        <f>IFERROR(IF(--MID($F1374,2*COUNTIF($G1374:H1374,"&gt;"&amp;0)+2,1)=I$1,I$1,""),"")</f>
        <v/>
      </c>
      <c r="J1374" s="36" t="str">
        <f>IFERROR(IF(--MID($F1374,2*COUNTIF($G1374:I1374,"&gt;"&amp;0)+2,1)=J$1,J$1,""),"")</f>
        <v/>
      </c>
      <c r="K1374" s="36">
        <f>IFERROR(IF(--MID($F1374,2*COUNTIF($G1374:J1374,"&gt;"&amp;0)+2,1)=K$1,K$1,""),"")</f>
        <v>5</v>
      </c>
      <c r="L1374" s="36" t="str">
        <f>IFERROR(IF(--MID($F1374,2*COUNTIF($G1374:K1374,"&gt;"&amp;0)+2,1)=L$1,L$1,""),"")</f>
        <v/>
      </c>
      <c r="M1374" s="36" t="e" cm="1">
        <f t="array" ref="M1374">IF(A1374="","",_xlfn.XLOOKUP(D1374&amp;"_"&amp;AE1374,符文权重!A:A&amp;"_"&amp;符文权重!C:C,符文权重!D:D))</f>
        <v>#N/A</v>
      </c>
      <c r="N1374" s="36"/>
      <c r="O1374" s="36"/>
      <c r="P1374" s="36"/>
      <c r="Q1374" s="36"/>
      <c r="R1374" s="36"/>
      <c r="S1374" s="36" t="s">
        <v>175</v>
      </c>
      <c r="T1374" s="36"/>
      <c r="U1374" s="36" t="s">
        <v>426</v>
      </c>
      <c r="V1374" s="29" t="s">
        <v>1735</v>
      </c>
      <c r="W1374" s="79"/>
      <c r="X1374" s="35" t="s">
        <v>1641</v>
      </c>
      <c r="Y1374" s="35">
        <v>100</v>
      </c>
      <c r="AA1374" s="36" t="s">
        <v>189</v>
      </c>
      <c r="AB1374" s="79" t="s">
        <v>1736</v>
      </c>
      <c r="AC1374" s="31">
        <v>5301417</v>
      </c>
      <c r="AD1374" s="79" t="s">
        <v>600</v>
      </c>
      <c r="AE1374" s="36">
        <v>100</v>
      </c>
      <c r="AF1374" s="79"/>
      <c r="AG1374" s="79">
        <v>1</v>
      </c>
      <c r="AH1374" s="36">
        <v>1</v>
      </c>
      <c r="AL1374" s="35"/>
    </row>
    <row r="1375" s="31" customFormat="1" hidden="1" customHeight="1" spans="1:38">
      <c r="A1375" s="82">
        <v>5307417</v>
      </c>
      <c r="B1375" s="34"/>
      <c r="C1375" s="31">
        <v>5301417</v>
      </c>
      <c r="D1375" s="79">
        <v>7</v>
      </c>
      <c r="E1375" s="79"/>
      <c r="F1375" s="79" t="s">
        <v>230</v>
      </c>
      <c r="G1375" s="36" t="str">
        <f t="shared" si="280"/>
        <v/>
      </c>
      <c r="H1375" s="36" t="str">
        <f>IFERROR(IF(--MID($F1375,2*COUNTIF($G1375:G1375,"&gt;"&amp;0)+2,1)=H$1,H$1,""),"")</f>
        <v/>
      </c>
      <c r="I1375" s="36" t="str">
        <f>IFERROR(IF(--MID($F1375,2*COUNTIF($G1375:H1375,"&gt;"&amp;0)+2,1)=I$1,I$1,""),"")</f>
        <v/>
      </c>
      <c r="J1375" s="36" t="str">
        <f>IFERROR(IF(--MID($F1375,2*COUNTIF($G1375:I1375,"&gt;"&amp;0)+2,1)=J$1,J$1,""),"")</f>
        <v/>
      </c>
      <c r="K1375" s="36">
        <f>IFERROR(IF(--MID($F1375,2*COUNTIF($G1375:J1375,"&gt;"&amp;0)+2,1)=K$1,K$1,""),"")</f>
        <v>5</v>
      </c>
      <c r="L1375" s="36" t="str">
        <f>IFERROR(IF(--MID($F1375,2*COUNTIF($G1375:K1375,"&gt;"&amp;0)+2,1)=L$1,L$1,""),"")</f>
        <v/>
      </c>
      <c r="M1375" s="36" t="e" cm="1">
        <f t="array" ref="M1375">IF(A1375="","",_xlfn.XLOOKUP(D1375&amp;"_"&amp;AE1375,符文权重!A:A&amp;"_"&amp;符文权重!C:C,符文权重!D:D))</f>
        <v>#N/A</v>
      </c>
      <c r="N1375" s="36"/>
      <c r="O1375" s="36"/>
      <c r="P1375" s="36"/>
      <c r="Q1375" s="36"/>
      <c r="R1375" s="36"/>
      <c r="S1375" s="36" t="s">
        <v>175</v>
      </c>
      <c r="T1375" s="36"/>
      <c r="U1375" s="36" t="s">
        <v>429</v>
      </c>
      <c r="V1375" s="29" t="s">
        <v>1737</v>
      </c>
      <c r="W1375" s="79"/>
      <c r="X1375" s="35" t="s">
        <v>1644</v>
      </c>
      <c r="Y1375" s="35">
        <v>100</v>
      </c>
      <c r="AA1375" s="36" t="s">
        <v>191</v>
      </c>
      <c r="AB1375" s="79" t="s">
        <v>1738</v>
      </c>
      <c r="AC1375" s="31">
        <v>5301417</v>
      </c>
      <c r="AD1375" s="79" t="s">
        <v>596</v>
      </c>
      <c r="AE1375" s="36">
        <v>100</v>
      </c>
      <c r="AF1375" s="79"/>
      <c r="AG1375" s="79">
        <v>1</v>
      </c>
      <c r="AH1375" s="36">
        <v>1</v>
      </c>
      <c r="AL1375" s="35"/>
    </row>
    <row r="1376" s="31" customFormat="1" hidden="1" customHeight="1" spans="1:38">
      <c r="A1376" s="82">
        <v>5305418</v>
      </c>
      <c r="B1376" s="34"/>
      <c r="C1376" s="31">
        <v>5301418</v>
      </c>
      <c r="D1376" s="79">
        <v>5</v>
      </c>
      <c r="E1376" s="79"/>
      <c r="F1376" s="79" t="s">
        <v>220</v>
      </c>
      <c r="G1376" s="36" t="str">
        <f t="shared" si="280"/>
        <v/>
      </c>
      <c r="H1376" s="36" t="str">
        <f>IFERROR(IF(--MID($F1376,2*COUNTIF($G1376:G1376,"&gt;"&amp;0)+2,1)=H$1,H$1,""),"")</f>
        <v/>
      </c>
      <c r="I1376" s="36" t="str">
        <f>IFERROR(IF(--MID($F1376,2*COUNTIF($G1376:H1376,"&gt;"&amp;0)+2,1)=I$1,I$1,""),"")</f>
        <v/>
      </c>
      <c r="J1376" s="36" t="str">
        <f>IFERROR(IF(--MID($F1376,2*COUNTIF($G1376:I1376,"&gt;"&amp;0)+2,1)=J$1,J$1,""),"")</f>
        <v/>
      </c>
      <c r="K1376" s="36" t="str">
        <f>IFERROR(IF(--MID($F1376,2*COUNTIF($G1376:J1376,"&gt;"&amp;0)+2,1)=K$1,K$1,""),"")</f>
        <v/>
      </c>
      <c r="L1376" s="36">
        <f>IFERROR(IF(--MID($F1376,2*COUNTIF($G1376:K1376,"&gt;"&amp;0)+2,1)=L$1,L$1,""),"")</f>
        <v>6</v>
      </c>
      <c r="M1376" s="36" t="e" cm="1">
        <f t="array" ref="M1376">IF(A1376="","",_xlfn.XLOOKUP(D1376&amp;"_"&amp;AE1376,符文权重!A:A&amp;"_"&amp;符文权重!C:C,符文权重!D:D))</f>
        <v>#N/A</v>
      </c>
      <c r="N1376" s="36"/>
      <c r="O1376" s="36"/>
      <c r="P1376" s="36"/>
      <c r="Q1376" s="36"/>
      <c r="R1376" s="36"/>
      <c r="S1376" s="36" t="s">
        <v>175</v>
      </c>
      <c r="T1376" s="36"/>
      <c r="U1376" s="36" t="s">
        <v>423</v>
      </c>
      <c r="V1376" s="29" t="s">
        <v>1739</v>
      </c>
      <c r="W1376" s="79"/>
      <c r="X1376" s="35" t="s">
        <v>1638</v>
      </c>
      <c r="Y1376" s="35">
        <v>100</v>
      </c>
      <c r="AA1376" s="36" t="s">
        <v>187</v>
      </c>
      <c r="AB1376" s="79" t="s">
        <v>1740</v>
      </c>
      <c r="AC1376" s="31">
        <v>5301418</v>
      </c>
      <c r="AD1376" s="79" t="s">
        <v>898</v>
      </c>
      <c r="AE1376" s="36">
        <v>100</v>
      </c>
      <c r="AF1376" s="79"/>
      <c r="AG1376" s="79">
        <v>1</v>
      </c>
      <c r="AH1376" s="36">
        <v>1</v>
      </c>
      <c r="AL1376" s="35"/>
    </row>
    <row r="1377" s="31" customFormat="1" hidden="1" customHeight="1" spans="1:38">
      <c r="A1377" s="82">
        <v>5306418</v>
      </c>
      <c r="B1377" s="34"/>
      <c r="C1377" s="31">
        <v>5301418</v>
      </c>
      <c r="D1377" s="79">
        <v>6</v>
      </c>
      <c r="E1377" s="79"/>
      <c r="F1377" s="79" t="s">
        <v>220</v>
      </c>
      <c r="G1377" s="36" t="str">
        <f t="shared" si="280"/>
        <v/>
      </c>
      <c r="H1377" s="36" t="str">
        <f>IFERROR(IF(--MID($F1377,2*COUNTIF($G1377:G1377,"&gt;"&amp;0)+2,1)=H$1,H$1,""),"")</f>
        <v/>
      </c>
      <c r="I1377" s="36" t="str">
        <f>IFERROR(IF(--MID($F1377,2*COUNTIF($G1377:H1377,"&gt;"&amp;0)+2,1)=I$1,I$1,""),"")</f>
        <v/>
      </c>
      <c r="J1377" s="36" t="str">
        <f>IFERROR(IF(--MID($F1377,2*COUNTIF($G1377:I1377,"&gt;"&amp;0)+2,1)=J$1,J$1,""),"")</f>
        <v/>
      </c>
      <c r="K1377" s="36" t="str">
        <f>IFERROR(IF(--MID($F1377,2*COUNTIF($G1377:J1377,"&gt;"&amp;0)+2,1)=K$1,K$1,""),"")</f>
        <v/>
      </c>
      <c r="L1377" s="36">
        <f>IFERROR(IF(--MID($F1377,2*COUNTIF($G1377:K1377,"&gt;"&amp;0)+2,1)=L$1,L$1,""),"")</f>
        <v>6</v>
      </c>
      <c r="M1377" s="36" t="e" cm="1">
        <f t="array" ref="M1377">IF(A1377="","",_xlfn.XLOOKUP(D1377&amp;"_"&amp;AE1377,符文权重!A:A&amp;"_"&amp;符文权重!C:C,符文权重!D:D))</f>
        <v>#N/A</v>
      </c>
      <c r="N1377" s="36"/>
      <c r="O1377" s="36"/>
      <c r="P1377" s="36"/>
      <c r="Q1377" s="36"/>
      <c r="R1377" s="36"/>
      <c r="S1377" s="36" t="s">
        <v>175</v>
      </c>
      <c r="T1377" s="36"/>
      <c r="U1377" s="36" t="s">
        <v>426</v>
      </c>
      <c r="V1377" s="29" t="s">
        <v>1741</v>
      </c>
      <c r="W1377" s="79"/>
      <c r="X1377" s="35" t="s">
        <v>1641</v>
      </c>
      <c r="Y1377" s="35">
        <v>100</v>
      </c>
      <c r="AA1377" s="36" t="s">
        <v>189</v>
      </c>
      <c r="AB1377" s="79" t="s">
        <v>1742</v>
      </c>
      <c r="AC1377" s="31">
        <v>5301418</v>
      </c>
      <c r="AD1377" s="79" t="s">
        <v>600</v>
      </c>
      <c r="AE1377" s="36">
        <v>100</v>
      </c>
      <c r="AF1377" s="79"/>
      <c r="AG1377" s="79">
        <v>1</v>
      </c>
      <c r="AH1377" s="36">
        <v>1</v>
      </c>
      <c r="AL1377" s="35"/>
    </row>
    <row r="1378" s="31" customFormat="1" hidden="1" customHeight="1" spans="1:38">
      <c r="A1378" s="82">
        <v>5307418</v>
      </c>
      <c r="B1378" s="34"/>
      <c r="C1378" s="31">
        <v>5301418</v>
      </c>
      <c r="D1378" s="79">
        <v>7</v>
      </c>
      <c r="E1378" s="79"/>
      <c r="F1378" s="79" t="s">
        <v>220</v>
      </c>
      <c r="G1378" s="36" t="str">
        <f t="shared" si="280"/>
        <v/>
      </c>
      <c r="H1378" s="36" t="str">
        <f>IFERROR(IF(--MID($F1378,2*COUNTIF($G1378:G1378,"&gt;"&amp;0)+2,1)=H$1,H$1,""),"")</f>
        <v/>
      </c>
      <c r="I1378" s="36" t="str">
        <f>IFERROR(IF(--MID($F1378,2*COUNTIF($G1378:H1378,"&gt;"&amp;0)+2,1)=I$1,I$1,""),"")</f>
        <v/>
      </c>
      <c r="J1378" s="36" t="str">
        <f>IFERROR(IF(--MID($F1378,2*COUNTIF($G1378:I1378,"&gt;"&amp;0)+2,1)=J$1,J$1,""),"")</f>
        <v/>
      </c>
      <c r="K1378" s="36" t="str">
        <f>IFERROR(IF(--MID($F1378,2*COUNTIF($G1378:J1378,"&gt;"&amp;0)+2,1)=K$1,K$1,""),"")</f>
        <v/>
      </c>
      <c r="L1378" s="36">
        <f>IFERROR(IF(--MID($F1378,2*COUNTIF($G1378:K1378,"&gt;"&amp;0)+2,1)=L$1,L$1,""),"")</f>
        <v>6</v>
      </c>
      <c r="M1378" s="36" t="e" cm="1">
        <f t="array" ref="M1378">IF(A1378="","",_xlfn.XLOOKUP(D1378&amp;"_"&amp;AE1378,符文权重!A:A&amp;"_"&amp;符文权重!C:C,符文权重!D:D))</f>
        <v>#N/A</v>
      </c>
      <c r="N1378" s="36"/>
      <c r="O1378" s="36"/>
      <c r="P1378" s="36"/>
      <c r="Q1378" s="36"/>
      <c r="R1378" s="36"/>
      <c r="S1378" s="36" t="s">
        <v>175</v>
      </c>
      <c r="T1378" s="36"/>
      <c r="U1378" s="36" t="s">
        <v>429</v>
      </c>
      <c r="V1378" s="29" t="s">
        <v>1743</v>
      </c>
      <c r="W1378" s="79"/>
      <c r="X1378" s="35" t="s">
        <v>1644</v>
      </c>
      <c r="Y1378" s="35">
        <v>100</v>
      </c>
      <c r="AA1378" s="36" t="s">
        <v>191</v>
      </c>
      <c r="AB1378" s="79" t="s">
        <v>1744</v>
      </c>
      <c r="AC1378" s="31">
        <v>5301418</v>
      </c>
      <c r="AD1378" s="79" t="s">
        <v>596</v>
      </c>
      <c r="AE1378" s="36">
        <v>100</v>
      </c>
      <c r="AF1378" s="79"/>
      <c r="AG1378" s="79">
        <v>1</v>
      </c>
      <c r="AH1378" s="36">
        <v>1</v>
      </c>
      <c r="AL1378" s="35"/>
    </row>
    <row r="1379" s="31" customFormat="1" hidden="1" customHeight="1" spans="1:38">
      <c r="A1379" s="82">
        <v>5305419</v>
      </c>
      <c r="B1379" s="34"/>
      <c r="C1379" s="31">
        <v>5301419</v>
      </c>
      <c r="D1379" s="79">
        <v>5</v>
      </c>
      <c r="E1379" s="79"/>
      <c r="F1379" s="79" t="s">
        <v>220</v>
      </c>
      <c r="G1379" s="36" t="str">
        <f t="shared" si="280"/>
        <v/>
      </c>
      <c r="H1379" s="36" t="str">
        <f>IFERROR(IF(--MID($F1379,2*COUNTIF($G1379:G1379,"&gt;"&amp;0)+2,1)=H$1,H$1,""),"")</f>
        <v/>
      </c>
      <c r="I1379" s="36" t="str">
        <f>IFERROR(IF(--MID($F1379,2*COUNTIF($G1379:H1379,"&gt;"&amp;0)+2,1)=I$1,I$1,""),"")</f>
        <v/>
      </c>
      <c r="J1379" s="36" t="str">
        <f>IFERROR(IF(--MID($F1379,2*COUNTIF($G1379:I1379,"&gt;"&amp;0)+2,1)=J$1,J$1,""),"")</f>
        <v/>
      </c>
      <c r="K1379" s="36" t="str">
        <f>IFERROR(IF(--MID($F1379,2*COUNTIF($G1379:J1379,"&gt;"&amp;0)+2,1)=K$1,K$1,""),"")</f>
        <v/>
      </c>
      <c r="L1379" s="36">
        <f>IFERROR(IF(--MID($F1379,2*COUNTIF($G1379:K1379,"&gt;"&amp;0)+2,1)=L$1,L$1,""),"")</f>
        <v>6</v>
      </c>
      <c r="M1379" s="36" t="e" cm="1">
        <f t="array" ref="M1379">IF(A1379="","",_xlfn.XLOOKUP(D1379&amp;"_"&amp;AE1379,符文权重!A:A&amp;"_"&amp;符文权重!C:C,符文权重!D:D))</f>
        <v>#N/A</v>
      </c>
      <c r="N1379" s="36"/>
      <c r="O1379" s="36"/>
      <c r="P1379" s="36"/>
      <c r="Q1379" s="36"/>
      <c r="R1379" s="36"/>
      <c r="S1379" s="36" t="s">
        <v>175</v>
      </c>
      <c r="T1379" s="36"/>
      <c r="U1379" s="36" t="s">
        <v>423</v>
      </c>
      <c r="V1379" s="29" t="s">
        <v>1724</v>
      </c>
      <c r="W1379" s="79"/>
      <c r="X1379" s="35" t="s">
        <v>1628</v>
      </c>
      <c r="Y1379" s="35">
        <v>100</v>
      </c>
      <c r="AA1379" s="36" t="s">
        <v>187</v>
      </c>
      <c r="AB1379" s="79" t="s">
        <v>1725</v>
      </c>
      <c r="AC1379" s="31">
        <v>5301415</v>
      </c>
      <c r="AD1379" s="79" t="s">
        <v>492</v>
      </c>
      <c r="AE1379" s="36">
        <v>100</v>
      </c>
      <c r="AF1379" s="79"/>
      <c r="AG1379" s="79">
        <v>1</v>
      </c>
      <c r="AH1379" s="36">
        <v>1</v>
      </c>
      <c r="AI1379" s="82"/>
      <c r="AJ1379" s="84"/>
      <c r="AL1379" s="35"/>
    </row>
    <row r="1380" s="31" customFormat="1" hidden="1" customHeight="1" spans="1:38">
      <c r="A1380" s="82">
        <v>5306419</v>
      </c>
      <c r="B1380" s="34"/>
      <c r="C1380" s="31">
        <v>5301419</v>
      </c>
      <c r="D1380" s="79">
        <v>6</v>
      </c>
      <c r="E1380" s="79"/>
      <c r="F1380" s="79" t="s">
        <v>220</v>
      </c>
      <c r="G1380" s="36" t="str">
        <f t="shared" si="280"/>
        <v/>
      </c>
      <c r="H1380" s="36" t="str">
        <f>IFERROR(IF(--MID($F1380,2*COUNTIF($G1380:G1380,"&gt;"&amp;0)+2,1)=H$1,H$1,""),"")</f>
        <v/>
      </c>
      <c r="I1380" s="36" t="str">
        <f>IFERROR(IF(--MID($F1380,2*COUNTIF($G1380:H1380,"&gt;"&amp;0)+2,1)=I$1,I$1,""),"")</f>
        <v/>
      </c>
      <c r="J1380" s="36" t="str">
        <f>IFERROR(IF(--MID($F1380,2*COUNTIF($G1380:I1380,"&gt;"&amp;0)+2,1)=J$1,J$1,""),"")</f>
        <v/>
      </c>
      <c r="K1380" s="36" t="str">
        <f>IFERROR(IF(--MID($F1380,2*COUNTIF($G1380:J1380,"&gt;"&amp;0)+2,1)=K$1,K$1,""),"")</f>
        <v/>
      </c>
      <c r="L1380" s="36">
        <f>IFERROR(IF(--MID($F1380,2*COUNTIF($G1380:K1380,"&gt;"&amp;0)+2,1)=L$1,L$1,""),"")</f>
        <v>6</v>
      </c>
      <c r="M1380" s="36" t="e" cm="1">
        <f t="array" ref="M1380">IF(A1380="","",_xlfn.XLOOKUP(D1380&amp;"_"&amp;AE1380,符文权重!A:A&amp;"_"&amp;符文权重!C:C,符文权重!D:D))</f>
        <v>#N/A</v>
      </c>
      <c r="N1380" s="36"/>
      <c r="O1380" s="36"/>
      <c r="P1380" s="36"/>
      <c r="Q1380" s="36"/>
      <c r="R1380" s="36"/>
      <c r="S1380" s="36" t="s">
        <v>175</v>
      </c>
      <c r="T1380" s="36"/>
      <c r="U1380" s="36" t="s">
        <v>426</v>
      </c>
      <c r="V1380" s="29" t="s">
        <v>1726</v>
      </c>
      <c r="W1380" s="79"/>
      <c r="X1380" s="35" t="s">
        <v>1631</v>
      </c>
      <c r="Y1380" s="35">
        <v>100</v>
      </c>
      <c r="AA1380" s="36" t="s">
        <v>189</v>
      </c>
      <c r="AB1380" s="79" t="s">
        <v>1727</v>
      </c>
      <c r="AC1380" s="31">
        <v>5301415</v>
      </c>
      <c r="AD1380" s="79" t="s">
        <v>494</v>
      </c>
      <c r="AE1380" s="36">
        <v>100</v>
      </c>
      <c r="AF1380" s="79"/>
      <c r="AG1380" s="79">
        <v>1</v>
      </c>
      <c r="AH1380" s="36">
        <v>1</v>
      </c>
      <c r="AI1380" s="82"/>
      <c r="AJ1380" s="84"/>
      <c r="AL1380" s="35"/>
    </row>
    <row r="1381" s="31" customFormat="1" hidden="1" customHeight="1" spans="1:38">
      <c r="A1381" s="82">
        <v>5307419</v>
      </c>
      <c r="B1381" s="34"/>
      <c r="C1381" s="31">
        <v>5301419</v>
      </c>
      <c r="D1381" s="79">
        <v>7</v>
      </c>
      <c r="E1381" s="79"/>
      <c r="F1381" s="79" t="s">
        <v>220</v>
      </c>
      <c r="G1381" s="36" t="str">
        <f t="shared" si="280"/>
        <v/>
      </c>
      <c r="H1381" s="36" t="str">
        <f>IFERROR(IF(--MID($F1381,2*COUNTIF($G1381:G1381,"&gt;"&amp;0)+2,1)=H$1,H$1,""),"")</f>
        <v/>
      </c>
      <c r="I1381" s="36" t="str">
        <f>IFERROR(IF(--MID($F1381,2*COUNTIF($G1381:H1381,"&gt;"&amp;0)+2,1)=I$1,I$1,""),"")</f>
        <v/>
      </c>
      <c r="J1381" s="36" t="str">
        <f>IFERROR(IF(--MID($F1381,2*COUNTIF($G1381:I1381,"&gt;"&amp;0)+2,1)=J$1,J$1,""),"")</f>
        <v/>
      </c>
      <c r="K1381" s="36" t="str">
        <f>IFERROR(IF(--MID($F1381,2*COUNTIF($G1381:J1381,"&gt;"&amp;0)+2,1)=K$1,K$1,""),"")</f>
        <v/>
      </c>
      <c r="L1381" s="36">
        <f>IFERROR(IF(--MID($F1381,2*COUNTIF($G1381:K1381,"&gt;"&amp;0)+2,1)=L$1,L$1,""),"")</f>
        <v>6</v>
      </c>
      <c r="M1381" s="36" t="e" cm="1">
        <f t="array" ref="M1381">IF(A1381="","",_xlfn.XLOOKUP(D1381&amp;"_"&amp;AE1381,符文权重!A:A&amp;"_"&amp;符文权重!C:C,符文权重!D:D))</f>
        <v>#N/A</v>
      </c>
      <c r="N1381" s="36"/>
      <c r="O1381" s="36"/>
      <c r="P1381" s="36"/>
      <c r="Q1381" s="36"/>
      <c r="R1381" s="36"/>
      <c r="S1381" s="36" t="s">
        <v>175</v>
      </c>
      <c r="T1381" s="36"/>
      <c r="U1381" s="36" t="s">
        <v>429</v>
      </c>
      <c r="V1381" s="29" t="s">
        <v>1728</v>
      </c>
      <c r="W1381" s="79"/>
      <c r="X1381" s="35" t="s">
        <v>1634</v>
      </c>
      <c r="Y1381" s="35">
        <v>100</v>
      </c>
      <c r="AA1381" s="36" t="s">
        <v>191</v>
      </c>
      <c r="AB1381" s="79" t="s">
        <v>1729</v>
      </c>
      <c r="AC1381" s="31">
        <v>5301415</v>
      </c>
      <c r="AD1381" s="79" t="s">
        <v>649</v>
      </c>
      <c r="AE1381" s="36">
        <v>100</v>
      </c>
      <c r="AF1381" s="79"/>
      <c r="AG1381" s="79">
        <v>1</v>
      </c>
      <c r="AH1381" s="36">
        <v>1</v>
      </c>
      <c r="AI1381" s="82"/>
      <c r="AJ1381" s="84"/>
      <c r="AL1381" s="35"/>
    </row>
    <row r="1382" hidden="1" customHeight="1" spans="1:38">
      <c r="A1382" s="33">
        <v>5305503</v>
      </c>
      <c r="C1382" s="35">
        <v>5301503</v>
      </c>
      <c r="D1382" s="36">
        <v>5</v>
      </c>
      <c r="E1382" s="36"/>
      <c r="F1382" s="36" t="s">
        <v>193</v>
      </c>
      <c r="G1382" s="36" t="str">
        <f t="shared" si="280"/>
        <v/>
      </c>
      <c r="H1382" s="36" t="str">
        <f>IFERROR(IF(--MID($F1382,2*COUNTIF($G1382:G1382,"&gt;"&amp;0)+2,1)=H$1,H$1,""),"")</f>
        <v/>
      </c>
      <c r="I1382" s="36">
        <f>IFERROR(IF(--MID($F1382,2*COUNTIF($G1382:H1382,"&gt;"&amp;0)+2,1)=I$1,I$1,""),"")</f>
        <v>3</v>
      </c>
      <c r="J1382" s="36" t="str">
        <f>IFERROR(IF(--MID($F1382,2*COUNTIF($G1382:I1382,"&gt;"&amp;0)+2,1)=J$1,J$1,""),"")</f>
        <v/>
      </c>
      <c r="K1382" s="36" t="str">
        <f>IFERROR(IF(--MID($F1382,2*COUNTIF($G1382:J1382,"&gt;"&amp;0)+2,1)=K$1,K$1,""),"")</f>
        <v/>
      </c>
      <c r="L1382" s="36" t="str">
        <f>IFERROR(IF(--MID($F1382,2*COUNTIF($G1382:K1382,"&gt;"&amp;0)+2,1)=L$1,L$1,""),"")</f>
        <v/>
      </c>
      <c r="M1382" s="36" t="e" cm="1">
        <f t="array" ref="M1382">IF(A1382="","",_xlfn.XLOOKUP(D1382&amp;"_"&amp;AE1382,符文权重!A:A&amp;"_"&amp;符文权重!C:C,符文权重!D:D))</f>
        <v>#N/A</v>
      </c>
      <c r="N1382" s="36"/>
      <c r="O1382" s="36"/>
      <c r="P1382" s="36"/>
      <c r="Q1382" s="36"/>
      <c r="R1382" s="36"/>
      <c r="S1382" s="36" t="s">
        <v>175</v>
      </c>
      <c r="T1382" s="36"/>
      <c r="U1382" s="36" t="s">
        <v>423</v>
      </c>
      <c r="V1382" s="25" t="s">
        <v>1745</v>
      </c>
      <c r="X1382" s="35" t="s">
        <v>1589</v>
      </c>
      <c r="Y1382" s="35">
        <v>100</v>
      </c>
      <c r="AA1382" s="36" t="s">
        <v>187</v>
      </c>
      <c r="AB1382" s="36" t="s">
        <v>1746</v>
      </c>
      <c r="AC1382" s="35">
        <v>5301503</v>
      </c>
      <c r="AD1382" s="36" t="s">
        <v>1502</v>
      </c>
      <c r="AE1382" s="36">
        <v>100</v>
      </c>
      <c r="AF1382" s="36"/>
      <c r="AG1382" s="79">
        <v>1</v>
      </c>
      <c r="AH1382" s="36">
        <v>1</v>
      </c>
    </row>
    <row r="1383" hidden="1" customHeight="1" spans="1:38">
      <c r="A1383" s="33">
        <v>5306503</v>
      </c>
      <c r="C1383" s="35">
        <v>5301503</v>
      </c>
      <c r="D1383" s="36">
        <v>6</v>
      </c>
      <c r="E1383" s="36"/>
      <c r="F1383" s="36" t="s">
        <v>193</v>
      </c>
      <c r="G1383" s="36" t="str">
        <f t="shared" si="280"/>
        <v/>
      </c>
      <c r="H1383" s="36" t="str">
        <f>IFERROR(IF(--MID($F1383,2*COUNTIF($G1383:G1383,"&gt;"&amp;0)+2,1)=H$1,H$1,""),"")</f>
        <v/>
      </c>
      <c r="I1383" s="36">
        <f>IFERROR(IF(--MID($F1383,2*COUNTIF($G1383:H1383,"&gt;"&amp;0)+2,1)=I$1,I$1,""),"")</f>
        <v>3</v>
      </c>
      <c r="J1383" s="36" t="str">
        <f>IFERROR(IF(--MID($F1383,2*COUNTIF($G1383:I1383,"&gt;"&amp;0)+2,1)=J$1,J$1,""),"")</f>
        <v/>
      </c>
      <c r="K1383" s="36" t="str">
        <f>IFERROR(IF(--MID($F1383,2*COUNTIF($G1383:J1383,"&gt;"&amp;0)+2,1)=K$1,K$1,""),"")</f>
        <v/>
      </c>
      <c r="L1383" s="36" t="str">
        <f>IFERROR(IF(--MID($F1383,2*COUNTIF($G1383:K1383,"&gt;"&amp;0)+2,1)=L$1,L$1,""),"")</f>
        <v/>
      </c>
      <c r="M1383" s="36" t="e" cm="1">
        <f t="array" ref="M1383">IF(A1383="","",_xlfn.XLOOKUP(D1383&amp;"_"&amp;AE1383,符文权重!A:A&amp;"_"&amp;符文权重!C:C,符文权重!D:D))</f>
        <v>#N/A</v>
      </c>
      <c r="N1383" s="36"/>
      <c r="O1383" s="36"/>
      <c r="P1383" s="36"/>
      <c r="Q1383" s="36"/>
      <c r="R1383" s="36"/>
      <c r="S1383" s="36" t="s">
        <v>175</v>
      </c>
      <c r="T1383" s="36"/>
      <c r="U1383" s="36" t="s">
        <v>426</v>
      </c>
      <c r="V1383" s="25" t="s">
        <v>1747</v>
      </c>
      <c r="X1383" s="35" t="s">
        <v>1594</v>
      </c>
      <c r="Y1383" s="35">
        <v>100</v>
      </c>
      <c r="AA1383" s="36" t="s">
        <v>189</v>
      </c>
      <c r="AB1383" s="36" t="s">
        <v>1748</v>
      </c>
      <c r="AC1383" s="35">
        <v>5301503</v>
      </c>
      <c r="AD1383" s="36" t="s">
        <v>1749</v>
      </c>
      <c r="AE1383" s="36">
        <v>100</v>
      </c>
      <c r="AF1383" s="36"/>
      <c r="AG1383" s="79">
        <v>1</v>
      </c>
      <c r="AH1383" s="36">
        <v>1</v>
      </c>
    </row>
    <row r="1384" hidden="1" customHeight="1" spans="1:38">
      <c r="A1384" s="33">
        <v>5307503</v>
      </c>
      <c r="C1384" s="35">
        <v>5301503</v>
      </c>
      <c r="D1384" s="36">
        <v>7</v>
      </c>
      <c r="E1384" s="36"/>
      <c r="F1384" s="36" t="s">
        <v>193</v>
      </c>
      <c r="G1384" s="36" t="str">
        <f t="shared" si="280"/>
        <v/>
      </c>
      <c r="H1384" s="36" t="str">
        <f>IFERROR(IF(--MID($F1384,2*COUNTIF($G1384:G1384,"&gt;"&amp;0)+2,1)=H$1,H$1,""),"")</f>
        <v/>
      </c>
      <c r="I1384" s="36">
        <f>IFERROR(IF(--MID($F1384,2*COUNTIF($G1384:H1384,"&gt;"&amp;0)+2,1)=I$1,I$1,""),"")</f>
        <v>3</v>
      </c>
      <c r="J1384" s="36" t="str">
        <f>IFERROR(IF(--MID($F1384,2*COUNTIF($G1384:I1384,"&gt;"&amp;0)+2,1)=J$1,J$1,""),"")</f>
        <v/>
      </c>
      <c r="K1384" s="36" t="str">
        <f>IFERROR(IF(--MID($F1384,2*COUNTIF($G1384:J1384,"&gt;"&amp;0)+2,1)=K$1,K$1,""),"")</f>
        <v/>
      </c>
      <c r="L1384" s="36" t="str">
        <f>IFERROR(IF(--MID($F1384,2*COUNTIF($G1384:K1384,"&gt;"&amp;0)+2,1)=L$1,L$1,""),"")</f>
        <v/>
      </c>
      <c r="M1384" s="36" t="e" cm="1">
        <f t="array" ref="M1384">IF(A1384="","",_xlfn.XLOOKUP(D1384&amp;"_"&amp;AE1384,符文权重!A:A&amp;"_"&amp;符文权重!C:C,符文权重!D:D))</f>
        <v>#N/A</v>
      </c>
      <c r="N1384" s="36"/>
      <c r="O1384" s="36"/>
      <c r="P1384" s="36"/>
      <c r="Q1384" s="36"/>
      <c r="R1384" s="36"/>
      <c r="S1384" s="36" t="s">
        <v>175</v>
      </c>
      <c r="T1384" s="36"/>
      <c r="U1384" s="36" t="s">
        <v>429</v>
      </c>
      <c r="V1384" s="25" t="s">
        <v>1750</v>
      </c>
      <c r="X1384" s="35" t="s">
        <v>1597</v>
      </c>
      <c r="Y1384" s="35">
        <v>100</v>
      </c>
      <c r="AA1384" s="36" t="s">
        <v>191</v>
      </c>
      <c r="AB1384" s="36" t="s">
        <v>1751</v>
      </c>
      <c r="AC1384" s="35">
        <v>5301503</v>
      </c>
      <c r="AD1384" s="36" t="s">
        <v>1752</v>
      </c>
      <c r="AE1384" s="36">
        <v>100</v>
      </c>
      <c r="AF1384" s="36"/>
      <c r="AG1384" s="79">
        <v>1</v>
      </c>
      <c r="AH1384" s="36">
        <v>1</v>
      </c>
    </row>
    <row r="1385" hidden="1" customHeight="1" spans="1:38">
      <c r="A1385" s="33">
        <v>5305505</v>
      </c>
      <c r="C1385" s="35">
        <v>5301505</v>
      </c>
      <c r="D1385" s="36">
        <v>5</v>
      </c>
      <c r="E1385" s="36"/>
      <c r="F1385" s="36" t="s">
        <v>230</v>
      </c>
      <c r="G1385" s="36" t="str">
        <f t="shared" si="280"/>
        <v/>
      </c>
      <c r="H1385" s="36" t="str">
        <f>IFERROR(IF(--MID($F1385,2*COUNTIF($G1385:G1385,"&gt;"&amp;0)+2,1)=H$1,H$1,""),"")</f>
        <v/>
      </c>
      <c r="I1385" s="36" t="str">
        <f>IFERROR(IF(--MID($F1385,2*COUNTIF($G1385:H1385,"&gt;"&amp;0)+2,1)=I$1,I$1,""),"")</f>
        <v/>
      </c>
      <c r="J1385" s="36" t="str">
        <f>IFERROR(IF(--MID($F1385,2*COUNTIF($G1385:I1385,"&gt;"&amp;0)+2,1)=J$1,J$1,""),"")</f>
        <v/>
      </c>
      <c r="K1385" s="36">
        <f>IFERROR(IF(--MID($F1385,2*COUNTIF($G1385:J1385,"&gt;"&amp;0)+2,1)=K$1,K$1,""),"")</f>
        <v>5</v>
      </c>
      <c r="L1385" s="36" t="str">
        <f>IFERROR(IF(--MID($F1385,2*COUNTIF($G1385:K1385,"&gt;"&amp;0)+2,1)=L$1,L$1,""),"")</f>
        <v/>
      </c>
      <c r="M1385" s="36" t="e" cm="1">
        <f t="array" ref="M1385">IF(A1385="","",_xlfn.XLOOKUP(D1385&amp;"_"&amp;AE1385,符文权重!A:A&amp;"_"&amp;符文权重!C:C,符文权重!D:D))</f>
        <v>#N/A</v>
      </c>
      <c r="N1385" s="36"/>
      <c r="O1385" s="36"/>
      <c r="P1385" s="36"/>
      <c r="Q1385" s="36"/>
      <c r="R1385" s="36"/>
      <c r="S1385" s="36" t="s">
        <v>175</v>
      </c>
      <c r="T1385" s="36"/>
      <c r="U1385" s="36" t="s">
        <v>423</v>
      </c>
      <c r="V1385" s="25" t="s">
        <v>1753</v>
      </c>
      <c r="X1385" s="35" t="s">
        <v>1589</v>
      </c>
      <c r="Y1385" s="35">
        <v>100</v>
      </c>
      <c r="AA1385" s="36" t="s">
        <v>187</v>
      </c>
      <c r="AB1385" s="36" t="s">
        <v>1754</v>
      </c>
      <c r="AC1385" s="35">
        <v>5301505</v>
      </c>
      <c r="AD1385" s="36" t="s">
        <v>1755</v>
      </c>
      <c r="AE1385" s="36">
        <v>100</v>
      </c>
      <c r="AF1385" s="36"/>
      <c r="AG1385" s="79">
        <v>1</v>
      </c>
      <c r="AH1385" s="36">
        <v>1</v>
      </c>
    </row>
    <row r="1386" hidden="1" customHeight="1" spans="1:38">
      <c r="A1386" s="33">
        <v>5306505</v>
      </c>
      <c r="C1386" s="35">
        <v>5301505</v>
      </c>
      <c r="D1386" s="36">
        <v>6</v>
      </c>
      <c r="E1386" s="36"/>
      <c r="F1386" s="36" t="s">
        <v>230</v>
      </c>
      <c r="G1386" s="36" t="str">
        <f>IF(LEFT(F1386,2)="[1",1,"")</f>
        <v/>
      </c>
      <c r="H1386" s="36" t="str">
        <f>IFERROR(IF(--MID($F1386,2*COUNTIF($G1386:G1386,"&gt;"&amp;0)+2,1)=H$1,H$1,""),"")</f>
        <v/>
      </c>
      <c r="I1386" s="36" t="str">
        <f>IFERROR(IF(--MID($F1386,2*COUNTIF($G1386:H1386,"&gt;"&amp;0)+2,1)=I$1,I$1,""),"")</f>
        <v/>
      </c>
      <c r="J1386" s="36" t="str">
        <f>IFERROR(IF(--MID($F1386,2*COUNTIF($G1386:I1386,"&gt;"&amp;0)+2,1)=J$1,J$1,""),"")</f>
        <v/>
      </c>
      <c r="K1386" s="36">
        <f>IFERROR(IF(--MID($F1386,2*COUNTIF($G1386:J1386,"&gt;"&amp;0)+2,1)=K$1,K$1,""),"")</f>
        <v>5</v>
      </c>
      <c r="L1386" s="36" t="str">
        <f>IFERROR(IF(--MID($F1386,2*COUNTIF($G1386:K1386,"&gt;"&amp;0)+2,1)=L$1,L$1,""),"")</f>
        <v/>
      </c>
      <c r="M1386" s="36" t="e" cm="1">
        <f t="array" ref="M1386">IF(A1386="","",_xlfn.XLOOKUP(D1386&amp;"_"&amp;AE1386,符文权重!A:A&amp;"_"&amp;符文权重!C:C,符文权重!D:D))</f>
        <v>#N/A</v>
      </c>
      <c r="N1386" s="36"/>
      <c r="O1386" s="36"/>
      <c r="P1386" s="36"/>
      <c r="Q1386" s="36"/>
      <c r="R1386" s="36"/>
      <c r="S1386" s="36" t="s">
        <v>175</v>
      </c>
      <c r="T1386" s="36"/>
      <c r="U1386" s="36" t="s">
        <v>426</v>
      </c>
      <c r="V1386" s="25" t="s">
        <v>1756</v>
      </c>
      <c r="X1386" s="35" t="s">
        <v>1594</v>
      </c>
      <c r="Y1386" s="35">
        <v>100</v>
      </c>
      <c r="AA1386" s="36" t="s">
        <v>189</v>
      </c>
      <c r="AB1386" s="36" t="s">
        <v>1757</v>
      </c>
      <c r="AC1386" s="35">
        <v>5301505</v>
      </c>
      <c r="AD1386" s="36" t="s">
        <v>202</v>
      </c>
      <c r="AE1386" s="36">
        <v>100</v>
      </c>
      <c r="AF1386" s="36"/>
      <c r="AG1386" s="79">
        <v>1</v>
      </c>
      <c r="AH1386" s="36">
        <v>1</v>
      </c>
    </row>
    <row r="1387" hidden="1" customHeight="1" spans="1:38">
      <c r="A1387" s="33">
        <v>5307505</v>
      </c>
      <c r="C1387" s="35">
        <v>5301505</v>
      </c>
      <c r="D1387" s="36">
        <v>7</v>
      </c>
      <c r="E1387" s="36"/>
      <c r="F1387" s="36" t="s">
        <v>230</v>
      </c>
      <c r="G1387" s="36" t="str">
        <f>IF(LEFT(F1387,2)="[1",1,"")</f>
        <v/>
      </c>
      <c r="H1387" s="36" t="str">
        <f>IFERROR(IF(--MID($F1387,2*COUNTIF($G1387:G1387,"&gt;"&amp;0)+2,1)=H$1,H$1,""),"")</f>
        <v/>
      </c>
      <c r="I1387" s="36" t="str">
        <f>IFERROR(IF(--MID($F1387,2*COUNTIF($G1387:H1387,"&gt;"&amp;0)+2,1)=I$1,I$1,""),"")</f>
        <v/>
      </c>
      <c r="J1387" s="36" t="str">
        <f>IFERROR(IF(--MID($F1387,2*COUNTIF($G1387:I1387,"&gt;"&amp;0)+2,1)=J$1,J$1,""),"")</f>
        <v/>
      </c>
      <c r="K1387" s="36">
        <f>IFERROR(IF(--MID($F1387,2*COUNTIF($G1387:J1387,"&gt;"&amp;0)+2,1)=K$1,K$1,""),"")</f>
        <v>5</v>
      </c>
      <c r="L1387" s="36" t="str">
        <f>IFERROR(IF(--MID($F1387,2*COUNTIF($G1387:K1387,"&gt;"&amp;0)+2,1)=L$1,L$1,""),"")</f>
        <v/>
      </c>
      <c r="M1387" s="36" t="e" cm="1">
        <f t="array" ref="M1387">IF(A1387="","",_xlfn.XLOOKUP(D1387&amp;"_"&amp;AE1387,符文权重!A:A&amp;"_"&amp;符文权重!C:C,符文权重!D:D))</f>
        <v>#N/A</v>
      </c>
      <c r="N1387" s="36"/>
      <c r="O1387" s="36"/>
      <c r="P1387" s="36"/>
      <c r="Q1387" s="36"/>
      <c r="R1387" s="36"/>
      <c r="S1387" s="36" t="s">
        <v>175</v>
      </c>
      <c r="T1387" s="36"/>
      <c r="U1387" s="36" t="s">
        <v>429</v>
      </c>
      <c r="V1387" s="25" t="s">
        <v>1758</v>
      </c>
      <c r="X1387" s="35" t="s">
        <v>1597</v>
      </c>
      <c r="Y1387" s="35">
        <v>100</v>
      </c>
      <c r="AA1387" s="36" t="s">
        <v>191</v>
      </c>
      <c r="AB1387" s="36" t="s">
        <v>1759</v>
      </c>
      <c r="AC1387" s="35">
        <v>5301505</v>
      </c>
      <c r="AD1387" s="36" t="s">
        <v>875</v>
      </c>
      <c r="AE1387" s="36">
        <v>100</v>
      </c>
      <c r="AF1387" s="36"/>
      <c r="AG1387" s="79">
        <v>1</v>
      </c>
      <c r="AH1387" s="36">
        <v>1</v>
      </c>
    </row>
    <row r="1388" hidden="1" customHeight="1" spans="1:38">
      <c r="A1388" s="33">
        <v>5305506</v>
      </c>
      <c r="C1388" s="35">
        <v>5301506</v>
      </c>
      <c r="D1388" s="36">
        <v>5</v>
      </c>
      <c r="E1388" s="36"/>
      <c r="F1388" s="36" t="s">
        <v>220</v>
      </c>
      <c r="G1388" s="36" t="str">
        <f>IF(LEFT(F1388,2)="[1",1,"")</f>
        <v/>
      </c>
      <c r="H1388" s="36" t="str">
        <f>IFERROR(IF(--MID($F1388,2*COUNTIF($G1388:G1388,"&gt;"&amp;0)+2,1)=H$1,H$1,""),"")</f>
        <v/>
      </c>
      <c r="I1388" s="36" t="str">
        <f>IFERROR(IF(--MID($F1388,2*COUNTIF($G1388:H1388,"&gt;"&amp;0)+2,1)=I$1,I$1,""),"")</f>
        <v/>
      </c>
      <c r="J1388" s="36" t="str">
        <f>IFERROR(IF(--MID($F1388,2*COUNTIF($G1388:I1388,"&gt;"&amp;0)+2,1)=J$1,J$1,""),"")</f>
        <v/>
      </c>
      <c r="K1388" s="36" t="str">
        <f>IFERROR(IF(--MID($F1388,2*COUNTIF($G1388:J1388,"&gt;"&amp;0)+2,1)=K$1,K$1,""),"")</f>
        <v/>
      </c>
      <c r="L1388" s="36">
        <f>IFERROR(IF(--MID($F1388,2*COUNTIF($G1388:K1388,"&gt;"&amp;0)+2,1)=L$1,L$1,""),"")</f>
        <v>6</v>
      </c>
      <c r="M1388" s="36" t="e" cm="1">
        <f t="array" ref="M1388">IF(A1388="","",_xlfn.XLOOKUP(D1388&amp;"_"&amp;AE1388,符文权重!A:A&amp;"_"&amp;符文权重!C:C,符文权重!D:D))</f>
        <v>#N/A</v>
      </c>
      <c r="N1388" s="36"/>
      <c r="O1388" s="36"/>
      <c r="P1388" s="36"/>
      <c r="Q1388" s="36"/>
      <c r="R1388" s="36"/>
      <c r="S1388" s="36" t="s">
        <v>175</v>
      </c>
      <c r="T1388" s="36"/>
      <c r="U1388" s="36" t="s">
        <v>423</v>
      </c>
      <c r="V1388" s="25" t="s">
        <v>1760</v>
      </c>
      <c r="X1388" s="35" t="s">
        <v>1589</v>
      </c>
      <c r="Y1388" s="35">
        <v>100</v>
      </c>
      <c r="AA1388" s="36" t="s">
        <v>187</v>
      </c>
      <c r="AB1388" s="36" t="s">
        <v>1761</v>
      </c>
      <c r="AC1388" s="35">
        <v>5301506</v>
      </c>
      <c r="AD1388" s="36" t="s">
        <v>625</v>
      </c>
      <c r="AE1388" s="36">
        <v>100</v>
      </c>
      <c r="AF1388" s="36"/>
      <c r="AG1388" s="79">
        <v>1</v>
      </c>
      <c r="AH1388" s="36">
        <v>1</v>
      </c>
    </row>
    <row r="1389" hidden="1" customHeight="1" spans="1:38">
      <c r="A1389" s="33">
        <v>5306506</v>
      </c>
      <c r="C1389" s="35">
        <v>5301506</v>
      </c>
      <c r="D1389" s="36">
        <v>6</v>
      </c>
      <c r="E1389" s="36"/>
      <c r="F1389" s="36" t="s">
        <v>220</v>
      </c>
      <c r="G1389" s="36" t="str">
        <f>IF(LEFT(F1389,2)="[1",1,"")</f>
        <v/>
      </c>
      <c r="H1389" s="36" t="str">
        <f>IFERROR(IF(--MID($F1389,2*COUNTIF($G1389:G1389,"&gt;"&amp;0)+2,1)=H$1,H$1,""),"")</f>
        <v/>
      </c>
      <c r="I1389" s="36" t="str">
        <f>IFERROR(IF(--MID($F1389,2*COUNTIF($G1389:H1389,"&gt;"&amp;0)+2,1)=I$1,I$1,""),"")</f>
        <v/>
      </c>
      <c r="J1389" s="36" t="str">
        <f>IFERROR(IF(--MID($F1389,2*COUNTIF($G1389:I1389,"&gt;"&amp;0)+2,1)=J$1,J$1,""),"")</f>
        <v/>
      </c>
      <c r="K1389" s="36" t="str">
        <f>IFERROR(IF(--MID($F1389,2*COUNTIF($G1389:J1389,"&gt;"&amp;0)+2,1)=K$1,K$1,""),"")</f>
        <v/>
      </c>
      <c r="L1389" s="36">
        <f>IFERROR(IF(--MID($F1389,2*COUNTIF($G1389:K1389,"&gt;"&amp;0)+2,1)=L$1,L$1,""),"")</f>
        <v>6</v>
      </c>
      <c r="M1389" s="36" t="e" cm="1">
        <f t="array" ref="M1389">IF(A1389="","",_xlfn.XLOOKUP(D1389&amp;"_"&amp;AE1389,符文权重!A:A&amp;"_"&amp;符文权重!C:C,符文权重!D:D))</f>
        <v>#N/A</v>
      </c>
      <c r="N1389" s="36"/>
      <c r="O1389" s="36"/>
      <c r="P1389" s="36"/>
      <c r="Q1389" s="36"/>
      <c r="R1389" s="36"/>
      <c r="S1389" s="36" t="s">
        <v>175</v>
      </c>
      <c r="T1389" s="36"/>
      <c r="U1389" s="36" t="s">
        <v>426</v>
      </c>
      <c r="V1389" s="25" t="s">
        <v>1762</v>
      </c>
      <c r="X1389" s="35" t="s">
        <v>1594</v>
      </c>
      <c r="Y1389" s="35">
        <v>100</v>
      </c>
      <c r="AA1389" s="36" t="s">
        <v>189</v>
      </c>
      <c r="AB1389" s="36" t="s">
        <v>1763</v>
      </c>
      <c r="AC1389" s="35">
        <v>5301506</v>
      </c>
      <c r="AD1389" s="36" t="s">
        <v>211</v>
      </c>
      <c r="AE1389" s="36">
        <v>100</v>
      </c>
      <c r="AF1389" s="36"/>
      <c r="AG1389" s="79">
        <v>1</v>
      </c>
      <c r="AH1389" s="36">
        <v>1</v>
      </c>
    </row>
    <row r="1390" hidden="1" customHeight="1" spans="1:38">
      <c r="A1390" s="33">
        <v>5307506</v>
      </c>
      <c r="C1390" s="35">
        <v>5301506</v>
      </c>
      <c r="D1390" s="36">
        <v>7</v>
      </c>
      <c r="E1390" s="36"/>
      <c r="F1390" s="36" t="s">
        <v>220</v>
      </c>
      <c r="G1390" s="36" t="str">
        <f>IF(LEFT(F1390,2)="[1",1,"")</f>
        <v/>
      </c>
      <c r="H1390" s="36" t="str">
        <f>IFERROR(IF(--MID($F1390,2*COUNTIF($G1390:G1390,"&gt;"&amp;0)+2,1)=H$1,H$1,""),"")</f>
        <v/>
      </c>
      <c r="I1390" s="36" t="str">
        <f>IFERROR(IF(--MID($F1390,2*COUNTIF($G1390:H1390,"&gt;"&amp;0)+2,1)=I$1,I$1,""),"")</f>
        <v/>
      </c>
      <c r="J1390" s="36" t="str">
        <f>IFERROR(IF(--MID($F1390,2*COUNTIF($G1390:I1390,"&gt;"&amp;0)+2,1)=J$1,J$1,""),"")</f>
        <v/>
      </c>
      <c r="K1390" s="36" t="str">
        <f>IFERROR(IF(--MID($F1390,2*COUNTIF($G1390:J1390,"&gt;"&amp;0)+2,1)=K$1,K$1,""),"")</f>
        <v/>
      </c>
      <c r="L1390" s="36">
        <f>IFERROR(IF(--MID($F1390,2*COUNTIF($G1390:K1390,"&gt;"&amp;0)+2,1)=L$1,L$1,""),"")</f>
        <v>6</v>
      </c>
      <c r="M1390" s="36" t="e" cm="1">
        <f t="array" ref="M1390">IF(A1390="","",_xlfn.XLOOKUP(D1390&amp;"_"&amp;AE1390,符文权重!A:A&amp;"_"&amp;符文权重!C:C,符文权重!D:D))</f>
        <v>#N/A</v>
      </c>
      <c r="N1390" s="36"/>
      <c r="O1390" s="36"/>
      <c r="P1390" s="36"/>
      <c r="Q1390" s="36"/>
      <c r="R1390" s="36"/>
      <c r="S1390" s="36" t="s">
        <v>175</v>
      </c>
      <c r="T1390" s="36"/>
      <c r="U1390" s="36" t="s">
        <v>429</v>
      </c>
      <c r="V1390" s="25" t="s">
        <v>1764</v>
      </c>
      <c r="X1390" s="35" t="s">
        <v>1597</v>
      </c>
      <c r="Y1390" s="35">
        <v>100</v>
      </c>
      <c r="AA1390" s="36" t="s">
        <v>191</v>
      </c>
      <c r="AB1390" s="36" t="s">
        <v>1765</v>
      </c>
      <c r="AC1390" s="35">
        <v>5301506</v>
      </c>
      <c r="AD1390" s="36" t="s">
        <v>981</v>
      </c>
      <c r="AE1390" s="36">
        <v>100</v>
      </c>
      <c r="AF1390" s="36"/>
      <c r="AG1390" s="79">
        <v>1</v>
      </c>
      <c r="AH1390" s="36">
        <v>1</v>
      </c>
    </row>
    <row r="1394" customHeight="1" spans="28:28">
      <c r="AB1394" s="35" t="s">
        <v>1766</v>
      </c>
    </row>
    <row r="1396" customHeight="1" spans="28:28">
      <c r="AB1396" s="35" t="s">
        <v>1767</v>
      </c>
    </row>
  </sheetData>
  <autoFilter xmlns:etc="http://www.wps.cn/officeDocument/2017/etCustomData" ref="A1:AL1390" etc:filterBottomFollowUsedRange="0">
    <filterColumn colId="30">
      <customFilters>
        <customFilter operator="equal" val="6"/>
      </customFilters>
    </filterColumn>
    <extLst/>
  </autoFilter>
  <pageMargins left="0.7" right="0.7" top="0.75" bottom="0.75" header="0.3" footer="0.3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5"/>
  <dimension ref="A1:U89"/>
  <sheetViews>
    <sheetView workbookViewId="0">
      <selection activeCell="K26" sqref="K26"/>
    </sheetView>
  </sheetViews>
  <sheetFormatPr defaultColWidth="7" defaultRowHeight="16.5" customHeight="1"/>
  <cols>
    <col min="1" max="1" width="16.75" style="16" customWidth="1"/>
    <col min="2" max="2" width="16" style="16" customWidth="1"/>
    <col min="3" max="3" width="17.5" style="16" customWidth="1"/>
    <col min="4" max="4" width="21.25" style="16" customWidth="1"/>
    <col min="5" max="5" width="19.375" style="17" customWidth="1"/>
    <col min="6" max="6" width="32.75" style="17" customWidth="1"/>
    <col min="7" max="7" width="31" style="17" customWidth="1"/>
    <col min="8" max="8" width="7" style="17" customWidth="1"/>
    <col min="9" max="16384" width="7" style="17"/>
  </cols>
  <sheetData>
    <row r="1" ht="49.5" customHeight="1" spans="1:21">
      <c r="A1" s="18" t="s">
        <v>124</v>
      </c>
      <c r="B1" s="18" t="s">
        <v>1768</v>
      </c>
      <c r="C1" s="18" t="s">
        <v>5</v>
      </c>
      <c r="D1" s="18" t="s">
        <v>1769</v>
      </c>
      <c r="E1" s="18" t="s">
        <v>1770</v>
      </c>
      <c r="F1" s="18" t="s">
        <v>1771</v>
      </c>
      <c r="G1" s="18" t="s">
        <v>1770</v>
      </c>
    </row>
    <row r="2" customHeight="1" spans="1:21">
      <c r="A2" s="18" t="s">
        <v>153</v>
      </c>
      <c r="B2" s="18" t="s">
        <v>154</v>
      </c>
      <c r="C2" s="18" t="s">
        <v>167</v>
      </c>
      <c r="D2" s="18" t="s">
        <v>161</v>
      </c>
      <c r="E2" s="18" t="s">
        <v>1772</v>
      </c>
      <c r="F2" s="18" t="s">
        <v>1773</v>
      </c>
      <c r="G2" s="18" t="s">
        <v>1774</v>
      </c>
      <c r="L2" s="16"/>
      <c r="M2" s="16"/>
      <c r="N2" s="16"/>
      <c r="O2" s="16"/>
      <c r="P2" s="16"/>
      <c r="Q2" s="16"/>
      <c r="R2" s="16"/>
      <c r="S2" s="16"/>
      <c r="T2" s="16"/>
    </row>
    <row r="3" customHeight="1" spans="1:21">
      <c r="A3" s="16">
        <v>1</v>
      </c>
      <c r="B3" s="16" t="s">
        <v>174</v>
      </c>
      <c r="C3" s="16">
        <v>1</v>
      </c>
      <c r="D3" s="19">
        <v>5000</v>
      </c>
      <c r="E3" s="19"/>
      <c r="F3" s="19">
        <v>5000</v>
      </c>
      <c r="L3" s="20"/>
      <c r="M3" s="20"/>
      <c r="N3" s="20"/>
      <c r="O3" s="20"/>
      <c r="P3" s="20"/>
      <c r="Q3" s="20"/>
      <c r="R3" s="20"/>
      <c r="S3" s="20"/>
      <c r="T3" s="20"/>
      <c r="U3" s="20"/>
    </row>
    <row r="4" customHeight="1" spans="1:21">
      <c r="A4" s="16">
        <v>1</v>
      </c>
      <c r="B4" s="16" t="s">
        <v>174</v>
      </c>
      <c r="C4" s="16">
        <v>2</v>
      </c>
      <c r="D4" s="19">
        <v>4500</v>
      </c>
      <c r="E4" s="19"/>
      <c r="F4" s="19">
        <v>4500</v>
      </c>
      <c r="L4" s="20"/>
      <c r="M4" s="20"/>
      <c r="N4" s="20"/>
      <c r="O4" s="20"/>
      <c r="P4" s="20"/>
      <c r="Q4" s="20"/>
      <c r="R4" s="20"/>
      <c r="S4" s="20"/>
      <c r="T4" s="20"/>
      <c r="U4" s="20"/>
    </row>
    <row r="5" customHeight="1" spans="1:21">
      <c r="A5" s="16">
        <v>1</v>
      </c>
      <c r="B5" s="16" t="s">
        <v>174</v>
      </c>
      <c r="C5" s="16">
        <v>4</v>
      </c>
      <c r="D5" s="19">
        <v>500</v>
      </c>
      <c r="E5" s="19"/>
      <c r="F5" s="19">
        <v>500</v>
      </c>
      <c r="L5" s="20"/>
      <c r="M5" s="20"/>
      <c r="N5" s="20"/>
      <c r="O5" s="20"/>
      <c r="P5" s="20"/>
      <c r="Q5" s="20"/>
      <c r="R5" s="20"/>
      <c r="S5" s="20"/>
      <c r="T5" s="20"/>
      <c r="U5" s="20"/>
    </row>
    <row r="6" customHeight="1" spans="1:21">
      <c r="A6" s="16">
        <v>2</v>
      </c>
      <c r="B6" s="16" t="s">
        <v>174</v>
      </c>
      <c r="C6" s="16">
        <v>1</v>
      </c>
      <c r="D6" s="19">
        <v>4000</v>
      </c>
      <c r="E6" s="19"/>
      <c r="F6" s="19">
        <v>4000</v>
      </c>
      <c r="G6" s="16"/>
      <c r="L6" s="20"/>
      <c r="M6" s="20"/>
      <c r="N6" s="20"/>
      <c r="O6" s="20"/>
      <c r="P6" s="20"/>
      <c r="Q6" s="20"/>
      <c r="R6" s="20"/>
      <c r="S6" s="20"/>
      <c r="T6" s="20"/>
      <c r="U6" s="20"/>
    </row>
    <row r="7" customHeight="1" spans="1:21">
      <c r="A7" s="16">
        <v>2</v>
      </c>
      <c r="B7" s="16" t="s">
        <v>174</v>
      </c>
      <c r="C7" s="16">
        <v>2</v>
      </c>
      <c r="D7" s="19">
        <v>5500</v>
      </c>
      <c r="E7" s="19"/>
      <c r="F7" s="19">
        <v>5500</v>
      </c>
      <c r="G7" s="16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customHeight="1" spans="1:21">
      <c r="A8" s="16">
        <v>2</v>
      </c>
      <c r="B8" s="16" t="s">
        <v>174</v>
      </c>
      <c r="C8" s="16">
        <v>4</v>
      </c>
      <c r="D8" s="19">
        <v>500</v>
      </c>
      <c r="E8" s="19"/>
      <c r="F8" s="19">
        <v>500</v>
      </c>
      <c r="G8" s="16"/>
      <c r="L8" s="20"/>
      <c r="M8" s="20"/>
      <c r="N8" s="20"/>
      <c r="O8" s="20"/>
      <c r="P8" s="20"/>
      <c r="Q8" s="20"/>
      <c r="R8" s="20"/>
      <c r="S8" s="20"/>
      <c r="T8" s="20"/>
      <c r="U8" s="20"/>
    </row>
    <row r="9" customHeight="1" spans="1:21">
      <c r="A9" s="16">
        <v>3</v>
      </c>
      <c r="B9" s="16" t="s">
        <v>174</v>
      </c>
      <c r="C9" s="16">
        <v>1</v>
      </c>
      <c r="D9" s="19">
        <v>3850</v>
      </c>
      <c r="E9" s="19"/>
      <c r="F9" s="19">
        <v>3850</v>
      </c>
      <c r="G9" s="16"/>
      <c r="L9" s="20"/>
      <c r="M9" s="20"/>
      <c r="N9" s="20"/>
      <c r="O9" s="20"/>
      <c r="P9" s="20"/>
      <c r="Q9" s="20"/>
      <c r="R9" s="20"/>
      <c r="S9" s="20"/>
      <c r="T9" s="20"/>
      <c r="U9" s="20"/>
    </row>
    <row r="10" customHeight="1" spans="1:21">
      <c r="A10" s="16">
        <v>3</v>
      </c>
      <c r="B10" s="16" t="s">
        <v>174</v>
      </c>
      <c r="C10" s="16">
        <v>2</v>
      </c>
      <c r="D10" s="19">
        <v>4750</v>
      </c>
      <c r="E10" s="19"/>
      <c r="F10" s="19">
        <v>4750</v>
      </c>
      <c r="G10" s="16"/>
      <c r="L10" s="20"/>
      <c r="M10" s="20"/>
      <c r="N10" s="20"/>
      <c r="O10" s="20"/>
      <c r="P10" s="20"/>
      <c r="Q10" s="20"/>
      <c r="R10" s="20"/>
      <c r="S10" s="20"/>
      <c r="T10" s="20"/>
      <c r="U10" s="20"/>
    </row>
    <row r="11" customHeight="1" spans="1:21">
      <c r="A11" s="16">
        <v>3</v>
      </c>
      <c r="B11" s="16" t="s">
        <v>174</v>
      </c>
      <c r="C11" s="16">
        <v>3</v>
      </c>
      <c r="D11" s="19">
        <v>900</v>
      </c>
      <c r="E11" s="19"/>
      <c r="F11" s="19">
        <v>900</v>
      </c>
      <c r="M11" s="16"/>
      <c r="N11" s="16"/>
      <c r="O11" s="16"/>
      <c r="P11" s="16"/>
      <c r="Q11" s="16"/>
      <c r="R11" s="16"/>
      <c r="S11" s="16"/>
      <c r="T11" s="20"/>
    </row>
    <row r="12" customHeight="1" spans="1:21">
      <c r="A12" s="16">
        <v>3</v>
      </c>
      <c r="B12" s="16" t="s">
        <v>174</v>
      </c>
      <c r="C12" s="16">
        <v>4</v>
      </c>
      <c r="D12" s="19">
        <v>500</v>
      </c>
      <c r="E12" s="19"/>
      <c r="F12" s="19">
        <v>500</v>
      </c>
      <c r="L12" s="16"/>
      <c r="M12" s="16"/>
      <c r="N12" s="16"/>
      <c r="O12" s="16"/>
      <c r="P12" s="16"/>
      <c r="Q12" s="16"/>
      <c r="R12" s="16"/>
      <c r="S12" s="16"/>
      <c r="T12" s="20"/>
    </row>
    <row r="13" customHeight="1" spans="1:21">
      <c r="A13" s="16">
        <v>4</v>
      </c>
      <c r="B13" s="16" t="s">
        <v>174</v>
      </c>
      <c r="C13" s="16">
        <v>1</v>
      </c>
      <c r="D13" s="19">
        <f>4130-1000</f>
        <v>3130</v>
      </c>
      <c r="E13" s="19"/>
      <c r="F13" s="19">
        <f>D13</f>
        <v>3130</v>
      </c>
      <c r="G13" s="16"/>
      <c r="I13" s="21"/>
      <c r="M13" s="16"/>
      <c r="N13" s="16"/>
      <c r="O13" s="16"/>
      <c r="P13" s="16"/>
      <c r="Q13" s="16"/>
      <c r="R13" s="16"/>
      <c r="S13" s="16"/>
      <c r="T13" s="20"/>
    </row>
    <row r="14" customHeight="1" spans="1:21">
      <c r="A14" s="16">
        <v>4</v>
      </c>
      <c r="B14" s="16" t="s">
        <v>174</v>
      </c>
      <c r="C14" s="16">
        <v>2</v>
      </c>
      <c r="D14" s="19">
        <f>2140+1000</f>
        <v>3140</v>
      </c>
      <c r="E14" s="19"/>
      <c r="F14" s="19">
        <f>D14+D16-F16+D18+D17</f>
        <v>3508</v>
      </c>
      <c r="I14" s="21"/>
      <c r="L14" s="16"/>
      <c r="M14" s="16"/>
      <c r="N14" s="20"/>
      <c r="O14" s="20"/>
      <c r="P14" s="20"/>
      <c r="Q14" s="20"/>
      <c r="R14" s="20"/>
      <c r="S14" s="20"/>
      <c r="T14" s="20"/>
    </row>
    <row r="15" customHeight="1" spans="1:21">
      <c r="A15" s="16">
        <v>4</v>
      </c>
      <c r="B15" s="16" t="s">
        <v>174</v>
      </c>
      <c r="C15" s="16">
        <v>3</v>
      </c>
      <c r="D15" s="19">
        <v>3100</v>
      </c>
      <c r="E15" s="19"/>
      <c r="F15" s="19">
        <v>3100</v>
      </c>
      <c r="I15" s="21"/>
      <c r="L15" s="16"/>
      <c r="M15" s="16"/>
      <c r="N15" s="20"/>
      <c r="O15" s="20"/>
      <c r="P15" s="20"/>
      <c r="Q15" s="20"/>
      <c r="R15" s="20"/>
      <c r="S15" s="20"/>
      <c r="T15" s="20"/>
    </row>
    <row r="16" customHeight="1" spans="1:21">
      <c r="A16" s="16">
        <v>4</v>
      </c>
      <c r="B16" s="16" t="s">
        <v>174</v>
      </c>
      <c r="C16" s="16">
        <v>4</v>
      </c>
      <c r="D16" s="19">
        <v>505</v>
      </c>
      <c r="E16" s="19"/>
      <c r="F16" s="19">
        <v>252</v>
      </c>
      <c r="I16" s="21"/>
      <c r="L16" s="16"/>
      <c r="M16" s="16"/>
      <c r="N16" s="20"/>
      <c r="O16" s="20"/>
      <c r="P16" s="20"/>
      <c r="Q16" s="20"/>
      <c r="R16" s="20"/>
      <c r="S16" s="20"/>
      <c r="T16" s="20"/>
    </row>
    <row r="17" customHeight="1" spans="1:20">
      <c r="A17" s="16">
        <v>4</v>
      </c>
      <c r="B17" s="16" t="s">
        <v>174</v>
      </c>
      <c r="C17" s="16">
        <v>8</v>
      </c>
      <c r="D17" s="19">
        <v>105</v>
      </c>
      <c r="E17" s="19"/>
      <c r="F17" s="19">
        <v>0</v>
      </c>
      <c r="I17" s="21"/>
      <c r="L17" s="16"/>
      <c r="M17" s="16"/>
      <c r="N17" s="20"/>
      <c r="O17" s="20"/>
      <c r="P17" s="20"/>
      <c r="Q17" s="20"/>
      <c r="R17" s="20"/>
      <c r="S17" s="20"/>
      <c r="T17" s="20"/>
    </row>
    <row r="18" customHeight="1" spans="1:20">
      <c r="A18" s="16">
        <v>4</v>
      </c>
      <c r="B18" s="16" t="s">
        <v>174</v>
      </c>
      <c r="C18" s="16">
        <v>10</v>
      </c>
      <c r="D18" s="19">
        <v>10</v>
      </c>
      <c r="E18" s="19"/>
      <c r="F18" s="19">
        <v>0</v>
      </c>
      <c r="G18" s="16"/>
      <c r="I18" s="21"/>
      <c r="L18" s="16"/>
      <c r="M18" s="16"/>
      <c r="N18" s="20"/>
      <c r="O18" s="20"/>
      <c r="P18" s="20"/>
      <c r="Q18" s="20"/>
      <c r="R18" s="20"/>
      <c r="S18" s="20"/>
      <c r="T18" s="20"/>
    </row>
    <row r="19" customHeight="1" spans="1:20">
      <c r="A19" s="16">
        <v>5</v>
      </c>
      <c r="B19" s="16" t="s">
        <v>174</v>
      </c>
      <c r="C19" s="16">
        <v>1</v>
      </c>
      <c r="D19" s="19">
        <v>3060</v>
      </c>
      <c r="E19" s="19"/>
      <c r="F19" s="19">
        <f>D19</f>
        <v>3060</v>
      </c>
      <c r="G19" s="16"/>
      <c r="I19" s="21"/>
      <c r="L19" s="16"/>
      <c r="M19" s="16"/>
      <c r="N19" s="20"/>
      <c r="O19" s="20"/>
      <c r="P19" s="20"/>
      <c r="Q19" s="20"/>
      <c r="R19" s="20"/>
      <c r="S19" s="20"/>
      <c r="T19" s="20"/>
    </row>
    <row r="20" customHeight="1" spans="1:20">
      <c r="A20" s="16">
        <v>5</v>
      </c>
      <c r="B20" s="16" t="s">
        <v>174</v>
      </c>
      <c r="C20" s="16">
        <v>2</v>
      </c>
      <c r="D20" s="19">
        <v>3060</v>
      </c>
      <c r="E20" s="19"/>
      <c r="F20" s="19">
        <f>D20</f>
        <v>3060</v>
      </c>
      <c r="G20" s="16"/>
      <c r="L20" s="16"/>
      <c r="M20" s="16"/>
      <c r="N20" s="20"/>
      <c r="O20" s="20"/>
      <c r="P20" s="20"/>
      <c r="Q20" s="20"/>
      <c r="R20" s="20"/>
      <c r="S20" s="20"/>
      <c r="T20" s="20"/>
    </row>
    <row r="21" customHeight="1" spans="1:20">
      <c r="A21" s="16">
        <v>5</v>
      </c>
      <c r="B21" s="16" t="s">
        <v>174</v>
      </c>
      <c r="C21" s="16">
        <v>3</v>
      </c>
      <c r="D21" s="19">
        <v>3050</v>
      </c>
      <c r="E21" s="19"/>
      <c r="F21" s="19">
        <f>D21+D23+D24+D25</f>
        <v>3375</v>
      </c>
      <c r="G21" s="16"/>
      <c r="L21" s="16"/>
      <c r="M21" s="16"/>
      <c r="N21" s="20"/>
      <c r="O21" s="20"/>
      <c r="P21" s="20"/>
      <c r="Q21" s="20"/>
      <c r="R21" s="20"/>
      <c r="S21" s="20"/>
      <c r="T21" s="20"/>
    </row>
    <row r="22" customHeight="1" spans="1:20">
      <c r="A22" s="16">
        <v>5</v>
      </c>
      <c r="B22" s="16" t="s">
        <v>174</v>
      </c>
      <c r="C22" s="16">
        <v>4</v>
      </c>
      <c r="D22" s="19">
        <v>505</v>
      </c>
      <c r="E22" s="19"/>
      <c r="F22" s="19">
        <f>D22</f>
        <v>505</v>
      </c>
      <c r="G22" s="16"/>
      <c r="L22" s="16"/>
      <c r="M22" s="16"/>
      <c r="N22" s="20"/>
      <c r="O22" s="20"/>
      <c r="P22" s="20"/>
      <c r="Q22" s="20"/>
      <c r="R22" s="20"/>
      <c r="S22" s="20"/>
      <c r="T22" s="20"/>
    </row>
    <row r="23" customHeight="1" spans="1:20">
      <c r="A23" s="16">
        <v>5</v>
      </c>
      <c r="B23" s="16" t="s">
        <v>174</v>
      </c>
      <c r="C23" s="16">
        <v>8</v>
      </c>
      <c r="D23" s="19">
        <v>105</v>
      </c>
      <c r="E23" s="19"/>
      <c r="F23" s="19">
        <v>0</v>
      </c>
      <c r="G23" s="16"/>
      <c r="L23" s="16"/>
      <c r="M23" s="16"/>
      <c r="N23" s="20"/>
      <c r="O23" s="20"/>
      <c r="P23" s="20"/>
      <c r="Q23" s="20"/>
      <c r="R23" s="20"/>
      <c r="S23" s="20"/>
      <c r="T23" s="20"/>
    </row>
    <row r="24" customHeight="1" spans="1:20">
      <c r="A24" s="16">
        <v>5</v>
      </c>
      <c r="B24" s="16" t="s">
        <v>174</v>
      </c>
      <c r="C24" s="16">
        <v>5</v>
      </c>
      <c r="D24" s="19">
        <v>150</v>
      </c>
      <c r="E24" s="19"/>
      <c r="F24" s="19">
        <v>0</v>
      </c>
      <c r="G24" s="16"/>
      <c r="L24" s="16"/>
      <c r="M24" s="16"/>
      <c r="N24" s="20"/>
      <c r="O24" s="20"/>
      <c r="P24" s="20"/>
      <c r="Q24" s="20"/>
      <c r="R24" s="20"/>
      <c r="S24" s="20"/>
      <c r="T24" s="20"/>
    </row>
    <row r="25" customHeight="1" spans="1:20">
      <c r="A25" s="16">
        <v>5</v>
      </c>
      <c r="B25" s="16" t="s">
        <v>174</v>
      </c>
      <c r="C25" s="16">
        <v>6</v>
      </c>
      <c r="D25" s="19">
        <v>70</v>
      </c>
      <c r="E25" s="19"/>
      <c r="F25" s="19">
        <v>0</v>
      </c>
      <c r="G25" s="16"/>
      <c r="N25" s="20"/>
      <c r="O25" s="20"/>
      <c r="P25" s="20"/>
      <c r="Q25" s="20"/>
      <c r="R25" s="20"/>
      <c r="S25" s="20"/>
      <c r="T25" s="20"/>
    </row>
    <row r="26" customHeight="1" spans="1:20">
      <c r="A26" s="16">
        <v>5</v>
      </c>
      <c r="B26" s="16" t="s">
        <v>174</v>
      </c>
      <c r="C26" s="16">
        <v>7</v>
      </c>
      <c r="D26" s="19">
        <v>0</v>
      </c>
      <c r="E26" s="19"/>
      <c r="F26" s="19">
        <v>0</v>
      </c>
      <c r="G26" s="16"/>
      <c r="L26" s="16"/>
      <c r="M26" s="16"/>
      <c r="N26" s="20"/>
      <c r="O26" s="20"/>
      <c r="P26" s="20"/>
      <c r="Q26" s="20"/>
      <c r="R26" s="20"/>
      <c r="S26" s="20"/>
      <c r="T26" s="20"/>
    </row>
    <row r="27" customHeight="1" spans="1:20">
      <c r="A27" s="16">
        <v>6</v>
      </c>
      <c r="B27" s="16" t="s">
        <v>174</v>
      </c>
      <c r="C27" s="16">
        <v>1</v>
      </c>
      <c r="D27" s="19">
        <v>3060</v>
      </c>
      <c r="E27" s="19"/>
      <c r="F27" s="19">
        <f>D27</f>
        <v>3060</v>
      </c>
      <c r="G27" s="16"/>
      <c r="L27" s="16"/>
      <c r="M27" s="16"/>
      <c r="N27" s="20"/>
      <c r="O27" s="20"/>
      <c r="P27" s="20"/>
      <c r="Q27" s="20"/>
      <c r="R27" s="20"/>
      <c r="S27" s="20"/>
      <c r="T27" s="20"/>
    </row>
    <row r="28" customHeight="1" spans="1:20">
      <c r="A28" s="16">
        <v>6</v>
      </c>
      <c r="B28" s="16" t="s">
        <v>174</v>
      </c>
      <c r="C28" s="16">
        <v>2</v>
      </c>
      <c r="D28" s="19">
        <v>3060</v>
      </c>
      <c r="E28" s="19"/>
      <c r="F28" s="19">
        <f>D28</f>
        <v>3060</v>
      </c>
      <c r="G28" s="16"/>
      <c r="L28" s="16"/>
      <c r="M28" s="16"/>
      <c r="N28" s="20"/>
      <c r="O28" s="20"/>
      <c r="P28" s="20"/>
      <c r="Q28" s="20"/>
      <c r="R28" s="20"/>
      <c r="S28" s="20"/>
      <c r="T28" s="20"/>
    </row>
    <row r="29" customHeight="1" spans="1:20">
      <c r="A29" s="16">
        <v>6</v>
      </c>
      <c r="B29" s="16" t="s">
        <v>174</v>
      </c>
      <c r="C29" s="16">
        <v>3</v>
      </c>
      <c r="D29" s="19">
        <v>3050</v>
      </c>
      <c r="E29" s="19"/>
      <c r="F29" s="19">
        <f>D29+D31+D32+D33</f>
        <v>3375</v>
      </c>
      <c r="G29" s="16"/>
      <c r="L29" s="16"/>
      <c r="M29" s="16"/>
      <c r="N29" s="20"/>
      <c r="O29" s="20"/>
      <c r="P29" s="20"/>
      <c r="Q29" s="20"/>
      <c r="R29" s="20"/>
      <c r="S29" s="20"/>
      <c r="T29" s="20"/>
    </row>
    <row r="30" customHeight="1" spans="1:20">
      <c r="A30" s="16">
        <v>6</v>
      </c>
      <c r="B30" s="16" t="s">
        <v>174</v>
      </c>
      <c r="C30" s="16">
        <v>4</v>
      </c>
      <c r="D30" s="19">
        <v>505</v>
      </c>
      <c r="E30" s="19"/>
      <c r="F30" s="19">
        <f>D30</f>
        <v>505</v>
      </c>
      <c r="G30" s="16"/>
      <c r="L30" s="16"/>
      <c r="M30" s="16"/>
      <c r="N30" s="20"/>
      <c r="O30" s="20"/>
      <c r="P30" s="20"/>
      <c r="Q30" s="20"/>
      <c r="R30" s="20"/>
      <c r="S30" s="20"/>
      <c r="T30" s="20"/>
    </row>
    <row r="31" customHeight="1" spans="1:20">
      <c r="A31" s="16">
        <v>6</v>
      </c>
      <c r="B31" s="16" t="s">
        <v>174</v>
      </c>
      <c r="C31" s="16">
        <v>8</v>
      </c>
      <c r="D31" s="19">
        <v>105</v>
      </c>
      <c r="E31" s="19"/>
      <c r="F31" s="19">
        <v>0</v>
      </c>
      <c r="G31" s="16"/>
      <c r="L31" s="16"/>
      <c r="M31" s="16"/>
      <c r="N31" s="20"/>
      <c r="O31" s="20"/>
      <c r="P31" s="20"/>
      <c r="Q31" s="20"/>
      <c r="R31" s="20"/>
      <c r="S31" s="20"/>
      <c r="T31" s="20"/>
    </row>
    <row r="32" customHeight="1" spans="1:20">
      <c r="A32" s="16">
        <v>6</v>
      </c>
      <c r="B32" s="16" t="s">
        <v>174</v>
      </c>
      <c r="C32" s="16">
        <v>5</v>
      </c>
      <c r="D32" s="19">
        <v>150</v>
      </c>
      <c r="E32" s="19"/>
      <c r="F32" s="19">
        <v>0</v>
      </c>
      <c r="G32" s="16"/>
      <c r="L32" s="16"/>
      <c r="M32" s="16"/>
      <c r="N32" s="20"/>
      <c r="O32" s="20"/>
      <c r="P32" s="20"/>
      <c r="Q32" s="20"/>
      <c r="R32" s="20"/>
      <c r="S32" s="20"/>
      <c r="T32" s="20"/>
    </row>
    <row r="33" customHeight="1" spans="1:20">
      <c r="A33" s="16">
        <v>6</v>
      </c>
      <c r="B33" s="16" t="s">
        <v>174</v>
      </c>
      <c r="C33" s="16">
        <v>6</v>
      </c>
      <c r="D33" s="19">
        <v>70</v>
      </c>
      <c r="E33" s="19"/>
      <c r="F33" s="19">
        <v>0</v>
      </c>
      <c r="G33" s="16"/>
      <c r="L33" s="16"/>
      <c r="M33" s="16"/>
      <c r="N33" s="20"/>
      <c r="O33" s="20"/>
      <c r="P33" s="20"/>
      <c r="Q33" s="20"/>
      <c r="R33" s="20"/>
      <c r="S33" s="20"/>
      <c r="T33" s="20"/>
    </row>
    <row r="34" customHeight="1" spans="1:20">
      <c r="A34" s="16">
        <v>6</v>
      </c>
      <c r="B34" s="16" t="s">
        <v>174</v>
      </c>
      <c r="C34" s="16">
        <v>7</v>
      </c>
      <c r="D34" s="19">
        <v>0</v>
      </c>
      <c r="E34" s="19"/>
      <c r="F34" s="19">
        <v>0</v>
      </c>
      <c r="G34" s="16"/>
      <c r="L34" s="16"/>
      <c r="M34" s="16"/>
      <c r="N34" s="20"/>
      <c r="O34" s="20"/>
      <c r="P34" s="20"/>
      <c r="Q34" s="20"/>
      <c r="R34" s="20"/>
      <c r="S34" s="20"/>
      <c r="T34" s="20"/>
    </row>
    <row r="35" customHeight="1" spans="1:20">
      <c r="A35" s="16">
        <v>7</v>
      </c>
      <c r="B35" s="16" t="s">
        <v>174</v>
      </c>
      <c r="C35" s="16">
        <v>1</v>
      </c>
      <c r="D35" s="19">
        <v>3060</v>
      </c>
      <c r="E35" s="19"/>
      <c r="F35" s="19">
        <f>D35</f>
        <v>3060</v>
      </c>
      <c r="G35" s="16"/>
      <c r="N35" s="20"/>
      <c r="O35" s="20"/>
      <c r="P35" s="20"/>
      <c r="Q35" s="20"/>
      <c r="R35" s="20"/>
      <c r="S35" s="20"/>
      <c r="T35" s="20"/>
    </row>
    <row r="36" customHeight="1" spans="1:20">
      <c r="A36" s="16">
        <v>7</v>
      </c>
      <c r="B36" s="16" t="s">
        <v>174</v>
      </c>
      <c r="C36" s="16">
        <v>2</v>
      </c>
      <c r="D36" s="19">
        <v>3060</v>
      </c>
      <c r="E36" s="19"/>
      <c r="F36" s="19">
        <f>D36</f>
        <v>3060</v>
      </c>
      <c r="G36" s="16"/>
      <c r="L36" s="16"/>
      <c r="M36" s="16"/>
      <c r="N36" s="20"/>
      <c r="O36" s="20"/>
      <c r="P36" s="20"/>
      <c r="Q36" s="20"/>
      <c r="R36" s="20"/>
      <c r="S36" s="20"/>
      <c r="T36" s="20"/>
    </row>
    <row r="37" customHeight="1" spans="1:20">
      <c r="A37" s="16">
        <v>7</v>
      </c>
      <c r="B37" s="16" t="s">
        <v>174</v>
      </c>
      <c r="C37" s="16">
        <v>3</v>
      </c>
      <c r="D37" s="19">
        <v>3050</v>
      </c>
      <c r="E37" s="19"/>
      <c r="F37" s="19">
        <f>D37+D39+D41+D40</f>
        <v>3375</v>
      </c>
      <c r="G37" s="16"/>
      <c r="L37" s="16"/>
      <c r="M37" s="16"/>
      <c r="N37" s="20"/>
      <c r="O37" s="20"/>
      <c r="P37" s="20"/>
      <c r="Q37" s="20"/>
      <c r="R37" s="20"/>
      <c r="S37" s="20"/>
      <c r="T37" s="20"/>
    </row>
    <row r="38" customHeight="1" spans="1:20">
      <c r="A38" s="16">
        <v>7</v>
      </c>
      <c r="B38" s="16" t="s">
        <v>174</v>
      </c>
      <c r="C38" s="16">
        <v>4</v>
      </c>
      <c r="D38" s="19">
        <v>505</v>
      </c>
      <c r="E38" s="19"/>
      <c r="F38" s="19">
        <f>D38</f>
        <v>505</v>
      </c>
      <c r="G38" s="16"/>
      <c r="L38" s="16"/>
      <c r="M38" s="16"/>
      <c r="N38" s="22"/>
      <c r="O38" s="22"/>
      <c r="P38" s="22"/>
      <c r="Q38" s="22"/>
      <c r="R38" s="22"/>
      <c r="S38" s="22"/>
      <c r="T38" s="20"/>
    </row>
    <row r="39" customHeight="1" spans="1:20">
      <c r="A39" s="16">
        <v>7</v>
      </c>
      <c r="B39" s="16" t="s">
        <v>174</v>
      </c>
      <c r="C39" s="16">
        <v>8</v>
      </c>
      <c r="D39" s="19">
        <v>105</v>
      </c>
      <c r="E39" s="19"/>
      <c r="F39" s="19">
        <v>0</v>
      </c>
      <c r="G39" s="16"/>
      <c r="L39" s="16"/>
      <c r="M39" s="16"/>
      <c r="N39" s="20"/>
      <c r="O39" s="20"/>
      <c r="P39" s="20"/>
      <c r="Q39" s="20"/>
      <c r="R39" s="20"/>
      <c r="S39" s="20"/>
      <c r="T39" s="20"/>
    </row>
    <row r="40" customHeight="1" spans="1:20">
      <c r="A40" s="16">
        <v>7</v>
      </c>
      <c r="B40" s="16" t="s">
        <v>174</v>
      </c>
      <c r="C40" s="16">
        <v>5</v>
      </c>
      <c r="D40" s="19">
        <v>150</v>
      </c>
      <c r="E40" s="19"/>
      <c r="F40" s="19">
        <v>0</v>
      </c>
      <c r="G40" s="16"/>
      <c r="L40" s="16"/>
      <c r="M40" s="16"/>
      <c r="N40" s="20"/>
      <c r="O40" s="20"/>
      <c r="P40" s="20"/>
      <c r="Q40" s="20"/>
      <c r="R40" s="20"/>
      <c r="S40" s="20"/>
      <c r="T40" s="20"/>
    </row>
    <row r="41" customHeight="1" spans="1:20">
      <c r="A41" s="16">
        <v>7</v>
      </c>
      <c r="B41" s="16" t="s">
        <v>174</v>
      </c>
      <c r="C41" s="16">
        <v>6</v>
      </c>
      <c r="D41" s="19">
        <v>70</v>
      </c>
      <c r="E41" s="19"/>
      <c r="F41" s="19">
        <v>0</v>
      </c>
      <c r="G41" s="16"/>
      <c r="L41" s="16"/>
      <c r="M41" s="16"/>
      <c r="N41" s="20"/>
      <c r="O41" s="20"/>
      <c r="P41" s="20"/>
      <c r="Q41" s="20"/>
      <c r="R41" s="20"/>
      <c r="S41" s="20"/>
      <c r="T41" s="20"/>
    </row>
    <row r="42" customHeight="1" spans="1:20">
      <c r="A42" s="16">
        <v>7</v>
      </c>
      <c r="B42" s="16" t="s">
        <v>174</v>
      </c>
      <c r="C42" s="16">
        <v>7</v>
      </c>
      <c r="D42" s="19">
        <v>0</v>
      </c>
      <c r="E42" s="19"/>
      <c r="F42" s="19">
        <v>0</v>
      </c>
      <c r="G42" s="16"/>
      <c r="L42" s="16"/>
      <c r="M42" s="16"/>
      <c r="N42" s="20"/>
      <c r="O42" s="20"/>
      <c r="P42" s="20"/>
      <c r="Q42" s="20"/>
      <c r="R42" s="20"/>
      <c r="S42" s="20"/>
      <c r="T42" s="20"/>
    </row>
    <row r="43" customHeight="1" spans="1:20">
      <c r="D43" s="23"/>
      <c r="E43" s="19"/>
      <c r="F43" s="19"/>
      <c r="G43" s="16"/>
      <c r="L43" s="16"/>
      <c r="M43" s="16"/>
      <c r="N43" s="20"/>
      <c r="O43" s="20"/>
      <c r="P43" s="20"/>
      <c r="Q43" s="20"/>
      <c r="R43" s="20"/>
      <c r="S43" s="20"/>
      <c r="T43" s="20"/>
    </row>
    <row r="44" customHeight="1" spans="1:20">
      <c r="L44" s="16"/>
      <c r="M44" s="16"/>
      <c r="N44" s="20"/>
      <c r="O44" s="20"/>
      <c r="P44" s="20"/>
      <c r="Q44" s="20"/>
      <c r="R44" s="20"/>
      <c r="S44" s="20"/>
      <c r="T44" s="20"/>
    </row>
    <row r="45" customHeight="1" spans="1:20">
      <c r="N45" s="20"/>
      <c r="O45" s="20"/>
      <c r="P45" s="20"/>
      <c r="Q45" s="20"/>
      <c r="R45" s="20"/>
      <c r="S45" s="20"/>
      <c r="T45" s="20"/>
    </row>
    <row r="46" customHeight="1" spans="1:20">
      <c r="E46" s="16"/>
      <c r="L46" s="16"/>
      <c r="M46" s="16"/>
      <c r="N46" s="20"/>
      <c r="O46" s="20"/>
      <c r="P46" s="20"/>
      <c r="Q46" s="20"/>
      <c r="R46" s="20"/>
      <c r="S46" s="20"/>
      <c r="T46" s="20"/>
    </row>
    <row r="47" customHeight="1" spans="1:20">
      <c r="L47" s="16"/>
      <c r="M47" s="16"/>
      <c r="N47" s="20"/>
      <c r="O47" s="20"/>
      <c r="P47" s="20"/>
      <c r="Q47" s="20"/>
      <c r="R47" s="20"/>
      <c r="S47" s="20"/>
      <c r="T47" s="20"/>
    </row>
    <row r="48" customHeight="1" spans="1:20">
      <c r="L48" s="16"/>
      <c r="M48" s="16"/>
      <c r="N48" s="22"/>
      <c r="O48" s="22"/>
      <c r="P48" s="22"/>
      <c r="Q48" s="22"/>
      <c r="R48" s="22"/>
      <c r="S48" s="22"/>
      <c r="T48" s="20"/>
    </row>
    <row r="49" customHeight="1" spans="5:20">
      <c r="L49" s="16"/>
      <c r="M49" s="16"/>
      <c r="N49" s="20"/>
      <c r="O49" s="20"/>
      <c r="P49" s="20"/>
      <c r="Q49" s="20"/>
      <c r="R49" s="20"/>
      <c r="S49" s="20"/>
      <c r="T49" s="20"/>
    </row>
    <row r="50" customHeight="1" spans="5:20">
      <c r="L50" s="16"/>
      <c r="M50" s="16"/>
      <c r="N50" s="20"/>
      <c r="O50" s="20"/>
      <c r="P50" s="20"/>
      <c r="Q50" s="20"/>
      <c r="R50" s="20"/>
      <c r="S50" s="20"/>
      <c r="T50" s="20"/>
    </row>
    <row r="51" customHeight="1" spans="5:20">
      <c r="L51" s="16"/>
      <c r="M51" s="16"/>
      <c r="N51" s="20"/>
      <c r="O51" s="20"/>
      <c r="P51" s="20"/>
      <c r="Q51" s="20"/>
      <c r="R51" s="20"/>
      <c r="S51" s="20"/>
      <c r="T51" s="20"/>
    </row>
    <row r="52" customHeight="1" spans="5:20">
      <c r="E52" s="16"/>
      <c r="L52" s="16"/>
      <c r="M52" s="16"/>
      <c r="N52" s="20"/>
      <c r="O52" s="20"/>
      <c r="P52" s="20"/>
      <c r="Q52" s="20"/>
      <c r="R52" s="20"/>
      <c r="S52" s="20"/>
      <c r="T52" s="20"/>
    </row>
    <row r="53" customHeight="1" spans="5:20">
      <c r="E53" s="16"/>
      <c r="L53" s="16"/>
      <c r="M53" s="16"/>
      <c r="N53" s="20"/>
      <c r="O53" s="20"/>
      <c r="P53" s="20"/>
      <c r="Q53" s="20"/>
      <c r="R53" s="20"/>
      <c r="S53" s="20"/>
      <c r="T53" s="20"/>
    </row>
    <row r="54" customHeight="1" spans="5:20">
      <c r="N54" s="20"/>
      <c r="O54" s="20"/>
      <c r="P54" s="20"/>
      <c r="Q54" s="20"/>
      <c r="R54" s="20"/>
      <c r="S54" s="20"/>
      <c r="T54" s="20"/>
    </row>
    <row r="55" customHeight="1" spans="5:20">
      <c r="L55" s="16"/>
      <c r="M55" s="16"/>
      <c r="N55" s="20"/>
      <c r="O55" s="20"/>
      <c r="P55" s="20"/>
      <c r="Q55" s="20"/>
      <c r="R55" s="20"/>
      <c r="S55" s="20"/>
      <c r="T55" s="20"/>
    </row>
    <row r="56" customHeight="1" spans="5:20">
      <c r="L56" s="16"/>
      <c r="M56" s="16"/>
      <c r="N56" s="20"/>
      <c r="O56" s="20"/>
      <c r="P56" s="20"/>
      <c r="Q56" s="20"/>
      <c r="R56" s="20"/>
      <c r="S56" s="20"/>
      <c r="T56" s="20"/>
    </row>
    <row r="57" customHeight="1" spans="5:20">
      <c r="L57" s="16"/>
      <c r="M57" s="16"/>
      <c r="N57" s="22"/>
      <c r="O57" s="22"/>
      <c r="P57" s="22"/>
      <c r="Q57" s="22"/>
      <c r="R57" s="22"/>
      <c r="S57" s="22"/>
      <c r="T57" s="20"/>
    </row>
    <row r="58" customHeight="1" spans="5:20">
      <c r="L58" s="16"/>
      <c r="M58" s="16"/>
      <c r="N58" s="20"/>
      <c r="O58" s="20"/>
      <c r="P58" s="20"/>
      <c r="Q58" s="20"/>
      <c r="R58" s="20"/>
      <c r="S58" s="20"/>
      <c r="T58" s="20"/>
    </row>
    <row r="59" customHeight="1" spans="5:20">
      <c r="L59" s="16"/>
      <c r="M59" s="16"/>
      <c r="N59" s="20"/>
      <c r="O59" s="20"/>
      <c r="P59" s="20"/>
      <c r="Q59" s="20"/>
      <c r="R59" s="20"/>
      <c r="S59" s="20"/>
      <c r="T59" s="20"/>
    </row>
    <row r="60" customHeight="1" spans="5:20">
      <c r="L60" s="16"/>
      <c r="M60" s="16"/>
      <c r="N60" s="20"/>
      <c r="O60" s="20"/>
      <c r="P60" s="20"/>
      <c r="Q60" s="20"/>
      <c r="R60" s="20"/>
      <c r="S60" s="20"/>
      <c r="T60" s="20"/>
    </row>
    <row r="61" customHeight="1" spans="5:20">
      <c r="L61" s="16"/>
      <c r="M61" s="16"/>
      <c r="N61" s="20"/>
      <c r="O61" s="20"/>
      <c r="P61" s="20"/>
      <c r="Q61" s="20"/>
      <c r="R61" s="20"/>
      <c r="S61" s="20"/>
      <c r="T61" s="20"/>
    </row>
    <row r="62" customHeight="1" spans="5:20">
      <c r="L62" s="16"/>
      <c r="M62" s="16"/>
      <c r="N62" s="20"/>
      <c r="O62" s="20"/>
      <c r="P62" s="20"/>
      <c r="Q62" s="20"/>
      <c r="R62" s="20"/>
      <c r="S62" s="20"/>
      <c r="T62" s="20"/>
    </row>
    <row r="63" customHeight="1" spans="5:20">
      <c r="N63" s="20"/>
      <c r="O63" s="20"/>
      <c r="P63" s="20"/>
      <c r="Q63" s="20"/>
      <c r="R63" s="20"/>
      <c r="S63" s="20"/>
      <c r="T63" s="20"/>
    </row>
    <row r="64" customHeight="1" spans="5:20">
      <c r="L64" s="16"/>
      <c r="M64" s="16"/>
      <c r="N64" s="20"/>
      <c r="O64" s="20"/>
      <c r="P64" s="20"/>
      <c r="Q64" s="20"/>
      <c r="R64" s="20"/>
      <c r="S64" s="20"/>
      <c r="T64" s="20"/>
    </row>
    <row r="65" customHeight="1" spans="12:20">
      <c r="L65" s="16"/>
      <c r="M65" s="16"/>
      <c r="N65" s="20"/>
      <c r="O65" s="20"/>
      <c r="P65" s="20"/>
      <c r="Q65" s="20"/>
      <c r="R65" s="20"/>
      <c r="S65" s="20"/>
      <c r="T65" s="20"/>
    </row>
    <row r="66" customHeight="1" spans="12:20">
      <c r="L66" s="16"/>
      <c r="M66" s="16"/>
      <c r="N66" s="22"/>
      <c r="O66" s="22"/>
      <c r="P66" s="22"/>
      <c r="Q66" s="22"/>
      <c r="R66" s="22"/>
      <c r="S66" s="22"/>
      <c r="T66" s="20"/>
    </row>
    <row r="67" customHeight="1" spans="12:20">
      <c r="L67" s="16"/>
      <c r="M67" s="16"/>
      <c r="N67" s="20"/>
      <c r="O67" s="20"/>
      <c r="P67" s="20"/>
      <c r="Q67" s="20"/>
      <c r="R67" s="20"/>
      <c r="S67" s="20"/>
      <c r="T67" s="20"/>
    </row>
    <row r="68" customHeight="1" spans="12:20">
      <c r="L68" s="16"/>
      <c r="M68" s="16"/>
      <c r="N68" s="20"/>
      <c r="O68" s="20"/>
      <c r="P68" s="20"/>
      <c r="Q68" s="20"/>
      <c r="R68" s="20"/>
      <c r="S68" s="20"/>
      <c r="T68" s="20"/>
    </row>
    <row r="69" customHeight="1" spans="12:20">
      <c r="L69" s="16"/>
      <c r="M69" s="16"/>
      <c r="N69" s="20"/>
      <c r="O69" s="20"/>
      <c r="P69" s="20"/>
      <c r="Q69" s="20"/>
      <c r="R69" s="20"/>
      <c r="S69" s="20"/>
      <c r="T69" s="20"/>
    </row>
    <row r="70" customHeight="1" spans="12:20">
      <c r="L70" s="16"/>
      <c r="M70" s="16"/>
      <c r="N70" s="20"/>
      <c r="O70" s="20"/>
      <c r="P70" s="20"/>
      <c r="Q70" s="20"/>
      <c r="R70" s="20"/>
      <c r="S70" s="20"/>
      <c r="T70" s="20"/>
    </row>
    <row r="71" customHeight="1" spans="12:20">
      <c r="L71" s="16"/>
      <c r="M71" s="16"/>
      <c r="N71" s="20"/>
      <c r="O71" s="20"/>
      <c r="P71" s="20"/>
      <c r="Q71" s="20"/>
      <c r="R71" s="20"/>
      <c r="S71" s="20"/>
      <c r="T71" s="20"/>
    </row>
    <row r="72" customHeight="1" spans="12:20">
      <c r="N72" s="20"/>
      <c r="O72" s="20"/>
      <c r="P72" s="20"/>
      <c r="Q72" s="20"/>
      <c r="R72" s="20"/>
      <c r="S72" s="20"/>
      <c r="T72" s="20"/>
    </row>
    <row r="73" customHeight="1" spans="12:20">
      <c r="L73" s="16"/>
      <c r="M73" s="16"/>
      <c r="N73" s="20"/>
      <c r="O73" s="20"/>
      <c r="P73" s="20"/>
      <c r="Q73" s="20"/>
      <c r="R73" s="20"/>
      <c r="S73" s="20"/>
      <c r="T73" s="20"/>
    </row>
    <row r="74" customHeight="1" spans="12:20">
      <c r="L74" s="16"/>
      <c r="M74" s="16"/>
      <c r="N74" s="20"/>
      <c r="O74" s="20"/>
      <c r="P74" s="20"/>
      <c r="Q74" s="20"/>
      <c r="R74" s="20"/>
      <c r="S74" s="20"/>
      <c r="T74" s="20"/>
    </row>
    <row r="75" customHeight="1" spans="12:20">
      <c r="L75" s="16"/>
      <c r="M75" s="16"/>
      <c r="N75" s="20"/>
      <c r="O75" s="20"/>
      <c r="P75" s="20"/>
      <c r="Q75" s="20"/>
      <c r="R75" s="20"/>
      <c r="S75" s="20"/>
      <c r="T75" s="20"/>
    </row>
    <row r="76" customHeight="1" spans="12:20">
      <c r="L76" s="16"/>
      <c r="M76" s="16"/>
      <c r="N76" s="20"/>
      <c r="O76" s="20"/>
      <c r="P76" s="20"/>
      <c r="Q76" s="20"/>
      <c r="R76" s="20"/>
      <c r="S76" s="20"/>
      <c r="T76" s="20"/>
    </row>
    <row r="77" customHeight="1" spans="12:20">
      <c r="L77" s="16"/>
      <c r="M77" s="16"/>
      <c r="N77" s="20"/>
      <c r="O77" s="20"/>
      <c r="P77" s="20"/>
      <c r="Q77" s="20"/>
      <c r="R77" s="20"/>
      <c r="S77" s="20"/>
      <c r="T77" s="20"/>
    </row>
    <row r="78" customHeight="1" spans="12:20">
      <c r="L78" s="16"/>
      <c r="M78" s="16"/>
      <c r="N78" s="20"/>
      <c r="O78" s="20"/>
      <c r="P78" s="20"/>
      <c r="Q78" s="20"/>
      <c r="R78" s="20"/>
      <c r="S78" s="20"/>
      <c r="T78" s="20"/>
    </row>
    <row r="79" customHeight="1" spans="12:20">
      <c r="L79" s="16"/>
      <c r="M79" s="16"/>
      <c r="N79" s="20"/>
      <c r="O79" s="20"/>
      <c r="P79" s="20"/>
      <c r="Q79" s="20"/>
      <c r="R79" s="20"/>
      <c r="S79" s="20"/>
      <c r="T79" s="20"/>
    </row>
    <row r="80" customHeight="1" spans="12:20">
      <c r="L80" s="16"/>
      <c r="M80" s="16"/>
      <c r="N80" s="20"/>
      <c r="O80" s="20"/>
      <c r="P80" s="20"/>
      <c r="Q80" s="20"/>
      <c r="R80" s="20"/>
      <c r="S80" s="20"/>
    </row>
    <row r="81" customHeight="1" spans="12:19">
      <c r="N81" s="20"/>
      <c r="O81" s="20"/>
      <c r="P81" s="20"/>
      <c r="Q81" s="20"/>
      <c r="R81" s="20"/>
      <c r="S81" s="20"/>
    </row>
    <row r="82" customHeight="1" spans="12:19">
      <c r="L82" s="16"/>
      <c r="M82" s="16"/>
      <c r="N82" s="20"/>
      <c r="O82" s="20"/>
      <c r="P82" s="20"/>
      <c r="Q82" s="20"/>
      <c r="R82" s="20"/>
      <c r="S82" s="20"/>
    </row>
    <row r="83" customHeight="1" spans="12:19">
      <c r="L83" s="16"/>
      <c r="M83" s="16"/>
      <c r="N83" s="20"/>
      <c r="O83" s="20"/>
      <c r="P83" s="20"/>
      <c r="Q83" s="20"/>
      <c r="R83" s="20"/>
      <c r="S83" s="20"/>
    </row>
    <row r="84" customHeight="1" spans="12:19">
      <c r="L84" s="16"/>
      <c r="M84" s="16"/>
      <c r="N84" s="20"/>
      <c r="O84" s="20"/>
      <c r="P84" s="20"/>
      <c r="Q84" s="20"/>
      <c r="R84" s="20"/>
      <c r="S84" s="20"/>
    </row>
    <row r="85" customHeight="1" spans="12:19">
      <c r="L85" s="16"/>
      <c r="M85" s="16"/>
      <c r="N85" s="20"/>
      <c r="O85" s="20"/>
      <c r="P85" s="20"/>
      <c r="Q85" s="20"/>
      <c r="R85" s="20"/>
      <c r="S85" s="20"/>
    </row>
    <row r="86" customHeight="1" spans="12:19">
      <c r="L86" s="16"/>
      <c r="M86" s="16"/>
      <c r="N86" s="20"/>
      <c r="O86" s="20"/>
      <c r="P86" s="20"/>
      <c r="Q86" s="20"/>
      <c r="R86" s="20"/>
      <c r="S86" s="20"/>
    </row>
    <row r="87" customHeight="1" spans="12:19">
      <c r="L87" s="16"/>
      <c r="M87" s="16"/>
      <c r="N87" s="20"/>
      <c r="O87" s="20"/>
      <c r="P87" s="20"/>
      <c r="Q87" s="20"/>
      <c r="R87" s="20"/>
      <c r="S87" s="20"/>
    </row>
    <row r="88" customHeight="1" spans="12:19">
      <c r="L88" s="16"/>
      <c r="M88" s="16"/>
      <c r="N88" s="20"/>
      <c r="O88" s="20"/>
      <c r="P88" s="20"/>
      <c r="Q88" s="20"/>
      <c r="R88" s="20"/>
      <c r="S88" s="20"/>
    </row>
    <row r="89" customHeight="1" spans="12:19">
      <c r="L89" s="16"/>
      <c r="M89" s="16"/>
      <c r="N89" s="20"/>
      <c r="O89" s="20"/>
      <c r="P89" s="20"/>
      <c r="Q89" s="20"/>
      <c r="R89" s="20"/>
      <c r="S89" s="20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2:W32"/>
  <sheetViews>
    <sheetView workbookViewId="0">
      <selection activeCell="K26" sqref="K26"/>
    </sheetView>
  </sheetViews>
  <sheetFormatPr defaultColWidth="9" defaultRowHeight="13.5"/>
  <cols>
    <col min="13" max="13" width="12.625"/>
  </cols>
  <sheetData>
    <row r="2" ht="16.5" spans="2:23">
      <c r="B2" s="8" t="s">
        <v>1775</v>
      </c>
      <c r="C2" s="8" t="s">
        <v>1776</v>
      </c>
      <c r="D2" s="8" t="s">
        <v>1777</v>
      </c>
      <c r="E2" s="8" t="s">
        <v>1778</v>
      </c>
      <c r="F2" s="8" t="s">
        <v>3</v>
      </c>
      <c r="G2" s="9"/>
      <c r="H2" s="8" t="s">
        <v>1775</v>
      </c>
      <c r="I2" s="8" t="s">
        <v>1776</v>
      </c>
      <c r="J2" s="8" t="s">
        <v>1777</v>
      </c>
      <c r="K2" s="8" t="s">
        <v>1778</v>
      </c>
      <c r="L2" s="8" t="s">
        <v>3</v>
      </c>
      <c r="M2" s="10" t="s">
        <v>1779</v>
      </c>
      <c r="N2" s="9"/>
      <c r="O2" s="8" t="s">
        <v>1775</v>
      </c>
      <c r="P2" s="8" t="s">
        <v>1776</v>
      </c>
      <c r="Q2" s="8" t="s">
        <v>1777</v>
      </c>
      <c r="R2" s="8" t="s">
        <v>1778</v>
      </c>
      <c r="S2" s="8" t="s">
        <v>3</v>
      </c>
      <c r="T2" s="10" t="s">
        <v>1779</v>
      </c>
    </row>
    <row r="3" ht="16.5" spans="2:23">
      <c r="B3" s="11">
        <v>3</v>
      </c>
      <c r="C3" s="11">
        <v>50</v>
      </c>
      <c r="D3" s="11" t="s">
        <v>1780</v>
      </c>
      <c r="E3" s="11">
        <v>1</v>
      </c>
      <c r="F3" s="11">
        <f>IFERROR(_xlfn.XLOOKUP(D3,价值表!$E:$E,价值表!$G:$G)*E3,"")</f>
        <v>250</v>
      </c>
      <c r="H3" s="11">
        <v>4</v>
      </c>
      <c r="I3" s="11">
        <v>100</v>
      </c>
      <c r="J3" s="11" t="s">
        <v>1780</v>
      </c>
      <c r="K3" s="11">
        <v>1</v>
      </c>
      <c r="L3" s="11">
        <f>IFERROR(_xlfn.XLOOKUP(J3,价值表!$E:$E,价值表!$G:$G)*K3,"")</f>
        <v>250</v>
      </c>
      <c r="M3" s="12">
        <f>IF(L3="","",L3/(I3)*1.106/30)</f>
        <v>0.0921666666666667</v>
      </c>
      <c r="O3" s="11">
        <v>5</v>
      </c>
      <c r="P3" s="11">
        <v>100</v>
      </c>
      <c r="Q3" s="11" t="s">
        <v>1780</v>
      </c>
      <c r="R3" s="11">
        <v>1</v>
      </c>
      <c r="S3" s="11">
        <f>IFERROR(_xlfn.XLOOKUP(Q3,价值表!$E:$E,价值表!$G:$G)*R3,"")</f>
        <v>250</v>
      </c>
      <c r="T3" s="12">
        <f>IF(S3="","",S3/P3*1.106/30)</f>
        <v>0.0921666666666667</v>
      </c>
      <c r="V3" s="11" t="s">
        <v>1781</v>
      </c>
      <c r="W3" cm="1">
        <f t="array" ref="W3">SUMPRODUCT(--($D$3:$D$15=V3),--($E$3:$E$15))</f>
        <v>10</v>
      </c>
    </row>
    <row r="4" ht="16.5" spans="2:23">
      <c r="B4" s="11">
        <v>3</v>
      </c>
      <c r="C4" s="11">
        <v>100</v>
      </c>
      <c r="D4" s="11" t="s">
        <v>1781</v>
      </c>
      <c r="E4" s="11">
        <v>2</v>
      </c>
      <c r="F4" s="11">
        <f>IFERROR(_xlfn.XLOOKUP(D4,价值表!$E:$E,价值表!$G:$G)*E4,"")</f>
        <v>100</v>
      </c>
      <c r="H4" s="11">
        <v>4</v>
      </c>
      <c r="I4" s="11">
        <v>200</v>
      </c>
      <c r="J4" s="11" t="s">
        <v>1781</v>
      </c>
      <c r="K4" s="11">
        <v>2</v>
      </c>
      <c r="L4" s="11">
        <f>IFERROR(_xlfn.XLOOKUP(J4,价值表!$E:$E,价值表!$G:$G)*K4,"")</f>
        <v>100</v>
      </c>
      <c r="M4" s="12">
        <f>IF(L4="","",L4/(I4-I3)*1.106/30)</f>
        <v>0.0368666666666667</v>
      </c>
      <c r="O4" s="11">
        <v>5</v>
      </c>
      <c r="P4" s="11">
        <v>200</v>
      </c>
      <c r="Q4" s="11" t="s">
        <v>1781</v>
      </c>
      <c r="R4" s="11">
        <v>2</v>
      </c>
      <c r="S4" s="11">
        <f>IFERROR(_xlfn.XLOOKUP(Q4,价值表!$E:$E,价值表!$G:$G)*R4,"")</f>
        <v>100</v>
      </c>
      <c r="T4" s="12">
        <f t="shared" ref="T4:T14" si="0">IF(S4="","",S4/(P4-P3)*1.106/30)</f>
        <v>0.0368666666666667</v>
      </c>
      <c r="V4" s="11" t="s">
        <v>1782</v>
      </c>
      <c r="W4" cm="1">
        <f t="array" ref="W4">SUMPRODUCT(--($D$3:$D$15=V4),--($E$3:$E$15))</f>
        <v>5</v>
      </c>
    </row>
    <row r="5" ht="16.5" spans="2:23">
      <c r="B5" s="11">
        <v>3</v>
      </c>
      <c r="C5" s="11">
        <v>200</v>
      </c>
      <c r="D5" s="13" t="s">
        <v>1783</v>
      </c>
      <c r="E5" s="13">
        <v>1</v>
      </c>
      <c r="F5" s="11" t="str">
        <f>IFERROR(_xlfn.XLOOKUP(D5,价值表!$E:$E,价值表!$G:$G)*E5,"")</f>
        <v/>
      </c>
      <c r="H5" s="11">
        <v>4</v>
      </c>
      <c r="I5" s="11">
        <v>400</v>
      </c>
      <c r="J5" s="11" t="s">
        <v>1782</v>
      </c>
      <c r="K5" s="11">
        <v>1</v>
      </c>
      <c r="L5" s="11">
        <f>IFERROR(_xlfn.XLOOKUP(J5,价值表!$E:$E,价值表!$G:$G)*K5,"")</f>
        <v>280</v>
      </c>
      <c r="M5" s="12">
        <f t="shared" ref="M5:M14" si="1">IF(L5="","",L5/(I5-I4)*1.106/30)</f>
        <v>0.0516133333333333</v>
      </c>
      <c r="O5" s="11">
        <v>5</v>
      </c>
      <c r="P5" s="11">
        <v>400</v>
      </c>
      <c r="Q5" s="11" t="s">
        <v>1782</v>
      </c>
      <c r="R5" s="11">
        <v>1</v>
      </c>
      <c r="S5" s="11">
        <f>IFERROR(_xlfn.XLOOKUP(Q5,价值表!$E:$E,价值表!$G:$G)*R5,"")</f>
        <v>280</v>
      </c>
      <c r="T5" s="12">
        <f t="shared" si="0"/>
        <v>0.0516133333333333</v>
      </c>
    </row>
    <row r="6" ht="16.5" spans="2:23">
      <c r="B6" s="11">
        <v>3</v>
      </c>
      <c r="C6" s="11">
        <v>300</v>
      </c>
      <c r="D6" s="11" t="s">
        <v>1781</v>
      </c>
      <c r="E6" s="11">
        <v>3</v>
      </c>
      <c r="F6" s="11">
        <f>IFERROR(_xlfn.XLOOKUP(D6,价值表!$E:$E,价值表!$G:$G)*E6,"")</f>
        <v>150</v>
      </c>
      <c r="H6" s="11">
        <v>4</v>
      </c>
      <c r="I6" s="11">
        <v>600</v>
      </c>
      <c r="J6" s="11" t="s">
        <v>1781</v>
      </c>
      <c r="K6" s="14">
        <v>3</v>
      </c>
      <c r="L6" s="11">
        <f>IFERROR(_xlfn.XLOOKUP(J6,价值表!$E:$E,价值表!$G:$G)*K6,"")</f>
        <v>150</v>
      </c>
      <c r="M6" s="12">
        <f t="shared" si="1"/>
        <v>0.02765</v>
      </c>
      <c r="O6" s="11">
        <v>5</v>
      </c>
      <c r="P6" s="11">
        <v>600</v>
      </c>
      <c r="Q6" s="11" t="s">
        <v>1781</v>
      </c>
      <c r="R6" s="14">
        <v>3</v>
      </c>
      <c r="S6" s="11">
        <f>IFERROR(_xlfn.XLOOKUP(Q6,价值表!$E:$E,价值表!$G:$G)*R6,"")</f>
        <v>150</v>
      </c>
      <c r="T6" s="12">
        <f t="shared" si="0"/>
        <v>0.02765</v>
      </c>
    </row>
    <row r="7" ht="16.5" spans="2:23">
      <c r="B7" s="11">
        <v>3</v>
      </c>
      <c r="C7" s="11">
        <v>500</v>
      </c>
      <c r="D7" s="11" t="s">
        <v>1780</v>
      </c>
      <c r="E7" s="13">
        <v>1</v>
      </c>
      <c r="F7" s="11">
        <f>IFERROR(_xlfn.XLOOKUP(D7,价值表!$E:$E,价值表!$G:$G)*E7,"")</f>
        <v>250</v>
      </c>
      <c r="H7" s="11">
        <v>4</v>
      </c>
      <c r="I7" s="11">
        <v>800</v>
      </c>
      <c r="J7" s="15" t="s">
        <v>1784</v>
      </c>
      <c r="K7" s="14">
        <v>6</v>
      </c>
      <c r="L7" s="11">
        <f>IFERROR(_xlfn.XLOOKUP(J7,价值表!$E:$E,价值表!$G:$G)*K7,"")</f>
        <v>360</v>
      </c>
      <c r="M7" s="12">
        <f t="shared" si="1"/>
        <v>0.06636</v>
      </c>
      <c r="O7" s="11">
        <v>5</v>
      </c>
      <c r="P7" s="11">
        <v>800</v>
      </c>
      <c r="Q7" s="15" t="s">
        <v>1784</v>
      </c>
      <c r="R7" s="14">
        <v>6</v>
      </c>
      <c r="S7" s="11">
        <f>IFERROR(_xlfn.XLOOKUP(Q7,价值表!$E:$E,价值表!$G:$G)*R7,"")</f>
        <v>360</v>
      </c>
      <c r="T7" s="12">
        <f t="shared" si="0"/>
        <v>0.06636</v>
      </c>
    </row>
    <row r="8" ht="16.5" spans="2:23">
      <c r="B8" s="11">
        <v>3</v>
      </c>
      <c r="C8" s="11">
        <v>700</v>
      </c>
      <c r="D8" s="11" t="s">
        <v>1785</v>
      </c>
      <c r="E8" s="11">
        <v>1</v>
      </c>
      <c r="F8" s="11">
        <f>IFERROR(_xlfn.XLOOKUP(D8,价值表!$E:$E,价值表!$G:$G)*E8,"")</f>
        <v>100</v>
      </c>
      <c r="H8" s="11">
        <v>4</v>
      </c>
      <c r="I8" s="11">
        <v>1000</v>
      </c>
      <c r="J8" s="11" t="s">
        <v>1782</v>
      </c>
      <c r="K8" s="11">
        <v>1</v>
      </c>
      <c r="L8" s="11">
        <f>IFERROR(_xlfn.XLOOKUP(J8,价值表!$E:$E,价值表!$G:$G)*K8,"")</f>
        <v>280</v>
      </c>
      <c r="M8" s="12">
        <f t="shared" si="1"/>
        <v>0.0516133333333333</v>
      </c>
      <c r="O8" s="11">
        <v>5</v>
      </c>
      <c r="P8" s="11">
        <v>1000</v>
      </c>
      <c r="Q8" s="11" t="s">
        <v>1782</v>
      </c>
      <c r="R8" s="11">
        <v>1</v>
      </c>
      <c r="S8" s="11">
        <f>IFERROR(_xlfn.XLOOKUP(Q8,价值表!$E:$E,价值表!$G:$G)*R8,"")</f>
        <v>280</v>
      </c>
      <c r="T8" s="12">
        <f t="shared" si="0"/>
        <v>0.0516133333333333</v>
      </c>
    </row>
    <row r="9" ht="16.5" spans="2:23">
      <c r="B9" s="11">
        <v>3</v>
      </c>
      <c r="C9" s="11">
        <v>1000</v>
      </c>
      <c r="D9" s="13" t="s">
        <v>1786</v>
      </c>
      <c r="E9" s="13">
        <v>1</v>
      </c>
      <c r="F9" s="11" t="str">
        <f>IFERROR(_xlfn.XLOOKUP(D9,价值表!$E:$E,价值表!$G:$G)*E9,"")</f>
        <v/>
      </c>
      <c r="H9" s="11">
        <v>4</v>
      </c>
      <c r="I9" s="11">
        <v>1200</v>
      </c>
      <c r="J9" s="13" t="s">
        <v>1787</v>
      </c>
      <c r="K9" s="13">
        <v>1</v>
      </c>
      <c r="L9" s="11" t="str">
        <f>IFERROR(_xlfn.XLOOKUP(J9,价值表!$E:$E,价值表!$G:$G)*K9,"")</f>
        <v/>
      </c>
      <c r="M9" s="12" t="str">
        <f t="shared" si="1"/>
        <v/>
      </c>
      <c r="O9" s="11">
        <v>5</v>
      </c>
      <c r="P9" s="11">
        <v>1200</v>
      </c>
      <c r="Q9" s="13" t="s">
        <v>1788</v>
      </c>
      <c r="R9" s="13">
        <v>1</v>
      </c>
      <c r="S9" s="11" t="str">
        <f>IFERROR(_xlfn.XLOOKUP(Q9,价值表!$E:$E,价值表!$G:$G)*R9,"")</f>
        <v/>
      </c>
      <c r="T9" s="12" t="str">
        <f t="shared" si="0"/>
        <v/>
      </c>
    </row>
    <row r="10" ht="16.5" spans="2:23">
      <c r="B10" s="11">
        <v>3</v>
      </c>
      <c r="C10" s="11">
        <v>1200</v>
      </c>
      <c r="D10" s="11" t="s">
        <v>1782</v>
      </c>
      <c r="E10" s="11">
        <v>2</v>
      </c>
      <c r="F10" s="11">
        <f>IFERROR(_xlfn.XLOOKUP(D10,价值表!$E:$E,价值表!$G:$G)*E10,"")</f>
        <v>560</v>
      </c>
      <c r="H10" s="11">
        <v>4</v>
      </c>
      <c r="I10" s="11">
        <v>1400</v>
      </c>
      <c r="J10" s="11" t="s">
        <v>1782</v>
      </c>
      <c r="K10" s="11">
        <v>1</v>
      </c>
      <c r="L10" s="11">
        <f>IFERROR(_xlfn.XLOOKUP(J10,价值表!$E:$E,价值表!$G:$G)*K10,"")</f>
        <v>280</v>
      </c>
      <c r="M10" s="12">
        <f t="shared" si="1"/>
        <v>0.0516133333333333</v>
      </c>
      <c r="O10" s="11">
        <v>5</v>
      </c>
      <c r="P10" s="11">
        <v>1400</v>
      </c>
      <c r="Q10" s="11" t="s">
        <v>1782</v>
      </c>
      <c r="R10" s="11">
        <v>1</v>
      </c>
      <c r="S10" s="11">
        <f>IFERROR(_xlfn.XLOOKUP(Q10,价值表!$E:$E,价值表!$G:$G)*R10,"")</f>
        <v>280</v>
      </c>
      <c r="T10" s="12">
        <f t="shared" si="0"/>
        <v>0.0516133333333333</v>
      </c>
    </row>
    <row r="11" ht="16.5" spans="2:23">
      <c r="B11" s="11">
        <v>3</v>
      </c>
      <c r="C11" s="11">
        <v>1400</v>
      </c>
      <c r="D11" s="11" t="s">
        <v>1781</v>
      </c>
      <c r="E11" s="11">
        <v>5</v>
      </c>
      <c r="F11" s="11">
        <f>IFERROR(_xlfn.XLOOKUP(D11,价值表!$E:$E,价值表!$G:$G)*E11,"")</f>
        <v>250</v>
      </c>
      <c r="H11" s="11">
        <v>4</v>
      </c>
      <c r="I11" s="11">
        <v>1600</v>
      </c>
      <c r="J11" s="11" t="s">
        <v>1781</v>
      </c>
      <c r="K11" s="11">
        <v>5</v>
      </c>
      <c r="L11" s="11">
        <f>IFERROR(_xlfn.XLOOKUP(J11,价值表!$E:$E,价值表!$G:$G)*K11,"")</f>
        <v>250</v>
      </c>
      <c r="M11" s="12">
        <f t="shared" si="1"/>
        <v>0.0460833333333333</v>
      </c>
      <c r="O11" s="11">
        <v>5</v>
      </c>
      <c r="P11" s="11">
        <v>1600</v>
      </c>
      <c r="Q11" s="11" t="s">
        <v>1781</v>
      </c>
      <c r="R11" s="11">
        <v>5</v>
      </c>
      <c r="S11" s="11">
        <f>IFERROR(_xlfn.XLOOKUP(Q11,价值表!$E:$E,价值表!$G:$G)*R11,"")</f>
        <v>250</v>
      </c>
      <c r="T11" s="12">
        <f t="shared" si="0"/>
        <v>0.0460833333333333</v>
      </c>
    </row>
    <row r="12" ht="16.5" spans="2:23">
      <c r="B12" s="11">
        <v>3</v>
      </c>
      <c r="C12" s="11">
        <v>1600</v>
      </c>
      <c r="D12" s="13" t="s">
        <v>1786</v>
      </c>
      <c r="E12" s="13">
        <v>1</v>
      </c>
      <c r="F12" s="11" t="str">
        <f>IFERROR(_xlfn.XLOOKUP(D12,价值表!$E:$E,价值表!$G:$G)*E12,"")</f>
        <v/>
      </c>
      <c r="H12" s="11">
        <v>4</v>
      </c>
      <c r="I12" s="11">
        <v>1800</v>
      </c>
      <c r="J12" s="14" t="s">
        <v>1784</v>
      </c>
      <c r="K12" s="14">
        <v>12</v>
      </c>
      <c r="L12" s="11">
        <f>IFERROR(_xlfn.XLOOKUP(J12,价值表!$E:$E,价值表!$G:$G)*K12,"")</f>
        <v>720</v>
      </c>
      <c r="M12" s="12">
        <f t="shared" si="1"/>
        <v>0.13272</v>
      </c>
      <c r="O12" s="11">
        <v>5</v>
      </c>
      <c r="P12" s="11">
        <v>1800</v>
      </c>
      <c r="Q12" s="14" t="s">
        <v>1784</v>
      </c>
      <c r="R12" s="14">
        <v>12</v>
      </c>
      <c r="S12" s="11">
        <f>IFERROR(_xlfn.XLOOKUP(Q12,价值表!$E:$E,价值表!$G:$G)*R12,"")</f>
        <v>720</v>
      </c>
      <c r="T12" s="12">
        <f t="shared" si="0"/>
        <v>0.13272</v>
      </c>
    </row>
    <row r="13" ht="16.5" spans="2:23">
      <c r="B13" s="11">
        <v>3</v>
      </c>
      <c r="C13" s="9">
        <v>1800</v>
      </c>
      <c r="D13" s="15" t="s">
        <v>1784</v>
      </c>
      <c r="E13" s="14">
        <v>6</v>
      </c>
      <c r="F13" s="11">
        <f>IFERROR(_xlfn.XLOOKUP(D13,价值表!$E:$E,价值表!$G:$G)*E13,"")</f>
        <v>360</v>
      </c>
      <c r="H13" s="11">
        <v>4</v>
      </c>
      <c r="I13" s="11">
        <v>2000</v>
      </c>
      <c r="J13" s="11" t="s">
        <v>1782</v>
      </c>
      <c r="K13" s="11">
        <v>2</v>
      </c>
      <c r="L13" s="11">
        <f>IFERROR(_xlfn.XLOOKUP(J13,价值表!$E:$E,价值表!$G:$G)*K13,"")</f>
        <v>560</v>
      </c>
      <c r="M13" s="12">
        <f t="shared" si="1"/>
        <v>0.103226666666667</v>
      </c>
      <c r="O13" s="11">
        <v>5</v>
      </c>
      <c r="P13" s="11">
        <v>2000</v>
      </c>
      <c r="Q13" s="11" t="s">
        <v>1782</v>
      </c>
      <c r="R13" s="11">
        <v>2</v>
      </c>
      <c r="S13" s="11">
        <f>IFERROR(_xlfn.XLOOKUP(Q13,价值表!$E:$E,价值表!$G:$G)*R13,"")</f>
        <v>560</v>
      </c>
      <c r="T13" s="12">
        <f t="shared" si="0"/>
        <v>0.103226666666667</v>
      </c>
    </row>
    <row r="14" ht="16.5" spans="2:23">
      <c r="B14" s="11">
        <v>3</v>
      </c>
      <c r="C14" s="9">
        <v>2000</v>
      </c>
      <c r="D14" s="11" t="s">
        <v>1782</v>
      </c>
      <c r="E14" s="11">
        <v>3</v>
      </c>
      <c r="F14" s="11">
        <f>IFERROR(_xlfn.XLOOKUP(D14,价值表!$E:$E,价值表!$G:$G)*E14,"")</f>
        <v>840</v>
      </c>
      <c r="H14" s="11">
        <v>4</v>
      </c>
      <c r="I14" s="11">
        <v>2400</v>
      </c>
      <c r="J14" s="13" t="s">
        <v>1787</v>
      </c>
      <c r="K14" s="13">
        <v>1</v>
      </c>
      <c r="L14" s="11" t="str">
        <f>IFERROR(_xlfn.XLOOKUP(J14,价值表!$E:$E,价值表!$G:$G)*K14,"")</f>
        <v/>
      </c>
      <c r="M14" s="12" t="str">
        <f t="shared" si="1"/>
        <v/>
      </c>
      <c r="O14" s="11">
        <v>5</v>
      </c>
      <c r="P14" s="11">
        <v>2400</v>
      </c>
      <c r="Q14" s="13" t="s">
        <v>1789</v>
      </c>
      <c r="R14" s="13">
        <v>1</v>
      </c>
      <c r="S14" s="11" t="str">
        <f>IFERROR(_xlfn.XLOOKUP(Q14,价值表!$E:$E,价值表!$G:$G)*R14,"")</f>
        <v/>
      </c>
      <c r="T14" s="12" t="str">
        <f t="shared" si="0"/>
        <v/>
      </c>
    </row>
    <row r="15" ht="16.5" spans="2:23">
      <c r="B15" s="11">
        <v>3</v>
      </c>
      <c r="C15" s="11">
        <v>2200</v>
      </c>
      <c r="D15" s="13" t="s">
        <v>1790</v>
      </c>
      <c r="E15" s="13">
        <v>1</v>
      </c>
      <c r="F15" s="11" t="str">
        <f>IFERROR(_xlfn.XLOOKUP(D15,价值表!$E:$E,价值表!$G:$G)*E15,"")</f>
        <v/>
      </c>
      <c r="H15" s="9"/>
      <c r="I15" s="9"/>
      <c r="J15" s="9"/>
      <c r="K15" s="9"/>
      <c r="L15" s="11"/>
      <c r="M15" s="9"/>
      <c r="O15" s="9"/>
      <c r="P15" s="9"/>
      <c r="Q15" s="9"/>
      <c r="R15" s="9"/>
      <c r="S15" s="9"/>
    </row>
    <row r="18" spans="1:19">
      <c r="A18" t="s">
        <v>1791</v>
      </c>
    </row>
    <row r="19" ht="16.5" spans="1:19">
      <c r="B19" s="8" t="s">
        <v>1775</v>
      </c>
      <c r="C19" s="8" t="s">
        <v>1776</v>
      </c>
      <c r="D19" s="8" t="s">
        <v>1777</v>
      </c>
      <c r="E19" s="8" t="s">
        <v>1778</v>
      </c>
      <c r="F19" s="8" t="s">
        <v>3</v>
      </c>
      <c r="G19" s="9"/>
      <c r="H19" s="8" t="s">
        <v>1775</v>
      </c>
      <c r="I19" s="8" t="s">
        <v>1776</v>
      </c>
      <c r="J19" s="8" t="s">
        <v>1777</v>
      </c>
      <c r="K19" s="8" t="s">
        <v>1778</v>
      </c>
      <c r="L19" s="8" t="s">
        <v>3</v>
      </c>
      <c r="M19" s="10"/>
      <c r="N19" s="9"/>
      <c r="O19" s="8" t="s">
        <v>1775</v>
      </c>
      <c r="P19" s="8" t="s">
        <v>1776</v>
      </c>
      <c r="Q19" s="8" t="s">
        <v>1777</v>
      </c>
      <c r="R19" s="8" t="s">
        <v>1778</v>
      </c>
      <c r="S19" s="8" t="s">
        <v>3</v>
      </c>
    </row>
    <row r="20" ht="16.5" spans="1:19">
      <c r="B20" s="11">
        <v>3</v>
      </c>
      <c r="C20" s="11">
        <v>50</v>
      </c>
      <c r="D20" s="11" t="s">
        <v>1780</v>
      </c>
      <c r="E20" s="11">
        <v>1</v>
      </c>
      <c r="F20" s="11"/>
      <c r="G20" s="9"/>
      <c r="H20" s="11">
        <v>4</v>
      </c>
      <c r="I20" s="11">
        <v>100</v>
      </c>
      <c r="J20" s="11" t="s">
        <v>1780</v>
      </c>
      <c r="K20" s="11">
        <v>1</v>
      </c>
      <c r="L20" s="11"/>
      <c r="M20" s="9"/>
      <c r="N20" s="9"/>
      <c r="O20" s="11">
        <v>5</v>
      </c>
      <c r="P20" s="11">
        <v>100</v>
      </c>
      <c r="Q20" s="11" t="s">
        <v>1780</v>
      </c>
      <c r="R20" s="11">
        <v>1</v>
      </c>
      <c r="S20" s="11"/>
    </row>
    <row r="21" ht="16.5" spans="1:19">
      <c r="B21" s="11">
        <v>3</v>
      </c>
      <c r="C21" s="11">
        <v>100</v>
      </c>
      <c r="D21" s="11" t="s">
        <v>1781</v>
      </c>
      <c r="E21" s="11">
        <v>5</v>
      </c>
      <c r="F21" s="11">
        <v>250</v>
      </c>
      <c r="G21" s="9"/>
      <c r="H21" s="11">
        <v>4</v>
      </c>
      <c r="I21" s="11">
        <v>200</v>
      </c>
      <c r="J21" s="11" t="s">
        <v>1781</v>
      </c>
      <c r="K21" s="11">
        <v>5</v>
      </c>
      <c r="L21" s="11"/>
      <c r="M21" s="9"/>
      <c r="N21" s="9"/>
      <c r="O21" s="11">
        <v>5</v>
      </c>
      <c r="P21" s="11">
        <v>200</v>
      </c>
      <c r="Q21" s="11" t="s">
        <v>1781</v>
      </c>
      <c r="R21" s="11">
        <v>5</v>
      </c>
      <c r="S21" s="11"/>
    </row>
    <row r="22" ht="16.5" spans="1:19">
      <c r="B22" s="11">
        <v>3</v>
      </c>
      <c r="C22" s="11">
        <v>200</v>
      </c>
      <c r="D22" s="13" t="s">
        <v>1783</v>
      </c>
      <c r="E22" s="13">
        <v>1</v>
      </c>
      <c r="F22" s="11"/>
      <c r="G22" s="9"/>
      <c r="H22" s="11">
        <v>4</v>
      </c>
      <c r="I22" s="11">
        <v>400</v>
      </c>
      <c r="J22" s="11" t="s">
        <v>1782</v>
      </c>
      <c r="K22" s="11">
        <v>1</v>
      </c>
      <c r="L22" s="11"/>
      <c r="M22" s="9"/>
      <c r="N22" s="9"/>
      <c r="O22" s="11">
        <v>5</v>
      </c>
      <c r="P22" s="11">
        <v>400</v>
      </c>
      <c r="Q22" s="11" t="s">
        <v>1782</v>
      </c>
      <c r="R22" s="11">
        <v>1</v>
      </c>
      <c r="S22" s="11"/>
    </row>
    <row r="23" ht="16.5" spans="1:19">
      <c r="B23" s="11">
        <v>3</v>
      </c>
      <c r="C23" s="11">
        <v>300</v>
      </c>
      <c r="D23" s="11" t="s">
        <v>1782</v>
      </c>
      <c r="E23" s="11">
        <v>1</v>
      </c>
      <c r="F23" s="11">
        <v>280</v>
      </c>
      <c r="G23" s="9"/>
      <c r="H23" s="11">
        <v>4</v>
      </c>
      <c r="I23" s="11">
        <v>600</v>
      </c>
      <c r="J23" s="14" t="s">
        <v>1792</v>
      </c>
      <c r="K23" s="14">
        <v>1</v>
      </c>
      <c r="L23" s="11"/>
      <c r="M23" s="9"/>
      <c r="N23" s="9"/>
      <c r="O23" s="11">
        <v>5</v>
      </c>
      <c r="P23" s="11">
        <v>600</v>
      </c>
      <c r="Q23" s="15" t="s">
        <v>1793</v>
      </c>
      <c r="R23" s="14">
        <v>1</v>
      </c>
      <c r="S23" s="11"/>
    </row>
    <row r="24" ht="16.5" spans="1:19">
      <c r="B24" s="11">
        <v>3</v>
      </c>
      <c r="C24" s="11">
        <v>500</v>
      </c>
      <c r="D24" s="11" t="s">
        <v>1780</v>
      </c>
      <c r="E24" s="13">
        <v>1</v>
      </c>
      <c r="F24" s="11"/>
      <c r="G24" s="9"/>
      <c r="H24" s="11">
        <v>4</v>
      </c>
      <c r="I24" s="11">
        <v>800</v>
      </c>
      <c r="J24" s="11" t="s">
        <v>1785</v>
      </c>
      <c r="K24" s="11">
        <v>1</v>
      </c>
      <c r="L24" s="11"/>
      <c r="M24" s="9"/>
      <c r="N24" s="9"/>
      <c r="O24" s="11">
        <v>5</v>
      </c>
      <c r="P24" s="11">
        <v>800</v>
      </c>
      <c r="Q24" s="11" t="s">
        <v>1785</v>
      </c>
      <c r="R24" s="11">
        <v>1</v>
      </c>
      <c r="S24" s="11"/>
    </row>
    <row r="25" ht="16.5" spans="1:19">
      <c r="B25" s="11">
        <v>3</v>
      </c>
      <c r="C25" s="11">
        <v>700</v>
      </c>
      <c r="D25" s="11" t="s">
        <v>1785</v>
      </c>
      <c r="E25" s="11">
        <v>1</v>
      </c>
      <c r="F25" s="11">
        <v>100</v>
      </c>
      <c r="G25" s="9"/>
      <c r="H25" s="11">
        <v>4</v>
      </c>
      <c r="I25" s="11">
        <v>1000</v>
      </c>
      <c r="J25" s="11" t="s">
        <v>1794</v>
      </c>
      <c r="K25" s="11">
        <v>200</v>
      </c>
      <c r="L25" s="11"/>
      <c r="M25" s="9"/>
      <c r="N25" s="9"/>
      <c r="O25" s="11">
        <v>5</v>
      </c>
      <c r="P25" s="11">
        <v>1000</v>
      </c>
      <c r="Q25" s="11" t="s">
        <v>1794</v>
      </c>
      <c r="R25" s="11">
        <v>200</v>
      </c>
      <c r="S25" s="11"/>
    </row>
    <row r="26" ht="16.5" spans="1:19">
      <c r="B26" s="11">
        <v>3</v>
      </c>
      <c r="C26" s="11">
        <v>1000</v>
      </c>
      <c r="D26" s="13" t="s">
        <v>1786</v>
      </c>
      <c r="E26" s="13">
        <v>1</v>
      </c>
      <c r="F26" s="11"/>
      <c r="G26" s="9"/>
      <c r="H26" s="11">
        <v>4</v>
      </c>
      <c r="I26" s="11">
        <v>1200</v>
      </c>
      <c r="J26" s="13" t="s">
        <v>1793</v>
      </c>
      <c r="K26" s="13">
        <v>1</v>
      </c>
      <c r="L26" s="11"/>
      <c r="M26" s="9"/>
      <c r="N26" s="9"/>
      <c r="O26" s="11">
        <v>5</v>
      </c>
      <c r="P26" s="11">
        <v>1200</v>
      </c>
      <c r="Q26" s="13" t="s">
        <v>1788</v>
      </c>
      <c r="R26" s="13">
        <v>1</v>
      </c>
      <c r="S26" s="11"/>
    </row>
    <row r="27" ht="16.5" spans="1:19">
      <c r="B27" s="11">
        <v>3</v>
      </c>
      <c r="C27" s="11">
        <v>1200</v>
      </c>
      <c r="D27" s="11" t="s">
        <v>1795</v>
      </c>
      <c r="E27" s="11">
        <v>2000</v>
      </c>
      <c r="F27" s="11">
        <v>100</v>
      </c>
      <c r="G27" s="9"/>
      <c r="H27" s="11">
        <v>4</v>
      </c>
      <c r="I27" s="11">
        <v>1400</v>
      </c>
      <c r="J27" s="11" t="s">
        <v>1782</v>
      </c>
      <c r="K27" s="11">
        <v>2</v>
      </c>
      <c r="L27" s="11"/>
      <c r="M27" s="9"/>
      <c r="N27" s="9"/>
      <c r="O27" s="11">
        <v>5</v>
      </c>
      <c r="P27" s="11">
        <v>1400</v>
      </c>
      <c r="Q27" s="11" t="s">
        <v>1782</v>
      </c>
      <c r="R27" s="11">
        <v>2</v>
      </c>
      <c r="S27" s="11"/>
    </row>
    <row r="28" ht="16.5" spans="1:19">
      <c r="B28" s="11">
        <v>3</v>
      </c>
      <c r="C28" s="11">
        <v>1400</v>
      </c>
      <c r="D28" s="11" t="s">
        <v>1794</v>
      </c>
      <c r="E28" s="11">
        <v>150</v>
      </c>
      <c r="F28" s="11">
        <v>300</v>
      </c>
      <c r="G28" s="9"/>
      <c r="H28" s="11">
        <v>4</v>
      </c>
      <c r="I28" s="11">
        <v>1600</v>
      </c>
      <c r="J28" s="11" t="s">
        <v>1782</v>
      </c>
      <c r="K28" s="11">
        <v>3</v>
      </c>
      <c r="L28" s="11"/>
      <c r="M28" s="9"/>
      <c r="N28" s="9"/>
      <c r="O28" s="11">
        <v>5</v>
      </c>
      <c r="P28" s="11">
        <v>1600</v>
      </c>
      <c r="Q28" s="11" t="s">
        <v>1782</v>
      </c>
      <c r="R28" s="11">
        <v>3</v>
      </c>
      <c r="S28" s="11"/>
    </row>
    <row r="29" ht="16.5" spans="1:19">
      <c r="B29" s="11">
        <v>3</v>
      </c>
      <c r="C29" s="11">
        <v>1600</v>
      </c>
      <c r="D29" s="13" t="s">
        <v>1786</v>
      </c>
      <c r="E29" s="13">
        <v>1</v>
      </c>
      <c r="F29" s="11"/>
      <c r="G29" s="9"/>
      <c r="H29" s="11">
        <v>4</v>
      </c>
      <c r="I29" s="11">
        <v>1800</v>
      </c>
      <c r="J29" s="14" t="s">
        <v>1796</v>
      </c>
      <c r="K29" s="14">
        <v>1</v>
      </c>
      <c r="L29" s="11"/>
      <c r="M29" s="9"/>
      <c r="N29" s="9"/>
      <c r="O29" s="11">
        <v>5</v>
      </c>
      <c r="P29" s="11">
        <v>1800</v>
      </c>
      <c r="Q29" s="14" t="s">
        <v>1797</v>
      </c>
      <c r="R29" s="14">
        <v>1</v>
      </c>
      <c r="S29" s="11"/>
    </row>
    <row r="30" ht="16.5" spans="1:19">
      <c r="B30" s="11">
        <v>3</v>
      </c>
      <c r="C30" s="9">
        <v>1800</v>
      </c>
      <c r="D30" s="11" t="s">
        <v>1782</v>
      </c>
      <c r="E30" s="11">
        <v>2</v>
      </c>
      <c r="F30" s="11"/>
      <c r="G30" s="9"/>
      <c r="H30" s="11">
        <v>4</v>
      </c>
      <c r="I30" s="11">
        <v>2000</v>
      </c>
      <c r="J30" s="11" t="s">
        <v>1782</v>
      </c>
      <c r="K30" s="11">
        <v>5</v>
      </c>
      <c r="L30" s="11"/>
      <c r="M30" s="9"/>
      <c r="N30" s="9"/>
      <c r="O30" s="11">
        <v>5</v>
      </c>
      <c r="P30" s="11">
        <v>2000</v>
      </c>
      <c r="Q30" s="11" t="s">
        <v>1782</v>
      </c>
      <c r="R30" s="11">
        <v>5</v>
      </c>
      <c r="S30" s="11"/>
    </row>
    <row r="31" ht="16.5" spans="1:19">
      <c r="B31" s="11">
        <v>3</v>
      </c>
      <c r="C31" s="9">
        <v>2000</v>
      </c>
      <c r="D31" s="11" t="s">
        <v>1782</v>
      </c>
      <c r="E31" s="11">
        <v>3</v>
      </c>
      <c r="F31" s="9"/>
      <c r="G31" s="9"/>
      <c r="H31" s="11">
        <v>4</v>
      </c>
      <c r="I31" s="11">
        <v>2400</v>
      </c>
      <c r="J31" s="13" t="s">
        <v>1793</v>
      </c>
      <c r="K31" s="13">
        <v>1</v>
      </c>
      <c r="L31" s="11"/>
      <c r="M31" s="9"/>
      <c r="N31" s="9"/>
      <c r="O31" s="11">
        <v>5</v>
      </c>
      <c r="P31" s="11">
        <v>2400</v>
      </c>
      <c r="Q31" s="13" t="s">
        <v>1789</v>
      </c>
      <c r="R31" s="13">
        <v>1</v>
      </c>
      <c r="S31" s="11"/>
    </row>
    <row r="32" ht="16.5" spans="1:19">
      <c r="B32" s="11">
        <v>3</v>
      </c>
      <c r="C32" s="11">
        <v>2200</v>
      </c>
      <c r="D32" s="13" t="s">
        <v>1790</v>
      </c>
      <c r="E32" s="13">
        <v>1</v>
      </c>
      <c r="F32" s="11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C2:M81"/>
  <sheetViews>
    <sheetView workbookViewId="0">
      <selection activeCell="K26" sqref="K26"/>
    </sheetView>
  </sheetViews>
  <sheetFormatPr defaultColWidth="9" defaultRowHeight="13.5"/>
  <sheetData>
    <row r="2" ht="16.5" spans="3:13">
      <c r="C2" s="1" t="s">
        <v>1798</v>
      </c>
      <c r="D2" s="1" t="s">
        <v>1799</v>
      </c>
      <c r="E2" s="1" t="s">
        <v>1800</v>
      </c>
      <c r="F2" s="2" t="s">
        <v>1801</v>
      </c>
      <c r="G2" s="2" t="s">
        <v>1802</v>
      </c>
      <c r="H2" s="2" t="s">
        <v>1803</v>
      </c>
      <c r="I2" s="2" t="s">
        <v>1804</v>
      </c>
      <c r="J2" s="2" t="s">
        <v>1805</v>
      </c>
      <c r="K2" s="2" t="s">
        <v>1806</v>
      </c>
      <c r="L2" s="2" t="s">
        <v>1807</v>
      </c>
      <c r="M2" s="2" t="s">
        <v>1808</v>
      </c>
    </row>
    <row r="3" ht="16.5" spans="3:13">
      <c r="C3" s="3">
        <v>1</v>
      </c>
      <c r="D3" s="3">
        <v>1</v>
      </c>
      <c r="E3" s="3" t="s">
        <v>14</v>
      </c>
      <c r="F3" s="3" t="s">
        <v>1809</v>
      </c>
      <c r="G3" s="3">
        <v>1</v>
      </c>
      <c r="H3" s="3"/>
      <c r="I3" s="3" t="s">
        <v>1810</v>
      </c>
      <c r="J3" s="3" t="s">
        <v>1811</v>
      </c>
      <c r="K3" s="3">
        <v>5</v>
      </c>
      <c r="L3" s="3"/>
      <c r="M3" s="3" t="s">
        <v>1812</v>
      </c>
    </row>
    <row r="4" ht="16.5" spans="3:13">
      <c r="C4" s="3">
        <v>2</v>
      </c>
      <c r="D4" s="3">
        <v>13</v>
      </c>
      <c r="E4" s="3" t="s">
        <v>6</v>
      </c>
      <c r="F4" s="3"/>
      <c r="G4" s="3">
        <v>2</v>
      </c>
      <c r="H4" s="3"/>
      <c r="I4" s="3" t="s">
        <v>1813</v>
      </c>
      <c r="J4" s="3"/>
      <c r="K4" s="3">
        <v>7</v>
      </c>
      <c r="L4" s="3"/>
      <c r="M4" s="3"/>
    </row>
    <row r="5" ht="16.5" spans="3:13">
      <c r="C5" s="3">
        <v>3</v>
      </c>
      <c r="D5" s="3">
        <v>2</v>
      </c>
      <c r="E5" s="3" t="s">
        <v>1795</v>
      </c>
      <c r="F5" s="3"/>
      <c r="G5" s="3">
        <v>0.05</v>
      </c>
      <c r="H5" s="3"/>
      <c r="I5" s="3" t="s">
        <v>1814</v>
      </c>
      <c r="J5" s="3"/>
      <c r="K5" s="3">
        <v>5</v>
      </c>
      <c r="L5" s="3"/>
      <c r="M5" s="3"/>
    </row>
    <row r="6" ht="16.5" spans="3:13">
      <c r="C6" s="3">
        <v>4</v>
      </c>
      <c r="D6" s="3">
        <v>44</v>
      </c>
      <c r="E6" s="3" t="s">
        <v>1815</v>
      </c>
      <c r="F6" s="3"/>
      <c r="G6" s="3">
        <v>10</v>
      </c>
      <c r="H6" s="3"/>
      <c r="I6" s="3" t="s">
        <v>1816</v>
      </c>
      <c r="J6" s="3" t="s">
        <v>1817</v>
      </c>
      <c r="K6" s="3">
        <v>2</v>
      </c>
      <c r="L6" s="3"/>
      <c r="M6" s="4" t="s">
        <v>1818</v>
      </c>
    </row>
    <row r="7" ht="16.5" spans="3:13">
      <c r="C7" s="3">
        <v>5</v>
      </c>
      <c r="D7" s="3">
        <v>20003</v>
      </c>
      <c r="E7" s="3" t="s">
        <v>1819</v>
      </c>
      <c r="F7" s="3"/>
      <c r="G7" s="3">
        <v>30</v>
      </c>
      <c r="H7" s="3"/>
      <c r="I7" s="3"/>
      <c r="J7" s="3"/>
      <c r="K7" s="3"/>
      <c r="L7" s="3"/>
      <c r="M7" s="4"/>
    </row>
    <row r="8" ht="16.5" spans="3:13">
      <c r="C8" s="3">
        <v>6</v>
      </c>
      <c r="D8" s="3">
        <v>20033</v>
      </c>
      <c r="E8" s="3" t="s">
        <v>1820</v>
      </c>
      <c r="F8" s="3"/>
      <c r="G8" s="3">
        <v>40</v>
      </c>
      <c r="H8" s="3"/>
      <c r="I8" s="3"/>
      <c r="J8" s="3"/>
      <c r="K8" s="3"/>
      <c r="L8" s="3"/>
      <c r="M8" s="3"/>
    </row>
    <row r="9" ht="16.5" spans="3:13">
      <c r="C9" s="3">
        <v>7</v>
      </c>
      <c r="D9" s="3">
        <v>5800004</v>
      </c>
      <c r="E9" s="3" t="s">
        <v>1821</v>
      </c>
      <c r="F9" s="3"/>
      <c r="G9" s="3">
        <v>30</v>
      </c>
      <c r="H9" s="3"/>
      <c r="I9" s="3"/>
      <c r="J9" s="3"/>
      <c r="K9" s="3"/>
      <c r="L9" s="3"/>
      <c r="M9" s="3"/>
    </row>
    <row r="10" ht="16.5" spans="3:13">
      <c r="C10" s="3">
        <v>8</v>
      </c>
      <c r="D10" s="3">
        <v>5800005</v>
      </c>
      <c r="E10" s="3" t="s">
        <v>1822</v>
      </c>
      <c r="F10" s="3"/>
      <c r="G10" s="3">
        <v>50</v>
      </c>
      <c r="H10" s="3"/>
      <c r="I10" s="3"/>
      <c r="J10" s="3"/>
      <c r="K10" s="3"/>
      <c r="L10" s="3"/>
      <c r="M10" s="3"/>
    </row>
    <row r="11" ht="16.5" spans="3:13">
      <c r="C11" s="3">
        <v>9</v>
      </c>
      <c r="D11" s="3">
        <v>20034</v>
      </c>
      <c r="E11" s="3" t="s">
        <v>1780</v>
      </c>
      <c r="F11" s="3"/>
      <c r="G11" s="3">
        <v>250</v>
      </c>
      <c r="H11" s="3"/>
      <c r="I11" s="3"/>
      <c r="J11" s="3"/>
      <c r="K11" s="3"/>
      <c r="L11" s="3"/>
      <c r="M11" s="3"/>
    </row>
    <row r="12" ht="16.5" spans="3:13">
      <c r="C12" s="3">
        <v>10</v>
      </c>
      <c r="D12" s="3">
        <v>20035</v>
      </c>
      <c r="E12" s="3" t="s">
        <v>1823</v>
      </c>
      <c r="F12" s="3"/>
      <c r="G12" s="3">
        <v>700</v>
      </c>
      <c r="H12" s="3"/>
      <c r="I12" s="3"/>
      <c r="J12" s="3"/>
      <c r="K12" s="3"/>
      <c r="L12" s="3"/>
      <c r="M12" s="3"/>
    </row>
    <row r="13" ht="16.5" spans="3:13">
      <c r="C13" s="3">
        <v>11</v>
      </c>
      <c r="D13" s="3">
        <v>28</v>
      </c>
      <c r="E13" s="3" t="s">
        <v>1824</v>
      </c>
      <c r="F13" s="3"/>
      <c r="G13" s="3">
        <v>200</v>
      </c>
      <c r="H13" s="3"/>
      <c r="I13" s="3"/>
      <c r="J13" s="3"/>
      <c r="K13" s="3"/>
      <c r="L13" s="3"/>
      <c r="M13" s="3"/>
    </row>
    <row r="14" ht="16.5" spans="3:13">
      <c r="C14" s="3">
        <v>12</v>
      </c>
      <c r="D14" s="3">
        <v>5104001</v>
      </c>
      <c r="E14" s="3" t="s">
        <v>1794</v>
      </c>
      <c r="F14" s="3"/>
      <c r="G14" s="3">
        <v>2</v>
      </c>
      <c r="H14" s="3"/>
      <c r="I14" s="3"/>
      <c r="J14" s="3"/>
      <c r="K14" s="3"/>
      <c r="L14" s="3"/>
      <c r="M14" s="3"/>
    </row>
    <row r="15" ht="16.5" spans="3:13">
      <c r="C15" s="3">
        <v>13</v>
      </c>
      <c r="D15" s="3">
        <v>5103001</v>
      </c>
      <c r="E15" s="3" t="s">
        <v>1825</v>
      </c>
      <c r="F15" s="3" t="s">
        <v>1826</v>
      </c>
      <c r="G15" s="3">
        <v>1</v>
      </c>
      <c r="H15" s="3"/>
      <c r="I15" s="3" t="s">
        <v>1827</v>
      </c>
      <c r="J15" s="3"/>
      <c r="K15" s="3">
        <v>5</v>
      </c>
      <c r="L15" s="3"/>
      <c r="M15" s="3" t="s">
        <v>1828</v>
      </c>
    </row>
    <row r="16" ht="16.5" spans="3:13">
      <c r="C16" s="3">
        <v>14</v>
      </c>
      <c r="D16" s="3">
        <v>11</v>
      </c>
      <c r="E16" s="3" t="s">
        <v>1829</v>
      </c>
      <c r="F16" s="3"/>
      <c r="G16" s="3">
        <v>30</v>
      </c>
      <c r="H16" s="3"/>
      <c r="I16" s="3" t="s">
        <v>1830</v>
      </c>
      <c r="J16" s="3" t="s">
        <v>1831</v>
      </c>
      <c r="K16" s="3">
        <v>6</v>
      </c>
      <c r="L16" s="3"/>
      <c r="M16" s="4" t="s">
        <v>1832</v>
      </c>
    </row>
    <row r="17" ht="16.5" spans="3:13">
      <c r="C17" s="3">
        <v>15</v>
      </c>
      <c r="D17" s="3">
        <v>35</v>
      </c>
      <c r="E17" s="3" t="s">
        <v>1785</v>
      </c>
      <c r="F17" s="3"/>
      <c r="G17" s="3">
        <v>100</v>
      </c>
      <c r="H17" s="3"/>
      <c r="I17" s="3" t="s">
        <v>1833</v>
      </c>
      <c r="J17" s="3"/>
      <c r="K17" s="3"/>
      <c r="L17" s="3" t="s">
        <v>1834</v>
      </c>
      <c r="M17" s="3"/>
    </row>
    <row r="18" ht="16.5" spans="3:13">
      <c r="C18" s="3">
        <v>16</v>
      </c>
      <c r="D18" s="3"/>
      <c r="E18" s="3" t="s">
        <v>1835</v>
      </c>
      <c r="F18" s="3"/>
      <c r="G18" s="3">
        <v>150</v>
      </c>
      <c r="H18" s="3"/>
      <c r="I18" s="3" t="s">
        <v>1831</v>
      </c>
      <c r="J18" s="3"/>
      <c r="K18" s="3">
        <v>10</v>
      </c>
      <c r="L18" s="3" t="s">
        <v>1836</v>
      </c>
      <c r="M18" s="4" t="s">
        <v>1837</v>
      </c>
    </row>
    <row r="19" ht="16.5" spans="3:13">
      <c r="C19" s="3">
        <v>17</v>
      </c>
      <c r="D19" s="3">
        <v>1310100</v>
      </c>
      <c r="E19" s="3" t="s">
        <v>1838</v>
      </c>
      <c r="F19" s="3"/>
      <c r="G19" s="3">
        <v>20</v>
      </c>
      <c r="H19" s="3"/>
      <c r="I19" s="3" t="s">
        <v>1839</v>
      </c>
      <c r="J19" s="3"/>
      <c r="K19" s="3">
        <v>8</v>
      </c>
      <c r="L19" s="3"/>
      <c r="M19" s="3"/>
    </row>
    <row r="20" ht="16.5" spans="3:13">
      <c r="C20" s="3">
        <v>18</v>
      </c>
      <c r="D20" s="3">
        <v>1420200</v>
      </c>
      <c r="E20" s="5" t="s">
        <v>1840</v>
      </c>
      <c r="F20" s="3"/>
      <c r="G20" s="3">
        <v>40</v>
      </c>
      <c r="H20" s="3"/>
      <c r="I20" s="3" t="s">
        <v>1839</v>
      </c>
      <c r="J20" s="3"/>
      <c r="K20" s="3">
        <v>8</v>
      </c>
      <c r="L20" s="3"/>
      <c r="M20" s="3"/>
    </row>
    <row r="21" ht="16.5" spans="3:13">
      <c r="C21" s="3">
        <v>19</v>
      </c>
      <c r="D21" s="3">
        <v>1130100</v>
      </c>
      <c r="E21" s="5" t="s">
        <v>1841</v>
      </c>
      <c r="F21" s="3"/>
      <c r="G21" s="3">
        <v>80</v>
      </c>
      <c r="H21" s="3"/>
      <c r="I21" s="3" t="s">
        <v>1839</v>
      </c>
      <c r="J21" s="3"/>
      <c r="K21" s="3">
        <v>8</v>
      </c>
      <c r="L21" s="3"/>
      <c r="M21" s="3"/>
    </row>
    <row r="22" ht="16.5" spans="3:13">
      <c r="C22" s="3">
        <v>20</v>
      </c>
      <c r="D22" s="5"/>
      <c r="E22" s="5" t="s">
        <v>1842</v>
      </c>
      <c r="F22" s="5"/>
      <c r="G22" s="3">
        <v>160</v>
      </c>
      <c r="H22" s="3"/>
      <c r="I22" s="3" t="s">
        <v>1839</v>
      </c>
      <c r="J22" s="5"/>
      <c r="K22" s="3">
        <v>8</v>
      </c>
      <c r="L22" s="5"/>
      <c r="M22" s="5"/>
    </row>
    <row r="23" ht="16.5" spans="3:13">
      <c r="C23" s="3">
        <v>21</v>
      </c>
      <c r="D23" s="5"/>
      <c r="E23" s="5" t="s">
        <v>1843</v>
      </c>
      <c r="F23" s="5"/>
      <c r="G23" s="3">
        <v>320</v>
      </c>
      <c r="H23" s="3"/>
      <c r="I23" s="3" t="s">
        <v>1839</v>
      </c>
      <c r="J23" s="5"/>
      <c r="K23" s="3">
        <v>8</v>
      </c>
      <c r="L23" s="5"/>
      <c r="M23" s="5"/>
    </row>
    <row r="24" ht="16.5" spans="3:13">
      <c r="C24" s="3">
        <v>22</v>
      </c>
      <c r="D24" s="5">
        <v>13101001</v>
      </c>
      <c r="E24" s="3" t="s">
        <v>1844</v>
      </c>
      <c r="F24" s="5"/>
      <c r="G24" s="5">
        <v>6</v>
      </c>
      <c r="H24" s="5"/>
      <c r="I24" s="3" t="s">
        <v>1839</v>
      </c>
      <c r="J24" s="5"/>
      <c r="K24" s="3">
        <v>8</v>
      </c>
      <c r="L24" s="5"/>
      <c r="M24" s="5"/>
    </row>
    <row r="25" ht="16.5" spans="3:13">
      <c r="C25" s="3">
        <v>23</v>
      </c>
      <c r="D25" s="5">
        <v>14202001</v>
      </c>
      <c r="E25" s="5" t="s">
        <v>1845</v>
      </c>
      <c r="F25" s="5"/>
      <c r="G25" s="5">
        <v>12</v>
      </c>
      <c r="H25" s="5"/>
      <c r="I25" s="3" t="s">
        <v>1839</v>
      </c>
      <c r="J25" s="5"/>
      <c r="K25" s="3">
        <v>8</v>
      </c>
      <c r="L25" s="5"/>
      <c r="M25" s="5"/>
    </row>
    <row r="26" ht="16.5" spans="3:13">
      <c r="C26" s="3">
        <v>24</v>
      </c>
      <c r="D26" s="3">
        <v>11301001</v>
      </c>
      <c r="E26" s="5" t="s">
        <v>1846</v>
      </c>
      <c r="F26" s="3"/>
      <c r="G26" s="5">
        <v>24</v>
      </c>
      <c r="H26" s="3"/>
      <c r="I26" s="3" t="s">
        <v>1839</v>
      </c>
      <c r="J26" s="3"/>
      <c r="K26" s="3">
        <v>8</v>
      </c>
      <c r="L26" s="3"/>
      <c r="M26" s="3"/>
    </row>
    <row r="27" ht="16.5" spans="3:13">
      <c r="C27" s="3">
        <v>25</v>
      </c>
      <c r="D27" s="3"/>
      <c r="E27" s="5" t="s">
        <v>1847</v>
      </c>
      <c r="F27" s="3"/>
      <c r="G27" s="5">
        <v>48</v>
      </c>
      <c r="H27" s="5"/>
      <c r="I27" s="3" t="s">
        <v>1839</v>
      </c>
      <c r="J27" s="5"/>
      <c r="K27" s="3">
        <v>8</v>
      </c>
      <c r="L27" s="5"/>
      <c r="M27" s="5"/>
    </row>
    <row r="28" ht="16.5" spans="3:13">
      <c r="C28" s="3">
        <v>26</v>
      </c>
      <c r="D28" s="3"/>
      <c r="E28" s="5" t="s">
        <v>1848</v>
      </c>
      <c r="F28" s="3"/>
      <c r="G28" s="5">
        <v>96</v>
      </c>
      <c r="H28" s="5"/>
      <c r="I28" s="3" t="s">
        <v>1839</v>
      </c>
      <c r="J28" s="5"/>
      <c r="K28" s="3">
        <v>8</v>
      </c>
      <c r="L28" s="5"/>
      <c r="M28" s="5"/>
    </row>
    <row r="29" ht="16.5" spans="3:13">
      <c r="C29" s="3"/>
      <c r="D29" s="3"/>
      <c r="E29" s="5"/>
      <c r="F29" s="3"/>
      <c r="G29" s="5"/>
      <c r="H29" s="5"/>
      <c r="I29" s="3"/>
      <c r="J29" s="5"/>
      <c r="K29" s="3"/>
      <c r="L29" s="5"/>
      <c r="M29" s="5"/>
    </row>
    <row r="30" ht="16.5" spans="3:13">
      <c r="C30" s="3"/>
      <c r="D30" s="3">
        <v>50</v>
      </c>
      <c r="E30" s="5" t="s">
        <v>1849</v>
      </c>
      <c r="F30" s="3"/>
      <c r="G30" s="5">
        <v>0.1</v>
      </c>
      <c r="H30" s="5"/>
      <c r="I30" s="3"/>
      <c r="J30" s="5"/>
      <c r="K30" s="3"/>
      <c r="L30" s="5"/>
      <c r="M30" s="5"/>
    </row>
    <row r="31" ht="16.5" spans="3:13">
      <c r="C31" s="3"/>
      <c r="D31" s="3">
        <v>5523001</v>
      </c>
      <c r="E31" s="5" t="s">
        <v>1850</v>
      </c>
      <c r="F31" s="3"/>
      <c r="G31" s="5">
        <v>0.33</v>
      </c>
      <c r="H31" s="5"/>
      <c r="I31" s="3"/>
      <c r="J31" s="5"/>
      <c r="K31" s="3"/>
      <c r="L31" s="5"/>
      <c r="M31" s="5"/>
    </row>
    <row r="32" ht="16.5" spans="3:13">
      <c r="C32" s="3"/>
      <c r="D32" s="3">
        <v>47</v>
      </c>
      <c r="E32" s="5" t="s">
        <v>1851</v>
      </c>
      <c r="F32" s="3"/>
      <c r="G32" s="5">
        <v>0.688</v>
      </c>
      <c r="H32" s="5"/>
      <c r="I32" s="3"/>
      <c r="J32" s="5"/>
      <c r="K32" s="3"/>
      <c r="L32" s="5"/>
      <c r="M32" s="5"/>
    </row>
    <row r="33" ht="16.5" spans="3:13">
      <c r="C33" s="3"/>
      <c r="D33" s="3"/>
      <c r="E33" s="5"/>
      <c r="F33" s="3"/>
      <c r="G33" s="5"/>
      <c r="H33" s="5"/>
      <c r="I33" s="3"/>
      <c r="J33" s="5"/>
      <c r="K33" s="3"/>
      <c r="L33" s="5"/>
      <c r="M33" s="5"/>
    </row>
    <row r="34" ht="16.5" spans="3:13">
      <c r="C34" s="3" t="s">
        <v>178</v>
      </c>
      <c r="D34" s="3"/>
      <c r="E34" s="5"/>
      <c r="F34" s="3"/>
      <c r="G34" s="3"/>
      <c r="H34" s="5"/>
      <c r="I34" s="5"/>
      <c r="J34" s="5"/>
      <c r="K34" s="5"/>
      <c r="L34" s="5"/>
      <c r="M34" s="5"/>
    </row>
    <row r="35" ht="16.5" spans="3:13">
      <c r="C35" s="3">
        <v>27</v>
      </c>
      <c r="D35" s="3">
        <v>50002</v>
      </c>
      <c r="E35" s="3" t="s">
        <v>1852</v>
      </c>
      <c r="F35" s="3" t="s">
        <v>1853</v>
      </c>
      <c r="G35" s="3">
        <v>3</v>
      </c>
      <c r="H35" s="5"/>
      <c r="I35" s="5" t="s">
        <v>1827</v>
      </c>
      <c r="J35" s="5"/>
      <c r="K35" s="5">
        <v>8</v>
      </c>
      <c r="L35" s="5"/>
      <c r="M35" s="5" t="s">
        <v>1854</v>
      </c>
    </row>
    <row r="36" ht="16.5" spans="3:13">
      <c r="C36" s="3">
        <v>28</v>
      </c>
      <c r="D36" s="3">
        <v>50001</v>
      </c>
      <c r="E36" s="3" t="s">
        <v>1855</v>
      </c>
      <c r="F36" s="3"/>
      <c r="G36" s="3">
        <v>0.1</v>
      </c>
      <c r="H36" s="5"/>
      <c r="I36" s="5" t="s">
        <v>1827</v>
      </c>
      <c r="J36" s="5"/>
      <c r="K36" s="5">
        <v>5</v>
      </c>
      <c r="L36" s="5" t="s">
        <v>1856</v>
      </c>
      <c r="M36" s="5" t="s">
        <v>1828</v>
      </c>
    </row>
    <row r="37" ht="16.5" spans="3:13">
      <c r="C37" s="3">
        <v>29</v>
      </c>
      <c r="D37" s="3"/>
      <c r="E37" s="3" t="s">
        <v>1857</v>
      </c>
      <c r="F37" s="3"/>
      <c r="G37" s="6">
        <v>15</v>
      </c>
      <c r="H37" s="5"/>
      <c r="I37" s="5" t="s">
        <v>1827</v>
      </c>
      <c r="J37" s="5"/>
      <c r="K37" s="5"/>
      <c r="L37" s="5"/>
      <c r="M37" s="5"/>
    </row>
    <row r="38" ht="16.5" spans="3:13">
      <c r="C38" s="3">
        <v>30</v>
      </c>
      <c r="D38" s="3"/>
      <c r="E38" s="3" t="s">
        <v>1858</v>
      </c>
      <c r="F38" s="3"/>
      <c r="G38" s="6">
        <v>50</v>
      </c>
      <c r="H38" s="5"/>
      <c r="I38" s="5" t="s">
        <v>1827</v>
      </c>
      <c r="J38" s="5"/>
      <c r="K38" s="5"/>
      <c r="L38" s="5"/>
      <c r="M38" s="5"/>
    </row>
    <row r="39" ht="16.5" spans="3:13">
      <c r="C39" s="3"/>
      <c r="D39" s="3"/>
      <c r="E39" s="3" t="s">
        <v>1859</v>
      </c>
      <c r="F39" s="3"/>
      <c r="G39" s="6">
        <v>15</v>
      </c>
      <c r="H39" s="5"/>
      <c r="I39" s="5" t="s">
        <v>1827</v>
      </c>
      <c r="J39" s="5"/>
      <c r="K39" s="5"/>
      <c r="L39" s="5"/>
      <c r="M39" s="5"/>
    </row>
    <row r="40" ht="16.5" spans="3:13">
      <c r="C40" s="3">
        <v>31</v>
      </c>
      <c r="D40" s="3"/>
      <c r="E40" s="3" t="s">
        <v>1860</v>
      </c>
      <c r="F40" s="3"/>
      <c r="G40" s="3"/>
      <c r="H40" s="5"/>
      <c r="I40" s="5" t="s">
        <v>1827</v>
      </c>
      <c r="J40" s="5"/>
      <c r="K40" s="5"/>
      <c r="L40" s="5"/>
      <c r="M40" s="5"/>
    </row>
    <row r="41" ht="16.5" spans="3:13">
      <c r="C41" s="3">
        <v>32</v>
      </c>
      <c r="D41" s="3"/>
      <c r="E41" s="3" t="s">
        <v>1861</v>
      </c>
      <c r="F41" s="3"/>
      <c r="G41" s="3"/>
      <c r="H41" s="5"/>
      <c r="I41" s="5" t="s">
        <v>1827</v>
      </c>
      <c r="J41" s="5"/>
      <c r="K41" s="5"/>
      <c r="L41" s="5"/>
      <c r="M41" s="5"/>
    </row>
    <row r="42" ht="16.5" spans="3:13">
      <c r="C42" s="3">
        <v>33</v>
      </c>
      <c r="D42" s="3"/>
      <c r="E42" s="3" t="s">
        <v>1862</v>
      </c>
      <c r="F42" s="3"/>
      <c r="G42" s="3"/>
      <c r="H42" s="5"/>
      <c r="I42" s="5" t="s">
        <v>1827</v>
      </c>
      <c r="J42" s="5"/>
      <c r="K42" s="5"/>
      <c r="L42" s="5"/>
      <c r="M42" s="5"/>
    </row>
    <row r="43" ht="16.5" spans="3:13">
      <c r="C43" s="3">
        <v>34</v>
      </c>
      <c r="D43" s="3"/>
      <c r="E43" s="3" t="s">
        <v>1863</v>
      </c>
      <c r="F43" s="3"/>
      <c r="G43" s="3"/>
      <c r="H43" s="5"/>
      <c r="I43" s="5" t="s">
        <v>1827</v>
      </c>
      <c r="J43" s="5"/>
      <c r="K43" s="5"/>
      <c r="L43" s="5"/>
      <c r="M43" s="5"/>
    </row>
    <row r="44" ht="16.5" spans="3:13">
      <c r="C44" s="3">
        <v>35</v>
      </c>
      <c r="D44" s="3"/>
      <c r="E44" s="3" t="s">
        <v>1864</v>
      </c>
      <c r="F44" s="3"/>
      <c r="G44" s="3"/>
      <c r="H44" s="5"/>
      <c r="I44" s="5" t="s">
        <v>1827</v>
      </c>
      <c r="J44" s="5"/>
      <c r="K44" s="5"/>
      <c r="L44" s="5"/>
      <c r="M44" s="5"/>
    </row>
    <row r="45" ht="16.5" spans="3:13">
      <c r="C45" s="3">
        <v>36</v>
      </c>
      <c r="D45" s="3"/>
      <c r="E45" s="3" t="s">
        <v>1865</v>
      </c>
      <c r="F45" s="3"/>
      <c r="G45" s="3"/>
      <c r="H45" s="5"/>
      <c r="I45" s="5" t="s">
        <v>1827</v>
      </c>
      <c r="J45" s="5"/>
      <c r="K45" s="5"/>
      <c r="L45" s="5"/>
      <c r="M45" s="5"/>
    </row>
    <row r="46" ht="16.5" spans="3:13">
      <c r="C46" s="3">
        <v>37</v>
      </c>
      <c r="D46" s="3"/>
      <c r="E46" s="3" t="s">
        <v>1866</v>
      </c>
      <c r="F46" s="3"/>
      <c r="G46" s="3"/>
      <c r="H46" s="5"/>
      <c r="I46" s="5" t="s">
        <v>1827</v>
      </c>
      <c r="J46" s="5"/>
      <c r="K46" s="5"/>
      <c r="L46" s="5"/>
      <c r="M46" s="5"/>
    </row>
    <row r="47" ht="16.5" spans="3:13">
      <c r="C47" s="3" t="s">
        <v>178</v>
      </c>
      <c r="D47" s="3"/>
      <c r="E47" s="3"/>
      <c r="F47" s="3"/>
      <c r="G47" s="3"/>
      <c r="H47" s="5"/>
      <c r="I47" s="5"/>
      <c r="J47" s="5"/>
      <c r="K47" s="5"/>
      <c r="L47" s="5"/>
      <c r="M47" s="5"/>
    </row>
    <row r="48" ht="16.5" spans="3:13">
      <c r="C48" s="3" t="s">
        <v>178</v>
      </c>
      <c r="D48" s="3"/>
      <c r="E48" s="3"/>
      <c r="F48" s="3"/>
      <c r="G48" s="3"/>
      <c r="H48" s="5"/>
      <c r="I48" s="5"/>
      <c r="J48" s="5"/>
      <c r="K48" s="5"/>
      <c r="L48" s="5"/>
      <c r="M48" s="5"/>
    </row>
    <row r="49" ht="16.5" spans="3:13">
      <c r="C49" s="3">
        <v>38</v>
      </c>
      <c r="D49" s="3">
        <v>9</v>
      </c>
      <c r="E49" s="3" t="s">
        <v>1781</v>
      </c>
      <c r="F49" s="3" t="s">
        <v>1867</v>
      </c>
      <c r="G49" s="3">
        <v>50</v>
      </c>
      <c r="H49" s="3"/>
      <c r="I49" s="3" t="s">
        <v>1831</v>
      </c>
      <c r="J49" s="3"/>
      <c r="K49" s="3"/>
      <c r="L49" s="3" t="s">
        <v>1868</v>
      </c>
      <c r="M49" s="3"/>
    </row>
    <row r="50" ht="16.5" spans="3:13">
      <c r="C50" s="3">
        <v>39</v>
      </c>
      <c r="D50" s="3">
        <v>30</v>
      </c>
      <c r="E50" s="7" t="s">
        <v>1782</v>
      </c>
      <c r="F50" s="3"/>
      <c r="G50" s="3">
        <v>280</v>
      </c>
      <c r="H50" s="3"/>
      <c r="I50" s="3" t="s">
        <v>1831</v>
      </c>
      <c r="J50" s="3"/>
      <c r="K50" s="3">
        <v>5</v>
      </c>
      <c r="L50" s="3" t="s">
        <v>1869</v>
      </c>
      <c r="M50" s="3"/>
    </row>
    <row r="51" ht="16.5" spans="3:13">
      <c r="C51" s="3">
        <v>40</v>
      </c>
      <c r="D51" s="3">
        <v>5303001</v>
      </c>
      <c r="E51" s="3" t="s">
        <v>1870</v>
      </c>
      <c r="F51" s="3"/>
      <c r="G51" s="3">
        <v>5</v>
      </c>
      <c r="H51" s="3"/>
      <c r="I51" s="3" t="s">
        <v>1827</v>
      </c>
      <c r="J51" s="3"/>
      <c r="K51" s="3">
        <v>8</v>
      </c>
      <c r="L51" s="3" t="s">
        <v>1871</v>
      </c>
      <c r="M51" s="3"/>
    </row>
    <row r="52" ht="16.5" spans="3:13">
      <c r="C52" s="3">
        <v>41</v>
      </c>
      <c r="D52" s="3">
        <v>5305001</v>
      </c>
      <c r="E52" s="3" t="s">
        <v>1784</v>
      </c>
      <c r="F52" s="3"/>
      <c r="G52" s="3">
        <v>60</v>
      </c>
      <c r="H52" s="3"/>
      <c r="I52" s="3" t="s">
        <v>1831</v>
      </c>
      <c r="J52" s="3"/>
      <c r="K52" s="3">
        <v>5</v>
      </c>
      <c r="L52" s="3" t="s">
        <v>1872</v>
      </c>
      <c r="M52" s="3" t="s">
        <v>1873</v>
      </c>
    </row>
    <row r="53" ht="16.5" spans="3:13">
      <c r="C53" s="3">
        <v>42</v>
      </c>
      <c r="D53" s="3">
        <v>5301000</v>
      </c>
      <c r="E53" s="3" t="s">
        <v>177</v>
      </c>
      <c r="F53" s="3"/>
      <c r="G53" s="3">
        <v>16</v>
      </c>
      <c r="H53" s="3"/>
      <c r="I53" s="3" t="s">
        <v>1827</v>
      </c>
      <c r="J53" s="3"/>
      <c r="K53" s="3"/>
      <c r="L53" s="3" t="s">
        <v>1874</v>
      </c>
      <c r="M53" s="3"/>
    </row>
    <row r="54" ht="16.5" spans="3:13">
      <c r="C54" s="3">
        <v>43</v>
      </c>
      <c r="D54" s="3">
        <v>5302000</v>
      </c>
      <c r="E54" s="3" t="s">
        <v>181</v>
      </c>
      <c r="F54" s="3"/>
      <c r="G54" s="3">
        <v>64</v>
      </c>
      <c r="H54" s="3"/>
      <c r="I54" s="3" t="s">
        <v>1827</v>
      </c>
      <c r="J54" s="3"/>
      <c r="K54" s="3"/>
      <c r="L54" s="3" t="s">
        <v>1875</v>
      </c>
      <c r="M54" s="3"/>
    </row>
    <row r="55" ht="16.5" spans="3:13">
      <c r="C55" s="3">
        <v>44</v>
      </c>
      <c r="D55" s="3">
        <v>5303000</v>
      </c>
      <c r="E55" s="3" t="s">
        <v>183</v>
      </c>
      <c r="F55" s="3"/>
      <c r="G55" s="3">
        <v>256</v>
      </c>
      <c r="H55" s="3"/>
      <c r="I55" s="3" t="s">
        <v>1827</v>
      </c>
      <c r="J55" s="3"/>
      <c r="K55" s="3"/>
      <c r="L55" s="3" t="s">
        <v>1876</v>
      </c>
      <c r="M55" s="3"/>
    </row>
    <row r="56" ht="16.5" spans="3:13">
      <c r="C56" s="3">
        <v>45</v>
      </c>
      <c r="D56" s="3">
        <v>5304000</v>
      </c>
      <c r="E56" s="3" t="s">
        <v>185</v>
      </c>
      <c r="F56" s="3"/>
      <c r="G56" s="3">
        <v>1024</v>
      </c>
      <c r="H56" s="3"/>
      <c r="I56" s="3" t="s">
        <v>1827</v>
      </c>
      <c r="J56" s="3"/>
      <c r="K56" s="3"/>
      <c r="L56" s="3" t="s">
        <v>1877</v>
      </c>
      <c r="M56" s="3"/>
    </row>
    <row r="57" ht="16.5" spans="3:13">
      <c r="C57" s="3">
        <v>46</v>
      </c>
      <c r="D57" s="3">
        <v>5305000</v>
      </c>
      <c r="E57" s="3" t="s">
        <v>187</v>
      </c>
      <c r="F57" s="3"/>
      <c r="G57" s="3">
        <v>4096</v>
      </c>
      <c r="H57" s="3"/>
      <c r="I57" s="3" t="s">
        <v>1827</v>
      </c>
      <c r="J57" s="3"/>
      <c r="K57" s="3"/>
      <c r="L57" s="3" t="s">
        <v>1878</v>
      </c>
      <c r="M57" s="3" t="s">
        <v>1873</v>
      </c>
    </row>
    <row r="58" ht="16.5" spans="3:13">
      <c r="C58" s="3">
        <v>47</v>
      </c>
      <c r="D58" s="3">
        <v>5306000</v>
      </c>
      <c r="E58" s="3" t="s">
        <v>189</v>
      </c>
      <c r="F58" s="3"/>
      <c r="G58" s="3">
        <v>16384</v>
      </c>
      <c r="H58" s="3"/>
      <c r="I58" s="3" t="s">
        <v>1827</v>
      </c>
      <c r="J58" s="3"/>
      <c r="K58" s="3"/>
      <c r="L58" s="3" t="s">
        <v>1879</v>
      </c>
      <c r="M58" s="3" t="s">
        <v>1880</v>
      </c>
    </row>
    <row r="59" ht="16.5" spans="3:13">
      <c r="C59" s="3">
        <v>48</v>
      </c>
      <c r="D59" s="3">
        <v>5307000</v>
      </c>
      <c r="E59" s="3" t="s">
        <v>191</v>
      </c>
      <c r="F59" s="3"/>
      <c r="G59" s="3">
        <v>65536</v>
      </c>
      <c r="H59" s="3"/>
      <c r="I59" s="3" t="s">
        <v>1827</v>
      </c>
      <c r="J59" s="3"/>
      <c r="K59" s="3"/>
      <c r="L59" s="3" t="s">
        <v>1881</v>
      </c>
      <c r="M59" s="4" t="s">
        <v>1882</v>
      </c>
    </row>
    <row r="60" ht="16.5" spans="3:13">
      <c r="C60" s="3">
        <v>49</v>
      </c>
      <c r="D60" s="3">
        <v>5401000</v>
      </c>
      <c r="E60" s="3" t="s">
        <v>1883</v>
      </c>
      <c r="F60" s="3"/>
      <c r="G60" s="3">
        <v>17.728</v>
      </c>
      <c r="H60" s="3"/>
      <c r="I60" s="3"/>
      <c r="J60" s="3"/>
      <c r="K60" s="3"/>
      <c r="L60" s="3"/>
      <c r="M60" s="3"/>
    </row>
    <row r="61" ht="16.5" spans="3:13">
      <c r="C61" s="3">
        <v>50</v>
      </c>
      <c r="D61" s="3">
        <v>5203001</v>
      </c>
      <c r="E61" s="3" t="s">
        <v>1884</v>
      </c>
      <c r="F61" s="3" t="s">
        <v>1885</v>
      </c>
      <c r="G61" s="3">
        <v>3</v>
      </c>
      <c r="H61" s="3"/>
      <c r="I61" s="3" t="s">
        <v>1827</v>
      </c>
      <c r="J61" s="3"/>
      <c r="K61" s="3">
        <v>6</v>
      </c>
      <c r="L61" s="3" t="s">
        <v>1886</v>
      </c>
      <c r="M61" s="3" t="s">
        <v>1812</v>
      </c>
    </row>
    <row r="62" ht="16.5" spans="3:13">
      <c r="C62" s="3">
        <v>51</v>
      </c>
      <c r="D62" s="3">
        <v>5205001</v>
      </c>
      <c r="E62" s="3" t="s">
        <v>1887</v>
      </c>
      <c r="F62" s="3"/>
      <c r="G62" s="3">
        <v>500</v>
      </c>
      <c r="H62" s="3"/>
      <c r="I62" s="3" t="s">
        <v>1888</v>
      </c>
      <c r="J62" s="3"/>
      <c r="K62" s="3"/>
      <c r="L62" s="3" t="s">
        <v>1889</v>
      </c>
      <c r="M62" s="3"/>
    </row>
    <row r="63" ht="16.5" spans="3:13">
      <c r="C63" s="3">
        <v>52</v>
      </c>
      <c r="D63" s="3">
        <v>5204001</v>
      </c>
      <c r="E63" s="3" t="s">
        <v>1890</v>
      </c>
      <c r="F63" s="3"/>
      <c r="G63" s="3">
        <v>5</v>
      </c>
      <c r="H63" s="3"/>
      <c r="I63" s="3" t="s">
        <v>1827</v>
      </c>
      <c r="J63" s="3"/>
      <c r="K63" s="3"/>
      <c r="L63" s="3"/>
      <c r="M63" s="4" t="s">
        <v>1891</v>
      </c>
    </row>
    <row r="64" ht="16.5" spans="3:13">
      <c r="C64" s="3" t="s">
        <v>178</v>
      </c>
      <c r="D64" s="3"/>
      <c r="E64" s="3"/>
      <c r="F64" s="3"/>
      <c r="G64" s="3"/>
      <c r="H64" s="3"/>
      <c r="I64" s="3"/>
      <c r="J64" s="3"/>
      <c r="K64" s="3"/>
      <c r="L64" s="3"/>
      <c r="M64" s="3"/>
    </row>
    <row r="65" ht="16.5" spans="3:13">
      <c r="C65" s="3">
        <v>53</v>
      </c>
      <c r="D65" s="3">
        <v>5525002</v>
      </c>
      <c r="E65" s="3" t="s">
        <v>1892</v>
      </c>
      <c r="F65" s="3" t="s">
        <v>1893</v>
      </c>
      <c r="G65" s="3">
        <v>0.33</v>
      </c>
      <c r="H65" s="3"/>
      <c r="I65" s="3" t="s">
        <v>1894</v>
      </c>
      <c r="J65" s="3"/>
      <c r="K65" s="3"/>
      <c r="L65" s="3"/>
      <c r="M65" s="3"/>
    </row>
    <row r="66" ht="16.5" spans="3:13">
      <c r="C66" s="3">
        <v>54</v>
      </c>
      <c r="D66" s="3"/>
      <c r="E66" s="3" t="s">
        <v>1895</v>
      </c>
      <c r="F66" s="3"/>
      <c r="G66" s="3">
        <v>0.02</v>
      </c>
      <c r="H66" s="3"/>
      <c r="I66" s="3"/>
      <c r="J66" s="3"/>
      <c r="K66" s="3"/>
      <c r="L66" s="3"/>
      <c r="M66" s="3"/>
    </row>
    <row r="67" ht="16.5" spans="3:13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ht="16.5" spans="3:13">
      <c r="C68" s="3">
        <v>53</v>
      </c>
      <c r="D68" s="3"/>
      <c r="E68" s="3" t="s">
        <v>1896</v>
      </c>
      <c r="F68" s="3"/>
      <c r="G68" s="3">
        <v>100</v>
      </c>
      <c r="H68" s="3"/>
      <c r="I68" s="3" t="s">
        <v>1897</v>
      </c>
      <c r="J68" s="3"/>
      <c r="K68" s="3"/>
      <c r="L68" s="3"/>
      <c r="M68" s="3"/>
    </row>
    <row r="69" ht="16.5" spans="3:13">
      <c r="C69" s="3" t="s">
        <v>178</v>
      </c>
      <c r="D69" s="3"/>
      <c r="E69" s="3"/>
      <c r="F69" s="3"/>
      <c r="G69" s="3"/>
      <c r="H69" s="3"/>
      <c r="I69" s="3"/>
      <c r="J69" s="3"/>
      <c r="K69" s="3"/>
      <c r="L69" s="3"/>
      <c r="M69" s="3"/>
    </row>
    <row r="70" ht="16.5" spans="3:13">
      <c r="C70" s="3">
        <v>55</v>
      </c>
      <c r="D70" s="3"/>
      <c r="E70" s="3" t="s">
        <v>1898</v>
      </c>
      <c r="F70" s="3"/>
      <c r="G70" s="3">
        <v>3000</v>
      </c>
      <c r="H70" s="3">
        <v>30</v>
      </c>
      <c r="I70" s="3" t="s">
        <v>1897</v>
      </c>
      <c r="J70" s="3"/>
      <c r="K70" s="3"/>
      <c r="L70" s="3"/>
      <c r="M70" s="3"/>
    </row>
    <row r="71" ht="16.5" spans="3:13">
      <c r="C71" s="3">
        <v>53</v>
      </c>
      <c r="D71" s="3"/>
      <c r="E71" s="3" t="s">
        <v>1899</v>
      </c>
      <c r="F71" s="3"/>
      <c r="G71" s="3">
        <v>5000</v>
      </c>
      <c r="H71" s="3">
        <v>128</v>
      </c>
      <c r="I71" s="3" t="s">
        <v>1897</v>
      </c>
      <c r="J71" s="3"/>
      <c r="K71" s="3"/>
      <c r="L71" s="3"/>
      <c r="M71" s="3"/>
    </row>
    <row r="72" ht="16.5" spans="3:13">
      <c r="C72" s="3">
        <v>56</v>
      </c>
      <c r="D72" s="3"/>
      <c r="E72" s="3" t="s">
        <v>1900</v>
      </c>
      <c r="F72" s="3"/>
      <c r="G72" s="3">
        <v>6000</v>
      </c>
      <c r="H72" s="3">
        <v>198</v>
      </c>
      <c r="I72" s="3" t="s">
        <v>1897</v>
      </c>
      <c r="J72" s="3"/>
      <c r="K72" s="3"/>
      <c r="L72" s="3"/>
      <c r="M72" s="3"/>
    </row>
    <row r="73" ht="16.5" spans="3:13">
      <c r="C73" s="3" t="s">
        <v>178</v>
      </c>
      <c r="D73" s="3"/>
      <c r="E73" s="3"/>
      <c r="F73" s="3"/>
      <c r="G73" s="3"/>
      <c r="H73" s="3"/>
      <c r="I73" s="3"/>
      <c r="J73" s="3"/>
      <c r="K73" s="3"/>
      <c r="L73" s="3"/>
      <c r="M73" s="3"/>
    </row>
    <row r="74" ht="16.5" spans="3:13">
      <c r="C74" s="3">
        <v>57</v>
      </c>
      <c r="D74" s="3"/>
      <c r="E74" s="3" t="s">
        <v>1901</v>
      </c>
      <c r="F74" s="3"/>
      <c r="G74" s="3"/>
      <c r="H74" s="3">
        <v>128</v>
      </c>
      <c r="I74" s="3"/>
      <c r="J74" s="3"/>
      <c r="K74" s="3"/>
      <c r="L74" s="3"/>
      <c r="M74" s="3"/>
    </row>
    <row r="75" ht="16.5" spans="3:13">
      <c r="C75" s="3">
        <v>58</v>
      </c>
      <c r="D75" s="3"/>
      <c r="E75" s="3" t="s">
        <v>1902</v>
      </c>
      <c r="F75" s="3"/>
      <c r="G75" s="3"/>
      <c r="H75" s="3">
        <v>168</v>
      </c>
      <c r="I75" s="3"/>
      <c r="J75" s="3"/>
      <c r="K75" s="3"/>
      <c r="L75" s="3"/>
      <c r="M75" s="3"/>
    </row>
    <row r="76" ht="16.5" spans="3:13">
      <c r="C76" s="3" t="s">
        <v>178</v>
      </c>
      <c r="D76" s="3"/>
      <c r="E76" s="3"/>
      <c r="F76" s="3"/>
      <c r="G76" s="3"/>
      <c r="H76" s="3"/>
      <c r="I76" s="3"/>
      <c r="J76" s="3"/>
      <c r="K76" s="3"/>
      <c r="L76" s="3"/>
      <c r="M76" s="3"/>
    </row>
    <row r="77" ht="16.5" spans="3:13">
      <c r="C77" s="3">
        <v>59</v>
      </c>
      <c r="D77" s="3"/>
      <c r="E77" s="3" t="s">
        <v>1903</v>
      </c>
      <c r="F77" s="3"/>
      <c r="G77" s="3"/>
      <c r="H77" s="3">
        <v>266</v>
      </c>
      <c r="I77" s="3"/>
      <c r="J77" s="3"/>
      <c r="K77" s="3"/>
      <c r="L77" s="3"/>
      <c r="M77" s="3" t="s">
        <v>1904</v>
      </c>
    </row>
    <row r="78" ht="16.5" spans="3:13">
      <c r="C78" s="3">
        <v>60</v>
      </c>
      <c r="D78" s="3"/>
      <c r="E78" s="3" t="s">
        <v>1905</v>
      </c>
      <c r="F78" s="3"/>
      <c r="G78" s="3"/>
      <c r="H78" s="3">
        <v>328</v>
      </c>
      <c r="I78" s="3"/>
      <c r="J78" s="3"/>
      <c r="K78" s="3"/>
      <c r="L78" s="3"/>
      <c r="M78" s="3" t="s">
        <v>1904</v>
      </c>
    </row>
    <row r="79" ht="16.5" spans="3:13">
      <c r="C79" s="3" t="s">
        <v>178</v>
      </c>
      <c r="D79" s="3"/>
      <c r="E79" s="3"/>
      <c r="F79" s="3"/>
      <c r="G79" s="3"/>
      <c r="H79" s="3"/>
      <c r="I79" s="3"/>
      <c r="J79" s="3"/>
      <c r="K79" s="3"/>
      <c r="L79" s="3"/>
      <c r="M79" s="3"/>
    </row>
    <row r="80" ht="16.5" spans="3:13">
      <c r="C80" s="3">
        <v>61</v>
      </c>
      <c r="D80" s="3"/>
      <c r="E80" s="3" t="s">
        <v>1906</v>
      </c>
      <c r="F80" s="3"/>
      <c r="G80" s="3"/>
      <c r="H80" s="3">
        <v>328</v>
      </c>
      <c r="I80" s="3"/>
      <c r="J80" s="3"/>
      <c r="K80" s="3"/>
      <c r="L80" s="3"/>
      <c r="M80" s="3" t="s">
        <v>1904</v>
      </c>
    </row>
    <row r="81" ht="16.5" spans="3:13">
      <c r="C81" s="3">
        <v>62</v>
      </c>
      <c r="D81" s="3"/>
      <c r="E81" s="3" t="s">
        <v>1907</v>
      </c>
      <c r="F81" s="3"/>
      <c r="G81" s="3"/>
      <c r="H81" s="3">
        <v>648</v>
      </c>
      <c r="I81" s="3"/>
      <c r="J81" s="3"/>
      <c r="K81" s="3"/>
      <c r="L81" s="3"/>
      <c r="M81" s="3" t="s">
        <v>1904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"/>
  <sheetViews>
    <sheetView workbookViewId="0">
      <selection activeCell="K26" sqref="K26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总览</vt:lpstr>
      <vt:lpstr>梦灵养成</vt:lpstr>
      <vt:lpstr>洗练性价比</vt:lpstr>
      <vt:lpstr>符文总览</vt:lpstr>
      <vt:lpstr>符文权重</vt:lpstr>
      <vt:lpstr>星妙</vt:lpstr>
      <vt:lpstr>价值表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2026-10-15T04:37:41Z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2052-12.1.0.29158</vt:lpwstr>
  </property>
  <property fmtid="{D5CDD505-2E9C-101B-9397-08002B2CF9AE}" pid="3" name="ICV">
    <vt:lpwstr>F70DF8B73BA44F77A6EABB7FB046DFB6_12</vt:lpwstr>
  </property>
  <property fmtid="{D5CDD505-2E9C-101B-9397-08002B2CF9AE}" pid="4" name="CalculationRule">
    <vt:i4>0</vt:i4>
  </property>
</Properties>
</file>